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29"/>
  <workbookPr codeName="ThisWorkbook" defaultThemeVersion="124226"/>
  <mc:AlternateContent xmlns:mc="http://schemas.openxmlformats.org/markup-compatibility/2006">
    <mc:Choice Requires="x15">
      <x15ac:absPath xmlns:x15ac="http://schemas.microsoft.com/office/spreadsheetml/2010/11/ac" url="/Users/twigjib/Downloads/"/>
    </mc:Choice>
  </mc:AlternateContent>
  <xr:revisionPtr revIDLastSave="0" documentId="8_{7DBD92BB-7988-41EA-8A28-0F8559C95482}" xr6:coauthVersionLast="45" xr6:coauthVersionMax="45" xr10:uidLastSave="{00000000-0000-0000-0000-000000000000}"/>
  <bookViews>
    <workbookView xWindow="0" yWindow="460" windowWidth="28800" windowHeight="17540" tabRatio="859" firstSheet="1" activeTab="1" xr2:uid="{00000000-000D-0000-FFFF-FFFF00000000}"/>
  </bookViews>
  <sheets>
    <sheet name="Agency Information" sheetId="14" state="hidden" r:id="rId1"/>
    <sheet name="Review &amp; Instructions " sheetId="7" r:id="rId2"/>
    <sheet name="Recommended Vehicles" sheetId="23" r:id="rId3"/>
    <sheet name="VEH98 Data" sheetId="16" state="hidden" r:id="rId4"/>
    <sheet name="Vehicle Request" sheetId="15" r:id="rId5"/>
    <sheet name="Vehicle Justification" sheetId="24" r:id="rId6"/>
    <sheet name="Vehicle Turn-In" sheetId="18" r:id="rId7"/>
    <sheet name="Upfit Calculations" sheetId="27" r:id="rId8"/>
    <sheet name="Scoring" sheetId="1" state="hidden" r:id="rId9"/>
    <sheet name="Fuel Efficiency Standard" sheetId="2" r:id="rId10"/>
    <sheet name="Exemption Justification" sheetId="13" r:id="rId11"/>
    <sheet name="Alternative Compliance" sheetId="6" r:id="rId12"/>
    <sheet name="Dependent Lists - Cat I" sheetId="9" state="hidden" r:id="rId13"/>
    <sheet name="Cat I Vehicles" sheetId="10" state="hidden" r:id="rId14"/>
    <sheet name="Dependent Lists - Cat II" sheetId="11" state="hidden" r:id="rId15"/>
    <sheet name="Cat II Vehicles" sheetId="12" state="hidden" r:id="rId16"/>
    <sheet name="Electronic Signature" sheetId="19" r:id="rId17"/>
    <sheet name="Appendix - VEH98 Vehicles" sheetId="28" r:id="rId18"/>
  </sheets>
  <externalReferences>
    <externalReference r:id="rId19"/>
    <externalReference r:id="rId20"/>
    <externalReference r:id="rId21"/>
  </externalReferences>
  <definedNames>
    <definedName name="_xlnm._FilterDatabase" localSheetId="17" hidden="1">'Appendix - VEH98 Vehicles'!$A$1:$AE$3507</definedName>
    <definedName name="_xlnm._FilterDatabase" localSheetId="9" hidden="1">'Fuel Efficiency Standard'!$B$34:$K$34</definedName>
    <definedName name="_xlnm._FilterDatabase" localSheetId="2" hidden="1">'Recommended Vehicles'!$B$14:$P$102</definedName>
    <definedName name="_xlnm._FilterDatabase" localSheetId="3" hidden="1">'VEH98 Data'!$A$1:$AJ$3508</definedName>
    <definedName name="_xlnm._FilterDatabase" localSheetId="6" hidden="1">'Vehicle Turn-In'!$B$27:$P$56</definedName>
    <definedName name="AvgCombinedMPG_CatI" localSheetId="17">'Fuel Efficiency Standard'!#REF!</definedName>
    <definedName name="AvgCombinedMPG_CatI" localSheetId="7">'[1]Category I Vehicles'!$L$9</definedName>
    <definedName name="AvgCombinedMPG_CatI">'Fuel Efficiency Standard'!#REF!</definedName>
    <definedName name="AvgCombinedMPG_CatII" localSheetId="17">'Fuel Efficiency Standard'!#REF!</definedName>
    <definedName name="AvgCombinedMPG_CatII">'Fuel Efficiency Standard'!#REF!</definedName>
    <definedName name="CatI_VehNum" localSheetId="17">#REF!</definedName>
    <definedName name="CatI_VehNum" localSheetId="7">#REF!</definedName>
    <definedName name="CatI_VehNum">#REF!</definedName>
    <definedName name="CatII_VehNum" localSheetId="17">#REF!</definedName>
    <definedName name="CatII_VehNum" localSheetId="7">#REF!</definedName>
    <definedName name="CatII_VehNum">#REF!</definedName>
    <definedName name="CatIIVehNum" localSheetId="17">'Appendix - VEH98 Vehicles'!#REF!</definedName>
    <definedName name="CatIIVehNum">'VEH98 Data'!#REF!</definedName>
    <definedName name="CatIIVehNum_Dealer" localSheetId="17">'Appendix - VEH98 Vehicles'!#REF!</definedName>
    <definedName name="CatIIVehNum_Dealer" localSheetId="7">[2]Sheet3!$A$60:$A$1205</definedName>
    <definedName name="CatIIVehNum_Dealer">'VEH98 Data'!$A$191:$A$3508</definedName>
    <definedName name="CatIVehNum" localSheetId="17">'Appendix - VEH98 Vehicles'!#REF!</definedName>
    <definedName name="CatIVehNum" localSheetId="7">[2]Sheet3!$B$2:$B$58</definedName>
    <definedName name="CatIVehNum">'VEH98 Data'!#REF!</definedName>
    <definedName name="CatIVehNum_Dealer" localSheetId="17">'Appendix - VEH98 Vehicles'!#REF!</definedName>
    <definedName name="CatIVehNum_Dealer" localSheetId="7">[2]Sheet3!$A$2:$A$59</definedName>
    <definedName name="CatIVehNum_Dealer">'VEH98 Data'!$A$3:$A$190</definedName>
    <definedName name="Chevrolet">'Dependent Lists - Cat I'!$C$3:$C$8</definedName>
    <definedName name="Chevrolet.">'Dependent Lists - Cat II'!$C$3:$C$15</definedName>
    <definedName name="Chevrolet.CityExpressCargoMini">'Dependent Lists - Cat II'!$I$18:$I$18</definedName>
    <definedName name="Chevrolet.Colorado">'Dependent Lists - Cat II'!$L$18:$L$21</definedName>
    <definedName name="Chevrolet.Equinox">'Dependent Lists - Cat II'!$B$18:$B$19</definedName>
    <definedName name="Chevrolet.ExpressCargo2500">'Dependent Lists - Cat II'!$G$18:$G$21</definedName>
    <definedName name="Chevrolet.ExpressCargo3500">'Dependent Lists - Cat II'!$H$18:$H$21</definedName>
    <definedName name="Chevrolet.ExpressPass2500">'Dependent Lists - Cat II'!$J$18:$J$18</definedName>
    <definedName name="Chevrolet.ExpressPass3500">'Dependent Lists - Cat II'!$K$18:$K$19</definedName>
    <definedName name="Chevrolet.Silverado" localSheetId="17">'Dependent Lists - Cat II'!#REF!</definedName>
    <definedName name="Chevrolet.Silverado" localSheetId="10">'[3]Dependent Lists - Cat II'!#REF!</definedName>
    <definedName name="Chevrolet.Silverado" localSheetId="7">'[1]Dependent Lists - Cat II'!#REF!</definedName>
    <definedName name="Chevrolet.Silverado">'Dependent Lists - Cat II'!#REF!</definedName>
    <definedName name="Chevrolet.Silverado1500">'Dependent Lists - Cat II'!$M$18:$M$19</definedName>
    <definedName name="Chevrolet.Silverado2500">'Dependent Lists - Cat II'!$N$18:$N$19</definedName>
    <definedName name="Chevrolet.SuburbanC1500">'Dependent Lists - Cat II'!$E$18:$E$18</definedName>
    <definedName name="Chevrolet.SuburbanK1500">'Dependent Lists - Cat II'!$F$18:$F$18</definedName>
    <definedName name="Chevrolet.TahoeC1500">'Dependent Lists - Cat II'!$C$18</definedName>
    <definedName name="Chevrolet.TahoeK1500">'Dependent Lists - Cat II'!$D$18:$D$18</definedName>
    <definedName name="Chevrolet_II" localSheetId="17">'Dependent Lists - Cat II'!#REF!</definedName>
    <definedName name="Chevrolet_II" localSheetId="10">'[3]Dependent Lists - Cat II'!#REF!</definedName>
    <definedName name="Chevrolet_II" localSheetId="7">'[1]Dependent Lists - Cat II'!#REF!</definedName>
    <definedName name="Chevrolet_II">'Dependent Lists - Cat II'!#REF!</definedName>
    <definedName name="ChevroletCityExpressCargoMini">'Dependent Lists - Cat II'!$I$18:$I$18</definedName>
    <definedName name="ChevroletColorado">'Dependent Lists - Cat II'!$L$18:$L$21</definedName>
    <definedName name="ChevroletCruze">'Dependent Lists - Cat I'!$D$13:$D$14</definedName>
    <definedName name="ChevroletEquinox">'Dependent Lists - Cat II'!$B$18:$B$19</definedName>
    <definedName name="ChevroletExpressCargo2500">'Dependent Lists - Cat II'!$G$18:$G$21</definedName>
    <definedName name="ChevroletExpressCargo3500">'Dependent Lists - Cat II'!$H$18:$H$21</definedName>
    <definedName name="ChevroletExpressPass2500">'Dependent Lists - Cat II'!$J$18:$J$18</definedName>
    <definedName name="ChevroletExpressPass3500">'Dependent Lists - Cat II'!$K$18:$K$19</definedName>
    <definedName name="ChevroletII" localSheetId="17">'Dependent Lists - Cat II'!#REF!</definedName>
    <definedName name="ChevroletII" localSheetId="10">'[3]Dependent Lists - Cat II'!#REF!</definedName>
    <definedName name="ChevroletII" localSheetId="7">'[1]Dependent Lists - Cat II'!#REF!</definedName>
    <definedName name="ChevroletII">'Dependent Lists - Cat II'!#REF!</definedName>
    <definedName name="ChevroletImpala">'Dependent Lists - Cat I'!$G$13</definedName>
    <definedName name="ChevroletMalibu">'Dependent Lists - Cat I'!$F$13</definedName>
    <definedName name="ChevroletSilverado1500" localSheetId="17">'Dependent Lists - Cat II'!#REF!</definedName>
    <definedName name="ChevroletSilverado1500" localSheetId="10">'[3]Dependent Lists - Cat II'!#REF!</definedName>
    <definedName name="ChevroletSilverado1500" localSheetId="7">'[1]Dependent Lists - Cat II'!#REF!</definedName>
    <definedName name="ChevroletSilverado1500">'Dependent Lists - Cat II'!#REF!</definedName>
    <definedName name="ChevroletSilverado2500">'Dependent Lists - Cat II'!$N$18:$N$19</definedName>
    <definedName name="ChevroletSpark">'Dependent Lists - Cat I'!$B$13</definedName>
    <definedName name="ChevroletSparkElectric">'Dependent Lists - Cat I'!$C$13</definedName>
    <definedName name="ChevroletSuburbanC1500">'Dependent Lists - Cat II'!$E$18:$E$18</definedName>
    <definedName name="ChevroletSuburbanK1500">'Dependent Lists - Cat II'!$F$18:$F$18</definedName>
    <definedName name="ChevroletTahoeC1500">'Dependent Lists - Cat II'!$C$18:$C$18</definedName>
    <definedName name="ChevroletTahoeK1500">'Dependent Lists - Cat II'!$D$18:$D$18</definedName>
    <definedName name="ChevroletVolt">'Dependent Lists - Cat I'!$E$13</definedName>
    <definedName name="ChrysDodgeJeep.">'Dependent Lists - Cat II'!$D$3:$D$5</definedName>
    <definedName name="ChrysDodgeJeep.Cherokee">'Dependent Lists - Cat II'!$B$24:$B$25</definedName>
    <definedName name="ChrysDodgeJeep.GrandCaravan">'Dependent Lists - Cat II'!$D$24</definedName>
    <definedName name="ChrysDodgeJeep.GrandCherokee">'Dependent Lists - Cat II'!$C$24:$C$25</definedName>
    <definedName name="ChrysDodgeJeepII">'Dependent Lists - Cat II'!$D$3:$D$12</definedName>
    <definedName name="ChrysDodgeKeep.Cherokee">'Dependent Lists - Cat II'!$B$24:$B$25</definedName>
    <definedName name="EstimatedFuelCost_CatI" localSheetId="7">'[1]Category I Vehicles'!$H$14:$H$30</definedName>
    <definedName name="EstimatedFuelCost_CatI">'Fuel Efficiency Standard'!$H$35:$H$51</definedName>
    <definedName name="EstimatedFuelCost_CatII" localSheetId="7">'[1]Category II Vehicles'!$H$14:$H$30</definedName>
    <definedName name="EstimatedFuelCost_CatII">'Fuel Efficiency Standard'!$H$57:$H$88</definedName>
    <definedName name="FinalMPG_CatI">Scoring!$C$15</definedName>
    <definedName name="FinalMPG_CatII">Scoring!$F$15</definedName>
    <definedName name="Ford">'Dependent Lists - Cat I'!$D$3:$D$10</definedName>
    <definedName name="Ford.">'Dependent Lists - Cat II'!$E$3:$E$14</definedName>
    <definedName name="Ford.Escape">'Dependent Lists - Cat II'!$B$41:$B$42</definedName>
    <definedName name="Ford.Expedition">'Dependent Lists - Cat II'!$D$41:$D$42</definedName>
    <definedName name="Ford.Explorer">'Dependent Lists - Cat II'!$C$41:$C$42</definedName>
    <definedName name="Ford.F150">'Dependent Lists - Cat II'!$L$41:$L$48</definedName>
    <definedName name="Ford.F250">'Dependent Lists - Cat II'!$M$41:$M$46</definedName>
    <definedName name="Ford.TransitCargo150">'Dependent Lists - Cat II'!$E$41:$E$43</definedName>
    <definedName name="Ford.TransitCargo250">'Dependent Lists - Cat II'!$F$41:$F$43</definedName>
    <definedName name="Ford.TransitCargo350">'Dependent Lists - Cat II'!$G$41:$G$43</definedName>
    <definedName name="Ford.TransitCargo350HD">'Dependent Lists - Cat II'!$H$41:$H$42</definedName>
    <definedName name="Ford.TransitConnectCargo">'Dependent Lists - Cat II'!$I$41</definedName>
    <definedName name="Ford.TransitWagon150">'Dependent Lists - Cat II'!$J$41:$J$42</definedName>
    <definedName name="Ford.TransitWagon350">'Dependent Lists - Cat II'!$K$41:$K$43</definedName>
    <definedName name="FordCMaxEnergi">'Dependent Lists - Cat I'!$E$17</definedName>
    <definedName name="FordCMaxHybrid">'Dependent Lists - Cat I'!$D$17</definedName>
    <definedName name="FordFocus">'Dependent Lists - Cat I'!$B$17</definedName>
    <definedName name="FordFocusElectric">'Dependent Lists - Cat I'!$C$17</definedName>
    <definedName name="FordFusion">'Dependent Lists - Cat I'!$F$17:$F$18</definedName>
    <definedName name="FordFusionEnergi">'Dependent Lists - Cat I'!$H$17</definedName>
    <definedName name="FordFusionHybrid">'Dependent Lists - Cat I'!$G$17</definedName>
    <definedName name="FordII">'Dependent Lists - Cat II'!$E$3:$E$14</definedName>
    <definedName name="FordTaurus">'Dependent Lists - Cat I'!$I$17:$I$18</definedName>
    <definedName name="Honda">'Dependent Lists - Cat I'!$E$3:$E$6</definedName>
    <definedName name="Honda.">'Dependent Lists - Cat II'!$F$3:$F$4</definedName>
    <definedName name="Honda.CRV">'Dependent Lists - Cat II'!$B$51:$B$52</definedName>
    <definedName name="Honda.Odyssey">'Dependent Lists - Cat II'!$C$51</definedName>
    <definedName name="Honda_">'Dependent Lists - Cat II'!$F$3:$F$4</definedName>
    <definedName name="HondaAccord">'Dependent Lists - Cat I'!$D$21</definedName>
    <definedName name="HondaAccordHybrid">'Dependent Lists - Cat I'!$E$21</definedName>
    <definedName name="HondaCivic">'Dependent Lists - Cat I'!$B$21</definedName>
    <definedName name="HondaCivicHF">'Dependent Lists - Cat I'!$C$21</definedName>
    <definedName name="HondaII">'Dependent Lists - Cat II'!$F$3:$F$4</definedName>
    <definedName name="HoodaVooda" localSheetId="17">'Dependent Lists - Cat II'!#REF!</definedName>
    <definedName name="HoodaVooda" localSheetId="10">'[3]Dependent Lists - Cat II'!#REF!</definedName>
    <definedName name="HoodaVooda" localSheetId="7">'[1]Dependent Lists - Cat II'!#REF!</definedName>
    <definedName name="HoodaVooda">'Dependent Lists - Cat II'!#REF!</definedName>
    <definedName name="Hyundai">'Dependent Lists - Cat I'!$G$3:$G$5</definedName>
    <definedName name="Hyundai.">'Dependent Lists - Cat II'!$G$3:$G$4</definedName>
    <definedName name="Hyundai.SantaFe">'Dependent Lists - Cat II'!$C$60:$C$61</definedName>
    <definedName name="Hyundai.Tucson">'Dependent Lists - Cat II'!$B$60:$B$61</definedName>
    <definedName name="HyundaiSonata">'Dependent Lists - Cat I'!$B$28:$B$29</definedName>
    <definedName name="HyundaiSonataHybrid">'Dependent Lists - Cat I'!$C$28</definedName>
    <definedName name="HyundaiSonataPlugIn">'Dependent Lists - Cat I'!$D$28</definedName>
    <definedName name="II_Chevrolet">'Dependent Lists - Cat II'!$C$3:$C$15</definedName>
    <definedName name="MPG_Reciprocal_CatI">'Fuel Efficiency Standard'!$Q$35:$Q$51</definedName>
    <definedName name="MPG_Reciprocal_CatII">'Fuel Efficiency Standard'!$Q$57:$Q$88</definedName>
    <definedName name="Nissan">'Dependent Lists - Cat I'!$F$3:$F$6</definedName>
    <definedName name="Nissan.">'Dependent Lists - Cat II'!$H$3:$H$12</definedName>
    <definedName name="Nissan.Frontier">'Dependent Lists - Cat II'!$J$55:$J$57</definedName>
    <definedName name="Nissan.NV1500">'Dependent Lists - Cat II'!$D$55</definedName>
    <definedName name="Nissan.NV200">'Dependent Lists - Cat II'!$G$55</definedName>
    <definedName name="Nissan.NV2500">'Dependent Lists - Cat II'!$E$55:$E$56</definedName>
    <definedName name="Nissan.NV3500">'Dependent Lists - Cat II'!$F$55</definedName>
    <definedName name="Nissan.NVP3500">'Dependent Lists - Cat II'!$H$55:$H$56</definedName>
    <definedName name="Nissan.Pathfinder">'Dependent Lists - Cat II'!$C$55:$C$56</definedName>
    <definedName name="Nissan.Quest">'Dependent Lists - Cat II'!$I$55</definedName>
    <definedName name="Nissan.Rogue">'Dependent Lists - Cat II'!$B$55:$B$56</definedName>
    <definedName name="Nissan.Titan">'Dependent Lists - Cat II'!$K$55:$K$56</definedName>
    <definedName name="NissanAltima">'Dependent Lists - Cat I'!$E$24</definedName>
    <definedName name="NissanII">'Dependent Lists - Cat II'!$H$3:$H$12</definedName>
    <definedName name="NissanLeafElectric">'Dependent Lists - Cat I'!$D$24</definedName>
    <definedName name="NissanSentra">'Dependent Lists - Cat I'!$C$24:$C$25</definedName>
    <definedName name="NissanVersa">'Dependent Lists - Cat I'!$B$24</definedName>
    <definedName name="nothing" localSheetId="17">'[3]Dependent Lists - Cat II'!#REF!</definedName>
    <definedName name="nothing" localSheetId="7">'[3]Dependent Lists - Cat II'!#REF!</definedName>
    <definedName name="nothing">'[3]Dependent Lists - Cat II'!#REF!</definedName>
    <definedName name="NumberRequested_CatI" localSheetId="7">'[1]Category I Vehicles'!$F$14:$F$30</definedName>
    <definedName name="NumberRequested_CatI">'Fuel Efficiency Standard'!$F$35:$F$51</definedName>
    <definedName name="NumberRequested_CatII" localSheetId="7">'[1]Category II Vehicles'!$F$14:$F$30</definedName>
    <definedName name="NumberRequested_CatII">'Fuel Efficiency Standard'!$F$57:$F$88</definedName>
    <definedName name="OEM" localSheetId="10">'[3]Dependent Lists - Cat I'!$B$3:$B$7</definedName>
    <definedName name="OEM">'Dependent Lists - Cat I'!$B$3:$B$7</definedName>
    <definedName name="OEMII" localSheetId="10">'[3]Dependent Lists - Cat II'!$B$3:$B$9</definedName>
    <definedName name="OEMII">'Dependent Lists - Cat II'!$B$3:$B$9</definedName>
    <definedName name="PrimaryFuel_CatI" localSheetId="7">'[1]Category I Vehicles'!$I$14:$I$30</definedName>
    <definedName name="PrimaryFuel_CatI">'Fuel Efficiency Standard'!$I$35:$I$51</definedName>
    <definedName name="PrimaryFuel_CatII" localSheetId="7">'[1]Category II Vehicles'!$I$14:$I$30</definedName>
    <definedName name="PrimaryFuel_CatII">'Fuel Efficiency Standard'!$I$57:$I$88</definedName>
    <definedName name="_xlnm.Print_Area" localSheetId="11">'Alternative Compliance'!$A$1:$N$159</definedName>
    <definedName name="_xlnm.Print_Area" localSheetId="16">'Electronic Signature'!$A$1:$O$33</definedName>
    <definedName name="_xlnm.Print_Area" localSheetId="10">'Exemption Justification'!$1:$74</definedName>
    <definedName name="_xlnm.Print_Area" localSheetId="9">'Fuel Efficiency Standard'!$A$1:$Q$99</definedName>
    <definedName name="_xlnm.Print_Area" localSheetId="2">'Recommended Vehicles'!$A$1:$Q$105</definedName>
    <definedName name="_xlnm.Print_Area" localSheetId="1">'Review &amp; Instructions '!$B$1:$E$81</definedName>
    <definedName name="_xlnm.Print_Area" localSheetId="8">Scoring!$A$1:$N$43</definedName>
    <definedName name="_xlnm.Print_Area" localSheetId="7">'Upfit Calculations'!$A$1:$H$58</definedName>
    <definedName name="_xlnm.Print_Area" localSheetId="5">'Vehicle Justification'!$A$1:$N$70</definedName>
    <definedName name="_xlnm.Print_Area" localSheetId="4">'Vehicle Request'!$A$1:$AI$82</definedName>
    <definedName name="_xlnm.Print_Area" localSheetId="6">'Vehicle Turn-In'!$A$1:$Q$62</definedName>
    <definedName name="_xlnm.Print_Titles" localSheetId="11">'Alternative Compliance'!$1:$2</definedName>
    <definedName name="_xlnm.Print_Titles" localSheetId="2">'Recommended Vehicles'!$14:$14</definedName>
    <definedName name="_xlnm.Print_Titles" localSheetId="1">'Review &amp; Instructions '!$1:$1</definedName>
    <definedName name="_xlnm.Print_Titles" localSheetId="7">'Upfit Calculations'!$1:$1</definedName>
    <definedName name="Ram.">'Dependent Lists - Cat II'!$I$3:$I$9</definedName>
    <definedName name="Ram.1500">'Dependent Lists - Cat II'!$G$28:$G$36</definedName>
    <definedName name="Ram.2500">'Dependent Lists - Cat II'!$H$28:$H$34</definedName>
    <definedName name="Ram.Promaster1500">'Dependent Lists - Cat II'!$D$28</definedName>
    <definedName name="Ram.Promaster2500">'Dependent Lists - Cat II'!$E$28</definedName>
    <definedName name="Ram.Promaster3500">'Dependent Lists - Cat II'!$F$28</definedName>
    <definedName name="Ram.PromasterCityCargo">'Dependent Lists - Cat II'!$B$28:$B$29</definedName>
    <definedName name="Ram.PromasterCityPass">'Dependent Lists - Cat II'!$C$28</definedName>
    <definedName name="SecondaryFuel_CatI" localSheetId="7">'[1]Category I Vehicles'!$J$14:$J$30</definedName>
    <definedName name="SecondaryFuel_CatI">'Fuel Efficiency Standard'!$J$35:$J$51</definedName>
    <definedName name="SecondaryFuel_CatII" localSheetId="7">'[1]Category II Vehicles'!$J$14:$J$30</definedName>
    <definedName name="SecondaryFuel_CatII">'Fuel Efficiency Standard'!$J$57:$J$88</definedName>
    <definedName name="solver_adj" localSheetId="11" hidden="1">'Alternative Compliance'!#REF!</definedName>
    <definedName name="solver_cvg" localSheetId="11" hidden="1">0.0001</definedName>
    <definedName name="solver_drv" localSheetId="11" hidden="1">1</definedName>
    <definedName name="solver_est" localSheetId="11" hidden="1">1</definedName>
    <definedName name="solver_itr" localSheetId="11" hidden="1">100</definedName>
    <definedName name="solver_lin" localSheetId="11" hidden="1">2</definedName>
    <definedName name="solver_neg" localSheetId="11" hidden="1">2</definedName>
    <definedName name="solver_num" localSheetId="11" hidden="1">0</definedName>
    <definedName name="solver_nwt" localSheetId="11" hidden="1">1</definedName>
    <definedName name="solver_opt" localSheetId="11" hidden="1">'Alternative Compliance'!#REF!</definedName>
    <definedName name="solver_pre" localSheetId="11" hidden="1">0.000001</definedName>
    <definedName name="solver_scl" localSheetId="11" hidden="1">2</definedName>
    <definedName name="solver_sho" localSheetId="11" hidden="1">2</definedName>
    <definedName name="solver_tim" localSheetId="11" hidden="1">100</definedName>
    <definedName name="solver_tol" localSheetId="11" hidden="1">0.05</definedName>
    <definedName name="solver_typ" localSheetId="11" hidden="1">3</definedName>
    <definedName name="solver_val" localSheetId="11" hidden="1">-255.682</definedName>
    <definedName name="StandardMPG_CatI" localSheetId="7">[1]Scoring!$C$16</definedName>
    <definedName name="StandardMPG_CatI">Scoring!$C$16</definedName>
    <definedName name="StandardMPG_CatII" localSheetId="7">[1]Scoring!$F$16</definedName>
    <definedName name="StandardMPG_CatII">Scoring!$F$16</definedName>
    <definedName name="TotalVehicles_CatI" localSheetId="17">'Fuel Efficiency Standard'!#REF!</definedName>
    <definedName name="TotalVehicles_CatI" localSheetId="7">'[1]Category I Vehicles'!$L$4</definedName>
    <definedName name="TotalVehicles_CatI">'Fuel Efficiency Standard'!#REF!</definedName>
    <definedName name="TotalVehicles_CatII" localSheetId="17">'Fuel Efficiency Standard'!#REF!</definedName>
    <definedName name="TotalVehicles_CatII" localSheetId="7">'[1]Category II Vehicles'!$M$4</definedName>
    <definedName name="TotalVehicles_CatII">'Fuel Efficiency Standard'!#REF!</definedName>
    <definedName name="VehNum" localSheetId="17">'Appendix - VEH98 Vehicles'!#REF!</definedName>
    <definedName name="VehNum">'VEH98 Data'!#REF!</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 i="18" l="1"/>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29" i="18"/>
  <c r="K28" i="18"/>
  <c r="K24" i="18"/>
  <c r="K10" i="18"/>
  <c r="K11" i="18"/>
  <c r="K12" i="18"/>
  <c r="K13" i="18"/>
  <c r="K14" i="18"/>
  <c r="K15" i="18"/>
  <c r="K16" i="18"/>
  <c r="K17" i="18"/>
  <c r="K18" i="18"/>
  <c r="K19" i="18"/>
  <c r="K20" i="18"/>
  <c r="K21" i="18"/>
  <c r="K22" i="18"/>
  <c r="K23" i="18"/>
  <c r="K9" i="18"/>
  <c r="K8" i="18"/>
  <c r="Z40" i="15"/>
  <c r="Y40" i="15"/>
  <c r="X40" i="15"/>
  <c r="W40" i="15"/>
  <c r="V40" i="15"/>
  <c r="U40" i="15"/>
  <c r="T40" i="15"/>
  <c r="S40" i="15"/>
  <c r="R40" i="15"/>
  <c r="Q40" i="15"/>
  <c r="P40" i="15"/>
  <c r="O40" i="15"/>
  <c r="N40" i="15"/>
  <c r="M40" i="15"/>
  <c r="L40" i="15"/>
  <c r="K40" i="15"/>
  <c r="J40" i="15"/>
  <c r="I40" i="15"/>
  <c r="H40" i="15"/>
  <c r="G40" i="15"/>
  <c r="S41" i="15" l="1"/>
  <c r="AN3510" i="16"/>
  <c r="AM3510" i="16"/>
  <c r="AL3510" i="16"/>
  <c r="AK3510" i="16"/>
  <c r="AJ3510" i="16"/>
  <c r="AI3510" i="16"/>
  <c r="AF3510" i="16"/>
  <c r="AJ3509" i="16" l="1"/>
  <c r="AK3509" i="16"/>
  <c r="AL3509" i="16"/>
  <c r="AM3509" i="16"/>
  <c r="AN3509" i="16"/>
  <c r="AJ3511" i="16"/>
  <c r="AK3511" i="16"/>
  <c r="AL3511" i="16"/>
  <c r="AM3511" i="16"/>
  <c r="AN3511" i="16"/>
  <c r="AJ3512" i="16"/>
  <c r="AK3512" i="16"/>
  <c r="AL3512" i="16"/>
  <c r="AM3512" i="16"/>
  <c r="AN3512" i="16"/>
  <c r="AF3511" i="16"/>
  <c r="AI3511" i="16"/>
  <c r="AF3512" i="16"/>
  <c r="AI3512" i="16"/>
  <c r="AI3509" i="16"/>
  <c r="AF3509" i="16"/>
  <c r="H41" i="15" l="1"/>
  <c r="C31" i="24"/>
  <c r="C32" i="24"/>
  <c r="C29" i="24"/>
  <c r="E56" i="27"/>
  <c r="G55" i="27"/>
  <c r="G54" i="27"/>
  <c r="G53" i="27"/>
  <c r="G52" i="27"/>
  <c r="G51" i="27"/>
  <c r="G50" i="27"/>
  <c r="G49" i="27"/>
  <c r="G48" i="27"/>
  <c r="G47" i="27"/>
  <c r="G46" i="27"/>
  <c r="E43" i="27"/>
  <c r="G42" i="27"/>
  <c r="G41" i="27"/>
  <c r="G40" i="27"/>
  <c r="G39" i="27"/>
  <c r="G38" i="27"/>
  <c r="G37" i="27"/>
  <c r="G36" i="27"/>
  <c r="G35" i="27"/>
  <c r="G34" i="27"/>
  <c r="G33" i="27"/>
  <c r="E30" i="27"/>
  <c r="G29" i="27"/>
  <c r="G28" i="27"/>
  <c r="G27" i="27"/>
  <c r="G26" i="27"/>
  <c r="G25" i="27"/>
  <c r="G24" i="27"/>
  <c r="G23" i="27"/>
  <c r="G22" i="27"/>
  <c r="G21" i="27"/>
  <c r="G20" i="27"/>
  <c r="G30" i="27" l="1"/>
  <c r="G56" i="27"/>
  <c r="G43" i="27"/>
  <c r="H20" i="15"/>
  <c r="Z41" i="15" l="1"/>
  <c r="G14" i="27" l="1"/>
  <c r="G13" i="27"/>
  <c r="G12" i="27"/>
  <c r="E17" i="27" l="1"/>
  <c r="G16" i="27"/>
  <c r="G15" i="27"/>
  <c r="G11" i="27"/>
  <c r="G10" i="27"/>
  <c r="G9" i="27"/>
  <c r="G8" i="27"/>
  <c r="G7" i="27"/>
  <c r="G17" i="27" l="1"/>
  <c r="L26" i="2" l="1"/>
  <c r="Z69" i="15" l="1"/>
  <c r="Z68" i="15"/>
  <c r="Z67" i="15"/>
  <c r="Z66" i="15"/>
  <c r="Z65" i="15"/>
  <c r="Z64" i="15"/>
  <c r="Z63" i="15"/>
  <c r="Z62" i="15"/>
  <c r="Z61" i="15"/>
  <c r="Z60" i="15"/>
  <c r="Z59" i="15"/>
  <c r="Z58" i="15"/>
  <c r="Z57" i="15"/>
  <c r="Z56" i="15"/>
  <c r="Z55" i="15"/>
  <c r="Z54" i="15"/>
  <c r="Z53" i="15"/>
  <c r="Z52" i="15"/>
  <c r="Z51" i="15"/>
  <c r="Z50" i="15"/>
  <c r="Z49" i="15"/>
  <c r="Z48" i="15"/>
  <c r="Z47" i="15"/>
  <c r="Z46" i="15"/>
  <c r="Z45" i="15"/>
  <c r="Z44" i="15"/>
  <c r="Z43" i="15"/>
  <c r="Z42" i="15"/>
  <c r="Z34" i="15"/>
  <c r="Z33" i="15"/>
  <c r="Z32" i="15"/>
  <c r="Z31" i="15"/>
  <c r="Z30" i="15"/>
  <c r="Z29" i="15"/>
  <c r="Z28" i="15"/>
  <c r="Z27" i="15"/>
  <c r="Z26" i="15"/>
  <c r="Z25" i="15"/>
  <c r="Z24" i="15"/>
  <c r="Z23" i="15"/>
  <c r="Z22" i="15"/>
  <c r="Z21" i="15"/>
  <c r="Z2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34" i="15"/>
  <c r="Y33" i="15"/>
  <c r="Y32" i="15"/>
  <c r="Y31" i="15"/>
  <c r="Y30" i="15"/>
  <c r="Y29" i="15"/>
  <c r="Y28" i="15"/>
  <c r="Y27" i="15"/>
  <c r="Y26" i="15"/>
  <c r="Y25" i="15"/>
  <c r="Y24" i="15"/>
  <c r="Y23" i="15"/>
  <c r="Y22" i="15"/>
  <c r="Y21" i="15"/>
  <c r="Y20" i="15"/>
  <c r="X69" i="15"/>
  <c r="X68" i="15"/>
  <c r="X67" i="15"/>
  <c r="X66" i="15"/>
  <c r="X65" i="15"/>
  <c r="X64" i="15"/>
  <c r="X63" i="15"/>
  <c r="X62" i="15"/>
  <c r="X61" i="15"/>
  <c r="X60" i="15"/>
  <c r="X59" i="15"/>
  <c r="X58" i="15"/>
  <c r="X57" i="15"/>
  <c r="X56" i="15"/>
  <c r="X55" i="15"/>
  <c r="X54" i="15"/>
  <c r="X53" i="15"/>
  <c r="X52" i="15"/>
  <c r="X51" i="15"/>
  <c r="X50" i="15"/>
  <c r="X49" i="15"/>
  <c r="X48" i="15"/>
  <c r="X47" i="15"/>
  <c r="X46" i="15"/>
  <c r="X45" i="15"/>
  <c r="X44" i="15"/>
  <c r="X43" i="15"/>
  <c r="X42" i="15"/>
  <c r="X41" i="15"/>
  <c r="X34" i="15"/>
  <c r="X33" i="15"/>
  <c r="X32" i="15"/>
  <c r="X31" i="15"/>
  <c r="X30" i="15"/>
  <c r="X29" i="15"/>
  <c r="X28" i="15"/>
  <c r="X27" i="15"/>
  <c r="X26" i="15"/>
  <c r="X25" i="15"/>
  <c r="X24" i="15"/>
  <c r="X23" i="15"/>
  <c r="X22" i="15"/>
  <c r="X21" i="15"/>
  <c r="X2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W44" i="15"/>
  <c r="W43" i="15"/>
  <c r="W42" i="15"/>
  <c r="W41" i="15"/>
  <c r="W34" i="15"/>
  <c r="W33" i="15"/>
  <c r="W32" i="15"/>
  <c r="W31" i="15"/>
  <c r="W30" i="15"/>
  <c r="W29" i="15"/>
  <c r="W28" i="15"/>
  <c r="W27" i="15"/>
  <c r="W26" i="15"/>
  <c r="W25" i="15"/>
  <c r="W24" i="15"/>
  <c r="W23" i="15"/>
  <c r="W22" i="15"/>
  <c r="W21" i="15"/>
  <c r="W2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34" i="15"/>
  <c r="V33" i="15"/>
  <c r="V32" i="15"/>
  <c r="V31" i="15"/>
  <c r="V30" i="15"/>
  <c r="V29" i="15"/>
  <c r="V28" i="15"/>
  <c r="V27" i="15"/>
  <c r="V26" i="15"/>
  <c r="V25" i="15"/>
  <c r="V24" i="15"/>
  <c r="V23" i="15"/>
  <c r="V22" i="15"/>
  <c r="V21" i="15"/>
  <c r="V2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34" i="15"/>
  <c r="U33" i="15"/>
  <c r="U32" i="15"/>
  <c r="U31" i="15"/>
  <c r="U30" i="15"/>
  <c r="U29" i="15"/>
  <c r="U28" i="15"/>
  <c r="U27" i="15"/>
  <c r="U26" i="15"/>
  <c r="U25" i="15"/>
  <c r="U24" i="15"/>
  <c r="U23" i="15"/>
  <c r="U22" i="15"/>
  <c r="U21" i="15"/>
  <c r="U20" i="15"/>
  <c r="T69" i="15"/>
  <c r="T68" i="15"/>
  <c r="T67" i="15"/>
  <c r="T66" i="15"/>
  <c r="T65" i="15"/>
  <c r="T64" i="15"/>
  <c r="T63" i="15"/>
  <c r="T62" i="15"/>
  <c r="T61" i="15"/>
  <c r="T60" i="15"/>
  <c r="T59" i="15"/>
  <c r="T58" i="15"/>
  <c r="T57" i="15"/>
  <c r="T56" i="15"/>
  <c r="T55" i="15"/>
  <c r="T54" i="15"/>
  <c r="T53" i="15"/>
  <c r="T52" i="15"/>
  <c r="T51" i="15"/>
  <c r="T50" i="15"/>
  <c r="T49" i="15"/>
  <c r="T48" i="15"/>
  <c r="T47" i="15"/>
  <c r="T46" i="15"/>
  <c r="T45" i="15"/>
  <c r="T44" i="15"/>
  <c r="T43" i="15"/>
  <c r="T42" i="15"/>
  <c r="T41" i="15"/>
  <c r="T34" i="15"/>
  <c r="T33" i="15"/>
  <c r="T32" i="15"/>
  <c r="T31" i="15"/>
  <c r="T30" i="15"/>
  <c r="T29" i="15"/>
  <c r="T28" i="15"/>
  <c r="T27" i="15"/>
  <c r="T26" i="15"/>
  <c r="T25" i="15"/>
  <c r="T24" i="15"/>
  <c r="T23" i="15"/>
  <c r="T22" i="15"/>
  <c r="T21" i="15"/>
  <c r="T2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34" i="15"/>
  <c r="S33" i="15"/>
  <c r="S32" i="15"/>
  <c r="S31" i="15"/>
  <c r="S30" i="15"/>
  <c r="S29" i="15"/>
  <c r="S28" i="15"/>
  <c r="S27" i="15"/>
  <c r="S26" i="15"/>
  <c r="S25" i="15"/>
  <c r="S24" i="15"/>
  <c r="S23" i="15"/>
  <c r="S22" i="15"/>
  <c r="S21" i="15"/>
  <c r="S20" i="15"/>
  <c r="R69" i="15"/>
  <c r="R68" i="15"/>
  <c r="R67" i="15"/>
  <c r="R66" i="15"/>
  <c r="R65" i="15"/>
  <c r="R64" i="15"/>
  <c r="R63" i="15"/>
  <c r="R62" i="15"/>
  <c r="R61" i="15"/>
  <c r="R60" i="15"/>
  <c r="R59" i="15"/>
  <c r="R58" i="15"/>
  <c r="R57" i="15"/>
  <c r="R56" i="15"/>
  <c r="R55" i="15"/>
  <c r="R54" i="15"/>
  <c r="R53" i="15"/>
  <c r="R52" i="15"/>
  <c r="R51" i="15"/>
  <c r="R50" i="15"/>
  <c r="R49" i="15"/>
  <c r="R48" i="15"/>
  <c r="R47" i="15"/>
  <c r="R46" i="15"/>
  <c r="R45" i="15"/>
  <c r="R44" i="15"/>
  <c r="R43" i="15"/>
  <c r="R42" i="15"/>
  <c r="R41" i="15"/>
  <c r="R34" i="15"/>
  <c r="R33" i="15"/>
  <c r="R32" i="15"/>
  <c r="R31" i="15"/>
  <c r="R30" i="15"/>
  <c r="R29" i="15"/>
  <c r="R28" i="15"/>
  <c r="R27" i="15"/>
  <c r="R26" i="15"/>
  <c r="R25" i="15"/>
  <c r="R24" i="15"/>
  <c r="R23" i="15"/>
  <c r="R22" i="15"/>
  <c r="R21" i="15"/>
  <c r="R20" i="15"/>
  <c r="Q69" i="15"/>
  <c r="Q68" i="15"/>
  <c r="Q67" i="15"/>
  <c r="Q66" i="15"/>
  <c r="Q65" i="15"/>
  <c r="Q64" i="15"/>
  <c r="Q63" i="15"/>
  <c r="Q62" i="15"/>
  <c r="Q61" i="15"/>
  <c r="Q60" i="15"/>
  <c r="Q59" i="15"/>
  <c r="Q58" i="15"/>
  <c r="Q57" i="15"/>
  <c r="Q56" i="15"/>
  <c r="Q55" i="15"/>
  <c r="Q54" i="15"/>
  <c r="Q53" i="15"/>
  <c r="Q52" i="15"/>
  <c r="Q51" i="15"/>
  <c r="Q50" i="15"/>
  <c r="Q49" i="15"/>
  <c r="Q48" i="15"/>
  <c r="Q47" i="15"/>
  <c r="Q46" i="15"/>
  <c r="Q45" i="15"/>
  <c r="Q44" i="15"/>
  <c r="Q43" i="15"/>
  <c r="Q42" i="15"/>
  <c r="Q41" i="15"/>
  <c r="Q34" i="15"/>
  <c r="Q33" i="15"/>
  <c r="Q32" i="15"/>
  <c r="Q31" i="15"/>
  <c r="Q30" i="15"/>
  <c r="Q29" i="15"/>
  <c r="Q28" i="15"/>
  <c r="Q27" i="15"/>
  <c r="Q26" i="15"/>
  <c r="Q25" i="15"/>
  <c r="Q24" i="15"/>
  <c r="Q23" i="15"/>
  <c r="Q22" i="15"/>
  <c r="Q21" i="15"/>
  <c r="Q2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34" i="15"/>
  <c r="P33" i="15"/>
  <c r="P32" i="15"/>
  <c r="P31" i="15"/>
  <c r="P30" i="15"/>
  <c r="P29" i="15"/>
  <c r="P28" i="15"/>
  <c r="P27" i="15"/>
  <c r="P26" i="15"/>
  <c r="P25" i="15"/>
  <c r="P24" i="15"/>
  <c r="P23" i="15"/>
  <c r="P22" i="15"/>
  <c r="P21" i="15"/>
  <c r="P2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K34" i="15"/>
  <c r="K33" i="15"/>
  <c r="K32" i="15"/>
  <c r="K31" i="15"/>
  <c r="K30" i="15"/>
  <c r="K29" i="15"/>
  <c r="K28" i="15"/>
  <c r="K27" i="15"/>
  <c r="K26" i="15"/>
  <c r="K25" i="15"/>
  <c r="K24" i="15"/>
  <c r="K23" i="15"/>
  <c r="K22" i="15"/>
  <c r="K21" i="15"/>
  <c r="K2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N69" i="15"/>
  <c r="N68" i="15"/>
  <c r="N67" i="15"/>
  <c r="N66" i="15"/>
  <c r="N65" i="15"/>
  <c r="N64" i="15"/>
  <c r="N63" i="15"/>
  <c r="N62" i="15"/>
  <c r="N61" i="15"/>
  <c r="N60" i="15"/>
  <c r="N59" i="15"/>
  <c r="N58" i="15"/>
  <c r="N57" i="15"/>
  <c r="N56" i="15"/>
  <c r="N55" i="15"/>
  <c r="N54" i="15"/>
  <c r="N53" i="15"/>
  <c r="N52" i="15"/>
  <c r="N51" i="15"/>
  <c r="N50" i="15"/>
  <c r="N49" i="15"/>
  <c r="N48" i="15"/>
  <c r="N47" i="15"/>
  <c r="N46" i="15"/>
  <c r="N45" i="15"/>
  <c r="N44" i="15"/>
  <c r="N43" i="15"/>
  <c r="N42" i="15"/>
  <c r="N41"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34" i="15"/>
  <c r="O33" i="15"/>
  <c r="O32" i="15"/>
  <c r="O31" i="15"/>
  <c r="O30" i="15"/>
  <c r="O29" i="15"/>
  <c r="O28" i="15"/>
  <c r="O27" i="15"/>
  <c r="O26" i="15"/>
  <c r="O25" i="15"/>
  <c r="O24" i="15"/>
  <c r="O23" i="15"/>
  <c r="O22" i="15"/>
  <c r="O21" i="15"/>
  <c r="O20" i="15"/>
  <c r="N34" i="15"/>
  <c r="N33" i="15"/>
  <c r="N32" i="15"/>
  <c r="N31" i="15"/>
  <c r="N30" i="15"/>
  <c r="N29" i="15"/>
  <c r="N28" i="15"/>
  <c r="N27" i="15"/>
  <c r="N26" i="15"/>
  <c r="N25" i="15"/>
  <c r="N24" i="15"/>
  <c r="N23" i="15"/>
  <c r="N22" i="15"/>
  <c r="N21" i="15"/>
  <c r="N20" i="15"/>
  <c r="M34" i="15"/>
  <c r="M22" i="15"/>
  <c r="M23" i="15"/>
  <c r="M24" i="15"/>
  <c r="M25" i="15"/>
  <c r="M26" i="15"/>
  <c r="M27" i="15"/>
  <c r="M28" i="15"/>
  <c r="M29" i="15"/>
  <c r="M30" i="15"/>
  <c r="M31" i="15"/>
  <c r="M32" i="15"/>
  <c r="M33" i="15"/>
  <c r="M21" i="15"/>
  <c r="M20" i="15"/>
  <c r="L34" i="15"/>
  <c r="L22" i="15"/>
  <c r="L23" i="15"/>
  <c r="L24" i="15"/>
  <c r="L25" i="15"/>
  <c r="L26" i="15"/>
  <c r="L27" i="15"/>
  <c r="L28" i="15"/>
  <c r="L29" i="15"/>
  <c r="L30" i="15"/>
  <c r="L31" i="15"/>
  <c r="L32" i="15"/>
  <c r="L33" i="15"/>
  <c r="L21" i="15"/>
  <c r="L20" i="15"/>
  <c r="J34" i="15"/>
  <c r="J22" i="15"/>
  <c r="J23" i="15"/>
  <c r="J24" i="15"/>
  <c r="J25" i="15"/>
  <c r="J26" i="15"/>
  <c r="J27" i="15"/>
  <c r="J28" i="15"/>
  <c r="J29" i="15"/>
  <c r="J30" i="15"/>
  <c r="J31" i="15"/>
  <c r="J32" i="15"/>
  <c r="J33" i="15"/>
  <c r="J21" i="15"/>
  <c r="J20" i="15"/>
  <c r="I34" i="15"/>
  <c r="I22" i="15"/>
  <c r="I23" i="15"/>
  <c r="I24" i="15"/>
  <c r="I25" i="15"/>
  <c r="I26" i="15"/>
  <c r="I27" i="15"/>
  <c r="I28" i="15"/>
  <c r="I29" i="15"/>
  <c r="I30" i="15"/>
  <c r="I31" i="15"/>
  <c r="I32" i="15"/>
  <c r="I33" i="15"/>
  <c r="I21" i="15"/>
  <c r="I20" i="15"/>
  <c r="H34" i="15"/>
  <c r="H24" i="15"/>
  <c r="H25" i="15"/>
  <c r="H26" i="15"/>
  <c r="H27" i="15"/>
  <c r="H28" i="15"/>
  <c r="H29" i="15"/>
  <c r="H30" i="15"/>
  <c r="H31" i="15"/>
  <c r="H32" i="15"/>
  <c r="H33" i="15"/>
  <c r="H23" i="15"/>
  <c r="H22" i="15"/>
  <c r="H21" i="15"/>
  <c r="AN3508" i="16" l="1"/>
  <c r="AM3508" i="16"/>
  <c r="AL3508" i="16"/>
  <c r="AK3508" i="16"/>
  <c r="AJ3508" i="16"/>
  <c r="AI3508" i="16"/>
  <c r="AF3508" i="16"/>
  <c r="AN3507" i="16"/>
  <c r="AM3507" i="16"/>
  <c r="AL3507" i="16"/>
  <c r="AK3507" i="16"/>
  <c r="AJ3507" i="16"/>
  <c r="AI3507" i="16"/>
  <c r="AF3507" i="16"/>
  <c r="AN3506" i="16"/>
  <c r="AM3506" i="16"/>
  <c r="AL3506" i="16"/>
  <c r="AK3506" i="16"/>
  <c r="AJ3506" i="16"/>
  <c r="AI3506" i="16"/>
  <c r="AF3506" i="16"/>
  <c r="AN3505" i="16"/>
  <c r="AM3505" i="16"/>
  <c r="AL3505" i="16"/>
  <c r="AK3505" i="16"/>
  <c r="AJ3505" i="16"/>
  <c r="AI3505" i="16"/>
  <c r="AF3505" i="16"/>
  <c r="AN3504" i="16"/>
  <c r="AM3504" i="16"/>
  <c r="AL3504" i="16"/>
  <c r="AK3504" i="16"/>
  <c r="AJ3504" i="16"/>
  <c r="AI3504" i="16"/>
  <c r="AF3504" i="16"/>
  <c r="AN3503" i="16"/>
  <c r="AM3503" i="16"/>
  <c r="AL3503" i="16"/>
  <c r="AK3503" i="16"/>
  <c r="AJ3503" i="16"/>
  <c r="AI3503" i="16"/>
  <c r="AF3503" i="16"/>
  <c r="AN3502" i="16"/>
  <c r="AM3502" i="16"/>
  <c r="AL3502" i="16"/>
  <c r="AK3502" i="16"/>
  <c r="AJ3502" i="16"/>
  <c r="AI3502" i="16"/>
  <c r="AF3502" i="16"/>
  <c r="AN3501" i="16"/>
  <c r="AM3501" i="16"/>
  <c r="AL3501" i="16"/>
  <c r="AK3501" i="16"/>
  <c r="AJ3501" i="16"/>
  <c r="AI3501" i="16"/>
  <c r="AF3501" i="16"/>
  <c r="AN3500" i="16"/>
  <c r="AM3500" i="16"/>
  <c r="AL3500" i="16"/>
  <c r="AK3500" i="16"/>
  <c r="AJ3500" i="16"/>
  <c r="AI3500" i="16"/>
  <c r="AF3500" i="16"/>
  <c r="AN3499" i="16"/>
  <c r="AM3499" i="16"/>
  <c r="AL3499" i="16"/>
  <c r="AK3499" i="16"/>
  <c r="AJ3499" i="16"/>
  <c r="AI3499" i="16"/>
  <c r="AF3499" i="16"/>
  <c r="AN3498" i="16"/>
  <c r="AM3498" i="16"/>
  <c r="AL3498" i="16"/>
  <c r="AK3498" i="16"/>
  <c r="AJ3498" i="16"/>
  <c r="AI3498" i="16"/>
  <c r="AF3498" i="16"/>
  <c r="AN3497" i="16"/>
  <c r="AM3497" i="16"/>
  <c r="AL3497" i="16"/>
  <c r="AK3497" i="16"/>
  <c r="AJ3497" i="16"/>
  <c r="AI3497" i="16"/>
  <c r="AF3497" i="16"/>
  <c r="AN3496" i="16"/>
  <c r="AM3496" i="16"/>
  <c r="AL3496" i="16"/>
  <c r="AK3496" i="16"/>
  <c r="AJ3496" i="16"/>
  <c r="AI3496" i="16"/>
  <c r="AF3496" i="16"/>
  <c r="AN3495" i="16"/>
  <c r="AM3495" i="16"/>
  <c r="AL3495" i="16"/>
  <c r="AK3495" i="16"/>
  <c r="AJ3495" i="16"/>
  <c r="AI3495" i="16"/>
  <c r="AF3495" i="16"/>
  <c r="AN3494" i="16"/>
  <c r="AM3494" i="16"/>
  <c r="AL3494" i="16"/>
  <c r="AK3494" i="16"/>
  <c r="AJ3494" i="16"/>
  <c r="AI3494" i="16"/>
  <c r="AF3494" i="16"/>
  <c r="AN3493" i="16"/>
  <c r="AM3493" i="16"/>
  <c r="AL3493" i="16"/>
  <c r="AK3493" i="16"/>
  <c r="AJ3493" i="16"/>
  <c r="AI3493" i="16"/>
  <c r="AF3493" i="16"/>
  <c r="AN3492" i="16"/>
  <c r="AM3492" i="16"/>
  <c r="AL3492" i="16"/>
  <c r="AK3492" i="16"/>
  <c r="AJ3492" i="16"/>
  <c r="AI3492" i="16"/>
  <c r="AF3492" i="16"/>
  <c r="AN3491" i="16"/>
  <c r="AM3491" i="16"/>
  <c r="AL3491" i="16"/>
  <c r="AK3491" i="16"/>
  <c r="AJ3491" i="16"/>
  <c r="AI3491" i="16"/>
  <c r="AF3491" i="16"/>
  <c r="AN3490" i="16"/>
  <c r="AM3490" i="16"/>
  <c r="AL3490" i="16"/>
  <c r="AK3490" i="16"/>
  <c r="AJ3490" i="16"/>
  <c r="AI3490" i="16"/>
  <c r="AF3490" i="16"/>
  <c r="AN3489" i="16"/>
  <c r="AM3489" i="16"/>
  <c r="AL3489" i="16"/>
  <c r="AK3489" i="16"/>
  <c r="AJ3489" i="16"/>
  <c r="AI3489" i="16"/>
  <c r="AF3489" i="16"/>
  <c r="AN3488" i="16"/>
  <c r="AM3488" i="16"/>
  <c r="AL3488" i="16"/>
  <c r="AK3488" i="16"/>
  <c r="AJ3488" i="16"/>
  <c r="AI3488" i="16"/>
  <c r="AF3488" i="16"/>
  <c r="AN3487" i="16"/>
  <c r="AM3487" i="16"/>
  <c r="AL3487" i="16"/>
  <c r="AK3487" i="16"/>
  <c r="AJ3487" i="16"/>
  <c r="AI3487" i="16"/>
  <c r="AF3487" i="16"/>
  <c r="AN3486" i="16"/>
  <c r="AM3486" i="16"/>
  <c r="AL3486" i="16"/>
  <c r="AK3486" i="16"/>
  <c r="AJ3486" i="16"/>
  <c r="AI3486" i="16"/>
  <c r="AF3486" i="16"/>
  <c r="AN3485" i="16"/>
  <c r="AM3485" i="16"/>
  <c r="AL3485" i="16"/>
  <c r="AK3485" i="16"/>
  <c r="AJ3485" i="16"/>
  <c r="AI3485" i="16"/>
  <c r="AF3485" i="16"/>
  <c r="AN3484" i="16"/>
  <c r="AM3484" i="16"/>
  <c r="AL3484" i="16"/>
  <c r="AK3484" i="16"/>
  <c r="AJ3484" i="16"/>
  <c r="AI3484" i="16"/>
  <c r="AF3484" i="16"/>
  <c r="AN3483" i="16"/>
  <c r="AM3483" i="16"/>
  <c r="AL3483" i="16"/>
  <c r="AK3483" i="16"/>
  <c r="AJ3483" i="16"/>
  <c r="AI3483" i="16"/>
  <c r="AF3483" i="16"/>
  <c r="AN3482" i="16"/>
  <c r="AM3482" i="16"/>
  <c r="AL3482" i="16"/>
  <c r="AK3482" i="16"/>
  <c r="AJ3482" i="16"/>
  <c r="AI3482" i="16"/>
  <c r="AF3482" i="16"/>
  <c r="AN3481" i="16"/>
  <c r="AM3481" i="16"/>
  <c r="AL3481" i="16"/>
  <c r="AK3481" i="16"/>
  <c r="AJ3481" i="16"/>
  <c r="AI3481" i="16"/>
  <c r="AF3481" i="16"/>
  <c r="AN3480" i="16"/>
  <c r="AM3480" i="16"/>
  <c r="AL3480" i="16"/>
  <c r="AK3480" i="16"/>
  <c r="AJ3480" i="16"/>
  <c r="AI3480" i="16"/>
  <c r="AF3480" i="16"/>
  <c r="AN3479" i="16"/>
  <c r="AM3479" i="16"/>
  <c r="AL3479" i="16"/>
  <c r="AK3479" i="16"/>
  <c r="AJ3479" i="16"/>
  <c r="AI3479" i="16"/>
  <c r="AF3479" i="16"/>
  <c r="AN3478" i="16"/>
  <c r="AM3478" i="16"/>
  <c r="AL3478" i="16"/>
  <c r="AK3478" i="16"/>
  <c r="AJ3478" i="16"/>
  <c r="AI3478" i="16"/>
  <c r="AF3478" i="16"/>
  <c r="AN3477" i="16"/>
  <c r="AM3477" i="16"/>
  <c r="AL3477" i="16"/>
  <c r="AK3477" i="16"/>
  <c r="AJ3477" i="16"/>
  <c r="AI3477" i="16"/>
  <c r="AF3477" i="16"/>
  <c r="AN3476" i="16"/>
  <c r="AM3476" i="16"/>
  <c r="AL3476" i="16"/>
  <c r="AK3476" i="16"/>
  <c r="AJ3476" i="16"/>
  <c r="AI3476" i="16"/>
  <c r="AF3476" i="16"/>
  <c r="AN3475" i="16"/>
  <c r="AM3475" i="16"/>
  <c r="AL3475" i="16"/>
  <c r="AK3475" i="16"/>
  <c r="AJ3475" i="16"/>
  <c r="AI3475" i="16"/>
  <c r="AF3475" i="16"/>
  <c r="AN3474" i="16"/>
  <c r="AM3474" i="16"/>
  <c r="AL3474" i="16"/>
  <c r="AK3474" i="16"/>
  <c r="AJ3474" i="16"/>
  <c r="AI3474" i="16"/>
  <c r="AF3474" i="16"/>
  <c r="AN3473" i="16"/>
  <c r="AM3473" i="16"/>
  <c r="AL3473" i="16"/>
  <c r="AK3473" i="16"/>
  <c r="AJ3473" i="16"/>
  <c r="AI3473" i="16"/>
  <c r="AF3473" i="16"/>
  <c r="AN3472" i="16"/>
  <c r="AM3472" i="16"/>
  <c r="AL3472" i="16"/>
  <c r="AK3472" i="16"/>
  <c r="AJ3472" i="16"/>
  <c r="AI3472" i="16"/>
  <c r="AF3472" i="16"/>
  <c r="AN3471" i="16"/>
  <c r="AM3471" i="16"/>
  <c r="AL3471" i="16"/>
  <c r="AK3471" i="16"/>
  <c r="AJ3471" i="16"/>
  <c r="AI3471" i="16"/>
  <c r="AF3471" i="16"/>
  <c r="AN3470" i="16"/>
  <c r="AM3470" i="16"/>
  <c r="AL3470" i="16"/>
  <c r="AK3470" i="16"/>
  <c r="AJ3470" i="16"/>
  <c r="AI3470" i="16"/>
  <c r="AF3470" i="16"/>
  <c r="AN3469" i="16"/>
  <c r="AM3469" i="16"/>
  <c r="AL3469" i="16"/>
  <c r="AK3469" i="16"/>
  <c r="AJ3469" i="16"/>
  <c r="AI3469" i="16"/>
  <c r="AF3469" i="16"/>
  <c r="AN3468" i="16"/>
  <c r="AM3468" i="16"/>
  <c r="AL3468" i="16"/>
  <c r="AK3468" i="16"/>
  <c r="AJ3468" i="16"/>
  <c r="AI3468" i="16"/>
  <c r="AF3468" i="16"/>
  <c r="AN3467" i="16"/>
  <c r="AM3467" i="16"/>
  <c r="AL3467" i="16"/>
  <c r="AK3467" i="16"/>
  <c r="AJ3467" i="16"/>
  <c r="AI3467" i="16"/>
  <c r="AF3467" i="16"/>
  <c r="AN3466" i="16"/>
  <c r="AM3466" i="16"/>
  <c r="AL3466" i="16"/>
  <c r="AK3466" i="16"/>
  <c r="AJ3466" i="16"/>
  <c r="AI3466" i="16"/>
  <c r="AF3466" i="16"/>
  <c r="AN3465" i="16"/>
  <c r="AM3465" i="16"/>
  <c r="AL3465" i="16"/>
  <c r="AK3465" i="16"/>
  <c r="AJ3465" i="16"/>
  <c r="AI3465" i="16"/>
  <c r="AF3465" i="16"/>
  <c r="AN3464" i="16"/>
  <c r="AM3464" i="16"/>
  <c r="AL3464" i="16"/>
  <c r="AK3464" i="16"/>
  <c r="AJ3464" i="16"/>
  <c r="AI3464" i="16"/>
  <c r="AF3464" i="16"/>
  <c r="AN3463" i="16"/>
  <c r="AM3463" i="16"/>
  <c r="AL3463" i="16"/>
  <c r="AK3463" i="16"/>
  <c r="AJ3463" i="16"/>
  <c r="AI3463" i="16"/>
  <c r="AF3463" i="16"/>
  <c r="AN3462" i="16"/>
  <c r="AM3462" i="16"/>
  <c r="AL3462" i="16"/>
  <c r="AK3462" i="16"/>
  <c r="AJ3462" i="16"/>
  <c r="AI3462" i="16"/>
  <c r="AF3462" i="16"/>
  <c r="AN3461" i="16"/>
  <c r="AM3461" i="16"/>
  <c r="AL3461" i="16"/>
  <c r="AK3461" i="16"/>
  <c r="AJ3461" i="16"/>
  <c r="AI3461" i="16"/>
  <c r="AF3461" i="16"/>
  <c r="AN3460" i="16"/>
  <c r="AM3460" i="16"/>
  <c r="AL3460" i="16"/>
  <c r="AK3460" i="16"/>
  <c r="AJ3460" i="16"/>
  <c r="AI3460" i="16"/>
  <c r="AF3460" i="16"/>
  <c r="AN3459" i="16"/>
  <c r="AM3459" i="16"/>
  <c r="AL3459" i="16"/>
  <c r="AK3459" i="16"/>
  <c r="AJ3459" i="16"/>
  <c r="AI3459" i="16"/>
  <c r="AF3459" i="16"/>
  <c r="AN3458" i="16"/>
  <c r="AM3458" i="16"/>
  <c r="AL3458" i="16"/>
  <c r="AK3458" i="16"/>
  <c r="AJ3458" i="16"/>
  <c r="AI3458" i="16"/>
  <c r="AF3458" i="16"/>
  <c r="AN3457" i="16"/>
  <c r="AM3457" i="16"/>
  <c r="AL3457" i="16"/>
  <c r="AK3457" i="16"/>
  <c r="AJ3457" i="16"/>
  <c r="AI3457" i="16"/>
  <c r="AF3457" i="16"/>
  <c r="AN3456" i="16"/>
  <c r="AM3456" i="16"/>
  <c r="AL3456" i="16"/>
  <c r="AK3456" i="16"/>
  <c r="AJ3456" i="16"/>
  <c r="AI3456" i="16"/>
  <c r="AF3456" i="16"/>
  <c r="AN3455" i="16"/>
  <c r="AM3455" i="16"/>
  <c r="AL3455" i="16"/>
  <c r="AK3455" i="16"/>
  <c r="AJ3455" i="16"/>
  <c r="AI3455" i="16"/>
  <c r="AF3455" i="16"/>
  <c r="AN3454" i="16"/>
  <c r="AM3454" i="16"/>
  <c r="AL3454" i="16"/>
  <c r="AK3454" i="16"/>
  <c r="AJ3454" i="16"/>
  <c r="AI3454" i="16"/>
  <c r="AF3454" i="16"/>
  <c r="AN3453" i="16"/>
  <c r="AM3453" i="16"/>
  <c r="AL3453" i="16"/>
  <c r="AK3453" i="16"/>
  <c r="AJ3453" i="16"/>
  <c r="AI3453" i="16"/>
  <c r="AF3453" i="16"/>
  <c r="AN3452" i="16"/>
  <c r="AM3452" i="16"/>
  <c r="AL3452" i="16"/>
  <c r="AK3452" i="16"/>
  <c r="AJ3452" i="16"/>
  <c r="AI3452" i="16"/>
  <c r="AF3452" i="16"/>
  <c r="AN3451" i="16"/>
  <c r="AM3451" i="16"/>
  <c r="AL3451" i="16"/>
  <c r="AK3451" i="16"/>
  <c r="AJ3451" i="16"/>
  <c r="AI3451" i="16"/>
  <c r="AF3451" i="16"/>
  <c r="AN3450" i="16"/>
  <c r="AM3450" i="16"/>
  <c r="AL3450" i="16"/>
  <c r="AK3450" i="16"/>
  <c r="AJ3450" i="16"/>
  <c r="AI3450" i="16"/>
  <c r="AF3450" i="16"/>
  <c r="AN3449" i="16"/>
  <c r="AM3449" i="16"/>
  <c r="AL3449" i="16"/>
  <c r="AK3449" i="16"/>
  <c r="AJ3449" i="16"/>
  <c r="AI3449" i="16"/>
  <c r="AF3449" i="16"/>
  <c r="AN3448" i="16"/>
  <c r="AM3448" i="16"/>
  <c r="AL3448" i="16"/>
  <c r="AK3448" i="16"/>
  <c r="AJ3448" i="16"/>
  <c r="AI3448" i="16"/>
  <c r="AF3448" i="16"/>
  <c r="AN3447" i="16"/>
  <c r="AM3447" i="16"/>
  <c r="AL3447" i="16"/>
  <c r="AK3447" i="16"/>
  <c r="AJ3447" i="16"/>
  <c r="AI3447" i="16"/>
  <c r="AF3447" i="16"/>
  <c r="AN3446" i="16"/>
  <c r="AM3446" i="16"/>
  <c r="AL3446" i="16"/>
  <c r="AK3446" i="16"/>
  <c r="AJ3446" i="16"/>
  <c r="AI3446" i="16"/>
  <c r="AF3446" i="16"/>
  <c r="AN3445" i="16"/>
  <c r="AM3445" i="16"/>
  <c r="AL3445" i="16"/>
  <c r="AK3445" i="16"/>
  <c r="AJ3445" i="16"/>
  <c r="AI3445" i="16"/>
  <c r="AF3445" i="16"/>
  <c r="AN3444" i="16"/>
  <c r="AM3444" i="16"/>
  <c r="AL3444" i="16"/>
  <c r="AK3444" i="16"/>
  <c r="AJ3444" i="16"/>
  <c r="AI3444" i="16"/>
  <c r="AF3444" i="16"/>
  <c r="AN3443" i="16"/>
  <c r="AM3443" i="16"/>
  <c r="AL3443" i="16"/>
  <c r="AK3443" i="16"/>
  <c r="AJ3443" i="16"/>
  <c r="AI3443" i="16"/>
  <c r="AF3443" i="16"/>
  <c r="AN3442" i="16"/>
  <c r="AM3442" i="16"/>
  <c r="AL3442" i="16"/>
  <c r="AK3442" i="16"/>
  <c r="AJ3442" i="16"/>
  <c r="AI3442" i="16"/>
  <c r="AF3442" i="16"/>
  <c r="AN3441" i="16"/>
  <c r="AM3441" i="16"/>
  <c r="AL3441" i="16"/>
  <c r="AK3441" i="16"/>
  <c r="AJ3441" i="16"/>
  <c r="AI3441" i="16"/>
  <c r="AF3441" i="16"/>
  <c r="AN3440" i="16"/>
  <c r="AM3440" i="16"/>
  <c r="AL3440" i="16"/>
  <c r="AK3440" i="16"/>
  <c r="AJ3440" i="16"/>
  <c r="AI3440" i="16"/>
  <c r="AF3440" i="16"/>
  <c r="AN3439" i="16"/>
  <c r="AM3439" i="16"/>
  <c r="AL3439" i="16"/>
  <c r="AK3439" i="16"/>
  <c r="AJ3439" i="16"/>
  <c r="AI3439" i="16"/>
  <c r="AF3439" i="16"/>
  <c r="AN3438" i="16"/>
  <c r="AM3438" i="16"/>
  <c r="AL3438" i="16"/>
  <c r="AK3438" i="16"/>
  <c r="AJ3438" i="16"/>
  <c r="AI3438" i="16"/>
  <c r="AF3438" i="16"/>
  <c r="AN3437" i="16"/>
  <c r="AM3437" i="16"/>
  <c r="AL3437" i="16"/>
  <c r="AK3437" i="16"/>
  <c r="AJ3437" i="16"/>
  <c r="AI3437" i="16"/>
  <c r="AF3437" i="16"/>
  <c r="AN3436" i="16"/>
  <c r="AM3436" i="16"/>
  <c r="AL3436" i="16"/>
  <c r="AK3436" i="16"/>
  <c r="AJ3436" i="16"/>
  <c r="AI3436" i="16"/>
  <c r="AF3436" i="16"/>
  <c r="AN3435" i="16"/>
  <c r="AM3435" i="16"/>
  <c r="AL3435" i="16"/>
  <c r="AK3435" i="16"/>
  <c r="AJ3435" i="16"/>
  <c r="AI3435" i="16"/>
  <c r="AF3435" i="16"/>
  <c r="AN3434" i="16"/>
  <c r="AM3434" i="16"/>
  <c r="AL3434" i="16"/>
  <c r="AK3434" i="16"/>
  <c r="AJ3434" i="16"/>
  <c r="AI3434" i="16"/>
  <c r="AF3434" i="16"/>
  <c r="AN3433" i="16"/>
  <c r="AM3433" i="16"/>
  <c r="AL3433" i="16"/>
  <c r="AK3433" i="16"/>
  <c r="AJ3433" i="16"/>
  <c r="AI3433" i="16"/>
  <c r="AF3433" i="16"/>
  <c r="AN3432" i="16"/>
  <c r="AM3432" i="16"/>
  <c r="AL3432" i="16"/>
  <c r="AK3432" i="16"/>
  <c r="AJ3432" i="16"/>
  <c r="AI3432" i="16"/>
  <c r="AF3432" i="16"/>
  <c r="AN3431" i="16"/>
  <c r="AM3431" i="16"/>
  <c r="AL3431" i="16"/>
  <c r="AK3431" i="16"/>
  <c r="AJ3431" i="16"/>
  <c r="AI3431" i="16"/>
  <c r="AF3431" i="16"/>
  <c r="AN3430" i="16"/>
  <c r="AM3430" i="16"/>
  <c r="AL3430" i="16"/>
  <c r="AK3430" i="16"/>
  <c r="AJ3430" i="16"/>
  <c r="AI3430" i="16"/>
  <c r="AF3430" i="16"/>
  <c r="AN3429" i="16"/>
  <c r="AM3429" i="16"/>
  <c r="AL3429" i="16"/>
  <c r="AK3429" i="16"/>
  <c r="AJ3429" i="16"/>
  <c r="AI3429" i="16"/>
  <c r="AF3429" i="16"/>
  <c r="AN3428" i="16"/>
  <c r="AM3428" i="16"/>
  <c r="AL3428" i="16"/>
  <c r="AK3428" i="16"/>
  <c r="AJ3428" i="16"/>
  <c r="AI3428" i="16"/>
  <c r="AF3428" i="16"/>
  <c r="AN3427" i="16"/>
  <c r="AM3427" i="16"/>
  <c r="AL3427" i="16"/>
  <c r="AK3427" i="16"/>
  <c r="AJ3427" i="16"/>
  <c r="AI3427" i="16"/>
  <c r="AF3427" i="16"/>
  <c r="AN3426" i="16"/>
  <c r="AM3426" i="16"/>
  <c r="AL3426" i="16"/>
  <c r="AK3426" i="16"/>
  <c r="AJ3426" i="16"/>
  <c r="AI3426" i="16"/>
  <c r="AF3426" i="16"/>
  <c r="AN3425" i="16"/>
  <c r="AM3425" i="16"/>
  <c r="AL3425" i="16"/>
  <c r="AK3425" i="16"/>
  <c r="AJ3425" i="16"/>
  <c r="AI3425" i="16"/>
  <c r="AF3425" i="16"/>
  <c r="AN3424" i="16"/>
  <c r="AM3424" i="16"/>
  <c r="AL3424" i="16"/>
  <c r="AK3424" i="16"/>
  <c r="AJ3424" i="16"/>
  <c r="AI3424" i="16"/>
  <c r="AF3424" i="16"/>
  <c r="AN3423" i="16"/>
  <c r="AM3423" i="16"/>
  <c r="AL3423" i="16"/>
  <c r="AK3423" i="16"/>
  <c r="AJ3423" i="16"/>
  <c r="AI3423" i="16"/>
  <c r="AF3423" i="16"/>
  <c r="AN3422" i="16"/>
  <c r="AM3422" i="16"/>
  <c r="AL3422" i="16"/>
  <c r="AK3422" i="16"/>
  <c r="AJ3422" i="16"/>
  <c r="AI3422" i="16"/>
  <c r="AF3422" i="16"/>
  <c r="AN3421" i="16"/>
  <c r="AM3421" i="16"/>
  <c r="AL3421" i="16"/>
  <c r="AK3421" i="16"/>
  <c r="AJ3421" i="16"/>
  <c r="AI3421" i="16"/>
  <c r="AF3421" i="16"/>
  <c r="AN3420" i="16"/>
  <c r="AM3420" i="16"/>
  <c r="AL3420" i="16"/>
  <c r="AK3420" i="16"/>
  <c r="AJ3420" i="16"/>
  <c r="AI3420" i="16"/>
  <c r="AF3420" i="16"/>
  <c r="AN3419" i="16"/>
  <c r="AM3419" i="16"/>
  <c r="AL3419" i="16"/>
  <c r="AK3419" i="16"/>
  <c r="AJ3419" i="16"/>
  <c r="AI3419" i="16"/>
  <c r="AF3419" i="16"/>
  <c r="AN3418" i="16"/>
  <c r="AM3418" i="16"/>
  <c r="AL3418" i="16"/>
  <c r="AK3418" i="16"/>
  <c r="AJ3418" i="16"/>
  <c r="AI3418" i="16"/>
  <c r="AF3418" i="16"/>
  <c r="AN3417" i="16"/>
  <c r="AM3417" i="16"/>
  <c r="AL3417" i="16"/>
  <c r="AK3417" i="16"/>
  <c r="AJ3417" i="16"/>
  <c r="AI3417" i="16"/>
  <c r="AF3417" i="16"/>
  <c r="AN3416" i="16"/>
  <c r="AM3416" i="16"/>
  <c r="AL3416" i="16"/>
  <c r="AK3416" i="16"/>
  <c r="AJ3416" i="16"/>
  <c r="AI3416" i="16"/>
  <c r="AF3416" i="16"/>
  <c r="AN3415" i="16"/>
  <c r="AM3415" i="16"/>
  <c r="AL3415" i="16"/>
  <c r="AK3415" i="16"/>
  <c r="AJ3415" i="16"/>
  <c r="AI3415" i="16"/>
  <c r="AF3415" i="16"/>
  <c r="AN3414" i="16"/>
  <c r="AM3414" i="16"/>
  <c r="AL3414" i="16"/>
  <c r="AK3414" i="16"/>
  <c r="AJ3414" i="16"/>
  <c r="AI3414" i="16"/>
  <c r="AF3414" i="16"/>
  <c r="AN3413" i="16"/>
  <c r="AM3413" i="16"/>
  <c r="AL3413" i="16"/>
  <c r="AK3413" i="16"/>
  <c r="AJ3413" i="16"/>
  <c r="AI3413" i="16"/>
  <c r="AF3413" i="16"/>
  <c r="AN3412" i="16"/>
  <c r="AM3412" i="16"/>
  <c r="AL3412" i="16"/>
  <c r="AK3412" i="16"/>
  <c r="AJ3412" i="16"/>
  <c r="AI3412" i="16"/>
  <c r="AF3412" i="16"/>
  <c r="AN3411" i="16"/>
  <c r="AM3411" i="16"/>
  <c r="AL3411" i="16"/>
  <c r="AK3411" i="16"/>
  <c r="AJ3411" i="16"/>
  <c r="AI3411" i="16"/>
  <c r="AF3411" i="16"/>
  <c r="AN3410" i="16"/>
  <c r="AM3410" i="16"/>
  <c r="AL3410" i="16"/>
  <c r="AK3410" i="16"/>
  <c r="AJ3410" i="16"/>
  <c r="AI3410" i="16"/>
  <c r="AF3410" i="16"/>
  <c r="AN3409" i="16"/>
  <c r="AM3409" i="16"/>
  <c r="AL3409" i="16"/>
  <c r="AK3409" i="16"/>
  <c r="AJ3409" i="16"/>
  <c r="AI3409" i="16"/>
  <c r="AF3409" i="16"/>
  <c r="AN3408" i="16"/>
  <c r="AM3408" i="16"/>
  <c r="AL3408" i="16"/>
  <c r="AK3408" i="16"/>
  <c r="AJ3408" i="16"/>
  <c r="AI3408" i="16"/>
  <c r="AF3408" i="16"/>
  <c r="AN3407" i="16"/>
  <c r="AM3407" i="16"/>
  <c r="AL3407" i="16"/>
  <c r="AK3407" i="16"/>
  <c r="AJ3407" i="16"/>
  <c r="AI3407" i="16"/>
  <c r="AF3407" i="16"/>
  <c r="AN3406" i="16"/>
  <c r="AM3406" i="16"/>
  <c r="AL3406" i="16"/>
  <c r="AK3406" i="16"/>
  <c r="AJ3406" i="16"/>
  <c r="AI3406" i="16"/>
  <c r="AF3406" i="16"/>
  <c r="AN3405" i="16"/>
  <c r="AM3405" i="16"/>
  <c r="AL3405" i="16"/>
  <c r="AK3405" i="16"/>
  <c r="AJ3405" i="16"/>
  <c r="AI3405" i="16"/>
  <c r="AF3405" i="16"/>
  <c r="AN3404" i="16"/>
  <c r="AM3404" i="16"/>
  <c r="AL3404" i="16"/>
  <c r="AK3404" i="16"/>
  <c r="AJ3404" i="16"/>
  <c r="AI3404" i="16"/>
  <c r="AF3404" i="16"/>
  <c r="AN3403" i="16"/>
  <c r="AM3403" i="16"/>
  <c r="AL3403" i="16"/>
  <c r="AK3403" i="16"/>
  <c r="AJ3403" i="16"/>
  <c r="AI3403" i="16"/>
  <c r="AF3403" i="16"/>
  <c r="AN3402" i="16"/>
  <c r="AM3402" i="16"/>
  <c r="AL3402" i="16"/>
  <c r="AK3402" i="16"/>
  <c r="AJ3402" i="16"/>
  <c r="AI3402" i="16"/>
  <c r="AF3402" i="16"/>
  <c r="AN3401" i="16"/>
  <c r="AM3401" i="16"/>
  <c r="AL3401" i="16"/>
  <c r="AK3401" i="16"/>
  <c r="AJ3401" i="16"/>
  <c r="AI3401" i="16"/>
  <c r="AF3401" i="16"/>
  <c r="AN3400" i="16"/>
  <c r="AM3400" i="16"/>
  <c r="AL3400" i="16"/>
  <c r="AK3400" i="16"/>
  <c r="AJ3400" i="16"/>
  <c r="AI3400" i="16"/>
  <c r="AF3400" i="16"/>
  <c r="AN3399" i="16"/>
  <c r="AM3399" i="16"/>
  <c r="AL3399" i="16"/>
  <c r="AK3399" i="16"/>
  <c r="AJ3399" i="16"/>
  <c r="AI3399" i="16"/>
  <c r="AF3399" i="16"/>
  <c r="AN3398" i="16"/>
  <c r="AM3398" i="16"/>
  <c r="AL3398" i="16"/>
  <c r="AK3398" i="16"/>
  <c r="AJ3398" i="16"/>
  <c r="AI3398" i="16"/>
  <c r="AF3398" i="16"/>
  <c r="AN3397" i="16"/>
  <c r="AM3397" i="16"/>
  <c r="AL3397" i="16"/>
  <c r="AK3397" i="16"/>
  <c r="AJ3397" i="16"/>
  <c r="AI3397" i="16"/>
  <c r="AF3397" i="16"/>
  <c r="AN3396" i="16"/>
  <c r="AM3396" i="16"/>
  <c r="AL3396" i="16"/>
  <c r="AK3396" i="16"/>
  <c r="AJ3396" i="16"/>
  <c r="AI3396" i="16"/>
  <c r="AF3396" i="16"/>
  <c r="AN3395" i="16"/>
  <c r="AM3395" i="16"/>
  <c r="AL3395" i="16"/>
  <c r="AK3395" i="16"/>
  <c r="AJ3395" i="16"/>
  <c r="AI3395" i="16"/>
  <c r="AF3395" i="16"/>
  <c r="AN3394" i="16"/>
  <c r="AM3394" i="16"/>
  <c r="AL3394" i="16"/>
  <c r="AK3394" i="16"/>
  <c r="AJ3394" i="16"/>
  <c r="AI3394" i="16"/>
  <c r="AF3394" i="16"/>
  <c r="AN3393" i="16"/>
  <c r="AM3393" i="16"/>
  <c r="AL3393" i="16"/>
  <c r="AK3393" i="16"/>
  <c r="AJ3393" i="16"/>
  <c r="AI3393" i="16"/>
  <c r="AF3393" i="16"/>
  <c r="AN3392" i="16"/>
  <c r="AM3392" i="16"/>
  <c r="AL3392" i="16"/>
  <c r="AK3392" i="16"/>
  <c r="AJ3392" i="16"/>
  <c r="AI3392" i="16"/>
  <c r="AF3392" i="16"/>
  <c r="AN3391" i="16"/>
  <c r="AM3391" i="16"/>
  <c r="AL3391" i="16"/>
  <c r="AK3391" i="16"/>
  <c r="AJ3391" i="16"/>
  <c r="AI3391" i="16"/>
  <c r="AF3391" i="16"/>
  <c r="AN3390" i="16"/>
  <c r="AM3390" i="16"/>
  <c r="AL3390" i="16"/>
  <c r="AK3390" i="16"/>
  <c r="AJ3390" i="16"/>
  <c r="AI3390" i="16"/>
  <c r="AF3390" i="16"/>
  <c r="AN3389" i="16"/>
  <c r="AM3389" i="16"/>
  <c r="AL3389" i="16"/>
  <c r="AK3389" i="16"/>
  <c r="AJ3389" i="16"/>
  <c r="AI3389" i="16"/>
  <c r="AF3389" i="16"/>
  <c r="AN3388" i="16"/>
  <c r="AM3388" i="16"/>
  <c r="AL3388" i="16"/>
  <c r="AK3388" i="16"/>
  <c r="AJ3388" i="16"/>
  <c r="AI3388" i="16"/>
  <c r="AF3388" i="16"/>
  <c r="AN3387" i="16"/>
  <c r="AM3387" i="16"/>
  <c r="AL3387" i="16"/>
  <c r="AK3387" i="16"/>
  <c r="AJ3387" i="16"/>
  <c r="AI3387" i="16"/>
  <c r="AF3387" i="16"/>
  <c r="AN3386" i="16"/>
  <c r="AM3386" i="16"/>
  <c r="AL3386" i="16"/>
  <c r="AK3386" i="16"/>
  <c r="AJ3386" i="16"/>
  <c r="AI3386" i="16"/>
  <c r="AF3386" i="16"/>
  <c r="AN3385" i="16"/>
  <c r="AM3385" i="16"/>
  <c r="AL3385" i="16"/>
  <c r="AK3385" i="16"/>
  <c r="AJ3385" i="16"/>
  <c r="AI3385" i="16"/>
  <c r="AF3385" i="16"/>
  <c r="AN3384" i="16"/>
  <c r="AM3384" i="16"/>
  <c r="AL3384" i="16"/>
  <c r="AK3384" i="16"/>
  <c r="AJ3384" i="16"/>
  <c r="AI3384" i="16"/>
  <c r="AF3384" i="16"/>
  <c r="AN3383" i="16"/>
  <c r="AM3383" i="16"/>
  <c r="AL3383" i="16"/>
  <c r="AK3383" i="16"/>
  <c r="AJ3383" i="16"/>
  <c r="AI3383" i="16"/>
  <c r="AF3383" i="16"/>
  <c r="AN3382" i="16"/>
  <c r="AM3382" i="16"/>
  <c r="AL3382" i="16"/>
  <c r="AK3382" i="16"/>
  <c r="AJ3382" i="16"/>
  <c r="AI3382" i="16"/>
  <c r="AF3382" i="16"/>
  <c r="AN3381" i="16"/>
  <c r="AM3381" i="16"/>
  <c r="AL3381" i="16"/>
  <c r="AK3381" i="16"/>
  <c r="AJ3381" i="16"/>
  <c r="AI3381" i="16"/>
  <c r="AF3381" i="16"/>
  <c r="AN3380" i="16"/>
  <c r="AM3380" i="16"/>
  <c r="AL3380" i="16"/>
  <c r="AK3380" i="16"/>
  <c r="AJ3380" i="16"/>
  <c r="AI3380" i="16"/>
  <c r="AF3380" i="16"/>
  <c r="AN3379" i="16"/>
  <c r="AM3379" i="16"/>
  <c r="AL3379" i="16"/>
  <c r="AK3379" i="16"/>
  <c r="AJ3379" i="16"/>
  <c r="AI3379" i="16"/>
  <c r="AF3379" i="16"/>
  <c r="AN3378" i="16"/>
  <c r="AM3378" i="16"/>
  <c r="AL3378" i="16"/>
  <c r="AK3378" i="16"/>
  <c r="AJ3378" i="16"/>
  <c r="AI3378" i="16"/>
  <c r="AF3378" i="16"/>
  <c r="AN3377" i="16"/>
  <c r="AM3377" i="16"/>
  <c r="AL3377" i="16"/>
  <c r="AK3377" i="16"/>
  <c r="AJ3377" i="16"/>
  <c r="AI3377" i="16"/>
  <c r="AF3377" i="16"/>
  <c r="AN3376" i="16"/>
  <c r="AM3376" i="16"/>
  <c r="AL3376" i="16"/>
  <c r="AK3376" i="16"/>
  <c r="AJ3376" i="16"/>
  <c r="AI3376" i="16"/>
  <c r="AF3376" i="16"/>
  <c r="AN3375" i="16"/>
  <c r="AM3375" i="16"/>
  <c r="AL3375" i="16"/>
  <c r="AK3375" i="16"/>
  <c r="AJ3375" i="16"/>
  <c r="AI3375" i="16"/>
  <c r="AF3375" i="16"/>
  <c r="AN3374" i="16"/>
  <c r="AM3374" i="16"/>
  <c r="AL3374" i="16"/>
  <c r="AK3374" i="16"/>
  <c r="AJ3374" i="16"/>
  <c r="AI3374" i="16"/>
  <c r="AF3374" i="16"/>
  <c r="AN3373" i="16"/>
  <c r="AM3373" i="16"/>
  <c r="AL3373" i="16"/>
  <c r="AK3373" i="16"/>
  <c r="AJ3373" i="16"/>
  <c r="AI3373" i="16"/>
  <c r="AF3373" i="16"/>
  <c r="AN3372" i="16"/>
  <c r="AM3372" i="16"/>
  <c r="AL3372" i="16"/>
  <c r="AK3372" i="16"/>
  <c r="AJ3372" i="16"/>
  <c r="AI3372" i="16"/>
  <c r="AF3372" i="16"/>
  <c r="AN3371" i="16"/>
  <c r="AM3371" i="16"/>
  <c r="AL3371" i="16"/>
  <c r="AK3371" i="16"/>
  <c r="AJ3371" i="16"/>
  <c r="AI3371" i="16"/>
  <c r="AF3371" i="16"/>
  <c r="AN3370" i="16"/>
  <c r="AM3370" i="16"/>
  <c r="AL3370" i="16"/>
  <c r="AK3370" i="16"/>
  <c r="AJ3370" i="16"/>
  <c r="AI3370" i="16"/>
  <c r="AF3370" i="16"/>
  <c r="AN3369" i="16"/>
  <c r="AM3369" i="16"/>
  <c r="AL3369" i="16"/>
  <c r="AK3369" i="16"/>
  <c r="AJ3369" i="16"/>
  <c r="AI3369" i="16"/>
  <c r="AF3369" i="16"/>
  <c r="AN3368" i="16"/>
  <c r="AM3368" i="16"/>
  <c r="AL3368" i="16"/>
  <c r="AK3368" i="16"/>
  <c r="AJ3368" i="16"/>
  <c r="AI3368" i="16"/>
  <c r="AF3368" i="16"/>
  <c r="AN3367" i="16"/>
  <c r="AM3367" i="16"/>
  <c r="AL3367" i="16"/>
  <c r="AK3367" i="16"/>
  <c r="AJ3367" i="16"/>
  <c r="AI3367" i="16"/>
  <c r="AF3367" i="16"/>
  <c r="AN3366" i="16"/>
  <c r="AM3366" i="16"/>
  <c r="AL3366" i="16"/>
  <c r="AK3366" i="16"/>
  <c r="AJ3366" i="16"/>
  <c r="AI3366" i="16"/>
  <c r="AF3366" i="16"/>
  <c r="AN3365" i="16"/>
  <c r="AM3365" i="16"/>
  <c r="AL3365" i="16"/>
  <c r="AK3365" i="16"/>
  <c r="AJ3365" i="16"/>
  <c r="AI3365" i="16"/>
  <c r="AF3365" i="16"/>
  <c r="AN3364" i="16"/>
  <c r="AM3364" i="16"/>
  <c r="AL3364" i="16"/>
  <c r="AK3364" i="16"/>
  <c r="AJ3364" i="16"/>
  <c r="AI3364" i="16"/>
  <c r="AF3364" i="16"/>
  <c r="AN3363" i="16"/>
  <c r="AM3363" i="16"/>
  <c r="AL3363" i="16"/>
  <c r="AK3363" i="16"/>
  <c r="AJ3363" i="16"/>
  <c r="AI3363" i="16"/>
  <c r="AF3363" i="16"/>
  <c r="AN3362" i="16"/>
  <c r="AM3362" i="16"/>
  <c r="AL3362" i="16"/>
  <c r="AK3362" i="16"/>
  <c r="AJ3362" i="16"/>
  <c r="AI3362" i="16"/>
  <c r="AF3362" i="16"/>
  <c r="AN3361" i="16"/>
  <c r="AM3361" i="16"/>
  <c r="AL3361" i="16"/>
  <c r="AK3361" i="16"/>
  <c r="AJ3361" i="16"/>
  <c r="AI3361" i="16"/>
  <c r="AF3361" i="16"/>
  <c r="AN3360" i="16"/>
  <c r="AM3360" i="16"/>
  <c r="AL3360" i="16"/>
  <c r="AK3360" i="16"/>
  <c r="AJ3360" i="16"/>
  <c r="AI3360" i="16"/>
  <c r="AF3360" i="16"/>
  <c r="AN3359" i="16"/>
  <c r="AM3359" i="16"/>
  <c r="AL3359" i="16"/>
  <c r="AK3359" i="16"/>
  <c r="AJ3359" i="16"/>
  <c r="AI3359" i="16"/>
  <c r="AF3359" i="16"/>
  <c r="AN3358" i="16"/>
  <c r="AM3358" i="16"/>
  <c r="AL3358" i="16"/>
  <c r="AK3358" i="16"/>
  <c r="AJ3358" i="16"/>
  <c r="AI3358" i="16"/>
  <c r="AF3358" i="16"/>
  <c r="AN3357" i="16"/>
  <c r="AM3357" i="16"/>
  <c r="AL3357" i="16"/>
  <c r="AK3357" i="16"/>
  <c r="AJ3357" i="16"/>
  <c r="AI3357" i="16"/>
  <c r="AF3357" i="16"/>
  <c r="AN3356" i="16"/>
  <c r="AM3356" i="16"/>
  <c r="AL3356" i="16"/>
  <c r="AK3356" i="16"/>
  <c r="AJ3356" i="16"/>
  <c r="AI3356" i="16"/>
  <c r="AF3356" i="16"/>
  <c r="AN3355" i="16"/>
  <c r="AM3355" i="16"/>
  <c r="AL3355" i="16"/>
  <c r="AK3355" i="16"/>
  <c r="AJ3355" i="16"/>
  <c r="AI3355" i="16"/>
  <c r="AF3355" i="16"/>
  <c r="AN3354" i="16"/>
  <c r="AM3354" i="16"/>
  <c r="AL3354" i="16"/>
  <c r="AK3354" i="16"/>
  <c r="AJ3354" i="16"/>
  <c r="AI3354" i="16"/>
  <c r="AF3354" i="16"/>
  <c r="AN3353" i="16"/>
  <c r="AM3353" i="16"/>
  <c r="AL3353" i="16"/>
  <c r="AK3353" i="16"/>
  <c r="AJ3353" i="16"/>
  <c r="AI3353" i="16"/>
  <c r="AF3353" i="16"/>
  <c r="AN3352" i="16"/>
  <c r="AM3352" i="16"/>
  <c r="AL3352" i="16"/>
  <c r="AK3352" i="16"/>
  <c r="AJ3352" i="16"/>
  <c r="AI3352" i="16"/>
  <c r="AF3352" i="16"/>
  <c r="AN3351" i="16"/>
  <c r="AM3351" i="16"/>
  <c r="AL3351" i="16"/>
  <c r="AK3351" i="16"/>
  <c r="AJ3351" i="16"/>
  <c r="AI3351" i="16"/>
  <c r="AF3351" i="16"/>
  <c r="AN3350" i="16"/>
  <c r="AM3350" i="16"/>
  <c r="AL3350" i="16"/>
  <c r="AK3350" i="16"/>
  <c r="AJ3350" i="16"/>
  <c r="AI3350" i="16"/>
  <c r="AF3350" i="16"/>
  <c r="AN3349" i="16"/>
  <c r="AM3349" i="16"/>
  <c r="AL3349" i="16"/>
  <c r="AK3349" i="16"/>
  <c r="AJ3349" i="16"/>
  <c r="AI3349" i="16"/>
  <c r="AF3349" i="16"/>
  <c r="AN3348" i="16"/>
  <c r="AM3348" i="16"/>
  <c r="AL3348" i="16"/>
  <c r="AK3348" i="16"/>
  <c r="AJ3348" i="16"/>
  <c r="AI3348" i="16"/>
  <c r="AF3348" i="16"/>
  <c r="AN3347" i="16"/>
  <c r="AM3347" i="16"/>
  <c r="AL3347" i="16"/>
  <c r="AK3347" i="16"/>
  <c r="AJ3347" i="16"/>
  <c r="AI3347" i="16"/>
  <c r="AF3347" i="16"/>
  <c r="AN3346" i="16"/>
  <c r="AM3346" i="16"/>
  <c r="AL3346" i="16"/>
  <c r="AK3346" i="16"/>
  <c r="AJ3346" i="16"/>
  <c r="AI3346" i="16"/>
  <c r="AF3346" i="16"/>
  <c r="AN3345" i="16"/>
  <c r="AM3345" i="16"/>
  <c r="AL3345" i="16"/>
  <c r="AK3345" i="16"/>
  <c r="AJ3345" i="16"/>
  <c r="AI3345" i="16"/>
  <c r="AF3345" i="16"/>
  <c r="AN3344" i="16"/>
  <c r="AM3344" i="16"/>
  <c r="AL3344" i="16"/>
  <c r="AK3344" i="16"/>
  <c r="AJ3344" i="16"/>
  <c r="AI3344" i="16"/>
  <c r="AF3344" i="16"/>
  <c r="AN3343" i="16"/>
  <c r="AM3343" i="16"/>
  <c r="AL3343" i="16"/>
  <c r="AK3343" i="16"/>
  <c r="AJ3343" i="16"/>
  <c r="AI3343" i="16"/>
  <c r="AF3343" i="16"/>
  <c r="AN3342" i="16"/>
  <c r="AM3342" i="16"/>
  <c r="AL3342" i="16"/>
  <c r="AK3342" i="16"/>
  <c r="AJ3342" i="16"/>
  <c r="AI3342" i="16"/>
  <c r="AF3342" i="16"/>
  <c r="AN3341" i="16"/>
  <c r="AM3341" i="16"/>
  <c r="AL3341" i="16"/>
  <c r="AK3341" i="16"/>
  <c r="AJ3341" i="16"/>
  <c r="AI3341" i="16"/>
  <c r="AF3341" i="16"/>
  <c r="AN3340" i="16"/>
  <c r="AM3340" i="16"/>
  <c r="AL3340" i="16"/>
  <c r="AK3340" i="16"/>
  <c r="AJ3340" i="16"/>
  <c r="AI3340" i="16"/>
  <c r="AF3340" i="16"/>
  <c r="AN3339" i="16"/>
  <c r="AM3339" i="16"/>
  <c r="AL3339" i="16"/>
  <c r="AK3339" i="16"/>
  <c r="AJ3339" i="16"/>
  <c r="AI3339" i="16"/>
  <c r="AF3339" i="16"/>
  <c r="AN3338" i="16"/>
  <c r="AM3338" i="16"/>
  <c r="AL3338" i="16"/>
  <c r="AK3338" i="16"/>
  <c r="AJ3338" i="16"/>
  <c r="AI3338" i="16"/>
  <c r="AF3338" i="16"/>
  <c r="AN3337" i="16"/>
  <c r="AM3337" i="16"/>
  <c r="AL3337" i="16"/>
  <c r="AK3337" i="16"/>
  <c r="AJ3337" i="16"/>
  <c r="AI3337" i="16"/>
  <c r="AF3337" i="16"/>
  <c r="AN3336" i="16"/>
  <c r="AM3336" i="16"/>
  <c r="AL3336" i="16"/>
  <c r="AK3336" i="16"/>
  <c r="AJ3336" i="16"/>
  <c r="AI3336" i="16"/>
  <c r="AF3336" i="16"/>
  <c r="AN3335" i="16"/>
  <c r="AM3335" i="16"/>
  <c r="AL3335" i="16"/>
  <c r="AK3335" i="16"/>
  <c r="AJ3335" i="16"/>
  <c r="AI3335" i="16"/>
  <c r="AF3335" i="16"/>
  <c r="AN3334" i="16"/>
  <c r="AM3334" i="16"/>
  <c r="AL3334" i="16"/>
  <c r="AK3334" i="16"/>
  <c r="AJ3334" i="16"/>
  <c r="AI3334" i="16"/>
  <c r="AF3334" i="16"/>
  <c r="AN3333" i="16"/>
  <c r="AM3333" i="16"/>
  <c r="AL3333" i="16"/>
  <c r="AK3333" i="16"/>
  <c r="AJ3333" i="16"/>
  <c r="AI3333" i="16"/>
  <c r="AF3333" i="16"/>
  <c r="AN3332" i="16"/>
  <c r="AM3332" i="16"/>
  <c r="AL3332" i="16"/>
  <c r="AK3332" i="16"/>
  <c r="AJ3332" i="16"/>
  <c r="AI3332" i="16"/>
  <c r="AF3332" i="16"/>
  <c r="AN3331" i="16"/>
  <c r="AM3331" i="16"/>
  <c r="AL3331" i="16"/>
  <c r="AK3331" i="16"/>
  <c r="AJ3331" i="16"/>
  <c r="AI3331" i="16"/>
  <c r="AF3331" i="16"/>
  <c r="AN3330" i="16"/>
  <c r="AM3330" i="16"/>
  <c r="AL3330" i="16"/>
  <c r="AK3330" i="16"/>
  <c r="AJ3330" i="16"/>
  <c r="AI3330" i="16"/>
  <c r="AF3330" i="16"/>
  <c r="AN3329" i="16"/>
  <c r="AM3329" i="16"/>
  <c r="AL3329" i="16"/>
  <c r="AK3329" i="16"/>
  <c r="AJ3329" i="16"/>
  <c r="AI3329" i="16"/>
  <c r="AF3329" i="16"/>
  <c r="AN3328" i="16"/>
  <c r="AM3328" i="16"/>
  <c r="AL3328" i="16"/>
  <c r="AK3328" i="16"/>
  <c r="AJ3328" i="16"/>
  <c r="AI3328" i="16"/>
  <c r="AF3328" i="16"/>
  <c r="AN3327" i="16"/>
  <c r="AM3327" i="16"/>
  <c r="AL3327" i="16"/>
  <c r="AK3327" i="16"/>
  <c r="AJ3327" i="16"/>
  <c r="AI3327" i="16"/>
  <c r="AF3327" i="16"/>
  <c r="AN3326" i="16"/>
  <c r="AM3326" i="16"/>
  <c r="AL3326" i="16"/>
  <c r="AK3326" i="16"/>
  <c r="AJ3326" i="16"/>
  <c r="AI3326" i="16"/>
  <c r="AF3326" i="16"/>
  <c r="AN3325" i="16"/>
  <c r="AM3325" i="16"/>
  <c r="AL3325" i="16"/>
  <c r="AK3325" i="16"/>
  <c r="AJ3325" i="16"/>
  <c r="AI3325" i="16"/>
  <c r="AF3325" i="16"/>
  <c r="AN3324" i="16"/>
  <c r="AM3324" i="16"/>
  <c r="AL3324" i="16"/>
  <c r="AK3324" i="16"/>
  <c r="AJ3324" i="16"/>
  <c r="AI3324" i="16"/>
  <c r="AF3324" i="16"/>
  <c r="AN3323" i="16"/>
  <c r="AM3323" i="16"/>
  <c r="AL3323" i="16"/>
  <c r="AK3323" i="16"/>
  <c r="AJ3323" i="16"/>
  <c r="AI3323" i="16"/>
  <c r="AF3323" i="16"/>
  <c r="AN3322" i="16"/>
  <c r="AM3322" i="16"/>
  <c r="AL3322" i="16"/>
  <c r="AK3322" i="16"/>
  <c r="AJ3322" i="16"/>
  <c r="AI3322" i="16"/>
  <c r="AF3322" i="16"/>
  <c r="AN3321" i="16"/>
  <c r="AM3321" i="16"/>
  <c r="AL3321" i="16"/>
  <c r="AK3321" i="16"/>
  <c r="AJ3321" i="16"/>
  <c r="AI3321" i="16"/>
  <c r="AF3321" i="16"/>
  <c r="AN3320" i="16"/>
  <c r="AM3320" i="16"/>
  <c r="AL3320" i="16"/>
  <c r="AK3320" i="16"/>
  <c r="AJ3320" i="16"/>
  <c r="AI3320" i="16"/>
  <c r="AF3320" i="16"/>
  <c r="AN3319" i="16"/>
  <c r="AM3319" i="16"/>
  <c r="AL3319" i="16"/>
  <c r="AK3319" i="16"/>
  <c r="AJ3319" i="16"/>
  <c r="AI3319" i="16"/>
  <c r="AF3319" i="16"/>
  <c r="AN3318" i="16"/>
  <c r="AM3318" i="16"/>
  <c r="AL3318" i="16"/>
  <c r="AK3318" i="16"/>
  <c r="AJ3318" i="16"/>
  <c r="AI3318" i="16"/>
  <c r="AF3318" i="16"/>
  <c r="AN3317" i="16"/>
  <c r="AM3317" i="16"/>
  <c r="AL3317" i="16"/>
  <c r="AK3317" i="16"/>
  <c r="AJ3317" i="16"/>
  <c r="AI3317" i="16"/>
  <c r="AF3317" i="16"/>
  <c r="AN3316" i="16"/>
  <c r="AM3316" i="16"/>
  <c r="AL3316" i="16"/>
  <c r="AK3316" i="16"/>
  <c r="AJ3316" i="16"/>
  <c r="AI3316" i="16"/>
  <c r="AF3316" i="16"/>
  <c r="AN3315" i="16"/>
  <c r="AM3315" i="16"/>
  <c r="AL3315" i="16"/>
  <c r="AK3315" i="16"/>
  <c r="AJ3315" i="16"/>
  <c r="AI3315" i="16"/>
  <c r="AF3315" i="16"/>
  <c r="AN3314" i="16"/>
  <c r="AM3314" i="16"/>
  <c r="AL3314" i="16"/>
  <c r="AK3314" i="16"/>
  <c r="AJ3314" i="16"/>
  <c r="AI3314" i="16"/>
  <c r="AF3314" i="16"/>
  <c r="AN3313" i="16"/>
  <c r="AM3313" i="16"/>
  <c r="AL3313" i="16"/>
  <c r="AK3313" i="16"/>
  <c r="AJ3313" i="16"/>
  <c r="AI3313" i="16"/>
  <c r="AF3313" i="16"/>
  <c r="AN3312" i="16"/>
  <c r="AM3312" i="16"/>
  <c r="AL3312" i="16"/>
  <c r="AK3312" i="16"/>
  <c r="AJ3312" i="16"/>
  <c r="AI3312" i="16"/>
  <c r="AF3312" i="16"/>
  <c r="AN3311" i="16"/>
  <c r="AM3311" i="16"/>
  <c r="AL3311" i="16"/>
  <c r="AK3311" i="16"/>
  <c r="AJ3311" i="16"/>
  <c r="AI3311" i="16"/>
  <c r="AF3311" i="16"/>
  <c r="AN3310" i="16"/>
  <c r="AM3310" i="16"/>
  <c r="AL3310" i="16"/>
  <c r="AK3310" i="16"/>
  <c r="AJ3310" i="16"/>
  <c r="AI3310" i="16"/>
  <c r="AF3310" i="16"/>
  <c r="AN3309" i="16"/>
  <c r="AM3309" i="16"/>
  <c r="AL3309" i="16"/>
  <c r="AK3309" i="16"/>
  <c r="AJ3309" i="16"/>
  <c r="AI3309" i="16"/>
  <c r="AF3309" i="16"/>
  <c r="AN3308" i="16"/>
  <c r="AM3308" i="16"/>
  <c r="AL3308" i="16"/>
  <c r="AK3308" i="16"/>
  <c r="AJ3308" i="16"/>
  <c r="AI3308" i="16"/>
  <c r="AF3308" i="16"/>
  <c r="AN3307" i="16"/>
  <c r="AM3307" i="16"/>
  <c r="AL3307" i="16"/>
  <c r="AK3307" i="16"/>
  <c r="AJ3307" i="16"/>
  <c r="AI3307" i="16"/>
  <c r="AF3307" i="16"/>
  <c r="AN3306" i="16"/>
  <c r="AM3306" i="16"/>
  <c r="AL3306" i="16"/>
  <c r="AK3306" i="16"/>
  <c r="AJ3306" i="16"/>
  <c r="AI3306" i="16"/>
  <c r="AF3306" i="16"/>
  <c r="AN3305" i="16"/>
  <c r="AM3305" i="16"/>
  <c r="AL3305" i="16"/>
  <c r="AK3305" i="16"/>
  <c r="AJ3305" i="16"/>
  <c r="AI3305" i="16"/>
  <c r="AF3305" i="16"/>
  <c r="AN3304" i="16"/>
  <c r="AM3304" i="16"/>
  <c r="AL3304" i="16"/>
  <c r="AK3304" i="16"/>
  <c r="AJ3304" i="16"/>
  <c r="AI3304" i="16"/>
  <c r="AF3304" i="16"/>
  <c r="AN3303" i="16"/>
  <c r="AM3303" i="16"/>
  <c r="AL3303" i="16"/>
  <c r="AK3303" i="16"/>
  <c r="AJ3303" i="16"/>
  <c r="AI3303" i="16"/>
  <c r="AF3303" i="16"/>
  <c r="AN3302" i="16"/>
  <c r="AM3302" i="16"/>
  <c r="AL3302" i="16"/>
  <c r="AK3302" i="16"/>
  <c r="AJ3302" i="16"/>
  <c r="AI3302" i="16"/>
  <c r="AF3302" i="16"/>
  <c r="AN3301" i="16"/>
  <c r="AM3301" i="16"/>
  <c r="AL3301" i="16"/>
  <c r="AK3301" i="16"/>
  <c r="AJ3301" i="16"/>
  <c r="AI3301" i="16"/>
  <c r="AF3301" i="16"/>
  <c r="AN3300" i="16"/>
  <c r="AM3300" i="16"/>
  <c r="AL3300" i="16"/>
  <c r="AK3300" i="16"/>
  <c r="AJ3300" i="16"/>
  <c r="AI3300" i="16"/>
  <c r="AF3300" i="16"/>
  <c r="AN3299" i="16"/>
  <c r="AM3299" i="16"/>
  <c r="AL3299" i="16"/>
  <c r="AK3299" i="16"/>
  <c r="AJ3299" i="16"/>
  <c r="AI3299" i="16"/>
  <c r="AF3299" i="16"/>
  <c r="AN3298" i="16"/>
  <c r="AM3298" i="16"/>
  <c r="AL3298" i="16"/>
  <c r="AK3298" i="16"/>
  <c r="AJ3298" i="16"/>
  <c r="AI3298" i="16"/>
  <c r="AF3298" i="16"/>
  <c r="AN3297" i="16"/>
  <c r="AM3297" i="16"/>
  <c r="AL3297" i="16"/>
  <c r="AK3297" i="16"/>
  <c r="AJ3297" i="16"/>
  <c r="AI3297" i="16"/>
  <c r="AF3297" i="16"/>
  <c r="AN3296" i="16"/>
  <c r="AM3296" i="16"/>
  <c r="AL3296" i="16"/>
  <c r="AK3296" i="16"/>
  <c r="AJ3296" i="16"/>
  <c r="AI3296" i="16"/>
  <c r="AF3296" i="16"/>
  <c r="AN3295" i="16"/>
  <c r="AM3295" i="16"/>
  <c r="AL3295" i="16"/>
  <c r="AK3295" i="16"/>
  <c r="AJ3295" i="16"/>
  <c r="AI3295" i="16"/>
  <c r="AF3295" i="16"/>
  <c r="AN3294" i="16"/>
  <c r="AM3294" i="16"/>
  <c r="AL3294" i="16"/>
  <c r="AK3294" i="16"/>
  <c r="AJ3294" i="16"/>
  <c r="AI3294" i="16"/>
  <c r="AF3294" i="16"/>
  <c r="AN3293" i="16"/>
  <c r="AM3293" i="16"/>
  <c r="AL3293" i="16"/>
  <c r="AK3293" i="16"/>
  <c r="AJ3293" i="16"/>
  <c r="AI3293" i="16"/>
  <c r="AF3293" i="16"/>
  <c r="AN3292" i="16"/>
  <c r="AM3292" i="16"/>
  <c r="AL3292" i="16"/>
  <c r="AK3292" i="16"/>
  <c r="AJ3292" i="16"/>
  <c r="AI3292" i="16"/>
  <c r="AF3292" i="16"/>
  <c r="AN3291" i="16"/>
  <c r="AM3291" i="16"/>
  <c r="AL3291" i="16"/>
  <c r="AK3291" i="16"/>
  <c r="AJ3291" i="16"/>
  <c r="AI3291" i="16"/>
  <c r="AF3291" i="16"/>
  <c r="AN3290" i="16"/>
  <c r="AM3290" i="16"/>
  <c r="AL3290" i="16"/>
  <c r="AK3290" i="16"/>
  <c r="AJ3290" i="16"/>
  <c r="AI3290" i="16"/>
  <c r="AF3290" i="16"/>
  <c r="AN3289" i="16"/>
  <c r="AM3289" i="16"/>
  <c r="AL3289" i="16"/>
  <c r="AK3289" i="16"/>
  <c r="AJ3289" i="16"/>
  <c r="AI3289" i="16"/>
  <c r="AF3289" i="16"/>
  <c r="AN3288" i="16"/>
  <c r="AM3288" i="16"/>
  <c r="AL3288" i="16"/>
  <c r="AK3288" i="16"/>
  <c r="AJ3288" i="16"/>
  <c r="AI3288" i="16"/>
  <c r="AF3288" i="16"/>
  <c r="AN3287" i="16"/>
  <c r="AM3287" i="16"/>
  <c r="AL3287" i="16"/>
  <c r="AK3287" i="16"/>
  <c r="AJ3287" i="16"/>
  <c r="AI3287" i="16"/>
  <c r="AF3287" i="16"/>
  <c r="AN3286" i="16"/>
  <c r="AM3286" i="16"/>
  <c r="AL3286" i="16"/>
  <c r="AK3286" i="16"/>
  <c r="AJ3286" i="16"/>
  <c r="AI3286" i="16"/>
  <c r="AF3286" i="16"/>
  <c r="AN3285" i="16"/>
  <c r="AM3285" i="16"/>
  <c r="AL3285" i="16"/>
  <c r="AK3285" i="16"/>
  <c r="AJ3285" i="16"/>
  <c r="AI3285" i="16"/>
  <c r="AF3285" i="16"/>
  <c r="AN3284" i="16"/>
  <c r="AM3284" i="16"/>
  <c r="AL3284" i="16"/>
  <c r="AK3284" i="16"/>
  <c r="AJ3284" i="16"/>
  <c r="AI3284" i="16"/>
  <c r="AF3284" i="16"/>
  <c r="AN3283" i="16"/>
  <c r="AM3283" i="16"/>
  <c r="AL3283" i="16"/>
  <c r="AK3283" i="16"/>
  <c r="AJ3283" i="16"/>
  <c r="AI3283" i="16"/>
  <c r="AF3283" i="16"/>
  <c r="AN3282" i="16"/>
  <c r="AM3282" i="16"/>
  <c r="AL3282" i="16"/>
  <c r="AK3282" i="16"/>
  <c r="AJ3282" i="16"/>
  <c r="AI3282" i="16"/>
  <c r="AF3282" i="16"/>
  <c r="AN3281" i="16"/>
  <c r="AM3281" i="16"/>
  <c r="AL3281" i="16"/>
  <c r="AK3281" i="16"/>
  <c r="AJ3281" i="16"/>
  <c r="AI3281" i="16"/>
  <c r="AF3281" i="16"/>
  <c r="AN3280" i="16"/>
  <c r="AM3280" i="16"/>
  <c r="AL3280" i="16"/>
  <c r="AK3280" i="16"/>
  <c r="AJ3280" i="16"/>
  <c r="AI3280" i="16"/>
  <c r="AF3280" i="16"/>
  <c r="AN3279" i="16"/>
  <c r="AM3279" i="16"/>
  <c r="AL3279" i="16"/>
  <c r="AK3279" i="16"/>
  <c r="AJ3279" i="16"/>
  <c r="AI3279" i="16"/>
  <c r="AF3279" i="16"/>
  <c r="AN3278" i="16"/>
  <c r="AM3278" i="16"/>
  <c r="AL3278" i="16"/>
  <c r="AK3278" i="16"/>
  <c r="AJ3278" i="16"/>
  <c r="AI3278" i="16"/>
  <c r="AF3278" i="16"/>
  <c r="AN3277" i="16"/>
  <c r="AM3277" i="16"/>
  <c r="AL3277" i="16"/>
  <c r="AK3277" i="16"/>
  <c r="AJ3277" i="16"/>
  <c r="AI3277" i="16"/>
  <c r="AF3277" i="16"/>
  <c r="AN3276" i="16"/>
  <c r="AM3276" i="16"/>
  <c r="AL3276" i="16"/>
  <c r="AK3276" i="16"/>
  <c r="AJ3276" i="16"/>
  <c r="AI3276" i="16"/>
  <c r="AF3276" i="16"/>
  <c r="AN3275" i="16"/>
  <c r="AM3275" i="16"/>
  <c r="AL3275" i="16"/>
  <c r="AK3275" i="16"/>
  <c r="AJ3275" i="16"/>
  <c r="AI3275" i="16"/>
  <c r="AF3275" i="16"/>
  <c r="AN3274" i="16"/>
  <c r="AM3274" i="16"/>
  <c r="AL3274" i="16"/>
  <c r="AK3274" i="16"/>
  <c r="AJ3274" i="16"/>
  <c r="AI3274" i="16"/>
  <c r="AF3274" i="16"/>
  <c r="AN3273" i="16"/>
  <c r="AM3273" i="16"/>
  <c r="AL3273" i="16"/>
  <c r="AK3273" i="16"/>
  <c r="AJ3273" i="16"/>
  <c r="AI3273" i="16"/>
  <c r="AF3273" i="16"/>
  <c r="AN3272" i="16"/>
  <c r="AM3272" i="16"/>
  <c r="AL3272" i="16"/>
  <c r="AK3272" i="16"/>
  <c r="AJ3272" i="16"/>
  <c r="AI3272" i="16"/>
  <c r="AF3272" i="16"/>
  <c r="AN3271" i="16"/>
  <c r="AM3271" i="16"/>
  <c r="AL3271" i="16"/>
  <c r="AK3271" i="16"/>
  <c r="AJ3271" i="16"/>
  <c r="AI3271" i="16"/>
  <c r="AF3271" i="16"/>
  <c r="AN3270" i="16"/>
  <c r="AM3270" i="16"/>
  <c r="AL3270" i="16"/>
  <c r="AK3270" i="16"/>
  <c r="AJ3270" i="16"/>
  <c r="AI3270" i="16"/>
  <c r="AF3270" i="16"/>
  <c r="AN3269" i="16"/>
  <c r="AM3269" i="16"/>
  <c r="AL3269" i="16"/>
  <c r="AK3269" i="16"/>
  <c r="AJ3269" i="16"/>
  <c r="AI3269" i="16"/>
  <c r="AF3269" i="16"/>
  <c r="AN3268" i="16"/>
  <c r="AM3268" i="16"/>
  <c r="AL3268" i="16"/>
  <c r="AK3268" i="16"/>
  <c r="AJ3268" i="16"/>
  <c r="AI3268" i="16"/>
  <c r="AF3268" i="16"/>
  <c r="AN3267" i="16"/>
  <c r="AM3267" i="16"/>
  <c r="AL3267" i="16"/>
  <c r="AK3267" i="16"/>
  <c r="AJ3267" i="16"/>
  <c r="AI3267" i="16"/>
  <c r="AF3267" i="16"/>
  <c r="AN3266" i="16"/>
  <c r="AM3266" i="16"/>
  <c r="AL3266" i="16"/>
  <c r="AK3266" i="16"/>
  <c r="AJ3266" i="16"/>
  <c r="AI3266" i="16"/>
  <c r="AF3266" i="16"/>
  <c r="AN3265" i="16"/>
  <c r="AM3265" i="16"/>
  <c r="AL3265" i="16"/>
  <c r="AK3265" i="16"/>
  <c r="AJ3265" i="16"/>
  <c r="AI3265" i="16"/>
  <c r="AF3265" i="16"/>
  <c r="AN3264" i="16"/>
  <c r="AM3264" i="16"/>
  <c r="AL3264" i="16"/>
  <c r="AK3264" i="16"/>
  <c r="AJ3264" i="16"/>
  <c r="AI3264" i="16"/>
  <c r="AF3264" i="16"/>
  <c r="AN3263" i="16"/>
  <c r="AM3263" i="16"/>
  <c r="AL3263" i="16"/>
  <c r="AK3263" i="16"/>
  <c r="AJ3263" i="16"/>
  <c r="AI3263" i="16"/>
  <c r="AF3263" i="16"/>
  <c r="AN3262" i="16"/>
  <c r="AM3262" i="16"/>
  <c r="AL3262" i="16"/>
  <c r="AK3262" i="16"/>
  <c r="AJ3262" i="16"/>
  <c r="AI3262" i="16"/>
  <c r="AF3262" i="16"/>
  <c r="AN3261" i="16"/>
  <c r="AM3261" i="16"/>
  <c r="AL3261" i="16"/>
  <c r="AK3261" i="16"/>
  <c r="AJ3261" i="16"/>
  <c r="AI3261" i="16"/>
  <c r="AF3261" i="16"/>
  <c r="AN3260" i="16"/>
  <c r="AM3260" i="16"/>
  <c r="AL3260" i="16"/>
  <c r="AK3260" i="16"/>
  <c r="AJ3260" i="16"/>
  <c r="AI3260" i="16"/>
  <c r="AF3260" i="16"/>
  <c r="AN3259" i="16"/>
  <c r="AM3259" i="16"/>
  <c r="AL3259" i="16"/>
  <c r="AK3259" i="16"/>
  <c r="AJ3259" i="16"/>
  <c r="AI3259" i="16"/>
  <c r="AF3259" i="16"/>
  <c r="AN3258" i="16"/>
  <c r="AM3258" i="16"/>
  <c r="AL3258" i="16"/>
  <c r="AK3258" i="16"/>
  <c r="AJ3258" i="16"/>
  <c r="AI3258" i="16"/>
  <c r="AF3258" i="16"/>
  <c r="AN3257" i="16"/>
  <c r="AM3257" i="16"/>
  <c r="AL3257" i="16"/>
  <c r="AK3257" i="16"/>
  <c r="AJ3257" i="16"/>
  <c r="AI3257" i="16"/>
  <c r="AF3257" i="16"/>
  <c r="AN3256" i="16"/>
  <c r="AM3256" i="16"/>
  <c r="AL3256" i="16"/>
  <c r="AK3256" i="16"/>
  <c r="AJ3256" i="16"/>
  <c r="AI3256" i="16"/>
  <c r="AF3256" i="16"/>
  <c r="AN3255" i="16"/>
  <c r="AM3255" i="16"/>
  <c r="AL3255" i="16"/>
  <c r="AK3255" i="16"/>
  <c r="AJ3255" i="16"/>
  <c r="AI3255" i="16"/>
  <c r="AF3255" i="16"/>
  <c r="AN3254" i="16"/>
  <c r="AM3254" i="16"/>
  <c r="AL3254" i="16"/>
  <c r="AK3254" i="16"/>
  <c r="AJ3254" i="16"/>
  <c r="AI3254" i="16"/>
  <c r="AF3254" i="16"/>
  <c r="AN3253" i="16"/>
  <c r="AM3253" i="16"/>
  <c r="AL3253" i="16"/>
  <c r="AK3253" i="16"/>
  <c r="AJ3253" i="16"/>
  <c r="AI3253" i="16"/>
  <c r="AF3253" i="16"/>
  <c r="AN3252" i="16"/>
  <c r="AM3252" i="16"/>
  <c r="AL3252" i="16"/>
  <c r="AK3252" i="16"/>
  <c r="AJ3252" i="16"/>
  <c r="AI3252" i="16"/>
  <c r="AF3252" i="16"/>
  <c r="AN3251" i="16"/>
  <c r="AM3251" i="16"/>
  <c r="AL3251" i="16"/>
  <c r="AK3251" i="16"/>
  <c r="AJ3251" i="16"/>
  <c r="AI3251" i="16"/>
  <c r="AF3251" i="16"/>
  <c r="AN3250" i="16"/>
  <c r="AM3250" i="16"/>
  <c r="AL3250" i="16"/>
  <c r="AK3250" i="16"/>
  <c r="AJ3250" i="16"/>
  <c r="AI3250" i="16"/>
  <c r="AF3250" i="16"/>
  <c r="AN3249" i="16"/>
  <c r="AM3249" i="16"/>
  <c r="AL3249" i="16"/>
  <c r="AK3249" i="16"/>
  <c r="AJ3249" i="16"/>
  <c r="AI3249" i="16"/>
  <c r="AF3249" i="16"/>
  <c r="AN3248" i="16"/>
  <c r="AM3248" i="16"/>
  <c r="AL3248" i="16"/>
  <c r="AK3248" i="16"/>
  <c r="AJ3248" i="16"/>
  <c r="AI3248" i="16"/>
  <c r="AF3248" i="16"/>
  <c r="AN3247" i="16"/>
  <c r="AM3247" i="16"/>
  <c r="AL3247" i="16"/>
  <c r="AK3247" i="16"/>
  <c r="AJ3247" i="16"/>
  <c r="AI3247" i="16"/>
  <c r="AF3247" i="16"/>
  <c r="AN3246" i="16"/>
  <c r="AM3246" i="16"/>
  <c r="AL3246" i="16"/>
  <c r="AK3246" i="16"/>
  <c r="AJ3246" i="16"/>
  <c r="AI3246" i="16"/>
  <c r="AF3246" i="16"/>
  <c r="AN3245" i="16"/>
  <c r="AM3245" i="16"/>
  <c r="AL3245" i="16"/>
  <c r="AK3245" i="16"/>
  <c r="AJ3245" i="16"/>
  <c r="AI3245" i="16"/>
  <c r="AF3245" i="16"/>
  <c r="AN3244" i="16"/>
  <c r="AM3244" i="16"/>
  <c r="AL3244" i="16"/>
  <c r="AK3244" i="16"/>
  <c r="AJ3244" i="16"/>
  <c r="AI3244" i="16"/>
  <c r="AF3244" i="16"/>
  <c r="AN3243" i="16"/>
  <c r="AM3243" i="16"/>
  <c r="AL3243" i="16"/>
  <c r="AK3243" i="16"/>
  <c r="AJ3243" i="16"/>
  <c r="AI3243" i="16"/>
  <c r="AF3243" i="16"/>
  <c r="AN3242" i="16"/>
  <c r="AM3242" i="16"/>
  <c r="AL3242" i="16"/>
  <c r="AK3242" i="16"/>
  <c r="AJ3242" i="16"/>
  <c r="AI3242" i="16"/>
  <c r="AF3242" i="16"/>
  <c r="AN3241" i="16"/>
  <c r="AM3241" i="16"/>
  <c r="AL3241" i="16"/>
  <c r="AK3241" i="16"/>
  <c r="AJ3241" i="16"/>
  <c r="AI3241" i="16"/>
  <c r="AF3241" i="16"/>
  <c r="AN3240" i="16"/>
  <c r="AM3240" i="16"/>
  <c r="AL3240" i="16"/>
  <c r="AK3240" i="16"/>
  <c r="AJ3240" i="16"/>
  <c r="AI3240" i="16"/>
  <c r="AF3240" i="16"/>
  <c r="AN3239" i="16"/>
  <c r="AM3239" i="16"/>
  <c r="AL3239" i="16"/>
  <c r="AK3239" i="16"/>
  <c r="AJ3239" i="16"/>
  <c r="AI3239" i="16"/>
  <c r="AF3239" i="16"/>
  <c r="AN3238" i="16"/>
  <c r="AM3238" i="16"/>
  <c r="AL3238" i="16"/>
  <c r="AK3238" i="16"/>
  <c r="AJ3238" i="16"/>
  <c r="AI3238" i="16"/>
  <c r="AF3238" i="16"/>
  <c r="AN3237" i="16"/>
  <c r="AM3237" i="16"/>
  <c r="AL3237" i="16"/>
  <c r="AK3237" i="16"/>
  <c r="AJ3237" i="16"/>
  <c r="AI3237" i="16"/>
  <c r="AF3237" i="16"/>
  <c r="AN3236" i="16"/>
  <c r="AM3236" i="16"/>
  <c r="AL3236" i="16"/>
  <c r="AK3236" i="16"/>
  <c r="AJ3236" i="16"/>
  <c r="AI3236" i="16"/>
  <c r="AF3236" i="16"/>
  <c r="AN3235" i="16"/>
  <c r="AM3235" i="16"/>
  <c r="AL3235" i="16"/>
  <c r="AK3235" i="16"/>
  <c r="AJ3235" i="16"/>
  <c r="AI3235" i="16"/>
  <c r="AF3235" i="16"/>
  <c r="AN3234" i="16"/>
  <c r="AM3234" i="16"/>
  <c r="AL3234" i="16"/>
  <c r="AK3234" i="16"/>
  <c r="AJ3234" i="16"/>
  <c r="AI3234" i="16"/>
  <c r="AF3234" i="16"/>
  <c r="AN3233" i="16"/>
  <c r="AM3233" i="16"/>
  <c r="AL3233" i="16"/>
  <c r="AK3233" i="16"/>
  <c r="AJ3233" i="16"/>
  <c r="AI3233" i="16"/>
  <c r="AF3233" i="16"/>
  <c r="AN3232" i="16"/>
  <c r="AM3232" i="16"/>
  <c r="AL3232" i="16"/>
  <c r="AK3232" i="16"/>
  <c r="AJ3232" i="16"/>
  <c r="AI3232" i="16"/>
  <c r="AF3232" i="16"/>
  <c r="AN3231" i="16"/>
  <c r="AM3231" i="16"/>
  <c r="AL3231" i="16"/>
  <c r="AK3231" i="16"/>
  <c r="AJ3231" i="16"/>
  <c r="AI3231" i="16"/>
  <c r="AF3231" i="16"/>
  <c r="AN3230" i="16"/>
  <c r="AM3230" i="16"/>
  <c r="AL3230" i="16"/>
  <c r="AK3230" i="16"/>
  <c r="AJ3230" i="16"/>
  <c r="AI3230" i="16"/>
  <c r="AF3230" i="16"/>
  <c r="AN3229" i="16"/>
  <c r="AM3229" i="16"/>
  <c r="AL3229" i="16"/>
  <c r="AK3229" i="16"/>
  <c r="AJ3229" i="16"/>
  <c r="AI3229" i="16"/>
  <c r="AF3229" i="16"/>
  <c r="AN3228" i="16"/>
  <c r="AM3228" i="16"/>
  <c r="AL3228" i="16"/>
  <c r="AK3228" i="16"/>
  <c r="AJ3228" i="16"/>
  <c r="AI3228" i="16"/>
  <c r="AF3228" i="16"/>
  <c r="AN3227" i="16"/>
  <c r="AM3227" i="16"/>
  <c r="AL3227" i="16"/>
  <c r="AK3227" i="16"/>
  <c r="AJ3227" i="16"/>
  <c r="AI3227" i="16"/>
  <c r="AF3227" i="16"/>
  <c r="AN3226" i="16"/>
  <c r="AM3226" i="16"/>
  <c r="AL3226" i="16"/>
  <c r="AK3226" i="16"/>
  <c r="AJ3226" i="16"/>
  <c r="AI3226" i="16"/>
  <c r="AF3226" i="16"/>
  <c r="AN3225" i="16"/>
  <c r="AM3225" i="16"/>
  <c r="AL3225" i="16"/>
  <c r="AK3225" i="16"/>
  <c r="AJ3225" i="16"/>
  <c r="AI3225" i="16"/>
  <c r="AF3225" i="16"/>
  <c r="AN3224" i="16"/>
  <c r="AM3224" i="16"/>
  <c r="AL3224" i="16"/>
  <c r="AK3224" i="16"/>
  <c r="AJ3224" i="16"/>
  <c r="AI3224" i="16"/>
  <c r="AF3224" i="16"/>
  <c r="AN3223" i="16"/>
  <c r="AM3223" i="16"/>
  <c r="AL3223" i="16"/>
  <c r="AK3223" i="16"/>
  <c r="AJ3223" i="16"/>
  <c r="AI3223" i="16"/>
  <c r="AF3223" i="16"/>
  <c r="AN3222" i="16"/>
  <c r="AM3222" i="16"/>
  <c r="AL3222" i="16"/>
  <c r="AK3222" i="16"/>
  <c r="AJ3222" i="16"/>
  <c r="AI3222" i="16"/>
  <c r="AF3222" i="16"/>
  <c r="AN3221" i="16"/>
  <c r="AM3221" i="16"/>
  <c r="AL3221" i="16"/>
  <c r="AK3221" i="16"/>
  <c r="AJ3221" i="16"/>
  <c r="AI3221" i="16"/>
  <c r="AF3221" i="16"/>
  <c r="AN3220" i="16"/>
  <c r="AM3220" i="16"/>
  <c r="AL3220" i="16"/>
  <c r="AK3220" i="16"/>
  <c r="AJ3220" i="16"/>
  <c r="AI3220" i="16"/>
  <c r="AF3220" i="16"/>
  <c r="AN3219" i="16"/>
  <c r="AM3219" i="16"/>
  <c r="AL3219" i="16"/>
  <c r="AK3219" i="16"/>
  <c r="AJ3219" i="16"/>
  <c r="AI3219" i="16"/>
  <c r="AF3219" i="16"/>
  <c r="AN3218" i="16"/>
  <c r="AM3218" i="16"/>
  <c r="AL3218" i="16"/>
  <c r="AK3218" i="16"/>
  <c r="AJ3218" i="16"/>
  <c r="AI3218" i="16"/>
  <c r="AF3218" i="16"/>
  <c r="AN3217" i="16"/>
  <c r="AM3217" i="16"/>
  <c r="AL3217" i="16"/>
  <c r="AK3217" i="16"/>
  <c r="AJ3217" i="16"/>
  <c r="AI3217" i="16"/>
  <c r="AF3217" i="16"/>
  <c r="AN3216" i="16"/>
  <c r="AM3216" i="16"/>
  <c r="AL3216" i="16"/>
  <c r="AK3216" i="16"/>
  <c r="AJ3216" i="16"/>
  <c r="AI3216" i="16"/>
  <c r="AF3216" i="16"/>
  <c r="AN3215" i="16"/>
  <c r="AM3215" i="16"/>
  <c r="AL3215" i="16"/>
  <c r="AK3215" i="16"/>
  <c r="AJ3215" i="16"/>
  <c r="AI3215" i="16"/>
  <c r="AF3215" i="16"/>
  <c r="AN3214" i="16"/>
  <c r="AM3214" i="16"/>
  <c r="AL3214" i="16"/>
  <c r="AK3214" i="16"/>
  <c r="AJ3214" i="16"/>
  <c r="AI3214" i="16"/>
  <c r="AF3214" i="16"/>
  <c r="AN3213" i="16"/>
  <c r="AM3213" i="16"/>
  <c r="AL3213" i="16"/>
  <c r="AK3213" i="16"/>
  <c r="AJ3213" i="16"/>
  <c r="AI3213" i="16"/>
  <c r="AF3213" i="16"/>
  <c r="AN3212" i="16"/>
  <c r="AM3212" i="16"/>
  <c r="AL3212" i="16"/>
  <c r="AK3212" i="16"/>
  <c r="AJ3212" i="16"/>
  <c r="AI3212" i="16"/>
  <c r="AF3212" i="16"/>
  <c r="AN3211" i="16"/>
  <c r="AM3211" i="16"/>
  <c r="AL3211" i="16"/>
  <c r="AK3211" i="16"/>
  <c r="AJ3211" i="16"/>
  <c r="AI3211" i="16"/>
  <c r="AF3211" i="16"/>
  <c r="AN3210" i="16"/>
  <c r="AM3210" i="16"/>
  <c r="AL3210" i="16"/>
  <c r="AK3210" i="16"/>
  <c r="AJ3210" i="16"/>
  <c r="AI3210" i="16"/>
  <c r="AF3210" i="16"/>
  <c r="AN3209" i="16"/>
  <c r="AM3209" i="16"/>
  <c r="AL3209" i="16"/>
  <c r="AK3209" i="16"/>
  <c r="AJ3209" i="16"/>
  <c r="AI3209" i="16"/>
  <c r="AF3209" i="16"/>
  <c r="AN3208" i="16"/>
  <c r="AM3208" i="16"/>
  <c r="AL3208" i="16"/>
  <c r="AK3208" i="16"/>
  <c r="AJ3208" i="16"/>
  <c r="AI3208" i="16"/>
  <c r="AF3208" i="16"/>
  <c r="AN3207" i="16"/>
  <c r="AM3207" i="16"/>
  <c r="AL3207" i="16"/>
  <c r="AK3207" i="16"/>
  <c r="AJ3207" i="16"/>
  <c r="AI3207" i="16"/>
  <c r="AF3207" i="16"/>
  <c r="AN3206" i="16"/>
  <c r="AM3206" i="16"/>
  <c r="AL3206" i="16"/>
  <c r="AK3206" i="16"/>
  <c r="AJ3206" i="16"/>
  <c r="AI3206" i="16"/>
  <c r="AF3206" i="16"/>
  <c r="AN3205" i="16"/>
  <c r="AM3205" i="16"/>
  <c r="AL3205" i="16"/>
  <c r="AK3205" i="16"/>
  <c r="AJ3205" i="16"/>
  <c r="AI3205" i="16"/>
  <c r="AF3205" i="16"/>
  <c r="AN3204" i="16"/>
  <c r="AM3204" i="16"/>
  <c r="AL3204" i="16"/>
  <c r="AK3204" i="16"/>
  <c r="AJ3204" i="16"/>
  <c r="AI3204" i="16"/>
  <c r="AF3204" i="16"/>
  <c r="AN3203" i="16"/>
  <c r="AM3203" i="16"/>
  <c r="AL3203" i="16"/>
  <c r="AK3203" i="16"/>
  <c r="AJ3203" i="16"/>
  <c r="AI3203" i="16"/>
  <c r="AF3203" i="16"/>
  <c r="AN3202" i="16"/>
  <c r="AM3202" i="16"/>
  <c r="AL3202" i="16"/>
  <c r="AK3202" i="16"/>
  <c r="AJ3202" i="16"/>
  <c r="AI3202" i="16"/>
  <c r="AF3202" i="16"/>
  <c r="AN3201" i="16"/>
  <c r="AM3201" i="16"/>
  <c r="AL3201" i="16"/>
  <c r="AK3201" i="16"/>
  <c r="AJ3201" i="16"/>
  <c r="AI3201" i="16"/>
  <c r="AF3201" i="16"/>
  <c r="AN3200" i="16"/>
  <c r="AM3200" i="16"/>
  <c r="AL3200" i="16"/>
  <c r="AK3200" i="16"/>
  <c r="AJ3200" i="16"/>
  <c r="AI3200" i="16"/>
  <c r="AF3200" i="16"/>
  <c r="AN3199" i="16"/>
  <c r="AM3199" i="16"/>
  <c r="AL3199" i="16"/>
  <c r="AK3199" i="16"/>
  <c r="AJ3199" i="16"/>
  <c r="AI3199" i="16"/>
  <c r="AF3199" i="16"/>
  <c r="AN3198" i="16"/>
  <c r="AM3198" i="16"/>
  <c r="AL3198" i="16"/>
  <c r="AK3198" i="16"/>
  <c r="AJ3198" i="16"/>
  <c r="AI3198" i="16"/>
  <c r="AF3198" i="16"/>
  <c r="AN3197" i="16"/>
  <c r="AM3197" i="16"/>
  <c r="AL3197" i="16"/>
  <c r="AK3197" i="16"/>
  <c r="AJ3197" i="16"/>
  <c r="AI3197" i="16"/>
  <c r="AF3197" i="16"/>
  <c r="AN3196" i="16"/>
  <c r="AM3196" i="16"/>
  <c r="AL3196" i="16"/>
  <c r="AK3196" i="16"/>
  <c r="AJ3196" i="16"/>
  <c r="AI3196" i="16"/>
  <c r="AF3196" i="16"/>
  <c r="AN3195" i="16"/>
  <c r="AM3195" i="16"/>
  <c r="AL3195" i="16"/>
  <c r="AK3195" i="16"/>
  <c r="AJ3195" i="16"/>
  <c r="AI3195" i="16"/>
  <c r="AF3195" i="16"/>
  <c r="AN3194" i="16"/>
  <c r="AM3194" i="16"/>
  <c r="AL3194" i="16"/>
  <c r="AK3194" i="16"/>
  <c r="AJ3194" i="16"/>
  <c r="AI3194" i="16"/>
  <c r="AF3194" i="16"/>
  <c r="AN3193" i="16"/>
  <c r="AM3193" i="16"/>
  <c r="AL3193" i="16"/>
  <c r="AK3193" i="16"/>
  <c r="AJ3193" i="16"/>
  <c r="AI3193" i="16"/>
  <c r="AF3193" i="16"/>
  <c r="AN3192" i="16"/>
  <c r="AM3192" i="16"/>
  <c r="AL3192" i="16"/>
  <c r="AK3192" i="16"/>
  <c r="AJ3192" i="16"/>
  <c r="AI3192" i="16"/>
  <c r="AF3192" i="16"/>
  <c r="AN3191" i="16"/>
  <c r="AM3191" i="16"/>
  <c r="AL3191" i="16"/>
  <c r="AK3191" i="16"/>
  <c r="AJ3191" i="16"/>
  <c r="AI3191" i="16"/>
  <c r="AF3191" i="16"/>
  <c r="AN3190" i="16"/>
  <c r="AM3190" i="16"/>
  <c r="AL3190" i="16"/>
  <c r="AK3190" i="16"/>
  <c r="AJ3190" i="16"/>
  <c r="AI3190" i="16"/>
  <c r="AF3190" i="16"/>
  <c r="AN3189" i="16"/>
  <c r="AM3189" i="16"/>
  <c r="AL3189" i="16"/>
  <c r="AK3189" i="16"/>
  <c r="AJ3189" i="16"/>
  <c r="AI3189" i="16"/>
  <c r="AF3189" i="16"/>
  <c r="AN3188" i="16"/>
  <c r="AM3188" i="16"/>
  <c r="AL3188" i="16"/>
  <c r="AK3188" i="16"/>
  <c r="AJ3188" i="16"/>
  <c r="AI3188" i="16"/>
  <c r="AF3188" i="16"/>
  <c r="AN3187" i="16"/>
  <c r="AM3187" i="16"/>
  <c r="AL3187" i="16"/>
  <c r="AK3187" i="16"/>
  <c r="AJ3187" i="16"/>
  <c r="AI3187" i="16"/>
  <c r="AF3187" i="16"/>
  <c r="AN3186" i="16"/>
  <c r="AM3186" i="16"/>
  <c r="AL3186" i="16"/>
  <c r="AK3186" i="16"/>
  <c r="AJ3186" i="16"/>
  <c r="AI3186" i="16"/>
  <c r="AF3186" i="16"/>
  <c r="AN3185" i="16"/>
  <c r="AM3185" i="16"/>
  <c r="AL3185" i="16"/>
  <c r="AK3185" i="16"/>
  <c r="AJ3185" i="16"/>
  <c r="AI3185" i="16"/>
  <c r="AF3185" i="16"/>
  <c r="AN3184" i="16"/>
  <c r="AM3184" i="16"/>
  <c r="AL3184" i="16"/>
  <c r="AK3184" i="16"/>
  <c r="AJ3184" i="16"/>
  <c r="AI3184" i="16"/>
  <c r="AF3184" i="16"/>
  <c r="AN3183" i="16"/>
  <c r="AM3183" i="16"/>
  <c r="AL3183" i="16"/>
  <c r="AK3183" i="16"/>
  <c r="AJ3183" i="16"/>
  <c r="AI3183" i="16"/>
  <c r="AF3183" i="16"/>
  <c r="AN3182" i="16"/>
  <c r="AM3182" i="16"/>
  <c r="AL3182" i="16"/>
  <c r="AK3182" i="16"/>
  <c r="AJ3182" i="16"/>
  <c r="AI3182" i="16"/>
  <c r="AF3182" i="16"/>
  <c r="AN3181" i="16"/>
  <c r="AM3181" i="16"/>
  <c r="AL3181" i="16"/>
  <c r="AK3181" i="16"/>
  <c r="AJ3181" i="16"/>
  <c r="AI3181" i="16"/>
  <c r="AF3181" i="16"/>
  <c r="AN3180" i="16"/>
  <c r="AM3180" i="16"/>
  <c r="AL3180" i="16"/>
  <c r="AK3180" i="16"/>
  <c r="AJ3180" i="16"/>
  <c r="AI3180" i="16"/>
  <c r="AF3180" i="16"/>
  <c r="AN3179" i="16"/>
  <c r="AM3179" i="16"/>
  <c r="AL3179" i="16"/>
  <c r="AK3179" i="16"/>
  <c r="AJ3179" i="16"/>
  <c r="AI3179" i="16"/>
  <c r="AF3179" i="16"/>
  <c r="AN3178" i="16"/>
  <c r="AM3178" i="16"/>
  <c r="AL3178" i="16"/>
  <c r="AK3178" i="16"/>
  <c r="AJ3178" i="16"/>
  <c r="AI3178" i="16"/>
  <c r="AF3178" i="16"/>
  <c r="AN3177" i="16"/>
  <c r="AM3177" i="16"/>
  <c r="AL3177" i="16"/>
  <c r="AK3177" i="16"/>
  <c r="AJ3177" i="16"/>
  <c r="AI3177" i="16"/>
  <c r="AF3177" i="16"/>
  <c r="AN3176" i="16"/>
  <c r="AM3176" i="16"/>
  <c r="AL3176" i="16"/>
  <c r="AK3176" i="16"/>
  <c r="AJ3176" i="16"/>
  <c r="AI3176" i="16"/>
  <c r="AF3176" i="16"/>
  <c r="AN3175" i="16"/>
  <c r="AM3175" i="16"/>
  <c r="AL3175" i="16"/>
  <c r="AK3175" i="16"/>
  <c r="AJ3175" i="16"/>
  <c r="AI3175" i="16"/>
  <c r="AF3175" i="16"/>
  <c r="AN3174" i="16"/>
  <c r="AM3174" i="16"/>
  <c r="AL3174" i="16"/>
  <c r="AK3174" i="16"/>
  <c r="AJ3174" i="16"/>
  <c r="AI3174" i="16"/>
  <c r="AF3174" i="16"/>
  <c r="AN3173" i="16"/>
  <c r="AM3173" i="16"/>
  <c r="AL3173" i="16"/>
  <c r="AK3173" i="16"/>
  <c r="AJ3173" i="16"/>
  <c r="AI3173" i="16"/>
  <c r="AF3173" i="16"/>
  <c r="AN3172" i="16"/>
  <c r="AM3172" i="16"/>
  <c r="AL3172" i="16"/>
  <c r="AK3172" i="16"/>
  <c r="AJ3172" i="16"/>
  <c r="AI3172" i="16"/>
  <c r="AF3172" i="16"/>
  <c r="AN3171" i="16"/>
  <c r="AM3171" i="16"/>
  <c r="AL3171" i="16"/>
  <c r="AK3171" i="16"/>
  <c r="AJ3171" i="16"/>
  <c r="AI3171" i="16"/>
  <c r="AF3171" i="16"/>
  <c r="AN3170" i="16"/>
  <c r="AM3170" i="16"/>
  <c r="AL3170" i="16"/>
  <c r="AK3170" i="16"/>
  <c r="AJ3170" i="16"/>
  <c r="AI3170" i="16"/>
  <c r="AF3170" i="16"/>
  <c r="AN3169" i="16"/>
  <c r="AM3169" i="16"/>
  <c r="AL3169" i="16"/>
  <c r="AK3169" i="16"/>
  <c r="AJ3169" i="16"/>
  <c r="AI3169" i="16"/>
  <c r="AF3169" i="16"/>
  <c r="AN3168" i="16"/>
  <c r="AM3168" i="16"/>
  <c r="AL3168" i="16"/>
  <c r="AK3168" i="16"/>
  <c r="AJ3168" i="16"/>
  <c r="AI3168" i="16"/>
  <c r="AF3168" i="16"/>
  <c r="AN3167" i="16"/>
  <c r="AM3167" i="16"/>
  <c r="AL3167" i="16"/>
  <c r="AK3167" i="16"/>
  <c r="AJ3167" i="16"/>
  <c r="AI3167" i="16"/>
  <c r="AF3167" i="16"/>
  <c r="AN3166" i="16"/>
  <c r="AM3166" i="16"/>
  <c r="AL3166" i="16"/>
  <c r="AK3166" i="16"/>
  <c r="AJ3166" i="16"/>
  <c r="AI3166" i="16"/>
  <c r="AF3166" i="16"/>
  <c r="AN3165" i="16"/>
  <c r="AM3165" i="16"/>
  <c r="AL3165" i="16"/>
  <c r="AK3165" i="16"/>
  <c r="AJ3165" i="16"/>
  <c r="AI3165" i="16"/>
  <c r="AF3165" i="16"/>
  <c r="AN3164" i="16"/>
  <c r="AM3164" i="16"/>
  <c r="AL3164" i="16"/>
  <c r="AK3164" i="16"/>
  <c r="AJ3164" i="16"/>
  <c r="AI3164" i="16"/>
  <c r="AF3164" i="16"/>
  <c r="AN3163" i="16"/>
  <c r="AM3163" i="16"/>
  <c r="AL3163" i="16"/>
  <c r="AK3163" i="16"/>
  <c r="AJ3163" i="16"/>
  <c r="AI3163" i="16"/>
  <c r="AF3163" i="16"/>
  <c r="AN3162" i="16"/>
  <c r="AM3162" i="16"/>
  <c r="AL3162" i="16"/>
  <c r="AK3162" i="16"/>
  <c r="AJ3162" i="16"/>
  <c r="AI3162" i="16"/>
  <c r="AF3162" i="16"/>
  <c r="AN3161" i="16"/>
  <c r="AM3161" i="16"/>
  <c r="AL3161" i="16"/>
  <c r="AK3161" i="16"/>
  <c r="AJ3161" i="16"/>
  <c r="AI3161" i="16"/>
  <c r="AF3161" i="16"/>
  <c r="AN3160" i="16"/>
  <c r="AM3160" i="16"/>
  <c r="AL3160" i="16"/>
  <c r="AK3160" i="16"/>
  <c r="AJ3160" i="16"/>
  <c r="AI3160" i="16"/>
  <c r="AF3160" i="16"/>
  <c r="AN3159" i="16"/>
  <c r="AM3159" i="16"/>
  <c r="AL3159" i="16"/>
  <c r="AK3159" i="16"/>
  <c r="AJ3159" i="16"/>
  <c r="AI3159" i="16"/>
  <c r="AF3159" i="16"/>
  <c r="AN3158" i="16"/>
  <c r="AM3158" i="16"/>
  <c r="AL3158" i="16"/>
  <c r="AK3158" i="16"/>
  <c r="AJ3158" i="16"/>
  <c r="AI3158" i="16"/>
  <c r="AF3158" i="16"/>
  <c r="AN3157" i="16"/>
  <c r="AM3157" i="16"/>
  <c r="AL3157" i="16"/>
  <c r="AK3157" i="16"/>
  <c r="AJ3157" i="16"/>
  <c r="AI3157" i="16"/>
  <c r="AF3157" i="16"/>
  <c r="AN3156" i="16"/>
  <c r="AM3156" i="16"/>
  <c r="AL3156" i="16"/>
  <c r="AK3156" i="16"/>
  <c r="AJ3156" i="16"/>
  <c r="AI3156" i="16"/>
  <c r="AF3156" i="16"/>
  <c r="AN3155" i="16"/>
  <c r="AM3155" i="16"/>
  <c r="AL3155" i="16"/>
  <c r="AK3155" i="16"/>
  <c r="AJ3155" i="16"/>
  <c r="AI3155" i="16"/>
  <c r="AF3155" i="16"/>
  <c r="AN3154" i="16"/>
  <c r="AM3154" i="16"/>
  <c r="AL3154" i="16"/>
  <c r="AK3154" i="16"/>
  <c r="AJ3154" i="16"/>
  <c r="AI3154" i="16"/>
  <c r="AF3154" i="16"/>
  <c r="AN3153" i="16"/>
  <c r="AM3153" i="16"/>
  <c r="AL3153" i="16"/>
  <c r="AK3153" i="16"/>
  <c r="AJ3153" i="16"/>
  <c r="AI3153" i="16"/>
  <c r="AF3153" i="16"/>
  <c r="AN3152" i="16"/>
  <c r="AM3152" i="16"/>
  <c r="AL3152" i="16"/>
  <c r="AK3152" i="16"/>
  <c r="AJ3152" i="16"/>
  <c r="AI3152" i="16"/>
  <c r="AF3152" i="16"/>
  <c r="AN3151" i="16"/>
  <c r="AM3151" i="16"/>
  <c r="AL3151" i="16"/>
  <c r="AK3151" i="16"/>
  <c r="AJ3151" i="16"/>
  <c r="AI3151" i="16"/>
  <c r="AF3151" i="16"/>
  <c r="AN3150" i="16"/>
  <c r="AM3150" i="16"/>
  <c r="AL3150" i="16"/>
  <c r="AK3150" i="16"/>
  <c r="AJ3150" i="16"/>
  <c r="AI3150" i="16"/>
  <c r="AF3150" i="16"/>
  <c r="AN3149" i="16"/>
  <c r="AM3149" i="16"/>
  <c r="AL3149" i="16"/>
  <c r="AK3149" i="16"/>
  <c r="AJ3149" i="16"/>
  <c r="AI3149" i="16"/>
  <c r="AF3149" i="16"/>
  <c r="AN3148" i="16"/>
  <c r="AM3148" i="16"/>
  <c r="AL3148" i="16"/>
  <c r="AK3148" i="16"/>
  <c r="AJ3148" i="16"/>
  <c r="AI3148" i="16"/>
  <c r="AF3148" i="16"/>
  <c r="AN3147" i="16"/>
  <c r="AM3147" i="16"/>
  <c r="AL3147" i="16"/>
  <c r="AK3147" i="16"/>
  <c r="AJ3147" i="16"/>
  <c r="AI3147" i="16"/>
  <c r="AF3147" i="16"/>
  <c r="AN3146" i="16"/>
  <c r="AM3146" i="16"/>
  <c r="AL3146" i="16"/>
  <c r="AK3146" i="16"/>
  <c r="AJ3146" i="16"/>
  <c r="AI3146" i="16"/>
  <c r="AF3146" i="16"/>
  <c r="AN3145" i="16"/>
  <c r="AM3145" i="16"/>
  <c r="AL3145" i="16"/>
  <c r="AK3145" i="16"/>
  <c r="AJ3145" i="16"/>
  <c r="AI3145" i="16"/>
  <c r="AF3145" i="16"/>
  <c r="AN3144" i="16"/>
  <c r="AM3144" i="16"/>
  <c r="AL3144" i="16"/>
  <c r="AK3144" i="16"/>
  <c r="AJ3144" i="16"/>
  <c r="AI3144" i="16"/>
  <c r="AF3144" i="16"/>
  <c r="AN3143" i="16"/>
  <c r="AM3143" i="16"/>
  <c r="AL3143" i="16"/>
  <c r="AK3143" i="16"/>
  <c r="AJ3143" i="16"/>
  <c r="AI3143" i="16"/>
  <c r="AF3143" i="16"/>
  <c r="AN3142" i="16"/>
  <c r="AM3142" i="16"/>
  <c r="AL3142" i="16"/>
  <c r="AK3142" i="16"/>
  <c r="AJ3142" i="16"/>
  <c r="AI3142" i="16"/>
  <c r="AF3142" i="16"/>
  <c r="AN3141" i="16"/>
  <c r="AM3141" i="16"/>
  <c r="AL3141" i="16"/>
  <c r="AK3141" i="16"/>
  <c r="AJ3141" i="16"/>
  <c r="AI3141" i="16"/>
  <c r="AF3141" i="16"/>
  <c r="AN3140" i="16"/>
  <c r="AM3140" i="16"/>
  <c r="AL3140" i="16"/>
  <c r="AK3140" i="16"/>
  <c r="AJ3140" i="16"/>
  <c r="AI3140" i="16"/>
  <c r="AF3140" i="16"/>
  <c r="AN3139" i="16"/>
  <c r="AM3139" i="16"/>
  <c r="AL3139" i="16"/>
  <c r="AK3139" i="16"/>
  <c r="AJ3139" i="16"/>
  <c r="AI3139" i="16"/>
  <c r="AF3139" i="16"/>
  <c r="AN3138" i="16"/>
  <c r="AM3138" i="16"/>
  <c r="AL3138" i="16"/>
  <c r="AK3138" i="16"/>
  <c r="AJ3138" i="16"/>
  <c r="AI3138" i="16"/>
  <c r="AF3138" i="16"/>
  <c r="AN3137" i="16"/>
  <c r="AM3137" i="16"/>
  <c r="AL3137" i="16"/>
  <c r="AK3137" i="16"/>
  <c r="AJ3137" i="16"/>
  <c r="AI3137" i="16"/>
  <c r="AF3137" i="16"/>
  <c r="AN3136" i="16"/>
  <c r="AM3136" i="16"/>
  <c r="AL3136" i="16"/>
  <c r="AK3136" i="16"/>
  <c r="AJ3136" i="16"/>
  <c r="AI3136" i="16"/>
  <c r="AF3136" i="16"/>
  <c r="AN3135" i="16"/>
  <c r="AM3135" i="16"/>
  <c r="AL3135" i="16"/>
  <c r="AK3135" i="16"/>
  <c r="AJ3135" i="16"/>
  <c r="AI3135" i="16"/>
  <c r="AF3135" i="16"/>
  <c r="AN3134" i="16"/>
  <c r="AM3134" i="16"/>
  <c r="AL3134" i="16"/>
  <c r="AK3134" i="16"/>
  <c r="AJ3134" i="16"/>
  <c r="AI3134" i="16"/>
  <c r="AF3134" i="16"/>
  <c r="AN3133" i="16"/>
  <c r="AM3133" i="16"/>
  <c r="AL3133" i="16"/>
  <c r="AK3133" i="16"/>
  <c r="AJ3133" i="16"/>
  <c r="AI3133" i="16"/>
  <c r="AF3133" i="16"/>
  <c r="AN3132" i="16"/>
  <c r="AM3132" i="16"/>
  <c r="AL3132" i="16"/>
  <c r="AK3132" i="16"/>
  <c r="AJ3132" i="16"/>
  <c r="AI3132" i="16"/>
  <c r="AF3132" i="16"/>
  <c r="AN3131" i="16"/>
  <c r="AM3131" i="16"/>
  <c r="AL3131" i="16"/>
  <c r="AK3131" i="16"/>
  <c r="AJ3131" i="16"/>
  <c r="AI3131" i="16"/>
  <c r="AF3131" i="16"/>
  <c r="AN3130" i="16"/>
  <c r="AM3130" i="16"/>
  <c r="AL3130" i="16"/>
  <c r="AK3130" i="16"/>
  <c r="AJ3130" i="16"/>
  <c r="AI3130" i="16"/>
  <c r="AF3130" i="16"/>
  <c r="AN3129" i="16"/>
  <c r="AM3129" i="16"/>
  <c r="AL3129" i="16"/>
  <c r="AK3129" i="16"/>
  <c r="AJ3129" i="16"/>
  <c r="AI3129" i="16"/>
  <c r="AF3129" i="16"/>
  <c r="AN3128" i="16"/>
  <c r="AM3128" i="16"/>
  <c r="AL3128" i="16"/>
  <c r="AK3128" i="16"/>
  <c r="AJ3128" i="16"/>
  <c r="AI3128" i="16"/>
  <c r="AF3128" i="16"/>
  <c r="AN3127" i="16"/>
  <c r="AM3127" i="16"/>
  <c r="AL3127" i="16"/>
  <c r="AK3127" i="16"/>
  <c r="AJ3127" i="16"/>
  <c r="AI3127" i="16"/>
  <c r="AF3127" i="16"/>
  <c r="AN3126" i="16"/>
  <c r="AM3126" i="16"/>
  <c r="AL3126" i="16"/>
  <c r="AK3126" i="16"/>
  <c r="AJ3126" i="16"/>
  <c r="AI3126" i="16"/>
  <c r="AF3126" i="16"/>
  <c r="AN3125" i="16"/>
  <c r="AM3125" i="16"/>
  <c r="AL3125" i="16"/>
  <c r="AK3125" i="16"/>
  <c r="AJ3125" i="16"/>
  <c r="AI3125" i="16"/>
  <c r="AF3125" i="16"/>
  <c r="AN3124" i="16"/>
  <c r="AM3124" i="16"/>
  <c r="AL3124" i="16"/>
  <c r="AK3124" i="16"/>
  <c r="AJ3124" i="16"/>
  <c r="AI3124" i="16"/>
  <c r="AF3124" i="16"/>
  <c r="AN3123" i="16"/>
  <c r="AM3123" i="16"/>
  <c r="AL3123" i="16"/>
  <c r="AK3123" i="16"/>
  <c r="AJ3123" i="16"/>
  <c r="AI3123" i="16"/>
  <c r="AF3123" i="16"/>
  <c r="AN3122" i="16"/>
  <c r="AM3122" i="16"/>
  <c r="AL3122" i="16"/>
  <c r="AK3122" i="16"/>
  <c r="AJ3122" i="16"/>
  <c r="AI3122" i="16"/>
  <c r="AF3122" i="16"/>
  <c r="AN3121" i="16"/>
  <c r="AM3121" i="16"/>
  <c r="AL3121" i="16"/>
  <c r="AK3121" i="16"/>
  <c r="AJ3121" i="16"/>
  <c r="AI3121" i="16"/>
  <c r="AF3121" i="16"/>
  <c r="AN3120" i="16"/>
  <c r="AM3120" i="16"/>
  <c r="AL3120" i="16"/>
  <c r="AK3120" i="16"/>
  <c r="AJ3120" i="16"/>
  <c r="AI3120" i="16"/>
  <c r="AF3120" i="16"/>
  <c r="AN3119" i="16"/>
  <c r="AM3119" i="16"/>
  <c r="AL3119" i="16"/>
  <c r="AK3119" i="16"/>
  <c r="AJ3119" i="16"/>
  <c r="AI3119" i="16"/>
  <c r="AF3119" i="16"/>
  <c r="AN3118" i="16"/>
  <c r="AM3118" i="16"/>
  <c r="AL3118" i="16"/>
  <c r="AK3118" i="16"/>
  <c r="AJ3118" i="16"/>
  <c r="AI3118" i="16"/>
  <c r="AF3118" i="16"/>
  <c r="AN3117" i="16"/>
  <c r="AM3117" i="16"/>
  <c r="AL3117" i="16"/>
  <c r="AK3117" i="16"/>
  <c r="AJ3117" i="16"/>
  <c r="AI3117" i="16"/>
  <c r="AF3117" i="16"/>
  <c r="AN3116" i="16"/>
  <c r="AM3116" i="16"/>
  <c r="AL3116" i="16"/>
  <c r="AK3116" i="16"/>
  <c r="AJ3116" i="16"/>
  <c r="AI3116" i="16"/>
  <c r="AF3116" i="16"/>
  <c r="AN3115" i="16"/>
  <c r="AM3115" i="16"/>
  <c r="AL3115" i="16"/>
  <c r="AK3115" i="16"/>
  <c r="AJ3115" i="16"/>
  <c r="AI3115" i="16"/>
  <c r="AF3115" i="16"/>
  <c r="AN3114" i="16"/>
  <c r="AM3114" i="16"/>
  <c r="AL3114" i="16"/>
  <c r="AK3114" i="16"/>
  <c r="AJ3114" i="16"/>
  <c r="AI3114" i="16"/>
  <c r="AF3114" i="16"/>
  <c r="AN3113" i="16"/>
  <c r="AM3113" i="16"/>
  <c r="AL3113" i="16"/>
  <c r="AK3113" i="16"/>
  <c r="AJ3113" i="16"/>
  <c r="AI3113" i="16"/>
  <c r="AF3113" i="16"/>
  <c r="AN3112" i="16"/>
  <c r="AM3112" i="16"/>
  <c r="AL3112" i="16"/>
  <c r="AK3112" i="16"/>
  <c r="AJ3112" i="16"/>
  <c r="AI3112" i="16"/>
  <c r="AF3112" i="16"/>
  <c r="AN3111" i="16"/>
  <c r="AM3111" i="16"/>
  <c r="AL3111" i="16"/>
  <c r="AK3111" i="16"/>
  <c r="AJ3111" i="16"/>
  <c r="AI3111" i="16"/>
  <c r="AF3111" i="16"/>
  <c r="AN3110" i="16"/>
  <c r="AM3110" i="16"/>
  <c r="AL3110" i="16"/>
  <c r="AK3110" i="16"/>
  <c r="AJ3110" i="16"/>
  <c r="AI3110" i="16"/>
  <c r="AF3110" i="16"/>
  <c r="AN3109" i="16"/>
  <c r="AM3109" i="16"/>
  <c r="AL3109" i="16"/>
  <c r="AK3109" i="16"/>
  <c r="AJ3109" i="16"/>
  <c r="AI3109" i="16"/>
  <c r="AF3109" i="16"/>
  <c r="AN3108" i="16"/>
  <c r="AM3108" i="16"/>
  <c r="AL3108" i="16"/>
  <c r="AK3108" i="16"/>
  <c r="AJ3108" i="16"/>
  <c r="AI3108" i="16"/>
  <c r="AF3108" i="16"/>
  <c r="AN3107" i="16"/>
  <c r="AM3107" i="16"/>
  <c r="AL3107" i="16"/>
  <c r="AK3107" i="16"/>
  <c r="AJ3107" i="16"/>
  <c r="AI3107" i="16"/>
  <c r="AF3107" i="16"/>
  <c r="AN3106" i="16"/>
  <c r="AM3106" i="16"/>
  <c r="AL3106" i="16"/>
  <c r="AK3106" i="16"/>
  <c r="AJ3106" i="16"/>
  <c r="AI3106" i="16"/>
  <c r="AF3106" i="16"/>
  <c r="AN3105" i="16"/>
  <c r="AM3105" i="16"/>
  <c r="AL3105" i="16"/>
  <c r="AK3105" i="16"/>
  <c r="AJ3105" i="16"/>
  <c r="AI3105" i="16"/>
  <c r="AF3105" i="16"/>
  <c r="AN3104" i="16"/>
  <c r="AM3104" i="16"/>
  <c r="AL3104" i="16"/>
  <c r="AK3104" i="16"/>
  <c r="AJ3104" i="16"/>
  <c r="AI3104" i="16"/>
  <c r="AF3104" i="16"/>
  <c r="AN3103" i="16"/>
  <c r="AM3103" i="16"/>
  <c r="AL3103" i="16"/>
  <c r="AK3103" i="16"/>
  <c r="AJ3103" i="16"/>
  <c r="AI3103" i="16"/>
  <c r="AF3103" i="16"/>
  <c r="AN3102" i="16"/>
  <c r="AM3102" i="16"/>
  <c r="AL3102" i="16"/>
  <c r="AK3102" i="16"/>
  <c r="AJ3102" i="16"/>
  <c r="AI3102" i="16"/>
  <c r="AF3102" i="16"/>
  <c r="AN3101" i="16"/>
  <c r="AM3101" i="16"/>
  <c r="AL3101" i="16"/>
  <c r="AK3101" i="16"/>
  <c r="AJ3101" i="16"/>
  <c r="AI3101" i="16"/>
  <c r="AF3101" i="16"/>
  <c r="AN3100" i="16"/>
  <c r="AM3100" i="16"/>
  <c r="AL3100" i="16"/>
  <c r="AK3100" i="16"/>
  <c r="AJ3100" i="16"/>
  <c r="AI3100" i="16"/>
  <c r="AF3100" i="16"/>
  <c r="AN3099" i="16"/>
  <c r="AM3099" i="16"/>
  <c r="AL3099" i="16"/>
  <c r="AK3099" i="16"/>
  <c r="AJ3099" i="16"/>
  <c r="AI3099" i="16"/>
  <c r="AF3099" i="16"/>
  <c r="AN3098" i="16"/>
  <c r="AM3098" i="16"/>
  <c r="AL3098" i="16"/>
  <c r="AK3098" i="16"/>
  <c r="AJ3098" i="16"/>
  <c r="AI3098" i="16"/>
  <c r="AF3098" i="16"/>
  <c r="AN3097" i="16"/>
  <c r="AM3097" i="16"/>
  <c r="AL3097" i="16"/>
  <c r="AK3097" i="16"/>
  <c r="AJ3097" i="16"/>
  <c r="AI3097" i="16"/>
  <c r="AF3097" i="16"/>
  <c r="AN3096" i="16"/>
  <c r="AM3096" i="16"/>
  <c r="AL3096" i="16"/>
  <c r="AK3096" i="16"/>
  <c r="AJ3096" i="16"/>
  <c r="AI3096" i="16"/>
  <c r="AF3096" i="16"/>
  <c r="AN3095" i="16"/>
  <c r="AM3095" i="16"/>
  <c r="AL3095" i="16"/>
  <c r="AK3095" i="16"/>
  <c r="AJ3095" i="16"/>
  <c r="AI3095" i="16"/>
  <c r="AF3095" i="16"/>
  <c r="AN3094" i="16"/>
  <c r="AM3094" i="16"/>
  <c r="AL3094" i="16"/>
  <c r="AK3094" i="16"/>
  <c r="AJ3094" i="16"/>
  <c r="AI3094" i="16"/>
  <c r="AF3094" i="16"/>
  <c r="AN3093" i="16"/>
  <c r="AM3093" i="16"/>
  <c r="AL3093" i="16"/>
  <c r="AK3093" i="16"/>
  <c r="AJ3093" i="16"/>
  <c r="AI3093" i="16"/>
  <c r="AF3093" i="16"/>
  <c r="AN3092" i="16"/>
  <c r="AM3092" i="16"/>
  <c r="AL3092" i="16"/>
  <c r="AK3092" i="16"/>
  <c r="AJ3092" i="16"/>
  <c r="AI3092" i="16"/>
  <c r="AF3092" i="16"/>
  <c r="AN3091" i="16"/>
  <c r="AM3091" i="16"/>
  <c r="AL3091" i="16"/>
  <c r="AK3091" i="16"/>
  <c r="AJ3091" i="16"/>
  <c r="AI3091" i="16"/>
  <c r="AF3091" i="16"/>
  <c r="AN3090" i="16"/>
  <c r="AM3090" i="16"/>
  <c r="AL3090" i="16"/>
  <c r="AK3090" i="16"/>
  <c r="AJ3090" i="16"/>
  <c r="AI3090" i="16"/>
  <c r="AF3090" i="16"/>
  <c r="AN3089" i="16"/>
  <c r="AM3089" i="16"/>
  <c r="AL3089" i="16"/>
  <c r="AK3089" i="16"/>
  <c r="AJ3089" i="16"/>
  <c r="AI3089" i="16"/>
  <c r="AF3089" i="16"/>
  <c r="AN3088" i="16"/>
  <c r="AM3088" i="16"/>
  <c r="AL3088" i="16"/>
  <c r="AK3088" i="16"/>
  <c r="AJ3088" i="16"/>
  <c r="AI3088" i="16"/>
  <c r="AF3088" i="16"/>
  <c r="AN3087" i="16"/>
  <c r="AM3087" i="16"/>
  <c r="AL3087" i="16"/>
  <c r="AK3087" i="16"/>
  <c r="AJ3087" i="16"/>
  <c r="AI3087" i="16"/>
  <c r="AF3087" i="16"/>
  <c r="AN3086" i="16"/>
  <c r="AM3086" i="16"/>
  <c r="AL3086" i="16"/>
  <c r="AK3086" i="16"/>
  <c r="AJ3086" i="16"/>
  <c r="AI3086" i="16"/>
  <c r="AF3086" i="16"/>
  <c r="AN3085" i="16"/>
  <c r="AM3085" i="16"/>
  <c r="AL3085" i="16"/>
  <c r="AK3085" i="16"/>
  <c r="AJ3085" i="16"/>
  <c r="AI3085" i="16"/>
  <c r="AF3085" i="16"/>
  <c r="AN3084" i="16"/>
  <c r="AM3084" i="16"/>
  <c r="AL3084" i="16"/>
  <c r="AK3084" i="16"/>
  <c r="AJ3084" i="16"/>
  <c r="AI3084" i="16"/>
  <c r="AF3084" i="16"/>
  <c r="AN3083" i="16"/>
  <c r="AM3083" i="16"/>
  <c r="AL3083" i="16"/>
  <c r="AK3083" i="16"/>
  <c r="AJ3083" i="16"/>
  <c r="AI3083" i="16"/>
  <c r="AF3083" i="16"/>
  <c r="AN3082" i="16"/>
  <c r="AM3082" i="16"/>
  <c r="AL3082" i="16"/>
  <c r="AK3082" i="16"/>
  <c r="AJ3082" i="16"/>
  <c r="AI3082" i="16"/>
  <c r="AF3082" i="16"/>
  <c r="AN3081" i="16"/>
  <c r="AM3081" i="16"/>
  <c r="AL3081" i="16"/>
  <c r="AK3081" i="16"/>
  <c r="AJ3081" i="16"/>
  <c r="AI3081" i="16"/>
  <c r="AF3081" i="16"/>
  <c r="AN3080" i="16"/>
  <c r="AM3080" i="16"/>
  <c r="AL3080" i="16"/>
  <c r="AK3080" i="16"/>
  <c r="AJ3080" i="16"/>
  <c r="AI3080" i="16"/>
  <c r="AF3080" i="16"/>
  <c r="AN3079" i="16"/>
  <c r="AM3079" i="16"/>
  <c r="AL3079" i="16"/>
  <c r="AK3079" i="16"/>
  <c r="AJ3079" i="16"/>
  <c r="AI3079" i="16"/>
  <c r="AF3079" i="16"/>
  <c r="AN3078" i="16"/>
  <c r="AM3078" i="16"/>
  <c r="AL3078" i="16"/>
  <c r="AK3078" i="16"/>
  <c r="AJ3078" i="16"/>
  <c r="AI3078" i="16"/>
  <c r="AF3078" i="16"/>
  <c r="AN3077" i="16"/>
  <c r="AM3077" i="16"/>
  <c r="AL3077" i="16"/>
  <c r="AK3077" i="16"/>
  <c r="AJ3077" i="16"/>
  <c r="AI3077" i="16"/>
  <c r="AF3077" i="16"/>
  <c r="AN3076" i="16"/>
  <c r="AM3076" i="16"/>
  <c r="AL3076" i="16"/>
  <c r="AK3076" i="16"/>
  <c r="AJ3076" i="16"/>
  <c r="AI3076" i="16"/>
  <c r="AF3076" i="16"/>
  <c r="AN3075" i="16"/>
  <c r="AM3075" i="16"/>
  <c r="AL3075" i="16"/>
  <c r="AK3075" i="16"/>
  <c r="AJ3075" i="16"/>
  <c r="AI3075" i="16"/>
  <c r="AF3075" i="16"/>
  <c r="AN3074" i="16"/>
  <c r="AM3074" i="16"/>
  <c r="AL3074" i="16"/>
  <c r="AK3074" i="16"/>
  <c r="AJ3074" i="16"/>
  <c r="AI3074" i="16"/>
  <c r="AF3074" i="16"/>
  <c r="AN3073" i="16"/>
  <c r="AM3073" i="16"/>
  <c r="AL3073" i="16"/>
  <c r="AK3073" i="16"/>
  <c r="AJ3073" i="16"/>
  <c r="AI3073" i="16"/>
  <c r="AF3073" i="16"/>
  <c r="AN3072" i="16"/>
  <c r="AM3072" i="16"/>
  <c r="AL3072" i="16"/>
  <c r="AK3072" i="16"/>
  <c r="AJ3072" i="16"/>
  <c r="AI3072" i="16"/>
  <c r="AF3072" i="16"/>
  <c r="AN3071" i="16"/>
  <c r="AM3071" i="16"/>
  <c r="AL3071" i="16"/>
  <c r="AK3071" i="16"/>
  <c r="AJ3071" i="16"/>
  <c r="AI3071" i="16"/>
  <c r="AF3071" i="16"/>
  <c r="AN3070" i="16"/>
  <c r="AM3070" i="16"/>
  <c r="AL3070" i="16"/>
  <c r="AK3070" i="16"/>
  <c r="AJ3070" i="16"/>
  <c r="AI3070" i="16"/>
  <c r="AF3070" i="16"/>
  <c r="AN3069" i="16"/>
  <c r="AM3069" i="16"/>
  <c r="AL3069" i="16"/>
  <c r="AK3069" i="16"/>
  <c r="AJ3069" i="16"/>
  <c r="AI3069" i="16"/>
  <c r="AF3069" i="16"/>
  <c r="AN3068" i="16"/>
  <c r="AM3068" i="16"/>
  <c r="AL3068" i="16"/>
  <c r="AK3068" i="16"/>
  <c r="AJ3068" i="16"/>
  <c r="AI3068" i="16"/>
  <c r="AF3068" i="16"/>
  <c r="AN3067" i="16"/>
  <c r="AM3067" i="16"/>
  <c r="AL3067" i="16"/>
  <c r="AK3067" i="16"/>
  <c r="AJ3067" i="16"/>
  <c r="AI3067" i="16"/>
  <c r="AF3067" i="16"/>
  <c r="AN3066" i="16"/>
  <c r="AM3066" i="16"/>
  <c r="AL3066" i="16"/>
  <c r="AK3066" i="16"/>
  <c r="AJ3066" i="16"/>
  <c r="AI3066" i="16"/>
  <c r="AF3066" i="16"/>
  <c r="AN3065" i="16"/>
  <c r="AM3065" i="16"/>
  <c r="AL3065" i="16"/>
  <c r="AK3065" i="16"/>
  <c r="AJ3065" i="16"/>
  <c r="AI3065" i="16"/>
  <c r="AF3065" i="16"/>
  <c r="AN3064" i="16"/>
  <c r="AM3064" i="16"/>
  <c r="AL3064" i="16"/>
  <c r="AK3064" i="16"/>
  <c r="AJ3064" i="16"/>
  <c r="AI3064" i="16"/>
  <c r="AF3064" i="16"/>
  <c r="AN3063" i="16"/>
  <c r="AM3063" i="16"/>
  <c r="AL3063" i="16"/>
  <c r="AK3063" i="16"/>
  <c r="AJ3063" i="16"/>
  <c r="AI3063" i="16"/>
  <c r="AF3063" i="16"/>
  <c r="AN3062" i="16"/>
  <c r="AM3062" i="16"/>
  <c r="AL3062" i="16"/>
  <c r="AK3062" i="16"/>
  <c r="AJ3062" i="16"/>
  <c r="AI3062" i="16"/>
  <c r="AF3062" i="16"/>
  <c r="AN3061" i="16"/>
  <c r="AM3061" i="16"/>
  <c r="AL3061" i="16"/>
  <c r="AK3061" i="16"/>
  <c r="AJ3061" i="16"/>
  <c r="AI3061" i="16"/>
  <c r="AF3061" i="16"/>
  <c r="AN3060" i="16"/>
  <c r="AM3060" i="16"/>
  <c r="AL3060" i="16"/>
  <c r="AK3060" i="16"/>
  <c r="AJ3060" i="16"/>
  <c r="AI3060" i="16"/>
  <c r="AF3060" i="16"/>
  <c r="AN3059" i="16"/>
  <c r="AM3059" i="16"/>
  <c r="AL3059" i="16"/>
  <c r="AK3059" i="16"/>
  <c r="AJ3059" i="16"/>
  <c r="AI3059" i="16"/>
  <c r="AF3059" i="16"/>
  <c r="AN3058" i="16"/>
  <c r="AM3058" i="16"/>
  <c r="AL3058" i="16"/>
  <c r="AK3058" i="16"/>
  <c r="AJ3058" i="16"/>
  <c r="AI3058" i="16"/>
  <c r="AF3058" i="16"/>
  <c r="AN3057" i="16"/>
  <c r="AM3057" i="16"/>
  <c r="AL3057" i="16"/>
  <c r="AK3057" i="16"/>
  <c r="AJ3057" i="16"/>
  <c r="AI3057" i="16"/>
  <c r="AF3057" i="16"/>
  <c r="AN3056" i="16"/>
  <c r="AM3056" i="16"/>
  <c r="AL3056" i="16"/>
  <c r="AK3056" i="16"/>
  <c r="AJ3056" i="16"/>
  <c r="AI3056" i="16"/>
  <c r="AF3056" i="16"/>
  <c r="AN3055" i="16"/>
  <c r="AM3055" i="16"/>
  <c r="AL3055" i="16"/>
  <c r="AK3055" i="16"/>
  <c r="AJ3055" i="16"/>
  <c r="AI3055" i="16"/>
  <c r="AF3055" i="16"/>
  <c r="AN3054" i="16"/>
  <c r="AM3054" i="16"/>
  <c r="AL3054" i="16"/>
  <c r="AK3054" i="16"/>
  <c r="AJ3054" i="16"/>
  <c r="AI3054" i="16"/>
  <c r="AF3054" i="16"/>
  <c r="AN3053" i="16"/>
  <c r="AM3053" i="16"/>
  <c r="AL3053" i="16"/>
  <c r="AK3053" i="16"/>
  <c r="AJ3053" i="16"/>
  <c r="AI3053" i="16"/>
  <c r="AF3053" i="16"/>
  <c r="AN3052" i="16"/>
  <c r="AM3052" i="16"/>
  <c r="AL3052" i="16"/>
  <c r="AK3052" i="16"/>
  <c r="AJ3052" i="16"/>
  <c r="AI3052" i="16"/>
  <c r="AF3052" i="16"/>
  <c r="AN3051" i="16"/>
  <c r="AM3051" i="16"/>
  <c r="AL3051" i="16"/>
  <c r="AK3051" i="16"/>
  <c r="AJ3051" i="16"/>
  <c r="AI3051" i="16"/>
  <c r="AF3051" i="16"/>
  <c r="AN3050" i="16"/>
  <c r="AM3050" i="16"/>
  <c r="AL3050" i="16"/>
  <c r="AK3050" i="16"/>
  <c r="AJ3050" i="16"/>
  <c r="AI3050" i="16"/>
  <c r="AF3050" i="16"/>
  <c r="AN3049" i="16"/>
  <c r="AM3049" i="16"/>
  <c r="AL3049" i="16"/>
  <c r="AK3049" i="16"/>
  <c r="AJ3049" i="16"/>
  <c r="AI3049" i="16"/>
  <c r="AF3049" i="16"/>
  <c r="AN3048" i="16"/>
  <c r="AM3048" i="16"/>
  <c r="AL3048" i="16"/>
  <c r="AK3048" i="16"/>
  <c r="AJ3048" i="16"/>
  <c r="AI3048" i="16"/>
  <c r="AF3048" i="16"/>
  <c r="AN3047" i="16"/>
  <c r="AM3047" i="16"/>
  <c r="AL3047" i="16"/>
  <c r="AK3047" i="16"/>
  <c r="AJ3047" i="16"/>
  <c r="AI3047" i="16"/>
  <c r="AF3047" i="16"/>
  <c r="AN3046" i="16"/>
  <c r="AM3046" i="16"/>
  <c r="AL3046" i="16"/>
  <c r="AK3046" i="16"/>
  <c r="AJ3046" i="16"/>
  <c r="AI3046" i="16"/>
  <c r="AF3046" i="16"/>
  <c r="AN3045" i="16"/>
  <c r="AM3045" i="16"/>
  <c r="AL3045" i="16"/>
  <c r="AK3045" i="16"/>
  <c r="AJ3045" i="16"/>
  <c r="AI3045" i="16"/>
  <c r="AF3045" i="16"/>
  <c r="AN3044" i="16"/>
  <c r="AM3044" i="16"/>
  <c r="AL3044" i="16"/>
  <c r="AK3044" i="16"/>
  <c r="AJ3044" i="16"/>
  <c r="AI3044" i="16"/>
  <c r="AF3044" i="16"/>
  <c r="AN3043" i="16"/>
  <c r="AM3043" i="16"/>
  <c r="AL3043" i="16"/>
  <c r="AK3043" i="16"/>
  <c r="AJ3043" i="16"/>
  <c r="AI3043" i="16"/>
  <c r="AF3043" i="16"/>
  <c r="AN3042" i="16"/>
  <c r="AM3042" i="16"/>
  <c r="AL3042" i="16"/>
  <c r="AK3042" i="16"/>
  <c r="AJ3042" i="16"/>
  <c r="AI3042" i="16"/>
  <c r="AF3042" i="16"/>
  <c r="AN3041" i="16"/>
  <c r="AM3041" i="16"/>
  <c r="AL3041" i="16"/>
  <c r="AK3041" i="16"/>
  <c r="AJ3041" i="16"/>
  <c r="AI3041" i="16"/>
  <c r="AF3041" i="16"/>
  <c r="AN3040" i="16"/>
  <c r="AM3040" i="16"/>
  <c r="AL3040" i="16"/>
  <c r="AK3040" i="16"/>
  <c r="AJ3040" i="16"/>
  <c r="AI3040" i="16"/>
  <c r="AF3040" i="16"/>
  <c r="AN3039" i="16"/>
  <c r="AM3039" i="16"/>
  <c r="AL3039" i="16"/>
  <c r="AK3039" i="16"/>
  <c r="AJ3039" i="16"/>
  <c r="AI3039" i="16"/>
  <c r="AF3039" i="16"/>
  <c r="AN3038" i="16"/>
  <c r="AM3038" i="16"/>
  <c r="AL3038" i="16"/>
  <c r="AK3038" i="16"/>
  <c r="AJ3038" i="16"/>
  <c r="AI3038" i="16"/>
  <c r="AF3038" i="16"/>
  <c r="AN3037" i="16"/>
  <c r="AM3037" i="16"/>
  <c r="AL3037" i="16"/>
  <c r="AK3037" i="16"/>
  <c r="AJ3037" i="16"/>
  <c r="AI3037" i="16"/>
  <c r="AF3037" i="16"/>
  <c r="AN3036" i="16"/>
  <c r="AM3036" i="16"/>
  <c r="AL3036" i="16"/>
  <c r="AK3036" i="16"/>
  <c r="AJ3036" i="16"/>
  <c r="AI3036" i="16"/>
  <c r="AF3036" i="16"/>
  <c r="AN3035" i="16"/>
  <c r="AM3035" i="16"/>
  <c r="AL3035" i="16"/>
  <c r="AK3035" i="16"/>
  <c r="AJ3035" i="16"/>
  <c r="AI3035" i="16"/>
  <c r="AF3035" i="16"/>
  <c r="AN3034" i="16"/>
  <c r="AM3034" i="16"/>
  <c r="AL3034" i="16"/>
  <c r="AK3034" i="16"/>
  <c r="AJ3034" i="16"/>
  <c r="AI3034" i="16"/>
  <c r="AF3034" i="16"/>
  <c r="AN3033" i="16"/>
  <c r="AM3033" i="16"/>
  <c r="AL3033" i="16"/>
  <c r="AK3033" i="16"/>
  <c r="AJ3033" i="16"/>
  <c r="AI3033" i="16"/>
  <c r="AF3033" i="16"/>
  <c r="AN3032" i="16"/>
  <c r="AM3032" i="16"/>
  <c r="AL3032" i="16"/>
  <c r="AK3032" i="16"/>
  <c r="AJ3032" i="16"/>
  <c r="AI3032" i="16"/>
  <c r="AF3032" i="16"/>
  <c r="AN3031" i="16"/>
  <c r="AM3031" i="16"/>
  <c r="AL3031" i="16"/>
  <c r="AK3031" i="16"/>
  <c r="AJ3031" i="16"/>
  <c r="AI3031" i="16"/>
  <c r="AF3031" i="16"/>
  <c r="AN3030" i="16"/>
  <c r="AM3030" i="16"/>
  <c r="AL3030" i="16"/>
  <c r="AK3030" i="16"/>
  <c r="AJ3030" i="16"/>
  <c r="AI3030" i="16"/>
  <c r="AF3030" i="16"/>
  <c r="AN3029" i="16"/>
  <c r="AM3029" i="16"/>
  <c r="AL3029" i="16"/>
  <c r="AK3029" i="16"/>
  <c r="AJ3029" i="16"/>
  <c r="AI3029" i="16"/>
  <c r="AF3029" i="16"/>
  <c r="AN3028" i="16"/>
  <c r="AM3028" i="16"/>
  <c r="AL3028" i="16"/>
  <c r="AK3028" i="16"/>
  <c r="AJ3028" i="16"/>
  <c r="AI3028" i="16"/>
  <c r="AF3028" i="16"/>
  <c r="AN3027" i="16"/>
  <c r="AM3027" i="16"/>
  <c r="AL3027" i="16"/>
  <c r="AK3027" i="16"/>
  <c r="AJ3027" i="16"/>
  <c r="AI3027" i="16"/>
  <c r="AF3027" i="16"/>
  <c r="AN3026" i="16"/>
  <c r="AM3026" i="16"/>
  <c r="AL3026" i="16"/>
  <c r="AK3026" i="16"/>
  <c r="AJ3026" i="16"/>
  <c r="AI3026" i="16"/>
  <c r="AF3026" i="16"/>
  <c r="AN3025" i="16"/>
  <c r="AM3025" i="16"/>
  <c r="AL3025" i="16"/>
  <c r="AK3025" i="16"/>
  <c r="AJ3025" i="16"/>
  <c r="AI3025" i="16"/>
  <c r="AF3025" i="16"/>
  <c r="AN3024" i="16"/>
  <c r="AM3024" i="16"/>
  <c r="AL3024" i="16"/>
  <c r="AK3024" i="16"/>
  <c r="AJ3024" i="16"/>
  <c r="AI3024" i="16"/>
  <c r="AF3024" i="16"/>
  <c r="AN3023" i="16"/>
  <c r="AM3023" i="16"/>
  <c r="AL3023" i="16"/>
  <c r="AK3023" i="16"/>
  <c r="AJ3023" i="16"/>
  <c r="AI3023" i="16"/>
  <c r="AF3023" i="16"/>
  <c r="AN3022" i="16"/>
  <c r="AM3022" i="16"/>
  <c r="AL3022" i="16"/>
  <c r="AK3022" i="16"/>
  <c r="AJ3022" i="16"/>
  <c r="AI3022" i="16"/>
  <c r="AF3022" i="16"/>
  <c r="AN3021" i="16"/>
  <c r="AM3021" i="16"/>
  <c r="AL3021" i="16"/>
  <c r="AK3021" i="16"/>
  <c r="AJ3021" i="16"/>
  <c r="AI3021" i="16"/>
  <c r="AF3021" i="16"/>
  <c r="AN3020" i="16"/>
  <c r="AM3020" i="16"/>
  <c r="AL3020" i="16"/>
  <c r="AK3020" i="16"/>
  <c r="AJ3020" i="16"/>
  <c r="AI3020" i="16"/>
  <c r="AF3020" i="16"/>
  <c r="AN3019" i="16"/>
  <c r="AM3019" i="16"/>
  <c r="AL3019" i="16"/>
  <c r="AK3019" i="16"/>
  <c r="AJ3019" i="16"/>
  <c r="AI3019" i="16"/>
  <c r="AF3019" i="16"/>
  <c r="AN3018" i="16"/>
  <c r="AM3018" i="16"/>
  <c r="AL3018" i="16"/>
  <c r="AK3018" i="16"/>
  <c r="AJ3018" i="16"/>
  <c r="AI3018" i="16"/>
  <c r="AF3018" i="16"/>
  <c r="AN3017" i="16"/>
  <c r="AM3017" i="16"/>
  <c r="AL3017" i="16"/>
  <c r="AK3017" i="16"/>
  <c r="AJ3017" i="16"/>
  <c r="AI3017" i="16"/>
  <c r="AF3017" i="16"/>
  <c r="AN3016" i="16"/>
  <c r="AM3016" i="16"/>
  <c r="AL3016" i="16"/>
  <c r="AK3016" i="16"/>
  <c r="AJ3016" i="16"/>
  <c r="AI3016" i="16"/>
  <c r="AF3016" i="16"/>
  <c r="AN3015" i="16"/>
  <c r="AM3015" i="16"/>
  <c r="AL3015" i="16"/>
  <c r="AK3015" i="16"/>
  <c r="AJ3015" i="16"/>
  <c r="AI3015" i="16"/>
  <c r="AF3015" i="16"/>
  <c r="AN3014" i="16"/>
  <c r="AM3014" i="16"/>
  <c r="AL3014" i="16"/>
  <c r="AK3014" i="16"/>
  <c r="AJ3014" i="16"/>
  <c r="AI3014" i="16"/>
  <c r="AF3014" i="16"/>
  <c r="AN3013" i="16"/>
  <c r="AM3013" i="16"/>
  <c r="AL3013" i="16"/>
  <c r="AK3013" i="16"/>
  <c r="AJ3013" i="16"/>
  <c r="AI3013" i="16"/>
  <c r="AF3013" i="16"/>
  <c r="AN3012" i="16"/>
  <c r="AM3012" i="16"/>
  <c r="AL3012" i="16"/>
  <c r="AK3012" i="16"/>
  <c r="AJ3012" i="16"/>
  <c r="AI3012" i="16"/>
  <c r="AF3012" i="16"/>
  <c r="AN3011" i="16"/>
  <c r="AM3011" i="16"/>
  <c r="AL3011" i="16"/>
  <c r="AK3011" i="16"/>
  <c r="AJ3011" i="16"/>
  <c r="AI3011" i="16"/>
  <c r="AF3011" i="16"/>
  <c r="AN3010" i="16"/>
  <c r="AM3010" i="16"/>
  <c r="AL3010" i="16"/>
  <c r="AK3010" i="16"/>
  <c r="AJ3010" i="16"/>
  <c r="AI3010" i="16"/>
  <c r="AF3010" i="16"/>
  <c r="AN3009" i="16"/>
  <c r="AM3009" i="16"/>
  <c r="AL3009" i="16"/>
  <c r="AK3009" i="16"/>
  <c r="AJ3009" i="16"/>
  <c r="AI3009" i="16"/>
  <c r="AF3009" i="16"/>
  <c r="AN3008" i="16"/>
  <c r="AM3008" i="16"/>
  <c r="AL3008" i="16"/>
  <c r="AK3008" i="16"/>
  <c r="AJ3008" i="16"/>
  <c r="AI3008" i="16"/>
  <c r="AF3008" i="16"/>
  <c r="AN3007" i="16"/>
  <c r="AM3007" i="16"/>
  <c r="AL3007" i="16"/>
  <c r="AK3007" i="16"/>
  <c r="AJ3007" i="16"/>
  <c r="AI3007" i="16"/>
  <c r="AF3007" i="16"/>
  <c r="AN3006" i="16"/>
  <c r="AM3006" i="16"/>
  <c r="AL3006" i="16"/>
  <c r="AK3006" i="16"/>
  <c r="AJ3006" i="16"/>
  <c r="AI3006" i="16"/>
  <c r="AF3006" i="16"/>
  <c r="AN3005" i="16"/>
  <c r="AM3005" i="16"/>
  <c r="AL3005" i="16"/>
  <c r="AK3005" i="16"/>
  <c r="AJ3005" i="16"/>
  <c r="AI3005" i="16"/>
  <c r="AF3005" i="16"/>
  <c r="AN3004" i="16"/>
  <c r="AM3004" i="16"/>
  <c r="AL3004" i="16"/>
  <c r="AK3004" i="16"/>
  <c r="AJ3004" i="16"/>
  <c r="AI3004" i="16"/>
  <c r="AF3004" i="16"/>
  <c r="AN3003" i="16"/>
  <c r="AM3003" i="16"/>
  <c r="AL3003" i="16"/>
  <c r="AK3003" i="16"/>
  <c r="AJ3003" i="16"/>
  <c r="AI3003" i="16"/>
  <c r="AF3003" i="16"/>
  <c r="AN3002" i="16"/>
  <c r="AM3002" i="16"/>
  <c r="AL3002" i="16"/>
  <c r="AK3002" i="16"/>
  <c r="AJ3002" i="16"/>
  <c r="AI3002" i="16"/>
  <c r="AF3002" i="16"/>
  <c r="AN3001" i="16"/>
  <c r="AM3001" i="16"/>
  <c r="AL3001" i="16"/>
  <c r="AK3001" i="16"/>
  <c r="AJ3001" i="16"/>
  <c r="AI3001" i="16"/>
  <c r="AF3001" i="16"/>
  <c r="AN3000" i="16"/>
  <c r="AM3000" i="16"/>
  <c r="AL3000" i="16"/>
  <c r="AK3000" i="16"/>
  <c r="AJ3000" i="16"/>
  <c r="AI3000" i="16"/>
  <c r="AF3000" i="16"/>
  <c r="AN2999" i="16"/>
  <c r="AM2999" i="16"/>
  <c r="AL2999" i="16"/>
  <c r="AK2999" i="16"/>
  <c r="AJ2999" i="16"/>
  <c r="AI2999" i="16"/>
  <c r="AF2999" i="16"/>
  <c r="AN2998" i="16"/>
  <c r="AM2998" i="16"/>
  <c r="AL2998" i="16"/>
  <c r="AK2998" i="16"/>
  <c r="AJ2998" i="16"/>
  <c r="AI2998" i="16"/>
  <c r="AF2998" i="16"/>
  <c r="AN2997" i="16"/>
  <c r="AM2997" i="16"/>
  <c r="AL2997" i="16"/>
  <c r="AK2997" i="16"/>
  <c r="AJ2997" i="16"/>
  <c r="AI2997" i="16"/>
  <c r="AF2997" i="16"/>
  <c r="AN2996" i="16"/>
  <c r="AM2996" i="16"/>
  <c r="AL2996" i="16"/>
  <c r="AK2996" i="16"/>
  <c r="AJ2996" i="16"/>
  <c r="AI2996" i="16"/>
  <c r="AF2996" i="16"/>
  <c r="AN2995" i="16"/>
  <c r="AM2995" i="16"/>
  <c r="AL2995" i="16"/>
  <c r="AK2995" i="16"/>
  <c r="AJ2995" i="16"/>
  <c r="AI2995" i="16"/>
  <c r="AF2995" i="16"/>
  <c r="AN2994" i="16"/>
  <c r="AM2994" i="16"/>
  <c r="AL2994" i="16"/>
  <c r="AK2994" i="16"/>
  <c r="AJ2994" i="16"/>
  <c r="AI2994" i="16"/>
  <c r="AF2994" i="16"/>
  <c r="AN2993" i="16"/>
  <c r="AM2993" i="16"/>
  <c r="AL2993" i="16"/>
  <c r="AK2993" i="16"/>
  <c r="AJ2993" i="16"/>
  <c r="AI2993" i="16"/>
  <c r="AF2993" i="16"/>
  <c r="AN2992" i="16"/>
  <c r="AM2992" i="16"/>
  <c r="AL2992" i="16"/>
  <c r="AK2992" i="16"/>
  <c r="AJ2992" i="16"/>
  <c r="AI2992" i="16"/>
  <c r="AF2992" i="16"/>
  <c r="AN2991" i="16"/>
  <c r="AM2991" i="16"/>
  <c r="AL2991" i="16"/>
  <c r="AK2991" i="16"/>
  <c r="AJ2991" i="16"/>
  <c r="AI2991" i="16"/>
  <c r="AF2991" i="16"/>
  <c r="AN2990" i="16"/>
  <c r="AM2990" i="16"/>
  <c r="AL2990" i="16"/>
  <c r="AK2990" i="16"/>
  <c r="AJ2990" i="16"/>
  <c r="AI2990" i="16"/>
  <c r="AF2990" i="16"/>
  <c r="AN2989" i="16"/>
  <c r="AM2989" i="16"/>
  <c r="AL2989" i="16"/>
  <c r="AK2989" i="16"/>
  <c r="AJ2989" i="16"/>
  <c r="AI2989" i="16"/>
  <c r="AF2989" i="16"/>
  <c r="AN2988" i="16"/>
  <c r="AM2988" i="16"/>
  <c r="AL2988" i="16"/>
  <c r="AK2988" i="16"/>
  <c r="AJ2988" i="16"/>
  <c r="AI2988" i="16"/>
  <c r="AF2988" i="16"/>
  <c r="AN2987" i="16"/>
  <c r="AM2987" i="16"/>
  <c r="AL2987" i="16"/>
  <c r="AK2987" i="16"/>
  <c r="AJ2987" i="16"/>
  <c r="AI2987" i="16"/>
  <c r="AF2987" i="16"/>
  <c r="AN2986" i="16"/>
  <c r="AM2986" i="16"/>
  <c r="AL2986" i="16"/>
  <c r="AK2986" i="16"/>
  <c r="AJ2986" i="16"/>
  <c r="AI2986" i="16"/>
  <c r="AF2986" i="16"/>
  <c r="AN2985" i="16"/>
  <c r="AM2985" i="16"/>
  <c r="AL2985" i="16"/>
  <c r="AK2985" i="16"/>
  <c r="AJ2985" i="16"/>
  <c r="AI2985" i="16"/>
  <c r="AF2985" i="16"/>
  <c r="AN2984" i="16"/>
  <c r="AM2984" i="16"/>
  <c r="AL2984" i="16"/>
  <c r="AK2984" i="16"/>
  <c r="AJ2984" i="16"/>
  <c r="AI2984" i="16"/>
  <c r="AF2984" i="16"/>
  <c r="AN2983" i="16"/>
  <c r="AM2983" i="16"/>
  <c r="AL2983" i="16"/>
  <c r="AK2983" i="16"/>
  <c r="AJ2983" i="16"/>
  <c r="AI2983" i="16"/>
  <c r="AF2983" i="16"/>
  <c r="AN2982" i="16"/>
  <c r="AM2982" i="16"/>
  <c r="AL2982" i="16"/>
  <c r="AK2982" i="16"/>
  <c r="AJ2982" i="16"/>
  <c r="AI2982" i="16"/>
  <c r="AF2982" i="16"/>
  <c r="AN2981" i="16"/>
  <c r="AM2981" i="16"/>
  <c r="AL2981" i="16"/>
  <c r="AK2981" i="16"/>
  <c r="AJ2981" i="16"/>
  <c r="AI2981" i="16"/>
  <c r="AF2981" i="16"/>
  <c r="AN2980" i="16"/>
  <c r="AM2980" i="16"/>
  <c r="AL2980" i="16"/>
  <c r="AK2980" i="16"/>
  <c r="AJ2980" i="16"/>
  <c r="AI2980" i="16"/>
  <c r="AF2980" i="16"/>
  <c r="AN2979" i="16"/>
  <c r="AM2979" i="16"/>
  <c r="AL2979" i="16"/>
  <c r="AK2979" i="16"/>
  <c r="AJ2979" i="16"/>
  <c r="AI2979" i="16"/>
  <c r="AF2979" i="16"/>
  <c r="AN2978" i="16"/>
  <c r="AM2978" i="16"/>
  <c r="AL2978" i="16"/>
  <c r="AK2978" i="16"/>
  <c r="AJ2978" i="16"/>
  <c r="AI2978" i="16"/>
  <c r="AF2978" i="16"/>
  <c r="AN2977" i="16"/>
  <c r="AM2977" i="16"/>
  <c r="AL2977" i="16"/>
  <c r="AK2977" i="16"/>
  <c r="AJ2977" i="16"/>
  <c r="AI2977" i="16"/>
  <c r="AF2977" i="16"/>
  <c r="AN2976" i="16"/>
  <c r="AM2976" i="16"/>
  <c r="AL2976" i="16"/>
  <c r="AK2976" i="16"/>
  <c r="AJ2976" i="16"/>
  <c r="AI2976" i="16"/>
  <c r="AF2976" i="16"/>
  <c r="AN2975" i="16"/>
  <c r="AM2975" i="16"/>
  <c r="AL2975" i="16"/>
  <c r="AK2975" i="16"/>
  <c r="AJ2975" i="16"/>
  <c r="AI2975" i="16"/>
  <c r="AF2975" i="16"/>
  <c r="AN2974" i="16"/>
  <c r="AM2974" i="16"/>
  <c r="AL2974" i="16"/>
  <c r="AK2974" i="16"/>
  <c r="AJ2974" i="16"/>
  <c r="AI2974" i="16"/>
  <c r="AF2974" i="16"/>
  <c r="AN2973" i="16"/>
  <c r="AM2973" i="16"/>
  <c r="AL2973" i="16"/>
  <c r="AK2973" i="16"/>
  <c r="AJ2973" i="16"/>
  <c r="AI2973" i="16"/>
  <c r="AF2973" i="16"/>
  <c r="AN2972" i="16"/>
  <c r="AM2972" i="16"/>
  <c r="AL2972" i="16"/>
  <c r="AK2972" i="16"/>
  <c r="AJ2972" i="16"/>
  <c r="AI2972" i="16"/>
  <c r="AF2972" i="16"/>
  <c r="AN2971" i="16"/>
  <c r="AM2971" i="16"/>
  <c r="AL2971" i="16"/>
  <c r="AK2971" i="16"/>
  <c r="AJ2971" i="16"/>
  <c r="AI2971" i="16"/>
  <c r="AF2971" i="16"/>
  <c r="AN2970" i="16"/>
  <c r="AM2970" i="16"/>
  <c r="AL2970" i="16"/>
  <c r="AK2970" i="16"/>
  <c r="AJ2970" i="16"/>
  <c r="AI2970" i="16"/>
  <c r="AF2970" i="16"/>
  <c r="AN2969" i="16"/>
  <c r="AM2969" i="16"/>
  <c r="AL2969" i="16"/>
  <c r="AK2969" i="16"/>
  <c r="AJ2969" i="16"/>
  <c r="AI2969" i="16"/>
  <c r="AF2969" i="16"/>
  <c r="AN2968" i="16"/>
  <c r="AM2968" i="16"/>
  <c r="AL2968" i="16"/>
  <c r="AK2968" i="16"/>
  <c r="AJ2968" i="16"/>
  <c r="AI2968" i="16"/>
  <c r="AF2968" i="16"/>
  <c r="AN2967" i="16"/>
  <c r="AM2967" i="16"/>
  <c r="AL2967" i="16"/>
  <c r="AK2967" i="16"/>
  <c r="AJ2967" i="16"/>
  <c r="AI2967" i="16"/>
  <c r="AF2967" i="16"/>
  <c r="AN2966" i="16"/>
  <c r="AM2966" i="16"/>
  <c r="AL2966" i="16"/>
  <c r="AK2966" i="16"/>
  <c r="AJ2966" i="16"/>
  <c r="AI2966" i="16"/>
  <c r="AF2966" i="16"/>
  <c r="AN2965" i="16"/>
  <c r="AM2965" i="16"/>
  <c r="AL2965" i="16"/>
  <c r="AK2965" i="16"/>
  <c r="AJ2965" i="16"/>
  <c r="AI2965" i="16"/>
  <c r="AF2965" i="16"/>
  <c r="AN2964" i="16"/>
  <c r="AM2964" i="16"/>
  <c r="AL2964" i="16"/>
  <c r="AK2964" i="16"/>
  <c r="AJ2964" i="16"/>
  <c r="AI2964" i="16"/>
  <c r="AF2964" i="16"/>
  <c r="AN2963" i="16"/>
  <c r="AM2963" i="16"/>
  <c r="AL2963" i="16"/>
  <c r="AK2963" i="16"/>
  <c r="AJ2963" i="16"/>
  <c r="AI2963" i="16"/>
  <c r="AF2963" i="16"/>
  <c r="AN2962" i="16"/>
  <c r="AM2962" i="16"/>
  <c r="AL2962" i="16"/>
  <c r="AK2962" i="16"/>
  <c r="AJ2962" i="16"/>
  <c r="AI2962" i="16"/>
  <c r="AF2962" i="16"/>
  <c r="AN2961" i="16"/>
  <c r="AM2961" i="16"/>
  <c r="AL2961" i="16"/>
  <c r="AK2961" i="16"/>
  <c r="AJ2961" i="16"/>
  <c r="AI2961" i="16"/>
  <c r="AF2961" i="16"/>
  <c r="AN2960" i="16"/>
  <c r="AM2960" i="16"/>
  <c r="AL2960" i="16"/>
  <c r="AK2960" i="16"/>
  <c r="AJ2960" i="16"/>
  <c r="AI2960" i="16"/>
  <c r="AF2960" i="16"/>
  <c r="AN2959" i="16"/>
  <c r="AM2959" i="16"/>
  <c r="AL2959" i="16"/>
  <c r="AK2959" i="16"/>
  <c r="AJ2959" i="16"/>
  <c r="AI2959" i="16"/>
  <c r="AF2959" i="16"/>
  <c r="AN2958" i="16"/>
  <c r="AM2958" i="16"/>
  <c r="AL2958" i="16"/>
  <c r="AK2958" i="16"/>
  <c r="AJ2958" i="16"/>
  <c r="AI2958" i="16"/>
  <c r="AF2958" i="16"/>
  <c r="AN2957" i="16"/>
  <c r="AM2957" i="16"/>
  <c r="AL2957" i="16"/>
  <c r="AK2957" i="16"/>
  <c r="AJ2957" i="16"/>
  <c r="AI2957" i="16"/>
  <c r="AF2957" i="16"/>
  <c r="AN2956" i="16"/>
  <c r="AM2956" i="16"/>
  <c r="AL2956" i="16"/>
  <c r="AK2956" i="16"/>
  <c r="AJ2956" i="16"/>
  <c r="AI2956" i="16"/>
  <c r="AF2956" i="16"/>
  <c r="AN2955" i="16"/>
  <c r="AM2955" i="16"/>
  <c r="AL2955" i="16"/>
  <c r="AK2955" i="16"/>
  <c r="AJ2955" i="16"/>
  <c r="AI2955" i="16"/>
  <c r="AF2955" i="16"/>
  <c r="AN2954" i="16"/>
  <c r="AM2954" i="16"/>
  <c r="AL2954" i="16"/>
  <c r="AK2954" i="16"/>
  <c r="AJ2954" i="16"/>
  <c r="AI2954" i="16"/>
  <c r="AF2954" i="16"/>
  <c r="AN2953" i="16"/>
  <c r="AM2953" i="16"/>
  <c r="AL2953" i="16"/>
  <c r="AK2953" i="16"/>
  <c r="AJ2953" i="16"/>
  <c r="AI2953" i="16"/>
  <c r="AF2953" i="16"/>
  <c r="AN2952" i="16"/>
  <c r="AM2952" i="16"/>
  <c r="AL2952" i="16"/>
  <c r="AK2952" i="16"/>
  <c r="AJ2952" i="16"/>
  <c r="AI2952" i="16"/>
  <c r="AF2952" i="16"/>
  <c r="AN2951" i="16"/>
  <c r="AM2951" i="16"/>
  <c r="AL2951" i="16"/>
  <c r="AK2951" i="16"/>
  <c r="AJ2951" i="16"/>
  <c r="AI2951" i="16"/>
  <c r="AF2951" i="16"/>
  <c r="AN2950" i="16"/>
  <c r="AM2950" i="16"/>
  <c r="AL2950" i="16"/>
  <c r="AK2950" i="16"/>
  <c r="AJ2950" i="16"/>
  <c r="AI2950" i="16"/>
  <c r="AF2950" i="16"/>
  <c r="AN2949" i="16"/>
  <c r="AM2949" i="16"/>
  <c r="AL2949" i="16"/>
  <c r="AK2949" i="16"/>
  <c r="AJ2949" i="16"/>
  <c r="AI2949" i="16"/>
  <c r="AF2949" i="16"/>
  <c r="AN2948" i="16"/>
  <c r="AM2948" i="16"/>
  <c r="AL2948" i="16"/>
  <c r="AK2948" i="16"/>
  <c r="AJ2948" i="16"/>
  <c r="AI2948" i="16"/>
  <c r="AF2948" i="16"/>
  <c r="AN2947" i="16"/>
  <c r="AM2947" i="16"/>
  <c r="AL2947" i="16"/>
  <c r="AK2947" i="16"/>
  <c r="AJ2947" i="16"/>
  <c r="AI2947" i="16"/>
  <c r="AF2947" i="16"/>
  <c r="AN2946" i="16"/>
  <c r="AM2946" i="16"/>
  <c r="AL2946" i="16"/>
  <c r="AK2946" i="16"/>
  <c r="AJ2946" i="16"/>
  <c r="AI2946" i="16"/>
  <c r="AF2946" i="16"/>
  <c r="AN2945" i="16"/>
  <c r="AM2945" i="16"/>
  <c r="AL2945" i="16"/>
  <c r="AK2945" i="16"/>
  <c r="AJ2945" i="16"/>
  <c r="AI2945" i="16"/>
  <c r="AF2945" i="16"/>
  <c r="AN2944" i="16"/>
  <c r="AM2944" i="16"/>
  <c r="AL2944" i="16"/>
  <c r="AK2944" i="16"/>
  <c r="AJ2944" i="16"/>
  <c r="AI2944" i="16"/>
  <c r="AF2944" i="16"/>
  <c r="AN2943" i="16"/>
  <c r="AM2943" i="16"/>
  <c r="AL2943" i="16"/>
  <c r="AK2943" i="16"/>
  <c r="AJ2943" i="16"/>
  <c r="AI2943" i="16"/>
  <c r="AF2943" i="16"/>
  <c r="AN2942" i="16"/>
  <c r="AM2942" i="16"/>
  <c r="AL2942" i="16"/>
  <c r="AK2942" i="16"/>
  <c r="AJ2942" i="16"/>
  <c r="AI2942" i="16"/>
  <c r="AF2942" i="16"/>
  <c r="AN2941" i="16"/>
  <c r="AM2941" i="16"/>
  <c r="AL2941" i="16"/>
  <c r="AK2941" i="16"/>
  <c r="AJ2941" i="16"/>
  <c r="AI2941" i="16"/>
  <c r="AF2941" i="16"/>
  <c r="AN2940" i="16"/>
  <c r="AM2940" i="16"/>
  <c r="AL2940" i="16"/>
  <c r="AK2940" i="16"/>
  <c r="AJ2940" i="16"/>
  <c r="AI2940" i="16"/>
  <c r="AF2940" i="16"/>
  <c r="AN2939" i="16"/>
  <c r="AM2939" i="16"/>
  <c r="AL2939" i="16"/>
  <c r="AK2939" i="16"/>
  <c r="AJ2939" i="16"/>
  <c r="AI2939" i="16"/>
  <c r="AF2939" i="16"/>
  <c r="AN2938" i="16"/>
  <c r="AM2938" i="16"/>
  <c r="AL2938" i="16"/>
  <c r="AK2938" i="16"/>
  <c r="AJ2938" i="16"/>
  <c r="AI2938" i="16"/>
  <c r="AF2938" i="16"/>
  <c r="AN2937" i="16"/>
  <c r="AM2937" i="16"/>
  <c r="AL2937" i="16"/>
  <c r="AK2937" i="16"/>
  <c r="AJ2937" i="16"/>
  <c r="AI2937" i="16"/>
  <c r="AF2937" i="16"/>
  <c r="AN2936" i="16"/>
  <c r="AM2936" i="16"/>
  <c r="AL2936" i="16"/>
  <c r="AK2936" i="16"/>
  <c r="AJ2936" i="16"/>
  <c r="AI2936" i="16"/>
  <c r="AF2936" i="16"/>
  <c r="AN2935" i="16"/>
  <c r="AM2935" i="16"/>
  <c r="AL2935" i="16"/>
  <c r="AK2935" i="16"/>
  <c r="AJ2935" i="16"/>
  <c r="AI2935" i="16"/>
  <c r="AF2935" i="16"/>
  <c r="AN2934" i="16"/>
  <c r="AM2934" i="16"/>
  <c r="AL2934" i="16"/>
  <c r="AK2934" i="16"/>
  <c r="AJ2934" i="16"/>
  <c r="AI2934" i="16"/>
  <c r="AF2934" i="16"/>
  <c r="AN2933" i="16"/>
  <c r="AM2933" i="16"/>
  <c r="AL2933" i="16"/>
  <c r="AK2933" i="16"/>
  <c r="AJ2933" i="16"/>
  <c r="AI2933" i="16"/>
  <c r="AF2933" i="16"/>
  <c r="AN2932" i="16"/>
  <c r="AM2932" i="16"/>
  <c r="AL2932" i="16"/>
  <c r="AK2932" i="16"/>
  <c r="AJ2932" i="16"/>
  <c r="AI2932" i="16"/>
  <c r="AF2932" i="16"/>
  <c r="AN2931" i="16"/>
  <c r="AM2931" i="16"/>
  <c r="AL2931" i="16"/>
  <c r="AK2931" i="16"/>
  <c r="AJ2931" i="16"/>
  <c r="AI2931" i="16"/>
  <c r="AF2931" i="16"/>
  <c r="AN2930" i="16"/>
  <c r="AM2930" i="16"/>
  <c r="AL2930" i="16"/>
  <c r="AK2930" i="16"/>
  <c r="AJ2930" i="16"/>
  <c r="AI2930" i="16"/>
  <c r="AF2930" i="16"/>
  <c r="AN2929" i="16"/>
  <c r="AM2929" i="16"/>
  <c r="AL2929" i="16"/>
  <c r="AK2929" i="16"/>
  <c r="AJ2929" i="16"/>
  <c r="AI2929" i="16"/>
  <c r="AF2929" i="16"/>
  <c r="AN2928" i="16"/>
  <c r="AM2928" i="16"/>
  <c r="AL2928" i="16"/>
  <c r="AK2928" i="16"/>
  <c r="AJ2928" i="16"/>
  <c r="AI2928" i="16"/>
  <c r="AF2928" i="16"/>
  <c r="AN2927" i="16"/>
  <c r="AM2927" i="16"/>
  <c r="AL2927" i="16"/>
  <c r="AK2927" i="16"/>
  <c r="AJ2927" i="16"/>
  <c r="AI2927" i="16"/>
  <c r="AF2927" i="16"/>
  <c r="AN2926" i="16"/>
  <c r="AM2926" i="16"/>
  <c r="AL2926" i="16"/>
  <c r="AK2926" i="16"/>
  <c r="AJ2926" i="16"/>
  <c r="AI2926" i="16"/>
  <c r="AF2926" i="16"/>
  <c r="AN2925" i="16"/>
  <c r="AM2925" i="16"/>
  <c r="AL2925" i="16"/>
  <c r="AK2925" i="16"/>
  <c r="AJ2925" i="16"/>
  <c r="AI2925" i="16"/>
  <c r="AF2925" i="16"/>
  <c r="AN2924" i="16"/>
  <c r="AM2924" i="16"/>
  <c r="AL2924" i="16"/>
  <c r="AK2924" i="16"/>
  <c r="AJ2924" i="16"/>
  <c r="AI2924" i="16"/>
  <c r="AF2924" i="16"/>
  <c r="AN2923" i="16"/>
  <c r="AM2923" i="16"/>
  <c r="AL2923" i="16"/>
  <c r="AK2923" i="16"/>
  <c r="AJ2923" i="16"/>
  <c r="AI2923" i="16"/>
  <c r="AF2923" i="16"/>
  <c r="AN2922" i="16"/>
  <c r="AM2922" i="16"/>
  <c r="AL2922" i="16"/>
  <c r="AK2922" i="16"/>
  <c r="AJ2922" i="16"/>
  <c r="AI2922" i="16"/>
  <c r="AF2922" i="16"/>
  <c r="AN2921" i="16"/>
  <c r="AM2921" i="16"/>
  <c r="AL2921" i="16"/>
  <c r="AK2921" i="16"/>
  <c r="AJ2921" i="16"/>
  <c r="AI2921" i="16"/>
  <c r="AF2921" i="16"/>
  <c r="AN2920" i="16"/>
  <c r="AM2920" i="16"/>
  <c r="AL2920" i="16"/>
  <c r="AK2920" i="16"/>
  <c r="AJ2920" i="16"/>
  <c r="AI2920" i="16"/>
  <c r="AF2920" i="16"/>
  <c r="AN2919" i="16"/>
  <c r="AM2919" i="16"/>
  <c r="AL2919" i="16"/>
  <c r="AK2919" i="16"/>
  <c r="AJ2919" i="16"/>
  <c r="AI2919" i="16"/>
  <c r="AF2919" i="16"/>
  <c r="AN2918" i="16"/>
  <c r="AM2918" i="16"/>
  <c r="AL2918" i="16"/>
  <c r="AK2918" i="16"/>
  <c r="AJ2918" i="16"/>
  <c r="AI2918" i="16"/>
  <c r="AF2918" i="16"/>
  <c r="AN2917" i="16"/>
  <c r="AM2917" i="16"/>
  <c r="AL2917" i="16"/>
  <c r="AK2917" i="16"/>
  <c r="AJ2917" i="16"/>
  <c r="AI2917" i="16"/>
  <c r="AF2917" i="16"/>
  <c r="AN2916" i="16"/>
  <c r="AM2916" i="16"/>
  <c r="AL2916" i="16"/>
  <c r="AK2916" i="16"/>
  <c r="AJ2916" i="16"/>
  <c r="AI2916" i="16"/>
  <c r="AF2916" i="16"/>
  <c r="AN2915" i="16"/>
  <c r="AM2915" i="16"/>
  <c r="AL2915" i="16"/>
  <c r="AK2915" i="16"/>
  <c r="AJ2915" i="16"/>
  <c r="AI2915" i="16"/>
  <c r="AF2915" i="16"/>
  <c r="AN2914" i="16"/>
  <c r="AM2914" i="16"/>
  <c r="AL2914" i="16"/>
  <c r="AK2914" i="16"/>
  <c r="AJ2914" i="16"/>
  <c r="AI2914" i="16"/>
  <c r="AF2914" i="16"/>
  <c r="AN2913" i="16"/>
  <c r="AM2913" i="16"/>
  <c r="AL2913" i="16"/>
  <c r="AK2913" i="16"/>
  <c r="AJ2913" i="16"/>
  <c r="AI2913" i="16"/>
  <c r="AF2913" i="16"/>
  <c r="AN2912" i="16"/>
  <c r="AM2912" i="16"/>
  <c r="AL2912" i="16"/>
  <c r="AK2912" i="16"/>
  <c r="AJ2912" i="16"/>
  <c r="AI2912" i="16"/>
  <c r="AF2912" i="16"/>
  <c r="AN2911" i="16"/>
  <c r="AM2911" i="16"/>
  <c r="AL2911" i="16"/>
  <c r="AK2911" i="16"/>
  <c r="AJ2911" i="16"/>
  <c r="AI2911" i="16"/>
  <c r="AF2911" i="16"/>
  <c r="AN2910" i="16"/>
  <c r="AM2910" i="16"/>
  <c r="AL2910" i="16"/>
  <c r="AK2910" i="16"/>
  <c r="AJ2910" i="16"/>
  <c r="AI2910" i="16"/>
  <c r="AF2910" i="16"/>
  <c r="AN2909" i="16"/>
  <c r="AM2909" i="16"/>
  <c r="AL2909" i="16"/>
  <c r="AK2909" i="16"/>
  <c r="AJ2909" i="16"/>
  <c r="AI2909" i="16"/>
  <c r="AF2909" i="16"/>
  <c r="AN2908" i="16"/>
  <c r="AM2908" i="16"/>
  <c r="AL2908" i="16"/>
  <c r="AK2908" i="16"/>
  <c r="AJ2908" i="16"/>
  <c r="AI2908" i="16"/>
  <c r="AF2908" i="16"/>
  <c r="AN2907" i="16"/>
  <c r="AM2907" i="16"/>
  <c r="AL2907" i="16"/>
  <c r="AK2907" i="16"/>
  <c r="AJ2907" i="16"/>
  <c r="AI2907" i="16"/>
  <c r="AF2907" i="16"/>
  <c r="AN2906" i="16"/>
  <c r="AM2906" i="16"/>
  <c r="AL2906" i="16"/>
  <c r="AK2906" i="16"/>
  <c r="AJ2906" i="16"/>
  <c r="AI2906" i="16"/>
  <c r="AF2906" i="16"/>
  <c r="AN2905" i="16"/>
  <c r="AM2905" i="16"/>
  <c r="AL2905" i="16"/>
  <c r="AK2905" i="16"/>
  <c r="AJ2905" i="16"/>
  <c r="AI2905" i="16"/>
  <c r="AF2905" i="16"/>
  <c r="AN2904" i="16"/>
  <c r="AM2904" i="16"/>
  <c r="AL2904" i="16"/>
  <c r="AK2904" i="16"/>
  <c r="AJ2904" i="16"/>
  <c r="AI2904" i="16"/>
  <c r="AF2904" i="16"/>
  <c r="AN2903" i="16"/>
  <c r="AM2903" i="16"/>
  <c r="AL2903" i="16"/>
  <c r="AK2903" i="16"/>
  <c r="AJ2903" i="16"/>
  <c r="AI2903" i="16"/>
  <c r="AF2903" i="16"/>
  <c r="AN2902" i="16"/>
  <c r="AM2902" i="16"/>
  <c r="AL2902" i="16"/>
  <c r="AK2902" i="16"/>
  <c r="AJ2902" i="16"/>
  <c r="AI2902" i="16"/>
  <c r="AF2902" i="16"/>
  <c r="AN2901" i="16"/>
  <c r="AM2901" i="16"/>
  <c r="AL2901" i="16"/>
  <c r="AK2901" i="16"/>
  <c r="AJ2901" i="16"/>
  <c r="AI2901" i="16"/>
  <c r="AF2901" i="16"/>
  <c r="AN2900" i="16"/>
  <c r="AM2900" i="16"/>
  <c r="AL2900" i="16"/>
  <c r="AK2900" i="16"/>
  <c r="AJ2900" i="16"/>
  <c r="AI2900" i="16"/>
  <c r="AF2900" i="16"/>
  <c r="AN2899" i="16"/>
  <c r="AM2899" i="16"/>
  <c r="AL2899" i="16"/>
  <c r="AK2899" i="16"/>
  <c r="AJ2899" i="16"/>
  <c r="AI2899" i="16"/>
  <c r="AF2899" i="16"/>
  <c r="AN2898" i="16"/>
  <c r="AM2898" i="16"/>
  <c r="AL2898" i="16"/>
  <c r="AK2898" i="16"/>
  <c r="AJ2898" i="16"/>
  <c r="AI2898" i="16"/>
  <c r="AF2898" i="16"/>
  <c r="AN2897" i="16"/>
  <c r="AM2897" i="16"/>
  <c r="AL2897" i="16"/>
  <c r="AK2897" i="16"/>
  <c r="AJ2897" i="16"/>
  <c r="AI2897" i="16"/>
  <c r="AF2897" i="16"/>
  <c r="AN2896" i="16"/>
  <c r="AM2896" i="16"/>
  <c r="AL2896" i="16"/>
  <c r="AK2896" i="16"/>
  <c r="AJ2896" i="16"/>
  <c r="AI2896" i="16"/>
  <c r="AF2896" i="16"/>
  <c r="AN2895" i="16"/>
  <c r="AM2895" i="16"/>
  <c r="AL2895" i="16"/>
  <c r="AK2895" i="16"/>
  <c r="AJ2895" i="16"/>
  <c r="AI2895" i="16"/>
  <c r="AF2895" i="16"/>
  <c r="AN2894" i="16"/>
  <c r="AM2894" i="16"/>
  <c r="AL2894" i="16"/>
  <c r="AK2894" i="16"/>
  <c r="AJ2894" i="16"/>
  <c r="AI2894" i="16"/>
  <c r="AF2894" i="16"/>
  <c r="AN2893" i="16"/>
  <c r="AM2893" i="16"/>
  <c r="AL2893" i="16"/>
  <c r="AK2893" i="16"/>
  <c r="AJ2893" i="16"/>
  <c r="AI2893" i="16"/>
  <c r="AF2893" i="16"/>
  <c r="AN2892" i="16"/>
  <c r="AM2892" i="16"/>
  <c r="AL2892" i="16"/>
  <c r="AK2892" i="16"/>
  <c r="AJ2892" i="16"/>
  <c r="AI2892" i="16"/>
  <c r="AF2892" i="16"/>
  <c r="AN2891" i="16"/>
  <c r="AM2891" i="16"/>
  <c r="AL2891" i="16"/>
  <c r="AK2891" i="16"/>
  <c r="AJ2891" i="16"/>
  <c r="AI2891" i="16"/>
  <c r="AF2891" i="16"/>
  <c r="AN2890" i="16"/>
  <c r="AM2890" i="16"/>
  <c r="AL2890" i="16"/>
  <c r="AK2890" i="16"/>
  <c r="AJ2890" i="16"/>
  <c r="AI2890" i="16"/>
  <c r="AF2890" i="16"/>
  <c r="AN2889" i="16"/>
  <c r="AM2889" i="16"/>
  <c r="AL2889" i="16"/>
  <c r="AK2889" i="16"/>
  <c r="AJ2889" i="16"/>
  <c r="AI2889" i="16"/>
  <c r="AF2889" i="16"/>
  <c r="AN2888" i="16"/>
  <c r="AM2888" i="16"/>
  <c r="AL2888" i="16"/>
  <c r="AK2888" i="16"/>
  <c r="AJ2888" i="16"/>
  <c r="AI2888" i="16"/>
  <c r="AF2888" i="16"/>
  <c r="AN2887" i="16"/>
  <c r="AM2887" i="16"/>
  <c r="AL2887" i="16"/>
  <c r="AK2887" i="16"/>
  <c r="AJ2887" i="16"/>
  <c r="AI2887" i="16"/>
  <c r="AF2887" i="16"/>
  <c r="AN2886" i="16"/>
  <c r="AM2886" i="16"/>
  <c r="AL2886" i="16"/>
  <c r="AK2886" i="16"/>
  <c r="AJ2886" i="16"/>
  <c r="AI2886" i="16"/>
  <c r="AF2886" i="16"/>
  <c r="AN2885" i="16"/>
  <c r="AM2885" i="16"/>
  <c r="AL2885" i="16"/>
  <c r="AK2885" i="16"/>
  <c r="AJ2885" i="16"/>
  <c r="AI2885" i="16"/>
  <c r="AF2885" i="16"/>
  <c r="AN2884" i="16"/>
  <c r="AM2884" i="16"/>
  <c r="AL2884" i="16"/>
  <c r="AK2884" i="16"/>
  <c r="AJ2884" i="16"/>
  <c r="AI2884" i="16"/>
  <c r="AF2884" i="16"/>
  <c r="AN2883" i="16"/>
  <c r="AM2883" i="16"/>
  <c r="AL2883" i="16"/>
  <c r="AK2883" i="16"/>
  <c r="AJ2883" i="16"/>
  <c r="AI2883" i="16"/>
  <c r="AF2883" i="16"/>
  <c r="AN2882" i="16"/>
  <c r="AM2882" i="16"/>
  <c r="AL2882" i="16"/>
  <c r="AK2882" i="16"/>
  <c r="AJ2882" i="16"/>
  <c r="AI2882" i="16"/>
  <c r="AF2882" i="16"/>
  <c r="AN2881" i="16"/>
  <c r="AM2881" i="16"/>
  <c r="AL2881" i="16"/>
  <c r="AK2881" i="16"/>
  <c r="AJ2881" i="16"/>
  <c r="AI2881" i="16"/>
  <c r="AF2881" i="16"/>
  <c r="AN2880" i="16"/>
  <c r="AM2880" i="16"/>
  <c r="AL2880" i="16"/>
  <c r="AK2880" i="16"/>
  <c r="AJ2880" i="16"/>
  <c r="AI2880" i="16"/>
  <c r="AF2880" i="16"/>
  <c r="AN2879" i="16"/>
  <c r="AM2879" i="16"/>
  <c r="AL2879" i="16"/>
  <c r="AK2879" i="16"/>
  <c r="AJ2879" i="16"/>
  <c r="AI2879" i="16"/>
  <c r="AF2879" i="16"/>
  <c r="AN2878" i="16"/>
  <c r="AM2878" i="16"/>
  <c r="AL2878" i="16"/>
  <c r="AK2878" i="16"/>
  <c r="AJ2878" i="16"/>
  <c r="AI2878" i="16"/>
  <c r="AF2878" i="16"/>
  <c r="AN2877" i="16"/>
  <c r="AM2877" i="16"/>
  <c r="AL2877" i="16"/>
  <c r="AK2877" i="16"/>
  <c r="AJ2877" i="16"/>
  <c r="AI2877" i="16"/>
  <c r="AF2877" i="16"/>
  <c r="AN2876" i="16"/>
  <c r="AM2876" i="16"/>
  <c r="AL2876" i="16"/>
  <c r="AK2876" i="16"/>
  <c r="AJ2876" i="16"/>
  <c r="AI2876" i="16"/>
  <c r="AF2876" i="16"/>
  <c r="AN2875" i="16"/>
  <c r="AM2875" i="16"/>
  <c r="AL2875" i="16"/>
  <c r="AK2875" i="16"/>
  <c r="AJ2875" i="16"/>
  <c r="AI2875" i="16"/>
  <c r="AF2875" i="16"/>
  <c r="AN2874" i="16"/>
  <c r="AM2874" i="16"/>
  <c r="AL2874" i="16"/>
  <c r="AK2874" i="16"/>
  <c r="AJ2874" i="16"/>
  <c r="AI2874" i="16"/>
  <c r="AF2874" i="16"/>
  <c r="AN2873" i="16"/>
  <c r="AM2873" i="16"/>
  <c r="AL2873" i="16"/>
  <c r="AK2873" i="16"/>
  <c r="AJ2873" i="16"/>
  <c r="AI2873" i="16"/>
  <c r="AF2873" i="16"/>
  <c r="AN2872" i="16"/>
  <c r="AM2872" i="16"/>
  <c r="AL2872" i="16"/>
  <c r="AK2872" i="16"/>
  <c r="AJ2872" i="16"/>
  <c r="AI2872" i="16"/>
  <c r="AF2872" i="16"/>
  <c r="AN2871" i="16"/>
  <c r="AM2871" i="16"/>
  <c r="AL2871" i="16"/>
  <c r="AK2871" i="16"/>
  <c r="AJ2871" i="16"/>
  <c r="AI2871" i="16"/>
  <c r="AF2871" i="16"/>
  <c r="AN2870" i="16"/>
  <c r="AM2870" i="16"/>
  <c r="AL2870" i="16"/>
  <c r="AK2870" i="16"/>
  <c r="AJ2870" i="16"/>
  <c r="AI2870" i="16"/>
  <c r="AF2870" i="16"/>
  <c r="AN2869" i="16"/>
  <c r="AM2869" i="16"/>
  <c r="AL2869" i="16"/>
  <c r="AK2869" i="16"/>
  <c r="AJ2869" i="16"/>
  <c r="AI2869" i="16"/>
  <c r="AF2869" i="16"/>
  <c r="AN2868" i="16"/>
  <c r="AM2868" i="16"/>
  <c r="AL2868" i="16"/>
  <c r="AK2868" i="16"/>
  <c r="AJ2868" i="16"/>
  <c r="AI2868" i="16"/>
  <c r="AF2868" i="16"/>
  <c r="AN2867" i="16"/>
  <c r="AM2867" i="16"/>
  <c r="AL2867" i="16"/>
  <c r="AK2867" i="16"/>
  <c r="AJ2867" i="16"/>
  <c r="AI2867" i="16"/>
  <c r="AF2867" i="16"/>
  <c r="AN2866" i="16"/>
  <c r="AM2866" i="16"/>
  <c r="AL2866" i="16"/>
  <c r="AK2866" i="16"/>
  <c r="AJ2866" i="16"/>
  <c r="AI2866" i="16"/>
  <c r="AF2866" i="16"/>
  <c r="AN2865" i="16"/>
  <c r="AM2865" i="16"/>
  <c r="AL2865" i="16"/>
  <c r="AK2865" i="16"/>
  <c r="AJ2865" i="16"/>
  <c r="AI2865" i="16"/>
  <c r="AF2865" i="16"/>
  <c r="AN2864" i="16"/>
  <c r="AM2864" i="16"/>
  <c r="AL2864" i="16"/>
  <c r="AK2864" i="16"/>
  <c r="AJ2864" i="16"/>
  <c r="AI2864" i="16"/>
  <c r="AF2864" i="16"/>
  <c r="AN2863" i="16"/>
  <c r="AM2863" i="16"/>
  <c r="AL2863" i="16"/>
  <c r="AK2863" i="16"/>
  <c r="AJ2863" i="16"/>
  <c r="AI2863" i="16"/>
  <c r="AF2863" i="16"/>
  <c r="AN2862" i="16"/>
  <c r="AM2862" i="16"/>
  <c r="AL2862" i="16"/>
  <c r="AK2862" i="16"/>
  <c r="AJ2862" i="16"/>
  <c r="AI2862" i="16"/>
  <c r="AF2862" i="16"/>
  <c r="AN2861" i="16"/>
  <c r="AM2861" i="16"/>
  <c r="AL2861" i="16"/>
  <c r="AK2861" i="16"/>
  <c r="AJ2861" i="16"/>
  <c r="AI2861" i="16"/>
  <c r="AF2861" i="16"/>
  <c r="AN2860" i="16"/>
  <c r="AM2860" i="16"/>
  <c r="AL2860" i="16"/>
  <c r="AK2860" i="16"/>
  <c r="AJ2860" i="16"/>
  <c r="AI2860" i="16"/>
  <c r="AF2860" i="16"/>
  <c r="AN2859" i="16"/>
  <c r="AM2859" i="16"/>
  <c r="AL2859" i="16"/>
  <c r="AK2859" i="16"/>
  <c r="AJ2859" i="16"/>
  <c r="AI2859" i="16"/>
  <c r="AF2859" i="16"/>
  <c r="AN2858" i="16"/>
  <c r="AM2858" i="16"/>
  <c r="AL2858" i="16"/>
  <c r="AK2858" i="16"/>
  <c r="AJ2858" i="16"/>
  <c r="AI2858" i="16"/>
  <c r="AF2858" i="16"/>
  <c r="AN2857" i="16"/>
  <c r="AM2857" i="16"/>
  <c r="AL2857" i="16"/>
  <c r="AK2857" i="16"/>
  <c r="AJ2857" i="16"/>
  <c r="AI2857" i="16"/>
  <c r="AF2857" i="16"/>
  <c r="AN2856" i="16"/>
  <c r="AM2856" i="16"/>
  <c r="AL2856" i="16"/>
  <c r="AK2856" i="16"/>
  <c r="AJ2856" i="16"/>
  <c r="AI2856" i="16"/>
  <c r="AF2856" i="16"/>
  <c r="AN2855" i="16"/>
  <c r="AM2855" i="16"/>
  <c r="AL2855" i="16"/>
  <c r="AK2855" i="16"/>
  <c r="AJ2855" i="16"/>
  <c r="AI2855" i="16"/>
  <c r="AF2855" i="16"/>
  <c r="AN2854" i="16"/>
  <c r="AM2854" i="16"/>
  <c r="AL2854" i="16"/>
  <c r="AK2854" i="16"/>
  <c r="AJ2854" i="16"/>
  <c r="AI2854" i="16"/>
  <c r="AF2854" i="16"/>
  <c r="AN2853" i="16"/>
  <c r="AM2853" i="16"/>
  <c r="AL2853" i="16"/>
  <c r="AK2853" i="16"/>
  <c r="AJ2853" i="16"/>
  <c r="AI2853" i="16"/>
  <c r="AF2853" i="16"/>
  <c r="AN2852" i="16"/>
  <c r="AM2852" i="16"/>
  <c r="AL2852" i="16"/>
  <c r="AK2852" i="16"/>
  <c r="AJ2852" i="16"/>
  <c r="AI2852" i="16"/>
  <c r="AF2852" i="16"/>
  <c r="AN2851" i="16"/>
  <c r="AM2851" i="16"/>
  <c r="AL2851" i="16"/>
  <c r="AK2851" i="16"/>
  <c r="AJ2851" i="16"/>
  <c r="AI2851" i="16"/>
  <c r="AF2851" i="16"/>
  <c r="AN2850" i="16"/>
  <c r="AM2850" i="16"/>
  <c r="AL2850" i="16"/>
  <c r="AK2850" i="16"/>
  <c r="AJ2850" i="16"/>
  <c r="AI2850" i="16"/>
  <c r="AF2850" i="16"/>
  <c r="AN2849" i="16"/>
  <c r="AM2849" i="16"/>
  <c r="AL2849" i="16"/>
  <c r="AK2849" i="16"/>
  <c r="AJ2849" i="16"/>
  <c r="AI2849" i="16"/>
  <c r="AF2849" i="16"/>
  <c r="AN2848" i="16"/>
  <c r="AM2848" i="16"/>
  <c r="AL2848" i="16"/>
  <c r="AK2848" i="16"/>
  <c r="AJ2848" i="16"/>
  <c r="AI2848" i="16"/>
  <c r="AF2848" i="16"/>
  <c r="AN2847" i="16"/>
  <c r="AM2847" i="16"/>
  <c r="AL2847" i="16"/>
  <c r="AK2847" i="16"/>
  <c r="AJ2847" i="16"/>
  <c r="AI2847" i="16"/>
  <c r="AF2847" i="16"/>
  <c r="AN2846" i="16"/>
  <c r="AM2846" i="16"/>
  <c r="AL2846" i="16"/>
  <c r="AK2846" i="16"/>
  <c r="AJ2846" i="16"/>
  <c r="AI2846" i="16"/>
  <c r="AF2846" i="16"/>
  <c r="AN2845" i="16"/>
  <c r="AM2845" i="16"/>
  <c r="AL2845" i="16"/>
  <c r="AK2845" i="16"/>
  <c r="AJ2845" i="16"/>
  <c r="AI2845" i="16"/>
  <c r="AF2845" i="16"/>
  <c r="AN2844" i="16"/>
  <c r="AM2844" i="16"/>
  <c r="AL2844" i="16"/>
  <c r="AK2844" i="16"/>
  <c r="AJ2844" i="16"/>
  <c r="AI2844" i="16"/>
  <c r="AF2844" i="16"/>
  <c r="AN2843" i="16"/>
  <c r="AM2843" i="16"/>
  <c r="AL2843" i="16"/>
  <c r="AK2843" i="16"/>
  <c r="AJ2843" i="16"/>
  <c r="AI2843" i="16"/>
  <c r="AF2843" i="16"/>
  <c r="AN2842" i="16"/>
  <c r="AM2842" i="16"/>
  <c r="AL2842" i="16"/>
  <c r="AK2842" i="16"/>
  <c r="AJ2842" i="16"/>
  <c r="AI2842" i="16"/>
  <c r="AF2842" i="16"/>
  <c r="AN2841" i="16"/>
  <c r="AM2841" i="16"/>
  <c r="AL2841" i="16"/>
  <c r="AK2841" i="16"/>
  <c r="AJ2841" i="16"/>
  <c r="AI2841" i="16"/>
  <c r="AF2841" i="16"/>
  <c r="AN2840" i="16"/>
  <c r="AM2840" i="16"/>
  <c r="AL2840" i="16"/>
  <c r="AK2840" i="16"/>
  <c r="AJ2840" i="16"/>
  <c r="AI2840" i="16"/>
  <c r="AF2840" i="16"/>
  <c r="AN2839" i="16"/>
  <c r="AM2839" i="16"/>
  <c r="AL2839" i="16"/>
  <c r="AK2839" i="16"/>
  <c r="AJ2839" i="16"/>
  <c r="AI2839" i="16"/>
  <c r="AF2839" i="16"/>
  <c r="AN2838" i="16"/>
  <c r="AM2838" i="16"/>
  <c r="AL2838" i="16"/>
  <c r="AK2838" i="16"/>
  <c r="AJ2838" i="16"/>
  <c r="AI2838" i="16"/>
  <c r="AF2838" i="16"/>
  <c r="AN2837" i="16"/>
  <c r="AM2837" i="16"/>
  <c r="AL2837" i="16"/>
  <c r="AK2837" i="16"/>
  <c r="AJ2837" i="16"/>
  <c r="AI2837" i="16"/>
  <c r="AF2837" i="16"/>
  <c r="AN2836" i="16"/>
  <c r="AM2836" i="16"/>
  <c r="AL2836" i="16"/>
  <c r="AK2836" i="16"/>
  <c r="AJ2836" i="16"/>
  <c r="AI2836" i="16"/>
  <c r="AF2836" i="16"/>
  <c r="AN2835" i="16"/>
  <c r="AM2835" i="16"/>
  <c r="AL2835" i="16"/>
  <c r="AK2835" i="16"/>
  <c r="AJ2835" i="16"/>
  <c r="AI2835" i="16"/>
  <c r="AF2835" i="16"/>
  <c r="AN2834" i="16"/>
  <c r="AM2834" i="16"/>
  <c r="AL2834" i="16"/>
  <c r="AK2834" i="16"/>
  <c r="AJ2834" i="16"/>
  <c r="AI2834" i="16"/>
  <c r="AF2834" i="16"/>
  <c r="AN2833" i="16"/>
  <c r="AM2833" i="16"/>
  <c r="AL2833" i="16"/>
  <c r="AK2833" i="16"/>
  <c r="AJ2833" i="16"/>
  <c r="AI2833" i="16"/>
  <c r="AF2833" i="16"/>
  <c r="AN2832" i="16"/>
  <c r="AM2832" i="16"/>
  <c r="AL2832" i="16"/>
  <c r="AK2832" i="16"/>
  <c r="AJ2832" i="16"/>
  <c r="AI2832" i="16"/>
  <c r="AF2832" i="16"/>
  <c r="AN2831" i="16"/>
  <c r="AM2831" i="16"/>
  <c r="AL2831" i="16"/>
  <c r="AK2831" i="16"/>
  <c r="AJ2831" i="16"/>
  <c r="AI2831" i="16"/>
  <c r="AF2831" i="16"/>
  <c r="AN2830" i="16"/>
  <c r="AM2830" i="16"/>
  <c r="AL2830" i="16"/>
  <c r="AK2830" i="16"/>
  <c r="AJ2830" i="16"/>
  <c r="AI2830" i="16"/>
  <c r="AF2830" i="16"/>
  <c r="AN2829" i="16"/>
  <c r="AM2829" i="16"/>
  <c r="AL2829" i="16"/>
  <c r="AK2829" i="16"/>
  <c r="AJ2829" i="16"/>
  <c r="AI2829" i="16"/>
  <c r="AF2829" i="16"/>
  <c r="AN2828" i="16"/>
  <c r="AM2828" i="16"/>
  <c r="AL2828" i="16"/>
  <c r="AK2828" i="16"/>
  <c r="AJ2828" i="16"/>
  <c r="AI2828" i="16"/>
  <c r="AF2828" i="16"/>
  <c r="AN2827" i="16"/>
  <c r="AM2827" i="16"/>
  <c r="AL2827" i="16"/>
  <c r="AK2827" i="16"/>
  <c r="AJ2827" i="16"/>
  <c r="AI2827" i="16"/>
  <c r="AF2827" i="16"/>
  <c r="AN2826" i="16"/>
  <c r="AM2826" i="16"/>
  <c r="AL2826" i="16"/>
  <c r="AK2826" i="16"/>
  <c r="AJ2826" i="16"/>
  <c r="AI2826" i="16"/>
  <c r="AF2826" i="16"/>
  <c r="AN2825" i="16"/>
  <c r="AM2825" i="16"/>
  <c r="AL2825" i="16"/>
  <c r="AK2825" i="16"/>
  <c r="AJ2825" i="16"/>
  <c r="AI2825" i="16"/>
  <c r="AF2825" i="16"/>
  <c r="AN2824" i="16"/>
  <c r="AM2824" i="16"/>
  <c r="AL2824" i="16"/>
  <c r="AK2824" i="16"/>
  <c r="AJ2824" i="16"/>
  <c r="AI2824" i="16"/>
  <c r="AF2824" i="16"/>
  <c r="AN2823" i="16"/>
  <c r="AM2823" i="16"/>
  <c r="AL2823" i="16"/>
  <c r="AK2823" i="16"/>
  <c r="AJ2823" i="16"/>
  <c r="AI2823" i="16"/>
  <c r="AF2823" i="16"/>
  <c r="AN2822" i="16"/>
  <c r="AM2822" i="16"/>
  <c r="AL2822" i="16"/>
  <c r="AK2822" i="16"/>
  <c r="AJ2822" i="16"/>
  <c r="AI2822" i="16"/>
  <c r="AF2822" i="16"/>
  <c r="AN2821" i="16"/>
  <c r="AM2821" i="16"/>
  <c r="AL2821" i="16"/>
  <c r="AK2821" i="16"/>
  <c r="AJ2821" i="16"/>
  <c r="AI2821" i="16"/>
  <c r="AF2821" i="16"/>
  <c r="AN2820" i="16"/>
  <c r="AM2820" i="16"/>
  <c r="AL2820" i="16"/>
  <c r="AK2820" i="16"/>
  <c r="AJ2820" i="16"/>
  <c r="AI2820" i="16"/>
  <c r="AF2820" i="16"/>
  <c r="AN2819" i="16"/>
  <c r="AM2819" i="16"/>
  <c r="AL2819" i="16"/>
  <c r="AK2819" i="16"/>
  <c r="AJ2819" i="16"/>
  <c r="AI2819" i="16"/>
  <c r="AF2819" i="16"/>
  <c r="AN2818" i="16"/>
  <c r="AM2818" i="16"/>
  <c r="AL2818" i="16"/>
  <c r="AK2818" i="16"/>
  <c r="AJ2818" i="16"/>
  <c r="AI2818" i="16"/>
  <c r="AF2818" i="16"/>
  <c r="AN2817" i="16"/>
  <c r="AM2817" i="16"/>
  <c r="AL2817" i="16"/>
  <c r="AK2817" i="16"/>
  <c r="AJ2817" i="16"/>
  <c r="AI2817" i="16"/>
  <c r="AF2817" i="16"/>
  <c r="AN2816" i="16"/>
  <c r="AM2816" i="16"/>
  <c r="AL2816" i="16"/>
  <c r="AK2816" i="16"/>
  <c r="AJ2816" i="16"/>
  <c r="AI2816" i="16"/>
  <c r="AF2816" i="16"/>
  <c r="AN2815" i="16"/>
  <c r="AM2815" i="16"/>
  <c r="AL2815" i="16"/>
  <c r="AK2815" i="16"/>
  <c r="AJ2815" i="16"/>
  <c r="AI2815" i="16"/>
  <c r="AF2815" i="16"/>
  <c r="AN2814" i="16"/>
  <c r="AM2814" i="16"/>
  <c r="AL2814" i="16"/>
  <c r="AK2814" i="16"/>
  <c r="AJ2814" i="16"/>
  <c r="AI2814" i="16"/>
  <c r="AF2814" i="16"/>
  <c r="AN2813" i="16"/>
  <c r="AM2813" i="16"/>
  <c r="AL2813" i="16"/>
  <c r="AK2813" i="16"/>
  <c r="AJ2813" i="16"/>
  <c r="AI2813" i="16"/>
  <c r="AF2813" i="16"/>
  <c r="AN2812" i="16"/>
  <c r="AM2812" i="16"/>
  <c r="AL2812" i="16"/>
  <c r="AK2812" i="16"/>
  <c r="AJ2812" i="16"/>
  <c r="AI2812" i="16"/>
  <c r="AF2812" i="16"/>
  <c r="AN2811" i="16"/>
  <c r="AM2811" i="16"/>
  <c r="AL2811" i="16"/>
  <c r="AK2811" i="16"/>
  <c r="AJ2811" i="16"/>
  <c r="AI2811" i="16"/>
  <c r="AF2811" i="16"/>
  <c r="AN2810" i="16"/>
  <c r="AM2810" i="16"/>
  <c r="AL2810" i="16"/>
  <c r="AK2810" i="16"/>
  <c r="AJ2810" i="16"/>
  <c r="AI2810" i="16"/>
  <c r="AF2810" i="16"/>
  <c r="AN2809" i="16"/>
  <c r="AM2809" i="16"/>
  <c r="AL2809" i="16"/>
  <c r="AK2809" i="16"/>
  <c r="AJ2809" i="16"/>
  <c r="AI2809" i="16"/>
  <c r="AF2809" i="16"/>
  <c r="AN2808" i="16"/>
  <c r="AM2808" i="16"/>
  <c r="AL2808" i="16"/>
  <c r="AK2808" i="16"/>
  <c r="AJ2808" i="16"/>
  <c r="AI2808" i="16"/>
  <c r="AF2808" i="16"/>
  <c r="AN2807" i="16"/>
  <c r="AM2807" i="16"/>
  <c r="AL2807" i="16"/>
  <c r="AK2807" i="16"/>
  <c r="AJ2807" i="16"/>
  <c r="AI2807" i="16"/>
  <c r="AF2807" i="16"/>
  <c r="AN2806" i="16"/>
  <c r="AM2806" i="16"/>
  <c r="AL2806" i="16"/>
  <c r="AK2806" i="16"/>
  <c r="AJ2806" i="16"/>
  <c r="AI2806" i="16"/>
  <c r="AF2806" i="16"/>
  <c r="AN2805" i="16"/>
  <c r="AM2805" i="16"/>
  <c r="AL2805" i="16"/>
  <c r="AK2805" i="16"/>
  <c r="AJ2805" i="16"/>
  <c r="AI2805" i="16"/>
  <c r="AF2805" i="16"/>
  <c r="AN2804" i="16"/>
  <c r="AM2804" i="16"/>
  <c r="AL2804" i="16"/>
  <c r="AK2804" i="16"/>
  <c r="AJ2804" i="16"/>
  <c r="AI2804" i="16"/>
  <c r="AF2804" i="16"/>
  <c r="AN2803" i="16"/>
  <c r="AM2803" i="16"/>
  <c r="AL2803" i="16"/>
  <c r="AK2803" i="16"/>
  <c r="AJ2803" i="16"/>
  <c r="AI2803" i="16"/>
  <c r="AF2803" i="16"/>
  <c r="AN2802" i="16"/>
  <c r="AM2802" i="16"/>
  <c r="AL2802" i="16"/>
  <c r="AK2802" i="16"/>
  <c r="AJ2802" i="16"/>
  <c r="AI2802" i="16"/>
  <c r="AF2802" i="16"/>
  <c r="AN2801" i="16"/>
  <c r="AM2801" i="16"/>
  <c r="AL2801" i="16"/>
  <c r="AK2801" i="16"/>
  <c r="AJ2801" i="16"/>
  <c r="AI2801" i="16"/>
  <c r="AF2801" i="16"/>
  <c r="AN2800" i="16"/>
  <c r="AM2800" i="16"/>
  <c r="AL2800" i="16"/>
  <c r="AK2800" i="16"/>
  <c r="AJ2800" i="16"/>
  <c r="AI2800" i="16"/>
  <c r="AF2800" i="16"/>
  <c r="AN2799" i="16"/>
  <c r="AM2799" i="16"/>
  <c r="AL2799" i="16"/>
  <c r="AK2799" i="16"/>
  <c r="AJ2799" i="16"/>
  <c r="AI2799" i="16"/>
  <c r="AF2799" i="16"/>
  <c r="AN2798" i="16"/>
  <c r="AM2798" i="16"/>
  <c r="AL2798" i="16"/>
  <c r="AK2798" i="16"/>
  <c r="AJ2798" i="16"/>
  <c r="AI2798" i="16"/>
  <c r="AF2798" i="16"/>
  <c r="AN2797" i="16"/>
  <c r="AM2797" i="16"/>
  <c r="AL2797" i="16"/>
  <c r="AK2797" i="16"/>
  <c r="AJ2797" i="16"/>
  <c r="AI2797" i="16"/>
  <c r="AF2797" i="16"/>
  <c r="AN2796" i="16"/>
  <c r="AM2796" i="16"/>
  <c r="AL2796" i="16"/>
  <c r="AK2796" i="16"/>
  <c r="AJ2796" i="16"/>
  <c r="AI2796" i="16"/>
  <c r="AF2796" i="16"/>
  <c r="AN2795" i="16"/>
  <c r="AM2795" i="16"/>
  <c r="AL2795" i="16"/>
  <c r="AK2795" i="16"/>
  <c r="AJ2795" i="16"/>
  <c r="AI2795" i="16"/>
  <c r="AF2795" i="16"/>
  <c r="AN2794" i="16"/>
  <c r="AM2794" i="16"/>
  <c r="AL2794" i="16"/>
  <c r="AK2794" i="16"/>
  <c r="AJ2794" i="16"/>
  <c r="AI2794" i="16"/>
  <c r="AF2794" i="16"/>
  <c r="AN2793" i="16"/>
  <c r="AM2793" i="16"/>
  <c r="AL2793" i="16"/>
  <c r="AK2793" i="16"/>
  <c r="AJ2793" i="16"/>
  <c r="AI2793" i="16"/>
  <c r="AF2793" i="16"/>
  <c r="AN2792" i="16"/>
  <c r="AM2792" i="16"/>
  <c r="AL2792" i="16"/>
  <c r="AK2792" i="16"/>
  <c r="AJ2792" i="16"/>
  <c r="AI2792" i="16"/>
  <c r="AF2792" i="16"/>
  <c r="AN2791" i="16"/>
  <c r="AM2791" i="16"/>
  <c r="AL2791" i="16"/>
  <c r="AK2791" i="16"/>
  <c r="AJ2791" i="16"/>
  <c r="AI2791" i="16"/>
  <c r="AF2791" i="16"/>
  <c r="AN2790" i="16"/>
  <c r="AM2790" i="16"/>
  <c r="AL2790" i="16"/>
  <c r="AK2790" i="16"/>
  <c r="AJ2790" i="16"/>
  <c r="AI2790" i="16"/>
  <c r="AF2790" i="16"/>
  <c r="AN2789" i="16"/>
  <c r="AM2789" i="16"/>
  <c r="AL2789" i="16"/>
  <c r="AK2789" i="16"/>
  <c r="AJ2789" i="16"/>
  <c r="AI2789" i="16"/>
  <c r="AF2789" i="16"/>
  <c r="AN2788" i="16"/>
  <c r="AM2788" i="16"/>
  <c r="AL2788" i="16"/>
  <c r="AK2788" i="16"/>
  <c r="AJ2788" i="16"/>
  <c r="AI2788" i="16"/>
  <c r="AF2788" i="16"/>
  <c r="AN2787" i="16"/>
  <c r="AM2787" i="16"/>
  <c r="AL2787" i="16"/>
  <c r="AK2787" i="16"/>
  <c r="AJ2787" i="16"/>
  <c r="AI2787" i="16"/>
  <c r="AF2787" i="16"/>
  <c r="AN2786" i="16"/>
  <c r="AM2786" i="16"/>
  <c r="AL2786" i="16"/>
  <c r="AK2786" i="16"/>
  <c r="AJ2786" i="16"/>
  <c r="AI2786" i="16"/>
  <c r="AF2786" i="16"/>
  <c r="AN2785" i="16"/>
  <c r="AM2785" i="16"/>
  <c r="AL2785" i="16"/>
  <c r="AK2785" i="16"/>
  <c r="AJ2785" i="16"/>
  <c r="AI2785" i="16"/>
  <c r="AF2785" i="16"/>
  <c r="AN2784" i="16"/>
  <c r="AM2784" i="16"/>
  <c r="AL2784" i="16"/>
  <c r="AK2784" i="16"/>
  <c r="AJ2784" i="16"/>
  <c r="AI2784" i="16"/>
  <c r="AF2784" i="16"/>
  <c r="AN2783" i="16"/>
  <c r="AM2783" i="16"/>
  <c r="AL2783" i="16"/>
  <c r="AK2783" i="16"/>
  <c r="AJ2783" i="16"/>
  <c r="AI2783" i="16"/>
  <c r="AF2783" i="16"/>
  <c r="AN2782" i="16"/>
  <c r="AM2782" i="16"/>
  <c r="AL2782" i="16"/>
  <c r="AK2782" i="16"/>
  <c r="AJ2782" i="16"/>
  <c r="AI2782" i="16"/>
  <c r="AF2782" i="16"/>
  <c r="AN2781" i="16"/>
  <c r="AM2781" i="16"/>
  <c r="AL2781" i="16"/>
  <c r="AK2781" i="16"/>
  <c r="AJ2781" i="16"/>
  <c r="AI2781" i="16"/>
  <c r="AF2781" i="16"/>
  <c r="AN2780" i="16"/>
  <c r="AM2780" i="16"/>
  <c r="AL2780" i="16"/>
  <c r="AK2780" i="16"/>
  <c r="AJ2780" i="16"/>
  <c r="AI2780" i="16"/>
  <c r="AF2780" i="16"/>
  <c r="AN2779" i="16"/>
  <c r="AM2779" i="16"/>
  <c r="AL2779" i="16"/>
  <c r="AK2779" i="16"/>
  <c r="AJ2779" i="16"/>
  <c r="AI2779" i="16"/>
  <c r="AF2779" i="16"/>
  <c r="AN2778" i="16"/>
  <c r="AM2778" i="16"/>
  <c r="AL2778" i="16"/>
  <c r="AK2778" i="16"/>
  <c r="AJ2778" i="16"/>
  <c r="AI2778" i="16"/>
  <c r="AF2778" i="16"/>
  <c r="AN2777" i="16"/>
  <c r="AM2777" i="16"/>
  <c r="AL2777" i="16"/>
  <c r="AK2777" i="16"/>
  <c r="AJ2777" i="16"/>
  <c r="AI2777" i="16"/>
  <c r="AF2777" i="16"/>
  <c r="AN2776" i="16"/>
  <c r="AM2776" i="16"/>
  <c r="AL2776" i="16"/>
  <c r="AK2776" i="16"/>
  <c r="AJ2776" i="16"/>
  <c r="AI2776" i="16"/>
  <c r="AF2776" i="16"/>
  <c r="AN2775" i="16"/>
  <c r="AM2775" i="16"/>
  <c r="AL2775" i="16"/>
  <c r="AK2775" i="16"/>
  <c r="AJ2775" i="16"/>
  <c r="AI2775" i="16"/>
  <c r="AF2775" i="16"/>
  <c r="AN2774" i="16"/>
  <c r="AM2774" i="16"/>
  <c r="AL2774" i="16"/>
  <c r="AK2774" i="16"/>
  <c r="AJ2774" i="16"/>
  <c r="AI2774" i="16"/>
  <c r="AF2774" i="16"/>
  <c r="AN2773" i="16"/>
  <c r="AM2773" i="16"/>
  <c r="AL2773" i="16"/>
  <c r="AK2773" i="16"/>
  <c r="AJ2773" i="16"/>
  <c r="AI2773" i="16"/>
  <c r="AF2773" i="16"/>
  <c r="AN2772" i="16"/>
  <c r="AM2772" i="16"/>
  <c r="AL2772" i="16"/>
  <c r="AK2772" i="16"/>
  <c r="AJ2772" i="16"/>
  <c r="AI2772" i="16"/>
  <c r="AF2772" i="16"/>
  <c r="AN2771" i="16"/>
  <c r="AM2771" i="16"/>
  <c r="AL2771" i="16"/>
  <c r="AK2771" i="16"/>
  <c r="AJ2771" i="16"/>
  <c r="AI2771" i="16"/>
  <c r="AF2771" i="16"/>
  <c r="AN2770" i="16"/>
  <c r="AM2770" i="16"/>
  <c r="AL2770" i="16"/>
  <c r="AK2770" i="16"/>
  <c r="AJ2770" i="16"/>
  <c r="AI2770" i="16"/>
  <c r="AF2770" i="16"/>
  <c r="AN2769" i="16"/>
  <c r="AM2769" i="16"/>
  <c r="AL2769" i="16"/>
  <c r="AK2769" i="16"/>
  <c r="AJ2769" i="16"/>
  <c r="AI2769" i="16"/>
  <c r="AF2769" i="16"/>
  <c r="AN2768" i="16"/>
  <c r="AM2768" i="16"/>
  <c r="AL2768" i="16"/>
  <c r="AK2768" i="16"/>
  <c r="AJ2768" i="16"/>
  <c r="AI2768" i="16"/>
  <c r="AF2768" i="16"/>
  <c r="AN2767" i="16"/>
  <c r="AM2767" i="16"/>
  <c r="AL2767" i="16"/>
  <c r="AK2767" i="16"/>
  <c r="AJ2767" i="16"/>
  <c r="AI2767" i="16"/>
  <c r="AF2767" i="16"/>
  <c r="AN2766" i="16"/>
  <c r="AM2766" i="16"/>
  <c r="AL2766" i="16"/>
  <c r="AK2766" i="16"/>
  <c r="AJ2766" i="16"/>
  <c r="AI2766" i="16"/>
  <c r="AF2766" i="16"/>
  <c r="AN2765" i="16"/>
  <c r="AM2765" i="16"/>
  <c r="AL2765" i="16"/>
  <c r="AK2765" i="16"/>
  <c r="AJ2765" i="16"/>
  <c r="AI2765" i="16"/>
  <c r="AF2765" i="16"/>
  <c r="AN2764" i="16"/>
  <c r="AM2764" i="16"/>
  <c r="AL2764" i="16"/>
  <c r="AK2764" i="16"/>
  <c r="AJ2764" i="16"/>
  <c r="AI2764" i="16"/>
  <c r="AF2764" i="16"/>
  <c r="AN2763" i="16"/>
  <c r="AM2763" i="16"/>
  <c r="AL2763" i="16"/>
  <c r="AK2763" i="16"/>
  <c r="AJ2763" i="16"/>
  <c r="AI2763" i="16"/>
  <c r="AF2763" i="16"/>
  <c r="AN2762" i="16"/>
  <c r="AM2762" i="16"/>
  <c r="AL2762" i="16"/>
  <c r="AK2762" i="16"/>
  <c r="AJ2762" i="16"/>
  <c r="AI2762" i="16"/>
  <c r="AF2762" i="16"/>
  <c r="AN2761" i="16"/>
  <c r="AM2761" i="16"/>
  <c r="AL2761" i="16"/>
  <c r="AK2761" i="16"/>
  <c r="AJ2761" i="16"/>
  <c r="AI2761" i="16"/>
  <c r="AF2761" i="16"/>
  <c r="AN2760" i="16"/>
  <c r="AM2760" i="16"/>
  <c r="AL2760" i="16"/>
  <c r="AK2760" i="16"/>
  <c r="AJ2760" i="16"/>
  <c r="AI2760" i="16"/>
  <c r="AF2760" i="16"/>
  <c r="AN2759" i="16"/>
  <c r="AM2759" i="16"/>
  <c r="AL2759" i="16"/>
  <c r="AK2759" i="16"/>
  <c r="AJ2759" i="16"/>
  <c r="AI2759" i="16"/>
  <c r="AF2759" i="16"/>
  <c r="AN2758" i="16"/>
  <c r="AM2758" i="16"/>
  <c r="AL2758" i="16"/>
  <c r="AK2758" i="16"/>
  <c r="AJ2758" i="16"/>
  <c r="AI2758" i="16"/>
  <c r="AF2758" i="16"/>
  <c r="AN2757" i="16"/>
  <c r="AM2757" i="16"/>
  <c r="AL2757" i="16"/>
  <c r="AK2757" i="16"/>
  <c r="AJ2757" i="16"/>
  <c r="AI2757" i="16"/>
  <c r="AF2757" i="16"/>
  <c r="AN2756" i="16"/>
  <c r="AM2756" i="16"/>
  <c r="AL2756" i="16"/>
  <c r="AK2756" i="16"/>
  <c r="AJ2756" i="16"/>
  <c r="AI2756" i="16"/>
  <c r="AF2756" i="16"/>
  <c r="AN2755" i="16"/>
  <c r="AM2755" i="16"/>
  <c r="AL2755" i="16"/>
  <c r="AK2755" i="16"/>
  <c r="AJ2755" i="16"/>
  <c r="AI2755" i="16"/>
  <c r="AF2755" i="16"/>
  <c r="AN2754" i="16"/>
  <c r="AM2754" i="16"/>
  <c r="AL2754" i="16"/>
  <c r="AK2754" i="16"/>
  <c r="AJ2754" i="16"/>
  <c r="AI2754" i="16"/>
  <c r="AF2754" i="16"/>
  <c r="AN2753" i="16"/>
  <c r="AM2753" i="16"/>
  <c r="AL2753" i="16"/>
  <c r="AK2753" i="16"/>
  <c r="AJ2753" i="16"/>
  <c r="AI2753" i="16"/>
  <c r="AF2753" i="16"/>
  <c r="AN2752" i="16"/>
  <c r="AM2752" i="16"/>
  <c r="AL2752" i="16"/>
  <c r="AK2752" i="16"/>
  <c r="AJ2752" i="16"/>
  <c r="AI2752" i="16"/>
  <c r="AF2752" i="16"/>
  <c r="AN2751" i="16"/>
  <c r="AM2751" i="16"/>
  <c r="AL2751" i="16"/>
  <c r="AK2751" i="16"/>
  <c r="AJ2751" i="16"/>
  <c r="AI2751" i="16"/>
  <c r="AF2751" i="16"/>
  <c r="AN2750" i="16"/>
  <c r="AM2750" i="16"/>
  <c r="AL2750" i="16"/>
  <c r="AK2750" i="16"/>
  <c r="AJ2750" i="16"/>
  <c r="AI2750" i="16"/>
  <c r="AF2750" i="16"/>
  <c r="AN2749" i="16"/>
  <c r="AM2749" i="16"/>
  <c r="AL2749" i="16"/>
  <c r="AK2749" i="16"/>
  <c r="AJ2749" i="16"/>
  <c r="AI2749" i="16"/>
  <c r="AF2749" i="16"/>
  <c r="AN2748" i="16"/>
  <c r="AM2748" i="16"/>
  <c r="AL2748" i="16"/>
  <c r="AK2748" i="16"/>
  <c r="AJ2748" i="16"/>
  <c r="AI2748" i="16"/>
  <c r="AF2748" i="16"/>
  <c r="AN2747" i="16"/>
  <c r="AM2747" i="16"/>
  <c r="AL2747" i="16"/>
  <c r="AK2747" i="16"/>
  <c r="AJ2747" i="16"/>
  <c r="AI2747" i="16"/>
  <c r="AF2747" i="16"/>
  <c r="AN2746" i="16"/>
  <c r="AM2746" i="16"/>
  <c r="AL2746" i="16"/>
  <c r="AK2746" i="16"/>
  <c r="AJ2746" i="16"/>
  <c r="AI2746" i="16"/>
  <c r="AF2746" i="16"/>
  <c r="AN2745" i="16"/>
  <c r="AM2745" i="16"/>
  <c r="AL2745" i="16"/>
  <c r="AK2745" i="16"/>
  <c r="AJ2745" i="16"/>
  <c r="AI2745" i="16"/>
  <c r="AF2745" i="16"/>
  <c r="AN2744" i="16"/>
  <c r="AM2744" i="16"/>
  <c r="AL2744" i="16"/>
  <c r="AK2744" i="16"/>
  <c r="AJ2744" i="16"/>
  <c r="AI2744" i="16"/>
  <c r="AF2744" i="16"/>
  <c r="AN2743" i="16"/>
  <c r="AM2743" i="16"/>
  <c r="AL2743" i="16"/>
  <c r="AK2743" i="16"/>
  <c r="AJ2743" i="16"/>
  <c r="AI2743" i="16"/>
  <c r="AF2743" i="16"/>
  <c r="AN2742" i="16"/>
  <c r="AM2742" i="16"/>
  <c r="AL2742" i="16"/>
  <c r="AK2742" i="16"/>
  <c r="AJ2742" i="16"/>
  <c r="AI2742" i="16"/>
  <c r="AF2742" i="16"/>
  <c r="AN2741" i="16"/>
  <c r="AM2741" i="16"/>
  <c r="AL2741" i="16"/>
  <c r="AK2741" i="16"/>
  <c r="AJ2741" i="16"/>
  <c r="AI2741" i="16"/>
  <c r="AF2741" i="16"/>
  <c r="AN2740" i="16"/>
  <c r="AM2740" i="16"/>
  <c r="AL2740" i="16"/>
  <c r="AK2740" i="16"/>
  <c r="AJ2740" i="16"/>
  <c r="AI2740" i="16"/>
  <c r="AF2740" i="16"/>
  <c r="AN2739" i="16"/>
  <c r="AM2739" i="16"/>
  <c r="AL2739" i="16"/>
  <c r="AK2739" i="16"/>
  <c r="AJ2739" i="16"/>
  <c r="AI2739" i="16"/>
  <c r="AF2739" i="16"/>
  <c r="AN2738" i="16"/>
  <c r="AM2738" i="16"/>
  <c r="AL2738" i="16"/>
  <c r="AK2738" i="16"/>
  <c r="AJ2738" i="16"/>
  <c r="AI2738" i="16"/>
  <c r="AF2738" i="16"/>
  <c r="AN2737" i="16"/>
  <c r="AM2737" i="16"/>
  <c r="AL2737" i="16"/>
  <c r="AK2737" i="16"/>
  <c r="AJ2737" i="16"/>
  <c r="AI2737" i="16"/>
  <c r="AF2737" i="16"/>
  <c r="AN2736" i="16"/>
  <c r="AM2736" i="16"/>
  <c r="AL2736" i="16"/>
  <c r="AK2736" i="16"/>
  <c r="AJ2736" i="16"/>
  <c r="AI2736" i="16"/>
  <c r="AF2736" i="16"/>
  <c r="AN2735" i="16"/>
  <c r="AM2735" i="16"/>
  <c r="AL2735" i="16"/>
  <c r="AK2735" i="16"/>
  <c r="AJ2735" i="16"/>
  <c r="AI2735" i="16"/>
  <c r="AF2735" i="16"/>
  <c r="AN2734" i="16"/>
  <c r="AM2734" i="16"/>
  <c r="AL2734" i="16"/>
  <c r="AK2734" i="16"/>
  <c r="AJ2734" i="16"/>
  <c r="AI2734" i="16"/>
  <c r="AF2734" i="16"/>
  <c r="AN2733" i="16"/>
  <c r="AM2733" i="16"/>
  <c r="AL2733" i="16"/>
  <c r="AK2733" i="16"/>
  <c r="AJ2733" i="16"/>
  <c r="AI2733" i="16"/>
  <c r="AF2733" i="16"/>
  <c r="AN2732" i="16"/>
  <c r="AM2732" i="16"/>
  <c r="AL2732" i="16"/>
  <c r="AK2732" i="16"/>
  <c r="AJ2732" i="16"/>
  <c r="AI2732" i="16"/>
  <c r="AF2732" i="16"/>
  <c r="AN2731" i="16"/>
  <c r="AM2731" i="16"/>
  <c r="AL2731" i="16"/>
  <c r="AK2731" i="16"/>
  <c r="AJ2731" i="16"/>
  <c r="AI2731" i="16"/>
  <c r="AF2731" i="16"/>
  <c r="AN2730" i="16"/>
  <c r="AM2730" i="16"/>
  <c r="AL2730" i="16"/>
  <c r="AK2730" i="16"/>
  <c r="AJ2730" i="16"/>
  <c r="AI2730" i="16"/>
  <c r="AF2730" i="16"/>
  <c r="AN2729" i="16"/>
  <c r="AM2729" i="16"/>
  <c r="AL2729" i="16"/>
  <c r="AK2729" i="16"/>
  <c r="AJ2729" i="16"/>
  <c r="AI2729" i="16"/>
  <c r="AF2729" i="16"/>
  <c r="AN2728" i="16"/>
  <c r="AM2728" i="16"/>
  <c r="AL2728" i="16"/>
  <c r="AK2728" i="16"/>
  <c r="AJ2728" i="16"/>
  <c r="AI2728" i="16"/>
  <c r="AF2728" i="16"/>
  <c r="AN2727" i="16"/>
  <c r="AM2727" i="16"/>
  <c r="AL2727" i="16"/>
  <c r="AK2727" i="16"/>
  <c r="AJ2727" i="16"/>
  <c r="AI2727" i="16"/>
  <c r="AF2727" i="16"/>
  <c r="AN2726" i="16"/>
  <c r="AM2726" i="16"/>
  <c r="AL2726" i="16"/>
  <c r="AK2726" i="16"/>
  <c r="AJ2726" i="16"/>
  <c r="AI2726" i="16"/>
  <c r="AF2726" i="16"/>
  <c r="AN2725" i="16"/>
  <c r="AM2725" i="16"/>
  <c r="AL2725" i="16"/>
  <c r="AK2725" i="16"/>
  <c r="AJ2725" i="16"/>
  <c r="AI2725" i="16"/>
  <c r="AF2725" i="16"/>
  <c r="AN2724" i="16"/>
  <c r="AM2724" i="16"/>
  <c r="AL2724" i="16"/>
  <c r="AK2724" i="16"/>
  <c r="AJ2724" i="16"/>
  <c r="AI2724" i="16"/>
  <c r="AF2724" i="16"/>
  <c r="AN2723" i="16"/>
  <c r="AM2723" i="16"/>
  <c r="AL2723" i="16"/>
  <c r="AK2723" i="16"/>
  <c r="AJ2723" i="16"/>
  <c r="AI2723" i="16"/>
  <c r="AF2723" i="16"/>
  <c r="AN2722" i="16"/>
  <c r="AM2722" i="16"/>
  <c r="AL2722" i="16"/>
  <c r="AK2722" i="16"/>
  <c r="AJ2722" i="16"/>
  <c r="AI2722" i="16"/>
  <c r="AF2722" i="16"/>
  <c r="AN2721" i="16"/>
  <c r="AM2721" i="16"/>
  <c r="AL2721" i="16"/>
  <c r="AK2721" i="16"/>
  <c r="AJ2721" i="16"/>
  <c r="AI2721" i="16"/>
  <c r="AF2721" i="16"/>
  <c r="AN2720" i="16"/>
  <c r="AM2720" i="16"/>
  <c r="AL2720" i="16"/>
  <c r="AK2720" i="16"/>
  <c r="AJ2720" i="16"/>
  <c r="AI2720" i="16"/>
  <c r="AF2720" i="16"/>
  <c r="AN2719" i="16"/>
  <c r="AM2719" i="16"/>
  <c r="AL2719" i="16"/>
  <c r="AK2719" i="16"/>
  <c r="AJ2719" i="16"/>
  <c r="AI2719" i="16"/>
  <c r="AF2719" i="16"/>
  <c r="AN2718" i="16"/>
  <c r="AM2718" i="16"/>
  <c r="AL2718" i="16"/>
  <c r="AK2718" i="16"/>
  <c r="AJ2718" i="16"/>
  <c r="AI2718" i="16"/>
  <c r="AF2718" i="16"/>
  <c r="AN2717" i="16"/>
  <c r="AM2717" i="16"/>
  <c r="AL2717" i="16"/>
  <c r="AK2717" i="16"/>
  <c r="AJ2717" i="16"/>
  <c r="AI2717" i="16"/>
  <c r="AF2717" i="16"/>
  <c r="AN2716" i="16"/>
  <c r="AM2716" i="16"/>
  <c r="AL2716" i="16"/>
  <c r="AK2716" i="16"/>
  <c r="AJ2716" i="16"/>
  <c r="AI2716" i="16"/>
  <c r="AF2716" i="16"/>
  <c r="AN2715" i="16"/>
  <c r="AM2715" i="16"/>
  <c r="AL2715" i="16"/>
  <c r="AK2715" i="16"/>
  <c r="AJ2715" i="16"/>
  <c r="AI2715" i="16"/>
  <c r="AF2715" i="16"/>
  <c r="AN2714" i="16"/>
  <c r="AM2714" i="16"/>
  <c r="AL2714" i="16"/>
  <c r="AK2714" i="16"/>
  <c r="AJ2714" i="16"/>
  <c r="AI2714" i="16"/>
  <c r="AF2714" i="16"/>
  <c r="AN2713" i="16"/>
  <c r="AM2713" i="16"/>
  <c r="AL2713" i="16"/>
  <c r="AK2713" i="16"/>
  <c r="AJ2713" i="16"/>
  <c r="AI2713" i="16"/>
  <c r="AF2713" i="16"/>
  <c r="AN2712" i="16"/>
  <c r="AM2712" i="16"/>
  <c r="AL2712" i="16"/>
  <c r="AK2712" i="16"/>
  <c r="AJ2712" i="16"/>
  <c r="AI2712" i="16"/>
  <c r="AF2712" i="16"/>
  <c r="AN2711" i="16"/>
  <c r="AM2711" i="16"/>
  <c r="AL2711" i="16"/>
  <c r="AK2711" i="16"/>
  <c r="AJ2711" i="16"/>
  <c r="AI2711" i="16"/>
  <c r="AF2711" i="16"/>
  <c r="AN2710" i="16"/>
  <c r="AM2710" i="16"/>
  <c r="AL2710" i="16"/>
  <c r="AK2710" i="16"/>
  <c r="AJ2710" i="16"/>
  <c r="AI2710" i="16"/>
  <c r="AF2710" i="16"/>
  <c r="AN2709" i="16"/>
  <c r="AM2709" i="16"/>
  <c r="AL2709" i="16"/>
  <c r="AK2709" i="16"/>
  <c r="AJ2709" i="16"/>
  <c r="AI2709" i="16"/>
  <c r="AF2709" i="16"/>
  <c r="AN2708" i="16"/>
  <c r="AM2708" i="16"/>
  <c r="AL2708" i="16"/>
  <c r="AK2708" i="16"/>
  <c r="AJ2708" i="16"/>
  <c r="AI2708" i="16"/>
  <c r="AF2708" i="16"/>
  <c r="AN2707" i="16"/>
  <c r="AM2707" i="16"/>
  <c r="AL2707" i="16"/>
  <c r="AK2707" i="16"/>
  <c r="AJ2707" i="16"/>
  <c r="AI2707" i="16"/>
  <c r="AF2707" i="16"/>
  <c r="AN2706" i="16"/>
  <c r="AM2706" i="16"/>
  <c r="AL2706" i="16"/>
  <c r="AK2706" i="16"/>
  <c r="AJ2706" i="16"/>
  <c r="AI2706" i="16"/>
  <c r="AF2706" i="16"/>
  <c r="AN2705" i="16"/>
  <c r="AM2705" i="16"/>
  <c r="AL2705" i="16"/>
  <c r="AK2705" i="16"/>
  <c r="AJ2705" i="16"/>
  <c r="AI2705" i="16"/>
  <c r="AF2705" i="16"/>
  <c r="AN2704" i="16"/>
  <c r="AM2704" i="16"/>
  <c r="AL2704" i="16"/>
  <c r="AK2704" i="16"/>
  <c r="AJ2704" i="16"/>
  <c r="AI2704" i="16"/>
  <c r="AF2704" i="16"/>
  <c r="AN2703" i="16"/>
  <c r="AM2703" i="16"/>
  <c r="AL2703" i="16"/>
  <c r="AK2703" i="16"/>
  <c r="AJ2703" i="16"/>
  <c r="AI2703" i="16"/>
  <c r="AF2703" i="16"/>
  <c r="AN2702" i="16"/>
  <c r="AM2702" i="16"/>
  <c r="AL2702" i="16"/>
  <c r="AK2702" i="16"/>
  <c r="AJ2702" i="16"/>
  <c r="AI2702" i="16"/>
  <c r="AF2702" i="16"/>
  <c r="AN2701" i="16"/>
  <c r="AM2701" i="16"/>
  <c r="AL2701" i="16"/>
  <c r="AK2701" i="16"/>
  <c r="AJ2701" i="16"/>
  <c r="AI2701" i="16"/>
  <c r="AF2701" i="16"/>
  <c r="AN2700" i="16"/>
  <c r="AM2700" i="16"/>
  <c r="AL2700" i="16"/>
  <c r="AK2700" i="16"/>
  <c r="AJ2700" i="16"/>
  <c r="AI2700" i="16"/>
  <c r="AF2700" i="16"/>
  <c r="AN2699" i="16"/>
  <c r="AM2699" i="16"/>
  <c r="AL2699" i="16"/>
  <c r="AK2699" i="16"/>
  <c r="AJ2699" i="16"/>
  <c r="AI2699" i="16"/>
  <c r="AF2699" i="16"/>
  <c r="AN2698" i="16"/>
  <c r="AM2698" i="16"/>
  <c r="AL2698" i="16"/>
  <c r="AK2698" i="16"/>
  <c r="AJ2698" i="16"/>
  <c r="AI2698" i="16"/>
  <c r="AF2698" i="16"/>
  <c r="AN2697" i="16"/>
  <c r="AM2697" i="16"/>
  <c r="AL2697" i="16"/>
  <c r="AK2697" i="16"/>
  <c r="AJ2697" i="16"/>
  <c r="AI2697" i="16"/>
  <c r="AF2697" i="16"/>
  <c r="AN2696" i="16"/>
  <c r="AM2696" i="16"/>
  <c r="AL2696" i="16"/>
  <c r="AK2696" i="16"/>
  <c r="AJ2696" i="16"/>
  <c r="AI2696" i="16"/>
  <c r="AF2696" i="16"/>
  <c r="AN2695" i="16"/>
  <c r="AM2695" i="16"/>
  <c r="AL2695" i="16"/>
  <c r="AK2695" i="16"/>
  <c r="AJ2695" i="16"/>
  <c r="AI2695" i="16"/>
  <c r="AF2695" i="16"/>
  <c r="AN2694" i="16"/>
  <c r="AM2694" i="16"/>
  <c r="AL2694" i="16"/>
  <c r="AK2694" i="16"/>
  <c r="AJ2694" i="16"/>
  <c r="AI2694" i="16"/>
  <c r="AF2694" i="16"/>
  <c r="AN2693" i="16"/>
  <c r="AM2693" i="16"/>
  <c r="AL2693" i="16"/>
  <c r="AK2693" i="16"/>
  <c r="AJ2693" i="16"/>
  <c r="AI2693" i="16"/>
  <c r="AF2693" i="16"/>
  <c r="AN2692" i="16"/>
  <c r="AM2692" i="16"/>
  <c r="AL2692" i="16"/>
  <c r="AK2692" i="16"/>
  <c r="AJ2692" i="16"/>
  <c r="AI2692" i="16"/>
  <c r="AF2692" i="16"/>
  <c r="AN2691" i="16"/>
  <c r="AM2691" i="16"/>
  <c r="AL2691" i="16"/>
  <c r="AK2691" i="16"/>
  <c r="AJ2691" i="16"/>
  <c r="AI2691" i="16"/>
  <c r="AF2691" i="16"/>
  <c r="AN2690" i="16"/>
  <c r="AM2690" i="16"/>
  <c r="AL2690" i="16"/>
  <c r="AK2690" i="16"/>
  <c r="AJ2690" i="16"/>
  <c r="AI2690" i="16"/>
  <c r="AF2690" i="16"/>
  <c r="AN2689" i="16"/>
  <c r="AM2689" i="16"/>
  <c r="AL2689" i="16"/>
  <c r="AK2689" i="16"/>
  <c r="AJ2689" i="16"/>
  <c r="AI2689" i="16"/>
  <c r="AF2689" i="16"/>
  <c r="AN2688" i="16"/>
  <c r="AM2688" i="16"/>
  <c r="AL2688" i="16"/>
  <c r="AK2688" i="16"/>
  <c r="AJ2688" i="16"/>
  <c r="AI2688" i="16"/>
  <c r="AF2688" i="16"/>
  <c r="AN2687" i="16"/>
  <c r="AM2687" i="16"/>
  <c r="AL2687" i="16"/>
  <c r="AK2687" i="16"/>
  <c r="AJ2687" i="16"/>
  <c r="AI2687" i="16"/>
  <c r="AF2687" i="16"/>
  <c r="AN2686" i="16"/>
  <c r="AM2686" i="16"/>
  <c r="AL2686" i="16"/>
  <c r="AK2686" i="16"/>
  <c r="AJ2686" i="16"/>
  <c r="AI2686" i="16"/>
  <c r="AF2686" i="16"/>
  <c r="AN2685" i="16"/>
  <c r="AM2685" i="16"/>
  <c r="AL2685" i="16"/>
  <c r="AK2685" i="16"/>
  <c r="AJ2685" i="16"/>
  <c r="AI2685" i="16"/>
  <c r="AF2685" i="16"/>
  <c r="AN2684" i="16"/>
  <c r="AM2684" i="16"/>
  <c r="AL2684" i="16"/>
  <c r="AK2684" i="16"/>
  <c r="AJ2684" i="16"/>
  <c r="AI2684" i="16"/>
  <c r="AF2684" i="16"/>
  <c r="AN2683" i="16"/>
  <c r="AM2683" i="16"/>
  <c r="AL2683" i="16"/>
  <c r="AK2683" i="16"/>
  <c r="AJ2683" i="16"/>
  <c r="AI2683" i="16"/>
  <c r="AF2683" i="16"/>
  <c r="AN2682" i="16"/>
  <c r="AM2682" i="16"/>
  <c r="AL2682" i="16"/>
  <c r="AK2682" i="16"/>
  <c r="AJ2682" i="16"/>
  <c r="AI2682" i="16"/>
  <c r="AF2682" i="16"/>
  <c r="AN2681" i="16"/>
  <c r="AM2681" i="16"/>
  <c r="AL2681" i="16"/>
  <c r="AK2681" i="16"/>
  <c r="AJ2681" i="16"/>
  <c r="AI2681" i="16"/>
  <c r="AF2681" i="16"/>
  <c r="AN2680" i="16"/>
  <c r="AM2680" i="16"/>
  <c r="AL2680" i="16"/>
  <c r="AK2680" i="16"/>
  <c r="AJ2680" i="16"/>
  <c r="AI2680" i="16"/>
  <c r="AF2680" i="16"/>
  <c r="AN2679" i="16"/>
  <c r="AM2679" i="16"/>
  <c r="AL2679" i="16"/>
  <c r="AK2679" i="16"/>
  <c r="AJ2679" i="16"/>
  <c r="AI2679" i="16"/>
  <c r="AF2679" i="16"/>
  <c r="AN2678" i="16"/>
  <c r="AM2678" i="16"/>
  <c r="AL2678" i="16"/>
  <c r="AK2678" i="16"/>
  <c r="AJ2678" i="16"/>
  <c r="AI2678" i="16"/>
  <c r="AF2678" i="16"/>
  <c r="AN2677" i="16"/>
  <c r="AM2677" i="16"/>
  <c r="AL2677" i="16"/>
  <c r="AK2677" i="16"/>
  <c r="AJ2677" i="16"/>
  <c r="AI2677" i="16"/>
  <c r="AF2677" i="16"/>
  <c r="AN2676" i="16"/>
  <c r="AM2676" i="16"/>
  <c r="AL2676" i="16"/>
  <c r="AK2676" i="16"/>
  <c r="AJ2676" i="16"/>
  <c r="AI2676" i="16"/>
  <c r="AF2676" i="16"/>
  <c r="AN2675" i="16"/>
  <c r="AM2675" i="16"/>
  <c r="AL2675" i="16"/>
  <c r="AK2675" i="16"/>
  <c r="AJ2675" i="16"/>
  <c r="AI2675" i="16"/>
  <c r="AF2675" i="16"/>
  <c r="AN2674" i="16"/>
  <c r="AM2674" i="16"/>
  <c r="AL2674" i="16"/>
  <c r="AK2674" i="16"/>
  <c r="AJ2674" i="16"/>
  <c r="AI2674" i="16"/>
  <c r="AF2674" i="16"/>
  <c r="AN2673" i="16"/>
  <c r="AM2673" i="16"/>
  <c r="AL2673" i="16"/>
  <c r="AK2673" i="16"/>
  <c r="AJ2673" i="16"/>
  <c r="AI2673" i="16"/>
  <c r="AF2673" i="16"/>
  <c r="AN2672" i="16"/>
  <c r="AM2672" i="16"/>
  <c r="AL2672" i="16"/>
  <c r="AK2672" i="16"/>
  <c r="AJ2672" i="16"/>
  <c r="AI2672" i="16"/>
  <c r="AF2672" i="16"/>
  <c r="AN2671" i="16"/>
  <c r="AM2671" i="16"/>
  <c r="AL2671" i="16"/>
  <c r="AK2671" i="16"/>
  <c r="AJ2671" i="16"/>
  <c r="AI2671" i="16"/>
  <c r="AF2671" i="16"/>
  <c r="AN2670" i="16"/>
  <c r="AM2670" i="16"/>
  <c r="AL2670" i="16"/>
  <c r="AK2670" i="16"/>
  <c r="AJ2670" i="16"/>
  <c r="AI2670" i="16"/>
  <c r="AF2670" i="16"/>
  <c r="AN2669" i="16"/>
  <c r="AM2669" i="16"/>
  <c r="AL2669" i="16"/>
  <c r="AK2669" i="16"/>
  <c r="AJ2669" i="16"/>
  <c r="AI2669" i="16"/>
  <c r="AF2669" i="16"/>
  <c r="AN2668" i="16"/>
  <c r="AM2668" i="16"/>
  <c r="AL2668" i="16"/>
  <c r="AK2668" i="16"/>
  <c r="AJ2668" i="16"/>
  <c r="AI2668" i="16"/>
  <c r="AF2668" i="16"/>
  <c r="AN2667" i="16"/>
  <c r="AM2667" i="16"/>
  <c r="AL2667" i="16"/>
  <c r="AK2667" i="16"/>
  <c r="AJ2667" i="16"/>
  <c r="AI2667" i="16"/>
  <c r="AF2667" i="16"/>
  <c r="AN2666" i="16"/>
  <c r="AM2666" i="16"/>
  <c r="AL2666" i="16"/>
  <c r="AK2666" i="16"/>
  <c r="AJ2666" i="16"/>
  <c r="AI2666" i="16"/>
  <c r="AF2666" i="16"/>
  <c r="AN2665" i="16"/>
  <c r="AM2665" i="16"/>
  <c r="AL2665" i="16"/>
  <c r="AK2665" i="16"/>
  <c r="AJ2665" i="16"/>
  <c r="AI2665" i="16"/>
  <c r="AF2665" i="16"/>
  <c r="AN2664" i="16"/>
  <c r="AM2664" i="16"/>
  <c r="AL2664" i="16"/>
  <c r="AK2664" i="16"/>
  <c r="AJ2664" i="16"/>
  <c r="AI2664" i="16"/>
  <c r="AF2664" i="16"/>
  <c r="AN2663" i="16"/>
  <c r="AM2663" i="16"/>
  <c r="AL2663" i="16"/>
  <c r="AK2663" i="16"/>
  <c r="AJ2663" i="16"/>
  <c r="AI2663" i="16"/>
  <c r="AF2663" i="16"/>
  <c r="AN2662" i="16"/>
  <c r="AM2662" i="16"/>
  <c r="AL2662" i="16"/>
  <c r="AK2662" i="16"/>
  <c r="AJ2662" i="16"/>
  <c r="AI2662" i="16"/>
  <c r="AF2662" i="16"/>
  <c r="AN2661" i="16"/>
  <c r="AM2661" i="16"/>
  <c r="AL2661" i="16"/>
  <c r="AK2661" i="16"/>
  <c r="AJ2661" i="16"/>
  <c r="AI2661" i="16"/>
  <c r="AF2661" i="16"/>
  <c r="AN2660" i="16"/>
  <c r="AM2660" i="16"/>
  <c r="AL2660" i="16"/>
  <c r="AK2660" i="16"/>
  <c r="AJ2660" i="16"/>
  <c r="AI2660" i="16"/>
  <c r="AF2660" i="16"/>
  <c r="AN2659" i="16"/>
  <c r="AM2659" i="16"/>
  <c r="AL2659" i="16"/>
  <c r="AK2659" i="16"/>
  <c r="AJ2659" i="16"/>
  <c r="AI2659" i="16"/>
  <c r="AF2659" i="16"/>
  <c r="AN2658" i="16"/>
  <c r="AM2658" i="16"/>
  <c r="AL2658" i="16"/>
  <c r="AK2658" i="16"/>
  <c r="AJ2658" i="16"/>
  <c r="AI2658" i="16"/>
  <c r="AF2658" i="16"/>
  <c r="AN2657" i="16"/>
  <c r="AM2657" i="16"/>
  <c r="AL2657" i="16"/>
  <c r="AK2657" i="16"/>
  <c r="AJ2657" i="16"/>
  <c r="AI2657" i="16"/>
  <c r="AF2657" i="16"/>
  <c r="AN2656" i="16"/>
  <c r="AM2656" i="16"/>
  <c r="AL2656" i="16"/>
  <c r="AK2656" i="16"/>
  <c r="AJ2656" i="16"/>
  <c r="AI2656" i="16"/>
  <c r="AF2656" i="16"/>
  <c r="AN2655" i="16"/>
  <c r="AM2655" i="16"/>
  <c r="AL2655" i="16"/>
  <c r="AK2655" i="16"/>
  <c r="AJ2655" i="16"/>
  <c r="AI2655" i="16"/>
  <c r="AF2655" i="16"/>
  <c r="AN2654" i="16"/>
  <c r="AM2654" i="16"/>
  <c r="AL2654" i="16"/>
  <c r="AK2654" i="16"/>
  <c r="AJ2654" i="16"/>
  <c r="AI2654" i="16"/>
  <c r="AF2654" i="16"/>
  <c r="AN2653" i="16"/>
  <c r="AM2653" i="16"/>
  <c r="AL2653" i="16"/>
  <c r="AK2653" i="16"/>
  <c r="AJ2653" i="16"/>
  <c r="AI2653" i="16"/>
  <c r="AF2653" i="16"/>
  <c r="AN2652" i="16"/>
  <c r="AM2652" i="16"/>
  <c r="AL2652" i="16"/>
  <c r="AK2652" i="16"/>
  <c r="AJ2652" i="16"/>
  <c r="AI2652" i="16"/>
  <c r="AF2652" i="16"/>
  <c r="AN2651" i="16"/>
  <c r="AM2651" i="16"/>
  <c r="AL2651" i="16"/>
  <c r="AK2651" i="16"/>
  <c r="AJ2651" i="16"/>
  <c r="AI2651" i="16"/>
  <c r="AF2651" i="16"/>
  <c r="AN2650" i="16"/>
  <c r="AM2650" i="16"/>
  <c r="AL2650" i="16"/>
  <c r="AK2650" i="16"/>
  <c r="AJ2650" i="16"/>
  <c r="AI2650" i="16"/>
  <c r="AF2650" i="16"/>
  <c r="AN2649" i="16"/>
  <c r="AM2649" i="16"/>
  <c r="AL2649" i="16"/>
  <c r="AK2649" i="16"/>
  <c r="AJ2649" i="16"/>
  <c r="AI2649" i="16"/>
  <c r="AF2649" i="16"/>
  <c r="AN2648" i="16"/>
  <c r="AM2648" i="16"/>
  <c r="AL2648" i="16"/>
  <c r="AK2648" i="16"/>
  <c r="AJ2648" i="16"/>
  <c r="AI2648" i="16"/>
  <c r="AF2648" i="16"/>
  <c r="AN2647" i="16"/>
  <c r="AM2647" i="16"/>
  <c r="AL2647" i="16"/>
  <c r="AK2647" i="16"/>
  <c r="AJ2647" i="16"/>
  <c r="AI2647" i="16"/>
  <c r="AF2647" i="16"/>
  <c r="AN2646" i="16"/>
  <c r="AM2646" i="16"/>
  <c r="AL2646" i="16"/>
  <c r="AK2646" i="16"/>
  <c r="AJ2646" i="16"/>
  <c r="AI2646" i="16"/>
  <c r="AF2646" i="16"/>
  <c r="AN2645" i="16"/>
  <c r="AM2645" i="16"/>
  <c r="AL2645" i="16"/>
  <c r="AK2645" i="16"/>
  <c r="AJ2645" i="16"/>
  <c r="AI2645" i="16"/>
  <c r="AF2645" i="16"/>
  <c r="AN2644" i="16"/>
  <c r="AM2644" i="16"/>
  <c r="AL2644" i="16"/>
  <c r="AK2644" i="16"/>
  <c r="AJ2644" i="16"/>
  <c r="AI2644" i="16"/>
  <c r="AF2644" i="16"/>
  <c r="AN2643" i="16"/>
  <c r="AM2643" i="16"/>
  <c r="AL2643" i="16"/>
  <c r="AK2643" i="16"/>
  <c r="AJ2643" i="16"/>
  <c r="AI2643" i="16"/>
  <c r="AF2643" i="16"/>
  <c r="AN2642" i="16"/>
  <c r="AM2642" i="16"/>
  <c r="AL2642" i="16"/>
  <c r="AK2642" i="16"/>
  <c r="AJ2642" i="16"/>
  <c r="AI2642" i="16"/>
  <c r="AF2642" i="16"/>
  <c r="AN2641" i="16"/>
  <c r="AM2641" i="16"/>
  <c r="AL2641" i="16"/>
  <c r="AK2641" i="16"/>
  <c r="AJ2641" i="16"/>
  <c r="AI2641" i="16"/>
  <c r="AF2641" i="16"/>
  <c r="AN2640" i="16"/>
  <c r="AM2640" i="16"/>
  <c r="AL2640" i="16"/>
  <c r="AK2640" i="16"/>
  <c r="AJ2640" i="16"/>
  <c r="AI2640" i="16"/>
  <c r="AF2640" i="16"/>
  <c r="AN2639" i="16"/>
  <c r="AM2639" i="16"/>
  <c r="AL2639" i="16"/>
  <c r="AK2639" i="16"/>
  <c r="AJ2639" i="16"/>
  <c r="AI2639" i="16"/>
  <c r="AF2639" i="16"/>
  <c r="AN2638" i="16"/>
  <c r="AM2638" i="16"/>
  <c r="AL2638" i="16"/>
  <c r="AK2638" i="16"/>
  <c r="AJ2638" i="16"/>
  <c r="AI2638" i="16"/>
  <c r="AF2638" i="16"/>
  <c r="AN2637" i="16"/>
  <c r="AM2637" i="16"/>
  <c r="AL2637" i="16"/>
  <c r="AK2637" i="16"/>
  <c r="AJ2637" i="16"/>
  <c r="AI2637" i="16"/>
  <c r="AF2637" i="16"/>
  <c r="AN2636" i="16"/>
  <c r="AM2636" i="16"/>
  <c r="AL2636" i="16"/>
  <c r="AK2636" i="16"/>
  <c r="AJ2636" i="16"/>
  <c r="AI2636" i="16"/>
  <c r="AF2636" i="16"/>
  <c r="AN2635" i="16"/>
  <c r="AM2635" i="16"/>
  <c r="AL2635" i="16"/>
  <c r="AK2635" i="16"/>
  <c r="AJ2635" i="16"/>
  <c r="AI2635" i="16"/>
  <c r="AF2635" i="16"/>
  <c r="AN2634" i="16"/>
  <c r="AM2634" i="16"/>
  <c r="AL2634" i="16"/>
  <c r="AK2634" i="16"/>
  <c r="AJ2634" i="16"/>
  <c r="AI2634" i="16"/>
  <c r="AF2634" i="16"/>
  <c r="AN2633" i="16"/>
  <c r="AM2633" i="16"/>
  <c r="AL2633" i="16"/>
  <c r="AK2633" i="16"/>
  <c r="AJ2633" i="16"/>
  <c r="AI2633" i="16"/>
  <c r="AF2633" i="16"/>
  <c r="AN2632" i="16"/>
  <c r="AM2632" i="16"/>
  <c r="AL2632" i="16"/>
  <c r="AK2632" i="16"/>
  <c r="AJ2632" i="16"/>
  <c r="AI2632" i="16"/>
  <c r="AF2632" i="16"/>
  <c r="AN2631" i="16"/>
  <c r="AM2631" i="16"/>
  <c r="AL2631" i="16"/>
  <c r="AK2631" i="16"/>
  <c r="AJ2631" i="16"/>
  <c r="AI2631" i="16"/>
  <c r="AF2631" i="16"/>
  <c r="AN2630" i="16"/>
  <c r="AM2630" i="16"/>
  <c r="AL2630" i="16"/>
  <c r="AK2630" i="16"/>
  <c r="AJ2630" i="16"/>
  <c r="AI2630" i="16"/>
  <c r="AF2630" i="16"/>
  <c r="AN2629" i="16"/>
  <c r="AM2629" i="16"/>
  <c r="AL2629" i="16"/>
  <c r="AK2629" i="16"/>
  <c r="AJ2629" i="16"/>
  <c r="AI2629" i="16"/>
  <c r="AF2629" i="16"/>
  <c r="AN2628" i="16"/>
  <c r="AM2628" i="16"/>
  <c r="AL2628" i="16"/>
  <c r="AK2628" i="16"/>
  <c r="AJ2628" i="16"/>
  <c r="AI2628" i="16"/>
  <c r="AF2628" i="16"/>
  <c r="AN2627" i="16"/>
  <c r="AM2627" i="16"/>
  <c r="AL2627" i="16"/>
  <c r="AK2627" i="16"/>
  <c r="AJ2627" i="16"/>
  <c r="AI2627" i="16"/>
  <c r="AF2627" i="16"/>
  <c r="AN2626" i="16"/>
  <c r="AM2626" i="16"/>
  <c r="AL2626" i="16"/>
  <c r="AK2626" i="16"/>
  <c r="AJ2626" i="16"/>
  <c r="AI2626" i="16"/>
  <c r="AF2626" i="16"/>
  <c r="AN2625" i="16"/>
  <c r="AM2625" i="16"/>
  <c r="AL2625" i="16"/>
  <c r="AK2625" i="16"/>
  <c r="AJ2625" i="16"/>
  <c r="AI2625" i="16"/>
  <c r="AF2625" i="16"/>
  <c r="AN2624" i="16"/>
  <c r="AM2624" i="16"/>
  <c r="AL2624" i="16"/>
  <c r="AK2624" i="16"/>
  <c r="AJ2624" i="16"/>
  <c r="AI2624" i="16"/>
  <c r="AF2624" i="16"/>
  <c r="AN2623" i="16"/>
  <c r="AM2623" i="16"/>
  <c r="AL2623" i="16"/>
  <c r="AK2623" i="16"/>
  <c r="AJ2623" i="16"/>
  <c r="AI2623" i="16"/>
  <c r="AF2623" i="16"/>
  <c r="AN2622" i="16"/>
  <c r="AM2622" i="16"/>
  <c r="AL2622" i="16"/>
  <c r="AK2622" i="16"/>
  <c r="AJ2622" i="16"/>
  <c r="AI2622" i="16"/>
  <c r="AF2622" i="16"/>
  <c r="AN2621" i="16"/>
  <c r="AM2621" i="16"/>
  <c r="AL2621" i="16"/>
  <c r="AK2621" i="16"/>
  <c r="AJ2621" i="16"/>
  <c r="AI2621" i="16"/>
  <c r="AF2621" i="16"/>
  <c r="AN2620" i="16"/>
  <c r="AM2620" i="16"/>
  <c r="AL2620" i="16"/>
  <c r="AK2620" i="16"/>
  <c r="AJ2620" i="16"/>
  <c r="AI2620" i="16"/>
  <c r="AF2620" i="16"/>
  <c r="AN2619" i="16"/>
  <c r="AM2619" i="16"/>
  <c r="AL2619" i="16"/>
  <c r="AK2619" i="16"/>
  <c r="AJ2619" i="16"/>
  <c r="AI2619" i="16"/>
  <c r="AF2619" i="16"/>
  <c r="AN2618" i="16"/>
  <c r="AM2618" i="16"/>
  <c r="AL2618" i="16"/>
  <c r="AK2618" i="16"/>
  <c r="AJ2618" i="16"/>
  <c r="AI2618" i="16"/>
  <c r="AF2618" i="16"/>
  <c r="AN2617" i="16"/>
  <c r="AM2617" i="16"/>
  <c r="AL2617" i="16"/>
  <c r="AK2617" i="16"/>
  <c r="AJ2617" i="16"/>
  <c r="AI2617" i="16"/>
  <c r="AF2617" i="16"/>
  <c r="AN2616" i="16"/>
  <c r="AM2616" i="16"/>
  <c r="AL2616" i="16"/>
  <c r="AK2616" i="16"/>
  <c r="AJ2616" i="16"/>
  <c r="AI2616" i="16"/>
  <c r="AF2616" i="16"/>
  <c r="AN2615" i="16"/>
  <c r="AM2615" i="16"/>
  <c r="AL2615" i="16"/>
  <c r="AK2615" i="16"/>
  <c r="AJ2615" i="16"/>
  <c r="AI2615" i="16"/>
  <c r="AF2615" i="16"/>
  <c r="AN2614" i="16"/>
  <c r="AM2614" i="16"/>
  <c r="AL2614" i="16"/>
  <c r="AK2614" i="16"/>
  <c r="AJ2614" i="16"/>
  <c r="AI2614" i="16"/>
  <c r="AF2614" i="16"/>
  <c r="AN2613" i="16"/>
  <c r="AM2613" i="16"/>
  <c r="AL2613" i="16"/>
  <c r="AK2613" i="16"/>
  <c r="AJ2613" i="16"/>
  <c r="AI2613" i="16"/>
  <c r="AF2613" i="16"/>
  <c r="AN2612" i="16"/>
  <c r="AM2612" i="16"/>
  <c r="AL2612" i="16"/>
  <c r="AK2612" i="16"/>
  <c r="AJ2612" i="16"/>
  <c r="AI2612" i="16"/>
  <c r="AF2612" i="16"/>
  <c r="AN2611" i="16"/>
  <c r="AM2611" i="16"/>
  <c r="AL2611" i="16"/>
  <c r="AK2611" i="16"/>
  <c r="AJ2611" i="16"/>
  <c r="AI2611" i="16"/>
  <c r="AF2611" i="16"/>
  <c r="AN2610" i="16"/>
  <c r="AM2610" i="16"/>
  <c r="AL2610" i="16"/>
  <c r="AK2610" i="16"/>
  <c r="AJ2610" i="16"/>
  <c r="AI2610" i="16"/>
  <c r="AF2610" i="16"/>
  <c r="AN2609" i="16"/>
  <c r="AM2609" i="16"/>
  <c r="AL2609" i="16"/>
  <c r="AK2609" i="16"/>
  <c r="AJ2609" i="16"/>
  <c r="AI2609" i="16"/>
  <c r="AF2609" i="16"/>
  <c r="AN2608" i="16"/>
  <c r="AM2608" i="16"/>
  <c r="AL2608" i="16"/>
  <c r="AK2608" i="16"/>
  <c r="AJ2608" i="16"/>
  <c r="AI2608" i="16"/>
  <c r="AF2608" i="16"/>
  <c r="AN2607" i="16"/>
  <c r="AM2607" i="16"/>
  <c r="AL2607" i="16"/>
  <c r="AK2607" i="16"/>
  <c r="AJ2607" i="16"/>
  <c r="AI2607" i="16"/>
  <c r="AF2607" i="16"/>
  <c r="AN2606" i="16"/>
  <c r="AM2606" i="16"/>
  <c r="AL2606" i="16"/>
  <c r="AK2606" i="16"/>
  <c r="AJ2606" i="16"/>
  <c r="AI2606" i="16"/>
  <c r="AF2606" i="16"/>
  <c r="AN2605" i="16"/>
  <c r="AM2605" i="16"/>
  <c r="AL2605" i="16"/>
  <c r="AK2605" i="16"/>
  <c r="AJ2605" i="16"/>
  <c r="AI2605" i="16"/>
  <c r="AF2605" i="16"/>
  <c r="AN2604" i="16"/>
  <c r="AM2604" i="16"/>
  <c r="AL2604" i="16"/>
  <c r="AK2604" i="16"/>
  <c r="AJ2604" i="16"/>
  <c r="AI2604" i="16"/>
  <c r="AF2604" i="16"/>
  <c r="AN2603" i="16"/>
  <c r="AM2603" i="16"/>
  <c r="AL2603" i="16"/>
  <c r="AK2603" i="16"/>
  <c r="AJ2603" i="16"/>
  <c r="AI2603" i="16"/>
  <c r="AF2603" i="16"/>
  <c r="AN2602" i="16"/>
  <c r="AM2602" i="16"/>
  <c r="AL2602" i="16"/>
  <c r="AK2602" i="16"/>
  <c r="AJ2602" i="16"/>
  <c r="AI2602" i="16"/>
  <c r="AF2602" i="16"/>
  <c r="AN2601" i="16"/>
  <c r="AM2601" i="16"/>
  <c r="AL2601" i="16"/>
  <c r="AK2601" i="16"/>
  <c r="AJ2601" i="16"/>
  <c r="AI2601" i="16"/>
  <c r="AF2601" i="16"/>
  <c r="AN2600" i="16"/>
  <c r="AM2600" i="16"/>
  <c r="AL2600" i="16"/>
  <c r="AK2600" i="16"/>
  <c r="AJ2600" i="16"/>
  <c r="AI2600" i="16"/>
  <c r="AF2600" i="16"/>
  <c r="AN2599" i="16"/>
  <c r="AM2599" i="16"/>
  <c r="AL2599" i="16"/>
  <c r="AK2599" i="16"/>
  <c r="AJ2599" i="16"/>
  <c r="AI2599" i="16"/>
  <c r="AF2599" i="16"/>
  <c r="AN2598" i="16"/>
  <c r="AM2598" i="16"/>
  <c r="AL2598" i="16"/>
  <c r="AK2598" i="16"/>
  <c r="AJ2598" i="16"/>
  <c r="AI2598" i="16"/>
  <c r="AF2598" i="16"/>
  <c r="AN2597" i="16"/>
  <c r="AM2597" i="16"/>
  <c r="AL2597" i="16"/>
  <c r="AK2597" i="16"/>
  <c r="AJ2597" i="16"/>
  <c r="AI2597" i="16"/>
  <c r="AF2597" i="16"/>
  <c r="AN2596" i="16"/>
  <c r="AM2596" i="16"/>
  <c r="AL2596" i="16"/>
  <c r="AK2596" i="16"/>
  <c r="AJ2596" i="16"/>
  <c r="AI2596" i="16"/>
  <c r="AF2596" i="16"/>
  <c r="AN2595" i="16"/>
  <c r="AM2595" i="16"/>
  <c r="AL2595" i="16"/>
  <c r="AK2595" i="16"/>
  <c r="AJ2595" i="16"/>
  <c r="AI2595" i="16"/>
  <c r="AF2595" i="16"/>
  <c r="AN2594" i="16"/>
  <c r="AM2594" i="16"/>
  <c r="AL2594" i="16"/>
  <c r="AK2594" i="16"/>
  <c r="AJ2594" i="16"/>
  <c r="AI2594" i="16"/>
  <c r="AF2594" i="16"/>
  <c r="AN2593" i="16"/>
  <c r="AM2593" i="16"/>
  <c r="AL2593" i="16"/>
  <c r="AK2593" i="16"/>
  <c r="AJ2593" i="16"/>
  <c r="AI2593" i="16"/>
  <c r="AF2593" i="16"/>
  <c r="AN2592" i="16"/>
  <c r="AM2592" i="16"/>
  <c r="AL2592" i="16"/>
  <c r="AK2592" i="16"/>
  <c r="AJ2592" i="16"/>
  <c r="AI2592" i="16"/>
  <c r="AF2592" i="16"/>
  <c r="AN2591" i="16"/>
  <c r="AM2591" i="16"/>
  <c r="AL2591" i="16"/>
  <c r="AK2591" i="16"/>
  <c r="AJ2591" i="16"/>
  <c r="AI2591" i="16"/>
  <c r="AF2591" i="16"/>
  <c r="AN2590" i="16"/>
  <c r="AM2590" i="16"/>
  <c r="AL2590" i="16"/>
  <c r="AK2590" i="16"/>
  <c r="AJ2590" i="16"/>
  <c r="AI2590" i="16"/>
  <c r="AF2590" i="16"/>
  <c r="AN2589" i="16"/>
  <c r="AM2589" i="16"/>
  <c r="AL2589" i="16"/>
  <c r="AK2589" i="16"/>
  <c r="AJ2589" i="16"/>
  <c r="AI2589" i="16"/>
  <c r="AF2589" i="16"/>
  <c r="AN2588" i="16"/>
  <c r="AM2588" i="16"/>
  <c r="AL2588" i="16"/>
  <c r="AK2588" i="16"/>
  <c r="AJ2588" i="16"/>
  <c r="AI2588" i="16"/>
  <c r="AF2588" i="16"/>
  <c r="AN2587" i="16"/>
  <c r="AM2587" i="16"/>
  <c r="AL2587" i="16"/>
  <c r="AK2587" i="16"/>
  <c r="AJ2587" i="16"/>
  <c r="AI2587" i="16"/>
  <c r="AF2587" i="16"/>
  <c r="AN2586" i="16"/>
  <c r="AM2586" i="16"/>
  <c r="AL2586" i="16"/>
  <c r="AK2586" i="16"/>
  <c r="AJ2586" i="16"/>
  <c r="AI2586" i="16"/>
  <c r="AF2586" i="16"/>
  <c r="AN2585" i="16"/>
  <c r="AM2585" i="16"/>
  <c r="AL2585" i="16"/>
  <c r="AK2585" i="16"/>
  <c r="AJ2585" i="16"/>
  <c r="AI2585" i="16"/>
  <c r="AF2585" i="16"/>
  <c r="AN2584" i="16"/>
  <c r="AM2584" i="16"/>
  <c r="AL2584" i="16"/>
  <c r="AK2584" i="16"/>
  <c r="AJ2584" i="16"/>
  <c r="AI2584" i="16"/>
  <c r="AF2584" i="16"/>
  <c r="AN2583" i="16"/>
  <c r="AM2583" i="16"/>
  <c r="AL2583" i="16"/>
  <c r="AK2583" i="16"/>
  <c r="AJ2583" i="16"/>
  <c r="AI2583" i="16"/>
  <c r="AF2583" i="16"/>
  <c r="AN2582" i="16"/>
  <c r="AM2582" i="16"/>
  <c r="AL2582" i="16"/>
  <c r="AK2582" i="16"/>
  <c r="AJ2582" i="16"/>
  <c r="AI2582" i="16"/>
  <c r="AF2582" i="16"/>
  <c r="AN2581" i="16"/>
  <c r="AM2581" i="16"/>
  <c r="AL2581" i="16"/>
  <c r="AK2581" i="16"/>
  <c r="AJ2581" i="16"/>
  <c r="AI2581" i="16"/>
  <c r="AF2581" i="16"/>
  <c r="AN2580" i="16"/>
  <c r="AM2580" i="16"/>
  <c r="AL2580" i="16"/>
  <c r="AK2580" i="16"/>
  <c r="AJ2580" i="16"/>
  <c r="AI2580" i="16"/>
  <c r="AF2580" i="16"/>
  <c r="AN2579" i="16"/>
  <c r="AM2579" i="16"/>
  <c r="AL2579" i="16"/>
  <c r="AK2579" i="16"/>
  <c r="AJ2579" i="16"/>
  <c r="AI2579" i="16"/>
  <c r="AF2579" i="16"/>
  <c r="AN2578" i="16"/>
  <c r="AM2578" i="16"/>
  <c r="AL2578" i="16"/>
  <c r="AK2578" i="16"/>
  <c r="AJ2578" i="16"/>
  <c r="AI2578" i="16"/>
  <c r="AF2578" i="16"/>
  <c r="AN2577" i="16"/>
  <c r="AM2577" i="16"/>
  <c r="AL2577" i="16"/>
  <c r="AK2577" i="16"/>
  <c r="AJ2577" i="16"/>
  <c r="AI2577" i="16"/>
  <c r="AF2577" i="16"/>
  <c r="AN2576" i="16"/>
  <c r="AM2576" i="16"/>
  <c r="AL2576" i="16"/>
  <c r="AK2576" i="16"/>
  <c r="AJ2576" i="16"/>
  <c r="AI2576" i="16"/>
  <c r="AF2576" i="16"/>
  <c r="AN2575" i="16"/>
  <c r="AM2575" i="16"/>
  <c r="AL2575" i="16"/>
  <c r="AK2575" i="16"/>
  <c r="AJ2575" i="16"/>
  <c r="AI2575" i="16"/>
  <c r="AF2575" i="16"/>
  <c r="AN2574" i="16"/>
  <c r="AM2574" i="16"/>
  <c r="AL2574" i="16"/>
  <c r="AK2574" i="16"/>
  <c r="AJ2574" i="16"/>
  <c r="AI2574" i="16"/>
  <c r="AF2574" i="16"/>
  <c r="AN2573" i="16"/>
  <c r="AM2573" i="16"/>
  <c r="AL2573" i="16"/>
  <c r="AK2573" i="16"/>
  <c r="AJ2573" i="16"/>
  <c r="AI2573" i="16"/>
  <c r="AF2573" i="16"/>
  <c r="AN2572" i="16"/>
  <c r="AM2572" i="16"/>
  <c r="AL2572" i="16"/>
  <c r="AK2572" i="16"/>
  <c r="AJ2572" i="16"/>
  <c r="AI2572" i="16"/>
  <c r="AF2572" i="16"/>
  <c r="AN2571" i="16"/>
  <c r="AM2571" i="16"/>
  <c r="AL2571" i="16"/>
  <c r="AK2571" i="16"/>
  <c r="AJ2571" i="16"/>
  <c r="AI2571" i="16"/>
  <c r="AF2571" i="16"/>
  <c r="AN2570" i="16"/>
  <c r="AM2570" i="16"/>
  <c r="AL2570" i="16"/>
  <c r="AK2570" i="16"/>
  <c r="AJ2570" i="16"/>
  <c r="AI2570" i="16"/>
  <c r="AF2570" i="16"/>
  <c r="AN2569" i="16"/>
  <c r="AM2569" i="16"/>
  <c r="AL2569" i="16"/>
  <c r="AK2569" i="16"/>
  <c r="AJ2569" i="16"/>
  <c r="AI2569" i="16"/>
  <c r="AF2569" i="16"/>
  <c r="AN2568" i="16"/>
  <c r="AM2568" i="16"/>
  <c r="AL2568" i="16"/>
  <c r="AK2568" i="16"/>
  <c r="AJ2568" i="16"/>
  <c r="AI2568" i="16"/>
  <c r="AF2568" i="16"/>
  <c r="AN2567" i="16"/>
  <c r="AM2567" i="16"/>
  <c r="AL2567" i="16"/>
  <c r="AK2567" i="16"/>
  <c r="AJ2567" i="16"/>
  <c r="AI2567" i="16"/>
  <c r="AF2567" i="16"/>
  <c r="AN2566" i="16"/>
  <c r="AM2566" i="16"/>
  <c r="AL2566" i="16"/>
  <c r="AK2566" i="16"/>
  <c r="AJ2566" i="16"/>
  <c r="AI2566" i="16"/>
  <c r="AF2566" i="16"/>
  <c r="AN2565" i="16"/>
  <c r="AM2565" i="16"/>
  <c r="AL2565" i="16"/>
  <c r="AK2565" i="16"/>
  <c r="AJ2565" i="16"/>
  <c r="AI2565" i="16"/>
  <c r="AF2565" i="16"/>
  <c r="AN2564" i="16"/>
  <c r="AM2564" i="16"/>
  <c r="AL2564" i="16"/>
  <c r="AK2564" i="16"/>
  <c r="AJ2564" i="16"/>
  <c r="AI2564" i="16"/>
  <c r="AF2564" i="16"/>
  <c r="AN2563" i="16"/>
  <c r="AM2563" i="16"/>
  <c r="AL2563" i="16"/>
  <c r="AK2563" i="16"/>
  <c r="AJ2563" i="16"/>
  <c r="AI2563" i="16"/>
  <c r="AF2563" i="16"/>
  <c r="AN2562" i="16"/>
  <c r="AM2562" i="16"/>
  <c r="AL2562" i="16"/>
  <c r="AK2562" i="16"/>
  <c r="AJ2562" i="16"/>
  <c r="AI2562" i="16"/>
  <c r="AF2562" i="16"/>
  <c r="AN2561" i="16"/>
  <c r="AM2561" i="16"/>
  <c r="AL2561" i="16"/>
  <c r="AK2561" i="16"/>
  <c r="AJ2561" i="16"/>
  <c r="AI2561" i="16"/>
  <c r="AF2561" i="16"/>
  <c r="AN2560" i="16"/>
  <c r="AM2560" i="16"/>
  <c r="AL2560" i="16"/>
  <c r="AK2560" i="16"/>
  <c r="AJ2560" i="16"/>
  <c r="AI2560" i="16"/>
  <c r="AF2560" i="16"/>
  <c r="AN2559" i="16"/>
  <c r="AM2559" i="16"/>
  <c r="AL2559" i="16"/>
  <c r="AK2559" i="16"/>
  <c r="AJ2559" i="16"/>
  <c r="AI2559" i="16"/>
  <c r="AF2559" i="16"/>
  <c r="AN2558" i="16"/>
  <c r="AM2558" i="16"/>
  <c r="AL2558" i="16"/>
  <c r="AK2558" i="16"/>
  <c r="AJ2558" i="16"/>
  <c r="AI2558" i="16"/>
  <c r="AF2558" i="16"/>
  <c r="AN2557" i="16"/>
  <c r="AM2557" i="16"/>
  <c r="AL2557" i="16"/>
  <c r="AK2557" i="16"/>
  <c r="AJ2557" i="16"/>
  <c r="AI2557" i="16"/>
  <c r="AF2557" i="16"/>
  <c r="AN2556" i="16"/>
  <c r="AM2556" i="16"/>
  <c r="AL2556" i="16"/>
  <c r="AK2556" i="16"/>
  <c r="AJ2556" i="16"/>
  <c r="AI2556" i="16"/>
  <c r="AF2556" i="16"/>
  <c r="AN2555" i="16"/>
  <c r="AM2555" i="16"/>
  <c r="AL2555" i="16"/>
  <c r="AK2555" i="16"/>
  <c r="AJ2555" i="16"/>
  <c r="AI2555" i="16"/>
  <c r="AF2555" i="16"/>
  <c r="AN2554" i="16"/>
  <c r="AM2554" i="16"/>
  <c r="AL2554" i="16"/>
  <c r="AK2554" i="16"/>
  <c r="AJ2554" i="16"/>
  <c r="AI2554" i="16"/>
  <c r="AF2554" i="16"/>
  <c r="AN2553" i="16"/>
  <c r="AM2553" i="16"/>
  <c r="AL2553" i="16"/>
  <c r="AK2553" i="16"/>
  <c r="AJ2553" i="16"/>
  <c r="AI2553" i="16"/>
  <c r="AF2553" i="16"/>
  <c r="AN2552" i="16"/>
  <c r="AM2552" i="16"/>
  <c r="AL2552" i="16"/>
  <c r="AK2552" i="16"/>
  <c r="AJ2552" i="16"/>
  <c r="AI2552" i="16"/>
  <c r="AF2552" i="16"/>
  <c r="AN2551" i="16"/>
  <c r="AM2551" i="16"/>
  <c r="AL2551" i="16"/>
  <c r="AK2551" i="16"/>
  <c r="AJ2551" i="16"/>
  <c r="AI2551" i="16"/>
  <c r="AF2551" i="16"/>
  <c r="AN2550" i="16"/>
  <c r="AM2550" i="16"/>
  <c r="AL2550" i="16"/>
  <c r="AK2550" i="16"/>
  <c r="AJ2550" i="16"/>
  <c r="AI2550" i="16"/>
  <c r="AF2550" i="16"/>
  <c r="AN2549" i="16"/>
  <c r="AM2549" i="16"/>
  <c r="AL2549" i="16"/>
  <c r="AK2549" i="16"/>
  <c r="AJ2549" i="16"/>
  <c r="AI2549" i="16"/>
  <c r="AF2549" i="16"/>
  <c r="AN2548" i="16"/>
  <c r="AM2548" i="16"/>
  <c r="AL2548" i="16"/>
  <c r="AK2548" i="16"/>
  <c r="AJ2548" i="16"/>
  <c r="AI2548" i="16"/>
  <c r="AF2548" i="16"/>
  <c r="AN2547" i="16"/>
  <c r="AM2547" i="16"/>
  <c r="AL2547" i="16"/>
  <c r="AK2547" i="16"/>
  <c r="AJ2547" i="16"/>
  <c r="AI2547" i="16"/>
  <c r="AF2547" i="16"/>
  <c r="AN2546" i="16"/>
  <c r="AM2546" i="16"/>
  <c r="AL2546" i="16"/>
  <c r="AK2546" i="16"/>
  <c r="AJ2546" i="16"/>
  <c r="AI2546" i="16"/>
  <c r="AF2546" i="16"/>
  <c r="AN2545" i="16"/>
  <c r="AM2545" i="16"/>
  <c r="AL2545" i="16"/>
  <c r="AK2545" i="16"/>
  <c r="AJ2545" i="16"/>
  <c r="AI2545" i="16"/>
  <c r="AF2545" i="16"/>
  <c r="AN2544" i="16"/>
  <c r="AM2544" i="16"/>
  <c r="AL2544" i="16"/>
  <c r="AK2544" i="16"/>
  <c r="AJ2544" i="16"/>
  <c r="AI2544" i="16"/>
  <c r="AF2544" i="16"/>
  <c r="AN2543" i="16"/>
  <c r="AM2543" i="16"/>
  <c r="AL2543" i="16"/>
  <c r="AK2543" i="16"/>
  <c r="AJ2543" i="16"/>
  <c r="AI2543" i="16"/>
  <c r="AF2543" i="16"/>
  <c r="AN2542" i="16"/>
  <c r="AM2542" i="16"/>
  <c r="AL2542" i="16"/>
  <c r="AK2542" i="16"/>
  <c r="AJ2542" i="16"/>
  <c r="AI2542" i="16"/>
  <c r="AF2542" i="16"/>
  <c r="AN2541" i="16"/>
  <c r="AM2541" i="16"/>
  <c r="AL2541" i="16"/>
  <c r="AK2541" i="16"/>
  <c r="AJ2541" i="16"/>
  <c r="AI2541" i="16"/>
  <c r="AF2541" i="16"/>
  <c r="AN2540" i="16"/>
  <c r="AM2540" i="16"/>
  <c r="AL2540" i="16"/>
  <c r="AK2540" i="16"/>
  <c r="AJ2540" i="16"/>
  <c r="AI2540" i="16"/>
  <c r="AF2540" i="16"/>
  <c r="AN2539" i="16"/>
  <c r="AM2539" i="16"/>
  <c r="AL2539" i="16"/>
  <c r="AK2539" i="16"/>
  <c r="AJ2539" i="16"/>
  <c r="AI2539" i="16"/>
  <c r="AF2539" i="16"/>
  <c r="AN2538" i="16"/>
  <c r="AM2538" i="16"/>
  <c r="AL2538" i="16"/>
  <c r="AK2538" i="16"/>
  <c r="AJ2538" i="16"/>
  <c r="AI2538" i="16"/>
  <c r="AF2538" i="16"/>
  <c r="AN2537" i="16"/>
  <c r="AM2537" i="16"/>
  <c r="AL2537" i="16"/>
  <c r="AK2537" i="16"/>
  <c r="AJ2537" i="16"/>
  <c r="AI2537" i="16"/>
  <c r="AF2537" i="16"/>
  <c r="AN2536" i="16"/>
  <c r="AM2536" i="16"/>
  <c r="AL2536" i="16"/>
  <c r="AK2536" i="16"/>
  <c r="AJ2536" i="16"/>
  <c r="AI2536" i="16"/>
  <c r="AF2536" i="16"/>
  <c r="AN2535" i="16"/>
  <c r="AM2535" i="16"/>
  <c r="AL2535" i="16"/>
  <c r="AK2535" i="16"/>
  <c r="AJ2535" i="16"/>
  <c r="AI2535" i="16"/>
  <c r="AF2535" i="16"/>
  <c r="AN2534" i="16"/>
  <c r="AM2534" i="16"/>
  <c r="AL2534" i="16"/>
  <c r="AK2534" i="16"/>
  <c r="AJ2534" i="16"/>
  <c r="AI2534" i="16"/>
  <c r="AF2534" i="16"/>
  <c r="AN2533" i="16"/>
  <c r="AM2533" i="16"/>
  <c r="AL2533" i="16"/>
  <c r="AK2533" i="16"/>
  <c r="AJ2533" i="16"/>
  <c r="AI2533" i="16"/>
  <c r="AF2533" i="16"/>
  <c r="AN2532" i="16"/>
  <c r="AM2532" i="16"/>
  <c r="AL2532" i="16"/>
  <c r="AK2532" i="16"/>
  <c r="AJ2532" i="16"/>
  <c r="AI2532" i="16"/>
  <c r="AF2532" i="16"/>
  <c r="AN2531" i="16"/>
  <c r="AM2531" i="16"/>
  <c r="AL2531" i="16"/>
  <c r="AK2531" i="16"/>
  <c r="AJ2531" i="16"/>
  <c r="AI2531" i="16"/>
  <c r="AF2531" i="16"/>
  <c r="AN2530" i="16"/>
  <c r="AM2530" i="16"/>
  <c r="AL2530" i="16"/>
  <c r="AK2530" i="16"/>
  <c r="AJ2530" i="16"/>
  <c r="AI2530" i="16"/>
  <c r="AF2530" i="16"/>
  <c r="AN2529" i="16"/>
  <c r="AM2529" i="16"/>
  <c r="AL2529" i="16"/>
  <c r="AK2529" i="16"/>
  <c r="AJ2529" i="16"/>
  <c r="AI2529" i="16"/>
  <c r="AF2529" i="16"/>
  <c r="AN2528" i="16"/>
  <c r="AM2528" i="16"/>
  <c r="AL2528" i="16"/>
  <c r="AK2528" i="16"/>
  <c r="AJ2528" i="16"/>
  <c r="AI2528" i="16"/>
  <c r="AF2528" i="16"/>
  <c r="AN2527" i="16"/>
  <c r="AM2527" i="16"/>
  <c r="AL2527" i="16"/>
  <c r="AK2527" i="16"/>
  <c r="AJ2527" i="16"/>
  <c r="AI2527" i="16"/>
  <c r="AF2527" i="16"/>
  <c r="AN2526" i="16"/>
  <c r="AM2526" i="16"/>
  <c r="AL2526" i="16"/>
  <c r="AK2526" i="16"/>
  <c r="AJ2526" i="16"/>
  <c r="AI2526" i="16"/>
  <c r="AF2526" i="16"/>
  <c r="AN2525" i="16"/>
  <c r="AM2525" i="16"/>
  <c r="AL2525" i="16"/>
  <c r="AK2525" i="16"/>
  <c r="AJ2525" i="16"/>
  <c r="AI2525" i="16"/>
  <c r="AF2525" i="16"/>
  <c r="AN2524" i="16"/>
  <c r="AM2524" i="16"/>
  <c r="AL2524" i="16"/>
  <c r="AK2524" i="16"/>
  <c r="AJ2524" i="16"/>
  <c r="AI2524" i="16"/>
  <c r="AF2524" i="16"/>
  <c r="AN2523" i="16"/>
  <c r="AM2523" i="16"/>
  <c r="AL2523" i="16"/>
  <c r="AK2523" i="16"/>
  <c r="AJ2523" i="16"/>
  <c r="AI2523" i="16"/>
  <c r="AF2523" i="16"/>
  <c r="AN2522" i="16"/>
  <c r="AM2522" i="16"/>
  <c r="AL2522" i="16"/>
  <c r="AK2522" i="16"/>
  <c r="AJ2522" i="16"/>
  <c r="AI2522" i="16"/>
  <c r="AF2522" i="16"/>
  <c r="AN2521" i="16"/>
  <c r="AM2521" i="16"/>
  <c r="AL2521" i="16"/>
  <c r="AK2521" i="16"/>
  <c r="AJ2521" i="16"/>
  <c r="AI2521" i="16"/>
  <c r="AF2521" i="16"/>
  <c r="AN2520" i="16"/>
  <c r="AM2520" i="16"/>
  <c r="AL2520" i="16"/>
  <c r="AK2520" i="16"/>
  <c r="AJ2520" i="16"/>
  <c r="AI2520" i="16"/>
  <c r="AF2520" i="16"/>
  <c r="AN2519" i="16"/>
  <c r="AM2519" i="16"/>
  <c r="AL2519" i="16"/>
  <c r="AK2519" i="16"/>
  <c r="AJ2519" i="16"/>
  <c r="AI2519" i="16"/>
  <c r="AF2519" i="16"/>
  <c r="AN2518" i="16"/>
  <c r="AM2518" i="16"/>
  <c r="AL2518" i="16"/>
  <c r="AK2518" i="16"/>
  <c r="AJ2518" i="16"/>
  <c r="AI2518" i="16"/>
  <c r="AF2518" i="16"/>
  <c r="AN2517" i="16"/>
  <c r="AM2517" i="16"/>
  <c r="AL2517" i="16"/>
  <c r="AK2517" i="16"/>
  <c r="AJ2517" i="16"/>
  <c r="AI2517" i="16"/>
  <c r="AF2517" i="16"/>
  <c r="AN2516" i="16"/>
  <c r="AM2516" i="16"/>
  <c r="AL2516" i="16"/>
  <c r="AK2516" i="16"/>
  <c r="AJ2516" i="16"/>
  <c r="AI2516" i="16"/>
  <c r="AF2516" i="16"/>
  <c r="AN2515" i="16"/>
  <c r="AM2515" i="16"/>
  <c r="AL2515" i="16"/>
  <c r="AK2515" i="16"/>
  <c r="AJ2515" i="16"/>
  <c r="AI2515" i="16"/>
  <c r="AF2515" i="16"/>
  <c r="AN2514" i="16"/>
  <c r="AM2514" i="16"/>
  <c r="AL2514" i="16"/>
  <c r="AK2514" i="16"/>
  <c r="AJ2514" i="16"/>
  <c r="AI2514" i="16"/>
  <c r="AF2514" i="16"/>
  <c r="AN2513" i="16"/>
  <c r="AM2513" i="16"/>
  <c r="AL2513" i="16"/>
  <c r="AK2513" i="16"/>
  <c r="AJ2513" i="16"/>
  <c r="AI2513" i="16"/>
  <c r="AF2513" i="16"/>
  <c r="AN2512" i="16"/>
  <c r="AM2512" i="16"/>
  <c r="AL2512" i="16"/>
  <c r="AK2512" i="16"/>
  <c r="AJ2512" i="16"/>
  <c r="AI2512" i="16"/>
  <c r="AF2512" i="16"/>
  <c r="AN2511" i="16"/>
  <c r="AM2511" i="16"/>
  <c r="AL2511" i="16"/>
  <c r="AK2511" i="16"/>
  <c r="AJ2511" i="16"/>
  <c r="AI2511" i="16"/>
  <c r="AF2511" i="16"/>
  <c r="AN2510" i="16"/>
  <c r="AM2510" i="16"/>
  <c r="AL2510" i="16"/>
  <c r="AK2510" i="16"/>
  <c r="AJ2510" i="16"/>
  <c r="AI2510" i="16"/>
  <c r="AF2510" i="16"/>
  <c r="AN2509" i="16"/>
  <c r="AM2509" i="16"/>
  <c r="AL2509" i="16"/>
  <c r="AK2509" i="16"/>
  <c r="AJ2509" i="16"/>
  <c r="AI2509" i="16"/>
  <c r="AF2509" i="16"/>
  <c r="AN2508" i="16"/>
  <c r="AM2508" i="16"/>
  <c r="AL2508" i="16"/>
  <c r="AK2508" i="16"/>
  <c r="AJ2508" i="16"/>
  <c r="AI2508" i="16"/>
  <c r="AF2508" i="16"/>
  <c r="AN2507" i="16"/>
  <c r="AM2507" i="16"/>
  <c r="AL2507" i="16"/>
  <c r="AK2507" i="16"/>
  <c r="AJ2507" i="16"/>
  <c r="AI2507" i="16"/>
  <c r="AF2507" i="16"/>
  <c r="AN2506" i="16"/>
  <c r="AM2506" i="16"/>
  <c r="AL2506" i="16"/>
  <c r="AK2506" i="16"/>
  <c r="AJ2506" i="16"/>
  <c r="AI2506" i="16"/>
  <c r="AF2506" i="16"/>
  <c r="AN2505" i="16"/>
  <c r="AM2505" i="16"/>
  <c r="AL2505" i="16"/>
  <c r="AK2505" i="16"/>
  <c r="AJ2505" i="16"/>
  <c r="AI2505" i="16"/>
  <c r="AF2505" i="16"/>
  <c r="AN2504" i="16"/>
  <c r="AM2504" i="16"/>
  <c r="AL2504" i="16"/>
  <c r="AK2504" i="16"/>
  <c r="AJ2504" i="16"/>
  <c r="AI2504" i="16"/>
  <c r="AF2504" i="16"/>
  <c r="AN2503" i="16"/>
  <c r="AM2503" i="16"/>
  <c r="AL2503" i="16"/>
  <c r="AK2503" i="16"/>
  <c r="AJ2503" i="16"/>
  <c r="AI2503" i="16"/>
  <c r="AF2503" i="16"/>
  <c r="AN2502" i="16"/>
  <c r="AM2502" i="16"/>
  <c r="AL2502" i="16"/>
  <c r="AK2502" i="16"/>
  <c r="AJ2502" i="16"/>
  <c r="AI2502" i="16"/>
  <c r="AF2502" i="16"/>
  <c r="AN2501" i="16"/>
  <c r="AM2501" i="16"/>
  <c r="AL2501" i="16"/>
  <c r="AK2501" i="16"/>
  <c r="AJ2501" i="16"/>
  <c r="AI2501" i="16"/>
  <c r="AF2501" i="16"/>
  <c r="AN2500" i="16"/>
  <c r="AM2500" i="16"/>
  <c r="AL2500" i="16"/>
  <c r="AK2500" i="16"/>
  <c r="AJ2500" i="16"/>
  <c r="AI2500" i="16"/>
  <c r="AF2500" i="16"/>
  <c r="AN2499" i="16"/>
  <c r="AM2499" i="16"/>
  <c r="AL2499" i="16"/>
  <c r="AK2499" i="16"/>
  <c r="AJ2499" i="16"/>
  <c r="AI2499" i="16"/>
  <c r="AF2499" i="16"/>
  <c r="AN2498" i="16"/>
  <c r="AM2498" i="16"/>
  <c r="AL2498" i="16"/>
  <c r="AK2498" i="16"/>
  <c r="AJ2498" i="16"/>
  <c r="AI2498" i="16"/>
  <c r="AF2498" i="16"/>
  <c r="AN2497" i="16"/>
  <c r="AM2497" i="16"/>
  <c r="AL2497" i="16"/>
  <c r="AK2497" i="16"/>
  <c r="AJ2497" i="16"/>
  <c r="AI2497" i="16"/>
  <c r="AF2497" i="16"/>
  <c r="AN2496" i="16"/>
  <c r="AM2496" i="16"/>
  <c r="AL2496" i="16"/>
  <c r="AK2496" i="16"/>
  <c r="AJ2496" i="16"/>
  <c r="AI2496" i="16"/>
  <c r="AF2496" i="16"/>
  <c r="AN2495" i="16"/>
  <c r="AM2495" i="16"/>
  <c r="AL2495" i="16"/>
  <c r="AK2495" i="16"/>
  <c r="AJ2495" i="16"/>
  <c r="AI2495" i="16"/>
  <c r="AF2495" i="16"/>
  <c r="AN2494" i="16"/>
  <c r="AM2494" i="16"/>
  <c r="AL2494" i="16"/>
  <c r="AK2494" i="16"/>
  <c r="AJ2494" i="16"/>
  <c r="AI2494" i="16"/>
  <c r="AF2494" i="16"/>
  <c r="AN2493" i="16"/>
  <c r="AM2493" i="16"/>
  <c r="AL2493" i="16"/>
  <c r="AK2493" i="16"/>
  <c r="AJ2493" i="16"/>
  <c r="AI2493" i="16"/>
  <c r="AF2493" i="16"/>
  <c r="AN2492" i="16"/>
  <c r="AM2492" i="16"/>
  <c r="AL2492" i="16"/>
  <c r="AK2492" i="16"/>
  <c r="AJ2492" i="16"/>
  <c r="AI2492" i="16"/>
  <c r="AF2492" i="16"/>
  <c r="AN2491" i="16"/>
  <c r="AM2491" i="16"/>
  <c r="AL2491" i="16"/>
  <c r="AK2491" i="16"/>
  <c r="AJ2491" i="16"/>
  <c r="AI2491" i="16"/>
  <c r="AF2491" i="16"/>
  <c r="AN2490" i="16"/>
  <c r="AM2490" i="16"/>
  <c r="AL2490" i="16"/>
  <c r="AK2490" i="16"/>
  <c r="AJ2490" i="16"/>
  <c r="AI2490" i="16"/>
  <c r="AF2490" i="16"/>
  <c r="AN2489" i="16"/>
  <c r="AM2489" i="16"/>
  <c r="AL2489" i="16"/>
  <c r="AK2489" i="16"/>
  <c r="AJ2489" i="16"/>
  <c r="AI2489" i="16"/>
  <c r="AF2489" i="16"/>
  <c r="AN2488" i="16"/>
  <c r="AM2488" i="16"/>
  <c r="AL2488" i="16"/>
  <c r="AK2488" i="16"/>
  <c r="AJ2488" i="16"/>
  <c r="AI2488" i="16"/>
  <c r="AF2488" i="16"/>
  <c r="AN2487" i="16"/>
  <c r="AM2487" i="16"/>
  <c r="AL2487" i="16"/>
  <c r="AK2487" i="16"/>
  <c r="AJ2487" i="16"/>
  <c r="AI2487" i="16"/>
  <c r="AF2487" i="16"/>
  <c r="AN2486" i="16"/>
  <c r="AM2486" i="16"/>
  <c r="AL2486" i="16"/>
  <c r="AK2486" i="16"/>
  <c r="AJ2486" i="16"/>
  <c r="AI2486" i="16"/>
  <c r="AF2486" i="16"/>
  <c r="AN2485" i="16"/>
  <c r="AM2485" i="16"/>
  <c r="AL2485" i="16"/>
  <c r="AK2485" i="16"/>
  <c r="AJ2485" i="16"/>
  <c r="AI2485" i="16"/>
  <c r="AF2485" i="16"/>
  <c r="AN2484" i="16"/>
  <c r="AM2484" i="16"/>
  <c r="AL2484" i="16"/>
  <c r="AK2484" i="16"/>
  <c r="AJ2484" i="16"/>
  <c r="AI2484" i="16"/>
  <c r="AF2484" i="16"/>
  <c r="AN2483" i="16"/>
  <c r="AM2483" i="16"/>
  <c r="AL2483" i="16"/>
  <c r="AK2483" i="16"/>
  <c r="AJ2483" i="16"/>
  <c r="AI2483" i="16"/>
  <c r="AF2483" i="16"/>
  <c r="AN2482" i="16"/>
  <c r="AM2482" i="16"/>
  <c r="AL2482" i="16"/>
  <c r="AK2482" i="16"/>
  <c r="AJ2482" i="16"/>
  <c r="AI2482" i="16"/>
  <c r="AF2482" i="16"/>
  <c r="AN2481" i="16"/>
  <c r="AM2481" i="16"/>
  <c r="AL2481" i="16"/>
  <c r="AK2481" i="16"/>
  <c r="AJ2481" i="16"/>
  <c r="AI2481" i="16"/>
  <c r="AF2481" i="16"/>
  <c r="AN2480" i="16"/>
  <c r="AM2480" i="16"/>
  <c r="AL2480" i="16"/>
  <c r="AK2480" i="16"/>
  <c r="AJ2480" i="16"/>
  <c r="AI2480" i="16"/>
  <c r="AF2480" i="16"/>
  <c r="AN2479" i="16"/>
  <c r="AM2479" i="16"/>
  <c r="AL2479" i="16"/>
  <c r="AK2479" i="16"/>
  <c r="AJ2479" i="16"/>
  <c r="AI2479" i="16"/>
  <c r="AF2479" i="16"/>
  <c r="AN2478" i="16"/>
  <c r="AM2478" i="16"/>
  <c r="AL2478" i="16"/>
  <c r="AK2478" i="16"/>
  <c r="AJ2478" i="16"/>
  <c r="AI2478" i="16"/>
  <c r="AF2478" i="16"/>
  <c r="AN2477" i="16"/>
  <c r="AM2477" i="16"/>
  <c r="AL2477" i="16"/>
  <c r="AK2477" i="16"/>
  <c r="AJ2477" i="16"/>
  <c r="AI2477" i="16"/>
  <c r="AF2477" i="16"/>
  <c r="AN2476" i="16"/>
  <c r="AM2476" i="16"/>
  <c r="AL2476" i="16"/>
  <c r="AK2476" i="16"/>
  <c r="AJ2476" i="16"/>
  <c r="AI2476" i="16"/>
  <c r="AF2476" i="16"/>
  <c r="AN2475" i="16"/>
  <c r="AM2475" i="16"/>
  <c r="AL2475" i="16"/>
  <c r="AK2475" i="16"/>
  <c r="AJ2475" i="16"/>
  <c r="AI2475" i="16"/>
  <c r="AF2475" i="16"/>
  <c r="AN2474" i="16"/>
  <c r="AM2474" i="16"/>
  <c r="AL2474" i="16"/>
  <c r="AK2474" i="16"/>
  <c r="AJ2474" i="16"/>
  <c r="AI2474" i="16"/>
  <c r="AF2474" i="16"/>
  <c r="AN2473" i="16"/>
  <c r="AM2473" i="16"/>
  <c r="AL2473" i="16"/>
  <c r="AK2473" i="16"/>
  <c r="AJ2473" i="16"/>
  <c r="AI2473" i="16"/>
  <c r="AF2473" i="16"/>
  <c r="AN2472" i="16"/>
  <c r="AM2472" i="16"/>
  <c r="AL2472" i="16"/>
  <c r="AK2472" i="16"/>
  <c r="AJ2472" i="16"/>
  <c r="AI2472" i="16"/>
  <c r="AF2472" i="16"/>
  <c r="AN2471" i="16"/>
  <c r="AM2471" i="16"/>
  <c r="AL2471" i="16"/>
  <c r="AK2471" i="16"/>
  <c r="AJ2471" i="16"/>
  <c r="AI2471" i="16"/>
  <c r="AF2471" i="16"/>
  <c r="AN2470" i="16"/>
  <c r="AM2470" i="16"/>
  <c r="AL2470" i="16"/>
  <c r="AK2470" i="16"/>
  <c r="AJ2470" i="16"/>
  <c r="AI2470" i="16"/>
  <c r="AF2470" i="16"/>
  <c r="AN2469" i="16"/>
  <c r="AM2469" i="16"/>
  <c r="AL2469" i="16"/>
  <c r="AK2469" i="16"/>
  <c r="AJ2469" i="16"/>
  <c r="AI2469" i="16"/>
  <c r="AF2469" i="16"/>
  <c r="AN2468" i="16"/>
  <c r="AM2468" i="16"/>
  <c r="AL2468" i="16"/>
  <c r="AK2468" i="16"/>
  <c r="AJ2468" i="16"/>
  <c r="AI2468" i="16"/>
  <c r="AF2468" i="16"/>
  <c r="AN2467" i="16"/>
  <c r="AM2467" i="16"/>
  <c r="AL2467" i="16"/>
  <c r="AK2467" i="16"/>
  <c r="AJ2467" i="16"/>
  <c r="AI2467" i="16"/>
  <c r="AF2467" i="16"/>
  <c r="AN2466" i="16"/>
  <c r="AM2466" i="16"/>
  <c r="AL2466" i="16"/>
  <c r="AK2466" i="16"/>
  <c r="AJ2466" i="16"/>
  <c r="AI2466" i="16"/>
  <c r="AF2466" i="16"/>
  <c r="AN2465" i="16"/>
  <c r="AM2465" i="16"/>
  <c r="AL2465" i="16"/>
  <c r="AK2465" i="16"/>
  <c r="AJ2465" i="16"/>
  <c r="AI2465" i="16"/>
  <c r="AF2465" i="16"/>
  <c r="AN2464" i="16"/>
  <c r="AM2464" i="16"/>
  <c r="AL2464" i="16"/>
  <c r="AK2464" i="16"/>
  <c r="AJ2464" i="16"/>
  <c r="AI2464" i="16"/>
  <c r="AF2464" i="16"/>
  <c r="AN2463" i="16"/>
  <c r="AM2463" i="16"/>
  <c r="AL2463" i="16"/>
  <c r="AK2463" i="16"/>
  <c r="AJ2463" i="16"/>
  <c r="AI2463" i="16"/>
  <c r="AF2463" i="16"/>
  <c r="AN2462" i="16"/>
  <c r="AM2462" i="16"/>
  <c r="AL2462" i="16"/>
  <c r="AK2462" i="16"/>
  <c r="AJ2462" i="16"/>
  <c r="AI2462" i="16"/>
  <c r="AF2462" i="16"/>
  <c r="AN2461" i="16"/>
  <c r="AM2461" i="16"/>
  <c r="AL2461" i="16"/>
  <c r="AK2461" i="16"/>
  <c r="AJ2461" i="16"/>
  <c r="AI2461" i="16"/>
  <c r="AF2461" i="16"/>
  <c r="AN2460" i="16"/>
  <c r="AM2460" i="16"/>
  <c r="AL2460" i="16"/>
  <c r="AK2460" i="16"/>
  <c r="AJ2460" i="16"/>
  <c r="AI2460" i="16"/>
  <c r="AF2460" i="16"/>
  <c r="AN2459" i="16"/>
  <c r="AM2459" i="16"/>
  <c r="AL2459" i="16"/>
  <c r="AK2459" i="16"/>
  <c r="AJ2459" i="16"/>
  <c r="AI2459" i="16"/>
  <c r="AF2459" i="16"/>
  <c r="AN2458" i="16"/>
  <c r="AM2458" i="16"/>
  <c r="AL2458" i="16"/>
  <c r="AK2458" i="16"/>
  <c r="AJ2458" i="16"/>
  <c r="AI2458" i="16"/>
  <c r="AF2458" i="16"/>
  <c r="AN2457" i="16"/>
  <c r="AM2457" i="16"/>
  <c r="AL2457" i="16"/>
  <c r="AK2457" i="16"/>
  <c r="AJ2457" i="16"/>
  <c r="AI2457" i="16"/>
  <c r="AF2457" i="16"/>
  <c r="AN2456" i="16"/>
  <c r="AM2456" i="16"/>
  <c r="AL2456" i="16"/>
  <c r="AK2456" i="16"/>
  <c r="AJ2456" i="16"/>
  <c r="AI2456" i="16"/>
  <c r="AF2456" i="16"/>
  <c r="AN2455" i="16"/>
  <c r="AM2455" i="16"/>
  <c r="AL2455" i="16"/>
  <c r="AK2455" i="16"/>
  <c r="AJ2455" i="16"/>
  <c r="AI2455" i="16"/>
  <c r="AF2455" i="16"/>
  <c r="AN2454" i="16"/>
  <c r="AM2454" i="16"/>
  <c r="AL2454" i="16"/>
  <c r="AK2454" i="16"/>
  <c r="AJ2454" i="16"/>
  <c r="AI2454" i="16"/>
  <c r="AF2454" i="16"/>
  <c r="AN2453" i="16"/>
  <c r="AM2453" i="16"/>
  <c r="AL2453" i="16"/>
  <c r="AK2453" i="16"/>
  <c r="AJ2453" i="16"/>
  <c r="AI2453" i="16"/>
  <c r="AF2453" i="16"/>
  <c r="AN2452" i="16"/>
  <c r="AM2452" i="16"/>
  <c r="AL2452" i="16"/>
  <c r="AK2452" i="16"/>
  <c r="AJ2452" i="16"/>
  <c r="AI2452" i="16"/>
  <c r="AF2452" i="16"/>
  <c r="AN2451" i="16"/>
  <c r="AM2451" i="16"/>
  <c r="AL2451" i="16"/>
  <c r="AK2451" i="16"/>
  <c r="AJ2451" i="16"/>
  <c r="AI2451" i="16"/>
  <c r="AF2451" i="16"/>
  <c r="AN2450" i="16"/>
  <c r="AM2450" i="16"/>
  <c r="AL2450" i="16"/>
  <c r="AK2450" i="16"/>
  <c r="AJ2450" i="16"/>
  <c r="AI2450" i="16"/>
  <c r="AF2450" i="16"/>
  <c r="AN2449" i="16"/>
  <c r="AM2449" i="16"/>
  <c r="AL2449" i="16"/>
  <c r="AK2449" i="16"/>
  <c r="AJ2449" i="16"/>
  <c r="AI2449" i="16"/>
  <c r="AF2449" i="16"/>
  <c r="AN2448" i="16"/>
  <c r="AM2448" i="16"/>
  <c r="AL2448" i="16"/>
  <c r="AK2448" i="16"/>
  <c r="AJ2448" i="16"/>
  <c r="AI2448" i="16"/>
  <c r="AF2448" i="16"/>
  <c r="AN2447" i="16"/>
  <c r="AM2447" i="16"/>
  <c r="AL2447" i="16"/>
  <c r="AK2447" i="16"/>
  <c r="AJ2447" i="16"/>
  <c r="AI2447" i="16"/>
  <c r="AF2447" i="16"/>
  <c r="AN2446" i="16"/>
  <c r="AM2446" i="16"/>
  <c r="AL2446" i="16"/>
  <c r="AK2446" i="16"/>
  <c r="AJ2446" i="16"/>
  <c r="AI2446" i="16"/>
  <c r="AF2446" i="16"/>
  <c r="AN2445" i="16"/>
  <c r="AM2445" i="16"/>
  <c r="AL2445" i="16"/>
  <c r="AK2445" i="16"/>
  <c r="AJ2445" i="16"/>
  <c r="AI2445" i="16"/>
  <c r="AF2445" i="16"/>
  <c r="AN2444" i="16"/>
  <c r="AM2444" i="16"/>
  <c r="AL2444" i="16"/>
  <c r="AK2444" i="16"/>
  <c r="AJ2444" i="16"/>
  <c r="AI2444" i="16"/>
  <c r="AF2444" i="16"/>
  <c r="AN2443" i="16"/>
  <c r="AM2443" i="16"/>
  <c r="AL2443" i="16"/>
  <c r="AK2443" i="16"/>
  <c r="AJ2443" i="16"/>
  <c r="AI2443" i="16"/>
  <c r="AF2443" i="16"/>
  <c r="AN2442" i="16"/>
  <c r="AM2442" i="16"/>
  <c r="AL2442" i="16"/>
  <c r="AK2442" i="16"/>
  <c r="AJ2442" i="16"/>
  <c r="AI2442" i="16"/>
  <c r="AF2442" i="16"/>
  <c r="AN2441" i="16"/>
  <c r="AM2441" i="16"/>
  <c r="AL2441" i="16"/>
  <c r="AK2441" i="16"/>
  <c r="AJ2441" i="16"/>
  <c r="AI2441" i="16"/>
  <c r="AF2441" i="16"/>
  <c r="AN2440" i="16"/>
  <c r="AM2440" i="16"/>
  <c r="AL2440" i="16"/>
  <c r="AK2440" i="16"/>
  <c r="AJ2440" i="16"/>
  <c r="AI2440" i="16"/>
  <c r="AF2440" i="16"/>
  <c r="AN2439" i="16"/>
  <c r="AM2439" i="16"/>
  <c r="AL2439" i="16"/>
  <c r="AK2439" i="16"/>
  <c r="AJ2439" i="16"/>
  <c r="AI2439" i="16"/>
  <c r="AF2439" i="16"/>
  <c r="AN2438" i="16"/>
  <c r="AM2438" i="16"/>
  <c r="AL2438" i="16"/>
  <c r="AK2438" i="16"/>
  <c r="AJ2438" i="16"/>
  <c r="AI2438" i="16"/>
  <c r="AF2438" i="16"/>
  <c r="AN2437" i="16"/>
  <c r="AM2437" i="16"/>
  <c r="AL2437" i="16"/>
  <c r="AK2437" i="16"/>
  <c r="AJ2437" i="16"/>
  <c r="AI2437" i="16"/>
  <c r="AF2437" i="16"/>
  <c r="AN2436" i="16"/>
  <c r="AM2436" i="16"/>
  <c r="AL2436" i="16"/>
  <c r="AK2436" i="16"/>
  <c r="AJ2436" i="16"/>
  <c r="AI2436" i="16"/>
  <c r="AF2436" i="16"/>
  <c r="AN2435" i="16"/>
  <c r="AM2435" i="16"/>
  <c r="AL2435" i="16"/>
  <c r="AK2435" i="16"/>
  <c r="AJ2435" i="16"/>
  <c r="AI2435" i="16"/>
  <c r="AF2435" i="16"/>
  <c r="AN2434" i="16"/>
  <c r="AM2434" i="16"/>
  <c r="AL2434" i="16"/>
  <c r="AK2434" i="16"/>
  <c r="AJ2434" i="16"/>
  <c r="AI2434" i="16"/>
  <c r="AF2434" i="16"/>
  <c r="AN2433" i="16"/>
  <c r="AM2433" i="16"/>
  <c r="AL2433" i="16"/>
  <c r="AK2433" i="16"/>
  <c r="AJ2433" i="16"/>
  <c r="AI2433" i="16"/>
  <c r="AF2433" i="16"/>
  <c r="AN2432" i="16"/>
  <c r="AM2432" i="16"/>
  <c r="AL2432" i="16"/>
  <c r="AK2432" i="16"/>
  <c r="AJ2432" i="16"/>
  <c r="AI2432" i="16"/>
  <c r="AF2432" i="16"/>
  <c r="AN2431" i="16"/>
  <c r="AM2431" i="16"/>
  <c r="AL2431" i="16"/>
  <c r="AK2431" i="16"/>
  <c r="AJ2431" i="16"/>
  <c r="AI2431" i="16"/>
  <c r="AF2431" i="16"/>
  <c r="AN2430" i="16"/>
  <c r="AM2430" i="16"/>
  <c r="AL2430" i="16"/>
  <c r="AK2430" i="16"/>
  <c r="AJ2430" i="16"/>
  <c r="AI2430" i="16"/>
  <c r="AF2430" i="16"/>
  <c r="AN2429" i="16"/>
  <c r="AM2429" i="16"/>
  <c r="AL2429" i="16"/>
  <c r="AK2429" i="16"/>
  <c r="AJ2429" i="16"/>
  <c r="AI2429" i="16"/>
  <c r="AF2429" i="16"/>
  <c r="AN2428" i="16"/>
  <c r="AM2428" i="16"/>
  <c r="AL2428" i="16"/>
  <c r="AK2428" i="16"/>
  <c r="AJ2428" i="16"/>
  <c r="AI2428" i="16"/>
  <c r="AF2428" i="16"/>
  <c r="AN2427" i="16"/>
  <c r="AM2427" i="16"/>
  <c r="AL2427" i="16"/>
  <c r="AK2427" i="16"/>
  <c r="AJ2427" i="16"/>
  <c r="AI2427" i="16"/>
  <c r="AF2427" i="16"/>
  <c r="AN2426" i="16"/>
  <c r="AM2426" i="16"/>
  <c r="AL2426" i="16"/>
  <c r="AK2426" i="16"/>
  <c r="AJ2426" i="16"/>
  <c r="AI2426" i="16"/>
  <c r="AF2426" i="16"/>
  <c r="AN2425" i="16"/>
  <c r="AM2425" i="16"/>
  <c r="AL2425" i="16"/>
  <c r="AK2425" i="16"/>
  <c r="AJ2425" i="16"/>
  <c r="AI2425" i="16"/>
  <c r="AF2425" i="16"/>
  <c r="AN2424" i="16"/>
  <c r="AM2424" i="16"/>
  <c r="AL2424" i="16"/>
  <c r="AK2424" i="16"/>
  <c r="AJ2424" i="16"/>
  <c r="AI2424" i="16"/>
  <c r="AF2424" i="16"/>
  <c r="AN2423" i="16"/>
  <c r="AM2423" i="16"/>
  <c r="AL2423" i="16"/>
  <c r="AK2423" i="16"/>
  <c r="AJ2423" i="16"/>
  <c r="AI2423" i="16"/>
  <c r="AF2423" i="16"/>
  <c r="AN2422" i="16"/>
  <c r="AM2422" i="16"/>
  <c r="AL2422" i="16"/>
  <c r="AK2422" i="16"/>
  <c r="AJ2422" i="16"/>
  <c r="AI2422" i="16"/>
  <c r="AF2422" i="16"/>
  <c r="AN2421" i="16"/>
  <c r="AM2421" i="16"/>
  <c r="AL2421" i="16"/>
  <c r="AK2421" i="16"/>
  <c r="AJ2421" i="16"/>
  <c r="AI2421" i="16"/>
  <c r="AF2421" i="16"/>
  <c r="AN2420" i="16"/>
  <c r="AM2420" i="16"/>
  <c r="AL2420" i="16"/>
  <c r="AK2420" i="16"/>
  <c r="AJ2420" i="16"/>
  <c r="AI2420" i="16"/>
  <c r="AF2420" i="16"/>
  <c r="AN2419" i="16"/>
  <c r="AM2419" i="16"/>
  <c r="AL2419" i="16"/>
  <c r="AK2419" i="16"/>
  <c r="AJ2419" i="16"/>
  <c r="AI2419" i="16"/>
  <c r="AF2419" i="16"/>
  <c r="AN2418" i="16"/>
  <c r="AM2418" i="16"/>
  <c r="AL2418" i="16"/>
  <c r="AK2418" i="16"/>
  <c r="AJ2418" i="16"/>
  <c r="AI2418" i="16"/>
  <c r="AF2418" i="16"/>
  <c r="AN2417" i="16"/>
  <c r="AM2417" i="16"/>
  <c r="AL2417" i="16"/>
  <c r="AK2417" i="16"/>
  <c r="AJ2417" i="16"/>
  <c r="AI2417" i="16"/>
  <c r="AF2417" i="16"/>
  <c r="AN2416" i="16"/>
  <c r="AM2416" i="16"/>
  <c r="AL2416" i="16"/>
  <c r="AK2416" i="16"/>
  <c r="AJ2416" i="16"/>
  <c r="AI2416" i="16"/>
  <c r="AF2416" i="16"/>
  <c r="AN2415" i="16"/>
  <c r="AM2415" i="16"/>
  <c r="AL2415" i="16"/>
  <c r="AK2415" i="16"/>
  <c r="AJ2415" i="16"/>
  <c r="AI2415" i="16"/>
  <c r="AF2415" i="16"/>
  <c r="AN2414" i="16"/>
  <c r="AM2414" i="16"/>
  <c r="AL2414" i="16"/>
  <c r="AK2414" i="16"/>
  <c r="AJ2414" i="16"/>
  <c r="AI2414" i="16"/>
  <c r="AF2414" i="16"/>
  <c r="AN2413" i="16"/>
  <c r="AM2413" i="16"/>
  <c r="AL2413" i="16"/>
  <c r="AK2413" i="16"/>
  <c r="AJ2413" i="16"/>
  <c r="AI2413" i="16"/>
  <c r="AF2413" i="16"/>
  <c r="AN2412" i="16"/>
  <c r="AM2412" i="16"/>
  <c r="AL2412" i="16"/>
  <c r="AK2412" i="16"/>
  <c r="AJ2412" i="16"/>
  <c r="AI2412" i="16"/>
  <c r="AF2412" i="16"/>
  <c r="AN2411" i="16"/>
  <c r="AM2411" i="16"/>
  <c r="AL2411" i="16"/>
  <c r="AK2411" i="16"/>
  <c r="AJ2411" i="16"/>
  <c r="AI2411" i="16"/>
  <c r="AF2411" i="16"/>
  <c r="AN2410" i="16"/>
  <c r="AM2410" i="16"/>
  <c r="AL2410" i="16"/>
  <c r="AK2410" i="16"/>
  <c r="AJ2410" i="16"/>
  <c r="AI2410" i="16"/>
  <c r="AF2410" i="16"/>
  <c r="AN2409" i="16"/>
  <c r="AM2409" i="16"/>
  <c r="AL2409" i="16"/>
  <c r="AK2409" i="16"/>
  <c r="AJ2409" i="16"/>
  <c r="AI2409" i="16"/>
  <c r="AF2409" i="16"/>
  <c r="AN2408" i="16"/>
  <c r="AM2408" i="16"/>
  <c r="AL2408" i="16"/>
  <c r="AK2408" i="16"/>
  <c r="AJ2408" i="16"/>
  <c r="AI2408" i="16"/>
  <c r="AF2408" i="16"/>
  <c r="AN2407" i="16"/>
  <c r="AM2407" i="16"/>
  <c r="AL2407" i="16"/>
  <c r="AK2407" i="16"/>
  <c r="AJ2407" i="16"/>
  <c r="AI2407" i="16"/>
  <c r="AF2407" i="16"/>
  <c r="AN2406" i="16"/>
  <c r="AM2406" i="16"/>
  <c r="AL2406" i="16"/>
  <c r="AK2406" i="16"/>
  <c r="AJ2406" i="16"/>
  <c r="AI2406" i="16"/>
  <c r="AF2406" i="16"/>
  <c r="AN2405" i="16"/>
  <c r="AM2405" i="16"/>
  <c r="AL2405" i="16"/>
  <c r="AK2405" i="16"/>
  <c r="AJ2405" i="16"/>
  <c r="AI2405" i="16"/>
  <c r="AF2405" i="16"/>
  <c r="AN2404" i="16"/>
  <c r="AM2404" i="16"/>
  <c r="AL2404" i="16"/>
  <c r="AK2404" i="16"/>
  <c r="AJ2404" i="16"/>
  <c r="AI2404" i="16"/>
  <c r="AF2404" i="16"/>
  <c r="AN2403" i="16"/>
  <c r="AM2403" i="16"/>
  <c r="AL2403" i="16"/>
  <c r="AK2403" i="16"/>
  <c r="AJ2403" i="16"/>
  <c r="AI2403" i="16"/>
  <c r="AF2403" i="16"/>
  <c r="AN2402" i="16"/>
  <c r="AM2402" i="16"/>
  <c r="AL2402" i="16"/>
  <c r="AK2402" i="16"/>
  <c r="AJ2402" i="16"/>
  <c r="AI2402" i="16"/>
  <c r="AF2402" i="16"/>
  <c r="AN2401" i="16"/>
  <c r="AM2401" i="16"/>
  <c r="AL2401" i="16"/>
  <c r="AK2401" i="16"/>
  <c r="AJ2401" i="16"/>
  <c r="AI2401" i="16"/>
  <c r="AF2401" i="16"/>
  <c r="AN2400" i="16"/>
  <c r="AM2400" i="16"/>
  <c r="AL2400" i="16"/>
  <c r="AK2400" i="16"/>
  <c r="AJ2400" i="16"/>
  <c r="AI2400" i="16"/>
  <c r="AF2400" i="16"/>
  <c r="AN2399" i="16"/>
  <c r="AM2399" i="16"/>
  <c r="AL2399" i="16"/>
  <c r="AK2399" i="16"/>
  <c r="AJ2399" i="16"/>
  <c r="AI2399" i="16"/>
  <c r="AF2399" i="16"/>
  <c r="AN2398" i="16"/>
  <c r="AM2398" i="16"/>
  <c r="AL2398" i="16"/>
  <c r="AK2398" i="16"/>
  <c r="AJ2398" i="16"/>
  <c r="AI2398" i="16"/>
  <c r="AF2398" i="16"/>
  <c r="AN2397" i="16"/>
  <c r="AM2397" i="16"/>
  <c r="AL2397" i="16"/>
  <c r="AK2397" i="16"/>
  <c r="AJ2397" i="16"/>
  <c r="AI2397" i="16"/>
  <c r="AF2397" i="16"/>
  <c r="AN2396" i="16"/>
  <c r="AM2396" i="16"/>
  <c r="AL2396" i="16"/>
  <c r="AK2396" i="16"/>
  <c r="AJ2396" i="16"/>
  <c r="AI2396" i="16"/>
  <c r="AF2396" i="16"/>
  <c r="AN2395" i="16"/>
  <c r="AM2395" i="16"/>
  <c r="AL2395" i="16"/>
  <c r="AK2395" i="16"/>
  <c r="AJ2395" i="16"/>
  <c r="AI2395" i="16"/>
  <c r="AF2395" i="16"/>
  <c r="AN2394" i="16"/>
  <c r="AM2394" i="16"/>
  <c r="AL2394" i="16"/>
  <c r="AK2394" i="16"/>
  <c r="AJ2394" i="16"/>
  <c r="AI2394" i="16"/>
  <c r="AF2394" i="16"/>
  <c r="AN2393" i="16"/>
  <c r="AM2393" i="16"/>
  <c r="AL2393" i="16"/>
  <c r="AK2393" i="16"/>
  <c r="AJ2393" i="16"/>
  <c r="AI2393" i="16"/>
  <c r="AF2393" i="16"/>
  <c r="AN2392" i="16"/>
  <c r="AM2392" i="16"/>
  <c r="AL2392" i="16"/>
  <c r="AK2392" i="16"/>
  <c r="AJ2392" i="16"/>
  <c r="AI2392" i="16"/>
  <c r="AF2392" i="16"/>
  <c r="AN2391" i="16"/>
  <c r="AM2391" i="16"/>
  <c r="AL2391" i="16"/>
  <c r="AK2391" i="16"/>
  <c r="AJ2391" i="16"/>
  <c r="AI2391" i="16"/>
  <c r="AF2391" i="16"/>
  <c r="AN2390" i="16"/>
  <c r="AM2390" i="16"/>
  <c r="AL2390" i="16"/>
  <c r="AK2390" i="16"/>
  <c r="AJ2390" i="16"/>
  <c r="AI2390" i="16"/>
  <c r="AF2390" i="16"/>
  <c r="AN2389" i="16"/>
  <c r="AM2389" i="16"/>
  <c r="AL2389" i="16"/>
  <c r="AK2389" i="16"/>
  <c r="AJ2389" i="16"/>
  <c r="AI2389" i="16"/>
  <c r="AF2389" i="16"/>
  <c r="AN2388" i="16"/>
  <c r="AM2388" i="16"/>
  <c r="AL2388" i="16"/>
  <c r="AK2388" i="16"/>
  <c r="AJ2388" i="16"/>
  <c r="AI2388" i="16"/>
  <c r="AF2388" i="16"/>
  <c r="AN2387" i="16"/>
  <c r="AM2387" i="16"/>
  <c r="AL2387" i="16"/>
  <c r="AK2387" i="16"/>
  <c r="AJ2387" i="16"/>
  <c r="AI2387" i="16"/>
  <c r="AF2387" i="16"/>
  <c r="AN2386" i="16"/>
  <c r="AM2386" i="16"/>
  <c r="AL2386" i="16"/>
  <c r="AK2386" i="16"/>
  <c r="AJ2386" i="16"/>
  <c r="AI2386" i="16"/>
  <c r="AF2386" i="16"/>
  <c r="AN2385" i="16"/>
  <c r="AM2385" i="16"/>
  <c r="AL2385" i="16"/>
  <c r="AK2385" i="16"/>
  <c r="AJ2385" i="16"/>
  <c r="AI2385" i="16"/>
  <c r="AF2385" i="16"/>
  <c r="AN2384" i="16"/>
  <c r="AM2384" i="16"/>
  <c r="AL2384" i="16"/>
  <c r="AK2384" i="16"/>
  <c r="AJ2384" i="16"/>
  <c r="AI2384" i="16"/>
  <c r="AF2384" i="16"/>
  <c r="AN2383" i="16"/>
  <c r="AM2383" i="16"/>
  <c r="AL2383" i="16"/>
  <c r="AK2383" i="16"/>
  <c r="AJ2383" i="16"/>
  <c r="AI2383" i="16"/>
  <c r="AF2383" i="16"/>
  <c r="AN2382" i="16"/>
  <c r="AM2382" i="16"/>
  <c r="AL2382" i="16"/>
  <c r="AK2382" i="16"/>
  <c r="AJ2382" i="16"/>
  <c r="AI2382" i="16"/>
  <c r="AF2382" i="16"/>
  <c r="AN2381" i="16"/>
  <c r="AM2381" i="16"/>
  <c r="AL2381" i="16"/>
  <c r="AK2381" i="16"/>
  <c r="AJ2381" i="16"/>
  <c r="AI2381" i="16"/>
  <c r="AF2381" i="16"/>
  <c r="AN2380" i="16"/>
  <c r="AM2380" i="16"/>
  <c r="AL2380" i="16"/>
  <c r="AK2380" i="16"/>
  <c r="AJ2380" i="16"/>
  <c r="AI2380" i="16"/>
  <c r="AF2380" i="16"/>
  <c r="AN2379" i="16"/>
  <c r="AM2379" i="16"/>
  <c r="AL2379" i="16"/>
  <c r="AK2379" i="16"/>
  <c r="AJ2379" i="16"/>
  <c r="AI2379" i="16"/>
  <c r="AF2379" i="16"/>
  <c r="AN2378" i="16"/>
  <c r="AM2378" i="16"/>
  <c r="AL2378" i="16"/>
  <c r="AK2378" i="16"/>
  <c r="AJ2378" i="16"/>
  <c r="AI2378" i="16"/>
  <c r="AF2378" i="16"/>
  <c r="AN2377" i="16"/>
  <c r="AM2377" i="16"/>
  <c r="AL2377" i="16"/>
  <c r="AK2377" i="16"/>
  <c r="AJ2377" i="16"/>
  <c r="AI2377" i="16"/>
  <c r="AF2377" i="16"/>
  <c r="AN2376" i="16"/>
  <c r="AM2376" i="16"/>
  <c r="AL2376" i="16"/>
  <c r="AK2376" i="16"/>
  <c r="AJ2376" i="16"/>
  <c r="AI2376" i="16"/>
  <c r="AF2376" i="16"/>
  <c r="AN2375" i="16"/>
  <c r="AM2375" i="16"/>
  <c r="AL2375" i="16"/>
  <c r="AK2375" i="16"/>
  <c r="AJ2375" i="16"/>
  <c r="AI2375" i="16"/>
  <c r="AF2375" i="16"/>
  <c r="AN2374" i="16"/>
  <c r="AM2374" i="16"/>
  <c r="AL2374" i="16"/>
  <c r="AK2374" i="16"/>
  <c r="AJ2374" i="16"/>
  <c r="AI2374" i="16"/>
  <c r="AF2374" i="16"/>
  <c r="AN2373" i="16"/>
  <c r="AM2373" i="16"/>
  <c r="AL2373" i="16"/>
  <c r="AK2373" i="16"/>
  <c r="AJ2373" i="16"/>
  <c r="AI2373" i="16"/>
  <c r="AF2373" i="16"/>
  <c r="AN2372" i="16"/>
  <c r="AM2372" i="16"/>
  <c r="AL2372" i="16"/>
  <c r="AK2372" i="16"/>
  <c r="AJ2372" i="16"/>
  <c r="AI2372" i="16"/>
  <c r="AF2372" i="16"/>
  <c r="AN2371" i="16"/>
  <c r="AM2371" i="16"/>
  <c r="AL2371" i="16"/>
  <c r="AK2371" i="16"/>
  <c r="AJ2371" i="16"/>
  <c r="AI2371" i="16"/>
  <c r="AF2371" i="16"/>
  <c r="AN2370" i="16"/>
  <c r="AM2370" i="16"/>
  <c r="AL2370" i="16"/>
  <c r="AK2370" i="16"/>
  <c r="AJ2370" i="16"/>
  <c r="AI2370" i="16"/>
  <c r="AF2370" i="16"/>
  <c r="AN2369" i="16"/>
  <c r="AM2369" i="16"/>
  <c r="AL2369" i="16"/>
  <c r="AK2369" i="16"/>
  <c r="AJ2369" i="16"/>
  <c r="AI2369" i="16"/>
  <c r="AF2369" i="16"/>
  <c r="AN2368" i="16"/>
  <c r="AM2368" i="16"/>
  <c r="AL2368" i="16"/>
  <c r="AK2368" i="16"/>
  <c r="AJ2368" i="16"/>
  <c r="AI2368" i="16"/>
  <c r="AF2368" i="16"/>
  <c r="AN2367" i="16"/>
  <c r="AM2367" i="16"/>
  <c r="AL2367" i="16"/>
  <c r="AK2367" i="16"/>
  <c r="AJ2367" i="16"/>
  <c r="AI2367" i="16"/>
  <c r="AF2367" i="16"/>
  <c r="AN2366" i="16"/>
  <c r="AM2366" i="16"/>
  <c r="AL2366" i="16"/>
  <c r="AK2366" i="16"/>
  <c r="AJ2366" i="16"/>
  <c r="AI2366" i="16"/>
  <c r="AF2366" i="16"/>
  <c r="AN2365" i="16"/>
  <c r="AM2365" i="16"/>
  <c r="AL2365" i="16"/>
  <c r="AK2365" i="16"/>
  <c r="AJ2365" i="16"/>
  <c r="AI2365" i="16"/>
  <c r="AF2365" i="16"/>
  <c r="AN2364" i="16"/>
  <c r="AM2364" i="16"/>
  <c r="AL2364" i="16"/>
  <c r="AK2364" i="16"/>
  <c r="AJ2364" i="16"/>
  <c r="AI2364" i="16"/>
  <c r="AF2364" i="16"/>
  <c r="AN2363" i="16"/>
  <c r="AM2363" i="16"/>
  <c r="AL2363" i="16"/>
  <c r="AK2363" i="16"/>
  <c r="AJ2363" i="16"/>
  <c r="AI2363" i="16"/>
  <c r="AF2363" i="16"/>
  <c r="AN2362" i="16"/>
  <c r="AM2362" i="16"/>
  <c r="AL2362" i="16"/>
  <c r="AK2362" i="16"/>
  <c r="AJ2362" i="16"/>
  <c r="AI2362" i="16"/>
  <c r="AF2362" i="16"/>
  <c r="AN2361" i="16"/>
  <c r="AM2361" i="16"/>
  <c r="AL2361" i="16"/>
  <c r="AK2361" i="16"/>
  <c r="AJ2361" i="16"/>
  <c r="AI2361" i="16"/>
  <c r="AF2361" i="16"/>
  <c r="AN2360" i="16"/>
  <c r="AM2360" i="16"/>
  <c r="AL2360" i="16"/>
  <c r="AK2360" i="16"/>
  <c r="AJ2360" i="16"/>
  <c r="AI2360" i="16"/>
  <c r="AF2360" i="16"/>
  <c r="AN2359" i="16"/>
  <c r="AM2359" i="16"/>
  <c r="AL2359" i="16"/>
  <c r="AK2359" i="16"/>
  <c r="AJ2359" i="16"/>
  <c r="AI2359" i="16"/>
  <c r="AF2359" i="16"/>
  <c r="AN2358" i="16"/>
  <c r="AM2358" i="16"/>
  <c r="AL2358" i="16"/>
  <c r="AK2358" i="16"/>
  <c r="AJ2358" i="16"/>
  <c r="AI2358" i="16"/>
  <c r="AF2358" i="16"/>
  <c r="AN2357" i="16"/>
  <c r="AM2357" i="16"/>
  <c r="AL2357" i="16"/>
  <c r="AK2357" i="16"/>
  <c r="AJ2357" i="16"/>
  <c r="AI2357" i="16"/>
  <c r="AF2357" i="16"/>
  <c r="AN2356" i="16"/>
  <c r="AM2356" i="16"/>
  <c r="AL2356" i="16"/>
  <c r="AK2356" i="16"/>
  <c r="AJ2356" i="16"/>
  <c r="AI2356" i="16"/>
  <c r="AF2356" i="16"/>
  <c r="AN2355" i="16"/>
  <c r="AM2355" i="16"/>
  <c r="AL2355" i="16"/>
  <c r="AK2355" i="16"/>
  <c r="AJ2355" i="16"/>
  <c r="AI2355" i="16"/>
  <c r="AF2355" i="16"/>
  <c r="AN2354" i="16"/>
  <c r="AM2354" i="16"/>
  <c r="AL2354" i="16"/>
  <c r="AK2354" i="16"/>
  <c r="AJ2354" i="16"/>
  <c r="AI2354" i="16"/>
  <c r="AF2354" i="16"/>
  <c r="AN2353" i="16"/>
  <c r="AM2353" i="16"/>
  <c r="AL2353" i="16"/>
  <c r="AK2353" i="16"/>
  <c r="AJ2353" i="16"/>
  <c r="AI2353" i="16"/>
  <c r="AF2353" i="16"/>
  <c r="AN2352" i="16"/>
  <c r="AM2352" i="16"/>
  <c r="AL2352" i="16"/>
  <c r="AK2352" i="16"/>
  <c r="AJ2352" i="16"/>
  <c r="AI2352" i="16"/>
  <c r="AF2352" i="16"/>
  <c r="AN2351" i="16"/>
  <c r="AM2351" i="16"/>
  <c r="AL2351" i="16"/>
  <c r="AK2351" i="16"/>
  <c r="AJ2351" i="16"/>
  <c r="AI2351" i="16"/>
  <c r="AF2351" i="16"/>
  <c r="AN2350" i="16"/>
  <c r="AM2350" i="16"/>
  <c r="AL2350" i="16"/>
  <c r="AK2350" i="16"/>
  <c r="AJ2350" i="16"/>
  <c r="AI2350" i="16"/>
  <c r="AF2350" i="16"/>
  <c r="AN2349" i="16"/>
  <c r="AM2349" i="16"/>
  <c r="AL2349" i="16"/>
  <c r="AK2349" i="16"/>
  <c r="AJ2349" i="16"/>
  <c r="AI2349" i="16"/>
  <c r="AF2349" i="16"/>
  <c r="AN2348" i="16"/>
  <c r="AM2348" i="16"/>
  <c r="AL2348" i="16"/>
  <c r="AK2348" i="16"/>
  <c r="AJ2348" i="16"/>
  <c r="AI2348" i="16"/>
  <c r="AF2348" i="16"/>
  <c r="AN2347" i="16"/>
  <c r="AM2347" i="16"/>
  <c r="AL2347" i="16"/>
  <c r="AK2347" i="16"/>
  <c r="AJ2347" i="16"/>
  <c r="AI2347" i="16"/>
  <c r="AF2347" i="16"/>
  <c r="AN2346" i="16"/>
  <c r="AM2346" i="16"/>
  <c r="AL2346" i="16"/>
  <c r="AK2346" i="16"/>
  <c r="AJ2346" i="16"/>
  <c r="AI2346" i="16"/>
  <c r="AF2346" i="16"/>
  <c r="AN2345" i="16"/>
  <c r="AM2345" i="16"/>
  <c r="AL2345" i="16"/>
  <c r="AK2345" i="16"/>
  <c r="AJ2345" i="16"/>
  <c r="AI2345" i="16"/>
  <c r="AF2345" i="16"/>
  <c r="AN2344" i="16"/>
  <c r="AM2344" i="16"/>
  <c r="AL2344" i="16"/>
  <c r="AK2344" i="16"/>
  <c r="AJ2344" i="16"/>
  <c r="AI2344" i="16"/>
  <c r="AF2344" i="16"/>
  <c r="AN2343" i="16"/>
  <c r="AM2343" i="16"/>
  <c r="AL2343" i="16"/>
  <c r="AK2343" i="16"/>
  <c r="AJ2343" i="16"/>
  <c r="AI2343" i="16"/>
  <c r="AF2343" i="16"/>
  <c r="AN2342" i="16"/>
  <c r="AM2342" i="16"/>
  <c r="AL2342" i="16"/>
  <c r="AK2342" i="16"/>
  <c r="AJ2342" i="16"/>
  <c r="AI2342" i="16"/>
  <c r="AF2342" i="16"/>
  <c r="AN2341" i="16"/>
  <c r="AM2341" i="16"/>
  <c r="AL2341" i="16"/>
  <c r="AK2341" i="16"/>
  <c r="AJ2341" i="16"/>
  <c r="AI2341" i="16"/>
  <c r="AF2341" i="16"/>
  <c r="AN2340" i="16"/>
  <c r="AM2340" i="16"/>
  <c r="AL2340" i="16"/>
  <c r="AK2340" i="16"/>
  <c r="AJ2340" i="16"/>
  <c r="AI2340" i="16"/>
  <c r="AF2340" i="16"/>
  <c r="AN2339" i="16"/>
  <c r="AM2339" i="16"/>
  <c r="AL2339" i="16"/>
  <c r="AK2339" i="16"/>
  <c r="AJ2339" i="16"/>
  <c r="AI2339" i="16"/>
  <c r="AF2339" i="16"/>
  <c r="AN2338" i="16"/>
  <c r="AM2338" i="16"/>
  <c r="AL2338" i="16"/>
  <c r="AK2338" i="16"/>
  <c r="AJ2338" i="16"/>
  <c r="AI2338" i="16"/>
  <c r="AF2338" i="16"/>
  <c r="AN2337" i="16"/>
  <c r="AM2337" i="16"/>
  <c r="AL2337" i="16"/>
  <c r="AK2337" i="16"/>
  <c r="AJ2337" i="16"/>
  <c r="AI2337" i="16"/>
  <c r="AF2337" i="16"/>
  <c r="AN2336" i="16"/>
  <c r="AM2336" i="16"/>
  <c r="AL2336" i="16"/>
  <c r="AK2336" i="16"/>
  <c r="AJ2336" i="16"/>
  <c r="AI2336" i="16"/>
  <c r="AF2336" i="16"/>
  <c r="AN2335" i="16"/>
  <c r="AM2335" i="16"/>
  <c r="AL2335" i="16"/>
  <c r="AK2335" i="16"/>
  <c r="AJ2335" i="16"/>
  <c r="AI2335" i="16"/>
  <c r="AF2335" i="16"/>
  <c r="AN2334" i="16"/>
  <c r="AM2334" i="16"/>
  <c r="AL2334" i="16"/>
  <c r="AK2334" i="16"/>
  <c r="AJ2334" i="16"/>
  <c r="AI2334" i="16"/>
  <c r="AF2334" i="16"/>
  <c r="AN2333" i="16"/>
  <c r="AM2333" i="16"/>
  <c r="AL2333" i="16"/>
  <c r="AK2333" i="16"/>
  <c r="AJ2333" i="16"/>
  <c r="AI2333" i="16"/>
  <c r="AF2333" i="16"/>
  <c r="AN2332" i="16"/>
  <c r="AM2332" i="16"/>
  <c r="AL2332" i="16"/>
  <c r="AK2332" i="16"/>
  <c r="AJ2332" i="16"/>
  <c r="AI2332" i="16"/>
  <c r="AF2332" i="16"/>
  <c r="AN2331" i="16"/>
  <c r="AM2331" i="16"/>
  <c r="AL2331" i="16"/>
  <c r="AK2331" i="16"/>
  <c r="AJ2331" i="16"/>
  <c r="AI2331" i="16"/>
  <c r="AF2331" i="16"/>
  <c r="AN2330" i="16"/>
  <c r="AM2330" i="16"/>
  <c r="AL2330" i="16"/>
  <c r="AK2330" i="16"/>
  <c r="AJ2330" i="16"/>
  <c r="AI2330" i="16"/>
  <c r="AF2330" i="16"/>
  <c r="AN2329" i="16"/>
  <c r="AM2329" i="16"/>
  <c r="AL2329" i="16"/>
  <c r="AK2329" i="16"/>
  <c r="AJ2329" i="16"/>
  <c r="AI2329" i="16"/>
  <c r="AF2329" i="16"/>
  <c r="AN2328" i="16"/>
  <c r="AM2328" i="16"/>
  <c r="AL2328" i="16"/>
  <c r="AK2328" i="16"/>
  <c r="AJ2328" i="16"/>
  <c r="AI2328" i="16"/>
  <c r="AF2328" i="16"/>
  <c r="AN2327" i="16"/>
  <c r="AM2327" i="16"/>
  <c r="AL2327" i="16"/>
  <c r="AK2327" i="16"/>
  <c r="AJ2327" i="16"/>
  <c r="AI2327" i="16"/>
  <c r="AF2327" i="16"/>
  <c r="AN2326" i="16"/>
  <c r="AM2326" i="16"/>
  <c r="AL2326" i="16"/>
  <c r="AK2326" i="16"/>
  <c r="AJ2326" i="16"/>
  <c r="AI2326" i="16"/>
  <c r="AF2326" i="16"/>
  <c r="AN2325" i="16"/>
  <c r="AM2325" i="16"/>
  <c r="AL2325" i="16"/>
  <c r="AK2325" i="16"/>
  <c r="AJ2325" i="16"/>
  <c r="AI2325" i="16"/>
  <c r="AF2325" i="16"/>
  <c r="AN2324" i="16"/>
  <c r="AM2324" i="16"/>
  <c r="AL2324" i="16"/>
  <c r="AK2324" i="16"/>
  <c r="AJ2324" i="16"/>
  <c r="AI2324" i="16"/>
  <c r="AF2324" i="16"/>
  <c r="AN2323" i="16"/>
  <c r="AM2323" i="16"/>
  <c r="AL2323" i="16"/>
  <c r="AK2323" i="16"/>
  <c r="AJ2323" i="16"/>
  <c r="AI2323" i="16"/>
  <c r="AF2323" i="16"/>
  <c r="AN2322" i="16"/>
  <c r="AM2322" i="16"/>
  <c r="AL2322" i="16"/>
  <c r="AK2322" i="16"/>
  <c r="AJ2322" i="16"/>
  <c r="AI2322" i="16"/>
  <c r="AF2322" i="16"/>
  <c r="AN2321" i="16"/>
  <c r="AM2321" i="16"/>
  <c r="AL2321" i="16"/>
  <c r="AK2321" i="16"/>
  <c r="AJ2321" i="16"/>
  <c r="AI2321" i="16"/>
  <c r="AF2321" i="16"/>
  <c r="AN2320" i="16"/>
  <c r="AM2320" i="16"/>
  <c r="AL2320" i="16"/>
  <c r="AK2320" i="16"/>
  <c r="AJ2320" i="16"/>
  <c r="AI2320" i="16"/>
  <c r="AF2320" i="16"/>
  <c r="AN2319" i="16"/>
  <c r="AM2319" i="16"/>
  <c r="AL2319" i="16"/>
  <c r="AK2319" i="16"/>
  <c r="AJ2319" i="16"/>
  <c r="AI2319" i="16"/>
  <c r="AF2319" i="16"/>
  <c r="AN2318" i="16"/>
  <c r="AM2318" i="16"/>
  <c r="AL2318" i="16"/>
  <c r="AK2318" i="16"/>
  <c r="AJ2318" i="16"/>
  <c r="AI2318" i="16"/>
  <c r="AF2318" i="16"/>
  <c r="AN2317" i="16"/>
  <c r="AM2317" i="16"/>
  <c r="AL2317" i="16"/>
  <c r="AK2317" i="16"/>
  <c r="AJ2317" i="16"/>
  <c r="AI2317" i="16"/>
  <c r="AF2317" i="16"/>
  <c r="AN2316" i="16"/>
  <c r="AM2316" i="16"/>
  <c r="AL2316" i="16"/>
  <c r="AK2316" i="16"/>
  <c r="AJ2316" i="16"/>
  <c r="AI2316" i="16"/>
  <c r="AF2316" i="16"/>
  <c r="AN2315" i="16"/>
  <c r="AM2315" i="16"/>
  <c r="AL2315" i="16"/>
  <c r="AK2315" i="16"/>
  <c r="AJ2315" i="16"/>
  <c r="AI2315" i="16"/>
  <c r="AF2315" i="16"/>
  <c r="AN2314" i="16"/>
  <c r="AM2314" i="16"/>
  <c r="AL2314" i="16"/>
  <c r="AK2314" i="16"/>
  <c r="AJ2314" i="16"/>
  <c r="AI2314" i="16"/>
  <c r="AF2314" i="16"/>
  <c r="AN2313" i="16"/>
  <c r="AM2313" i="16"/>
  <c r="AL2313" i="16"/>
  <c r="AK2313" i="16"/>
  <c r="AJ2313" i="16"/>
  <c r="AI2313" i="16"/>
  <c r="AF2313" i="16"/>
  <c r="AN2312" i="16"/>
  <c r="AM2312" i="16"/>
  <c r="AL2312" i="16"/>
  <c r="AK2312" i="16"/>
  <c r="AJ2312" i="16"/>
  <c r="AI2312" i="16"/>
  <c r="AF2312" i="16"/>
  <c r="AN2311" i="16"/>
  <c r="AM2311" i="16"/>
  <c r="AL2311" i="16"/>
  <c r="AK2311" i="16"/>
  <c r="AJ2311" i="16"/>
  <c r="AI2311" i="16"/>
  <c r="AF2311" i="16"/>
  <c r="AN2310" i="16"/>
  <c r="AM2310" i="16"/>
  <c r="AL2310" i="16"/>
  <c r="AK2310" i="16"/>
  <c r="AJ2310" i="16"/>
  <c r="AI2310" i="16"/>
  <c r="AF2310" i="16"/>
  <c r="AN2309" i="16"/>
  <c r="AM2309" i="16"/>
  <c r="AL2309" i="16"/>
  <c r="AK2309" i="16"/>
  <c r="AJ2309" i="16"/>
  <c r="AI2309" i="16"/>
  <c r="AF2309" i="16"/>
  <c r="AN2308" i="16"/>
  <c r="AM2308" i="16"/>
  <c r="AL2308" i="16"/>
  <c r="AK2308" i="16"/>
  <c r="AJ2308" i="16"/>
  <c r="AI2308" i="16"/>
  <c r="AF2308" i="16"/>
  <c r="AN2307" i="16"/>
  <c r="AM2307" i="16"/>
  <c r="AL2307" i="16"/>
  <c r="AK2307" i="16"/>
  <c r="AJ2307" i="16"/>
  <c r="AI2307" i="16"/>
  <c r="AF2307" i="16"/>
  <c r="AN2306" i="16"/>
  <c r="AM2306" i="16"/>
  <c r="AL2306" i="16"/>
  <c r="AK2306" i="16"/>
  <c r="AJ2306" i="16"/>
  <c r="AI2306" i="16"/>
  <c r="AF2306" i="16"/>
  <c r="AN2305" i="16"/>
  <c r="AM2305" i="16"/>
  <c r="AL2305" i="16"/>
  <c r="AK2305" i="16"/>
  <c r="AJ2305" i="16"/>
  <c r="AI2305" i="16"/>
  <c r="AF2305" i="16"/>
  <c r="AN2304" i="16"/>
  <c r="AM2304" i="16"/>
  <c r="AL2304" i="16"/>
  <c r="AK2304" i="16"/>
  <c r="AJ2304" i="16"/>
  <c r="AI2304" i="16"/>
  <c r="AF2304" i="16"/>
  <c r="AN2303" i="16"/>
  <c r="AM2303" i="16"/>
  <c r="AL2303" i="16"/>
  <c r="AK2303" i="16"/>
  <c r="AJ2303" i="16"/>
  <c r="AI2303" i="16"/>
  <c r="AF2303" i="16"/>
  <c r="AN2302" i="16"/>
  <c r="AM2302" i="16"/>
  <c r="AL2302" i="16"/>
  <c r="AK2302" i="16"/>
  <c r="AJ2302" i="16"/>
  <c r="AI2302" i="16"/>
  <c r="AF2302" i="16"/>
  <c r="AN2301" i="16"/>
  <c r="AM2301" i="16"/>
  <c r="AL2301" i="16"/>
  <c r="AK2301" i="16"/>
  <c r="AJ2301" i="16"/>
  <c r="AI2301" i="16"/>
  <c r="AF2301" i="16"/>
  <c r="AN2300" i="16"/>
  <c r="AM2300" i="16"/>
  <c r="AL2300" i="16"/>
  <c r="AK2300" i="16"/>
  <c r="AJ2300" i="16"/>
  <c r="AI2300" i="16"/>
  <c r="AF2300" i="16"/>
  <c r="AN2299" i="16"/>
  <c r="AM2299" i="16"/>
  <c r="AL2299" i="16"/>
  <c r="AK2299" i="16"/>
  <c r="AJ2299" i="16"/>
  <c r="AI2299" i="16"/>
  <c r="AF2299" i="16"/>
  <c r="AN2298" i="16"/>
  <c r="AM2298" i="16"/>
  <c r="AL2298" i="16"/>
  <c r="AK2298" i="16"/>
  <c r="AJ2298" i="16"/>
  <c r="AI2298" i="16"/>
  <c r="AF2298" i="16"/>
  <c r="AN2297" i="16"/>
  <c r="AM2297" i="16"/>
  <c r="AL2297" i="16"/>
  <c r="AK2297" i="16"/>
  <c r="AJ2297" i="16"/>
  <c r="AI2297" i="16"/>
  <c r="AF2297" i="16"/>
  <c r="AN2296" i="16"/>
  <c r="AM2296" i="16"/>
  <c r="AL2296" i="16"/>
  <c r="AK2296" i="16"/>
  <c r="AJ2296" i="16"/>
  <c r="AI2296" i="16"/>
  <c r="AF2296" i="16"/>
  <c r="AN2295" i="16"/>
  <c r="AM2295" i="16"/>
  <c r="AL2295" i="16"/>
  <c r="AK2295" i="16"/>
  <c r="AJ2295" i="16"/>
  <c r="AI2295" i="16"/>
  <c r="AF2295" i="16"/>
  <c r="AN2294" i="16"/>
  <c r="AM2294" i="16"/>
  <c r="AL2294" i="16"/>
  <c r="AK2294" i="16"/>
  <c r="AJ2294" i="16"/>
  <c r="AI2294" i="16"/>
  <c r="AF2294" i="16"/>
  <c r="AN2293" i="16"/>
  <c r="AM2293" i="16"/>
  <c r="AL2293" i="16"/>
  <c r="AK2293" i="16"/>
  <c r="AJ2293" i="16"/>
  <c r="AI2293" i="16"/>
  <c r="AF2293" i="16"/>
  <c r="AN2292" i="16"/>
  <c r="AM2292" i="16"/>
  <c r="AL2292" i="16"/>
  <c r="AK2292" i="16"/>
  <c r="AJ2292" i="16"/>
  <c r="AI2292" i="16"/>
  <c r="AF2292" i="16"/>
  <c r="AN2291" i="16"/>
  <c r="AM2291" i="16"/>
  <c r="AL2291" i="16"/>
  <c r="AK2291" i="16"/>
  <c r="AJ2291" i="16"/>
  <c r="AI2291" i="16"/>
  <c r="AF2291" i="16"/>
  <c r="AN2290" i="16"/>
  <c r="AM2290" i="16"/>
  <c r="AL2290" i="16"/>
  <c r="AK2290" i="16"/>
  <c r="AJ2290" i="16"/>
  <c r="AI2290" i="16"/>
  <c r="AF2290" i="16"/>
  <c r="AN2289" i="16"/>
  <c r="AM2289" i="16"/>
  <c r="AL2289" i="16"/>
  <c r="AK2289" i="16"/>
  <c r="AJ2289" i="16"/>
  <c r="AI2289" i="16"/>
  <c r="AF2289" i="16"/>
  <c r="AN2288" i="16"/>
  <c r="AM2288" i="16"/>
  <c r="AL2288" i="16"/>
  <c r="AK2288" i="16"/>
  <c r="AJ2288" i="16"/>
  <c r="AI2288" i="16"/>
  <c r="AF2288" i="16"/>
  <c r="AN2287" i="16"/>
  <c r="AM2287" i="16"/>
  <c r="AL2287" i="16"/>
  <c r="AK2287" i="16"/>
  <c r="AJ2287" i="16"/>
  <c r="AI2287" i="16"/>
  <c r="AF2287" i="16"/>
  <c r="AN2286" i="16"/>
  <c r="AM2286" i="16"/>
  <c r="AL2286" i="16"/>
  <c r="AK2286" i="16"/>
  <c r="AJ2286" i="16"/>
  <c r="AI2286" i="16"/>
  <c r="AF2286" i="16"/>
  <c r="AN2285" i="16"/>
  <c r="AM2285" i="16"/>
  <c r="AL2285" i="16"/>
  <c r="AK2285" i="16"/>
  <c r="AJ2285" i="16"/>
  <c r="AI2285" i="16"/>
  <c r="AF2285" i="16"/>
  <c r="AN2284" i="16"/>
  <c r="AM2284" i="16"/>
  <c r="AL2284" i="16"/>
  <c r="AK2284" i="16"/>
  <c r="AJ2284" i="16"/>
  <c r="AI2284" i="16"/>
  <c r="AF2284" i="16"/>
  <c r="AN2283" i="16"/>
  <c r="AM2283" i="16"/>
  <c r="AL2283" i="16"/>
  <c r="AK2283" i="16"/>
  <c r="AJ2283" i="16"/>
  <c r="AI2283" i="16"/>
  <c r="AF2283" i="16"/>
  <c r="AN2282" i="16"/>
  <c r="AM2282" i="16"/>
  <c r="AL2282" i="16"/>
  <c r="AK2282" i="16"/>
  <c r="AJ2282" i="16"/>
  <c r="AI2282" i="16"/>
  <c r="AF2282" i="16"/>
  <c r="AN2281" i="16"/>
  <c r="AM2281" i="16"/>
  <c r="AL2281" i="16"/>
  <c r="AK2281" i="16"/>
  <c r="AJ2281" i="16"/>
  <c r="AI2281" i="16"/>
  <c r="AF2281" i="16"/>
  <c r="AN2280" i="16"/>
  <c r="AM2280" i="16"/>
  <c r="AL2280" i="16"/>
  <c r="AK2280" i="16"/>
  <c r="AJ2280" i="16"/>
  <c r="AI2280" i="16"/>
  <c r="AF2280" i="16"/>
  <c r="AN2279" i="16"/>
  <c r="AM2279" i="16"/>
  <c r="AL2279" i="16"/>
  <c r="AK2279" i="16"/>
  <c r="AJ2279" i="16"/>
  <c r="AI2279" i="16"/>
  <c r="AF2279" i="16"/>
  <c r="AN2278" i="16"/>
  <c r="AM2278" i="16"/>
  <c r="AL2278" i="16"/>
  <c r="AK2278" i="16"/>
  <c r="AJ2278" i="16"/>
  <c r="AI2278" i="16"/>
  <c r="AF2278" i="16"/>
  <c r="AN2277" i="16"/>
  <c r="AM2277" i="16"/>
  <c r="AL2277" i="16"/>
  <c r="AK2277" i="16"/>
  <c r="AJ2277" i="16"/>
  <c r="AI2277" i="16"/>
  <c r="AF2277" i="16"/>
  <c r="AN2276" i="16"/>
  <c r="AM2276" i="16"/>
  <c r="AL2276" i="16"/>
  <c r="AK2276" i="16"/>
  <c r="AJ2276" i="16"/>
  <c r="AI2276" i="16"/>
  <c r="AF2276" i="16"/>
  <c r="AN2275" i="16"/>
  <c r="AM2275" i="16"/>
  <c r="AL2275" i="16"/>
  <c r="AK2275" i="16"/>
  <c r="AJ2275" i="16"/>
  <c r="AI2275" i="16"/>
  <c r="AF2275" i="16"/>
  <c r="AN2274" i="16"/>
  <c r="AM2274" i="16"/>
  <c r="AL2274" i="16"/>
  <c r="AK2274" i="16"/>
  <c r="AJ2274" i="16"/>
  <c r="AI2274" i="16"/>
  <c r="AF2274" i="16"/>
  <c r="AN2273" i="16"/>
  <c r="AM2273" i="16"/>
  <c r="AL2273" i="16"/>
  <c r="AK2273" i="16"/>
  <c r="AJ2273" i="16"/>
  <c r="AI2273" i="16"/>
  <c r="AF2273" i="16"/>
  <c r="AN2272" i="16"/>
  <c r="AM2272" i="16"/>
  <c r="AL2272" i="16"/>
  <c r="AK2272" i="16"/>
  <c r="AJ2272" i="16"/>
  <c r="AI2272" i="16"/>
  <c r="AF2272" i="16"/>
  <c r="AN2271" i="16"/>
  <c r="AM2271" i="16"/>
  <c r="AL2271" i="16"/>
  <c r="AK2271" i="16"/>
  <c r="AJ2271" i="16"/>
  <c r="AI2271" i="16"/>
  <c r="AF2271" i="16"/>
  <c r="AN2270" i="16"/>
  <c r="AM2270" i="16"/>
  <c r="AL2270" i="16"/>
  <c r="AK2270" i="16"/>
  <c r="AJ2270" i="16"/>
  <c r="AI2270" i="16"/>
  <c r="AF2270" i="16"/>
  <c r="AN2269" i="16"/>
  <c r="AM2269" i="16"/>
  <c r="AL2269" i="16"/>
  <c r="AK2269" i="16"/>
  <c r="AJ2269" i="16"/>
  <c r="AI2269" i="16"/>
  <c r="AF2269" i="16"/>
  <c r="AN2268" i="16"/>
  <c r="AM2268" i="16"/>
  <c r="AL2268" i="16"/>
  <c r="AK2268" i="16"/>
  <c r="AJ2268" i="16"/>
  <c r="AI2268" i="16"/>
  <c r="AF2268" i="16"/>
  <c r="AN2267" i="16"/>
  <c r="AM2267" i="16"/>
  <c r="AL2267" i="16"/>
  <c r="AK2267" i="16"/>
  <c r="AJ2267" i="16"/>
  <c r="AI2267" i="16"/>
  <c r="AF2267" i="16"/>
  <c r="AN2266" i="16"/>
  <c r="AM2266" i="16"/>
  <c r="AL2266" i="16"/>
  <c r="AK2266" i="16"/>
  <c r="AJ2266" i="16"/>
  <c r="AI2266" i="16"/>
  <c r="AF2266" i="16"/>
  <c r="AN2265" i="16"/>
  <c r="AM2265" i="16"/>
  <c r="AL2265" i="16"/>
  <c r="AK2265" i="16"/>
  <c r="AJ2265" i="16"/>
  <c r="AI2265" i="16"/>
  <c r="AF2265" i="16"/>
  <c r="AN2264" i="16"/>
  <c r="AM2264" i="16"/>
  <c r="AL2264" i="16"/>
  <c r="AK2264" i="16"/>
  <c r="AJ2264" i="16"/>
  <c r="AI2264" i="16"/>
  <c r="AF2264" i="16"/>
  <c r="AN2263" i="16"/>
  <c r="AM2263" i="16"/>
  <c r="AL2263" i="16"/>
  <c r="AK2263" i="16"/>
  <c r="AJ2263" i="16"/>
  <c r="AI2263" i="16"/>
  <c r="AF2263" i="16"/>
  <c r="AN2262" i="16"/>
  <c r="AM2262" i="16"/>
  <c r="AL2262" i="16"/>
  <c r="AK2262" i="16"/>
  <c r="AJ2262" i="16"/>
  <c r="AI2262" i="16"/>
  <c r="AF2262" i="16"/>
  <c r="AN2261" i="16"/>
  <c r="AM2261" i="16"/>
  <c r="AL2261" i="16"/>
  <c r="AK2261" i="16"/>
  <c r="AJ2261" i="16"/>
  <c r="AI2261" i="16"/>
  <c r="AF2261" i="16"/>
  <c r="AN2260" i="16"/>
  <c r="AM2260" i="16"/>
  <c r="AL2260" i="16"/>
  <c r="AK2260" i="16"/>
  <c r="AJ2260" i="16"/>
  <c r="AI2260" i="16"/>
  <c r="AF2260" i="16"/>
  <c r="AN2259" i="16"/>
  <c r="AM2259" i="16"/>
  <c r="AL2259" i="16"/>
  <c r="AK2259" i="16"/>
  <c r="AJ2259" i="16"/>
  <c r="AI2259" i="16"/>
  <c r="AF2259" i="16"/>
  <c r="AN2258" i="16"/>
  <c r="AM2258" i="16"/>
  <c r="AL2258" i="16"/>
  <c r="AK2258" i="16"/>
  <c r="AJ2258" i="16"/>
  <c r="AI2258" i="16"/>
  <c r="AF2258" i="16"/>
  <c r="AN2257" i="16"/>
  <c r="AM2257" i="16"/>
  <c r="AL2257" i="16"/>
  <c r="AK2257" i="16"/>
  <c r="AJ2257" i="16"/>
  <c r="AI2257" i="16"/>
  <c r="AF2257" i="16"/>
  <c r="AN2256" i="16"/>
  <c r="AM2256" i="16"/>
  <c r="AL2256" i="16"/>
  <c r="AK2256" i="16"/>
  <c r="AJ2256" i="16"/>
  <c r="AI2256" i="16"/>
  <c r="AF2256" i="16"/>
  <c r="AN2255" i="16"/>
  <c r="AM2255" i="16"/>
  <c r="AL2255" i="16"/>
  <c r="AK2255" i="16"/>
  <c r="AJ2255" i="16"/>
  <c r="AI2255" i="16"/>
  <c r="AF2255" i="16"/>
  <c r="AN2254" i="16"/>
  <c r="AM2254" i="16"/>
  <c r="AL2254" i="16"/>
  <c r="AK2254" i="16"/>
  <c r="AJ2254" i="16"/>
  <c r="AI2254" i="16"/>
  <c r="AF2254" i="16"/>
  <c r="AN2253" i="16"/>
  <c r="AM2253" i="16"/>
  <c r="AL2253" i="16"/>
  <c r="AK2253" i="16"/>
  <c r="AJ2253" i="16"/>
  <c r="AI2253" i="16"/>
  <c r="AF2253" i="16"/>
  <c r="AN2252" i="16"/>
  <c r="AM2252" i="16"/>
  <c r="AL2252" i="16"/>
  <c r="AK2252" i="16"/>
  <c r="AJ2252" i="16"/>
  <c r="AI2252" i="16"/>
  <c r="AF2252" i="16"/>
  <c r="AN2251" i="16"/>
  <c r="AM2251" i="16"/>
  <c r="AL2251" i="16"/>
  <c r="AK2251" i="16"/>
  <c r="AJ2251" i="16"/>
  <c r="AI2251" i="16"/>
  <c r="AF2251" i="16"/>
  <c r="AN2250" i="16"/>
  <c r="AM2250" i="16"/>
  <c r="AL2250" i="16"/>
  <c r="AK2250" i="16"/>
  <c r="AJ2250" i="16"/>
  <c r="AI2250" i="16"/>
  <c r="AF2250" i="16"/>
  <c r="AN2249" i="16"/>
  <c r="AM2249" i="16"/>
  <c r="AL2249" i="16"/>
  <c r="AK2249" i="16"/>
  <c r="AJ2249" i="16"/>
  <c r="AI2249" i="16"/>
  <c r="AF2249" i="16"/>
  <c r="AN2248" i="16"/>
  <c r="AM2248" i="16"/>
  <c r="AL2248" i="16"/>
  <c r="AK2248" i="16"/>
  <c r="AJ2248" i="16"/>
  <c r="AI2248" i="16"/>
  <c r="AF2248" i="16"/>
  <c r="AN2247" i="16"/>
  <c r="AM2247" i="16"/>
  <c r="AL2247" i="16"/>
  <c r="AK2247" i="16"/>
  <c r="AJ2247" i="16"/>
  <c r="AI2247" i="16"/>
  <c r="AF2247" i="16"/>
  <c r="AN2246" i="16"/>
  <c r="AM2246" i="16"/>
  <c r="AL2246" i="16"/>
  <c r="AK2246" i="16"/>
  <c r="AJ2246" i="16"/>
  <c r="AI2246" i="16"/>
  <c r="AF2246" i="16"/>
  <c r="AN2245" i="16"/>
  <c r="AM2245" i="16"/>
  <c r="AL2245" i="16"/>
  <c r="AK2245" i="16"/>
  <c r="AJ2245" i="16"/>
  <c r="AI2245" i="16"/>
  <c r="AF2245" i="16"/>
  <c r="AN2244" i="16"/>
  <c r="AM2244" i="16"/>
  <c r="AL2244" i="16"/>
  <c r="AK2244" i="16"/>
  <c r="AJ2244" i="16"/>
  <c r="AI2244" i="16"/>
  <c r="AF2244" i="16"/>
  <c r="AN2243" i="16"/>
  <c r="AM2243" i="16"/>
  <c r="AL2243" i="16"/>
  <c r="AK2243" i="16"/>
  <c r="AJ2243" i="16"/>
  <c r="AI2243" i="16"/>
  <c r="AF2243" i="16"/>
  <c r="AN2242" i="16"/>
  <c r="AM2242" i="16"/>
  <c r="AL2242" i="16"/>
  <c r="AK2242" i="16"/>
  <c r="AJ2242" i="16"/>
  <c r="AI2242" i="16"/>
  <c r="AF2242" i="16"/>
  <c r="AN2241" i="16"/>
  <c r="AM2241" i="16"/>
  <c r="AL2241" i="16"/>
  <c r="AK2241" i="16"/>
  <c r="AJ2241" i="16"/>
  <c r="AI2241" i="16"/>
  <c r="AF2241" i="16"/>
  <c r="AN2240" i="16"/>
  <c r="AM2240" i="16"/>
  <c r="AL2240" i="16"/>
  <c r="AK2240" i="16"/>
  <c r="AJ2240" i="16"/>
  <c r="AI2240" i="16"/>
  <c r="AF2240" i="16"/>
  <c r="AN2239" i="16"/>
  <c r="AM2239" i="16"/>
  <c r="AL2239" i="16"/>
  <c r="AK2239" i="16"/>
  <c r="AJ2239" i="16"/>
  <c r="AI2239" i="16"/>
  <c r="AF2239" i="16"/>
  <c r="AN2238" i="16"/>
  <c r="AM2238" i="16"/>
  <c r="AL2238" i="16"/>
  <c r="AK2238" i="16"/>
  <c r="AJ2238" i="16"/>
  <c r="AI2238" i="16"/>
  <c r="AF2238" i="16"/>
  <c r="AN2237" i="16"/>
  <c r="AM2237" i="16"/>
  <c r="AL2237" i="16"/>
  <c r="AK2237" i="16"/>
  <c r="AJ2237" i="16"/>
  <c r="AI2237" i="16"/>
  <c r="AF2237" i="16"/>
  <c r="AN2236" i="16"/>
  <c r="AM2236" i="16"/>
  <c r="AL2236" i="16"/>
  <c r="AK2236" i="16"/>
  <c r="AJ2236" i="16"/>
  <c r="AI2236" i="16"/>
  <c r="AF2236" i="16"/>
  <c r="AN2235" i="16"/>
  <c r="AM2235" i="16"/>
  <c r="AL2235" i="16"/>
  <c r="AK2235" i="16"/>
  <c r="AJ2235" i="16"/>
  <c r="AI2235" i="16"/>
  <c r="AF2235" i="16"/>
  <c r="AN2234" i="16"/>
  <c r="AM2234" i="16"/>
  <c r="AL2234" i="16"/>
  <c r="AK2234" i="16"/>
  <c r="AJ2234" i="16"/>
  <c r="AI2234" i="16"/>
  <c r="AF2234" i="16"/>
  <c r="AN2233" i="16"/>
  <c r="AM2233" i="16"/>
  <c r="AL2233" i="16"/>
  <c r="AK2233" i="16"/>
  <c r="AJ2233" i="16"/>
  <c r="AI2233" i="16"/>
  <c r="AF2233" i="16"/>
  <c r="AN2232" i="16"/>
  <c r="AM2232" i="16"/>
  <c r="AL2232" i="16"/>
  <c r="AK2232" i="16"/>
  <c r="AJ2232" i="16"/>
  <c r="AI2232" i="16"/>
  <c r="AF2232" i="16"/>
  <c r="AN2231" i="16"/>
  <c r="AM2231" i="16"/>
  <c r="AL2231" i="16"/>
  <c r="AK2231" i="16"/>
  <c r="AJ2231" i="16"/>
  <c r="AI2231" i="16"/>
  <c r="AF2231" i="16"/>
  <c r="AN2230" i="16"/>
  <c r="AM2230" i="16"/>
  <c r="AL2230" i="16"/>
  <c r="AK2230" i="16"/>
  <c r="AJ2230" i="16"/>
  <c r="AI2230" i="16"/>
  <c r="AF2230" i="16"/>
  <c r="AN2229" i="16"/>
  <c r="AM2229" i="16"/>
  <c r="AL2229" i="16"/>
  <c r="AK2229" i="16"/>
  <c r="AJ2229" i="16"/>
  <c r="AI2229" i="16"/>
  <c r="AF2229" i="16"/>
  <c r="AN2228" i="16"/>
  <c r="AM2228" i="16"/>
  <c r="AL2228" i="16"/>
  <c r="AK2228" i="16"/>
  <c r="AJ2228" i="16"/>
  <c r="AI2228" i="16"/>
  <c r="AF2228" i="16"/>
  <c r="AN2227" i="16"/>
  <c r="AM2227" i="16"/>
  <c r="AL2227" i="16"/>
  <c r="AK2227" i="16"/>
  <c r="AJ2227" i="16"/>
  <c r="AI2227" i="16"/>
  <c r="AF2227" i="16"/>
  <c r="AN2226" i="16"/>
  <c r="AM2226" i="16"/>
  <c r="AL2226" i="16"/>
  <c r="AK2226" i="16"/>
  <c r="AJ2226" i="16"/>
  <c r="AI2226" i="16"/>
  <c r="AF2226" i="16"/>
  <c r="AN2225" i="16"/>
  <c r="AM2225" i="16"/>
  <c r="AL2225" i="16"/>
  <c r="AK2225" i="16"/>
  <c r="AJ2225" i="16"/>
  <c r="AI2225" i="16"/>
  <c r="AF2225" i="16"/>
  <c r="AN2224" i="16"/>
  <c r="AM2224" i="16"/>
  <c r="AL2224" i="16"/>
  <c r="AK2224" i="16"/>
  <c r="AJ2224" i="16"/>
  <c r="AI2224" i="16"/>
  <c r="AF2224" i="16"/>
  <c r="AN2223" i="16"/>
  <c r="AM2223" i="16"/>
  <c r="AL2223" i="16"/>
  <c r="AK2223" i="16"/>
  <c r="AJ2223" i="16"/>
  <c r="AI2223" i="16"/>
  <c r="AF2223" i="16"/>
  <c r="AN2222" i="16"/>
  <c r="AM2222" i="16"/>
  <c r="AL2222" i="16"/>
  <c r="AK2222" i="16"/>
  <c r="AJ2222" i="16"/>
  <c r="AI2222" i="16"/>
  <c r="AF2222" i="16"/>
  <c r="AN2221" i="16"/>
  <c r="AM2221" i="16"/>
  <c r="AL2221" i="16"/>
  <c r="AK2221" i="16"/>
  <c r="AJ2221" i="16"/>
  <c r="AI2221" i="16"/>
  <c r="AF2221" i="16"/>
  <c r="AN2220" i="16"/>
  <c r="AM2220" i="16"/>
  <c r="AL2220" i="16"/>
  <c r="AK2220" i="16"/>
  <c r="AJ2220" i="16"/>
  <c r="AI2220" i="16"/>
  <c r="AF2220" i="16"/>
  <c r="AN2219" i="16"/>
  <c r="AM2219" i="16"/>
  <c r="AL2219" i="16"/>
  <c r="AK2219" i="16"/>
  <c r="AJ2219" i="16"/>
  <c r="AI2219" i="16"/>
  <c r="AF2219" i="16"/>
  <c r="AN2218" i="16"/>
  <c r="AM2218" i="16"/>
  <c r="AL2218" i="16"/>
  <c r="AK2218" i="16"/>
  <c r="AJ2218" i="16"/>
  <c r="AI2218" i="16"/>
  <c r="AF2218" i="16"/>
  <c r="AN2217" i="16"/>
  <c r="AM2217" i="16"/>
  <c r="AL2217" i="16"/>
  <c r="AK2217" i="16"/>
  <c r="AJ2217" i="16"/>
  <c r="AI2217" i="16"/>
  <c r="AF2217" i="16"/>
  <c r="AN2216" i="16"/>
  <c r="AM2216" i="16"/>
  <c r="AL2216" i="16"/>
  <c r="AK2216" i="16"/>
  <c r="AJ2216" i="16"/>
  <c r="AI2216" i="16"/>
  <c r="AF2216" i="16"/>
  <c r="AN2215" i="16"/>
  <c r="AM2215" i="16"/>
  <c r="AL2215" i="16"/>
  <c r="AK2215" i="16"/>
  <c r="AJ2215" i="16"/>
  <c r="AI2215" i="16"/>
  <c r="AF2215" i="16"/>
  <c r="AN2214" i="16"/>
  <c r="AM2214" i="16"/>
  <c r="AL2214" i="16"/>
  <c r="AK2214" i="16"/>
  <c r="AJ2214" i="16"/>
  <c r="AI2214" i="16"/>
  <c r="AF2214" i="16"/>
  <c r="AN2213" i="16"/>
  <c r="AM2213" i="16"/>
  <c r="AL2213" i="16"/>
  <c r="AK2213" i="16"/>
  <c r="AJ2213" i="16"/>
  <c r="AI2213" i="16"/>
  <c r="AF2213" i="16"/>
  <c r="AN2212" i="16"/>
  <c r="AM2212" i="16"/>
  <c r="AL2212" i="16"/>
  <c r="AK2212" i="16"/>
  <c r="AJ2212" i="16"/>
  <c r="AI2212" i="16"/>
  <c r="AF2212" i="16"/>
  <c r="AN2211" i="16"/>
  <c r="AM2211" i="16"/>
  <c r="AL2211" i="16"/>
  <c r="AK2211" i="16"/>
  <c r="AJ2211" i="16"/>
  <c r="AI2211" i="16"/>
  <c r="AF2211" i="16"/>
  <c r="AN2210" i="16"/>
  <c r="AM2210" i="16"/>
  <c r="AL2210" i="16"/>
  <c r="AK2210" i="16"/>
  <c r="AJ2210" i="16"/>
  <c r="AI2210" i="16"/>
  <c r="AF2210" i="16"/>
  <c r="AN2209" i="16"/>
  <c r="AM2209" i="16"/>
  <c r="AL2209" i="16"/>
  <c r="AK2209" i="16"/>
  <c r="AJ2209" i="16"/>
  <c r="AI2209" i="16"/>
  <c r="AF2209" i="16"/>
  <c r="AN2208" i="16"/>
  <c r="AM2208" i="16"/>
  <c r="AL2208" i="16"/>
  <c r="AK2208" i="16"/>
  <c r="AJ2208" i="16"/>
  <c r="AI2208" i="16"/>
  <c r="AF2208" i="16"/>
  <c r="AN2207" i="16"/>
  <c r="AM2207" i="16"/>
  <c r="AL2207" i="16"/>
  <c r="AK2207" i="16"/>
  <c r="AJ2207" i="16"/>
  <c r="AI2207" i="16"/>
  <c r="AF2207" i="16"/>
  <c r="AN2206" i="16"/>
  <c r="AM2206" i="16"/>
  <c r="AL2206" i="16"/>
  <c r="AK2206" i="16"/>
  <c r="AJ2206" i="16"/>
  <c r="AI2206" i="16"/>
  <c r="AF2206" i="16"/>
  <c r="AN2205" i="16"/>
  <c r="AM2205" i="16"/>
  <c r="AL2205" i="16"/>
  <c r="AK2205" i="16"/>
  <c r="AJ2205" i="16"/>
  <c r="AI2205" i="16"/>
  <c r="AF2205" i="16"/>
  <c r="AN2204" i="16"/>
  <c r="AM2204" i="16"/>
  <c r="AL2204" i="16"/>
  <c r="AK2204" i="16"/>
  <c r="AJ2204" i="16"/>
  <c r="AI2204" i="16"/>
  <c r="AF2204" i="16"/>
  <c r="AN2203" i="16"/>
  <c r="AM2203" i="16"/>
  <c r="AL2203" i="16"/>
  <c r="AK2203" i="16"/>
  <c r="AJ2203" i="16"/>
  <c r="AI2203" i="16"/>
  <c r="AF2203" i="16"/>
  <c r="AN2202" i="16"/>
  <c r="AM2202" i="16"/>
  <c r="AL2202" i="16"/>
  <c r="AK2202" i="16"/>
  <c r="AJ2202" i="16"/>
  <c r="AI2202" i="16"/>
  <c r="AF2202" i="16"/>
  <c r="AN2201" i="16"/>
  <c r="AM2201" i="16"/>
  <c r="AL2201" i="16"/>
  <c r="AK2201" i="16"/>
  <c r="AJ2201" i="16"/>
  <c r="AI2201" i="16"/>
  <c r="AF2201" i="16"/>
  <c r="AN2200" i="16"/>
  <c r="AM2200" i="16"/>
  <c r="AL2200" i="16"/>
  <c r="AK2200" i="16"/>
  <c r="AJ2200" i="16"/>
  <c r="AI2200" i="16"/>
  <c r="AF2200" i="16"/>
  <c r="AN2199" i="16"/>
  <c r="AM2199" i="16"/>
  <c r="AL2199" i="16"/>
  <c r="AK2199" i="16"/>
  <c r="AJ2199" i="16"/>
  <c r="AI2199" i="16"/>
  <c r="AF2199" i="16"/>
  <c r="AN2198" i="16"/>
  <c r="AM2198" i="16"/>
  <c r="AL2198" i="16"/>
  <c r="AK2198" i="16"/>
  <c r="AJ2198" i="16"/>
  <c r="AI2198" i="16"/>
  <c r="AF2198" i="16"/>
  <c r="AN2197" i="16"/>
  <c r="AM2197" i="16"/>
  <c r="AL2197" i="16"/>
  <c r="AK2197" i="16"/>
  <c r="AJ2197" i="16"/>
  <c r="AI2197" i="16"/>
  <c r="AF2197" i="16"/>
  <c r="AN2196" i="16"/>
  <c r="AM2196" i="16"/>
  <c r="AL2196" i="16"/>
  <c r="AK2196" i="16"/>
  <c r="AJ2196" i="16"/>
  <c r="AI2196" i="16"/>
  <c r="AF2196" i="16"/>
  <c r="AN2195" i="16"/>
  <c r="AM2195" i="16"/>
  <c r="AL2195" i="16"/>
  <c r="AK2195" i="16"/>
  <c r="AJ2195" i="16"/>
  <c r="AI2195" i="16"/>
  <c r="AF2195" i="16"/>
  <c r="AN2194" i="16"/>
  <c r="AM2194" i="16"/>
  <c r="AL2194" i="16"/>
  <c r="AK2194" i="16"/>
  <c r="AJ2194" i="16"/>
  <c r="AI2194" i="16"/>
  <c r="AF2194" i="16"/>
  <c r="AN2193" i="16"/>
  <c r="AM2193" i="16"/>
  <c r="AL2193" i="16"/>
  <c r="AK2193" i="16"/>
  <c r="AJ2193" i="16"/>
  <c r="AI2193" i="16"/>
  <c r="AF2193" i="16"/>
  <c r="AN2192" i="16"/>
  <c r="AM2192" i="16"/>
  <c r="AL2192" i="16"/>
  <c r="AK2192" i="16"/>
  <c r="AJ2192" i="16"/>
  <c r="AI2192" i="16"/>
  <c r="AF2192" i="16"/>
  <c r="AN2191" i="16"/>
  <c r="AM2191" i="16"/>
  <c r="AL2191" i="16"/>
  <c r="AK2191" i="16"/>
  <c r="AJ2191" i="16"/>
  <c r="AI2191" i="16"/>
  <c r="AF2191" i="16"/>
  <c r="AN2190" i="16"/>
  <c r="AM2190" i="16"/>
  <c r="AL2190" i="16"/>
  <c r="AK2190" i="16"/>
  <c r="AJ2190" i="16"/>
  <c r="AI2190" i="16"/>
  <c r="AF2190" i="16"/>
  <c r="AN2189" i="16"/>
  <c r="AM2189" i="16"/>
  <c r="AL2189" i="16"/>
  <c r="AK2189" i="16"/>
  <c r="AJ2189" i="16"/>
  <c r="AI2189" i="16"/>
  <c r="AF2189" i="16"/>
  <c r="AN2188" i="16"/>
  <c r="AM2188" i="16"/>
  <c r="AL2188" i="16"/>
  <c r="AK2188" i="16"/>
  <c r="AJ2188" i="16"/>
  <c r="AI2188" i="16"/>
  <c r="AF2188" i="16"/>
  <c r="AN2187" i="16"/>
  <c r="AM2187" i="16"/>
  <c r="AL2187" i="16"/>
  <c r="AK2187" i="16"/>
  <c r="AJ2187" i="16"/>
  <c r="AI2187" i="16"/>
  <c r="AF2187" i="16"/>
  <c r="AN2186" i="16"/>
  <c r="AM2186" i="16"/>
  <c r="AL2186" i="16"/>
  <c r="AK2186" i="16"/>
  <c r="AJ2186" i="16"/>
  <c r="AI2186" i="16"/>
  <c r="AF2186" i="16"/>
  <c r="AN2185" i="16"/>
  <c r="AM2185" i="16"/>
  <c r="AL2185" i="16"/>
  <c r="AK2185" i="16"/>
  <c r="AJ2185" i="16"/>
  <c r="AI2185" i="16"/>
  <c r="AF2185" i="16"/>
  <c r="AN2184" i="16"/>
  <c r="AM2184" i="16"/>
  <c r="AL2184" i="16"/>
  <c r="AK2184" i="16"/>
  <c r="AJ2184" i="16"/>
  <c r="AI2184" i="16"/>
  <c r="AF2184" i="16"/>
  <c r="AN2183" i="16"/>
  <c r="AM2183" i="16"/>
  <c r="AL2183" i="16"/>
  <c r="AK2183" i="16"/>
  <c r="AJ2183" i="16"/>
  <c r="AI2183" i="16"/>
  <c r="AF2183" i="16"/>
  <c r="AN2182" i="16"/>
  <c r="AM2182" i="16"/>
  <c r="AL2182" i="16"/>
  <c r="AK2182" i="16"/>
  <c r="AJ2182" i="16"/>
  <c r="AI2182" i="16"/>
  <c r="AF2182" i="16"/>
  <c r="AN2181" i="16"/>
  <c r="AM2181" i="16"/>
  <c r="AL2181" i="16"/>
  <c r="AK2181" i="16"/>
  <c r="AJ2181" i="16"/>
  <c r="AI2181" i="16"/>
  <c r="AF2181" i="16"/>
  <c r="AN2180" i="16"/>
  <c r="AM2180" i="16"/>
  <c r="AL2180" i="16"/>
  <c r="AK2180" i="16"/>
  <c r="AJ2180" i="16"/>
  <c r="AI2180" i="16"/>
  <c r="AF2180" i="16"/>
  <c r="AN2179" i="16"/>
  <c r="AM2179" i="16"/>
  <c r="AL2179" i="16"/>
  <c r="AK2179" i="16"/>
  <c r="AJ2179" i="16"/>
  <c r="AI2179" i="16"/>
  <c r="AF2179" i="16"/>
  <c r="AN2178" i="16"/>
  <c r="AM2178" i="16"/>
  <c r="AL2178" i="16"/>
  <c r="AK2178" i="16"/>
  <c r="AJ2178" i="16"/>
  <c r="AI2178" i="16"/>
  <c r="AF2178" i="16"/>
  <c r="AN2177" i="16"/>
  <c r="AM2177" i="16"/>
  <c r="AL2177" i="16"/>
  <c r="AK2177" i="16"/>
  <c r="AJ2177" i="16"/>
  <c r="AI2177" i="16"/>
  <c r="AF2177" i="16"/>
  <c r="AN2176" i="16"/>
  <c r="AM2176" i="16"/>
  <c r="AL2176" i="16"/>
  <c r="AK2176" i="16"/>
  <c r="AJ2176" i="16"/>
  <c r="AI2176" i="16"/>
  <c r="AF2176" i="16"/>
  <c r="AN2175" i="16"/>
  <c r="AM2175" i="16"/>
  <c r="AL2175" i="16"/>
  <c r="AK2175" i="16"/>
  <c r="AJ2175" i="16"/>
  <c r="AI2175" i="16"/>
  <c r="AF2175" i="16"/>
  <c r="AN2174" i="16"/>
  <c r="AM2174" i="16"/>
  <c r="AL2174" i="16"/>
  <c r="AK2174" i="16"/>
  <c r="AJ2174" i="16"/>
  <c r="AI2174" i="16"/>
  <c r="AF2174" i="16"/>
  <c r="AN2173" i="16"/>
  <c r="AM2173" i="16"/>
  <c r="AL2173" i="16"/>
  <c r="AK2173" i="16"/>
  <c r="AJ2173" i="16"/>
  <c r="AI2173" i="16"/>
  <c r="AF2173" i="16"/>
  <c r="AN2172" i="16"/>
  <c r="AM2172" i="16"/>
  <c r="AL2172" i="16"/>
  <c r="AK2172" i="16"/>
  <c r="AJ2172" i="16"/>
  <c r="AI2172" i="16"/>
  <c r="AF2172" i="16"/>
  <c r="AN2171" i="16"/>
  <c r="AM2171" i="16"/>
  <c r="AL2171" i="16"/>
  <c r="AK2171" i="16"/>
  <c r="AJ2171" i="16"/>
  <c r="AI2171" i="16"/>
  <c r="AF2171" i="16"/>
  <c r="AN2170" i="16"/>
  <c r="AM2170" i="16"/>
  <c r="AL2170" i="16"/>
  <c r="AK2170" i="16"/>
  <c r="AJ2170" i="16"/>
  <c r="AI2170" i="16"/>
  <c r="AF2170" i="16"/>
  <c r="AN2169" i="16"/>
  <c r="AM2169" i="16"/>
  <c r="AL2169" i="16"/>
  <c r="AK2169" i="16"/>
  <c r="AJ2169" i="16"/>
  <c r="AI2169" i="16"/>
  <c r="AF2169" i="16"/>
  <c r="AN2168" i="16"/>
  <c r="AM2168" i="16"/>
  <c r="AL2168" i="16"/>
  <c r="AK2168" i="16"/>
  <c r="AJ2168" i="16"/>
  <c r="AI2168" i="16"/>
  <c r="AF2168" i="16"/>
  <c r="AN2167" i="16"/>
  <c r="AM2167" i="16"/>
  <c r="AL2167" i="16"/>
  <c r="AK2167" i="16"/>
  <c r="AJ2167" i="16"/>
  <c r="AI2167" i="16"/>
  <c r="AF2167" i="16"/>
  <c r="AN2166" i="16"/>
  <c r="AM2166" i="16"/>
  <c r="AL2166" i="16"/>
  <c r="AK2166" i="16"/>
  <c r="AJ2166" i="16"/>
  <c r="AI2166" i="16"/>
  <c r="AF2166" i="16"/>
  <c r="AN2165" i="16"/>
  <c r="AM2165" i="16"/>
  <c r="AL2165" i="16"/>
  <c r="AK2165" i="16"/>
  <c r="AJ2165" i="16"/>
  <c r="AI2165" i="16"/>
  <c r="AF2165" i="16"/>
  <c r="AN2164" i="16"/>
  <c r="AM2164" i="16"/>
  <c r="AL2164" i="16"/>
  <c r="AK2164" i="16"/>
  <c r="AJ2164" i="16"/>
  <c r="AI2164" i="16"/>
  <c r="AF2164" i="16"/>
  <c r="AN2163" i="16"/>
  <c r="AM2163" i="16"/>
  <c r="AL2163" i="16"/>
  <c r="AK2163" i="16"/>
  <c r="AJ2163" i="16"/>
  <c r="AI2163" i="16"/>
  <c r="AF2163" i="16"/>
  <c r="AN2162" i="16"/>
  <c r="AM2162" i="16"/>
  <c r="AL2162" i="16"/>
  <c r="AK2162" i="16"/>
  <c r="AJ2162" i="16"/>
  <c r="AI2162" i="16"/>
  <c r="AF2162" i="16"/>
  <c r="AN2161" i="16"/>
  <c r="AM2161" i="16"/>
  <c r="AL2161" i="16"/>
  <c r="AK2161" i="16"/>
  <c r="AJ2161" i="16"/>
  <c r="AI2161" i="16"/>
  <c r="AF2161" i="16"/>
  <c r="AN2160" i="16"/>
  <c r="AM2160" i="16"/>
  <c r="AL2160" i="16"/>
  <c r="AK2160" i="16"/>
  <c r="AJ2160" i="16"/>
  <c r="AI2160" i="16"/>
  <c r="AF2160" i="16"/>
  <c r="AN2159" i="16"/>
  <c r="AM2159" i="16"/>
  <c r="AL2159" i="16"/>
  <c r="AK2159" i="16"/>
  <c r="AJ2159" i="16"/>
  <c r="AI2159" i="16"/>
  <c r="AF2159" i="16"/>
  <c r="AN2158" i="16"/>
  <c r="AM2158" i="16"/>
  <c r="AL2158" i="16"/>
  <c r="AK2158" i="16"/>
  <c r="AJ2158" i="16"/>
  <c r="AI2158" i="16"/>
  <c r="AF2158" i="16"/>
  <c r="AN2157" i="16"/>
  <c r="AM2157" i="16"/>
  <c r="AL2157" i="16"/>
  <c r="AK2157" i="16"/>
  <c r="AJ2157" i="16"/>
  <c r="AI2157" i="16"/>
  <c r="AF2157" i="16"/>
  <c r="AN2156" i="16"/>
  <c r="AM2156" i="16"/>
  <c r="AL2156" i="16"/>
  <c r="AK2156" i="16"/>
  <c r="AJ2156" i="16"/>
  <c r="AI2156" i="16"/>
  <c r="AF2156" i="16"/>
  <c r="AN2155" i="16"/>
  <c r="AM2155" i="16"/>
  <c r="AL2155" i="16"/>
  <c r="AK2155" i="16"/>
  <c r="AJ2155" i="16"/>
  <c r="AI2155" i="16"/>
  <c r="AF2155" i="16"/>
  <c r="AN2154" i="16"/>
  <c r="AM2154" i="16"/>
  <c r="AL2154" i="16"/>
  <c r="AK2154" i="16"/>
  <c r="AJ2154" i="16"/>
  <c r="AI2154" i="16"/>
  <c r="AF2154" i="16"/>
  <c r="AN2153" i="16"/>
  <c r="AM2153" i="16"/>
  <c r="AL2153" i="16"/>
  <c r="AK2153" i="16"/>
  <c r="AJ2153" i="16"/>
  <c r="AI2153" i="16"/>
  <c r="AF2153" i="16"/>
  <c r="AN2152" i="16"/>
  <c r="AM2152" i="16"/>
  <c r="AL2152" i="16"/>
  <c r="AK2152" i="16"/>
  <c r="AJ2152" i="16"/>
  <c r="AI2152" i="16"/>
  <c r="AF2152" i="16"/>
  <c r="AN2151" i="16"/>
  <c r="AM2151" i="16"/>
  <c r="AL2151" i="16"/>
  <c r="AK2151" i="16"/>
  <c r="AJ2151" i="16"/>
  <c r="AI2151" i="16"/>
  <c r="AF2151" i="16"/>
  <c r="AN2150" i="16"/>
  <c r="AM2150" i="16"/>
  <c r="AL2150" i="16"/>
  <c r="AK2150" i="16"/>
  <c r="AJ2150" i="16"/>
  <c r="AI2150" i="16"/>
  <c r="AF2150" i="16"/>
  <c r="AN2149" i="16"/>
  <c r="AM2149" i="16"/>
  <c r="AL2149" i="16"/>
  <c r="AK2149" i="16"/>
  <c r="AJ2149" i="16"/>
  <c r="AI2149" i="16"/>
  <c r="AF2149" i="16"/>
  <c r="AN2148" i="16"/>
  <c r="AM2148" i="16"/>
  <c r="AL2148" i="16"/>
  <c r="AK2148" i="16"/>
  <c r="AJ2148" i="16"/>
  <c r="AI2148" i="16"/>
  <c r="AF2148" i="16"/>
  <c r="AN2147" i="16"/>
  <c r="AM2147" i="16"/>
  <c r="AL2147" i="16"/>
  <c r="AK2147" i="16"/>
  <c r="AJ2147" i="16"/>
  <c r="AI2147" i="16"/>
  <c r="AF2147" i="16"/>
  <c r="AN2146" i="16"/>
  <c r="AM2146" i="16"/>
  <c r="AL2146" i="16"/>
  <c r="AK2146" i="16"/>
  <c r="AJ2146" i="16"/>
  <c r="AI2146" i="16"/>
  <c r="AF2146" i="16"/>
  <c r="AN2145" i="16"/>
  <c r="AM2145" i="16"/>
  <c r="AL2145" i="16"/>
  <c r="AK2145" i="16"/>
  <c r="AJ2145" i="16"/>
  <c r="AI2145" i="16"/>
  <c r="AF2145" i="16"/>
  <c r="AN2144" i="16"/>
  <c r="AM2144" i="16"/>
  <c r="AL2144" i="16"/>
  <c r="AK2144" i="16"/>
  <c r="AJ2144" i="16"/>
  <c r="AI2144" i="16"/>
  <c r="AF2144" i="16"/>
  <c r="AN2143" i="16"/>
  <c r="AM2143" i="16"/>
  <c r="AL2143" i="16"/>
  <c r="AK2143" i="16"/>
  <c r="AJ2143" i="16"/>
  <c r="AI2143" i="16"/>
  <c r="AF2143" i="16"/>
  <c r="AN2142" i="16"/>
  <c r="AM2142" i="16"/>
  <c r="AL2142" i="16"/>
  <c r="AK2142" i="16"/>
  <c r="AJ2142" i="16"/>
  <c r="AI2142" i="16"/>
  <c r="AF2142" i="16"/>
  <c r="AN2141" i="16"/>
  <c r="AM2141" i="16"/>
  <c r="AL2141" i="16"/>
  <c r="AK2141" i="16"/>
  <c r="AJ2141" i="16"/>
  <c r="AI2141" i="16"/>
  <c r="AF2141" i="16"/>
  <c r="AN2140" i="16"/>
  <c r="AM2140" i="16"/>
  <c r="AL2140" i="16"/>
  <c r="AK2140" i="16"/>
  <c r="AJ2140" i="16"/>
  <c r="AI2140" i="16"/>
  <c r="AF2140" i="16"/>
  <c r="AN2139" i="16"/>
  <c r="AM2139" i="16"/>
  <c r="AL2139" i="16"/>
  <c r="AK2139" i="16"/>
  <c r="AJ2139" i="16"/>
  <c r="AI2139" i="16"/>
  <c r="AF2139" i="16"/>
  <c r="AN2138" i="16"/>
  <c r="AM2138" i="16"/>
  <c r="AL2138" i="16"/>
  <c r="AK2138" i="16"/>
  <c r="AJ2138" i="16"/>
  <c r="AI2138" i="16"/>
  <c r="AF2138" i="16"/>
  <c r="AN2137" i="16"/>
  <c r="AM2137" i="16"/>
  <c r="AL2137" i="16"/>
  <c r="AK2137" i="16"/>
  <c r="AJ2137" i="16"/>
  <c r="AI2137" i="16"/>
  <c r="AF2137" i="16"/>
  <c r="AN2136" i="16"/>
  <c r="AM2136" i="16"/>
  <c r="AL2136" i="16"/>
  <c r="AK2136" i="16"/>
  <c r="AJ2136" i="16"/>
  <c r="AI2136" i="16"/>
  <c r="AF2136" i="16"/>
  <c r="AN2135" i="16"/>
  <c r="AM2135" i="16"/>
  <c r="AL2135" i="16"/>
  <c r="AK2135" i="16"/>
  <c r="AJ2135" i="16"/>
  <c r="AI2135" i="16"/>
  <c r="AF2135" i="16"/>
  <c r="AN2134" i="16"/>
  <c r="AM2134" i="16"/>
  <c r="AL2134" i="16"/>
  <c r="AK2134" i="16"/>
  <c r="AJ2134" i="16"/>
  <c r="AI2134" i="16"/>
  <c r="AF2134" i="16"/>
  <c r="AN2133" i="16"/>
  <c r="AM2133" i="16"/>
  <c r="AL2133" i="16"/>
  <c r="AK2133" i="16"/>
  <c r="AJ2133" i="16"/>
  <c r="AI2133" i="16"/>
  <c r="AF2133" i="16"/>
  <c r="AN2132" i="16"/>
  <c r="AM2132" i="16"/>
  <c r="AL2132" i="16"/>
  <c r="AK2132" i="16"/>
  <c r="AJ2132" i="16"/>
  <c r="AI2132" i="16"/>
  <c r="AF2132" i="16"/>
  <c r="AN2131" i="16"/>
  <c r="AM2131" i="16"/>
  <c r="AL2131" i="16"/>
  <c r="AK2131" i="16"/>
  <c r="AJ2131" i="16"/>
  <c r="AI2131" i="16"/>
  <c r="AF2131" i="16"/>
  <c r="AN2130" i="16"/>
  <c r="AM2130" i="16"/>
  <c r="AL2130" i="16"/>
  <c r="AK2130" i="16"/>
  <c r="AJ2130" i="16"/>
  <c r="AI2130" i="16"/>
  <c r="AF2130" i="16"/>
  <c r="AN2129" i="16"/>
  <c r="AM2129" i="16"/>
  <c r="AL2129" i="16"/>
  <c r="AK2129" i="16"/>
  <c r="AJ2129" i="16"/>
  <c r="AI2129" i="16"/>
  <c r="AF2129" i="16"/>
  <c r="AN2128" i="16"/>
  <c r="AM2128" i="16"/>
  <c r="AL2128" i="16"/>
  <c r="AK2128" i="16"/>
  <c r="AJ2128" i="16"/>
  <c r="AI2128" i="16"/>
  <c r="AF2128" i="16"/>
  <c r="AN2127" i="16"/>
  <c r="AM2127" i="16"/>
  <c r="AL2127" i="16"/>
  <c r="AK2127" i="16"/>
  <c r="AJ2127" i="16"/>
  <c r="AI2127" i="16"/>
  <c r="AF2127" i="16"/>
  <c r="AN2126" i="16"/>
  <c r="AM2126" i="16"/>
  <c r="AL2126" i="16"/>
  <c r="AK2126" i="16"/>
  <c r="AJ2126" i="16"/>
  <c r="AI2126" i="16"/>
  <c r="AF2126" i="16"/>
  <c r="AN2125" i="16"/>
  <c r="AM2125" i="16"/>
  <c r="AL2125" i="16"/>
  <c r="AK2125" i="16"/>
  <c r="AJ2125" i="16"/>
  <c r="AI2125" i="16"/>
  <c r="AF2125" i="16"/>
  <c r="AN2124" i="16"/>
  <c r="AM2124" i="16"/>
  <c r="AL2124" i="16"/>
  <c r="AK2124" i="16"/>
  <c r="AJ2124" i="16"/>
  <c r="AI2124" i="16"/>
  <c r="AF2124" i="16"/>
  <c r="AN2123" i="16"/>
  <c r="AM2123" i="16"/>
  <c r="AL2123" i="16"/>
  <c r="AK2123" i="16"/>
  <c r="AJ2123" i="16"/>
  <c r="AI2123" i="16"/>
  <c r="AF2123" i="16"/>
  <c r="AN2122" i="16"/>
  <c r="AM2122" i="16"/>
  <c r="AL2122" i="16"/>
  <c r="AK2122" i="16"/>
  <c r="AJ2122" i="16"/>
  <c r="AI2122" i="16"/>
  <c r="AF2122" i="16"/>
  <c r="AN2121" i="16"/>
  <c r="AM2121" i="16"/>
  <c r="AL2121" i="16"/>
  <c r="AK2121" i="16"/>
  <c r="AJ2121" i="16"/>
  <c r="AI2121" i="16"/>
  <c r="AF2121" i="16"/>
  <c r="AN2120" i="16"/>
  <c r="AM2120" i="16"/>
  <c r="AL2120" i="16"/>
  <c r="AK2120" i="16"/>
  <c r="AJ2120" i="16"/>
  <c r="AI2120" i="16"/>
  <c r="AF2120" i="16"/>
  <c r="AN2119" i="16"/>
  <c r="AM2119" i="16"/>
  <c r="AL2119" i="16"/>
  <c r="AK2119" i="16"/>
  <c r="AJ2119" i="16"/>
  <c r="AI2119" i="16"/>
  <c r="AF2119" i="16"/>
  <c r="AN2118" i="16"/>
  <c r="AM2118" i="16"/>
  <c r="AL2118" i="16"/>
  <c r="AK2118" i="16"/>
  <c r="AJ2118" i="16"/>
  <c r="AI2118" i="16"/>
  <c r="AF2118" i="16"/>
  <c r="AN2117" i="16"/>
  <c r="AM2117" i="16"/>
  <c r="AL2117" i="16"/>
  <c r="AK2117" i="16"/>
  <c r="AJ2117" i="16"/>
  <c r="AI2117" i="16"/>
  <c r="AF2117" i="16"/>
  <c r="AN2116" i="16"/>
  <c r="AM2116" i="16"/>
  <c r="AL2116" i="16"/>
  <c r="AK2116" i="16"/>
  <c r="AJ2116" i="16"/>
  <c r="AI2116" i="16"/>
  <c r="AF2116" i="16"/>
  <c r="AN2115" i="16"/>
  <c r="AM2115" i="16"/>
  <c r="AL2115" i="16"/>
  <c r="AK2115" i="16"/>
  <c r="AJ2115" i="16"/>
  <c r="AI2115" i="16"/>
  <c r="AF2115" i="16"/>
  <c r="AN2114" i="16"/>
  <c r="AM2114" i="16"/>
  <c r="AL2114" i="16"/>
  <c r="AK2114" i="16"/>
  <c r="AJ2114" i="16"/>
  <c r="AI2114" i="16"/>
  <c r="AF2114" i="16"/>
  <c r="AN2113" i="16"/>
  <c r="AM2113" i="16"/>
  <c r="AL2113" i="16"/>
  <c r="AK2113" i="16"/>
  <c r="AJ2113" i="16"/>
  <c r="AI2113" i="16"/>
  <c r="AF2113" i="16"/>
  <c r="AN2112" i="16"/>
  <c r="AM2112" i="16"/>
  <c r="AL2112" i="16"/>
  <c r="AK2112" i="16"/>
  <c r="AJ2112" i="16"/>
  <c r="AI2112" i="16"/>
  <c r="AF2112" i="16"/>
  <c r="AN2111" i="16"/>
  <c r="AM2111" i="16"/>
  <c r="AL2111" i="16"/>
  <c r="AK2111" i="16"/>
  <c r="AJ2111" i="16"/>
  <c r="AI2111" i="16"/>
  <c r="AF2111" i="16"/>
  <c r="AN2110" i="16"/>
  <c r="AM2110" i="16"/>
  <c r="AL2110" i="16"/>
  <c r="AK2110" i="16"/>
  <c r="AJ2110" i="16"/>
  <c r="AI2110" i="16"/>
  <c r="AF2110" i="16"/>
  <c r="AN2109" i="16"/>
  <c r="AM2109" i="16"/>
  <c r="AL2109" i="16"/>
  <c r="AK2109" i="16"/>
  <c r="AJ2109" i="16"/>
  <c r="AI2109" i="16"/>
  <c r="AF2109" i="16"/>
  <c r="AN2108" i="16"/>
  <c r="AM2108" i="16"/>
  <c r="AL2108" i="16"/>
  <c r="AK2108" i="16"/>
  <c r="AJ2108" i="16"/>
  <c r="AI2108" i="16"/>
  <c r="AF2108" i="16"/>
  <c r="AN2107" i="16"/>
  <c r="AM2107" i="16"/>
  <c r="AL2107" i="16"/>
  <c r="AK2107" i="16"/>
  <c r="AJ2107" i="16"/>
  <c r="AI2107" i="16"/>
  <c r="AF2107" i="16"/>
  <c r="AN2106" i="16"/>
  <c r="AM2106" i="16"/>
  <c r="AL2106" i="16"/>
  <c r="AK2106" i="16"/>
  <c r="AJ2106" i="16"/>
  <c r="AI2106" i="16"/>
  <c r="AF2106" i="16"/>
  <c r="AN2105" i="16"/>
  <c r="AM2105" i="16"/>
  <c r="AL2105" i="16"/>
  <c r="AK2105" i="16"/>
  <c r="AJ2105" i="16"/>
  <c r="AI2105" i="16"/>
  <c r="AF2105" i="16"/>
  <c r="AN2104" i="16"/>
  <c r="AM2104" i="16"/>
  <c r="AL2104" i="16"/>
  <c r="AK2104" i="16"/>
  <c r="AJ2104" i="16"/>
  <c r="AI2104" i="16"/>
  <c r="AF2104" i="16"/>
  <c r="AN2103" i="16"/>
  <c r="AM2103" i="16"/>
  <c r="AL2103" i="16"/>
  <c r="AK2103" i="16"/>
  <c r="AJ2103" i="16"/>
  <c r="AI2103" i="16"/>
  <c r="AF2103" i="16"/>
  <c r="AN2102" i="16"/>
  <c r="AM2102" i="16"/>
  <c r="AL2102" i="16"/>
  <c r="AK2102" i="16"/>
  <c r="AJ2102" i="16"/>
  <c r="AI2102" i="16"/>
  <c r="AF2102" i="16"/>
  <c r="AN2101" i="16"/>
  <c r="AM2101" i="16"/>
  <c r="AL2101" i="16"/>
  <c r="AK2101" i="16"/>
  <c r="AJ2101" i="16"/>
  <c r="AI2101" i="16"/>
  <c r="AF2101" i="16"/>
  <c r="AN2100" i="16"/>
  <c r="AM2100" i="16"/>
  <c r="AL2100" i="16"/>
  <c r="AK2100" i="16"/>
  <c r="AJ2100" i="16"/>
  <c r="AI2100" i="16"/>
  <c r="AF2100" i="16"/>
  <c r="AN2099" i="16"/>
  <c r="AM2099" i="16"/>
  <c r="AL2099" i="16"/>
  <c r="AK2099" i="16"/>
  <c r="AJ2099" i="16"/>
  <c r="AI2099" i="16"/>
  <c r="AF2099" i="16"/>
  <c r="AN2098" i="16"/>
  <c r="AM2098" i="16"/>
  <c r="AL2098" i="16"/>
  <c r="AK2098" i="16"/>
  <c r="AJ2098" i="16"/>
  <c r="AI2098" i="16"/>
  <c r="AF2098" i="16"/>
  <c r="AN2097" i="16"/>
  <c r="AM2097" i="16"/>
  <c r="AL2097" i="16"/>
  <c r="AK2097" i="16"/>
  <c r="AJ2097" i="16"/>
  <c r="AI2097" i="16"/>
  <c r="AF2097" i="16"/>
  <c r="AN2096" i="16"/>
  <c r="AM2096" i="16"/>
  <c r="AL2096" i="16"/>
  <c r="AK2096" i="16"/>
  <c r="AJ2096" i="16"/>
  <c r="AI2096" i="16"/>
  <c r="AF2096" i="16"/>
  <c r="AN2095" i="16"/>
  <c r="AM2095" i="16"/>
  <c r="AL2095" i="16"/>
  <c r="AK2095" i="16"/>
  <c r="AJ2095" i="16"/>
  <c r="AI2095" i="16"/>
  <c r="AF2095" i="16"/>
  <c r="AN2094" i="16"/>
  <c r="AM2094" i="16"/>
  <c r="AL2094" i="16"/>
  <c r="AK2094" i="16"/>
  <c r="AJ2094" i="16"/>
  <c r="AI2094" i="16"/>
  <c r="AF2094" i="16"/>
  <c r="AN2093" i="16"/>
  <c r="AM2093" i="16"/>
  <c r="AL2093" i="16"/>
  <c r="AK2093" i="16"/>
  <c r="AJ2093" i="16"/>
  <c r="AI2093" i="16"/>
  <c r="AF2093" i="16"/>
  <c r="AN2092" i="16"/>
  <c r="AM2092" i="16"/>
  <c r="AL2092" i="16"/>
  <c r="AK2092" i="16"/>
  <c r="AJ2092" i="16"/>
  <c r="AI2092" i="16"/>
  <c r="AF2092" i="16"/>
  <c r="AN2091" i="16"/>
  <c r="AM2091" i="16"/>
  <c r="AL2091" i="16"/>
  <c r="AK2091" i="16"/>
  <c r="AJ2091" i="16"/>
  <c r="AI2091" i="16"/>
  <c r="AF2091" i="16"/>
  <c r="AN2090" i="16"/>
  <c r="AM2090" i="16"/>
  <c r="AL2090" i="16"/>
  <c r="AK2090" i="16"/>
  <c r="AJ2090" i="16"/>
  <c r="AI2090" i="16"/>
  <c r="AF2090" i="16"/>
  <c r="AN2089" i="16"/>
  <c r="AM2089" i="16"/>
  <c r="AL2089" i="16"/>
  <c r="AK2089" i="16"/>
  <c r="AJ2089" i="16"/>
  <c r="AI2089" i="16"/>
  <c r="AF2089" i="16"/>
  <c r="AN2088" i="16"/>
  <c r="AM2088" i="16"/>
  <c r="AL2088" i="16"/>
  <c r="AK2088" i="16"/>
  <c r="AJ2088" i="16"/>
  <c r="AI2088" i="16"/>
  <c r="AF2088" i="16"/>
  <c r="AN2087" i="16"/>
  <c r="AM2087" i="16"/>
  <c r="AL2087" i="16"/>
  <c r="AK2087" i="16"/>
  <c r="AJ2087" i="16"/>
  <c r="AI2087" i="16"/>
  <c r="AF2087" i="16"/>
  <c r="AN2086" i="16"/>
  <c r="AM2086" i="16"/>
  <c r="AL2086" i="16"/>
  <c r="AK2086" i="16"/>
  <c r="AJ2086" i="16"/>
  <c r="AI2086" i="16"/>
  <c r="AF2086" i="16"/>
  <c r="AN2085" i="16"/>
  <c r="AM2085" i="16"/>
  <c r="AL2085" i="16"/>
  <c r="AK2085" i="16"/>
  <c r="AJ2085" i="16"/>
  <c r="AI2085" i="16"/>
  <c r="AF2085" i="16"/>
  <c r="AN2084" i="16"/>
  <c r="AM2084" i="16"/>
  <c r="AL2084" i="16"/>
  <c r="AK2084" i="16"/>
  <c r="AJ2084" i="16"/>
  <c r="AI2084" i="16"/>
  <c r="AF2084" i="16"/>
  <c r="AN2083" i="16"/>
  <c r="AM2083" i="16"/>
  <c r="AL2083" i="16"/>
  <c r="AK2083" i="16"/>
  <c r="AJ2083" i="16"/>
  <c r="AI2083" i="16"/>
  <c r="AF2083" i="16"/>
  <c r="AN2082" i="16"/>
  <c r="AM2082" i="16"/>
  <c r="AL2082" i="16"/>
  <c r="AK2082" i="16"/>
  <c r="AJ2082" i="16"/>
  <c r="AI2082" i="16"/>
  <c r="AF2082" i="16"/>
  <c r="AN2081" i="16"/>
  <c r="AM2081" i="16"/>
  <c r="AL2081" i="16"/>
  <c r="AK2081" i="16"/>
  <c r="AJ2081" i="16"/>
  <c r="AI2081" i="16"/>
  <c r="AF2081" i="16"/>
  <c r="AN2080" i="16"/>
  <c r="AM2080" i="16"/>
  <c r="AL2080" i="16"/>
  <c r="AK2080" i="16"/>
  <c r="AJ2080" i="16"/>
  <c r="AI2080" i="16"/>
  <c r="AF2080" i="16"/>
  <c r="AN2079" i="16"/>
  <c r="AM2079" i="16"/>
  <c r="AL2079" i="16"/>
  <c r="AK2079" i="16"/>
  <c r="AJ2079" i="16"/>
  <c r="AI2079" i="16"/>
  <c r="AF2079" i="16"/>
  <c r="AN2078" i="16"/>
  <c r="AM2078" i="16"/>
  <c r="AL2078" i="16"/>
  <c r="AK2078" i="16"/>
  <c r="AJ2078" i="16"/>
  <c r="AI2078" i="16"/>
  <c r="AF2078" i="16"/>
  <c r="AN2077" i="16"/>
  <c r="AM2077" i="16"/>
  <c r="AL2077" i="16"/>
  <c r="AK2077" i="16"/>
  <c r="AJ2077" i="16"/>
  <c r="AI2077" i="16"/>
  <c r="AF2077" i="16"/>
  <c r="AN2076" i="16"/>
  <c r="AM2076" i="16"/>
  <c r="AL2076" i="16"/>
  <c r="AK2076" i="16"/>
  <c r="AJ2076" i="16"/>
  <c r="AI2076" i="16"/>
  <c r="AF2076" i="16"/>
  <c r="AN2075" i="16"/>
  <c r="AM2075" i="16"/>
  <c r="AL2075" i="16"/>
  <c r="AK2075" i="16"/>
  <c r="AJ2075" i="16"/>
  <c r="AI2075" i="16"/>
  <c r="AF2075" i="16"/>
  <c r="AN2074" i="16"/>
  <c r="AM2074" i="16"/>
  <c r="AL2074" i="16"/>
  <c r="AK2074" i="16"/>
  <c r="AJ2074" i="16"/>
  <c r="AI2074" i="16"/>
  <c r="AF2074" i="16"/>
  <c r="AN2073" i="16"/>
  <c r="AM2073" i="16"/>
  <c r="AL2073" i="16"/>
  <c r="AK2073" i="16"/>
  <c r="AJ2073" i="16"/>
  <c r="AI2073" i="16"/>
  <c r="AF2073" i="16"/>
  <c r="AN2072" i="16"/>
  <c r="AM2072" i="16"/>
  <c r="AL2072" i="16"/>
  <c r="AK2072" i="16"/>
  <c r="AJ2072" i="16"/>
  <c r="AI2072" i="16"/>
  <c r="AF2072" i="16"/>
  <c r="AN2071" i="16"/>
  <c r="AM2071" i="16"/>
  <c r="AL2071" i="16"/>
  <c r="AK2071" i="16"/>
  <c r="AJ2071" i="16"/>
  <c r="AI2071" i="16"/>
  <c r="AF2071" i="16"/>
  <c r="AN2070" i="16"/>
  <c r="AM2070" i="16"/>
  <c r="AL2070" i="16"/>
  <c r="AK2070" i="16"/>
  <c r="AJ2070" i="16"/>
  <c r="AI2070" i="16"/>
  <c r="AF2070" i="16"/>
  <c r="AN2069" i="16"/>
  <c r="AM2069" i="16"/>
  <c r="AL2069" i="16"/>
  <c r="AK2069" i="16"/>
  <c r="AJ2069" i="16"/>
  <c r="AI2069" i="16"/>
  <c r="AF2069" i="16"/>
  <c r="AN2068" i="16"/>
  <c r="AM2068" i="16"/>
  <c r="AL2068" i="16"/>
  <c r="AK2068" i="16"/>
  <c r="AJ2068" i="16"/>
  <c r="AI2068" i="16"/>
  <c r="AF2068" i="16"/>
  <c r="AN2067" i="16"/>
  <c r="AM2067" i="16"/>
  <c r="AL2067" i="16"/>
  <c r="AK2067" i="16"/>
  <c r="AJ2067" i="16"/>
  <c r="AI2067" i="16"/>
  <c r="AF2067" i="16"/>
  <c r="AN2066" i="16"/>
  <c r="AM2066" i="16"/>
  <c r="AL2066" i="16"/>
  <c r="AK2066" i="16"/>
  <c r="AJ2066" i="16"/>
  <c r="AI2066" i="16"/>
  <c r="AF2066" i="16"/>
  <c r="AN2065" i="16"/>
  <c r="AM2065" i="16"/>
  <c r="AL2065" i="16"/>
  <c r="AK2065" i="16"/>
  <c r="AJ2065" i="16"/>
  <c r="AI2065" i="16"/>
  <c r="AF2065" i="16"/>
  <c r="AN2064" i="16"/>
  <c r="AM2064" i="16"/>
  <c r="AL2064" i="16"/>
  <c r="AK2064" i="16"/>
  <c r="AJ2064" i="16"/>
  <c r="AI2064" i="16"/>
  <c r="AF2064" i="16"/>
  <c r="AN2063" i="16"/>
  <c r="AM2063" i="16"/>
  <c r="AL2063" i="16"/>
  <c r="AK2063" i="16"/>
  <c r="AJ2063" i="16"/>
  <c r="AI2063" i="16"/>
  <c r="AF2063" i="16"/>
  <c r="AN2062" i="16"/>
  <c r="AM2062" i="16"/>
  <c r="AL2062" i="16"/>
  <c r="AK2062" i="16"/>
  <c r="AJ2062" i="16"/>
  <c r="AI2062" i="16"/>
  <c r="AF2062" i="16"/>
  <c r="AN2061" i="16"/>
  <c r="AM2061" i="16"/>
  <c r="AL2061" i="16"/>
  <c r="AK2061" i="16"/>
  <c r="AJ2061" i="16"/>
  <c r="AI2061" i="16"/>
  <c r="AF2061" i="16"/>
  <c r="AN2060" i="16"/>
  <c r="AM2060" i="16"/>
  <c r="AL2060" i="16"/>
  <c r="AK2060" i="16"/>
  <c r="AJ2060" i="16"/>
  <c r="AI2060" i="16"/>
  <c r="AF2060" i="16"/>
  <c r="AN2059" i="16"/>
  <c r="AM2059" i="16"/>
  <c r="AL2059" i="16"/>
  <c r="AK2059" i="16"/>
  <c r="AJ2059" i="16"/>
  <c r="AI2059" i="16"/>
  <c r="AF2059" i="16"/>
  <c r="AN2058" i="16"/>
  <c r="AM2058" i="16"/>
  <c r="AL2058" i="16"/>
  <c r="AK2058" i="16"/>
  <c r="AJ2058" i="16"/>
  <c r="AI2058" i="16"/>
  <c r="AF2058" i="16"/>
  <c r="AN2057" i="16"/>
  <c r="AM2057" i="16"/>
  <c r="AL2057" i="16"/>
  <c r="AK2057" i="16"/>
  <c r="AJ2057" i="16"/>
  <c r="AI2057" i="16"/>
  <c r="AF2057" i="16"/>
  <c r="AN2056" i="16"/>
  <c r="AM2056" i="16"/>
  <c r="AL2056" i="16"/>
  <c r="AK2056" i="16"/>
  <c r="AJ2056" i="16"/>
  <c r="AI2056" i="16"/>
  <c r="AF2056" i="16"/>
  <c r="AN2055" i="16"/>
  <c r="AM2055" i="16"/>
  <c r="AL2055" i="16"/>
  <c r="AK2055" i="16"/>
  <c r="AJ2055" i="16"/>
  <c r="AI2055" i="16"/>
  <c r="AF2055" i="16"/>
  <c r="AN2054" i="16"/>
  <c r="AM2054" i="16"/>
  <c r="AL2054" i="16"/>
  <c r="AK2054" i="16"/>
  <c r="AJ2054" i="16"/>
  <c r="AI2054" i="16"/>
  <c r="AF2054" i="16"/>
  <c r="AN2053" i="16"/>
  <c r="AM2053" i="16"/>
  <c r="AL2053" i="16"/>
  <c r="AK2053" i="16"/>
  <c r="AJ2053" i="16"/>
  <c r="AI2053" i="16"/>
  <c r="AF2053" i="16"/>
  <c r="AN2052" i="16"/>
  <c r="AM2052" i="16"/>
  <c r="AL2052" i="16"/>
  <c r="AK2052" i="16"/>
  <c r="AJ2052" i="16"/>
  <c r="AI2052" i="16"/>
  <c r="AF2052" i="16"/>
  <c r="AN2051" i="16"/>
  <c r="AM2051" i="16"/>
  <c r="AL2051" i="16"/>
  <c r="AK2051" i="16"/>
  <c r="AJ2051" i="16"/>
  <c r="AI2051" i="16"/>
  <c r="AF2051" i="16"/>
  <c r="AN2050" i="16"/>
  <c r="AM2050" i="16"/>
  <c r="AL2050" i="16"/>
  <c r="AK2050" i="16"/>
  <c r="AJ2050" i="16"/>
  <c r="AI2050" i="16"/>
  <c r="AF2050" i="16"/>
  <c r="AN2049" i="16"/>
  <c r="AM2049" i="16"/>
  <c r="AL2049" i="16"/>
  <c r="AK2049" i="16"/>
  <c r="AJ2049" i="16"/>
  <c r="AI2049" i="16"/>
  <c r="AF2049" i="16"/>
  <c r="AN2048" i="16"/>
  <c r="AM2048" i="16"/>
  <c r="AL2048" i="16"/>
  <c r="AK2048" i="16"/>
  <c r="AJ2048" i="16"/>
  <c r="AI2048" i="16"/>
  <c r="AF2048" i="16"/>
  <c r="AN2047" i="16"/>
  <c r="AM2047" i="16"/>
  <c r="AL2047" i="16"/>
  <c r="AK2047" i="16"/>
  <c r="AJ2047" i="16"/>
  <c r="AI2047" i="16"/>
  <c r="AF2047" i="16"/>
  <c r="AN2046" i="16"/>
  <c r="AM2046" i="16"/>
  <c r="AL2046" i="16"/>
  <c r="AK2046" i="16"/>
  <c r="AJ2046" i="16"/>
  <c r="AI2046" i="16"/>
  <c r="AF2046" i="16"/>
  <c r="AN2045" i="16"/>
  <c r="AM2045" i="16"/>
  <c r="AL2045" i="16"/>
  <c r="AK2045" i="16"/>
  <c r="AJ2045" i="16"/>
  <c r="AI2045" i="16"/>
  <c r="AF2045" i="16"/>
  <c r="AN2044" i="16"/>
  <c r="AM2044" i="16"/>
  <c r="AL2044" i="16"/>
  <c r="AK2044" i="16"/>
  <c r="AJ2044" i="16"/>
  <c r="AI2044" i="16"/>
  <c r="AF2044" i="16"/>
  <c r="AN2043" i="16"/>
  <c r="AM2043" i="16"/>
  <c r="AL2043" i="16"/>
  <c r="AK2043" i="16"/>
  <c r="AJ2043" i="16"/>
  <c r="AI2043" i="16"/>
  <c r="AF2043" i="16"/>
  <c r="AN2042" i="16"/>
  <c r="AM2042" i="16"/>
  <c r="AL2042" i="16"/>
  <c r="AK2042" i="16"/>
  <c r="AJ2042" i="16"/>
  <c r="AI2042" i="16"/>
  <c r="AF2042" i="16"/>
  <c r="AN2041" i="16"/>
  <c r="AM2041" i="16"/>
  <c r="AL2041" i="16"/>
  <c r="AK2041" i="16"/>
  <c r="AJ2041" i="16"/>
  <c r="AI2041" i="16"/>
  <c r="AF2041" i="16"/>
  <c r="AN2040" i="16"/>
  <c r="AM2040" i="16"/>
  <c r="AL2040" i="16"/>
  <c r="AK2040" i="16"/>
  <c r="AJ2040" i="16"/>
  <c r="AI2040" i="16"/>
  <c r="AF2040" i="16"/>
  <c r="AN2039" i="16"/>
  <c r="AM2039" i="16"/>
  <c r="AL2039" i="16"/>
  <c r="AK2039" i="16"/>
  <c r="AJ2039" i="16"/>
  <c r="AI2039" i="16"/>
  <c r="AF2039" i="16"/>
  <c r="AN2038" i="16"/>
  <c r="AM2038" i="16"/>
  <c r="AL2038" i="16"/>
  <c r="AK2038" i="16"/>
  <c r="AJ2038" i="16"/>
  <c r="AI2038" i="16"/>
  <c r="AF2038" i="16"/>
  <c r="AN2037" i="16"/>
  <c r="AM2037" i="16"/>
  <c r="AL2037" i="16"/>
  <c r="AK2037" i="16"/>
  <c r="AJ2037" i="16"/>
  <c r="AI2037" i="16"/>
  <c r="AF2037" i="16"/>
  <c r="AN2036" i="16"/>
  <c r="AM2036" i="16"/>
  <c r="AL2036" i="16"/>
  <c r="AK2036" i="16"/>
  <c r="AJ2036" i="16"/>
  <c r="AI2036" i="16"/>
  <c r="AF2036" i="16"/>
  <c r="AN2035" i="16"/>
  <c r="AM2035" i="16"/>
  <c r="AL2035" i="16"/>
  <c r="AK2035" i="16"/>
  <c r="AJ2035" i="16"/>
  <c r="AI2035" i="16"/>
  <c r="AF2035" i="16"/>
  <c r="AN2034" i="16"/>
  <c r="AM2034" i="16"/>
  <c r="AL2034" i="16"/>
  <c r="AK2034" i="16"/>
  <c r="AJ2034" i="16"/>
  <c r="AI2034" i="16"/>
  <c r="AF2034" i="16"/>
  <c r="AN2033" i="16"/>
  <c r="AM2033" i="16"/>
  <c r="AL2033" i="16"/>
  <c r="AK2033" i="16"/>
  <c r="AJ2033" i="16"/>
  <c r="AI2033" i="16"/>
  <c r="AF2033" i="16"/>
  <c r="AN2032" i="16"/>
  <c r="AM2032" i="16"/>
  <c r="AL2032" i="16"/>
  <c r="AK2032" i="16"/>
  <c r="AJ2032" i="16"/>
  <c r="AI2032" i="16"/>
  <c r="AF2032" i="16"/>
  <c r="AN2031" i="16"/>
  <c r="AM2031" i="16"/>
  <c r="AL2031" i="16"/>
  <c r="AK2031" i="16"/>
  <c r="AJ2031" i="16"/>
  <c r="AI2031" i="16"/>
  <c r="AF2031" i="16"/>
  <c r="AN2030" i="16"/>
  <c r="AM2030" i="16"/>
  <c r="AL2030" i="16"/>
  <c r="AK2030" i="16"/>
  <c r="AJ2030" i="16"/>
  <c r="AI2030" i="16"/>
  <c r="AF2030" i="16"/>
  <c r="AN2029" i="16"/>
  <c r="AM2029" i="16"/>
  <c r="AL2029" i="16"/>
  <c r="AK2029" i="16"/>
  <c r="AJ2029" i="16"/>
  <c r="AI2029" i="16"/>
  <c r="AF2029" i="16"/>
  <c r="AN2028" i="16"/>
  <c r="AM2028" i="16"/>
  <c r="AL2028" i="16"/>
  <c r="AK2028" i="16"/>
  <c r="AJ2028" i="16"/>
  <c r="AI2028" i="16"/>
  <c r="AF2028" i="16"/>
  <c r="AN2027" i="16"/>
  <c r="AM2027" i="16"/>
  <c r="AL2027" i="16"/>
  <c r="AK2027" i="16"/>
  <c r="AJ2027" i="16"/>
  <c r="AI2027" i="16"/>
  <c r="AF2027" i="16"/>
  <c r="AN2026" i="16"/>
  <c r="AM2026" i="16"/>
  <c r="AL2026" i="16"/>
  <c r="AK2026" i="16"/>
  <c r="AJ2026" i="16"/>
  <c r="AI2026" i="16"/>
  <c r="AF2026" i="16"/>
  <c r="AN2025" i="16"/>
  <c r="AM2025" i="16"/>
  <c r="AL2025" i="16"/>
  <c r="AK2025" i="16"/>
  <c r="AJ2025" i="16"/>
  <c r="AI2025" i="16"/>
  <c r="AF2025" i="16"/>
  <c r="AN2024" i="16"/>
  <c r="AM2024" i="16"/>
  <c r="AL2024" i="16"/>
  <c r="AK2024" i="16"/>
  <c r="AJ2024" i="16"/>
  <c r="AI2024" i="16"/>
  <c r="AF2024" i="16"/>
  <c r="AN2023" i="16"/>
  <c r="AM2023" i="16"/>
  <c r="AL2023" i="16"/>
  <c r="AK2023" i="16"/>
  <c r="AJ2023" i="16"/>
  <c r="AI2023" i="16"/>
  <c r="AF2023" i="16"/>
  <c r="AN2022" i="16"/>
  <c r="AM2022" i="16"/>
  <c r="AL2022" i="16"/>
  <c r="AK2022" i="16"/>
  <c r="AJ2022" i="16"/>
  <c r="AI2022" i="16"/>
  <c r="AF2022" i="16"/>
  <c r="AN2021" i="16"/>
  <c r="AM2021" i="16"/>
  <c r="AL2021" i="16"/>
  <c r="AK2021" i="16"/>
  <c r="AJ2021" i="16"/>
  <c r="AI2021" i="16"/>
  <c r="AF2021" i="16"/>
  <c r="AN2020" i="16"/>
  <c r="AM2020" i="16"/>
  <c r="AL2020" i="16"/>
  <c r="AK2020" i="16"/>
  <c r="AJ2020" i="16"/>
  <c r="AI2020" i="16"/>
  <c r="AF2020" i="16"/>
  <c r="AN2019" i="16"/>
  <c r="AM2019" i="16"/>
  <c r="AL2019" i="16"/>
  <c r="AK2019" i="16"/>
  <c r="AJ2019" i="16"/>
  <c r="AI2019" i="16"/>
  <c r="AF2019" i="16"/>
  <c r="AN2018" i="16"/>
  <c r="AM2018" i="16"/>
  <c r="AL2018" i="16"/>
  <c r="AK2018" i="16"/>
  <c r="AJ2018" i="16"/>
  <c r="AI2018" i="16"/>
  <c r="AF2018" i="16"/>
  <c r="AN2017" i="16"/>
  <c r="AM2017" i="16"/>
  <c r="AL2017" i="16"/>
  <c r="AK2017" i="16"/>
  <c r="AJ2017" i="16"/>
  <c r="AI2017" i="16"/>
  <c r="AF2017" i="16"/>
  <c r="AN2016" i="16"/>
  <c r="AM2016" i="16"/>
  <c r="AL2016" i="16"/>
  <c r="AK2016" i="16"/>
  <c r="AJ2016" i="16"/>
  <c r="AI2016" i="16"/>
  <c r="AF2016" i="16"/>
  <c r="AN2015" i="16"/>
  <c r="AM2015" i="16"/>
  <c r="AL2015" i="16"/>
  <c r="AK2015" i="16"/>
  <c r="AJ2015" i="16"/>
  <c r="AI2015" i="16"/>
  <c r="AF2015" i="16"/>
  <c r="AN2014" i="16"/>
  <c r="AM2014" i="16"/>
  <c r="AL2014" i="16"/>
  <c r="AK2014" i="16"/>
  <c r="AJ2014" i="16"/>
  <c r="AI2014" i="16"/>
  <c r="AF2014" i="16"/>
  <c r="AN2013" i="16"/>
  <c r="AM2013" i="16"/>
  <c r="AL2013" i="16"/>
  <c r="AK2013" i="16"/>
  <c r="AJ2013" i="16"/>
  <c r="AI2013" i="16"/>
  <c r="AF2013" i="16"/>
  <c r="AN2012" i="16"/>
  <c r="AM2012" i="16"/>
  <c r="AL2012" i="16"/>
  <c r="AK2012" i="16"/>
  <c r="AJ2012" i="16"/>
  <c r="AI2012" i="16"/>
  <c r="AF2012" i="16"/>
  <c r="AN2011" i="16"/>
  <c r="AM2011" i="16"/>
  <c r="AL2011" i="16"/>
  <c r="AK2011" i="16"/>
  <c r="AJ2011" i="16"/>
  <c r="AI2011" i="16"/>
  <c r="AF2011" i="16"/>
  <c r="AN2010" i="16"/>
  <c r="AM2010" i="16"/>
  <c r="AL2010" i="16"/>
  <c r="AK2010" i="16"/>
  <c r="AJ2010" i="16"/>
  <c r="AI2010" i="16"/>
  <c r="AF2010" i="16"/>
  <c r="AN2009" i="16"/>
  <c r="AM2009" i="16"/>
  <c r="AL2009" i="16"/>
  <c r="AK2009" i="16"/>
  <c r="AJ2009" i="16"/>
  <c r="AI2009" i="16"/>
  <c r="AF2009" i="16"/>
  <c r="AN2008" i="16"/>
  <c r="AM2008" i="16"/>
  <c r="AL2008" i="16"/>
  <c r="AK2008" i="16"/>
  <c r="AJ2008" i="16"/>
  <c r="AI2008" i="16"/>
  <c r="AF2008" i="16"/>
  <c r="AN2007" i="16"/>
  <c r="AM2007" i="16"/>
  <c r="AL2007" i="16"/>
  <c r="AK2007" i="16"/>
  <c r="AJ2007" i="16"/>
  <c r="AI2007" i="16"/>
  <c r="AF2007" i="16"/>
  <c r="AN2006" i="16"/>
  <c r="AM2006" i="16"/>
  <c r="AL2006" i="16"/>
  <c r="AK2006" i="16"/>
  <c r="AJ2006" i="16"/>
  <c r="AI2006" i="16"/>
  <c r="AF2006" i="16"/>
  <c r="AN2005" i="16"/>
  <c r="AM2005" i="16"/>
  <c r="AL2005" i="16"/>
  <c r="AK2005" i="16"/>
  <c r="AJ2005" i="16"/>
  <c r="AI2005" i="16"/>
  <c r="AF2005" i="16"/>
  <c r="AN2004" i="16"/>
  <c r="AM2004" i="16"/>
  <c r="AL2004" i="16"/>
  <c r="AK2004" i="16"/>
  <c r="AJ2004" i="16"/>
  <c r="AI2004" i="16"/>
  <c r="AF2004" i="16"/>
  <c r="AN2003" i="16"/>
  <c r="AM2003" i="16"/>
  <c r="AL2003" i="16"/>
  <c r="AK2003" i="16"/>
  <c r="AJ2003" i="16"/>
  <c r="AI2003" i="16"/>
  <c r="AF2003" i="16"/>
  <c r="AN2002" i="16"/>
  <c r="AM2002" i="16"/>
  <c r="AL2002" i="16"/>
  <c r="AK2002" i="16"/>
  <c r="AJ2002" i="16"/>
  <c r="AI2002" i="16"/>
  <c r="AF2002" i="16"/>
  <c r="AN2001" i="16"/>
  <c r="AM2001" i="16"/>
  <c r="AL2001" i="16"/>
  <c r="AK2001" i="16"/>
  <c r="AJ2001" i="16"/>
  <c r="AI2001" i="16"/>
  <c r="AF2001" i="16"/>
  <c r="AN2000" i="16"/>
  <c r="AM2000" i="16"/>
  <c r="AL2000" i="16"/>
  <c r="AK2000" i="16"/>
  <c r="AJ2000" i="16"/>
  <c r="AI2000" i="16"/>
  <c r="AF2000" i="16"/>
  <c r="AN1999" i="16"/>
  <c r="AM1999" i="16"/>
  <c r="AL1999" i="16"/>
  <c r="AK1999" i="16"/>
  <c r="AJ1999" i="16"/>
  <c r="AI1999" i="16"/>
  <c r="AF1999" i="16"/>
  <c r="AN1998" i="16"/>
  <c r="AM1998" i="16"/>
  <c r="AL1998" i="16"/>
  <c r="AK1998" i="16"/>
  <c r="AJ1998" i="16"/>
  <c r="AI1998" i="16"/>
  <c r="AF1998" i="16"/>
  <c r="AN1997" i="16"/>
  <c r="AM1997" i="16"/>
  <c r="AL1997" i="16"/>
  <c r="AK1997" i="16"/>
  <c r="AJ1997" i="16"/>
  <c r="AI1997" i="16"/>
  <c r="AF1997" i="16"/>
  <c r="AN1996" i="16"/>
  <c r="AM1996" i="16"/>
  <c r="AL1996" i="16"/>
  <c r="AK1996" i="16"/>
  <c r="AJ1996" i="16"/>
  <c r="AI1996" i="16"/>
  <c r="AF1996" i="16"/>
  <c r="AN1995" i="16"/>
  <c r="AM1995" i="16"/>
  <c r="AL1995" i="16"/>
  <c r="AK1995" i="16"/>
  <c r="AJ1995" i="16"/>
  <c r="AI1995" i="16"/>
  <c r="AF1995" i="16"/>
  <c r="AN1994" i="16"/>
  <c r="AM1994" i="16"/>
  <c r="AL1994" i="16"/>
  <c r="AK1994" i="16"/>
  <c r="AJ1994" i="16"/>
  <c r="AI1994" i="16"/>
  <c r="AF1994" i="16"/>
  <c r="AN1993" i="16"/>
  <c r="AM1993" i="16"/>
  <c r="AL1993" i="16"/>
  <c r="AK1993" i="16"/>
  <c r="AJ1993" i="16"/>
  <c r="AI1993" i="16"/>
  <c r="AF1993" i="16"/>
  <c r="AN1992" i="16"/>
  <c r="AM1992" i="16"/>
  <c r="AL1992" i="16"/>
  <c r="AK1992" i="16"/>
  <c r="AJ1992" i="16"/>
  <c r="AI1992" i="16"/>
  <c r="AF1992" i="16"/>
  <c r="AN1991" i="16"/>
  <c r="AM1991" i="16"/>
  <c r="AL1991" i="16"/>
  <c r="AK1991" i="16"/>
  <c r="AJ1991" i="16"/>
  <c r="AI1991" i="16"/>
  <c r="AF1991" i="16"/>
  <c r="AN1990" i="16"/>
  <c r="AM1990" i="16"/>
  <c r="AL1990" i="16"/>
  <c r="AK1990" i="16"/>
  <c r="AJ1990" i="16"/>
  <c r="AI1990" i="16"/>
  <c r="AF1990" i="16"/>
  <c r="AN1989" i="16"/>
  <c r="AM1989" i="16"/>
  <c r="AL1989" i="16"/>
  <c r="AK1989" i="16"/>
  <c r="AJ1989" i="16"/>
  <c r="AI1989" i="16"/>
  <c r="AF1989" i="16"/>
  <c r="AN1988" i="16"/>
  <c r="AM1988" i="16"/>
  <c r="AL1988" i="16"/>
  <c r="AK1988" i="16"/>
  <c r="AJ1988" i="16"/>
  <c r="AI1988" i="16"/>
  <c r="AF1988" i="16"/>
  <c r="AN1987" i="16"/>
  <c r="AM1987" i="16"/>
  <c r="AL1987" i="16"/>
  <c r="AK1987" i="16"/>
  <c r="AJ1987" i="16"/>
  <c r="AI1987" i="16"/>
  <c r="AF1987" i="16"/>
  <c r="AN1986" i="16"/>
  <c r="AM1986" i="16"/>
  <c r="AL1986" i="16"/>
  <c r="AK1986" i="16"/>
  <c r="AJ1986" i="16"/>
  <c r="AI1986" i="16"/>
  <c r="AF1986" i="16"/>
  <c r="AN1985" i="16"/>
  <c r="AM1985" i="16"/>
  <c r="AL1985" i="16"/>
  <c r="AK1985" i="16"/>
  <c r="AJ1985" i="16"/>
  <c r="AI1985" i="16"/>
  <c r="AF1985" i="16"/>
  <c r="AN1984" i="16"/>
  <c r="AM1984" i="16"/>
  <c r="AL1984" i="16"/>
  <c r="AK1984" i="16"/>
  <c r="AJ1984" i="16"/>
  <c r="AI1984" i="16"/>
  <c r="AF1984" i="16"/>
  <c r="AN1983" i="16"/>
  <c r="AM1983" i="16"/>
  <c r="AL1983" i="16"/>
  <c r="AK1983" i="16"/>
  <c r="AJ1983" i="16"/>
  <c r="AI1983" i="16"/>
  <c r="AF1983" i="16"/>
  <c r="AN1982" i="16"/>
  <c r="AM1982" i="16"/>
  <c r="AL1982" i="16"/>
  <c r="AK1982" i="16"/>
  <c r="AJ1982" i="16"/>
  <c r="AI1982" i="16"/>
  <c r="AF1982" i="16"/>
  <c r="AN1981" i="16"/>
  <c r="AM1981" i="16"/>
  <c r="AL1981" i="16"/>
  <c r="AK1981" i="16"/>
  <c r="AJ1981" i="16"/>
  <c r="AI1981" i="16"/>
  <c r="AF1981" i="16"/>
  <c r="AN1980" i="16"/>
  <c r="AM1980" i="16"/>
  <c r="AL1980" i="16"/>
  <c r="AK1980" i="16"/>
  <c r="AJ1980" i="16"/>
  <c r="AI1980" i="16"/>
  <c r="AF1980" i="16"/>
  <c r="AN1979" i="16"/>
  <c r="AM1979" i="16"/>
  <c r="AL1979" i="16"/>
  <c r="AK1979" i="16"/>
  <c r="AJ1979" i="16"/>
  <c r="AI1979" i="16"/>
  <c r="AF1979" i="16"/>
  <c r="AN1978" i="16"/>
  <c r="AM1978" i="16"/>
  <c r="AL1978" i="16"/>
  <c r="AK1978" i="16"/>
  <c r="AJ1978" i="16"/>
  <c r="AI1978" i="16"/>
  <c r="AF1978" i="16"/>
  <c r="AN1977" i="16"/>
  <c r="AM1977" i="16"/>
  <c r="AL1977" i="16"/>
  <c r="AK1977" i="16"/>
  <c r="AJ1977" i="16"/>
  <c r="AI1977" i="16"/>
  <c r="AF1977" i="16"/>
  <c r="AN1976" i="16"/>
  <c r="AM1976" i="16"/>
  <c r="AL1976" i="16"/>
  <c r="AK1976" i="16"/>
  <c r="AJ1976" i="16"/>
  <c r="AI1976" i="16"/>
  <c r="AF1976" i="16"/>
  <c r="AN1975" i="16"/>
  <c r="AM1975" i="16"/>
  <c r="AL1975" i="16"/>
  <c r="AK1975" i="16"/>
  <c r="AJ1975" i="16"/>
  <c r="AI1975" i="16"/>
  <c r="AF1975" i="16"/>
  <c r="AN1974" i="16"/>
  <c r="AM1974" i="16"/>
  <c r="AL1974" i="16"/>
  <c r="AK1974" i="16"/>
  <c r="AJ1974" i="16"/>
  <c r="AI1974" i="16"/>
  <c r="AF1974" i="16"/>
  <c r="AN1973" i="16"/>
  <c r="AM1973" i="16"/>
  <c r="AL1973" i="16"/>
  <c r="AK1973" i="16"/>
  <c r="AJ1973" i="16"/>
  <c r="AI1973" i="16"/>
  <c r="AF1973" i="16"/>
  <c r="AN1972" i="16"/>
  <c r="AM1972" i="16"/>
  <c r="AL1972" i="16"/>
  <c r="AK1972" i="16"/>
  <c r="AJ1972" i="16"/>
  <c r="AI1972" i="16"/>
  <c r="AF1972" i="16"/>
  <c r="AN1971" i="16"/>
  <c r="AM1971" i="16"/>
  <c r="AL1971" i="16"/>
  <c r="AK1971" i="16"/>
  <c r="AJ1971" i="16"/>
  <c r="AI1971" i="16"/>
  <c r="AF1971" i="16"/>
  <c r="AN1970" i="16"/>
  <c r="AM1970" i="16"/>
  <c r="AL1970" i="16"/>
  <c r="AK1970" i="16"/>
  <c r="AJ1970" i="16"/>
  <c r="AI1970" i="16"/>
  <c r="AF1970" i="16"/>
  <c r="AN1969" i="16"/>
  <c r="AM1969" i="16"/>
  <c r="AL1969" i="16"/>
  <c r="AK1969" i="16"/>
  <c r="AJ1969" i="16"/>
  <c r="AI1969" i="16"/>
  <c r="AF1969" i="16"/>
  <c r="AN1968" i="16"/>
  <c r="AM1968" i="16"/>
  <c r="AL1968" i="16"/>
  <c r="AK1968" i="16"/>
  <c r="AJ1968" i="16"/>
  <c r="AI1968" i="16"/>
  <c r="AF1968" i="16"/>
  <c r="AN1967" i="16"/>
  <c r="AM1967" i="16"/>
  <c r="AL1967" i="16"/>
  <c r="AK1967" i="16"/>
  <c r="AJ1967" i="16"/>
  <c r="AI1967" i="16"/>
  <c r="AF1967" i="16"/>
  <c r="AN1966" i="16"/>
  <c r="AM1966" i="16"/>
  <c r="AL1966" i="16"/>
  <c r="AK1966" i="16"/>
  <c r="AJ1966" i="16"/>
  <c r="AI1966" i="16"/>
  <c r="AF1966" i="16"/>
  <c r="AN1965" i="16"/>
  <c r="AM1965" i="16"/>
  <c r="AL1965" i="16"/>
  <c r="AK1965" i="16"/>
  <c r="AJ1965" i="16"/>
  <c r="AI1965" i="16"/>
  <c r="AF1965" i="16"/>
  <c r="AN1964" i="16"/>
  <c r="AM1964" i="16"/>
  <c r="AL1964" i="16"/>
  <c r="AK1964" i="16"/>
  <c r="AJ1964" i="16"/>
  <c r="AI1964" i="16"/>
  <c r="AF1964" i="16"/>
  <c r="AN1963" i="16"/>
  <c r="AM1963" i="16"/>
  <c r="AL1963" i="16"/>
  <c r="AK1963" i="16"/>
  <c r="AJ1963" i="16"/>
  <c r="AI1963" i="16"/>
  <c r="AF1963" i="16"/>
  <c r="AN1962" i="16"/>
  <c r="AM1962" i="16"/>
  <c r="AL1962" i="16"/>
  <c r="AK1962" i="16"/>
  <c r="AJ1962" i="16"/>
  <c r="AI1962" i="16"/>
  <c r="AF1962" i="16"/>
  <c r="AN1961" i="16"/>
  <c r="AM1961" i="16"/>
  <c r="AL1961" i="16"/>
  <c r="AK1961" i="16"/>
  <c r="AJ1961" i="16"/>
  <c r="AI1961" i="16"/>
  <c r="AF1961" i="16"/>
  <c r="AN1960" i="16"/>
  <c r="AM1960" i="16"/>
  <c r="AL1960" i="16"/>
  <c r="AK1960" i="16"/>
  <c r="AJ1960" i="16"/>
  <c r="AI1960" i="16"/>
  <c r="AF1960" i="16"/>
  <c r="AN1959" i="16"/>
  <c r="AM1959" i="16"/>
  <c r="AL1959" i="16"/>
  <c r="AK1959" i="16"/>
  <c r="AJ1959" i="16"/>
  <c r="AI1959" i="16"/>
  <c r="AF1959" i="16"/>
  <c r="AN1958" i="16"/>
  <c r="AM1958" i="16"/>
  <c r="AL1958" i="16"/>
  <c r="AK1958" i="16"/>
  <c r="AJ1958" i="16"/>
  <c r="AI1958" i="16"/>
  <c r="AF1958" i="16"/>
  <c r="AN1957" i="16"/>
  <c r="AM1957" i="16"/>
  <c r="AL1957" i="16"/>
  <c r="AK1957" i="16"/>
  <c r="AJ1957" i="16"/>
  <c r="AI1957" i="16"/>
  <c r="AF1957" i="16"/>
  <c r="AN1956" i="16"/>
  <c r="AM1956" i="16"/>
  <c r="AL1956" i="16"/>
  <c r="AK1956" i="16"/>
  <c r="AJ1956" i="16"/>
  <c r="AI1956" i="16"/>
  <c r="AF1956" i="16"/>
  <c r="AN1955" i="16"/>
  <c r="AM1955" i="16"/>
  <c r="AL1955" i="16"/>
  <c r="AK1955" i="16"/>
  <c r="AJ1955" i="16"/>
  <c r="AI1955" i="16"/>
  <c r="AF1955" i="16"/>
  <c r="AN1954" i="16"/>
  <c r="AM1954" i="16"/>
  <c r="AL1954" i="16"/>
  <c r="AK1954" i="16"/>
  <c r="AJ1954" i="16"/>
  <c r="AI1954" i="16"/>
  <c r="AF1954" i="16"/>
  <c r="AN1953" i="16"/>
  <c r="AM1953" i="16"/>
  <c r="AL1953" i="16"/>
  <c r="AK1953" i="16"/>
  <c r="AJ1953" i="16"/>
  <c r="AI1953" i="16"/>
  <c r="AF1953" i="16"/>
  <c r="AN1952" i="16"/>
  <c r="AM1952" i="16"/>
  <c r="AL1952" i="16"/>
  <c r="AK1952" i="16"/>
  <c r="AJ1952" i="16"/>
  <c r="AI1952" i="16"/>
  <c r="AF1952" i="16"/>
  <c r="AN1951" i="16"/>
  <c r="AM1951" i="16"/>
  <c r="AL1951" i="16"/>
  <c r="AK1951" i="16"/>
  <c r="AJ1951" i="16"/>
  <c r="AI1951" i="16"/>
  <c r="AF1951" i="16"/>
  <c r="AN1950" i="16"/>
  <c r="AM1950" i="16"/>
  <c r="AL1950" i="16"/>
  <c r="AK1950" i="16"/>
  <c r="AJ1950" i="16"/>
  <c r="AI1950" i="16"/>
  <c r="AF1950" i="16"/>
  <c r="AN1949" i="16"/>
  <c r="AM1949" i="16"/>
  <c r="AL1949" i="16"/>
  <c r="AK1949" i="16"/>
  <c r="AJ1949" i="16"/>
  <c r="AI1949" i="16"/>
  <c r="AF1949" i="16"/>
  <c r="AN1948" i="16"/>
  <c r="AM1948" i="16"/>
  <c r="AL1948" i="16"/>
  <c r="AK1948" i="16"/>
  <c r="AJ1948" i="16"/>
  <c r="AI1948" i="16"/>
  <c r="AF1948" i="16"/>
  <c r="AN1947" i="16"/>
  <c r="AM1947" i="16"/>
  <c r="AL1947" i="16"/>
  <c r="AK1947" i="16"/>
  <c r="AJ1947" i="16"/>
  <c r="AI1947" i="16"/>
  <c r="AF1947" i="16"/>
  <c r="AN1946" i="16"/>
  <c r="AM1946" i="16"/>
  <c r="AL1946" i="16"/>
  <c r="AK1946" i="16"/>
  <c r="AJ1946" i="16"/>
  <c r="AI1946" i="16"/>
  <c r="AF1946" i="16"/>
  <c r="AN1945" i="16"/>
  <c r="AM1945" i="16"/>
  <c r="AL1945" i="16"/>
  <c r="AK1945" i="16"/>
  <c r="AJ1945" i="16"/>
  <c r="AI1945" i="16"/>
  <c r="AF1945" i="16"/>
  <c r="AN1944" i="16"/>
  <c r="AM1944" i="16"/>
  <c r="AL1944" i="16"/>
  <c r="AK1944" i="16"/>
  <c r="AJ1944" i="16"/>
  <c r="AI1944" i="16"/>
  <c r="AF1944" i="16"/>
  <c r="AN1943" i="16"/>
  <c r="AM1943" i="16"/>
  <c r="AL1943" i="16"/>
  <c r="AK1943" i="16"/>
  <c r="AJ1943" i="16"/>
  <c r="AI1943" i="16"/>
  <c r="AF1943" i="16"/>
  <c r="AN1942" i="16"/>
  <c r="AM1942" i="16"/>
  <c r="AL1942" i="16"/>
  <c r="AK1942" i="16"/>
  <c r="AJ1942" i="16"/>
  <c r="AI1942" i="16"/>
  <c r="AF1942" i="16"/>
  <c r="AN1941" i="16"/>
  <c r="AM1941" i="16"/>
  <c r="AL1941" i="16"/>
  <c r="AK1941" i="16"/>
  <c r="AJ1941" i="16"/>
  <c r="AI1941" i="16"/>
  <c r="AF1941" i="16"/>
  <c r="AN1940" i="16"/>
  <c r="AM1940" i="16"/>
  <c r="AL1940" i="16"/>
  <c r="AK1940" i="16"/>
  <c r="AJ1940" i="16"/>
  <c r="AI1940" i="16"/>
  <c r="AF1940" i="16"/>
  <c r="AN1939" i="16"/>
  <c r="AM1939" i="16"/>
  <c r="AL1939" i="16"/>
  <c r="AK1939" i="16"/>
  <c r="AJ1939" i="16"/>
  <c r="AI1939" i="16"/>
  <c r="AF1939" i="16"/>
  <c r="AN1938" i="16"/>
  <c r="AM1938" i="16"/>
  <c r="AL1938" i="16"/>
  <c r="AK1938" i="16"/>
  <c r="AJ1938" i="16"/>
  <c r="AI1938" i="16"/>
  <c r="AF1938" i="16"/>
  <c r="AN1937" i="16"/>
  <c r="AM1937" i="16"/>
  <c r="AL1937" i="16"/>
  <c r="AK1937" i="16"/>
  <c r="AJ1937" i="16"/>
  <c r="AI1937" i="16"/>
  <c r="AF1937" i="16"/>
  <c r="AN1936" i="16"/>
  <c r="AM1936" i="16"/>
  <c r="AL1936" i="16"/>
  <c r="AK1936" i="16"/>
  <c r="AJ1936" i="16"/>
  <c r="AI1936" i="16"/>
  <c r="AF1936" i="16"/>
  <c r="AN1935" i="16"/>
  <c r="AM1935" i="16"/>
  <c r="AL1935" i="16"/>
  <c r="AK1935" i="16"/>
  <c r="AJ1935" i="16"/>
  <c r="AI1935" i="16"/>
  <c r="AF1935" i="16"/>
  <c r="AN1934" i="16"/>
  <c r="AM1934" i="16"/>
  <c r="AL1934" i="16"/>
  <c r="AK1934" i="16"/>
  <c r="AJ1934" i="16"/>
  <c r="AI1934" i="16"/>
  <c r="AF1934" i="16"/>
  <c r="AN1933" i="16"/>
  <c r="AM1933" i="16"/>
  <c r="AL1933" i="16"/>
  <c r="AK1933" i="16"/>
  <c r="AJ1933" i="16"/>
  <c r="AI1933" i="16"/>
  <c r="AF1933" i="16"/>
  <c r="AN1932" i="16"/>
  <c r="AM1932" i="16"/>
  <c r="AL1932" i="16"/>
  <c r="AK1932" i="16"/>
  <c r="AJ1932" i="16"/>
  <c r="AI1932" i="16"/>
  <c r="AF1932" i="16"/>
  <c r="AN1931" i="16"/>
  <c r="AM1931" i="16"/>
  <c r="AL1931" i="16"/>
  <c r="AK1931" i="16"/>
  <c r="AJ1931" i="16"/>
  <c r="AI1931" i="16"/>
  <c r="AF1931" i="16"/>
  <c r="AN1930" i="16"/>
  <c r="AM1930" i="16"/>
  <c r="AL1930" i="16"/>
  <c r="AK1930" i="16"/>
  <c r="AJ1930" i="16"/>
  <c r="AI1930" i="16"/>
  <c r="AF1930" i="16"/>
  <c r="AN1929" i="16"/>
  <c r="AM1929" i="16"/>
  <c r="AL1929" i="16"/>
  <c r="AK1929" i="16"/>
  <c r="AJ1929" i="16"/>
  <c r="AI1929" i="16"/>
  <c r="AF1929" i="16"/>
  <c r="AN1928" i="16"/>
  <c r="AM1928" i="16"/>
  <c r="AL1928" i="16"/>
  <c r="AK1928" i="16"/>
  <c r="AJ1928" i="16"/>
  <c r="AI1928" i="16"/>
  <c r="AF1928" i="16"/>
  <c r="AN1927" i="16"/>
  <c r="AM1927" i="16"/>
  <c r="AL1927" i="16"/>
  <c r="AK1927" i="16"/>
  <c r="AJ1927" i="16"/>
  <c r="AI1927" i="16"/>
  <c r="AF1927" i="16"/>
  <c r="AN1926" i="16"/>
  <c r="AM1926" i="16"/>
  <c r="AL1926" i="16"/>
  <c r="AK1926" i="16"/>
  <c r="AJ1926" i="16"/>
  <c r="AI1926" i="16"/>
  <c r="AF1926" i="16"/>
  <c r="AN1925" i="16"/>
  <c r="AM1925" i="16"/>
  <c r="AL1925" i="16"/>
  <c r="AK1925" i="16"/>
  <c r="AJ1925" i="16"/>
  <c r="AI1925" i="16"/>
  <c r="AF1925" i="16"/>
  <c r="AN1924" i="16"/>
  <c r="AM1924" i="16"/>
  <c r="AL1924" i="16"/>
  <c r="AK1924" i="16"/>
  <c r="AJ1924" i="16"/>
  <c r="AI1924" i="16"/>
  <c r="AF1924" i="16"/>
  <c r="AN1923" i="16"/>
  <c r="AM1923" i="16"/>
  <c r="AL1923" i="16"/>
  <c r="AK1923" i="16"/>
  <c r="AJ1923" i="16"/>
  <c r="AI1923" i="16"/>
  <c r="AF1923" i="16"/>
  <c r="AN1922" i="16"/>
  <c r="AM1922" i="16"/>
  <c r="AL1922" i="16"/>
  <c r="AK1922" i="16"/>
  <c r="AJ1922" i="16"/>
  <c r="AI1922" i="16"/>
  <c r="AF1922" i="16"/>
  <c r="AN1921" i="16"/>
  <c r="AM1921" i="16"/>
  <c r="AL1921" i="16"/>
  <c r="AK1921" i="16"/>
  <c r="AJ1921" i="16"/>
  <c r="AI1921" i="16"/>
  <c r="AF1921" i="16"/>
  <c r="AN1920" i="16"/>
  <c r="AM1920" i="16"/>
  <c r="AL1920" i="16"/>
  <c r="AK1920" i="16"/>
  <c r="AJ1920" i="16"/>
  <c r="AI1920" i="16"/>
  <c r="AF1920" i="16"/>
  <c r="AN1919" i="16"/>
  <c r="AM1919" i="16"/>
  <c r="AL1919" i="16"/>
  <c r="AK1919" i="16"/>
  <c r="AJ1919" i="16"/>
  <c r="AI1919" i="16"/>
  <c r="AF1919" i="16"/>
  <c r="AN1918" i="16"/>
  <c r="AM1918" i="16"/>
  <c r="AL1918" i="16"/>
  <c r="AK1918" i="16"/>
  <c r="AJ1918" i="16"/>
  <c r="AI1918" i="16"/>
  <c r="AF1918" i="16"/>
  <c r="AN1917" i="16"/>
  <c r="AM1917" i="16"/>
  <c r="AL1917" i="16"/>
  <c r="AK1917" i="16"/>
  <c r="AJ1917" i="16"/>
  <c r="AI1917" i="16"/>
  <c r="AF1917" i="16"/>
  <c r="AN1916" i="16"/>
  <c r="AM1916" i="16"/>
  <c r="AL1916" i="16"/>
  <c r="AK1916" i="16"/>
  <c r="AJ1916" i="16"/>
  <c r="AI1916" i="16"/>
  <c r="AF1916" i="16"/>
  <c r="AN1915" i="16"/>
  <c r="AM1915" i="16"/>
  <c r="AL1915" i="16"/>
  <c r="AK1915" i="16"/>
  <c r="AJ1915" i="16"/>
  <c r="AI1915" i="16"/>
  <c r="AF1915" i="16"/>
  <c r="AN1914" i="16"/>
  <c r="AM1914" i="16"/>
  <c r="AL1914" i="16"/>
  <c r="AK1914" i="16"/>
  <c r="AJ1914" i="16"/>
  <c r="AI1914" i="16"/>
  <c r="AF1914" i="16"/>
  <c r="AN1913" i="16"/>
  <c r="AM1913" i="16"/>
  <c r="AL1913" i="16"/>
  <c r="AK1913" i="16"/>
  <c r="AJ1913" i="16"/>
  <c r="AI1913" i="16"/>
  <c r="AF1913" i="16"/>
  <c r="AN1912" i="16"/>
  <c r="AM1912" i="16"/>
  <c r="AL1912" i="16"/>
  <c r="AK1912" i="16"/>
  <c r="AJ1912" i="16"/>
  <c r="AI1912" i="16"/>
  <c r="AF1912" i="16"/>
  <c r="AN1911" i="16"/>
  <c r="AM1911" i="16"/>
  <c r="AL1911" i="16"/>
  <c r="AK1911" i="16"/>
  <c r="AJ1911" i="16"/>
  <c r="AI1911" i="16"/>
  <c r="AF1911" i="16"/>
  <c r="AN1910" i="16"/>
  <c r="AM1910" i="16"/>
  <c r="AL1910" i="16"/>
  <c r="AK1910" i="16"/>
  <c r="AJ1910" i="16"/>
  <c r="AI1910" i="16"/>
  <c r="AF1910" i="16"/>
  <c r="AN1909" i="16"/>
  <c r="AM1909" i="16"/>
  <c r="AL1909" i="16"/>
  <c r="AK1909" i="16"/>
  <c r="AJ1909" i="16"/>
  <c r="AI1909" i="16"/>
  <c r="AF1909" i="16"/>
  <c r="AN1908" i="16"/>
  <c r="AM1908" i="16"/>
  <c r="AL1908" i="16"/>
  <c r="AK1908" i="16"/>
  <c r="AJ1908" i="16"/>
  <c r="AI1908" i="16"/>
  <c r="AF1908" i="16"/>
  <c r="AN1907" i="16"/>
  <c r="AM1907" i="16"/>
  <c r="AL1907" i="16"/>
  <c r="AK1907" i="16"/>
  <c r="AJ1907" i="16"/>
  <c r="AI1907" i="16"/>
  <c r="AF1907" i="16"/>
  <c r="AN1906" i="16"/>
  <c r="AM1906" i="16"/>
  <c r="AL1906" i="16"/>
  <c r="AK1906" i="16"/>
  <c r="AJ1906" i="16"/>
  <c r="AI1906" i="16"/>
  <c r="AF1906" i="16"/>
  <c r="AN1905" i="16"/>
  <c r="AM1905" i="16"/>
  <c r="AL1905" i="16"/>
  <c r="AK1905" i="16"/>
  <c r="AJ1905" i="16"/>
  <c r="AI1905" i="16"/>
  <c r="AF1905" i="16"/>
  <c r="AN1904" i="16"/>
  <c r="AM1904" i="16"/>
  <c r="AL1904" i="16"/>
  <c r="AK1904" i="16"/>
  <c r="AJ1904" i="16"/>
  <c r="AI1904" i="16"/>
  <c r="AF1904" i="16"/>
  <c r="AN1903" i="16"/>
  <c r="AM1903" i="16"/>
  <c r="AL1903" i="16"/>
  <c r="AK1903" i="16"/>
  <c r="AJ1903" i="16"/>
  <c r="AI1903" i="16"/>
  <c r="AF1903" i="16"/>
  <c r="AN1902" i="16"/>
  <c r="AM1902" i="16"/>
  <c r="AL1902" i="16"/>
  <c r="AK1902" i="16"/>
  <c r="AJ1902" i="16"/>
  <c r="AI1902" i="16"/>
  <c r="AF1902" i="16"/>
  <c r="AN1901" i="16"/>
  <c r="AM1901" i="16"/>
  <c r="AL1901" i="16"/>
  <c r="AK1901" i="16"/>
  <c r="AJ1901" i="16"/>
  <c r="AI1901" i="16"/>
  <c r="AF1901" i="16"/>
  <c r="AN1900" i="16"/>
  <c r="AM1900" i="16"/>
  <c r="AL1900" i="16"/>
  <c r="AK1900" i="16"/>
  <c r="AJ1900" i="16"/>
  <c r="AI1900" i="16"/>
  <c r="AF1900" i="16"/>
  <c r="AN1899" i="16"/>
  <c r="AM1899" i="16"/>
  <c r="AL1899" i="16"/>
  <c r="AK1899" i="16"/>
  <c r="AJ1899" i="16"/>
  <c r="AI1899" i="16"/>
  <c r="AF1899" i="16"/>
  <c r="AN1898" i="16"/>
  <c r="AM1898" i="16"/>
  <c r="AL1898" i="16"/>
  <c r="AK1898" i="16"/>
  <c r="AJ1898" i="16"/>
  <c r="AI1898" i="16"/>
  <c r="AF1898" i="16"/>
  <c r="AN1897" i="16"/>
  <c r="AM1897" i="16"/>
  <c r="AL1897" i="16"/>
  <c r="AK1897" i="16"/>
  <c r="AJ1897" i="16"/>
  <c r="AI1897" i="16"/>
  <c r="AF1897" i="16"/>
  <c r="AN1896" i="16"/>
  <c r="AM1896" i="16"/>
  <c r="AL1896" i="16"/>
  <c r="AK1896" i="16"/>
  <c r="AJ1896" i="16"/>
  <c r="AI1896" i="16"/>
  <c r="AF1896" i="16"/>
  <c r="AN1895" i="16"/>
  <c r="AM1895" i="16"/>
  <c r="AL1895" i="16"/>
  <c r="AK1895" i="16"/>
  <c r="AJ1895" i="16"/>
  <c r="AI1895" i="16"/>
  <c r="AF1895" i="16"/>
  <c r="AN1894" i="16"/>
  <c r="AM1894" i="16"/>
  <c r="AL1894" i="16"/>
  <c r="AK1894" i="16"/>
  <c r="AJ1894" i="16"/>
  <c r="AI1894" i="16"/>
  <c r="AF1894" i="16"/>
  <c r="AN1893" i="16"/>
  <c r="AM1893" i="16"/>
  <c r="AL1893" i="16"/>
  <c r="AK1893" i="16"/>
  <c r="AJ1893" i="16"/>
  <c r="AI1893" i="16"/>
  <c r="AF1893" i="16"/>
  <c r="AN1892" i="16"/>
  <c r="AM1892" i="16"/>
  <c r="AL1892" i="16"/>
  <c r="AK1892" i="16"/>
  <c r="AJ1892" i="16"/>
  <c r="AI1892" i="16"/>
  <c r="AF1892" i="16"/>
  <c r="AN1891" i="16"/>
  <c r="AM1891" i="16"/>
  <c r="AL1891" i="16"/>
  <c r="AK1891" i="16"/>
  <c r="AJ1891" i="16"/>
  <c r="AI1891" i="16"/>
  <c r="AF1891" i="16"/>
  <c r="AN1890" i="16"/>
  <c r="AM1890" i="16"/>
  <c r="AL1890" i="16"/>
  <c r="AK1890" i="16"/>
  <c r="AJ1890" i="16"/>
  <c r="AI1890" i="16"/>
  <c r="AF1890" i="16"/>
  <c r="AN1889" i="16"/>
  <c r="AM1889" i="16"/>
  <c r="AL1889" i="16"/>
  <c r="AK1889" i="16"/>
  <c r="AJ1889" i="16"/>
  <c r="AI1889" i="16"/>
  <c r="AF1889" i="16"/>
  <c r="AN1888" i="16"/>
  <c r="AM1888" i="16"/>
  <c r="AL1888" i="16"/>
  <c r="AK1888" i="16"/>
  <c r="AJ1888" i="16"/>
  <c r="AI1888" i="16"/>
  <c r="AF1888" i="16"/>
  <c r="AN1887" i="16"/>
  <c r="AM1887" i="16"/>
  <c r="AL1887" i="16"/>
  <c r="AK1887" i="16"/>
  <c r="AJ1887" i="16"/>
  <c r="AI1887" i="16"/>
  <c r="AF1887" i="16"/>
  <c r="AN1886" i="16"/>
  <c r="AM1886" i="16"/>
  <c r="AL1886" i="16"/>
  <c r="AK1886" i="16"/>
  <c r="AJ1886" i="16"/>
  <c r="AI1886" i="16"/>
  <c r="AF1886" i="16"/>
  <c r="AN1885" i="16"/>
  <c r="AM1885" i="16"/>
  <c r="AL1885" i="16"/>
  <c r="AK1885" i="16"/>
  <c r="AJ1885" i="16"/>
  <c r="AI1885" i="16"/>
  <c r="AF1885" i="16"/>
  <c r="AN1884" i="16"/>
  <c r="AM1884" i="16"/>
  <c r="AL1884" i="16"/>
  <c r="AK1884" i="16"/>
  <c r="AJ1884" i="16"/>
  <c r="AI1884" i="16"/>
  <c r="AF1884" i="16"/>
  <c r="AN1883" i="16"/>
  <c r="AM1883" i="16"/>
  <c r="AL1883" i="16"/>
  <c r="AK1883" i="16"/>
  <c r="AJ1883" i="16"/>
  <c r="AI1883" i="16"/>
  <c r="AF1883" i="16"/>
  <c r="AN1882" i="16"/>
  <c r="AM1882" i="16"/>
  <c r="AL1882" i="16"/>
  <c r="AK1882" i="16"/>
  <c r="AJ1882" i="16"/>
  <c r="AI1882" i="16"/>
  <c r="AF1882" i="16"/>
  <c r="AN1881" i="16"/>
  <c r="AM1881" i="16"/>
  <c r="AL1881" i="16"/>
  <c r="AK1881" i="16"/>
  <c r="AJ1881" i="16"/>
  <c r="AI1881" i="16"/>
  <c r="AF1881" i="16"/>
  <c r="AN1880" i="16"/>
  <c r="AM1880" i="16"/>
  <c r="AL1880" i="16"/>
  <c r="AK1880" i="16"/>
  <c r="AJ1880" i="16"/>
  <c r="AI1880" i="16"/>
  <c r="AF1880" i="16"/>
  <c r="AN1879" i="16"/>
  <c r="AM1879" i="16"/>
  <c r="AL1879" i="16"/>
  <c r="AK1879" i="16"/>
  <c r="AJ1879" i="16"/>
  <c r="AI1879" i="16"/>
  <c r="AF1879" i="16"/>
  <c r="AN1878" i="16"/>
  <c r="AM1878" i="16"/>
  <c r="AL1878" i="16"/>
  <c r="AK1878" i="16"/>
  <c r="AJ1878" i="16"/>
  <c r="AI1878" i="16"/>
  <c r="AF1878" i="16"/>
  <c r="AN1877" i="16"/>
  <c r="AM1877" i="16"/>
  <c r="AL1877" i="16"/>
  <c r="AK1877" i="16"/>
  <c r="AJ1877" i="16"/>
  <c r="AI1877" i="16"/>
  <c r="AF1877" i="16"/>
  <c r="AN1876" i="16"/>
  <c r="AM1876" i="16"/>
  <c r="AL1876" i="16"/>
  <c r="AK1876" i="16"/>
  <c r="AJ1876" i="16"/>
  <c r="AI1876" i="16"/>
  <c r="AF1876" i="16"/>
  <c r="AN1875" i="16"/>
  <c r="AM1875" i="16"/>
  <c r="AL1875" i="16"/>
  <c r="AK1875" i="16"/>
  <c r="AJ1875" i="16"/>
  <c r="AI1875" i="16"/>
  <c r="AF1875" i="16"/>
  <c r="AN1874" i="16"/>
  <c r="AM1874" i="16"/>
  <c r="AL1874" i="16"/>
  <c r="AK1874" i="16"/>
  <c r="AJ1874" i="16"/>
  <c r="AI1874" i="16"/>
  <c r="AF1874" i="16"/>
  <c r="AN1873" i="16"/>
  <c r="AM1873" i="16"/>
  <c r="AL1873" i="16"/>
  <c r="AK1873" i="16"/>
  <c r="AJ1873" i="16"/>
  <c r="AI1873" i="16"/>
  <c r="AF1873" i="16"/>
  <c r="AN1872" i="16"/>
  <c r="AM1872" i="16"/>
  <c r="AL1872" i="16"/>
  <c r="AK1872" i="16"/>
  <c r="AJ1872" i="16"/>
  <c r="AI1872" i="16"/>
  <c r="AF1872" i="16"/>
  <c r="AN1871" i="16"/>
  <c r="AM1871" i="16"/>
  <c r="AL1871" i="16"/>
  <c r="AK1871" i="16"/>
  <c r="AJ1871" i="16"/>
  <c r="AI1871" i="16"/>
  <c r="AF1871" i="16"/>
  <c r="AN1870" i="16"/>
  <c r="AM1870" i="16"/>
  <c r="AL1870" i="16"/>
  <c r="AK1870" i="16"/>
  <c r="AJ1870" i="16"/>
  <c r="AI1870" i="16"/>
  <c r="AF1870" i="16"/>
  <c r="AN1869" i="16"/>
  <c r="AM1869" i="16"/>
  <c r="AL1869" i="16"/>
  <c r="AK1869" i="16"/>
  <c r="AJ1869" i="16"/>
  <c r="AI1869" i="16"/>
  <c r="AF1869" i="16"/>
  <c r="AN1868" i="16"/>
  <c r="AM1868" i="16"/>
  <c r="AL1868" i="16"/>
  <c r="AK1868" i="16"/>
  <c r="AJ1868" i="16"/>
  <c r="AI1868" i="16"/>
  <c r="AF1868" i="16"/>
  <c r="AN1867" i="16"/>
  <c r="AM1867" i="16"/>
  <c r="AL1867" i="16"/>
  <c r="AK1867" i="16"/>
  <c r="AJ1867" i="16"/>
  <c r="AI1867" i="16"/>
  <c r="AF1867" i="16"/>
  <c r="AN1866" i="16"/>
  <c r="AM1866" i="16"/>
  <c r="AL1866" i="16"/>
  <c r="AK1866" i="16"/>
  <c r="AJ1866" i="16"/>
  <c r="AI1866" i="16"/>
  <c r="AF1866" i="16"/>
  <c r="AN1865" i="16"/>
  <c r="AM1865" i="16"/>
  <c r="AL1865" i="16"/>
  <c r="AK1865" i="16"/>
  <c r="AJ1865" i="16"/>
  <c r="AI1865" i="16"/>
  <c r="AF1865" i="16"/>
  <c r="AN1864" i="16"/>
  <c r="AM1864" i="16"/>
  <c r="AL1864" i="16"/>
  <c r="AK1864" i="16"/>
  <c r="AJ1864" i="16"/>
  <c r="AI1864" i="16"/>
  <c r="AF1864" i="16"/>
  <c r="AN1863" i="16"/>
  <c r="AM1863" i="16"/>
  <c r="AL1863" i="16"/>
  <c r="AK1863" i="16"/>
  <c r="AJ1863" i="16"/>
  <c r="AI1863" i="16"/>
  <c r="AF1863" i="16"/>
  <c r="AN1862" i="16"/>
  <c r="AM1862" i="16"/>
  <c r="AL1862" i="16"/>
  <c r="AK1862" i="16"/>
  <c r="AJ1862" i="16"/>
  <c r="AI1862" i="16"/>
  <c r="AF1862" i="16"/>
  <c r="AN1861" i="16"/>
  <c r="AM1861" i="16"/>
  <c r="AL1861" i="16"/>
  <c r="AK1861" i="16"/>
  <c r="AJ1861" i="16"/>
  <c r="AI1861" i="16"/>
  <c r="AF1861" i="16"/>
  <c r="AN1860" i="16"/>
  <c r="AM1860" i="16"/>
  <c r="AL1860" i="16"/>
  <c r="AK1860" i="16"/>
  <c r="AJ1860" i="16"/>
  <c r="AI1860" i="16"/>
  <c r="AF1860" i="16"/>
  <c r="AN1859" i="16"/>
  <c r="AM1859" i="16"/>
  <c r="AL1859" i="16"/>
  <c r="AK1859" i="16"/>
  <c r="AJ1859" i="16"/>
  <c r="AI1859" i="16"/>
  <c r="AF1859" i="16"/>
  <c r="AN1858" i="16"/>
  <c r="AM1858" i="16"/>
  <c r="AL1858" i="16"/>
  <c r="AK1858" i="16"/>
  <c r="AJ1858" i="16"/>
  <c r="AI1858" i="16"/>
  <c r="AF1858" i="16"/>
  <c r="AN1857" i="16"/>
  <c r="AM1857" i="16"/>
  <c r="AL1857" i="16"/>
  <c r="AK1857" i="16"/>
  <c r="AJ1857" i="16"/>
  <c r="AI1857" i="16"/>
  <c r="AF1857" i="16"/>
  <c r="AN1856" i="16"/>
  <c r="AM1856" i="16"/>
  <c r="AL1856" i="16"/>
  <c r="AK1856" i="16"/>
  <c r="AJ1856" i="16"/>
  <c r="AI1856" i="16"/>
  <c r="AF1856" i="16"/>
  <c r="AN1855" i="16"/>
  <c r="AM1855" i="16"/>
  <c r="AL1855" i="16"/>
  <c r="AK1855" i="16"/>
  <c r="AJ1855" i="16"/>
  <c r="AI1855" i="16"/>
  <c r="AF1855" i="16"/>
  <c r="AN1854" i="16"/>
  <c r="AM1854" i="16"/>
  <c r="AL1854" i="16"/>
  <c r="AK1854" i="16"/>
  <c r="AJ1854" i="16"/>
  <c r="AI1854" i="16"/>
  <c r="AF1854" i="16"/>
  <c r="AN1853" i="16"/>
  <c r="AM1853" i="16"/>
  <c r="AL1853" i="16"/>
  <c r="AK1853" i="16"/>
  <c r="AJ1853" i="16"/>
  <c r="AI1853" i="16"/>
  <c r="AF1853" i="16"/>
  <c r="AN1852" i="16"/>
  <c r="AM1852" i="16"/>
  <c r="AL1852" i="16"/>
  <c r="AK1852" i="16"/>
  <c r="AJ1852" i="16"/>
  <c r="AI1852" i="16"/>
  <c r="AF1852" i="16"/>
  <c r="AN1851" i="16"/>
  <c r="AM1851" i="16"/>
  <c r="AL1851" i="16"/>
  <c r="AK1851" i="16"/>
  <c r="AJ1851" i="16"/>
  <c r="AI1851" i="16"/>
  <c r="AF1851" i="16"/>
  <c r="AN1850" i="16"/>
  <c r="AM1850" i="16"/>
  <c r="AL1850" i="16"/>
  <c r="AK1850" i="16"/>
  <c r="AJ1850" i="16"/>
  <c r="AI1850" i="16"/>
  <c r="AF1850" i="16"/>
  <c r="AN1849" i="16"/>
  <c r="AM1849" i="16"/>
  <c r="AL1849" i="16"/>
  <c r="AK1849" i="16"/>
  <c r="AJ1849" i="16"/>
  <c r="AI1849" i="16"/>
  <c r="AF1849" i="16"/>
  <c r="AN1848" i="16"/>
  <c r="AM1848" i="16"/>
  <c r="AL1848" i="16"/>
  <c r="AK1848" i="16"/>
  <c r="AJ1848" i="16"/>
  <c r="AI1848" i="16"/>
  <c r="AF1848" i="16"/>
  <c r="AN1847" i="16"/>
  <c r="AM1847" i="16"/>
  <c r="AL1847" i="16"/>
  <c r="AK1847" i="16"/>
  <c r="AJ1847" i="16"/>
  <c r="AI1847" i="16"/>
  <c r="AF1847" i="16"/>
  <c r="AN1846" i="16"/>
  <c r="AM1846" i="16"/>
  <c r="AL1846" i="16"/>
  <c r="AK1846" i="16"/>
  <c r="AJ1846" i="16"/>
  <c r="AI1846" i="16"/>
  <c r="AF1846" i="16"/>
  <c r="AN1845" i="16"/>
  <c r="AM1845" i="16"/>
  <c r="AL1845" i="16"/>
  <c r="AK1845" i="16"/>
  <c r="AJ1845" i="16"/>
  <c r="AI1845" i="16"/>
  <c r="AF1845" i="16"/>
  <c r="AN1844" i="16"/>
  <c r="AM1844" i="16"/>
  <c r="AL1844" i="16"/>
  <c r="AK1844" i="16"/>
  <c r="AJ1844" i="16"/>
  <c r="AI1844" i="16"/>
  <c r="AF1844" i="16"/>
  <c r="AN1843" i="16"/>
  <c r="AM1843" i="16"/>
  <c r="AL1843" i="16"/>
  <c r="AK1843" i="16"/>
  <c r="AJ1843" i="16"/>
  <c r="AI1843" i="16"/>
  <c r="AF1843" i="16"/>
  <c r="AN1842" i="16"/>
  <c r="AM1842" i="16"/>
  <c r="AL1842" i="16"/>
  <c r="AK1842" i="16"/>
  <c r="AJ1842" i="16"/>
  <c r="AI1842" i="16"/>
  <c r="AF1842" i="16"/>
  <c r="AN1841" i="16"/>
  <c r="AM1841" i="16"/>
  <c r="AL1841" i="16"/>
  <c r="AK1841" i="16"/>
  <c r="AJ1841" i="16"/>
  <c r="AI1841" i="16"/>
  <c r="AF1841" i="16"/>
  <c r="AN1840" i="16"/>
  <c r="AM1840" i="16"/>
  <c r="AL1840" i="16"/>
  <c r="AK1840" i="16"/>
  <c r="AJ1840" i="16"/>
  <c r="AI1840" i="16"/>
  <c r="AF1840" i="16"/>
  <c r="AN1839" i="16"/>
  <c r="AM1839" i="16"/>
  <c r="AL1839" i="16"/>
  <c r="AK1839" i="16"/>
  <c r="AJ1839" i="16"/>
  <c r="AI1839" i="16"/>
  <c r="AF1839" i="16"/>
  <c r="AN1838" i="16"/>
  <c r="AM1838" i="16"/>
  <c r="AL1838" i="16"/>
  <c r="AK1838" i="16"/>
  <c r="AJ1838" i="16"/>
  <c r="AI1838" i="16"/>
  <c r="AF1838" i="16"/>
  <c r="AN1837" i="16"/>
  <c r="AM1837" i="16"/>
  <c r="AL1837" i="16"/>
  <c r="AK1837" i="16"/>
  <c r="AJ1837" i="16"/>
  <c r="AI1837" i="16"/>
  <c r="AF1837" i="16"/>
  <c r="AN1836" i="16"/>
  <c r="AM1836" i="16"/>
  <c r="AL1836" i="16"/>
  <c r="AK1836" i="16"/>
  <c r="AJ1836" i="16"/>
  <c r="AI1836" i="16"/>
  <c r="AF1836" i="16"/>
  <c r="AN1835" i="16"/>
  <c r="AM1835" i="16"/>
  <c r="AL1835" i="16"/>
  <c r="AK1835" i="16"/>
  <c r="AJ1835" i="16"/>
  <c r="AI1835" i="16"/>
  <c r="AF1835" i="16"/>
  <c r="AN1834" i="16"/>
  <c r="AM1834" i="16"/>
  <c r="AL1834" i="16"/>
  <c r="AK1834" i="16"/>
  <c r="AJ1834" i="16"/>
  <c r="AI1834" i="16"/>
  <c r="AF1834" i="16"/>
  <c r="AN1833" i="16"/>
  <c r="AM1833" i="16"/>
  <c r="AL1833" i="16"/>
  <c r="AK1833" i="16"/>
  <c r="AJ1833" i="16"/>
  <c r="AI1833" i="16"/>
  <c r="AF1833" i="16"/>
  <c r="AN1832" i="16"/>
  <c r="AM1832" i="16"/>
  <c r="AL1832" i="16"/>
  <c r="AK1832" i="16"/>
  <c r="AJ1832" i="16"/>
  <c r="AI1832" i="16"/>
  <c r="AF1832" i="16"/>
  <c r="AN1831" i="16"/>
  <c r="AM1831" i="16"/>
  <c r="AL1831" i="16"/>
  <c r="AK1831" i="16"/>
  <c r="AJ1831" i="16"/>
  <c r="AI1831" i="16"/>
  <c r="AF1831" i="16"/>
  <c r="AN1830" i="16"/>
  <c r="AM1830" i="16"/>
  <c r="AL1830" i="16"/>
  <c r="AK1830" i="16"/>
  <c r="AJ1830" i="16"/>
  <c r="AI1830" i="16"/>
  <c r="AF1830" i="16"/>
  <c r="AN1829" i="16"/>
  <c r="AM1829" i="16"/>
  <c r="AL1829" i="16"/>
  <c r="AK1829" i="16"/>
  <c r="AJ1829" i="16"/>
  <c r="AI1829" i="16"/>
  <c r="AF1829" i="16"/>
  <c r="AN1828" i="16"/>
  <c r="AM1828" i="16"/>
  <c r="AL1828" i="16"/>
  <c r="AK1828" i="16"/>
  <c r="AJ1828" i="16"/>
  <c r="AI1828" i="16"/>
  <c r="AF1828" i="16"/>
  <c r="AN1827" i="16"/>
  <c r="AM1827" i="16"/>
  <c r="AL1827" i="16"/>
  <c r="AK1827" i="16"/>
  <c r="AJ1827" i="16"/>
  <c r="AI1827" i="16"/>
  <c r="AF1827" i="16"/>
  <c r="AN1826" i="16"/>
  <c r="AM1826" i="16"/>
  <c r="AL1826" i="16"/>
  <c r="AK1826" i="16"/>
  <c r="AJ1826" i="16"/>
  <c r="AI1826" i="16"/>
  <c r="AF1826" i="16"/>
  <c r="AN1825" i="16"/>
  <c r="AM1825" i="16"/>
  <c r="AL1825" i="16"/>
  <c r="AK1825" i="16"/>
  <c r="AJ1825" i="16"/>
  <c r="AI1825" i="16"/>
  <c r="AF1825" i="16"/>
  <c r="AN1824" i="16"/>
  <c r="AM1824" i="16"/>
  <c r="AL1824" i="16"/>
  <c r="AK1824" i="16"/>
  <c r="AJ1824" i="16"/>
  <c r="AI1824" i="16"/>
  <c r="AF1824" i="16"/>
  <c r="AN1823" i="16"/>
  <c r="AM1823" i="16"/>
  <c r="AL1823" i="16"/>
  <c r="AK1823" i="16"/>
  <c r="AJ1823" i="16"/>
  <c r="AI1823" i="16"/>
  <c r="AF1823" i="16"/>
  <c r="AN1822" i="16"/>
  <c r="AM1822" i="16"/>
  <c r="AL1822" i="16"/>
  <c r="AK1822" i="16"/>
  <c r="AJ1822" i="16"/>
  <c r="AI1822" i="16"/>
  <c r="AF1822" i="16"/>
  <c r="AN1821" i="16"/>
  <c r="AM1821" i="16"/>
  <c r="AL1821" i="16"/>
  <c r="AK1821" i="16"/>
  <c r="AJ1821" i="16"/>
  <c r="AI1821" i="16"/>
  <c r="AF1821" i="16"/>
  <c r="AN1820" i="16"/>
  <c r="AM1820" i="16"/>
  <c r="AL1820" i="16"/>
  <c r="AK1820" i="16"/>
  <c r="AJ1820" i="16"/>
  <c r="AI1820" i="16"/>
  <c r="AF1820" i="16"/>
  <c r="AN1819" i="16"/>
  <c r="AM1819" i="16"/>
  <c r="AL1819" i="16"/>
  <c r="AK1819" i="16"/>
  <c r="AJ1819" i="16"/>
  <c r="AI1819" i="16"/>
  <c r="AF1819" i="16"/>
  <c r="AN1818" i="16"/>
  <c r="AM1818" i="16"/>
  <c r="AL1818" i="16"/>
  <c r="AK1818" i="16"/>
  <c r="AJ1818" i="16"/>
  <c r="AI1818" i="16"/>
  <c r="AF1818" i="16"/>
  <c r="AN1817" i="16"/>
  <c r="AM1817" i="16"/>
  <c r="AL1817" i="16"/>
  <c r="AK1817" i="16"/>
  <c r="AJ1817" i="16"/>
  <c r="AI1817" i="16"/>
  <c r="AF1817" i="16"/>
  <c r="AN1816" i="16"/>
  <c r="AM1816" i="16"/>
  <c r="AL1816" i="16"/>
  <c r="AK1816" i="16"/>
  <c r="AJ1816" i="16"/>
  <c r="AI1816" i="16"/>
  <c r="AF1816" i="16"/>
  <c r="AN1815" i="16"/>
  <c r="AM1815" i="16"/>
  <c r="AL1815" i="16"/>
  <c r="AK1815" i="16"/>
  <c r="AJ1815" i="16"/>
  <c r="AI1815" i="16"/>
  <c r="AF1815" i="16"/>
  <c r="AN1814" i="16"/>
  <c r="AM1814" i="16"/>
  <c r="AL1814" i="16"/>
  <c r="AK1814" i="16"/>
  <c r="AJ1814" i="16"/>
  <c r="AI1814" i="16"/>
  <c r="AF1814" i="16"/>
  <c r="AN1813" i="16"/>
  <c r="AM1813" i="16"/>
  <c r="AL1813" i="16"/>
  <c r="AK1813" i="16"/>
  <c r="AJ1813" i="16"/>
  <c r="AI1813" i="16"/>
  <c r="AF1813" i="16"/>
  <c r="AN1812" i="16"/>
  <c r="AM1812" i="16"/>
  <c r="AL1812" i="16"/>
  <c r="AK1812" i="16"/>
  <c r="AJ1812" i="16"/>
  <c r="AI1812" i="16"/>
  <c r="AF1812" i="16"/>
  <c r="AN1811" i="16"/>
  <c r="AM1811" i="16"/>
  <c r="AL1811" i="16"/>
  <c r="AK1811" i="16"/>
  <c r="AJ1811" i="16"/>
  <c r="AI1811" i="16"/>
  <c r="AF1811" i="16"/>
  <c r="AN1810" i="16"/>
  <c r="AM1810" i="16"/>
  <c r="AL1810" i="16"/>
  <c r="AK1810" i="16"/>
  <c r="AJ1810" i="16"/>
  <c r="AI1810" i="16"/>
  <c r="AF1810" i="16"/>
  <c r="AN1809" i="16"/>
  <c r="AM1809" i="16"/>
  <c r="AL1809" i="16"/>
  <c r="AK1809" i="16"/>
  <c r="AJ1809" i="16"/>
  <c r="AI1809" i="16"/>
  <c r="AF1809" i="16"/>
  <c r="AN1808" i="16"/>
  <c r="AM1808" i="16"/>
  <c r="AL1808" i="16"/>
  <c r="AK1808" i="16"/>
  <c r="AJ1808" i="16"/>
  <c r="AI1808" i="16"/>
  <c r="AF1808" i="16"/>
  <c r="AN1807" i="16"/>
  <c r="AM1807" i="16"/>
  <c r="AL1807" i="16"/>
  <c r="AK1807" i="16"/>
  <c r="AJ1807" i="16"/>
  <c r="AI1807" i="16"/>
  <c r="AF1807" i="16"/>
  <c r="AN1806" i="16"/>
  <c r="AM1806" i="16"/>
  <c r="AL1806" i="16"/>
  <c r="AK1806" i="16"/>
  <c r="AJ1806" i="16"/>
  <c r="AI1806" i="16"/>
  <c r="AF1806" i="16"/>
  <c r="AN1805" i="16"/>
  <c r="AM1805" i="16"/>
  <c r="AL1805" i="16"/>
  <c r="AK1805" i="16"/>
  <c r="AJ1805" i="16"/>
  <c r="AI1805" i="16"/>
  <c r="AF1805" i="16"/>
  <c r="AN1804" i="16"/>
  <c r="AM1804" i="16"/>
  <c r="AL1804" i="16"/>
  <c r="AK1804" i="16"/>
  <c r="AJ1804" i="16"/>
  <c r="AI1804" i="16"/>
  <c r="AF1804" i="16"/>
  <c r="AN1803" i="16"/>
  <c r="AM1803" i="16"/>
  <c r="AL1803" i="16"/>
  <c r="AK1803" i="16"/>
  <c r="AJ1803" i="16"/>
  <c r="AI1803" i="16"/>
  <c r="AF1803" i="16"/>
  <c r="AN1802" i="16"/>
  <c r="AM1802" i="16"/>
  <c r="AL1802" i="16"/>
  <c r="AK1802" i="16"/>
  <c r="AJ1802" i="16"/>
  <c r="AI1802" i="16"/>
  <c r="AF1802" i="16"/>
  <c r="AN1801" i="16"/>
  <c r="AM1801" i="16"/>
  <c r="AL1801" i="16"/>
  <c r="AK1801" i="16"/>
  <c r="AJ1801" i="16"/>
  <c r="AI1801" i="16"/>
  <c r="AF1801" i="16"/>
  <c r="AN1800" i="16"/>
  <c r="AM1800" i="16"/>
  <c r="AL1800" i="16"/>
  <c r="AK1800" i="16"/>
  <c r="AJ1800" i="16"/>
  <c r="AI1800" i="16"/>
  <c r="AF1800" i="16"/>
  <c r="AN1799" i="16"/>
  <c r="AM1799" i="16"/>
  <c r="AL1799" i="16"/>
  <c r="AK1799" i="16"/>
  <c r="AJ1799" i="16"/>
  <c r="AI1799" i="16"/>
  <c r="AF1799" i="16"/>
  <c r="AN1798" i="16"/>
  <c r="AM1798" i="16"/>
  <c r="AL1798" i="16"/>
  <c r="AK1798" i="16"/>
  <c r="AJ1798" i="16"/>
  <c r="AI1798" i="16"/>
  <c r="AF1798" i="16"/>
  <c r="AN1797" i="16"/>
  <c r="AM1797" i="16"/>
  <c r="AL1797" i="16"/>
  <c r="AK1797" i="16"/>
  <c r="AJ1797" i="16"/>
  <c r="AI1797" i="16"/>
  <c r="AF1797" i="16"/>
  <c r="AN1796" i="16"/>
  <c r="AM1796" i="16"/>
  <c r="AL1796" i="16"/>
  <c r="AK1796" i="16"/>
  <c r="AJ1796" i="16"/>
  <c r="AI1796" i="16"/>
  <c r="AF1796" i="16"/>
  <c r="AN1795" i="16"/>
  <c r="AM1795" i="16"/>
  <c r="AL1795" i="16"/>
  <c r="AK1795" i="16"/>
  <c r="AJ1795" i="16"/>
  <c r="AI1795" i="16"/>
  <c r="AF1795" i="16"/>
  <c r="AN1794" i="16"/>
  <c r="AM1794" i="16"/>
  <c r="AL1794" i="16"/>
  <c r="AK1794" i="16"/>
  <c r="AJ1794" i="16"/>
  <c r="AI1794" i="16"/>
  <c r="AF1794" i="16"/>
  <c r="AN1793" i="16"/>
  <c r="AM1793" i="16"/>
  <c r="AL1793" i="16"/>
  <c r="AK1793" i="16"/>
  <c r="AJ1793" i="16"/>
  <c r="AI1793" i="16"/>
  <c r="AF1793" i="16"/>
  <c r="AN1792" i="16"/>
  <c r="AM1792" i="16"/>
  <c r="AL1792" i="16"/>
  <c r="AK1792" i="16"/>
  <c r="AJ1792" i="16"/>
  <c r="AI1792" i="16"/>
  <c r="AF1792" i="16"/>
  <c r="AN1791" i="16"/>
  <c r="AM1791" i="16"/>
  <c r="AL1791" i="16"/>
  <c r="AK1791" i="16"/>
  <c r="AJ1791" i="16"/>
  <c r="AI1791" i="16"/>
  <c r="AF1791" i="16"/>
  <c r="AN1790" i="16"/>
  <c r="AM1790" i="16"/>
  <c r="AL1790" i="16"/>
  <c r="AK1790" i="16"/>
  <c r="AJ1790" i="16"/>
  <c r="AI1790" i="16"/>
  <c r="AF1790" i="16"/>
  <c r="AN1789" i="16"/>
  <c r="AM1789" i="16"/>
  <c r="AL1789" i="16"/>
  <c r="AK1789" i="16"/>
  <c r="AJ1789" i="16"/>
  <c r="AI1789" i="16"/>
  <c r="AF1789" i="16"/>
  <c r="AN1788" i="16"/>
  <c r="AM1788" i="16"/>
  <c r="AL1788" i="16"/>
  <c r="AK1788" i="16"/>
  <c r="AJ1788" i="16"/>
  <c r="AI1788" i="16"/>
  <c r="AF1788" i="16"/>
  <c r="AN1787" i="16"/>
  <c r="AM1787" i="16"/>
  <c r="AL1787" i="16"/>
  <c r="AK1787" i="16"/>
  <c r="AJ1787" i="16"/>
  <c r="AI1787" i="16"/>
  <c r="AF1787" i="16"/>
  <c r="AN1786" i="16"/>
  <c r="AM1786" i="16"/>
  <c r="AL1786" i="16"/>
  <c r="AK1786" i="16"/>
  <c r="AJ1786" i="16"/>
  <c r="AI1786" i="16"/>
  <c r="AF1786" i="16"/>
  <c r="AN1785" i="16"/>
  <c r="AM1785" i="16"/>
  <c r="AL1785" i="16"/>
  <c r="AK1785" i="16"/>
  <c r="AJ1785" i="16"/>
  <c r="AI1785" i="16"/>
  <c r="AF1785" i="16"/>
  <c r="AN1784" i="16"/>
  <c r="AM1784" i="16"/>
  <c r="AL1784" i="16"/>
  <c r="AK1784" i="16"/>
  <c r="AJ1784" i="16"/>
  <c r="AI1784" i="16"/>
  <c r="AF1784" i="16"/>
  <c r="AN1783" i="16"/>
  <c r="AM1783" i="16"/>
  <c r="AL1783" i="16"/>
  <c r="AK1783" i="16"/>
  <c r="AJ1783" i="16"/>
  <c r="AI1783" i="16"/>
  <c r="AF1783" i="16"/>
  <c r="AN1782" i="16"/>
  <c r="AM1782" i="16"/>
  <c r="AL1782" i="16"/>
  <c r="AK1782" i="16"/>
  <c r="AJ1782" i="16"/>
  <c r="AI1782" i="16"/>
  <c r="AF1782" i="16"/>
  <c r="AN1781" i="16"/>
  <c r="AM1781" i="16"/>
  <c r="AL1781" i="16"/>
  <c r="AK1781" i="16"/>
  <c r="AJ1781" i="16"/>
  <c r="AI1781" i="16"/>
  <c r="AF1781" i="16"/>
  <c r="AN1780" i="16"/>
  <c r="AM1780" i="16"/>
  <c r="AL1780" i="16"/>
  <c r="AK1780" i="16"/>
  <c r="AJ1780" i="16"/>
  <c r="AI1780" i="16"/>
  <c r="AF1780" i="16"/>
  <c r="AN1779" i="16"/>
  <c r="AM1779" i="16"/>
  <c r="AL1779" i="16"/>
  <c r="AK1779" i="16"/>
  <c r="AJ1779" i="16"/>
  <c r="AI1779" i="16"/>
  <c r="AF1779" i="16"/>
  <c r="AN1778" i="16"/>
  <c r="AM1778" i="16"/>
  <c r="AL1778" i="16"/>
  <c r="AK1778" i="16"/>
  <c r="AJ1778" i="16"/>
  <c r="AI1778" i="16"/>
  <c r="AF1778" i="16"/>
  <c r="AN1777" i="16"/>
  <c r="AM1777" i="16"/>
  <c r="AL1777" i="16"/>
  <c r="AK1777" i="16"/>
  <c r="AJ1777" i="16"/>
  <c r="AI1777" i="16"/>
  <c r="AF1777" i="16"/>
  <c r="AN1776" i="16"/>
  <c r="AM1776" i="16"/>
  <c r="AL1776" i="16"/>
  <c r="AK1776" i="16"/>
  <c r="AJ1776" i="16"/>
  <c r="AI1776" i="16"/>
  <c r="AF1776" i="16"/>
  <c r="AN1775" i="16"/>
  <c r="AM1775" i="16"/>
  <c r="AL1775" i="16"/>
  <c r="AK1775" i="16"/>
  <c r="AJ1775" i="16"/>
  <c r="AI1775" i="16"/>
  <c r="AF1775" i="16"/>
  <c r="AN1774" i="16"/>
  <c r="AM1774" i="16"/>
  <c r="AL1774" i="16"/>
  <c r="AK1774" i="16"/>
  <c r="AJ1774" i="16"/>
  <c r="AI1774" i="16"/>
  <c r="AF1774" i="16"/>
  <c r="AN1773" i="16"/>
  <c r="AM1773" i="16"/>
  <c r="AL1773" i="16"/>
  <c r="AK1773" i="16"/>
  <c r="AJ1773" i="16"/>
  <c r="AI1773" i="16"/>
  <c r="AF1773" i="16"/>
  <c r="AN1772" i="16"/>
  <c r="AM1772" i="16"/>
  <c r="AL1772" i="16"/>
  <c r="AK1772" i="16"/>
  <c r="AJ1772" i="16"/>
  <c r="AI1772" i="16"/>
  <c r="AF1772" i="16"/>
  <c r="AN1771" i="16"/>
  <c r="AM1771" i="16"/>
  <c r="AL1771" i="16"/>
  <c r="AK1771" i="16"/>
  <c r="AJ1771" i="16"/>
  <c r="AI1771" i="16"/>
  <c r="AF1771" i="16"/>
  <c r="AN1770" i="16"/>
  <c r="AM1770" i="16"/>
  <c r="AL1770" i="16"/>
  <c r="AK1770" i="16"/>
  <c r="AJ1770" i="16"/>
  <c r="AI1770" i="16"/>
  <c r="AF1770" i="16"/>
  <c r="AN1769" i="16"/>
  <c r="AM1769" i="16"/>
  <c r="AL1769" i="16"/>
  <c r="AK1769" i="16"/>
  <c r="AJ1769" i="16"/>
  <c r="AI1769" i="16"/>
  <c r="AF1769" i="16"/>
  <c r="AN1768" i="16"/>
  <c r="AM1768" i="16"/>
  <c r="AL1768" i="16"/>
  <c r="AK1768" i="16"/>
  <c r="AJ1768" i="16"/>
  <c r="AI1768" i="16"/>
  <c r="AF1768" i="16"/>
  <c r="AN1767" i="16"/>
  <c r="AM1767" i="16"/>
  <c r="AL1767" i="16"/>
  <c r="AK1767" i="16"/>
  <c r="AJ1767" i="16"/>
  <c r="AI1767" i="16"/>
  <c r="AF1767" i="16"/>
  <c r="AN1766" i="16"/>
  <c r="AM1766" i="16"/>
  <c r="AL1766" i="16"/>
  <c r="AK1766" i="16"/>
  <c r="AJ1766" i="16"/>
  <c r="AI1766" i="16"/>
  <c r="AF1766" i="16"/>
  <c r="AN1765" i="16"/>
  <c r="AM1765" i="16"/>
  <c r="AL1765" i="16"/>
  <c r="AK1765" i="16"/>
  <c r="AJ1765" i="16"/>
  <c r="AI1765" i="16"/>
  <c r="AF1765" i="16"/>
  <c r="AN1764" i="16"/>
  <c r="AM1764" i="16"/>
  <c r="AL1764" i="16"/>
  <c r="AK1764" i="16"/>
  <c r="AJ1764" i="16"/>
  <c r="AI1764" i="16"/>
  <c r="AF1764" i="16"/>
  <c r="AN1763" i="16"/>
  <c r="AM1763" i="16"/>
  <c r="AL1763" i="16"/>
  <c r="AK1763" i="16"/>
  <c r="AJ1763" i="16"/>
  <c r="AI1763" i="16"/>
  <c r="AF1763" i="16"/>
  <c r="AN1762" i="16"/>
  <c r="AM1762" i="16"/>
  <c r="AL1762" i="16"/>
  <c r="AK1762" i="16"/>
  <c r="AJ1762" i="16"/>
  <c r="AI1762" i="16"/>
  <c r="AF1762" i="16"/>
  <c r="AN1761" i="16"/>
  <c r="AM1761" i="16"/>
  <c r="AL1761" i="16"/>
  <c r="AK1761" i="16"/>
  <c r="AJ1761" i="16"/>
  <c r="AI1761" i="16"/>
  <c r="AF1761" i="16"/>
  <c r="AN1760" i="16"/>
  <c r="AM1760" i="16"/>
  <c r="AL1760" i="16"/>
  <c r="AK1760" i="16"/>
  <c r="AJ1760" i="16"/>
  <c r="AI1760" i="16"/>
  <c r="AF1760" i="16"/>
  <c r="AN1759" i="16"/>
  <c r="AM1759" i="16"/>
  <c r="AL1759" i="16"/>
  <c r="AK1759" i="16"/>
  <c r="AJ1759" i="16"/>
  <c r="AI1759" i="16"/>
  <c r="AF1759" i="16"/>
  <c r="AN1758" i="16"/>
  <c r="AM1758" i="16"/>
  <c r="AL1758" i="16"/>
  <c r="AK1758" i="16"/>
  <c r="AJ1758" i="16"/>
  <c r="AI1758" i="16"/>
  <c r="AF1758" i="16"/>
  <c r="AN1757" i="16"/>
  <c r="AM1757" i="16"/>
  <c r="AL1757" i="16"/>
  <c r="AK1757" i="16"/>
  <c r="AJ1757" i="16"/>
  <c r="AI1757" i="16"/>
  <c r="AF1757" i="16"/>
  <c r="AN1756" i="16"/>
  <c r="AM1756" i="16"/>
  <c r="AL1756" i="16"/>
  <c r="AK1756" i="16"/>
  <c r="AJ1756" i="16"/>
  <c r="AI1756" i="16"/>
  <c r="AF1756" i="16"/>
  <c r="AN1755" i="16"/>
  <c r="AM1755" i="16"/>
  <c r="AL1755" i="16"/>
  <c r="AK1755" i="16"/>
  <c r="AJ1755" i="16"/>
  <c r="AI1755" i="16"/>
  <c r="AF1755" i="16"/>
  <c r="AN1754" i="16"/>
  <c r="AM1754" i="16"/>
  <c r="AL1754" i="16"/>
  <c r="AK1754" i="16"/>
  <c r="AJ1754" i="16"/>
  <c r="AI1754" i="16"/>
  <c r="AF1754" i="16"/>
  <c r="AN1753" i="16"/>
  <c r="AM1753" i="16"/>
  <c r="AL1753" i="16"/>
  <c r="AK1753" i="16"/>
  <c r="AJ1753" i="16"/>
  <c r="AI1753" i="16"/>
  <c r="AF1753" i="16"/>
  <c r="AN1752" i="16"/>
  <c r="AM1752" i="16"/>
  <c r="AL1752" i="16"/>
  <c r="AK1752" i="16"/>
  <c r="AJ1752" i="16"/>
  <c r="AI1752" i="16"/>
  <c r="AF1752" i="16"/>
  <c r="AN1751" i="16"/>
  <c r="AM1751" i="16"/>
  <c r="AL1751" i="16"/>
  <c r="AK1751" i="16"/>
  <c r="AJ1751" i="16"/>
  <c r="AI1751" i="16"/>
  <c r="AF1751" i="16"/>
  <c r="AN1750" i="16"/>
  <c r="AM1750" i="16"/>
  <c r="AL1750" i="16"/>
  <c r="AK1750" i="16"/>
  <c r="AJ1750" i="16"/>
  <c r="AI1750" i="16"/>
  <c r="AF1750" i="16"/>
  <c r="AN1749" i="16"/>
  <c r="AM1749" i="16"/>
  <c r="AL1749" i="16"/>
  <c r="AK1749" i="16"/>
  <c r="AJ1749" i="16"/>
  <c r="AI1749" i="16"/>
  <c r="AF1749" i="16"/>
  <c r="AN1748" i="16"/>
  <c r="AM1748" i="16"/>
  <c r="AL1748" i="16"/>
  <c r="AK1748" i="16"/>
  <c r="AJ1748" i="16"/>
  <c r="AI1748" i="16"/>
  <c r="AF1748" i="16"/>
  <c r="AN1747" i="16"/>
  <c r="AM1747" i="16"/>
  <c r="AL1747" i="16"/>
  <c r="AK1747" i="16"/>
  <c r="AJ1747" i="16"/>
  <c r="AI1747" i="16"/>
  <c r="AF1747" i="16"/>
  <c r="AN1746" i="16"/>
  <c r="AM1746" i="16"/>
  <c r="AL1746" i="16"/>
  <c r="AK1746" i="16"/>
  <c r="AJ1746" i="16"/>
  <c r="AI1746" i="16"/>
  <c r="AF1746" i="16"/>
  <c r="AN1745" i="16"/>
  <c r="AM1745" i="16"/>
  <c r="AL1745" i="16"/>
  <c r="AK1745" i="16"/>
  <c r="AJ1745" i="16"/>
  <c r="AI1745" i="16"/>
  <c r="AF1745" i="16"/>
  <c r="AN1744" i="16"/>
  <c r="AM1744" i="16"/>
  <c r="AL1744" i="16"/>
  <c r="AK1744" i="16"/>
  <c r="AJ1744" i="16"/>
  <c r="AI1744" i="16"/>
  <c r="AF1744" i="16"/>
  <c r="AN1743" i="16"/>
  <c r="AM1743" i="16"/>
  <c r="AL1743" i="16"/>
  <c r="AK1743" i="16"/>
  <c r="AJ1743" i="16"/>
  <c r="AI1743" i="16"/>
  <c r="AF1743" i="16"/>
  <c r="AN1742" i="16"/>
  <c r="AM1742" i="16"/>
  <c r="AL1742" i="16"/>
  <c r="AK1742" i="16"/>
  <c r="AJ1742" i="16"/>
  <c r="AI1742" i="16"/>
  <c r="AF1742" i="16"/>
  <c r="AN1741" i="16"/>
  <c r="AM1741" i="16"/>
  <c r="AL1741" i="16"/>
  <c r="AK1741" i="16"/>
  <c r="AJ1741" i="16"/>
  <c r="AI1741" i="16"/>
  <c r="AF1741" i="16"/>
  <c r="AN1740" i="16"/>
  <c r="AM1740" i="16"/>
  <c r="AL1740" i="16"/>
  <c r="AK1740" i="16"/>
  <c r="AJ1740" i="16"/>
  <c r="AI1740" i="16"/>
  <c r="AF1740" i="16"/>
  <c r="AN1739" i="16"/>
  <c r="AM1739" i="16"/>
  <c r="AL1739" i="16"/>
  <c r="AK1739" i="16"/>
  <c r="AJ1739" i="16"/>
  <c r="AI1739" i="16"/>
  <c r="AF1739" i="16"/>
  <c r="AN1738" i="16"/>
  <c r="AM1738" i="16"/>
  <c r="AL1738" i="16"/>
  <c r="AK1738" i="16"/>
  <c r="AJ1738" i="16"/>
  <c r="AI1738" i="16"/>
  <c r="AF1738" i="16"/>
  <c r="AN1737" i="16"/>
  <c r="AM1737" i="16"/>
  <c r="AL1737" i="16"/>
  <c r="AK1737" i="16"/>
  <c r="AJ1737" i="16"/>
  <c r="AI1737" i="16"/>
  <c r="AF1737" i="16"/>
  <c r="AN1736" i="16"/>
  <c r="AM1736" i="16"/>
  <c r="AL1736" i="16"/>
  <c r="AK1736" i="16"/>
  <c r="AJ1736" i="16"/>
  <c r="AI1736" i="16"/>
  <c r="AF1736" i="16"/>
  <c r="AN1735" i="16"/>
  <c r="AM1735" i="16"/>
  <c r="AL1735" i="16"/>
  <c r="AK1735" i="16"/>
  <c r="AJ1735" i="16"/>
  <c r="AI1735" i="16"/>
  <c r="AF1735" i="16"/>
  <c r="AN1734" i="16"/>
  <c r="AM1734" i="16"/>
  <c r="AL1734" i="16"/>
  <c r="AK1734" i="16"/>
  <c r="AJ1734" i="16"/>
  <c r="AI1734" i="16"/>
  <c r="AF1734" i="16"/>
  <c r="AN1733" i="16"/>
  <c r="AM1733" i="16"/>
  <c r="AL1733" i="16"/>
  <c r="AK1733" i="16"/>
  <c r="AJ1733" i="16"/>
  <c r="AI1733" i="16"/>
  <c r="AF1733" i="16"/>
  <c r="AN1732" i="16"/>
  <c r="AM1732" i="16"/>
  <c r="AL1732" i="16"/>
  <c r="AK1732" i="16"/>
  <c r="AJ1732" i="16"/>
  <c r="AI1732" i="16"/>
  <c r="AF1732" i="16"/>
  <c r="AN1731" i="16"/>
  <c r="AM1731" i="16"/>
  <c r="AL1731" i="16"/>
  <c r="AK1731" i="16"/>
  <c r="AJ1731" i="16"/>
  <c r="AI1731" i="16"/>
  <c r="AF1731" i="16"/>
  <c r="AN1730" i="16"/>
  <c r="AM1730" i="16"/>
  <c r="AL1730" i="16"/>
  <c r="AK1730" i="16"/>
  <c r="AJ1730" i="16"/>
  <c r="AI1730" i="16"/>
  <c r="AF1730" i="16"/>
  <c r="AN1729" i="16"/>
  <c r="AM1729" i="16"/>
  <c r="AL1729" i="16"/>
  <c r="AK1729" i="16"/>
  <c r="AJ1729" i="16"/>
  <c r="AI1729" i="16"/>
  <c r="AF1729" i="16"/>
  <c r="AN1728" i="16"/>
  <c r="AM1728" i="16"/>
  <c r="AL1728" i="16"/>
  <c r="AK1728" i="16"/>
  <c r="AJ1728" i="16"/>
  <c r="AI1728" i="16"/>
  <c r="AF1728" i="16"/>
  <c r="AN1727" i="16"/>
  <c r="AM1727" i="16"/>
  <c r="AL1727" i="16"/>
  <c r="AK1727" i="16"/>
  <c r="AJ1727" i="16"/>
  <c r="AI1727" i="16"/>
  <c r="AF1727" i="16"/>
  <c r="AN1726" i="16"/>
  <c r="AM1726" i="16"/>
  <c r="AL1726" i="16"/>
  <c r="AK1726" i="16"/>
  <c r="AJ1726" i="16"/>
  <c r="AI1726" i="16"/>
  <c r="AF1726" i="16"/>
  <c r="AN1725" i="16"/>
  <c r="AM1725" i="16"/>
  <c r="AL1725" i="16"/>
  <c r="AK1725" i="16"/>
  <c r="AJ1725" i="16"/>
  <c r="AI1725" i="16"/>
  <c r="AF1725" i="16"/>
  <c r="AN1724" i="16"/>
  <c r="AM1724" i="16"/>
  <c r="AL1724" i="16"/>
  <c r="AK1724" i="16"/>
  <c r="AJ1724" i="16"/>
  <c r="AI1724" i="16"/>
  <c r="AF1724" i="16"/>
  <c r="AN1723" i="16"/>
  <c r="AM1723" i="16"/>
  <c r="AL1723" i="16"/>
  <c r="AK1723" i="16"/>
  <c r="AJ1723" i="16"/>
  <c r="AI1723" i="16"/>
  <c r="AF1723" i="16"/>
  <c r="AN1722" i="16"/>
  <c r="AM1722" i="16"/>
  <c r="AL1722" i="16"/>
  <c r="AK1722" i="16"/>
  <c r="AJ1722" i="16"/>
  <c r="AI1722" i="16"/>
  <c r="AF1722" i="16"/>
  <c r="AN1721" i="16"/>
  <c r="AM1721" i="16"/>
  <c r="AL1721" i="16"/>
  <c r="AK1721" i="16"/>
  <c r="AJ1721" i="16"/>
  <c r="AI1721" i="16"/>
  <c r="AF1721" i="16"/>
  <c r="AN1720" i="16"/>
  <c r="AM1720" i="16"/>
  <c r="AL1720" i="16"/>
  <c r="AK1720" i="16"/>
  <c r="AJ1720" i="16"/>
  <c r="AI1720" i="16"/>
  <c r="AF1720" i="16"/>
  <c r="AN1719" i="16"/>
  <c r="AM1719" i="16"/>
  <c r="AL1719" i="16"/>
  <c r="AK1719" i="16"/>
  <c r="AJ1719" i="16"/>
  <c r="AI1719" i="16"/>
  <c r="AF1719" i="16"/>
  <c r="AN1718" i="16"/>
  <c r="AM1718" i="16"/>
  <c r="AL1718" i="16"/>
  <c r="AK1718" i="16"/>
  <c r="AJ1718" i="16"/>
  <c r="AI1718" i="16"/>
  <c r="AF1718" i="16"/>
  <c r="AN1717" i="16"/>
  <c r="AM1717" i="16"/>
  <c r="AL1717" i="16"/>
  <c r="AK1717" i="16"/>
  <c r="AJ1717" i="16"/>
  <c r="AI1717" i="16"/>
  <c r="AF1717" i="16"/>
  <c r="AN1716" i="16"/>
  <c r="AM1716" i="16"/>
  <c r="AL1716" i="16"/>
  <c r="AK1716" i="16"/>
  <c r="AJ1716" i="16"/>
  <c r="AI1716" i="16"/>
  <c r="AF1716" i="16"/>
  <c r="AN1715" i="16"/>
  <c r="AM1715" i="16"/>
  <c r="AL1715" i="16"/>
  <c r="AK1715" i="16"/>
  <c r="AJ1715" i="16"/>
  <c r="AI1715" i="16"/>
  <c r="AF1715" i="16"/>
  <c r="AN1714" i="16"/>
  <c r="AM1714" i="16"/>
  <c r="AL1714" i="16"/>
  <c r="AK1714" i="16"/>
  <c r="AJ1714" i="16"/>
  <c r="AI1714" i="16"/>
  <c r="AF1714" i="16"/>
  <c r="AN1713" i="16"/>
  <c r="AM1713" i="16"/>
  <c r="AL1713" i="16"/>
  <c r="AK1713" i="16"/>
  <c r="AJ1713" i="16"/>
  <c r="AI1713" i="16"/>
  <c r="AF1713" i="16"/>
  <c r="AN1712" i="16"/>
  <c r="AM1712" i="16"/>
  <c r="AL1712" i="16"/>
  <c r="AK1712" i="16"/>
  <c r="AJ1712" i="16"/>
  <c r="AI1712" i="16"/>
  <c r="AF1712" i="16"/>
  <c r="AN1711" i="16"/>
  <c r="AM1711" i="16"/>
  <c r="AL1711" i="16"/>
  <c r="AK1711" i="16"/>
  <c r="AJ1711" i="16"/>
  <c r="AI1711" i="16"/>
  <c r="AF1711" i="16"/>
  <c r="AN1710" i="16"/>
  <c r="AM1710" i="16"/>
  <c r="AL1710" i="16"/>
  <c r="AK1710" i="16"/>
  <c r="AJ1710" i="16"/>
  <c r="AI1710" i="16"/>
  <c r="AF1710" i="16"/>
  <c r="AN1709" i="16"/>
  <c r="AM1709" i="16"/>
  <c r="AL1709" i="16"/>
  <c r="AK1709" i="16"/>
  <c r="AJ1709" i="16"/>
  <c r="AI1709" i="16"/>
  <c r="AF1709" i="16"/>
  <c r="AN1708" i="16"/>
  <c r="AM1708" i="16"/>
  <c r="AL1708" i="16"/>
  <c r="AK1708" i="16"/>
  <c r="AJ1708" i="16"/>
  <c r="AI1708" i="16"/>
  <c r="AF1708" i="16"/>
  <c r="AN1707" i="16"/>
  <c r="AM1707" i="16"/>
  <c r="AL1707" i="16"/>
  <c r="AK1707" i="16"/>
  <c r="AJ1707" i="16"/>
  <c r="AI1707" i="16"/>
  <c r="AF1707" i="16"/>
  <c r="AN1706" i="16"/>
  <c r="AM1706" i="16"/>
  <c r="AL1706" i="16"/>
  <c r="AK1706" i="16"/>
  <c r="AJ1706" i="16"/>
  <c r="AI1706" i="16"/>
  <c r="AF1706" i="16"/>
  <c r="AN1705" i="16"/>
  <c r="AM1705" i="16"/>
  <c r="AL1705" i="16"/>
  <c r="AK1705" i="16"/>
  <c r="AJ1705" i="16"/>
  <c r="AI1705" i="16"/>
  <c r="AF1705" i="16"/>
  <c r="AN1704" i="16"/>
  <c r="AM1704" i="16"/>
  <c r="AL1704" i="16"/>
  <c r="AK1704" i="16"/>
  <c r="AJ1704" i="16"/>
  <c r="AI1704" i="16"/>
  <c r="AF1704" i="16"/>
  <c r="AN1703" i="16"/>
  <c r="AM1703" i="16"/>
  <c r="AL1703" i="16"/>
  <c r="AK1703" i="16"/>
  <c r="AJ1703" i="16"/>
  <c r="AI1703" i="16"/>
  <c r="AF1703" i="16"/>
  <c r="AN1702" i="16"/>
  <c r="AM1702" i="16"/>
  <c r="AL1702" i="16"/>
  <c r="AK1702" i="16"/>
  <c r="AJ1702" i="16"/>
  <c r="AI1702" i="16"/>
  <c r="AF1702" i="16"/>
  <c r="AN1701" i="16"/>
  <c r="AM1701" i="16"/>
  <c r="AL1701" i="16"/>
  <c r="AK1701" i="16"/>
  <c r="AJ1701" i="16"/>
  <c r="AI1701" i="16"/>
  <c r="AF1701" i="16"/>
  <c r="AN1700" i="16"/>
  <c r="AM1700" i="16"/>
  <c r="AL1700" i="16"/>
  <c r="AK1700" i="16"/>
  <c r="AJ1700" i="16"/>
  <c r="AI1700" i="16"/>
  <c r="AF1700" i="16"/>
  <c r="AN1699" i="16"/>
  <c r="AM1699" i="16"/>
  <c r="AL1699" i="16"/>
  <c r="AK1699" i="16"/>
  <c r="AJ1699" i="16"/>
  <c r="AI1699" i="16"/>
  <c r="AF1699" i="16"/>
  <c r="AN1698" i="16"/>
  <c r="AM1698" i="16"/>
  <c r="AL1698" i="16"/>
  <c r="AK1698" i="16"/>
  <c r="AJ1698" i="16"/>
  <c r="AI1698" i="16"/>
  <c r="AF1698" i="16"/>
  <c r="AN1697" i="16"/>
  <c r="AM1697" i="16"/>
  <c r="AL1697" i="16"/>
  <c r="AK1697" i="16"/>
  <c r="AJ1697" i="16"/>
  <c r="AI1697" i="16"/>
  <c r="AF1697" i="16"/>
  <c r="AN1696" i="16"/>
  <c r="AM1696" i="16"/>
  <c r="AL1696" i="16"/>
  <c r="AK1696" i="16"/>
  <c r="AJ1696" i="16"/>
  <c r="AI1696" i="16"/>
  <c r="AF1696" i="16"/>
  <c r="AN1695" i="16"/>
  <c r="AM1695" i="16"/>
  <c r="AL1695" i="16"/>
  <c r="AK1695" i="16"/>
  <c r="AJ1695" i="16"/>
  <c r="AI1695" i="16"/>
  <c r="AF1695" i="16"/>
  <c r="AN1694" i="16"/>
  <c r="AM1694" i="16"/>
  <c r="AL1694" i="16"/>
  <c r="AK1694" i="16"/>
  <c r="AJ1694" i="16"/>
  <c r="AI1694" i="16"/>
  <c r="AF1694" i="16"/>
  <c r="AN1693" i="16"/>
  <c r="AM1693" i="16"/>
  <c r="AL1693" i="16"/>
  <c r="AK1693" i="16"/>
  <c r="AJ1693" i="16"/>
  <c r="AI1693" i="16"/>
  <c r="AF1693" i="16"/>
  <c r="AN1692" i="16"/>
  <c r="AM1692" i="16"/>
  <c r="AL1692" i="16"/>
  <c r="AK1692" i="16"/>
  <c r="AJ1692" i="16"/>
  <c r="AI1692" i="16"/>
  <c r="AF1692" i="16"/>
  <c r="AN1691" i="16"/>
  <c r="AM1691" i="16"/>
  <c r="AL1691" i="16"/>
  <c r="AK1691" i="16"/>
  <c r="AJ1691" i="16"/>
  <c r="AI1691" i="16"/>
  <c r="AF1691" i="16"/>
  <c r="AN1690" i="16"/>
  <c r="AM1690" i="16"/>
  <c r="AL1690" i="16"/>
  <c r="AK1690" i="16"/>
  <c r="AJ1690" i="16"/>
  <c r="AI1690" i="16"/>
  <c r="AF1690" i="16"/>
  <c r="AN1689" i="16"/>
  <c r="AM1689" i="16"/>
  <c r="AL1689" i="16"/>
  <c r="AK1689" i="16"/>
  <c r="AJ1689" i="16"/>
  <c r="AI1689" i="16"/>
  <c r="AF1689" i="16"/>
  <c r="AN1688" i="16"/>
  <c r="AM1688" i="16"/>
  <c r="AL1688" i="16"/>
  <c r="AK1688" i="16"/>
  <c r="AJ1688" i="16"/>
  <c r="AI1688" i="16"/>
  <c r="AF1688" i="16"/>
  <c r="AN1687" i="16"/>
  <c r="AM1687" i="16"/>
  <c r="AL1687" i="16"/>
  <c r="AK1687" i="16"/>
  <c r="AJ1687" i="16"/>
  <c r="AI1687" i="16"/>
  <c r="AF1687" i="16"/>
  <c r="AN1686" i="16"/>
  <c r="AM1686" i="16"/>
  <c r="AL1686" i="16"/>
  <c r="AK1686" i="16"/>
  <c r="AJ1686" i="16"/>
  <c r="AI1686" i="16"/>
  <c r="AF1686" i="16"/>
  <c r="AN1685" i="16"/>
  <c r="AM1685" i="16"/>
  <c r="AL1685" i="16"/>
  <c r="AK1685" i="16"/>
  <c r="AJ1685" i="16"/>
  <c r="AI1685" i="16"/>
  <c r="AF1685" i="16"/>
  <c r="AN1684" i="16"/>
  <c r="AM1684" i="16"/>
  <c r="AL1684" i="16"/>
  <c r="AK1684" i="16"/>
  <c r="AJ1684" i="16"/>
  <c r="AI1684" i="16"/>
  <c r="AF1684" i="16"/>
  <c r="AN1683" i="16"/>
  <c r="AM1683" i="16"/>
  <c r="AL1683" i="16"/>
  <c r="AK1683" i="16"/>
  <c r="AJ1683" i="16"/>
  <c r="AI1683" i="16"/>
  <c r="AF1683" i="16"/>
  <c r="AN1682" i="16"/>
  <c r="AM1682" i="16"/>
  <c r="AL1682" i="16"/>
  <c r="AK1682" i="16"/>
  <c r="AJ1682" i="16"/>
  <c r="AI1682" i="16"/>
  <c r="AF1682" i="16"/>
  <c r="AN1681" i="16"/>
  <c r="AM1681" i="16"/>
  <c r="AL1681" i="16"/>
  <c r="AK1681" i="16"/>
  <c r="AJ1681" i="16"/>
  <c r="AI1681" i="16"/>
  <c r="AF1681" i="16"/>
  <c r="AN1680" i="16"/>
  <c r="AM1680" i="16"/>
  <c r="AL1680" i="16"/>
  <c r="AK1680" i="16"/>
  <c r="AJ1680" i="16"/>
  <c r="AI1680" i="16"/>
  <c r="AF1680" i="16"/>
  <c r="AN1679" i="16"/>
  <c r="AM1679" i="16"/>
  <c r="AL1679" i="16"/>
  <c r="AK1679" i="16"/>
  <c r="AJ1679" i="16"/>
  <c r="AI1679" i="16"/>
  <c r="AF1679" i="16"/>
  <c r="AN1678" i="16"/>
  <c r="AM1678" i="16"/>
  <c r="AL1678" i="16"/>
  <c r="AK1678" i="16"/>
  <c r="AJ1678" i="16"/>
  <c r="AI1678" i="16"/>
  <c r="AF1678" i="16"/>
  <c r="AN1677" i="16"/>
  <c r="AM1677" i="16"/>
  <c r="AL1677" i="16"/>
  <c r="AK1677" i="16"/>
  <c r="AJ1677" i="16"/>
  <c r="AI1677" i="16"/>
  <c r="AF1677" i="16"/>
  <c r="AN1676" i="16"/>
  <c r="AM1676" i="16"/>
  <c r="AL1676" i="16"/>
  <c r="AK1676" i="16"/>
  <c r="AJ1676" i="16"/>
  <c r="AI1676" i="16"/>
  <c r="AF1676" i="16"/>
  <c r="AN1675" i="16"/>
  <c r="AM1675" i="16"/>
  <c r="AL1675" i="16"/>
  <c r="AK1675" i="16"/>
  <c r="AJ1675" i="16"/>
  <c r="AI1675" i="16"/>
  <c r="AF1675" i="16"/>
  <c r="AN1674" i="16"/>
  <c r="AM1674" i="16"/>
  <c r="AL1674" i="16"/>
  <c r="AK1674" i="16"/>
  <c r="AJ1674" i="16"/>
  <c r="AI1674" i="16"/>
  <c r="AF1674" i="16"/>
  <c r="AN1673" i="16"/>
  <c r="AM1673" i="16"/>
  <c r="AL1673" i="16"/>
  <c r="AK1673" i="16"/>
  <c r="AJ1673" i="16"/>
  <c r="AI1673" i="16"/>
  <c r="AF1673" i="16"/>
  <c r="AN1672" i="16"/>
  <c r="AM1672" i="16"/>
  <c r="AL1672" i="16"/>
  <c r="AK1672" i="16"/>
  <c r="AJ1672" i="16"/>
  <c r="AI1672" i="16"/>
  <c r="AF1672" i="16"/>
  <c r="AN1671" i="16"/>
  <c r="AM1671" i="16"/>
  <c r="AL1671" i="16"/>
  <c r="AK1671" i="16"/>
  <c r="AJ1671" i="16"/>
  <c r="AI1671" i="16"/>
  <c r="AF1671" i="16"/>
  <c r="AN1670" i="16"/>
  <c r="AM1670" i="16"/>
  <c r="AL1670" i="16"/>
  <c r="AK1670" i="16"/>
  <c r="AJ1670" i="16"/>
  <c r="AI1670" i="16"/>
  <c r="AF1670" i="16"/>
  <c r="AN1669" i="16"/>
  <c r="AM1669" i="16"/>
  <c r="AL1669" i="16"/>
  <c r="AK1669" i="16"/>
  <c r="AJ1669" i="16"/>
  <c r="AI1669" i="16"/>
  <c r="AF1669" i="16"/>
  <c r="AN1668" i="16"/>
  <c r="AM1668" i="16"/>
  <c r="AL1668" i="16"/>
  <c r="AK1668" i="16"/>
  <c r="AJ1668" i="16"/>
  <c r="AI1668" i="16"/>
  <c r="AF1668" i="16"/>
  <c r="AN1667" i="16"/>
  <c r="AM1667" i="16"/>
  <c r="AL1667" i="16"/>
  <c r="AK1667" i="16"/>
  <c r="AJ1667" i="16"/>
  <c r="AI1667" i="16"/>
  <c r="AF1667" i="16"/>
  <c r="AN1666" i="16"/>
  <c r="AM1666" i="16"/>
  <c r="AL1666" i="16"/>
  <c r="AK1666" i="16"/>
  <c r="AJ1666" i="16"/>
  <c r="AI1666" i="16"/>
  <c r="AF1666" i="16"/>
  <c r="AN1665" i="16"/>
  <c r="AM1665" i="16"/>
  <c r="AL1665" i="16"/>
  <c r="AK1665" i="16"/>
  <c r="AJ1665" i="16"/>
  <c r="AI1665" i="16"/>
  <c r="AF1665" i="16"/>
  <c r="AN1664" i="16"/>
  <c r="AM1664" i="16"/>
  <c r="AL1664" i="16"/>
  <c r="AK1664" i="16"/>
  <c r="AJ1664" i="16"/>
  <c r="AI1664" i="16"/>
  <c r="AF1664" i="16"/>
  <c r="AN1663" i="16"/>
  <c r="AM1663" i="16"/>
  <c r="AL1663" i="16"/>
  <c r="AK1663" i="16"/>
  <c r="AJ1663" i="16"/>
  <c r="AI1663" i="16"/>
  <c r="AF1663" i="16"/>
  <c r="AN1662" i="16"/>
  <c r="AM1662" i="16"/>
  <c r="AL1662" i="16"/>
  <c r="AK1662" i="16"/>
  <c r="AJ1662" i="16"/>
  <c r="AI1662" i="16"/>
  <c r="AF1662" i="16"/>
  <c r="AN1661" i="16"/>
  <c r="AM1661" i="16"/>
  <c r="AL1661" i="16"/>
  <c r="AK1661" i="16"/>
  <c r="AJ1661" i="16"/>
  <c r="AI1661" i="16"/>
  <c r="AF1661" i="16"/>
  <c r="AN1660" i="16"/>
  <c r="AM1660" i="16"/>
  <c r="AL1660" i="16"/>
  <c r="AK1660" i="16"/>
  <c r="AJ1660" i="16"/>
  <c r="AI1660" i="16"/>
  <c r="AF1660" i="16"/>
  <c r="AN1659" i="16"/>
  <c r="AM1659" i="16"/>
  <c r="AL1659" i="16"/>
  <c r="AK1659" i="16"/>
  <c r="AJ1659" i="16"/>
  <c r="AI1659" i="16"/>
  <c r="AF1659" i="16"/>
  <c r="AN1658" i="16"/>
  <c r="AM1658" i="16"/>
  <c r="AL1658" i="16"/>
  <c r="AK1658" i="16"/>
  <c r="AJ1658" i="16"/>
  <c r="AI1658" i="16"/>
  <c r="AF1658" i="16"/>
  <c r="AN1657" i="16"/>
  <c r="AM1657" i="16"/>
  <c r="AL1657" i="16"/>
  <c r="AK1657" i="16"/>
  <c r="AJ1657" i="16"/>
  <c r="AI1657" i="16"/>
  <c r="AF1657" i="16"/>
  <c r="AN1656" i="16"/>
  <c r="AM1656" i="16"/>
  <c r="AL1656" i="16"/>
  <c r="AK1656" i="16"/>
  <c r="AJ1656" i="16"/>
  <c r="AI1656" i="16"/>
  <c r="AF1656" i="16"/>
  <c r="AN1655" i="16"/>
  <c r="AM1655" i="16"/>
  <c r="AL1655" i="16"/>
  <c r="AK1655" i="16"/>
  <c r="AJ1655" i="16"/>
  <c r="AI1655" i="16"/>
  <c r="AF1655" i="16"/>
  <c r="AN1654" i="16"/>
  <c r="AM1654" i="16"/>
  <c r="AL1654" i="16"/>
  <c r="AK1654" i="16"/>
  <c r="AJ1654" i="16"/>
  <c r="AI1654" i="16"/>
  <c r="AF1654" i="16"/>
  <c r="AN1653" i="16"/>
  <c r="AM1653" i="16"/>
  <c r="AL1653" i="16"/>
  <c r="AK1653" i="16"/>
  <c r="AJ1653" i="16"/>
  <c r="AI1653" i="16"/>
  <c r="AF1653" i="16"/>
  <c r="AN1652" i="16"/>
  <c r="AM1652" i="16"/>
  <c r="AL1652" i="16"/>
  <c r="AK1652" i="16"/>
  <c r="AJ1652" i="16"/>
  <c r="AI1652" i="16"/>
  <c r="AF1652" i="16"/>
  <c r="AN1651" i="16"/>
  <c r="AM1651" i="16"/>
  <c r="AL1651" i="16"/>
  <c r="AK1651" i="16"/>
  <c r="AJ1651" i="16"/>
  <c r="AI1651" i="16"/>
  <c r="AF1651" i="16"/>
  <c r="AN1650" i="16"/>
  <c r="AM1650" i="16"/>
  <c r="AL1650" i="16"/>
  <c r="AK1650" i="16"/>
  <c r="AJ1650" i="16"/>
  <c r="AI1650" i="16"/>
  <c r="AF1650" i="16"/>
  <c r="AN1649" i="16"/>
  <c r="AM1649" i="16"/>
  <c r="AL1649" i="16"/>
  <c r="AK1649" i="16"/>
  <c r="AJ1649" i="16"/>
  <c r="AI1649" i="16"/>
  <c r="AF1649" i="16"/>
  <c r="AN1648" i="16"/>
  <c r="AM1648" i="16"/>
  <c r="AL1648" i="16"/>
  <c r="AK1648" i="16"/>
  <c r="AJ1648" i="16"/>
  <c r="AI1648" i="16"/>
  <c r="AF1648" i="16"/>
  <c r="AN1647" i="16"/>
  <c r="AM1647" i="16"/>
  <c r="AL1647" i="16"/>
  <c r="AK1647" i="16"/>
  <c r="AJ1647" i="16"/>
  <c r="AI1647" i="16"/>
  <c r="AF1647" i="16"/>
  <c r="AN1646" i="16"/>
  <c r="AM1646" i="16"/>
  <c r="AL1646" i="16"/>
  <c r="AK1646" i="16"/>
  <c r="AJ1646" i="16"/>
  <c r="AI1646" i="16"/>
  <c r="AF1646" i="16"/>
  <c r="AN1645" i="16"/>
  <c r="AM1645" i="16"/>
  <c r="AL1645" i="16"/>
  <c r="AK1645" i="16"/>
  <c r="AJ1645" i="16"/>
  <c r="AI1645" i="16"/>
  <c r="AF1645" i="16"/>
  <c r="AN1644" i="16"/>
  <c r="AM1644" i="16"/>
  <c r="AL1644" i="16"/>
  <c r="AK1644" i="16"/>
  <c r="AJ1644" i="16"/>
  <c r="AI1644" i="16"/>
  <c r="AF1644" i="16"/>
  <c r="AN1643" i="16"/>
  <c r="AM1643" i="16"/>
  <c r="AL1643" i="16"/>
  <c r="AK1643" i="16"/>
  <c r="AJ1643" i="16"/>
  <c r="AI1643" i="16"/>
  <c r="AF1643" i="16"/>
  <c r="AN1642" i="16"/>
  <c r="AM1642" i="16"/>
  <c r="AL1642" i="16"/>
  <c r="AK1642" i="16"/>
  <c r="AJ1642" i="16"/>
  <c r="AI1642" i="16"/>
  <c r="AF1642" i="16"/>
  <c r="AN1641" i="16"/>
  <c r="AM1641" i="16"/>
  <c r="AL1641" i="16"/>
  <c r="AK1641" i="16"/>
  <c r="AJ1641" i="16"/>
  <c r="AI1641" i="16"/>
  <c r="AF1641" i="16"/>
  <c r="AN1640" i="16"/>
  <c r="AM1640" i="16"/>
  <c r="AL1640" i="16"/>
  <c r="AK1640" i="16"/>
  <c r="AJ1640" i="16"/>
  <c r="AI1640" i="16"/>
  <c r="AF1640" i="16"/>
  <c r="AN1639" i="16"/>
  <c r="AM1639" i="16"/>
  <c r="AL1639" i="16"/>
  <c r="AK1639" i="16"/>
  <c r="AJ1639" i="16"/>
  <c r="AI1639" i="16"/>
  <c r="AF1639" i="16"/>
  <c r="AN1638" i="16"/>
  <c r="AM1638" i="16"/>
  <c r="AL1638" i="16"/>
  <c r="AK1638" i="16"/>
  <c r="AJ1638" i="16"/>
  <c r="AI1638" i="16"/>
  <c r="AF1638" i="16"/>
  <c r="AN1637" i="16"/>
  <c r="AM1637" i="16"/>
  <c r="AL1637" i="16"/>
  <c r="AK1637" i="16"/>
  <c r="AJ1637" i="16"/>
  <c r="AI1637" i="16"/>
  <c r="AF1637" i="16"/>
  <c r="AN1636" i="16"/>
  <c r="AM1636" i="16"/>
  <c r="AL1636" i="16"/>
  <c r="AK1636" i="16"/>
  <c r="AJ1636" i="16"/>
  <c r="AI1636" i="16"/>
  <c r="AF1636" i="16"/>
  <c r="AN1635" i="16"/>
  <c r="AM1635" i="16"/>
  <c r="AL1635" i="16"/>
  <c r="AK1635" i="16"/>
  <c r="AJ1635" i="16"/>
  <c r="AI1635" i="16"/>
  <c r="AF1635" i="16"/>
  <c r="AN1634" i="16"/>
  <c r="AM1634" i="16"/>
  <c r="AL1634" i="16"/>
  <c r="AK1634" i="16"/>
  <c r="AJ1634" i="16"/>
  <c r="AI1634" i="16"/>
  <c r="AF1634" i="16"/>
  <c r="AN1633" i="16"/>
  <c r="AM1633" i="16"/>
  <c r="AL1633" i="16"/>
  <c r="AK1633" i="16"/>
  <c r="AJ1633" i="16"/>
  <c r="AI1633" i="16"/>
  <c r="AF1633" i="16"/>
  <c r="AN1632" i="16"/>
  <c r="AM1632" i="16"/>
  <c r="AL1632" i="16"/>
  <c r="AK1632" i="16"/>
  <c r="AJ1632" i="16"/>
  <c r="AI1632" i="16"/>
  <c r="AF1632" i="16"/>
  <c r="AN1631" i="16"/>
  <c r="AM1631" i="16"/>
  <c r="AL1631" i="16"/>
  <c r="AK1631" i="16"/>
  <c r="AJ1631" i="16"/>
  <c r="AI1631" i="16"/>
  <c r="AF1631" i="16"/>
  <c r="AN1630" i="16"/>
  <c r="AM1630" i="16"/>
  <c r="AL1630" i="16"/>
  <c r="AK1630" i="16"/>
  <c r="AJ1630" i="16"/>
  <c r="AI1630" i="16"/>
  <c r="AF1630" i="16"/>
  <c r="AN1629" i="16"/>
  <c r="AM1629" i="16"/>
  <c r="AL1629" i="16"/>
  <c r="AK1629" i="16"/>
  <c r="AJ1629" i="16"/>
  <c r="AI1629" i="16"/>
  <c r="AF1629" i="16"/>
  <c r="AN1628" i="16"/>
  <c r="AM1628" i="16"/>
  <c r="AL1628" i="16"/>
  <c r="AK1628" i="16"/>
  <c r="AJ1628" i="16"/>
  <c r="AI1628" i="16"/>
  <c r="AF1628" i="16"/>
  <c r="AN1627" i="16"/>
  <c r="AM1627" i="16"/>
  <c r="AL1627" i="16"/>
  <c r="AK1627" i="16"/>
  <c r="AJ1627" i="16"/>
  <c r="AI1627" i="16"/>
  <c r="AF1627" i="16"/>
  <c r="AN1626" i="16"/>
  <c r="AM1626" i="16"/>
  <c r="AL1626" i="16"/>
  <c r="AK1626" i="16"/>
  <c r="AJ1626" i="16"/>
  <c r="AI1626" i="16"/>
  <c r="AF1626" i="16"/>
  <c r="AN1625" i="16"/>
  <c r="AM1625" i="16"/>
  <c r="AL1625" i="16"/>
  <c r="AK1625" i="16"/>
  <c r="AJ1625" i="16"/>
  <c r="AI1625" i="16"/>
  <c r="AF1625" i="16"/>
  <c r="AN1624" i="16"/>
  <c r="AM1624" i="16"/>
  <c r="AL1624" i="16"/>
  <c r="AK1624" i="16"/>
  <c r="AJ1624" i="16"/>
  <c r="AI1624" i="16"/>
  <c r="AF1624" i="16"/>
  <c r="AN1623" i="16"/>
  <c r="AM1623" i="16"/>
  <c r="AL1623" i="16"/>
  <c r="AK1623" i="16"/>
  <c r="AJ1623" i="16"/>
  <c r="AI1623" i="16"/>
  <c r="AF1623" i="16"/>
  <c r="AN1622" i="16"/>
  <c r="AM1622" i="16"/>
  <c r="AL1622" i="16"/>
  <c r="AK1622" i="16"/>
  <c r="AJ1622" i="16"/>
  <c r="AI1622" i="16"/>
  <c r="AF1622" i="16"/>
  <c r="AN1621" i="16"/>
  <c r="AM1621" i="16"/>
  <c r="AL1621" i="16"/>
  <c r="AK1621" i="16"/>
  <c r="AJ1621" i="16"/>
  <c r="AI1621" i="16"/>
  <c r="AF1621" i="16"/>
  <c r="AN1620" i="16"/>
  <c r="AM1620" i="16"/>
  <c r="AL1620" i="16"/>
  <c r="AK1620" i="16"/>
  <c r="AJ1620" i="16"/>
  <c r="AI1620" i="16"/>
  <c r="AF1620" i="16"/>
  <c r="AN1619" i="16"/>
  <c r="AM1619" i="16"/>
  <c r="AL1619" i="16"/>
  <c r="AK1619" i="16"/>
  <c r="AJ1619" i="16"/>
  <c r="AI1619" i="16"/>
  <c r="AF1619" i="16"/>
  <c r="AN1618" i="16"/>
  <c r="AM1618" i="16"/>
  <c r="AL1618" i="16"/>
  <c r="AK1618" i="16"/>
  <c r="AJ1618" i="16"/>
  <c r="AI1618" i="16"/>
  <c r="AF1618" i="16"/>
  <c r="AN1617" i="16"/>
  <c r="AM1617" i="16"/>
  <c r="AL1617" i="16"/>
  <c r="AK1617" i="16"/>
  <c r="AJ1617" i="16"/>
  <c r="AI1617" i="16"/>
  <c r="AF1617" i="16"/>
  <c r="AN1616" i="16"/>
  <c r="AM1616" i="16"/>
  <c r="AL1616" i="16"/>
  <c r="AK1616" i="16"/>
  <c r="AJ1616" i="16"/>
  <c r="AI1616" i="16"/>
  <c r="AF1616" i="16"/>
  <c r="AN1615" i="16"/>
  <c r="AM1615" i="16"/>
  <c r="AL1615" i="16"/>
  <c r="AK1615" i="16"/>
  <c r="AJ1615" i="16"/>
  <c r="AI1615" i="16"/>
  <c r="AF1615" i="16"/>
  <c r="AN1614" i="16"/>
  <c r="AM1614" i="16"/>
  <c r="AL1614" i="16"/>
  <c r="AK1614" i="16"/>
  <c r="AJ1614" i="16"/>
  <c r="AI1614" i="16"/>
  <c r="AF1614" i="16"/>
  <c r="AN1613" i="16"/>
  <c r="AM1613" i="16"/>
  <c r="AL1613" i="16"/>
  <c r="AK1613" i="16"/>
  <c r="AJ1613" i="16"/>
  <c r="AI1613" i="16"/>
  <c r="AF1613" i="16"/>
  <c r="AN1612" i="16"/>
  <c r="AM1612" i="16"/>
  <c r="AL1612" i="16"/>
  <c r="AK1612" i="16"/>
  <c r="AJ1612" i="16"/>
  <c r="AI1612" i="16"/>
  <c r="AF1612" i="16"/>
  <c r="AN1611" i="16"/>
  <c r="AM1611" i="16"/>
  <c r="AL1611" i="16"/>
  <c r="AK1611" i="16"/>
  <c r="AJ1611" i="16"/>
  <c r="AI1611" i="16"/>
  <c r="AF1611" i="16"/>
  <c r="AN1610" i="16"/>
  <c r="AM1610" i="16"/>
  <c r="AL1610" i="16"/>
  <c r="AK1610" i="16"/>
  <c r="AJ1610" i="16"/>
  <c r="AI1610" i="16"/>
  <c r="AF1610" i="16"/>
  <c r="AN1609" i="16"/>
  <c r="AM1609" i="16"/>
  <c r="AL1609" i="16"/>
  <c r="AK1609" i="16"/>
  <c r="AJ1609" i="16"/>
  <c r="AI1609" i="16"/>
  <c r="AF1609" i="16"/>
  <c r="AN1608" i="16"/>
  <c r="AM1608" i="16"/>
  <c r="AL1608" i="16"/>
  <c r="AK1608" i="16"/>
  <c r="AJ1608" i="16"/>
  <c r="AI1608" i="16"/>
  <c r="AF1608" i="16"/>
  <c r="AN1607" i="16"/>
  <c r="AM1607" i="16"/>
  <c r="AL1607" i="16"/>
  <c r="AK1607" i="16"/>
  <c r="AJ1607" i="16"/>
  <c r="AI1607" i="16"/>
  <c r="AF1607" i="16"/>
  <c r="AN1606" i="16"/>
  <c r="AM1606" i="16"/>
  <c r="AL1606" i="16"/>
  <c r="AK1606" i="16"/>
  <c r="AJ1606" i="16"/>
  <c r="AI1606" i="16"/>
  <c r="AF1606" i="16"/>
  <c r="AN1605" i="16"/>
  <c r="AM1605" i="16"/>
  <c r="AL1605" i="16"/>
  <c r="AK1605" i="16"/>
  <c r="AJ1605" i="16"/>
  <c r="AI1605" i="16"/>
  <c r="AF1605" i="16"/>
  <c r="AN1604" i="16"/>
  <c r="AM1604" i="16"/>
  <c r="AL1604" i="16"/>
  <c r="AK1604" i="16"/>
  <c r="AJ1604" i="16"/>
  <c r="AI1604" i="16"/>
  <c r="AF1604" i="16"/>
  <c r="AN1603" i="16"/>
  <c r="AM1603" i="16"/>
  <c r="AL1603" i="16"/>
  <c r="AK1603" i="16"/>
  <c r="AJ1603" i="16"/>
  <c r="AI1603" i="16"/>
  <c r="AF1603" i="16"/>
  <c r="AN1602" i="16"/>
  <c r="AM1602" i="16"/>
  <c r="AL1602" i="16"/>
  <c r="AK1602" i="16"/>
  <c r="AJ1602" i="16"/>
  <c r="AI1602" i="16"/>
  <c r="AF1602" i="16"/>
  <c r="AN1601" i="16"/>
  <c r="AM1601" i="16"/>
  <c r="AL1601" i="16"/>
  <c r="AK1601" i="16"/>
  <c r="AJ1601" i="16"/>
  <c r="AI1601" i="16"/>
  <c r="AF1601" i="16"/>
  <c r="AN1600" i="16"/>
  <c r="AM1600" i="16"/>
  <c r="AL1600" i="16"/>
  <c r="AK1600" i="16"/>
  <c r="AJ1600" i="16"/>
  <c r="AI1600" i="16"/>
  <c r="AF1600" i="16"/>
  <c r="AN1599" i="16"/>
  <c r="AM1599" i="16"/>
  <c r="AL1599" i="16"/>
  <c r="AK1599" i="16"/>
  <c r="AJ1599" i="16"/>
  <c r="AI1599" i="16"/>
  <c r="AF1599" i="16"/>
  <c r="AN1598" i="16"/>
  <c r="AM1598" i="16"/>
  <c r="AL1598" i="16"/>
  <c r="AK1598" i="16"/>
  <c r="AJ1598" i="16"/>
  <c r="AI1598" i="16"/>
  <c r="AF1598" i="16"/>
  <c r="AN1597" i="16"/>
  <c r="AM1597" i="16"/>
  <c r="AL1597" i="16"/>
  <c r="AK1597" i="16"/>
  <c r="AJ1597" i="16"/>
  <c r="AI1597" i="16"/>
  <c r="AF1597" i="16"/>
  <c r="AN1596" i="16"/>
  <c r="AM1596" i="16"/>
  <c r="AL1596" i="16"/>
  <c r="AK1596" i="16"/>
  <c r="AJ1596" i="16"/>
  <c r="AI1596" i="16"/>
  <c r="AF1596" i="16"/>
  <c r="AN1595" i="16"/>
  <c r="AM1595" i="16"/>
  <c r="AL1595" i="16"/>
  <c r="AK1595" i="16"/>
  <c r="AJ1595" i="16"/>
  <c r="AI1595" i="16"/>
  <c r="AF1595" i="16"/>
  <c r="AN1594" i="16"/>
  <c r="AM1594" i="16"/>
  <c r="AL1594" i="16"/>
  <c r="AK1594" i="16"/>
  <c r="AJ1594" i="16"/>
  <c r="AI1594" i="16"/>
  <c r="AF1594" i="16"/>
  <c r="AN1593" i="16"/>
  <c r="AM1593" i="16"/>
  <c r="AL1593" i="16"/>
  <c r="AK1593" i="16"/>
  <c r="AJ1593" i="16"/>
  <c r="AI1593" i="16"/>
  <c r="AF1593" i="16"/>
  <c r="AN1592" i="16"/>
  <c r="AM1592" i="16"/>
  <c r="AL1592" i="16"/>
  <c r="AK1592" i="16"/>
  <c r="AJ1592" i="16"/>
  <c r="AI1592" i="16"/>
  <c r="AF1592" i="16"/>
  <c r="AN1591" i="16"/>
  <c r="AM1591" i="16"/>
  <c r="AL1591" i="16"/>
  <c r="AK1591" i="16"/>
  <c r="AJ1591" i="16"/>
  <c r="AI1591" i="16"/>
  <c r="AF1591" i="16"/>
  <c r="AN1590" i="16"/>
  <c r="AM1590" i="16"/>
  <c r="AL1590" i="16"/>
  <c r="AK1590" i="16"/>
  <c r="AJ1590" i="16"/>
  <c r="AI1590" i="16"/>
  <c r="AF1590" i="16"/>
  <c r="AN1589" i="16"/>
  <c r="AM1589" i="16"/>
  <c r="AL1589" i="16"/>
  <c r="AK1589" i="16"/>
  <c r="AJ1589" i="16"/>
  <c r="AI1589" i="16"/>
  <c r="AF1589" i="16"/>
  <c r="AN1588" i="16"/>
  <c r="AM1588" i="16"/>
  <c r="AL1588" i="16"/>
  <c r="AK1588" i="16"/>
  <c r="AJ1588" i="16"/>
  <c r="AI1588" i="16"/>
  <c r="AF1588" i="16"/>
  <c r="AN1587" i="16"/>
  <c r="AM1587" i="16"/>
  <c r="AL1587" i="16"/>
  <c r="AK1587" i="16"/>
  <c r="AJ1587" i="16"/>
  <c r="AI1587" i="16"/>
  <c r="AF1587" i="16"/>
  <c r="AN1586" i="16"/>
  <c r="AM1586" i="16"/>
  <c r="AL1586" i="16"/>
  <c r="AK1586" i="16"/>
  <c r="AJ1586" i="16"/>
  <c r="AI1586" i="16"/>
  <c r="AF1586" i="16"/>
  <c r="AN1585" i="16"/>
  <c r="AM1585" i="16"/>
  <c r="AL1585" i="16"/>
  <c r="AK1585" i="16"/>
  <c r="AJ1585" i="16"/>
  <c r="AI1585" i="16"/>
  <c r="AF1585" i="16"/>
  <c r="AN1584" i="16"/>
  <c r="AM1584" i="16"/>
  <c r="AL1584" i="16"/>
  <c r="AK1584" i="16"/>
  <c r="AJ1584" i="16"/>
  <c r="AI1584" i="16"/>
  <c r="AF1584" i="16"/>
  <c r="AN1583" i="16"/>
  <c r="AM1583" i="16"/>
  <c r="AL1583" i="16"/>
  <c r="AK1583" i="16"/>
  <c r="AJ1583" i="16"/>
  <c r="AI1583" i="16"/>
  <c r="AF1583" i="16"/>
  <c r="AN1582" i="16"/>
  <c r="AM1582" i="16"/>
  <c r="AL1582" i="16"/>
  <c r="AK1582" i="16"/>
  <c r="AJ1582" i="16"/>
  <c r="AI1582" i="16"/>
  <c r="AF1582" i="16"/>
  <c r="AN1581" i="16"/>
  <c r="AM1581" i="16"/>
  <c r="AL1581" i="16"/>
  <c r="AK1581" i="16"/>
  <c r="AJ1581" i="16"/>
  <c r="AI1581" i="16"/>
  <c r="AF1581" i="16"/>
  <c r="AN1580" i="16"/>
  <c r="AM1580" i="16"/>
  <c r="AL1580" i="16"/>
  <c r="AK1580" i="16"/>
  <c r="AJ1580" i="16"/>
  <c r="AI1580" i="16"/>
  <c r="AF1580" i="16"/>
  <c r="AN1579" i="16"/>
  <c r="AM1579" i="16"/>
  <c r="AL1579" i="16"/>
  <c r="AK1579" i="16"/>
  <c r="AJ1579" i="16"/>
  <c r="AI1579" i="16"/>
  <c r="AF1579" i="16"/>
  <c r="AN1578" i="16"/>
  <c r="AM1578" i="16"/>
  <c r="AL1578" i="16"/>
  <c r="AK1578" i="16"/>
  <c r="AJ1578" i="16"/>
  <c r="AI1578" i="16"/>
  <c r="AF1578" i="16"/>
  <c r="AN1577" i="16"/>
  <c r="AM1577" i="16"/>
  <c r="AL1577" i="16"/>
  <c r="AK1577" i="16"/>
  <c r="AJ1577" i="16"/>
  <c r="AI1577" i="16"/>
  <c r="AF1577" i="16"/>
  <c r="AN1576" i="16"/>
  <c r="AM1576" i="16"/>
  <c r="AL1576" i="16"/>
  <c r="AK1576" i="16"/>
  <c r="AJ1576" i="16"/>
  <c r="AI1576" i="16"/>
  <c r="AF1576" i="16"/>
  <c r="AN1575" i="16"/>
  <c r="AM1575" i="16"/>
  <c r="AL1575" i="16"/>
  <c r="AK1575" i="16"/>
  <c r="AJ1575" i="16"/>
  <c r="AI1575" i="16"/>
  <c r="AF1575" i="16"/>
  <c r="AN1574" i="16"/>
  <c r="AM1574" i="16"/>
  <c r="AL1574" i="16"/>
  <c r="AK1574" i="16"/>
  <c r="AJ1574" i="16"/>
  <c r="AI1574" i="16"/>
  <c r="AF1574" i="16"/>
  <c r="AN1573" i="16"/>
  <c r="AM1573" i="16"/>
  <c r="AL1573" i="16"/>
  <c r="AK1573" i="16"/>
  <c r="AJ1573" i="16"/>
  <c r="AI1573" i="16"/>
  <c r="AF1573" i="16"/>
  <c r="AN1572" i="16"/>
  <c r="AM1572" i="16"/>
  <c r="AL1572" i="16"/>
  <c r="AK1572" i="16"/>
  <c r="AJ1572" i="16"/>
  <c r="AI1572" i="16"/>
  <c r="AF1572" i="16"/>
  <c r="AN1571" i="16"/>
  <c r="AM1571" i="16"/>
  <c r="AL1571" i="16"/>
  <c r="AK1571" i="16"/>
  <c r="AJ1571" i="16"/>
  <c r="AI1571" i="16"/>
  <c r="AF1571" i="16"/>
  <c r="AN1570" i="16"/>
  <c r="AM1570" i="16"/>
  <c r="AL1570" i="16"/>
  <c r="AK1570" i="16"/>
  <c r="AJ1570" i="16"/>
  <c r="AI1570" i="16"/>
  <c r="AF1570" i="16"/>
  <c r="AN1569" i="16"/>
  <c r="AM1569" i="16"/>
  <c r="AL1569" i="16"/>
  <c r="AK1569" i="16"/>
  <c r="AJ1569" i="16"/>
  <c r="AI1569" i="16"/>
  <c r="AF1569" i="16"/>
  <c r="AN1568" i="16"/>
  <c r="AM1568" i="16"/>
  <c r="AL1568" i="16"/>
  <c r="AK1568" i="16"/>
  <c r="AJ1568" i="16"/>
  <c r="AI1568" i="16"/>
  <c r="AF1568" i="16"/>
  <c r="AN1567" i="16"/>
  <c r="AM1567" i="16"/>
  <c r="AL1567" i="16"/>
  <c r="AK1567" i="16"/>
  <c r="AJ1567" i="16"/>
  <c r="AI1567" i="16"/>
  <c r="AF1567" i="16"/>
  <c r="AN1566" i="16"/>
  <c r="AM1566" i="16"/>
  <c r="AL1566" i="16"/>
  <c r="AK1566" i="16"/>
  <c r="AJ1566" i="16"/>
  <c r="AI1566" i="16"/>
  <c r="AF1566" i="16"/>
  <c r="AN1565" i="16"/>
  <c r="AM1565" i="16"/>
  <c r="AL1565" i="16"/>
  <c r="AK1565" i="16"/>
  <c r="AJ1565" i="16"/>
  <c r="AI1565" i="16"/>
  <c r="AF1565" i="16"/>
  <c r="AN1564" i="16"/>
  <c r="AM1564" i="16"/>
  <c r="AL1564" i="16"/>
  <c r="AK1564" i="16"/>
  <c r="AJ1564" i="16"/>
  <c r="AI1564" i="16"/>
  <c r="AF1564" i="16"/>
  <c r="AN1563" i="16"/>
  <c r="AM1563" i="16"/>
  <c r="AL1563" i="16"/>
  <c r="AK1563" i="16"/>
  <c r="AJ1563" i="16"/>
  <c r="AI1563" i="16"/>
  <c r="AF1563" i="16"/>
  <c r="AN1562" i="16"/>
  <c r="AM1562" i="16"/>
  <c r="AL1562" i="16"/>
  <c r="AK1562" i="16"/>
  <c r="AJ1562" i="16"/>
  <c r="AI1562" i="16"/>
  <c r="AF1562" i="16"/>
  <c r="AN1561" i="16"/>
  <c r="AM1561" i="16"/>
  <c r="AL1561" i="16"/>
  <c r="AK1561" i="16"/>
  <c r="AJ1561" i="16"/>
  <c r="AI1561" i="16"/>
  <c r="AF1561" i="16"/>
  <c r="AN1560" i="16"/>
  <c r="AM1560" i="16"/>
  <c r="AL1560" i="16"/>
  <c r="AK1560" i="16"/>
  <c r="AJ1560" i="16"/>
  <c r="AI1560" i="16"/>
  <c r="AF1560" i="16"/>
  <c r="AN1559" i="16"/>
  <c r="AM1559" i="16"/>
  <c r="AL1559" i="16"/>
  <c r="AK1559" i="16"/>
  <c r="AJ1559" i="16"/>
  <c r="AI1559" i="16"/>
  <c r="AF1559" i="16"/>
  <c r="AN1558" i="16"/>
  <c r="AM1558" i="16"/>
  <c r="AL1558" i="16"/>
  <c r="AK1558" i="16"/>
  <c r="AJ1558" i="16"/>
  <c r="AI1558" i="16"/>
  <c r="AF1558" i="16"/>
  <c r="AN1557" i="16"/>
  <c r="AM1557" i="16"/>
  <c r="AL1557" i="16"/>
  <c r="AK1557" i="16"/>
  <c r="AJ1557" i="16"/>
  <c r="AI1557" i="16"/>
  <c r="AF1557" i="16"/>
  <c r="AN1556" i="16"/>
  <c r="AM1556" i="16"/>
  <c r="AL1556" i="16"/>
  <c r="AK1556" i="16"/>
  <c r="AJ1556" i="16"/>
  <c r="AI1556" i="16"/>
  <c r="AF1556" i="16"/>
  <c r="AN1555" i="16"/>
  <c r="AM1555" i="16"/>
  <c r="AL1555" i="16"/>
  <c r="AK1555" i="16"/>
  <c r="AJ1555" i="16"/>
  <c r="AI1555" i="16"/>
  <c r="AF1555" i="16"/>
  <c r="AN1554" i="16"/>
  <c r="AM1554" i="16"/>
  <c r="AL1554" i="16"/>
  <c r="AK1554" i="16"/>
  <c r="AJ1554" i="16"/>
  <c r="AI1554" i="16"/>
  <c r="AF1554" i="16"/>
  <c r="AN1553" i="16"/>
  <c r="AM1553" i="16"/>
  <c r="AL1553" i="16"/>
  <c r="AK1553" i="16"/>
  <c r="AJ1553" i="16"/>
  <c r="AI1553" i="16"/>
  <c r="AF1553" i="16"/>
  <c r="AN1552" i="16"/>
  <c r="AM1552" i="16"/>
  <c r="AL1552" i="16"/>
  <c r="AK1552" i="16"/>
  <c r="AJ1552" i="16"/>
  <c r="AI1552" i="16"/>
  <c r="AF1552" i="16"/>
  <c r="AN1551" i="16"/>
  <c r="AM1551" i="16"/>
  <c r="AL1551" i="16"/>
  <c r="AK1551" i="16"/>
  <c r="AJ1551" i="16"/>
  <c r="AI1551" i="16"/>
  <c r="AF1551" i="16"/>
  <c r="AN1550" i="16"/>
  <c r="AM1550" i="16"/>
  <c r="AL1550" i="16"/>
  <c r="AK1550" i="16"/>
  <c r="AJ1550" i="16"/>
  <c r="AI1550" i="16"/>
  <c r="AF1550" i="16"/>
  <c r="AN1549" i="16"/>
  <c r="AM1549" i="16"/>
  <c r="AL1549" i="16"/>
  <c r="AK1549" i="16"/>
  <c r="AJ1549" i="16"/>
  <c r="AI1549" i="16"/>
  <c r="AF1549" i="16"/>
  <c r="AN1548" i="16"/>
  <c r="AM1548" i="16"/>
  <c r="AL1548" i="16"/>
  <c r="AK1548" i="16"/>
  <c r="AJ1548" i="16"/>
  <c r="AI1548" i="16"/>
  <c r="AF1548" i="16"/>
  <c r="AN1547" i="16"/>
  <c r="AM1547" i="16"/>
  <c r="AL1547" i="16"/>
  <c r="AK1547" i="16"/>
  <c r="AJ1547" i="16"/>
  <c r="AI1547" i="16"/>
  <c r="AF1547" i="16"/>
  <c r="AN1546" i="16"/>
  <c r="AM1546" i="16"/>
  <c r="AL1546" i="16"/>
  <c r="AK1546" i="16"/>
  <c r="AJ1546" i="16"/>
  <c r="AI1546" i="16"/>
  <c r="AF1546" i="16"/>
  <c r="AN1545" i="16"/>
  <c r="AM1545" i="16"/>
  <c r="AL1545" i="16"/>
  <c r="AK1545" i="16"/>
  <c r="AJ1545" i="16"/>
  <c r="AI1545" i="16"/>
  <c r="AF1545" i="16"/>
  <c r="AN1544" i="16"/>
  <c r="AM1544" i="16"/>
  <c r="AL1544" i="16"/>
  <c r="AK1544" i="16"/>
  <c r="AJ1544" i="16"/>
  <c r="AI1544" i="16"/>
  <c r="AF1544" i="16"/>
  <c r="AN1543" i="16"/>
  <c r="AM1543" i="16"/>
  <c r="AL1543" i="16"/>
  <c r="AK1543" i="16"/>
  <c r="AJ1543" i="16"/>
  <c r="AI1543" i="16"/>
  <c r="AF1543" i="16"/>
  <c r="AN1542" i="16"/>
  <c r="AM1542" i="16"/>
  <c r="AL1542" i="16"/>
  <c r="AK1542" i="16"/>
  <c r="AJ1542" i="16"/>
  <c r="AI1542" i="16"/>
  <c r="AF1542" i="16"/>
  <c r="AN1541" i="16"/>
  <c r="AM1541" i="16"/>
  <c r="AL1541" i="16"/>
  <c r="AK1541" i="16"/>
  <c r="AJ1541" i="16"/>
  <c r="AI1541" i="16"/>
  <c r="AF1541" i="16"/>
  <c r="AN1540" i="16"/>
  <c r="AM1540" i="16"/>
  <c r="AL1540" i="16"/>
  <c r="AK1540" i="16"/>
  <c r="AJ1540" i="16"/>
  <c r="AI1540" i="16"/>
  <c r="AF1540" i="16"/>
  <c r="AN1539" i="16"/>
  <c r="AM1539" i="16"/>
  <c r="AL1539" i="16"/>
  <c r="AK1539" i="16"/>
  <c r="AJ1539" i="16"/>
  <c r="AI1539" i="16"/>
  <c r="AF1539" i="16"/>
  <c r="AN1538" i="16"/>
  <c r="AM1538" i="16"/>
  <c r="AL1538" i="16"/>
  <c r="AK1538" i="16"/>
  <c r="AJ1538" i="16"/>
  <c r="AI1538" i="16"/>
  <c r="AF1538" i="16"/>
  <c r="AN1537" i="16"/>
  <c r="AM1537" i="16"/>
  <c r="AL1537" i="16"/>
  <c r="AK1537" i="16"/>
  <c r="AJ1537" i="16"/>
  <c r="AI1537" i="16"/>
  <c r="AF1537" i="16"/>
  <c r="AN1536" i="16"/>
  <c r="AM1536" i="16"/>
  <c r="AL1536" i="16"/>
  <c r="AK1536" i="16"/>
  <c r="AJ1536" i="16"/>
  <c r="AI1536" i="16"/>
  <c r="AF1536" i="16"/>
  <c r="AN1535" i="16"/>
  <c r="AM1535" i="16"/>
  <c r="AL1535" i="16"/>
  <c r="AK1535" i="16"/>
  <c r="AJ1535" i="16"/>
  <c r="AI1535" i="16"/>
  <c r="AF1535" i="16"/>
  <c r="AN1534" i="16"/>
  <c r="AM1534" i="16"/>
  <c r="AL1534" i="16"/>
  <c r="AK1534" i="16"/>
  <c r="AJ1534" i="16"/>
  <c r="AI1534" i="16"/>
  <c r="AF1534" i="16"/>
  <c r="AN1533" i="16"/>
  <c r="AM1533" i="16"/>
  <c r="AL1533" i="16"/>
  <c r="AK1533" i="16"/>
  <c r="AJ1533" i="16"/>
  <c r="AI1533" i="16"/>
  <c r="AF1533" i="16"/>
  <c r="AN1532" i="16"/>
  <c r="AM1532" i="16"/>
  <c r="AL1532" i="16"/>
  <c r="AK1532" i="16"/>
  <c r="AJ1532" i="16"/>
  <c r="AI1532" i="16"/>
  <c r="AF1532" i="16"/>
  <c r="AN1531" i="16"/>
  <c r="AM1531" i="16"/>
  <c r="AL1531" i="16"/>
  <c r="AK1531" i="16"/>
  <c r="AJ1531" i="16"/>
  <c r="AI1531" i="16"/>
  <c r="AF1531" i="16"/>
  <c r="AN1530" i="16"/>
  <c r="AM1530" i="16"/>
  <c r="AL1530" i="16"/>
  <c r="AK1530" i="16"/>
  <c r="AJ1530" i="16"/>
  <c r="AI1530" i="16"/>
  <c r="AF1530" i="16"/>
  <c r="AN1529" i="16"/>
  <c r="AM1529" i="16"/>
  <c r="AL1529" i="16"/>
  <c r="AK1529" i="16"/>
  <c r="AJ1529" i="16"/>
  <c r="AI1529" i="16"/>
  <c r="AF1529" i="16"/>
  <c r="AN1528" i="16"/>
  <c r="AM1528" i="16"/>
  <c r="AL1528" i="16"/>
  <c r="AK1528" i="16"/>
  <c r="AJ1528" i="16"/>
  <c r="AI1528" i="16"/>
  <c r="AF1528" i="16"/>
  <c r="AN1527" i="16"/>
  <c r="AM1527" i="16"/>
  <c r="AL1527" i="16"/>
  <c r="AK1527" i="16"/>
  <c r="AJ1527" i="16"/>
  <c r="AI1527" i="16"/>
  <c r="AF1527" i="16"/>
  <c r="AN1526" i="16"/>
  <c r="AM1526" i="16"/>
  <c r="AL1526" i="16"/>
  <c r="AK1526" i="16"/>
  <c r="AJ1526" i="16"/>
  <c r="AI1526" i="16"/>
  <c r="AF1526" i="16"/>
  <c r="AN1525" i="16"/>
  <c r="AM1525" i="16"/>
  <c r="AL1525" i="16"/>
  <c r="AK1525" i="16"/>
  <c r="AJ1525" i="16"/>
  <c r="AI1525" i="16"/>
  <c r="AF1525" i="16"/>
  <c r="AN1524" i="16"/>
  <c r="AM1524" i="16"/>
  <c r="AL1524" i="16"/>
  <c r="AK1524" i="16"/>
  <c r="AJ1524" i="16"/>
  <c r="AI1524" i="16"/>
  <c r="AF1524" i="16"/>
  <c r="AN1523" i="16"/>
  <c r="AM1523" i="16"/>
  <c r="AL1523" i="16"/>
  <c r="AK1523" i="16"/>
  <c r="AJ1523" i="16"/>
  <c r="AI1523" i="16"/>
  <c r="AF1523" i="16"/>
  <c r="AN1522" i="16"/>
  <c r="AM1522" i="16"/>
  <c r="AL1522" i="16"/>
  <c r="AK1522" i="16"/>
  <c r="AJ1522" i="16"/>
  <c r="AI1522" i="16"/>
  <c r="AF1522" i="16"/>
  <c r="AN1521" i="16"/>
  <c r="AM1521" i="16"/>
  <c r="AL1521" i="16"/>
  <c r="AK1521" i="16"/>
  <c r="AJ1521" i="16"/>
  <c r="AI1521" i="16"/>
  <c r="AF1521" i="16"/>
  <c r="AN1520" i="16"/>
  <c r="AM1520" i="16"/>
  <c r="AL1520" i="16"/>
  <c r="AK1520" i="16"/>
  <c r="AJ1520" i="16"/>
  <c r="AI1520" i="16"/>
  <c r="AF1520" i="16"/>
  <c r="AN1519" i="16"/>
  <c r="AM1519" i="16"/>
  <c r="AL1519" i="16"/>
  <c r="AK1519" i="16"/>
  <c r="AJ1519" i="16"/>
  <c r="AI1519" i="16"/>
  <c r="AF1519" i="16"/>
  <c r="AN1518" i="16"/>
  <c r="AM1518" i="16"/>
  <c r="AL1518" i="16"/>
  <c r="AK1518" i="16"/>
  <c r="AJ1518" i="16"/>
  <c r="AI1518" i="16"/>
  <c r="AF1518" i="16"/>
  <c r="AN1517" i="16"/>
  <c r="AM1517" i="16"/>
  <c r="AL1517" i="16"/>
  <c r="AK1517" i="16"/>
  <c r="AJ1517" i="16"/>
  <c r="AI1517" i="16"/>
  <c r="AF1517" i="16"/>
  <c r="AN1516" i="16"/>
  <c r="AM1516" i="16"/>
  <c r="AL1516" i="16"/>
  <c r="AK1516" i="16"/>
  <c r="AJ1516" i="16"/>
  <c r="AI1516" i="16"/>
  <c r="AF1516" i="16"/>
  <c r="AN1515" i="16"/>
  <c r="AM1515" i="16"/>
  <c r="AL1515" i="16"/>
  <c r="AK1515" i="16"/>
  <c r="AJ1515" i="16"/>
  <c r="AI1515" i="16"/>
  <c r="AF1515" i="16"/>
  <c r="AN1514" i="16"/>
  <c r="AM1514" i="16"/>
  <c r="AL1514" i="16"/>
  <c r="AK1514" i="16"/>
  <c r="AJ1514" i="16"/>
  <c r="AI1514" i="16"/>
  <c r="AF1514" i="16"/>
  <c r="AN1513" i="16"/>
  <c r="AM1513" i="16"/>
  <c r="AL1513" i="16"/>
  <c r="AK1513" i="16"/>
  <c r="AJ1513" i="16"/>
  <c r="AI1513" i="16"/>
  <c r="AF1513" i="16"/>
  <c r="AN1512" i="16"/>
  <c r="AM1512" i="16"/>
  <c r="AL1512" i="16"/>
  <c r="AK1512" i="16"/>
  <c r="AJ1512" i="16"/>
  <c r="AI1512" i="16"/>
  <c r="AF1512" i="16"/>
  <c r="AN1511" i="16"/>
  <c r="AM1511" i="16"/>
  <c r="AL1511" i="16"/>
  <c r="AK1511" i="16"/>
  <c r="AJ1511" i="16"/>
  <c r="AI1511" i="16"/>
  <c r="AF1511" i="16"/>
  <c r="AN1510" i="16"/>
  <c r="AM1510" i="16"/>
  <c r="AL1510" i="16"/>
  <c r="AK1510" i="16"/>
  <c r="AJ1510" i="16"/>
  <c r="AI1510" i="16"/>
  <c r="AF1510" i="16"/>
  <c r="AN1509" i="16"/>
  <c r="AM1509" i="16"/>
  <c r="AL1509" i="16"/>
  <c r="AK1509" i="16"/>
  <c r="AJ1509" i="16"/>
  <c r="AI1509" i="16"/>
  <c r="AF1509" i="16"/>
  <c r="AN1508" i="16"/>
  <c r="AM1508" i="16"/>
  <c r="AL1508" i="16"/>
  <c r="AK1508" i="16"/>
  <c r="AJ1508" i="16"/>
  <c r="AI1508" i="16"/>
  <c r="AF1508" i="16"/>
  <c r="AN1507" i="16"/>
  <c r="AM1507" i="16"/>
  <c r="AL1507" i="16"/>
  <c r="AK1507" i="16"/>
  <c r="AJ1507" i="16"/>
  <c r="AI1507" i="16"/>
  <c r="AF1507" i="16"/>
  <c r="AN1506" i="16"/>
  <c r="AM1506" i="16"/>
  <c r="AL1506" i="16"/>
  <c r="AK1506" i="16"/>
  <c r="AJ1506" i="16"/>
  <c r="AI1506" i="16"/>
  <c r="AF1506" i="16"/>
  <c r="AN1505" i="16"/>
  <c r="AM1505" i="16"/>
  <c r="AL1505" i="16"/>
  <c r="AK1505" i="16"/>
  <c r="AJ1505" i="16"/>
  <c r="AI1505" i="16"/>
  <c r="AF1505" i="16"/>
  <c r="AN1504" i="16"/>
  <c r="AM1504" i="16"/>
  <c r="AL1504" i="16"/>
  <c r="AK1504" i="16"/>
  <c r="AJ1504" i="16"/>
  <c r="AI1504" i="16"/>
  <c r="AF1504" i="16"/>
  <c r="AN1503" i="16"/>
  <c r="AM1503" i="16"/>
  <c r="AL1503" i="16"/>
  <c r="AK1503" i="16"/>
  <c r="AJ1503" i="16"/>
  <c r="AI1503" i="16"/>
  <c r="AF1503" i="16"/>
  <c r="AN1502" i="16"/>
  <c r="AM1502" i="16"/>
  <c r="AL1502" i="16"/>
  <c r="AK1502" i="16"/>
  <c r="AJ1502" i="16"/>
  <c r="AI1502" i="16"/>
  <c r="AF1502" i="16"/>
  <c r="AN1501" i="16"/>
  <c r="AM1501" i="16"/>
  <c r="AL1501" i="16"/>
  <c r="AK1501" i="16"/>
  <c r="AJ1501" i="16"/>
  <c r="AI1501" i="16"/>
  <c r="AF1501" i="16"/>
  <c r="AN1500" i="16"/>
  <c r="AM1500" i="16"/>
  <c r="AL1500" i="16"/>
  <c r="AK1500" i="16"/>
  <c r="AJ1500" i="16"/>
  <c r="AI1500" i="16"/>
  <c r="AF1500" i="16"/>
  <c r="AN1499" i="16"/>
  <c r="AM1499" i="16"/>
  <c r="AL1499" i="16"/>
  <c r="AK1499" i="16"/>
  <c r="AJ1499" i="16"/>
  <c r="AI1499" i="16"/>
  <c r="AF1499" i="16"/>
  <c r="AN1498" i="16"/>
  <c r="AM1498" i="16"/>
  <c r="AL1498" i="16"/>
  <c r="AK1498" i="16"/>
  <c r="AJ1498" i="16"/>
  <c r="AI1498" i="16"/>
  <c r="AF1498" i="16"/>
  <c r="AN1497" i="16"/>
  <c r="AM1497" i="16"/>
  <c r="AL1497" i="16"/>
  <c r="AK1497" i="16"/>
  <c r="AJ1497" i="16"/>
  <c r="AI1497" i="16"/>
  <c r="AF1497" i="16"/>
  <c r="AN1496" i="16"/>
  <c r="AM1496" i="16"/>
  <c r="AL1496" i="16"/>
  <c r="AK1496" i="16"/>
  <c r="AJ1496" i="16"/>
  <c r="AI1496" i="16"/>
  <c r="AF1496" i="16"/>
  <c r="AN1495" i="16"/>
  <c r="AM1495" i="16"/>
  <c r="AL1495" i="16"/>
  <c r="AK1495" i="16"/>
  <c r="AJ1495" i="16"/>
  <c r="AI1495" i="16"/>
  <c r="AF1495" i="16"/>
  <c r="AN1494" i="16"/>
  <c r="AM1494" i="16"/>
  <c r="AL1494" i="16"/>
  <c r="AK1494" i="16"/>
  <c r="AJ1494" i="16"/>
  <c r="AI1494" i="16"/>
  <c r="AF1494" i="16"/>
  <c r="AN1493" i="16"/>
  <c r="AM1493" i="16"/>
  <c r="AL1493" i="16"/>
  <c r="AK1493" i="16"/>
  <c r="AJ1493" i="16"/>
  <c r="AI1493" i="16"/>
  <c r="AF1493" i="16"/>
  <c r="AN1492" i="16"/>
  <c r="AM1492" i="16"/>
  <c r="AL1492" i="16"/>
  <c r="AK1492" i="16"/>
  <c r="AJ1492" i="16"/>
  <c r="AI1492" i="16"/>
  <c r="AF1492" i="16"/>
  <c r="AN1491" i="16"/>
  <c r="AM1491" i="16"/>
  <c r="AL1491" i="16"/>
  <c r="AK1491" i="16"/>
  <c r="AJ1491" i="16"/>
  <c r="AI1491" i="16"/>
  <c r="AF1491" i="16"/>
  <c r="AN1490" i="16"/>
  <c r="AM1490" i="16"/>
  <c r="AL1490" i="16"/>
  <c r="AK1490" i="16"/>
  <c r="AJ1490" i="16"/>
  <c r="AI1490" i="16"/>
  <c r="AF1490" i="16"/>
  <c r="AN1489" i="16"/>
  <c r="AM1489" i="16"/>
  <c r="AL1489" i="16"/>
  <c r="AK1489" i="16"/>
  <c r="AJ1489" i="16"/>
  <c r="AI1489" i="16"/>
  <c r="AF1489" i="16"/>
  <c r="AN1488" i="16"/>
  <c r="AM1488" i="16"/>
  <c r="AL1488" i="16"/>
  <c r="AK1488" i="16"/>
  <c r="AJ1488" i="16"/>
  <c r="AI1488" i="16"/>
  <c r="AF1488" i="16"/>
  <c r="AN1487" i="16"/>
  <c r="AM1487" i="16"/>
  <c r="AL1487" i="16"/>
  <c r="AK1487" i="16"/>
  <c r="AJ1487" i="16"/>
  <c r="AI1487" i="16"/>
  <c r="AF1487" i="16"/>
  <c r="AN1486" i="16"/>
  <c r="AM1486" i="16"/>
  <c r="AL1486" i="16"/>
  <c r="AK1486" i="16"/>
  <c r="AJ1486" i="16"/>
  <c r="AI1486" i="16"/>
  <c r="AF1486" i="16"/>
  <c r="AN1485" i="16"/>
  <c r="AM1485" i="16"/>
  <c r="AL1485" i="16"/>
  <c r="AK1485" i="16"/>
  <c r="AJ1485" i="16"/>
  <c r="AI1485" i="16"/>
  <c r="AF1485" i="16"/>
  <c r="AN1484" i="16"/>
  <c r="AM1484" i="16"/>
  <c r="AL1484" i="16"/>
  <c r="AK1484" i="16"/>
  <c r="AJ1484" i="16"/>
  <c r="AI1484" i="16"/>
  <c r="AF1484" i="16"/>
  <c r="AN1483" i="16"/>
  <c r="AM1483" i="16"/>
  <c r="AL1483" i="16"/>
  <c r="AK1483" i="16"/>
  <c r="AJ1483" i="16"/>
  <c r="AI1483" i="16"/>
  <c r="AF1483" i="16"/>
  <c r="AN1482" i="16"/>
  <c r="AM1482" i="16"/>
  <c r="AL1482" i="16"/>
  <c r="AK1482" i="16"/>
  <c r="AJ1482" i="16"/>
  <c r="AI1482" i="16"/>
  <c r="AF1482" i="16"/>
  <c r="AN1481" i="16"/>
  <c r="AM1481" i="16"/>
  <c r="AL1481" i="16"/>
  <c r="AK1481" i="16"/>
  <c r="AJ1481" i="16"/>
  <c r="AI1481" i="16"/>
  <c r="AF1481" i="16"/>
  <c r="AN1480" i="16"/>
  <c r="AM1480" i="16"/>
  <c r="AL1480" i="16"/>
  <c r="AK1480" i="16"/>
  <c r="AJ1480" i="16"/>
  <c r="AI1480" i="16"/>
  <c r="AF1480" i="16"/>
  <c r="AN1479" i="16"/>
  <c r="AM1479" i="16"/>
  <c r="AL1479" i="16"/>
  <c r="AK1479" i="16"/>
  <c r="AJ1479" i="16"/>
  <c r="AI1479" i="16"/>
  <c r="AF1479" i="16"/>
  <c r="AN1478" i="16"/>
  <c r="AM1478" i="16"/>
  <c r="AL1478" i="16"/>
  <c r="AK1478" i="16"/>
  <c r="AJ1478" i="16"/>
  <c r="AI1478" i="16"/>
  <c r="AF1478" i="16"/>
  <c r="AN1477" i="16"/>
  <c r="AM1477" i="16"/>
  <c r="AL1477" i="16"/>
  <c r="AK1477" i="16"/>
  <c r="AJ1477" i="16"/>
  <c r="AI1477" i="16"/>
  <c r="AF1477" i="16"/>
  <c r="AN1476" i="16"/>
  <c r="AM1476" i="16"/>
  <c r="AL1476" i="16"/>
  <c r="AK1476" i="16"/>
  <c r="AJ1476" i="16"/>
  <c r="AI1476" i="16"/>
  <c r="AF1476" i="16"/>
  <c r="AN1475" i="16"/>
  <c r="AM1475" i="16"/>
  <c r="AL1475" i="16"/>
  <c r="AK1475" i="16"/>
  <c r="AJ1475" i="16"/>
  <c r="AI1475" i="16"/>
  <c r="AF1475" i="16"/>
  <c r="AN1474" i="16"/>
  <c r="AM1474" i="16"/>
  <c r="AL1474" i="16"/>
  <c r="AK1474" i="16"/>
  <c r="AJ1474" i="16"/>
  <c r="AI1474" i="16"/>
  <c r="AF1474" i="16"/>
  <c r="AN1473" i="16"/>
  <c r="AM1473" i="16"/>
  <c r="AL1473" i="16"/>
  <c r="AK1473" i="16"/>
  <c r="AJ1473" i="16"/>
  <c r="AI1473" i="16"/>
  <c r="AF1473" i="16"/>
  <c r="AN1472" i="16"/>
  <c r="AM1472" i="16"/>
  <c r="AL1472" i="16"/>
  <c r="AK1472" i="16"/>
  <c r="AJ1472" i="16"/>
  <c r="AI1472" i="16"/>
  <c r="AF1472" i="16"/>
  <c r="AN1471" i="16"/>
  <c r="AM1471" i="16"/>
  <c r="AL1471" i="16"/>
  <c r="AK1471" i="16"/>
  <c r="AJ1471" i="16"/>
  <c r="AI1471" i="16"/>
  <c r="AF1471" i="16"/>
  <c r="AN1470" i="16"/>
  <c r="AM1470" i="16"/>
  <c r="AL1470" i="16"/>
  <c r="AK1470" i="16"/>
  <c r="AJ1470" i="16"/>
  <c r="AI1470" i="16"/>
  <c r="AF1470" i="16"/>
  <c r="AN1469" i="16"/>
  <c r="AM1469" i="16"/>
  <c r="AL1469" i="16"/>
  <c r="AK1469" i="16"/>
  <c r="AJ1469" i="16"/>
  <c r="AI1469" i="16"/>
  <c r="AF1469" i="16"/>
  <c r="AN1468" i="16"/>
  <c r="AM1468" i="16"/>
  <c r="AL1468" i="16"/>
  <c r="AK1468" i="16"/>
  <c r="AJ1468" i="16"/>
  <c r="AI1468" i="16"/>
  <c r="AF1468" i="16"/>
  <c r="AN1467" i="16"/>
  <c r="AM1467" i="16"/>
  <c r="AL1467" i="16"/>
  <c r="AK1467" i="16"/>
  <c r="AJ1467" i="16"/>
  <c r="AI1467" i="16"/>
  <c r="AF1467" i="16"/>
  <c r="AN1466" i="16"/>
  <c r="AM1466" i="16"/>
  <c r="AL1466" i="16"/>
  <c r="AK1466" i="16"/>
  <c r="AJ1466" i="16"/>
  <c r="AI1466" i="16"/>
  <c r="AF1466" i="16"/>
  <c r="AN1465" i="16"/>
  <c r="AM1465" i="16"/>
  <c r="AL1465" i="16"/>
  <c r="AK1465" i="16"/>
  <c r="AJ1465" i="16"/>
  <c r="AI1465" i="16"/>
  <c r="AF1465" i="16"/>
  <c r="AN1464" i="16"/>
  <c r="AM1464" i="16"/>
  <c r="AL1464" i="16"/>
  <c r="AK1464" i="16"/>
  <c r="AJ1464" i="16"/>
  <c r="AI1464" i="16"/>
  <c r="AF1464" i="16"/>
  <c r="AN1463" i="16"/>
  <c r="AM1463" i="16"/>
  <c r="AL1463" i="16"/>
  <c r="AK1463" i="16"/>
  <c r="AJ1463" i="16"/>
  <c r="AI1463" i="16"/>
  <c r="AF1463" i="16"/>
  <c r="AN1462" i="16"/>
  <c r="AM1462" i="16"/>
  <c r="AL1462" i="16"/>
  <c r="AK1462" i="16"/>
  <c r="AJ1462" i="16"/>
  <c r="AI1462" i="16"/>
  <c r="AF1462" i="16"/>
  <c r="AN1461" i="16"/>
  <c r="AM1461" i="16"/>
  <c r="AL1461" i="16"/>
  <c r="AK1461" i="16"/>
  <c r="AJ1461" i="16"/>
  <c r="AI1461" i="16"/>
  <c r="AF1461" i="16"/>
  <c r="AN1460" i="16"/>
  <c r="AM1460" i="16"/>
  <c r="AL1460" i="16"/>
  <c r="AK1460" i="16"/>
  <c r="AJ1460" i="16"/>
  <c r="AI1460" i="16"/>
  <c r="AF1460" i="16"/>
  <c r="AN1459" i="16"/>
  <c r="AM1459" i="16"/>
  <c r="AL1459" i="16"/>
  <c r="AK1459" i="16"/>
  <c r="AJ1459" i="16"/>
  <c r="AI1459" i="16"/>
  <c r="AF1459" i="16"/>
  <c r="AN1458" i="16"/>
  <c r="AM1458" i="16"/>
  <c r="AL1458" i="16"/>
  <c r="AK1458" i="16"/>
  <c r="AJ1458" i="16"/>
  <c r="AI1458" i="16"/>
  <c r="AF1458" i="16"/>
  <c r="AN1457" i="16"/>
  <c r="AM1457" i="16"/>
  <c r="AL1457" i="16"/>
  <c r="AK1457" i="16"/>
  <c r="AJ1457" i="16"/>
  <c r="AI1457" i="16"/>
  <c r="AF1457" i="16"/>
  <c r="AN1456" i="16"/>
  <c r="AM1456" i="16"/>
  <c r="AL1456" i="16"/>
  <c r="AK1456" i="16"/>
  <c r="AJ1456" i="16"/>
  <c r="AI1456" i="16"/>
  <c r="AF1456" i="16"/>
  <c r="AN1455" i="16"/>
  <c r="AM1455" i="16"/>
  <c r="AL1455" i="16"/>
  <c r="AK1455" i="16"/>
  <c r="AJ1455" i="16"/>
  <c r="AI1455" i="16"/>
  <c r="AF1455" i="16"/>
  <c r="AN1454" i="16"/>
  <c r="AM1454" i="16"/>
  <c r="AL1454" i="16"/>
  <c r="AK1454" i="16"/>
  <c r="AJ1454" i="16"/>
  <c r="AI1454" i="16"/>
  <c r="AF1454" i="16"/>
  <c r="AN1453" i="16"/>
  <c r="AM1453" i="16"/>
  <c r="AL1453" i="16"/>
  <c r="AK1453" i="16"/>
  <c r="AJ1453" i="16"/>
  <c r="AI1453" i="16"/>
  <c r="AF1453" i="16"/>
  <c r="AN1452" i="16"/>
  <c r="AM1452" i="16"/>
  <c r="AL1452" i="16"/>
  <c r="AK1452" i="16"/>
  <c r="AJ1452" i="16"/>
  <c r="AI1452" i="16"/>
  <c r="AF1452" i="16"/>
  <c r="AN1451" i="16"/>
  <c r="AM1451" i="16"/>
  <c r="AL1451" i="16"/>
  <c r="AK1451" i="16"/>
  <c r="AJ1451" i="16"/>
  <c r="AI1451" i="16"/>
  <c r="AF1451" i="16"/>
  <c r="AN1450" i="16"/>
  <c r="AM1450" i="16"/>
  <c r="AL1450" i="16"/>
  <c r="AK1450" i="16"/>
  <c r="AJ1450" i="16"/>
  <c r="AI1450" i="16"/>
  <c r="AF1450" i="16"/>
  <c r="AN1449" i="16"/>
  <c r="AM1449" i="16"/>
  <c r="AL1449" i="16"/>
  <c r="AK1449" i="16"/>
  <c r="AJ1449" i="16"/>
  <c r="AI1449" i="16"/>
  <c r="AF1449" i="16"/>
  <c r="AN1448" i="16"/>
  <c r="AM1448" i="16"/>
  <c r="AL1448" i="16"/>
  <c r="AK1448" i="16"/>
  <c r="AJ1448" i="16"/>
  <c r="AI1448" i="16"/>
  <c r="AF1448" i="16"/>
  <c r="AN1447" i="16"/>
  <c r="AM1447" i="16"/>
  <c r="AL1447" i="16"/>
  <c r="AK1447" i="16"/>
  <c r="AJ1447" i="16"/>
  <c r="AI1447" i="16"/>
  <c r="AF1447" i="16"/>
  <c r="AN1446" i="16"/>
  <c r="AM1446" i="16"/>
  <c r="AL1446" i="16"/>
  <c r="AK1446" i="16"/>
  <c r="AJ1446" i="16"/>
  <c r="AI1446" i="16"/>
  <c r="AF1446" i="16"/>
  <c r="AN1445" i="16"/>
  <c r="AM1445" i="16"/>
  <c r="AL1445" i="16"/>
  <c r="AK1445" i="16"/>
  <c r="AJ1445" i="16"/>
  <c r="AI1445" i="16"/>
  <c r="AF1445" i="16"/>
  <c r="AN1444" i="16"/>
  <c r="AM1444" i="16"/>
  <c r="AL1444" i="16"/>
  <c r="AK1444" i="16"/>
  <c r="AJ1444" i="16"/>
  <c r="AI1444" i="16"/>
  <c r="AF1444" i="16"/>
  <c r="AN1443" i="16"/>
  <c r="AM1443" i="16"/>
  <c r="AL1443" i="16"/>
  <c r="AK1443" i="16"/>
  <c r="AJ1443" i="16"/>
  <c r="AI1443" i="16"/>
  <c r="AF1443" i="16"/>
  <c r="AN1442" i="16"/>
  <c r="AM1442" i="16"/>
  <c r="AL1442" i="16"/>
  <c r="AK1442" i="16"/>
  <c r="AJ1442" i="16"/>
  <c r="AI1442" i="16"/>
  <c r="AF1442" i="16"/>
  <c r="AN1441" i="16"/>
  <c r="AM1441" i="16"/>
  <c r="AL1441" i="16"/>
  <c r="AK1441" i="16"/>
  <c r="AJ1441" i="16"/>
  <c r="AI1441" i="16"/>
  <c r="AF1441" i="16"/>
  <c r="AN1440" i="16"/>
  <c r="AM1440" i="16"/>
  <c r="AL1440" i="16"/>
  <c r="AK1440" i="16"/>
  <c r="AJ1440" i="16"/>
  <c r="AI1440" i="16"/>
  <c r="AF1440" i="16"/>
  <c r="AN1439" i="16"/>
  <c r="AM1439" i="16"/>
  <c r="AL1439" i="16"/>
  <c r="AK1439" i="16"/>
  <c r="AJ1439" i="16"/>
  <c r="AI1439" i="16"/>
  <c r="AF1439" i="16"/>
  <c r="AN1438" i="16"/>
  <c r="AM1438" i="16"/>
  <c r="AL1438" i="16"/>
  <c r="AK1438" i="16"/>
  <c r="AJ1438" i="16"/>
  <c r="AI1438" i="16"/>
  <c r="AF1438" i="16"/>
  <c r="AN1437" i="16"/>
  <c r="AM1437" i="16"/>
  <c r="AL1437" i="16"/>
  <c r="AK1437" i="16"/>
  <c r="AJ1437" i="16"/>
  <c r="AI1437" i="16"/>
  <c r="AF1437" i="16"/>
  <c r="AN1436" i="16"/>
  <c r="AM1436" i="16"/>
  <c r="AL1436" i="16"/>
  <c r="AK1436" i="16"/>
  <c r="AJ1436" i="16"/>
  <c r="AI1436" i="16"/>
  <c r="AF1436" i="16"/>
  <c r="AN1435" i="16"/>
  <c r="AM1435" i="16"/>
  <c r="AL1435" i="16"/>
  <c r="AK1435" i="16"/>
  <c r="AJ1435" i="16"/>
  <c r="AI1435" i="16"/>
  <c r="AF1435" i="16"/>
  <c r="AN1434" i="16"/>
  <c r="AM1434" i="16"/>
  <c r="AL1434" i="16"/>
  <c r="AK1434" i="16"/>
  <c r="AJ1434" i="16"/>
  <c r="AI1434" i="16"/>
  <c r="AF1434" i="16"/>
  <c r="AN1433" i="16"/>
  <c r="AM1433" i="16"/>
  <c r="AL1433" i="16"/>
  <c r="AK1433" i="16"/>
  <c r="AJ1433" i="16"/>
  <c r="AI1433" i="16"/>
  <c r="AF1433" i="16"/>
  <c r="AN1432" i="16"/>
  <c r="AM1432" i="16"/>
  <c r="AL1432" i="16"/>
  <c r="AK1432" i="16"/>
  <c r="AJ1432" i="16"/>
  <c r="AI1432" i="16"/>
  <c r="AF1432" i="16"/>
  <c r="AN1431" i="16"/>
  <c r="AM1431" i="16"/>
  <c r="AL1431" i="16"/>
  <c r="AK1431" i="16"/>
  <c r="AJ1431" i="16"/>
  <c r="AI1431" i="16"/>
  <c r="AF1431" i="16"/>
  <c r="AN1430" i="16"/>
  <c r="AM1430" i="16"/>
  <c r="AL1430" i="16"/>
  <c r="AK1430" i="16"/>
  <c r="AJ1430" i="16"/>
  <c r="AI1430" i="16"/>
  <c r="AF1430" i="16"/>
  <c r="AN1429" i="16"/>
  <c r="AM1429" i="16"/>
  <c r="AL1429" i="16"/>
  <c r="AK1429" i="16"/>
  <c r="AJ1429" i="16"/>
  <c r="AI1429" i="16"/>
  <c r="AF1429" i="16"/>
  <c r="AN1428" i="16"/>
  <c r="AM1428" i="16"/>
  <c r="AL1428" i="16"/>
  <c r="AK1428" i="16"/>
  <c r="AJ1428" i="16"/>
  <c r="AI1428" i="16"/>
  <c r="AF1428" i="16"/>
  <c r="AN1427" i="16"/>
  <c r="AM1427" i="16"/>
  <c r="AL1427" i="16"/>
  <c r="AK1427" i="16"/>
  <c r="AJ1427" i="16"/>
  <c r="AI1427" i="16"/>
  <c r="AF1427" i="16"/>
  <c r="AN1426" i="16"/>
  <c r="AM1426" i="16"/>
  <c r="AL1426" i="16"/>
  <c r="AK1426" i="16"/>
  <c r="AJ1426" i="16"/>
  <c r="AI1426" i="16"/>
  <c r="AF1426" i="16"/>
  <c r="AN1425" i="16"/>
  <c r="AM1425" i="16"/>
  <c r="AL1425" i="16"/>
  <c r="AK1425" i="16"/>
  <c r="AJ1425" i="16"/>
  <c r="AI1425" i="16"/>
  <c r="AF1425" i="16"/>
  <c r="AN1424" i="16"/>
  <c r="AM1424" i="16"/>
  <c r="AL1424" i="16"/>
  <c r="AK1424" i="16"/>
  <c r="AJ1424" i="16"/>
  <c r="AI1424" i="16"/>
  <c r="AF1424" i="16"/>
  <c r="AN1423" i="16"/>
  <c r="AM1423" i="16"/>
  <c r="AL1423" i="16"/>
  <c r="AK1423" i="16"/>
  <c r="AJ1423" i="16"/>
  <c r="AI1423" i="16"/>
  <c r="AF1423" i="16"/>
  <c r="AN1422" i="16"/>
  <c r="AM1422" i="16"/>
  <c r="AL1422" i="16"/>
  <c r="AK1422" i="16"/>
  <c r="AJ1422" i="16"/>
  <c r="AI1422" i="16"/>
  <c r="AF1422" i="16"/>
  <c r="AN1421" i="16"/>
  <c r="AM1421" i="16"/>
  <c r="AL1421" i="16"/>
  <c r="AK1421" i="16"/>
  <c r="AJ1421" i="16"/>
  <c r="AI1421" i="16"/>
  <c r="AF1421" i="16"/>
  <c r="AN1420" i="16"/>
  <c r="AM1420" i="16"/>
  <c r="AL1420" i="16"/>
  <c r="AK1420" i="16"/>
  <c r="AJ1420" i="16"/>
  <c r="AI1420" i="16"/>
  <c r="AF1420" i="16"/>
  <c r="AN1419" i="16"/>
  <c r="AM1419" i="16"/>
  <c r="AL1419" i="16"/>
  <c r="AK1419" i="16"/>
  <c r="AJ1419" i="16"/>
  <c r="AI1419" i="16"/>
  <c r="AF1419" i="16"/>
  <c r="AN1418" i="16"/>
  <c r="AM1418" i="16"/>
  <c r="AL1418" i="16"/>
  <c r="AK1418" i="16"/>
  <c r="AJ1418" i="16"/>
  <c r="AI1418" i="16"/>
  <c r="AF1418" i="16"/>
  <c r="AN1417" i="16"/>
  <c r="AM1417" i="16"/>
  <c r="AL1417" i="16"/>
  <c r="AK1417" i="16"/>
  <c r="AJ1417" i="16"/>
  <c r="AI1417" i="16"/>
  <c r="AF1417" i="16"/>
  <c r="AN1416" i="16"/>
  <c r="AM1416" i="16"/>
  <c r="AL1416" i="16"/>
  <c r="AK1416" i="16"/>
  <c r="AJ1416" i="16"/>
  <c r="AI1416" i="16"/>
  <c r="AF1416" i="16"/>
  <c r="AN1415" i="16"/>
  <c r="AM1415" i="16"/>
  <c r="AL1415" i="16"/>
  <c r="AK1415" i="16"/>
  <c r="AJ1415" i="16"/>
  <c r="AI1415" i="16"/>
  <c r="AF1415" i="16"/>
  <c r="AN1414" i="16"/>
  <c r="AM1414" i="16"/>
  <c r="AL1414" i="16"/>
  <c r="AK1414" i="16"/>
  <c r="AJ1414" i="16"/>
  <c r="AI1414" i="16"/>
  <c r="AF1414" i="16"/>
  <c r="AN1413" i="16"/>
  <c r="AM1413" i="16"/>
  <c r="AL1413" i="16"/>
  <c r="AK1413" i="16"/>
  <c r="AJ1413" i="16"/>
  <c r="AI1413" i="16"/>
  <c r="AF1413" i="16"/>
  <c r="AN1412" i="16"/>
  <c r="AM1412" i="16"/>
  <c r="AL1412" i="16"/>
  <c r="AK1412" i="16"/>
  <c r="AJ1412" i="16"/>
  <c r="AI1412" i="16"/>
  <c r="AF1412" i="16"/>
  <c r="AN1411" i="16"/>
  <c r="AM1411" i="16"/>
  <c r="AL1411" i="16"/>
  <c r="AK1411" i="16"/>
  <c r="AJ1411" i="16"/>
  <c r="AI1411" i="16"/>
  <c r="AF1411" i="16"/>
  <c r="AN1410" i="16"/>
  <c r="AM1410" i="16"/>
  <c r="AL1410" i="16"/>
  <c r="AK1410" i="16"/>
  <c r="AJ1410" i="16"/>
  <c r="AI1410" i="16"/>
  <c r="AF1410" i="16"/>
  <c r="AN1409" i="16"/>
  <c r="AM1409" i="16"/>
  <c r="AL1409" i="16"/>
  <c r="AK1409" i="16"/>
  <c r="AJ1409" i="16"/>
  <c r="AI1409" i="16"/>
  <c r="AF1409" i="16"/>
  <c r="AN1408" i="16"/>
  <c r="AM1408" i="16"/>
  <c r="AL1408" i="16"/>
  <c r="AK1408" i="16"/>
  <c r="AJ1408" i="16"/>
  <c r="AI1408" i="16"/>
  <c r="AF1408" i="16"/>
  <c r="AN1407" i="16"/>
  <c r="AM1407" i="16"/>
  <c r="AL1407" i="16"/>
  <c r="AK1407" i="16"/>
  <c r="AJ1407" i="16"/>
  <c r="AI1407" i="16"/>
  <c r="AF1407" i="16"/>
  <c r="AN1406" i="16"/>
  <c r="AM1406" i="16"/>
  <c r="AL1406" i="16"/>
  <c r="AK1406" i="16"/>
  <c r="AJ1406" i="16"/>
  <c r="AI1406" i="16"/>
  <c r="AF1406" i="16"/>
  <c r="AN1405" i="16"/>
  <c r="AM1405" i="16"/>
  <c r="AL1405" i="16"/>
  <c r="AK1405" i="16"/>
  <c r="AJ1405" i="16"/>
  <c r="AI1405" i="16"/>
  <c r="AF1405" i="16"/>
  <c r="AN1404" i="16"/>
  <c r="AM1404" i="16"/>
  <c r="AL1404" i="16"/>
  <c r="AK1404" i="16"/>
  <c r="AJ1404" i="16"/>
  <c r="AI1404" i="16"/>
  <c r="AF1404" i="16"/>
  <c r="AN1403" i="16"/>
  <c r="AM1403" i="16"/>
  <c r="AL1403" i="16"/>
  <c r="AK1403" i="16"/>
  <c r="AJ1403" i="16"/>
  <c r="AI1403" i="16"/>
  <c r="AF1403" i="16"/>
  <c r="AN1402" i="16"/>
  <c r="AM1402" i="16"/>
  <c r="AL1402" i="16"/>
  <c r="AK1402" i="16"/>
  <c r="AJ1402" i="16"/>
  <c r="AI1402" i="16"/>
  <c r="AF1402" i="16"/>
  <c r="AN1401" i="16"/>
  <c r="AM1401" i="16"/>
  <c r="AL1401" i="16"/>
  <c r="AK1401" i="16"/>
  <c r="AJ1401" i="16"/>
  <c r="AI1401" i="16"/>
  <c r="AF1401" i="16"/>
  <c r="AN1400" i="16"/>
  <c r="AM1400" i="16"/>
  <c r="AL1400" i="16"/>
  <c r="AK1400" i="16"/>
  <c r="AJ1400" i="16"/>
  <c r="AI1400" i="16"/>
  <c r="AF1400" i="16"/>
  <c r="AN1399" i="16"/>
  <c r="AM1399" i="16"/>
  <c r="AL1399" i="16"/>
  <c r="AK1399" i="16"/>
  <c r="AJ1399" i="16"/>
  <c r="AI1399" i="16"/>
  <c r="AF1399" i="16"/>
  <c r="AN1398" i="16"/>
  <c r="AM1398" i="16"/>
  <c r="AL1398" i="16"/>
  <c r="AK1398" i="16"/>
  <c r="AJ1398" i="16"/>
  <c r="AI1398" i="16"/>
  <c r="AF1398" i="16"/>
  <c r="AN1397" i="16"/>
  <c r="AM1397" i="16"/>
  <c r="AL1397" i="16"/>
  <c r="AK1397" i="16"/>
  <c r="AJ1397" i="16"/>
  <c r="AI1397" i="16"/>
  <c r="AF1397" i="16"/>
  <c r="AN1396" i="16"/>
  <c r="AM1396" i="16"/>
  <c r="AL1396" i="16"/>
  <c r="AK1396" i="16"/>
  <c r="AJ1396" i="16"/>
  <c r="AI1396" i="16"/>
  <c r="AF1396" i="16"/>
  <c r="AN1395" i="16"/>
  <c r="AM1395" i="16"/>
  <c r="AL1395" i="16"/>
  <c r="AK1395" i="16"/>
  <c r="AJ1395" i="16"/>
  <c r="AI1395" i="16"/>
  <c r="AF1395" i="16"/>
  <c r="AN1394" i="16"/>
  <c r="AM1394" i="16"/>
  <c r="AL1394" i="16"/>
  <c r="AK1394" i="16"/>
  <c r="AJ1394" i="16"/>
  <c r="AI1394" i="16"/>
  <c r="AF1394" i="16"/>
  <c r="AN1393" i="16"/>
  <c r="AM1393" i="16"/>
  <c r="AL1393" i="16"/>
  <c r="AK1393" i="16"/>
  <c r="AJ1393" i="16"/>
  <c r="AI1393" i="16"/>
  <c r="AF1393" i="16"/>
  <c r="AN1392" i="16"/>
  <c r="AM1392" i="16"/>
  <c r="AL1392" i="16"/>
  <c r="AK1392" i="16"/>
  <c r="AJ1392" i="16"/>
  <c r="AI1392" i="16"/>
  <c r="AF1392" i="16"/>
  <c r="AN1391" i="16"/>
  <c r="AM1391" i="16"/>
  <c r="AL1391" i="16"/>
  <c r="AK1391" i="16"/>
  <c r="AJ1391" i="16"/>
  <c r="AI1391" i="16"/>
  <c r="AF1391" i="16"/>
  <c r="AN1390" i="16"/>
  <c r="AM1390" i="16"/>
  <c r="AL1390" i="16"/>
  <c r="AK1390" i="16"/>
  <c r="AJ1390" i="16"/>
  <c r="AI1390" i="16"/>
  <c r="AF1390" i="16"/>
  <c r="AN1389" i="16"/>
  <c r="AM1389" i="16"/>
  <c r="AL1389" i="16"/>
  <c r="AK1389" i="16"/>
  <c r="AJ1389" i="16"/>
  <c r="AI1389" i="16"/>
  <c r="AF1389" i="16"/>
  <c r="AN1388" i="16"/>
  <c r="AM1388" i="16"/>
  <c r="AL1388" i="16"/>
  <c r="AK1388" i="16"/>
  <c r="AJ1388" i="16"/>
  <c r="AI1388" i="16"/>
  <c r="AF1388" i="16"/>
  <c r="AN1387" i="16"/>
  <c r="AM1387" i="16"/>
  <c r="AL1387" i="16"/>
  <c r="AK1387" i="16"/>
  <c r="AJ1387" i="16"/>
  <c r="AI1387" i="16"/>
  <c r="AF1387" i="16"/>
  <c r="AN1386" i="16"/>
  <c r="AM1386" i="16"/>
  <c r="AL1386" i="16"/>
  <c r="AK1386" i="16"/>
  <c r="AJ1386" i="16"/>
  <c r="AI1386" i="16"/>
  <c r="AF1386" i="16"/>
  <c r="AN1385" i="16"/>
  <c r="AM1385" i="16"/>
  <c r="AL1385" i="16"/>
  <c r="AK1385" i="16"/>
  <c r="AJ1385" i="16"/>
  <c r="AI1385" i="16"/>
  <c r="AF1385" i="16"/>
  <c r="AN1384" i="16"/>
  <c r="AM1384" i="16"/>
  <c r="AL1384" i="16"/>
  <c r="AK1384" i="16"/>
  <c r="AJ1384" i="16"/>
  <c r="AI1384" i="16"/>
  <c r="AF1384" i="16"/>
  <c r="AN1383" i="16"/>
  <c r="AM1383" i="16"/>
  <c r="AL1383" i="16"/>
  <c r="AK1383" i="16"/>
  <c r="AJ1383" i="16"/>
  <c r="AI1383" i="16"/>
  <c r="AF1383" i="16"/>
  <c r="AN1382" i="16"/>
  <c r="AM1382" i="16"/>
  <c r="AL1382" i="16"/>
  <c r="AK1382" i="16"/>
  <c r="AJ1382" i="16"/>
  <c r="AI1382" i="16"/>
  <c r="AF1382" i="16"/>
  <c r="AN1381" i="16"/>
  <c r="AM1381" i="16"/>
  <c r="AL1381" i="16"/>
  <c r="AK1381" i="16"/>
  <c r="AJ1381" i="16"/>
  <c r="AI1381" i="16"/>
  <c r="AF1381" i="16"/>
  <c r="AN1380" i="16"/>
  <c r="AM1380" i="16"/>
  <c r="AL1380" i="16"/>
  <c r="AK1380" i="16"/>
  <c r="AJ1380" i="16"/>
  <c r="AI1380" i="16"/>
  <c r="AF1380" i="16"/>
  <c r="AN1379" i="16"/>
  <c r="AM1379" i="16"/>
  <c r="AL1379" i="16"/>
  <c r="AK1379" i="16"/>
  <c r="AJ1379" i="16"/>
  <c r="AI1379" i="16"/>
  <c r="AF1379" i="16"/>
  <c r="AN1378" i="16"/>
  <c r="AM1378" i="16"/>
  <c r="AL1378" i="16"/>
  <c r="AK1378" i="16"/>
  <c r="AJ1378" i="16"/>
  <c r="AI1378" i="16"/>
  <c r="AF1378" i="16"/>
  <c r="AN1377" i="16"/>
  <c r="AM1377" i="16"/>
  <c r="AL1377" i="16"/>
  <c r="AK1377" i="16"/>
  <c r="AJ1377" i="16"/>
  <c r="AI1377" i="16"/>
  <c r="AF1377" i="16"/>
  <c r="AN1376" i="16"/>
  <c r="AM1376" i="16"/>
  <c r="AL1376" i="16"/>
  <c r="AK1376" i="16"/>
  <c r="AJ1376" i="16"/>
  <c r="AI1376" i="16"/>
  <c r="AF1376" i="16"/>
  <c r="AN1375" i="16"/>
  <c r="AM1375" i="16"/>
  <c r="AL1375" i="16"/>
  <c r="AK1375" i="16"/>
  <c r="AJ1375" i="16"/>
  <c r="AI1375" i="16"/>
  <c r="AF1375" i="16"/>
  <c r="AN1374" i="16"/>
  <c r="AM1374" i="16"/>
  <c r="AL1374" i="16"/>
  <c r="AK1374" i="16"/>
  <c r="AJ1374" i="16"/>
  <c r="AI1374" i="16"/>
  <c r="AF1374" i="16"/>
  <c r="AN1373" i="16"/>
  <c r="AM1373" i="16"/>
  <c r="AL1373" i="16"/>
  <c r="AK1373" i="16"/>
  <c r="AJ1373" i="16"/>
  <c r="AI1373" i="16"/>
  <c r="AF1373" i="16"/>
  <c r="AN1372" i="16"/>
  <c r="AM1372" i="16"/>
  <c r="AL1372" i="16"/>
  <c r="AK1372" i="16"/>
  <c r="AJ1372" i="16"/>
  <c r="AI1372" i="16"/>
  <c r="AF1372" i="16"/>
  <c r="AN1371" i="16"/>
  <c r="AM1371" i="16"/>
  <c r="AL1371" i="16"/>
  <c r="AK1371" i="16"/>
  <c r="AJ1371" i="16"/>
  <c r="AI1371" i="16"/>
  <c r="AF1371" i="16"/>
  <c r="AN1370" i="16"/>
  <c r="AM1370" i="16"/>
  <c r="AL1370" i="16"/>
  <c r="AK1370" i="16"/>
  <c r="AJ1370" i="16"/>
  <c r="AI1370" i="16"/>
  <c r="AF1370" i="16"/>
  <c r="AN1369" i="16"/>
  <c r="AM1369" i="16"/>
  <c r="AL1369" i="16"/>
  <c r="AK1369" i="16"/>
  <c r="AJ1369" i="16"/>
  <c r="AI1369" i="16"/>
  <c r="AF1369" i="16"/>
  <c r="AN1368" i="16"/>
  <c r="AM1368" i="16"/>
  <c r="AL1368" i="16"/>
  <c r="AK1368" i="16"/>
  <c r="AJ1368" i="16"/>
  <c r="AI1368" i="16"/>
  <c r="AF1368" i="16"/>
  <c r="AN1367" i="16"/>
  <c r="AM1367" i="16"/>
  <c r="AL1367" i="16"/>
  <c r="AK1367" i="16"/>
  <c r="AJ1367" i="16"/>
  <c r="AI1367" i="16"/>
  <c r="AF1367" i="16"/>
  <c r="AN1366" i="16"/>
  <c r="AM1366" i="16"/>
  <c r="AL1366" i="16"/>
  <c r="AK1366" i="16"/>
  <c r="AJ1366" i="16"/>
  <c r="AI1366" i="16"/>
  <c r="AF1366" i="16"/>
  <c r="AN1365" i="16"/>
  <c r="AM1365" i="16"/>
  <c r="AL1365" i="16"/>
  <c r="AK1365" i="16"/>
  <c r="AJ1365" i="16"/>
  <c r="AI1365" i="16"/>
  <c r="AF1365" i="16"/>
  <c r="AN1364" i="16"/>
  <c r="AM1364" i="16"/>
  <c r="AL1364" i="16"/>
  <c r="AK1364" i="16"/>
  <c r="AJ1364" i="16"/>
  <c r="AI1364" i="16"/>
  <c r="AF1364" i="16"/>
  <c r="AN1363" i="16"/>
  <c r="AM1363" i="16"/>
  <c r="AL1363" i="16"/>
  <c r="AK1363" i="16"/>
  <c r="AJ1363" i="16"/>
  <c r="AI1363" i="16"/>
  <c r="AF1363" i="16"/>
  <c r="AN1362" i="16"/>
  <c r="AM1362" i="16"/>
  <c r="AL1362" i="16"/>
  <c r="AK1362" i="16"/>
  <c r="AJ1362" i="16"/>
  <c r="AI1362" i="16"/>
  <c r="AF1362" i="16"/>
  <c r="AN1361" i="16"/>
  <c r="AM1361" i="16"/>
  <c r="AL1361" i="16"/>
  <c r="AK1361" i="16"/>
  <c r="AJ1361" i="16"/>
  <c r="AI1361" i="16"/>
  <c r="AF1361" i="16"/>
  <c r="AN1360" i="16"/>
  <c r="AM1360" i="16"/>
  <c r="AL1360" i="16"/>
  <c r="AK1360" i="16"/>
  <c r="AJ1360" i="16"/>
  <c r="AI1360" i="16"/>
  <c r="AF1360" i="16"/>
  <c r="AN1359" i="16"/>
  <c r="AM1359" i="16"/>
  <c r="AL1359" i="16"/>
  <c r="AK1359" i="16"/>
  <c r="AJ1359" i="16"/>
  <c r="AI1359" i="16"/>
  <c r="AF1359" i="16"/>
  <c r="AN1358" i="16"/>
  <c r="AM1358" i="16"/>
  <c r="AL1358" i="16"/>
  <c r="AK1358" i="16"/>
  <c r="AJ1358" i="16"/>
  <c r="AI1358" i="16"/>
  <c r="AF1358" i="16"/>
  <c r="AN1357" i="16"/>
  <c r="AM1357" i="16"/>
  <c r="AL1357" i="16"/>
  <c r="AK1357" i="16"/>
  <c r="AJ1357" i="16"/>
  <c r="AI1357" i="16"/>
  <c r="AF1357" i="16"/>
  <c r="AN1356" i="16"/>
  <c r="AM1356" i="16"/>
  <c r="AL1356" i="16"/>
  <c r="AK1356" i="16"/>
  <c r="AJ1356" i="16"/>
  <c r="AI1356" i="16"/>
  <c r="AF1356" i="16"/>
  <c r="AN1355" i="16"/>
  <c r="AM1355" i="16"/>
  <c r="AL1355" i="16"/>
  <c r="AK1355" i="16"/>
  <c r="AJ1355" i="16"/>
  <c r="AI1355" i="16"/>
  <c r="AF1355" i="16"/>
  <c r="AN1354" i="16"/>
  <c r="AM1354" i="16"/>
  <c r="AL1354" i="16"/>
  <c r="AK1354" i="16"/>
  <c r="AJ1354" i="16"/>
  <c r="AI1354" i="16"/>
  <c r="AF1354" i="16"/>
  <c r="AN1353" i="16"/>
  <c r="AM1353" i="16"/>
  <c r="AL1353" i="16"/>
  <c r="AK1353" i="16"/>
  <c r="AJ1353" i="16"/>
  <c r="AI1353" i="16"/>
  <c r="AF1353" i="16"/>
  <c r="AN1352" i="16"/>
  <c r="AM1352" i="16"/>
  <c r="AL1352" i="16"/>
  <c r="AK1352" i="16"/>
  <c r="AJ1352" i="16"/>
  <c r="AI1352" i="16"/>
  <c r="AF1352" i="16"/>
  <c r="AN1351" i="16"/>
  <c r="AM1351" i="16"/>
  <c r="AL1351" i="16"/>
  <c r="AK1351" i="16"/>
  <c r="AJ1351" i="16"/>
  <c r="AI1351" i="16"/>
  <c r="AF1351" i="16"/>
  <c r="AN1350" i="16"/>
  <c r="AM1350" i="16"/>
  <c r="AL1350" i="16"/>
  <c r="AK1350" i="16"/>
  <c r="AJ1350" i="16"/>
  <c r="AI1350" i="16"/>
  <c r="AF1350" i="16"/>
  <c r="AN1349" i="16"/>
  <c r="AM1349" i="16"/>
  <c r="AL1349" i="16"/>
  <c r="AK1349" i="16"/>
  <c r="AJ1349" i="16"/>
  <c r="AI1349" i="16"/>
  <c r="AF1349" i="16"/>
  <c r="AN1348" i="16"/>
  <c r="AM1348" i="16"/>
  <c r="AL1348" i="16"/>
  <c r="AK1348" i="16"/>
  <c r="AJ1348" i="16"/>
  <c r="AI1348" i="16"/>
  <c r="AF1348" i="16"/>
  <c r="AN1347" i="16"/>
  <c r="AM1347" i="16"/>
  <c r="AL1347" i="16"/>
  <c r="AK1347" i="16"/>
  <c r="AJ1347" i="16"/>
  <c r="AI1347" i="16"/>
  <c r="AF1347" i="16"/>
  <c r="AN1346" i="16"/>
  <c r="AM1346" i="16"/>
  <c r="AL1346" i="16"/>
  <c r="AK1346" i="16"/>
  <c r="AJ1346" i="16"/>
  <c r="AI1346" i="16"/>
  <c r="AF1346" i="16"/>
  <c r="AN1345" i="16"/>
  <c r="AM1345" i="16"/>
  <c r="AL1345" i="16"/>
  <c r="AK1345" i="16"/>
  <c r="AJ1345" i="16"/>
  <c r="AI1345" i="16"/>
  <c r="AF1345" i="16"/>
  <c r="AN1344" i="16"/>
  <c r="AM1344" i="16"/>
  <c r="AL1344" i="16"/>
  <c r="AK1344" i="16"/>
  <c r="AJ1344" i="16"/>
  <c r="AI1344" i="16"/>
  <c r="AF1344" i="16"/>
  <c r="AN1343" i="16"/>
  <c r="AM1343" i="16"/>
  <c r="AL1343" i="16"/>
  <c r="AK1343" i="16"/>
  <c r="AJ1343" i="16"/>
  <c r="AI1343" i="16"/>
  <c r="AF1343" i="16"/>
  <c r="AN1342" i="16"/>
  <c r="AM1342" i="16"/>
  <c r="AL1342" i="16"/>
  <c r="AK1342" i="16"/>
  <c r="AJ1342" i="16"/>
  <c r="AI1342" i="16"/>
  <c r="AF1342" i="16"/>
  <c r="AN1341" i="16"/>
  <c r="AM1341" i="16"/>
  <c r="AL1341" i="16"/>
  <c r="AK1341" i="16"/>
  <c r="AJ1341" i="16"/>
  <c r="AI1341" i="16"/>
  <c r="AF1341" i="16"/>
  <c r="AN1340" i="16"/>
  <c r="AM1340" i="16"/>
  <c r="AL1340" i="16"/>
  <c r="AK1340" i="16"/>
  <c r="AJ1340" i="16"/>
  <c r="AI1340" i="16"/>
  <c r="AF1340" i="16"/>
  <c r="AN1339" i="16"/>
  <c r="AM1339" i="16"/>
  <c r="AL1339" i="16"/>
  <c r="AK1339" i="16"/>
  <c r="AJ1339" i="16"/>
  <c r="AI1339" i="16"/>
  <c r="AF1339" i="16"/>
  <c r="AN1338" i="16"/>
  <c r="AM1338" i="16"/>
  <c r="AL1338" i="16"/>
  <c r="AK1338" i="16"/>
  <c r="AJ1338" i="16"/>
  <c r="AI1338" i="16"/>
  <c r="AF1338" i="16"/>
  <c r="AN1337" i="16"/>
  <c r="AM1337" i="16"/>
  <c r="AL1337" i="16"/>
  <c r="AK1337" i="16"/>
  <c r="AJ1337" i="16"/>
  <c r="AI1337" i="16"/>
  <c r="AF1337" i="16"/>
  <c r="AN1336" i="16"/>
  <c r="AM1336" i="16"/>
  <c r="AL1336" i="16"/>
  <c r="AK1336" i="16"/>
  <c r="AJ1336" i="16"/>
  <c r="AI1336" i="16"/>
  <c r="AF1336" i="16"/>
  <c r="AN1335" i="16"/>
  <c r="AM1335" i="16"/>
  <c r="AL1335" i="16"/>
  <c r="AK1335" i="16"/>
  <c r="AJ1335" i="16"/>
  <c r="AI1335" i="16"/>
  <c r="AF1335" i="16"/>
  <c r="AN1334" i="16"/>
  <c r="AM1334" i="16"/>
  <c r="AL1334" i="16"/>
  <c r="AK1334" i="16"/>
  <c r="AJ1334" i="16"/>
  <c r="AI1334" i="16"/>
  <c r="AF1334" i="16"/>
  <c r="AN1333" i="16"/>
  <c r="AM1333" i="16"/>
  <c r="AL1333" i="16"/>
  <c r="AK1333" i="16"/>
  <c r="AJ1333" i="16"/>
  <c r="AI1333" i="16"/>
  <c r="AF1333" i="16"/>
  <c r="AN1332" i="16"/>
  <c r="AM1332" i="16"/>
  <c r="AL1332" i="16"/>
  <c r="AK1332" i="16"/>
  <c r="AJ1332" i="16"/>
  <c r="AI1332" i="16"/>
  <c r="AF1332" i="16"/>
  <c r="AN1331" i="16"/>
  <c r="AM1331" i="16"/>
  <c r="AL1331" i="16"/>
  <c r="AK1331" i="16"/>
  <c r="AJ1331" i="16"/>
  <c r="AI1331" i="16"/>
  <c r="AF1331" i="16"/>
  <c r="AN1330" i="16"/>
  <c r="AM1330" i="16"/>
  <c r="AL1330" i="16"/>
  <c r="AK1330" i="16"/>
  <c r="AJ1330" i="16"/>
  <c r="AI1330" i="16"/>
  <c r="AF1330" i="16"/>
  <c r="AN1329" i="16"/>
  <c r="AM1329" i="16"/>
  <c r="AL1329" i="16"/>
  <c r="AK1329" i="16"/>
  <c r="AJ1329" i="16"/>
  <c r="AI1329" i="16"/>
  <c r="AF1329" i="16"/>
  <c r="AN1328" i="16"/>
  <c r="AM1328" i="16"/>
  <c r="AL1328" i="16"/>
  <c r="AK1328" i="16"/>
  <c r="AJ1328" i="16"/>
  <c r="AI1328" i="16"/>
  <c r="AF1328" i="16"/>
  <c r="AN1327" i="16"/>
  <c r="AM1327" i="16"/>
  <c r="AL1327" i="16"/>
  <c r="AK1327" i="16"/>
  <c r="AJ1327" i="16"/>
  <c r="AI1327" i="16"/>
  <c r="AF1327" i="16"/>
  <c r="AN1326" i="16"/>
  <c r="AM1326" i="16"/>
  <c r="AL1326" i="16"/>
  <c r="AK1326" i="16"/>
  <c r="AJ1326" i="16"/>
  <c r="AI1326" i="16"/>
  <c r="AF1326" i="16"/>
  <c r="AN1325" i="16"/>
  <c r="AM1325" i="16"/>
  <c r="AL1325" i="16"/>
  <c r="AK1325" i="16"/>
  <c r="AJ1325" i="16"/>
  <c r="AI1325" i="16"/>
  <c r="AF1325" i="16"/>
  <c r="AN1324" i="16"/>
  <c r="AM1324" i="16"/>
  <c r="AL1324" i="16"/>
  <c r="AK1324" i="16"/>
  <c r="AJ1324" i="16"/>
  <c r="AI1324" i="16"/>
  <c r="AF1324" i="16"/>
  <c r="AN1323" i="16"/>
  <c r="AM1323" i="16"/>
  <c r="AL1323" i="16"/>
  <c r="AK1323" i="16"/>
  <c r="AJ1323" i="16"/>
  <c r="AI1323" i="16"/>
  <c r="AF1323" i="16"/>
  <c r="AN1322" i="16"/>
  <c r="AM1322" i="16"/>
  <c r="AL1322" i="16"/>
  <c r="AK1322" i="16"/>
  <c r="AJ1322" i="16"/>
  <c r="AI1322" i="16"/>
  <c r="AF1322" i="16"/>
  <c r="AN1321" i="16"/>
  <c r="AM1321" i="16"/>
  <c r="AL1321" i="16"/>
  <c r="AK1321" i="16"/>
  <c r="AJ1321" i="16"/>
  <c r="AI1321" i="16"/>
  <c r="AF1321" i="16"/>
  <c r="AN1320" i="16"/>
  <c r="AM1320" i="16"/>
  <c r="AL1320" i="16"/>
  <c r="AK1320" i="16"/>
  <c r="AJ1320" i="16"/>
  <c r="AI1320" i="16"/>
  <c r="AF1320" i="16"/>
  <c r="AN1319" i="16"/>
  <c r="AM1319" i="16"/>
  <c r="AL1319" i="16"/>
  <c r="AK1319" i="16"/>
  <c r="AJ1319" i="16"/>
  <c r="AI1319" i="16"/>
  <c r="AF1319" i="16"/>
  <c r="AN1318" i="16"/>
  <c r="AM1318" i="16"/>
  <c r="AL1318" i="16"/>
  <c r="AK1318" i="16"/>
  <c r="AJ1318" i="16"/>
  <c r="AI1318" i="16"/>
  <c r="AF1318" i="16"/>
  <c r="AN1317" i="16"/>
  <c r="AM1317" i="16"/>
  <c r="AL1317" i="16"/>
  <c r="AK1317" i="16"/>
  <c r="AJ1317" i="16"/>
  <c r="AI1317" i="16"/>
  <c r="AF1317" i="16"/>
  <c r="AN1316" i="16"/>
  <c r="AM1316" i="16"/>
  <c r="AL1316" i="16"/>
  <c r="AK1316" i="16"/>
  <c r="AJ1316" i="16"/>
  <c r="AI1316" i="16"/>
  <c r="AF1316" i="16"/>
  <c r="AN1315" i="16"/>
  <c r="AM1315" i="16"/>
  <c r="AL1315" i="16"/>
  <c r="AK1315" i="16"/>
  <c r="AJ1315" i="16"/>
  <c r="AI1315" i="16"/>
  <c r="AF1315" i="16"/>
  <c r="AN1314" i="16"/>
  <c r="AM1314" i="16"/>
  <c r="AL1314" i="16"/>
  <c r="AK1314" i="16"/>
  <c r="AJ1314" i="16"/>
  <c r="AI1314" i="16"/>
  <c r="AF1314" i="16"/>
  <c r="AN1313" i="16"/>
  <c r="AM1313" i="16"/>
  <c r="AL1313" i="16"/>
  <c r="AK1313" i="16"/>
  <c r="AJ1313" i="16"/>
  <c r="AI1313" i="16"/>
  <c r="AF1313" i="16"/>
  <c r="AN1312" i="16"/>
  <c r="AM1312" i="16"/>
  <c r="AL1312" i="16"/>
  <c r="AK1312" i="16"/>
  <c r="AJ1312" i="16"/>
  <c r="AI1312" i="16"/>
  <c r="AF1312" i="16"/>
  <c r="AN1311" i="16"/>
  <c r="AM1311" i="16"/>
  <c r="AL1311" i="16"/>
  <c r="AK1311" i="16"/>
  <c r="AJ1311" i="16"/>
  <c r="AI1311" i="16"/>
  <c r="AF1311" i="16"/>
  <c r="AN1310" i="16"/>
  <c r="AM1310" i="16"/>
  <c r="AL1310" i="16"/>
  <c r="AK1310" i="16"/>
  <c r="AJ1310" i="16"/>
  <c r="AI1310" i="16"/>
  <c r="AF1310" i="16"/>
  <c r="AN1309" i="16"/>
  <c r="AM1309" i="16"/>
  <c r="AL1309" i="16"/>
  <c r="AK1309" i="16"/>
  <c r="AJ1309" i="16"/>
  <c r="AI1309" i="16"/>
  <c r="AF1309" i="16"/>
  <c r="AN1308" i="16"/>
  <c r="AM1308" i="16"/>
  <c r="AL1308" i="16"/>
  <c r="AK1308" i="16"/>
  <c r="AJ1308" i="16"/>
  <c r="AI1308" i="16"/>
  <c r="AF1308" i="16"/>
  <c r="AN1307" i="16"/>
  <c r="AM1307" i="16"/>
  <c r="AL1307" i="16"/>
  <c r="AK1307" i="16"/>
  <c r="AJ1307" i="16"/>
  <c r="AI1307" i="16"/>
  <c r="AF1307" i="16"/>
  <c r="AN1306" i="16"/>
  <c r="AM1306" i="16"/>
  <c r="AL1306" i="16"/>
  <c r="AK1306" i="16"/>
  <c r="AJ1306" i="16"/>
  <c r="AI1306" i="16"/>
  <c r="AF1306" i="16"/>
  <c r="AN1305" i="16"/>
  <c r="AM1305" i="16"/>
  <c r="AL1305" i="16"/>
  <c r="AK1305" i="16"/>
  <c r="AJ1305" i="16"/>
  <c r="AI1305" i="16"/>
  <c r="AF1305" i="16"/>
  <c r="AN1304" i="16"/>
  <c r="AM1304" i="16"/>
  <c r="AL1304" i="16"/>
  <c r="AK1304" i="16"/>
  <c r="AJ1304" i="16"/>
  <c r="AI1304" i="16"/>
  <c r="AF1304" i="16"/>
  <c r="AN1303" i="16"/>
  <c r="AM1303" i="16"/>
  <c r="AL1303" i="16"/>
  <c r="AK1303" i="16"/>
  <c r="AJ1303" i="16"/>
  <c r="AI1303" i="16"/>
  <c r="AF1303" i="16"/>
  <c r="AN1302" i="16"/>
  <c r="AM1302" i="16"/>
  <c r="AL1302" i="16"/>
  <c r="AK1302" i="16"/>
  <c r="AJ1302" i="16"/>
  <c r="AI1302" i="16"/>
  <c r="AF1302" i="16"/>
  <c r="AN1301" i="16"/>
  <c r="AM1301" i="16"/>
  <c r="AL1301" i="16"/>
  <c r="AK1301" i="16"/>
  <c r="AJ1301" i="16"/>
  <c r="AI1301" i="16"/>
  <c r="AF1301" i="16"/>
  <c r="AN1300" i="16"/>
  <c r="AM1300" i="16"/>
  <c r="AL1300" i="16"/>
  <c r="AK1300" i="16"/>
  <c r="AJ1300" i="16"/>
  <c r="AI1300" i="16"/>
  <c r="AF1300" i="16"/>
  <c r="AN1299" i="16"/>
  <c r="AM1299" i="16"/>
  <c r="AL1299" i="16"/>
  <c r="AK1299" i="16"/>
  <c r="AJ1299" i="16"/>
  <c r="AI1299" i="16"/>
  <c r="AF1299" i="16"/>
  <c r="AN1298" i="16"/>
  <c r="AM1298" i="16"/>
  <c r="AL1298" i="16"/>
  <c r="AK1298" i="16"/>
  <c r="AJ1298" i="16"/>
  <c r="AI1298" i="16"/>
  <c r="AF1298" i="16"/>
  <c r="AN1297" i="16"/>
  <c r="AM1297" i="16"/>
  <c r="AL1297" i="16"/>
  <c r="AK1297" i="16"/>
  <c r="AJ1297" i="16"/>
  <c r="AI1297" i="16"/>
  <c r="AF1297" i="16"/>
  <c r="AN1296" i="16"/>
  <c r="AM1296" i="16"/>
  <c r="AL1296" i="16"/>
  <c r="AK1296" i="16"/>
  <c r="AJ1296" i="16"/>
  <c r="AI1296" i="16"/>
  <c r="AF1296" i="16"/>
  <c r="AN1295" i="16"/>
  <c r="AM1295" i="16"/>
  <c r="AL1295" i="16"/>
  <c r="AK1295" i="16"/>
  <c r="AJ1295" i="16"/>
  <c r="AI1295" i="16"/>
  <c r="AF1295" i="16"/>
  <c r="AN1294" i="16"/>
  <c r="AM1294" i="16"/>
  <c r="AL1294" i="16"/>
  <c r="AK1294" i="16"/>
  <c r="AJ1294" i="16"/>
  <c r="AI1294" i="16"/>
  <c r="AF1294" i="16"/>
  <c r="AN1293" i="16"/>
  <c r="AM1293" i="16"/>
  <c r="AL1293" i="16"/>
  <c r="AK1293" i="16"/>
  <c r="AJ1293" i="16"/>
  <c r="AI1293" i="16"/>
  <c r="AF1293" i="16"/>
  <c r="AN1292" i="16"/>
  <c r="AM1292" i="16"/>
  <c r="AL1292" i="16"/>
  <c r="AK1292" i="16"/>
  <c r="AJ1292" i="16"/>
  <c r="AI1292" i="16"/>
  <c r="AF1292" i="16"/>
  <c r="AN1291" i="16"/>
  <c r="AM1291" i="16"/>
  <c r="AL1291" i="16"/>
  <c r="AK1291" i="16"/>
  <c r="AJ1291" i="16"/>
  <c r="AI1291" i="16"/>
  <c r="AF1291" i="16"/>
  <c r="AN1290" i="16"/>
  <c r="AM1290" i="16"/>
  <c r="AL1290" i="16"/>
  <c r="AK1290" i="16"/>
  <c r="AJ1290" i="16"/>
  <c r="AI1290" i="16"/>
  <c r="AF1290" i="16"/>
  <c r="AN1289" i="16"/>
  <c r="AM1289" i="16"/>
  <c r="AL1289" i="16"/>
  <c r="AK1289" i="16"/>
  <c r="AJ1289" i="16"/>
  <c r="AI1289" i="16"/>
  <c r="AF1289" i="16"/>
  <c r="AN1288" i="16"/>
  <c r="AM1288" i="16"/>
  <c r="AL1288" i="16"/>
  <c r="AK1288" i="16"/>
  <c r="AJ1288" i="16"/>
  <c r="AI1288" i="16"/>
  <c r="AF1288" i="16"/>
  <c r="AN1287" i="16"/>
  <c r="AM1287" i="16"/>
  <c r="AL1287" i="16"/>
  <c r="AK1287" i="16"/>
  <c r="AJ1287" i="16"/>
  <c r="AI1287" i="16"/>
  <c r="AF1287" i="16"/>
  <c r="AN1286" i="16"/>
  <c r="AM1286" i="16"/>
  <c r="AL1286" i="16"/>
  <c r="AK1286" i="16"/>
  <c r="AJ1286" i="16"/>
  <c r="AI1286" i="16"/>
  <c r="AF1286" i="16"/>
  <c r="AN1285" i="16"/>
  <c r="AM1285" i="16"/>
  <c r="AL1285" i="16"/>
  <c r="AK1285" i="16"/>
  <c r="AJ1285" i="16"/>
  <c r="AI1285" i="16"/>
  <c r="AF1285" i="16"/>
  <c r="AN1284" i="16"/>
  <c r="AM1284" i="16"/>
  <c r="AL1284" i="16"/>
  <c r="AK1284" i="16"/>
  <c r="AJ1284" i="16"/>
  <c r="AI1284" i="16"/>
  <c r="AF1284" i="16"/>
  <c r="AN1283" i="16"/>
  <c r="AM1283" i="16"/>
  <c r="AL1283" i="16"/>
  <c r="AK1283" i="16"/>
  <c r="AJ1283" i="16"/>
  <c r="AI1283" i="16"/>
  <c r="AF1283" i="16"/>
  <c r="AN1282" i="16"/>
  <c r="AM1282" i="16"/>
  <c r="AL1282" i="16"/>
  <c r="AK1282" i="16"/>
  <c r="AJ1282" i="16"/>
  <c r="AI1282" i="16"/>
  <c r="AF1282" i="16"/>
  <c r="AN1281" i="16"/>
  <c r="AM1281" i="16"/>
  <c r="AL1281" i="16"/>
  <c r="AK1281" i="16"/>
  <c r="AJ1281" i="16"/>
  <c r="AI1281" i="16"/>
  <c r="AF1281" i="16"/>
  <c r="AN1280" i="16"/>
  <c r="AM1280" i="16"/>
  <c r="AL1280" i="16"/>
  <c r="AK1280" i="16"/>
  <c r="AJ1280" i="16"/>
  <c r="AI1280" i="16"/>
  <c r="AF1280" i="16"/>
  <c r="AN1279" i="16"/>
  <c r="AM1279" i="16"/>
  <c r="AL1279" i="16"/>
  <c r="AK1279" i="16"/>
  <c r="AJ1279" i="16"/>
  <c r="AI1279" i="16"/>
  <c r="AF1279" i="16"/>
  <c r="AN1278" i="16"/>
  <c r="AM1278" i="16"/>
  <c r="AL1278" i="16"/>
  <c r="AK1278" i="16"/>
  <c r="AJ1278" i="16"/>
  <c r="AI1278" i="16"/>
  <c r="AF1278" i="16"/>
  <c r="AN1277" i="16"/>
  <c r="AM1277" i="16"/>
  <c r="AL1277" i="16"/>
  <c r="AK1277" i="16"/>
  <c r="AJ1277" i="16"/>
  <c r="AI1277" i="16"/>
  <c r="AF1277" i="16"/>
  <c r="AN1276" i="16"/>
  <c r="AM1276" i="16"/>
  <c r="AL1276" i="16"/>
  <c r="AK1276" i="16"/>
  <c r="AJ1276" i="16"/>
  <c r="AI1276" i="16"/>
  <c r="AF1276" i="16"/>
  <c r="AN1275" i="16"/>
  <c r="AM1275" i="16"/>
  <c r="AL1275" i="16"/>
  <c r="AK1275" i="16"/>
  <c r="AJ1275" i="16"/>
  <c r="AI1275" i="16"/>
  <c r="AF1275" i="16"/>
  <c r="AN1274" i="16"/>
  <c r="AM1274" i="16"/>
  <c r="AL1274" i="16"/>
  <c r="AK1274" i="16"/>
  <c r="AJ1274" i="16"/>
  <c r="AI1274" i="16"/>
  <c r="AF1274" i="16"/>
  <c r="AN1273" i="16"/>
  <c r="AM1273" i="16"/>
  <c r="AL1273" i="16"/>
  <c r="AK1273" i="16"/>
  <c r="AJ1273" i="16"/>
  <c r="AI1273" i="16"/>
  <c r="AF1273" i="16"/>
  <c r="AN1272" i="16"/>
  <c r="AM1272" i="16"/>
  <c r="AL1272" i="16"/>
  <c r="AK1272" i="16"/>
  <c r="AJ1272" i="16"/>
  <c r="AI1272" i="16"/>
  <c r="AF1272" i="16"/>
  <c r="AN1271" i="16"/>
  <c r="AM1271" i="16"/>
  <c r="AL1271" i="16"/>
  <c r="AK1271" i="16"/>
  <c r="AJ1271" i="16"/>
  <c r="AI1271" i="16"/>
  <c r="AF1271" i="16"/>
  <c r="AN1270" i="16"/>
  <c r="AM1270" i="16"/>
  <c r="AL1270" i="16"/>
  <c r="AK1270" i="16"/>
  <c r="AJ1270" i="16"/>
  <c r="AI1270" i="16"/>
  <c r="AF1270" i="16"/>
  <c r="AN1269" i="16"/>
  <c r="AM1269" i="16"/>
  <c r="AL1269" i="16"/>
  <c r="AK1269" i="16"/>
  <c r="AJ1269" i="16"/>
  <c r="AI1269" i="16"/>
  <c r="AF1269" i="16"/>
  <c r="AN1268" i="16"/>
  <c r="AM1268" i="16"/>
  <c r="AL1268" i="16"/>
  <c r="AK1268" i="16"/>
  <c r="AJ1268" i="16"/>
  <c r="AI1268" i="16"/>
  <c r="AF1268" i="16"/>
  <c r="AN1267" i="16"/>
  <c r="AM1267" i="16"/>
  <c r="AL1267" i="16"/>
  <c r="AK1267" i="16"/>
  <c r="AJ1267" i="16"/>
  <c r="AI1267" i="16"/>
  <c r="AF1267" i="16"/>
  <c r="AN1266" i="16"/>
  <c r="AM1266" i="16"/>
  <c r="AL1266" i="16"/>
  <c r="AK1266" i="16"/>
  <c r="AJ1266" i="16"/>
  <c r="AI1266" i="16"/>
  <c r="AF1266" i="16"/>
  <c r="AN1265" i="16"/>
  <c r="AM1265" i="16"/>
  <c r="AL1265" i="16"/>
  <c r="AK1265" i="16"/>
  <c r="AJ1265" i="16"/>
  <c r="AI1265" i="16"/>
  <c r="AF1265" i="16"/>
  <c r="AN1264" i="16"/>
  <c r="AM1264" i="16"/>
  <c r="AL1264" i="16"/>
  <c r="AK1264" i="16"/>
  <c r="AJ1264" i="16"/>
  <c r="AI1264" i="16"/>
  <c r="AF1264" i="16"/>
  <c r="AN1263" i="16"/>
  <c r="AM1263" i="16"/>
  <c r="AL1263" i="16"/>
  <c r="AK1263" i="16"/>
  <c r="AJ1263" i="16"/>
  <c r="AI1263" i="16"/>
  <c r="AF1263" i="16"/>
  <c r="AN1262" i="16"/>
  <c r="AM1262" i="16"/>
  <c r="AL1262" i="16"/>
  <c r="AK1262" i="16"/>
  <c r="AJ1262" i="16"/>
  <c r="AI1262" i="16"/>
  <c r="AF1262" i="16"/>
  <c r="AN1261" i="16"/>
  <c r="AM1261" i="16"/>
  <c r="AL1261" i="16"/>
  <c r="AK1261" i="16"/>
  <c r="AJ1261" i="16"/>
  <c r="AI1261" i="16"/>
  <c r="AF1261" i="16"/>
  <c r="AN1260" i="16"/>
  <c r="AM1260" i="16"/>
  <c r="AL1260" i="16"/>
  <c r="AK1260" i="16"/>
  <c r="AJ1260" i="16"/>
  <c r="AI1260" i="16"/>
  <c r="AF1260" i="16"/>
  <c r="AN1259" i="16"/>
  <c r="AM1259" i="16"/>
  <c r="AL1259" i="16"/>
  <c r="AK1259" i="16"/>
  <c r="AJ1259" i="16"/>
  <c r="AI1259" i="16"/>
  <c r="AF1259" i="16"/>
  <c r="AN1258" i="16"/>
  <c r="AM1258" i="16"/>
  <c r="AL1258" i="16"/>
  <c r="AK1258" i="16"/>
  <c r="AJ1258" i="16"/>
  <c r="AI1258" i="16"/>
  <c r="AF1258" i="16"/>
  <c r="AN1257" i="16"/>
  <c r="AM1257" i="16"/>
  <c r="AL1257" i="16"/>
  <c r="AK1257" i="16"/>
  <c r="AJ1257" i="16"/>
  <c r="AI1257" i="16"/>
  <c r="AF1257" i="16"/>
  <c r="AN1256" i="16"/>
  <c r="AM1256" i="16"/>
  <c r="AL1256" i="16"/>
  <c r="AK1256" i="16"/>
  <c r="AJ1256" i="16"/>
  <c r="AI1256" i="16"/>
  <c r="AF1256" i="16"/>
  <c r="AN1255" i="16"/>
  <c r="AM1255" i="16"/>
  <c r="AL1255" i="16"/>
  <c r="AK1255" i="16"/>
  <c r="AJ1255" i="16"/>
  <c r="AI1255" i="16"/>
  <c r="AF1255" i="16"/>
  <c r="AN1254" i="16"/>
  <c r="AM1254" i="16"/>
  <c r="AL1254" i="16"/>
  <c r="AK1254" i="16"/>
  <c r="AJ1254" i="16"/>
  <c r="AI1254" i="16"/>
  <c r="AF1254" i="16"/>
  <c r="AN1253" i="16"/>
  <c r="AM1253" i="16"/>
  <c r="AL1253" i="16"/>
  <c r="AK1253" i="16"/>
  <c r="AJ1253" i="16"/>
  <c r="AI1253" i="16"/>
  <c r="AF1253" i="16"/>
  <c r="AN1252" i="16"/>
  <c r="AM1252" i="16"/>
  <c r="AL1252" i="16"/>
  <c r="AK1252" i="16"/>
  <c r="AJ1252" i="16"/>
  <c r="AI1252" i="16"/>
  <c r="AF1252" i="16"/>
  <c r="AN1251" i="16"/>
  <c r="AM1251" i="16"/>
  <c r="AL1251" i="16"/>
  <c r="AK1251" i="16"/>
  <c r="AJ1251" i="16"/>
  <c r="AI1251" i="16"/>
  <c r="AF1251" i="16"/>
  <c r="AN1250" i="16"/>
  <c r="AM1250" i="16"/>
  <c r="AL1250" i="16"/>
  <c r="AK1250" i="16"/>
  <c r="AJ1250" i="16"/>
  <c r="AI1250" i="16"/>
  <c r="AF1250" i="16"/>
  <c r="AN1249" i="16"/>
  <c r="AM1249" i="16"/>
  <c r="AL1249" i="16"/>
  <c r="AK1249" i="16"/>
  <c r="AJ1249" i="16"/>
  <c r="AI1249" i="16"/>
  <c r="AF1249" i="16"/>
  <c r="AN1248" i="16"/>
  <c r="AM1248" i="16"/>
  <c r="AL1248" i="16"/>
  <c r="AK1248" i="16"/>
  <c r="AJ1248" i="16"/>
  <c r="AI1248" i="16"/>
  <c r="AF1248" i="16"/>
  <c r="AN1247" i="16"/>
  <c r="AM1247" i="16"/>
  <c r="AL1247" i="16"/>
  <c r="AK1247" i="16"/>
  <c r="AJ1247" i="16"/>
  <c r="AI1247" i="16"/>
  <c r="AF1247" i="16"/>
  <c r="AN1246" i="16"/>
  <c r="AM1246" i="16"/>
  <c r="AL1246" i="16"/>
  <c r="AK1246" i="16"/>
  <c r="AJ1246" i="16"/>
  <c r="AI1246" i="16"/>
  <c r="AF1246" i="16"/>
  <c r="AN1245" i="16"/>
  <c r="AM1245" i="16"/>
  <c r="AL1245" i="16"/>
  <c r="AK1245" i="16"/>
  <c r="AJ1245" i="16"/>
  <c r="AI1245" i="16"/>
  <c r="AF1245" i="16"/>
  <c r="AN1244" i="16"/>
  <c r="AM1244" i="16"/>
  <c r="AL1244" i="16"/>
  <c r="AK1244" i="16"/>
  <c r="AJ1244" i="16"/>
  <c r="AI1244" i="16"/>
  <c r="AF1244" i="16"/>
  <c r="AN1243" i="16"/>
  <c r="AM1243" i="16"/>
  <c r="AL1243" i="16"/>
  <c r="AK1243" i="16"/>
  <c r="AJ1243" i="16"/>
  <c r="AI1243" i="16"/>
  <c r="AF1243" i="16"/>
  <c r="AN1242" i="16"/>
  <c r="AM1242" i="16"/>
  <c r="AL1242" i="16"/>
  <c r="AK1242" i="16"/>
  <c r="AJ1242" i="16"/>
  <c r="AI1242" i="16"/>
  <c r="AF1242" i="16"/>
  <c r="AN1241" i="16"/>
  <c r="AM1241" i="16"/>
  <c r="AL1241" i="16"/>
  <c r="AK1241" i="16"/>
  <c r="AJ1241" i="16"/>
  <c r="AI1241" i="16"/>
  <c r="AF1241" i="16"/>
  <c r="AN1240" i="16"/>
  <c r="AM1240" i="16"/>
  <c r="AL1240" i="16"/>
  <c r="AK1240" i="16"/>
  <c r="AJ1240" i="16"/>
  <c r="AI1240" i="16"/>
  <c r="AF1240" i="16"/>
  <c r="AN1239" i="16"/>
  <c r="AM1239" i="16"/>
  <c r="AL1239" i="16"/>
  <c r="AK1239" i="16"/>
  <c r="AJ1239" i="16"/>
  <c r="AI1239" i="16"/>
  <c r="AF1239" i="16"/>
  <c r="AN1238" i="16"/>
  <c r="AM1238" i="16"/>
  <c r="AL1238" i="16"/>
  <c r="AK1238" i="16"/>
  <c r="AJ1238" i="16"/>
  <c r="AI1238" i="16"/>
  <c r="AF1238" i="16"/>
  <c r="AN1237" i="16"/>
  <c r="AM1237" i="16"/>
  <c r="AL1237" i="16"/>
  <c r="AK1237" i="16"/>
  <c r="AJ1237" i="16"/>
  <c r="AI1237" i="16"/>
  <c r="AF1237" i="16"/>
  <c r="AN1236" i="16"/>
  <c r="AM1236" i="16"/>
  <c r="AL1236" i="16"/>
  <c r="AK1236" i="16"/>
  <c r="AJ1236" i="16"/>
  <c r="AI1236" i="16"/>
  <c r="AF1236" i="16"/>
  <c r="AN1235" i="16"/>
  <c r="AM1235" i="16"/>
  <c r="AL1235" i="16"/>
  <c r="AK1235" i="16"/>
  <c r="AJ1235" i="16"/>
  <c r="AI1235" i="16"/>
  <c r="AF1235" i="16"/>
  <c r="AN1234" i="16"/>
  <c r="AM1234" i="16"/>
  <c r="AL1234" i="16"/>
  <c r="AK1234" i="16"/>
  <c r="AJ1234" i="16"/>
  <c r="AI1234" i="16"/>
  <c r="AF1234" i="16"/>
  <c r="AN1233" i="16"/>
  <c r="AM1233" i="16"/>
  <c r="AL1233" i="16"/>
  <c r="AK1233" i="16"/>
  <c r="AJ1233" i="16"/>
  <c r="AI1233" i="16"/>
  <c r="AF1233" i="16"/>
  <c r="AN1232" i="16"/>
  <c r="AM1232" i="16"/>
  <c r="AL1232" i="16"/>
  <c r="AK1232" i="16"/>
  <c r="AJ1232" i="16"/>
  <c r="AI1232" i="16"/>
  <c r="AF1232" i="16"/>
  <c r="AN1231" i="16"/>
  <c r="AM1231" i="16"/>
  <c r="AL1231" i="16"/>
  <c r="AK1231" i="16"/>
  <c r="AJ1231" i="16"/>
  <c r="AI1231" i="16"/>
  <c r="AF1231" i="16"/>
  <c r="AN1230" i="16"/>
  <c r="AM1230" i="16"/>
  <c r="AL1230" i="16"/>
  <c r="AK1230" i="16"/>
  <c r="AJ1230" i="16"/>
  <c r="AI1230" i="16"/>
  <c r="AF1230" i="16"/>
  <c r="AN1229" i="16"/>
  <c r="AM1229" i="16"/>
  <c r="AL1229" i="16"/>
  <c r="AK1229" i="16"/>
  <c r="AJ1229" i="16"/>
  <c r="AI1229" i="16"/>
  <c r="AF1229" i="16"/>
  <c r="AN1228" i="16"/>
  <c r="AM1228" i="16"/>
  <c r="AL1228" i="16"/>
  <c r="AK1228" i="16"/>
  <c r="AJ1228" i="16"/>
  <c r="AI1228" i="16"/>
  <c r="AF1228" i="16"/>
  <c r="AN1227" i="16"/>
  <c r="AM1227" i="16"/>
  <c r="AL1227" i="16"/>
  <c r="AK1227" i="16"/>
  <c r="AJ1227" i="16"/>
  <c r="AI1227" i="16"/>
  <c r="AF1227" i="16"/>
  <c r="AN1226" i="16"/>
  <c r="AM1226" i="16"/>
  <c r="AL1226" i="16"/>
  <c r="AK1226" i="16"/>
  <c r="AJ1226" i="16"/>
  <c r="AI1226" i="16"/>
  <c r="AF1226" i="16"/>
  <c r="AN1225" i="16"/>
  <c r="AM1225" i="16"/>
  <c r="AL1225" i="16"/>
  <c r="AK1225" i="16"/>
  <c r="AJ1225" i="16"/>
  <c r="AI1225" i="16"/>
  <c r="AF1225" i="16"/>
  <c r="AN1224" i="16"/>
  <c r="AM1224" i="16"/>
  <c r="AL1224" i="16"/>
  <c r="AK1224" i="16"/>
  <c r="AJ1224" i="16"/>
  <c r="AI1224" i="16"/>
  <c r="AF1224" i="16"/>
  <c r="AN1223" i="16"/>
  <c r="AM1223" i="16"/>
  <c r="AL1223" i="16"/>
  <c r="AK1223" i="16"/>
  <c r="AJ1223" i="16"/>
  <c r="AI1223" i="16"/>
  <c r="AF1223" i="16"/>
  <c r="AN1222" i="16"/>
  <c r="AM1222" i="16"/>
  <c r="AL1222" i="16"/>
  <c r="AK1222" i="16"/>
  <c r="AJ1222" i="16"/>
  <c r="AI1222" i="16"/>
  <c r="AF1222" i="16"/>
  <c r="AN1221" i="16"/>
  <c r="AM1221" i="16"/>
  <c r="AL1221" i="16"/>
  <c r="AK1221" i="16"/>
  <c r="AJ1221" i="16"/>
  <c r="AI1221" i="16"/>
  <c r="AF1221" i="16"/>
  <c r="AN1220" i="16"/>
  <c r="AM1220" i="16"/>
  <c r="AL1220" i="16"/>
  <c r="AK1220" i="16"/>
  <c r="AJ1220" i="16"/>
  <c r="AI1220" i="16"/>
  <c r="AF1220" i="16"/>
  <c r="AN1219" i="16"/>
  <c r="AM1219" i="16"/>
  <c r="AL1219" i="16"/>
  <c r="AK1219" i="16"/>
  <c r="AJ1219" i="16"/>
  <c r="AI1219" i="16"/>
  <c r="AF1219" i="16"/>
  <c r="AN1218" i="16"/>
  <c r="AM1218" i="16"/>
  <c r="AL1218" i="16"/>
  <c r="AK1218" i="16"/>
  <c r="AJ1218" i="16"/>
  <c r="AI1218" i="16"/>
  <c r="AF1218" i="16"/>
  <c r="AN1217" i="16"/>
  <c r="AM1217" i="16"/>
  <c r="AL1217" i="16"/>
  <c r="AK1217" i="16"/>
  <c r="AJ1217" i="16"/>
  <c r="AI1217" i="16"/>
  <c r="AF1217" i="16"/>
  <c r="AN1216" i="16"/>
  <c r="AM1216" i="16"/>
  <c r="AL1216" i="16"/>
  <c r="AK1216" i="16"/>
  <c r="AJ1216" i="16"/>
  <c r="AI1216" i="16"/>
  <c r="AF1216" i="16"/>
  <c r="AN1215" i="16"/>
  <c r="AM1215" i="16"/>
  <c r="AL1215" i="16"/>
  <c r="AK1215" i="16"/>
  <c r="AJ1215" i="16"/>
  <c r="AI1215" i="16"/>
  <c r="AF1215" i="16"/>
  <c r="AN1214" i="16"/>
  <c r="AM1214" i="16"/>
  <c r="AL1214" i="16"/>
  <c r="AK1214" i="16"/>
  <c r="AJ1214" i="16"/>
  <c r="AI1214" i="16"/>
  <c r="AF1214" i="16"/>
  <c r="AN1213" i="16"/>
  <c r="AM1213" i="16"/>
  <c r="AL1213" i="16"/>
  <c r="AK1213" i="16"/>
  <c r="AJ1213" i="16"/>
  <c r="AI1213" i="16"/>
  <c r="AF1213" i="16"/>
  <c r="AN1212" i="16"/>
  <c r="AM1212" i="16"/>
  <c r="AL1212" i="16"/>
  <c r="AK1212" i="16"/>
  <c r="AJ1212" i="16"/>
  <c r="AI1212" i="16"/>
  <c r="AF1212" i="16"/>
  <c r="AN1211" i="16"/>
  <c r="AM1211" i="16"/>
  <c r="AL1211" i="16"/>
  <c r="AK1211" i="16"/>
  <c r="AJ1211" i="16"/>
  <c r="AI1211" i="16"/>
  <c r="AF1211" i="16"/>
  <c r="AN1210" i="16"/>
  <c r="AM1210" i="16"/>
  <c r="AL1210" i="16"/>
  <c r="AK1210" i="16"/>
  <c r="AJ1210" i="16"/>
  <c r="AI1210" i="16"/>
  <c r="AF1210" i="16"/>
  <c r="AN1209" i="16"/>
  <c r="AM1209" i="16"/>
  <c r="AL1209" i="16"/>
  <c r="AK1209" i="16"/>
  <c r="AJ1209" i="16"/>
  <c r="AI1209" i="16"/>
  <c r="AF1209" i="16"/>
  <c r="AN1208" i="16"/>
  <c r="AM1208" i="16"/>
  <c r="AL1208" i="16"/>
  <c r="AK1208" i="16"/>
  <c r="AJ1208" i="16"/>
  <c r="AI1208" i="16"/>
  <c r="AF1208" i="16"/>
  <c r="AN1207" i="16"/>
  <c r="AM1207" i="16"/>
  <c r="AL1207" i="16"/>
  <c r="AK1207" i="16"/>
  <c r="AJ1207" i="16"/>
  <c r="AI1207" i="16"/>
  <c r="AF1207" i="16"/>
  <c r="AN1206" i="16"/>
  <c r="AM1206" i="16"/>
  <c r="AL1206" i="16"/>
  <c r="AK1206" i="16"/>
  <c r="AJ1206" i="16"/>
  <c r="AI1206" i="16"/>
  <c r="AF1206" i="16"/>
  <c r="AN1205" i="16"/>
  <c r="AM1205" i="16"/>
  <c r="AL1205" i="16"/>
  <c r="AK1205" i="16"/>
  <c r="AJ1205" i="16"/>
  <c r="AI1205" i="16"/>
  <c r="AF1205" i="16"/>
  <c r="AN1204" i="16"/>
  <c r="AM1204" i="16"/>
  <c r="AL1204" i="16"/>
  <c r="AK1204" i="16"/>
  <c r="AJ1204" i="16"/>
  <c r="AI1204" i="16"/>
  <c r="AF1204" i="16"/>
  <c r="AN1203" i="16"/>
  <c r="AM1203" i="16"/>
  <c r="AL1203" i="16"/>
  <c r="AK1203" i="16"/>
  <c r="AJ1203" i="16"/>
  <c r="AI1203" i="16"/>
  <c r="AF1203" i="16"/>
  <c r="AN1202" i="16"/>
  <c r="AM1202" i="16"/>
  <c r="AL1202" i="16"/>
  <c r="AK1202" i="16"/>
  <c r="AJ1202" i="16"/>
  <c r="AI1202" i="16"/>
  <c r="AF1202" i="16"/>
  <c r="AN1201" i="16"/>
  <c r="AM1201" i="16"/>
  <c r="AL1201" i="16"/>
  <c r="AK1201" i="16"/>
  <c r="AJ1201" i="16"/>
  <c r="AI1201" i="16"/>
  <c r="AF1201" i="16"/>
  <c r="AN1200" i="16"/>
  <c r="AM1200" i="16"/>
  <c r="AL1200" i="16"/>
  <c r="AK1200" i="16"/>
  <c r="AJ1200" i="16"/>
  <c r="AI1200" i="16"/>
  <c r="AF1200" i="16"/>
  <c r="AN1199" i="16"/>
  <c r="AM1199" i="16"/>
  <c r="AL1199" i="16"/>
  <c r="AK1199" i="16"/>
  <c r="AJ1199" i="16"/>
  <c r="AI1199" i="16"/>
  <c r="AF1199" i="16"/>
  <c r="AN1198" i="16"/>
  <c r="AM1198" i="16"/>
  <c r="AL1198" i="16"/>
  <c r="AK1198" i="16"/>
  <c r="AJ1198" i="16"/>
  <c r="AI1198" i="16"/>
  <c r="AF1198" i="16"/>
  <c r="AN1197" i="16"/>
  <c r="AM1197" i="16"/>
  <c r="AL1197" i="16"/>
  <c r="AK1197" i="16"/>
  <c r="AJ1197" i="16"/>
  <c r="AI1197" i="16"/>
  <c r="AF1197" i="16"/>
  <c r="AN1196" i="16"/>
  <c r="AM1196" i="16"/>
  <c r="AL1196" i="16"/>
  <c r="AK1196" i="16"/>
  <c r="AJ1196" i="16"/>
  <c r="AI1196" i="16"/>
  <c r="AF1196" i="16"/>
  <c r="AN1195" i="16"/>
  <c r="AM1195" i="16"/>
  <c r="AL1195" i="16"/>
  <c r="AK1195" i="16"/>
  <c r="AJ1195" i="16"/>
  <c r="AI1195" i="16"/>
  <c r="AF1195" i="16"/>
  <c r="AN1194" i="16"/>
  <c r="AM1194" i="16"/>
  <c r="AL1194" i="16"/>
  <c r="AK1194" i="16"/>
  <c r="AJ1194" i="16"/>
  <c r="AI1194" i="16"/>
  <c r="AF1194" i="16"/>
  <c r="AN1193" i="16"/>
  <c r="AM1193" i="16"/>
  <c r="AL1193" i="16"/>
  <c r="AK1193" i="16"/>
  <c r="AJ1193" i="16"/>
  <c r="AI1193" i="16"/>
  <c r="AF1193" i="16"/>
  <c r="AN1192" i="16"/>
  <c r="AM1192" i="16"/>
  <c r="AL1192" i="16"/>
  <c r="AK1192" i="16"/>
  <c r="AJ1192" i="16"/>
  <c r="AI1192" i="16"/>
  <c r="AF1192" i="16"/>
  <c r="AN1191" i="16"/>
  <c r="AM1191" i="16"/>
  <c r="AL1191" i="16"/>
  <c r="AK1191" i="16"/>
  <c r="AJ1191" i="16"/>
  <c r="AI1191" i="16"/>
  <c r="AF1191" i="16"/>
  <c r="AN1190" i="16"/>
  <c r="AM1190" i="16"/>
  <c r="AL1190" i="16"/>
  <c r="AK1190" i="16"/>
  <c r="AJ1190" i="16"/>
  <c r="AI1190" i="16"/>
  <c r="AF1190" i="16"/>
  <c r="AN1189" i="16"/>
  <c r="AM1189" i="16"/>
  <c r="AL1189" i="16"/>
  <c r="AK1189" i="16"/>
  <c r="AJ1189" i="16"/>
  <c r="AI1189" i="16"/>
  <c r="AF1189" i="16"/>
  <c r="AN1188" i="16"/>
  <c r="AM1188" i="16"/>
  <c r="AL1188" i="16"/>
  <c r="AK1188" i="16"/>
  <c r="AJ1188" i="16"/>
  <c r="AI1188" i="16"/>
  <c r="AF1188" i="16"/>
  <c r="AN1187" i="16"/>
  <c r="AM1187" i="16"/>
  <c r="AL1187" i="16"/>
  <c r="AK1187" i="16"/>
  <c r="AJ1187" i="16"/>
  <c r="AI1187" i="16"/>
  <c r="AF1187" i="16"/>
  <c r="AN1186" i="16"/>
  <c r="AM1186" i="16"/>
  <c r="AL1186" i="16"/>
  <c r="AK1186" i="16"/>
  <c r="AJ1186" i="16"/>
  <c r="AI1186" i="16"/>
  <c r="AF1186" i="16"/>
  <c r="AN1185" i="16"/>
  <c r="AM1185" i="16"/>
  <c r="AL1185" i="16"/>
  <c r="AK1185" i="16"/>
  <c r="AJ1185" i="16"/>
  <c r="AI1185" i="16"/>
  <c r="AF1185" i="16"/>
  <c r="AN1184" i="16"/>
  <c r="AM1184" i="16"/>
  <c r="AL1184" i="16"/>
  <c r="AK1184" i="16"/>
  <c r="AJ1184" i="16"/>
  <c r="AI1184" i="16"/>
  <c r="AF1184" i="16"/>
  <c r="AN1183" i="16"/>
  <c r="AM1183" i="16"/>
  <c r="AL1183" i="16"/>
  <c r="AK1183" i="16"/>
  <c r="AJ1183" i="16"/>
  <c r="AI1183" i="16"/>
  <c r="AF1183" i="16"/>
  <c r="AN1182" i="16"/>
  <c r="AM1182" i="16"/>
  <c r="AL1182" i="16"/>
  <c r="AK1182" i="16"/>
  <c r="AJ1182" i="16"/>
  <c r="AI1182" i="16"/>
  <c r="AF1182" i="16"/>
  <c r="AN1181" i="16"/>
  <c r="AM1181" i="16"/>
  <c r="AL1181" i="16"/>
  <c r="AK1181" i="16"/>
  <c r="AJ1181" i="16"/>
  <c r="AI1181" i="16"/>
  <c r="AF1181" i="16"/>
  <c r="AN1180" i="16"/>
  <c r="AM1180" i="16"/>
  <c r="AL1180" i="16"/>
  <c r="AK1180" i="16"/>
  <c r="AJ1180" i="16"/>
  <c r="AI1180" i="16"/>
  <c r="AF1180" i="16"/>
  <c r="AN1179" i="16"/>
  <c r="AM1179" i="16"/>
  <c r="AL1179" i="16"/>
  <c r="AK1179" i="16"/>
  <c r="AJ1179" i="16"/>
  <c r="AI1179" i="16"/>
  <c r="AF1179" i="16"/>
  <c r="AN1178" i="16"/>
  <c r="AM1178" i="16"/>
  <c r="AL1178" i="16"/>
  <c r="AK1178" i="16"/>
  <c r="AJ1178" i="16"/>
  <c r="AI1178" i="16"/>
  <c r="AF1178" i="16"/>
  <c r="AN1177" i="16"/>
  <c r="AM1177" i="16"/>
  <c r="AL1177" i="16"/>
  <c r="AK1177" i="16"/>
  <c r="AJ1177" i="16"/>
  <c r="AI1177" i="16"/>
  <c r="AF1177" i="16"/>
  <c r="AN1176" i="16"/>
  <c r="AM1176" i="16"/>
  <c r="AL1176" i="16"/>
  <c r="AK1176" i="16"/>
  <c r="AJ1176" i="16"/>
  <c r="AI1176" i="16"/>
  <c r="AF1176" i="16"/>
  <c r="AN1175" i="16"/>
  <c r="AM1175" i="16"/>
  <c r="AL1175" i="16"/>
  <c r="AK1175" i="16"/>
  <c r="AJ1175" i="16"/>
  <c r="AI1175" i="16"/>
  <c r="AF1175" i="16"/>
  <c r="AN1174" i="16"/>
  <c r="AM1174" i="16"/>
  <c r="AL1174" i="16"/>
  <c r="AK1174" i="16"/>
  <c r="AJ1174" i="16"/>
  <c r="AI1174" i="16"/>
  <c r="AF1174" i="16"/>
  <c r="AN1173" i="16"/>
  <c r="AM1173" i="16"/>
  <c r="AL1173" i="16"/>
  <c r="AK1173" i="16"/>
  <c r="AJ1173" i="16"/>
  <c r="AI1173" i="16"/>
  <c r="AF1173" i="16"/>
  <c r="AN1172" i="16"/>
  <c r="AM1172" i="16"/>
  <c r="AL1172" i="16"/>
  <c r="AK1172" i="16"/>
  <c r="AJ1172" i="16"/>
  <c r="AI1172" i="16"/>
  <c r="AF1172" i="16"/>
  <c r="AN1171" i="16"/>
  <c r="AM1171" i="16"/>
  <c r="AL1171" i="16"/>
  <c r="AK1171" i="16"/>
  <c r="AJ1171" i="16"/>
  <c r="AI1171" i="16"/>
  <c r="AF1171" i="16"/>
  <c r="AN1170" i="16"/>
  <c r="AM1170" i="16"/>
  <c r="AL1170" i="16"/>
  <c r="AK1170" i="16"/>
  <c r="AJ1170" i="16"/>
  <c r="AI1170" i="16"/>
  <c r="AF1170" i="16"/>
  <c r="AN1169" i="16"/>
  <c r="AM1169" i="16"/>
  <c r="AL1169" i="16"/>
  <c r="AK1169" i="16"/>
  <c r="AJ1169" i="16"/>
  <c r="AI1169" i="16"/>
  <c r="AF1169" i="16"/>
  <c r="AN1168" i="16"/>
  <c r="AM1168" i="16"/>
  <c r="AL1168" i="16"/>
  <c r="AK1168" i="16"/>
  <c r="AJ1168" i="16"/>
  <c r="AI1168" i="16"/>
  <c r="AF1168" i="16"/>
  <c r="AN1167" i="16"/>
  <c r="AM1167" i="16"/>
  <c r="AL1167" i="16"/>
  <c r="AK1167" i="16"/>
  <c r="AJ1167" i="16"/>
  <c r="AI1167" i="16"/>
  <c r="AF1167" i="16"/>
  <c r="AN1166" i="16"/>
  <c r="AM1166" i="16"/>
  <c r="AL1166" i="16"/>
  <c r="AK1166" i="16"/>
  <c r="AJ1166" i="16"/>
  <c r="AI1166" i="16"/>
  <c r="AF1166" i="16"/>
  <c r="AN1165" i="16"/>
  <c r="AM1165" i="16"/>
  <c r="AL1165" i="16"/>
  <c r="AK1165" i="16"/>
  <c r="AJ1165" i="16"/>
  <c r="AI1165" i="16"/>
  <c r="AF1165" i="16"/>
  <c r="AN1164" i="16"/>
  <c r="AM1164" i="16"/>
  <c r="AL1164" i="16"/>
  <c r="AK1164" i="16"/>
  <c r="AJ1164" i="16"/>
  <c r="AI1164" i="16"/>
  <c r="AF1164" i="16"/>
  <c r="AN1163" i="16"/>
  <c r="AM1163" i="16"/>
  <c r="AL1163" i="16"/>
  <c r="AK1163" i="16"/>
  <c r="AJ1163" i="16"/>
  <c r="AI1163" i="16"/>
  <c r="AF1163" i="16"/>
  <c r="AN1162" i="16"/>
  <c r="AM1162" i="16"/>
  <c r="AL1162" i="16"/>
  <c r="AK1162" i="16"/>
  <c r="AJ1162" i="16"/>
  <c r="AI1162" i="16"/>
  <c r="AF1162" i="16"/>
  <c r="AN1161" i="16"/>
  <c r="AM1161" i="16"/>
  <c r="AL1161" i="16"/>
  <c r="AK1161" i="16"/>
  <c r="AJ1161" i="16"/>
  <c r="AI1161" i="16"/>
  <c r="AF1161" i="16"/>
  <c r="AN1160" i="16"/>
  <c r="AM1160" i="16"/>
  <c r="AL1160" i="16"/>
  <c r="AK1160" i="16"/>
  <c r="AJ1160" i="16"/>
  <c r="AI1160" i="16"/>
  <c r="AF1160" i="16"/>
  <c r="AN1159" i="16"/>
  <c r="AM1159" i="16"/>
  <c r="AL1159" i="16"/>
  <c r="AK1159" i="16"/>
  <c r="AJ1159" i="16"/>
  <c r="AI1159" i="16"/>
  <c r="AF1159" i="16"/>
  <c r="AN1158" i="16"/>
  <c r="AM1158" i="16"/>
  <c r="AL1158" i="16"/>
  <c r="AK1158" i="16"/>
  <c r="AJ1158" i="16"/>
  <c r="AI1158" i="16"/>
  <c r="AF1158" i="16"/>
  <c r="AN1157" i="16"/>
  <c r="AM1157" i="16"/>
  <c r="AL1157" i="16"/>
  <c r="AK1157" i="16"/>
  <c r="AJ1157" i="16"/>
  <c r="AI1157" i="16"/>
  <c r="AF1157" i="16"/>
  <c r="AN1156" i="16"/>
  <c r="AM1156" i="16"/>
  <c r="AL1156" i="16"/>
  <c r="AK1156" i="16"/>
  <c r="AJ1156" i="16"/>
  <c r="AI1156" i="16"/>
  <c r="AF1156" i="16"/>
  <c r="AN1155" i="16"/>
  <c r="AM1155" i="16"/>
  <c r="AL1155" i="16"/>
  <c r="AK1155" i="16"/>
  <c r="AJ1155" i="16"/>
  <c r="AI1155" i="16"/>
  <c r="AF1155" i="16"/>
  <c r="AN1154" i="16"/>
  <c r="AM1154" i="16"/>
  <c r="AL1154" i="16"/>
  <c r="AK1154" i="16"/>
  <c r="AJ1154" i="16"/>
  <c r="AI1154" i="16"/>
  <c r="AF1154" i="16"/>
  <c r="AN1153" i="16"/>
  <c r="AM1153" i="16"/>
  <c r="AL1153" i="16"/>
  <c r="AK1153" i="16"/>
  <c r="AJ1153" i="16"/>
  <c r="AI1153" i="16"/>
  <c r="AF1153" i="16"/>
  <c r="AN1152" i="16"/>
  <c r="AM1152" i="16"/>
  <c r="AL1152" i="16"/>
  <c r="AK1152" i="16"/>
  <c r="AJ1152" i="16"/>
  <c r="AI1152" i="16"/>
  <c r="AF1152" i="16"/>
  <c r="AN1151" i="16"/>
  <c r="AM1151" i="16"/>
  <c r="AL1151" i="16"/>
  <c r="AK1151" i="16"/>
  <c r="AJ1151" i="16"/>
  <c r="AI1151" i="16"/>
  <c r="AF1151" i="16"/>
  <c r="AN1150" i="16"/>
  <c r="AM1150" i="16"/>
  <c r="AL1150" i="16"/>
  <c r="AK1150" i="16"/>
  <c r="AJ1150" i="16"/>
  <c r="AI1150" i="16"/>
  <c r="AF1150" i="16"/>
  <c r="AN1149" i="16"/>
  <c r="AM1149" i="16"/>
  <c r="AL1149" i="16"/>
  <c r="AK1149" i="16"/>
  <c r="AJ1149" i="16"/>
  <c r="AI1149" i="16"/>
  <c r="AF1149" i="16"/>
  <c r="AN1148" i="16"/>
  <c r="AM1148" i="16"/>
  <c r="AL1148" i="16"/>
  <c r="AK1148" i="16"/>
  <c r="AJ1148" i="16"/>
  <c r="AI1148" i="16"/>
  <c r="AF1148" i="16"/>
  <c r="AN1147" i="16"/>
  <c r="AM1147" i="16"/>
  <c r="AL1147" i="16"/>
  <c r="AK1147" i="16"/>
  <c r="AJ1147" i="16"/>
  <c r="AI1147" i="16"/>
  <c r="AF1147" i="16"/>
  <c r="AN1146" i="16"/>
  <c r="AM1146" i="16"/>
  <c r="AL1146" i="16"/>
  <c r="AK1146" i="16"/>
  <c r="AJ1146" i="16"/>
  <c r="AI1146" i="16"/>
  <c r="AF1146" i="16"/>
  <c r="AN1145" i="16"/>
  <c r="AM1145" i="16"/>
  <c r="AL1145" i="16"/>
  <c r="AK1145" i="16"/>
  <c r="AJ1145" i="16"/>
  <c r="AI1145" i="16"/>
  <c r="AF1145" i="16"/>
  <c r="AN1144" i="16"/>
  <c r="AM1144" i="16"/>
  <c r="AL1144" i="16"/>
  <c r="AK1144" i="16"/>
  <c r="AJ1144" i="16"/>
  <c r="AI1144" i="16"/>
  <c r="AF1144" i="16"/>
  <c r="AN1143" i="16"/>
  <c r="AM1143" i="16"/>
  <c r="AL1143" i="16"/>
  <c r="AK1143" i="16"/>
  <c r="AJ1143" i="16"/>
  <c r="AI1143" i="16"/>
  <c r="AF1143" i="16"/>
  <c r="AN1142" i="16"/>
  <c r="AM1142" i="16"/>
  <c r="AL1142" i="16"/>
  <c r="AK1142" i="16"/>
  <c r="AJ1142" i="16"/>
  <c r="AI1142" i="16"/>
  <c r="AF1142" i="16"/>
  <c r="AN1141" i="16"/>
  <c r="AM1141" i="16"/>
  <c r="AL1141" i="16"/>
  <c r="AK1141" i="16"/>
  <c r="AJ1141" i="16"/>
  <c r="AI1141" i="16"/>
  <c r="AF1141" i="16"/>
  <c r="AN1140" i="16"/>
  <c r="AM1140" i="16"/>
  <c r="AL1140" i="16"/>
  <c r="AK1140" i="16"/>
  <c r="AJ1140" i="16"/>
  <c r="AI1140" i="16"/>
  <c r="AF1140" i="16"/>
  <c r="AN1139" i="16"/>
  <c r="AM1139" i="16"/>
  <c r="AL1139" i="16"/>
  <c r="AK1139" i="16"/>
  <c r="AJ1139" i="16"/>
  <c r="AI1139" i="16"/>
  <c r="AF1139" i="16"/>
  <c r="AN1138" i="16"/>
  <c r="AM1138" i="16"/>
  <c r="AL1138" i="16"/>
  <c r="AK1138" i="16"/>
  <c r="AJ1138" i="16"/>
  <c r="AI1138" i="16"/>
  <c r="AF1138" i="16"/>
  <c r="AN1137" i="16"/>
  <c r="AM1137" i="16"/>
  <c r="AL1137" i="16"/>
  <c r="AK1137" i="16"/>
  <c r="AJ1137" i="16"/>
  <c r="AI1137" i="16"/>
  <c r="AF1137" i="16"/>
  <c r="AN1136" i="16"/>
  <c r="AM1136" i="16"/>
  <c r="AL1136" i="16"/>
  <c r="AK1136" i="16"/>
  <c r="AJ1136" i="16"/>
  <c r="AI1136" i="16"/>
  <c r="AF1136" i="16"/>
  <c r="AN1135" i="16"/>
  <c r="AM1135" i="16"/>
  <c r="AL1135" i="16"/>
  <c r="AK1135" i="16"/>
  <c r="AJ1135" i="16"/>
  <c r="AI1135" i="16"/>
  <c r="AF1135" i="16"/>
  <c r="AN1134" i="16"/>
  <c r="AM1134" i="16"/>
  <c r="AL1134" i="16"/>
  <c r="AK1134" i="16"/>
  <c r="AJ1134" i="16"/>
  <c r="AI1134" i="16"/>
  <c r="AF1134" i="16"/>
  <c r="AN1133" i="16"/>
  <c r="AM1133" i="16"/>
  <c r="AL1133" i="16"/>
  <c r="AK1133" i="16"/>
  <c r="AJ1133" i="16"/>
  <c r="AI1133" i="16"/>
  <c r="AF1133" i="16"/>
  <c r="AN1132" i="16"/>
  <c r="AM1132" i="16"/>
  <c r="AL1132" i="16"/>
  <c r="AK1132" i="16"/>
  <c r="AJ1132" i="16"/>
  <c r="AI1132" i="16"/>
  <c r="AF1132" i="16"/>
  <c r="AN1131" i="16"/>
  <c r="AM1131" i="16"/>
  <c r="AL1131" i="16"/>
  <c r="AK1131" i="16"/>
  <c r="AJ1131" i="16"/>
  <c r="AI1131" i="16"/>
  <c r="AF1131" i="16"/>
  <c r="AN1130" i="16"/>
  <c r="AM1130" i="16"/>
  <c r="AL1130" i="16"/>
  <c r="AK1130" i="16"/>
  <c r="AJ1130" i="16"/>
  <c r="AI1130" i="16"/>
  <c r="AF1130" i="16"/>
  <c r="AN1129" i="16"/>
  <c r="AM1129" i="16"/>
  <c r="AL1129" i="16"/>
  <c r="AK1129" i="16"/>
  <c r="AJ1129" i="16"/>
  <c r="AI1129" i="16"/>
  <c r="AF1129" i="16"/>
  <c r="AN1128" i="16"/>
  <c r="AM1128" i="16"/>
  <c r="AL1128" i="16"/>
  <c r="AK1128" i="16"/>
  <c r="AJ1128" i="16"/>
  <c r="AI1128" i="16"/>
  <c r="AF1128" i="16"/>
  <c r="AN1127" i="16"/>
  <c r="AM1127" i="16"/>
  <c r="AL1127" i="16"/>
  <c r="AK1127" i="16"/>
  <c r="AJ1127" i="16"/>
  <c r="AI1127" i="16"/>
  <c r="AF1127" i="16"/>
  <c r="AN1126" i="16"/>
  <c r="AM1126" i="16"/>
  <c r="AL1126" i="16"/>
  <c r="AK1126" i="16"/>
  <c r="AJ1126" i="16"/>
  <c r="AI1126" i="16"/>
  <c r="AF1126" i="16"/>
  <c r="AN1125" i="16"/>
  <c r="AM1125" i="16"/>
  <c r="AL1125" i="16"/>
  <c r="AK1125" i="16"/>
  <c r="AJ1125" i="16"/>
  <c r="AI1125" i="16"/>
  <c r="AF1125" i="16"/>
  <c r="AN1124" i="16"/>
  <c r="AM1124" i="16"/>
  <c r="AL1124" i="16"/>
  <c r="AK1124" i="16"/>
  <c r="AJ1124" i="16"/>
  <c r="AI1124" i="16"/>
  <c r="AF1124" i="16"/>
  <c r="AN1123" i="16"/>
  <c r="AM1123" i="16"/>
  <c r="AL1123" i="16"/>
  <c r="AK1123" i="16"/>
  <c r="AJ1123" i="16"/>
  <c r="AI1123" i="16"/>
  <c r="AF1123" i="16"/>
  <c r="AN1122" i="16"/>
  <c r="AM1122" i="16"/>
  <c r="AL1122" i="16"/>
  <c r="AK1122" i="16"/>
  <c r="AJ1122" i="16"/>
  <c r="AI1122" i="16"/>
  <c r="AF1122" i="16"/>
  <c r="AN1121" i="16"/>
  <c r="AM1121" i="16"/>
  <c r="AL1121" i="16"/>
  <c r="AK1121" i="16"/>
  <c r="AJ1121" i="16"/>
  <c r="AI1121" i="16"/>
  <c r="AF1121" i="16"/>
  <c r="AN1120" i="16"/>
  <c r="AM1120" i="16"/>
  <c r="AL1120" i="16"/>
  <c r="AK1120" i="16"/>
  <c r="AJ1120" i="16"/>
  <c r="AI1120" i="16"/>
  <c r="AF1120" i="16"/>
  <c r="AN1119" i="16"/>
  <c r="AM1119" i="16"/>
  <c r="AL1119" i="16"/>
  <c r="AK1119" i="16"/>
  <c r="AJ1119" i="16"/>
  <c r="AI1119" i="16"/>
  <c r="AF1119" i="16"/>
  <c r="AN1118" i="16"/>
  <c r="AM1118" i="16"/>
  <c r="AL1118" i="16"/>
  <c r="AK1118" i="16"/>
  <c r="AJ1118" i="16"/>
  <c r="AI1118" i="16"/>
  <c r="AF1118" i="16"/>
  <c r="AN1117" i="16"/>
  <c r="AM1117" i="16"/>
  <c r="AL1117" i="16"/>
  <c r="AK1117" i="16"/>
  <c r="AJ1117" i="16"/>
  <c r="AI1117" i="16"/>
  <c r="AF1117" i="16"/>
  <c r="AN1116" i="16"/>
  <c r="AM1116" i="16"/>
  <c r="AL1116" i="16"/>
  <c r="AK1116" i="16"/>
  <c r="AJ1116" i="16"/>
  <c r="AI1116" i="16"/>
  <c r="AF1116" i="16"/>
  <c r="AN1115" i="16"/>
  <c r="AM1115" i="16"/>
  <c r="AL1115" i="16"/>
  <c r="AK1115" i="16"/>
  <c r="AJ1115" i="16"/>
  <c r="AI1115" i="16"/>
  <c r="AF1115" i="16"/>
  <c r="AN1114" i="16"/>
  <c r="AM1114" i="16"/>
  <c r="AL1114" i="16"/>
  <c r="AK1114" i="16"/>
  <c r="AJ1114" i="16"/>
  <c r="AI1114" i="16"/>
  <c r="AF1114" i="16"/>
  <c r="AN1113" i="16"/>
  <c r="AM1113" i="16"/>
  <c r="AL1113" i="16"/>
  <c r="AK1113" i="16"/>
  <c r="AJ1113" i="16"/>
  <c r="AI1113" i="16"/>
  <c r="AF1113" i="16"/>
  <c r="AN1112" i="16"/>
  <c r="AM1112" i="16"/>
  <c r="AL1112" i="16"/>
  <c r="AK1112" i="16"/>
  <c r="AJ1112" i="16"/>
  <c r="AI1112" i="16"/>
  <c r="AF1112" i="16"/>
  <c r="AN1111" i="16"/>
  <c r="AM1111" i="16"/>
  <c r="AL1111" i="16"/>
  <c r="AK1111" i="16"/>
  <c r="AJ1111" i="16"/>
  <c r="AI1111" i="16"/>
  <c r="AF1111" i="16"/>
  <c r="AN1110" i="16"/>
  <c r="AM1110" i="16"/>
  <c r="AL1110" i="16"/>
  <c r="AK1110" i="16"/>
  <c r="AJ1110" i="16"/>
  <c r="AI1110" i="16"/>
  <c r="AF1110" i="16"/>
  <c r="AN1109" i="16"/>
  <c r="AM1109" i="16"/>
  <c r="AL1109" i="16"/>
  <c r="AK1109" i="16"/>
  <c r="AJ1109" i="16"/>
  <c r="AI1109" i="16"/>
  <c r="AF1109" i="16"/>
  <c r="AN1108" i="16"/>
  <c r="AM1108" i="16"/>
  <c r="AL1108" i="16"/>
  <c r="AK1108" i="16"/>
  <c r="AJ1108" i="16"/>
  <c r="AI1108" i="16"/>
  <c r="AF1108" i="16"/>
  <c r="AN1107" i="16"/>
  <c r="AM1107" i="16"/>
  <c r="AL1107" i="16"/>
  <c r="AK1107" i="16"/>
  <c r="AJ1107" i="16"/>
  <c r="AI1107" i="16"/>
  <c r="AF1107" i="16"/>
  <c r="AN1106" i="16"/>
  <c r="AM1106" i="16"/>
  <c r="AL1106" i="16"/>
  <c r="AK1106" i="16"/>
  <c r="AJ1106" i="16"/>
  <c r="AI1106" i="16"/>
  <c r="AF1106" i="16"/>
  <c r="AN1105" i="16"/>
  <c r="AM1105" i="16"/>
  <c r="AL1105" i="16"/>
  <c r="AK1105" i="16"/>
  <c r="AJ1105" i="16"/>
  <c r="AI1105" i="16"/>
  <c r="AF1105" i="16"/>
  <c r="AN1104" i="16"/>
  <c r="AM1104" i="16"/>
  <c r="AL1104" i="16"/>
  <c r="AK1104" i="16"/>
  <c r="AJ1104" i="16"/>
  <c r="AI1104" i="16"/>
  <c r="AF1104" i="16"/>
  <c r="AN1103" i="16"/>
  <c r="AM1103" i="16"/>
  <c r="AL1103" i="16"/>
  <c r="AK1103" i="16"/>
  <c r="AJ1103" i="16"/>
  <c r="AI1103" i="16"/>
  <c r="AF1103" i="16"/>
  <c r="AN1102" i="16"/>
  <c r="AM1102" i="16"/>
  <c r="AL1102" i="16"/>
  <c r="AK1102" i="16"/>
  <c r="AJ1102" i="16"/>
  <c r="AI1102" i="16"/>
  <c r="AF1102" i="16"/>
  <c r="AN1101" i="16"/>
  <c r="AM1101" i="16"/>
  <c r="AL1101" i="16"/>
  <c r="AK1101" i="16"/>
  <c r="AJ1101" i="16"/>
  <c r="AI1101" i="16"/>
  <c r="AF1101" i="16"/>
  <c r="AN1100" i="16"/>
  <c r="AM1100" i="16"/>
  <c r="AL1100" i="16"/>
  <c r="AK1100" i="16"/>
  <c r="AJ1100" i="16"/>
  <c r="AI1100" i="16"/>
  <c r="AF1100" i="16"/>
  <c r="AN1099" i="16"/>
  <c r="AM1099" i="16"/>
  <c r="AL1099" i="16"/>
  <c r="AK1099" i="16"/>
  <c r="AJ1099" i="16"/>
  <c r="AI1099" i="16"/>
  <c r="AF1099" i="16"/>
  <c r="AN1098" i="16"/>
  <c r="AM1098" i="16"/>
  <c r="AL1098" i="16"/>
  <c r="AK1098" i="16"/>
  <c r="AJ1098" i="16"/>
  <c r="AI1098" i="16"/>
  <c r="AF1098" i="16"/>
  <c r="AN1097" i="16"/>
  <c r="AM1097" i="16"/>
  <c r="AL1097" i="16"/>
  <c r="AK1097" i="16"/>
  <c r="AJ1097" i="16"/>
  <c r="AI1097" i="16"/>
  <c r="AF1097" i="16"/>
  <c r="AN1096" i="16"/>
  <c r="AM1096" i="16"/>
  <c r="AL1096" i="16"/>
  <c r="AK1096" i="16"/>
  <c r="AJ1096" i="16"/>
  <c r="AI1096" i="16"/>
  <c r="AF1096" i="16"/>
  <c r="AN1095" i="16"/>
  <c r="AM1095" i="16"/>
  <c r="AL1095" i="16"/>
  <c r="AK1095" i="16"/>
  <c r="AJ1095" i="16"/>
  <c r="AI1095" i="16"/>
  <c r="AF1095" i="16"/>
  <c r="AN1094" i="16"/>
  <c r="AM1094" i="16"/>
  <c r="AL1094" i="16"/>
  <c r="AK1094" i="16"/>
  <c r="AJ1094" i="16"/>
  <c r="AI1094" i="16"/>
  <c r="AF1094" i="16"/>
  <c r="AN1093" i="16"/>
  <c r="AM1093" i="16"/>
  <c r="AL1093" i="16"/>
  <c r="AK1093" i="16"/>
  <c r="AJ1093" i="16"/>
  <c r="AI1093" i="16"/>
  <c r="AF1093" i="16"/>
  <c r="AN1092" i="16"/>
  <c r="AM1092" i="16"/>
  <c r="AL1092" i="16"/>
  <c r="AK1092" i="16"/>
  <c r="AJ1092" i="16"/>
  <c r="AI1092" i="16"/>
  <c r="AF1092" i="16"/>
  <c r="AN1091" i="16"/>
  <c r="AM1091" i="16"/>
  <c r="AL1091" i="16"/>
  <c r="AK1091" i="16"/>
  <c r="AJ1091" i="16"/>
  <c r="AI1091" i="16"/>
  <c r="AF1091" i="16"/>
  <c r="AN1090" i="16"/>
  <c r="AM1090" i="16"/>
  <c r="AL1090" i="16"/>
  <c r="AK1090" i="16"/>
  <c r="AJ1090" i="16"/>
  <c r="AI1090" i="16"/>
  <c r="AF1090" i="16"/>
  <c r="AN1089" i="16"/>
  <c r="AM1089" i="16"/>
  <c r="AL1089" i="16"/>
  <c r="AK1089" i="16"/>
  <c r="AJ1089" i="16"/>
  <c r="AI1089" i="16"/>
  <c r="AF1089" i="16"/>
  <c r="AN1088" i="16"/>
  <c r="AM1088" i="16"/>
  <c r="AL1088" i="16"/>
  <c r="AK1088" i="16"/>
  <c r="AJ1088" i="16"/>
  <c r="AI1088" i="16"/>
  <c r="AF1088" i="16"/>
  <c r="AN1087" i="16"/>
  <c r="AM1087" i="16"/>
  <c r="AL1087" i="16"/>
  <c r="AK1087" i="16"/>
  <c r="AJ1087" i="16"/>
  <c r="AI1087" i="16"/>
  <c r="AF1087" i="16"/>
  <c r="AN1086" i="16"/>
  <c r="AM1086" i="16"/>
  <c r="AL1086" i="16"/>
  <c r="AK1086" i="16"/>
  <c r="AJ1086" i="16"/>
  <c r="AI1086" i="16"/>
  <c r="AF1086" i="16"/>
  <c r="AN1085" i="16"/>
  <c r="AM1085" i="16"/>
  <c r="AL1085" i="16"/>
  <c r="AK1085" i="16"/>
  <c r="AJ1085" i="16"/>
  <c r="AI1085" i="16"/>
  <c r="AF1085" i="16"/>
  <c r="AN1084" i="16"/>
  <c r="AM1084" i="16"/>
  <c r="AL1084" i="16"/>
  <c r="AK1084" i="16"/>
  <c r="AJ1084" i="16"/>
  <c r="AI1084" i="16"/>
  <c r="AF1084" i="16"/>
  <c r="AN1083" i="16"/>
  <c r="AM1083" i="16"/>
  <c r="AL1083" i="16"/>
  <c r="AK1083" i="16"/>
  <c r="AJ1083" i="16"/>
  <c r="AI1083" i="16"/>
  <c r="AF1083" i="16"/>
  <c r="AN1082" i="16"/>
  <c r="AM1082" i="16"/>
  <c r="AL1082" i="16"/>
  <c r="AK1082" i="16"/>
  <c r="AJ1082" i="16"/>
  <c r="AI1082" i="16"/>
  <c r="AF1082" i="16"/>
  <c r="AN1081" i="16"/>
  <c r="AM1081" i="16"/>
  <c r="AL1081" i="16"/>
  <c r="AK1081" i="16"/>
  <c r="AJ1081" i="16"/>
  <c r="AI1081" i="16"/>
  <c r="AF1081" i="16"/>
  <c r="AN1080" i="16"/>
  <c r="AM1080" i="16"/>
  <c r="AL1080" i="16"/>
  <c r="AK1080" i="16"/>
  <c r="AJ1080" i="16"/>
  <c r="AI1080" i="16"/>
  <c r="AF1080" i="16"/>
  <c r="AN1079" i="16"/>
  <c r="AM1079" i="16"/>
  <c r="AL1079" i="16"/>
  <c r="AK1079" i="16"/>
  <c r="AJ1079" i="16"/>
  <c r="AI1079" i="16"/>
  <c r="AF1079" i="16"/>
  <c r="AN1078" i="16"/>
  <c r="AM1078" i="16"/>
  <c r="AL1078" i="16"/>
  <c r="AK1078" i="16"/>
  <c r="AJ1078" i="16"/>
  <c r="AI1078" i="16"/>
  <c r="AF1078" i="16"/>
  <c r="AN1077" i="16"/>
  <c r="AM1077" i="16"/>
  <c r="AL1077" i="16"/>
  <c r="AK1077" i="16"/>
  <c r="AJ1077" i="16"/>
  <c r="AI1077" i="16"/>
  <c r="AF1077" i="16"/>
  <c r="AN1076" i="16"/>
  <c r="AM1076" i="16"/>
  <c r="AL1076" i="16"/>
  <c r="AK1076" i="16"/>
  <c r="AJ1076" i="16"/>
  <c r="AI1076" i="16"/>
  <c r="AF1076" i="16"/>
  <c r="AN1075" i="16"/>
  <c r="AM1075" i="16"/>
  <c r="AL1075" i="16"/>
  <c r="AK1075" i="16"/>
  <c r="AJ1075" i="16"/>
  <c r="AI1075" i="16"/>
  <c r="AF1075" i="16"/>
  <c r="AN1074" i="16"/>
  <c r="AM1074" i="16"/>
  <c r="AL1074" i="16"/>
  <c r="AK1074" i="16"/>
  <c r="AJ1074" i="16"/>
  <c r="AI1074" i="16"/>
  <c r="AF1074" i="16"/>
  <c r="AN1073" i="16"/>
  <c r="AM1073" i="16"/>
  <c r="AL1073" i="16"/>
  <c r="AK1073" i="16"/>
  <c r="AJ1073" i="16"/>
  <c r="AI1073" i="16"/>
  <c r="AF1073" i="16"/>
  <c r="AN1072" i="16"/>
  <c r="AM1072" i="16"/>
  <c r="AL1072" i="16"/>
  <c r="AK1072" i="16"/>
  <c r="AJ1072" i="16"/>
  <c r="AI1072" i="16"/>
  <c r="AF1072" i="16"/>
  <c r="AN1071" i="16"/>
  <c r="AM1071" i="16"/>
  <c r="AL1071" i="16"/>
  <c r="AK1071" i="16"/>
  <c r="AJ1071" i="16"/>
  <c r="AI1071" i="16"/>
  <c r="AF1071" i="16"/>
  <c r="AN1070" i="16"/>
  <c r="AM1070" i="16"/>
  <c r="AL1070" i="16"/>
  <c r="AK1070" i="16"/>
  <c r="AJ1070" i="16"/>
  <c r="AI1070" i="16"/>
  <c r="AF1070" i="16"/>
  <c r="AN1069" i="16"/>
  <c r="AM1069" i="16"/>
  <c r="AL1069" i="16"/>
  <c r="AK1069" i="16"/>
  <c r="AJ1069" i="16"/>
  <c r="AI1069" i="16"/>
  <c r="AF1069" i="16"/>
  <c r="AN1068" i="16"/>
  <c r="AM1068" i="16"/>
  <c r="AL1068" i="16"/>
  <c r="AK1068" i="16"/>
  <c r="AJ1068" i="16"/>
  <c r="AI1068" i="16"/>
  <c r="AF1068" i="16"/>
  <c r="AN1067" i="16"/>
  <c r="AM1067" i="16"/>
  <c r="AL1067" i="16"/>
  <c r="AK1067" i="16"/>
  <c r="AJ1067" i="16"/>
  <c r="AI1067" i="16"/>
  <c r="AF1067" i="16"/>
  <c r="AN1066" i="16"/>
  <c r="AM1066" i="16"/>
  <c r="AL1066" i="16"/>
  <c r="AK1066" i="16"/>
  <c r="AJ1066" i="16"/>
  <c r="AI1066" i="16"/>
  <c r="AF1066" i="16"/>
  <c r="AN1065" i="16"/>
  <c r="AM1065" i="16"/>
  <c r="AL1065" i="16"/>
  <c r="AK1065" i="16"/>
  <c r="AJ1065" i="16"/>
  <c r="AI1065" i="16"/>
  <c r="AF1065" i="16"/>
  <c r="AN1064" i="16"/>
  <c r="AM1064" i="16"/>
  <c r="AL1064" i="16"/>
  <c r="AK1064" i="16"/>
  <c r="AJ1064" i="16"/>
  <c r="AI1064" i="16"/>
  <c r="AF1064" i="16"/>
  <c r="AN1063" i="16"/>
  <c r="AM1063" i="16"/>
  <c r="AL1063" i="16"/>
  <c r="AK1063" i="16"/>
  <c r="AJ1063" i="16"/>
  <c r="AI1063" i="16"/>
  <c r="AF1063" i="16"/>
  <c r="AN1062" i="16"/>
  <c r="AM1062" i="16"/>
  <c r="AL1062" i="16"/>
  <c r="AK1062" i="16"/>
  <c r="AJ1062" i="16"/>
  <c r="AI1062" i="16"/>
  <c r="AF1062" i="16"/>
  <c r="AN1061" i="16"/>
  <c r="AM1061" i="16"/>
  <c r="AL1061" i="16"/>
  <c r="AK1061" i="16"/>
  <c r="AJ1061" i="16"/>
  <c r="AI1061" i="16"/>
  <c r="AF1061" i="16"/>
  <c r="AN1060" i="16"/>
  <c r="AM1060" i="16"/>
  <c r="AL1060" i="16"/>
  <c r="AK1060" i="16"/>
  <c r="AJ1060" i="16"/>
  <c r="AI1060" i="16"/>
  <c r="AF1060" i="16"/>
  <c r="AN1059" i="16"/>
  <c r="AM1059" i="16"/>
  <c r="AL1059" i="16"/>
  <c r="AK1059" i="16"/>
  <c r="AJ1059" i="16"/>
  <c r="AI1059" i="16"/>
  <c r="AF1059" i="16"/>
  <c r="AN1058" i="16"/>
  <c r="AM1058" i="16"/>
  <c r="AL1058" i="16"/>
  <c r="AK1058" i="16"/>
  <c r="AJ1058" i="16"/>
  <c r="AI1058" i="16"/>
  <c r="AF1058" i="16"/>
  <c r="AN1057" i="16"/>
  <c r="AM1057" i="16"/>
  <c r="AL1057" i="16"/>
  <c r="AK1057" i="16"/>
  <c r="AJ1057" i="16"/>
  <c r="AI1057" i="16"/>
  <c r="AF1057" i="16"/>
  <c r="AN1056" i="16"/>
  <c r="AM1056" i="16"/>
  <c r="AL1056" i="16"/>
  <c r="AK1056" i="16"/>
  <c r="AJ1056" i="16"/>
  <c r="AI1056" i="16"/>
  <c r="AF1056" i="16"/>
  <c r="AN1055" i="16"/>
  <c r="AM1055" i="16"/>
  <c r="AL1055" i="16"/>
  <c r="AK1055" i="16"/>
  <c r="AJ1055" i="16"/>
  <c r="AI1055" i="16"/>
  <c r="AF1055" i="16"/>
  <c r="AN1054" i="16"/>
  <c r="AM1054" i="16"/>
  <c r="AL1054" i="16"/>
  <c r="AK1054" i="16"/>
  <c r="AJ1054" i="16"/>
  <c r="AI1054" i="16"/>
  <c r="AF1054" i="16"/>
  <c r="AN1053" i="16"/>
  <c r="AM1053" i="16"/>
  <c r="AL1053" i="16"/>
  <c r="AK1053" i="16"/>
  <c r="AJ1053" i="16"/>
  <c r="AI1053" i="16"/>
  <c r="AF1053" i="16"/>
  <c r="AN1052" i="16"/>
  <c r="AM1052" i="16"/>
  <c r="AL1052" i="16"/>
  <c r="AK1052" i="16"/>
  <c r="AJ1052" i="16"/>
  <c r="AI1052" i="16"/>
  <c r="AF1052" i="16"/>
  <c r="AN1051" i="16"/>
  <c r="AM1051" i="16"/>
  <c r="AL1051" i="16"/>
  <c r="AK1051" i="16"/>
  <c r="AJ1051" i="16"/>
  <c r="AI1051" i="16"/>
  <c r="AF1051" i="16"/>
  <c r="AN1050" i="16"/>
  <c r="AM1050" i="16"/>
  <c r="AL1050" i="16"/>
  <c r="AK1050" i="16"/>
  <c r="AJ1050" i="16"/>
  <c r="AI1050" i="16"/>
  <c r="AF1050" i="16"/>
  <c r="AN1049" i="16"/>
  <c r="AM1049" i="16"/>
  <c r="AL1049" i="16"/>
  <c r="AK1049" i="16"/>
  <c r="AJ1049" i="16"/>
  <c r="AI1049" i="16"/>
  <c r="AF1049" i="16"/>
  <c r="AN1048" i="16"/>
  <c r="AM1048" i="16"/>
  <c r="AL1048" i="16"/>
  <c r="AK1048" i="16"/>
  <c r="AJ1048" i="16"/>
  <c r="AI1048" i="16"/>
  <c r="AF1048" i="16"/>
  <c r="AN1047" i="16"/>
  <c r="AM1047" i="16"/>
  <c r="AL1047" i="16"/>
  <c r="AK1047" i="16"/>
  <c r="AJ1047" i="16"/>
  <c r="AI1047" i="16"/>
  <c r="AF1047" i="16"/>
  <c r="AN1046" i="16"/>
  <c r="AM1046" i="16"/>
  <c r="AL1046" i="16"/>
  <c r="AK1046" i="16"/>
  <c r="AJ1046" i="16"/>
  <c r="AI1046" i="16"/>
  <c r="AF1046" i="16"/>
  <c r="AN1045" i="16"/>
  <c r="AM1045" i="16"/>
  <c r="AL1045" i="16"/>
  <c r="AK1045" i="16"/>
  <c r="AJ1045" i="16"/>
  <c r="AI1045" i="16"/>
  <c r="AF1045" i="16"/>
  <c r="AN1044" i="16"/>
  <c r="AM1044" i="16"/>
  <c r="AL1044" i="16"/>
  <c r="AK1044" i="16"/>
  <c r="AJ1044" i="16"/>
  <c r="AI1044" i="16"/>
  <c r="AF1044" i="16"/>
  <c r="AN1043" i="16"/>
  <c r="AM1043" i="16"/>
  <c r="AL1043" i="16"/>
  <c r="AK1043" i="16"/>
  <c r="AJ1043" i="16"/>
  <c r="AI1043" i="16"/>
  <c r="AF1043" i="16"/>
  <c r="AN1042" i="16"/>
  <c r="AM1042" i="16"/>
  <c r="AL1042" i="16"/>
  <c r="AK1042" i="16"/>
  <c r="AJ1042" i="16"/>
  <c r="AI1042" i="16"/>
  <c r="AF1042" i="16"/>
  <c r="AN1041" i="16"/>
  <c r="AM1041" i="16"/>
  <c r="AL1041" i="16"/>
  <c r="AK1041" i="16"/>
  <c r="AJ1041" i="16"/>
  <c r="AI1041" i="16"/>
  <c r="AF1041" i="16"/>
  <c r="AN1040" i="16"/>
  <c r="AM1040" i="16"/>
  <c r="AL1040" i="16"/>
  <c r="AK1040" i="16"/>
  <c r="AJ1040" i="16"/>
  <c r="AI1040" i="16"/>
  <c r="AF1040" i="16"/>
  <c r="AN1039" i="16"/>
  <c r="AM1039" i="16"/>
  <c r="AL1039" i="16"/>
  <c r="AK1039" i="16"/>
  <c r="AJ1039" i="16"/>
  <c r="AI1039" i="16"/>
  <c r="AF1039" i="16"/>
  <c r="AN1038" i="16"/>
  <c r="AM1038" i="16"/>
  <c r="AL1038" i="16"/>
  <c r="AK1038" i="16"/>
  <c r="AJ1038" i="16"/>
  <c r="AI1038" i="16"/>
  <c r="AF1038" i="16"/>
  <c r="AN1037" i="16"/>
  <c r="AM1037" i="16"/>
  <c r="AL1037" i="16"/>
  <c r="AK1037" i="16"/>
  <c r="AJ1037" i="16"/>
  <c r="AI1037" i="16"/>
  <c r="AF1037" i="16"/>
  <c r="AN1036" i="16"/>
  <c r="AM1036" i="16"/>
  <c r="AL1036" i="16"/>
  <c r="AK1036" i="16"/>
  <c r="AJ1036" i="16"/>
  <c r="AI1036" i="16"/>
  <c r="AF1036" i="16"/>
  <c r="AN1035" i="16"/>
  <c r="AM1035" i="16"/>
  <c r="AL1035" i="16"/>
  <c r="AK1035" i="16"/>
  <c r="AJ1035" i="16"/>
  <c r="AI1035" i="16"/>
  <c r="AF1035" i="16"/>
  <c r="AN1034" i="16"/>
  <c r="AM1034" i="16"/>
  <c r="AL1034" i="16"/>
  <c r="AK1034" i="16"/>
  <c r="AJ1034" i="16"/>
  <c r="AI1034" i="16"/>
  <c r="AF1034" i="16"/>
  <c r="AN1033" i="16"/>
  <c r="AM1033" i="16"/>
  <c r="AL1033" i="16"/>
  <c r="AK1033" i="16"/>
  <c r="AJ1033" i="16"/>
  <c r="AI1033" i="16"/>
  <c r="AF1033" i="16"/>
  <c r="AN1032" i="16"/>
  <c r="AM1032" i="16"/>
  <c r="AL1032" i="16"/>
  <c r="AK1032" i="16"/>
  <c r="AJ1032" i="16"/>
  <c r="AI1032" i="16"/>
  <c r="AF1032" i="16"/>
  <c r="AN1031" i="16"/>
  <c r="AM1031" i="16"/>
  <c r="AL1031" i="16"/>
  <c r="AK1031" i="16"/>
  <c r="AJ1031" i="16"/>
  <c r="AI1031" i="16"/>
  <c r="AF1031" i="16"/>
  <c r="AN1030" i="16"/>
  <c r="AM1030" i="16"/>
  <c r="AL1030" i="16"/>
  <c r="AK1030" i="16"/>
  <c r="AJ1030" i="16"/>
  <c r="AI1030" i="16"/>
  <c r="AF1030" i="16"/>
  <c r="AN1029" i="16"/>
  <c r="AM1029" i="16"/>
  <c r="AL1029" i="16"/>
  <c r="AK1029" i="16"/>
  <c r="AJ1029" i="16"/>
  <c r="AI1029" i="16"/>
  <c r="AF1029" i="16"/>
  <c r="AN1028" i="16"/>
  <c r="AM1028" i="16"/>
  <c r="AL1028" i="16"/>
  <c r="AK1028" i="16"/>
  <c r="AJ1028" i="16"/>
  <c r="AI1028" i="16"/>
  <c r="AF1028" i="16"/>
  <c r="AN1027" i="16"/>
  <c r="AM1027" i="16"/>
  <c r="AL1027" i="16"/>
  <c r="AK1027" i="16"/>
  <c r="AJ1027" i="16"/>
  <c r="AI1027" i="16"/>
  <c r="AF1027" i="16"/>
  <c r="AN1026" i="16"/>
  <c r="AM1026" i="16"/>
  <c r="AL1026" i="16"/>
  <c r="AK1026" i="16"/>
  <c r="AJ1026" i="16"/>
  <c r="AI1026" i="16"/>
  <c r="AF1026" i="16"/>
  <c r="AN1025" i="16"/>
  <c r="AM1025" i="16"/>
  <c r="AL1025" i="16"/>
  <c r="AK1025" i="16"/>
  <c r="AJ1025" i="16"/>
  <c r="AI1025" i="16"/>
  <c r="AF1025" i="16"/>
  <c r="AN1024" i="16"/>
  <c r="AM1024" i="16"/>
  <c r="AL1024" i="16"/>
  <c r="AK1024" i="16"/>
  <c r="AJ1024" i="16"/>
  <c r="AI1024" i="16"/>
  <c r="AF1024" i="16"/>
  <c r="AN1023" i="16"/>
  <c r="AM1023" i="16"/>
  <c r="AL1023" i="16"/>
  <c r="AK1023" i="16"/>
  <c r="AJ1023" i="16"/>
  <c r="AI1023" i="16"/>
  <c r="AF1023" i="16"/>
  <c r="AN1022" i="16"/>
  <c r="AM1022" i="16"/>
  <c r="AL1022" i="16"/>
  <c r="AK1022" i="16"/>
  <c r="AJ1022" i="16"/>
  <c r="AI1022" i="16"/>
  <c r="AF1022" i="16"/>
  <c r="AN1021" i="16"/>
  <c r="AM1021" i="16"/>
  <c r="AL1021" i="16"/>
  <c r="AK1021" i="16"/>
  <c r="AJ1021" i="16"/>
  <c r="AI1021" i="16"/>
  <c r="AF1021" i="16"/>
  <c r="AN1020" i="16"/>
  <c r="AM1020" i="16"/>
  <c r="AL1020" i="16"/>
  <c r="AK1020" i="16"/>
  <c r="AJ1020" i="16"/>
  <c r="AI1020" i="16"/>
  <c r="AF1020" i="16"/>
  <c r="AN1019" i="16"/>
  <c r="AM1019" i="16"/>
  <c r="AL1019" i="16"/>
  <c r="AK1019" i="16"/>
  <c r="AJ1019" i="16"/>
  <c r="AI1019" i="16"/>
  <c r="AF1019" i="16"/>
  <c r="AN1018" i="16"/>
  <c r="AM1018" i="16"/>
  <c r="AL1018" i="16"/>
  <c r="AK1018" i="16"/>
  <c r="AJ1018" i="16"/>
  <c r="AI1018" i="16"/>
  <c r="AF1018" i="16"/>
  <c r="AN1017" i="16"/>
  <c r="AM1017" i="16"/>
  <c r="AL1017" i="16"/>
  <c r="AK1017" i="16"/>
  <c r="AJ1017" i="16"/>
  <c r="AI1017" i="16"/>
  <c r="AF1017" i="16"/>
  <c r="AN1016" i="16"/>
  <c r="AM1016" i="16"/>
  <c r="AL1016" i="16"/>
  <c r="AK1016" i="16"/>
  <c r="AJ1016" i="16"/>
  <c r="AI1016" i="16"/>
  <c r="AF1016" i="16"/>
  <c r="AN1015" i="16"/>
  <c r="AM1015" i="16"/>
  <c r="AL1015" i="16"/>
  <c r="AK1015" i="16"/>
  <c r="AJ1015" i="16"/>
  <c r="AI1015" i="16"/>
  <c r="AF1015" i="16"/>
  <c r="AN1014" i="16"/>
  <c r="AM1014" i="16"/>
  <c r="AL1014" i="16"/>
  <c r="AK1014" i="16"/>
  <c r="AJ1014" i="16"/>
  <c r="AI1014" i="16"/>
  <c r="AF1014" i="16"/>
  <c r="AN1013" i="16"/>
  <c r="AM1013" i="16"/>
  <c r="AL1013" i="16"/>
  <c r="AK1013" i="16"/>
  <c r="AJ1013" i="16"/>
  <c r="AI1013" i="16"/>
  <c r="AF1013" i="16"/>
  <c r="AN1012" i="16"/>
  <c r="AM1012" i="16"/>
  <c r="AL1012" i="16"/>
  <c r="AK1012" i="16"/>
  <c r="AJ1012" i="16"/>
  <c r="AI1012" i="16"/>
  <c r="AF1012" i="16"/>
  <c r="AN1011" i="16"/>
  <c r="AM1011" i="16"/>
  <c r="AL1011" i="16"/>
  <c r="AK1011" i="16"/>
  <c r="AJ1011" i="16"/>
  <c r="AI1011" i="16"/>
  <c r="AF1011" i="16"/>
  <c r="AN1010" i="16"/>
  <c r="AM1010" i="16"/>
  <c r="AL1010" i="16"/>
  <c r="AK1010" i="16"/>
  <c r="AJ1010" i="16"/>
  <c r="AI1010" i="16"/>
  <c r="AF1010" i="16"/>
  <c r="AN1009" i="16"/>
  <c r="AM1009" i="16"/>
  <c r="AL1009" i="16"/>
  <c r="AK1009" i="16"/>
  <c r="AJ1009" i="16"/>
  <c r="AI1009" i="16"/>
  <c r="AF1009" i="16"/>
  <c r="AN1008" i="16"/>
  <c r="AM1008" i="16"/>
  <c r="AL1008" i="16"/>
  <c r="AK1008" i="16"/>
  <c r="AJ1008" i="16"/>
  <c r="AI1008" i="16"/>
  <c r="AF1008" i="16"/>
  <c r="AN1007" i="16"/>
  <c r="AM1007" i="16"/>
  <c r="AL1007" i="16"/>
  <c r="AK1007" i="16"/>
  <c r="AJ1007" i="16"/>
  <c r="AI1007" i="16"/>
  <c r="AF1007" i="16"/>
  <c r="AN1006" i="16"/>
  <c r="AM1006" i="16"/>
  <c r="AL1006" i="16"/>
  <c r="AK1006" i="16"/>
  <c r="AJ1006" i="16"/>
  <c r="AI1006" i="16"/>
  <c r="AF1006" i="16"/>
  <c r="AN1005" i="16"/>
  <c r="AM1005" i="16"/>
  <c r="AL1005" i="16"/>
  <c r="AK1005" i="16"/>
  <c r="AJ1005" i="16"/>
  <c r="AI1005" i="16"/>
  <c r="AF1005" i="16"/>
  <c r="AN1004" i="16"/>
  <c r="AM1004" i="16"/>
  <c r="AL1004" i="16"/>
  <c r="AK1004" i="16"/>
  <c r="AJ1004" i="16"/>
  <c r="AI1004" i="16"/>
  <c r="AF1004" i="16"/>
  <c r="AN1003" i="16"/>
  <c r="AM1003" i="16"/>
  <c r="AL1003" i="16"/>
  <c r="AK1003" i="16"/>
  <c r="AJ1003" i="16"/>
  <c r="AI1003" i="16"/>
  <c r="AF1003" i="16"/>
  <c r="AN1002" i="16"/>
  <c r="AM1002" i="16"/>
  <c r="AL1002" i="16"/>
  <c r="AK1002" i="16"/>
  <c r="AJ1002" i="16"/>
  <c r="AI1002" i="16"/>
  <c r="AF1002" i="16"/>
  <c r="AN1001" i="16"/>
  <c r="AM1001" i="16"/>
  <c r="AL1001" i="16"/>
  <c r="AK1001" i="16"/>
  <c r="AJ1001" i="16"/>
  <c r="AI1001" i="16"/>
  <c r="AF1001" i="16"/>
  <c r="AN1000" i="16"/>
  <c r="AM1000" i="16"/>
  <c r="AL1000" i="16"/>
  <c r="AK1000" i="16"/>
  <c r="AJ1000" i="16"/>
  <c r="AI1000" i="16"/>
  <c r="AF1000" i="16"/>
  <c r="AN999" i="16"/>
  <c r="AM999" i="16"/>
  <c r="AL999" i="16"/>
  <c r="AK999" i="16"/>
  <c r="AJ999" i="16"/>
  <c r="AI999" i="16"/>
  <c r="AF999" i="16"/>
  <c r="AN998" i="16"/>
  <c r="AM998" i="16"/>
  <c r="AL998" i="16"/>
  <c r="AK998" i="16"/>
  <c r="AJ998" i="16"/>
  <c r="AI998" i="16"/>
  <c r="AF998" i="16"/>
  <c r="AN997" i="16"/>
  <c r="AM997" i="16"/>
  <c r="AL997" i="16"/>
  <c r="AK997" i="16"/>
  <c r="AJ997" i="16"/>
  <c r="AI997" i="16"/>
  <c r="AF997" i="16"/>
  <c r="AN996" i="16"/>
  <c r="AM996" i="16"/>
  <c r="AL996" i="16"/>
  <c r="AK996" i="16"/>
  <c r="AJ996" i="16"/>
  <c r="AI996" i="16"/>
  <c r="AF996" i="16"/>
  <c r="AN995" i="16"/>
  <c r="AM995" i="16"/>
  <c r="AL995" i="16"/>
  <c r="AK995" i="16"/>
  <c r="AJ995" i="16"/>
  <c r="AI995" i="16"/>
  <c r="AF995" i="16"/>
  <c r="AN994" i="16"/>
  <c r="AM994" i="16"/>
  <c r="AL994" i="16"/>
  <c r="AK994" i="16"/>
  <c r="AJ994" i="16"/>
  <c r="AI994" i="16"/>
  <c r="AF994" i="16"/>
  <c r="AN993" i="16"/>
  <c r="AM993" i="16"/>
  <c r="AL993" i="16"/>
  <c r="AK993" i="16"/>
  <c r="AJ993" i="16"/>
  <c r="AI993" i="16"/>
  <c r="AF993" i="16"/>
  <c r="AN992" i="16"/>
  <c r="AM992" i="16"/>
  <c r="AL992" i="16"/>
  <c r="AK992" i="16"/>
  <c r="AJ992" i="16"/>
  <c r="AI992" i="16"/>
  <c r="AF992" i="16"/>
  <c r="AN991" i="16"/>
  <c r="AM991" i="16"/>
  <c r="AL991" i="16"/>
  <c r="AK991" i="16"/>
  <c r="AJ991" i="16"/>
  <c r="AI991" i="16"/>
  <c r="AF991" i="16"/>
  <c r="AN990" i="16"/>
  <c r="AM990" i="16"/>
  <c r="AL990" i="16"/>
  <c r="AK990" i="16"/>
  <c r="AJ990" i="16"/>
  <c r="AI990" i="16"/>
  <c r="AF990" i="16"/>
  <c r="AN989" i="16"/>
  <c r="AM989" i="16"/>
  <c r="AL989" i="16"/>
  <c r="AK989" i="16"/>
  <c r="AJ989" i="16"/>
  <c r="AI989" i="16"/>
  <c r="AF989" i="16"/>
  <c r="AN988" i="16"/>
  <c r="AM988" i="16"/>
  <c r="AL988" i="16"/>
  <c r="AK988" i="16"/>
  <c r="AJ988" i="16"/>
  <c r="AI988" i="16"/>
  <c r="AF988" i="16"/>
  <c r="AN987" i="16"/>
  <c r="AM987" i="16"/>
  <c r="AL987" i="16"/>
  <c r="AK987" i="16"/>
  <c r="AJ987" i="16"/>
  <c r="AI987" i="16"/>
  <c r="AF987" i="16"/>
  <c r="AN986" i="16"/>
  <c r="AM986" i="16"/>
  <c r="AL986" i="16"/>
  <c r="AK986" i="16"/>
  <c r="AJ986" i="16"/>
  <c r="AI986" i="16"/>
  <c r="AF986" i="16"/>
  <c r="AN985" i="16"/>
  <c r="AM985" i="16"/>
  <c r="AL985" i="16"/>
  <c r="AK985" i="16"/>
  <c r="AJ985" i="16"/>
  <c r="AI985" i="16"/>
  <c r="AF985" i="16"/>
  <c r="AN984" i="16"/>
  <c r="AM984" i="16"/>
  <c r="AL984" i="16"/>
  <c r="AK984" i="16"/>
  <c r="AJ984" i="16"/>
  <c r="AI984" i="16"/>
  <c r="AF984" i="16"/>
  <c r="AN983" i="16"/>
  <c r="AM983" i="16"/>
  <c r="AL983" i="16"/>
  <c r="AK983" i="16"/>
  <c r="AJ983" i="16"/>
  <c r="AI983" i="16"/>
  <c r="AF983" i="16"/>
  <c r="AN982" i="16"/>
  <c r="AM982" i="16"/>
  <c r="AL982" i="16"/>
  <c r="AK982" i="16"/>
  <c r="AJ982" i="16"/>
  <c r="AI982" i="16"/>
  <c r="AF982" i="16"/>
  <c r="AN981" i="16"/>
  <c r="AM981" i="16"/>
  <c r="AL981" i="16"/>
  <c r="AK981" i="16"/>
  <c r="AJ981" i="16"/>
  <c r="AI981" i="16"/>
  <c r="AF981" i="16"/>
  <c r="AN980" i="16"/>
  <c r="AM980" i="16"/>
  <c r="AL980" i="16"/>
  <c r="AK980" i="16"/>
  <c r="AJ980" i="16"/>
  <c r="AI980" i="16"/>
  <c r="AF980" i="16"/>
  <c r="AN979" i="16"/>
  <c r="AM979" i="16"/>
  <c r="AL979" i="16"/>
  <c r="AK979" i="16"/>
  <c r="AJ979" i="16"/>
  <c r="AI979" i="16"/>
  <c r="AF979" i="16"/>
  <c r="AN978" i="16"/>
  <c r="AM978" i="16"/>
  <c r="AL978" i="16"/>
  <c r="AK978" i="16"/>
  <c r="AJ978" i="16"/>
  <c r="AI978" i="16"/>
  <c r="AF978" i="16"/>
  <c r="AN977" i="16"/>
  <c r="AM977" i="16"/>
  <c r="AL977" i="16"/>
  <c r="AK977" i="16"/>
  <c r="AJ977" i="16"/>
  <c r="AI977" i="16"/>
  <c r="AF977" i="16"/>
  <c r="AN976" i="16"/>
  <c r="AM976" i="16"/>
  <c r="AL976" i="16"/>
  <c r="AK976" i="16"/>
  <c r="AJ976" i="16"/>
  <c r="AI976" i="16"/>
  <c r="AF976" i="16"/>
  <c r="AN975" i="16"/>
  <c r="AM975" i="16"/>
  <c r="AL975" i="16"/>
  <c r="AK975" i="16"/>
  <c r="AJ975" i="16"/>
  <c r="AI975" i="16"/>
  <c r="AF975" i="16"/>
  <c r="AN974" i="16"/>
  <c r="AM974" i="16"/>
  <c r="AL974" i="16"/>
  <c r="AK974" i="16"/>
  <c r="AJ974" i="16"/>
  <c r="AI974" i="16"/>
  <c r="AF974" i="16"/>
  <c r="AN973" i="16"/>
  <c r="AM973" i="16"/>
  <c r="AL973" i="16"/>
  <c r="AK973" i="16"/>
  <c r="AJ973" i="16"/>
  <c r="AI973" i="16"/>
  <c r="AF973" i="16"/>
  <c r="AN972" i="16"/>
  <c r="AM972" i="16"/>
  <c r="AL972" i="16"/>
  <c r="AK972" i="16"/>
  <c r="AJ972" i="16"/>
  <c r="AI972" i="16"/>
  <c r="AF972" i="16"/>
  <c r="AN971" i="16"/>
  <c r="AM971" i="16"/>
  <c r="AL971" i="16"/>
  <c r="AK971" i="16"/>
  <c r="AJ971" i="16"/>
  <c r="AI971" i="16"/>
  <c r="AF971" i="16"/>
  <c r="AN970" i="16"/>
  <c r="AM970" i="16"/>
  <c r="AL970" i="16"/>
  <c r="AK970" i="16"/>
  <c r="AJ970" i="16"/>
  <c r="AI970" i="16"/>
  <c r="AF970" i="16"/>
  <c r="AN969" i="16"/>
  <c r="AM969" i="16"/>
  <c r="AL969" i="16"/>
  <c r="AK969" i="16"/>
  <c r="AJ969" i="16"/>
  <c r="AI969" i="16"/>
  <c r="AF969" i="16"/>
  <c r="AN968" i="16"/>
  <c r="AM968" i="16"/>
  <c r="AL968" i="16"/>
  <c r="AK968" i="16"/>
  <c r="AJ968" i="16"/>
  <c r="AI968" i="16"/>
  <c r="AF968" i="16"/>
  <c r="AN967" i="16"/>
  <c r="AM967" i="16"/>
  <c r="AL967" i="16"/>
  <c r="AK967" i="16"/>
  <c r="AJ967" i="16"/>
  <c r="AI967" i="16"/>
  <c r="AF967" i="16"/>
  <c r="AN966" i="16"/>
  <c r="AM966" i="16"/>
  <c r="AL966" i="16"/>
  <c r="AK966" i="16"/>
  <c r="AJ966" i="16"/>
  <c r="AI966" i="16"/>
  <c r="AF966" i="16"/>
  <c r="AN965" i="16"/>
  <c r="AM965" i="16"/>
  <c r="AL965" i="16"/>
  <c r="AK965" i="16"/>
  <c r="AJ965" i="16"/>
  <c r="AI965" i="16"/>
  <c r="AF965" i="16"/>
  <c r="AN964" i="16"/>
  <c r="AM964" i="16"/>
  <c r="AL964" i="16"/>
  <c r="AK964" i="16"/>
  <c r="AJ964" i="16"/>
  <c r="AI964" i="16"/>
  <c r="AF964" i="16"/>
  <c r="AN963" i="16"/>
  <c r="AM963" i="16"/>
  <c r="AL963" i="16"/>
  <c r="AK963" i="16"/>
  <c r="AJ963" i="16"/>
  <c r="AI963" i="16"/>
  <c r="AF963" i="16"/>
  <c r="AN962" i="16"/>
  <c r="AM962" i="16"/>
  <c r="AL962" i="16"/>
  <c r="AK962" i="16"/>
  <c r="AJ962" i="16"/>
  <c r="AI962" i="16"/>
  <c r="AF962" i="16"/>
  <c r="AN961" i="16"/>
  <c r="AM961" i="16"/>
  <c r="AL961" i="16"/>
  <c r="AK961" i="16"/>
  <c r="AJ961" i="16"/>
  <c r="AI961" i="16"/>
  <c r="AF961" i="16"/>
  <c r="AN960" i="16"/>
  <c r="AM960" i="16"/>
  <c r="AL960" i="16"/>
  <c r="AK960" i="16"/>
  <c r="AJ960" i="16"/>
  <c r="AI960" i="16"/>
  <c r="AF960" i="16"/>
  <c r="AN959" i="16"/>
  <c r="AM959" i="16"/>
  <c r="AL959" i="16"/>
  <c r="AK959" i="16"/>
  <c r="AJ959" i="16"/>
  <c r="AI959" i="16"/>
  <c r="AF959" i="16"/>
  <c r="AN958" i="16"/>
  <c r="AM958" i="16"/>
  <c r="AL958" i="16"/>
  <c r="AK958" i="16"/>
  <c r="AJ958" i="16"/>
  <c r="AI958" i="16"/>
  <c r="AF958" i="16"/>
  <c r="AN957" i="16"/>
  <c r="AM957" i="16"/>
  <c r="AL957" i="16"/>
  <c r="AK957" i="16"/>
  <c r="AJ957" i="16"/>
  <c r="AI957" i="16"/>
  <c r="AF957" i="16"/>
  <c r="AN956" i="16"/>
  <c r="AM956" i="16"/>
  <c r="AL956" i="16"/>
  <c r="AK956" i="16"/>
  <c r="AJ956" i="16"/>
  <c r="AI956" i="16"/>
  <c r="AF956" i="16"/>
  <c r="AN955" i="16"/>
  <c r="AM955" i="16"/>
  <c r="AL955" i="16"/>
  <c r="AK955" i="16"/>
  <c r="AJ955" i="16"/>
  <c r="AI955" i="16"/>
  <c r="AF955" i="16"/>
  <c r="AN954" i="16"/>
  <c r="AM954" i="16"/>
  <c r="AL954" i="16"/>
  <c r="AK954" i="16"/>
  <c r="AJ954" i="16"/>
  <c r="AI954" i="16"/>
  <c r="AF954" i="16"/>
  <c r="AN953" i="16"/>
  <c r="AM953" i="16"/>
  <c r="AL953" i="16"/>
  <c r="AK953" i="16"/>
  <c r="AJ953" i="16"/>
  <c r="AI953" i="16"/>
  <c r="AF953" i="16"/>
  <c r="AN952" i="16"/>
  <c r="AM952" i="16"/>
  <c r="AL952" i="16"/>
  <c r="AK952" i="16"/>
  <c r="AJ952" i="16"/>
  <c r="AI952" i="16"/>
  <c r="AF952" i="16"/>
  <c r="AN951" i="16"/>
  <c r="AM951" i="16"/>
  <c r="AL951" i="16"/>
  <c r="AK951" i="16"/>
  <c r="AJ951" i="16"/>
  <c r="AI951" i="16"/>
  <c r="AF951" i="16"/>
  <c r="AN950" i="16"/>
  <c r="AM950" i="16"/>
  <c r="AL950" i="16"/>
  <c r="AK950" i="16"/>
  <c r="AJ950" i="16"/>
  <c r="AI950" i="16"/>
  <c r="AF950" i="16"/>
  <c r="AN949" i="16"/>
  <c r="AM949" i="16"/>
  <c r="AL949" i="16"/>
  <c r="AK949" i="16"/>
  <c r="AJ949" i="16"/>
  <c r="AI949" i="16"/>
  <c r="AF949" i="16"/>
  <c r="AN948" i="16"/>
  <c r="AM948" i="16"/>
  <c r="AL948" i="16"/>
  <c r="AK948" i="16"/>
  <c r="AJ948" i="16"/>
  <c r="AI948" i="16"/>
  <c r="AF948" i="16"/>
  <c r="AN947" i="16"/>
  <c r="AM947" i="16"/>
  <c r="AL947" i="16"/>
  <c r="AK947" i="16"/>
  <c r="AJ947" i="16"/>
  <c r="AI947" i="16"/>
  <c r="AF947" i="16"/>
  <c r="AN946" i="16"/>
  <c r="AM946" i="16"/>
  <c r="AL946" i="16"/>
  <c r="AK946" i="16"/>
  <c r="AJ946" i="16"/>
  <c r="AI946" i="16"/>
  <c r="AF946" i="16"/>
  <c r="AN945" i="16"/>
  <c r="AM945" i="16"/>
  <c r="AL945" i="16"/>
  <c r="AK945" i="16"/>
  <c r="AJ945" i="16"/>
  <c r="AI945" i="16"/>
  <c r="AF945" i="16"/>
  <c r="AN944" i="16"/>
  <c r="AM944" i="16"/>
  <c r="AL944" i="16"/>
  <c r="AK944" i="16"/>
  <c r="AJ944" i="16"/>
  <c r="AI944" i="16"/>
  <c r="AF944" i="16"/>
  <c r="AN943" i="16"/>
  <c r="AM943" i="16"/>
  <c r="AL943" i="16"/>
  <c r="AK943" i="16"/>
  <c r="AJ943" i="16"/>
  <c r="AI943" i="16"/>
  <c r="AF943" i="16"/>
  <c r="AN942" i="16"/>
  <c r="AM942" i="16"/>
  <c r="AL942" i="16"/>
  <c r="AK942" i="16"/>
  <c r="AJ942" i="16"/>
  <c r="AI942" i="16"/>
  <c r="AF942" i="16"/>
  <c r="AN941" i="16"/>
  <c r="AM941" i="16"/>
  <c r="AL941" i="16"/>
  <c r="AK941" i="16"/>
  <c r="AJ941" i="16"/>
  <c r="AI941" i="16"/>
  <c r="AF941" i="16"/>
  <c r="AN940" i="16"/>
  <c r="AM940" i="16"/>
  <c r="AL940" i="16"/>
  <c r="AK940" i="16"/>
  <c r="AJ940" i="16"/>
  <c r="AI940" i="16"/>
  <c r="AF940" i="16"/>
  <c r="AN939" i="16"/>
  <c r="AM939" i="16"/>
  <c r="AL939" i="16"/>
  <c r="AK939" i="16"/>
  <c r="AJ939" i="16"/>
  <c r="AI939" i="16"/>
  <c r="AF939" i="16"/>
  <c r="AN938" i="16"/>
  <c r="AM938" i="16"/>
  <c r="AL938" i="16"/>
  <c r="AK938" i="16"/>
  <c r="AJ938" i="16"/>
  <c r="AI938" i="16"/>
  <c r="AF938" i="16"/>
  <c r="AN937" i="16"/>
  <c r="AM937" i="16"/>
  <c r="AL937" i="16"/>
  <c r="AK937" i="16"/>
  <c r="AJ937" i="16"/>
  <c r="AI937" i="16"/>
  <c r="AF937" i="16"/>
  <c r="AN936" i="16"/>
  <c r="AM936" i="16"/>
  <c r="AL936" i="16"/>
  <c r="AK936" i="16"/>
  <c r="AJ936" i="16"/>
  <c r="AI936" i="16"/>
  <c r="AF936" i="16"/>
  <c r="AN935" i="16"/>
  <c r="AM935" i="16"/>
  <c r="AL935" i="16"/>
  <c r="AK935" i="16"/>
  <c r="AJ935" i="16"/>
  <c r="AI935" i="16"/>
  <c r="AF935" i="16"/>
  <c r="AN934" i="16"/>
  <c r="AM934" i="16"/>
  <c r="AL934" i="16"/>
  <c r="AK934" i="16"/>
  <c r="AJ934" i="16"/>
  <c r="AI934" i="16"/>
  <c r="AF934" i="16"/>
  <c r="AN933" i="16"/>
  <c r="AM933" i="16"/>
  <c r="AL933" i="16"/>
  <c r="AK933" i="16"/>
  <c r="AJ933" i="16"/>
  <c r="AI933" i="16"/>
  <c r="AF933" i="16"/>
  <c r="AN932" i="16"/>
  <c r="AM932" i="16"/>
  <c r="AL932" i="16"/>
  <c r="AK932" i="16"/>
  <c r="AJ932" i="16"/>
  <c r="AI932" i="16"/>
  <c r="AF932" i="16"/>
  <c r="AN931" i="16"/>
  <c r="AM931" i="16"/>
  <c r="AL931" i="16"/>
  <c r="AK931" i="16"/>
  <c r="AJ931" i="16"/>
  <c r="AI931" i="16"/>
  <c r="AF931" i="16"/>
  <c r="AN930" i="16"/>
  <c r="AM930" i="16"/>
  <c r="AL930" i="16"/>
  <c r="AK930" i="16"/>
  <c r="AJ930" i="16"/>
  <c r="AI930" i="16"/>
  <c r="AF930" i="16"/>
  <c r="AN929" i="16"/>
  <c r="AM929" i="16"/>
  <c r="AL929" i="16"/>
  <c r="AK929" i="16"/>
  <c r="AJ929" i="16"/>
  <c r="AI929" i="16"/>
  <c r="AF929" i="16"/>
  <c r="AN928" i="16"/>
  <c r="AM928" i="16"/>
  <c r="AL928" i="16"/>
  <c r="AK928" i="16"/>
  <c r="AJ928" i="16"/>
  <c r="AI928" i="16"/>
  <c r="AF928" i="16"/>
  <c r="AN927" i="16"/>
  <c r="AM927" i="16"/>
  <c r="AL927" i="16"/>
  <c r="AK927" i="16"/>
  <c r="AJ927" i="16"/>
  <c r="AI927" i="16"/>
  <c r="AF927" i="16"/>
  <c r="AN926" i="16"/>
  <c r="AM926" i="16"/>
  <c r="AL926" i="16"/>
  <c r="AK926" i="16"/>
  <c r="AJ926" i="16"/>
  <c r="AI926" i="16"/>
  <c r="AF926" i="16"/>
  <c r="AN925" i="16"/>
  <c r="AM925" i="16"/>
  <c r="AL925" i="16"/>
  <c r="AK925" i="16"/>
  <c r="AJ925" i="16"/>
  <c r="AI925" i="16"/>
  <c r="AF925" i="16"/>
  <c r="AN924" i="16"/>
  <c r="AM924" i="16"/>
  <c r="AL924" i="16"/>
  <c r="AK924" i="16"/>
  <c r="AJ924" i="16"/>
  <c r="AI924" i="16"/>
  <c r="AF924" i="16"/>
  <c r="AN923" i="16"/>
  <c r="AM923" i="16"/>
  <c r="AL923" i="16"/>
  <c r="AK923" i="16"/>
  <c r="AJ923" i="16"/>
  <c r="AI923" i="16"/>
  <c r="AF923" i="16"/>
  <c r="AN922" i="16"/>
  <c r="AM922" i="16"/>
  <c r="AL922" i="16"/>
  <c r="AK922" i="16"/>
  <c r="AJ922" i="16"/>
  <c r="AI922" i="16"/>
  <c r="AF922" i="16"/>
  <c r="AN921" i="16"/>
  <c r="AM921" i="16"/>
  <c r="AL921" i="16"/>
  <c r="AK921" i="16"/>
  <c r="AJ921" i="16"/>
  <c r="AI921" i="16"/>
  <c r="AF921" i="16"/>
  <c r="AN920" i="16"/>
  <c r="AM920" i="16"/>
  <c r="AL920" i="16"/>
  <c r="AK920" i="16"/>
  <c r="AJ920" i="16"/>
  <c r="AI920" i="16"/>
  <c r="AF920" i="16"/>
  <c r="AN919" i="16"/>
  <c r="AM919" i="16"/>
  <c r="AL919" i="16"/>
  <c r="AK919" i="16"/>
  <c r="AJ919" i="16"/>
  <c r="AI919" i="16"/>
  <c r="AF919" i="16"/>
  <c r="AN918" i="16"/>
  <c r="AM918" i="16"/>
  <c r="AL918" i="16"/>
  <c r="AK918" i="16"/>
  <c r="AJ918" i="16"/>
  <c r="AI918" i="16"/>
  <c r="AF918" i="16"/>
  <c r="AN917" i="16"/>
  <c r="AM917" i="16"/>
  <c r="AL917" i="16"/>
  <c r="AK917" i="16"/>
  <c r="AJ917" i="16"/>
  <c r="AI917" i="16"/>
  <c r="AF917" i="16"/>
  <c r="AN916" i="16"/>
  <c r="AM916" i="16"/>
  <c r="AL916" i="16"/>
  <c r="AK916" i="16"/>
  <c r="AJ916" i="16"/>
  <c r="AI916" i="16"/>
  <c r="AF916" i="16"/>
  <c r="AN915" i="16"/>
  <c r="AM915" i="16"/>
  <c r="AL915" i="16"/>
  <c r="AK915" i="16"/>
  <c r="AJ915" i="16"/>
  <c r="AI915" i="16"/>
  <c r="AF915" i="16"/>
  <c r="AN914" i="16"/>
  <c r="AM914" i="16"/>
  <c r="AL914" i="16"/>
  <c r="AK914" i="16"/>
  <c r="AJ914" i="16"/>
  <c r="AI914" i="16"/>
  <c r="AF914" i="16"/>
  <c r="AN913" i="16"/>
  <c r="AM913" i="16"/>
  <c r="AL913" i="16"/>
  <c r="AK913" i="16"/>
  <c r="AJ913" i="16"/>
  <c r="AI913" i="16"/>
  <c r="AF913" i="16"/>
  <c r="AN912" i="16"/>
  <c r="AM912" i="16"/>
  <c r="AL912" i="16"/>
  <c r="AK912" i="16"/>
  <c r="AJ912" i="16"/>
  <c r="AI912" i="16"/>
  <c r="AF912" i="16"/>
  <c r="AN911" i="16"/>
  <c r="AM911" i="16"/>
  <c r="AL911" i="16"/>
  <c r="AK911" i="16"/>
  <c r="AJ911" i="16"/>
  <c r="AI911" i="16"/>
  <c r="AF911" i="16"/>
  <c r="AN910" i="16"/>
  <c r="AM910" i="16"/>
  <c r="AL910" i="16"/>
  <c r="AK910" i="16"/>
  <c r="AJ910" i="16"/>
  <c r="AI910" i="16"/>
  <c r="AF910" i="16"/>
  <c r="AN909" i="16"/>
  <c r="AM909" i="16"/>
  <c r="AL909" i="16"/>
  <c r="AK909" i="16"/>
  <c r="AJ909" i="16"/>
  <c r="AI909" i="16"/>
  <c r="AF909" i="16"/>
  <c r="AN908" i="16"/>
  <c r="AM908" i="16"/>
  <c r="AL908" i="16"/>
  <c r="AK908" i="16"/>
  <c r="AJ908" i="16"/>
  <c r="AI908" i="16"/>
  <c r="AF908" i="16"/>
  <c r="AN907" i="16"/>
  <c r="AM907" i="16"/>
  <c r="AL907" i="16"/>
  <c r="AK907" i="16"/>
  <c r="AJ907" i="16"/>
  <c r="AI907" i="16"/>
  <c r="AF907" i="16"/>
  <c r="AN906" i="16"/>
  <c r="AM906" i="16"/>
  <c r="AL906" i="16"/>
  <c r="AK906" i="16"/>
  <c r="AJ906" i="16"/>
  <c r="AI906" i="16"/>
  <c r="AF906" i="16"/>
  <c r="AN905" i="16"/>
  <c r="AM905" i="16"/>
  <c r="AL905" i="16"/>
  <c r="AK905" i="16"/>
  <c r="AJ905" i="16"/>
  <c r="AI905" i="16"/>
  <c r="AF905" i="16"/>
  <c r="AN904" i="16"/>
  <c r="AM904" i="16"/>
  <c r="AL904" i="16"/>
  <c r="AK904" i="16"/>
  <c r="AJ904" i="16"/>
  <c r="AI904" i="16"/>
  <c r="AF904" i="16"/>
  <c r="AN903" i="16"/>
  <c r="AM903" i="16"/>
  <c r="AL903" i="16"/>
  <c r="AK903" i="16"/>
  <c r="AJ903" i="16"/>
  <c r="AI903" i="16"/>
  <c r="AF903" i="16"/>
  <c r="AN902" i="16"/>
  <c r="AM902" i="16"/>
  <c r="AL902" i="16"/>
  <c r="AK902" i="16"/>
  <c r="AJ902" i="16"/>
  <c r="AI902" i="16"/>
  <c r="AF902" i="16"/>
  <c r="AN901" i="16"/>
  <c r="AM901" i="16"/>
  <c r="AL901" i="16"/>
  <c r="AK901" i="16"/>
  <c r="AJ901" i="16"/>
  <c r="AI901" i="16"/>
  <c r="AF901" i="16"/>
  <c r="AN900" i="16"/>
  <c r="AM900" i="16"/>
  <c r="AL900" i="16"/>
  <c r="AK900" i="16"/>
  <c r="AJ900" i="16"/>
  <c r="AI900" i="16"/>
  <c r="AF900" i="16"/>
  <c r="AN899" i="16"/>
  <c r="AM899" i="16"/>
  <c r="AL899" i="16"/>
  <c r="AK899" i="16"/>
  <c r="AJ899" i="16"/>
  <c r="AI899" i="16"/>
  <c r="AF899" i="16"/>
  <c r="AN898" i="16"/>
  <c r="AM898" i="16"/>
  <c r="AL898" i="16"/>
  <c r="AK898" i="16"/>
  <c r="AJ898" i="16"/>
  <c r="AI898" i="16"/>
  <c r="AF898" i="16"/>
  <c r="AN897" i="16"/>
  <c r="AM897" i="16"/>
  <c r="AL897" i="16"/>
  <c r="AK897" i="16"/>
  <c r="AJ897" i="16"/>
  <c r="AI897" i="16"/>
  <c r="AF897" i="16"/>
  <c r="AN896" i="16"/>
  <c r="AM896" i="16"/>
  <c r="AL896" i="16"/>
  <c r="AK896" i="16"/>
  <c r="AJ896" i="16"/>
  <c r="AI896" i="16"/>
  <c r="AF896" i="16"/>
  <c r="AN895" i="16"/>
  <c r="AM895" i="16"/>
  <c r="AL895" i="16"/>
  <c r="AK895" i="16"/>
  <c r="AJ895" i="16"/>
  <c r="AI895" i="16"/>
  <c r="AF895" i="16"/>
  <c r="AN894" i="16"/>
  <c r="AM894" i="16"/>
  <c r="AL894" i="16"/>
  <c r="AK894" i="16"/>
  <c r="AJ894" i="16"/>
  <c r="AI894" i="16"/>
  <c r="AF894" i="16"/>
  <c r="AN893" i="16"/>
  <c r="AM893" i="16"/>
  <c r="AL893" i="16"/>
  <c r="AK893" i="16"/>
  <c r="AJ893" i="16"/>
  <c r="AI893" i="16"/>
  <c r="AF893" i="16"/>
  <c r="AN892" i="16"/>
  <c r="AM892" i="16"/>
  <c r="AL892" i="16"/>
  <c r="AK892" i="16"/>
  <c r="AJ892" i="16"/>
  <c r="AI892" i="16"/>
  <c r="AF892" i="16"/>
  <c r="AN891" i="16"/>
  <c r="AM891" i="16"/>
  <c r="AL891" i="16"/>
  <c r="AK891" i="16"/>
  <c r="AJ891" i="16"/>
  <c r="AI891" i="16"/>
  <c r="AF891" i="16"/>
  <c r="AN890" i="16"/>
  <c r="AM890" i="16"/>
  <c r="AL890" i="16"/>
  <c r="AK890" i="16"/>
  <c r="AJ890" i="16"/>
  <c r="AI890" i="16"/>
  <c r="AF890" i="16"/>
  <c r="AN889" i="16"/>
  <c r="AM889" i="16"/>
  <c r="AL889" i="16"/>
  <c r="AK889" i="16"/>
  <c r="AJ889" i="16"/>
  <c r="AI889" i="16"/>
  <c r="AF889" i="16"/>
  <c r="AN888" i="16"/>
  <c r="AM888" i="16"/>
  <c r="AL888" i="16"/>
  <c r="AK888" i="16"/>
  <c r="AJ888" i="16"/>
  <c r="AI888" i="16"/>
  <c r="AF888" i="16"/>
  <c r="AN887" i="16"/>
  <c r="AM887" i="16"/>
  <c r="AL887" i="16"/>
  <c r="AK887" i="16"/>
  <c r="AJ887" i="16"/>
  <c r="AI887" i="16"/>
  <c r="AF887" i="16"/>
  <c r="AN886" i="16"/>
  <c r="AM886" i="16"/>
  <c r="AL886" i="16"/>
  <c r="AK886" i="16"/>
  <c r="AJ886" i="16"/>
  <c r="AI886" i="16"/>
  <c r="AF886" i="16"/>
  <c r="AN885" i="16"/>
  <c r="AM885" i="16"/>
  <c r="AL885" i="16"/>
  <c r="AK885" i="16"/>
  <c r="AJ885" i="16"/>
  <c r="AI885" i="16"/>
  <c r="AF885" i="16"/>
  <c r="AN884" i="16"/>
  <c r="AM884" i="16"/>
  <c r="AL884" i="16"/>
  <c r="AK884" i="16"/>
  <c r="AJ884" i="16"/>
  <c r="AI884" i="16"/>
  <c r="AF884" i="16"/>
  <c r="AN883" i="16"/>
  <c r="AM883" i="16"/>
  <c r="AL883" i="16"/>
  <c r="AK883" i="16"/>
  <c r="AJ883" i="16"/>
  <c r="AI883" i="16"/>
  <c r="AF883" i="16"/>
  <c r="AN882" i="16"/>
  <c r="AM882" i="16"/>
  <c r="AL882" i="16"/>
  <c r="AK882" i="16"/>
  <c r="AJ882" i="16"/>
  <c r="AI882" i="16"/>
  <c r="AF882" i="16"/>
  <c r="AN881" i="16"/>
  <c r="AM881" i="16"/>
  <c r="AL881" i="16"/>
  <c r="AK881" i="16"/>
  <c r="AJ881" i="16"/>
  <c r="AI881" i="16"/>
  <c r="AF881" i="16"/>
  <c r="AN880" i="16"/>
  <c r="AM880" i="16"/>
  <c r="AL880" i="16"/>
  <c r="AK880" i="16"/>
  <c r="AJ880" i="16"/>
  <c r="AI880" i="16"/>
  <c r="AF880" i="16"/>
  <c r="AN879" i="16"/>
  <c r="AM879" i="16"/>
  <c r="AL879" i="16"/>
  <c r="AK879" i="16"/>
  <c r="AJ879" i="16"/>
  <c r="AI879" i="16"/>
  <c r="AF879" i="16"/>
  <c r="AN878" i="16"/>
  <c r="AM878" i="16"/>
  <c r="AL878" i="16"/>
  <c r="AK878" i="16"/>
  <c r="AJ878" i="16"/>
  <c r="AI878" i="16"/>
  <c r="AF878" i="16"/>
  <c r="AN877" i="16"/>
  <c r="AM877" i="16"/>
  <c r="AL877" i="16"/>
  <c r="AK877" i="16"/>
  <c r="AJ877" i="16"/>
  <c r="AI877" i="16"/>
  <c r="AF877" i="16"/>
  <c r="AN876" i="16"/>
  <c r="AM876" i="16"/>
  <c r="AL876" i="16"/>
  <c r="AK876" i="16"/>
  <c r="AJ876" i="16"/>
  <c r="AI876" i="16"/>
  <c r="AF876" i="16"/>
  <c r="AN875" i="16"/>
  <c r="AM875" i="16"/>
  <c r="AL875" i="16"/>
  <c r="AK875" i="16"/>
  <c r="AJ875" i="16"/>
  <c r="AI875" i="16"/>
  <c r="AF875" i="16"/>
  <c r="AN874" i="16"/>
  <c r="AM874" i="16"/>
  <c r="AL874" i="16"/>
  <c r="AK874" i="16"/>
  <c r="AJ874" i="16"/>
  <c r="AI874" i="16"/>
  <c r="AF874" i="16"/>
  <c r="AN873" i="16"/>
  <c r="AM873" i="16"/>
  <c r="AL873" i="16"/>
  <c r="AK873" i="16"/>
  <c r="AJ873" i="16"/>
  <c r="AI873" i="16"/>
  <c r="AF873" i="16"/>
  <c r="AN872" i="16"/>
  <c r="AM872" i="16"/>
  <c r="AL872" i="16"/>
  <c r="AK872" i="16"/>
  <c r="AJ872" i="16"/>
  <c r="AI872" i="16"/>
  <c r="AF872" i="16"/>
  <c r="AN871" i="16"/>
  <c r="AM871" i="16"/>
  <c r="AL871" i="16"/>
  <c r="AK871" i="16"/>
  <c r="AJ871" i="16"/>
  <c r="AI871" i="16"/>
  <c r="AF871" i="16"/>
  <c r="AN870" i="16"/>
  <c r="AM870" i="16"/>
  <c r="AL870" i="16"/>
  <c r="AK870" i="16"/>
  <c r="AJ870" i="16"/>
  <c r="AI870" i="16"/>
  <c r="AF870" i="16"/>
  <c r="AN869" i="16"/>
  <c r="AM869" i="16"/>
  <c r="AL869" i="16"/>
  <c r="AK869" i="16"/>
  <c r="AJ869" i="16"/>
  <c r="AI869" i="16"/>
  <c r="AF869" i="16"/>
  <c r="AN868" i="16"/>
  <c r="AM868" i="16"/>
  <c r="AL868" i="16"/>
  <c r="AK868" i="16"/>
  <c r="AJ868" i="16"/>
  <c r="AI868" i="16"/>
  <c r="AF868" i="16"/>
  <c r="AN867" i="16"/>
  <c r="AM867" i="16"/>
  <c r="AL867" i="16"/>
  <c r="AK867" i="16"/>
  <c r="AJ867" i="16"/>
  <c r="AI867" i="16"/>
  <c r="AF867" i="16"/>
  <c r="AN866" i="16"/>
  <c r="AM866" i="16"/>
  <c r="AL866" i="16"/>
  <c r="AK866" i="16"/>
  <c r="AJ866" i="16"/>
  <c r="AI866" i="16"/>
  <c r="AF866" i="16"/>
  <c r="AN865" i="16"/>
  <c r="AM865" i="16"/>
  <c r="AL865" i="16"/>
  <c r="AK865" i="16"/>
  <c r="AJ865" i="16"/>
  <c r="AI865" i="16"/>
  <c r="AF865" i="16"/>
  <c r="AN864" i="16"/>
  <c r="AM864" i="16"/>
  <c r="AL864" i="16"/>
  <c r="AK864" i="16"/>
  <c r="AJ864" i="16"/>
  <c r="AI864" i="16"/>
  <c r="AF864" i="16"/>
  <c r="AN863" i="16"/>
  <c r="AM863" i="16"/>
  <c r="AL863" i="16"/>
  <c r="AK863" i="16"/>
  <c r="AJ863" i="16"/>
  <c r="AI863" i="16"/>
  <c r="AF863" i="16"/>
  <c r="AN862" i="16"/>
  <c r="AM862" i="16"/>
  <c r="AL862" i="16"/>
  <c r="AK862" i="16"/>
  <c r="AJ862" i="16"/>
  <c r="AI862" i="16"/>
  <c r="AF862" i="16"/>
  <c r="AN861" i="16"/>
  <c r="AM861" i="16"/>
  <c r="AL861" i="16"/>
  <c r="AK861" i="16"/>
  <c r="AJ861" i="16"/>
  <c r="AI861" i="16"/>
  <c r="AF861" i="16"/>
  <c r="AN860" i="16"/>
  <c r="AM860" i="16"/>
  <c r="AL860" i="16"/>
  <c r="AK860" i="16"/>
  <c r="AJ860" i="16"/>
  <c r="AI860" i="16"/>
  <c r="AF860" i="16"/>
  <c r="AN859" i="16"/>
  <c r="AM859" i="16"/>
  <c r="AL859" i="16"/>
  <c r="AK859" i="16"/>
  <c r="AJ859" i="16"/>
  <c r="AI859" i="16"/>
  <c r="AF859" i="16"/>
  <c r="AN858" i="16"/>
  <c r="AM858" i="16"/>
  <c r="AL858" i="16"/>
  <c r="AK858" i="16"/>
  <c r="AJ858" i="16"/>
  <c r="AI858" i="16"/>
  <c r="AF858" i="16"/>
  <c r="AN857" i="16"/>
  <c r="AM857" i="16"/>
  <c r="AL857" i="16"/>
  <c r="AK857" i="16"/>
  <c r="AJ857" i="16"/>
  <c r="AI857" i="16"/>
  <c r="AF857" i="16"/>
  <c r="AN856" i="16"/>
  <c r="AM856" i="16"/>
  <c r="AL856" i="16"/>
  <c r="AK856" i="16"/>
  <c r="AJ856" i="16"/>
  <c r="AI856" i="16"/>
  <c r="AF856" i="16"/>
  <c r="AN855" i="16"/>
  <c r="AM855" i="16"/>
  <c r="AL855" i="16"/>
  <c r="AK855" i="16"/>
  <c r="AJ855" i="16"/>
  <c r="AI855" i="16"/>
  <c r="AF855" i="16"/>
  <c r="AN854" i="16"/>
  <c r="AM854" i="16"/>
  <c r="AL854" i="16"/>
  <c r="AK854" i="16"/>
  <c r="AJ854" i="16"/>
  <c r="AI854" i="16"/>
  <c r="AF854" i="16"/>
  <c r="AN853" i="16"/>
  <c r="AM853" i="16"/>
  <c r="AL853" i="16"/>
  <c r="AK853" i="16"/>
  <c r="AJ853" i="16"/>
  <c r="AI853" i="16"/>
  <c r="AF853" i="16"/>
  <c r="AN852" i="16"/>
  <c r="AM852" i="16"/>
  <c r="AL852" i="16"/>
  <c r="AK852" i="16"/>
  <c r="AJ852" i="16"/>
  <c r="AI852" i="16"/>
  <c r="AF852" i="16"/>
  <c r="AN851" i="16"/>
  <c r="AM851" i="16"/>
  <c r="AL851" i="16"/>
  <c r="AK851" i="16"/>
  <c r="AJ851" i="16"/>
  <c r="AI851" i="16"/>
  <c r="AF851" i="16"/>
  <c r="AN850" i="16"/>
  <c r="AM850" i="16"/>
  <c r="AL850" i="16"/>
  <c r="AK850" i="16"/>
  <c r="AJ850" i="16"/>
  <c r="AI850" i="16"/>
  <c r="AF850" i="16"/>
  <c r="AN849" i="16"/>
  <c r="AM849" i="16"/>
  <c r="AL849" i="16"/>
  <c r="AK849" i="16"/>
  <c r="AJ849" i="16"/>
  <c r="AI849" i="16"/>
  <c r="AF849" i="16"/>
  <c r="AN848" i="16"/>
  <c r="AM848" i="16"/>
  <c r="AL848" i="16"/>
  <c r="AK848" i="16"/>
  <c r="AJ848" i="16"/>
  <c r="AI848" i="16"/>
  <c r="AF848" i="16"/>
  <c r="AN847" i="16"/>
  <c r="AM847" i="16"/>
  <c r="AL847" i="16"/>
  <c r="AK847" i="16"/>
  <c r="AJ847" i="16"/>
  <c r="AI847" i="16"/>
  <c r="AF847" i="16"/>
  <c r="AN846" i="16"/>
  <c r="AM846" i="16"/>
  <c r="AL846" i="16"/>
  <c r="AK846" i="16"/>
  <c r="AJ846" i="16"/>
  <c r="AI846" i="16"/>
  <c r="AF846" i="16"/>
  <c r="AN845" i="16"/>
  <c r="AM845" i="16"/>
  <c r="AL845" i="16"/>
  <c r="AK845" i="16"/>
  <c r="AJ845" i="16"/>
  <c r="AI845" i="16"/>
  <c r="AF845" i="16"/>
  <c r="AN844" i="16"/>
  <c r="AM844" i="16"/>
  <c r="AL844" i="16"/>
  <c r="AK844" i="16"/>
  <c r="AJ844" i="16"/>
  <c r="AI844" i="16"/>
  <c r="AF844" i="16"/>
  <c r="AN843" i="16"/>
  <c r="AM843" i="16"/>
  <c r="AL843" i="16"/>
  <c r="AK843" i="16"/>
  <c r="AJ843" i="16"/>
  <c r="AI843" i="16"/>
  <c r="AF843" i="16"/>
  <c r="AN842" i="16"/>
  <c r="AM842" i="16"/>
  <c r="AL842" i="16"/>
  <c r="AK842" i="16"/>
  <c r="AJ842" i="16"/>
  <c r="AI842" i="16"/>
  <c r="AF842" i="16"/>
  <c r="AN841" i="16"/>
  <c r="AM841" i="16"/>
  <c r="AL841" i="16"/>
  <c r="AK841" i="16"/>
  <c r="AJ841" i="16"/>
  <c r="AI841" i="16"/>
  <c r="AF841" i="16"/>
  <c r="AN840" i="16"/>
  <c r="AM840" i="16"/>
  <c r="AL840" i="16"/>
  <c r="AK840" i="16"/>
  <c r="AJ840" i="16"/>
  <c r="AI840" i="16"/>
  <c r="AF840" i="16"/>
  <c r="AN839" i="16"/>
  <c r="AM839" i="16"/>
  <c r="AL839" i="16"/>
  <c r="AK839" i="16"/>
  <c r="AJ839" i="16"/>
  <c r="AI839" i="16"/>
  <c r="AF839" i="16"/>
  <c r="AN838" i="16"/>
  <c r="AM838" i="16"/>
  <c r="AL838" i="16"/>
  <c r="AK838" i="16"/>
  <c r="AJ838" i="16"/>
  <c r="AI838" i="16"/>
  <c r="AF838" i="16"/>
  <c r="AN837" i="16"/>
  <c r="AM837" i="16"/>
  <c r="AL837" i="16"/>
  <c r="AK837" i="16"/>
  <c r="AJ837" i="16"/>
  <c r="AI837" i="16"/>
  <c r="AF837" i="16"/>
  <c r="AN836" i="16"/>
  <c r="AM836" i="16"/>
  <c r="AL836" i="16"/>
  <c r="AK836" i="16"/>
  <c r="AJ836" i="16"/>
  <c r="AI836" i="16"/>
  <c r="AF836" i="16"/>
  <c r="AN835" i="16"/>
  <c r="AM835" i="16"/>
  <c r="AL835" i="16"/>
  <c r="AK835" i="16"/>
  <c r="AJ835" i="16"/>
  <c r="AI835" i="16"/>
  <c r="AF835" i="16"/>
  <c r="AN834" i="16"/>
  <c r="AM834" i="16"/>
  <c r="AL834" i="16"/>
  <c r="AK834" i="16"/>
  <c r="AJ834" i="16"/>
  <c r="AI834" i="16"/>
  <c r="AF834" i="16"/>
  <c r="AN833" i="16"/>
  <c r="AM833" i="16"/>
  <c r="AL833" i="16"/>
  <c r="AK833" i="16"/>
  <c r="AJ833" i="16"/>
  <c r="AI833" i="16"/>
  <c r="AF833" i="16"/>
  <c r="AN832" i="16"/>
  <c r="AM832" i="16"/>
  <c r="AL832" i="16"/>
  <c r="AK832" i="16"/>
  <c r="AJ832" i="16"/>
  <c r="AI832" i="16"/>
  <c r="AF832" i="16"/>
  <c r="AN831" i="16"/>
  <c r="AM831" i="16"/>
  <c r="AL831" i="16"/>
  <c r="AK831" i="16"/>
  <c r="AJ831" i="16"/>
  <c r="AI831" i="16"/>
  <c r="AF831" i="16"/>
  <c r="AN830" i="16"/>
  <c r="AM830" i="16"/>
  <c r="AL830" i="16"/>
  <c r="AK830" i="16"/>
  <c r="AJ830" i="16"/>
  <c r="AI830" i="16"/>
  <c r="AF830" i="16"/>
  <c r="AN829" i="16"/>
  <c r="AM829" i="16"/>
  <c r="AL829" i="16"/>
  <c r="AK829" i="16"/>
  <c r="AJ829" i="16"/>
  <c r="AI829" i="16"/>
  <c r="AF829" i="16"/>
  <c r="AN828" i="16"/>
  <c r="AM828" i="16"/>
  <c r="AL828" i="16"/>
  <c r="AK828" i="16"/>
  <c r="AJ828" i="16"/>
  <c r="AI828" i="16"/>
  <c r="AF828" i="16"/>
  <c r="AN827" i="16"/>
  <c r="AM827" i="16"/>
  <c r="AL827" i="16"/>
  <c r="AK827" i="16"/>
  <c r="AJ827" i="16"/>
  <c r="AI827" i="16"/>
  <c r="AF827" i="16"/>
  <c r="AN826" i="16"/>
  <c r="AM826" i="16"/>
  <c r="AL826" i="16"/>
  <c r="AK826" i="16"/>
  <c r="AJ826" i="16"/>
  <c r="AI826" i="16"/>
  <c r="AF826" i="16"/>
  <c r="AN825" i="16"/>
  <c r="AM825" i="16"/>
  <c r="AL825" i="16"/>
  <c r="AK825" i="16"/>
  <c r="AJ825" i="16"/>
  <c r="AI825" i="16"/>
  <c r="AF825" i="16"/>
  <c r="AN824" i="16"/>
  <c r="AM824" i="16"/>
  <c r="AL824" i="16"/>
  <c r="AK824" i="16"/>
  <c r="AJ824" i="16"/>
  <c r="AI824" i="16"/>
  <c r="AF824" i="16"/>
  <c r="AN823" i="16"/>
  <c r="AM823" i="16"/>
  <c r="AL823" i="16"/>
  <c r="AK823" i="16"/>
  <c r="AJ823" i="16"/>
  <c r="AI823" i="16"/>
  <c r="AF823" i="16"/>
  <c r="AN822" i="16"/>
  <c r="AM822" i="16"/>
  <c r="AL822" i="16"/>
  <c r="AK822" i="16"/>
  <c r="AJ822" i="16"/>
  <c r="AI822" i="16"/>
  <c r="AF822" i="16"/>
  <c r="AN821" i="16"/>
  <c r="AM821" i="16"/>
  <c r="AL821" i="16"/>
  <c r="AK821" i="16"/>
  <c r="AJ821" i="16"/>
  <c r="AI821" i="16"/>
  <c r="AF821" i="16"/>
  <c r="AN820" i="16"/>
  <c r="AM820" i="16"/>
  <c r="AL820" i="16"/>
  <c r="AK820" i="16"/>
  <c r="AJ820" i="16"/>
  <c r="AI820" i="16"/>
  <c r="AF820" i="16"/>
  <c r="AN819" i="16"/>
  <c r="AM819" i="16"/>
  <c r="AL819" i="16"/>
  <c r="AK819" i="16"/>
  <c r="AJ819" i="16"/>
  <c r="AI819" i="16"/>
  <c r="AF819" i="16"/>
  <c r="AN818" i="16"/>
  <c r="AM818" i="16"/>
  <c r="AL818" i="16"/>
  <c r="AK818" i="16"/>
  <c r="AJ818" i="16"/>
  <c r="AI818" i="16"/>
  <c r="AF818" i="16"/>
  <c r="AN817" i="16"/>
  <c r="AM817" i="16"/>
  <c r="AL817" i="16"/>
  <c r="AK817" i="16"/>
  <c r="AJ817" i="16"/>
  <c r="AI817" i="16"/>
  <c r="AF817" i="16"/>
  <c r="AN816" i="16"/>
  <c r="AM816" i="16"/>
  <c r="AL816" i="16"/>
  <c r="AK816" i="16"/>
  <c r="AJ816" i="16"/>
  <c r="AI816" i="16"/>
  <c r="AF816" i="16"/>
  <c r="AN815" i="16"/>
  <c r="AM815" i="16"/>
  <c r="AL815" i="16"/>
  <c r="AK815" i="16"/>
  <c r="AJ815" i="16"/>
  <c r="AI815" i="16"/>
  <c r="AF815" i="16"/>
  <c r="AN814" i="16"/>
  <c r="AM814" i="16"/>
  <c r="AL814" i="16"/>
  <c r="AK814" i="16"/>
  <c r="AJ814" i="16"/>
  <c r="AI814" i="16"/>
  <c r="AF814" i="16"/>
  <c r="AN813" i="16"/>
  <c r="AM813" i="16"/>
  <c r="AL813" i="16"/>
  <c r="AK813" i="16"/>
  <c r="AJ813" i="16"/>
  <c r="AI813" i="16"/>
  <c r="AF813" i="16"/>
  <c r="AN812" i="16"/>
  <c r="AM812" i="16"/>
  <c r="AL812" i="16"/>
  <c r="AK812" i="16"/>
  <c r="AJ812" i="16"/>
  <c r="AI812" i="16"/>
  <c r="AF812" i="16"/>
  <c r="AN811" i="16"/>
  <c r="AM811" i="16"/>
  <c r="AL811" i="16"/>
  <c r="AK811" i="16"/>
  <c r="AJ811" i="16"/>
  <c r="AI811" i="16"/>
  <c r="AF811" i="16"/>
  <c r="AN810" i="16"/>
  <c r="AM810" i="16"/>
  <c r="AL810" i="16"/>
  <c r="AK810" i="16"/>
  <c r="AJ810" i="16"/>
  <c r="AI810" i="16"/>
  <c r="AF810" i="16"/>
  <c r="AN809" i="16"/>
  <c r="AM809" i="16"/>
  <c r="AL809" i="16"/>
  <c r="AK809" i="16"/>
  <c r="AJ809" i="16"/>
  <c r="AI809" i="16"/>
  <c r="AF809" i="16"/>
  <c r="AN808" i="16"/>
  <c r="AM808" i="16"/>
  <c r="AL808" i="16"/>
  <c r="AK808" i="16"/>
  <c r="AJ808" i="16"/>
  <c r="AI808" i="16"/>
  <c r="AF808" i="16"/>
  <c r="AN807" i="16"/>
  <c r="AM807" i="16"/>
  <c r="AL807" i="16"/>
  <c r="AK807" i="16"/>
  <c r="AJ807" i="16"/>
  <c r="AI807" i="16"/>
  <c r="AF807" i="16"/>
  <c r="AN806" i="16"/>
  <c r="AM806" i="16"/>
  <c r="AL806" i="16"/>
  <c r="AK806" i="16"/>
  <c r="AJ806" i="16"/>
  <c r="AI806" i="16"/>
  <c r="AF806" i="16"/>
  <c r="AN805" i="16"/>
  <c r="AM805" i="16"/>
  <c r="AL805" i="16"/>
  <c r="AK805" i="16"/>
  <c r="AJ805" i="16"/>
  <c r="AI805" i="16"/>
  <c r="AF805" i="16"/>
  <c r="AN804" i="16"/>
  <c r="AM804" i="16"/>
  <c r="AL804" i="16"/>
  <c r="AK804" i="16"/>
  <c r="AJ804" i="16"/>
  <c r="AI804" i="16"/>
  <c r="AF804" i="16"/>
  <c r="AN803" i="16"/>
  <c r="AM803" i="16"/>
  <c r="AL803" i="16"/>
  <c r="AK803" i="16"/>
  <c r="AJ803" i="16"/>
  <c r="AI803" i="16"/>
  <c r="AF803" i="16"/>
  <c r="AN802" i="16"/>
  <c r="AM802" i="16"/>
  <c r="AL802" i="16"/>
  <c r="AK802" i="16"/>
  <c r="AJ802" i="16"/>
  <c r="AI802" i="16"/>
  <c r="AF802" i="16"/>
  <c r="AN801" i="16"/>
  <c r="AM801" i="16"/>
  <c r="AL801" i="16"/>
  <c r="AK801" i="16"/>
  <c r="AJ801" i="16"/>
  <c r="AI801" i="16"/>
  <c r="AF801" i="16"/>
  <c r="AN800" i="16"/>
  <c r="AM800" i="16"/>
  <c r="AL800" i="16"/>
  <c r="AK800" i="16"/>
  <c r="AJ800" i="16"/>
  <c r="AI800" i="16"/>
  <c r="AF800" i="16"/>
  <c r="AN799" i="16"/>
  <c r="AM799" i="16"/>
  <c r="AL799" i="16"/>
  <c r="AK799" i="16"/>
  <c r="AJ799" i="16"/>
  <c r="AI799" i="16"/>
  <c r="AF799" i="16"/>
  <c r="AN798" i="16"/>
  <c r="AM798" i="16"/>
  <c r="AL798" i="16"/>
  <c r="AK798" i="16"/>
  <c r="AJ798" i="16"/>
  <c r="AI798" i="16"/>
  <c r="AF798" i="16"/>
  <c r="AN797" i="16"/>
  <c r="AM797" i="16"/>
  <c r="AL797" i="16"/>
  <c r="AK797" i="16"/>
  <c r="AJ797" i="16"/>
  <c r="AI797" i="16"/>
  <c r="AF797" i="16"/>
  <c r="AN796" i="16"/>
  <c r="AM796" i="16"/>
  <c r="AL796" i="16"/>
  <c r="AK796" i="16"/>
  <c r="AJ796" i="16"/>
  <c r="AI796" i="16"/>
  <c r="AF796" i="16"/>
  <c r="AN795" i="16"/>
  <c r="AM795" i="16"/>
  <c r="AL795" i="16"/>
  <c r="AK795" i="16"/>
  <c r="AJ795" i="16"/>
  <c r="AI795" i="16"/>
  <c r="AF795" i="16"/>
  <c r="AN794" i="16"/>
  <c r="AM794" i="16"/>
  <c r="AL794" i="16"/>
  <c r="AK794" i="16"/>
  <c r="AJ794" i="16"/>
  <c r="AI794" i="16"/>
  <c r="AF794" i="16"/>
  <c r="AN793" i="16"/>
  <c r="AM793" i="16"/>
  <c r="AL793" i="16"/>
  <c r="AK793" i="16"/>
  <c r="AJ793" i="16"/>
  <c r="AI793" i="16"/>
  <c r="AF793" i="16"/>
  <c r="AN792" i="16"/>
  <c r="AM792" i="16"/>
  <c r="AL792" i="16"/>
  <c r="AK792" i="16"/>
  <c r="AJ792" i="16"/>
  <c r="AI792" i="16"/>
  <c r="AF792" i="16"/>
  <c r="AN791" i="16"/>
  <c r="AM791" i="16"/>
  <c r="AL791" i="16"/>
  <c r="AK791" i="16"/>
  <c r="AJ791" i="16"/>
  <c r="AI791" i="16"/>
  <c r="AF791" i="16"/>
  <c r="AN790" i="16"/>
  <c r="AM790" i="16"/>
  <c r="AL790" i="16"/>
  <c r="AK790" i="16"/>
  <c r="AJ790" i="16"/>
  <c r="AI790" i="16"/>
  <c r="AF790" i="16"/>
  <c r="AN789" i="16"/>
  <c r="AM789" i="16"/>
  <c r="AL789" i="16"/>
  <c r="AK789" i="16"/>
  <c r="AJ789" i="16"/>
  <c r="AI789" i="16"/>
  <c r="AF789" i="16"/>
  <c r="AN788" i="16"/>
  <c r="AM788" i="16"/>
  <c r="AL788" i="16"/>
  <c r="AK788" i="16"/>
  <c r="AJ788" i="16"/>
  <c r="AI788" i="16"/>
  <c r="AF788" i="16"/>
  <c r="AN787" i="16"/>
  <c r="AM787" i="16"/>
  <c r="AL787" i="16"/>
  <c r="AK787" i="16"/>
  <c r="AJ787" i="16"/>
  <c r="AI787" i="16"/>
  <c r="AF787" i="16"/>
  <c r="AN786" i="16"/>
  <c r="AM786" i="16"/>
  <c r="AL786" i="16"/>
  <c r="AK786" i="16"/>
  <c r="AJ786" i="16"/>
  <c r="AI786" i="16"/>
  <c r="AF786" i="16"/>
  <c r="AN785" i="16"/>
  <c r="AM785" i="16"/>
  <c r="AL785" i="16"/>
  <c r="AK785" i="16"/>
  <c r="AJ785" i="16"/>
  <c r="AI785" i="16"/>
  <c r="AF785" i="16"/>
  <c r="AN784" i="16"/>
  <c r="AM784" i="16"/>
  <c r="AL784" i="16"/>
  <c r="AK784" i="16"/>
  <c r="AJ784" i="16"/>
  <c r="AI784" i="16"/>
  <c r="AF784" i="16"/>
  <c r="AN783" i="16"/>
  <c r="AM783" i="16"/>
  <c r="AL783" i="16"/>
  <c r="AK783" i="16"/>
  <c r="AJ783" i="16"/>
  <c r="AI783" i="16"/>
  <c r="AF783" i="16"/>
  <c r="AN782" i="16"/>
  <c r="AM782" i="16"/>
  <c r="AL782" i="16"/>
  <c r="AK782" i="16"/>
  <c r="AJ782" i="16"/>
  <c r="AI782" i="16"/>
  <c r="AF782" i="16"/>
  <c r="AN781" i="16"/>
  <c r="AM781" i="16"/>
  <c r="AL781" i="16"/>
  <c r="AK781" i="16"/>
  <c r="AJ781" i="16"/>
  <c r="AI781" i="16"/>
  <c r="AF781" i="16"/>
  <c r="AN780" i="16"/>
  <c r="AM780" i="16"/>
  <c r="AL780" i="16"/>
  <c r="AK780" i="16"/>
  <c r="AJ780" i="16"/>
  <c r="AI780" i="16"/>
  <c r="AF780" i="16"/>
  <c r="AN779" i="16"/>
  <c r="AM779" i="16"/>
  <c r="AL779" i="16"/>
  <c r="AK779" i="16"/>
  <c r="AJ779" i="16"/>
  <c r="AI779" i="16"/>
  <c r="AF779" i="16"/>
  <c r="AN778" i="16"/>
  <c r="AM778" i="16"/>
  <c r="AL778" i="16"/>
  <c r="AK778" i="16"/>
  <c r="AJ778" i="16"/>
  <c r="AI778" i="16"/>
  <c r="AF778" i="16"/>
  <c r="AN777" i="16"/>
  <c r="AM777" i="16"/>
  <c r="AL777" i="16"/>
  <c r="AK777" i="16"/>
  <c r="AJ777" i="16"/>
  <c r="AI777" i="16"/>
  <c r="AF777" i="16"/>
  <c r="AN776" i="16"/>
  <c r="AM776" i="16"/>
  <c r="AL776" i="16"/>
  <c r="AK776" i="16"/>
  <c r="AJ776" i="16"/>
  <c r="AI776" i="16"/>
  <c r="AF776" i="16"/>
  <c r="AN775" i="16"/>
  <c r="AM775" i="16"/>
  <c r="AL775" i="16"/>
  <c r="AK775" i="16"/>
  <c r="AJ775" i="16"/>
  <c r="AI775" i="16"/>
  <c r="AF775" i="16"/>
  <c r="AN774" i="16"/>
  <c r="AM774" i="16"/>
  <c r="AL774" i="16"/>
  <c r="AK774" i="16"/>
  <c r="AJ774" i="16"/>
  <c r="AI774" i="16"/>
  <c r="AF774" i="16"/>
  <c r="AN773" i="16"/>
  <c r="AM773" i="16"/>
  <c r="AL773" i="16"/>
  <c r="AK773" i="16"/>
  <c r="AJ773" i="16"/>
  <c r="AI773" i="16"/>
  <c r="AF773" i="16"/>
  <c r="AN772" i="16"/>
  <c r="AM772" i="16"/>
  <c r="AL772" i="16"/>
  <c r="AK772" i="16"/>
  <c r="AJ772" i="16"/>
  <c r="AI772" i="16"/>
  <c r="AF772" i="16"/>
  <c r="AN771" i="16"/>
  <c r="AM771" i="16"/>
  <c r="AL771" i="16"/>
  <c r="AK771" i="16"/>
  <c r="AJ771" i="16"/>
  <c r="AI771" i="16"/>
  <c r="AF771" i="16"/>
  <c r="AN770" i="16"/>
  <c r="AM770" i="16"/>
  <c r="AL770" i="16"/>
  <c r="AK770" i="16"/>
  <c r="AJ770" i="16"/>
  <c r="AI770" i="16"/>
  <c r="AF770" i="16"/>
  <c r="AN769" i="16"/>
  <c r="AM769" i="16"/>
  <c r="AL769" i="16"/>
  <c r="AK769" i="16"/>
  <c r="AJ769" i="16"/>
  <c r="AI769" i="16"/>
  <c r="AF769" i="16"/>
  <c r="AN768" i="16"/>
  <c r="AM768" i="16"/>
  <c r="AL768" i="16"/>
  <c r="AK768" i="16"/>
  <c r="AJ768" i="16"/>
  <c r="AI768" i="16"/>
  <c r="AF768" i="16"/>
  <c r="AN767" i="16"/>
  <c r="AM767" i="16"/>
  <c r="AL767" i="16"/>
  <c r="AK767" i="16"/>
  <c r="AJ767" i="16"/>
  <c r="AI767" i="16"/>
  <c r="AF767" i="16"/>
  <c r="AN766" i="16"/>
  <c r="AM766" i="16"/>
  <c r="AL766" i="16"/>
  <c r="AK766" i="16"/>
  <c r="AJ766" i="16"/>
  <c r="AI766" i="16"/>
  <c r="AF766" i="16"/>
  <c r="AN765" i="16"/>
  <c r="AM765" i="16"/>
  <c r="AL765" i="16"/>
  <c r="AK765" i="16"/>
  <c r="AJ765" i="16"/>
  <c r="AI765" i="16"/>
  <c r="AF765" i="16"/>
  <c r="AN764" i="16"/>
  <c r="AM764" i="16"/>
  <c r="AL764" i="16"/>
  <c r="AK764" i="16"/>
  <c r="AJ764" i="16"/>
  <c r="AI764" i="16"/>
  <c r="AF764" i="16"/>
  <c r="AN763" i="16"/>
  <c r="AM763" i="16"/>
  <c r="AL763" i="16"/>
  <c r="AK763" i="16"/>
  <c r="AJ763" i="16"/>
  <c r="AI763" i="16"/>
  <c r="AF763" i="16"/>
  <c r="AN762" i="16"/>
  <c r="AM762" i="16"/>
  <c r="AL762" i="16"/>
  <c r="AK762" i="16"/>
  <c r="AJ762" i="16"/>
  <c r="AI762" i="16"/>
  <c r="AF762" i="16"/>
  <c r="AN761" i="16"/>
  <c r="AM761" i="16"/>
  <c r="AL761" i="16"/>
  <c r="AK761" i="16"/>
  <c r="AJ761" i="16"/>
  <c r="AI761" i="16"/>
  <c r="AF761" i="16"/>
  <c r="AN760" i="16"/>
  <c r="AM760" i="16"/>
  <c r="AL760" i="16"/>
  <c r="AK760" i="16"/>
  <c r="AJ760" i="16"/>
  <c r="AI760" i="16"/>
  <c r="AF760" i="16"/>
  <c r="AN759" i="16"/>
  <c r="AM759" i="16"/>
  <c r="AL759" i="16"/>
  <c r="AK759" i="16"/>
  <c r="AJ759" i="16"/>
  <c r="AI759" i="16"/>
  <c r="AF759" i="16"/>
  <c r="AN758" i="16"/>
  <c r="AM758" i="16"/>
  <c r="AL758" i="16"/>
  <c r="AK758" i="16"/>
  <c r="AJ758" i="16"/>
  <c r="AI758" i="16"/>
  <c r="AF758" i="16"/>
  <c r="AN757" i="16"/>
  <c r="AM757" i="16"/>
  <c r="AL757" i="16"/>
  <c r="AK757" i="16"/>
  <c r="AJ757" i="16"/>
  <c r="AI757" i="16"/>
  <c r="AF757" i="16"/>
  <c r="AN756" i="16"/>
  <c r="AM756" i="16"/>
  <c r="AL756" i="16"/>
  <c r="AK756" i="16"/>
  <c r="AJ756" i="16"/>
  <c r="AI756" i="16"/>
  <c r="AF756" i="16"/>
  <c r="AN755" i="16"/>
  <c r="AM755" i="16"/>
  <c r="AL755" i="16"/>
  <c r="AK755" i="16"/>
  <c r="AJ755" i="16"/>
  <c r="AI755" i="16"/>
  <c r="AF755" i="16"/>
  <c r="AN754" i="16"/>
  <c r="AM754" i="16"/>
  <c r="AL754" i="16"/>
  <c r="AK754" i="16"/>
  <c r="AJ754" i="16"/>
  <c r="AI754" i="16"/>
  <c r="AF754" i="16"/>
  <c r="AN753" i="16"/>
  <c r="AM753" i="16"/>
  <c r="AL753" i="16"/>
  <c r="AK753" i="16"/>
  <c r="AJ753" i="16"/>
  <c r="AI753" i="16"/>
  <c r="AF753" i="16"/>
  <c r="AN752" i="16"/>
  <c r="AM752" i="16"/>
  <c r="AL752" i="16"/>
  <c r="AK752" i="16"/>
  <c r="AJ752" i="16"/>
  <c r="AI752" i="16"/>
  <c r="AF752" i="16"/>
  <c r="AN751" i="16"/>
  <c r="AM751" i="16"/>
  <c r="AL751" i="16"/>
  <c r="AK751" i="16"/>
  <c r="AJ751" i="16"/>
  <c r="AI751" i="16"/>
  <c r="AF751" i="16"/>
  <c r="AN750" i="16"/>
  <c r="AM750" i="16"/>
  <c r="AL750" i="16"/>
  <c r="AK750" i="16"/>
  <c r="AJ750" i="16"/>
  <c r="AI750" i="16"/>
  <c r="AF750" i="16"/>
  <c r="AN749" i="16"/>
  <c r="AM749" i="16"/>
  <c r="AL749" i="16"/>
  <c r="AK749" i="16"/>
  <c r="AJ749" i="16"/>
  <c r="AI749" i="16"/>
  <c r="AF749" i="16"/>
  <c r="AN748" i="16"/>
  <c r="AM748" i="16"/>
  <c r="AL748" i="16"/>
  <c r="AK748" i="16"/>
  <c r="AJ748" i="16"/>
  <c r="AI748" i="16"/>
  <c r="AF748" i="16"/>
  <c r="AN747" i="16"/>
  <c r="AM747" i="16"/>
  <c r="AL747" i="16"/>
  <c r="AK747" i="16"/>
  <c r="AJ747" i="16"/>
  <c r="AI747" i="16"/>
  <c r="AF747" i="16"/>
  <c r="AN746" i="16"/>
  <c r="AM746" i="16"/>
  <c r="AL746" i="16"/>
  <c r="AK746" i="16"/>
  <c r="AJ746" i="16"/>
  <c r="AI746" i="16"/>
  <c r="AF746" i="16"/>
  <c r="AN745" i="16"/>
  <c r="AM745" i="16"/>
  <c r="AL745" i="16"/>
  <c r="AK745" i="16"/>
  <c r="AJ745" i="16"/>
  <c r="AI745" i="16"/>
  <c r="AF745" i="16"/>
  <c r="AN744" i="16"/>
  <c r="AM744" i="16"/>
  <c r="AL744" i="16"/>
  <c r="AK744" i="16"/>
  <c r="AJ744" i="16"/>
  <c r="AI744" i="16"/>
  <c r="AF744" i="16"/>
  <c r="AN743" i="16"/>
  <c r="AM743" i="16"/>
  <c r="AL743" i="16"/>
  <c r="AK743" i="16"/>
  <c r="AJ743" i="16"/>
  <c r="AI743" i="16"/>
  <c r="AF743" i="16"/>
  <c r="AN742" i="16"/>
  <c r="AM742" i="16"/>
  <c r="AL742" i="16"/>
  <c r="AK742" i="16"/>
  <c r="AJ742" i="16"/>
  <c r="AI742" i="16"/>
  <c r="AF742" i="16"/>
  <c r="AN741" i="16"/>
  <c r="AM741" i="16"/>
  <c r="AL741" i="16"/>
  <c r="AK741" i="16"/>
  <c r="AJ741" i="16"/>
  <c r="AI741" i="16"/>
  <c r="AF741" i="16"/>
  <c r="AN740" i="16"/>
  <c r="AM740" i="16"/>
  <c r="AL740" i="16"/>
  <c r="AK740" i="16"/>
  <c r="AJ740" i="16"/>
  <c r="AI740" i="16"/>
  <c r="AF740" i="16"/>
  <c r="AN739" i="16"/>
  <c r="AM739" i="16"/>
  <c r="AL739" i="16"/>
  <c r="AK739" i="16"/>
  <c r="AJ739" i="16"/>
  <c r="AI739" i="16"/>
  <c r="AF739" i="16"/>
  <c r="AN738" i="16"/>
  <c r="AM738" i="16"/>
  <c r="AL738" i="16"/>
  <c r="AK738" i="16"/>
  <c r="AJ738" i="16"/>
  <c r="AI738" i="16"/>
  <c r="AF738" i="16"/>
  <c r="AN737" i="16"/>
  <c r="AM737" i="16"/>
  <c r="AL737" i="16"/>
  <c r="AK737" i="16"/>
  <c r="AJ737" i="16"/>
  <c r="AI737" i="16"/>
  <c r="AF737" i="16"/>
  <c r="AN736" i="16"/>
  <c r="AM736" i="16"/>
  <c r="AL736" i="16"/>
  <c r="AK736" i="16"/>
  <c r="AJ736" i="16"/>
  <c r="AI736" i="16"/>
  <c r="AF736" i="16"/>
  <c r="AN735" i="16"/>
  <c r="AM735" i="16"/>
  <c r="AL735" i="16"/>
  <c r="AK735" i="16"/>
  <c r="AJ735" i="16"/>
  <c r="AI735" i="16"/>
  <c r="AF735" i="16"/>
  <c r="AN734" i="16"/>
  <c r="AM734" i="16"/>
  <c r="AL734" i="16"/>
  <c r="AK734" i="16"/>
  <c r="AJ734" i="16"/>
  <c r="AI734" i="16"/>
  <c r="AF734" i="16"/>
  <c r="AN733" i="16"/>
  <c r="AM733" i="16"/>
  <c r="AL733" i="16"/>
  <c r="AK733" i="16"/>
  <c r="AJ733" i="16"/>
  <c r="AI733" i="16"/>
  <c r="AF733" i="16"/>
  <c r="AN732" i="16"/>
  <c r="AM732" i="16"/>
  <c r="AL732" i="16"/>
  <c r="AK732" i="16"/>
  <c r="AJ732" i="16"/>
  <c r="AI732" i="16"/>
  <c r="AF732" i="16"/>
  <c r="AN731" i="16"/>
  <c r="AM731" i="16"/>
  <c r="AL731" i="16"/>
  <c r="AK731" i="16"/>
  <c r="AJ731" i="16"/>
  <c r="AI731" i="16"/>
  <c r="AF731" i="16"/>
  <c r="AN730" i="16"/>
  <c r="AM730" i="16"/>
  <c r="AL730" i="16"/>
  <c r="AK730" i="16"/>
  <c r="AJ730" i="16"/>
  <c r="AI730" i="16"/>
  <c r="AF730" i="16"/>
  <c r="AN729" i="16"/>
  <c r="AM729" i="16"/>
  <c r="AL729" i="16"/>
  <c r="AK729" i="16"/>
  <c r="AJ729" i="16"/>
  <c r="AI729" i="16"/>
  <c r="AF729" i="16"/>
  <c r="AN728" i="16"/>
  <c r="AM728" i="16"/>
  <c r="AL728" i="16"/>
  <c r="AK728" i="16"/>
  <c r="AJ728" i="16"/>
  <c r="AI728" i="16"/>
  <c r="AF728" i="16"/>
  <c r="AN727" i="16"/>
  <c r="AM727" i="16"/>
  <c r="AL727" i="16"/>
  <c r="AK727" i="16"/>
  <c r="AJ727" i="16"/>
  <c r="AI727" i="16"/>
  <c r="AF727" i="16"/>
  <c r="AN726" i="16"/>
  <c r="AM726" i="16"/>
  <c r="AL726" i="16"/>
  <c r="AK726" i="16"/>
  <c r="AJ726" i="16"/>
  <c r="AI726" i="16"/>
  <c r="AF726" i="16"/>
  <c r="AN725" i="16"/>
  <c r="AM725" i="16"/>
  <c r="AL725" i="16"/>
  <c r="AK725" i="16"/>
  <c r="AJ725" i="16"/>
  <c r="AI725" i="16"/>
  <c r="AF725" i="16"/>
  <c r="AN724" i="16"/>
  <c r="AM724" i="16"/>
  <c r="AL724" i="16"/>
  <c r="AK724" i="16"/>
  <c r="AJ724" i="16"/>
  <c r="AI724" i="16"/>
  <c r="AF724" i="16"/>
  <c r="AN723" i="16"/>
  <c r="AM723" i="16"/>
  <c r="AL723" i="16"/>
  <c r="AK723" i="16"/>
  <c r="AJ723" i="16"/>
  <c r="AI723" i="16"/>
  <c r="AF723" i="16"/>
  <c r="AN722" i="16"/>
  <c r="AM722" i="16"/>
  <c r="AL722" i="16"/>
  <c r="AK722" i="16"/>
  <c r="AJ722" i="16"/>
  <c r="AI722" i="16"/>
  <c r="AF722" i="16"/>
  <c r="AN721" i="16"/>
  <c r="AM721" i="16"/>
  <c r="AL721" i="16"/>
  <c r="AK721" i="16"/>
  <c r="AJ721" i="16"/>
  <c r="AI721" i="16"/>
  <c r="AF721" i="16"/>
  <c r="AN720" i="16"/>
  <c r="AM720" i="16"/>
  <c r="AL720" i="16"/>
  <c r="AK720" i="16"/>
  <c r="AJ720" i="16"/>
  <c r="AI720" i="16"/>
  <c r="AF720" i="16"/>
  <c r="AN719" i="16"/>
  <c r="AM719" i="16"/>
  <c r="AL719" i="16"/>
  <c r="AK719" i="16"/>
  <c r="AJ719" i="16"/>
  <c r="AI719" i="16"/>
  <c r="AF719" i="16"/>
  <c r="AN718" i="16"/>
  <c r="AM718" i="16"/>
  <c r="AL718" i="16"/>
  <c r="AK718" i="16"/>
  <c r="AJ718" i="16"/>
  <c r="AI718" i="16"/>
  <c r="AF718" i="16"/>
  <c r="AN717" i="16"/>
  <c r="AM717" i="16"/>
  <c r="AL717" i="16"/>
  <c r="AK717" i="16"/>
  <c r="AJ717" i="16"/>
  <c r="AI717" i="16"/>
  <c r="AF717" i="16"/>
  <c r="AN716" i="16"/>
  <c r="AM716" i="16"/>
  <c r="AL716" i="16"/>
  <c r="AK716" i="16"/>
  <c r="AJ716" i="16"/>
  <c r="AI716" i="16"/>
  <c r="AF716" i="16"/>
  <c r="AN715" i="16"/>
  <c r="AM715" i="16"/>
  <c r="AL715" i="16"/>
  <c r="AK715" i="16"/>
  <c r="AJ715" i="16"/>
  <c r="AI715" i="16"/>
  <c r="AF715" i="16"/>
  <c r="AN714" i="16"/>
  <c r="AM714" i="16"/>
  <c r="AL714" i="16"/>
  <c r="AK714" i="16"/>
  <c r="AJ714" i="16"/>
  <c r="AI714" i="16"/>
  <c r="AF714" i="16"/>
  <c r="AN713" i="16"/>
  <c r="AM713" i="16"/>
  <c r="AL713" i="16"/>
  <c r="AK713" i="16"/>
  <c r="AJ713" i="16"/>
  <c r="AI713" i="16"/>
  <c r="AF713" i="16"/>
  <c r="AN712" i="16"/>
  <c r="AM712" i="16"/>
  <c r="AL712" i="16"/>
  <c r="AK712" i="16"/>
  <c r="AJ712" i="16"/>
  <c r="AI712" i="16"/>
  <c r="AF712" i="16"/>
  <c r="AN711" i="16"/>
  <c r="AM711" i="16"/>
  <c r="AL711" i="16"/>
  <c r="AK711" i="16"/>
  <c r="AJ711" i="16"/>
  <c r="AI711" i="16"/>
  <c r="AF711" i="16"/>
  <c r="AN710" i="16"/>
  <c r="AM710" i="16"/>
  <c r="AL710" i="16"/>
  <c r="AK710" i="16"/>
  <c r="AJ710" i="16"/>
  <c r="AI710" i="16"/>
  <c r="AF710" i="16"/>
  <c r="AN709" i="16"/>
  <c r="AM709" i="16"/>
  <c r="AL709" i="16"/>
  <c r="AK709" i="16"/>
  <c r="AJ709" i="16"/>
  <c r="AI709" i="16"/>
  <c r="AF709" i="16"/>
  <c r="AN708" i="16"/>
  <c r="AM708" i="16"/>
  <c r="AL708" i="16"/>
  <c r="AK708" i="16"/>
  <c r="AJ708" i="16"/>
  <c r="AI708" i="16"/>
  <c r="AF708" i="16"/>
  <c r="AN707" i="16"/>
  <c r="AM707" i="16"/>
  <c r="AL707" i="16"/>
  <c r="AK707" i="16"/>
  <c r="AJ707" i="16"/>
  <c r="AI707" i="16"/>
  <c r="AF707" i="16"/>
  <c r="AN706" i="16"/>
  <c r="AM706" i="16"/>
  <c r="AL706" i="16"/>
  <c r="AK706" i="16"/>
  <c r="AJ706" i="16"/>
  <c r="AI706" i="16"/>
  <c r="AF706" i="16"/>
  <c r="AN705" i="16"/>
  <c r="AM705" i="16"/>
  <c r="AL705" i="16"/>
  <c r="AK705" i="16"/>
  <c r="AJ705" i="16"/>
  <c r="AI705" i="16"/>
  <c r="AF705" i="16"/>
  <c r="AN704" i="16"/>
  <c r="AM704" i="16"/>
  <c r="AL704" i="16"/>
  <c r="AK704" i="16"/>
  <c r="AJ704" i="16"/>
  <c r="AI704" i="16"/>
  <c r="AF704" i="16"/>
  <c r="AN703" i="16"/>
  <c r="AM703" i="16"/>
  <c r="AL703" i="16"/>
  <c r="AK703" i="16"/>
  <c r="AJ703" i="16"/>
  <c r="AI703" i="16"/>
  <c r="AF703" i="16"/>
  <c r="AN702" i="16"/>
  <c r="AM702" i="16"/>
  <c r="AL702" i="16"/>
  <c r="AK702" i="16"/>
  <c r="AJ702" i="16"/>
  <c r="AI702" i="16"/>
  <c r="AF702" i="16"/>
  <c r="AN701" i="16"/>
  <c r="AM701" i="16"/>
  <c r="AL701" i="16"/>
  <c r="AK701" i="16"/>
  <c r="AJ701" i="16"/>
  <c r="AI701" i="16"/>
  <c r="AF701" i="16"/>
  <c r="AN700" i="16"/>
  <c r="AM700" i="16"/>
  <c r="AL700" i="16"/>
  <c r="AK700" i="16"/>
  <c r="AJ700" i="16"/>
  <c r="AI700" i="16"/>
  <c r="AF700" i="16"/>
  <c r="AN699" i="16"/>
  <c r="AM699" i="16"/>
  <c r="AL699" i="16"/>
  <c r="AK699" i="16"/>
  <c r="AJ699" i="16"/>
  <c r="AI699" i="16"/>
  <c r="AF699" i="16"/>
  <c r="AN698" i="16"/>
  <c r="AM698" i="16"/>
  <c r="AL698" i="16"/>
  <c r="AK698" i="16"/>
  <c r="AJ698" i="16"/>
  <c r="AI698" i="16"/>
  <c r="AF698" i="16"/>
  <c r="AN697" i="16"/>
  <c r="AM697" i="16"/>
  <c r="AL697" i="16"/>
  <c r="AK697" i="16"/>
  <c r="AJ697" i="16"/>
  <c r="AI697" i="16"/>
  <c r="AF697" i="16"/>
  <c r="AN696" i="16"/>
  <c r="AM696" i="16"/>
  <c r="AL696" i="16"/>
  <c r="AK696" i="16"/>
  <c r="AJ696" i="16"/>
  <c r="AI696" i="16"/>
  <c r="AF696" i="16"/>
  <c r="AN695" i="16"/>
  <c r="AM695" i="16"/>
  <c r="AL695" i="16"/>
  <c r="AK695" i="16"/>
  <c r="AJ695" i="16"/>
  <c r="AI695" i="16"/>
  <c r="AF695" i="16"/>
  <c r="AN694" i="16"/>
  <c r="AM694" i="16"/>
  <c r="AL694" i="16"/>
  <c r="AK694" i="16"/>
  <c r="AJ694" i="16"/>
  <c r="AI694" i="16"/>
  <c r="AF694" i="16"/>
  <c r="AN693" i="16"/>
  <c r="AM693" i="16"/>
  <c r="AL693" i="16"/>
  <c r="AK693" i="16"/>
  <c r="AJ693" i="16"/>
  <c r="AI693" i="16"/>
  <c r="AF693" i="16"/>
  <c r="AN692" i="16"/>
  <c r="AM692" i="16"/>
  <c r="AL692" i="16"/>
  <c r="AK692" i="16"/>
  <c r="AJ692" i="16"/>
  <c r="AI692" i="16"/>
  <c r="AF692" i="16"/>
  <c r="AN691" i="16"/>
  <c r="AM691" i="16"/>
  <c r="AL691" i="16"/>
  <c r="AK691" i="16"/>
  <c r="AJ691" i="16"/>
  <c r="AI691" i="16"/>
  <c r="AF691" i="16"/>
  <c r="AN690" i="16"/>
  <c r="AM690" i="16"/>
  <c r="AL690" i="16"/>
  <c r="AK690" i="16"/>
  <c r="AJ690" i="16"/>
  <c r="AI690" i="16"/>
  <c r="AF690" i="16"/>
  <c r="AN689" i="16"/>
  <c r="AM689" i="16"/>
  <c r="AL689" i="16"/>
  <c r="AK689" i="16"/>
  <c r="AJ689" i="16"/>
  <c r="AI689" i="16"/>
  <c r="AF689" i="16"/>
  <c r="AN688" i="16"/>
  <c r="AM688" i="16"/>
  <c r="AL688" i="16"/>
  <c r="AK688" i="16"/>
  <c r="AJ688" i="16"/>
  <c r="AI688" i="16"/>
  <c r="AF688" i="16"/>
  <c r="AN687" i="16"/>
  <c r="AM687" i="16"/>
  <c r="AL687" i="16"/>
  <c r="AK687" i="16"/>
  <c r="AJ687" i="16"/>
  <c r="AI687" i="16"/>
  <c r="AF687" i="16"/>
  <c r="AN686" i="16"/>
  <c r="AM686" i="16"/>
  <c r="AL686" i="16"/>
  <c r="AK686" i="16"/>
  <c r="AJ686" i="16"/>
  <c r="AI686" i="16"/>
  <c r="AF686" i="16"/>
  <c r="AN685" i="16"/>
  <c r="AM685" i="16"/>
  <c r="AL685" i="16"/>
  <c r="AK685" i="16"/>
  <c r="AJ685" i="16"/>
  <c r="AI685" i="16"/>
  <c r="AF685" i="16"/>
  <c r="AN684" i="16"/>
  <c r="AM684" i="16"/>
  <c r="AL684" i="16"/>
  <c r="AK684" i="16"/>
  <c r="AJ684" i="16"/>
  <c r="AI684" i="16"/>
  <c r="AF684" i="16"/>
  <c r="AN683" i="16"/>
  <c r="AM683" i="16"/>
  <c r="AL683" i="16"/>
  <c r="AK683" i="16"/>
  <c r="AJ683" i="16"/>
  <c r="AI683" i="16"/>
  <c r="AF683" i="16"/>
  <c r="AN682" i="16"/>
  <c r="AM682" i="16"/>
  <c r="AL682" i="16"/>
  <c r="AK682" i="16"/>
  <c r="AJ682" i="16"/>
  <c r="AI682" i="16"/>
  <c r="AF682" i="16"/>
  <c r="AN681" i="16"/>
  <c r="AM681" i="16"/>
  <c r="AL681" i="16"/>
  <c r="AK681" i="16"/>
  <c r="AJ681" i="16"/>
  <c r="AI681" i="16"/>
  <c r="AF681" i="16"/>
  <c r="AN680" i="16"/>
  <c r="AM680" i="16"/>
  <c r="AL680" i="16"/>
  <c r="AK680" i="16"/>
  <c r="AJ680" i="16"/>
  <c r="AI680" i="16"/>
  <c r="AF680" i="16"/>
  <c r="AN679" i="16"/>
  <c r="AM679" i="16"/>
  <c r="AL679" i="16"/>
  <c r="AK679" i="16"/>
  <c r="AJ679" i="16"/>
  <c r="AI679" i="16"/>
  <c r="AF679" i="16"/>
  <c r="AN678" i="16"/>
  <c r="AM678" i="16"/>
  <c r="AL678" i="16"/>
  <c r="AK678" i="16"/>
  <c r="AJ678" i="16"/>
  <c r="AI678" i="16"/>
  <c r="AF678" i="16"/>
  <c r="AN677" i="16"/>
  <c r="AM677" i="16"/>
  <c r="AL677" i="16"/>
  <c r="AK677" i="16"/>
  <c r="AJ677" i="16"/>
  <c r="AI677" i="16"/>
  <c r="AF677" i="16"/>
  <c r="AN676" i="16"/>
  <c r="AM676" i="16"/>
  <c r="AL676" i="16"/>
  <c r="AK676" i="16"/>
  <c r="AJ676" i="16"/>
  <c r="AI676" i="16"/>
  <c r="AF676" i="16"/>
  <c r="AN675" i="16"/>
  <c r="AM675" i="16"/>
  <c r="AL675" i="16"/>
  <c r="AK675" i="16"/>
  <c r="AJ675" i="16"/>
  <c r="AI675" i="16"/>
  <c r="AF675" i="16"/>
  <c r="AN674" i="16"/>
  <c r="AM674" i="16"/>
  <c r="AL674" i="16"/>
  <c r="AK674" i="16"/>
  <c r="AJ674" i="16"/>
  <c r="AI674" i="16"/>
  <c r="AF674" i="16"/>
  <c r="AN673" i="16"/>
  <c r="AM673" i="16"/>
  <c r="AL673" i="16"/>
  <c r="AK673" i="16"/>
  <c r="AJ673" i="16"/>
  <c r="AI673" i="16"/>
  <c r="AF673" i="16"/>
  <c r="AN672" i="16"/>
  <c r="AM672" i="16"/>
  <c r="AL672" i="16"/>
  <c r="AK672" i="16"/>
  <c r="AJ672" i="16"/>
  <c r="AI672" i="16"/>
  <c r="AF672" i="16"/>
  <c r="AN671" i="16"/>
  <c r="AM671" i="16"/>
  <c r="AL671" i="16"/>
  <c r="AK671" i="16"/>
  <c r="AJ671" i="16"/>
  <c r="AI671" i="16"/>
  <c r="AF671" i="16"/>
  <c r="AN670" i="16"/>
  <c r="AM670" i="16"/>
  <c r="AL670" i="16"/>
  <c r="AK670" i="16"/>
  <c r="AJ670" i="16"/>
  <c r="AI670" i="16"/>
  <c r="AF670" i="16"/>
  <c r="AN669" i="16"/>
  <c r="AM669" i="16"/>
  <c r="AL669" i="16"/>
  <c r="AK669" i="16"/>
  <c r="AJ669" i="16"/>
  <c r="AI669" i="16"/>
  <c r="AF669" i="16"/>
  <c r="AN668" i="16"/>
  <c r="AM668" i="16"/>
  <c r="AL668" i="16"/>
  <c r="AK668" i="16"/>
  <c r="AJ668" i="16"/>
  <c r="AI668" i="16"/>
  <c r="AF668" i="16"/>
  <c r="AN667" i="16"/>
  <c r="AM667" i="16"/>
  <c r="AL667" i="16"/>
  <c r="AK667" i="16"/>
  <c r="AJ667" i="16"/>
  <c r="AI667" i="16"/>
  <c r="AF667" i="16"/>
  <c r="AN666" i="16"/>
  <c r="AM666" i="16"/>
  <c r="AL666" i="16"/>
  <c r="AK666" i="16"/>
  <c r="AJ666" i="16"/>
  <c r="AI666" i="16"/>
  <c r="AF666" i="16"/>
  <c r="AN665" i="16"/>
  <c r="AM665" i="16"/>
  <c r="AL665" i="16"/>
  <c r="AK665" i="16"/>
  <c r="AJ665" i="16"/>
  <c r="AI665" i="16"/>
  <c r="AF665" i="16"/>
  <c r="AN664" i="16"/>
  <c r="AM664" i="16"/>
  <c r="AL664" i="16"/>
  <c r="AK664" i="16"/>
  <c r="AJ664" i="16"/>
  <c r="AI664" i="16"/>
  <c r="AF664" i="16"/>
  <c r="AN663" i="16"/>
  <c r="AM663" i="16"/>
  <c r="AL663" i="16"/>
  <c r="AK663" i="16"/>
  <c r="AJ663" i="16"/>
  <c r="AI663" i="16"/>
  <c r="AF663" i="16"/>
  <c r="AN662" i="16"/>
  <c r="AM662" i="16"/>
  <c r="AL662" i="16"/>
  <c r="AK662" i="16"/>
  <c r="AJ662" i="16"/>
  <c r="AI662" i="16"/>
  <c r="AF662" i="16"/>
  <c r="AN661" i="16"/>
  <c r="AM661" i="16"/>
  <c r="AL661" i="16"/>
  <c r="AK661" i="16"/>
  <c r="AJ661" i="16"/>
  <c r="AI661" i="16"/>
  <c r="AF661" i="16"/>
  <c r="AN660" i="16"/>
  <c r="AM660" i="16"/>
  <c r="AL660" i="16"/>
  <c r="AK660" i="16"/>
  <c r="AJ660" i="16"/>
  <c r="AI660" i="16"/>
  <c r="AF660" i="16"/>
  <c r="AN659" i="16"/>
  <c r="AM659" i="16"/>
  <c r="AL659" i="16"/>
  <c r="AK659" i="16"/>
  <c r="AJ659" i="16"/>
  <c r="AI659" i="16"/>
  <c r="AF659" i="16"/>
  <c r="AN658" i="16"/>
  <c r="AM658" i="16"/>
  <c r="AL658" i="16"/>
  <c r="AK658" i="16"/>
  <c r="AJ658" i="16"/>
  <c r="AI658" i="16"/>
  <c r="AF658" i="16"/>
  <c r="AN657" i="16"/>
  <c r="AM657" i="16"/>
  <c r="AL657" i="16"/>
  <c r="AK657" i="16"/>
  <c r="AJ657" i="16"/>
  <c r="AI657" i="16"/>
  <c r="AF657" i="16"/>
  <c r="AN656" i="16"/>
  <c r="AM656" i="16"/>
  <c r="AL656" i="16"/>
  <c r="AK656" i="16"/>
  <c r="AJ656" i="16"/>
  <c r="AI656" i="16"/>
  <c r="AF656" i="16"/>
  <c r="AN655" i="16"/>
  <c r="AM655" i="16"/>
  <c r="AL655" i="16"/>
  <c r="AK655" i="16"/>
  <c r="AJ655" i="16"/>
  <c r="AI655" i="16"/>
  <c r="AF655" i="16"/>
  <c r="AN654" i="16"/>
  <c r="AM654" i="16"/>
  <c r="AL654" i="16"/>
  <c r="AK654" i="16"/>
  <c r="AJ654" i="16"/>
  <c r="AI654" i="16"/>
  <c r="AF654" i="16"/>
  <c r="AN653" i="16"/>
  <c r="AM653" i="16"/>
  <c r="AL653" i="16"/>
  <c r="AK653" i="16"/>
  <c r="AJ653" i="16"/>
  <c r="AI653" i="16"/>
  <c r="AF653" i="16"/>
  <c r="AN652" i="16"/>
  <c r="AM652" i="16"/>
  <c r="AL652" i="16"/>
  <c r="AK652" i="16"/>
  <c r="AJ652" i="16"/>
  <c r="AI652" i="16"/>
  <c r="AF652" i="16"/>
  <c r="AN651" i="16"/>
  <c r="AM651" i="16"/>
  <c r="AL651" i="16"/>
  <c r="AK651" i="16"/>
  <c r="AJ651" i="16"/>
  <c r="AI651" i="16"/>
  <c r="AF651" i="16"/>
  <c r="AN650" i="16"/>
  <c r="AM650" i="16"/>
  <c r="AL650" i="16"/>
  <c r="AK650" i="16"/>
  <c r="AJ650" i="16"/>
  <c r="AI650" i="16"/>
  <c r="AF650" i="16"/>
  <c r="AN649" i="16"/>
  <c r="AM649" i="16"/>
  <c r="AL649" i="16"/>
  <c r="AK649" i="16"/>
  <c r="AJ649" i="16"/>
  <c r="AI649" i="16"/>
  <c r="AF649" i="16"/>
  <c r="AN648" i="16"/>
  <c r="AM648" i="16"/>
  <c r="AL648" i="16"/>
  <c r="AK648" i="16"/>
  <c r="AJ648" i="16"/>
  <c r="AI648" i="16"/>
  <c r="AF648" i="16"/>
  <c r="AN647" i="16"/>
  <c r="AM647" i="16"/>
  <c r="AL647" i="16"/>
  <c r="AK647" i="16"/>
  <c r="AJ647" i="16"/>
  <c r="AI647" i="16"/>
  <c r="AF647" i="16"/>
  <c r="AN646" i="16"/>
  <c r="AM646" i="16"/>
  <c r="AL646" i="16"/>
  <c r="AK646" i="16"/>
  <c r="AJ646" i="16"/>
  <c r="AI646" i="16"/>
  <c r="AF646" i="16"/>
  <c r="AN645" i="16"/>
  <c r="AM645" i="16"/>
  <c r="AL645" i="16"/>
  <c r="AK645" i="16"/>
  <c r="AJ645" i="16"/>
  <c r="AI645" i="16"/>
  <c r="AF645" i="16"/>
  <c r="AN644" i="16"/>
  <c r="AM644" i="16"/>
  <c r="AL644" i="16"/>
  <c r="AK644" i="16"/>
  <c r="AJ644" i="16"/>
  <c r="AI644" i="16"/>
  <c r="AF644" i="16"/>
  <c r="AN643" i="16"/>
  <c r="AM643" i="16"/>
  <c r="AL643" i="16"/>
  <c r="AK643" i="16"/>
  <c r="AJ643" i="16"/>
  <c r="AI643" i="16"/>
  <c r="AF643" i="16"/>
  <c r="AN642" i="16"/>
  <c r="AM642" i="16"/>
  <c r="AL642" i="16"/>
  <c r="AK642" i="16"/>
  <c r="AJ642" i="16"/>
  <c r="AI642" i="16"/>
  <c r="AF642" i="16"/>
  <c r="AN641" i="16"/>
  <c r="AM641" i="16"/>
  <c r="AL641" i="16"/>
  <c r="AK641" i="16"/>
  <c r="AJ641" i="16"/>
  <c r="AI641" i="16"/>
  <c r="AF641" i="16"/>
  <c r="AN640" i="16"/>
  <c r="AM640" i="16"/>
  <c r="AL640" i="16"/>
  <c r="AK640" i="16"/>
  <c r="AJ640" i="16"/>
  <c r="AI640" i="16"/>
  <c r="AF640" i="16"/>
  <c r="AN639" i="16"/>
  <c r="AM639" i="16"/>
  <c r="AL639" i="16"/>
  <c r="AK639" i="16"/>
  <c r="AJ639" i="16"/>
  <c r="AI639" i="16"/>
  <c r="AF639" i="16"/>
  <c r="AN638" i="16"/>
  <c r="AM638" i="16"/>
  <c r="AL638" i="16"/>
  <c r="AK638" i="16"/>
  <c r="AJ638" i="16"/>
  <c r="AI638" i="16"/>
  <c r="AF638" i="16"/>
  <c r="AN637" i="16"/>
  <c r="AM637" i="16"/>
  <c r="AL637" i="16"/>
  <c r="AK637" i="16"/>
  <c r="AJ637" i="16"/>
  <c r="AI637" i="16"/>
  <c r="AF637" i="16"/>
  <c r="AN636" i="16"/>
  <c r="AM636" i="16"/>
  <c r="AL636" i="16"/>
  <c r="AK636" i="16"/>
  <c r="AJ636" i="16"/>
  <c r="AI636" i="16"/>
  <c r="AF636" i="16"/>
  <c r="AN635" i="16"/>
  <c r="AM635" i="16"/>
  <c r="AL635" i="16"/>
  <c r="AK635" i="16"/>
  <c r="AJ635" i="16"/>
  <c r="AI635" i="16"/>
  <c r="AF635" i="16"/>
  <c r="AN634" i="16"/>
  <c r="AM634" i="16"/>
  <c r="AL634" i="16"/>
  <c r="AK634" i="16"/>
  <c r="AJ634" i="16"/>
  <c r="AI634" i="16"/>
  <c r="AF634" i="16"/>
  <c r="AN633" i="16"/>
  <c r="AM633" i="16"/>
  <c r="AL633" i="16"/>
  <c r="AK633" i="16"/>
  <c r="AJ633" i="16"/>
  <c r="AI633" i="16"/>
  <c r="AF633" i="16"/>
  <c r="AN632" i="16"/>
  <c r="AM632" i="16"/>
  <c r="AL632" i="16"/>
  <c r="AK632" i="16"/>
  <c r="AJ632" i="16"/>
  <c r="AI632" i="16"/>
  <c r="AF632" i="16"/>
  <c r="AN631" i="16"/>
  <c r="AM631" i="16"/>
  <c r="AL631" i="16"/>
  <c r="AK631" i="16"/>
  <c r="AJ631" i="16"/>
  <c r="AI631" i="16"/>
  <c r="AF631" i="16"/>
  <c r="AN630" i="16"/>
  <c r="AM630" i="16"/>
  <c r="AL630" i="16"/>
  <c r="AK630" i="16"/>
  <c r="AJ630" i="16"/>
  <c r="AI630" i="16"/>
  <c r="AF630" i="16"/>
  <c r="AN629" i="16"/>
  <c r="AM629" i="16"/>
  <c r="AL629" i="16"/>
  <c r="AK629" i="16"/>
  <c r="AJ629" i="16"/>
  <c r="AI629" i="16"/>
  <c r="AF629" i="16"/>
  <c r="AN628" i="16"/>
  <c r="AM628" i="16"/>
  <c r="AL628" i="16"/>
  <c r="AK628" i="16"/>
  <c r="AJ628" i="16"/>
  <c r="AI628" i="16"/>
  <c r="AF628" i="16"/>
  <c r="AN627" i="16"/>
  <c r="AM627" i="16"/>
  <c r="AL627" i="16"/>
  <c r="AK627" i="16"/>
  <c r="AJ627" i="16"/>
  <c r="AI627" i="16"/>
  <c r="AF627" i="16"/>
  <c r="AN626" i="16"/>
  <c r="AM626" i="16"/>
  <c r="AL626" i="16"/>
  <c r="AK626" i="16"/>
  <c r="AJ626" i="16"/>
  <c r="AI626" i="16"/>
  <c r="AF626" i="16"/>
  <c r="AN625" i="16"/>
  <c r="AM625" i="16"/>
  <c r="AL625" i="16"/>
  <c r="AK625" i="16"/>
  <c r="AJ625" i="16"/>
  <c r="AI625" i="16"/>
  <c r="AF625" i="16"/>
  <c r="AN624" i="16"/>
  <c r="AM624" i="16"/>
  <c r="AL624" i="16"/>
  <c r="AK624" i="16"/>
  <c r="AJ624" i="16"/>
  <c r="AI624" i="16"/>
  <c r="AF624" i="16"/>
  <c r="AN623" i="16"/>
  <c r="AM623" i="16"/>
  <c r="AL623" i="16"/>
  <c r="AK623" i="16"/>
  <c r="AJ623" i="16"/>
  <c r="AI623" i="16"/>
  <c r="AF623" i="16"/>
  <c r="AN622" i="16"/>
  <c r="AM622" i="16"/>
  <c r="AL622" i="16"/>
  <c r="AK622" i="16"/>
  <c r="AJ622" i="16"/>
  <c r="AI622" i="16"/>
  <c r="AF622" i="16"/>
  <c r="AN621" i="16"/>
  <c r="AM621" i="16"/>
  <c r="AL621" i="16"/>
  <c r="AK621" i="16"/>
  <c r="AJ621" i="16"/>
  <c r="AI621" i="16"/>
  <c r="AF621" i="16"/>
  <c r="AN620" i="16"/>
  <c r="AM620" i="16"/>
  <c r="AL620" i="16"/>
  <c r="AK620" i="16"/>
  <c r="AJ620" i="16"/>
  <c r="AI620" i="16"/>
  <c r="AF620" i="16"/>
  <c r="AN619" i="16"/>
  <c r="AM619" i="16"/>
  <c r="AL619" i="16"/>
  <c r="AK619" i="16"/>
  <c r="AJ619" i="16"/>
  <c r="AI619" i="16"/>
  <c r="AF619" i="16"/>
  <c r="AN618" i="16"/>
  <c r="AM618" i="16"/>
  <c r="AL618" i="16"/>
  <c r="AK618" i="16"/>
  <c r="AJ618" i="16"/>
  <c r="AI618" i="16"/>
  <c r="AF618" i="16"/>
  <c r="AN617" i="16"/>
  <c r="AM617" i="16"/>
  <c r="AL617" i="16"/>
  <c r="AK617" i="16"/>
  <c r="AJ617" i="16"/>
  <c r="AI617" i="16"/>
  <c r="AF617" i="16"/>
  <c r="AN616" i="16"/>
  <c r="AM616" i="16"/>
  <c r="AL616" i="16"/>
  <c r="AK616" i="16"/>
  <c r="AJ616" i="16"/>
  <c r="AI616" i="16"/>
  <c r="AF616" i="16"/>
  <c r="AN615" i="16"/>
  <c r="AM615" i="16"/>
  <c r="AL615" i="16"/>
  <c r="AK615" i="16"/>
  <c r="AJ615" i="16"/>
  <c r="AI615" i="16"/>
  <c r="AF615" i="16"/>
  <c r="AN614" i="16"/>
  <c r="AM614" i="16"/>
  <c r="AL614" i="16"/>
  <c r="AK614" i="16"/>
  <c r="AJ614" i="16"/>
  <c r="AI614" i="16"/>
  <c r="AF614" i="16"/>
  <c r="AN613" i="16"/>
  <c r="AM613" i="16"/>
  <c r="AL613" i="16"/>
  <c r="AK613" i="16"/>
  <c r="AJ613" i="16"/>
  <c r="AI613" i="16"/>
  <c r="AF613" i="16"/>
  <c r="AN612" i="16"/>
  <c r="AM612" i="16"/>
  <c r="AL612" i="16"/>
  <c r="AK612" i="16"/>
  <c r="AJ612" i="16"/>
  <c r="AI612" i="16"/>
  <c r="AF612" i="16"/>
  <c r="AN611" i="16"/>
  <c r="AM611" i="16"/>
  <c r="AL611" i="16"/>
  <c r="AK611" i="16"/>
  <c r="AJ611" i="16"/>
  <c r="AI611" i="16"/>
  <c r="AF611" i="16"/>
  <c r="AN610" i="16"/>
  <c r="AM610" i="16"/>
  <c r="AL610" i="16"/>
  <c r="AK610" i="16"/>
  <c r="AJ610" i="16"/>
  <c r="AI610" i="16"/>
  <c r="AF610" i="16"/>
  <c r="AN609" i="16"/>
  <c r="AM609" i="16"/>
  <c r="AL609" i="16"/>
  <c r="AK609" i="16"/>
  <c r="AJ609" i="16"/>
  <c r="AI609" i="16"/>
  <c r="AF609" i="16"/>
  <c r="AN608" i="16"/>
  <c r="AM608" i="16"/>
  <c r="AL608" i="16"/>
  <c r="AK608" i="16"/>
  <c r="AJ608" i="16"/>
  <c r="AI608" i="16"/>
  <c r="AF608" i="16"/>
  <c r="AN607" i="16"/>
  <c r="AM607" i="16"/>
  <c r="AL607" i="16"/>
  <c r="AK607" i="16"/>
  <c r="AJ607" i="16"/>
  <c r="AI607" i="16"/>
  <c r="AF607" i="16"/>
  <c r="AN606" i="16"/>
  <c r="AM606" i="16"/>
  <c r="AL606" i="16"/>
  <c r="AK606" i="16"/>
  <c r="AJ606" i="16"/>
  <c r="AI606" i="16"/>
  <c r="AF606" i="16"/>
  <c r="AN605" i="16"/>
  <c r="AM605" i="16"/>
  <c r="AL605" i="16"/>
  <c r="AK605" i="16"/>
  <c r="AJ605" i="16"/>
  <c r="AI605" i="16"/>
  <c r="AF605" i="16"/>
  <c r="AN604" i="16"/>
  <c r="AM604" i="16"/>
  <c r="AL604" i="16"/>
  <c r="AK604" i="16"/>
  <c r="AJ604" i="16"/>
  <c r="AI604" i="16"/>
  <c r="AF604" i="16"/>
  <c r="AN603" i="16"/>
  <c r="AM603" i="16"/>
  <c r="AL603" i="16"/>
  <c r="AK603" i="16"/>
  <c r="AJ603" i="16"/>
  <c r="AI603" i="16"/>
  <c r="AF603" i="16"/>
  <c r="AN602" i="16"/>
  <c r="AM602" i="16"/>
  <c r="AL602" i="16"/>
  <c r="AK602" i="16"/>
  <c r="AJ602" i="16"/>
  <c r="AI602" i="16"/>
  <c r="AF602" i="16"/>
  <c r="AN601" i="16"/>
  <c r="AM601" i="16"/>
  <c r="AL601" i="16"/>
  <c r="AK601" i="16"/>
  <c r="AJ601" i="16"/>
  <c r="AI601" i="16"/>
  <c r="AF601" i="16"/>
  <c r="AN600" i="16"/>
  <c r="AM600" i="16"/>
  <c r="AL600" i="16"/>
  <c r="AK600" i="16"/>
  <c r="AJ600" i="16"/>
  <c r="AI600" i="16"/>
  <c r="AF600" i="16"/>
  <c r="AN599" i="16"/>
  <c r="AM599" i="16"/>
  <c r="AL599" i="16"/>
  <c r="AK599" i="16"/>
  <c r="AJ599" i="16"/>
  <c r="AI599" i="16"/>
  <c r="AF599" i="16"/>
  <c r="AN598" i="16"/>
  <c r="AM598" i="16"/>
  <c r="AL598" i="16"/>
  <c r="AK598" i="16"/>
  <c r="AJ598" i="16"/>
  <c r="AI598" i="16"/>
  <c r="AF598" i="16"/>
  <c r="AN597" i="16"/>
  <c r="AM597" i="16"/>
  <c r="AL597" i="16"/>
  <c r="AK597" i="16"/>
  <c r="AJ597" i="16"/>
  <c r="AI597" i="16"/>
  <c r="AF597" i="16"/>
  <c r="AN596" i="16"/>
  <c r="AM596" i="16"/>
  <c r="AL596" i="16"/>
  <c r="AK596" i="16"/>
  <c r="AJ596" i="16"/>
  <c r="AI596" i="16"/>
  <c r="AF596" i="16"/>
  <c r="AN595" i="16"/>
  <c r="AM595" i="16"/>
  <c r="AL595" i="16"/>
  <c r="AK595" i="16"/>
  <c r="AJ595" i="16"/>
  <c r="AI595" i="16"/>
  <c r="AF595" i="16"/>
  <c r="AN594" i="16"/>
  <c r="AM594" i="16"/>
  <c r="AL594" i="16"/>
  <c r="AK594" i="16"/>
  <c r="AJ594" i="16"/>
  <c r="AI594" i="16"/>
  <c r="AF594" i="16"/>
  <c r="AN593" i="16"/>
  <c r="AM593" i="16"/>
  <c r="AL593" i="16"/>
  <c r="AK593" i="16"/>
  <c r="AJ593" i="16"/>
  <c r="AI593" i="16"/>
  <c r="AF593" i="16"/>
  <c r="AN592" i="16"/>
  <c r="AM592" i="16"/>
  <c r="AL592" i="16"/>
  <c r="AK592" i="16"/>
  <c r="AJ592" i="16"/>
  <c r="AI592" i="16"/>
  <c r="AF592" i="16"/>
  <c r="AN591" i="16"/>
  <c r="AM591" i="16"/>
  <c r="AL591" i="16"/>
  <c r="AK591" i="16"/>
  <c r="AJ591" i="16"/>
  <c r="AI591" i="16"/>
  <c r="AF591" i="16"/>
  <c r="AN590" i="16"/>
  <c r="AM590" i="16"/>
  <c r="AL590" i="16"/>
  <c r="AK590" i="16"/>
  <c r="AJ590" i="16"/>
  <c r="AI590" i="16"/>
  <c r="AF590" i="16"/>
  <c r="AN589" i="16"/>
  <c r="AM589" i="16"/>
  <c r="AL589" i="16"/>
  <c r="AK589" i="16"/>
  <c r="AJ589" i="16"/>
  <c r="AI589" i="16"/>
  <c r="AF589" i="16"/>
  <c r="AN588" i="16"/>
  <c r="AM588" i="16"/>
  <c r="AL588" i="16"/>
  <c r="AK588" i="16"/>
  <c r="AJ588" i="16"/>
  <c r="AI588" i="16"/>
  <c r="AF588" i="16"/>
  <c r="AN587" i="16"/>
  <c r="AM587" i="16"/>
  <c r="AL587" i="16"/>
  <c r="AK587" i="16"/>
  <c r="AJ587" i="16"/>
  <c r="AI587" i="16"/>
  <c r="AF587" i="16"/>
  <c r="AN586" i="16"/>
  <c r="AM586" i="16"/>
  <c r="AL586" i="16"/>
  <c r="AK586" i="16"/>
  <c r="AJ586" i="16"/>
  <c r="AI586" i="16"/>
  <c r="AF586" i="16"/>
  <c r="AN585" i="16"/>
  <c r="AM585" i="16"/>
  <c r="AL585" i="16"/>
  <c r="AK585" i="16"/>
  <c r="AJ585" i="16"/>
  <c r="AI585" i="16"/>
  <c r="AF585" i="16"/>
  <c r="AN584" i="16"/>
  <c r="AM584" i="16"/>
  <c r="AL584" i="16"/>
  <c r="AK584" i="16"/>
  <c r="AJ584" i="16"/>
  <c r="AI584" i="16"/>
  <c r="AF584" i="16"/>
  <c r="AN583" i="16"/>
  <c r="AM583" i="16"/>
  <c r="AL583" i="16"/>
  <c r="AK583" i="16"/>
  <c r="AJ583" i="16"/>
  <c r="AI583" i="16"/>
  <c r="AF583" i="16"/>
  <c r="AN582" i="16"/>
  <c r="AM582" i="16"/>
  <c r="AL582" i="16"/>
  <c r="AK582" i="16"/>
  <c r="AJ582" i="16"/>
  <c r="AI582" i="16"/>
  <c r="AF582" i="16"/>
  <c r="AN581" i="16"/>
  <c r="AM581" i="16"/>
  <c r="AL581" i="16"/>
  <c r="AK581" i="16"/>
  <c r="AJ581" i="16"/>
  <c r="AI581" i="16"/>
  <c r="AF581" i="16"/>
  <c r="AN580" i="16"/>
  <c r="AM580" i="16"/>
  <c r="AL580" i="16"/>
  <c r="AK580" i="16"/>
  <c r="AJ580" i="16"/>
  <c r="AI580" i="16"/>
  <c r="AF580" i="16"/>
  <c r="AN579" i="16"/>
  <c r="AM579" i="16"/>
  <c r="AL579" i="16"/>
  <c r="AK579" i="16"/>
  <c r="AJ579" i="16"/>
  <c r="AI579" i="16"/>
  <c r="AF579" i="16"/>
  <c r="AN578" i="16"/>
  <c r="AM578" i="16"/>
  <c r="AL578" i="16"/>
  <c r="AK578" i="16"/>
  <c r="AJ578" i="16"/>
  <c r="AI578" i="16"/>
  <c r="AF578" i="16"/>
  <c r="AN577" i="16"/>
  <c r="AM577" i="16"/>
  <c r="AL577" i="16"/>
  <c r="AK577" i="16"/>
  <c r="AJ577" i="16"/>
  <c r="AI577" i="16"/>
  <c r="AF577" i="16"/>
  <c r="AN576" i="16"/>
  <c r="AM576" i="16"/>
  <c r="AL576" i="16"/>
  <c r="AK576" i="16"/>
  <c r="AJ576" i="16"/>
  <c r="AI576" i="16"/>
  <c r="AF576" i="16"/>
  <c r="AN575" i="16"/>
  <c r="AM575" i="16"/>
  <c r="AL575" i="16"/>
  <c r="AK575" i="16"/>
  <c r="AJ575" i="16"/>
  <c r="AI575" i="16"/>
  <c r="AF575" i="16"/>
  <c r="AN574" i="16"/>
  <c r="AM574" i="16"/>
  <c r="AL574" i="16"/>
  <c r="AK574" i="16"/>
  <c r="AJ574" i="16"/>
  <c r="AI574" i="16"/>
  <c r="AF574" i="16"/>
  <c r="AN573" i="16"/>
  <c r="AM573" i="16"/>
  <c r="AL573" i="16"/>
  <c r="AK573" i="16"/>
  <c r="AJ573" i="16"/>
  <c r="AI573" i="16"/>
  <c r="AF573" i="16"/>
  <c r="AN572" i="16"/>
  <c r="AM572" i="16"/>
  <c r="AL572" i="16"/>
  <c r="AK572" i="16"/>
  <c r="AJ572" i="16"/>
  <c r="AI572" i="16"/>
  <c r="AF572" i="16"/>
  <c r="AN571" i="16"/>
  <c r="AM571" i="16"/>
  <c r="AL571" i="16"/>
  <c r="AK571" i="16"/>
  <c r="AJ571" i="16"/>
  <c r="AI571" i="16"/>
  <c r="AF571" i="16"/>
  <c r="AN570" i="16"/>
  <c r="AM570" i="16"/>
  <c r="AL570" i="16"/>
  <c r="AK570" i="16"/>
  <c r="AJ570" i="16"/>
  <c r="AI570" i="16"/>
  <c r="AF570" i="16"/>
  <c r="AN569" i="16"/>
  <c r="AM569" i="16"/>
  <c r="AL569" i="16"/>
  <c r="AK569" i="16"/>
  <c r="AJ569" i="16"/>
  <c r="AI569" i="16"/>
  <c r="AF569" i="16"/>
  <c r="AN568" i="16"/>
  <c r="AM568" i="16"/>
  <c r="AL568" i="16"/>
  <c r="AK568" i="16"/>
  <c r="AJ568" i="16"/>
  <c r="AI568" i="16"/>
  <c r="AF568" i="16"/>
  <c r="AN567" i="16"/>
  <c r="AM567" i="16"/>
  <c r="AL567" i="16"/>
  <c r="AK567" i="16"/>
  <c r="AJ567" i="16"/>
  <c r="AI567" i="16"/>
  <c r="AF567" i="16"/>
  <c r="AN566" i="16"/>
  <c r="AM566" i="16"/>
  <c r="AL566" i="16"/>
  <c r="AK566" i="16"/>
  <c r="AJ566" i="16"/>
  <c r="AI566" i="16"/>
  <c r="AF566" i="16"/>
  <c r="AN565" i="16"/>
  <c r="AM565" i="16"/>
  <c r="AL565" i="16"/>
  <c r="AK565" i="16"/>
  <c r="AJ565" i="16"/>
  <c r="AI565" i="16"/>
  <c r="AF565" i="16"/>
  <c r="AN564" i="16"/>
  <c r="AM564" i="16"/>
  <c r="AL564" i="16"/>
  <c r="AK564" i="16"/>
  <c r="AJ564" i="16"/>
  <c r="AI564" i="16"/>
  <c r="AF564" i="16"/>
  <c r="AN563" i="16"/>
  <c r="AM563" i="16"/>
  <c r="AL563" i="16"/>
  <c r="AK563" i="16"/>
  <c r="AJ563" i="16"/>
  <c r="AI563" i="16"/>
  <c r="AF563" i="16"/>
  <c r="AN562" i="16"/>
  <c r="AM562" i="16"/>
  <c r="AL562" i="16"/>
  <c r="AK562" i="16"/>
  <c r="AJ562" i="16"/>
  <c r="AI562" i="16"/>
  <c r="AF562" i="16"/>
  <c r="AN561" i="16"/>
  <c r="AM561" i="16"/>
  <c r="AL561" i="16"/>
  <c r="AK561" i="16"/>
  <c r="AJ561" i="16"/>
  <c r="AI561" i="16"/>
  <c r="AF561" i="16"/>
  <c r="AN560" i="16"/>
  <c r="AM560" i="16"/>
  <c r="AL560" i="16"/>
  <c r="AK560" i="16"/>
  <c r="AJ560" i="16"/>
  <c r="AI560" i="16"/>
  <c r="AF560" i="16"/>
  <c r="AN559" i="16"/>
  <c r="AM559" i="16"/>
  <c r="AL559" i="16"/>
  <c r="AK559" i="16"/>
  <c r="AJ559" i="16"/>
  <c r="AI559" i="16"/>
  <c r="AF559" i="16"/>
  <c r="AN558" i="16"/>
  <c r="AM558" i="16"/>
  <c r="AL558" i="16"/>
  <c r="AK558" i="16"/>
  <c r="AJ558" i="16"/>
  <c r="AI558" i="16"/>
  <c r="AF558" i="16"/>
  <c r="AN557" i="16"/>
  <c r="AM557" i="16"/>
  <c r="AL557" i="16"/>
  <c r="AK557" i="16"/>
  <c r="AJ557" i="16"/>
  <c r="AI557" i="16"/>
  <c r="AF557" i="16"/>
  <c r="AN556" i="16"/>
  <c r="AM556" i="16"/>
  <c r="AL556" i="16"/>
  <c r="AK556" i="16"/>
  <c r="AJ556" i="16"/>
  <c r="AI556" i="16"/>
  <c r="AF556" i="16"/>
  <c r="AN555" i="16"/>
  <c r="AM555" i="16"/>
  <c r="AL555" i="16"/>
  <c r="AK555" i="16"/>
  <c r="AJ555" i="16"/>
  <c r="AI555" i="16"/>
  <c r="AF555" i="16"/>
  <c r="AN554" i="16"/>
  <c r="AM554" i="16"/>
  <c r="AL554" i="16"/>
  <c r="AK554" i="16"/>
  <c r="AJ554" i="16"/>
  <c r="AI554" i="16"/>
  <c r="AF554" i="16"/>
  <c r="AN553" i="16"/>
  <c r="AM553" i="16"/>
  <c r="AL553" i="16"/>
  <c r="AK553" i="16"/>
  <c r="AJ553" i="16"/>
  <c r="AI553" i="16"/>
  <c r="AF553" i="16"/>
  <c r="AN552" i="16"/>
  <c r="AM552" i="16"/>
  <c r="AL552" i="16"/>
  <c r="AK552" i="16"/>
  <c r="AJ552" i="16"/>
  <c r="AI552" i="16"/>
  <c r="AF552" i="16"/>
  <c r="AN551" i="16"/>
  <c r="AM551" i="16"/>
  <c r="AL551" i="16"/>
  <c r="AK551" i="16"/>
  <c r="AJ551" i="16"/>
  <c r="AI551" i="16"/>
  <c r="AF551" i="16"/>
  <c r="AN550" i="16"/>
  <c r="AM550" i="16"/>
  <c r="AL550" i="16"/>
  <c r="AK550" i="16"/>
  <c r="AJ550" i="16"/>
  <c r="AI550" i="16"/>
  <c r="AF550" i="16"/>
  <c r="AN549" i="16"/>
  <c r="AM549" i="16"/>
  <c r="AL549" i="16"/>
  <c r="AK549" i="16"/>
  <c r="AJ549" i="16"/>
  <c r="AI549" i="16"/>
  <c r="AF549" i="16"/>
  <c r="AN548" i="16"/>
  <c r="AM548" i="16"/>
  <c r="AL548" i="16"/>
  <c r="AK548" i="16"/>
  <c r="AJ548" i="16"/>
  <c r="AI548" i="16"/>
  <c r="AF548" i="16"/>
  <c r="AN547" i="16"/>
  <c r="AM547" i="16"/>
  <c r="AL547" i="16"/>
  <c r="AK547" i="16"/>
  <c r="AJ547" i="16"/>
  <c r="AI547" i="16"/>
  <c r="AF547" i="16"/>
  <c r="AN546" i="16"/>
  <c r="AM546" i="16"/>
  <c r="AL546" i="16"/>
  <c r="AK546" i="16"/>
  <c r="AJ546" i="16"/>
  <c r="AI546" i="16"/>
  <c r="AF546" i="16"/>
  <c r="AN545" i="16"/>
  <c r="AM545" i="16"/>
  <c r="AL545" i="16"/>
  <c r="AK545" i="16"/>
  <c r="AJ545" i="16"/>
  <c r="AI545" i="16"/>
  <c r="AF545" i="16"/>
  <c r="AN544" i="16"/>
  <c r="AM544" i="16"/>
  <c r="AL544" i="16"/>
  <c r="AK544" i="16"/>
  <c r="AJ544" i="16"/>
  <c r="AI544" i="16"/>
  <c r="AF544" i="16"/>
  <c r="AN543" i="16"/>
  <c r="AM543" i="16"/>
  <c r="AL543" i="16"/>
  <c r="AK543" i="16"/>
  <c r="AJ543" i="16"/>
  <c r="AI543" i="16"/>
  <c r="AF543" i="16"/>
  <c r="AN542" i="16"/>
  <c r="AM542" i="16"/>
  <c r="AL542" i="16"/>
  <c r="AK542" i="16"/>
  <c r="AJ542" i="16"/>
  <c r="AI542" i="16"/>
  <c r="AF542" i="16"/>
  <c r="AN541" i="16"/>
  <c r="AM541" i="16"/>
  <c r="AL541" i="16"/>
  <c r="AK541" i="16"/>
  <c r="AJ541" i="16"/>
  <c r="AI541" i="16"/>
  <c r="AF541" i="16"/>
  <c r="AN540" i="16"/>
  <c r="AM540" i="16"/>
  <c r="AL540" i="16"/>
  <c r="AK540" i="16"/>
  <c r="AJ540" i="16"/>
  <c r="AI540" i="16"/>
  <c r="AF540" i="16"/>
  <c r="AN539" i="16"/>
  <c r="AM539" i="16"/>
  <c r="AL539" i="16"/>
  <c r="AK539" i="16"/>
  <c r="AJ539" i="16"/>
  <c r="AI539" i="16"/>
  <c r="AF539" i="16"/>
  <c r="AN538" i="16"/>
  <c r="AM538" i="16"/>
  <c r="AL538" i="16"/>
  <c r="AK538" i="16"/>
  <c r="AJ538" i="16"/>
  <c r="AI538" i="16"/>
  <c r="AF538" i="16"/>
  <c r="AN537" i="16"/>
  <c r="AM537" i="16"/>
  <c r="AL537" i="16"/>
  <c r="AK537" i="16"/>
  <c r="AJ537" i="16"/>
  <c r="AI537" i="16"/>
  <c r="AF537" i="16"/>
  <c r="AN536" i="16"/>
  <c r="AM536" i="16"/>
  <c r="AL536" i="16"/>
  <c r="AK536" i="16"/>
  <c r="AJ536" i="16"/>
  <c r="AI536" i="16"/>
  <c r="AF536" i="16"/>
  <c r="AN535" i="16"/>
  <c r="AM535" i="16"/>
  <c r="AL535" i="16"/>
  <c r="AK535" i="16"/>
  <c r="AJ535" i="16"/>
  <c r="AI535" i="16"/>
  <c r="AF535" i="16"/>
  <c r="AN534" i="16"/>
  <c r="AM534" i="16"/>
  <c r="AL534" i="16"/>
  <c r="AK534" i="16"/>
  <c r="AJ534" i="16"/>
  <c r="AI534" i="16"/>
  <c r="AF534" i="16"/>
  <c r="AN533" i="16"/>
  <c r="AM533" i="16"/>
  <c r="AL533" i="16"/>
  <c r="AK533" i="16"/>
  <c r="AJ533" i="16"/>
  <c r="AI533" i="16"/>
  <c r="AF533" i="16"/>
  <c r="AN532" i="16"/>
  <c r="AM532" i="16"/>
  <c r="AL532" i="16"/>
  <c r="AK532" i="16"/>
  <c r="AJ532" i="16"/>
  <c r="AI532" i="16"/>
  <c r="AF532" i="16"/>
  <c r="AN531" i="16"/>
  <c r="AM531" i="16"/>
  <c r="AL531" i="16"/>
  <c r="AK531" i="16"/>
  <c r="AJ531" i="16"/>
  <c r="AI531" i="16"/>
  <c r="AF531" i="16"/>
  <c r="AN530" i="16"/>
  <c r="AM530" i="16"/>
  <c r="AL530" i="16"/>
  <c r="AK530" i="16"/>
  <c r="AJ530" i="16"/>
  <c r="AI530" i="16"/>
  <c r="AF530" i="16"/>
  <c r="AN529" i="16"/>
  <c r="AM529" i="16"/>
  <c r="AL529" i="16"/>
  <c r="AK529" i="16"/>
  <c r="AJ529" i="16"/>
  <c r="AI529" i="16"/>
  <c r="AF529" i="16"/>
  <c r="AN528" i="16"/>
  <c r="AM528" i="16"/>
  <c r="AL528" i="16"/>
  <c r="AK528" i="16"/>
  <c r="AJ528" i="16"/>
  <c r="AI528" i="16"/>
  <c r="AF528" i="16"/>
  <c r="AN527" i="16"/>
  <c r="AM527" i="16"/>
  <c r="AL527" i="16"/>
  <c r="AK527" i="16"/>
  <c r="AJ527" i="16"/>
  <c r="AI527" i="16"/>
  <c r="AF527" i="16"/>
  <c r="AN526" i="16"/>
  <c r="AM526" i="16"/>
  <c r="AL526" i="16"/>
  <c r="AK526" i="16"/>
  <c r="AJ526" i="16"/>
  <c r="AI526" i="16"/>
  <c r="AF526" i="16"/>
  <c r="AN525" i="16"/>
  <c r="AM525" i="16"/>
  <c r="AL525" i="16"/>
  <c r="AK525" i="16"/>
  <c r="AJ525" i="16"/>
  <c r="AI525" i="16"/>
  <c r="AF525" i="16"/>
  <c r="AN524" i="16"/>
  <c r="AM524" i="16"/>
  <c r="AL524" i="16"/>
  <c r="AK524" i="16"/>
  <c r="AJ524" i="16"/>
  <c r="AI524" i="16"/>
  <c r="AF524" i="16"/>
  <c r="AN523" i="16"/>
  <c r="AM523" i="16"/>
  <c r="AL523" i="16"/>
  <c r="AK523" i="16"/>
  <c r="AJ523" i="16"/>
  <c r="AI523" i="16"/>
  <c r="AF523" i="16"/>
  <c r="AN522" i="16"/>
  <c r="AM522" i="16"/>
  <c r="AL522" i="16"/>
  <c r="AK522" i="16"/>
  <c r="AJ522" i="16"/>
  <c r="AI522" i="16"/>
  <c r="AF522" i="16"/>
  <c r="AN521" i="16"/>
  <c r="AM521" i="16"/>
  <c r="AL521" i="16"/>
  <c r="AK521" i="16"/>
  <c r="AJ521" i="16"/>
  <c r="AI521" i="16"/>
  <c r="AF521" i="16"/>
  <c r="AN520" i="16"/>
  <c r="AM520" i="16"/>
  <c r="AL520" i="16"/>
  <c r="AK520" i="16"/>
  <c r="AJ520" i="16"/>
  <c r="AI520" i="16"/>
  <c r="AF520" i="16"/>
  <c r="AN519" i="16"/>
  <c r="AM519" i="16"/>
  <c r="AL519" i="16"/>
  <c r="AK519" i="16"/>
  <c r="AJ519" i="16"/>
  <c r="AI519" i="16"/>
  <c r="AF519" i="16"/>
  <c r="AN518" i="16"/>
  <c r="AM518" i="16"/>
  <c r="AL518" i="16"/>
  <c r="AK518" i="16"/>
  <c r="AJ518" i="16"/>
  <c r="AI518" i="16"/>
  <c r="AF518" i="16"/>
  <c r="AN517" i="16"/>
  <c r="AM517" i="16"/>
  <c r="AL517" i="16"/>
  <c r="AK517" i="16"/>
  <c r="AJ517" i="16"/>
  <c r="AI517" i="16"/>
  <c r="AF517" i="16"/>
  <c r="AN516" i="16"/>
  <c r="AM516" i="16"/>
  <c r="AL516" i="16"/>
  <c r="AK516" i="16"/>
  <c r="AJ516" i="16"/>
  <c r="AI516" i="16"/>
  <c r="AF516" i="16"/>
  <c r="AN515" i="16"/>
  <c r="AM515" i="16"/>
  <c r="AL515" i="16"/>
  <c r="AK515" i="16"/>
  <c r="AJ515" i="16"/>
  <c r="AI515" i="16"/>
  <c r="AF515" i="16"/>
  <c r="AN514" i="16"/>
  <c r="AM514" i="16"/>
  <c r="AL514" i="16"/>
  <c r="AK514" i="16"/>
  <c r="AJ514" i="16"/>
  <c r="AI514" i="16"/>
  <c r="AF514" i="16"/>
  <c r="AN513" i="16"/>
  <c r="AM513" i="16"/>
  <c r="AL513" i="16"/>
  <c r="AK513" i="16"/>
  <c r="AJ513" i="16"/>
  <c r="AI513" i="16"/>
  <c r="AF513" i="16"/>
  <c r="AN512" i="16"/>
  <c r="AM512" i="16"/>
  <c r="AL512" i="16"/>
  <c r="AK512" i="16"/>
  <c r="AJ512" i="16"/>
  <c r="AI512" i="16"/>
  <c r="AF512" i="16"/>
  <c r="AN511" i="16"/>
  <c r="AM511" i="16"/>
  <c r="AL511" i="16"/>
  <c r="AK511" i="16"/>
  <c r="AJ511" i="16"/>
  <c r="AI511" i="16"/>
  <c r="AF511" i="16"/>
  <c r="AN510" i="16"/>
  <c r="AM510" i="16"/>
  <c r="AL510" i="16"/>
  <c r="AK510" i="16"/>
  <c r="AJ510" i="16"/>
  <c r="AI510" i="16"/>
  <c r="AF510" i="16"/>
  <c r="AN509" i="16"/>
  <c r="AM509" i="16"/>
  <c r="AL509" i="16"/>
  <c r="AK509" i="16"/>
  <c r="AJ509" i="16"/>
  <c r="AI509" i="16"/>
  <c r="AF509" i="16"/>
  <c r="AN508" i="16"/>
  <c r="AM508" i="16"/>
  <c r="AL508" i="16"/>
  <c r="AK508" i="16"/>
  <c r="AJ508" i="16"/>
  <c r="AI508" i="16"/>
  <c r="AF508" i="16"/>
  <c r="AN507" i="16"/>
  <c r="AM507" i="16"/>
  <c r="AL507" i="16"/>
  <c r="AK507" i="16"/>
  <c r="AJ507" i="16"/>
  <c r="AI507" i="16"/>
  <c r="AF507" i="16"/>
  <c r="AN506" i="16"/>
  <c r="AM506" i="16"/>
  <c r="AL506" i="16"/>
  <c r="AK506" i="16"/>
  <c r="AJ506" i="16"/>
  <c r="AI506" i="16"/>
  <c r="AF506" i="16"/>
  <c r="AN505" i="16"/>
  <c r="AM505" i="16"/>
  <c r="AL505" i="16"/>
  <c r="AK505" i="16"/>
  <c r="AJ505" i="16"/>
  <c r="AI505" i="16"/>
  <c r="AF505" i="16"/>
  <c r="AN504" i="16"/>
  <c r="AM504" i="16"/>
  <c r="AL504" i="16"/>
  <c r="AK504" i="16"/>
  <c r="AJ504" i="16"/>
  <c r="AI504" i="16"/>
  <c r="AF504" i="16"/>
  <c r="AN503" i="16"/>
  <c r="AM503" i="16"/>
  <c r="AL503" i="16"/>
  <c r="AK503" i="16"/>
  <c r="AJ503" i="16"/>
  <c r="AI503" i="16"/>
  <c r="AF503" i="16"/>
  <c r="AN502" i="16"/>
  <c r="AM502" i="16"/>
  <c r="AL502" i="16"/>
  <c r="AK502" i="16"/>
  <c r="AJ502" i="16"/>
  <c r="AI502" i="16"/>
  <c r="AF502" i="16"/>
  <c r="AN501" i="16"/>
  <c r="AM501" i="16"/>
  <c r="AL501" i="16"/>
  <c r="AK501" i="16"/>
  <c r="AJ501" i="16"/>
  <c r="AI501" i="16"/>
  <c r="AF501" i="16"/>
  <c r="AN500" i="16"/>
  <c r="AM500" i="16"/>
  <c r="AL500" i="16"/>
  <c r="AK500" i="16"/>
  <c r="AJ500" i="16"/>
  <c r="AI500" i="16"/>
  <c r="AF500" i="16"/>
  <c r="AN499" i="16"/>
  <c r="AM499" i="16"/>
  <c r="AL499" i="16"/>
  <c r="AK499" i="16"/>
  <c r="AJ499" i="16"/>
  <c r="AI499" i="16"/>
  <c r="AF499" i="16"/>
  <c r="AN498" i="16"/>
  <c r="AM498" i="16"/>
  <c r="AL498" i="16"/>
  <c r="AK498" i="16"/>
  <c r="AJ498" i="16"/>
  <c r="AI498" i="16"/>
  <c r="AF498" i="16"/>
  <c r="AN497" i="16"/>
  <c r="AM497" i="16"/>
  <c r="AL497" i="16"/>
  <c r="AK497" i="16"/>
  <c r="AJ497" i="16"/>
  <c r="AI497" i="16"/>
  <c r="AF497" i="16"/>
  <c r="AN496" i="16"/>
  <c r="AM496" i="16"/>
  <c r="AL496" i="16"/>
  <c r="AK496" i="16"/>
  <c r="AJ496" i="16"/>
  <c r="AI496" i="16"/>
  <c r="AF496" i="16"/>
  <c r="AN495" i="16"/>
  <c r="AM495" i="16"/>
  <c r="AL495" i="16"/>
  <c r="AK495" i="16"/>
  <c r="AJ495" i="16"/>
  <c r="AI495" i="16"/>
  <c r="AF495" i="16"/>
  <c r="AN494" i="16"/>
  <c r="AM494" i="16"/>
  <c r="AL494" i="16"/>
  <c r="AK494" i="16"/>
  <c r="AJ494" i="16"/>
  <c r="AI494" i="16"/>
  <c r="AF494" i="16"/>
  <c r="AN493" i="16"/>
  <c r="AM493" i="16"/>
  <c r="AL493" i="16"/>
  <c r="AK493" i="16"/>
  <c r="AJ493" i="16"/>
  <c r="AI493" i="16"/>
  <c r="AF493" i="16"/>
  <c r="AN492" i="16"/>
  <c r="AM492" i="16"/>
  <c r="AL492" i="16"/>
  <c r="AK492" i="16"/>
  <c r="AJ492" i="16"/>
  <c r="AI492" i="16"/>
  <c r="AF492" i="16"/>
  <c r="AN491" i="16"/>
  <c r="AM491" i="16"/>
  <c r="AL491" i="16"/>
  <c r="AK491" i="16"/>
  <c r="AJ491" i="16"/>
  <c r="AI491" i="16"/>
  <c r="AF491" i="16"/>
  <c r="AN490" i="16"/>
  <c r="AM490" i="16"/>
  <c r="AL490" i="16"/>
  <c r="AK490" i="16"/>
  <c r="AJ490" i="16"/>
  <c r="AI490" i="16"/>
  <c r="AF490" i="16"/>
  <c r="AN489" i="16"/>
  <c r="AM489" i="16"/>
  <c r="AL489" i="16"/>
  <c r="AK489" i="16"/>
  <c r="AJ489" i="16"/>
  <c r="AI489" i="16"/>
  <c r="AF489" i="16"/>
  <c r="AN488" i="16"/>
  <c r="AM488" i="16"/>
  <c r="AL488" i="16"/>
  <c r="AK488" i="16"/>
  <c r="AJ488" i="16"/>
  <c r="AI488" i="16"/>
  <c r="AF488" i="16"/>
  <c r="AN487" i="16"/>
  <c r="AM487" i="16"/>
  <c r="AL487" i="16"/>
  <c r="AK487" i="16"/>
  <c r="AJ487" i="16"/>
  <c r="AI487" i="16"/>
  <c r="AF487" i="16"/>
  <c r="AN486" i="16"/>
  <c r="AM486" i="16"/>
  <c r="AL486" i="16"/>
  <c r="AK486" i="16"/>
  <c r="AJ486" i="16"/>
  <c r="AI486" i="16"/>
  <c r="AF486" i="16"/>
  <c r="AN485" i="16"/>
  <c r="AM485" i="16"/>
  <c r="AL485" i="16"/>
  <c r="AK485" i="16"/>
  <c r="AJ485" i="16"/>
  <c r="AI485" i="16"/>
  <c r="AF485" i="16"/>
  <c r="AN484" i="16"/>
  <c r="AM484" i="16"/>
  <c r="AL484" i="16"/>
  <c r="AK484" i="16"/>
  <c r="AJ484" i="16"/>
  <c r="AI484" i="16"/>
  <c r="AF484" i="16"/>
  <c r="AN483" i="16"/>
  <c r="AM483" i="16"/>
  <c r="AL483" i="16"/>
  <c r="AK483" i="16"/>
  <c r="AJ483" i="16"/>
  <c r="AI483" i="16"/>
  <c r="AF483" i="16"/>
  <c r="AN482" i="16"/>
  <c r="AM482" i="16"/>
  <c r="AL482" i="16"/>
  <c r="AK482" i="16"/>
  <c r="AJ482" i="16"/>
  <c r="AI482" i="16"/>
  <c r="AF482" i="16"/>
  <c r="AN481" i="16"/>
  <c r="AM481" i="16"/>
  <c r="AL481" i="16"/>
  <c r="AK481" i="16"/>
  <c r="AJ481" i="16"/>
  <c r="AI481" i="16"/>
  <c r="AF481" i="16"/>
  <c r="AN480" i="16"/>
  <c r="AM480" i="16"/>
  <c r="AL480" i="16"/>
  <c r="AK480" i="16"/>
  <c r="AJ480" i="16"/>
  <c r="AI480" i="16"/>
  <c r="AF480" i="16"/>
  <c r="AN479" i="16"/>
  <c r="AM479" i="16"/>
  <c r="AL479" i="16"/>
  <c r="AK479" i="16"/>
  <c r="AJ479" i="16"/>
  <c r="AI479" i="16"/>
  <c r="AF479" i="16"/>
  <c r="AN478" i="16"/>
  <c r="AM478" i="16"/>
  <c r="AL478" i="16"/>
  <c r="AK478" i="16"/>
  <c r="AJ478" i="16"/>
  <c r="AI478" i="16"/>
  <c r="AF478" i="16"/>
  <c r="AN477" i="16"/>
  <c r="AM477" i="16"/>
  <c r="AL477" i="16"/>
  <c r="AK477" i="16"/>
  <c r="AJ477" i="16"/>
  <c r="AI477" i="16"/>
  <c r="AF477" i="16"/>
  <c r="AN476" i="16"/>
  <c r="AM476" i="16"/>
  <c r="AL476" i="16"/>
  <c r="AK476" i="16"/>
  <c r="AJ476" i="16"/>
  <c r="AI476" i="16"/>
  <c r="AF476" i="16"/>
  <c r="AN475" i="16"/>
  <c r="AM475" i="16"/>
  <c r="AL475" i="16"/>
  <c r="AK475" i="16"/>
  <c r="AJ475" i="16"/>
  <c r="AI475" i="16"/>
  <c r="AF475" i="16"/>
  <c r="AN474" i="16"/>
  <c r="AM474" i="16"/>
  <c r="AL474" i="16"/>
  <c r="AK474" i="16"/>
  <c r="AJ474" i="16"/>
  <c r="AI474" i="16"/>
  <c r="AF474" i="16"/>
  <c r="AN473" i="16"/>
  <c r="AM473" i="16"/>
  <c r="AL473" i="16"/>
  <c r="AK473" i="16"/>
  <c r="AJ473" i="16"/>
  <c r="AI473" i="16"/>
  <c r="AF473" i="16"/>
  <c r="AN472" i="16"/>
  <c r="AM472" i="16"/>
  <c r="AL472" i="16"/>
  <c r="AK472" i="16"/>
  <c r="AJ472" i="16"/>
  <c r="AI472" i="16"/>
  <c r="AF472" i="16"/>
  <c r="AN471" i="16"/>
  <c r="AM471" i="16"/>
  <c r="AL471" i="16"/>
  <c r="AK471" i="16"/>
  <c r="AJ471" i="16"/>
  <c r="AI471" i="16"/>
  <c r="AF471" i="16"/>
  <c r="AN470" i="16"/>
  <c r="AM470" i="16"/>
  <c r="AL470" i="16"/>
  <c r="AK470" i="16"/>
  <c r="AJ470" i="16"/>
  <c r="AI470" i="16"/>
  <c r="AF470" i="16"/>
  <c r="AN469" i="16"/>
  <c r="AM469" i="16"/>
  <c r="AL469" i="16"/>
  <c r="AK469" i="16"/>
  <c r="AJ469" i="16"/>
  <c r="AI469" i="16"/>
  <c r="AF469" i="16"/>
  <c r="AN468" i="16"/>
  <c r="AM468" i="16"/>
  <c r="AL468" i="16"/>
  <c r="AK468" i="16"/>
  <c r="AJ468" i="16"/>
  <c r="AI468" i="16"/>
  <c r="AF468" i="16"/>
  <c r="AN467" i="16"/>
  <c r="AM467" i="16"/>
  <c r="AL467" i="16"/>
  <c r="AK467" i="16"/>
  <c r="AJ467" i="16"/>
  <c r="AI467" i="16"/>
  <c r="AF467" i="16"/>
  <c r="AN466" i="16"/>
  <c r="AM466" i="16"/>
  <c r="AL466" i="16"/>
  <c r="AK466" i="16"/>
  <c r="AJ466" i="16"/>
  <c r="AI466" i="16"/>
  <c r="AF466" i="16"/>
  <c r="AN465" i="16"/>
  <c r="AM465" i="16"/>
  <c r="AL465" i="16"/>
  <c r="AK465" i="16"/>
  <c r="AJ465" i="16"/>
  <c r="AI465" i="16"/>
  <c r="AF465" i="16"/>
  <c r="AN464" i="16"/>
  <c r="AM464" i="16"/>
  <c r="AL464" i="16"/>
  <c r="AK464" i="16"/>
  <c r="AJ464" i="16"/>
  <c r="AI464" i="16"/>
  <c r="AF464" i="16"/>
  <c r="AN463" i="16"/>
  <c r="AM463" i="16"/>
  <c r="AL463" i="16"/>
  <c r="AK463" i="16"/>
  <c r="AJ463" i="16"/>
  <c r="AI463" i="16"/>
  <c r="AF463" i="16"/>
  <c r="AN462" i="16"/>
  <c r="AM462" i="16"/>
  <c r="AL462" i="16"/>
  <c r="AK462" i="16"/>
  <c r="AJ462" i="16"/>
  <c r="AI462" i="16"/>
  <c r="AF462" i="16"/>
  <c r="AN461" i="16"/>
  <c r="AM461" i="16"/>
  <c r="AL461" i="16"/>
  <c r="AK461" i="16"/>
  <c r="AJ461" i="16"/>
  <c r="AI461" i="16"/>
  <c r="AF461" i="16"/>
  <c r="AN460" i="16"/>
  <c r="AM460" i="16"/>
  <c r="AL460" i="16"/>
  <c r="AK460" i="16"/>
  <c r="AJ460" i="16"/>
  <c r="AI460" i="16"/>
  <c r="AF460" i="16"/>
  <c r="AN459" i="16"/>
  <c r="AM459" i="16"/>
  <c r="AL459" i="16"/>
  <c r="AK459" i="16"/>
  <c r="AJ459" i="16"/>
  <c r="AI459" i="16"/>
  <c r="AF459" i="16"/>
  <c r="AN458" i="16"/>
  <c r="AM458" i="16"/>
  <c r="AL458" i="16"/>
  <c r="AK458" i="16"/>
  <c r="AJ458" i="16"/>
  <c r="AI458" i="16"/>
  <c r="AF458" i="16"/>
  <c r="AN457" i="16"/>
  <c r="AM457" i="16"/>
  <c r="AL457" i="16"/>
  <c r="AK457" i="16"/>
  <c r="AJ457" i="16"/>
  <c r="AI457" i="16"/>
  <c r="AF457" i="16"/>
  <c r="AN456" i="16"/>
  <c r="AM456" i="16"/>
  <c r="AL456" i="16"/>
  <c r="AK456" i="16"/>
  <c r="AJ456" i="16"/>
  <c r="AI456" i="16"/>
  <c r="AF456" i="16"/>
  <c r="AN455" i="16"/>
  <c r="AM455" i="16"/>
  <c r="AL455" i="16"/>
  <c r="AK455" i="16"/>
  <c r="AJ455" i="16"/>
  <c r="AI455" i="16"/>
  <c r="AF455" i="16"/>
  <c r="AN454" i="16"/>
  <c r="AM454" i="16"/>
  <c r="AL454" i="16"/>
  <c r="AK454" i="16"/>
  <c r="AJ454" i="16"/>
  <c r="AI454" i="16"/>
  <c r="AF454" i="16"/>
  <c r="AN453" i="16"/>
  <c r="AM453" i="16"/>
  <c r="AL453" i="16"/>
  <c r="AK453" i="16"/>
  <c r="AJ453" i="16"/>
  <c r="AI453" i="16"/>
  <c r="AF453" i="16"/>
  <c r="AN452" i="16"/>
  <c r="AM452" i="16"/>
  <c r="AL452" i="16"/>
  <c r="AK452" i="16"/>
  <c r="AJ452" i="16"/>
  <c r="AI452" i="16"/>
  <c r="AF452" i="16"/>
  <c r="AN451" i="16"/>
  <c r="AM451" i="16"/>
  <c r="AL451" i="16"/>
  <c r="AK451" i="16"/>
  <c r="AJ451" i="16"/>
  <c r="AI451" i="16"/>
  <c r="AF451" i="16"/>
  <c r="AN450" i="16"/>
  <c r="AM450" i="16"/>
  <c r="AL450" i="16"/>
  <c r="AK450" i="16"/>
  <c r="AJ450" i="16"/>
  <c r="AI450" i="16"/>
  <c r="AF450" i="16"/>
  <c r="AN449" i="16"/>
  <c r="AM449" i="16"/>
  <c r="AL449" i="16"/>
  <c r="AK449" i="16"/>
  <c r="AJ449" i="16"/>
  <c r="AI449" i="16"/>
  <c r="AF449" i="16"/>
  <c r="AN448" i="16"/>
  <c r="AM448" i="16"/>
  <c r="AL448" i="16"/>
  <c r="AK448" i="16"/>
  <c r="AJ448" i="16"/>
  <c r="AI448" i="16"/>
  <c r="AF448" i="16"/>
  <c r="AN447" i="16"/>
  <c r="AM447" i="16"/>
  <c r="AL447" i="16"/>
  <c r="AK447" i="16"/>
  <c r="AJ447" i="16"/>
  <c r="AI447" i="16"/>
  <c r="AF447" i="16"/>
  <c r="AN446" i="16"/>
  <c r="AM446" i="16"/>
  <c r="AL446" i="16"/>
  <c r="AK446" i="16"/>
  <c r="AJ446" i="16"/>
  <c r="AI446" i="16"/>
  <c r="AF446" i="16"/>
  <c r="AN445" i="16"/>
  <c r="AM445" i="16"/>
  <c r="AL445" i="16"/>
  <c r="AK445" i="16"/>
  <c r="AJ445" i="16"/>
  <c r="AI445" i="16"/>
  <c r="AF445" i="16"/>
  <c r="AN444" i="16"/>
  <c r="AM444" i="16"/>
  <c r="AL444" i="16"/>
  <c r="AK444" i="16"/>
  <c r="AJ444" i="16"/>
  <c r="AI444" i="16"/>
  <c r="AF444" i="16"/>
  <c r="AN443" i="16"/>
  <c r="AM443" i="16"/>
  <c r="AL443" i="16"/>
  <c r="AK443" i="16"/>
  <c r="AJ443" i="16"/>
  <c r="AI443" i="16"/>
  <c r="AF443" i="16"/>
  <c r="AN442" i="16"/>
  <c r="AM442" i="16"/>
  <c r="AL442" i="16"/>
  <c r="AK442" i="16"/>
  <c r="AJ442" i="16"/>
  <c r="AI442" i="16"/>
  <c r="AF442" i="16"/>
  <c r="AN441" i="16"/>
  <c r="AM441" i="16"/>
  <c r="AL441" i="16"/>
  <c r="AK441" i="16"/>
  <c r="AJ441" i="16"/>
  <c r="AI441" i="16"/>
  <c r="AF441" i="16"/>
  <c r="AN440" i="16"/>
  <c r="AM440" i="16"/>
  <c r="AL440" i="16"/>
  <c r="AK440" i="16"/>
  <c r="AJ440" i="16"/>
  <c r="AI440" i="16"/>
  <c r="AF440" i="16"/>
  <c r="AN439" i="16"/>
  <c r="AM439" i="16"/>
  <c r="AL439" i="16"/>
  <c r="AK439" i="16"/>
  <c r="AJ439" i="16"/>
  <c r="AI439" i="16"/>
  <c r="AF439" i="16"/>
  <c r="AN438" i="16"/>
  <c r="AM438" i="16"/>
  <c r="AL438" i="16"/>
  <c r="AK438" i="16"/>
  <c r="AJ438" i="16"/>
  <c r="AI438" i="16"/>
  <c r="AF438" i="16"/>
  <c r="AN437" i="16"/>
  <c r="AM437" i="16"/>
  <c r="AL437" i="16"/>
  <c r="AK437" i="16"/>
  <c r="AJ437" i="16"/>
  <c r="AI437" i="16"/>
  <c r="AF437" i="16"/>
  <c r="AN436" i="16"/>
  <c r="AM436" i="16"/>
  <c r="AL436" i="16"/>
  <c r="AK436" i="16"/>
  <c r="AJ436" i="16"/>
  <c r="AI436" i="16"/>
  <c r="AF436" i="16"/>
  <c r="AN435" i="16"/>
  <c r="AM435" i="16"/>
  <c r="AL435" i="16"/>
  <c r="AK435" i="16"/>
  <c r="AJ435" i="16"/>
  <c r="AI435" i="16"/>
  <c r="AF435" i="16"/>
  <c r="AN434" i="16"/>
  <c r="AM434" i="16"/>
  <c r="AL434" i="16"/>
  <c r="AK434" i="16"/>
  <c r="AJ434" i="16"/>
  <c r="AI434" i="16"/>
  <c r="AF434" i="16"/>
  <c r="AN433" i="16"/>
  <c r="AM433" i="16"/>
  <c r="AL433" i="16"/>
  <c r="AK433" i="16"/>
  <c r="AJ433" i="16"/>
  <c r="AI433" i="16"/>
  <c r="AF433" i="16"/>
  <c r="AN432" i="16"/>
  <c r="AM432" i="16"/>
  <c r="AL432" i="16"/>
  <c r="AK432" i="16"/>
  <c r="AJ432" i="16"/>
  <c r="AI432" i="16"/>
  <c r="AF432" i="16"/>
  <c r="AN431" i="16"/>
  <c r="AM431" i="16"/>
  <c r="AL431" i="16"/>
  <c r="AK431" i="16"/>
  <c r="AJ431" i="16"/>
  <c r="AI431" i="16"/>
  <c r="AF431" i="16"/>
  <c r="AN430" i="16"/>
  <c r="AM430" i="16"/>
  <c r="AL430" i="16"/>
  <c r="AK430" i="16"/>
  <c r="AJ430" i="16"/>
  <c r="AI430" i="16"/>
  <c r="AF430" i="16"/>
  <c r="AN429" i="16"/>
  <c r="AM429" i="16"/>
  <c r="AL429" i="16"/>
  <c r="AK429" i="16"/>
  <c r="AJ429" i="16"/>
  <c r="AI429" i="16"/>
  <c r="AF429" i="16"/>
  <c r="AN428" i="16"/>
  <c r="AM428" i="16"/>
  <c r="AL428" i="16"/>
  <c r="AK428" i="16"/>
  <c r="AJ428" i="16"/>
  <c r="AI428" i="16"/>
  <c r="AF428" i="16"/>
  <c r="AN427" i="16"/>
  <c r="AM427" i="16"/>
  <c r="AL427" i="16"/>
  <c r="AK427" i="16"/>
  <c r="AJ427" i="16"/>
  <c r="AI427" i="16"/>
  <c r="AF427" i="16"/>
  <c r="AN426" i="16"/>
  <c r="AM426" i="16"/>
  <c r="AL426" i="16"/>
  <c r="AK426" i="16"/>
  <c r="AJ426" i="16"/>
  <c r="AI426" i="16"/>
  <c r="AF426" i="16"/>
  <c r="AN425" i="16"/>
  <c r="AM425" i="16"/>
  <c r="AL425" i="16"/>
  <c r="AK425" i="16"/>
  <c r="AJ425" i="16"/>
  <c r="AI425" i="16"/>
  <c r="AF425" i="16"/>
  <c r="AN424" i="16"/>
  <c r="AM424" i="16"/>
  <c r="AL424" i="16"/>
  <c r="AK424" i="16"/>
  <c r="AJ424" i="16"/>
  <c r="AI424" i="16"/>
  <c r="AF424" i="16"/>
  <c r="AN423" i="16"/>
  <c r="AM423" i="16"/>
  <c r="AL423" i="16"/>
  <c r="AK423" i="16"/>
  <c r="AJ423" i="16"/>
  <c r="AI423" i="16"/>
  <c r="AF423" i="16"/>
  <c r="AN422" i="16"/>
  <c r="AM422" i="16"/>
  <c r="AL422" i="16"/>
  <c r="AK422" i="16"/>
  <c r="AJ422" i="16"/>
  <c r="AI422" i="16"/>
  <c r="AF422" i="16"/>
  <c r="AN421" i="16"/>
  <c r="AM421" i="16"/>
  <c r="AL421" i="16"/>
  <c r="AK421" i="16"/>
  <c r="AJ421" i="16"/>
  <c r="AI421" i="16"/>
  <c r="AF421" i="16"/>
  <c r="AN420" i="16"/>
  <c r="AM420" i="16"/>
  <c r="AL420" i="16"/>
  <c r="AK420" i="16"/>
  <c r="AJ420" i="16"/>
  <c r="AI420" i="16"/>
  <c r="AF420" i="16"/>
  <c r="AN419" i="16"/>
  <c r="AM419" i="16"/>
  <c r="AL419" i="16"/>
  <c r="AK419" i="16"/>
  <c r="AJ419" i="16"/>
  <c r="AI419" i="16"/>
  <c r="AF419" i="16"/>
  <c r="AN418" i="16"/>
  <c r="AM418" i="16"/>
  <c r="AL418" i="16"/>
  <c r="AK418" i="16"/>
  <c r="AJ418" i="16"/>
  <c r="AI418" i="16"/>
  <c r="AF418" i="16"/>
  <c r="AN417" i="16"/>
  <c r="AM417" i="16"/>
  <c r="AL417" i="16"/>
  <c r="AK417" i="16"/>
  <c r="AJ417" i="16"/>
  <c r="AI417" i="16"/>
  <c r="AF417" i="16"/>
  <c r="AN416" i="16"/>
  <c r="AM416" i="16"/>
  <c r="AL416" i="16"/>
  <c r="AK416" i="16"/>
  <c r="AJ416" i="16"/>
  <c r="AI416" i="16"/>
  <c r="AF416" i="16"/>
  <c r="AN415" i="16"/>
  <c r="AM415" i="16"/>
  <c r="AL415" i="16"/>
  <c r="AK415" i="16"/>
  <c r="AJ415" i="16"/>
  <c r="AI415" i="16"/>
  <c r="AF415" i="16"/>
  <c r="AN414" i="16"/>
  <c r="AM414" i="16"/>
  <c r="AL414" i="16"/>
  <c r="AK414" i="16"/>
  <c r="AJ414" i="16"/>
  <c r="AI414" i="16"/>
  <c r="AF414" i="16"/>
  <c r="AN413" i="16"/>
  <c r="AM413" i="16"/>
  <c r="AL413" i="16"/>
  <c r="AK413" i="16"/>
  <c r="AJ413" i="16"/>
  <c r="AI413" i="16"/>
  <c r="AF413" i="16"/>
  <c r="AN412" i="16"/>
  <c r="AM412" i="16"/>
  <c r="AL412" i="16"/>
  <c r="AK412" i="16"/>
  <c r="AJ412" i="16"/>
  <c r="AI412" i="16"/>
  <c r="AF412" i="16"/>
  <c r="AN411" i="16"/>
  <c r="AM411" i="16"/>
  <c r="AL411" i="16"/>
  <c r="AK411" i="16"/>
  <c r="AJ411" i="16"/>
  <c r="AI411" i="16"/>
  <c r="AF411" i="16"/>
  <c r="AN410" i="16"/>
  <c r="AM410" i="16"/>
  <c r="AL410" i="16"/>
  <c r="AK410" i="16"/>
  <c r="AJ410" i="16"/>
  <c r="AI410" i="16"/>
  <c r="AF410" i="16"/>
  <c r="AN409" i="16"/>
  <c r="AM409" i="16"/>
  <c r="AL409" i="16"/>
  <c r="AK409" i="16"/>
  <c r="AJ409" i="16"/>
  <c r="AI409" i="16"/>
  <c r="AF409" i="16"/>
  <c r="AN408" i="16"/>
  <c r="AM408" i="16"/>
  <c r="AL408" i="16"/>
  <c r="AK408" i="16"/>
  <c r="AJ408" i="16"/>
  <c r="AI408" i="16"/>
  <c r="AF408" i="16"/>
  <c r="AN407" i="16"/>
  <c r="AM407" i="16"/>
  <c r="AL407" i="16"/>
  <c r="AK407" i="16"/>
  <c r="AJ407" i="16"/>
  <c r="AI407" i="16"/>
  <c r="AF407" i="16"/>
  <c r="AN406" i="16"/>
  <c r="AM406" i="16"/>
  <c r="AL406" i="16"/>
  <c r="AK406" i="16"/>
  <c r="AJ406" i="16"/>
  <c r="AI406" i="16"/>
  <c r="AF406" i="16"/>
  <c r="AN405" i="16"/>
  <c r="AM405" i="16"/>
  <c r="AL405" i="16"/>
  <c r="AK405" i="16"/>
  <c r="AJ405" i="16"/>
  <c r="AI405" i="16"/>
  <c r="AF405" i="16"/>
  <c r="AN404" i="16"/>
  <c r="AM404" i="16"/>
  <c r="AL404" i="16"/>
  <c r="AK404" i="16"/>
  <c r="AJ404" i="16"/>
  <c r="AI404" i="16"/>
  <c r="AF404" i="16"/>
  <c r="AN403" i="16"/>
  <c r="AM403" i="16"/>
  <c r="AL403" i="16"/>
  <c r="AK403" i="16"/>
  <c r="AJ403" i="16"/>
  <c r="AI403" i="16"/>
  <c r="AF403" i="16"/>
  <c r="AN402" i="16"/>
  <c r="AM402" i="16"/>
  <c r="AL402" i="16"/>
  <c r="AK402" i="16"/>
  <c r="AJ402" i="16"/>
  <c r="AI402" i="16"/>
  <c r="AF402" i="16"/>
  <c r="AN401" i="16"/>
  <c r="AM401" i="16"/>
  <c r="AL401" i="16"/>
  <c r="AK401" i="16"/>
  <c r="AJ401" i="16"/>
  <c r="AI401" i="16"/>
  <c r="AF401" i="16"/>
  <c r="AN400" i="16"/>
  <c r="AM400" i="16"/>
  <c r="AL400" i="16"/>
  <c r="AK400" i="16"/>
  <c r="AJ400" i="16"/>
  <c r="AI400" i="16"/>
  <c r="AF400" i="16"/>
  <c r="AN399" i="16"/>
  <c r="AM399" i="16"/>
  <c r="AL399" i="16"/>
  <c r="AK399" i="16"/>
  <c r="AJ399" i="16"/>
  <c r="AI399" i="16"/>
  <c r="AF399" i="16"/>
  <c r="AN398" i="16"/>
  <c r="AM398" i="16"/>
  <c r="AL398" i="16"/>
  <c r="AK398" i="16"/>
  <c r="AJ398" i="16"/>
  <c r="AI398" i="16"/>
  <c r="AF398" i="16"/>
  <c r="AN397" i="16"/>
  <c r="AM397" i="16"/>
  <c r="AL397" i="16"/>
  <c r="AK397" i="16"/>
  <c r="AJ397" i="16"/>
  <c r="AI397" i="16"/>
  <c r="AF397" i="16"/>
  <c r="AN396" i="16"/>
  <c r="AM396" i="16"/>
  <c r="AL396" i="16"/>
  <c r="AK396" i="16"/>
  <c r="AJ396" i="16"/>
  <c r="AI396" i="16"/>
  <c r="AF396" i="16"/>
  <c r="AN395" i="16"/>
  <c r="AM395" i="16"/>
  <c r="AL395" i="16"/>
  <c r="AK395" i="16"/>
  <c r="AJ395" i="16"/>
  <c r="AI395" i="16"/>
  <c r="AF395" i="16"/>
  <c r="AN394" i="16"/>
  <c r="AM394" i="16"/>
  <c r="AL394" i="16"/>
  <c r="AK394" i="16"/>
  <c r="AJ394" i="16"/>
  <c r="AI394" i="16"/>
  <c r="AF394" i="16"/>
  <c r="AN393" i="16"/>
  <c r="AM393" i="16"/>
  <c r="AL393" i="16"/>
  <c r="AK393" i="16"/>
  <c r="AJ393" i="16"/>
  <c r="AI393" i="16"/>
  <c r="AF393" i="16"/>
  <c r="AN392" i="16"/>
  <c r="AM392" i="16"/>
  <c r="AL392" i="16"/>
  <c r="AK392" i="16"/>
  <c r="AJ392" i="16"/>
  <c r="AI392" i="16"/>
  <c r="AF392" i="16"/>
  <c r="AN391" i="16"/>
  <c r="AM391" i="16"/>
  <c r="AL391" i="16"/>
  <c r="AK391" i="16"/>
  <c r="AJ391" i="16"/>
  <c r="AI391" i="16"/>
  <c r="AF391" i="16"/>
  <c r="AN390" i="16"/>
  <c r="AM390" i="16"/>
  <c r="AL390" i="16"/>
  <c r="AK390" i="16"/>
  <c r="AJ390" i="16"/>
  <c r="AI390" i="16"/>
  <c r="AF390" i="16"/>
  <c r="AN389" i="16"/>
  <c r="AM389" i="16"/>
  <c r="AL389" i="16"/>
  <c r="AK389" i="16"/>
  <c r="AJ389" i="16"/>
  <c r="AI389" i="16"/>
  <c r="AF389" i="16"/>
  <c r="AN388" i="16"/>
  <c r="AM388" i="16"/>
  <c r="AL388" i="16"/>
  <c r="AK388" i="16"/>
  <c r="AJ388" i="16"/>
  <c r="AI388" i="16"/>
  <c r="AF388" i="16"/>
  <c r="AN387" i="16"/>
  <c r="AM387" i="16"/>
  <c r="AL387" i="16"/>
  <c r="AK387" i="16"/>
  <c r="AJ387" i="16"/>
  <c r="AI387" i="16"/>
  <c r="AF387" i="16"/>
  <c r="AN386" i="16"/>
  <c r="AM386" i="16"/>
  <c r="AL386" i="16"/>
  <c r="AK386" i="16"/>
  <c r="AJ386" i="16"/>
  <c r="AI386" i="16"/>
  <c r="AF386" i="16"/>
  <c r="AN385" i="16"/>
  <c r="AM385" i="16"/>
  <c r="AL385" i="16"/>
  <c r="AK385" i="16"/>
  <c r="AJ385" i="16"/>
  <c r="AI385" i="16"/>
  <c r="AF385" i="16"/>
  <c r="AN384" i="16"/>
  <c r="AM384" i="16"/>
  <c r="AL384" i="16"/>
  <c r="AK384" i="16"/>
  <c r="AJ384" i="16"/>
  <c r="AI384" i="16"/>
  <c r="AF384" i="16"/>
  <c r="AN383" i="16"/>
  <c r="AM383" i="16"/>
  <c r="AL383" i="16"/>
  <c r="AK383" i="16"/>
  <c r="AJ383" i="16"/>
  <c r="AI383" i="16"/>
  <c r="AF383" i="16"/>
  <c r="AN382" i="16"/>
  <c r="AM382" i="16"/>
  <c r="AL382" i="16"/>
  <c r="AK382" i="16"/>
  <c r="AJ382" i="16"/>
  <c r="AI382" i="16"/>
  <c r="AF382" i="16"/>
  <c r="AN381" i="16"/>
  <c r="AM381" i="16"/>
  <c r="AL381" i="16"/>
  <c r="AK381" i="16"/>
  <c r="AJ381" i="16"/>
  <c r="AI381" i="16"/>
  <c r="AF381" i="16"/>
  <c r="AN380" i="16"/>
  <c r="AM380" i="16"/>
  <c r="AL380" i="16"/>
  <c r="AK380" i="16"/>
  <c r="AJ380" i="16"/>
  <c r="AI380" i="16"/>
  <c r="AF380" i="16"/>
  <c r="AN379" i="16"/>
  <c r="AM379" i="16"/>
  <c r="AL379" i="16"/>
  <c r="AK379" i="16"/>
  <c r="AJ379" i="16"/>
  <c r="AI379" i="16"/>
  <c r="AF379" i="16"/>
  <c r="AN378" i="16"/>
  <c r="AM378" i="16"/>
  <c r="AL378" i="16"/>
  <c r="AK378" i="16"/>
  <c r="AJ378" i="16"/>
  <c r="AI378" i="16"/>
  <c r="AF378" i="16"/>
  <c r="AN377" i="16"/>
  <c r="AM377" i="16"/>
  <c r="AL377" i="16"/>
  <c r="AK377" i="16"/>
  <c r="AJ377" i="16"/>
  <c r="AI377" i="16"/>
  <c r="AF377" i="16"/>
  <c r="AN376" i="16"/>
  <c r="AM376" i="16"/>
  <c r="AL376" i="16"/>
  <c r="AK376" i="16"/>
  <c r="AJ376" i="16"/>
  <c r="AI376" i="16"/>
  <c r="AF376" i="16"/>
  <c r="AN375" i="16"/>
  <c r="AM375" i="16"/>
  <c r="AL375" i="16"/>
  <c r="AK375" i="16"/>
  <c r="AJ375" i="16"/>
  <c r="AI375" i="16"/>
  <c r="AF375" i="16"/>
  <c r="AN374" i="16"/>
  <c r="AM374" i="16"/>
  <c r="AL374" i="16"/>
  <c r="AK374" i="16"/>
  <c r="AJ374" i="16"/>
  <c r="AI374" i="16"/>
  <c r="AF374" i="16"/>
  <c r="AN373" i="16"/>
  <c r="AM373" i="16"/>
  <c r="AL373" i="16"/>
  <c r="AK373" i="16"/>
  <c r="AJ373" i="16"/>
  <c r="AI373" i="16"/>
  <c r="AF373" i="16"/>
  <c r="AN372" i="16"/>
  <c r="AM372" i="16"/>
  <c r="AL372" i="16"/>
  <c r="AK372" i="16"/>
  <c r="AJ372" i="16"/>
  <c r="AI372" i="16"/>
  <c r="AF372" i="16"/>
  <c r="AN371" i="16"/>
  <c r="AM371" i="16"/>
  <c r="AL371" i="16"/>
  <c r="AK371" i="16"/>
  <c r="AJ371" i="16"/>
  <c r="AI371" i="16"/>
  <c r="AF371" i="16"/>
  <c r="AN370" i="16"/>
  <c r="AM370" i="16"/>
  <c r="AL370" i="16"/>
  <c r="AK370" i="16"/>
  <c r="AJ370" i="16"/>
  <c r="AI370" i="16"/>
  <c r="AF370" i="16"/>
  <c r="AN369" i="16"/>
  <c r="AM369" i="16"/>
  <c r="AL369" i="16"/>
  <c r="AK369" i="16"/>
  <c r="AJ369" i="16"/>
  <c r="AI369" i="16"/>
  <c r="AF369" i="16"/>
  <c r="AN368" i="16"/>
  <c r="AM368" i="16"/>
  <c r="AL368" i="16"/>
  <c r="AK368" i="16"/>
  <c r="AJ368" i="16"/>
  <c r="AI368" i="16"/>
  <c r="AF368" i="16"/>
  <c r="AN367" i="16"/>
  <c r="AM367" i="16"/>
  <c r="AL367" i="16"/>
  <c r="AK367" i="16"/>
  <c r="AJ367" i="16"/>
  <c r="AI367" i="16"/>
  <c r="AF367" i="16"/>
  <c r="AN366" i="16"/>
  <c r="AM366" i="16"/>
  <c r="AL366" i="16"/>
  <c r="AK366" i="16"/>
  <c r="AJ366" i="16"/>
  <c r="AI366" i="16"/>
  <c r="AF366" i="16"/>
  <c r="AN365" i="16"/>
  <c r="AM365" i="16"/>
  <c r="AL365" i="16"/>
  <c r="AK365" i="16"/>
  <c r="AJ365" i="16"/>
  <c r="AI365" i="16"/>
  <c r="AF365" i="16"/>
  <c r="AN364" i="16"/>
  <c r="AM364" i="16"/>
  <c r="AL364" i="16"/>
  <c r="AK364" i="16"/>
  <c r="AJ364" i="16"/>
  <c r="AI364" i="16"/>
  <c r="AF364" i="16"/>
  <c r="AN363" i="16"/>
  <c r="AM363" i="16"/>
  <c r="AL363" i="16"/>
  <c r="AK363" i="16"/>
  <c r="AJ363" i="16"/>
  <c r="AI363" i="16"/>
  <c r="AF363" i="16"/>
  <c r="AN362" i="16"/>
  <c r="AM362" i="16"/>
  <c r="AL362" i="16"/>
  <c r="AK362" i="16"/>
  <c r="AJ362" i="16"/>
  <c r="AI362" i="16"/>
  <c r="AF362" i="16"/>
  <c r="AN361" i="16"/>
  <c r="AM361" i="16"/>
  <c r="AL361" i="16"/>
  <c r="AK361" i="16"/>
  <c r="AJ361" i="16"/>
  <c r="AI361" i="16"/>
  <c r="AF361" i="16"/>
  <c r="AN360" i="16"/>
  <c r="AM360" i="16"/>
  <c r="AL360" i="16"/>
  <c r="AK360" i="16"/>
  <c r="AJ360" i="16"/>
  <c r="AI360" i="16"/>
  <c r="AF360" i="16"/>
  <c r="AN359" i="16"/>
  <c r="AM359" i="16"/>
  <c r="AL359" i="16"/>
  <c r="AK359" i="16"/>
  <c r="AJ359" i="16"/>
  <c r="AI359" i="16"/>
  <c r="AF359" i="16"/>
  <c r="AN358" i="16"/>
  <c r="AM358" i="16"/>
  <c r="AL358" i="16"/>
  <c r="AK358" i="16"/>
  <c r="AJ358" i="16"/>
  <c r="AI358" i="16"/>
  <c r="AF358" i="16"/>
  <c r="AN357" i="16"/>
  <c r="AM357" i="16"/>
  <c r="AL357" i="16"/>
  <c r="AK357" i="16"/>
  <c r="AJ357" i="16"/>
  <c r="AI357" i="16"/>
  <c r="AF357" i="16"/>
  <c r="AN356" i="16"/>
  <c r="AM356" i="16"/>
  <c r="AL356" i="16"/>
  <c r="AK356" i="16"/>
  <c r="AJ356" i="16"/>
  <c r="AI356" i="16"/>
  <c r="AF356" i="16"/>
  <c r="AN355" i="16"/>
  <c r="AM355" i="16"/>
  <c r="AL355" i="16"/>
  <c r="AK355" i="16"/>
  <c r="AJ355" i="16"/>
  <c r="AI355" i="16"/>
  <c r="AF355" i="16"/>
  <c r="AN354" i="16"/>
  <c r="AM354" i="16"/>
  <c r="AL354" i="16"/>
  <c r="AK354" i="16"/>
  <c r="AJ354" i="16"/>
  <c r="AI354" i="16"/>
  <c r="AF354" i="16"/>
  <c r="AN353" i="16"/>
  <c r="AM353" i="16"/>
  <c r="AL353" i="16"/>
  <c r="AK353" i="16"/>
  <c r="AJ353" i="16"/>
  <c r="AI353" i="16"/>
  <c r="AF353" i="16"/>
  <c r="AN352" i="16"/>
  <c r="AM352" i="16"/>
  <c r="AL352" i="16"/>
  <c r="AK352" i="16"/>
  <c r="AJ352" i="16"/>
  <c r="AI352" i="16"/>
  <c r="AF352" i="16"/>
  <c r="AN351" i="16"/>
  <c r="AM351" i="16"/>
  <c r="AL351" i="16"/>
  <c r="AK351" i="16"/>
  <c r="AJ351" i="16"/>
  <c r="AI351" i="16"/>
  <c r="AF351" i="16"/>
  <c r="AN350" i="16"/>
  <c r="AM350" i="16"/>
  <c r="AL350" i="16"/>
  <c r="AK350" i="16"/>
  <c r="AJ350" i="16"/>
  <c r="AI350" i="16"/>
  <c r="AF350" i="16"/>
  <c r="AN349" i="16"/>
  <c r="AM349" i="16"/>
  <c r="AL349" i="16"/>
  <c r="AK349" i="16"/>
  <c r="AJ349" i="16"/>
  <c r="AI349" i="16"/>
  <c r="AF349" i="16"/>
  <c r="AN348" i="16"/>
  <c r="AM348" i="16"/>
  <c r="AL348" i="16"/>
  <c r="AK348" i="16"/>
  <c r="AJ348" i="16"/>
  <c r="AI348" i="16"/>
  <c r="AF348" i="16"/>
  <c r="AN347" i="16"/>
  <c r="AM347" i="16"/>
  <c r="AL347" i="16"/>
  <c r="AK347" i="16"/>
  <c r="AJ347" i="16"/>
  <c r="AI347" i="16"/>
  <c r="AF347" i="16"/>
  <c r="AN346" i="16"/>
  <c r="AM346" i="16"/>
  <c r="AL346" i="16"/>
  <c r="AK346" i="16"/>
  <c r="AJ346" i="16"/>
  <c r="AI346" i="16"/>
  <c r="AF346" i="16"/>
  <c r="AN345" i="16"/>
  <c r="AM345" i="16"/>
  <c r="AL345" i="16"/>
  <c r="AK345" i="16"/>
  <c r="AJ345" i="16"/>
  <c r="AI345" i="16"/>
  <c r="AF345" i="16"/>
  <c r="AN344" i="16"/>
  <c r="AM344" i="16"/>
  <c r="AL344" i="16"/>
  <c r="AK344" i="16"/>
  <c r="AJ344" i="16"/>
  <c r="AI344" i="16"/>
  <c r="AF344" i="16"/>
  <c r="AN343" i="16"/>
  <c r="AM343" i="16"/>
  <c r="AL343" i="16"/>
  <c r="AK343" i="16"/>
  <c r="AJ343" i="16"/>
  <c r="AI343" i="16"/>
  <c r="AF343" i="16"/>
  <c r="AN342" i="16"/>
  <c r="AM342" i="16"/>
  <c r="AL342" i="16"/>
  <c r="AK342" i="16"/>
  <c r="AJ342" i="16"/>
  <c r="AI342" i="16"/>
  <c r="AF342" i="16"/>
  <c r="AN341" i="16"/>
  <c r="AM341" i="16"/>
  <c r="AL341" i="16"/>
  <c r="AK341" i="16"/>
  <c r="AJ341" i="16"/>
  <c r="AI341" i="16"/>
  <c r="AF341" i="16"/>
  <c r="AN340" i="16"/>
  <c r="AM340" i="16"/>
  <c r="AL340" i="16"/>
  <c r="AK340" i="16"/>
  <c r="AJ340" i="16"/>
  <c r="AI340" i="16"/>
  <c r="AF340" i="16"/>
  <c r="AN339" i="16"/>
  <c r="AM339" i="16"/>
  <c r="AL339" i="16"/>
  <c r="AK339" i="16"/>
  <c r="AJ339" i="16"/>
  <c r="AI339" i="16"/>
  <c r="AF339" i="16"/>
  <c r="AN338" i="16"/>
  <c r="AM338" i="16"/>
  <c r="AL338" i="16"/>
  <c r="AK338" i="16"/>
  <c r="AJ338" i="16"/>
  <c r="AI338" i="16"/>
  <c r="AF338" i="16"/>
  <c r="AN337" i="16"/>
  <c r="AM337" i="16"/>
  <c r="AL337" i="16"/>
  <c r="AK337" i="16"/>
  <c r="AJ337" i="16"/>
  <c r="AI337" i="16"/>
  <c r="AF337" i="16"/>
  <c r="AN336" i="16"/>
  <c r="AM336" i="16"/>
  <c r="AL336" i="16"/>
  <c r="AK336" i="16"/>
  <c r="AJ336" i="16"/>
  <c r="AI336" i="16"/>
  <c r="AF336" i="16"/>
  <c r="AN335" i="16"/>
  <c r="AM335" i="16"/>
  <c r="AL335" i="16"/>
  <c r="AK335" i="16"/>
  <c r="AJ335" i="16"/>
  <c r="AI335" i="16"/>
  <c r="AF335" i="16"/>
  <c r="AN334" i="16"/>
  <c r="AM334" i="16"/>
  <c r="AL334" i="16"/>
  <c r="AK334" i="16"/>
  <c r="AJ334" i="16"/>
  <c r="AI334" i="16"/>
  <c r="AF334" i="16"/>
  <c r="AN333" i="16"/>
  <c r="AM333" i="16"/>
  <c r="AL333" i="16"/>
  <c r="AK333" i="16"/>
  <c r="AJ333" i="16"/>
  <c r="AI333" i="16"/>
  <c r="AF333" i="16"/>
  <c r="AN332" i="16"/>
  <c r="AM332" i="16"/>
  <c r="AL332" i="16"/>
  <c r="AK332" i="16"/>
  <c r="AJ332" i="16"/>
  <c r="AI332" i="16"/>
  <c r="AF332" i="16"/>
  <c r="AN331" i="16"/>
  <c r="AM331" i="16"/>
  <c r="AL331" i="16"/>
  <c r="AK331" i="16"/>
  <c r="AJ331" i="16"/>
  <c r="AI331" i="16"/>
  <c r="AF331" i="16"/>
  <c r="AN330" i="16"/>
  <c r="AM330" i="16"/>
  <c r="AL330" i="16"/>
  <c r="AK330" i="16"/>
  <c r="AJ330" i="16"/>
  <c r="AI330" i="16"/>
  <c r="AF330" i="16"/>
  <c r="AN329" i="16"/>
  <c r="AM329" i="16"/>
  <c r="AL329" i="16"/>
  <c r="AK329" i="16"/>
  <c r="AJ329" i="16"/>
  <c r="AI329" i="16"/>
  <c r="AF329" i="16"/>
  <c r="AN328" i="16"/>
  <c r="AM328" i="16"/>
  <c r="AL328" i="16"/>
  <c r="AK328" i="16"/>
  <c r="AJ328" i="16"/>
  <c r="AI328" i="16"/>
  <c r="AF328" i="16"/>
  <c r="AN327" i="16"/>
  <c r="AM327" i="16"/>
  <c r="AL327" i="16"/>
  <c r="AK327" i="16"/>
  <c r="AJ327" i="16"/>
  <c r="AI327" i="16"/>
  <c r="AN326" i="16"/>
  <c r="AM326" i="16"/>
  <c r="AL326" i="16"/>
  <c r="AK326" i="16"/>
  <c r="AJ326" i="16"/>
  <c r="AI326" i="16"/>
  <c r="AN325" i="16"/>
  <c r="AM325" i="16"/>
  <c r="AL325" i="16"/>
  <c r="AK325" i="16"/>
  <c r="AJ325" i="16"/>
  <c r="AI325" i="16"/>
  <c r="AN324" i="16"/>
  <c r="AM324" i="16"/>
  <c r="AL324" i="16"/>
  <c r="AK324" i="16"/>
  <c r="AJ324" i="16"/>
  <c r="AI324" i="16"/>
  <c r="AN323" i="16"/>
  <c r="AM323" i="16"/>
  <c r="AL323" i="16"/>
  <c r="AK323" i="16"/>
  <c r="AJ323" i="16"/>
  <c r="AI323" i="16"/>
  <c r="AN322" i="16"/>
  <c r="AM322" i="16"/>
  <c r="AL322" i="16"/>
  <c r="AK322" i="16"/>
  <c r="AJ322" i="16"/>
  <c r="AI322" i="16"/>
  <c r="AN321" i="16"/>
  <c r="AM321" i="16"/>
  <c r="AL321" i="16"/>
  <c r="AK321" i="16"/>
  <c r="AJ321" i="16"/>
  <c r="AI321" i="16"/>
  <c r="AN320" i="16"/>
  <c r="AM320" i="16"/>
  <c r="AL320" i="16"/>
  <c r="AK320" i="16"/>
  <c r="AJ320" i="16"/>
  <c r="AI320" i="16"/>
  <c r="AN319" i="16"/>
  <c r="AM319" i="16"/>
  <c r="AL319" i="16"/>
  <c r="AK319" i="16"/>
  <c r="AJ319" i="16"/>
  <c r="AI319" i="16"/>
  <c r="AN318" i="16"/>
  <c r="AM318" i="16"/>
  <c r="AL318" i="16"/>
  <c r="AK318" i="16"/>
  <c r="AJ318" i="16"/>
  <c r="AI318" i="16"/>
  <c r="AN317" i="16"/>
  <c r="AM317" i="16"/>
  <c r="AL317" i="16"/>
  <c r="AK317" i="16"/>
  <c r="AJ317" i="16"/>
  <c r="AI317" i="16"/>
  <c r="AN316" i="16"/>
  <c r="AM316" i="16"/>
  <c r="AL316" i="16"/>
  <c r="AK316" i="16"/>
  <c r="AJ316" i="16"/>
  <c r="AI316" i="16"/>
  <c r="AN315" i="16"/>
  <c r="AM315" i="16"/>
  <c r="AL315" i="16"/>
  <c r="AK315" i="16"/>
  <c r="AJ315" i="16"/>
  <c r="AI315" i="16"/>
  <c r="AN314" i="16"/>
  <c r="AM314" i="16"/>
  <c r="AL314" i="16"/>
  <c r="AK314" i="16"/>
  <c r="AJ314" i="16"/>
  <c r="AI314" i="16"/>
  <c r="AN313" i="16"/>
  <c r="AM313" i="16"/>
  <c r="AL313" i="16"/>
  <c r="AK313" i="16"/>
  <c r="AJ313" i="16"/>
  <c r="AI313" i="16"/>
  <c r="AN312" i="16"/>
  <c r="AM312" i="16"/>
  <c r="AL312" i="16"/>
  <c r="AK312" i="16"/>
  <c r="AJ312" i="16"/>
  <c r="AI312" i="16"/>
  <c r="AN311" i="16"/>
  <c r="AM311" i="16"/>
  <c r="AL311" i="16"/>
  <c r="AK311" i="16"/>
  <c r="AJ311" i="16"/>
  <c r="AI311" i="16"/>
  <c r="AN310" i="16"/>
  <c r="AM310" i="16"/>
  <c r="AL310" i="16"/>
  <c r="AK310" i="16"/>
  <c r="AJ310" i="16"/>
  <c r="AI310" i="16"/>
  <c r="AN309" i="16"/>
  <c r="AM309" i="16"/>
  <c r="AL309" i="16"/>
  <c r="AK309" i="16"/>
  <c r="AJ309" i="16"/>
  <c r="AI309" i="16"/>
  <c r="AN308" i="16"/>
  <c r="AM308" i="16"/>
  <c r="AL308" i="16"/>
  <c r="AK308" i="16"/>
  <c r="AJ308" i="16"/>
  <c r="AI308" i="16"/>
  <c r="AN307" i="16"/>
  <c r="AM307" i="16"/>
  <c r="AL307" i="16"/>
  <c r="AK307" i="16"/>
  <c r="AJ307" i="16"/>
  <c r="AI307" i="16"/>
  <c r="AN306" i="16"/>
  <c r="AM306" i="16"/>
  <c r="AL306" i="16"/>
  <c r="AK306" i="16"/>
  <c r="AJ306" i="16"/>
  <c r="AI306" i="16"/>
  <c r="AN305" i="16"/>
  <c r="AM305" i="16"/>
  <c r="AL305" i="16"/>
  <c r="AK305" i="16"/>
  <c r="AJ305" i="16"/>
  <c r="AI305" i="16"/>
  <c r="AN304" i="16"/>
  <c r="AM304" i="16"/>
  <c r="AL304" i="16"/>
  <c r="AK304" i="16"/>
  <c r="AJ304" i="16"/>
  <c r="AI304" i="16"/>
  <c r="AN303" i="16"/>
  <c r="AM303" i="16"/>
  <c r="AL303" i="16"/>
  <c r="AK303" i="16"/>
  <c r="AJ303" i="16"/>
  <c r="AI303" i="16"/>
  <c r="AN302" i="16"/>
  <c r="AM302" i="16"/>
  <c r="AL302" i="16"/>
  <c r="AK302" i="16"/>
  <c r="AJ302" i="16"/>
  <c r="AI302" i="16"/>
  <c r="AN301" i="16"/>
  <c r="AM301" i="16"/>
  <c r="AL301" i="16"/>
  <c r="AK301" i="16"/>
  <c r="AJ301" i="16"/>
  <c r="AI301" i="16"/>
  <c r="AN300" i="16"/>
  <c r="AM300" i="16"/>
  <c r="AL300" i="16"/>
  <c r="AK300" i="16"/>
  <c r="AJ300" i="16"/>
  <c r="AI300" i="16"/>
  <c r="AN299" i="16"/>
  <c r="AM299" i="16"/>
  <c r="AL299" i="16"/>
  <c r="AK299" i="16"/>
  <c r="AJ299" i="16"/>
  <c r="AI299" i="16"/>
  <c r="AN298" i="16"/>
  <c r="AM298" i="16"/>
  <c r="AL298" i="16"/>
  <c r="AK298" i="16"/>
  <c r="AJ298" i="16"/>
  <c r="AI298" i="16"/>
  <c r="AN297" i="16"/>
  <c r="AM297" i="16"/>
  <c r="AL297" i="16"/>
  <c r="AK297" i="16"/>
  <c r="AJ297" i="16"/>
  <c r="AI297" i="16"/>
  <c r="AN296" i="16"/>
  <c r="AM296" i="16"/>
  <c r="AL296" i="16"/>
  <c r="AK296" i="16"/>
  <c r="AJ296" i="16"/>
  <c r="AI296" i="16"/>
  <c r="AN295" i="16"/>
  <c r="AM295" i="16"/>
  <c r="AL295" i="16"/>
  <c r="AK295" i="16"/>
  <c r="AJ295" i="16"/>
  <c r="AI295" i="16"/>
  <c r="AN294" i="16"/>
  <c r="AM294" i="16"/>
  <c r="AL294" i="16"/>
  <c r="AK294" i="16"/>
  <c r="AJ294" i="16"/>
  <c r="AI294" i="16"/>
  <c r="AN293" i="16"/>
  <c r="AM293" i="16"/>
  <c r="AL293" i="16"/>
  <c r="AK293" i="16"/>
  <c r="AJ293" i="16"/>
  <c r="AI293" i="16"/>
  <c r="AN292" i="16"/>
  <c r="AM292" i="16"/>
  <c r="AL292" i="16"/>
  <c r="AK292" i="16"/>
  <c r="AJ292" i="16"/>
  <c r="AI292" i="16"/>
  <c r="AN291" i="16"/>
  <c r="AM291" i="16"/>
  <c r="AL291" i="16"/>
  <c r="AK291" i="16"/>
  <c r="AJ291" i="16"/>
  <c r="AI291" i="16"/>
  <c r="AN290" i="16"/>
  <c r="AM290" i="16"/>
  <c r="AL290" i="16"/>
  <c r="AK290" i="16"/>
  <c r="AJ290" i="16"/>
  <c r="AI290" i="16"/>
  <c r="AN289" i="16"/>
  <c r="AM289" i="16"/>
  <c r="AL289" i="16"/>
  <c r="AK289" i="16"/>
  <c r="AJ289" i="16"/>
  <c r="AI289" i="16"/>
  <c r="AN288" i="16"/>
  <c r="AM288" i="16"/>
  <c r="AL288" i="16"/>
  <c r="AK288" i="16"/>
  <c r="AJ288" i="16"/>
  <c r="AI288" i="16"/>
  <c r="AN287" i="16"/>
  <c r="AM287" i="16"/>
  <c r="AL287" i="16"/>
  <c r="AK287" i="16"/>
  <c r="AJ287" i="16"/>
  <c r="AI287" i="16"/>
  <c r="AN286" i="16"/>
  <c r="AM286" i="16"/>
  <c r="AL286" i="16"/>
  <c r="AK286" i="16"/>
  <c r="AJ286" i="16"/>
  <c r="AI286" i="16"/>
  <c r="AN285" i="16"/>
  <c r="AM285" i="16"/>
  <c r="AL285" i="16"/>
  <c r="AK285" i="16"/>
  <c r="AJ285" i="16"/>
  <c r="AI285" i="16"/>
  <c r="AN284" i="16"/>
  <c r="AM284" i="16"/>
  <c r="AL284" i="16"/>
  <c r="AK284" i="16"/>
  <c r="AJ284" i="16"/>
  <c r="AI284" i="16"/>
  <c r="AN283" i="16"/>
  <c r="AM283" i="16"/>
  <c r="AL283" i="16"/>
  <c r="AK283" i="16"/>
  <c r="AJ283" i="16"/>
  <c r="AI283" i="16"/>
  <c r="AN282" i="16"/>
  <c r="AM282" i="16"/>
  <c r="AL282" i="16"/>
  <c r="AK282" i="16"/>
  <c r="AJ282" i="16"/>
  <c r="AI282" i="16"/>
  <c r="AN281" i="16"/>
  <c r="AM281" i="16"/>
  <c r="AL281" i="16"/>
  <c r="AK281" i="16"/>
  <c r="AJ281" i="16"/>
  <c r="AI281" i="16"/>
  <c r="AN280" i="16"/>
  <c r="AM280" i="16"/>
  <c r="AL280" i="16"/>
  <c r="AK280" i="16"/>
  <c r="AJ280" i="16"/>
  <c r="AI280" i="16"/>
  <c r="AN279" i="16"/>
  <c r="AM279" i="16"/>
  <c r="AL279" i="16"/>
  <c r="AK279" i="16"/>
  <c r="AJ279" i="16"/>
  <c r="AI279" i="16"/>
  <c r="AN278" i="16"/>
  <c r="AM278" i="16"/>
  <c r="AL278" i="16"/>
  <c r="AK278" i="16"/>
  <c r="AJ278" i="16"/>
  <c r="AI278" i="16"/>
  <c r="AN277" i="16"/>
  <c r="AM277" i="16"/>
  <c r="AL277" i="16"/>
  <c r="AK277" i="16"/>
  <c r="AJ277" i="16"/>
  <c r="AI277" i="16"/>
  <c r="AN276" i="16"/>
  <c r="AM276" i="16"/>
  <c r="AL276" i="16"/>
  <c r="AK276" i="16"/>
  <c r="AJ276" i="16"/>
  <c r="AI276" i="16"/>
  <c r="AN275" i="16"/>
  <c r="AM275" i="16"/>
  <c r="AL275" i="16"/>
  <c r="AK275" i="16"/>
  <c r="AJ275" i="16"/>
  <c r="AI275" i="16"/>
  <c r="AN274" i="16"/>
  <c r="AM274" i="16"/>
  <c r="AL274" i="16"/>
  <c r="AK274" i="16"/>
  <c r="AJ274" i="16"/>
  <c r="AI274" i="16"/>
  <c r="AN273" i="16"/>
  <c r="AM273" i="16"/>
  <c r="AL273" i="16"/>
  <c r="AK273" i="16"/>
  <c r="AJ273" i="16"/>
  <c r="AI273" i="16"/>
  <c r="AN272" i="16"/>
  <c r="AM272" i="16"/>
  <c r="AL272" i="16"/>
  <c r="AK272" i="16"/>
  <c r="AJ272" i="16"/>
  <c r="AI272" i="16"/>
  <c r="AN271" i="16"/>
  <c r="AM271" i="16"/>
  <c r="AL271" i="16"/>
  <c r="AK271" i="16"/>
  <c r="AJ271" i="16"/>
  <c r="AI271" i="16"/>
  <c r="AN270" i="16"/>
  <c r="AM270" i="16"/>
  <c r="AL270" i="16"/>
  <c r="AK270" i="16"/>
  <c r="AJ270" i="16"/>
  <c r="AI270" i="16"/>
  <c r="AN269" i="16"/>
  <c r="AM269" i="16"/>
  <c r="AL269" i="16"/>
  <c r="AK269" i="16"/>
  <c r="AJ269" i="16"/>
  <c r="AI269" i="16"/>
  <c r="AN268" i="16"/>
  <c r="AM268" i="16"/>
  <c r="AL268" i="16"/>
  <c r="AK268" i="16"/>
  <c r="AJ268" i="16"/>
  <c r="AI268" i="16"/>
  <c r="AN267" i="16"/>
  <c r="AM267" i="16"/>
  <c r="AL267" i="16"/>
  <c r="AK267" i="16"/>
  <c r="AJ267" i="16"/>
  <c r="AI267" i="16"/>
  <c r="AN266" i="16"/>
  <c r="AM266" i="16"/>
  <c r="AL266" i="16"/>
  <c r="AK266" i="16"/>
  <c r="AJ266" i="16"/>
  <c r="AI266" i="16"/>
  <c r="AN265" i="16"/>
  <c r="AM265" i="16"/>
  <c r="AL265" i="16"/>
  <c r="AK265" i="16"/>
  <c r="AJ265" i="16"/>
  <c r="AI265" i="16"/>
  <c r="AN264" i="16"/>
  <c r="AM264" i="16"/>
  <c r="AL264" i="16"/>
  <c r="AK264" i="16"/>
  <c r="AJ264" i="16"/>
  <c r="AI264" i="16"/>
  <c r="AN263" i="16"/>
  <c r="AM263" i="16"/>
  <c r="AL263" i="16"/>
  <c r="AK263" i="16"/>
  <c r="AJ263" i="16"/>
  <c r="AI263" i="16"/>
  <c r="AN262" i="16"/>
  <c r="AM262" i="16"/>
  <c r="AL262" i="16"/>
  <c r="AK262" i="16"/>
  <c r="AJ262" i="16"/>
  <c r="AI262" i="16"/>
  <c r="AN261" i="16"/>
  <c r="AM261" i="16"/>
  <c r="AL261" i="16"/>
  <c r="AK261" i="16"/>
  <c r="AJ261" i="16"/>
  <c r="AI261" i="16"/>
  <c r="AN260" i="16"/>
  <c r="AM260" i="16"/>
  <c r="AL260" i="16"/>
  <c r="AK260" i="16"/>
  <c r="AJ260" i="16"/>
  <c r="AI260" i="16"/>
  <c r="AN259" i="16"/>
  <c r="AM259" i="16"/>
  <c r="AL259" i="16"/>
  <c r="AK259" i="16"/>
  <c r="AJ259" i="16"/>
  <c r="AI259" i="16"/>
  <c r="AN258" i="16"/>
  <c r="AM258" i="16"/>
  <c r="AL258" i="16"/>
  <c r="AK258" i="16"/>
  <c r="AJ258" i="16"/>
  <c r="AI258" i="16"/>
  <c r="AN257" i="16"/>
  <c r="AM257" i="16"/>
  <c r="AL257" i="16"/>
  <c r="AK257" i="16"/>
  <c r="AJ257" i="16"/>
  <c r="AI257" i="16"/>
  <c r="AN256" i="16"/>
  <c r="AM256" i="16"/>
  <c r="AL256" i="16"/>
  <c r="AK256" i="16"/>
  <c r="AJ256" i="16"/>
  <c r="AI256" i="16"/>
  <c r="AN255" i="16"/>
  <c r="AM255" i="16"/>
  <c r="AL255" i="16"/>
  <c r="AK255" i="16"/>
  <c r="AJ255" i="16"/>
  <c r="AI255" i="16"/>
  <c r="AN254" i="16"/>
  <c r="AM254" i="16"/>
  <c r="AL254" i="16"/>
  <c r="AK254" i="16"/>
  <c r="AJ254" i="16"/>
  <c r="AI254" i="16"/>
  <c r="AN253" i="16"/>
  <c r="AM253" i="16"/>
  <c r="AL253" i="16"/>
  <c r="AK253" i="16"/>
  <c r="AJ253" i="16"/>
  <c r="AI253" i="16"/>
  <c r="AN252" i="16"/>
  <c r="AM252" i="16"/>
  <c r="AL252" i="16"/>
  <c r="AK252" i="16"/>
  <c r="AJ252" i="16"/>
  <c r="AI252" i="16"/>
  <c r="AN251" i="16"/>
  <c r="AM251" i="16"/>
  <c r="AL251" i="16"/>
  <c r="AK251" i="16"/>
  <c r="AJ251" i="16"/>
  <c r="AI251" i="16"/>
  <c r="AN250" i="16"/>
  <c r="AM250" i="16"/>
  <c r="AL250" i="16"/>
  <c r="AK250" i="16"/>
  <c r="AJ250" i="16"/>
  <c r="AI250" i="16"/>
  <c r="AN249" i="16"/>
  <c r="AM249" i="16"/>
  <c r="AL249" i="16"/>
  <c r="AK249" i="16"/>
  <c r="AJ249" i="16"/>
  <c r="AI249" i="16"/>
  <c r="AN248" i="16"/>
  <c r="AM248" i="16"/>
  <c r="AL248" i="16"/>
  <c r="AK248" i="16"/>
  <c r="AJ248" i="16"/>
  <c r="AI248" i="16"/>
  <c r="AN247" i="16"/>
  <c r="AM247" i="16"/>
  <c r="AL247" i="16"/>
  <c r="AK247" i="16"/>
  <c r="AJ247" i="16"/>
  <c r="AI247" i="16"/>
  <c r="AN246" i="16"/>
  <c r="AM246" i="16"/>
  <c r="AL246" i="16"/>
  <c r="AK246" i="16"/>
  <c r="AJ246" i="16"/>
  <c r="AI246" i="16"/>
  <c r="AN245" i="16"/>
  <c r="AM245" i="16"/>
  <c r="AL245" i="16"/>
  <c r="AK245" i="16"/>
  <c r="AJ245" i="16"/>
  <c r="AI245" i="16"/>
  <c r="AN244" i="16"/>
  <c r="AM244" i="16"/>
  <c r="AL244" i="16"/>
  <c r="AK244" i="16"/>
  <c r="AJ244" i="16"/>
  <c r="AI244" i="16"/>
  <c r="AN243" i="16"/>
  <c r="AM243" i="16"/>
  <c r="AL243" i="16"/>
  <c r="AK243" i="16"/>
  <c r="AJ243" i="16"/>
  <c r="AI243" i="16"/>
  <c r="AN242" i="16"/>
  <c r="AM242" i="16"/>
  <c r="AL242" i="16"/>
  <c r="AK242" i="16"/>
  <c r="AJ242" i="16"/>
  <c r="AI242" i="16"/>
  <c r="AN241" i="16"/>
  <c r="AM241" i="16"/>
  <c r="AL241" i="16"/>
  <c r="AK241" i="16"/>
  <c r="AJ241" i="16"/>
  <c r="AI241" i="16"/>
  <c r="AN240" i="16"/>
  <c r="AM240" i="16"/>
  <c r="AL240" i="16"/>
  <c r="AK240" i="16"/>
  <c r="AJ240" i="16"/>
  <c r="AI240" i="16"/>
  <c r="AN239" i="16"/>
  <c r="AM239" i="16"/>
  <c r="AL239" i="16"/>
  <c r="AK239" i="16"/>
  <c r="AJ239" i="16"/>
  <c r="AI239" i="16"/>
  <c r="AN238" i="16"/>
  <c r="AM238" i="16"/>
  <c r="AL238" i="16"/>
  <c r="AK238" i="16"/>
  <c r="AJ238" i="16"/>
  <c r="AI238" i="16"/>
  <c r="AN237" i="16"/>
  <c r="AM237" i="16"/>
  <c r="AL237" i="16"/>
  <c r="AK237" i="16"/>
  <c r="AJ237" i="16"/>
  <c r="AI237" i="16"/>
  <c r="AN236" i="16"/>
  <c r="AM236" i="16"/>
  <c r="AL236" i="16"/>
  <c r="AK236" i="16"/>
  <c r="AJ236" i="16"/>
  <c r="AI236" i="16"/>
  <c r="AN235" i="16"/>
  <c r="AM235" i="16"/>
  <c r="AL235" i="16"/>
  <c r="AK235" i="16"/>
  <c r="AJ235" i="16"/>
  <c r="AI235" i="16"/>
  <c r="AN234" i="16"/>
  <c r="AM234" i="16"/>
  <c r="AL234" i="16"/>
  <c r="AK234" i="16"/>
  <c r="AJ234" i="16"/>
  <c r="AI234" i="16"/>
  <c r="AN233" i="16"/>
  <c r="AM233" i="16"/>
  <c r="AL233" i="16"/>
  <c r="AK233" i="16"/>
  <c r="AJ233" i="16"/>
  <c r="AI233" i="16"/>
  <c r="AN232" i="16"/>
  <c r="AM232" i="16"/>
  <c r="AL232" i="16"/>
  <c r="AK232" i="16"/>
  <c r="AJ232" i="16"/>
  <c r="AI232" i="16"/>
  <c r="AN231" i="16"/>
  <c r="AM231" i="16"/>
  <c r="AL231" i="16"/>
  <c r="AK231" i="16"/>
  <c r="AJ231" i="16"/>
  <c r="AI231" i="16"/>
  <c r="AF231" i="16"/>
  <c r="AN230" i="16"/>
  <c r="AM230" i="16"/>
  <c r="AL230" i="16"/>
  <c r="AK230" i="16"/>
  <c r="AJ230" i="16"/>
  <c r="AI230" i="16"/>
  <c r="AF230" i="16"/>
  <c r="AN229" i="16"/>
  <c r="AM229" i="16"/>
  <c r="AL229" i="16"/>
  <c r="AK229" i="16"/>
  <c r="AJ229" i="16"/>
  <c r="AI229" i="16"/>
  <c r="AF229" i="16"/>
  <c r="AN228" i="16"/>
  <c r="AM228" i="16"/>
  <c r="AL228" i="16"/>
  <c r="AK228" i="16"/>
  <c r="AJ228" i="16"/>
  <c r="AI228" i="16"/>
  <c r="AF228" i="16"/>
  <c r="AN227" i="16"/>
  <c r="AM227" i="16"/>
  <c r="AL227" i="16"/>
  <c r="AK227" i="16"/>
  <c r="AJ227" i="16"/>
  <c r="AI227" i="16"/>
  <c r="AF227" i="16"/>
  <c r="AN226" i="16"/>
  <c r="AM226" i="16"/>
  <c r="AL226" i="16"/>
  <c r="AK226" i="16"/>
  <c r="AJ226" i="16"/>
  <c r="AI226" i="16"/>
  <c r="AF226" i="16"/>
  <c r="AN225" i="16"/>
  <c r="AM225" i="16"/>
  <c r="AL225" i="16"/>
  <c r="AK225" i="16"/>
  <c r="AJ225" i="16"/>
  <c r="AI225" i="16"/>
  <c r="AF225" i="16"/>
  <c r="AN224" i="16"/>
  <c r="AM224" i="16"/>
  <c r="AL224" i="16"/>
  <c r="AK224" i="16"/>
  <c r="AJ224" i="16"/>
  <c r="AI224" i="16"/>
  <c r="AF224" i="16"/>
  <c r="AN223" i="16"/>
  <c r="AM223" i="16"/>
  <c r="AL223" i="16"/>
  <c r="AK223" i="16"/>
  <c r="AJ223" i="16"/>
  <c r="AI223" i="16"/>
  <c r="AF223" i="16"/>
  <c r="AN222" i="16"/>
  <c r="AM222" i="16"/>
  <c r="AL222" i="16"/>
  <c r="AK222" i="16"/>
  <c r="AJ222" i="16"/>
  <c r="AI222" i="16"/>
  <c r="AF222" i="16"/>
  <c r="AN221" i="16"/>
  <c r="AM221" i="16"/>
  <c r="AL221" i="16"/>
  <c r="AK221" i="16"/>
  <c r="AJ221" i="16"/>
  <c r="AI221" i="16"/>
  <c r="AF221" i="16"/>
  <c r="AN220" i="16"/>
  <c r="AM220" i="16"/>
  <c r="AL220" i="16"/>
  <c r="AK220" i="16"/>
  <c r="AJ220" i="16"/>
  <c r="AI220" i="16"/>
  <c r="AF220" i="16"/>
  <c r="AN219" i="16"/>
  <c r="AM219" i="16"/>
  <c r="AL219" i="16"/>
  <c r="AK219" i="16"/>
  <c r="AJ219" i="16"/>
  <c r="AI219" i="16"/>
  <c r="AF219" i="16"/>
  <c r="AN218" i="16"/>
  <c r="AM218" i="16"/>
  <c r="AL218" i="16"/>
  <c r="AK218" i="16"/>
  <c r="AJ218" i="16"/>
  <c r="AI218" i="16"/>
  <c r="AF218" i="16"/>
  <c r="AN217" i="16"/>
  <c r="AM217" i="16"/>
  <c r="AL217" i="16"/>
  <c r="AK217" i="16"/>
  <c r="AJ217" i="16"/>
  <c r="AI217" i="16"/>
  <c r="AF217" i="16"/>
  <c r="AN216" i="16"/>
  <c r="AM216" i="16"/>
  <c r="AL216" i="16"/>
  <c r="AK216" i="16"/>
  <c r="AJ216" i="16"/>
  <c r="AI216" i="16"/>
  <c r="AF216" i="16"/>
  <c r="AN215" i="16"/>
  <c r="AM215" i="16"/>
  <c r="AL215" i="16"/>
  <c r="AK215" i="16"/>
  <c r="AJ215" i="16"/>
  <c r="AI215" i="16"/>
  <c r="AF215" i="16"/>
  <c r="AN214" i="16"/>
  <c r="AM214" i="16"/>
  <c r="AL214" i="16"/>
  <c r="AK214" i="16"/>
  <c r="AJ214" i="16"/>
  <c r="AI214" i="16"/>
  <c r="AF214" i="16"/>
  <c r="AN213" i="16"/>
  <c r="AM213" i="16"/>
  <c r="AL213" i="16"/>
  <c r="AK213" i="16"/>
  <c r="AJ213" i="16"/>
  <c r="AI213" i="16"/>
  <c r="AF213" i="16"/>
  <c r="AN212" i="16"/>
  <c r="AM212" i="16"/>
  <c r="AL212" i="16"/>
  <c r="AK212" i="16"/>
  <c r="AJ212" i="16"/>
  <c r="AI212" i="16"/>
  <c r="AF212" i="16"/>
  <c r="AN211" i="16"/>
  <c r="AM211" i="16"/>
  <c r="AL211" i="16"/>
  <c r="AK211" i="16"/>
  <c r="AJ211" i="16"/>
  <c r="AI211" i="16"/>
  <c r="AF211" i="16"/>
  <c r="AN210" i="16"/>
  <c r="AM210" i="16"/>
  <c r="AL210" i="16"/>
  <c r="AK210" i="16"/>
  <c r="AJ210" i="16"/>
  <c r="AI210" i="16"/>
  <c r="AF210" i="16"/>
  <c r="AN209" i="16"/>
  <c r="AM209" i="16"/>
  <c r="AL209" i="16"/>
  <c r="AK209" i="16"/>
  <c r="AJ209" i="16"/>
  <c r="AI209" i="16"/>
  <c r="AF209" i="16"/>
  <c r="AN208" i="16"/>
  <c r="AM208" i="16"/>
  <c r="AL208" i="16"/>
  <c r="AK208" i="16"/>
  <c r="AJ208" i="16"/>
  <c r="AI208" i="16"/>
  <c r="AF208" i="16"/>
  <c r="AN207" i="16"/>
  <c r="AM207" i="16"/>
  <c r="AL207" i="16"/>
  <c r="AK207" i="16"/>
  <c r="AJ207" i="16"/>
  <c r="AI207" i="16"/>
  <c r="AF207" i="16"/>
  <c r="AN206" i="16"/>
  <c r="AM206" i="16"/>
  <c r="AL206" i="16"/>
  <c r="AK206" i="16"/>
  <c r="AJ206" i="16"/>
  <c r="AI206" i="16"/>
  <c r="AF206" i="16"/>
  <c r="AN205" i="16"/>
  <c r="AM205" i="16"/>
  <c r="AL205" i="16"/>
  <c r="AK205" i="16"/>
  <c r="AJ205" i="16"/>
  <c r="AI205" i="16"/>
  <c r="AF205" i="16"/>
  <c r="AN204" i="16"/>
  <c r="AM204" i="16"/>
  <c r="AL204" i="16"/>
  <c r="AK204" i="16"/>
  <c r="AJ204" i="16"/>
  <c r="AI204" i="16"/>
  <c r="AF204" i="16"/>
  <c r="AN203" i="16"/>
  <c r="AM203" i="16"/>
  <c r="AL203" i="16"/>
  <c r="AK203" i="16"/>
  <c r="AJ203" i="16"/>
  <c r="AI203" i="16"/>
  <c r="AF203" i="16"/>
  <c r="AN202" i="16"/>
  <c r="AM202" i="16"/>
  <c r="AL202" i="16"/>
  <c r="AK202" i="16"/>
  <c r="AJ202" i="16"/>
  <c r="AI202" i="16"/>
  <c r="AF202" i="16"/>
  <c r="AN201" i="16"/>
  <c r="AM201" i="16"/>
  <c r="AL201" i="16"/>
  <c r="AK201" i="16"/>
  <c r="AJ201" i="16"/>
  <c r="AI201" i="16"/>
  <c r="AF201" i="16"/>
  <c r="AN200" i="16"/>
  <c r="AM200" i="16"/>
  <c r="AL200" i="16"/>
  <c r="AK200" i="16"/>
  <c r="AJ200" i="16"/>
  <c r="AI200" i="16"/>
  <c r="AF200" i="16"/>
  <c r="AN199" i="16"/>
  <c r="AM199" i="16"/>
  <c r="AL199" i="16"/>
  <c r="AK199" i="16"/>
  <c r="AJ199" i="16"/>
  <c r="AI199" i="16"/>
  <c r="AF199" i="16"/>
  <c r="AN198" i="16"/>
  <c r="AM198" i="16"/>
  <c r="AL198" i="16"/>
  <c r="AK198" i="16"/>
  <c r="AJ198" i="16"/>
  <c r="AI198" i="16"/>
  <c r="AF198" i="16"/>
  <c r="AN197" i="16"/>
  <c r="AM197" i="16"/>
  <c r="AL197" i="16"/>
  <c r="AK197" i="16"/>
  <c r="AJ197" i="16"/>
  <c r="AI197" i="16"/>
  <c r="AF197" i="16"/>
  <c r="AN196" i="16"/>
  <c r="AM196" i="16"/>
  <c r="AL196" i="16"/>
  <c r="AK196" i="16"/>
  <c r="AJ196" i="16"/>
  <c r="AI196" i="16"/>
  <c r="AF196" i="16"/>
  <c r="AN195" i="16"/>
  <c r="AM195" i="16"/>
  <c r="AL195" i="16"/>
  <c r="AK195" i="16"/>
  <c r="AJ195" i="16"/>
  <c r="AI195" i="16"/>
  <c r="AF195" i="16"/>
  <c r="AN194" i="16"/>
  <c r="AM194" i="16"/>
  <c r="AL194" i="16"/>
  <c r="AK194" i="16"/>
  <c r="AJ194" i="16"/>
  <c r="AI194" i="16"/>
  <c r="AF194" i="16"/>
  <c r="AN193" i="16"/>
  <c r="AM193" i="16"/>
  <c r="AL193" i="16"/>
  <c r="AK193" i="16"/>
  <c r="AJ193" i="16"/>
  <c r="AI193" i="16"/>
  <c r="AF193" i="16"/>
  <c r="AN192" i="16"/>
  <c r="AM192" i="16"/>
  <c r="AL192" i="16"/>
  <c r="AK192" i="16"/>
  <c r="AJ192" i="16"/>
  <c r="AI192" i="16"/>
  <c r="AF192" i="16"/>
  <c r="AN191" i="16"/>
  <c r="AM191" i="16"/>
  <c r="AL191" i="16"/>
  <c r="AK191" i="16"/>
  <c r="AJ191" i="16"/>
  <c r="AI191" i="16"/>
  <c r="AF191" i="16"/>
  <c r="AN190" i="16"/>
  <c r="AM190" i="16"/>
  <c r="AL190" i="16"/>
  <c r="AK190" i="16"/>
  <c r="AJ190" i="16"/>
  <c r="AI190" i="16"/>
  <c r="AF190" i="16"/>
  <c r="AN189" i="16"/>
  <c r="AM189" i="16"/>
  <c r="AL189" i="16"/>
  <c r="AK189" i="16"/>
  <c r="AJ189" i="16"/>
  <c r="AI189" i="16"/>
  <c r="AF189" i="16"/>
  <c r="AN188" i="16"/>
  <c r="AM188" i="16"/>
  <c r="AL188" i="16"/>
  <c r="AK188" i="16"/>
  <c r="AJ188" i="16"/>
  <c r="AI188" i="16"/>
  <c r="AF188" i="16"/>
  <c r="AN187" i="16"/>
  <c r="AM187" i="16"/>
  <c r="AL187" i="16"/>
  <c r="AK187" i="16"/>
  <c r="AJ187" i="16"/>
  <c r="AI187" i="16"/>
  <c r="AF187" i="16"/>
  <c r="AN186" i="16"/>
  <c r="AM186" i="16"/>
  <c r="AL186" i="16"/>
  <c r="AK186" i="16"/>
  <c r="AJ186" i="16"/>
  <c r="AI186" i="16"/>
  <c r="AF186" i="16"/>
  <c r="AN185" i="16"/>
  <c r="AM185" i="16"/>
  <c r="AL185" i="16"/>
  <c r="AK185" i="16"/>
  <c r="AJ185" i="16"/>
  <c r="AI185" i="16"/>
  <c r="AF185" i="16"/>
  <c r="AN184" i="16"/>
  <c r="AM184" i="16"/>
  <c r="AL184" i="16"/>
  <c r="AK184" i="16"/>
  <c r="AJ184" i="16"/>
  <c r="AI184" i="16"/>
  <c r="AF184" i="16"/>
  <c r="AN183" i="16"/>
  <c r="AM183" i="16"/>
  <c r="AL183" i="16"/>
  <c r="AK183" i="16"/>
  <c r="AJ183" i="16"/>
  <c r="AI183" i="16"/>
  <c r="AF183" i="16"/>
  <c r="AN182" i="16"/>
  <c r="AM182" i="16"/>
  <c r="AL182" i="16"/>
  <c r="AK182" i="16"/>
  <c r="AJ182" i="16"/>
  <c r="AI182" i="16"/>
  <c r="AF182" i="16"/>
  <c r="AN181" i="16"/>
  <c r="AM181" i="16"/>
  <c r="AL181" i="16"/>
  <c r="AK181" i="16"/>
  <c r="AJ181" i="16"/>
  <c r="AI181" i="16"/>
  <c r="AF181" i="16"/>
  <c r="AN180" i="16"/>
  <c r="AM180" i="16"/>
  <c r="AL180" i="16"/>
  <c r="AK180" i="16"/>
  <c r="AJ180" i="16"/>
  <c r="AI180" i="16"/>
  <c r="AF180" i="16"/>
  <c r="AN179" i="16"/>
  <c r="AM179" i="16"/>
  <c r="AL179" i="16"/>
  <c r="AK179" i="16"/>
  <c r="AJ179" i="16"/>
  <c r="AI179" i="16"/>
  <c r="AF179" i="16"/>
  <c r="AN178" i="16"/>
  <c r="AM178" i="16"/>
  <c r="AL178" i="16"/>
  <c r="AK178" i="16"/>
  <c r="AJ178" i="16"/>
  <c r="AI178" i="16"/>
  <c r="AF178" i="16"/>
  <c r="AN177" i="16"/>
  <c r="AM177" i="16"/>
  <c r="AL177" i="16"/>
  <c r="AK177" i="16"/>
  <c r="AJ177" i="16"/>
  <c r="AI177" i="16"/>
  <c r="AF177" i="16"/>
  <c r="AN176" i="16"/>
  <c r="AM176" i="16"/>
  <c r="AL176" i="16"/>
  <c r="AK176" i="16"/>
  <c r="AJ176" i="16"/>
  <c r="AI176" i="16"/>
  <c r="AF176" i="16"/>
  <c r="AN175" i="16"/>
  <c r="AM175" i="16"/>
  <c r="AL175" i="16"/>
  <c r="AK175" i="16"/>
  <c r="AJ175" i="16"/>
  <c r="AI175" i="16"/>
  <c r="AF175" i="16"/>
  <c r="AN174" i="16"/>
  <c r="AM174" i="16"/>
  <c r="AL174" i="16"/>
  <c r="AK174" i="16"/>
  <c r="AJ174" i="16"/>
  <c r="AI174" i="16"/>
  <c r="AF174" i="16"/>
  <c r="AN173" i="16"/>
  <c r="AM173" i="16"/>
  <c r="AL173" i="16"/>
  <c r="AK173" i="16"/>
  <c r="AJ173" i="16"/>
  <c r="AI173" i="16"/>
  <c r="AF173" i="16"/>
  <c r="AN172" i="16"/>
  <c r="AM172" i="16"/>
  <c r="AL172" i="16"/>
  <c r="AK172" i="16"/>
  <c r="AJ172" i="16"/>
  <c r="AI172" i="16"/>
  <c r="AF172" i="16"/>
  <c r="AN171" i="16"/>
  <c r="AM171" i="16"/>
  <c r="AL171" i="16"/>
  <c r="AK171" i="16"/>
  <c r="AJ171" i="16"/>
  <c r="AI171" i="16"/>
  <c r="AF171" i="16"/>
  <c r="AN170" i="16"/>
  <c r="AM170" i="16"/>
  <c r="AL170" i="16"/>
  <c r="AK170" i="16"/>
  <c r="AJ170" i="16"/>
  <c r="AI170" i="16"/>
  <c r="AF170" i="16"/>
  <c r="AN169" i="16"/>
  <c r="AM169" i="16"/>
  <c r="AL169" i="16"/>
  <c r="AK169" i="16"/>
  <c r="AJ169" i="16"/>
  <c r="AI169" i="16"/>
  <c r="AF169" i="16"/>
  <c r="AN168" i="16"/>
  <c r="AM168" i="16"/>
  <c r="AL168" i="16"/>
  <c r="AK168" i="16"/>
  <c r="AJ168" i="16"/>
  <c r="AI168" i="16"/>
  <c r="AF168" i="16"/>
  <c r="AN167" i="16"/>
  <c r="AM167" i="16"/>
  <c r="AL167" i="16"/>
  <c r="AK167" i="16"/>
  <c r="AJ167" i="16"/>
  <c r="AI167" i="16"/>
  <c r="AF167" i="16"/>
  <c r="AN166" i="16"/>
  <c r="AM166" i="16"/>
  <c r="AL166" i="16"/>
  <c r="AK166" i="16"/>
  <c r="AJ166" i="16"/>
  <c r="AI166" i="16"/>
  <c r="AF166" i="16"/>
  <c r="AN165" i="16"/>
  <c r="AM165" i="16"/>
  <c r="AL165" i="16"/>
  <c r="AK165" i="16"/>
  <c r="AJ165" i="16"/>
  <c r="AI165" i="16"/>
  <c r="AF165" i="16"/>
  <c r="AN164" i="16"/>
  <c r="AM164" i="16"/>
  <c r="AL164" i="16"/>
  <c r="AK164" i="16"/>
  <c r="AJ164" i="16"/>
  <c r="AI164" i="16"/>
  <c r="AF164" i="16"/>
  <c r="AN163" i="16"/>
  <c r="AM163" i="16"/>
  <c r="AL163" i="16"/>
  <c r="AK163" i="16"/>
  <c r="AJ163" i="16"/>
  <c r="AI163" i="16"/>
  <c r="AF163" i="16"/>
  <c r="AN162" i="16"/>
  <c r="AM162" i="16"/>
  <c r="AL162" i="16"/>
  <c r="AK162" i="16"/>
  <c r="AJ162" i="16"/>
  <c r="AI162" i="16"/>
  <c r="AF162" i="16"/>
  <c r="AN161" i="16"/>
  <c r="AM161" i="16"/>
  <c r="AL161" i="16"/>
  <c r="AK161" i="16"/>
  <c r="AJ161" i="16"/>
  <c r="AI161" i="16"/>
  <c r="AF161" i="16"/>
  <c r="AN160" i="16"/>
  <c r="AM160" i="16"/>
  <c r="AL160" i="16"/>
  <c r="AK160" i="16"/>
  <c r="AJ160" i="16"/>
  <c r="AI160" i="16"/>
  <c r="AF160" i="16"/>
  <c r="AN159" i="16"/>
  <c r="AM159" i="16"/>
  <c r="AL159" i="16"/>
  <c r="AK159" i="16"/>
  <c r="AJ159" i="16"/>
  <c r="AI159" i="16"/>
  <c r="AF159" i="16"/>
  <c r="AN158" i="16"/>
  <c r="AM158" i="16"/>
  <c r="AL158" i="16"/>
  <c r="AK158" i="16"/>
  <c r="AJ158" i="16"/>
  <c r="AI158" i="16"/>
  <c r="AF158" i="16"/>
  <c r="AN157" i="16"/>
  <c r="AM157" i="16"/>
  <c r="AL157" i="16"/>
  <c r="AK157" i="16"/>
  <c r="AJ157" i="16"/>
  <c r="AI157" i="16"/>
  <c r="AF157" i="16"/>
  <c r="AN156" i="16"/>
  <c r="AM156" i="16"/>
  <c r="AL156" i="16"/>
  <c r="AK156" i="16"/>
  <c r="AJ156" i="16"/>
  <c r="AI156" i="16"/>
  <c r="AF156" i="16"/>
  <c r="AN155" i="16"/>
  <c r="AM155" i="16"/>
  <c r="AL155" i="16"/>
  <c r="AK155" i="16"/>
  <c r="AJ155" i="16"/>
  <c r="AI155" i="16"/>
  <c r="AF155" i="16"/>
  <c r="AN154" i="16"/>
  <c r="AM154" i="16"/>
  <c r="AL154" i="16"/>
  <c r="AK154" i="16"/>
  <c r="AJ154" i="16"/>
  <c r="AI154" i="16"/>
  <c r="AF154" i="16"/>
  <c r="AN153" i="16"/>
  <c r="AM153" i="16"/>
  <c r="AL153" i="16"/>
  <c r="AK153" i="16"/>
  <c r="AJ153" i="16"/>
  <c r="AI153" i="16"/>
  <c r="AF153" i="16"/>
  <c r="AN152" i="16"/>
  <c r="AM152" i="16"/>
  <c r="AL152" i="16"/>
  <c r="AK152" i="16"/>
  <c r="AJ152" i="16"/>
  <c r="AI152" i="16"/>
  <c r="AF152" i="16"/>
  <c r="AN151" i="16"/>
  <c r="AM151" i="16"/>
  <c r="AL151" i="16"/>
  <c r="AK151" i="16"/>
  <c r="AJ151" i="16"/>
  <c r="AI151" i="16"/>
  <c r="AF151" i="16"/>
  <c r="AN150" i="16"/>
  <c r="AM150" i="16"/>
  <c r="AL150" i="16"/>
  <c r="AK150" i="16"/>
  <c r="AJ150" i="16"/>
  <c r="AI150" i="16"/>
  <c r="AF150" i="16"/>
  <c r="AN149" i="16"/>
  <c r="AM149" i="16"/>
  <c r="AL149" i="16"/>
  <c r="AK149" i="16"/>
  <c r="AJ149" i="16"/>
  <c r="AI149" i="16"/>
  <c r="AF149" i="16"/>
  <c r="AN148" i="16"/>
  <c r="AM148" i="16"/>
  <c r="AL148" i="16"/>
  <c r="AK148" i="16"/>
  <c r="AJ148" i="16"/>
  <c r="AI148" i="16"/>
  <c r="AF148" i="16"/>
  <c r="AN147" i="16"/>
  <c r="AM147" i="16"/>
  <c r="AL147" i="16"/>
  <c r="AK147" i="16"/>
  <c r="AJ147" i="16"/>
  <c r="AI147" i="16"/>
  <c r="AF147" i="16"/>
  <c r="AN146" i="16"/>
  <c r="AM146" i="16"/>
  <c r="AL146" i="16"/>
  <c r="AK146" i="16"/>
  <c r="AJ146" i="16"/>
  <c r="AI146" i="16"/>
  <c r="AF146" i="16"/>
  <c r="AN145" i="16"/>
  <c r="AM145" i="16"/>
  <c r="AL145" i="16"/>
  <c r="AK145" i="16"/>
  <c r="AJ145" i="16"/>
  <c r="AI145" i="16"/>
  <c r="AF145" i="16"/>
  <c r="AN144" i="16"/>
  <c r="AM144" i="16"/>
  <c r="AL144" i="16"/>
  <c r="AK144" i="16"/>
  <c r="AJ144" i="16"/>
  <c r="AI144" i="16"/>
  <c r="AF144" i="16"/>
  <c r="AN143" i="16"/>
  <c r="AM143" i="16"/>
  <c r="AL143" i="16"/>
  <c r="AK143" i="16"/>
  <c r="AJ143" i="16"/>
  <c r="AI143" i="16"/>
  <c r="AF143" i="16"/>
  <c r="AN142" i="16"/>
  <c r="AM142" i="16"/>
  <c r="AL142" i="16"/>
  <c r="AK142" i="16"/>
  <c r="AJ142" i="16"/>
  <c r="AI142" i="16"/>
  <c r="AF142" i="16"/>
  <c r="AN141" i="16"/>
  <c r="AM141" i="16"/>
  <c r="AL141" i="16"/>
  <c r="AK141" i="16"/>
  <c r="AJ141" i="16"/>
  <c r="AI141" i="16"/>
  <c r="AF141" i="16"/>
  <c r="AN140" i="16"/>
  <c r="AM140" i="16"/>
  <c r="AL140" i="16"/>
  <c r="AK140" i="16"/>
  <c r="AJ140" i="16"/>
  <c r="AI140" i="16"/>
  <c r="AF140" i="16"/>
  <c r="AN139" i="16"/>
  <c r="AM139" i="16"/>
  <c r="AL139" i="16"/>
  <c r="AK139" i="16"/>
  <c r="AJ139" i="16"/>
  <c r="AI139" i="16"/>
  <c r="AF139" i="16"/>
  <c r="AN138" i="16"/>
  <c r="AM138" i="16"/>
  <c r="AL138" i="16"/>
  <c r="AK138" i="16"/>
  <c r="AJ138" i="16"/>
  <c r="AI138" i="16"/>
  <c r="AF138" i="16"/>
  <c r="AN137" i="16"/>
  <c r="AM137" i="16"/>
  <c r="AL137" i="16"/>
  <c r="AK137" i="16"/>
  <c r="AJ137" i="16"/>
  <c r="AI137" i="16"/>
  <c r="AF137" i="16"/>
  <c r="AN136" i="16"/>
  <c r="AM136" i="16"/>
  <c r="AL136" i="16"/>
  <c r="AK136" i="16"/>
  <c r="AJ136" i="16"/>
  <c r="AI136" i="16"/>
  <c r="AF136" i="16"/>
  <c r="AN135" i="16"/>
  <c r="AM135" i="16"/>
  <c r="AL135" i="16"/>
  <c r="AK135" i="16"/>
  <c r="AJ135" i="16"/>
  <c r="AI135" i="16"/>
  <c r="AF135" i="16"/>
  <c r="AN134" i="16"/>
  <c r="AM134" i="16"/>
  <c r="AL134" i="16"/>
  <c r="AK134" i="16"/>
  <c r="AJ134" i="16"/>
  <c r="AI134" i="16"/>
  <c r="AF134" i="16"/>
  <c r="AN133" i="16"/>
  <c r="AM133" i="16"/>
  <c r="AL133" i="16"/>
  <c r="AK133" i="16"/>
  <c r="AJ133" i="16"/>
  <c r="AI133" i="16"/>
  <c r="AF133" i="16"/>
  <c r="AN132" i="16"/>
  <c r="AM132" i="16"/>
  <c r="AL132" i="16"/>
  <c r="AK132" i="16"/>
  <c r="AJ132" i="16"/>
  <c r="AI132" i="16"/>
  <c r="AF132" i="16"/>
  <c r="AN131" i="16"/>
  <c r="AM131" i="16"/>
  <c r="AL131" i="16"/>
  <c r="AK131" i="16"/>
  <c r="AJ131" i="16"/>
  <c r="AI131" i="16"/>
  <c r="AF131" i="16"/>
  <c r="AN130" i="16"/>
  <c r="AM130" i="16"/>
  <c r="AL130" i="16"/>
  <c r="AK130" i="16"/>
  <c r="AJ130" i="16"/>
  <c r="AI130" i="16"/>
  <c r="AF130" i="16"/>
  <c r="AN129" i="16"/>
  <c r="AM129" i="16"/>
  <c r="AL129" i="16"/>
  <c r="AK129" i="16"/>
  <c r="AJ129" i="16"/>
  <c r="AI129" i="16"/>
  <c r="AF129" i="16"/>
  <c r="AN128" i="16"/>
  <c r="AM128" i="16"/>
  <c r="AL128" i="16"/>
  <c r="AK128" i="16"/>
  <c r="AJ128" i="16"/>
  <c r="AI128" i="16"/>
  <c r="AF128" i="16"/>
  <c r="AN127" i="16"/>
  <c r="AM127" i="16"/>
  <c r="AL127" i="16"/>
  <c r="AK127" i="16"/>
  <c r="AJ127" i="16"/>
  <c r="AI127" i="16"/>
  <c r="AF127" i="16"/>
  <c r="AN126" i="16"/>
  <c r="AM126" i="16"/>
  <c r="AL126" i="16"/>
  <c r="AK126" i="16"/>
  <c r="AJ126" i="16"/>
  <c r="AI126" i="16"/>
  <c r="AF126" i="16"/>
  <c r="AN125" i="16"/>
  <c r="AM125" i="16"/>
  <c r="AL125" i="16"/>
  <c r="AK125" i="16"/>
  <c r="AJ125" i="16"/>
  <c r="AI125" i="16"/>
  <c r="AF125" i="16"/>
  <c r="AN124" i="16"/>
  <c r="AM124" i="16"/>
  <c r="AL124" i="16"/>
  <c r="AK124" i="16"/>
  <c r="AJ124" i="16"/>
  <c r="AI124" i="16"/>
  <c r="AF124" i="16"/>
  <c r="AN123" i="16"/>
  <c r="AM123" i="16"/>
  <c r="AL123" i="16"/>
  <c r="AK123" i="16"/>
  <c r="AJ123" i="16"/>
  <c r="AI123" i="16"/>
  <c r="AF123" i="16"/>
  <c r="AN122" i="16"/>
  <c r="AM122" i="16"/>
  <c r="AL122" i="16"/>
  <c r="AK122" i="16"/>
  <c r="AJ122" i="16"/>
  <c r="AI122" i="16"/>
  <c r="AF122" i="16"/>
  <c r="AN121" i="16"/>
  <c r="AM121" i="16"/>
  <c r="AL121" i="16"/>
  <c r="AK121" i="16"/>
  <c r="AJ121" i="16"/>
  <c r="AI121" i="16"/>
  <c r="AF121" i="16"/>
  <c r="AN120" i="16"/>
  <c r="AM120" i="16"/>
  <c r="AL120" i="16"/>
  <c r="AK120" i="16"/>
  <c r="AJ120" i="16"/>
  <c r="AI120" i="16"/>
  <c r="AF120" i="16"/>
  <c r="AN119" i="16"/>
  <c r="AM119" i="16"/>
  <c r="AL119" i="16"/>
  <c r="AK119" i="16"/>
  <c r="AJ119" i="16"/>
  <c r="AI119" i="16"/>
  <c r="AF119" i="16"/>
  <c r="AN118" i="16"/>
  <c r="AM118" i="16"/>
  <c r="AL118" i="16"/>
  <c r="AK118" i="16"/>
  <c r="AJ118" i="16"/>
  <c r="AI118" i="16"/>
  <c r="AF118" i="16"/>
  <c r="AN117" i="16"/>
  <c r="AM117" i="16"/>
  <c r="AL117" i="16"/>
  <c r="AK117" i="16"/>
  <c r="AJ117" i="16"/>
  <c r="AI117" i="16"/>
  <c r="AF117" i="16"/>
  <c r="AN116" i="16"/>
  <c r="AM116" i="16"/>
  <c r="AL116" i="16"/>
  <c r="AK116" i="16"/>
  <c r="AJ116" i="16"/>
  <c r="AI116" i="16"/>
  <c r="AF116" i="16"/>
  <c r="AN115" i="16"/>
  <c r="AM115" i="16"/>
  <c r="AL115" i="16"/>
  <c r="AK115" i="16"/>
  <c r="AJ115" i="16"/>
  <c r="AI115" i="16"/>
  <c r="AF115" i="16"/>
  <c r="AN114" i="16"/>
  <c r="AM114" i="16"/>
  <c r="AL114" i="16"/>
  <c r="AK114" i="16"/>
  <c r="AJ114" i="16"/>
  <c r="AI114" i="16"/>
  <c r="AF114" i="16"/>
  <c r="AN113" i="16"/>
  <c r="AM113" i="16"/>
  <c r="AL113" i="16"/>
  <c r="AK113" i="16"/>
  <c r="AJ113" i="16"/>
  <c r="AI113" i="16"/>
  <c r="AF113" i="16"/>
  <c r="AN112" i="16"/>
  <c r="AM112" i="16"/>
  <c r="AL112" i="16"/>
  <c r="AK112" i="16"/>
  <c r="AJ112" i="16"/>
  <c r="AI112" i="16"/>
  <c r="AF112" i="16"/>
  <c r="AN111" i="16"/>
  <c r="AM111" i="16"/>
  <c r="AL111" i="16"/>
  <c r="AK111" i="16"/>
  <c r="AJ111" i="16"/>
  <c r="AI111" i="16"/>
  <c r="AF111" i="16"/>
  <c r="AN110" i="16"/>
  <c r="AM110" i="16"/>
  <c r="AL110" i="16"/>
  <c r="AK110" i="16"/>
  <c r="AJ110" i="16"/>
  <c r="AI110" i="16"/>
  <c r="AF110" i="16"/>
  <c r="AN109" i="16"/>
  <c r="AM109" i="16"/>
  <c r="AL109" i="16"/>
  <c r="AK109" i="16"/>
  <c r="AJ109" i="16"/>
  <c r="AI109" i="16"/>
  <c r="AF109" i="16"/>
  <c r="AN108" i="16"/>
  <c r="AM108" i="16"/>
  <c r="AL108" i="16"/>
  <c r="AK108" i="16"/>
  <c r="AJ108" i="16"/>
  <c r="AI108" i="16"/>
  <c r="AF108" i="16"/>
  <c r="AN107" i="16"/>
  <c r="AM107" i="16"/>
  <c r="AL107" i="16"/>
  <c r="AK107" i="16"/>
  <c r="AJ107" i="16"/>
  <c r="AI107" i="16"/>
  <c r="AF107" i="16"/>
  <c r="AN106" i="16"/>
  <c r="AM106" i="16"/>
  <c r="AL106" i="16"/>
  <c r="AK106" i="16"/>
  <c r="AJ106" i="16"/>
  <c r="AI106" i="16"/>
  <c r="AF106" i="16"/>
  <c r="AN105" i="16"/>
  <c r="AM105" i="16"/>
  <c r="AL105" i="16"/>
  <c r="AK105" i="16"/>
  <c r="AJ105" i="16"/>
  <c r="AI105" i="16"/>
  <c r="AF105" i="16"/>
  <c r="AN104" i="16"/>
  <c r="AM104" i="16"/>
  <c r="AL104" i="16"/>
  <c r="AK104" i="16"/>
  <c r="AJ104" i="16"/>
  <c r="AI104" i="16"/>
  <c r="AF104" i="16"/>
  <c r="AN103" i="16"/>
  <c r="AM103" i="16"/>
  <c r="AL103" i="16"/>
  <c r="AK103" i="16"/>
  <c r="AJ103" i="16"/>
  <c r="AI103" i="16"/>
  <c r="AF103" i="16"/>
  <c r="AN102" i="16"/>
  <c r="AM102" i="16"/>
  <c r="AL102" i="16"/>
  <c r="AK102" i="16"/>
  <c r="AJ102" i="16"/>
  <c r="AI102" i="16"/>
  <c r="AF102" i="16"/>
  <c r="AN101" i="16"/>
  <c r="AM101" i="16"/>
  <c r="AL101" i="16"/>
  <c r="AK101" i="16"/>
  <c r="AJ101" i="16"/>
  <c r="AI101" i="16"/>
  <c r="AF101" i="16"/>
  <c r="AN100" i="16"/>
  <c r="AM100" i="16"/>
  <c r="AL100" i="16"/>
  <c r="AK100" i="16"/>
  <c r="AJ100" i="16"/>
  <c r="AI100" i="16"/>
  <c r="AF100" i="16"/>
  <c r="AN99" i="16"/>
  <c r="AM99" i="16"/>
  <c r="AL99" i="16"/>
  <c r="AK99" i="16"/>
  <c r="AJ99" i="16"/>
  <c r="AI99" i="16"/>
  <c r="AF99" i="16"/>
  <c r="AN98" i="16"/>
  <c r="AM98" i="16"/>
  <c r="AL98" i="16"/>
  <c r="AK98" i="16"/>
  <c r="AJ98" i="16"/>
  <c r="AI98" i="16"/>
  <c r="AF98" i="16"/>
  <c r="AN97" i="16"/>
  <c r="AM97" i="16"/>
  <c r="AL97" i="16"/>
  <c r="AK97" i="16"/>
  <c r="AJ97" i="16"/>
  <c r="AI97" i="16"/>
  <c r="AF97" i="16"/>
  <c r="AN96" i="16"/>
  <c r="AM96" i="16"/>
  <c r="AL96" i="16"/>
  <c r="AK96" i="16"/>
  <c r="AJ96" i="16"/>
  <c r="AI96" i="16"/>
  <c r="AF96" i="16"/>
  <c r="AN95" i="16"/>
  <c r="AM95" i="16"/>
  <c r="AL95" i="16"/>
  <c r="AK95" i="16"/>
  <c r="AJ95" i="16"/>
  <c r="AI95" i="16"/>
  <c r="AF95" i="16"/>
  <c r="AN94" i="16"/>
  <c r="AM94" i="16"/>
  <c r="AL94" i="16"/>
  <c r="AK94" i="16"/>
  <c r="AJ94" i="16"/>
  <c r="AI94" i="16"/>
  <c r="AF94" i="16"/>
  <c r="AN93" i="16"/>
  <c r="AM93" i="16"/>
  <c r="AL93" i="16"/>
  <c r="AK93" i="16"/>
  <c r="AJ93" i="16"/>
  <c r="AI93" i="16"/>
  <c r="AF93" i="16"/>
  <c r="AN92" i="16"/>
  <c r="AM92" i="16"/>
  <c r="AL92" i="16"/>
  <c r="AK92" i="16"/>
  <c r="AJ92" i="16"/>
  <c r="AI92" i="16"/>
  <c r="AF92" i="16"/>
  <c r="AN91" i="16"/>
  <c r="AM91" i="16"/>
  <c r="AL91" i="16"/>
  <c r="AK91" i="16"/>
  <c r="AJ91" i="16"/>
  <c r="AI91" i="16"/>
  <c r="AF91" i="16"/>
  <c r="AN90" i="16"/>
  <c r="AM90" i="16"/>
  <c r="AL90" i="16"/>
  <c r="AK90" i="16"/>
  <c r="AJ90" i="16"/>
  <c r="AI90" i="16"/>
  <c r="AF90" i="16"/>
  <c r="AN89" i="16"/>
  <c r="AM89" i="16"/>
  <c r="AL89" i="16"/>
  <c r="AK89" i="16"/>
  <c r="AJ89" i="16"/>
  <c r="AI89" i="16"/>
  <c r="AF89" i="16"/>
  <c r="AN88" i="16"/>
  <c r="AM88" i="16"/>
  <c r="AL88" i="16"/>
  <c r="AK88" i="16"/>
  <c r="AJ88" i="16"/>
  <c r="AI88" i="16"/>
  <c r="AF88" i="16"/>
  <c r="AN87" i="16"/>
  <c r="AM87" i="16"/>
  <c r="AL87" i="16"/>
  <c r="AK87" i="16"/>
  <c r="AJ87" i="16"/>
  <c r="AI87" i="16"/>
  <c r="AF87" i="16"/>
  <c r="AN86" i="16"/>
  <c r="AM86" i="16"/>
  <c r="AL86" i="16"/>
  <c r="AK86" i="16"/>
  <c r="AJ86" i="16"/>
  <c r="AI86" i="16"/>
  <c r="AF86" i="16"/>
  <c r="AN85" i="16"/>
  <c r="AM85" i="16"/>
  <c r="AL85" i="16"/>
  <c r="AK85" i="16"/>
  <c r="AJ85" i="16"/>
  <c r="AI85" i="16"/>
  <c r="AF85" i="16"/>
  <c r="AN84" i="16"/>
  <c r="AM84" i="16"/>
  <c r="AL84" i="16"/>
  <c r="AK84" i="16"/>
  <c r="AJ84" i="16"/>
  <c r="AI84" i="16"/>
  <c r="AF84" i="16"/>
  <c r="AN83" i="16"/>
  <c r="AM83" i="16"/>
  <c r="AL83" i="16"/>
  <c r="AK83" i="16"/>
  <c r="AJ83" i="16"/>
  <c r="AI83" i="16"/>
  <c r="AF83" i="16"/>
  <c r="AN82" i="16"/>
  <c r="AM82" i="16"/>
  <c r="AL82" i="16"/>
  <c r="AK82" i="16"/>
  <c r="AJ82" i="16"/>
  <c r="AI82" i="16"/>
  <c r="AF82" i="16"/>
  <c r="AN81" i="16"/>
  <c r="AM81" i="16"/>
  <c r="AL81" i="16"/>
  <c r="AK81" i="16"/>
  <c r="AJ81" i="16"/>
  <c r="AI81" i="16"/>
  <c r="AF81" i="16"/>
  <c r="AN80" i="16"/>
  <c r="AM80" i="16"/>
  <c r="AL80" i="16"/>
  <c r="AK80" i="16"/>
  <c r="AJ80" i="16"/>
  <c r="AI80" i="16"/>
  <c r="AF80" i="16"/>
  <c r="AN79" i="16"/>
  <c r="AM79" i="16"/>
  <c r="AL79" i="16"/>
  <c r="AK79" i="16"/>
  <c r="AJ79" i="16"/>
  <c r="AI79" i="16"/>
  <c r="AF79" i="16"/>
  <c r="AN78" i="16"/>
  <c r="AM78" i="16"/>
  <c r="AL78" i="16"/>
  <c r="AK78" i="16"/>
  <c r="AJ78" i="16"/>
  <c r="AI78" i="16"/>
  <c r="AF78" i="16"/>
  <c r="AN77" i="16"/>
  <c r="AM77" i="16"/>
  <c r="AL77" i="16"/>
  <c r="AK77" i="16"/>
  <c r="AJ77" i="16"/>
  <c r="AI77" i="16"/>
  <c r="AF77" i="16"/>
  <c r="AN76" i="16"/>
  <c r="AM76" i="16"/>
  <c r="AL76" i="16"/>
  <c r="AK76" i="16"/>
  <c r="AJ76" i="16"/>
  <c r="AI76" i="16"/>
  <c r="AF76" i="16"/>
  <c r="AN75" i="16"/>
  <c r="AM75" i="16"/>
  <c r="AL75" i="16"/>
  <c r="AK75" i="16"/>
  <c r="AJ75" i="16"/>
  <c r="AI75" i="16"/>
  <c r="AF75" i="16"/>
  <c r="AN74" i="16"/>
  <c r="AM74" i="16"/>
  <c r="AL74" i="16"/>
  <c r="AK74" i="16"/>
  <c r="AJ74" i="16"/>
  <c r="AI74" i="16"/>
  <c r="AF74" i="16"/>
  <c r="AN73" i="16"/>
  <c r="AM73" i="16"/>
  <c r="AL73" i="16"/>
  <c r="AK73" i="16"/>
  <c r="AJ73" i="16"/>
  <c r="AI73" i="16"/>
  <c r="AF73" i="16"/>
  <c r="AN72" i="16"/>
  <c r="AM72" i="16"/>
  <c r="AL72" i="16"/>
  <c r="AK72" i="16"/>
  <c r="AJ72" i="16"/>
  <c r="AI72" i="16"/>
  <c r="AF72" i="16"/>
  <c r="AN71" i="16"/>
  <c r="AM71" i="16"/>
  <c r="AL71" i="16"/>
  <c r="AK71" i="16"/>
  <c r="AJ71" i="16"/>
  <c r="AI71" i="16"/>
  <c r="AF71" i="16"/>
  <c r="AN70" i="16"/>
  <c r="AM70" i="16"/>
  <c r="AL70" i="16"/>
  <c r="AK70" i="16"/>
  <c r="AJ70" i="16"/>
  <c r="AI70" i="16"/>
  <c r="AF70" i="16"/>
  <c r="AN69" i="16"/>
  <c r="AM69" i="16"/>
  <c r="AL69" i="16"/>
  <c r="AK69" i="16"/>
  <c r="AJ69" i="16"/>
  <c r="AI69" i="16"/>
  <c r="AF69" i="16"/>
  <c r="AN68" i="16"/>
  <c r="AM68" i="16"/>
  <c r="AL68" i="16"/>
  <c r="AK68" i="16"/>
  <c r="AJ68" i="16"/>
  <c r="AI68" i="16"/>
  <c r="AF68" i="16"/>
  <c r="AN67" i="16"/>
  <c r="AM67" i="16"/>
  <c r="AL67" i="16"/>
  <c r="AK67" i="16"/>
  <c r="AJ67" i="16"/>
  <c r="AI67" i="16"/>
  <c r="AF67" i="16"/>
  <c r="AN66" i="16"/>
  <c r="AM66" i="16"/>
  <c r="AL66" i="16"/>
  <c r="AK66" i="16"/>
  <c r="AJ66" i="16"/>
  <c r="AI66" i="16"/>
  <c r="AF66" i="16"/>
  <c r="AN65" i="16"/>
  <c r="AM65" i="16"/>
  <c r="AL65" i="16"/>
  <c r="AK65" i="16"/>
  <c r="AJ65" i="16"/>
  <c r="AI65" i="16"/>
  <c r="AF65" i="16"/>
  <c r="AN64" i="16"/>
  <c r="AM64" i="16"/>
  <c r="AL64" i="16"/>
  <c r="AK64" i="16"/>
  <c r="AJ64" i="16"/>
  <c r="AI64" i="16"/>
  <c r="AF64" i="16"/>
  <c r="AN63" i="16"/>
  <c r="AM63" i="16"/>
  <c r="AL63" i="16"/>
  <c r="AK63" i="16"/>
  <c r="AJ63" i="16"/>
  <c r="AI63" i="16"/>
  <c r="AF63" i="16"/>
  <c r="AN62" i="16"/>
  <c r="AM62" i="16"/>
  <c r="AL62" i="16"/>
  <c r="AK62" i="16"/>
  <c r="AJ62" i="16"/>
  <c r="AI62" i="16"/>
  <c r="AF62" i="16"/>
  <c r="AN61" i="16"/>
  <c r="AM61" i="16"/>
  <c r="AL61" i="16"/>
  <c r="AK61" i="16"/>
  <c r="AJ61" i="16"/>
  <c r="AI61" i="16"/>
  <c r="AF61" i="16"/>
  <c r="AN60" i="16"/>
  <c r="AM60" i="16"/>
  <c r="AL60" i="16"/>
  <c r="AK60" i="16"/>
  <c r="AJ60" i="16"/>
  <c r="AI60" i="16"/>
  <c r="AF60" i="16"/>
  <c r="AN59" i="16"/>
  <c r="AM59" i="16"/>
  <c r="AL59" i="16"/>
  <c r="AK59" i="16"/>
  <c r="AJ59" i="16"/>
  <c r="AI59" i="16"/>
  <c r="AF59" i="16"/>
  <c r="AN58" i="16"/>
  <c r="AM58" i="16"/>
  <c r="AL58" i="16"/>
  <c r="AK58" i="16"/>
  <c r="AJ58" i="16"/>
  <c r="AI58" i="16"/>
  <c r="AF58" i="16"/>
  <c r="AN57" i="16"/>
  <c r="AM57" i="16"/>
  <c r="AL57" i="16"/>
  <c r="AK57" i="16"/>
  <c r="AJ57" i="16"/>
  <c r="AI57" i="16"/>
  <c r="AF57" i="16"/>
  <c r="AN56" i="16"/>
  <c r="AM56" i="16"/>
  <c r="AL56" i="16"/>
  <c r="AK56" i="16"/>
  <c r="AJ56" i="16"/>
  <c r="AI56" i="16"/>
  <c r="AF56" i="16"/>
  <c r="AN55" i="16"/>
  <c r="AM55" i="16"/>
  <c r="AL55" i="16"/>
  <c r="AK55" i="16"/>
  <c r="AJ55" i="16"/>
  <c r="AI55" i="16"/>
  <c r="AF55" i="16"/>
  <c r="AN54" i="16"/>
  <c r="AM54" i="16"/>
  <c r="AL54" i="16"/>
  <c r="AK54" i="16"/>
  <c r="AJ54" i="16"/>
  <c r="AI54" i="16"/>
  <c r="AF54" i="16"/>
  <c r="AN53" i="16"/>
  <c r="AM53" i="16"/>
  <c r="AL53" i="16"/>
  <c r="AK53" i="16"/>
  <c r="AJ53" i="16"/>
  <c r="AI53" i="16"/>
  <c r="AF53" i="16"/>
  <c r="AN52" i="16"/>
  <c r="AM52" i="16"/>
  <c r="AL52" i="16"/>
  <c r="AK52" i="16"/>
  <c r="AJ52" i="16"/>
  <c r="AI52" i="16"/>
  <c r="AF52" i="16"/>
  <c r="AN51" i="16"/>
  <c r="AM51" i="16"/>
  <c r="AL51" i="16"/>
  <c r="AK51" i="16"/>
  <c r="AJ51" i="16"/>
  <c r="AI51" i="16"/>
  <c r="AF51" i="16"/>
  <c r="AN50" i="16"/>
  <c r="AM50" i="16"/>
  <c r="AL50" i="16"/>
  <c r="AK50" i="16"/>
  <c r="AJ50" i="16"/>
  <c r="AI50" i="16"/>
  <c r="AF50" i="16"/>
  <c r="AN49" i="16"/>
  <c r="AM49" i="16"/>
  <c r="AL49" i="16"/>
  <c r="AK49" i="16"/>
  <c r="AJ49" i="16"/>
  <c r="AI49" i="16"/>
  <c r="AF49" i="16"/>
  <c r="AN48" i="16"/>
  <c r="AM48" i="16"/>
  <c r="AL48" i="16"/>
  <c r="AK48" i="16"/>
  <c r="AJ48" i="16"/>
  <c r="AI48" i="16"/>
  <c r="AF48" i="16"/>
  <c r="AN47" i="16"/>
  <c r="AM47" i="16"/>
  <c r="AL47" i="16"/>
  <c r="AK47" i="16"/>
  <c r="AJ47" i="16"/>
  <c r="AI47" i="16"/>
  <c r="AF47" i="16"/>
  <c r="AN46" i="16"/>
  <c r="AM46" i="16"/>
  <c r="AL46" i="16"/>
  <c r="AK46" i="16"/>
  <c r="AJ46" i="16"/>
  <c r="AI46" i="16"/>
  <c r="AF46" i="16"/>
  <c r="AN45" i="16"/>
  <c r="AM45" i="16"/>
  <c r="AL45" i="16"/>
  <c r="AK45" i="16"/>
  <c r="AJ45" i="16"/>
  <c r="AI45" i="16"/>
  <c r="AF45" i="16"/>
  <c r="AN44" i="16"/>
  <c r="AM44" i="16"/>
  <c r="AL44" i="16"/>
  <c r="AK44" i="16"/>
  <c r="AJ44" i="16"/>
  <c r="AI44" i="16"/>
  <c r="AF44" i="16"/>
  <c r="AN43" i="16"/>
  <c r="AM43" i="16"/>
  <c r="AL43" i="16"/>
  <c r="AK43" i="16"/>
  <c r="AJ43" i="16"/>
  <c r="AI43" i="16"/>
  <c r="AF43" i="16"/>
  <c r="AN42" i="16"/>
  <c r="AM42" i="16"/>
  <c r="AL42" i="16"/>
  <c r="AK42" i="16"/>
  <c r="AJ42" i="16"/>
  <c r="AI42" i="16"/>
  <c r="AF42" i="16"/>
  <c r="AN41" i="16"/>
  <c r="AM41" i="16"/>
  <c r="AL41" i="16"/>
  <c r="AK41" i="16"/>
  <c r="AJ41" i="16"/>
  <c r="AI41" i="16"/>
  <c r="AF41" i="16"/>
  <c r="AN40" i="16"/>
  <c r="AM40" i="16"/>
  <c r="AL40" i="16"/>
  <c r="AK40" i="16"/>
  <c r="AJ40" i="16"/>
  <c r="AI40" i="16"/>
  <c r="AF40" i="16"/>
  <c r="AN39" i="16"/>
  <c r="AM39" i="16"/>
  <c r="AL39" i="16"/>
  <c r="AK39" i="16"/>
  <c r="AJ39" i="16"/>
  <c r="AI39" i="16"/>
  <c r="AF39" i="16"/>
  <c r="AN38" i="16"/>
  <c r="AM38" i="16"/>
  <c r="AL38" i="16"/>
  <c r="AK38" i="16"/>
  <c r="AJ38" i="16"/>
  <c r="AI38" i="16"/>
  <c r="AF38" i="16"/>
  <c r="AN37" i="16"/>
  <c r="AM37" i="16"/>
  <c r="AL37" i="16"/>
  <c r="AK37" i="16"/>
  <c r="AJ37" i="16"/>
  <c r="AI37" i="16"/>
  <c r="AF37" i="16"/>
  <c r="AN36" i="16"/>
  <c r="AM36" i="16"/>
  <c r="AL36" i="16"/>
  <c r="AK36" i="16"/>
  <c r="AJ36" i="16"/>
  <c r="AI36" i="16"/>
  <c r="AF36" i="16"/>
  <c r="AN35" i="16"/>
  <c r="AM35" i="16"/>
  <c r="AL35" i="16"/>
  <c r="AK35" i="16"/>
  <c r="AJ35" i="16"/>
  <c r="AI35" i="16"/>
  <c r="AF35" i="16"/>
  <c r="AN34" i="16"/>
  <c r="AM34" i="16"/>
  <c r="AL34" i="16"/>
  <c r="AK34" i="16"/>
  <c r="AJ34" i="16"/>
  <c r="AI34" i="16"/>
  <c r="AF34" i="16"/>
  <c r="AN33" i="16"/>
  <c r="AM33" i="16"/>
  <c r="AL33" i="16"/>
  <c r="AK33" i="16"/>
  <c r="AJ33" i="16"/>
  <c r="AI33" i="16"/>
  <c r="AF33" i="16"/>
  <c r="AN32" i="16"/>
  <c r="AM32" i="16"/>
  <c r="AL32" i="16"/>
  <c r="AK32" i="16"/>
  <c r="AJ32" i="16"/>
  <c r="AI32" i="16"/>
  <c r="AF32" i="16"/>
  <c r="AN31" i="16"/>
  <c r="AM31" i="16"/>
  <c r="AL31" i="16"/>
  <c r="AK31" i="16"/>
  <c r="AJ31" i="16"/>
  <c r="AI31" i="16"/>
  <c r="AF31" i="16"/>
  <c r="AN30" i="16"/>
  <c r="AM30" i="16"/>
  <c r="AL30" i="16"/>
  <c r="AK30" i="16"/>
  <c r="AJ30" i="16"/>
  <c r="AI30" i="16"/>
  <c r="AF30" i="16"/>
  <c r="AN29" i="16"/>
  <c r="AM29" i="16"/>
  <c r="AL29" i="16"/>
  <c r="AK29" i="16"/>
  <c r="AJ29" i="16"/>
  <c r="AI29" i="16"/>
  <c r="AF29" i="16"/>
  <c r="AN28" i="16"/>
  <c r="AM28" i="16"/>
  <c r="AL28" i="16"/>
  <c r="AK28" i="16"/>
  <c r="AJ28" i="16"/>
  <c r="AI28" i="16"/>
  <c r="AF28" i="16"/>
  <c r="AN27" i="16"/>
  <c r="AM27" i="16"/>
  <c r="AL27" i="16"/>
  <c r="AK27" i="16"/>
  <c r="AJ27" i="16"/>
  <c r="AI27" i="16"/>
  <c r="AF27" i="16"/>
  <c r="AN26" i="16"/>
  <c r="AM26" i="16"/>
  <c r="AL26" i="16"/>
  <c r="AK26" i="16"/>
  <c r="AJ26" i="16"/>
  <c r="AI26" i="16"/>
  <c r="AF26" i="16"/>
  <c r="AN25" i="16"/>
  <c r="AM25" i="16"/>
  <c r="AL25" i="16"/>
  <c r="AK25" i="16"/>
  <c r="AJ25" i="16"/>
  <c r="AI25" i="16"/>
  <c r="AF25" i="16"/>
  <c r="AN24" i="16"/>
  <c r="AM24" i="16"/>
  <c r="AL24" i="16"/>
  <c r="AK24" i="16"/>
  <c r="AJ24" i="16"/>
  <c r="AI24" i="16"/>
  <c r="AF24" i="16"/>
  <c r="AN23" i="16"/>
  <c r="AM23" i="16"/>
  <c r="AL23" i="16"/>
  <c r="AK23" i="16"/>
  <c r="AJ23" i="16"/>
  <c r="AI23" i="16"/>
  <c r="AF23" i="16"/>
  <c r="AN22" i="16"/>
  <c r="AM22" i="16"/>
  <c r="AL22" i="16"/>
  <c r="AK22" i="16"/>
  <c r="AJ22" i="16"/>
  <c r="AI22" i="16"/>
  <c r="AF22" i="16"/>
  <c r="AN21" i="16"/>
  <c r="AM21" i="16"/>
  <c r="AL21" i="16"/>
  <c r="AK21" i="16"/>
  <c r="AJ21" i="16"/>
  <c r="AI21" i="16"/>
  <c r="AF21" i="16"/>
  <c r="AN20" i="16"/>
  <c r="AM20" i="16"/>
  <c r="AL20" i="16"/>
  <c r="AK20" i="16"/>
  <c r="AJ20" i="16"/>
  <c r="AI20" i="16"/>
  <c r="AF20" i="16"/>
  <c r="AN19" i="16"/>
  <c r="AM19" i="16"/>
  <c r="AL19" i="16"/>
  <c r="AK19" i="16"/>
  <c r="AJ19" i="16"/>
  <c r="AI19" i="16"/>
  <c r="AF19" i="16"/>
  <c r="AN18" i="16"/>
  <c r="AM18" i="16"/>
  <c r="AL18" i="16"/>
  <c r="AK18" i="16"/>
  <c r="AJ18" i="16"/>
  <c r="AI18" i="16"/>
  <c r="AF18" i="16"/>
  <c r="AN17" i="16"/>
  <c r="AM17" i="16"/>
  <c r="AL17" i="16"/>
  <c r="AK17" i="16"/>
  <c r="AJ17" i="16"/>
  <c r="AI17" i="16"/>
  <c r="AF17" i="16"/>
  <c r="AN16" i="16"/>
  <c r="AM16" i="16"/>
  <c r="AL16" i="16"/>
  <c r="AK16" i="16"/>
  <c r="AJ16" i="16"/>
  <c r="AI16" i="16"/>
  <c r="AF16" i="16"/>
  <c r="AN15" i="16"/>
  <c r="AM15" i="16"/>
  <c r="AL15" i="16"/>
  <c r="AK15" i="16"/>
  <c r="AJ15" i="16"/>
  <c r="AI15" i="16"/>
  <c r="AF15" i="16"/>
  <c r="AN14" i="16"/>
  <c r="AM14" i="16"/>
  <c r="AL14" i="16"/>
  <c r="AK14" i="16"/>
  <c r="AJ14" i="16"/>
  <c r="AI14" i="16"/>
  <c r="AF14" i="16"/>
  <c r="AN13" i="16"/>
  <c r="AM13" i="16"/>
  <c r="AL13" i="16"/>
  <c r="AK13" i="16"/>
  <c r="AJ13" i="16"/>
  <c r="AI13" i="16"/>
  <c r="AF13" i="16"/>
  <c r="AN12" i="16"/>
  <c r="AM12" i="16"/>
  <c r="AL12" i="16"/>
  <c r="AK12" i="16"/>
  <c r="AJ12" i="16"/>
  <c r="AI12" i="16"/>
  <c r="AF12" i="16"/>
  <c r="AN11" i="16"/>
  <c r="AM11" i="16"/>
  <c r="AL11" i="16"/>
  <c r="AK11" i="16"/>
  <c r="AJ11" i="16"/>
  <c r="AI11" i="16"/>
  <c r="AF11" i="16"/>
  <c r="AN10" i="16"/>
  <c r="AM10" i="16"/>
  <c r="AL10" i="16"/>
  <c r="AK10" i="16"/>
  <c r="AJ10" i="16"/>
  <c r="AI10" i="16"/>
  <c r="AF10" i="16"/>
  <c r="AN9" i="16"/>
  <c r="AM9" i="16"/>
  <c r="AL9" i="16"/>
  <c r="AK9" i="16"/>
  <c r="AJ9" i="16"/>
  <c r="AI9" i="16"/>
  <c r="AF9" i="16"/>
  <c r="AN8" i="16"/>
  <c r="AM8" i="16"/>
  <c r="AL8" i="16"/>
  <c r="AK8" i="16"/>
  <c r="AJ8" i="16"/>
  <c r="AI8" i="16"/>
  <c r="AF8" i="16"/>
  <c r="AN7" i="16"/>
  <c r="AM7" i="16"/>
  <c r="AL7" i="16"/>
  <c r="AK7" i="16"/>
  <c r="AJ7" i="16"/>
  <c r="AI7" i="16"/>
  <c r="AF7" i="16"/>
  <c r="AN6" i="16"/>
  <c r="AM6" i="16"/>
  <c r="AL6" i="16"/>
  <c r="AK6" i="16"/>
  <c r="AJ6" i="16"/>
  <c r="AI6" i="16"/>
  <c r="AF6" i="16"/>
  <c r="AN5" i="16"/>
  <c r="AM5" i="16"/>
  <c r="AL5" i="16"/>
  <c r="AK5" i="16"/>
  <c r="AJ5" i="16"/>
  <c r="AI5" i="16"/>
  <c r="AF5" i="16"/>
  <c r="AN4" i="16"/>
  <c r="AM4" i="16"/>
  <c r="AL4" i="16"/>
  <c r="AK4" i="16"/>
  <c r="AJ4" i="16"/>
  <c r="AI4" i="16"/>
  <c r="AF4" i="16"/>
  <c r="AN3" i="16"/>
  <c r="AM3" i="16"/>
  <c r="AL3" i="16"/>
  <c r="AK3" i="16"/>
  <c r="AJ3" i="16"/>
  <c r="AI3" i="16"/>
  <c r="AF3" i="16"/>
  <c r="AG3510" i="16" l="1"/>
  <c r="AH3510" i="16"/>
  <c r="AG3511" i="16"/>
  <c r="AG3512" i="16"/>
  <c r="AG3509" i="16"/>
  <c r="AH3509" i="16"/>
  <c r="AH3512" i="16"/>
  <c r="AH3511" i="16"/>
  <c r="AG6" i="16"/>
  <c r="AG10" i="16"/>
  <c r="AH9" i="16"/>
  <c r="AH5" i="16"/>
  <c r="AH13" i="16"/>
  <c r="AG14" i="16"/>
  <c r="AG4" i="16"/>
  <c r="AG12" i="16"/>
  <c r="AH20" i="16"/>
  <c r="AG205" i="16"/>
  <c r="AH6" i="16"/>
  <c r="AG13" i="16"/>
  <c r="AH17" i="16"/>
  <c r="AG153" i="16"/>
  <c r="AG169" i="16"/>
  <c r="AG8" i="16"/>
  <c r="AG105" i="16"/>
  <c r="AG129" i="16"/>
  <c r="AG145" i="16"/>
  <c r="AG41" i="16"/>
  <c r="AG49" i="16"/>
  <c r="AG57" i="16"/>
  <c r="AG65" i="16"/>
  <c r="AG73" i="16"/>
  <c r="AG81" i="16"/>
  <c r="AG97" i="16"/>
  <c r="AG113" i="16"/>
  <c r="AG137" i="16"/>
  <c r="AH152" i="16"/>
  <c r="AH168" i="16"/>
  <c r="AH184" i="16"/>
  <c r="AG9" i="16"/>
  <c r="AH28" i="16"/>
  <c r="AH36" i="16"/>
  <c r="AH44" i="16"/>
  <c r="AH52" i="16"/>
  <c r="AH60" i="16"/>
  <c r="AH68" i="16"/>
  <c r="AH76" i="16"/>
  <c r="AH84" i="16"/>
  <c r="AH92" i="16"/>
  <c r="AH100" i="16"/>
  <c r="AH108" i="16"/>
  <c r="AH116" i="16"/>
  <c r="AH124" i="16"/>
  <c r="AH132" i="16"/>
  <c r="AH140" i="16"/>
  <c r="AG157" i="16"/>
  <c r="AH176" i="16"/>
  <c r="AG189" i="16"/>
  <c r="AG209" i="16"/>
  <c r="AG213" i="16"/>
  <c r="AH228" i="16"/>
  <c r="AG38" i="16"/>
  <c r="AG54" i="16"/>
  <c r="AG78" i="16"/>
  <c r="AG94" i="16"/>
  <c r="AG126" i="16"/>
  <c r="AH172" i="16"/>
  <c r="AH208" i="16"/>
  <c r="AH224" i="16"/>
  <c r="AH25" i="16"/>
  <c r="AG29" i="16"/>
  <c r="AG37" i="16"/>
  <c r="AG45" i="16"/>
  <c r="AG53" i="16"/>
  <c r="AG61" i="16"/>
  <c r="AG69" i="16"/>
  <c r="AG77" i="16"/>
  <c r="AH89" i="16"/>
  <c r="AG93" i="16"/>
  <c r="AG101" i="16"/>
  <c r="AG109" i="16"/>
  <c r="AH121" i="16"/>
  <c r="AG125" i="16"/>
  <c r="AG133" i="16"/>
  <c r="AG141" i="16"/>
  <c r="AH148" i="16"/>
  <c r="AG161" i="16"/>
  <c r="AG173" i="16"/>
  <c r="AG193" i="16"/>
  <c r="AG229" i="16"/>
  <c r="AG22" i="16"/>
  <c r="AG46" i="16"/>
  <c r="AG62" i="16"/>
  <c r="AG86" i="16"/>
  <c r="AG102" i="16"/>
  <c r="AG118" i="16"/>
  <c r="AG142" i="16"/>
  <c r="AG197" i="16"/>
  <c r="AG214" i="16"/>
  <c r="AH21" i="16"/>
  <c r="AH29" i="16"/>
  <c r="AH37" i="16"/>
  <c r="AH40" i="16"/>
  <c r="AH45" i="16"/>
  <c r="AH48" i="16"/>
  <c r="AH53" i="16"/>
  <c r="AH56" i="16"/>
  <c r="AH61" i="16"/>
  <c r="AH64" i="16"/>
  <c r="AH69" i="16"/>
  <c r="AH72" i="16"/>
  <c r="AH77" i="16"/>
  <c r="AH80" i="16"/>
  <c r="AH85" i="16"/>
  <c r="AH88" i="16"/>
  <c r="AG89" i="16"/>
  <c r="AH93" i="16"/>
  <c r="AH96" i="16"/>
  <c r="AH101" i="16"/>
  <c r="AH104" i="16"/>
  <c r="AH109" i="16"/>
  <c r="AH112" i="16"/>
  <c r="AH117" i="16"/>
  <c r="AH120" i="16"/>
  <c r="AG121" i="16"/>
  <c r="AH125" i="16"/>
  <c r="AH128" i="16"/>
  <c r="AH133" i="16"/>
  <c r="AH136" i="16"/>
  <c r="AH141" i="16"/>
  <c r="AH144" i="16"/>
  <c r="AH149" i="16"/>
  <c r="AG165" i="16"/>
  <c r="AG181" i="16"/>
  <c r="AG185" i="16"/>
  <c r="AG201" i="16"/>
  <c r="AG202" i="16"/>
  <c r="AG217" i="16"/>
  <c r="AH220" i="16"/>
  <c r="AG221" i="16"/>
  <c r="AG21" i="16"/>
  <c r="AH33" i="16"/>
  <c r="AH41" i="16"/>
  <c r="AH49" i="16"/>
  <c r="AH57" i="16"/>
  <c r="AH65" i="16"/>
  <c r="AH73" i="16"/>
  <c r="AH81" i="16"/>
  <c r="AG85" i="16"/>
  <c r="AH97" i="16"/>
  <c r="AH105" i="16"/>
  <c r="AH113" i="16"/>
  <c r="AG117" i="16"/>
  <c r="AH129" i="16"/>
  <c r="AH137" i="16"/>
  <c r="AH145" i="16"/>
  <c r="AG149" i="16"/>
  <c r="AH160" i="16"/>
  <c r="AG177" i="16"/>
  <c r="AH192" i="16"/>
  <c r="AG210" i="16"/>
  <c r="AG225" i="16"/>
  <c r="AG30" i="16"/>
  <c r="AG70" i="16"/>
  <c r="AG110" i="16"/>
  <c r="AG134" i="16"/>
  <c r="AH156" i="16"/>
  <c r="AH188" i="16"/>
  <c r="AG230" i="16"/>
  <c r="AH16" i="16"/>
  <c r="AG17" i="16"/>
  <c r="AH24" i="16"/>
  <c r="AG25" i="16"/>
  <c r="AH32" i="16"/>
  <c r="AG33" i="16"/>
  <c r="AH4" i="16"/>
  <c r="AG5" i="16"/>
  <c r="AH8" i="16"/>
  <c r="AH12" i="16"/>
  <c r="AG18" i="16"/>
  <c r="AG26" i="16"/>
  <c r="AG34" i="16"/>
  <c r="AG42" i="16"/>
  <c r="AG50" i="16"/>
  <c r="AG58" i="16"/>
  <c r="AG66" i="16"/>
  <c r="AG74" i="16"/>
  <c r="AG82" i="16"/>
  <c r="AG90" i="16"/>
  <c r="AG98" i="16"/>
  <c r="AG106" i="16"/>
  <c r="AG114" i="16"/>
  <c r="AG122" i="16"/>
  <c r="AG130" i="16"/>
  <c r="AG138" i="16"/>
  <c r="AG146" i="16"/>
  <c r="AH164" i="16"/>
  <c r="AH180" i="16"/>
  <c r="AH200" i="16"/>
  <c r="AH204" i="16"/>
  <c r="AH216" i="16"/>
  <c r="AG222" i="16"/>
  <c r="AG16" i="16"/>
  <c r="AG20" i="16"/>
  <c r="AG24" i="16"/>
  <c r="AG28" i="16"/>
  <c r="AG48" i="16"/>
  <c r="AG68" i="16"/>
  <c r="AG72" i="16"/>
  <c r="AG88" i="16"/>
  <c r="AG92" i="16"/>
  <c r="AG96" i="16"/>
  <c r="AG100" i="16"/>
  <c r="AG104" i="16"/>
  <c r="AG108" i="16"/>
  <c r="AG112" i="16"/>
  <c r="AG116" i="16"/>
  <c r="AG120" i="16"/>
  <c r="AG124" i="16"/>
  <c r="AG128" i="16"/>
  <c r="AG132" i="16"/>
  <c r="AG136" i="16"/>
  <c r="AG140" i="16"/>
  <c r="AG144" i="16"/>
  <c r="AG148" i="16"/>
  <c r="AG206" i="16"/>
  <c r="AG779" i="16"/>
  <c r="AH212" i="16"/>
  <c r="AG32" i="16"/>
  <c r="AG36" i="16"/>
  <c r="AG40" i="16"/>
  <c r="AG44" i="16"/>
  <c r="AG52" i="16"/>
  <c r="AG56" i="16"/>
  <c r="AG60" i="16"/>
  <c r="AG64" i="16"/>
  <c r="AG76" i="16"/>
  <c r="AG80" i="16"/>
  <c r="AG84" i="16"/>
  <c r="AH229" i="16"/>
  <c r="AG218" i="16"/>
  <c r="AG226" i="16"/>
  <c r="AH328" i="16"/>
  <c r="AG337" i="16"/>
  <c r="AG345" i="16"/>
  <c r="AH360" i="16"/>
  <c r="AH368" i="16"/>
  <c r="AH384" i="16"/>
  <c r="AH392" i="16"/>
  <c r="AG401" i="16"/>
  <c r="AH416" i="16"/>
  <c r="AG419" i="16"/>
  <c r="AG425" i="16"/>
  <c r="AG429" i="16"/>
  <c r="AG433" i="16"/>
  <c r="AH440" i="16"/>
  <c r="AH442" i="16"/>
  <c r="AG449" i="16"/>
  <c r="AG453" i="16"/>
  <c r="AG457" i="16"/>
  <c r="AH464" i="16"/>
  <c r="AH466" i="16"/>
  <c r="AH474" i="16"/>
  <c r="AG483" i="16"/>
  <c r="AH498" i="16"/>
  <c r="AG507" i="16"/>
  <c r="AH522" i="16"/>
  <c r="AG531" i="16"/>
  <c r="AH546" i="16"/>
  <c r="AH554" i="16"/>
  <c r="AH570" i="16"/>
  <c r="AG579" i="16"/>
  <c r="AH594" i="16"/>
  <c r="AG603" i="16"/>
  <c r="AH634" i="16"/>
  <c r="AG651" i="16"/>
  <c r="AH682" i="16"/>
  <c r="AG699" i="16"/>
  <c r="AH730" i="16"/>
  <c r="AG747" i="16"/>
  <c r="AG763" i="16"/>
  <c r="AG795" i="16"/>
  <c r="AH7" i="16"/>
  <c r="AG7" i="16"/>
  <c r="AH11" i="16"/>
  <c r="AG11" i="16"/>
  <c r="AH35" i="16"/>
  <c r="AG35" i="16"/>
  <c r="AH43" i="16"/>
  <c r="AG43" i="16"/>
  <c r="AH51" i="16"/>
  <c r="AG51" i="16"/>
  <c r="AH55" i="16"/>
  <c r="AG55" i="16"/>
  <c r="AH87" i="16"/>
  <c r="AG87" i="16"/>
  <c r="AH99" i="16"/>
  <c r="AG99" i="16"/>
  <c r="AH103" i="16"/>
  <c r="AG103" i="16"/>
  <c r="AH115" i="16"/>
  <c r="AG115" i="16"/>
  <c r="AH127" i="16"/>
  <c r="AG127" i="16"/>
  <c r="AH135" i="16"/>
  <c r="AG135" i="16"/>
  <c r="AG150" i="16"/>
  <c r="AH151" i="16"/>
  <c r="AG151" i="16"/>
  <c r="AG154" i="16"/>
  <c r="AH155" i="16"/>
  <c r="AG155" i="16"/>
  <c r="AG158" i="16"/>
  <c r="AH159" i="16"/>
  <c r="AG159" i="16"/>
  <c r="AH161" i="16"/>
  <c r="AG162" i="16"/>
  <c r="AG164" i="16"/>
  <c r="AH165" i="16"/>
  <c r="AH167" i="16"/>
  <c r="AG167" i="16"/>
  <c r="AH169" i="16"/>
  <c r="AH171" i="16"/>
  <c r="AG171" i="16"/>
  <c r="AG172" i="16"/>
  <c r="AH173" i="16"/>
  <c r="AG174" i="16"/>
  <c r="AH175" i="16"/>
  <c r="AG175" i="16"/>
  <c r="AG176" i="16"/>
  <c r="AH177" i="16"/>
  <c r="AG178" i="16"/>
  <c r="AH179" i="16"/>
  <c r="AG179" i="16"/>
  <c r="AG180" i="16"/>
  <c r="AH181" i="16"/>
  <c r="AG182" i="16"/>
  <c r="AH183" i="16"/>
  <c r="AG183" i="16"/>
  <c r="AG184" i="16"/>
  <c r="AH185" i="16"/>
  <c r="AG186" i="16"/>
  <c r="AH187" i="16"/>
  <c r="AG187" i="16"/>
  <c r="AG188" i="16"/>
  <c r="AH189" i="16"/>
  <c r="AG190" i="16"/>
  <c r="AH191" i="16"/>
  <c r="AG191" i="16"/>
  <c r="AG192" i="16"/>
  <c r="AH193" i="16"/>
  <c r="AG194" i="16"/>
  <c r="AH195" i="16"/>
  <c r="AG195" i="16"/>
  <c r="AG196" i="16"/>
  <c r="AH197" i="16"/>
  <c r="AG198" i="16"/>
  <c r="AH199" i="16"/>
  <c r="AG199" i="16"/>
  <c r="AG200" i="16"/>
  <c r="AH201" i="16"/>
  <c r="AH203" i="16"/>
  <c r="AG203" i="16"/>
  <c r="AG204" i="16"/>
  <c r="AH205" i="16"/>
  <c r="AH207" i="16"/>
  <c r="AG207" i="16"/>
  <c r="AG208" i="16"/>
  <c r="AH209" i="16"/>
  <c r="AH211" i="16"/>
  <c r="AG211" i="16"/>
  <c r="AG212" i="16"/>
  <c r="AH213" i="16"/>
  <c r="AH215" i="16"/>
  <c r="AG215" i="16"/>
  <c r="AG216" i="16"/>
  <c r="AH217" i="16"/>
  <c r="AH219" i="16"/>
  <c r="AG219" i="16"/>
  <c r="AG220" i="16"/>
  <c r="AH221" i="16"/>
  <c r="AH223" i="16"/>
  <c r="AG223" i="16"/>
  <c r="AG224" i="16"/>
  <c r="AH225" i="16"/>
  <c r="AH227" i="16"/>
  <c r="AG227" i="16"/>
  <c r="AG228" i="16"/>
  <c r="AH231" i="16"/>
  <c r="AG231" i="16"/>
  <c r="AH233" i="16"/>
  <c r="AG233" i="16"/>
  <c r="AH235" i="16"/>
  <c r="AG235" i="16"/>
  <c r="AH237" i="16"/>
  <c r="AG237" i="16"/>
  <c r="AH330" i="16"/>
  <c r="AG330" i="16"/>
  <c r="AH338" i="16"/>
  <c r="AG338" i="16"/>
  <c r="AH346" i="16"/>
  <c r="AG346" i="16"/>
  <c r="AH354" i="16"/>
  <c r="AG354" i="16"/>
  <c r="AH362" i="16"/>
  <c r="AG362" i="16"/>
  <c r="AH370" i="16"/>
  <c r="AG370" i="16"/>
  <c r="AH378" i="16"/>
  <c r="AG378" i="16"/>
  <c r="AH383" i="16"/>
  <c r="AG383" i="16"/>
  <c r="AG384" i="16"/>
  <c r="AG386" i="16"/>
  <c r="AH386" i="16"/>
  <c r="AH391" i="16"/>
  <c r="AG391" i="16"/>
  <c r="AG392" i="16"/>
  <c r="AG394" i="16"/>
  <c r="AH394" i="16"/>
  <c r="AH399" i="16"/>
  <c r="AG399" i="16"/>
  <c r="AG400" i="16"/>
  <c r="AH402" i="16"/>
  <c r="AG402" i="16"/>
  <c r="AH407" i="16"/>
  <c r="AG407" i="16"/>
  <c r="AG408" i="16"/>
  <c r="AH410" i="16"/>
  <c r="AG410" i="16"/>
  <c r="AH415" i="16"/>
  <c r="AG415" i="16"/>
  <c r="AG416" i="16"/>
  <c r="AH420" i="16"/>
  <c r="AG420" i="16"/>
  <c r="AH423" i="16"/>
  <c r="AG423" i="16"/>
  <c r="AG428" i="16"/>
  <c r="AH428" i="16"/>
  <c r="AH431" i="16"/>
  <c r="AG431" i="16"/>
  <c r="AH436" i="16"/>
  <c r="AG436" i="16"/>
  <c r="AH439" i="16"/>
  <c r="AG439" i="16"/>
  <c r="AH444" i="16"/>
  <c r="AG444" i="16"/>
  <c r="AH447" i="16"/>
  <c r="AG447" i="16"/>
  <c r="AH452" i="16"/>
  <c r="AG452" i="16"/>
  <c r="AH455" i="16"/>
  <c r="AG455" i="16"/>
  <c r="AH460" i="16"/>
  <c r="AG460" i="16"/>
  <c r="AH463" i="16"/>
  <c r="AG463" i="16"/>
  <c r="AH196" i="16"/>
  <c r="AH336" i="16"/>
  <c r="AH352" i="16"/>
  <c r="AG361" i="16"/>
  <c r="AH376" i="16"/>
  <c r="AG385" i="16"/>
  <c r="AH400" i="16"/>
  <c r="AG409" i="16"/>
  <c r="AH418" i="16"/>
  <c r="AH424" i="16"/>
  <c r="AH432" i="16"/>
  <c r="AG435" i="16"/>
  <c r="AG441" i="16"/>
  <c r="AG445" i="16"/>
  <c r="AH450" i="16"/>
  <c r="AH456" i="16"/>
  <c r="AG459" i="16"/>
  <c r="AG465" i="16"/>
  <c r="AG475" i="16"/>
  <c r="AG491" i="16"/>
  <c r="AH506" i="16"/>
  <c r="AG515" i="16"/>
  <c r="AH530" i="16"/>
  <c r="AG539" i="16"/>
  <c r="AH562" i="16"/>
  <c r="AG571" i="16"/>
  <c r="AH586" i="16"/>
  <c r="AG595" i="16"/>
  <c r="AH618" i="16"/>
  <c r="AH650" i="16"/>
  <c r="AG667" i="16"/>
  <c r="AH698" i="16"/>
  <c r="AG715" i="16"/>
  <c r="AH746" i="16"/>
  <c r="AH762" i="16"/>
  <c r="AH794" i="16"/>
  <c r="AH3" i="16"/>
  <c r="AG3" i="16"/>
  <c r="AH15" i="16"/>
  <c r="AG15" i="16"/>
  <c r="AH19" i="16"/>
  <c r="AG19" i="16"/>
  <c r="AH23" i="16"/>
  <c r="AG23" i="16"/>
  <c r="AH27" i="16"/>
  <c r="AG27" i="16"/>
  <c r="AH31" i="16"/>
  <c r="AG31" i="16"/>
  <c r="AH59" i="16"/>
  <c r="AG59" i="16"/>
  <c r="AH63" i="16"/>
  <c r="AG63" i="16"/>
  <c r="AH67" i="16"/>
  <c r="AG67" i="16"/>
  <c r="AH71" i="16"/>
  <c r="AG71" i="16"/>
  <c r="AH75" i="16"/>
  <c r="AG75" i="16"/>
  <c r="AH79" i="16"/>
  <c r="AG79" i="16"/>
  <c r="AH83" i="16"/>
  <c r="AG83" i="16"/>
  <c r="AH91" i="16"/>
  <c r="AG91" i="16"/>
  <c r="AH107" i="16"/>
  <c r="AG107" i="16"/>
  <c r="AH111" i="16"/>
  <c r="AG111" i="16"/>
  <c r="AG152" i="16"/>
  <c r="AH153" i="16"/>
  <c r="AG156" i="16"/>
  <c r="AH157" i="16"/>
  <c r="AG160" i="16"/>
  <c r="AH163" i="16"/>
  <c r="AG163" i="16"/>
  <c r="AG166" i="16"/>
  <c r="AG168" i="16"/>
  <c r="AG170" i="16"/>
  <c r="AH3491" i="16"/>
  <c r="AH3487" i="16"/>
  <c r="AH3483" i="16"/>
  <c r="AH3479" i="16"/>
  <c r="AH3475" i="16"/>
  <c r="AH3471" i="16"/>
  <c r="AH3467" i="16"/>
  <c r="AH3463" i="16"/>
  <c r="AH3459" i="16"/>
  <c r="AH3455" i="16"/>
  <c r="AH3451" i="16"/>
  <c r="AH3447" i="16"/>
  <c r="AH3443" i="16"/>
  <c r="AH3439" i="16"/>
  <c r="AH3435" i="16"/>
  <c r="AH3431" i="16"/>
  <c r="AH3427" i="16"/>
  <c r="AH3423" i="16"/>
  <c r="AH3419" i="16"/>
  <c r="AH3415" i="16"/>
  <c r="AH3411" i="16"/>
  <c r="AH3407" i="16"/>
  <c r="AH3403" i="16"/>
  <c r="AH3399" i="16"/>
  <c r="AG3507" i="16"/>
  <c r="AH3506" i="16"/>
  <c r="AG3499" i="16"/>
  <c r="AH3498" i="16"/>
  <c r="AG3491" i="16"/>
  <c r="AH3490" i="16"/>
  <c r="AG3483" i="16"/>
  <c r="AH3482" i="16"/>
  <c r="AG3475" i="16"/>
  <c r="AH3474" i="16"/>
  <c r="AG3467" i="16"/>
  <c r="AH3466" i="16"/>
  <c r="AG3459" i="16"/>
  <c r="AH3458" i="16"/>
  <c r="AG3451" i="16"/>
  <c r="AH3450" i="16"/>
  <c r="AG3443" i="16"/>
  <c r="AH3442" i="16"/>
  <c r="AG3435" i="16"/>
  <c r="AH3434" i="16"/>
  <c r="AG3427" i="16"/>
  <c r="AH3426" i="16"/>
  <c r="AG3419" i="16"/>
  <c r="AH3418" i="16"/>
  <c r="AG3411" i="16"/>
  <c r="AH3410" i="16"/>
  <c r="AG3403" i="16"/>
  <c r="AH3402" i="16"/>
  <c r="AG3396" i="16"/>
  <c r="AH3395" i="16"/>
  <c r="AG3392" i="16"/>
  <c r="AH3391" i="16"/>
  <c r="AG3503" i="16"/>
  <c r="AH3502" i="16"/>
  <c r="AG3487" i="16"/>
  <c r="AH3486" i="16"/>
  <c r="AG3471" i="16"/>
  <c r="AH3470" i="16"/>
  <c r="AG3455" i="16"/>
  <c r="AH3454" i="16"/>
  <c r="AG3439" i="16"/>
  <c r="AH3438" i="16"/>
  <c r="AG3423" i="16"/>
  <c r="AH3422" i="16"/>
  <c r="AG3407" i="16"/>
  <c r="AH3406" i="16"/>
  <c r="AG3395" i="16"/>
  <c r="AH3394" i="16"/>
  <c r="AH3318" i="16"/>
  <c r="AH3310" i="16"/>
  <c r="AH3302" i="16"/>
  <c r="AH3294" i="16"/>
  <c r="AH3286" i="16"/>
  <c r="AG3495" i="16"/>
  <c r="AH3494" i="16"/>
  <c r="AG3479" i="16"/>
  <c r="AH3478" i="16"/>
  <c r="AG3463" i="16"/>
  <c r="AH3462" i="16"/>
  <c r="AG3447" i="16"/>
  <c r="AH3446" i="16"/>
  <c r="AG3431" i="16"/>
  <c r="AH3430" i="16"/>
  <c r="AG3415" i="16"/>
  <c r="AH3414" i="16"/>
  <c r="AG3399" i="16"/>
  <c r="AH3398" i="16"/>
  <c r="AG3391" i="16"/>
  <c r="AH3390" i="16"/>
  <c r="AG3387" i="16"/>
  <c r="AG3383" i="16"/>
  <c r="AG3379" i="16"/>
  <c r="AG3375" i="16"/>
  <c r="AG3371" i="16"/>
  <c r="AG3367" i="16"/>
  <c r="AG3363" i="16"/>
  <c r="AG3359" i="16"/>
  <c r="AG3355" i="16"/>
  <c r="AG3351" i="16"/>
  <c r="AG3347" i="16"/>
  <c r="AG3343" i="16"/>
  <c r="AG3339" i="16"/>
  <c r="AG3335" i="16"/>
  <c r="AG3331" i="16"/>
  <c r="AG3327" i="16"/>
  <c r="AG3323" i="16"/>
  <c r="AG3315" i="16"/>
  <c r="AG3307" i="16"/>
  <c r="AG3299" i="16"/>
  <c r="AG3291" i="16"/>
  <c r="AG3283" i="16"/>
  <c r="AG3279" i="16"/>
  <c r="AG3275" i="16"/>
  <c r="AG3271" i="16"/>
  <c r="AG3267" i="16"/>
  <c r="AG3384" i="16"/>
  <c r="AH3383" i="16"/>
  <c r="AG3376" i="16"/>
  <c r="AH3375" i="16"/>
  <c r="AG3368" i="16"/>
  <c r="AH3367" i="16"/>
  <c r="AG3360" i="16"/>
  <c r="AH3359" i="16"/>
  <c r="AG3352" i="16"/>
  <c r="AH3351" i="16"/>
  <c r="AG3344" i="16"/>
  <c r="AH3343" i="16"/>
  <c r="AG3336" i="16"/>
  <c r="AH3335" i="16"/>
  <c r="AG3328" i="16"/>
  <c r="AH3327" i="16"/>
  <c r="AG3280" i="16"/>
  <c r="AH3279" i="16"/>
  <c r="AG3272" i="16"/>
  <c r="AH3271" i="16"/>
  <c r="AH3263" i="16"/>
  <c r="AH3259" i="16"/>
  <c r="AH3255" i="16"/>
  <c r="AH3251" i="16"/>
  <c r="AH3247" i="16"/>
  <c r="AH3243" i="16"/>
  <c r="AG3240" i="16"/>
  <c r="AH3239" i="16"/>
  <c r="AG3236" i="16"/>
  <c r="AG3228" i="16"/>
  <c r="AG3220" i="16"/>
  <c r="AG3212" i="16"/>
  <c r="AG3204" i="16"/>
  <c r="AG3196" i="16"/>
  <c r="AG3188" i="16"/>
  <c r="AG3180" i="16"/>
  <c r="AG3172" i="16"/>
  <c r="AG3263" i="16"/>
  <c r="AG3259" i="16"/>
  <c r="AG3255" i="16"/>
  <c r="AG3251" i="16"/>
  <c r="AG3247" i="16"/>
  <c r="AG3243" i="16"/>
  <c r="AG3239" i="16"/>
  <c r="AG3388" i="16"/>
  <c r="AH3387" i="16"/>
  <c r="AG3380" i="16"/>
  <c r="AH3379" i="16"/>
  <c r="AG3372" i="16"/>
  <c r="AH3371" i="16"/>
  <c r="AG3364" i="16"/>
  <c r="AH3363" i="16"/>
  <c r="AG3356" i="16"/>
  <c r="AH3355" i="16"/>
  <c r="AG3348" i="16"/>
  <c r="AH3347" i="16"/>
  <c r="AG3340" i="16"/>
  <c r="AH3339" i="16"/>
  <c r="AG3332" i="16"/>
  <c r="AH3331" i="16"/>
  <c r="AG3324" i="16"/>
  <c r="AH3323" i="16"/>
  <c r="AG3318" i="16"/>
  <c r="AH3317" i="16"/>
  <c r="AG3316" i="16"/>
  <c r="AH3315" i="16"/>
  <c r="AG3310" i="16"/>
  <c r="AH3309" i="16"/>
  <c r="AG3308" i="16"/>
  <c r="AH3307" i="16"/>
  <c r="AG3302" i="16"/>
  <c r="AH3301" i="16"/>
  <c r="AG3300" i="16"/>
  <c r="AH3299" i="16"/>
  <c r="AG3294" i="16"/>
  <c r="AH3293" i="16"/>
  <c r="AG3292" i="16"/>
  <c r="AH3291" i="16"/>
  <c r="AG3286" i="16"/>
  <c r="AH3285" i="16"/>
  <c r="AG3284" i="16"/>
  <c r="AH3283" i="16"/>
  <c r="AG3276" i="16"/>
  <c r="AH3275" i="16"/>
  <c r="AG3268" i="16"/>
  <c r="AH3267" i="16"/>
  <c r="AH3231" i="16"/>
  <c r="AH3223" i="16"/>
  <c r="AH3215" i="16"/>
  <c r="AH3207" i="16"/>
  <c r="AH3199" i="16"/>
  <c r="AH3191" i="16"/>
  <c r="AH3183" i="16"/>
  <c r="AH3175" i="16"/>
  <c r="AG3166" i="16"/>
  <c r="AH3163" i="16"/>
  <c r="AG3158" i="16"/>
  <c r="AH3155" i="16"/>
  <c r="AG3150" i="16"/>
  <c r="AH3147" i="16"/>
  <c r="AG3142" i="16"/>
  <c r="AH3139" i="16"/>
  <c r="AG3134" i="16"/>
  <c r="AH3131" i="16"/>
  <c r="AG3126" i="16"/>
  <c r="AH3123" i="16"/>
  <c r="AG3118" i="16"/>
  <c r="AH3115" i="16"/>
  <c r="AG3110" i="16"/>
  <c r="AH3107" i="16"/>
  <c r="AG3102" i="16"/>
  <c r="AG3231" i="16"/>
  <c r="AH3230" i="16"/>
  <c r="AG3229" i="16"/>
  <c r="AH3228" i="16"/>
  <c r="AG3223" i="16"/>
  <c r="AH3222" i="16"/>
  <c r="AG3221" i="16"/>
  <c r="AH3220" i="16"/>
  <c r="AG3215" i="16"/>
  <c r="AH3214" i="16"/>
  <c r="AG3213" i="16"/>
  <c r="AH3212" i="16"/>
  <c r="AG3207" i="16"/>
  <c r="AH3206" i="16"/>
  <c r="AG3205" i="16"/>
  <c r="AH3204" i="16"/>
  <c r="AG3199" i="16"/>
  <c r="AH3198" i="16"/>
  <c r="AG3197" i="16"/>
  <c r="AH3196" i="16"/>
  <c r="AG3191" i="16"/>
  <c r="AH3190" i="16"/>
  <c r="AG3189" i="16"/>
  <c r="AH3188" i="16"/>
  <c r="AG3183" i="16"/>
  <c r="AH3182" i="16"/>
  <c r="AG3181" i="16"/>
  <c r="AH3180" i="16"/>
  <c r="AG3175" i="16"/>
  <c r="AH3174" i="16"/>
  <c r="AG3173" i="16"/>
  <c r="AH3172" i="16"/>
  <c r="AG3163" i="16"/>
  <c r="AH3162" i="16"/>
  <c r="AG3155" i="16"/>
  <c r="AH3154" i="16"/>
  <c r="AG3147" i="16"/>
  <c r="AH3146" i="16"/>
  <c r="AG3139" i="16"/>
  <c r="AH3138" i="16"/>
  <c r="AG3131" i="16"/>
  <c r="AH3130" i="16"/>
  <c r="AG3123" i="16"/>
  <c r="AH3122" i="16"/>
  <c r="AG3115" i="16"/>
  <c r="AH3114" i="16"/>
  <c r="AG3107" i="16"/>
  <c r="AH3106" i="16"/>
  <c r="AG3167" i="16"/>
  <c r="AH3166" i="16"/>
  <c r="AG3151" i="16"/>
  <c r="AH3150" i="16"/>
  <c r="AG3135" i="16"/>
  <c r="AH3134" i="16"/>
  <c r="AG3119" i="16"/>
  <c r="AH3118" i="16"/>
  <c r="AG3103" i="16"/>
  <c r="AH3102" i="16"/>
  <c r="AG3097" i="16"/>
  <c r="AH3096" i="16"/>
  <c r="AG3089" i="16"/>
  <c r="AH3088" i="16"/>
  <c r="AG3081" i="16"/>
  <c r="AH3080" i="16"/>
  <c r="AG3073" i="16"/>
  <c r="AH3072" i="16"/>
  <c r="AG3065" i="16"/>
  <c r="AH3064" i="16"/>
  <c r="AG3057" i="16"/>
  <c r="AH3056" i="16"/>
  <c r="AG3049" i="16"/>
  <c r="AH3048" i="16"/>
  <c r="AG3041" i="16"/>
  <c r="AH3040" i="16"/>
  <c r="AG3033" i="16"/>
  <c r="AH3032" i="16"/>
  <c r="AG3025" i="16"/>
  <c r="AH3024" i="16"/>
  <c r="AG3017" i="16"/>
  <c r="AH3016" i="16"/>
  <c r="AG3009" i="16"/>
  <c r="AH3008" i="16"/>
  <c r="AG3001" i="16"/>
  <c r="AH3000" i="16"/>
  <c r="AG2993" i="16"/>
  <c r="AH2992" i="16"/>
  <c r="AG2985" i="16"/>
  <c r="AH2984" i="16"/>
  <c r="AG2977" i="16"/>
  <c r="AH2976" i="16"/>
  <c r="AG2969" i="16"/>
  <c r="AH2968" i="16"/>
  <c r="AG2961" i="16"/>
  <c r="AH2960" i="16"/>
  <c r="AG2860" i="16"/>
  <c r="AH2859" i="16"/>
  <c r="AG2844" i="16"/>
  <c r="AH2843" i="16"/>
  <c r="AG2840" i="16"/>
  <c r="AH2839" i="16"/>
  <c r="AG2836" i="16"/>
  <c r="AH2835" i="16"/>
  <c r="AG2832" i="16"/>
  <c r="AH2831" i="16"/>
  <c r="AG2828" i="16"/>
  <c r="AH2827" i="16"/>
  <c r="AG2824" i="16"/>
  <c r="AH2823" i="16"/>
  <c r="AG2820" i="16"/>
  <c r="AH2819" i="16"/>
  <c r="AG2816" i="16"/>
  <c r="AH2815" i="16"/>
  <c r="AG2812" i="16"/>
  <c r="AH2811" i="16"/>
  <c r="AG2808" i="16"/>
  <c r="AH2807" i="16"/>
  <c r="AG2804" i="16"/>
  <c r="AH2803" i="16"/>
  <c r="AG2800" i="16"/>
  <c r="AH2799" i="16"/>
  <c r="AG2796" i="16"/>
  <c r="AH2795" i="16"/>
  <c r="AG2792" i="16"/>
  <c r="AH2791" i="16"/>
  <c r="AG2788" i="16"/>
  <c r="AH2787" i="16"/>
  <c r="AG2784" i="16"/>
  <c r="AH2783" i="16"/>
  <c r="AG2780" i="16"/>
  <c r="AH2779" i="16"/>
  <c r="AG2776" i="16"/>
  <c r="AH2775" i="16"/>
  <c r="AG2772" i="16"/>
  <c r="AH2771" i="16"/>
  <c r="AG2768" i="16"/>
  <c r="AH2767" i="16"/>
  <c r="AH2764" i="16"/>
  <c r="AG2759" i="16"/>
  <c r="AH2756" i="16"/>
  <c r="AG2751" i="16"/>
  <c r="AH2748" i="16"/>
  <c r="AG2743" i="16"/>
  <c r="AH2740" i="16"/>
  <c r="AG2735" i="16"/>
  <c r="AH2732" i="16"/>
  <c r="AG2727" i="16"/>
  <c r="AG3159" i="16"/>
  <c r="AH3158" i="16"/>
  <c r="AG3127" i="16"/>
  <c r="AH3126" i="16"/>
  <c r="AG3085" i="16"/>
  <c r="AH3084" i="16"/>
  <c r="AG3069" i="16"/>
  <c r="AH3068" i="16"/>
  <c r="AG3053" i="16"/>
  <c r="AH3052" i="16"/>
  <c r="AG3037" i="16"/>
  <c r="AH3036" i="16"/>
  <c r="AG3021" i="16"/>
  <c r="AH3020" i="16"/>
  <c r="AG3005" i="16"/>
  <c r="AH3004" i="16"/>
  <c r="AG2989" i="16"/>
  <c r="AH2988" i="16"/>
  <c r="AG2973" i="16"/>
  <c r="AH2972" i="16"/>
  <c r="AG2957" i="16"/>
  <c r="AH2956" i="16"/>
  <c r="AG2955" i="16"/>
  <c r="AH2954" i="16"/>
  <c r="AG2953" i="16"/>
  <c r="AH2952" i="16"/>
  <c r="AG2951" i="16"/>
  <c r="AH2950" i="16"/>
  <c r="AG2949" i="16"/>
  <c r="AH2948" i="16"/>
  <c r="AG2947" i="16"/>
  <c r="AH2946" i="16"/>
  <c r="AG2945" i="16"/>
  <c r="AH2944" i="16"/>
  <c r="AG2943" i="16"/>
  <c r="AH2942" i="16"/>
  <c r="AG2941" i="16"/>
  <c r="AH2940" i="16"/>
  <c r="AG2939" i="16"/>
  <c r="AH2938" i="16"/>
  <c r="AG2937" i="16"/>
  <c r="AH2936" i="16"/>
  <c r="AG2935" i="16"/>
  <c r="AH2934" i="16"/>
  <c r="AG2933" i="16"/>
  <c r="AH2932" i="16"/>
  <c r="AG2931" i="16"/>
  <c r="AH2930" i="16"/>
  <c r="AG2929" i="16"/>
  <c r="AH2928" i="16"/>
  <c r="AG2927" i="16"/>
  <c r="AH2926" i="16"/>
  <c r="AG2925" i="16"/>
  <c r="AH2924" i="16"/>
  <c r="AG2923" i="16"/>
  <c r="AH2922" i="16"/>
  <c r="AG2921" i="16"/>
  <c r="AH2920" i="16"/>
  <c r="AG2919" i="16"/>
  <c r="AH2918" i="16"/>
  <c r="AG2917" i="16"/>
  <c r="AH2916" i="16"/>
  <c r="AG2915" i="16"/>
  <c r="AH2914" i="16"/>
  <c r="AG2913" i="16"/>
  <c r="AH2912" i="16"/>
  <c r="AG2911" i="16"/>
  <c r="AH2910" i="16"/>
  <c r="AG2909" i="16"/>
  <c r="AH2908" i="16"/>
  <c r="AG2907" i="16"/>
  <c r="AH2906" i="16"/>
  <c r="AG2905" i="16"/>
  <c r="AH2904" i="16"/>
  <c r="AG2903" i="16"/>
  <c r="AH2902" i="16"/>
  <c r="AG2901" i="16"/>
  <c r="AH2900" i="16"/>
  <c r="AG2899" i="16"/>
  <c r="AH2898" i="16"/>
  <c r="AG2897" i="16"/>
  <c r="AH2896" i="16"/>
  <c r="AG2895" i="16"/>
  <c r="AH2894" i="16"/>
  <c r="AG2893" i="16"/>
  <c r="AH2892" i="16"/>
  <c r="AG2891" i="16"/>
  <c r="AH2890" i="16"/>
  <c r="AG2889" i="16"/>
  <c r="AH2888" i="16"/>
  <c r="AG2887" i="16"/>
  <c r="AH2886" i="16"/>
  <c r="AG2885" i="16"/>
  <c r="AH2884" i="16"/>
  <c r="AG2883" i="16"/>
  <c r="AH2882" i="16"/>
  <c r="AG2881" i="16"/>
  <c r="AH2880" i="16"/>
  <c r="AG2879" i="16"/>
  <c r="AH2878" i="16"/>
  <c r="AG2877" i="16"/>
  <c r="AH2876" i="16"/>
  <c r="AG2875" i="16"/>
  <c r="AH2874" i="16"/>
  <c r="AG2873" i="16"/>
  <c r="AH2872" i="16"/>
  <c r="AG2859" i="16"/>
  <c r="AH2858" i="16"/>
  <c r="AG2857" i="16"/>
  <c r="AH2856" i="16"/>
  <c r="AG2843" i="16"/>
  <c r="AH2842" i="16"/>
  <c r="AG2839" i="16"/>
  <c r="AH2838" i="16"/>
  <c r="AG2835" i="16"/>
  <c r="AH2834" i="16"/>
  <c r="AG2831" i="16"/>
  <c r="AH2830" i="16"/>
  <c r="AG2827" i="16"/>
  <c r="AH2826" i="16"/>
  <c r="AG2823" i="16"/>
  <c r="AH2822" i="16"/>
  <c r="AG2819" i="16"/>
  <c r="AH2818" i="16"/>
  <c r="AG2815" i="16"/>
  <c r="AH2814" i="16"/>
  <c r="AG2811" i="16"/>
  <c r="AH2810" i="16"/>
  <c r="AG2807" i="16"/>
  <c r="AH2806" i="16"/>
  <c r="AG2803" i="16"/>
  <c r="AH2802" i="16"/>
  <c r="AG2799" i="16"/>
  <c r="AH2798" i="16"/>
  <c r="AG2795" i="16"/>
  <c r="AH2794" i="16"/>
  <c r="AG2791" i="16"/>
  <c r="AH2790" i="16"/>
  <c r="AG2787" i="16"/>
  <c r="AH2786" i="16"/>
  <c r="AG2783" i="16"/>
  <c r="AH2782" i="16"/>
  <c r="AG2779" i="16"/>
  <c r="AH2778" i="16"/>
  <c r="AG2775" i="16"/>
  <c r="AH2774" i="16"/>
  <c r="AG2771" i="16"/>
  <c r="AH2770" i="16"/>
  <c r="AG2767" i="16"/>
  <c r="AG2764" i="16"/>
  <c r="AG2756" i="16"/>
  <c r="AG2748" i="16"/>
  <c r="AG2740" i="16"/>
  <c r="AG2732" i="16"/>
  <c r="AH2867" i="16"/>
  <c r="AH2851" i="16"/>
  <c r="AG2760" i="16"/>
  <c r="AH2759" i="16"/>
  <c r="AG2744" i="16"/>
  <c r="AH2743" i="16"/>
  <c r="AG2728" i="16"/>
  <c r="AH2727" i="16"/>
  <c r="AG2722" i="16"/>
  <c r="AH2721" i="16"/>
  <c r="AG2714" i="16"/>
  <c r="AH2713" i="16"/>
  <c r="AG2706" i="16"/>
  <c r="AH2705" i="16"/>
  <c r="AG2698" i="16"/>
  <c r="AH2697" i="16"/>
  <c r="AG2690" i="16"/>
  <c r="AH2689" i="16"/>
  <c r="AG2682" i="16"/>
  <c r="AH2681" i="16"/>
  <c r="AG2674" i="16"/>
  <c r="AH2673" i="16"/>
  <c r="AG2666" i="16"/>
  <c r="AH2665" i="16"/>
  <c r="AG2658" i="16"/>
  <c r="AH2657" i="16"/>
  <c r="AG2650" i="16"/>
  <c r="AH2649" i="16"/>
  <c r="AG2642" i="16"/>
  <c r="AH2641" i="16"/>
  <c r="AG2504" i="16"/>
  <c r="AH2501" i="16"/>
  <c r="AG2496" i="16"/>
  <c r="AH2493" i="16"/>
  <c r="AG2488" i="16"/>
  <c r="AH2485" i="16"/>
  <c r="AG2480" i="16"/>
  <c r="AH2477" i="16"/>
  <c r="AG2472" i="16"/>
  <c r="AH2469" i="16"/>
  <c r="AG2464" i="16"/>
  <c r="AH2461" i="16"/>
  <c r="AG2456" i="16"/>
  <c r="AH2453" i="16"/>
  <c r="AG2448" i="16"/>
  <c r="AH2445" i="16"/>
  <c r="AG2440" i="16"/>
  <c r="AH2437" i="16"/>
  <c r="AG2432" i="16"/>
  <c r="AH2429" i="16"/>
  <c r="AG2424" i="16"/>
  <c r="AH2421" i="16"/>
  <c r="AG3143" i="16"/>
  <c r="AH3142" i="16"/>
  <c r="AG3077" i="16"/>
  <c r="AH3076" i="16"/>
  <c r="AG3045" i="16"/>
  <c r="AH3044" i="16"/>
  <c r="AG3013" i="16"/>
  <c r="AH3012" i="16"/>
  <c r="AG2981" i="16"/>
  <c r="AH2980" i="16"/>
  <c r="AG2613" i="16"/>
  <c r="AH2612" i="16"/>
  <c r="AG2605" i="16"/>
  <c r="AH2604" i="16"/>
  <c r="AG2597" i="16"/>
  <c r="AH2596" i="16"/>
  <c r="AG2589" i="16"/>
  <c r="AH2588" i="16"/>
  <c r="AG2581" i="16"/>
  <c r="AH2580" i="16"/>
  <c r="AG2573" i="16"/>
  <c r="AH2572" i="16"/>
  <c r="AG2565" i="16"/>
  <c r="AH2564" i="16"/>
  <c r="AG2557" i="16"/>
  <c r="AH2556" i="16"/>
  <c r="AG2549" i="16"/>
  <c r="AH2548" i="16"/>
  <c r="AG2541" i="16"/>
  <c r="AH2540" i="16"/>
  <c r="AG2533" i="16"/>
  <c r="AH2532" i="16"/>
  <c r="AG2525" i="16"/>
  <c r="AH2524" i="16"/>
  <c r="AG2517" i="16"/>
  <c r="AH2516" i="16"/>
  <c r="AG2509" i="16"/>
  <c r="AH2508" i="16"/>
  <c r="AG2501" i="16"/>
  <c r="AH2500" i="16"/>
  <c r="AG2752" i="16"/>
  <c r="AH2751" i="16"/>
  <c r="AG2736" i="16"/>
  <c r="AH2735" i="16"/>
  <c r="AG2718" i="16"/>
  <c r="AH2717" i="16"/>
  <c r="AG2710" i="16"/>
  <c r="AH2709" i="16"/>
  <c r="AG2702" i="16"/>
  <c r="AH2701" i="16"/>
  <c r="AG2694" i="16"/>
  <c r="AH2693" i="16"/>
  <c r="AG2686" i="16"/>
  <c r="AH2685" i="16"/>
  <c r="AG2678" i="16"/>
  <c r="AH2677" i="16"/>
  <c r="AG2670" i="16"/>
  <c r="AH2669" i="16"/>
  <c r="AG2662" i="16"/>
  <c r="AH2661" i="16"/>
  <c r="AG2654" i="16"/>
  <c r="AH2653" i="16"/>
  <c r="AG2646" i="16"/>
  <c r="AH2645" i="16"/>
  <c r="AG2638" i="16"/>
  <c r="AH2637" i="16"/>
  <c r="AH2635" i="16"/>
  <c r="AH2633" i="16"/>
  <c r="AH2631" i="16"/>
  <c r="AH2629" i="16"/>
  <c r="AH2627" i="16"/>
  <c r="AH2625" i="16"/>
  <c r="AH2623" i="16"/>
  <c r="AH2621" i="16"/>
  <c r="AH2617" i="16"/>
  <c r="AG2612" i="16"/>
  <c r="AH2609" i="16"/>
  <c r="AG2604" i="16"/>
  <c r="AH2601" i="16"/>
  <c r="AG2596" i="16"/>
  <c r="AH2593" i="16"/>
  <c r="AG2588" i="16"/>
  <c r="AH2585" i="16"/>
  <c r="AG2580" i="16"/>
  <c r="AH2577" i="16"/>
  <c r="AG2572" i="16"/>
  <c r="AH2569" i="16"/>
  <c r="AG2564" i="16"/>
  <c r="AH2561" i="16"/>
  <c r="AG2556" i="16"/>
  <c r="AH2553" i="16"/>
  <c r="AG2548" i="16"/>
  <c r="AH2545" i="16"/>
  <c r="AG2540" i="16"/>
  <c r="AH2537" i="16"/>
  <c r="AG2532" i="16"/>
  <c r="AH2529" i="16"/>
  <c r="AG2524" i="16"/>
  <c r="AH2521" i="16"/>
  <c r="AG2516" i="16"/>
  <c r="AH2513" i="16"/>
  <c r="AG3111" i="16"/>
  <c r="AH3110" i="16"/>
  <c r="AG3093" i="16"/>
  <c r="AH3092" i="16"/>
  <c r="AG3029" i="16"/>
  <c r="AH3028" i="16"/>
  <c r="AG2965" i="16"/>
  <c r="AH2964" i="16"/>
  <c r="AG2867" i="16"/>
  <c r="AH2866" i="16"/>
  <c r="AG2865" i="16"/>
  <c r="AH2864" i="16"/>
  <c r="AG2851" i="16"/>
  <c r="AH2850" i="16"/>
  <c r="AG2849" i="16"/>
  <c r="AH2848" i="16"/>
  <c r="AG2609" i="16"/>
  <c r="AH2608" i="16"/>
  <c r="AG2593" i="16"/>
  <c r="AH2592" i="16"/>
  <c r="AG2577" i="16"/>
  <c r="AH2576" i="16"/>
  <c r="AG2561" i="16"/>
  <c r="AH2560" i="16"/>
  <c r="AG2545" i="16"/>
  <c r="AH2544" i="16"/>
  <c r="AG2529" i="16"/>
  <c r="AH2528" i="16"/>
  <c r="AG2513" i="16"/>
  <c r="AH2512" i="16"/>
  <c r="AG2497" i="16"/>
  <c r="AH2496" i="16"/>
  <c r="AG2489" i="16"/>
  <c r="AH2488" i="16"/>
  <c r="AG2481" i="16"/>
  <c r="AH2480" i="16"/>
  <c r="AG2473" i="16"/>
  <c r="AH2472" i="16"/>
  <c r="AG2465" i="16"/>
  <c r="AH2464" i="16"/>
  <c r="AG2457" i="16"/>
  <c r="AH2456" i="16"/>
  <c r="AG2449" i="16"/>
  <c r="AH2448" i="16"/>
  <c r="AG2441" i="16"/>
  <c r="AH2440" i="16"/>
  <c r="AG2433" i="16"/>
  <c r="AH2432" i="16"/>
  <c r="AG2425" i="16"/>
  <c r="AH2424" i="16"/>
  <c r="AG2417" i="16"/>
  <c r="AG2415" i="16"/>
  <c r="AG2413" i="16"/>
  <c r="AG2411" i="16"/>
  <c r="AG2409" i="16"/>
  <c r="AG2407" i="16"/>
  <c r="AG2405" i="16"/>
  <c r="AG2403" i="16"/>
  <c r="AG2401" i="16"/>
  <c r="AG2399" i="16"/>
  <c r="AG2397" i="16"/>
  <c r="AG2395" i="16"/>
  <c r="AG2393" i="16"/>
  <c r="AG2391" i="16"/>
  <c r="AG2389" i="16"/>
  <c r="AG2387" i="16"/>
  <c r="AG2385" i="16"/>
  <c r="AG2383" i="16"/>
  <c r="AG2381" i="16"/>
  <c r="AG2379" i="16"/>
  <c r="AG2377" i="16"/>
  <c r="AG2375" i="16"/>
  <c r="AG2373" i="16"/>
  <c r="AG2371" i="16"/>
  <c r="AG2369" i="16"/>
  <c r="AG2367" i="16"/>
  <c r="AG2365" i="16"/>
  <c r="AG2363" i="16"/>
  <c r="AG2361" i="16"/>
  <c r="AG2359" i="16"/>
  <c r="AG2357" i="16"/>
  <c r="AG2355" i="16"/>
  <c r="AG2353" i="16"/>
  <c r="AG2351" i="16"/>
  <c r="AG2349" i="16"/>
  <c r="AG2347" i="16"/>
  <c r="AG2345" i="16"/>
  <c r="AG2343" i="16"/>
  <c r="AG2341" i="16"/>
  <c r="AG2339" i="16"/>
  <c r="AG2337" i="16"/>
  <c r="AG2335" i="16"/>
  <c r="AG2333" i="16"/>
  <c r="AG2331" i="16"/>
  <c r="AG2329" i="16"/>
  <c r="AG2327" i="16"/>
  <c r="AG2325" i="16"/>
  <c r="AG2323" i="16"/>
  <c r="AG2321" i="16"/>
  <c r="AG2319" i="16"/>
  <c r="AG2317" i="16"/>
  <c r="AG2315" i="16"/>
  <c r="AG2313" i="16"/>
  <c r="AG2311" i="16"/>
  <c r="AG2309" i="16"/>
  <c r="AG2307" i="16"/>
  <c r="AG2305" i="16"/>
  <c r="AG2303" i="16"/>
  <c r="AG2301" i="16"/>
  <c r="AG2299" i="16"/>
  <c r="AG2297" i="16"/>
  <c r="AG2295" i="16"/>
  <c r="AG2293" i="16"/>
  <c r="AG2291" i="16"/>
  <c r="AG2289" i="16"/>
  <c r="AG2287" i="16"/>
  <c r="AG2285" i="16"/>
  <c r="AG2283" i="16"/>
  <c r="AG2281" i="16"/>
  <c r="AG2279" i="16"/>
  <c r="AG2277" i="16"/>
  <c r="AG2275" i="16"/>
  <c r="AG2273" i="16"/>
  <c r="AG2271" i="16"/>
  <c r="AG2269" i="16"/>
  <c r="AG2192" i="16"/>
  <c r="AG2176" i="16"/>
  <c r="AG2160" i="16"/>
  <c r="AG2144" i="16"/>
  <c r="AG2128" i="16"/>
  <c r="AG2997" i="16"/>
  <c r="AH2996" i="16"/>
  <c r="AG2601" i="16"/>
  <c r="AH2600" i="16"/>
  <c r="AG2569" i="16"/>
  <c r="AH2568" i="16"/>
  <c r="AG2537" i="16"/>
  <c r="AH2536" i="16"/>
  <c r="AG2505" i="16"/>
  <c r="AH2504" i="16"/>
  <c r="AG2485" i="16"/>
  <c r="AH2484" i="16"/>
  <c r="AG2469" i="16"/>
  <c r="AH2468" i="16"/>
  <c r="AG2453" i="16"/>
  <c r="AH2452" i="16"/>
  <c r="AG2437" i="16"/>
  <c r="AH2436" i="16"/>
  <c r="AG2421" i="16"/>
  <c r="AH2420" i="16"/>
  <c r="AG2203" i="16"/>
  <c r="AH2202" i="16"/>
  <c r="AG2201" i="16"/>
  <c r="AH2200" i="16"/>
  <c r="AG2187" i="16"/>
  <c r="AH2186" i="16"/>
  <c r="AG2185" i="16"/>
  <c r="AH2184" i="16"/>
  <c r="AG2171" i="16"/>
  <c r="AH2170" i="16"/>
  <c r="AG2169" i="16"/>
  <c r="AH2168" i="16"/>
  <c r="AG2155" i="16"/>
  <c r="AH2154" i="16"/>
  <c r="AG2153" i="16"/>
  <c r="AH2152" i="16"/>
  <c r="AG2139" i="16"/>
  <c r="AH2138" i="16"/>
  <c r="AG2137" i="16"/>
  <c r="AH2136" i="16"/>
  <c r="AG2115" i="16"/>
  <c r="AG2099" i="16"/>
  <c r="AG2200" i="16"/>
  <c r="AH2199" i="16"/>
  <c r="AG2184" i="16"/>
  <c r="AH2183" i="16"/>
  <c r="AG2168" i="16"/>
  <c r="AH2167" i="16"/>
  <c r="AG2152" i="16"/>
  <c r="AH2151" i="16"/>
  <c r="AG2136" i="16"/>
  <c r="AH2135" i="16"/>
  <c r="AH2111" i="16"/>
  <c r="AH2095" i="16"/>
  <c r="AH2087" i="16"/>
  <c r="AH2079" i="16"/>
  <c r="AH2071" i="16"/>
  <c r="AH2063" i="16"/>
  <c r="AH2055" i="16"/>
  <c r="AH2047" i="16"/>
  <c r="AH2039" i="16"/>
  <c r="AH2031" i="16"/>
  <c r="AH2023" i="16"/>
  <c r="AH2015" i="16"/>
  <c r="AH2007" i="16"/>
  <c r="AH1999" i="16"/>
  <c r="AH1991" i="16"/>
  <c r="AH1983" i="16"/>
  <c r="AH1975" i="16"/>
  <c r="AH1967" i="16"/>
  <c r="AH1959" i="16"/>
  <c r="AH1951" i="16"/>
  <c r="AH1943" i="16"/>
  <c r="AH1935" i="16"/>
  <c r="AH1927" i="16"/>
  <c r="AH1919" i="16"/>
  <c r="AH1911" i="16"/>
  <c r="AH1903" i="16"/>
  <c r="AH1895" i="16"/>
  <c r="AH1887" i="16"/>
  <c r="AH1879" i="16"/>
  <c r="AH1873" i="16"/>
  <c r="AH1869" i="16"/>
  <c r="AH1865" i="16"/>
  <c r="AH1861" i="16"/>
  <c r="AH1857" i="16"/>
  <c r="AH1853" i="16"/>
  <c r="AH1849" i="16"/>
  <c r="AH1845" i="16"/>
  <c r="AH1841" i="16"/>
  <c r="AH1837" i="16"/>
  <c r="AH1833" i="16"/>
  <c r="AH1829" i="16"/>
  <c r="AH1825" i="16"/>
  <c r="AH1821" i="16"/>
  <c r="AH1817" i="16"/>
  <c r="AH1813" i="16"/>
  <c r="AH1809" i="16"/>
  <c r="AH1805" i="16"/>
  <c r="AH1801" i="16"/>
  <c r="AH1797" i="16"/>
  <c r="AH1793" i="16"/>
  <c r="AH1789" i="16"/>
  <c r="AH1785" i="16"/>
  <c r="AH1781" i="16"/>
  <c r="AH1777" i="16"/>
  <c r="AH1773" i="16"/>
  <c r="AH1769" i="16"/>
  <c r="AH1765" i="16"/>
  <c r="AH1761" i="16"/>
  <c r="AH1757" i="16"/>
  <c r="AG2617" i="16"/>
  <c r="AH2616" i="16"/>
  <c r="AG2553" i="16"/>
  <c r="AH2552" i="16"/>
  <c r="AG2493" i="16"/>
  <c r="AH2492" i="16"/>
  <c r="AG2461" i="16"/>
  <c r="AH2460" i="16"/>
  <c r="AG2429" i="16"/>
  <c r="AH2428" i="16"/>
  <c r="AG2195" i="16"/>
  <c r="AH2194" i="16"/>
  <c r="AG2193" i="16"/>
  <c r="AH2192" i="16"/>
  <c r="AG2179" i="16"/>
  <c r="AH2178" i="16"/>
  <c r="AG2177" i="16"/>
  <c r="AH2176" i="16"/>
  <c r="AG2163" i="16"/>
  <c r="AH2162" i="16"/>
  <c r="AG2161" i="16"/>
  <c r="AH2160" i="16"/>
  <c r="AG2147" i="16"/>
  <c r="AH2146" i="16"/>
  <c r="AG2145" i="16"/>
  <c r="AH2144" i="16"/>
  <c r="AG2131" i="16"/>
  <c r="AH2130" i="16"/>
  <c r="AG2129" i="16"/>
  <c r="AH2128" i="16"/>
  <c r="AG1873" i="16"/>
  <c r="AH1872" i="16"/>
  <c r="AG1865" i="16"/>
  <c r="AH1864" i="16"/>
  <c r="AG1857" i="16"/>
  <c r="AH1856" i="16"/>
  <c r="AG1849" i="16"/>
  <c r="AH1848" i="16"/>
  <c r="AG1841" i="16"/>
  <c r="AH1840" i="16"/>
  <c r="AG1833" i="16"/>
  <c r="AH1832" i="16"/>
  <c r="AG1825" i="16"/>
  <c r="AH1824" i="16"/>
  <c r="AG1817" i="16"/>
  <c r="AH1816" i="16"/>
  <c r="AG1809" i="16"/>
  <c r="AH1808" i="16"/>
  <c r="AG1801" i="16"/>
  <c r="AH1800" i="16"/>
  <c r="AG1793" i="16"/>
  <c r="AH1792" i="16"/>
  <c r="AG1785" i="16"/>
  <c r="AH1784" i="16"/>
  <c r="AG1777" i="16"/>
  <c r="AH1776" i="16"/>
  <c r="AG1769" i="16"/>
  <c r="AH1768" i="16"/>
  <c r="AG1761" i="16"/>
  <c r="AH1760" i="16"/>
  <c r="AG1754" i="16"/>
  <c r="AH1753" i="16"/>
  <c r="AG1750" i="16"/>
  <c r="AH1749" i="16"/>
  <c r="AG1746" i="16"/>
  <c r="AH1745" i="16"/>
  <c r="AG1742" i="16"/>
  <c r="AH1741" i="16"/>
  <c r="AG1738" i="16"/>
  <c r="AH1737" i="16"/>
  <c r="AG1734" i="16"/>
  <c r="AH1733" i="16"/>
  <c r="AG1730" i="16"/>
  <c r="AH1729" i="16"/>
  <c r="AG1726" i="16"/>
  <c r="AH1725" i="16"/>
  <c r="AG1722" i="16"/>
  <c r="AH1721" i="16"/>
  <c r="AG1718" i="16"/>
  <c r="AH1717" i="16"/>
  <c r="AG1714" i="16"/>
  <c r="AH1713" i="16"/>
  <c r="AG1710" i="16"/>
  <c r="AH1709" i="16"/>
  <c r="AG1706" i="16"/>
  <c r="AH1705" i="16"/>
  <c r="AG1702" i="16"/>
  <c r="AH1701" i="16"/>
  <c r="AG1698" i="16"/>
  <c r="AH1697" i="16"/>
  <c r="AG1694" i="16"/>
  <c r="AH1693" i="16"/>
  <c r="AG1690" i="16"/>
  <c r="AH1689" i="16"/>
  <c r="AG1686" i="16"/>
  <c r="AH1685" i="16"/>
  <c r="AG1682" i="16"/>
  <c r="AH1681" i="16"/>
  <c r="AG1678" i="16"/>
  <c r="AH1677" i="16"/>
  <c r="AG1674" i="16"/>
  <c r="AH1673" i="16"/>
  <c r="AG1670" i="16"/>
  <c r="AH1669" i="16"/>
  <c r="AG1666" i="16"/>
  <c r="AH1665" i="16"/>
  <c r="AG1662" i="16"/>
  <c r="AH1661" i="16"/>
  <c r="AG1658" i="16"/>
  <c r="AH1657" i="16"/>
  <c r="AG1654" i="16"/>
  <c r="AH1653" i="16"/>
  <c r="AG1650" i="16"/>
  <c r="AH1649" i="16"/>
  <c r="AG1646" i="16"/>
  <c r="AH1645" i="16"/>
  <c r="AG1642" i="16"/>
  <c r="AH1641" i="16"/>
  <c r="AG1638" i="16"/>
  <c r="AH1637" i="16"/>
  <c r="AG1634" i="16"/>
  <c r="AH1633" i="16"/>
  <c r="AG1630" i="16"/>
  <c r="AH1629" i="16"/>
  <c r="AG1626" i="16"/>
  <c r="AH1625" i="16"/>
  <c r="AG1622" i="16"/>
  <c r="AH1621" i="16"/>
  <c r="AG1618" i="16"/>
  <c r="AH1617" i="16"/>
  <c r="AG1614" i="16"/>
  <c r="AH1613" i="16"/>
  <c r="AG1610" i="16"/>
  <c r="AH1609" i="16"/>
  <c r="AG1606" i="16"/>
  <c r="AH1605" i="16"/>
  <c r="AG1602" i="16"/>
  <c r="AH1601" i="16"/>
  <c r="AG1598" i="16"/>
  <c r="AH1597" i="16"/>
  <c r="AG1594" i="16"/>
  <c r="AH1593" i="16"/>
  <c r="AG1590" i="16"/>
  <c r="AH1589" i="16"/>
  <c r="AG1586" i="16"/>
  <c r="AH1585" i="16"/>
  <c r="AG1582" i="16"/>
  <c r="AH1581" i="16"/>
  <c r="AG1578" i="16"/>
  <c r="AH1577" i="16"/>
  <c r="AH1569" i="16"/>
  <c r="AH1561" i="16"/>
  <c r="AH1553" i="16"/>
  <c r="AH1545" i="16"/>
  <c r="AH1537" i="16"/>
  <c r="AH1529" i="16"/>
  <c r="AH1523" i="16"/>
  <c r="AH1519" i="16"/>
  <c r="AH1515" i="16"/>
  <c r="AH1511" i="16"/>
  <c r="AH1507" i="16"/>
  <c r="AH1503" i="16"/>
  <c r="AH1499" i="16"/>
  <c r="AH1495" i="16"/>
  <c r="AH1491" i="16"/>
  <c r="AH1487" i="16"/>
  <c r="AH1483" i="16"/>
  <c r="AH1479" i="16"/>
  <c r="AH1475" i="16"/>
  <c r="AH1471" i="16"/>
  <c r="AH1467" i="16"/>
  <c r="AH1463" i="16"/>
  <c r="AH1459" i="16"/>
  <c r="AH1455" i="16"/>
  <c r="AH1451" i="16"/>
  <c r="AH1447" i="16"/>
  <c r="AH1443" i="16"/>
  <c r="AH1439" i="16"/>
  <c r="AH1435" i="16"/>
  <c r="AH1431" i="16"/>
  <c r="AH1427" i="16"/>
  <c r="AH1423" i="16"/>
  <c r="AH1419" i="16"/>
  <c r="AH1415" i="16"/>
  <c r="AH1411" i="16"/>
  <c r="AH1407" i="16"/>
  <c r="AH1403" i="16"/>
  <c r="AH1399" i="16"/>
  <c r="AH1395" i="16"/>
  <c r="AH1391" i="16"/>
  <c r="AH1387" i="16"/>
  <c r="AH1383" i="16"/>
  <c r="AH1379" i="16"/>
  <c r="AH1375" i="16"/>
  <c r="AH1371" i="16"/>
  <c r="AH1367" i="16"/>
  <c r="AH1363" i="16"/>
  <c r="AH1359" i="16"/>
  <c r="AH1355" i="16"/>
  <c r="AH1351" i="16"/>
  <c r="AH1347" i="16"/>
  <c r="AH1343" i="16"/>
  <c r="AH1339" i="16"/>
  <c r="AH1335" i="16"/>
  <c r="AH1331" i="16"/>
  <c r="AH1327" i="16"/>
  <c r="AH1323" i="16"/>
  <c r="AH1319" i="16"/>
  <c r="AH1315" i="16"/>
  <c r="AH1311" i="16"/>
  <c r="AH1307" i="16"/>
  <c r="AH1303" i="16"/>
  <c r="AH1299" i="16"/>
  <c r="AH1295" i="16"/>
  <c r="AH1291" i="16"/>
  <c r="AH1287" i="16"/>
  <c r="AH1283" i="16"/>
  <c r="AH1279" i="16"/>
  <c r="AH1275" i="16"/>
  <c r="AH1271" i="16"/>
  <c r="AH1267" i="16"/>
  <c r="AH1263" i="16"/>
  <c r="AH1259" i="16"/>
  <c r="AH1255" i="16"/>
  <c r="AH1251" i="16"/>
  <c r="AH1247" i="16"/>
  <c r="AH1243" i="16"/>
  <c r="AH1239" i="16"/>
  <c r="AH1235" i="16"/>
  <c r="AH1231" i="16"/>
  <c r="AH1227" i="16"/>
  <c r="AH1223" i="16"/>
  <c r="AH1219" i="16"/>
  <c r="AH1215" i="16"/>
  <c r="AH1211" i="16"/>
  <c r="AH1207" i="16"/>
  <c r="AH1203" i="16"/>
  <c r="AH1199" i="16"/>
  <c r="AH1195" i="16"/>
  <c r="AH1191" i="16"/>
  <c r="AH1187" i="16"/>
  <c r="AH1183" i="16"/>
  <c r="AH1179" i="16"/>
  <c r="AH1175" i="16"/>
  <c r="AH1171" i="16"/>
  <c r="AH1167" i="16"/>
  <c r="AH1163" i="16"/>
  <c r="AH1159" i="16"/>
  <c r="AH1155" i="16"/>
  <c r="AH1151" i="16"/>
  <c r="AH1147" i="16"/>
  <c r="AH1143" i="16"/>
  <c r="AH1139" i="16"/>
  <c r="AH1135" i="16"/>
  <c r="AH1131" i="16"/>
  <c r="AH1127" i="16"/>
  <c r="AH1123" i="16"/>
  <c r="AH1119" i="16"/>
  <c r="AH1115" i="16"/>
  <c r="AH1111" i="16"/>
  <c r="AH1107" i="16"/>
  <c r="AH1103" i="16"/>
  <c r="AH1099" i="16"/>
  <c r="AH1095" i="16"/>
  <c r="AH1091" i="16"/>
  <c r="AH1087" i="16"/>
  <c r="AH1083" i="16"/>
  <c r="AH1079" i="16"/>
  <c r="AH1075" i="16"/>
  <c r="AH1071" i="16"/>
  <c r="AH1067" i="16"/>
  <c r="AH1063" i="16"/>
  <c r="AH1059" i="16"/>
  <c r="AH1055" i="16"/>
  <c r="AH1051" i="16"/>
  <c r="AH1047" i="16"/>
  <c r="AH1043" i="16"/>
  <c r="AH1039" i="16"/>
  <c r="AH1035" i="16"/>
  <c r="AH1031" i="16"/>
  <c r="AH1027" i="16"/>
  <c r="AH1023" i="16"/>
  <c r="AH1019" i="16"/>
  <c r="AH1015" i="16"/>
  <c r="AH1011" i="16"/>
  <c r="AH1007" i="16"/>
  <c r="AH1003" i="16"/>
  <c r="AH999" i="16"/>
  <c r="AH995" i="16"/>
  <c r="AG700" i="16"/>
  <c r="AG696" i="16"/>
  <c r="AG692" i="16"/>
  <c r="AH687" i="16"/>
  <c r="AH683" i="16"/>
  <c r="AG680" i="16"/>
  <c r="AH679" i="16"/>
  <c r="AG676" i="16"/>
  <c r="AH671" i="16"/>
  <c r="AG668" i="16"/>
  <c r="AH663" i="16"/>
  <c r="AH659" i="16"/>
  <c r="AH655" i="16"/>
  <c r="AG652" i="16"/>
  <c r="AG644" i="16"/>
  <c r="AG640" i="16"/>
  <c r="AG632" i="16"/>
  <c r="AG624" i="16"/>
  <c r="AG616" i="16"/>
  <c r="AH607" i="16"/>
  <c r="AH603" i="16"/>
  <c r="AG592" i="16"/>
  <c r="AG584" i="16"/>
  <c r="AG580" i="16"/>
  <c r="AH575" i="16"/>
  <c r="AG572" i="16"/>
  <c r="AG556" i="16"/>
  <c r="AG552" i="16"/>
  <c r="AG544" i="16"/>
  <c r="AG536" i="16"/>
  <c r="AH531" i="16"/>
  <c r="AG528" i="16"/>
  <c r="AH519" i="16"/>
  <c r="AG516" i="16"/>
  <c r="AH507" i="16"/>
  <c r="AG504" i="16"/>
  <c r="AH499" i="16"/>
  <c r="AG496" i="16"/>
  <c r="AH491" i="16"/>
  <c r="AH487" i="16"/>
  <c r="AG484" i="16"/>
  <c r="AH479" i="16"/>
  <c r="AG476" i="16"/>
  <c r="AG472" i="16"/>
  <c r="AH451" i="16"/>
  <c r="AH427" i="16"/>
  <c r="AH419" i="16"/>
  <c r="AH405" i="16"/>
  <c r="AH393" i="16"/>
  <c r="AG2585" i="16"/>
  <c r="AH2584" i="16"/>
  <c r="AG2477" i="16"/>
  <c r="AH2476" i="16"/>
  <c r="AG2125" i="16"/>
  <c r="AH2124" i="16"/>
  <c r="AG2123" i="16"/>
  <c r="AH2122" i="16"/>
  <c r="AG2121" i="16"/>
  <c r="AH2120" i="16"/>
  <c r="AG2111" i="16"/>
  <c r="AH2110" i="16"/>
  <c r="AG2109" i="16"/>
  <c r="AH2108" i="16"/>
  <c r="AG2107" i="16"/>
  <c r="AH2106" i="16"/>
  <c r="AG2105" i="16"/>
  <c r="AH2104" i="16"/>
  <c r="AG2095" i="16"/>
  <c r="AH2094" i="16"/>
  <c r="AG2093" i="16"/>
  <c r="AH2092" i="16"/>
  <c r="AG2087" i="16"/>
  <c r="AH2086" i="16"/>
  <c r="AG2085" i="16"/>
  <c r="AH2084" i="16"/>
  <c r="AG2079" i="16"/>
  <c r="AH2078" i="16"/>
  <c r="AG2077" i="16"/>
  <c r="AH2076" i="16"/>
  <c r="AG2071" i="16"/>
  <c r="AH2070" i="16"/>
  <c r="AG2069" i="16"/>
  <c r="AH2068" i="16"/>
  <c r="AG2063" i="16"/>
  <c r="AH2062" i="16"/>
  <c r="AG2061" i="16"/>
  <c r="AH2060" i="16"/>
  <c r="AG2055" i="16"/>
  <c r="AH2054" i="16"/>
  <c r="AG2053" i="16"/>
  <c r="AH2052" i="16"/>
  <c r="AG2047" i="16"/>
  <c r="AH2046" i="16"/>
  <c r="AG2045" i="16"/>
  <c r="AH2044" i="16"/>
  <c r="AG2039" i="16"/>
  <c r="AH2038" i="16"/>
  <c r="AG2037" i="16"/>
  <c r="AH2036" i="16"/>
  <c r="AG2031" i="16"/>
  <c r="AH2030" i="16"/>
  <c r="AG2029" i="16"/>
  <c r="AH2028" i="16"/>
  <c r="AG2023" i="16"/>
  <c r="AH2022" i="16"/>
  <c r="AG2021" i="16"/>
  <c r="AH2020" i="16"/>
  <c r="AG2015" i="16"/>
  <c r="AH2014" i="16"/>
  <c r="AG2013" i="16"/>
  <c r="AH2012" i="16"/>
  <c r="AG2007" i="16"/>
  <c r="AH2006" i="16"/>
  <c r="AG2005" i="16"/>
  <c r="AH2004" i="16"/>
  <c r="AG1999" i="16"/>
  <c r="AH1998" i="16"/>
  <c r="AG1997" i="16"/>
  <c r="AH1996" i="16"/>
  <c r="AG1991" i="16"/>
  <c r="AH1990" i="16"/>
  <c r="AG1989" i="16"/>
  <c r="AH1988" i="16"/>
  <c r="AG1983" i="16"/>
  <c r="AH1982" i="16"/>
  <c r="AG1981" i="16"/>
  <c r="AH1980" i="16"/>
  <c r="AG1975" i="16"/>
  <c r="AH1974" i="16"/>
  <c r="AG1973" i="16"/>
  <c r="AH1972" i="16"/>
  <c r="AG1967" i="16"/>
  <c r="AH1966" i="16"/>
  <c r="AG1965" i="16"/>
  <c r="AH1964" i="16"/>
  <c r="AG1959" i="16"/>
  <c r="AH1958" i="16"/>
  <c r="AG1957" i="16"/>
  <c r="AH1956" i="16"/>
  <c r="AG1951" i="16"/>
  <c r="AH1950" i="16"/>
  <c r="AG1949" i="16"/>
  <c r="AH1948" i="16"/>
  <c r="AG1943" i="16"/>
  <c r="AH1942" i="16"/>
  <c r="AG1941" i="16"/>
  <c r="AH1940" i="16"/>
  <c r="AG1935" i="16"/>
  <c r="AH1934" i="16"/>
  <c r="AG1933" i="16"/>
  <c r="AH1932" i="16"/>
  <c r="AG1927" i="16"/>
  <c r="AH1926" i="16"/>
  <c r="AG1925" i="16"/>
  <c r="AH1924" i="16"/>
  <c r="AG1919" i="16"/>
  <c r="AH1918" i="16"/>
  <c r="AG1917" i="16"/>
  <c r="AH1916" i="16"/>
  <c r="AG1911" i="16"/>
  <c r="AH1910" i="16"/>
  <c r="AG1909" i="16"/>
  <c r="AH1908" i="16"/>
  <c r="AG1903" i="16"/>
  <c r="AH1902" i="16"/>
  <c r="AG1901" i="16"/>
  <c r="AH1900" i="16"/>
  <c r="AG1895" i="16"/>
  <c r="AH1894" i="16"/>
  <c r="AG1893" i="16"/>
  <c r="AH1892" i="16"/>
  <c r="AG1887" i="16"/>
  <c r="AH1886" i="16"/>
  <c r="AG1885" i="16"/>
  <c r="AH1884" i="16"/>
  <c r="AG1879" i="16"/>
  <c r="AH1878" i="16"/>
  <c r="AG1877" i="16"/>
  <c r="AH1876" i="16"/>
  <c r="AG1861" i="16"/>
  <c r="AH1860" i="16"/>
  <c r="AG1845" i="16"/>
  <c r="AH1844" i="16"/>
  <c r="AG1829" i="16"/>
  <c r="AH1828" i="16"/>
  <c r="AG1813" i="16"/>
  <c r="AH1812" i="16"/>
  <c r="AG1797" i="16"/>
  <c r="AH1796" i="16"/>
  <c r="AG1781" i="16"/>
  <c r="AH1780" i="16"/>
  <c r="AG1765" i="16"/>
  <c r="AH1764" i="16"/>
  <c r="AG1753" i="16"/>
  <c r="AH1752" i="16"/>
  <c r="AG1745" i="16"/>
  <c r="AH1744" i="16"/>
  <c r="AG1737" i="16"/>
  <c r="AH1736" i="16"/>
  <c r="AG1729" i="16"/>
  <c r="AH1728" i="16"/>
  <c r="AG1721" i="16"/>
  <c r="AH1720" i="16"/>
  <c r="AG1713" i="16"/>
  <c r="AH1712" i="16"/>
  <c r="AG1705" i="16"/>
  <c r="AH1704" i="16"/>
  <c r="AG1697" i="16"/>
  <c r="AH1696" i="16"/>
  <c r="AG1689" i="16"/>
  <c r="AH1688" i="16"/>
  <c r="AG1681" i="16"/>
  <c r="AH1680" i="16"/>
  <c r="AG1673" i="16"/>
  <c r="AH1672" i="16"/>
  <c r="AG1665" i="16"/>
  <c r="AH1664" i="16"/>
  <c r="AG1657" i="16"/>
  <c r="AH1656" i="16"/>
  <c r="AG1649" i="16"/>
  <c r="AH1648" i="16"/>
  <c r="AG1641" i="16"/>
  <c r="AH1640" i="16"/>
  <c r="AG1633" i="16"/>
  <c r="AH1632" i="16"/>
  <c r="AG1625" i="16"/>
  <c r="AH1624" i="16"/>
  <c r="AG1617" i="16"/>
  <c r="AH1616" i="16"/>
  <c r="AG1609" i="16"/>
  <c r="AH1608" i="16"/>
  <c r="AG1601" i="16"/>
  <c r="AH1600" i="16"/>
  <c r="AG1593" i="16"/>
  <c r="AH1592" i="16"/>
  <c r="AG1585" i="16"/>
  <c r="AH1584" i="16"/>
  <c r="AG1577" i="16"/>
  <c r="AH1576" i="16"/>
  <c r="AG1575" i="16"/>
  <c r="AH1574" i="16"/>
  <c r="AG1569" i="16"/>
  <c r="AH1568" i="16"/>
  <c r="AG1567" i="16"/>
  <c r="AH1566" i="16"/>
  <c r="AG1561" i="16"/>
  <c r="AH1560" i="16"/>
  <c r="AG1559" i="16"/>
  <c r="AH1558" i="16"/>
  <c r="AG1553" i="16"/>
  <c r="AH1552" i="16"/>
  <c r="AG1551" i="16"/>
  <c r="AH1550" i="16"/>
  <c r="AG1545" i="16"/>
  <c r="AH1544" i="16"/>
  <c r="AG1543" i="16"/>
  <c r="AH1542" i="16"/>
  <c r="AG1537" i="16"/>
  <c r="AH1536" i="16"/>
  <c r="AG1535" i="16"/>
  <c r="AH1534" i="16"/>
  <c r="AG1529" i="16"/>
  <c r="AH1528" i="16"/>
  <c r="AG1527" i="16"/>
  <c r="AH1526" i="16"/>
  <c r="AG1519" i="16"/>
  <c r="AH1518" i="16"/>
  <c r="AG1511" i="16"/>
  <c r="AH1510" i="16"/>
  <c r="AG1503" i="16"/>
  <c r="AH1502" i="16"/>
  <c r="AG1495" i="16"/>
  <c r="AH1494" i="16"/>
  <c r="AG1487" i="16"/>
  <c r="AH1486" i="16"/>
  <c r="AG1479" i="16"/>
  <c r="AH1478" i="16"/>
  <c r="AG1471" i="16"/>
  <c r="AH1470" i="16"/>
  <c r="AG1463" i="16"/>
  <c r="AH1462" i="16"/>
  <c r="AG1455" i="16"/>
  <c r="AH1454" i="16"/>
  <c r="AG1447" i="16"/>
  <c r="AH1446" i="16"/>
  <c r="AG1439" i="16"/>
  <c r="AH1438" i="16"/>
  <c r="AG1431" i="16"/>
  <c r="AH1430" i="16"/>
  <c r="AG1423" i="16"/>
  <c r="AH1422" i="16"/>
  <c r="AG1415" i="16"/>
  <c r="AH1414" i="16"/>
  <c r="AG1407" i="16"/>
  <c r="AH1406" i="16"/>
  <c r="AG1399" i="16"/>
  <c r="AH1398" i="16"/>
  <c r="AG1391" i="16"/>
  <c r="AH1390" i="16"/>
  <c r="AG1383" i="16"/>
  <c r="AH1382" i="16"/>
  <c r="AG1375" i="16"/>
  <c r="AH1374" i="16"/>
  <c r="AG1367" i="16"/>
  <c r="AH1366" i="16"/>
  <c r="AG1359" i="16"/>
  <c r="AH1358" i="16"/>
  <c r="AG1351" i="16"/>
  <c r="AH1350" i="16"/>
  <c r="AG1343" i="16"/>
  <c r="AH1342" i="16"/>
  <c r="AG1335" i="16"/>
  <c r="AH1334" i="16"/>
  <c r="AG1327" i="16"/>
  <c r="AH1326" i="16"/>
  <c r="AG1319" i="16"/>
  <c r="AH1318" i="16"/>
  <c r="AG1311" i="16"/>
  <c r="AH1310" i="16"/>
  <c r="AG1303" i="16"/>
  <c r="AH1302" i="16"/>
  <c r="AG1295" i="16"/>
  <c r="AH1294" i="16"/>
  <c r="AG1287" i="16"/>
  <c r="AH1286" i="16"/>
  <c r="AG1279" i="16"/>
  <c r="AH1278" i="16"/>
  <c r="AG1271" i="16"/>
  <c r="AH1270" i="16"/>
  <c r="AG1263" i="16"/>
  <c r="AH1262" i="16"/>
  <c r="AG1255" i="16"/>
  <c r="AH1254" i="16"/>
  <c r="AG1247" i="16"/>
  <c r="AH1246" i="16"/>
  <c r="AG1239" i="16"/>
  <c r="AH1238" i="16"/>
  <c r="AG1231" i="16"/>
  <c r="AH1230" i="16"/>
  <c r="AG1223" i="16"/>
  <c r="AH1222" i="16"/>
  <c r="AG1215" i="16"/>
  <c r="AH1214" i="16"/>
  <c r="AG1207" i="16"/>
  <c r="AH1206" i="16"/>
  <c r="AG1199" i="16"/>
  <c r="AH1198" i="16"/>
  <c r="AG1191" i="16"/>
  <c r="AH1190" i="16"/>
  <c r="AG1183" i="16"/>
  <c r="AH1182" i="16"/>
  <c r="AG1175" i="16"/>
  <c r="AH1174" i="16"/>
  <c r="AG1167" i="16"/>
  <c r="AH1166" i="16"/>
  <c r="AG1159" i="16"/>
  <c r="AH1158" i="16"/>
  <c r="AG1151" i="16"/>
  <c r="AH1150" i="16"/>
  <c r="AG1143" i="16"/>
  <c r="AH1142" i="16"/>
  <c r="AG1135" i="16"/>
  <c r="AH1134" i="16"/>
  <c r="AG1127" i="16"/>
  <c r="AH1126" i="16"/>
  <c r="AG1119" i="16"/>
  <c r="AH1118" i="16"/>
  <c r="AG1111" i="16"/>
  <c r="AH1110" i="16"/>
  <c r="AG1103" i="16"/>
  <c r="AH1102" i="16"/>
  <c r="AG1095" i="16"/>
  <c r="AH1094" i="16"/>
  <c r="AG1087" i="16"/>
  <c r="AH1086" i="16"/>
  <c r="AG1079" i="16"/>
  <c r="AH1078" i="16"/>
  <c r="AG1071" i="16"/>
  <c r="AH1070" i="16"/>
  <c r="AG1063" i="16"/>
  <c r="AH1062" i="16"/>
  <c r="AG1055" i="16"/>
  <c r="AH1054" i="16"/>
  <c r="AG1047" i="16"/>
  <c r="AH1046" i="16"/>
  <c r="AG1039" i="16"/>
  <c r="AH1038" i="16"/>
  <c r="AG1031" i="16"/>
  <c r="AH1030" i="16"/>
  <c r="AG1023" i="16"/>
  <c r="AH1022" i="16"/>
  <c r="AG1015" i="16"/>
  <c r="AH1014" i="16"/>
  <c r="AG1007" i="16"/>
  <c r="AH1006" i="16"/>
  <c r="AG999" i="16"/>
  <c r="AH998" i="16"/>
  <c r="AH695" i="16"/>
  <c r="AG684" i="16"/>
  <c r="AH647" i="16"/>
  <c r="AH643" i="16"/>
  <c r="AH639" i="16"/>
  <c r="AH635" i="16"/>
  <c r="AH627" i="16"/>
  <c r="AH619" i="16"/>
  <c r="AH615" i="16"/>
  <c r="AH595" i="16"/>
  <c r="AH591" i="16"/>
  <c r="AH587" i="16"/>
  <c r="AH583" i="16"/>
  <c r="AH567" i="16"/>
  <c r="AH559" i="16"/>
  <c r="AH555" i="16"/>
  <c r="AH551" i="16"/>
  <c r="AG548" i="16"/>
  <c r="AH539" i="16"/>
  <c r="AH535" i="16"/>
  <c r="AH523" i="16"/>
  <c r="AG520" i="16"/>
  <c r="AH495" i="16"/>
  <c r="AG492" i="16"/>
  <c r="AH475" i="16"/>
  <c r="AH471" i="16"/>
  <c r="AH467" i="16"/>
  <c r="AH397" i="16"/>
  <c r="AH381" i="16"/>
  <c r="AG992" i="16"/>
  <c r="AH991" i="16"/>
  <c r="AG988" i="16"/>
  <c r="AH987" i="16"/>
  <c r="AG984" i="16"/>
  <c r="AH983" i="16"/>
  <c r="AG980" i="16"/>
  <c r="AH979" i="16"/>
  <c r="AG976" i="16"/>
  <c r="AH975" i="16"/>
  <c r="AG972" i="16"/>
  <c r="AH971" i="16"/>
  <c r="AG968" i="16"/>
  <c r="AH967" i="16"/>
  <c r="AG964" i="16"/>
  <c r="AH963" i="16"/>
  <c r="AG960" i="16"/>
  <c r="AH959" i="16"/>
  <c r="AG956" i="16"/>
  <c r="AH955" i="16"/>
  <c r="AG952" i="16"/>
  <c r="AH951" i="16"/>
  <c r="AG948" i="16"/>
  <c r="AH947" i="16"/>
  <c r="AG944" i="16"/>
  <c r="AH943" i="16"/>
  <c r="AG940" i="16"/>
  <c r="AH939" i="16"/>
  <c r="AG936" i="16"/>
  <c r="AH935" i="16"/>
  <c r="AG932" i="16"/>
  <c r="AH931" i="16"/>
  <c r="AG928" i="16"/>
  <c r="AH927" i="16"/>
  <c r="AG924" i="16"/>
  <c r="AH923" i="16"/>
  <c r="AG920" i="16"/>
  <c r="AH919" i="16"/>
  <c r="AG916" i="16"/>
  <c r="AH915" i="16"/>
  <c r="AG912" i="16"/>
  <c r="AH911" i="16"/>
  <c r="AG908" i="16"/>
  <c r="AH907" i="16"/>
  <c r="AG904" i="16"/>
  <c r="AH903" i="16"/>
  <c r="AG900" i="16"/>
  <c r="AH899" i="16"/>
  <c r="AG896" i="16"/>
  <c r="AH895" i="16"/>
  <c r="AG892" i="16"/>
  <c r="AH891" i="16"/>
  <c r="AG888" i="16"/>
  <c r="AH887" i="16"/>
  <c r="AG884" i="16"/>
  <c r="AH883" i="16"/>
  <c r="AG880" i="16"/>
  <c r="AH879" i="16"/>
  <c r="AG876" i="16"/>
  <c r="AH875" i="16"/>
  <c r="AG872" i="16"/>
  <c r="AH871" i="16"/>
  <c r="AG868" i="16"/>
  <c r="AH867" i="16"/>
  <c r="AG864" i="16"/>
  <c r="AH863" i="16"/>
  <c r="AG860" i="16"/>
  <c r="AH859" i="16"/>
  <c r="AG856" i="16"/>
  <c r="AH855" i="16"/>
  <c r="AG852" i="16"/>
  <c r="AH851" i="16"/>
  <c r="AG848" i="16"/>
  <c r="AH847" i="16"/>
  <c r="AG844" i="16"/>
  <c r="AH843" i="16"/>
  <c r="AG840" i="16"/>
  <c r="AH839" i="16"/>
  <c r="AG836" i="16"/>
  <c r="AH835" i="16"/>
  <c r="AG832" i="16"/>
  <c r="AH831" i="16"/>
  <c r="AG828" i="16"/>
  <c r="AH827" i="16"/>
  <c r="AG824" i="16"/>
  <c r="AH823" i="16"/>
  <c r="AG820" i="16"/>
  <c r="AH819" i="16"/>
  <c r="AG816" i="16"/>
  <c r="AH815" i="16"/>
  <c r="AG812" i="16"/>
  <c r="AH811" i="16"/>
  <c r="AG808" i="16"/>
  <c r="AH807" i="16"/>
  <c r="AG804" i="16"/>
  <c r="AH803" i="16"/>
  <c r="AG800" i="16"/>
  <c r="AH799" i="16"/>
  <c r="AG796" i="16"/>
  <c r="AH795" i="16"/>
  <c r="AG792" i="16"/>
  <c r="AH791" i="16"/>
  <c r="AG788" i="16"/>
  <c r="AH787" i="16"/>
  <c r="AG784" i="16"/>
  <c r="AH783" i="16"/>
  <c r="AG780" i="16"/>
  <c r="AH779" i="16"/>
  <c r="AG776" i="16"/>
  <c r="AH775" i="16"/>
  <c r="AG772" i="16"/>
  <c r="AH771" i="16"/>
  <c r="AG768" i="16"/>
  <c r="AH767" i="16"/>
  <c r="AG764" i="16"/>
  <c r="AH763" i="16"/>
  <c r="AG760" i="16"/>
  <c r="AH759" i="16"/>
  <c r="AG756" i="16"/>
  <c r="AH755" i="16"/>
  <c r="AG752" i="16"/>
  <c r="AH751" i="16"/>
  <c r="AG748" i="16"/>
  <c r="AH747" i="16"/>
  <c r="AG744" i="16"/>
  <c r="AH743" i="16"/>
  <c r="AG740" i="16"/>
  <c r="AH739" i="16"/>
  <c r="AG736" i="16"/>
  <c r="AH735" i="16"/>
  <c r="AG732" i="16"/>
  <c r="AH731" i="16"/>
  <c r="AG728" i="16"/>
  <c r="AH727" i="16"/>
  <c r="AG724" i="16"/>
  <c r="AH723" i="16"/>
  <c r="AG720" i="16"/>
  <c r="AH719" i="16"/>
  <c r="AG716" i="16"/>
  <c r="AH715" i="16"/>
  <c r="AG712" i="16"/>
  <c r="AH711" i="16"/>
  <c r="AG708" i="16"/>
  <c r="AH707" i="16"/>
  <c r="AG704" i="16"/>
  <c r="AH703" i="16"/>
  <c r="AH699" i="16"/>
  <c r="AH691" i="16"/>
  <c r="AG688" i="16"/>
  <c r="AH675" i="16"/>
  <c r="AG672" i="16"/>
  <c r="AH667" i="16"/>
  <c r="AG664" i="16"/>
  <c r="AG660" i="16"/>
  <c r="AG656" i="16"/>
  <c r="AH651" i="16"/>
  <c r="AG648" i="16"/>
  <c r="AG636" i="16"/>
  <c r="AH631" i="16"/>
  <c r="AG628" i="16"/>
  <c r="AH623" i="16"/>
  <c r="AG620" i="16"/>
  <c r="AG612" i="16"/>
  <c r="AH611" i="16"/>
  <c r="AG608" i="16"/>
  <c r="AG604" i="16"/>
  <c r="AG600" i="16"/>
  <c r="AH599" i="16"/>
  <c r="AG596" i="16"/>
  <c r="AG588" i="16"/>
  <c r="AH579" i="16"/>
  <c r="AG576" i="16"/>
  <c r="AH571" i="16"/>
  <c r="AG568" i="16"/>
  <c r="AG564" i="16"/>
  <c r="AH563" i="16"/>
  <c r="AG560" i="16"/>
  <c r="AH547" i="16"/>
  <c r="AH543" i="16"/>
  <c r="AG540" i="16"/>
  <c r="AG532" i="16"/>
  <c r="AH527" i="16"/>
  <c r="AG524" i="16"/>
  <c r="AH515" i="16"/>
  <c r="AG512" i="16"/>
  <c r="AH511" i="16"/>
  <c r="AG508" i="16"/>
  <c r="AH503" i="16"/>
  <c r="AG500" i="16"/>
  <c r="AG488" i="16"/>
  <c r="AH483" i="16"/>
  <c r="AG480" i="16"/>
  <c r="AG468" i="16"/>
  <c r="AH459" i="16"/>
  <c r="AH443" i="16"/>
  <c r="AH435" i="16"/>
  <c r="AH413" i="16"/>
  <c r="AH409" i="16"/>
  <c r="AH401" i="16"/>
  <c r="AH389" i="16"/>
  <c r="AH385" i="16"/>
  <c r="AH377" i="16"/>
  <c r="AH373" i="16"/>
  <c r="AH369" i="16"/>
  <c r="AH365" i="16"/>
  <c r="AH361" i="16"/>
  <c r="AH357" i="16"/>
  <c r="AH353" i="16"/>
  <c r="AH349" i="16"/>
  <c r="AH345" i="16"/>
  <c r="AH341" i="16"/>
  <c r="AH337" i="16"/>
  <c r="AH333" i="16"/>
  <c r="AH329" i="16"/>
  <c r="AG2521" i="16"/>
  <c r="AH2520" i="16"/>
  <c r="AG1869" i="16"/>
  <c r="AH1868" i="16"/>
  <c r="AG1837" i="16"/>
  <c r="AH1836" i="16"/>
  <c r="AG1805" i="16"/>
  <c r="AH1804" i="16"/>
  <c r="AG1773" i="16"/>
  <c r="AH1772" i="16"/>
  <c r="AG1749" i="16"/>
  <c r="AH1748" i="16"/>
  <c r="AG1733" i="16"/>
  <c r="AH1732" i="16"/>
  <c r="AG1717" i="16"/>
  <c r="AH1716" i="16"/>
  <c r="AG1701" i="16"/>
  <c r="AH1700" i="16"/>
  <c r="AG1685" i="16"/>
  <c r="AH1684" i="16"/>
  <c r="AG1669" i="16"/>
  <c r="AH1668" i="16"/>
  <c r="AG1653" i="16"/>
  <c r="AH1652" i="16"/>
  <c r="AG1637" i="16"/>
  <c r="AH1636" i="16"/>
  <c r="AG1621" i="16"/>
  <c r="AH1620" i="16"/>
  <c r="AG1605" i="16"/>
  <c r="AH1604" i="16"/>
  <c r="AG1589" i="16"/>
  <c r="AH1588" i="16"/>
  <c r="AG1515" i="16"/>
  <c r="AH1514" i="16"/>
  <c r="AG1499" i="16"/>
  <c r="AH1498" i="16"/>
  <c r="AG1483" i="16"/>
  <c r="AH1482" i="16"/>
  <c r="AG1467" i="16"/>
  <c r="AH1466" i="16"/>
  <c r="AG1451" i="16"/>
  <c r="AH1450" i="16"/>
  <c r="AG1435" i="16"/>
  <c r="AH1434" i="16"/>
  <c r="AG1419" i="16"/>
  <c r="AH1418" i="16"/>
  <c r="AG1403" i="16"/>
  <c r="AH1402" i="16"/>
  <c r="AG1387" i="16"/>
  <c r="AH1386" i="16"/>
  <c r="AG1371" i="16"/>
  <c r="AH1370" i="16"/>
  <c r="AG1355" i="16"/>
  <c r="AH1354" i="16"/>
  <c r="AG1339" i="16"/>
  <c r="AH1338" i="16"/>
  <c r="AG1323" i="16"/>
  <c r="AH1322" i="16"/>
  <c r="AG1307" i="16"/>
  <c r="AH1306" i="16"/>
  <c r="AG1291" i="16"/>
  <c r="AH1290" i="16"/>
  <c r="AG1275" i="16"/>
  <c r="AH1274" i="16"/>
  <c r="AG1259" i="16"/>
  <c r="AH1258" i="16"/>
  <c r="AG1243" i="16"/>
  <c r="AH1242" i="16"/>
  <c r="AG1227" i="16"/>
  <c r="AH1226" i="16"/>
  <c r="AG1211" i="16"/>
  <c r="AH1210" i="16"/>
  <c r="AG1195" i="16"/>
  <c r="AH1194" i="16"/>
  <c r="AG1179" i="16"/>
  <c r="AH1178" i="16"/>
  <c r="AG1163" i="16"/>
  <c r="AH1162" i="16"/>
  <c r="AG1147" i="16"/>
  <c r="AH1146" i="16"/>
  <c r="AG1131" i="16"/>
  <c r="AH1130" i="16"/>
  <c r="AG1115" i="16"/>
  <c r="AH1114" i="16"/>
  <c r="AG1099" i="16"/>
  <c r="AH1098" i="16"/>
  <c r="AG1083" i="16"/>
  <c r="AH1082" i="16"/>
  <c r="AG1067" i="16"/>
  <c r="AH1066" i="16"/>
  <c r="AG1051" i="16"/>
  <c r="AH1050" i="16"/>
  <c r="AG1035" i="16"/>
  <c r="AH1034" i="16"/>
  <c r="AG1019" i="16"/>
  <c r="AH1018" i="16"/>
  <c r="AG1003" i="16"/>
  <c r="AH1002" i="16"/>
  <c r="AG991" i="16"/>
  <c r="AH990" i="16"/>
  <c r="AG983" i="16"/>
  <c r="AH982" i="16"/>
  <c r="AG975" i="16"/>
  <c r="AH974" i="16"/>
  <c r="AG967" i="16"/>
  <c r="AH966" i="16"/>
  <c r="AG959" i="16"/>
  <c r="AH958" i="16"/>
  <c r="AG951" i="16"/>
  <c r="AH950" i="16"/>
  <c r="AG943" i="16"/>
  <c r="AH942" i="16"/>
  <c r="AG935" i="16"/>
  <c r="AH934" i="16"/>
  <c r="AG927" i="16"/>
  <c r="AH926" i="16"/>
  <c r="AG919" i="16"/>
  <c r="AH918" i="16"/>
  <c r="AG911" i="16"/>
  <c r="AH910" i="16"/>
  <c r="AG903" i="16"/>
  <c r="AH902" i="16"/>
  <c r="AG895" i="16"/>
  <c r="AH894" i="16"/>
  <c r="AG887" i="16"/>
  <c r="AH886" i="16"/>
  <c r="AG879" i="16"/>
  <c r="AH878" i="16"/>
  <c r="AG871" i="16"/>
  <c r="AH870" i="16"/>
  <c r="AG863" i="16"/>
  <c r="AH862" i="16"/>
  <c r="AG855" i="16"/>
  <c r="AH854" i="16"/>
  <c r="AG847" i="16"/>
  <c r="AH846" i="16"/>
  <c r="AG839" i="16"/>
  <c r="AH838" i="16"/>
  <c r="AG831" i="16"/>
  <c r="AH830" i="16"/>
  <c r="AG823" i="16"/>
  <c r="AH822" i="16"/>
  <c r="AG815" i="16"/>
  <c r="AH814" i="16"/>
  <c r="AG807" i="16"/>
  <c r="AH806" i="16"/>
  <c r="AG799" i="16"/>
  <c r="AH798" i="16"/>
  <c r="AG791" i="16"/>
  <c r="AH790" i="16"/>
  <c r="AG783" i="16"/>
  <c r="AH782" i="16"/>
  <c r="AG775" i="16"/>
  <c r="AH774" i="16"/>
  <c r="AG767" i="16"/>
  <c r="AH766" i="16"/>
  <c r="AG759" i="16"/>
  <c r="AH758" i="16"/>
  <c r="AG751" i="16"/>
  <c r="AH750" i="16"/>
  <c r="AG743" i="16"/>
  <c r="AH742" i="16"/>
  <c r="AG735" i="16"/>
  <c r="AH734" i="16"/>
  <c r="AG727" i="16"/>
  <c r="AH726" i="16"/>
  <c r="AG719" i="16"/>
  <c r="AH718" i="16"/>
  <c r="AG711" i="16"/>
  <c r="AH710" i="16"/>
  <c r="AG703" i="16"/>
  <c r="AH702" i="16"/>
  <c r="AG695" i="16"/>
  <c r="AH694" i="16"/>
  <c r="AG687" i="16"/>
  <c r="AH686" i="16"/>
  <c r="AG679" i="16"/>
  <c r="AH678" i="16"/>
  <c r="AG671" i="16"/>
  <c r="AH670" i="16"/>
  <c r="AG663" i="16"/>
  <c r="AH662" i="16"/>
  <c r="AG655" i="16"/>
  <c r="AH654" i="16"/>
  <c r="AG647" i="16"/>
  <c r="AH646" i="16"/>
  <c r="AG639" i="16"/>
  <c r="AH638" i="16"/>
  <c r="AG631" i="16"/>
  <c r="AH630" i="16"/>
  <c r="AG623" i="16"/>
  <c r="AH622" i="16"/>
  <c r="AG615" i="16"/>
  <c r="AH614" i="16"/>
  <c r="AG607" i="16"/>
  <c r="AH606" i="16"/>
  <c r="AG3061" i="16"/>
  <c r="AH3060" i="16"/>
  <c r="AG2445" i="16"/>
  <c r="AH2444" i="16"/>
  <c r="AG1853" i="16"/>
  <c r="AH1852" i="16"/>
  <c r="AG1821" i="16"/>
  <c r="AH1820" i="16"/>
  <c r="AG1789" i="16"/>
  <c r="AH1788" i="16"/>
  <c r="AG1757" i="16"/>
  <c r="AH1756" i="16"/>
  <c r="AG1741" i="16"/>
  <c r="AH1740" i="16"/>
  <c r="AG1725" i="16"/>
  <c r="AH1724" i="16"/>
  <c r="AG1709" i="16"/>
  <c r="AH1708" i="16"/>
  <c r="AG1693" i="16"/>
  <c r="AH1692" i="16"/>
  <c r="AG1677" i="16"/>
  <c r="AH1676" i="16"/>
  <c r="AG1661" i="16"/>
  <c r="AH1660" i="16"/>
  <c r="AG1645" i="16"/>
  <c r="AH1644" i="16"/>
  <c r="AG1629" i="16"/>
  <c r="AH1628" i="16"/>
  <c r="AG1613" i="16"/>
  <c r="AH1612" i="16"/>
  <c r="AG1597" i="16"/>
  <c r="AH1596" i="16"/>
  <c r="AG1581" i="16"/>
  <c r="AH1580" i="16"/>
  <c r="AG1523" i="16"/>
  <c r="AH1522" i="16"/>
  <c r="AG1507" i="16"/>
  <c r="AH1506" i="16"/>
  <c r="AG1491" i="16"/>
  <c r="AH1490" i="16"/>
  <c r="AG1475" i="16"/>
  <c r="AH1474" i="16"/>
  <c r="AG1459" i="16"/>
  <c r="AH1458" i="16"/>
  <c r="AG1443" i="16"/>
  <c r="AH1442" i="16"/>
  <c r="AG1427" i="16"/>
  <c r="AH1426" i="16"/>
  <c r="AG1411" i="16"/>
  <c r="AH1410" i="16"/>
  <c r="AG1395" i="16"/>
  <c r="AH1394" i="16"/>
  <c r="AG1379" i="16"/>
  <c r="AH1378" i="16"/>
  <c r="AG1363" i="16"/>
  <c r="AH1362" i="16"/>
  <c r="AG1347" i="16"/>
  <c r="AH1346" i="16"/>
  <c r="AG1331" i="16"/>
  <c r="AH1330" i="16"/>
  <c r="AG1315" i="16"/>
  <c r="AH1314" i="16"/>
  <c r="AG1299" i="16"/>
  <c r="AH1298" i="16"/>
  <c r="AG1283" i="16"/>
  <c r="AH1282" i="16"/>
  <c r="AG1267" i="16"/>
  <c r="AH1266" i="16"/>
  <c r="AG1251" i="16"/>
  <c r="AH1250" i="16"/>
  <c r="AG1235" i="16"/>
  <c r="AH1234" i="16"/>
  <c r="AG1219" i="16"/>
  <c r="AH1218" i="16"/>
  <c r="AG1203" i="16"/>
  <c r="AH1202" i="16"/>
  <c r="AG1187" i="16"/>
  <c r="AH1186" i="16"/>
  <c r="AG1171" i="16"/>
  <c r="AH1170" i="16"/>
  <c r="AG1155" i="16"/>
  <c r="AH1154" i="16"/>
  <c r="AG1139" i="16"/>
  <c r="AH1138" i="16"/>
  <c r="AG1123" i="16"/>
  <c r="AH1122" i="16"/>
  <c r="AG1107" i="16"/>
  <c r="AH1106" i="16"/>
  <c r="AG1091" i="16"/>
  <c r="AH1090" i="16"/>
  <c r="AG1075" i="16"/>
  <c r="AH1074" i="16"/>
  <c r="AG1059" i="16"/>
  <c r="AH1058" i="16"/>
  <c r="AG1043" i="16"/>
  <c r="AH1042" i="16"/>
  <c r="AG1027" i="16"/>
  <c r="AH1026" i="16"/>
  <c r="AG1011" i="16"/>
  <c r="AH1010" i="16"/>
  <c r="AG995" i="16"/>
  <c r="AH994" i="16"/>
  <c r="AG987" i="16"/>
  <c r="AH986" i="16"/>
  <c r="AG979" i="16"/>
  <c r="AH978" i="16"/>
  <c r="AG971" i="16"/>
  <c r="AH970" i="16"/>
  <c r="AG963" i="16"/>
  <c r="AH962" i="16"/>
  <c r="AG955" i="16"/>
  <c r="AH954" i="16"/>
  <c r="AG947" i="16"/>
  <c r="AH946" i="16"/>
  <c r="AG939" i="16"/>
  <c r="AH938" i="16"/>
  <c r="AG931" i="16"/>
  <c r="AH930" i="16"/>
  <c r="AG923" i="16"/>
  <c r="AH922" i="16"/>
  <c r="AG915" i="16"/>
  <c r="AH914" i="16"/>
  <c r="AG907" i="16"/>
  <c r="AH906" i="16"/>
  <c r="AG899" i="16"/>
  <c r="AH898" i="16"/>
  <c r="AG891" i="16"/>
  <c r="AH890" i="16"/>
  <c r="AG883" i="16"/>
  <c r="AH882" i="16"/>
  <c r="AG875" i="16"/>
  <c r="AH874" i="16"/>
  <c r="AG867" i="16"/>
  <c r="AH866" i="16"/>
  <c r="AG859" i="16"/>
  <c r="AH858" i="16"/>
  <c r="AG851" i="16"/>
  <c r="AH850" i="16"/>
  <c r="AG843" i="16"/>
  <c r="AH842" i="16"/>
  <c r="AG835" i="16"/>
  <c r="AH834" i="16"/>
  <c r="AG827" i="16"/>
  <c r="AH826" i="16"/>
  <c r="AG819" i="16"/>
  <c r="AH818" i="16"/>
  <c r="AG811" i="16"/>
  <c r="AH810" i="16"/>
  <c r="AH332" i="16"/>
  <c r="AG333" i="16"/>
  <c r="AH340" i="16"/>
  <c r="AG341" i="16"/>
  <c r="AH348" i="16"/>
  <c r="AG349" i="16"/>
  <c r="AH356" i="16"/>
  <c r="AG357" i="16"/>
  <c r="AH364" i="16"/>
  <c r="AG365" i="16"/>
  <c r="AH372" i="16"/>
  <c r="AG373" i="16"/>
  <c r="AH380" i="16"/>
  <c r="AG381" i="16"/>
  <c r="AH388" i="16"/>
  <c r="AG389" i="16"/>
  <c r="AH396" i="16"/>
  <c r="AG397" i="16"/>
  <c r="AH404" i="16"/>
  <c r="AG405" i="16"/>
  <c r="AH412" i="16"/>
  <c r="AG413" i="16"/>
  <c r="AG424" i="16"/>
  <c r="AG432" i="16"/>
  <c r="AG440" i="16"/>
  <c r="AG448" i="16"/>
  <c r="AG456" i="16"/>
  <c r="AG464" i="16"/>
  <c r="AH470" i="16"/>
  <c r="AG471" i="16"/>
  <c r="AH478" i="16"/>
  <c r="AG479" i="16"/>
  <c r="AH486" i="16"/>
  <c r="AG487" i="16"/>
  <c r="AH494" i="16"/>
  <c r="AG495" i="16"/>
  <c r="AH502" i="16"/>
  <c r="AG503" i="16"/>
  <c r="AH510" i="16"/>
  <c r="AG511" i="16"/>
  <c r="AH518" i="16"/>
  <c r="AG519" i="16"/>
  <c r="AH526" i="16"/>
  <c r="AG527" i="16"/>
  <c r="AH534" i="16"/>
  <c r="AG535" i="16"/>
  <c r="AH542" i="16"/>
  <c r="AG543" i="16"/>
  <c r="AH550" i="16"/>
  <c r="AG551" i="16"/>
  <c r="AH558" i="16"/>
  <c r="AG559" i="16"/>
  <c r="AH566" i="16"/>
  <c r="AG567" i="16"/>
  <c r="AH574" i="16"/>
  <c r="AG575" i="16"/>
  <c r="AH582" i="16"/>
  <c r="AG583" i="16"/>
  <c r="AH590" i="16"/>
  <c r="AG591" i="16"/>
  <c r="AH598" i="16"/>
  <c r="AG599" i="16"/>
  <c r="AH610" i="16"/>
  <c r="AG611" i="16"/>
  <c r="AH626" i="16"/>
  <c r="AG627" i="16"/>
  <c r="AH642" i="16"/>
  <c r="AG643" i="16"/>
  <c r="AH658" i="16"/>
  <c r="AG659" i="16"/>
  <c r="AH674" i="16"/>
  <c r="AG675" i="16"/>
  <c r="AH690" i="16"/>
  <c r="AG691" i="16"/>
  <c r="AH706" i="16"/>
  <c r="AG707" i="16"/>
  <c r="AH722" i="16"/>
  <c r="AG723" i="16"/>
  <c r="AH738" i="16"/>
  <c r="AG739" i="16"/>
  <c r="AH754" i="16"/>
  <c r="AG755" i="16"/>
  <c r="AH770" i="16"/>
  <c r="AG771" i="16"/>
  <c r="AH786" i="16"/>
  <c r="AG787" i="16"/>
  <c r="AH802" i="16"/>
  <c r="AG803" i="16"/>
  <c r="AG329" i="16"/>
  <c r="AH344" i="16"/>
  <c r="AG353" i="16"/>
  <c r="AG369" i="16"/>
  <c r="AG377" i="16"/>
  <c r="AG393" i="16"/>
  <c r="AH408" i="16"/>
  <c r="AG417" i="16"/>
  <c r="AG421" i="16"/>
  <c r="AH426" i="16"/>
  <c r="AG427" i="16"/>
  <c r="AH434" i="16"/>
  <c r="AG437" i="16"/>
  <c r="AG443" i="16"/>
  <c r="AH448" i="16"/>
  <c r="AG451" i="16"/>
  <c r="AH458" i="16"/>
  <c r="AG461" i="16"/>
  <c r="AG467" i="16"/>
  <c r="AH482" i="16"/>
  <c r="AH490" i="16"/>
  <c r="AG499" i="16"/>
  <c r="AH514" i="16"/>
  <c r="AG523" i="16"/>
  <c r="AH538" i="16"/>
  <c r="AG547" i="16"/>
  <c r="AG555" i="16"/>
  <c r="AG563" i="16"/>
  <c r="AH578" i="16"/>
  <c r="AG587" i="16"/>
  <c r="AH602" i="16"/>
  <c r="AG619" i="16"/>
  <c r="AG635" i="16"/>
  <c r="AH666" i="16"/>
  <c r="AG683" i="16"/>
  <c r="AH714" i="16"/>
  <c r="AG731" i="16"/>
  <c r="AH778" i="16"/>
  <c r="AH39" i="16"/>
  <c r="AG39" i="16"/>
  <c r="AH47" i="16"/>
  <c r="AG47" i="16"/>
  <c r="AH95" i="16"/>
  <c r="AG95" i="16"/>
  <c r="AH119" i="16"/>
  <c r="AG119" i="16"/>
  <c r="AH123" i="16"/>
  <c r="AG123" i="16"/>
  <c r="AH131" i="16"/>
  <c r="AG131" i="16"/>
  <c r="AH139" i="16"/>
  <c r="AG139" i="16"/>
  <c r="AH143" i="16"/>
  <c r="AG143" i="16"/>
  <c r="AH147" i="16"/>
  <c r="AG147" i="16"/>
  <c r="AH10" i="16"/>
  <c r="AH14" i="16"/>
  <c r="AH18" i="16"/>
  <c r="AH22" i="16"/>
  <c r="AH26" i="16"/>
  <c r="AH30" i="16"/>
  <c r="AH34" i="16"/>
  <c r="AH38" i="16"/>
  <c r="AH42" i="16"/>
  <c r="AH46" i="16"/>
  <c r="AH50" i="16"/>
  <c r="AH54" i="16"/>
  <c r="AH58" i="16"/>
  <c r="AH62" i="16"/>
  <c r="AH66" i="16"/>
  <c r="AH70" i="16"/>
  <c r="AH74" i="16"/>
  <c r="AH78" i="16"/>
  <c r="AH82" i="16"/>
  <c r="AH86" i="16"/>
  <c r="AH90" i="16"/>
  <c r="AH94" i="16"/>
  <c r="AH98" i="16"/>
  <c r="AH102" i="16"/>
  <c r="AH106" i="16"/>
  <c r="AH110" i="16"/>
  <c r="AH114" i="16"/>
  <c r="AH118" i="16"/>
  <c r="AH122" i="16"/>
  <c r="AH126" i="16"/>
  <c r="AH130" i="16"/>
  <c r="AH134" i="16"/>
  <c r="AH138" i="16"/>
  <c r="AH142" i="16"/>
  <c r="AH146" i="16"/>
  <c r="AH150" i="16"/>
  <c r="AH154" i="16"/>
  <c r="AH158" i="16"/>
  <c r="AH162" i="16"/>
  <c r="AH166" i="16"/>
  <c r="AH170" i="16"/>
  <c r="AH174" i="16"/>
  <c r="AH178" i="16"/>
  <c r="AH182" i="16"/>
  <c r="AH186" i="16"/>
  <c r="AH190" i="16"/>
  <c r="AH194" i="16"/>
  <c r="AH198" i="16"/>
  <c r="AH202" i="16"/>
  <c r="AH206" i="16"/>
  <c r="AH210" i="16"/>
  <c r="AH214" i="16"/>
  <c r="AH218" i="16"/>
  <c r="AH222" i="16"/>
  <c r="AH226" i="16"/>
  <c r="AH230" i="16"/>
  <c r="AH232" i="16"/>
  <c r="AG232" i="16"/>
  <c r="AH234" i="16"/>
  <c r="AG234" i="16"/>
  <c r="AH236" i="16"/>
  <c r="AG236" i="16"/>
  <c r="AH238" i="16"/>
  <c r="AG238" i="16"/>
  <c r="AH240" i="16"/>
  <c r="AG240" i="16"/>
  <c r="AH242" i="16"/>
  <c r="AG242" i="16"/>
  <c r="AH244" i="16"/>
  <c r="AG244" i="16"/>
  <c r="AH246" i="16"/>
  <c r="AG246" i="16"/>
  <c r="AH248" i="16"/>
  <c r="AG248" i="16"/>
  <c r="AH250" i="16"/>
  <c r="AG250" i="16"/>
  <c r="AH252" i="16"/>
  <c r="AG252" i="16"/>
  <c r="AH254" i="16"/>
  <c r="AG254" i="16"/>
  <c r="AH256" i="16"/>
  <c r="AG256" i="16"/>
  <c r="AH258" i="16"/>
  <c r="AG258" i="16"/>
  <c r="AH260" i="16"/>
  <c r="AG260" i="16"/>
  <c r="AH262" i="16"/>
  <c r="AG262" i="16"/>
  <c r="AH264" i="16"/>
  <c r="AG264" i="16"/>
  <c r="AH266" i="16"/>
  <c r="AG266" i="16"/>
  <c r="AH268" i="16"/>
  <c r="AG268" i="16"/>
  <c r="AH270" i="16"/>
  <c r="AG270" i="16"/>
  <c r="AH272" i="16"/>
  <c r="AG272" i="16"/>
  <c r="AH274" i="16"/>
  <c r="AG274" i="16"/>
  <c r="AH276" i="16"/>
  <c r="AG276" i="16"/>
  <c r="AH278" i="16"/>
  <c r="AG278" i="16"/>
  <c r="AH280" i="16"/>
  <c r="AG280" i="16"/>
  <c r="AH282" i="16"/>
  <c r="AG282" i="16"/>
  <c r="AH284" i="16"/>
  <c r="AG284" i="16"/>
  <c r="AH286" i="16"/>
  <c r="AG286" i="16"/>
  <c r="AH288" i="16"/>
  <c r="AG288" i="16"/>
  <c r="AH290" i="16"/>
  <c r="AG290" i="16"/>
  <c r="AH292" i="16"/>
  <c r="AG292" i="16"/>
  <c r="AH294" i="16"/>
  <c r="AG294" i="16"/>
  <c r="AH296" i="16"/>
  <c r="AG296" i="16"/>
  <c r="AH298" i="16"/>
  <c r="AG298" i="16"/>
  <c r="AH300" i="16"/>
  <c r="AG300" i="16"/>
  <c r="AH302" i="16"/>
  <c r="AG302" i="16"/>
  <c r="AH304" i="16"/>
  <c r="AG304" i="16"/>
  <c r="AH306" i="16"/>
  <c r="AG306" i="16"/>
  <c r="AH308" i="16"/>
  <c r="AG308" i="16"/>
  <c r="AH310" i="16"/>
  <c r="AG310" i="16"/>
  <c r="AH312" i="16"/>
  <c r="AG312" i="16"/>
  <c r="AH314" i="16"/>
  <c r="AG314" i="16"/>
  <c r="AH316" i="16"/>
  <c r="AG316" i="16"/>
  <c r="AH318" i="16"/>
  <c r="AG318" i="16"/>
  <c r="AH320" i="16"/>
  <c r="AG320" i="16"/>
  <c r="AH322" i="16"/>
  <c r="AG322" i="16"/>
  <c r="AH324" i="16"/>
  <c r="AG324" i="16"/>
  <c r="AH326" i="16"/>
  <c r="AG326" i="16"/>
  <c r="AH334" i="16"/>
  <c r="AG334" i="16"/>
  <c r="AH342" i="16"/>
  <c r="AG342" i="16"/>
  <c r="AH350" i="16"/>
  <c r="AG350" i="16"/>
  <c r="AH358" i="16"/>
  <c r="AG358" i="16"/>
  <c r="AH366" i="16"/>
  <c r="AG366" i="16"/>
  <c r="AH374" i="16"/>
  <c r="AG374" i="16"/>
  <c r="AH2441" i="16"/>
  <c r="AH2446" i="16"/>
  <c r="AG2446" i="16"/>
  <c r="AG3062" i="16"/>
  <c r="AH3167" i="16"/>
  <c r="AH3170" i="16"/>
  <c r="AH3178" i="16"/>
  <c r="AH3186" i="16"/>
  <c r="AH3194" i="16"/>
  <c r="AH3202" i="16"/>
  <c r="AH3210" i="16"/>
  <c r="AH3218" i="16"/>
  <c r="AH3226" i="16"/>
  <c r="AH3234" i="16"/>
  <c r="AH3238" i="16"/>
  <c r="AH3242" i="16"/>
  <c r="AH3246" i="16"/>
  <c r="AH3250" i="16"/>
  <c r="AH3254" i="16"/>
  <c r="AH3258" i="16"/>
  <c r="AH3262" i="16"/>
  <c r="AG3270" i="16"/>
  <c r="AH3270" i="16"/>
  <c r="AG3278" i="16"/>
  <c r="AH3278" i="16"/>
  <c r="AG3326" i="16"/>
  <c r="AH3326" i="16"/>
  <c r="AG3334" i="16"/>
  <c r="AH3334" i="16"/>
  <c r="AG3342" i="16"/>
  <c r="AH3342" i="16"/>
  <c r="AG3350" i="16"/>
  <c r="AH3350" i="16"/>
  <c r="AG3358" i="16"/>
  <c r="AH3358" i="16"/>
  <c r="AG3366" i="16"/>
  <c r="AH3366" i="16"/>
  <c r="AG3374" i="16"/>
  <c r="AH3374" i="16"/>
  <c r="AG3382" i="16"/>
  <c r="AH3382" i="16"/>
  <c r="AH2517" i="16"/>
  <c r="AG2522" i="16"/>
  <c r="AH2526" i="16"/>
  <c r="AG2526" i="16"/>
  <c r="AH239" i="16"/>
  <c r="AG239" i="16"/>
  <c r="AH241" i="16"/>
  <c r="AG241" i="16"/>
  <c r="AH243" i="16"/>
  <c r="AG243" i="16"/>
  <c r="AH245" i="16"/>
  <c r="AG245" i="16"/>
  <c r="AH247" i="16"/>
  <c r="AG247" i="16"/>
  <c r="AH249" i="16"/>
  <c r="AG249" i="16"/>
  <c r="AH251" i="16"/>
  <c r="AG251" i="16"/>
  <c r="AH253" i="16"/>
  <c r="AG253" i="16"/>
  <c r="AH255" i="16"/>
  <c r="AG255" i="16"/>
  <c r="AH257" i="16"/>
  <c r="AG257" i="16"/>
  <c r="AH259" i="16"/>
  <c r="AG259" i="16"/>
  <c r="AH261" i="16"/>
  <c r="AG261" i="16"/>
  <c r="AH263" i="16"/>
  <c r="AG263" i="16"/>
  <c r="AH265" i="16"/>
  <c r="AG265" i="16"/>
  <c r="AH267" i="16"/>
  <c r="AG267" i="16"/>
  <c r="AH269" i="16"/>
  <c r="AG269" i="16"/>
  <c r="AH271" i="16"/>
  <c r="AG271" i="16"/>
  <c r="AH273" i="16"/>
  <c r="AG273" i="16"/>
  <c r="AH275" i="16"/>
  <c r="AG275" i="16"/>
  <c r="AH277" i="16"/>
  <c r="AG277" i="16"/>
  <c r="AH279" i="16"/>
  <c r="AG279" i="16"/>
  <c r="AH281" i="16"/>
  <c r="AG281" i="16"/>
  <c r="AH283" i="16"/>
  <c r="AG283" i="16"/>
  <c r="AH285" i="16"/>
  <c r="AG285" i="16"/>
  <c r="AH287" i="16"/>
  <c r="AG287" i="16"/>
  <c r="AH289" i="16"/>
  <c r="AG289" i="16"/>
  <c r="AH291" i="16"/>
  <c r="AG291" i="16"/>
  <c r="AH293" i="16"/>
  <c r="AG293" i="16"/>
  <c r="AH295" i="16"/>
  <c r="AG295" i="16"/>
  <c r="AH297" i="16"/>
  <c r="AG297" i="16"/>
  <c r="AH299" i="16"/>
  <c r="AG299" i="16"/>
  <c r="AH301" i="16"/>
  <c r="AG301" i="16"/>
  <c r="AH303" i="16"/>
  <c r="AG303" i="16"/>
  <c r="AH305" i="16"/>
  <c r="AG305" i="16"/>
  <c r="AH307" i="16"/>
  <c r="AG307" i="16"/>
  <c r="AH309" i="16"/>
  <c r="AG309" i="16"/>
  <c r="AH311" i="16"/>
  <c r="AG311" i="16"/>
  <c r="AH313" i="16"/>
  <c r="AG313" i="16"/>
  <c r="AH315" i="16"/>
  <c r="AG315" i="16"/>
  <c r="AH317" i="16"/>
  <c r="AG317" i="16"/>
  <c r="AH319" i="16"/>
  <c r="AG319" i="16"/>
  <c r="AH321" i="16"/>
  <c r="AG321" i="16"/>
  <c r="AH323" i="16"/>
  <c r="AG323" i="16"/>
  <c r="AH325" i="16"/>
  <c r="AG325" i="16"/>
  <c r="AH327" i="16"/>
  <c r="AG327" i="16"/>
  <c r="AG328" i="16"/>
  <c r="AH331" i="16"/>
  <c r="AG331" i="16"/>
  <c r="AG332" i="16"/>
  <c r="AH335" i="16"/>
  <c r="AG335" i="16"/>
  <c r="AG336" i="16"/>
  <c r="AH339" i="16"/>
  <c r="AG339" i="16"/>
  <c r="AG340" i="16"/>
  <c r="AH343" i="16"/>
  <c r="AG343" i="16"/>
  <c r="AG344" i="16"/>
  <c r="AH347" i="16"/>
  <c r="AG347" i="16"/>
  <c r="AG348" i="16"/>
  <c r="AH351" i="16"/>
  <c r="AG351" i="16"/>
  <c r="AG352" i="16"/>
  <c r="AH355" i="16"/>
  <c r="AG355" i="16"/>
  <c r="AG356" i="16"/>
  <c r="AH359" i="16"/>
  <c r="AG359" i="16"/>
  <c r="AG360" i="16"/>
  <c r="AH363" i="16"/>
  <c r="AG363" i="16"/>
  <c r="AG364" i="16"/>
  <c r="AH367" i="16"/>
  <c r="AG367" i="16"/>
  <c r="AG368" i="16"/>
  <c r="AH371" i="16"/>
  <c r="AG371" i="16"/>
  <c r="AG372" i="16"/>
  <c r="AH375" i="16"/>
  <c r="AG375" i="16"/>
  <c r="AG376" i="16"/>
  <c r="AH379" i="16"/>
  <c r="AG379" i="16"/>
  <c r="AG380" i="16"/>
  <c r="AH382" i="16"/>
  <c r="AG382" i="16"/>
  <c r="AH387" i="16"/>
  <c r="AG387" i="16"/>
  <c r="AG388" i="16"/>
  <c r="AG390" i="16"/>
  <c r="AH390" i="16"/>
  <c r="AH395" i="16"/>
  <c r="AG395" i="16"/>
  <c r="AG396" i="16"/>
  <c r="AH398" i="16"/>
  <c r="AG398" i="16"/>
  <c r="AH403" i="16"/>
  <c r="AG403" i="16"/>
  <c r="AG404" i="16"/>
  <c r="AH406" i="16"/>
  <c r="AG406" i="16"/>
  <c r="AH411" i="16"/>
  <c r="AG411" i="16"/>
  <c r="AG412" i="16"/>
  <c r="AG414" i="16"/>
  <c r="AH414" i="16"/>
  <c r="AH422" i="16"/>
  <c r="AH430" i="16"/>
  <c r="AH438" i="16"/>
  <c r="AH446" i="16"/>
  <c r="AH454" i="16"/>
  <c r="AH462" i="16"/>
  <c r="AG1534" i="16"/>
  <c r="AG1542" i="16"/>
  <c r="AG1550" i="16"/>
  <c r="AG1558" i="16"/>
  <c r="AG1566" i="16"/>
  <c r="AG1574" i="16"/>
  <c r="AG434" i="16"/>
  <c r="AG466" i="16"/>
  <c r="AG474" i="16"/>
  <c r="AG478" i="16"/>
  <c r="AH485" i="16"/>
  <c r="AG485" i="16"/>
  <c r="AG494" i="16"/>
  <c r="AG498" i="16"/>
  <c r="AG506" i="16"/>
  <c r="AH517" i="16"/>
  <c r="AG517" i="16"/>
  <c r="AG522" i="16"/>
  <c r="AG530" i="16"/>
  <c r="AG538" i="16"/>
  <c r="AH545" i="16"/>
  <c r="AG545" i="16"/>
  <c r="AH549" i="16"/>
  <c r="AG549" i="16"/>
  <c r="AG554" i="16"/>
  <c r="AG558" i="16"/>
  <c r="AH573" i="16"/>
  <c r="AG573" i="16"/>
  <c r="AG582" i="16"/>
  <c r="AG586" i="16"/>
  <c r="AG594" i="16"/>
  <c r="AG618" i="16"/>
  <c r="AG626" i="16"/>
  <c r="AG634" i="16"/>
  <c r="AG642" i="16"/>
  <c r="AG646" i="16"/>
  <c r="AH653" i="16"/>
  <c r="AG653" i="16"/>
  <c r="AH669" i="16"/>
  <c r="AG669" i="16"/>
  <c r="AH677" i="16"/>
  <c r="AG677" i="16"/>
  <c r="AH681" i="16"/>
  <c r="AG681" i="16"/>
  <c r="AG686" i="16"/>
  <c r="AG694" i="16"/>
  <c r="AG698" i="16"/>
  <c r="AG702" i="16"/>
  <c r="AH705" i="16"/>
  <c r="AG705" i="16"/>
  <c r="AH709" i="16"/>
  <c r="AG709" i="16"/>
  <c r="AG710" i="16"/>
  <c r="AH713" i="16"/>
  <c r="AG713" i="16"/>
  <c r="AG714" i="16"/>
  <c r="AH717" i="16"/>
  <c r="AG717" i="16"/>
  <c r="AG718" i="16"/>
  <c r="AH721" i="16"/>
  <c r="AG721" i="16"/>
  <c r="AG722" i="16"/>
  <c r="AH725" i="16"/>
  <c r="AG725" i="16"/>
  <c r="AG726" i="16"/>
  <c r="AH729" i="16"/>
  <c r="AG729" i="16"/>
  <c r="AG730" i="16"/>
  <c r="AH733" i="16"/>
  <c r="AG733" i="16"/>
  <c r="AG734" i="16"/>
  <c r="AH737" i="16"/>
  <c r="AG737" i="16"/>
  <c r="AG738" i="16"/>
  <c r="AH741" i="16"/>
  <c r="AG741" i="16"/>
  <c r="AG742" i="16"/>
  <c r="AH745" i="16"/>
  <c r="AG745" i="16"/>
  <c r="AG746" i="16"/>
  <c r="AH749" i="16"/>
  <c r="AG749" i="16"/>
  <c r="AG750" i="16"/>
  <c r="AH753" i="16"/>
  <c r="AG753" i="16"/>
  <c r="AG754" i="16"/>
  <c r="AH757" i="16"/>
  <c r="AG757" i="16"/>
  <c r="AG758" i="16"/>
  <c r="AH761" i="16"/>
  <c r="AG761" i="16"/>
  <c r="AG762" i="16"/>
  <c r="AH765" i="16"/>
  <c r="AG765" i="16"/>
  <c r="AG766" i="16"/>
  <c r="AH769" i="16"/>
  <c r="AG769" i="16"/>
  <c r="AG770" i="16"/>
  <c r="AH773" i="16"/>
  <c r="AG773" i="16"/>
  <c r="AG774" i="16"/>
  <c r="AH777" i="16"/>
  <c r="AG777" i="16"/>
  <c r="AG778" i="16"/>
  <c r="AH781" i="16"/>
  <c r="AG781" i="16"/>
  <c r="AG782" i="16"/>
  <c r="AH785" i="16"/>
  <c r="AG785" i="16"/>
  <c r="AG786" i="16"/>
  <c r="AH789" i="16"/>
  <c r="AG789" i="16"/>
  <c r="AG790" i="16"/>
  <c r="AH793" i="16"/>
  <c r="AG793" i="16"/>
  <c r="AG794" i="16"/>
  <c r="AH797" i="16"/>
  <c r="AG797" i="16"/>
  <c r="AG798" i="16"/>
  <c r="AH801" i="16"/>
  <c r="AG801" i="16"/>
  <c r="AG802" i="16"/>
  <c r="AH805" i="16"/>
  <c r="AG805" i="16"/>
  <c r="AG806" i="16"/>
  <c r="AH809" i="16"/>
  <c r="AG809" i="16"/>
  <c r="AG810" i="16"/>
  <c r="AH813" i="16"/>
  <c r="AG813" i="16"/>
  <c r="AG814" i="16"/>
  <c r="AH817" i="16"/>
  <c r="AG817" i="16"/>
  <c r="AG818" i="16"/>
  <c r="AH821" i="16"/>
  <c r="AG821" i="16"/>
  <c r="AG822" i="16"/>
  <c r="AH825" i="16"/>
  <c r="AG825" i="16"/>
  <c r="AG826" i="16"/>
  <c r="AH829" i="16"/>
  <c r="AG829" i="16"/>
  <c r="AG830" i="16"/>
  <c r="AH833" i="16"/>
  <c r="AG833" i="16"/>
  <c r="AG834" i="16"/>
  <c r="AH837" i="16"/>
  <c r="AG837" i="16"/>
  <c r="AG838" i="16"/>
  <c r="AH841" i="16"/>
  <c r="AG841" i="16"/>
  <c r="AG842" i="16"/>
  <c r="AH845" i="16"/>
  <c r="AG845" i="16"/>
  <c r="AG846" i="16"/>
  <c r="AH849" i="16"/>
  <c r="AG849" i="16"/>
  <c r="AG850" i="16"/>
  <c r="AH853" i="16"/>
  <c r="AG853" i="16"/>
  <c r="AG854" i="16"/>
  <c r="AH857" i="16"/>
  <c r="AG857" i="16"/>
  <c r="AG858" i="16"/>
  <c r="AH861" i="16"/>
  <c r="AG861" i="16"/>
  <c r="AG862" i="16"/>
  <c r="AH865" i="16"/>
  <c r="AG865" i="16"/>
  <c r="AG866" i="16"/>
  <c r="AH869" i="16"/>
  <c r="AG869" i="16"/>
  <c r="AG870" i="16"/>
  <c r="AH873" i="16"/>
  <c r="AG873" i="16"/>
  <c r="AG874" i="16"/>
  <c r="AH877" i="16"/>
  <c r="AG877" i="16"/>
  <c r="AG878" i="16"/>
  <c r="AH881" i="16"/>
  <c r="AG881" i="16"/>
  <c r="AG882" i="16"/>
  <c r="AH885" i="16"/>
  <c r="AG885" i="16"/>
  <c r="AG886" i="16"/>
  <c r="AH889" i="16"/>
  <c r="AG889" i="16"/>
  <c r="AG890" i="16"/>
  <c r="AH893" i="16"/>
  <c r="AG893" i="16"/>
  <c r="AG894" i="16"/>
  <c r="AH897" i="16"/>
  <c r="AG897" i="16"/>
  <c r="AG898" i="16"/>
  <c r="AH901" i="16"/>
  <c r="AG901" i="16"/>
  <c r="AG902" i="16"/>
  <c r="AH905" i="16"/>
  <c r="AG905" i="16"/>
  <c r="AG906" i="16"/>
  <c r="AH909" i="16"/>
  <c r="AG909" i="16"/>
  <c r="AG910" i="16"/>
  <c r="AH913" i="16"/>
  <c r="AG913" i="16"/>
  <c r="AG914" i="16"/>
  <c r="AH917" i="16"/>
  <c r="AG917" i="16"/>
  <c r="AG918" i="16"/>
  <c r="AH921" i="16"/>
  <c r="AG921" i="16"/>
  <c r="AG922" i="16"/>
  <c r="AH925" i="16"/>
  <c r="AG925" i="16"/>
  <c r="AG926" i="16"/>
  <c r="AH929" i="16"/>
  <c r="AG929" i="16"/>
  <c r="AG930" i="16"/>
  <c r="AH933" i="16"/>
  <c r="AG933" i="16"/>
  <c r="AG934" i="16"/>
  <c r="AH937" i="16"/>
  <c r="AG937" i="16"/>
  <c r="AG938" i="16"/>
  <c r="AH941" i="16"/>
  <c r="AG941" i="16"/>
  <c r="AG942" i="16"/>
  <c r="AH945" i="16"/>
  <c r="AG945" i="16"/>
  <c r="AG946" i="16"/>
  <c r="AH949" i="16"/>
  <c r="AG949" i="16"/>
  <c r="AG950" i="16"/>
  <c r="AH953" i="16"/>
  <c r="AG953" i="16"/>
  <c r="AG954" i="16"/>
  <c r="AH957" i="16"/>
  <c r="AG957" i="16"/>
  <c r="AG958" i="16"/>
  <c r="AH961" i="16"/>
  <c r="AG961" i="16"/>
  <c r="AG962" i="16"/>
  <c r="AH965" i="16"/>
  <c r="AG965" i="16"/>
  <c r="AG966" i="16"/>
  <c r="AH969" i="16"/>
  <c r="AG969" i="16"/>
  <c r="AG970" i="16"/>
  <c r="AH973" i="16"/>
  <c r="AG973" i="16"/>
  <c r="AG974" i="16"/>
  <c r="AH977" i="16"/>
  <c r="AG977" i="16"/>
  <c r="AG978" i="16"/>
  <c r="AH981" i="16"/>
  <c r="AG981" i="16"/>
  <c r="AG982" i="16"/>
  <c r="AH985" i="16"/>
  <c r="AG985" i="16"/>
  <c r="AG986" i="16"/>
  <c r="AH989" i="16"/>
  <c r="AG989" i="16"/>
  <c r="AG990" i="16"/>
  <c r="AH993" i="16"/>
  <c r="AG993" i="16"/>
  <c r="AG994" i="16"/>
  <c r="AH996" i="16"/>
  <c r="AG996" i="16"/>
  <c r="AH1001" i="16"/>
  <c r="AG1001" i="16"/>
  <c r="AG1002" i="16"/>
  <c r="AH1004" i="16"/>
  <c r="AG1004" i="16"/>
  <c r="AH1009" i="16"/>
  <c r="AG1009" i="16"/>
  <c r="AG1010" i="16"/>
  <c r="AH1012" i="16"/>
  <c r="AG1012" i="16"/>
  <c r="AH1017" i="16"/>
  <c r="AG1017" i="16"/>
  <c r="AG1018" i="16"/>
  <c r="AH1020" i="16"/>
  <c r="AG1020" i="16"/>
  <c r="AH1025" i="16"/>
  <c r="AG1025" i="16"/>
  <c r="AG1026" i="16"/>
  <c r="AH1028" i="16"/>
  <c r="AG1028" i="16"/>
  <c r="AH1033" i="16"/>
  <c r="AG1033" i="16"/>
  <c r="AG1034" i="16"/>
  <c r="AH1036" i="16"/>
  <c r="AG1036" i="16"/>
  <c r="AH1041" i="16"/>
  <c r="AG1041" i="16"/>
  <c r="AG1042" i="16"/>
  <c r="AH1044" i="16"/>
  <c r="AG1044" i="16"/>
  <c r="AH1049" i="16"/>
  <c r="AG1049" i="16"/>
  <c r="AG1050" i="16"/>
  <c r="AH1052" i="16"/>
  <c r="AG1052" i="16"/>
  <c r="AH1057" i="16"/>
  <c r="AG1057" i="16"/>
  <c r="AG1058" i="16"/>
  <c r="AH1060" i="16"/>
  <c r="AG1060" i="16"/>
  <c r="AH1065" i="16"/>
  <c r="AG1065" i="16"/>
  <c r="AG1066" i="16"/>
  <c r="AH1068" i="16"/>
  <c r="AG1068" i="16"/>
  <c r="AH1073" i="16"/>
  <c r="AG1073" i="16"/>
  <c r="AG1074" i="16"/>
  <c r="AH1076" i="16"/>
  <c r="AG1076" i="16"/>
  <c r="AH1081" i="16"/>
  <c r="AG1081" i="16"/>
  <c r="AG1082" i="16"/>
  <c r="AH1084" i="16"/>
  <c r="AG1084" i="16"/>
  <c r="AH1089" i="16"/>
  <c r="AG1089" i="16"/>
  <c r="AG1090" i="16"/>
  <c r="AH1092" i="16"/>
  <c r="AG1092" i="16"/>
  <c r="AH1097" i="16"/>
  <c r="AG1097" i="16"/>
  <c r="AG1098" i="16"/>
  <c r="AH1100" i="16"/>
  <c r="AG1100" i="16"/>
  <c r="AH1105" i="16"/>
  <c r="AG1105" i="16"/>
  <c r="AG1106" i="16"/>
  <c r="AH1108" i="16"/>
  <c r="AG1108" i="16"/>
  <c r="AH1113" i="16"/>
  <c r="AG1113" i="16"/>
  <c r="AG1114" i="16"/>
  <c r="AH1116" i="16"/>
  <c r="AG1116" i="16"/>
  <c r="AH1121" i="16"/>
  <c r="AG1121" i="16"/>
  <c r="AG1122" i="16"/>
  <c r="AH1124" i="16"/>
  <c r="AG1124" i="16"/>
  <c r="AH1129" i="16"/>
  <c r="AG1129" i="16"/>
  <c r="AG1130" i="16"/>
  <c r="AH1132" i="16"/>
  <c r="AG1132" i="16"/>
  <c r="AH1137" i="16"/>
  <c r="AG1137" i="16"/>
  <c r="AG1138" i="16"/>
  <c r="AH1140" i="16"/>
  <c r="AG1140" i="16"/>
  <c r="AH1145" i="16"/>
  <c r="AG1145" i="16"/>
  <c r="AG1146" i="16"/>
  <c r="AH1148" i="16"/>
  <c r="AG1148" i="16"/>
  <c r="AH1153" i="16"/>
  <c r="AG1153" i="16"/>
  <c r="AG1154" i="16"/>
  <c r="AH1156" i="16"/>
  <c r="AG1156" i="16"/>
  <c r="AH1161" i="16"/>
  <c r="AG1161" i="16"/>
  <c r="AG1162" i="16"/>
  <c r="AH1164" i="16"/>
  <c r="AG1164" i="16"/>
  <c r="AH1169" i="16"/>
  <c r="AG1169" i="16"/>
  <c r="AG1170" i="16"/>
  <c r="AH1172" i="16"/>
  <c r="AG1172" i="16"/>
  <c r="AH1177" i="16"/>
  <c r="AG1177" i="16"/>
  <c r="AG1178" i="16"/>
  <c r="AH1180" i="16"/>
  <c r="AG1180" i="16"/>
  <c r="AH1185" i="16"/>
  <c r="AG1185" i="16"/>
  <c r="AG1186" i="16"/>
  <c r="AH1188" i="16"/>
  <c r="AG1188" i="16"/>
  <c r="AH1193" i="16"/>
  <c r="AG1193" i="16"/>
  <c r="AG1194" i="16"/>
  <c r="AH1196" i="16"/>
  <c r="AG1196" i="16"/>
  <c r="AH1201" i="16"/>
  <c r="AG1201" i="16"/>
  <c r="AG1202" i="16"/>
  <c r="AH1204" i="16"/>
  <c r="AG1204" i="16"/>
  <c r="AH1209" i="16"/>
  <c r="AG1209" i="16"/>
  <c r="AG1210" i="16"/>
  <c r="AH1212" i="16"/>
  <c r="AG1212" i="16"/>
  <c r="AH1217" i="16"/>
  <c r="AG1217" i="16"/>
  <c r="AG1218" i="16"/>
  <c r="AH1220" i="16"/>
  <c r="AG1220" i="16"/>
  <c r="AH1225" i="16"/>
  <c r="AG1225" i="16"/>
  <c r="AG1226" i="16"/>
  <c r="AH1228" i="16"/>
  <c r="AG1228" i="16"/>
  <c r="AH1233" i="16"/>
  <c r="AG1233" i="16"/>
  <c r="AG1234" i="16"/>
  <c r="AH1236" i="16"/>
  <c r="AG1236" i="16"/>
  <c r="AH1241" i="16"/>
  <c r="AG1241" i="16"/>
  <c r="AG1242" i="16"/>
  <c r="AH1244" i="16"/>
  <c r="AG1244" i="16"/>
  <c r="AH1249" i="16"/>
  <c r="AG1249" i="16"/>
  <c r="AG1250" i="16"/>
  <c r="AH1252" i="16"/>
  <c r="AG1252" i="16"/>
  <c r="AH1257" i="16"/>
  <c r="AG1257" i="16"/>
  <c r="AG1258" i="16"/>
  <c r="AH1260" i="16"/>
  <c r="AG1260" i="16"/>
  <c r="AH1265" i="16"/>
  <c r="AG1265" i="16"/>
  <c r="AG1266" i="16"/>
  <c r="AH1268" i="16"/>
  <c r="AG1268" i="16"/>
  <c r="AH1273" i="16"/>
  <c r="AG1273" i="16"/>
  <c r="AG1274" i="16"/>
  <c r="AH1276" i="16"/>
  <c r="AG1276" i="16"/>
  <c r="AH1281" i="16"/>
  <c r="AG1281" i="16"/>
  <c r="AG1282" i="16"/>
  <c r="AH1284" i="16"/>
  <c r="AG1284" i="16"/>
  <c r="AH1289" i="16"/>
  <c r="AG1289" i="16"/>
  <c r="AG1290" i="16"/>
  <c r="AH1292" i="16"/>
  <c r="AG1292" i="16"/>
  <c r="AH1297" i="16"/>
  <c r="AG1297" i="16"/>
  <c r="AG1298" i="16"/>
  <c r="AH1300" i="16"/>
  <c r="AG1300" i="16"/>
  <c r="AH1305" i="16"/>
  <c r="AG1305" i="16"/>
  <c r="AG1306" i="16"/>
  <c r="AH1308" i="16"/>
  <c r="AG1308" i="16"/>
  <c r="AH1313" i="16"/>
  <c r="AG1313" i="16"/>
  <c r="AG1314" i="16"/>
  <c r="AH1316" i="16"/>
  <c r="AG1316" i="16"/>
  <c r="AH1321" i="16"/>
  <c r="AG1321" i="16"/>
  <c r="AG1322" i="16"/>
  <c r="AH1324" i="16"/>
  <c r="AG1324" i="16"/>
  <c r="AH1329" i="16"/>
  <c r="AG1329" i="16"/>
  <c r="AG1330" i="16"/>
  <c r="AH1332" i="16"/>
  <c r="AG1332" i="16"/>
  <c r="AH1337" i="16"/>
  <c r="AG1337" i="16"/>
  <c r="AG1338" i="16"/>
  <c r="AH1340" i="16"/>
  <c r="AG1340" i="16"/>
  <c r="AH1345" i="16"/>
  <c r="AG1345" i="16"/>
  <c r="AG1346" i="16"/>
  <c r="AH1348" i="16"/>
  <c r="AG1348" i="16"/>
  <c r="AH1353" i="16"/>
  <c r="AG1353" i="16"/>
  <c r="AG1354" i="16"/>
  <c r="AH1356" i="16"/>
  <c r="AG1356" i="16"/>
  <c r="AH1361" i="16"/>
  <c r="AG1361" i="16"/>
  <c r="AG1362" i="16"/>
  <c r="AH1364" i="16"/>
  <c r="AG1364" i="16"/>
  <c r="AH1369" i="16"/>
  <c r="AG1369" i="16"/>
  <c r="AG1370" i="16"/>
  <c r="AH1372" i="16"/>
  <c r="AG1372" i="16"/>
  <c r="AH1377" i="16"/>
  <c r="AG1377" i="16"/>
  <c r="AG1378" i="16"/>
  <c r="AH1380" i="16"/>
  <c r="AG1380" i="16"/>
  <c r="AH1385" i="16"/>
  <c r="AG1385" i="16"/>
  <c r="AG1386" i="16"/>
  <c r="AH1388" i="16"/>
  <c r="AG1388" i="16"/>
  <c r="AH1393" i="16"/>
  <c r="AG1393" i="16"/>
  <c r="AG1394" i="16"/>
  <c r="AH1396" i="16"/>
  <c r="AG1396" i="16"/>
  <c r="AH1401" i="16"/>
  <c r="AG1401" i="16"/>
  <c r="AG1402" i="16"/>
  <c r="AH1404" i="16"/>
  <c r="AG1404" i="16"/>
  <c r="AH1409" i="16"/>
  <c r="AG1409" i="16"/>
  <c r="AG1410" i="16"/>
  <c r="AH1412" i="16"/>
  <c r="AG1412" i="16"/>
  <c r="AH1417" i="16"/>
  <c r="AG1417" i="16"/>
  <c r="AG1418" i="16"/>
  <c r="AH1420" i="16"/>
  <c r="AG1420" i="16"/>
  <c r="AH1425" i="16"/>
  <c r="AG1425" i="16"/>
  <c r="AG1426" i="16"/>
  <c r="AH1428" i="16"/>
  <c r="AG1428" i="16"/>
  <c r="AH1433" i="16"/>
  <c r="AG1433" i="16"/>
  <c r="AG1434" i="16"/>
  <c r="AH1436" i="16"/>
  <c r="AG1436" i="16"/>
  <c r="AH1441" i="16"/>
  <c r="AG1441" i="16"/>
  <c r="AG1442" i="16"/>
  <c r="AH1444" i="16"/>
  <c r="AG1444" i="16"/>
  <c r="AH1449" i="16"/>
  <c r="AG1449" i="16"/>
  <c r="AG1450" i="16"/>
  <c r="AH1452" i="16"/>
  <c r="AG1452" i="16"/>
  <c r="AH1457" i="16"/>
  <c r="AG1457" i="16"/>
  <c r="AG1458" i="16"/>
  <c r="AH1460" i="16"/>
  <c r="AG1460" i="16"/>
  <c r="AH1465" i="16"/>
  <c r="AG1465" i="16"/>
  <c r="AG1466" i="16"/>
  <c r="AH1468" i="16"/>
  <c r="AG1468" i="16"/>
  <c r="AH1473" i="16"/>
  <c r="AG1473" i="16"/>
  <c r="AG1474" i="16"/>
  <c r="AH1476" i="16"/>
  <c r="AG1476" i="16"/>
  <c r="AH1481" i="16"/>
  <c r="AG1481" i="16"/>
  <c r="AG1482" i="16"/>
  <c r="AH1484" i="16"/>
  <c r="AG1484" i="16"/>
  <c r="AH1489" i="16"/>
  <c r="AG1489" i="16"/>
  <c r="AG1490" i="16"/>
  <c r="AH1492" i="16"/>
  <c r="AG1492" i="16"/>
  <c r="AH1497" i="16"/>
  <c r="AG1497" i="16"/>
  <c r="AG1498" i="16"/>
  <c r="AH1500" i="16"/>
  <c r="AG1500" i="16"/>
  <c r="AH1505" i="16"/>
  <c r="AG1505" i="16"/>
  <c r="AG1506" i="16"/>
  <c r="AH1508" i="16"/>
  <c r="AG1508" i="16"/>
  <c r="AH1513" i="16"/>
  <c r="AG1513" i="16"/>
  <c r="AG1514" i="16"/>
  <c r="AH1516" i="16"/>
  <c r="AG1516" i="16"/>
  <c r="AH1521" i="16"/>
  <c r="AG1521" i="16"/>
  <c r="AG1522" i="16"/>
  <c r="AH1524" i="16"/>
  <c r="AG1524" i="16"/>
  <c r="AH1532" i="16"/>
  <c r="AH1540" i="16"/>
  <c r="AH1548" i="16"/>
  <c r="AH1556" i="16"/>
  <c r="AH1564" i="16"/>
  <c r="AH1572" i="16"/>
  <c r="AH417" i="16"/>
  <c r="AH425" i="16"/>
  <c r="AH433" i="16"/>
  <c r="AG442" i="16"/>
  <c r="AG450" i="16"/>
  <c r="AH457" i="16"/>
  <c r="AH469" i="16"/>
  <c r="AG469" i="16"/>
  <c r="AH473" i="16"/>
  <c r="AG473" i="16"/>
  <c r="AH477" i="16"/>
  <c r="AG477" i="16"/>
  <c r="AG482" i="16"/>
  <c r="AG486" i="16"/>
  <c r="AG490" i="16"/>
  <c r="AH497" i="16"/>
  <c r="AG497" i="16"/>
  <c r="AH501" i="16"/>
  <c r="AG501" i="16"/>
  <c r="AH505" i="16"/>
  <c r="AG505" i="16"/>
  <c r="AG510" i="16"/>
  <c r="AG514" i="16"/>
  <c r="AG518" i="16"/>
  <c r="AH525" i="16"/>
  <c r="AG525" i="16"/>
  <c r="AH529" i="16"/>
  <c r="AG529" i="16"/>
  <c r="AH533" i="16"/>
  <c r="AG533" i="16"/>
  <c r="AH537" i="16"/>
  <c r="AG537" i="16"/>
  <c r="AH541" i="16"/>
  <c r="AG541" i="16"/>
  <c r="AG546" i="16"/>
  <c r="AH553" i="16"/>
  <c r="AG553" i="16"/>
  <c r="AH557" i="16"/>
  <c r="AG557" i="16"/>
  <c r="AH561" i="16"/>
  <c r="AG561" i="16"/>
  <c r="AH565" i="16"/>
  <c r="AG565" i="16"/>
  <c r="AH569" i="16"/>
  <c r="AG569" i="16"/>
  <c r="AG574" i="16"/>
  <c r="AH577" i="16"/>
  <c r="AG577" i="16"/>
  <c r="AH581" i="16"/>
  <c r="AG581" i="16"/>
  <c r="AH585" i="16"/>
  <c r="AG585" i="16"/>
  <c r="AH589" i="16"/>
  <c r="AG589" i="16"/>
  <c r="AH593" i="16"/>
  <c r="AG593" i="16"/>
  <c r="AH597" i="16"/>
  <c r="AG597" i="16"/>
  <c r="AG602" i="16"/>
  <c r="AG606" i="16"/>
  <c r="AG610" i="16"/>
  <c r="AH613" i="16"/>
  <c r="AG613" i="16"/>
  <c r="AH617" i="16"/>
  <c r="AG617" i="16"/>
  <c r="AH621" i="16"/>
  <c r="AG621" i="16"/>
  <c r="AH625" i="16"/>
  <c r="AG625" i="16"/>
  <c r="AH629" i="16"/>
  <c r="AG629" i="16"/>
  <c r="AH633" i="16"/>
  <c r="AG633" i="16"/>
  <c r="AH637" i="16"/>
  <c r="AG637" i="16"/>
  <c r="AH641" i="16"/>
  <c r="AG641" i="16"/>
  <c r="AH645" i="16"/>
  <c r="AG645" i="16"/>
  <c r="AH649" i="16"/>
  <c r="AG649" i="16"/>
  <c r="AG654" i="16"/>
  <c r="AG658" i="16"/>
  <c r="AG662" i="16"/>
  <c r="AG666" i="16"/>
  <c r="AG670" i="16"/>
  <c r="AG674" i="16"/>
  <c r="AG678" i="16"/>
  <c r="AG682" i="16"/>
  <c r="AH689" i="16"/>
  <c r="AG689" i="16"/>
  <c r="AH693" i="16"/>
  <c r="AG693" i="16"/>
  <c r="AH697" i="16"/>
  <c r="AG697" i="16"/>
  <c r="AG706" i="16"/>
  <c r="AG1531" i="16"/>
  <c r="AG1539" i="16"/>
  <c r="AG1547" i="16"/>
  <c r="AG1555" i="16"/>
  <c r="AG1563" i="16"/>
  <c r="AG1571" i="16"/>
  <c r="AG1881" i="16"/>
  <c r="AG1889" i="16"/>
  <c r="AG1897" i="16"/>
  <c r="AG1905" i="16"/>
  <c r="AG1913" i="16"/>
  <c r="AG1921" i="16"/>
  <c r="AG1929" i="16"/>
  <c r="AG1937" i="16"/>
  <c r="AG1945" i="16"/>
  <c r="AG1953" i="16"/>
  <c r="AG1961" i="16"/>
  <c r="AG1969" i="16"/>
  <c r="AG1977" i="16"/>
  <c r="AG1985" i="16"/>
  <c r="AG1993" i="16"/>
  <c r="AG2001" i="16"/>
  <c r="AG2009" i="16"/>
  <c r="AG2017" i="16"/>
  <c r="AG2025" i="16"/>
  <c r="AG2033" i="16"/>
  <c r="AG2041" i="16"/>
  <c r="AG2049" i="16"/>
  <c r="AG2057" i="16"/>
  <c r="AG2065" i="16"/>
  <c r="AG2073" i="16"/>
  <c r="AG2081" i="16"/>
  <c r="AG2089" i="16"/>
  <c r="AG2097" i="16"/>
  <c r="AG2101" i="16"/>
  <c r="AG2113" i="16"/>
  <c r="AG2117" i="16"/>
  <c r="AG2126" i="16"/>
  <c r="AH2126" i="16"/>
  <c r="AG2142" i="16"/>
  <c r="AH2142" i="16"/>
  <c r="AG2158" i="16"/>
  <c r="AH2158" i="16"/>
  <c r="AG2174" i="16"/>
  <c r="AH2174" i="16"/>
  <c r="AG2190" i="16"/>
  <c r="AH2190" i="16"/>
  <c r="AG2206" i="16"/>
  <c r="AG2210" i="16"/>
  <c r="AG2214" i="16"/>
  <c r="AG2218" i="16"/>
  <c r="AG2222" i="16"/>
  <c r="AG2226" i="16"/>
  <c r="AG2230" i="16"/>
  <c r="AH2473" i="16"/>
  <c r="AH2478" i="16"/>
  <c r="AG2478" i="16"/>
  <c r="AH2581" i="16"/>
  <c r="AG2586" i="16"/>
  <c r="AH2590" i="16"/>
  <c r="AG2590" i="16"/>
  <c r="AG418" i="16"/>
  <c r="AG426" i="16"/>
  <c r="AH441" i="16"/>
  <c r="AH449" i="16"/>
  <c r="AG458" i="16"/>
  <c r="AH465" i="16"/>
  <c r="AG470" i="16"/>
  <c r="AH481" i="16"/>
  <c r="AG481" i="16"/>
  <c r="AH489" i="16"/>
  <c r="AG489" i="16"/>
  <c r="AH493" i="16"/>
  <c r="AG493" i="16"/>
  <c r="AG502" i="16"/>
  <c r="AH509" i="16"/>
  <c r="AG509" i="16"/>
  <c r="AH513" i="16"/>
  <c r="AG513" i="16"/>
  <c r="AH521" i="16"/>
  <c r="AG521" i="16"/>
  <c r="AG526" i="16"/>
  <c r="AG534" i="16"/>
  <c r="AG542" i="16"/>
  <c r="AG550" i="16"/>
  <c r="AG562" i="16"/>
  <c r="AG566" i="16"/>
  <c r="AG570" i="16"/>
  <c r="AG578" i="16"/>
  <c r="AG590" i="16"/>
  <c r="AG598" i="16"/>
  <c r="AH601" i="16"/>
  <c r="AG601" i="16"/>
  <c r="AH605" i="16"/>
  <c r="AG605" i="16"/>
  <c r="AH609" i="16"/>
  <c r="AG609" i="16"/>
  <c r="AG614" i="16"/>
  <c r="AG622" i="16"/>
  <c r="AG630" i="16"/>
  <c r="AG638" i="16"/>
  <c r="AG650" i="16"/>
  <c r="AH657" i="16"/>
  <c r="AG657" i="16"/>
  <c r="AH661" i="16"/>
  <c r="AG661" i="16"/>
  <c r="AH665" i="16"/>
  <c r="AG665" i="16"/>
  <c r="AH673" i="16"/>
  <c r="AG673" i="16"/>
  <c r="AH685" i="16"/>
  <c r="AG685" i="16"/>
  <c r="AG690" i="16"/>
  <c r="AH701" i="16"/>
  <c r="AG701" i="16"/>
  <c r="AH421" i="16"/>
  <c r="AG422" i="16"/>
  <c r="AH429" i="16"/>
  <c r="AG430" i="16"/>
  <c r="AH437" i="16"/>
  <c r="AG438" i="16"/>
  <c r="AH445" i="16"/>
  <c r="AG446" i="16"/>
  <c r="AH453" i="16"/>
  <c r="AG454" i="16"/>
  <c r="AH461" i="16"/>
  <c r="AG462" i="16"/>
  <c r="AH468" i="16"/>
  <c r="AH472" i="16"/>
  <c r="AH476" i="16"/>
  <c r="AH480" i="16"/>
  <c r="AH484" i="16"/>
  <c r="AH488" i="16"/>
  <c r="AH492" i="16"/>
  <c r="AH496" i="16"/>
  <c r="AH500" i="16"/>
  <c r="AH504" i="16"/>
  <c r="AH508" i="16"/>
  <c r="AH512" i="16"/>
  <c r="AH516" i="16"/>
  <c r="AH520" i="16"/>
  <c r="AH524" i="16"/>
  <c r="AH528" i="16"/>
  <c r="AH532" i="16"/>
  <c r="AH536" i="16"/>
  <c r="AH540" i="16"/>
  <c r="AH544" i="16"/>
  <c r="AH548" i="16"/>
  <c r="AH552" i="16"/>
  <c r="AH556" i="16"/>
  <c r="AH560" i="16"/>
  <c r="AH564" i="16"/>
  <c r="AH568" i="16"/>
  <c r="AH572" i="16"/>
  <c r="AH576" i="16"/>
  <c r="AH580" i="16"/>
  <c r="AH584" i="16"/>
  <c r="AH588" i="16"/>
  <c r="AH592" i="16"/>
  <c r="AH596" i="16"/>
  <c r="AH600" i="16"/>
  <c r="AH604" i="16"/>
  <c r="AH608" i="16"/>
  <c r="AH612" i="16"/>
  <c r="AH616" i="16"/>
  <c r="AH620" i="16"/>
  <c r="AH624" i="16"/>
  <c r="AH628" i="16"/>
  <c r="AH632" i="16"/>
  <c r="AH636" i="16"/>
  <c r="AH640" i="16"/>
  <c r="AH644" i="16"/>
  <c r="AH648" i="16"/>
  <c r="AH652" i="16"/>
  <c r="AH656" i="16"/>
  <c r="AH660" i="16"/>
  <c r="AH664" i="16"/>
  <c r="AH668" i="16"/>
  <c r="AH672" i="16"/>
  <c r="AH676" i="16"/>
  <c r="AH680" i="16"/>
  <c r="AH684" i="16"/>
  <c r="AH688" i="16"/>
  <c r="AH692" i="16"/>
  <c r="AH696" i="16"/>
  <c r="AH700" i="16"/>
  <c r="AH704" i="16"/>
  <c r="AH708" i="16"/>
  <c r="AH712" i="16"/>
  <c r="AH716" i="16"/>
  <c r="AH720" i="16"/>
  <c r="AH724" i="16"/>
  <c r="AH728" i="16"/>
  <c r="AH732" i="16"/>
  <c r="AH736" i="16"/>
  <c r="AH740" i="16"/>
  <c r="AH744" i="16"/>
  <c r="AH748" i="16"/>
  <c r="AH752" i="16"/>
  <c r="AH756" i="16"/>
  <c r="AH760" i="16"/>
  <c r="AH764" i="16"/>
  <c r="AH768" i="16"/>
  <c r="AH772" i="16"/>
  <c r="AH776" i="16"/>
  <c r="AH780" i="16"/>
  <c r="AH784" i="16"/>
  <c r="AH788" i="16"/>
  <c r="AH792" i="16"/>
  <c r="AH796" i="16"/>
  <c r="AH800" i="16"/>
  <c r="AH804" i="16"/>
  <c r="AH808" i="16"/>
  <c r="AH812" i="16"/>
  <c r="AH816" i="16"/>
  <c r="AH820" i="16"/>
  <c r="AH824" i="16"/>
  <c r="AH828" i="16"/>
  <c r="AH832" i="16"/>
  <c r="AH836" i="16"/>
  <c r="AH840" i="16"/>
  <c r="AH844" i="16"/>
  <c r="AH848" i="16"/>
  <c r="AH852" i="16"/>
  <c r="AH856" i="16"/>
  <c r="AH860" i="16"/>
  <c r="AH864" i="16"/>
  <c r="AH868" i="16"/>
  <c r="AH872" i="16"/>
  <c r="AH876" i="16"/>
  <c r="AH880" i="16"/>
  <c r="AH884" i="16"/>
  <c r="AH888" i="16"/>
  <c r="AH892" i="16"/>
  <c r="AH896" i="16"/>
  <c r="AH900" i="16"/>
  <c r="AH904" i="16"/>
  <c r="AH908" i="16"/>
  <c r="AH912" i="16"/>
  <c r="AH916" i="16"/>
  <c r="AH920" i="16"/>
  <c r="AH924" i="16"/>
  <c r="AH928" i="16"/>
  <c r="AH932" i="16"/>
  <c r="AH936" i="16"/>
  <c r="AH940" i="16"/>
  <c r="AH944" i="16"/>
  <c r="AH948" i="16"/>
  <c r="AH952" i="16"/>
  <c r="AH956" i="16"/>
  <c r="AH960" i="16"/>
  <c r="AH964" i="16"/>
  <c r="AH968" i="16"/>
  <c r="AH972" i="16"/>
  <c r="AH976" i="16"/>
  <c r="AH980" i="16"/>
  <c r="AH984" i="16"/>
  <c r="AH988" i="16"/>
  <c r="AH992" i="16"/>
  <c r="AH997" i="16"/>
  <c r="AG997" i="16"/>
  <c r="AG998" i="16"/>
  <c r="AH1000" i="16"/>
  <c r="AG1000" i="16"/>
  <c r="AH1005" i="16"/>
  <c r="AG1005" i="16"/>
  <c r="AG1006" i="16"/>
  <c r="AH1008" i="16"/>
  <c r="AG1008" i="16"/>
  <c r="AH1013" i="16"/>
  <c r="AG1013" i="16"/>
  <c r="AG1014" i="16"/>
  <c r="AH1016" i="16"/>
  <c r="AG1016" i="16"/>
  <c r="AH1021" i="16"/>
  <c r="AG1021" i="16"/>
  <c r="AG1022" i="16"/>
  <c r="AH1024" i="16"/>
  <c r="AG1024" i="16"/>
  <c r="AH1029" i="16"/>
  <c r="AG1029" i="16"/>
  <c r="AG1030" i="16"/>
  <c r="AH1032" i="16"/>
  <c r="AG1032" i="16"/>
  <c r="AH1037" i="16"/>
  <c r="AG1037" i="16"/>
  <c r="AG1038" i="16"/>
  <c r="AH1040" i="16"/>
  <c r="AG1040" i="16"/>
  <c r="AH1045" i="16"/>
  <c r="AG1045" i="16"/>
  <c r="AG1046" i="16"/>
  <c r="AH1048" i="16"/>
  <c r="AG1048" i="16"/>
  <c r="AH1053" i="16"/>
  <c r="AG1053" i="16"/>
  <c r="AG1054" i="16"/>
  <c r="AH1056" i="16"/>
  <c r="AG1056" i="16"/>
  <c r="AH1061" i="16"/>
  <c r="AG1061" i="16"/>
  <c r="AG1062" i="16"/>
  <c r="AH1064" i="16"/>
  <c r="AG1064" i="16"/>
  <c r="AH1069" i="16"/>
  <c r="AG1069" i="16"/>
  <c r="AG1070" i="16"/>
  <c r="AH1072" i="16"/>
  <c r="AG1072" i="16"/>
  <c r="AH1077" i="16"/>
  <c r="AG1077" i="16"/>
  <c r="AG1078" i="16"/>
  <c r="AH1080" i="16"/>
  <c r="AG1080" i="16"/>
  <c r="AH1085" i="16"/>
  <c r="AG1085" i="16"/>
  <c r="AG1086" i="16"/>
  <c r="AH1088" i="16"/>
  <c r="AG1088" i="16"/>
  <c r="AH1093" i="16"/>
  <c r="AG1093" i="16"/>
  <c r="AG1094" i="16"/>
  <c r="AH1096" i="16"/>
  <c r="AG1096" i="16"/>
  <c r="AH1101" i="16"/>
  <c r="AG1101" i="16"/>
  <c r="AG1102" i="16"/>
  <c r="AH1104" i="16"/>
  <c r="AG1104" i="16"/>
  <c r="AH1109" i="16"/>
  <c r="AG1109" i="16"/>
  <c r="AG1110" i="16"/>
  <c r="AH1112" i="16"/>
  <c r="AG1112" i="16"/>
  <c r="AH1117" i="16"/>
  <c r="AG1117" i="16"/>
  <c r="AG1118" i="16"/>
  <c r="AH1120" i="16"/>
  <c r="AG1120" i="16"/>
  <c r="AH1125" i="16"/>
  <c r="AG1125" i="16"/>
  <c r="AG1126" i="16"/>
  <c r="AH1128" i="16"/>
  <c r="AG1128" i="16"/>
  <c r="AH1133" i="16"/>
  <c r="AG1133" i="16"/>
  <c r="AG1134" i="16"/>
  <c r="AH1136" i="16"/>
  <c r="AG1136" i="16"/>
  <c r="AH1141" i="16"/>
  <c r="AG1141" i="16"/>
  <c r="AG1142" i="16"/>
  <c r="AH1144" i="16"/>
  <c r="AG1144" i="16"/>
  <c r="AH1149" i="16"/>
  <c r="AG1149" i="16"/>
  <c r="AG1150" i="16"/>
  <c r="AH1152" i="16"/>
  <c r="AG1152" i="16"/>
  <c r="AH1157" i="16"/>
  <c r="AG1157" i="16"/>
  <c r="AG1158" i="16"/>
  <c r="AH1160" i="16"/>
  <c r="AG1160" i="16"/>
  <c r="AH1165" i="16"/>
  <c r="AG1165" i="16"/>
  <c r="AG1166" i="16"/>
  <c r="AH1168" i="16"/>
  <c r="AG1168" i="16"/>
  <c r="AH1173" i="16"/>
  <c r="AG1173" i="16"/>
  <c r="AG1174" i="16"/>
  <c r="AH1176" i="16"/>
  <c r="AG1176" i="16"/>
  <c r="AH1181" i="16"/>
  <c r="AG1181" i="16"/>
  <c r="AG1182" i="16"/>
  <c r="AH1184" i="16"/>
  <c r="AG1184" i="16"/>
  <c r="AH1189" i="16"/>
  <c r="AG1189" i="16"/>
  <c r="AG1190" i="16"/>
  <c r="AH1192" i="16"/>
  <c r="AG1192" i="16"/>
  <c r="AH1197" i="16"/>
  <c r="AG1197" i="16"/>
  <c r="AG1198" i="16"/>
  <c r="AH1200" i="16"/>
  <c r="AG1200" i="16"/>
  <c r="AH1205" i="16"/>
  <c r="AG1205" i="16"/>
  <c r="AG1206" i="16"/>
  <c r="AH1208" i="16"/>
  <c r="AG1208" i="16"/>
  <c r="AH1213" i="16"/>
  <c r="AG1213" i="16"/>
  <c r="AG1214" i="16"/>
  <c r="AH1216" i="16"/>
  <c r="AG1216" i="16"/>
  <c r="AH1221" i="16"/>
  <c r="AG1221" i="16"/>
  <c r="AG1222" i="16"/>
  <c r="AH1224" i="16"/>
  <c r="AG1224" i="16"/>
  <c r="AH1229" i="16"/>
  <c r="AG1229" i="16"/>
  <c r="AG1230" i="16"/>
  <c r="AH1232" i="16"/>
  <c r="AG1232" i="16"/>
  <c r="AH1237" i="16"/>
  <c r="AG1237" i="16"/>
  <c r="AG1238" i="16"/>
  <c r="AH1240" i="16"/>
  <c r="AG1240" i="16"/>
  <c r="AH1245" i="16"/>
  <c r="AG1245" i="16"/>
  <c r="AG1246" i="16"/>
  <c r="AH1248" i="16"/>
  <c r="AG1248" i="16"/>
  <c r="AH1253" i="16"/>
  <c r="AG1253" i="16"/>
  <c r="AG1254" i="16"/>
  <c r="AH1256" i="16"/>
  <c r="AG1256" i="16"/>
  <c r="AH1261" i="16"/>
  <c r="AG1261" i="16"/>
  <c r="AG1262" i="16"/>
  <c r="AH1264" i="16"/>
  <c r="AG1264" i="16"/>
  <c r="AH1269" i="16"/>
  <c r="AG1269" i="16"/>
  <c r="AG1270" i="16"/>
  <c r="AH1272" i="16"/>
  <c r="AG1272" i="16"/>
  <c r="AH1277" i="16"/>
  <c r="AG1277" i="16"/>
  <c r="AG1278" i="16"/>
  <c r="AH1280" i="16"/>
  <c r="AG1280" i="16"/>
  <c r="AH1285" i="16"/>
  <c r="AG1285" i="16"/>
  <c r="AG1286" i="16"/>
  <c r="AH1288" i="16"/>
  <c r="AG1288" i="16"/>
  <c r="AH1293" i="16"/>
  <c r="AG1293" i="16"/>
  <c r="AG1294" i="16"/>
  <c r="AH1296" i="16"/>
  <c r="AG1296" i="16"/>
  <c r="AH1301" i="16"/>
  <c r="AG1301" i="16"/>
  <c r="AG1302" i="16"/>
  <c r="AH1304" i="16"/>
  <c r="AG1304" i="16"/>
  <c r="AH1309" i="16"/>
  <c r="AG1309" i="16"/>
  <c r="AG1310" i="16"/>
  <c r="AH1312" i="16"/>
  <c r="AG1312" i="16"/>
  <c r="AH1317" i="16"/>
  <c r="AG1317" i="16"/>
  <c r="AG1318" i="16"/>
  <c r="AH1320" i="16"/>
  <c r="AG1320" i="16"/>
  <c r="AH1325" i="16"/>
  <c r="AG1325" i="16"/>
  <c r="AG1326" i="16"/>
  <c r="AH1328" i="16"/>
  <c r="AG1328" i="16"/>
  <c r="AH1333" i="16"/>
  <c r="AG1333" i="16"/>
  <c r="AG1334" i="16"/>
  <c r="AH1336" i="16"/>
  <c r="AG1336" i="16"/>
  <c r="AH1341" i="16"/>
  <c r="AG1341" i="16"/>
  <c r="AG1342" i="16"/>
  <c r="AH1344" i="16"/>
  <c r="AG1344" i="16"/>
  <c r="AH1349" i="16"/>
  <c r="AG1349" i="16"/>
  <c r="AG1350" i="16"/>
  <c r="AH1352" i="16"/>
  <c r="AG1352" i="16"/>
  <c r="AH1357" i="16"/>
  <c r="AG1357" i="16"/>
  <c r="AG1358" i="16"/>
  <c r="AH1360" i="16"/>
  <c r="AG1360" i="16"/>
  <c r="AH1365" i="16"/>
  <c r="AG1365" i="16"/>
  <c r="AG1366" i="16"/>
  <c r="AH1368" i="16"/>
  <c r="AG1368" i="16"/>
  <c r="AH1373" i="16"/>
  <c r="AG1373" i="16"/>
  <c r="AG1374" i="16"/>
  <c r="AH1376" i="16"/>
  <c r="AG1376" i="16"/>
  <c r="AH1381" i="16"/>
  <c r="AG1381" i="16"/>
  <c r="AG1382" i="16"/>
  <c r="AH1384" i="16"/>
  <c r="AG1384" i="16"/>
  <c r="AH1389" i="16"/>
  <c r="AG1389" i="16"/>
  <c r="AG1390" i="16"/>
  <c r="AH1392" i="16"/>
  <c r="AG1392" i="16"/>
  <c r="AH1397" i="16"/>
  <c r="AG1397" i="16"/>
  <c r="AG1398" i="16"/>
  <c r="AH1400" i="16"/>
  <c r="AG1400" i="16"/>
  <c r="AH1405" i="16"/>
  <c r="AG1405" i="16"/>
  <c r="AG1406" i="16"/>
  <c r="AH1408" i="16"/>
  <c r="AG1408" i="16"/>
  <c r="AH1413" i="16"/>
  <c r="AG1413" i="16"/>
  <c r="AG1414" i="16"/>
  <c r="AH1416" i="16"/>
  <c r="AG1416" i="16"/>
  <c r="AH1421" i="16"/>
  <c r="AG1421" i="16"/>
  <c r="AG1422" i="16"/>
  <c r="AH1424" i="16"/>
  <c r="AG1424" i="16"/>
  <c r="AH1429" i="16"/>
  <c r="AG1429" i="16"/>
  <c r="AG1430" i="16"/>
  <c r="AH1432" i="16"/>
  <c r="AG1432" i="16"/>
  <c r="AH1437" i="16"/>
  <c r="AG1437" i="16"/>
  <c r="AG1438" i="16"/>
  <c r="AH1440" i="16"/>
  <c r="AG1440" i="16"/>
  <c r="AH1445" i="16"/>
  <c r="AG1445" i="16"/>
  <c r="AG1446" i="16"/>
  <c r="AH1448" i="16"/>
  <c r="AG1448" i="16"/>
  <c r="AH1453" i="16"/>
  <c r="AG1453" i="16"/>
  <c r="AG1454" i="16"/>
  <c r="AH1456" i="16"/>
  <c r="AG1456" i="16"/>
  <c r="AH1461" i="16"/>
  <c r="AG1461" i="16"/>
  <c r="AG1462" i="16"/>
  <c r="AH1464" i="16"/>
  <c r="AG1464" i="16"/>
  <c r="AH1469" i="16"/>
  <c r="AG1469" i="16"/>
  <c r="AG1470" i="16"/>
  <c r="AH1472" i="16"/>
  <c r="AG1472" i="16"/>
  <c r="AH1477" i="16"/>
  <c r="AG1477" i="16"/>
  <c r="AG1478" i="16"/>
  <c r="AH1480" i="16"/>
  <c r="AG1480" i="16"/>
  <c r="AH1485" i="16"/>
  <c r="AG1485" i="16"/>
  <c r="AG1486" i="16"/>
  <c r="AH1488" i="16"/>
  <c r="AG1488" i="16"/>
  <c r="AH1493" i="16"/>
  <c r="AG1493" i="16"/>
  <c r="AG1494" i="16"/>
  <c r="AH1496" i="16"/>
  <c r="AG1496" i="16"/>
  <c r="AH1501" i="16"/>
  <c r="AG1501" i="16"/>
  <c r="AG1502" i="16"/>
  <c r="AH1504" i="16"/>
  <c r="AG1504" i="16"/>
  <c r="AH1509" i="16"/>
  <c r="AG1509" i="16"/>
  <c r="AG1510" i="16"/>
  <c r="AH1512" i="16"/>
  <c r="AG1512" i="16"/>
  <c r="AH1517" i="16"/>
  <c r="AG1517" i="16"/>
  <c r="AG1518" i="16"/>
  <c r="AH1520" i="16"/>
  <c r="AG1520" i="16"/>
  <c r="AH1525" i="16"/>
  <c r="AG1525" i="16"/>
  <c r="AG1526" i="16"/>
  <c r="AH1530" i="16"/>
  <c r="AG1530" i="16"/>
  <c r="AH1533" i="16"/>
  <c r="AG1533" i="16"/>
  <c r="AH1538" i="16"/>
  <c r="AG1538" i="16"/>
  <c r="AH1541" i="16"/>
  <c r="AG1541" i="16"/>
  <c r="AH1546" i="16"/>
  <c r="AG1546" i="16"/>
  <c r="AH1549" i="16"/>
  <c r="AG1549" i="16"/>
  <c r="AH1554" i="16"/>
  <c r="AG1554" i="16"/>
  <c r="AH1557" i="16"/>
  <c r="AG1557" i="16"/>
  <c r="AH1562" i="16"/>
  <c r="AG1562" i="16"/>
  <c r="AH1565" i="16"/>
  <c r="AG1565" i="16"/>
  <c r="AH1570" i="16"/>
  <c r="AG1570" i="16"/>
  <c r="AH1573" i="16"/>
  <c r="AG1573" i="16"/>
  <c r="AH1527" i="16"/>
  <c r="AG1528" i="16"/>
  <c r="AH1535" i="16"/>
  <c r="AG1536" i="16"/>
  <c r="AH1543" i="16"/>
  <c r="AG1544" i="16"/>
  <c r="AH1551" i="16"/>
  <c r="AG1552" i="16"/>
  <c r="AH1559" i="16"/>
  <c r="AG1560" i="16"/>
  <c r="AH1567" i="16"/>
  <c r="AG1568" i="16"/>
  <c r="AH1575" i="16"/>
  <c r="AG1576" i="16"/>
  <c r="AH1579" i="16"/>
  <c r="AG1579" i="16"/>
  <c r="AG1580" i="16"/>
  <c r="AH1583" i="16"/>
  <c r="AG1583" i="16"/>
  <c r="AG1584" i="16"/>
  <c r="AH1587" i="16"/>
  <c r="AG1587" i="16"/>
  <c r="AG1588" i="16"/>
  <c r="AH1591" i="16"/>
  <c r="AG1591" i="16"/>
  <c r="AG1592" i="16"/>
  <c r="AH1595" i="16"/>
  <c r="AG1595" i="16"/>
  <c r="AG1596" i="16"/>
  <c r="AH1599" i="16"/>
  <c r="AG1599" i="16"/>
  <c r="AG1600" i="16"/>
  <c r="AH1603" i="16"/>
  <c r="AG1603" i="16"/>
  <c r="AG1604" i="16"/>
  <c r="AH1607" i="16"/>
  <c r="AG1607" i="16"/>
  <c r="AG1608" i="16"/>
  <c r="AH1611" i="16"/>
  <c r="AG1611" i="16"/>
  <c r="AG1612" i="16"/>
  <c r="AH1615" i="16"/>
  <c r="AG1615" i="16"/>
  <c r="AG1616" i="16"/>
  <c r="AH1619" i="16"/>
  <c r="AG1619" i="16"/>
  <c r="AG1620" i="16"/>
  <c r="AH1623" i="16"/>
  <c r="AG1623" i="16"/>
  <c r="AG1624" i="16"/>
  <c r="AH1627" i="16"/>
  <c r="AG1627" i="16"/>
  <c r="AG1628" i="16"/>
  <c r="AH1631" i="16"/>
  <c r="AG1631" i="16"/>
  <c r="AG1632" i="16"/>
  <c r="AH1635" i="16"/>
  <c r="AG1635" i="16"/>
  <c r="AG1636" i="16"/>
  <c r="AH1639" i="16"/>
  <c r="AG1639" i="16"/>
  <c r="AG1640" i="16"/>
  <c r="AH1643" i="16"/>
  <c r="AG1643" i="16"/>
  <c r="AG1644" i="16"/>
  <c r="AH1647" i="16"/>
  <c r="AG1647" i="16"/>
  <c r="AG1648" i="16"/>
  <c r="AH1651" i="16"/>
  <c r="AG1651" i="16"/>
  <c r="AG1652" i="16"/>
  <c r="AH1655" i="16"/>
  <c r="AG1655" i="16"/>
  <c r="AG1656" i="16"/>
  <c r="AH1659" i="16"/>
  <c r="AG1659" i="16"/>
  <c r="AG1660" i="16"/>
  <c r="AH1663" i="16"/>
  <c r="AG1663" i="16"/>
  <c r="AG1664" i="16"/>
  <c r="AH1667" i="16"/>
  <c r="AG1667" i="16"/>
  <c r="AG1668" i="16"/>
  <c r="AH1671" i="16"/>
  <c r="AG1671" i="16"/>
  <c r="AG1672" i="16"/>
  <c r="AH1675" i="16"/>
  <c r="AG1675" i="16"/>
  <c r="AG1676" i="16"/>
  <c r="AH1679" i="16"/>
  <c r="AG1679" i="16"/>
  <c r="AG1680" i="16"/>
  <c r="AH1683" i="16"/>
  <c r="AG1683" i="16"/>
  <c r="AG1684" i="16"/>
  <c r="AH1687" i="16"/>
  <c r="AG1687" i="16"/>
  <c r="AG1688" i="16"/>
  <c r="AH1691" i="16"/>
  <c r="AG1691" i="16"/>
  <c r="AG1692" i="16"/>
  <c r="AH1695" i="16"/>
  <c r="AG1695" i="16"/>
  <c r="AG1696" i="16"/>
  <c r="AH1699" i="16"/>
  <c r="AG1699" i="16"/>
  <c r="AG1700" i="16"/>
  <c r="AH1703" i="16"/>
  <c r="AG1703" i="16"/>
  <c r="AG1704" i="16"/>
  <c r="AH1707" i="16"/>
  <c r="AG1707" i="16"/>
  <c r="AG1708" i="16"/>
  <c r="AH1711" i="16"/>
  <c r="AG1711" i="16"/>
  <c r="AG1712" i="16"/>
  <c r="AH1715" i="16"/>
  <c r="AG1715" i="16"/>
  <c r="AG1716" i="16"/>
  <c r="AH1719" i="16"/>
  <c r="AG1719" i="16"/>
  <c r="AG1720" i="16"/>
  <c r="AH1723" i="16"/>
  <c r="AG1723" i="16"/>
  <c r="AG1724" i="16"/>
  <c r="AH1727" i="16"/>
  <c r="AG1727" i="16"/>
  <c r="AG1728" i="16"/>
  <c r="AH1731" i="16"/>
  <c r="AG1731" i="16"/>
  <c r="AG1732" i="16"/>
  <c r="AH1735" i="16"/>
  <c r="AG1735" i="16"/>
  <c r="AG1736" i="16"/>
  <c r="AH1739" i="16"/>
  <c r="AG1739" i="16"/>
  <c r="AG1740" i="16"/>
  <c r="AH1743" i="16"/>
  <c r="AG1743" i="16"/>
  <c r="AG1744" i="16"/>
  <c r="AH1747" i="16"/>
  <c r="AG1747" i="16"/>
  <c r="AG1748" i="16"/>
  <c r="AH1751" i="16"/>
  <c r="AG1751" i="16"/>
  <c r="AG1752" i="16"/>
  <c r="AH1755" i="16"/>
  <c r="AG1755" i="16"/>
  <c r="AG1756" i="16"/>
  <c r="AH1758" i="16"/>
  <c r="AG1758" i="16"/>
  <c r="AH1763" i="16"/>
  <c r="AG1763" i="16"/>
  <c r="AG1764" i="16"/>
  <c r="AH1766" i="16"/>
  <c r="AG1766" i="16"/>
  <c r="AH1771" i="16"/>
  <c r="AG1771" i="16"/>
  <c r="AG1772" i="16"/>
  <c r="AH1774" i="16"/>
  <c r="AG1774" i="16"/>
  <c r="AH1779" i="16"/>
  <c r="AG1779" i="16"/>
  <c r="AG1780" i="16"/>
  <c r="AH1782" i="16"/>
  <c r="AG1782" i="16"/>
  <c r="AH1787" i="16"/>
  <c r="AG1787" i="16"/>
  <c r="AG1788" i="16"/>
  <c r="AH1790" i="16"/>
  <c r="AG1790" i="16"/>
  <c r="AH1795" i="16"/>
  <c r="AG1795" i="16"/>
  <c r="AG1796" i="16"/>
  <c r="AH1798" i="16"/>
  <c r="AG1798" i="16"/>
  <c r="AH1803" i="16"/>
  <c r="AG1803" i="16"/>
  <c r="AG1804" i="16"/>
  <c r="AH1806" i="16"/>
  <c r="AG1806" i="16"/>
  <c r="AH1811" i="16"/>
  <c r="AG1811" i="16"/>
  <c r="AG1812" i="16"/>
  <c r="AH1814" i="16"/>
  <c r="AG1814" i="16"/>
  <c r="AH1819" i="16"/>
  <c r="AG1819" i="16"/>
  <c r="AG1820" i="16"/>
  <c r="AH1822" i="16"/>
  <c r="AG1822" i="16"/>
  <c r="AH1827" i="16"/>
  <c r="AG1827" i="16"/>
  <c r="AG1828" i="16"/>
  <c r="AH1830" i="16"/>
  <c r="AG1830" i="16"/>
  <c r="AH1835" i="16"/>
  <c r="AG1835" i="16"/>
  <c r="AG1836" i="16"/>
  <c r="AH1838" i="16"/>
  <c r="AG1838" i="16"/>
  <c r="AH1843" i="16"/>
  <c r="AG1843" i="16"/>
  <c r="AG1844" i="16"/>
  <c r="AH1846" i="16"/>
  <c r="AG1846" i="16"/>
  <c r="AH1851" i="16"/>
  <c r="AG1851" i="16"/>
  <c r="AG1852" i="16"/>
  <c r="AH1854" i="16"/>
  <c r="AG1854" i="16"/>
  <c r="AH1859" i="16"/>
  <c r="AG1859" i="16"/>
  <c r="AG1860" i="16"/>
  <c r="AH1862" i="16"/>
  <c r="AG1862" i="16"/>
  <c r="AH1867" i="16"/>
  <c r="AG1867" i="16"/>
  <c r="AG1868" i="16"/>
  <c r="AH1870" i="16"/>
  <c r="AG1870" i="16"/>
  <c r="AH1875" i="16"/>
  <c r="AG1875" i="16"/>
  <c r="AG1876" i="16"/>
  <c r="AH1880" i="16"/>
  <c r="AG1880" i="16"/>
  <c r="AH1883" i="16"/>
  <c r="AG1883" i="16"/>
  <c r="AH1888" i="16"/>
  <c r="AG1888" i="16"/>
  <c r="AH1891" i="16"/>
  <c r="AG1891" i="16"/>
  <c r="AH1896" i="16"/>
  <c r="AG1896" i="16"/>
  <c r="AH1899" i="16"/>
  <c r="AG1899" i="16"/>
  <c r="AH1904" i="16"/>
  <c r="AG1904" i="16"/>
  <c r="AH1907" i="16"/>
  <c r="AG1907" i="16"/>
  <c r="AH1912" i="16"/>
  <c r="AG1912" i="16"/>
  <c r="AH1915" i="16"/>
  <c r="AG1915" i="16"/>
  <c r="AH1920" i="16"/>
  <c r="AG1920" i="16"/>
  <c r="AH1923" i="16"/>
  <c r="AG1923" i="16"/>
  <c r="AH1928" i="16"/>
  <c r="AG1928" i="16"/>
  <c r="AH1931" i="16"/>
  <c r="AG1931" i="16"/>
  <c r="AH1936" i="16"/>
  <c r="AG1936" i="16"/>
  <c r="AH1939" i="16"/>
  <c r="AG1939" i="16"/>
  <c r="AH1944" i="16"/>
  <c r="AG1944" i="16"/>
  <c r="AH1947" i="16"/>
  <c r="AG1947" i="16"/>
  <c r="AH1952" i="16"/>
  <c r="AG1952" i="16"/>
  <c r="AH1955" i="16"/>
  <c r="AG1955" i="16"/>
  <c r="AH1960" i="16"/>
  <c r="AG1960" i="16"/>
  <c r="AH1963" i="16"/>
  <c r="AG1963" i="16"/>
  <c r="AH1968" i="16"/>
  <c r="AG1968" i="16"/>
  <c r="AH1971" i="16"/>
  <c r="AG1971" i="16"/>
  <c r="AH1976" i="16"/>
  <c r="AG1976" i="16"/>
  <c r="AH1979" i="16"/>
  <c r="AG1979" i="16"/>
  <c r="AH1984" i="16"/>
  <c r="AG1984" i="16"/>
  <c r="AH1987" i="16"/>
  <c r="AG1987" i="16"/>
  <c r="AH1992" i="16"/>
  <c r="AG1992" i="16"/>
  <c r="AH1995" i="16"/>
  <c r="AG1995" i="16"/>
  <c r="AH2000" i="16"/>
  <c r="AG2000" i="16"/>
  <c r="AH2003" i="16"/>
  <c r="AG2003" i="16"/>
  <c r="AH2008" i="16"/>
  <c r="AG2008" i="16"/>
  <c r="AH2011" i="16"/>
  <c r="AG2011" i="16"/>
  <c r="AH2016" i="16"/>
  <c r="AG2016" i="16"/>
  <c r="AH2019" i="16"/>
  <c r="AG2019" i="16"/>
  <c r="AH2024" i="16"/>
  <c r="AG2024" i="16"/>
  <c r="AH2027" i="16"/>
  <c r="AG2027" i="16"/>
  <c r="AH2032" i="16"/>
  <c r="AG2032" i="16"/>
  <c r="AH2035" i="16"/>
  <c r="AG2035" i="16"/>
  <c r="AH2040" i="16"/>
  <c r="AG2040" i="16"/>
  <c r="AH2043" i="16"/>
  <c r="AG2043" i="16"/>
  <c r="AH2048" i="16"/>
  <c r="AG2048" i="16"/>
  <c r="AH2051" i="16"/>
  <c r="AG2051" i="16"/>
  <c r="AH2056" i="16"/>
  <c r="AG2056" i="16"/>
  <c r="AH2059" i="16"/>
  <c r="AG2059" i="16"/>
  <c r="AH2064" i="16"/>
  <c r="AG2064" i="16"/>
  <c r="AH2067" i="16"/>
  <c r="AG2067" i="16"/>
  <c r="AH2072" i="16"/>
  <c r="AG2072" i="16"/>
  <c r="AH2075" i="16"/>
  <c r="AG2075" i="16"/>
  <c r="AH2080" i="16"/>
  <c r="AG2080" i="16"/>
  <c r="AH2083" i="16"/>
  <c r="AG2083" i="16"/>
  <c r="AH2088" i="16"/>
  <c r="AG2088" i="16"/>
  <c r="AH2091" i="16"/>
  <c r="AG2091" i="16"/>
  <c r="AH2096" i="16"/>
  <c r="AG2096" i="16"/>
  <c r="AG2100" i="16"/>
  <c r="AH2100" i="16"/>
  <c r="AH2103" i="16"/>
  <c r="AG2103" i="16"/>
  <c r="AH2112" i="16"/>
  <c r="AG2112" i="16"/>
  <c r="AG2116" i="16"/>
  <c r="AH2116" i="16"/>
  <c r="AH2119" i="16"/>
  <c r="AG2119" i="16"/>
  <c r="AG1884" i="16"/>
  <c r="AG1892" i="16"/>
  <c r="AG1900" i="16"/>
  <c r="AG1908" i="16"/>
  <c r="AG1916" i="16"/>
  <c r="AG1924" i="16"/>
  <c r="AG1932" i="16"/>
  <c r="AG1940" i="16"/>
  <c r="AG1948" i="16"/>
  <c r="AG1956" i="16"/>
  <c r="AG1964" i="16"/>
  <c r="AG1972" i="16"/>
  <c r="AG1980" i="16"/>
  <c r="AG1988" i="16"/>
  <c r="AG1996" i="16"/>
  <c r="AG2004" i="16"/>
  <c r="AG2012" i="16"/>
  <c r="AG2020" i="16"/>
  <c r="AG2028" i="16"/>
  <c r="AG2036" i="16"/>
  <c r="AG2044" i="16"/>
  <c r="AG2052" i="16"/>
  <c r="AG2060" i="16"/>
  <c r="AG2068" i="16"/>
  <c r="AG2076" i="16"/>
  <c r="AG2084" i="16"/>
  <c r="AG2092" i="16"/>
  <c r="AG2104" i="16"/>
  <c r="AG2120" i="16"/>
  <c r="AH2425" i="16"/>
  <c r="AH2430" i="16"/>
  <c r="AG2430" i="16"/>
  <c r="AH2457" i="16"/>
  <c r="AH2462" i="16"/>
  <c r="AG2462" i="16"/>
  <c r="AH2489" i="16"/>
  <c r="AH2494" i="16"/>
  <c r="AG2494" i="16"/>
  <c r="AH2549" i="16"/>
  <c r="AG2554" i="16"/>
  <c r="AH2558" i="16"/>
  <c r="AG2558" i="16"/>
  <c r="AH2613" i="16"/>
  <c r="AG2618" i="16"/>
  <c r="AG2622" i="16"/>
  <c r="AG2626" i="16"/>
  <c r="AG2630" i="16"/>
  <c r="AG2634" i="16"/>
  <c r="AH2642" i="16"/>
  <c r="AH2643" i="16"/>
  <c r="AH2650" i="16"/>
  <c r="AH2651" i="16"/>
  <c r="AH2658" i="16"/>
  <c r="AH2659" i="16"/>
  <c r="AH2666" i="16"/>
  <c r="AH2667" i="16"/>
  <c r="AH2674" i="16"/>
  <c r="AH2675" i="16"/>
  <c r="AH2682" i="16"/>
  <c r="AH2683" i="16"/>
  <c r="AH2690" i="16"/>
  <c r="AH2691" i="16"/>
  <c r="AH2698" i="16"/>
  <c r="AH2699" i="16"/>
  <c r="AH2706" i="16"/>
  <c r="AH2707" i="16"/>
  <c r="AH2714" i="16"/>
  <c r="AH2715" i="16"/>
  <c r="AH2722" i="16"/>
  <c r="AH2723" i="16"/>
  <c r="AG2726" i="16"/>
  <c r="AH2726" i="16"/>
  <c r="AH2738" i="16"/>
  <c r="AG2742" i="16"/>
  <c r="AH2742" i="16"/>
  <c r="AH2754" i="16"/>
  <c r="AG2758" i="16"/>
  <c r="AH2758" i="16"/>
  <c r="AH1531" i="16"/>
  <c r="AG1532" i="16"/>
  <c r="AH1539" i="16"/>
  <c r="AG1540" i="16"/>
  <c r="AH1547" i="16"/>
  <c r="AG1548" i="16"/>
  <c r="AH1555" i="16"/>
  <c r="AG1556" i="16"/>
  <c r="AH1563" i="16"/>
  <c r="AG1564" i="16"/>
  <c r="AH1571" i="16"/>
  <c r="AG1572" i="16"/>
  <c r="AH1578" i="16"/>
  <c r="AH1582" i="16"/>
  <c r="AH1586" i="16"/>
  <c r="AH1590" i="16"/>
  <c r="AH1594" i="16"/>
  <c r="AH1598" i="16"/>
  <c r="AH1602" i="16"/>
  <c r="AH1606" i="16"/>
  <c r="AH1610" i="16"/>
  <c r="AH1614" i="16"/>
  <c r="AH1618" i="16"/>
  <c r="AH1622" i="16"/>
  <c r="AH1626" i="16"/>
  <c r="AH1630" i="16"/>
  <c r="AH1634" i="16"/>
  <c r="AH1638" i="16"/>
  <c r="AH1642" i="16"/>
  <c r="AH1646" i="16"/>
  <c r="AH1650" i="16"/>
  <c r="AH1654" i="16"/>
  <c r="AH1658" i="16"/>
  <c r="AH1662" i="16"/>
  <c r="AH1666" i="16"/>
  <c r="AH1670" i="16"/>
  <c r="AH1674" i="16"/>
  <c r="AH1678" i="16"/>
  <c r="AH1682" i="16"/>
  <c r="AH1686" i="16"/>
  <c r="AH1690" i="16"/>
  <c r="AH1694" i="16"/>
  <c r="AH1698" i="16"/>
  <c r="AH1702" i="16"/>
  <c r="AH1706" i="16"/>
  <c r="AH1710" i="16"/>
  <c r="AH1714" i="16"/>
  <c r="AH1718" i="16"/>
  <c r="AH1722" i="16"/>
  <c r="AH1726" i="16"/>
  <c r="AH1730" i="16"/>
  <c r="AH1734" i="16"/>
  <c r="AH1738" i="16"/>
  <c r="AH1742" i="16"/>
  <c r="AH1746" i="16"/>
  <c r="AH1750" i="16"/>
  <c r="AH1754" i="16"/>
  <c r="AH1759" i="16"/>
  <c r="AG1759" i="16"/>
  <c r="AG1760" i="16"/>
  <c r="AH1762" i="16"/>
  <c r="AG1762" i="16"/>
  <c r="AH1767" i="16"/>
  <c r="AG1767" i="16"/>
  <c r="AG1768" i="16"/>
  <c r="AH1770" i="16"/>
  <c r="AG1770" i="16"/>
  <c r="AH1775" i="16"/>
  <c r="AG1775" i="16"/>
  <c r="AG1776" i="16"/>
  <c r="AH1778" i="16"/>
  <c r="AG1778" i="16"/>
  <c r="AH1783" i="16"/>
  <c r="AG1783" i="16"/>
  <c r="AG1784" i="16"/>
  <c r="AH1786" i="16"/>
  <c r="AG1786" i="16"/>
  <c r="AH1791" i="16"/>
  <c r="AG1791" i="16"/>
  <c r="AG1792" i="16"/>
  <c r="AH1794" i="16"/>
  <c r="AG1794" i="16"/>
  <c r="AH1799" i="16"/>
  <c r="AG1799" i="16"/>
  <c r="AG1800" i="16"/>
  <c r="AH1802" i="16"/>
  <c r="AG1802" i="16"/>
  <c r="AH1807" i="16"/>
  <c r="AG1807" i="16"/>
  <c r="AG1808" i="16"/>
  <c r="AH1810" i="16"/>
  <c r="AG1810" i="16"/>
  <c r="AH1815" i="16"/>
  <c r="AG1815" i="16"/>
  <c r="AG1816" i="16"/>
  <c r="AH1818" i="16"/>
  <c r="AG1818" i="16"/>
  <c r="AH1823" i="16"/>
  <c r="AG1823" i="16"/>
  <c r="AG1824" i="16"/>
  <c r="AH1826" i="16"/>
  <c r="AG1826" i="16"/>
  <c r="AH1831" i="16"/>
  <c r="AG1831" i="16"/>
  <c r="AG1832" i="16"/>
  <c r="AH1834" i="16"/>
  <c r="AG1834" i="16"/>
  <c r="AH1839" i="16"/>
  <c r="AG1839" i="16"/>
  <c r="AG1840" i="16"/>
  <c r="AH1842" i="16"/>
  <c r="AG1842" i="16"/>
  <c r="AH1847" i="16"/>
  <c r="AG1847" i="16"/>
  <c r="AG1848" i="16"/>
  <c r="AH1850" i="16"/>
  <c r="AG1850" i="16"/>
  <c r="AH1855" i="16"/>
  <c r="AG1855" i="16"/>
  <c r="AG1856" i="16"/>
  <c r="AH1858" i="16"/>
  <c r="AG1858" i="16"/>
  <c r="AH1863" i="16"/>
  <c r="AG1863" i="16"/>
  <c r="AG1864" i="16"/>
  <c r="AH1866" i="16"/>
  <c r="AG1866" i="16"/>
  <c r="AH1871" i="16"/>
  <c r="AG1871" i="16"/>
  <c r="AG1872" i="16"/>
  <c r="AH1874" i="16"/>
  <c r="AG1874" i="16"/>
  <c r="AH1882" i="16"/>
  <c r="AH1890" i="16"/>
  <c r="AH1898" i="16"/>
  <c r="AH1906" i="16"/>
  <c r="AH1914" i="16"/>
  <c r="AH1922" i="16"/>
  <c r="AH1930" i="16"/>
  <c r="AH1938" i="16"/>
  <c r="AH1946" i="16"/>
  <c r="AH1954" i="16"/>
  <c r="AH1962" i="16"/>
  <c r="AH1970" i="16"/>
  <c r="AH1978" i="16"/>
  <c r="AH1986" i="16"/>
  <c r="AH1994" i="16"/>
  <c r="AH2002" i="16"/>
  <c r="AH2010" i="16"/>
  <c r="AH2018" i="16"/>
  <c r="AH2026" i="16"/>
  <c r="AH2034" i="16"/>
  <c r="AH2042" i="16"/>
  <c r="AH2050" i="16"/>
  <c r="AH2058" i="16"/>
  <c r="AH2066" i="16"/>
  <c r="AH2074" i="16"/>
  <c r="AH2082" i="16"/>
  <c r="AH2090" i="16"/>
  <c r="AH2098" i="16"/>
  <c r="AH2102" i="16"/>
  <c r="AH2114" i="16"/>
  <c r="AH2118" i="16"/>
  <c r="AG2127" i="16"/>
  <c r="AH2127" i="16"/>
  <c r="AG2143" i="16"/>
  <c r="AH2143" i="16"/>
  <c r="AG2159" i="16"/>
  <c r="AH2159" i="16"/>
  <c r="AG2175" i="16"/>
  <c r="AH2175" i="16"/>
  <c r="AG2191" i="16"/>
  <c r="AH2191" i="16"/>
  <c r="AH1877" i="16"/>
  <c r="AG1878" i="16"/>
  <c r="AH1885" i="16"/>
  <c r="AG1886" i="16"/>
  <c r="AH1893" i="16"/>
  <c r="AG1894" i="16"/>
  <c r="AH1901" i="16"/>
  <c r="AG1902" i="16"/>
  <c r="AH1909" i="16"/>
  <c r="AG1910" i="16"/>
  <c r="AH1917" i="16"/>
  <c r="AG1918" i="16"/>
  <c r="AH1925" i="16"/>
  <c r="AG1926" i="16"/>
  <c r="AH1933" i="16"/>
  <c r="AG1934" i="16"/>
  <c r="AH1941" i="16"/>
  <c r="AG1942" i="16"/>
  <c r="AH1949" i="16"/>
  <c r="AG1950" i="16"/>
  <c r="AH1957" i="16"/>
  <c r="AG1958" i="16"/>
  <c r="AH1965" i="16"/>
  <c r="AG1966" i="16"/>
  <c r="AH1973" i="16"/>
  <c r="AG1974" i="16"/>
  <c r="AH1981" i="16"/>
  <c r="AG1982" i="16"/>
  <c r="AH1989" i="16"/>
  <c r="AG1990" i="16"/>
  <c r="AH1997" i="16"/>
  <c r="AG1998" i="16"/>
  <c r="AH2005" i="16"/>
  <c r="AG2006" i="16"/>
  <c r="AH2013" i="16"/>
  <c r="AG2014" i="16"/>
  <c r="AH2021" i="16"/>
  <c r="AG2022" i="16"/>
  <c r="AH2029" i="16"/>
  <c r="AG2030" i="16"/>
  <c r="AH2037" i="16"/>
  <c r="AG2038" i="16"/>
  <c r="AH2045" i="16"/>
  <c r="AG2046" i="16"/>
  <c r="AH2053" i="16"/>
  <c r="AG2054" i="16"/>
  <c r="AH2061" i="16"/>
  <c r="AG2062" i="16"/>
  <c r="AH2069" i="16"/>
  <c r="AG2070" i="16"/>
  <c r="AH2077" i="16"/>
  <c r="AG2078" i="16"/>
  <c r="AH2085" i="16"/>
  <c r="AG2086" i="16"/>
  <c r="AH2093" i="16"/>
  <c r="AG2094" i="16"/>
  <c r="AH2107" i="16"/>
  <c r="AH2109" i="16"/>
  <c r="AG2110" i="16"/>
  <c r="AH2123" i="16"/>
  <c r="AH2125" i="16"/>
  <c r="AH2131" i="16"/>
  <c r="AH2132" i="16"/>
  <c r="AG2132" i="16"/>
  <c r="AH2141" i="16"/>
  <c r="AG2141" i="16"/>
  <c r="AH2147" i="16"/>
  <c r="AH2148" i="16"/>
  <c r="AG2148" i="16"/>
  <c r="AH2157" i="16"/>
  <c r="AG2157" i="16"/>
  <c r="AH2163" i="16"/>
  <c r="AH2164" i="16"/>
  <c r="AG2164" i="16"/>
  <c r="AH2173" i="16"/>
  <c r="AG2173" i="16"/>
  <c r="AH2179" i="16"/>
  <c r="AH2180" i="16"/>
  <c r="AG2180" i="16"/>
  <c r="AH2189" i="16"/>
  <c r="AG2189" i="16"/>
  <c r="AH2195" i="16"/>
  <c r="AH2196" i="16"/>
  <c r="AG2196" i="16"/>
  <c r="AH2205" i="16"/>
  <c r="AG2205" i="16"/>
  <c r="AH2206" i="16"/>
  <c r="AH2209" i="16"/>
  <c r="AG2209" i="16"/>
  <c r="AH2210" i="16"/>
  <c r="AH2213" i="16"/>
  <c r="AG2213" i="16"/>
  <c r="AH2214" i="16"/>
  <c r="AH2217" i="16"/>
  <c r="AG2217" i="16"/>
  <c r="AH2218" i="16"/>
  <c r="AH2221" i="16"/>
  <c r="AG2221" i="16"/>
  <c r="AH2222" i="16"/>
  <c r="AH2225" i="16"/>
  <c r="AG2225" i="16"/>
  <c r="AH2226" i="16"/>
  <c r="AH2229" i="16"/>
  <c r="AG2229" i="16"/>
  <c r="AH2230" i="16"/>
  <c r="AG2233" i="16"/>
  <c r="AH2234" i="16"/>
  <c r="AG2237" i="16"/>
  <c r="AH2238" i="16"/>
  <c r="AG2241" i="16"/>
  <c r="AH2242" i="16"/>
  <c r="AG2245" i="16"/>
  <c r="AH2246" i="16"/>
  <c r="AG2249" i="16"/>
  <c r="AH2250" i="16"/>
  <c r="AG2253" i="16"/>
  <c r="AH2254" i="16"/>
  <c r="AG2257" i="16"/>
  <c r="AH2258" i="16"/>
  <c r="AG2261" i="16"/>
  <c r="AH2262" i="16"/>
  <c r="AG2265" i="16"/>
  <c r="AH2266" i="16"/>
  <c r="AH2270" i="16"/>
  <c r="AH2274" i="16"/>
  <c r="AH2278" i="16"/>
  <c r="AH2282" i="16"/>
  <c r="AH2286" i="16"/>
  <c r="AH2290" i="16"/>
  <c r="AH2294" i="16"/>
  <c r="AH2298" i="16"/>
  <c r="AH2302" i="16"/>
  <c r="AH2306" i="16"/>
  <c r="AH2310" i="16"/>
  <c r="AH2314" i="16"/>
  <c r="AH2318" i="16"/>
  <c r="AH2322" i="16"/>
  <c r="AH2326" i="16"/>
  <c r="AH2330" i="16"/>
  <c r="AH2334" i="16"/>
  <c r="AH2338" i="16"/>
  <c r="AH2342" i="16"/>
  <c r="AH2346" i="16"/>
  <c r="AH2350" i="16"/>
  <c r="AH2354" i="16"/>
  <c r="AH2358" i="16"/>
  <c r="AH2362" i="16"/>
  <c r="AH2366" i="16"/>
  <c r="AH2370" i="16"/>
  <c r="AH2374" i="16"/>
  <c r="AH2378" i="16"/>
  <c r="AH2382" i="16"/>
  <c r="AH2386" i="16"/>
  <c r="AH2390" i="16"/>
  <c r="AH2394" i="16"/>
  <c r="AH2398" i="16"/>
  <c r="AH2402" i="16"/>
  <c r="AH2406" i="16"/>
  <c r="AH2410" i="16"/>
  <c r="AH2414" i="16"/>
  <c r="AG2108" i="16"/>
  <c r="AG2124" i="16"/>
  <c r="AG2134" i="16"/>
  <c r="AH2134" i="16"/>
  <c r="AG2135" i="16"/>
  <c r="AG2150" i="16"/>
  <c r="AH2150" i="16"/>
  <c r="AG2151" i="16"/>
  <c r="AG2166" i="16"/>
  <c r="AH2166" i="16"/>
  <c r="AG2167" i="16"/>
  <c r="AG2182" i="16"/>
  <c r="AH2182" i="16"/>
  <c r="AG2183" i="16"/>
  <c r="AG2198" i="16"/>
  <c r="AH2198" i="16"/>
  <c r="AG2199" i="16"/>
  <c r="AH2422" i="16"/>
  <c r="AG2422" i="16"/>
  <c r="AH2433" i="16"/>
  <c r="AH2438" i="16"/>
  <c r="AG2438" i="16"/>
  <c r="AH2449" i="16"/>
  <c r="AH2454" i="16"/>
  <c r="AG2454" i="16"/>
  <c r="AH2465" i="16"/>
  <c r="AH2470" i="16"/>
  <c r="AG2470" i="16"/>
  <c r="AH2481" i="16"/>
  <c r="AH2486" i="16"/>
  <c r="AG2486" i="16"/>
  <c r="AH2497" i="16"/>
  <c r="AG2500" i="16"/>
  <c r="AG2506" i="16"/>
  <c r="AH2510" i="16"/>
  <c r="AG2510" i="16"/>
  <c r="AH2533" i="16"/>
  <c r="AG2538" i="16"/>
  <c r="AH2542" i="16"/>
  <c r="AG2542" i="16"/>
  <c r="AH2565" i="16"/>
  <c r="AG2570" i="16"/>
  <c r="AH2574" i="16"/>
  <c r="AG2574" i="16"/>
  <c r="AH2597" i="16"/>
  <c r="AG2602" i="16"/>
  <c r="AH2606" i="16"/>
  <c r="AG2606" i="16"/>
  <c r="AG2998" i="16"/>
  <c r="AH1881" i="16"/>
  <c r="AG1882" i="16"/>
  <c r="AH1889" i="16"/>
  <c r="AG1890" i="16"/>
  <c r="AH1897" i="16"/>
  <c r="AG1898" i="16"/>
  <c r="AH1905" i="16"/>
  <c r="AG1906" i="16"/>
  <c r="AH1913" i="16"/>
  <c r="AG1914" i="16"/>
  <c r="AH1921" i="16"/>
  <c r="AG1922" i="16"/>
  <c r="AH1929" i="16"/>
  <c r="AG1930" i="16"/>
  <c r="AH1937" i="16"/>
  <c r="AG1938" i="16"/>
  <c r="AH1945" i="16"/>
  <c r="AG1946" i="16"/>
  <c r="AH1953" i="16"/>
  <c r="AG1954" i="16"/>
  <c r="AH1961" i="16"/>
  <c r="AG1962" i="16"/>
  <c r="AH1969" i="16"/>
  <c r="AG1970" i="16"/>
  <c r="AH1977" i="16"/>
  <c r="AG1978" i="16"/>
  <c r="AH1985" i="16"/>
  <c r="AG1986" i="16"/>
  <c r="AH1993" i="16"/>
  <c r="AG1994" i="16"/>
  <c r="AH2001" i="16"/>
  <c r="AG2002" i="16"/>
  <c r="AH2009" i="16"/>
  <c r="AG2010" i="16"/>
  <c r="AH2017" i="16"/>
  <c r="AG2018" i="16"/>
  <c r="AH2025" i="16"/>
  <c r="AG2026" i="16"/>
  <c r="AH2033" i="16"/>
  <c r="AG2034" i="16"/>
  <c r="AH2041" i="16"/>
  <c r="AG2042" i="16"/>
  <c r="AH2049" i="16"/>
  <c r="AG2050" i="16"/>
  <c r="AH2057" i="16"/>
  <c r="AG2058" i="16"/>
  <c r="AH2065" i="16"/>
  <c r="AG2066" i="16"/>
  <c r="AH2073" i="16"/>
  <c r="AG2074" i="16"/>
  <c r="AH2081" i="16"/>
  <c r="AG2082" i="16"/>
  <c r="AH2089" i="16"/>
  <c r="AG2090" i="16"/>
  <c r="AH2099" i="16"/>
  <c r="AH2101" i="16"/>
  <c r="AG2102" i="16"/>
  <c r="AH2115" i="16"/>
  <c r="AH2117" i="16"/>
  <c r="AG2118" i="16"/>
  <c r="AH2133" i="16"/>
  <c r="AG2133" i="16"/>
  <c r="AH2139" i="16"/>
  <c r="AH2140" i="16"/>
  <c r="AG2140" i="16"/>
  <c r="AH2149" i="16"/>
  <c r="AG2149" i="16"/>
  <c r="AH2155" i="16"/>
  <c r="AH2156" i="16"/>
  <c r="AG2156" i="16"/>
  <c r="AH2165" i="16"/>
  <c r="AG2165" i="16"/>
  <c r="AH2171" i="16"/>
  <c r="AH2172" i="16"/>
  <c r="AG2172" i="16"/>
  <c r="AH2181" i="16"/>
  <c r="AG2181" i="16"/>
  <c r="AH2187" i="16"/>
  <c r="AH2188" i="16"/>
  <c r="AG2188" i="16"/>
  <c r="AH2197" i="16"/>
  <c r="AG2197" i="16"/>
  <c r="AH2203" i="16"/>
  <c r="AH2204" i="16"/>
  <c r="AG2204" i="16"/>
  <c r="AH2207" i="16"/>
  <c r="AG2207" i="16"/>
  <c r="AG2208" i="16"/>
  <c r="AH2208" i="16"/>
  <c r="AH2211" i="16"/>
  <c r="AG2211" i="16"/>
  <c r="AG2212" i="16"/>
  <c r="AH2212" i="16"/>
  <c r="AH2215" i="16"/>
  <c r="AG2215" i="16"/>
  <c r="AG2216" i="16"/>
  <c r="AH2216" i="16"/>
  <c r="AH2219" i="16"/>
  <c r="AG2219" i="16"/>
  <c r="AG2220" i="16"/>
  <c r="AH2220" i="16"/>
  <c r="AH2223" i="16"/>
  <c r="AG2223" i="16"/>
  <c r="AG2224" i="16"/>
  <c r="AH2224" i="16"/>
  <c r="AH2227" i="16"/>
  <c r="AG2227" i="16"/>
  <c r="AG2228" i="16"/>
  <c r="AH2228" i="16"/>
  <c r="AH2231" i="16"/>
  <c r="AG2231" i="16"/>
  <c r="AG2232" i="16"/>
  <c r="AH2232" i="16"/>
  <c r="AG2235" i="16"/>
  <c r="AG2236" i="16"/>
  <c r="AH2236" i="16"/>
  <c r="AG2239" i="16"/>
  <c r="AG2240" i="16"/>
  <c r="AH2240" i="16"/>
  <c r="AG2243" i="16"/>
  <c r="AG2244" i="16"/>
  <c r="AH2244" i="16"/>
  <c r="AG2247" i="16"/>
  <c r="AG2248" i="16"/>
  <c r="AH2248" i="16"/>
  <c r="AG2251" i="16"/>
  <c r="AG2252" i="16"/>
  <c r="AH2252" i="16"/>
  <c r="AG2255" i="16"/>
  <c r="AG2256" i="16"/>
  <c r="AH2256" i="16"/>
  <c r="AG2259" i="16"/>
  <c r="AG2260" i="16"/>
  <c r="AH2260" i="16"/>
  <c r="AG2263" i="16"/>
  <c r="AG2264" i="16"/>
  <c r="AH2264" i="16"/>
  <c r="AG2267" i="16"/>
  <c r="AG2268" i="16"/>
  <c r="AH2268" i="16"/>
  <c r="AG2272" i="16"/>
  <c r="AH2272" i="16"/>
  <c r="AG2276" i="16"/>
  <c r="AH2276" i="16"/>
  <c r="AG2280" i="16"/>
  <c r="AH2280" i="16"/>
  <c r="AG2284" i="16"/>
  <c r="AH2284" i="16"/>
  <c r="AG2288" i="16"/>
  <c r="AH2288" i="16"/>
  <c r="AG2292" i="16"/>
  <c r="AH2292" i="16"/>
  <c r="AG2296" i="16"/>
  <c r="AH2296" i="16"/>
  <c r="AG2300" i="16"/>
  <c r="AH2300" i="16"/>
  <c r="AG2304" i="16"/>
  <c r="AH2304" i="16"/>
  <c r="AG2308" i="16"/>
  <c r="AH2308" i="16"/>
  <c r="AG2312" i="16"/>
  <c r="AH2312" i="16"/>
  <c r="AG2316" i="16"/>
  <c r="AH2316" i="16"/>
  <c r="AG2320" i="16"/>
  <c r="AH2320" i="16"/>
  <c r="AG2324" i="16"/>
  <c r="AH2324" i="16"/>
  <c r="AG2328" i="16"/>
  <c r="AH2328" i="16"/>
  <c r="AG2332" i="16"/>
  <c r="AH2332" i="16"/>
  <c r="AG2336" i="16"/>
  <c r="AH2336" i="16"/>
  <c r="AG2340" i="16"/>
  <c r="AH2340" i="16"/>
  <c r="AG2344" i="16"/>
  <c r="AH2344" i="16"/>
  <c r="AG2348" i="16"/>
  <c r="AH2348" i="16"/>
  <c r="AG2352" i="16"/>
  <c r="AH2352" i="16"/>
  <c r="AG2356" i="16"/>
  <c r="AH2356" i="16"/>
  <c r="AG2360" i="16"/>
  <c r="AH2360" i="16"/>
  <c r="AG2364" i="16"/>
  <c r="AH2364" i="16"/>
  <c r="AG2368" i="16"/>
  <c r="AH2368" i="16"/>
  <c r="AG2372" i="16"/>
  <c r="AH2372" i="16"/>
  <c r="AG2376" i="16"/>
  <c r="AH2376" i="16"/>
  <c r="AG2380" i="16"/>
  <c r="AH2380" i="16"/>
  <c r="AG2384" i="16"/>
  <c r="AH2384" i="16"/>
  <c r="AG2388" i="16"/>
  <c r="AH2388" i="16"/>
  <c r="AG2392" i="16"/>
  <c r="AH2392" i="16"/>
  <c r="AG2396" i="16"/>
  <c r="AH2396" i="16"/>
  <c r="AG2400" i="16"/>
  <c r="AH2400" i="16"/>
  <c r="AG2404" i="16"/>
  <c r="AH2404" i="16"/>
  <c r="AG2408" i="16"/>
  <c r="AH2408" i="16"/>
  <c r="AG2412" i="16"/>
  <c r="AH2412" i="16"/>
  <c r="AG2416" i="16"/>
  <c r="AH2416" i="16"/>
  <c r="AH2097" i="16"/>
  <c r="AG2098" i="16"/>
  <c r="AH2105" i="16"/>
  <c r="AG2106" i="16"/>
  <c r="AH2113" i="16"/>
  <c r="AG2114" i="16"/>
  <c r="AH2121" i="16"/>
  <c r="AG2122" i="16"/>
  <c r="AH2129" i="16"/>
  <c r="AG2130" i="16"/>
  <c r="AH2137" i="16"/>
  <c r="AG2138" i="16"/>
  <c r="AH2145" i="16"/>
  <c r="AG2146" i="16"/>
  <c r="AH2153" i="16"/>
  <c r="AG2154" i="16"/>
  <c r="AH2161" i="16"/>
  <c r="AG2162" i="16"/>
  <c r="AH2169" i="16"/>
  <c r="AG2170" i="16"/>
  <c r="AH2177" i="16"/>
  <c r="AG2178" i="16"/>
  <c r="AH2185" i="16"/>
  <c r="AG2186" i="16"/>
  <c r="AH2193" i="16"/>
  <c r="AG2194" i="16"/>
  <c r="AH2201" i="16"/>
  <c r="AG2202" i="16"/>
  <c r="AG2419" i="16"/>
  <c r="AH2419" i="16"/>
  <c r="AG2420" i="16"/>
  <c r="AG2427" i="16"/>
  <c r="AH2427" i="16"/>
  <c r="AG2428" i="16"/>
  <c r="AG2435" i="16"/>
  <c r="AH2435" i="16"/>
  <c r="AG2436" i="16"/>
  <c r="AG2443" i="16"/>
  <c r="AH2443" i="16"/>
  <c r="AG2444" i="16"/>
  <c r="AG2451" i="16"/>
  <c r="AH2451" i="16"/>
  <c r="AG2452" i="16"/>
  <c r="AG2459" i="16"/>
  <c r="AH2459" i="16"/>
  <c r="AG2460" i="16"/>
  <c r="AG2467" i="16"/>
  <c r="AH2467" i="16"/>
  <c r="AG2468" i="16"/>
  <c r="AG2475" i="16"/>
  <c r="AH2475" i="16"/>
  <c r="AG2476" i="16"/>
  <c r="AG2483" i="16"/>
  <c r="AH2483" i="16"/>
  <c r="AG2484" i="16"/>
  <c r="AG2491" i="16"/>
  <c r="AH2491" i="16"/>
  <c r="AG2492" i="16"/>
  <c r="AG2499" i="16"/>
  <c r="AH2499" i="16"/>
  <c r="AG2503" i="16"/>
  <c r="AH2503" i="16"/>
  <c r="AH2515" i="16"/>
  <c r="AG2519" i="16"/>
  <c r="AH2519" i="16"/>
  <c r="AG2520" i="16"/>
  <c r="AH2531" i="16"/>
  <c r="AG2535" i="16"/>
  <c r="AH2535" i="16"/>
  <c r="AG2536" i="16"/>
  <c r="AH2547" i="16"/>
  <c r="AG2551" i="16"/>
  <c r="AH2551" i="16"/>
  <c r="AG2552" i="16"/>
  <c r="AH2563" i="16"/>
  <c r="AG2567" i="16"/>
  <c r="AH2567" i="16"/>
  <c r="AG2568" i="16"/>
  <c r="AH2579" i="16"/>
  <c r="AG2583" i="16"/>
  <c r="AH2583" i="16"/>
  <c r="AG2584" i="16"/>
  <c r="AH2595" i="16"/>
  <c r="AG2599" i="16"/>
  <c r="AH2599" i="16"/>
  <c r="AG2600" i="16"/>
  <c r="AH2611" i="16"/>
  <c r="AG2615" i="16"/>
  <c r="AH2615" i="16"/>
  <c r="AG2616" i="16"/>
  <c r="AH2418" i="16"/>
  <c r="AG2418" i="16"/>
  <c r="AH2426" i="16"/>
  <c r="AG2426" i="16"/>
  <c r="AH2434" i="16"/>
  <c r="AG2434" i="16"/>
  <c r="AH2442" i="16"/>
  <c r="AG2442" i="16"/>
  <c r="AH2450" i="16"/>
  <c r="AG2450" i="16"/>
  <c r="AH2458" i="16"/>
  <c r="AG2458" i="16"/>
  <c r="AH2466" i="16"/>
  <c r="AG2466" i="16"/>
  <c r="AH2474" i="16"/>
  <c r="AG2474" i="16"/>
  <c r="AH2482" i="16"/>
  <c r="AG2482" i="16"/>
  <c r="AH2490" i="16"/>
  <c r="AG2490" i="16"/>
  <c r="AH2498" i="16"/>
  <c r="AG2498" i="16"/>
  <c r="AH2502" i="16"/>
  <c r="AG2502" i="16"/>
  <c r="AH2505" i="16"/>
  <c r="AG2508" i="16"/>
  <c r="AH2509" i="16"/>
  <c r="AG2514" i="16"/>
  <c r="AH2518" i="16"/>
  <c r="AG2518" i="16"/>
  <c r="AH2525" i="16"/>
  <c r="AG2530" i="16"/>
  <c r="AH2534" i="16"/>
  <c r="AG2534" i="16"/>
  <c r="AH2541" i="16"/>
  <c r="AG2546" i="16"/>
  <c r="AH2550" i="16"/>
  <c r="AG2550" i="16"/>
  <c r="AH2557" i="16"/>
  <c r="AG2562" i="16"/>
  <c r="AH2566" i="16"/>
  <c r="AG2566" i="16"/>
  <c r="AH2573" i="16"/>
  <c r="AG2578" i="16"/>
  <c r="AH2582" i="16"/>
  <c r="AG2582" i="16"/>
  <c r="AH2589" i="16"/>
  <c r="AG2594" i="16"/>
  <c r="AH2598" i="16"/>
  <c r="AG2598" i="16"/>
  <c r="AH2605" i="16"/>
  <c r="AG2610" i="16"/>
  <c r="AH2614" i="16"/>
  <c r="AG2614" i="16"/>
  <c r="AG2620" i="16"/>
  <c r="AG2624" i="16"/>
  <c r="AG2628" i="16"/>
  <c r="AG2632" i="16"/>
  <c r="AG2636" i="16"/>
  <c r="AH2640" i="16"/>
  <c r="AG2640" i="16"/>
  <c r="AH2648" i="16"/>
  <c r="AG2648" i="16"/>
  <c r="AH2656" i="16"/>
  <c r="AG2656" i="16"/>
  <c r="AH2664" i="16"/>
  <c r="AG2664" i="16"/>
  <c r="AH2672" i="16"/>
  <c r="AG2672" i="16"/>
  <c r="AH2680" i="16"/>
  <c r="AG2680" i="16"/>
  <c r="AH2688" i="16"/>
  <c r="AG2688" i="16"/>
  <c r="AH2696" i="16"/>
  <c r="AG2696" i="16"/>
  <c r="AH2704" i="16"/>
  <c r="AG2704" i="16"/>
  <c r="AH2712" i="16"/>
  <c r="AG2712" i="16"/>
  <c r="AH2720" i="16"/>
  <c r="AG2720" i="16"/>
  <c r="AG2845" i="16"/>
  <c r="AG2861" i="16"/>
  <c r="AG2966" i="16"/>
  <c r="AG3030" i="16"/>
  <c r="AG3094" i="16"/>
  <c r="AH3103" i="16"/>
  <c r="AG3106" i="16"/>
  <c r="AG3112" i="16"/>
  <c r="AH3116" i="16"/>
  <c r="AG3116" i="16"/>
  <c r="AH2233" i="16"/>
  <c r="AG2234" i="16"/>
  <c r="AH2235" i="16"/>
  <c r="AH2237" i="16"/>
  <c r="AG2238" i="16"/>
  <c r="AH2239" i="16"/>
  <c r="AH2241" i="16"/>
  <c r="AG2242" i="16"/>
  <c r="AH2243" i="16"/>
  <c r="AH2245" i="16"/>
  <c r="AG2246" i="16"/>
  <c r="AH2247" i="16"/>
  <c r="AH2249" i="16"/>
  <c r="AG2250" i="16"/>
  <c r="AH2251" i="16"/>
  <c r="AH2253" i="16"/>
  <c r="AG2254" i="16"/>
  <c r="AH2255" i="16"/>
  <c r="AH2257" i="16"/>
  <c r="AG2258" i="16"/>
  <c r="AH2259" i="16"/>
  <c r="AH2261" i="16"/>
  <c r="AG2262" i="16"/>
  <c r="AH2263" i="16"/>
  <c r="AH2265" i="16"/>
  <c r="AG2266" i="16"/>
  <c r="AH2267" i="16"/>
  <c r="AH2269" i="16"/>
  <c r="AG2270" i="16"/>
  <c r="AH2271" i="16"/>
  <c r="AH2273" i="16"/>
  <c r="AG2274" i="16"/>
  <c r="AH2275" i="16"/>
  <c r="AH2277" i="16"/>
  <c r="AG2278" i="16"/>
  <c r="AH2279" i="16"/>
  <c r="AH2281" i="16"/>
  <c r="AG2282" i="16"/>
  <c r="AH2283" i="16"/>
  <c r="AH2285" i="16"/>
  <c r="AG2286" i="16"/>
  <c r="AH2287" i="16"/>
  <c r="AH2289" i="16"/>
  <c r="AG2290" i="16"/>
  <c r="AH2291" i="16"/>
  <c r="AH2293" i="16"/>
  <c r="AG2294" i="16"/>
  <c r="AH2295" i="16"/>
  <c r="AH2297" i="16"/>
  <c r="AG2298" i="16"/>
  <c r="AH2299" i="16"/>
  <c r="AH2301" i="16"/>
  <c r="AG2302" i="16"/>
  <c r="AH2303" i="16"/>
  <c r="AH2305" i="16"/>
  <c r="AG2306" i="16"/>
  <c r="AH2307" i="16"/>
  <c r="AH2309" i="16"/>
  <c r="AG2310" i="16"/>
  <c r="AH2311" i="16"/>
  <c r="AH2313" i="16"/>
  <c r="AG2314" i="16"/>
  <c r="AH2315" i="16"/>
  <c r="AH2317" i="16"/>
  <c r="AG2318" i="16"/>
  <c r="AH2319" i="16"/>
  <c r="AH2321" i="16"/>
  <c r="AG2322" i="16"/>
  <c r="AH2323" i="16"/>
  <c r="AH2325" i="16"/>
  <c r="AG2326" i="16"/>
  <c r="AH2327" i="16"/>
  <c r="AH2329" i="16"/>
  <c r="AG2330" i="16"/>
  <c r="AH2331" i="16"/>
  <c r="AH2333" i="16"/>
  <c r="AG2334" i="16"/>
  <c r="AH2335" i="16"/>
  <c r="AH2337" i="16"/>
  <c r="AG2338" i="16"/>
  <c r="AH2339" i="16"/>
  <c r="AH2341" i="16"/>
  <c r="AG2342" i="16"/>
  <c r="AH2343" i="16"/>
  <c r="AH2345" i="16"/>
  <c r="AG2346" i="16"/>
  <c r="AH2347" i="16"/>
  <c r="AH2349" i="16"/>
  <c r="AG2350" i="16"/>
  <c r="AH2351" i="16"/>
  <c r="AH2353" i="16"/>
  <c r="AG2354" i="16"/>
  <c r="AH2355" i="16"/>
  <c r="AH2357" i="16"/>
  <c r="AG2358" i="16"/>
  <c r="AH2359" i="16"/>
  <c r="AH2361" i="16"/>
  <c r="AG2362" i="16"/>
  <c r="AH2363" i="16"/>
  <c r="AH2365" i="16"/>
  <c r="AG2366" i="16"/>
  <c r="AH2367" i="16"/>
  <c r="AH2369" i="16"/>
  <c r="AG2370" i="16"/>
  <c r="AH2371" i="16"/>
  <c r="AH2373" i="16"/>
  <c r="AG2374" i="16"/>
  <c r="AH2375" i="16"/>
  <c r="AH2377" i="16"/>
  <c r="AG2378" i="16"/>
  <c r="AH2379" i="16"/>
  <c r="AH2381" i="16"/>
  <c r="AG2382" i="16"/>
  <c r="AH2383" i="16"/>
  <c r="AH2385" i="16"/>
  <c r="AG2386" i="16"/>
  <c r="AH2387" i="16"/>
  <c r="AH2389" i="16"/>
  <c r="AG2390" i="16"/>
  <c r="AH2391" i="16"/>
  <c r="AH2393" i="16"/>
  <c r="AG2394" i="16"/>
  <c r="AH2395" i="16"/>
  <c r="AH2397" i="16"/>
  <c r="AG2398" i="16"/>
  <c r="AH2399" i="16"/>
  <c r="AH2401" i="16"/>
  <c r="AG2402" i="16"/>
  <c r="AH2403" i="16"/>
  <c r="AH2405" i="16"/>
  <c r="AG2406" i="16"/>
  <c r="AH2407" i="16"/>
  <c r="AH2409" i="16"/>
  <c r="AG2410" i="16"/>
  <c r="AH2411" i="16"/>
  <c r="AH2413" i="16"/>
  <c r="AG2414" i="16"/>
  <c r="AH2415" i="16"/>
  <c r="AH2417" i="16"/>
  <c r="AG2423" i="16"/>
  <c r="AH2423" i="16"/>
  <c r="AG2431" i="16"/>
  <c r="AH2431" i="16"/>
  <c r="AG2439" i="16"/>
  <c r="AH2439" i="16"/>
  <c r="AG2447" i="16"/>
  <c r="AH2447" i="16"/>
  <c r="AG2455" i="16"/>
  <c r="AH2455" i="16"/>
  <c r="AG2463" i="16"/>
  <c r="AH2463" i="16"/>
  <c r="AG2471" i="16"/>
  <c r="AH2471" i="16"/>
  <c r="AG2479" i="16"/>
  <c r="AH2479" i="16"/>
  <c r="AG2487" i="16"/>
  <c r="AH2487" i="16"/>
  <c r="AG2495" i="16"/>
  <c r="AH2495" i="16"/>
  <c r="AH2507" i="16"/>
  <c r="AG2511" i="16"/>
  <c r="AH2511" i="16"/>
  <c r="AG2512" i="16"/>
  <c r="AH2523" i="16"/>
  <c r="AG2527" i="16"/>
  <c r="AH2527" i="16"/>
  <c r="AG2528" i="16"/>
  <c r="AH2539" i="16"/>
  <c r="AG2543" i="16"/>
  <c r="AH2543" i="16"/>
  <c r="AG2544" i="16"/>
  <c r="AH2555" i="16"/>
  <c r="AG2559" i="16"/>
  <c r="AH2559" i="16"/>
  <c r="AG2560" i="16"/>
  <c r="AH2571" i="16"/>
  <c r="AG2575" i="16"/>
  <c r="AH2575" i="16"/>
  <c r="AG2576" i="16"/>
  <c r="AH2587" i="16"/>
  <c r="AG2591" i="16"/>
  <c r="AH2591" i="16"/>
  <c r="AG2592" i="16"/>
  <c r="AH2603" i="16"/>
  <c r="AG2607" i="16"/>
  <c r="AH2607" i="16"/>
  <c r="AG2608" i="16"/>
  <c r="AH2619" i="16"/>
  <c r="AG2639" i="16"/>
  <c r="AG2641" i="16"/>
  <c r="AG2647" i="16"/>
  <c r="AG2649" i="16"/>
  <c r="AG2655" i="16"/>
  <c r="AG2657" i="16"/>
  <c r="AG2663" i="16"/>
  <c r="AG2665" i="16"/>
  <c r="AG2671" i="16"/>
  <c r="AG2673" i="16"/>
  <c r="AG2679" i="16"/>
  <c r="AG2681" i="16"/>
  <c r="AG2687" i="16"/>
  <c r="AG2689" i="16"/>
  <c r="AG2695" i="16"/>
  <c r="AG2697" i="16"/>
  <c r="AG2703" i="16"/>
  <c r="AG2705" i="16"/>
  <c r="AG2711" i="16"/>
  <c r="AG2713" i="16"/>
  <c r="AG2719" i="16"/>
  <c r="AG2721" i="16"/>
  <c r="AH2725" i="16"/>
  <c r="AG2725" i="16"/>
  <c r="AH2728" i="16"/>
  <c r="AH2731" i="16"/>
  <c r="AG2737" i="16"/>
  <c r="AH2741" i="16"/>
  <c r="AG2741" i="16"/>
  <c r="AH2744" i="16"/>
  <c r="AH2747" i="16"/>
  <c r="AG2753" i="16"/>
  <c r="AH2757" i="16"/>
  <c r="AG2757" i="16"/>
  <c r="AH2760" i="16"/>
  <c r="AH2763" i="16"/>
  <c r="AG2852" i="16"/>
  <c r="AG2856" i="16"/>
  <c r="AG2868" i="16"/>
  <c r="AG2872" i="16"/>
  <c r="AH2506" i="16"/>
  <c r="AG2507" i="16"/>
  <c r="AH2514" i="16"/>
  <c r="AG2515" i="16"/>
  <c r="AH2522" i="16"/>
  <c r="AG2523" i="16"/>
  <c r="AH2530" i="16"/>
  <c r="AG2531" i="16"/>
  <c r="AH2538" i="16"/>
  <c r="AG2539" i="16"/>
  <c r="AH2546" i="16"/>
  <c r="AG2547" i="16"/>
  <c r="AH2554" i="16"/>
  <c r="AG2555" i="16"/>
  <c r="AH2562" i="16"/>
  <c r="AG2563" i="16"/>
  <c r="AH2570" i="16"/>
  <c r="AG2571" i="16"/>
  <c r="AH2578" i="16"/>
  <c r="AG2579" i="16"/>
  <c r="AH2586" i="16"/>
  <c r="AG2587" i="16"/>
  <c r="AH2594" i="16"/>
  <c r="AG2595" i="16"/>
  <c r="AH2602" i="16"/>
  <c r="AG2603" i="16"/>
  <c r="AH2610" i="16"/>
  <c r="AG2611" i="16"/>
  <c r="AH2618" i="16"/>
  <c r="AG2619" i="16"/>
  <c r="AH2620" i="16"/>
  <c r="AH2622" i="16"/>
  <c r="AG2623" i="16"/>
  <c r="AH2624" i="16"/>
  <c r="AH2626" i="16"/>
  <c r="AG2627" i="16"/>
  <c r="AH2628" i="16"/>
  <c r="AH2630" i="16"/>
  <c r="AG2631" i="16"/>
  <c r="AH2632" i="16"/>
  <c r="AH2634" i="16"/>
  <c r="AG2635" i="16"/>
  <c r="AH2636" i="16"/>
  <c r="AH2638" i="16"/>
  <c r="AH2639" i="16"/>
  <c r="AH2644" i="16"/>
  <c r="AG2644" i="16"/>
  <c r="AH2646" i="16"/>
  <c r="AH2647" i="16"/>
  <c r="AH2652" i="16"/>
  <c r="AG2652" i="16"/>
  <c r="AH2654" i="16"/>
  <c r="AH2655" i="16"/>
  <c r="AH2660" i="16"/>
  <c r="AG2660" i="16"/>
  <c r="AH2662" i="16"/>
  <c r="AH2663" i="16"/>
  <c r="AH2668" i="16"/>
  <c r="AG2668" i="16"/>
  <c r="AH2670" i="16"/>
  <c r="AH2671" i="16"/>
  <c r="AH2676" i="16"/>
  <c r="AG2676" i="16"/>
  <c r="AH2678" i="16"/>
  <c r="AH2679" i="16"/>
  <c r="AH2684" i="16"/>
  <c r="AG2684" i="16"/>
  <c r="AH2686" i="16"/>
  <c r="AH2687" i="16"/>
  <c r="AH2692" i="16"/>
  <c r="AG2692" i="16"/>
  <c r="AH2694" i="16"/>
  <c r="AH2695" i="16"/>
  <c r="AH2700" i="16"/>
  <c r="AG2700" i="16"/>
  <c r="AH2702" i="16"/>
  <c r="AH2703" i="16"/>
  <c r="AH2708" i="16"/>
  <c r="AG2708" i="16"/>
  <c r="AH2710" i="16"/>
  <c r="AH2711" i="16"/>
  <c r="AH2716" i="16"/>
  <c r="AG2716" i="16"/>
  <c r="AH2718" i="16"/>
  <c r="AH2719" i="16"/>
  <c r="AH2724" i="16"/>
  <c r="AG2724" i="16"/>
  <c r="AH2730" i="16"/>
  <c r="AG2734" i="16"/>
  <c r="AH2734" i="16"/>
  <c r="AH2746" i="16"/>
  <c r="AG2750" i="16"/>
  <c r="AH2750" i="16"/>
  <c r="AH2762" i="16"/>
  <c r="AH2766" i="16"/>
  <c r="AG2982" i="16"/>
  <c r="AG3014" i="16"/>
  <c r="AG3046" i="16"/>
  <c r="AG3078" i="16"/>
  <c r="AH3135" i="16"/>
  <c r="AG3138" i="16"/>
  <c r="AG3144" i="16"/>
  <c r="AH3148" i="16"/>
  <c r="AG3148" i="16"/>
  <c r="AG2621" i="16"/>
  <c r="AG2625" i="16"/>
  <c r="AG2629" i="16"/>
  <c r="AG2633" i="16"/>
  <c r="AG2637" i="16"/>
  <c r="AG2643" i="16"/>
  <c r="AG2645" i="16"/>
  <c r="AG2651" i="16"/>
  <c r="AG2653" i="16"/>
  <c r="AG2659" i="16"/>
  <c r="AG2661" i="16"/>
  <c r="AG2667" i="16"/>
  <c r="AG2669" i="16"/>
  <c r="AG2675" i="16"/>
  <c r="AG2677" i="16"/>
  <c r="AG2683" i="16"/>
  <c r="AG2685" i="16"/>
  <c r="AG2691" i="16"/>
  <c r="AG2693" i="16"/>
  <c r="AG2699" i="16"/>
  <c r="AG2701" i="16"/>
  <c r="AG2707" i="16"/>
  <c r="AG2709" i="16"/>
  <c r="AG2715" i="16"/>
  <c r="AG2717" i="16"/>
  <c r="AG2723" i="16"/>
  <c r="AG2729" i="16"/>
  <c r="AH2733" i="16"/>
  <c r="AG2733" i="16"/>
  <c r="AH2736" i="16"/>
  <c r="AH2739" i="16"/>
  <c r="AG2745" i="16"/>
  <c r="AH2749" i="16"/>
  <c r="AG2749" i="16"/>
  <c r="AH2752" i="16"/>
  <c r="AH2755" i="16"/>
  <c r="AG2761" i="16"/>
  <c r="AG2731" i="16"/>
  <c r="AG2739" i="16"/>
  <c r="AG2747" i="16"/>
  <c r="AG2755" i="16"/>
  <c r="AG2763" i="16"/>
  <c r="AH2768" i="16"/>
  <c r="AH2772" i="16"/>
  <c r="AH2776" i="16"/>
  <c r="AH2780" i="16"/>
  <c r="AH2784" i="16"/>
  <c r="AH2788" i="16"/>
  <c r="AH2792" i="16"/>
  <c r="AH2796" i="16"/>
  <c r="AH2800" i="16"/>
  <c r="AH2804" i="16"/>
  <c r="AH2808" i="16"/>
  <c r="AH2812" i="16"/>
  <c r="AH2816" i="16"/>
  <c r="AH2820" i="16"/>
  <c r="AH2824" i="16"/>
  <c r="AH2828" i="16"/>
  <c r="AH2832" i="16"/>
  <c r="AH2836" i="16"/>
  <c r="AH2840" i="16"/>
  <c r="AH2844" i="16"/>
  <c r="AH2847" i="16"/>
  <c r="AG2847" i="16"/>
  <c r="AH2849" i="16"/>
  <c r="AG2850" i="16"/>
  <c r="AH2854" i="16"/>
  <c r="AH2860" i="16"/>
  <c r="AH2863" i="16"/>
  <c r="AG2863" i="16"/>
  <c r="AH2865" i="16"/>
  <c r="AG2866" i="16"/>
  <c r="AH2870" i="16"/>
  <c r="AG2960" i="16"/>
  <c r="AG2976" i="16"/>
  <c r="AG2992" i="16"/>
  <c r="AG3008" i="16"/>
  <c r="AG3024" i="16"/>
  <c r="AG3040" i="16"/>
  <c r="AG3056" i="16"/>
  <c r="AG3072" i="16"/>
  <c r="AG3088" i="16"/>
  <c r="AH2729" i="16"/>
  <c r="AG2730" i="16"/>
  <c r="AH2737" i="16"/>
  <c r="AG2738" i="16"/>
  <c r="AH2745" i="16"/>
  <c r="AG2746" i="16"/>
  <c r="AH2753" i="16"/>
  <c r="AG2754" i="16"/>
  <c r="AH2761" i="16"/>
  <c r="AG2762" i="16"/>
  <c r="AG2848" i="16"/>
  <c r="AG2853" i="16"/>
  <c r="AG2864" i="16"/>
  <c r="AG2869" i="16"/>
  <c r="AG2958" i="16"/>
  <c r="AG2974" i="16"/>
  <c r="AG2990" i="16"/>
  <c r="AG3006" i="16"/>
  <c r="AG3022" i="16"/>
  <c r="AG3038" i="16"/>
  <c r="AG3054" i="16"/>
  <c r="AG3070" i="16"/>
  <c r="AG3086" i="16"/>
  <c r="AH3100" i="16"/>
  <c r="AG3100" i="16"/>
  <c r="AH3119" i="16"/>
  <c r="AG3122" i="16"/>
  <c r="AG3128" i="16"/>
  <c r="AH3132" i="16"/>
  <c r="AG3132" i="16"/>
  <c r="AH3151" i="16"/>
  <c r="AG3154" i="16"/>
  <c r="AG3160" i="16"/>
  <c r="AH3164" i="16"/>
  <c r="AG3164" i="16"/>
  <c r="AH2765" i="16"/>
  <c r="AG2765" i="16"/>
  <c r="AG2766" i="16"/>
  <c r="AH2769" i="16"/>
  <c r="AG2769" i="16"/>
  <c r="AG2770" i="16"/>
  <c r="AH2773" i="16"/>
  <c r="AG2773" i="16"/>
  <c r="AG2774" i="16"/>
  <c r="AH2777" i="16"/>
  <c r="AG2777" i="16"/>
  <c r="AG2778" i="16"/>
  <c r="AH2781" i="16"/>
  <c r="AG2781" i="16"/>
  <c r="AG2782" i="16"/>
  <c r="AH2785" i="16"/>
  <c r="AG2785" i="16"/>
  <c r="AG2786" i="16"/>
  <c r="AH2789" i="16"/>
  <c r="AG2789" i="16"/>
  <c r="AG2790" i="16"/>
  <c r="AH2793" i="16"/>
  <c r="AG2793" i="16"/>
  <c r="AG2794" i="16"/>
  <c r="AH2797" i="16"/>
  <c r="AG2797" i="16"/>
  <c r="AG2798" i="16"/>
  <c r="AH2801" i="16"/>
  <c r="AG2801" i="16"/>
  <c r="AG2802" i="16"/>
  <c r="AH2805" i="16"/>
  <c r="AG2805" i="16"/>
  <c r="AG2806" i="16"/>
  <c r="AH2809" i="16"/>
  <c r="AG2809" i="16"/>
  <c r="AG2810" i="16"/>
  <c r="AH2813" i="16"/>
  <c r="AG2813" i="16"/>
  <c r="AG2814" i="16"/>
  <c r="AH2817" i="16"/>
  <c r="AG2817" i="16"/>
  <c r="AG2818" i="16"/>
  <c r="AH2821" i="16"/>
  <c r="AG2821" i="16"/>
  <c r="AG2822" i="16"/>
  <c r="AH2825" i="16"/>
  <c r="AG2825" i="16"/>
  <c r="AG2826" i="16"/>
  <c r="AH2829" i="16"/>
  <c r="AG2829" i="16"/>
  <c r="AG2830" i="16"/>
  <c r="AH2833" i="16"/>
  <c r="AG2833" i="16"/>
  <c r="AG2834" i="16"/>
  <c r="AH2837" i="16"/>
  <c r="AG2837" i="16"/>
  <c r="AG2838" i="16"/>
  <c r="AH2841" i="16"/>
  <c r="AG2841" i="16"/>
  <c r="AG2842" i="16"/>
  <c r="AH2846" i="16"/>
  <c r="AH2852" i="16"/>
  <c r="AH2855" i="16"/>
  <c r="AG2855" i="16"/>
  <c r="AH2857" i="16"/>
  <c r="AG2858" i="16"/>
  <c r="AH2862" i="16"/>
  <c r="AH2868" i="16"/>
  <c r="AH2871" i="16"/>
  <c r="AG2871" i="16"/>
  <c r="AH2873" i="16"/>
  <c r="AG2874" i="16"/>
  <c r="AH2875" i="16"/>
  <c r="AH2877" i="16"/>
  <c r="AG2878" i="16"/>
  <c r="AH2879" i="16"/>
  <c r="AH2881" i="16"/>
  <c r="AG2882" i="16"/>
  <c r="AH2883" i="16"/>
  <c r="AH2885" i="16"/>
  <c r="AG2886" i="16"/>
  <c r="AH2887" i="16"/>
  <c r="AH2889" i="16"/>
  <c r="AG2968" i="16"/>
  <c r="AG2984" i="16"/>
  <c r="AG3000" i="16"/>
  <c r="AG3016" i="16"/>
  <c r="AG3032" i="16"/>
  <c r="AG3048" i="16"/>
  <c r="AG3064" i="16"/>
  <c r="AG3080" i="16"/>
  <c r="AG3096" i="16"/>
  <c r="AG2890" i="16"/>
  <c r="AH2891" i="16"/>
  <c r="AH2893" i="16"/>
  <c r="AG2894" i="16"/>
  <c r="AH2895" i="16"/>
  <c r="AH2897" i="16"/>
  <c r="AG2898" i="16"/>
  <c r="AH2899" i="16"/>
  <c r="AH2901" i="16"/>
  <c r="AG2902" i="16"/>
  <c r="AH2903" i="16"/>
  <c r="AH2905" i="16"/>
  <c r="AG2906" i="16"/>
  <c r="AH2907" i="16"/>
  <c r="AH2909" i="16"/>
  <c r="AG2910" i="16"/>
  <c r="AH2911" i="16"/>
  <c r="AH2913" i="16"/>
  <c r="AG2914" i="16"/>
  <c r="AH2915" i="16"/>
  <c r="AH2917" i="16"/>
  <c r="AG2918" i="16"/>
  <c r="AH2919" i="16"/>
  <c r="AH2921" i="16"/>
  <c r="AG2922" i="16"/>
  <c r="AH2923" i="16"/>
  <c r="AH2925" i="16"/>
  <c r="AG2926" i="16"/>
  <c r="AH2927" i="16"/>
  <c r="AH2929" i="16"/>
  <c r="AG2930" i="16"/>
  <c r="AH2931" i="16"/>
  <c r="AH2933" i="16"/>
  <c r="AG2934" i="16"/>
  <c r="AH2935" i="16"/>
  <c r="AH2937" i="16"/>
  <c r="AG2938" i="16"/>
  <c r="AH2939" i="16"/>
  <c r="AH2941" i="16"/>
  <c r="AG2942" i="16"/>
  <c r="AH2943" i="16"/>
  <c r="AH2945" i="16"/>
  <c r="AG2946" i="16"/>
  <c r="AH2947" i="16"/>
  <c r="AH2949" i="16"/>
  <c r="AG2950" i="16"/>
  <c r="AH2951" i="16"/>
  <c r="AH2953" i="16"/>
  <c r="AG2954" i="16"/>
  <c r="AH2955" i="16"/>
  <c r="AH2957" i="16"/>
  <c r="AH2958" i="16"/>
  <c r="AH2963" i="16"/>
  <c r="AG2963" i="16"/>
  <c r="AH2965" i="16"/>
  <c r="AH2966" i="16"/>
  <c r="AH2971" i="16"/>
  <c r="AG2971" i="16"/>
  <c r="AH2973" i="16"/>
  <c r="AH2974" i="16"/>
  <c r="AH2979" i="16"/>
  <c r="AG2979" i="16"/>
  <c r="AH2981" i="16"/>
  <c r="AH2982" i="16"/>
  <c r="AH2987" i="16"/>
  <c r="AG2987" i="16"/>
  <c r="AH2989" i="16"/>
  <c r="AH2990" i="16"/>
  <c r="AH2995" i="16"/>
  <c r="AG2995" i="16"/>
  <c r="AH2997" i="16"/>
  <c r="AH2998" i="16"/>
  <c r="AH3003" i="16"/>
  <c r="AG3003" i="16"/>
  <c r="AH3005" i="16"/>
  <c r="AH3006" i="16"/>
  <c r="AH3011" i="16"/>
  <c r="AG3011" i="16"/>
  <c r="AH3013" i="16"/>
  <c r="AH3014" i="16"/>
  <c r="AH3019" i="16"/>
  <c r="AG3019" i="16"/>
  <c r="AH3021" i="16"/>
  <c r="AH3022" i="16"/>
  <c r="AH3027" i="16"/>
  <c r="AG3027" i="16"/>
  <c r="AH3029" i="16"/>
  <c r="AH3030" i="16"/>
  <c r="AH3035" i="16"/>
  <c r="AG3035" i="16"/>
  <c r="AH3037" i="16"/>
  <c r="AH3038" i="16"/>
  <c r="AH3043" i="16"/>
  <c r="AG3043" i="16"/>
  <c r="AH3045" i="16"/>
  <c r="AH3046" i="16"/>
  <c r="AH3051" i="16"/>
  <c r="AG3051" i="16"/>
  <c r="AH3053" i="16"/>
  <c r="AH3054" i="16"/>
  <c r="AH3059" i="16"/>
  <c r="AG3059" i="16"/>
  <c r="AH3061" i="16"/>
  <c r="AH3062" i="16"/>
  <c r="AH3067" i="16"/>
  <c r="AG3067" i="16"/>
  <c r="AH3069" i="16"/>
  <c r="AH3070" i="16"/>
  <c r="AH3075" i="16"/>
  <c r="AG3075" i="16"/>
  <c r="AH3077" i="16"/>
  <c r="AH3078" i="16"/>
  <c r="AH3083" i="16"/>
  <c r="AG3083" i="16"/>
  <c r="AH3085" i="16"/>
  <c r="AH3086" i="16"/>
  <c r="AH3091" i="16"/>
  <c r="AG3091" i="16"/>
  <c r="AH3093" i="16"/>
  <c r="AH3094" i="16"/>
  <c r="AH3099" i="16"/>
  <c r="AG3099" i="16"/>
  <c r="AH3105" i="16"/>
  <c r="AG3109" i="16"/>
  <c r="AH3109" i="16"/>
  <c r="AH3121" i="16"/>
  <c r="AG3125" i="16"/>
  <c r="AH3125" i="16"/>
  <c r="AH3137" i="16"/>
  <c r="AG3141" i="16"/>
  <c r="AH3141" i="16"/>
  <c r="AH3153" i="16"/>
  <c r="AG3157" i="16"/>
  <c r="AH3157" i="16"/>
  <c r="AG2876" i="16"/>
  <c r="AG2880" i="16"/>
  <c r="AG2884" i="16"/>
  <c r="AG2888" i="16"/>
  <c r="AG2892" i="16"/>
  <c r="AG2896" i="16"/>
  <c r="AG2900" i="16"/>
  <c r="AG2904" i="16"/>
  <c r="AG2908" i="16"/>
  <c r="AG2912" i="16"/>
  <c r="AG2916" i="16"/>
  <c r="AG2920" i="16"/>
  <c r="AG2924" i="16"/>
  <c r="AG2928" i="16"/>
  <c r="AG2932" i="16"/>
  <c r="AG2936" i="16"/>
  <c r="AG2940" i="16"/>
  <c r="AG2944" i="16"/>
  <c r="AG2948" i="16"/>
  <c r="AG2952" i="16"/>
  <c r="AG2956" i="16"/>
  <c r="AG2962" i="16"/>
  <c r="AG2964" i="16"/>
  <c r="AG2970" i="16"/>
  <c r="AG2972" i="16"/>
  <c r="AG2978" i="16"/>
  <c r="AG2980" i="16"/>
  <c r="AG2986" i="16"/>
  <c r="AG2988" i="16"/>
  <c r="AG2994" i="16"/>
  <c r="AG2996" i="16"/>
  <c r="AG3002" i="16"/>
  <c r="AG3004" i="16"/>
  <c r="AG3010" i="16"/>
  <c r="AG3012" i="16"/>
  <c r="AG3018" i="16"/>
  <c r="AG3020" i="16"/>
  <c r="AG3026" i="16"/>
  <c r="AG3028" i="16"/>
  <c r="AG3034" i="16"/>
  <c r="AG3036" i="16"/>
  <c r="AG3042" i="16"/>
  <c r="AG3044" i="16"/>
  <c r="AG3050" i="16"/>
  <c r="AG3052" i="16"/>
  <c r="AG3058" i="16"/>
  <c r="AG3060" i="16"/>
  <c r="AG3066" i="16"/>
  <c r="AG3068" i="16"/>
  <c r="AG3074" i="16"/>
  <c r="AG3076" i="16"/>
  <c r="AG3082" i="16"/>
  <c r="AG3084" i="16"/>
  <c r="AG3090" i="16"/>
  <c r="AG3092" i="16"/>
  <c r="AG3098" i="16"/>
  <c r="AG3104" i="16"/>
  <c r="AH3108" i="16"/>
  <c r="AG3108" i="16"/>
  <c r="AH3111" i="16"/>
  <c r="AG3114" i="16"/>
  <c r="AG3120" i="16"/>
  <c r="AH3124" i="16"/>
  <c r="AG3124" i="16"/>
  <c r="AH3127" i="16"/>
  <c r="AG3130" i="16"/>
  <c r="AG3136" i="16"/>
  <c r="AH3140" i="16"/>
  <c r="AG3140" i="16"/>
  <c r="AH3143" i="16"/>
  <c r="AG3146" i="16"/>
  <c r="AG3152" i="16"/>
  <c r="AH3156" i="16"/>
  <c r="AG3156" i="16"/>
  <c r="AH3159" i="16"/>
  <c r="AG3162" i="16"/>
  <c r="AH2845" i="16"/>
  <c r="AG2846" i="16"/>
  <c r="AH2853" i="16"/>
  <c r="AG2854" i="16"/>
  <c r="AH2861" i="16"/>
  <c r="AG2862" i="16"/>
  <c r="AH2869" i="16"/>
  <c r="AG2870" i="16"/>
  <c r="AH2959" i="16"/>
  <c r="AG2959" i="16"/>
  <c r="AH2961" i="16"/>
  <c r="AH2962" i="16"/>
  <c r="AH2967" i="16"/>
  <c r="AG2967" i="16"/>
  <c r="AH2969" i="16"/>
  <c r="AH2970" i="16"/>
  <c r="AH2975" i="16"/>
  <c r="AG2975" i="16"/>
  <c r="AH2977" i="16"/>
  <c r="AH2978" i="16"/>
  <c r="AH2983" i="16"/>
  <c r="AG2983" i="16"/>
  <c r="AH2985" i="16"/>
  <c r="AH2986" i="16"/>
  <c r="AH2991" i="16"/>
  <c r="AG2991" i="16"/>
  <c r="AH2993" i="16"/>
  <c r="AH2994" i="16"/>
  <c r="AH2999" i="16"/>
  <c r="AG2999" i="16"/>
  <c r="AH3001" i="16"/>
  <c r="AH3002" i="16"/>
  <c r="AH3007" i="16"/>
  <c r="AG3007" i="16"/>
  <c r="AH3009" i="16"/>
  <c r="AH3010" i="16"/>
  <c r="AH3015" i="16"/>
  <c r="AG3015" i="16"/>
  <c r="AH3017" i="16"/>
  <c r="AH3018" i="16"/>
  <c r="AH3023" i="16"/>
  <c r="AG3023" i="16"/>
  <c r="AH3025" i="16"/>
  <c r="AH3026" i="16"/>
  <c r="AH3031" i="16"/>
  <c r="AG3031" i="16"/>
  <c r="AH3033" i="16"/>
  <c r="AH3034" i="16"/>
  <c r="AH3039" i="16"/>
  <c r="AG3039" i="16"/>
  <c r="AH3041" i="16"/>
  <c r="AH3042" i="16"/>
  <c r="AH3047" i="16"/>
  <c r="AG3047" i="16"/>
  <c r="AH3049" i="16"/>
  <c r="AH3050" i="16"/>
  <c r="AH3055" i="16"/>
  <c r="AG3055" i="16"/>
  <c r="AH3057" i="16"/>
  <c r="AH3058" i="16"/>
  <c r="AH3063" i="16"/>
  <c r="AG3063" i="16"/>
  <c r="AH3065" i="16"/>
  <c r="AH3066" i="16"/>
  <c r="AH3071" i="16"/>
  <c r="AG3071" i="16"/>
  <c r="AH3073" i="16"/>
  <c r="AH3074" i="16"/>
  <c r="AH3079" i="16"/>
  <c r="AG3079" i="16"/>
  <c r="AH3081" i="16"/>
  <c r="AH3082" i="16"/>
  <c r="AH3087" i="16"/>
  <c r="AG3087" i="16"/>
  <c r="AH3089" i="16"/>
  <c r="AH3090" i="16"/>
  <c r="AH3095" i="16"/>
  <c r="AG3095" i="16"/>
  <c r="AH3097" i="16"/>
  <c r="AH3098" i="16"/>
  <c r="AG3101" i="16"/>
  <c r="AH3101" i="16"/>
  <c r="AH3113" i="16"/>
  <c r="AG3117" i="16"/>
  <c r="AH3117" i="16"/>
  <c r="AH3129" i="16"/>
  <c r="AG3133" i="16"/>
  <c r="AH3133" i="16"/>
  <c r="AH3145" i="16"/>
  <c r="AG3149" i="16"/>
  <c r="AH3149" i="16"/>
  <c r="AH3161" i="16"/>
  <c r="AG3165" i="16"/>
  <c r="AH3165" i="16"/>
  <c r="AG3168" i="16"/>
  <c r="AH3169" i="16"/>
  <c r="AG3169" i="16"/>
  <c r="AG3177" i="16"/>
  <c r="AG3185" i="16"/>
  <c r="AG3193" i="16"/>
  <c r="AG3201" i="16"/>
  <c r="AG3209" i="16"/>
  <c r="AG3217" i="16"/>
  <c r="AG3225" i="16"/>
  <c r="AG3233" i="16"/>
  <c r="AH3104" i="16"/>
  <c r="AG3105" i="16"/>
  <c r="AH3112" i="16"/>
  <c r="AG3113" i="16"/>
  <c r="AH3120" i="16"/>
  <c r="AG3121" i="16"/>
  <c r="AH3128" i="16"/>
  <c r="AG3129" i="16"/>
  <c r="AH3136" i="16"/>
  <c r="AG3137" i="16"/>
  <c r="AH3144" i="16"/>
  <c r="AG3145" i="16"/>
  <c r="AH3152" i="16"/>
  <c r="AG3153" i="16"/>
  <c r="AH3160" i="16"/>
  <c r="AG3161" i="16"/>
  <c r="AH3168" i="16"/>
  <c r="AH3171" i="16"/>
  <c r="AG3171" i="16"/>
  <c r="AH3173" i="16"/>
  <c r="AG3174" i="16"/>
  <c r="AH3176" i="16"/>
  <c r="AG3176" i="16"/>
  <c r="AH3179" i="16"/>
  <c r="AG3179" i="16"/>
  <c r="AH3184" i="16"/>
  <c r="AG3184" i="16"/>
  <c r="AH3187" i="16"/>
  <c r="AG3187" i="16"/>
  <c r="AH3192" i="16"/>
  <c r="AG3192" i="16"/>
  <c r="AH3195" i="16"/>
  <c r="AG3195" i="16"/>
  <c r="AH3200" i="16"/>
  <c r="AG3200" i="16"/>
  <c r="AH3203" i="16"/>
  <c r="AG3203" i="16"/>
  <c r="AH3208" i="16"/>
  <c r="AG3208" i="16"/>
  <c r="AH3211" i="16"/>
  <c r="AG3211" i="16"/>
  <c r="AH3216" i="16"/>
  <c r="AG3216" i="16"/>
  <c r="AH3219" i="16"/>
  <c r="AG3219" i="16"/>
  <c r="AH3224" i="16"/>
  <c r="AG3224" i="16"/>
  <c r="AH3227" i="16"/>
  <c r="AG3227" i="16"/>
  <c r="AH3232" i="16"/>
  <c r="AG3232" i="16"/>
  <c r="AH3235" i="16"/>
  <c r="AG3235" i="16"/>
  <c r="AH3181" i="16"/>
  <c r="AG3182" i="16"/>
  <c r="AH3189" i="16"/>
  <c r="AG3190" i="16"/>
  <c r="AH3197" i="16"/>
  <c r="AG3198" i="16"/>
  <c r="AH3205" i="16"/>
  <c r="AG3206" i="16"/>
  <c r="AH3213" i="16"/>
  <c r="AG3214" i="16"/>
  <c r="AH3221" i="16"/>
  <c r="AG3222" i="16"/>
  <c r="AH3229" i="16"/>
  <c r="AG3230" i="16"/>
  <c r="AH3236" i="16"/>
  <c r="AH3240" i="16"/>
  <c r="AH3244" i="16"/>
  <c r="AH3248" i="16"/>
  <c r="AH3252" i="16"/>
  <c r="AH3256" i="16"/>
  <c r="AH3260" i="16"/>
  <c r="AH3264" i="16"/>
  <c r="AH3269" i="16"/>
  <c r="AH3272" i="16"/>
  <c r="AH3277" i="16"/>
  <c r="AH3280" i="16"/>
  <c r="AH3325" i="16"/>
  <c r="AG3325" i="16"/>
  <c r="AH3333" i="16"/>
  <c r="AG3333" i="16"/>
  <c r="AH3341" i="16"/>
  <c r="AG3341" i="16"/>
  <c r="AH3349" i="16"/>
  <c r="AG3349" i="16"/>
  <c r="AH3357" i="16"/>
  <c r="AG3357" i="16"/>
  <c r="AH3365" i="16"/>
  <c r="AG3365" i="16"/>
  <c r="AH3373" i="16"/>
  <c r="AG3373" i="16"/>
  <c r="AH3381" i="16"/>
  <c r="AG3381" i="16"/>
  <c r="AG3266" i="16"/>
  <c r="AH3266" i="16"/>
  <c r="AG3274" i="16"/>
  <c r="AH3274" i="16"/>
  <c r="AG3282" i="16"/>
  <c r="AH3282" i="16"/>
  <c r="AH3287" i="16"/>
  <c r="AG3287" i="16"/>
  <c r="AG3290" i="16"/>
  <c r="AH3290" i="16"/>
  <c r="AH3295" i="16"/>
  <c r="AG3295" i="16"/>
  <c r="AG3298" i="16"/>
  <c r="AH3298" i="16"/>
  <c r="AH3303" i="16"/>
  <c r="AG3303" i="16"/>
  <c r="AG3306" i="16"/>
  <c r="AH3306" i="16"/>
  <c r="AH3311" i="16"/>
  <c r="AG3311" i="16"/>
  <c r="AG3314" i="16"/>
  <c r="AH3314" i="16"/>
  <c r="AH3319" i="16"/>
  <c r="AG3319" i="16"/>
  <c r="AG3322" i="16"/>
  <c r="AH3322" i="16"/>
  <c r="AG3330" i="16"/>
  <c r="AH3330" i="16"/>
  <c r="AG3338" i="16"/>
  <c r="AH3338" i="16"/>
  <c r="AG3346" i="16"/>
  <c r="AH3346" i="16"/>
  <c r="AG3354" i="16"/>
  <c r="AH3354" i="16"/>
  <c r="AG3362" i="16"/>
  <c r="AH3362" i="16"/>
  <c r="AG3370" i="16"/>
  <c r="AH3370" i="16"/>
  <c r="AG3378" i="16"/>
  <c r="AH3378" i="16"/>
  <c r="AG3386" i="16"/>
  <c r="AH3386" i="16"/>
  <c r="AG3170" i="16"/>
  <c r="AH3177" i="16"/>
  <c r="AG3178" i="16"/>
  <c r="AH3185" i="16"/>
  <c r="AG3186" i="16"/>
  <c r="AH3193" i="16"/>
  <c r="AG3194" i="16"/>
  <c r="AH3201" i="16"/>
  <c r="AG3202" i="16"/>
  <c r="AH3209" i="16"/>
  <c r="AG3210" i="16"/>
  <c r="AH3217" i="16"/>
  <c r="AG3218" i="16"/>
  <c r="AH3225" i="16"/>
  <c r="AG3226" i="16"/>
  <c r="AH3233" i="16"/>
  <c r="AG3234" i="16"/>
  <c r="AH3237" i="16"/>
  <c r="AG3237" i="16"/>
  <c r="AG3238" i="16"/>
  <c r="AH3241" i="16"/>
  <c r="AG3241" i="16"/>
  <c r="AG3242" i="16"/>
  <c r="AG3244" i="16"/>
  <c r="AH3245" i="16"/>
  <c r="AG3245" i="16"/>
  <c r="AG3246" i="16"/>
  <c r="AG3248" i="16"/>
  <c r="AH3249" i="16"/>
  <c r="AG3249" i="16"/>
  <c r="AG3250" i="16"/>
  <c r="AG3252" i="16"/>
  <c r="AH3253" i="16"/>
  <c r="AG3253" i="16"/>
  <c r="AG3254" i="16"/>
  <c r="AG3256" i="16"/>
  <c r="AH3257" i="16"/>
  <c r="AG3257" i="16"/>
  <c r="AG3258" i="16"/>
  <c r="AG3260" i="16"/>
  <c r="AH3261" i="16"/>
  <c r="AG3261" i="16"/>
  <c r="AG3262" i="16"/>
  <c r="AG3264" i="16"/>
  <c r="AH3265" i="16"/>
  <c r="AG3265" i="16"/>
  <c r="AH3268" i="16"/>
  <c r="AH3273" i="16"/>
  <c r="AH3276" i="16"/>
  <c r="AH3281" i="16"/>
  <c r="AH3329" i="16"/>
  <c r="AG3329" i="16"/>
  <c r="AH3337" i="16"/>
  <c r="AG3337" i="16"/>
  <c r="AH3345" i="16"/>
  <c r="AG3345" i="16"/>
  <c r="AH3353" i="16"/>
  <c r="AG3353" i="16"/>
  <c r="AH3361" i="16"/>
  <c r="AG3361" i="16"/>
  <c r="AH3369" i="16"/>
  <c r="AG3369" i="16"/>
  <c r="AH3377" i="16"/>
  <c r="AG3377" i="16"/>
  <c r="AH3385" i="16"/>
  <c r="AG3385" i="16"/>
  <c r="AH3288" i="16"/>
  <c r="AG3289" i="16"/>
  <c r="AH3296" i="16"/>
  <c r="AG3297" i="16"/>
  <c r="AH3304" i="16"/>
  <c r="AG3305" i="16"/>
  <c r="AH3312" i="16"/>
  <c r="AG3313" i="16"/>
  <c r="AH3320" i="16"/>
  <c r="AG3321" i="16"/>
  <c r="AH3400" i="16"/>
  <c r="AH3416" i="16"/>
  <c r="AH3432" i="16"/>
  <c r="AH3448" i="16"/>
  <c r="AH3464" i="16"/>
  <c r="AH3480" i="16"/>
  <c r="AH3496" i="16"/>
  <c r="AG3269" i="16"/>
  <c r="AG3273" i="16"/>
  <c r="AG3277" i="16"/>
  <c r="AG3281" i="16"/>
  <c r="AH3284" i="16"/>
  <c r="AG3285" i="16"/>
  <c r="AH3292" i="16"/>
  <c r="AG3293" i="16"/>
  <c r="AH3300" i="16"/>
  <c r="AG3301" i="16"/>
  <c r="AH3308" i="16"/>
  <c r="AG3309" i="16"/>
  <c r="AH3316" i="16"/>
  <c r="AG3317" i="16"/>
  <c r="AH3324" i="16"/>
  <c r="AH3328" i="16"/>
  <c r="AH3332" i="16"/>
  <c r="AH3336" i="16"/>
  <c r="AH3408" i="16"/>
  <c r="AH3424" i="16"/>
  <c r="AH3440" i="16"/>
  <c r="AH3456" i="16"/>
  <c r="AH3472" i="16"/>
  <c r="AH3488" i="16"/>
  <c r="AH3504" i="16"/>
  <c r="AG3288" i="16"/>
  <c r="AH3289" i="16"/>
  <c r="AG3296" i="16"/>
  <c r="AH3297" i="16"/>
  <c r="AG3304" i="16"/>
  <c r="AH3305" i="16"/>
  <c r="AG3312" i="16"/>
  <c r="AH3313" i="16"/>
  <c r="AG3320" i="16"/>
  <c r="AH3321" i="16"/>
  <c r="AH3389" i="16"/>
  <c r="AG3389" i="16"/>
  <c r="AG3390" i="16"/>
  <c r="AH3393" i="16"/>
  <c r="AG3393" i="16"/>
  <c r="AG3394" i="16"/>
  <c r="AH3397" i="16"/>
  <c r="AG3397" i="16"/>
  <c r="AG3398" i="16"/>
  <c r="AG3400" i="16"/>
  <c r="AH3405" i="16"/>
  <c r="AG3405" i="16"/>
  <c r="AG3406" i="16"/>
  <c r="AG3408" i="16"/>
  <c r="AH3413" i="16"/>
  <c r="AG3413" i="16"/>
  <c r="AG3414" i="16"/>
  <c r="AG3416" i="16"/>
  <c r="AH3421" i="16"/>
  <c r="AG3421" i="16"/>
  <c r="AG3422" i="16"/>
  <c r="AG3424" i="16"/>
  <c r="AH3429" i="16"/>
  <c r="AG3429" i="16"/>
  <c r="AG3430" i="16"/>
  <c r="AG3432" i="16"/>
  <c r="AH3437" i="16"/>
  <c r="AG3437" i="16"/>
  <c r="AG3438" i="16"/>
  <c r="AG3440" i="16"/>
  <c r="AH3445" i="16"/>
  <c r="AG3445" i="16"/>
  <c r="AG3446" i="16"/>
  <c r="AG3448" i="16"/>
  <c r="AH3453" i="16"/>
  <c r="AG3453" i="16"/>
  <c r="AG3454" i="16"/>
  <c r="AG3456" i="16"/>
  <c r="AH3461" i="16"/>
  <c r="AG3461" i="16"/>
  <c r="AG3462" i="16"/>
  <c r="AG3464" i="16"/>
  <c r="AH3469" i="16"/>
  <c r="AG3469" i="16"/>
  <c r="AG3470" i="16"/>
  <c r="AG3472" i="16"/>
  <c r="AH3477" i="16"/>
  <c r="AG3477" i="16"/>
  <c r="AG3478" i="16"/>
  <c r="AG3480" i="16"/>
  <c r="AH3485" i="16"/>
  <c r="AG3485" i="16"/>
  <c r="AG3486" i="16"/>
  <c r="AG3488" i="16"/>
  <c r="AH3493" i="16"/>
  <c r="AG3493" i="16"/>
  <c r="AG3494" i="16"/>
  <c r="AH3495" i="16"/>
  <c r="AH3501" i="16"/>
  <c r="AG3501" i="16"/>
  <c r="AG3502" i="16"/>
  <c r="AH3503" i="16"/>
  <c r="AH3340" i="16"/>
  <c r="AH3344" i="16"/>
  <c r="AH3348" i="16"/>
  <c r="AH3352" i="16"/>
  <c r="AH3356" i="16"/>
  <c r="AH3360" i="16"/>
  <c r="AH3364" i="16"/>
  <c r="AH3368" i="16"/>
  <c r="AH3372" i="16"/>
  <c r="AH3376" i="16"/>
  <c r="AH3380" i="16"/>
  <c r="AH3384" i="16"/>
  <c r="AH3388" i="16"/>
  <c r="AH3392" i="16"/>
  <c r="AH3396" i="16"/>
  <c r="AH3404" i="16"/>
  <c r="AH3412" i="16"/>
  <c r="AH3420" i="16"/>
  <c r="AH3428" i="16"/>
  <c r="AH3436" i="16"/>
  <c r="AH3444" i="16"/>
  <c r="AH3452" i="16"/>
  <c r="AH3460" i="16"/>
  <c r="AH3468" i="16"/>
  <c r="AH3476" i="16"/>
  <c r="AH3484" i="16"/>
  <c r="AH3492" i="16"/>
  <c r="AH3500" i="16"/>
  <c r="AH3508" i="16"/>
  <c r="AH3401" i="16"/>
  <c r="AG3401" i="16"/>
  <c r="AG3402" i="16"/>
  <c r="AG3404" i="16"/>
  <c r="AH3409" i="16"/>
  <c r="AG3409" i="16"/>
  <c r="AG3410" i="16"/>
  <c r="AG3412" i="16"/>
  <c r="AH3417" i="16"/>
  <c r="AG3417" i="16"/>
  <c r="AG3418" i="16"/>
  <c r="AG3420" i="16"/>
  <c r="AH3425" i="16"/>
  <c r="AG3425" i="16"/>
  <c r="AG3426" i="16"/>
  <c r="AG3428" i="16"/>
  <c r="AH3433" i="16"/>
  <c r="AG3433" i="16"/>
  <c r="AG3434" i="16"/>
  <c r="AG3436" i="16"/>
  <c r="AH3441" i="16"/>
  <c r="AG3441" i="16"/>
  <c r="AG3442" i="16"/>
  <c r="AG3444" i="16"/>
  <c r="AH3449" i="16"/>
  <c r="AG3449" i="16"/>
  <c r="AG3450" i="16"/>
  <c r="AG3452" i="16"/>
  <c r="AH3457" i="16"/>
  <c r="AG3457" i="16"/>
  <c r="AG3458" i="16"/>
  <c r="AG3460" i="16"/>
  <c r="AH3465" i="16"/>
  <c r="AG3465" i="16"/>
  <c r="AG3466" i="16"/>
  <c r="AG3468" i="16"/>
  <c r="AH3473" i="16"/>
  <c r="AG3473" i="16"/>
  <c r="AG3474" i="16"/>
  <c r="AG3476" i="16"/>
  <c r="AH3481" i="16"/>
  <c r="AG3481" i="16"/>
  <c r="AG3482" i="16"/>
  <c r="AG3484" i="16"/>
  <c r="AH3489" i="16"/>
  <c r="AG3489" i="16"/>
  <c r="AG3490" i="16"/>
  <c r="AG3492" i="16"/>
  <c r="AH3497" i="16"/>
  <c r="AG3497" i="16"/>
  <c r="AG3498" i="16"/>
  <c r="AH3499" i="16"/>
  <c r="AH3505" i="16"/>
  <c r="AG3505" i="16"/>
  <c r="AG3506" i="16"/>
  <c r="AH3507" i="16"/>
  <c r="AG3496" i="16"/>
  <c r="AG3500" i="16"/>
  <c r="AG3504" i="16"/>
  <c r="AG3508" i="16"/>
  <c r="J214" i="23" l="1" a="1"/>
  <c r="J214" i="23" s="1"/>
  <c r="K214" i="23" a="1"/>
  <c r="K214" i="23" s="1"/>
  <c r="L214" i="23" a="1"/>
  <c r="L214" i="23" s="1"/>
  <c r="M214" i="23" a="1"/>
  <c r="M214" i="23" s="1"/>
  <c r="N214" i="23" a="1"/>
  <c r="N214" i="23" s="1"/>
  <c r="O214" i="23" a="1"/>
  <c r="O214" i="23" s="1"/>
  <c r="P214" i="23" a="1"/>
  <c r="P214" i="23" s="1"/>
  <c r="J202" i="23" a="1"/>
  <c r="J202" i="23" s="1"/>
  <c r="K202" i="23" a="1"/>
  <c r="K202" i="23" s="1"/>
  <c r="L202" i="23" a="1"/>
  <c r="L202" i="23" s="1"/>
  <c r="M202" i="23" a="1"/>
  <c r="M202" i="23" s="1"/>
  <c r="N202" i="23" a="1"/>
  <c r="N202" i="23" s="1"/>
  <c r="O202" i="23" a="1"/>
  <c r="O202" i="23" s="1"/>
  <c r="P202" i="23" a="1"/>
  <c r="P202" i="23" s="1"/>
  <c r="J203" i="23" a="1"/>
  <c r="J203" i="23" s="1"/>
  <c r="K203" i="23" a="1"/>
  <c r="K203" i="23" s="1"/>
  <c r="L203" i="23" a="1"/>
  <c r="L203" i="23" s="1"/>
  <c r="M203" i="23" a="1"/>
  <c r="M203" i="23" s="1"/>
  <c r="N203" i="23" a="1"/>
  <c r="N203" i="23" s="1"/>
  <c r="O203" i="23" a="1"/>
  <c r="O203" i="23" s="1"/>
  <c r="P203" i="23" a="1"/>
  <c r="P203" i="23" s="1"/>
  <c r="J204" i="23" a="1"/>
  <c r="J204" i="23" s="1"/>
  <c r="K204" i="23" a="1"/>
  <c r="K204" i="23" s="1"/>
  <c r="L204" i="23" a="1"/>
  <c r="L204" i="23" s="1"/>
  <c r="M204" i="23" a="1"/>
  <c r="M204" i="23" s="1"/>
  <c r="N204" i="23" a="1"/>
  <c r="N204" i="23" s="1"/>
  <c r="O204" i="23" a="1"/>
  <c r="O204" i="23" s="1"/>
  <c r="P204" i="23" a="1"/>
  <c r="P204" i="23" s="1"/>
  <c r="J205" i="23" a="1"/>
  <c r="J205" i="23" s="1"/>
  <c r="K205" i="23" a="1"/>
  <c r="K205" i="23" s="1"/>
  <c r="L205" i="23" a="1"/>
  <c r="L205" i="23" s="1"/>
  <c r="M205" i="23" a="1"/>
  <c r="M205" i="23" s="1"/>
  <c r="N205" i="23" a="1"/>
  <c r="N205" i="23" s="1"/>
  <c r="O205" i="23" a="1"/>
  <c r="O205" i="23" s="1"/>
  <c r="P205" i="23" a="1"/>
  <c r="P205" i="23" s="1"/>
  <c r="J206" i="23" a="1"/>
  <c r="J206" i="23" s="1"/>
  <c r="K206" i="23" a="1"/>
  <c r="K206" i="23" s="1"/>
  <c r="L206" i="23" a="1"/>
  <c r="L206" i="23" s="1"/>
  <c r="M206" i="23" a="1"/>
  <c r="M206" i="23" s="1"/>
  <c r="N206" i="23" a="1"/>
  <c r="N206" i="23" s="1"/>
  <c r="O206" i="23" a="1"/>
  <c r="O206" i="23" s="1"/>
  <c r="P206" i="23" a="1"/>
  <c r="P206" i="23" s="1"/>
  <c r="J207" i="23" a="1"/>
  <c r="J207" i="23" s="1"/>
  <c r="K207" i="23" a="1"/>
  <c r="K207" i="23" s="1"/>
  <c r="L207" i="23" a="1"/>
  <c r="L207" i="23" s="1"/>
  <c r="M207" i="23" a="1"/>
  <c r="M207" i="23" s="1"/>
  <c r="N207" i="23" a="1"/>
  <c r="N207" i="23" s="1"/>
  <c r="O207" i="23" a="1"/>
  <c r="O207" i="23" s="1"/>
  <c r="P207" i="23" a="1"/>
  <c r="P207" i="23" s="1"/>
  <c r="J208" i="23" a="1"/>
  <c r="J208" i="23" s="1"/>
  <c r="K208" i="23" a="1"/>
  <c r="K208" i="23" s="1"/>
  <c r="L208" i="23" a="1"/>
  <c r="L208" i="23" s="1"/>
  <c r="M208" i="23" a="1"/>
  <c r="M208" i="23" s="1"/>
  <c r="N208" i="23" a="1"/>
  <c r="N208" i="23" s="1"/>
  <c r="O208" i="23" a="1"/>
  <c r="O208" i="23" s="1"/>
  <c r="P208" i="23" a="1"/>
  <c r="P208" i="23" s="1"/>
  <c r="J209" i="23" a="1"/>
  <c r="J209" i="23" s="1"/>
  <c r="K209" i="23" a="1"/>
  <c r="K209" i="23" s="1"/>
  <c r="L209" i="23" a="1"/>
  <c r="L209" i="23" s="1"/>
  <c r="M209" i="23" a="1"/>
  <c r="M209" i="23" s="1"/>
  <c r="N209" i="23" a="1"/>
  <c r="N209" i="23" s="1"/>
  <c r="O209" i="23" a="1"/>
  <c r="O209" i="23" s="1"/>
  <c r="P209" i="23" a="1"/>
  <c r="P209" i="23" s="1"/>
  <c r="J210" i="23" a="1"/>
  <c r="J210" i="23" s="1"/>
  <c r="K210" i="23" a="1"/>
  <c r="K210" i="23" s="1"/>
  <c r="L210" i="23" a="1"/>
  <c r="L210" i="23" s="1"/>
  <c r="M210" i="23" a="1"/>
  <c r="M210" i="23" s="1"/>
  <c r="N210" i="23" a="1"/>
  <c r="N210" i="23" s="1"/>
  <c r="O210" i="23" a="1"/>
  <c r="O210" i="23" s="1"/>
  <c r="P210" i="23" a="1"/>
  <c r="P210" i="23" s="1"/>
  <c r="J211" i="23" a="1"/>
  <c r="J211" i="23" s="1"/>
  <c r="K211" i="23" a="1"/>
  <c r="K211" i="23" s="1"/>
  <c r="L211" i="23" a="1"/>
  <c r="L211" i="23" s="1"/>
  <c r="M211" i="23" a="1"/>
  <c r="M211" i="23" s="1"/>
  <c r="N211" i="23" a="1"/>
  <c r="N211" i="23" s="1"/>
  <c r="O211" i="23" a="1"/>
  <c r="O211" i="23" s="1"/>
  <c r="P211" i="23" a="1"/>
  <c r="P211" i="23" s="1"/>
  <c r="J212" i="23" a="1"/>
  <c r="J212" i="23" s="1"/>
  <c r="K212" i="23" a="1"/>
  <c r="K212" i="23" s="1"/>
  <c r="L212" i="23" a="1"/>
  <c r="L212" i="23" s="1"/>
  <c r="M212" i="23" a="1"/>
  <c r="M212" i="23" s="1"/>
  <c r="N212" i="23" a="1"/>
  <c r="N212" i="23" s="1"/>
  <c r="O212" i="23" a="1"/>
  <c r="O212" i="23" s="1"/>
  <c r="P212" i="23" a="1"/>
  <c r="P212" i="23" s="1"/>
  <c r="J213" i="23" a="1"/>
  <c r="J213" i="23" s="1"/>
  <c r="K213" i="23" a="1"/>
  <c r="K213" i="23" s="1"/>
  <c r="L213" i="23" a="1"/>
  <c r="L213" i="23" s="1"/>
  <c r="M213" i="23" a="1"/>
  <c r="M213" i="23" s="1"/>
  <c r="N213" i="23" a="1"/>
  <c r="N213" i="23" s="1"/>
  <c r="O213" i="23" a="1"/>
  <c r="O213" i="23" s="1"/>
  <c r="P213" i="23" a="1"/>
  <c r="P213" i="23" s="1"/>
  <c r="C103" i="23" a="1"/>
  <c r="C103" i="23" s="1"/>
  <c r="D103" i="23" a="1"/>
  <c r="D103" i="23" s="1"/>
  <c r="E103" i="23" a="1"/>
  <c r="E103" i="23" s="1"/>
  <c r="F103" i="23" a="1"/>
  <c r="F103" i="23" s="1"/>
  <c r="G103" i="23" a="1"/>
  <c r="G103" i="23" s="1"/>
  <c r="H103" i="23" a="1"/>
  <c r="H103" i="23" s="1"/>
  <c r="C104" i="23" a="1"/>
  <c r="C104" i="23" s="1"/>
  <c r="D104" i="23" a="1"/>
  <c r="D104" i="23" s="1"/>
  <c r="E104" i="23" a="1"/>
  <c r="E104" i="23" s="1"/>
  <c r="F104" i="23" a="1"/>
  <c r="F104" i="23" s="1"/>
  <c r="G104" i="23" a="1"/>
  <c r="G104" i="23" s="1"/>
  <c r="H104" i="23" a="1"/>
  <c r="H104" i="23" s="1"/>
  <c r="C105" i="23" a="1"/>
  <c r="C105" i="23" s="1"/>
  <c r="D105" i="23" a="1"/>
  <c r="D105" i="23" s="1"/>
  <c r="E105" i="23" a="1"/>
  <c r="E105" i="23" s="1"/>
  <c r="F105" i="23" a="1"/>
  <c r="F105" i="23" s="1"/>
  <c r="G105" i="23" a="1"/>
  <c r="G105" i="23" s="1"/>
  <c r="H105" i="23" a="1"/>
  <c r="H105" i="23" s="1"/>
  <c r="C106" i="23" a="1"/>
  <c r="C106" i="23" s="1"/>
  <c r="D106" i="23" a="1"/>
  <c r="D106" i="23" s="1"/>
  <c r="E106" i="23" a="1"/>
  <c r="E106" i="23" s="1"/>
  <c r="F106" i="23" a="1"/>
  <c r="F106" i="23" s="1"/>
  <c r="G106" i="23" a="1"/>
  <c r="G106" i="23" s="1"/>
  <c r="H106" i="23" a="1"/>
  <c r="H106" i="23" s="1"/>
  <c r="C107" i="23" a="1"/>
  <c r="C107" i="23" s="1"/>
  <c r="D107" i="23" a="1"/>
  <c r="D107" i="23" s="1"/>
  <c r="E107" i="23" a="1"/>
  <c r="E107" i="23" s="1"/>
  <c r="F107" i="23" a="1"/>
  <c r="F107" i="23" s="1"/>
  <c r="G107" i="23" a="1"/>
  <c r="G107" i="23" s="1"/>
  <c r="H107" i="23" a="1"/>
  <c r="H107" i="23" s="1"/>
  <c r="C108" i="23" a="1"/>
  <c r="C108" i="23" s="1"/>
  <c r="D108" i="23" a="1"/>
  <c r="D108" i="23" s="1"/>
  <c r="E108" i="23" a="1"/>
  <c r="E108" i="23" s="1"/>
  <c r="F108" i="23" a="1"/>
  <c r="F108" i="23" s="1"/>
  <c r="G108" i="23" a="1"/>
  <c r="G108" i="23" s="1"/>
  <c r="H108" i="23" a="1"/>
  <c r="H108" i="23" s="1"/>
  <c r="C109" i="23" a="1"/>
  <c r="C109" i="23" s="1"/>
  <c r="D109" i="23" a="1"/>
  <c r="D109" i="23" s="1"/>
  <c r="E109" i="23" a="1"/>
  <c r="E109" i="23" s="1"/>
  <c r="F109" i="23" a="1"/>
  <c r="F109" i="23" s="1"/>
  <c r="G109" i="23" a="1"/>
  <c r="G109" i="23" s="1"/>
  <c r="H109" i="23" a="1"/>
  <c r="H109" i="23" s="1"/>
  <c r="C110" i="23" a="1"/>
  <c r="C110" i="23" s="1"/>
  <c r="D110" i="23" a="1"/>
  <c r="D110" i="23" s="1"/>
  <c r="E110" i="23" a="1"/>
  <c r="E110" i="23" s="1"/>
  <c r="F110" i="23" a="1"/>
  <c r="F110" i="23" s="1"/>
  <c r="G110" i="23" a="1"/>
  <c r="G110" i="23" s="1"/>
  <c r="H110" i="23" a="1"/>
  <c r="H110" i="23" s="1"/>
  <c r="C111" i="23" a="1"/>
  <c r="C111" i="23" s="1"/>
  <c r="D111" i="23" a="1"/>
  <c r="D111" i="23" s="1"/>
  <c r="E111" i="23" a="1"/>
  <c r="E111" i="23" s="1"/>
  <c r="F111" i="23" a="1"/>
  <c r="F111" i="23" s="1"/>
  <c r="G111" i="23" a="1"/>
  <c r="G111" i="23" s="1"/>
  <c r="H111" i="23" a="1"/>
  <c r="H111" i="23" s="1"/>
  <c r="C112" i="23" a="1"/>
  <c r="C112" i="23" s="1"/>
  <c r="D112" i="23" a="1"/>
  <c r="D112" i="23" s="1"/>
  <c r="E112" i="23" a="1"/>
  <c r="E112" i="23" s="1"/>
  <c r="F112" i="23" a="1"/>
  <c r="F112" i="23" s="1"/>
  <c r="G112" i="23" a="1"/>
  <c r="G112" i="23" s="1"/>
  <c r="H112" i="23" a="1"/>
  <c r="H112" i="23" s="1"/>
  <c r="C113" i="23" a="1"/>
  <c r="C113" i="23" s="1"/>
  <c r="D113" i="23" a="1"/>
  <c r="D113" i="23" s="1"/>
  <c r="E113" i="23" a="1"/>
  <c r="E113" i="23" s="1"/>
  <c r="F113" i="23" a="1"/>
  <c r="F113" i="23" s="1"/>
  <c r="G113" i="23" a="1"/>
  <c r="G113" i="23" s="1"/>
  <c r="H113" i="23" a="1"/>
  <c r="H113" i="23" s="1"/>
  <c r="C114" i="23" a="1"/>
  <c r="C114" i="23" s="1"/>
  <c r="D114" i="23" a="1"/>
  <c r="D114" i="23" s="1"/>
  <c r="E114" i="23" a="1"/>
  <c r="E114" i="23" s="1"/>
  <c r="F114" i="23" a="1"/>
  <c r="F114" i="23" s="1"/>
  <c r="G114" i="23" a="1"/>
  <c r="G114" i="23" s="1"/>
  <c r="H114" i="23" a="1"/>
  <c r="H114" i="23" s="1"/>
  <c r="C115" i="23" a="1"/>
  <c r="C115" i="23" s="1"/>
  <c r="D115" i="23" a="1"/>
  <c r="D115" i="23" s="1"/>
  <c r="E115" i="23" a="1"/>
  <c r="E115" i="23" s="1"/>
  <c r="F115" i="23" a="1"/>
  <c r="F115" i="23" s="1"/>
  <c r="G115" i="23" a="1"/>
  <c r="G115" i="23" s="1"/>
  <c r="H115" i="23" a="1"/>
  <c r="H115" i="23" s="1"/>
  <c r="C116" i="23" a="1"/>
  <c r="C116" i="23" s="1"/>
  <c r="D116" i="23" a="1"/>
  <c r="D116" i="23" s="1"/>
  <c r="E116" i="23" a="1"/>
  <c r="E116" i="23" s="1"/>
  <c r="F116" i="23" a="1"/>
  <c r="F116" i="23" s="1"/>
  <c r="G116" i="23" a="1"/>
  <c r="G116" i="23" s="1"/>
  <c r="H116" i="23" a="1"/>
  <c r="H116" i="23" s="1"/>
  <c r="C117" i="23" a="1"/>
  <c r="C117" i="23" s="1"/>
  <c r="D117" i="23" a="1"/>
  <c r="D117" i="23" s="1"/>
  <c r="E117" i="23" a="1"/>
  <c r="E117" i="23" s="1"/>
  <c r="F117" i="23" a="1"/>
  <c r="F117" i="23" s="1"/>
  <c r="G117" i="23" a="1"/>
  <c r="G117" i="23" s="1"/>
  <c r="H117" i="23" a="1"/>
  <c r="H117" i="23" s="1"/>
  <c r="C118" i="23" a="1"/>
  <c r="C118" i="23" s="1"/>
  <c r="D118" i="23" a="1"/>
  <c r="D118" i="23" s="1"/>
  <c r="E118" i="23" a="1"/>
  <c r="E118" i="23" s="1"/>
  <c r="F118" i="23" a="1"/>
  <c r="F118" i="23" s="1"/>
  <c r="G118" i="23" a="1"/>
  <c r="G118" i="23" s="1"/>
  <c r="H118" i="23" a="1"/>
  <c r="H118" i="23" s="1"/>
  <c r="C119" i="23" a="1"/>
  <c r="C119" i="23" s="1"/>
  <c r="D119" i="23" a="1"/>
  <c r="D119" i="23" s="1"/>
  <c r="E119" i="23" a="1"/>
  <c r="E119" i="23" s="1"/>
  <c r="F119" i="23" a="1"/>
  <c r="F119" i="23" s="1"/>
  <c r="G119" i="23" a="1"/>
  <c r="G119" i="23" s="1"/>
  <c r="H119" i="23" a="1"/>
  <c r="H119" i="23" s="1"/>
  <c r="C120" i="23" a="1"/>
  <c r="C120" i="23" s="1"/>
  <c r="D120" i="23" a="1"/>
  <c r="D120" i="23" s="1"/>
  <c r="E120" i="23" a="1"/>
  <c r="E120" i="23" s="1"/>
  <c r="F120" i="23" a="1"/>
  <c r="F120" i="23" s="1"/>
  <c r="G120" i="23" a="1"/>
  <c r="G120" i="23" s="1"/>
  <c r="H120" i="23" a="1"/>
  <c r="H120" i="23" s="1"/>
  <c r="C121" i="23" a="1"/>
  <c r="C121" i="23" s="1"/>
  <c r="D121" i="23" a="1"/>
  <c r="D121" i="23" s="1"/>
  <c r="E121" i="23" a="1"/>
  <c r="E121" i="23" s="1"/>
  <c r="F121" i="23" a="1"/>
  <c r="F121" i="23" s="1"/>
  <c r="G121" i="23" a="1"/>
  <c r="G121" i="23" s="1"/>
  <c r="H121" i="23" a="1"/>
  <c r="H121" i="23" s="1"/>
  <c r="C122" i="23" a="1"/>
  <c r="C122" i="23" s="1"/>
  <c r="D122" i="23" a="1"/>
  <c r="D122" i="23" s="1"/>
  <c r="E122" i="23" a="1"/>
  <c r="E122" i="23" s="1"/>
  <c r="F122" i="23" a="1"/>
  <c r="F122" i="23" s="1"/>
  <c r="G122" i="23" a="1"/>
  <c r="G122" i="23" s="1"/>
  <c r="H122" i="23" a="1"/>
  <c r="H122" i="23" s="1"/>
  <c r="C123" i="23" a="1"/>
  <c r="C123" i="23" s="1"/>
  <c r="D123" i="23" a="1"/>
  <c r="D123" i="23" s="1"/>
  <c r="E123" i="23" a="1"/>
  <c r="E123" i="23" s="1"/>
  <c r="F123" i="23" a="1"/>
  <c r="F123" i="23" s="1"/>
  <c r="G123" i="23" a="1"/>
  <c r="G123" i="23" s="1"/>
  <c r="H123" i="23" a="1"/>
  <c r="H123" i="23" s="1"/>
  <c r="C124" i="23" a="1"/>
  <c r="C124" i="23" s="1"/>
  <c r="D124" i="23" a="1"/>
  <c r="D124" i="23" s="1"/>
  <c r="E124" i="23" a="1"/>
  <c r="E124" i="23" s="1"/>
  <c r="F124" i="23" a="1"/>
  <c r="F124" i="23" s="1"/>
  <c r="G124" i="23" a="1"/>
  <c r="G124" i="23" s="1"/>
  <c r="H124" i="23" a="1"/>
  <c r="H124" i="23" s="1"/>
  <c r="C125" i="23" a="1"/>
  <c r="C125" i="23" s="1"/>
  <c r="D125" i="23" a="1"/>
  <c r="D125" i="23" s="1"/>
  <c r="E125" i="23" a="1"/>
  <c r="E125" i="23" s="1"/>
  <c r="F125" i="23" a="1"/>
  <c r="F125" i="23" s="1"/>
  <c r="G125" i="23" a="1"/>
  <c r="G125" i="23" s="1"/>
  <c r="H125" i="23" a="1"/>
  <c r="H125" i="23" s="1"/>
  <c r="C126" i="23" a="1"/>
  <c r="C126" i="23" s="1"/>
  <c r="D126" i="23" a="1"/>
  <c r="D126" i="23" s="1"/>
  <c r="E126" i="23" a="1"/>
  <c r="E126" i="23" s="1"/>
  <c r="F126" i="23" a="1"/>
  <c r="F126" i="23" s="1"/>
  <c r="G126" i="23" a="1"/>
  <c r="G126" i="23" s="1"/>
  <c r="H126" i="23" a="1"/>
  <c r="H126" i="23" s="1"/>
  <c r="C127" i="23" a="1"/>
  <c r="C127" i="23" s="1"/>
  <c r="D127" i="23" a="1"/>
  <c r="D127" i="23" s="1"/>
  <c r="E127" i="23" a="1"/>
  <c r="E127" i="23" s="1"/>
  <c r="F127" i="23" a="1"/>
  <c r="F127" i="23" s="1"/>
  <c r="G127" i="23" a="1"/>
  <c r="G127" i="23" s="1"/>
  <c r="H127" i="23" a="1"/>
  <c r="H127" i="23" s="1"/>
  <c r="C128" i="23" a="1"/>
  <c r="C128" i="23" s="1"/>
  <c r="D128" i="23" a="1"/>
  <c r="D128" i="23" s="1"/>
  <c r="E128" i="23" a="1"/>
  <c r="E128" i="23" s="1"/>
  <c r="F128" i="23" a="1"/>
  <c r="F128" i="23" s="1"/>
  <c r="G128" i="23" a="1"/>
  <c r="G128" i="23" s="1"/>
  <c r="H128" i="23" a="1"/>
  <c r="H128" i="23" s="1"/>
  <c r="C129" i="23" a="1"/>
  <c r="C129" i="23" s="1"/>
  <c r="D129" i="23" a="1"/>
  <c r="D129" i="23" s="1"/>
  <c r="E129" i="23" a="1"/>
  <c r="E129" i="23" s="1"/>
  <c r="F129" i="23" a="1"/>
  <c r="F129" i="23" s="1"/>
  <c r="G129" i="23" a="1"/>
  <c r="G129" i="23" s="1"/>
  <c r="H129" i="23" a="1"/>
  <c r="H129" i="23" s="1"/>
  <c r="C130" i="23" a="1"/>
  <c r="C130" i="23" s="1"/>
  <c r="D130" i="23" a="1"/>
  <c r="D130" i="23" s="1"/>
  <c r="E130" i="23" a="1"/>
  <c r="E130" i="23" s="1"/>
  <c r="F130" i="23" a="1"/>
  <c r="F130" i="23" s="1"/>
  <c r="G130" i="23" a="1"/>
  <c r="G130" i="23" s="1"/>
  <c r="H130" i="23" a="1"/>
  <c r="H130" i="23" s="1"/>
  <c r="C131" i="23" a="1"/>
  <c r="C131" i="23" s="1"/>
  <c r="D131" i="23" a="1"/>
  <c r="D131" i="23" s="1"/>
  <c r="E131" i="23" a="1"/>
  <c r="E131" i="23" s="1"/>
  <c r="F131" i="23" a="1"/>
  <c r="F131" i="23" s="1"/>
  <c r="G131" i="23" a="1"/>
  <c r="G131" i="23" s="1"/>
  <c r="H131" i="23" a="1"/>
  <c r="H131" i="23" s="1"/>
  <c r="C132" i="23" a="1"/>
  <c r="C132" i="23" s="1"/>
  <c r="D132" i="23" a="1"/>
  <c r="D132" i="23" s="1"/>
  <c r="E132" i="23" a="1"/>
  <c r="E132" i="23" s="1"/>
  <c r="F132" i="23" a="1"/>
  <c r="F132" i="23" s="1"/>
  <c r="G132" i="23" a="1"/>
  <c r="G132" i="23" s="1"/>
  <c r="H132" i="23" a="1"/>
  <c r="H132" i="23" s="1"/>
  <c r="C133" i="23" a="1"/>
  <c r="C133" i="23" s="1"/>
  <c r="D133" i="23" a="1"/>
  <c r="D133" i="23" s="1"/>
  <c r="E133" i="23" a="1"/>
  <c r="E133" i="23" s="1"/>
  <c r="F133" i="23" a="1"/>
  <c r="F133" i="23" s="1"/>
  <c r="G133" i="23" a="1"/>
  <c r="G133" i="23" s="1"/>
  <c r="H133" i="23" a="1"/>
  <c r="H133" i="23" s="1"/>
  <c r="C134" i="23" a="1"/>
  <c r="C134" i="23" s="1"/>
  <c r="D134" i="23" a="1"/>
  <c r="D134" i="23" s="1"/>
  <c r="E134" i="23" a="1"/>
  <c r="E134" i="23" s="1"/>
  <c r="F134" i="23" a="1"/>
  <c r="F134" i="23" s="1"/>
  <c r="G134" i="23" a="1"/>
  <c r="G134" i="23" s="1"/>
  <c r="H134" i="23" a="1"/>
  <c r="H134" i="23" s="1"/>
  <c r="C135" i="23" a="1"/>
  <c r="C135" i="23" s="1"/>
  <c r="D135" i="23" a="1"/>
  <c r="D135" i="23" s="1"/>
  <c r="E135" i="23" a="1"/>
  <c r="E135" i="23" s="1"/>
  <c r="F135" i="23" a="1"/>
  <c r="F135" i="23" s="1"/>
  <c r="G135" i="23" a="1"/>
  <c r="G135" i="23" s="1"/>
  <c r="H135" i="23" a="1"/>
  <c r="H135" i="23" s="1"/>
  <c r="C136" i="23" a="1"/>
  <c r="C136" i="23" s="1"/>
  <c r="D136" i="23" a="1"/>
  <c r="D136" i="23" s="1"/>
  <c r="E136" i="23" a="1"/>
  <c r="E136" i="23" s="1"/>
  <c r="F136" i="23" a="1"/>
  <c r="F136" i="23" s="1"/>
  <c r="G136" i="23" a="1"/>
  <c r="G136" i="23" s="1"/>
  <c r="H136" i="23" a="1"/>
  <c r="H136" i="23" s="1"/>
  <c r="C137" i="23" a="1"/>
  <c r="C137" i="23" s="1"/>
  <c r="D137" i="23" a="1"/>
  <c r="D137" i="23" s="1"/>
  <c r="E137" i="23" a="1"/>
  <c r="E137" i="23" s="1"/>
  <c r="F137" i="23" a="1"/>
  <c r="F137" i="23" s="1"/>
  <c r="G137" i="23" a="1"/>
  <c r="G137" i="23" s="1"/>
  <c r="H137" i="23" a="1"/>
  <c r="H137" i="23" s="1"/>
  <c r="C138" i="23" a="1"/>
  <c r="C138" i="23" s="1"/>
  <c r="D138" i="23" a="1"/>
  <c r="D138" i="23" s="1"/>
  <c r="E138" i="23" a="1"/>
  <c r="E138" i="23" s="1"/>
  <c r="F138" i="23" a="1"/>
  <c r="F138" i="23" s="1"/>
  <c r="G138" i="23" a="1"/>
  <c r="G138" i="23" s="1"/>
  <c r="H138" i="23" a="1"/>
  <c r="H138" i="23" s="1"/>
  <c r="C139" i="23" a="1"/>
  <c r="C139" i="23" s="1"/>
  <c r="D139" i="23" a="1"/>
  <c r="D139" i="23" s="1"/>
  <c r="E139" i="23" a="1"/>
  <c r="E139" i="23" s="1"/>
  <c r="F139" i="23" a="1"/>
  <c r="F139" i="23" s="1"/>
  <c r="G139" i="23" a="1"/>
  <c r="G139" i="23" s="1"/>
  <c r="H139" i="23" a="1"/>
  <c r="H139" i="23" s="1"/>
  <c r="C140" i="23" a="1"/>
  <c r="C140" i="23" s="1"/>
  <c r="D140" i="23" a="1"/>
  <c r="D140" i="23" s="1"/>
  <c r="E140" i="23" a="1"/>
  <c r="E140" i="23" s="1"/>
  <c r="F140" i="23" a="1"/>
  <c r="F140" i="23" s="1"/>
  <c r="G140" i="23" a="1"/>
  <c r="G140" i="23" s="1"/>
  <c r="H140" i="23" a="1"/>
  <c r="H140" i="23" s="1"/>
  <c r="C141" i="23" a="1"/>
  <c r="C141" i="23" s="1"/>
  <c r="D141" i="23" a="1"/>
  <c r="D141" i="23" s="1"/>
  <c r="E141" i="23" a="1"/>
  <c r="E141" i="23" s="1"/>
  <c r="F141" i="23" a="1"/>
  <c r="F141" i="23" s="1"/>
  <c r="G141" i="23" a="1"/>
  <c r="G141" i="23" s="1"/>
  <c r="H141" i="23" a="1"/>
  <c r="H141" i="23" s="1"/>
  <c r="C142" i="23" a="1"/>
  <c r="C142" i="23" s="1"/>
  <c r="D142" i="23" a="1"/>
  <c r="D142" i="23" s="1"/>
  <c r="E142" i="23" a="1"/>
  <c r="E142" i="23" s="1"/>
  <c r="F142" i="23" a="1"/>
  <c r="F142" i="23" s="1"/>
  <c r="G142" i="23" a="1"/>
  <c r="G142" i="23" s="1"/>
  <c r="H142" i="23" a="1"/>
  <c r="H142" i="23" s="1"/>
  <c r="C143" i="23" a="1"/>
  <c r="C143" i="23" s="1"/>
  <c r="D143" i="23" a="1"/>
  <c r="D143" i="23" s="1"/>
  <c r="E143" i="23" a="1"/>
  <c r="E143" i="23" s="1"/>
  <c r="F143" i="23" a="1"/>
  <c r="F143" i="23" s="1"/>
  <c r="G143" i="23" a="1"/>
  <c r="G143" i="23" s="1"/>
  <c r="H143" i="23" a="1"/>
  <c r="H143" i="23" s="1"/>
  <c r="C144" i="23" a="1"/>
  <c r="C144" i="23" s="1"/>
  <c r="D144" i="23" a="1"/>
  <c r="D144" i="23" s="1"/>
  <c r="E144" i="23" a="1"/>
  <c r="E144" i="23" s="1"/>
  <c r="F144" i="23" a="1"/>
  <c r="F144" i="23" s="1"/>
  <c r="G144" i="23" a="1"/>
  <c r="G144" i="23" s="1"/>
  <c r="H144" i="23" a="1"/>
  <c r="H144" i="23" s="1"/>
  <c r="C145" i="23" a="1"/>
  <c r="C145" i="23" s="1"/>
  <c r="D145" i="23" a="1"/>
  <c r="D145" i="23" s="1"/>
  <c r="E145" i="23" a="1"/>
  <c r="E145" i="23" s="1"/>
  <c r="F145" i="23" a="1"/>
  <c r="F145" i="23" s="1"/>
  <c r="G145" i="23" a="1"/>
  <c r="G145" i="23" s="1"/>
  <c r="H145" i="23" a="1"/>
  <c r="H145" i="23" s="1"/>
  <c r="C146" i="23" a="1"/>
  <c r="C146" i="23" s="1"/>
  <c r="D146" i="23" a="1"/>
  <c r="D146" i="23" s="1"/>
  <c r="E146" i="23" a="1"/>
  <c r="E146" i="23" s="1"/>
  <c r="F146" i="23" a="1"/>
  <c r="F146" i="23" s="1"/>
  <c r="G146" i="23" a="1"/>
  <c r="G146" i="23" s="1"/>
  <c r="H146" i="23" a="1"/>
  <c r="H146" i="23" s="1"/>
  <c r="C147" i="23" a="1"/>
  <c r="C147" i="23" s="1"/>
  <c r="D147" i="23" a="1"/>
  <c r="D147" i="23" s="1"/>
  <c r="E147" i="23" a="1"/>
  <c r="E147" i="23" s="1"/>
  <c r="F147" i="23" a="1"/>
  <c r="F147" i="23" s="1"/>
  <c r="G147" i="23" a="1"/>
  <c r="G147" i="23" s="1"/>
  <c r="H147" i="23" a="1"/>
  <c r="H147" i="23" s="1"/>
  <c r="C148" i="23" a="1"/>
  <c r="C148" i="23" s="1"/>
  <c r="D148" i="23" a="1"/>
  <c r="D148" i="23" s="1"/>
  <c r="E148" i="23" a="1"/>
  <c r="E148" i="23" s="1"/>
  <c r="F148" i="23" a="1"/>
  <c r="F148" i="23" s="1"/>
  <c r="G148" i="23" a="1"/>
  <c r="G148" i="23" s="1"/>
  <c r="H148" i="23" a="1"/>
  <c r="H148" i="23" s="1"/>
  <c r="C149" i="23" a="1"/>
  <c r="C149" i="23" s="1"/>
  <c r="D149" i="23" a="1"/>
  <c r="D149" i="23" s="1"/>
  <c r="E149" i="23" a="1"/>
  <c r="E149" i="23" s="1"/>
  <c r="F149" i="23" a="1"/>
  <c r="F149" i="23" s="1"/>
  <c r="G149" i="23" a="1"/>
  <c r="G149" i="23" s="1"/>
  <c r="H149" i="23" a="1"/>
  <c r="H149" i="23" s="1"/>
  <c r="C150" i="23" a="1"/>
  <c r="C150" i="23" s="1"/>
  <c r="D150" i="23" a="1"/>
  <c r="D150" i="23" s="1"/>
  <c r="E150" i="23" a="1"/>
  <c r="E150" i="23" s="1"/>
  <c r="F150" i="23" a="1"/>
  <c r="F150" i="23" s="1"/>
  <c r="G150" i="23" a="1"/>
  <c r="G150" i="23" s="1"/>
  <c r="H150" i="23" a="1"/>
  <c r="H150" i="23" s="1"/>
  <c r="C151" i="23" a="1"/>
  <c r="C151" i="23" s="1"/>
  <c r="D151" i="23" a="1"/>
  <c r="D151" i="23" s="1"/>
  <c r="E151" i="23" a="1"/>
  <c r="E151" i="23" s="1"/>
  <c r="F151" i="23" a="1"/>
  <c r="F151" i="23" s="1"/>
  <c r="G151" i="23" a="1"/>
  <c r="G151" i="23" s="1"/>
  <c r="H151" i="23" a="1"/>
  <c r="H151" i="23" s="1"/>
  <c r="C152" i="23" a="1"/>
  <c r="C152" i="23" s="1"/>
  <c r="D152" i="23" a="1"/>
  <c r="D152" i="23" s="1"/>
  <c r="E152" i="23" a="1"/>
  <c r="E152" i="23" s="1"/>
  <c r="F152" i="23" a="1"/>
  <c r="F152" i="23" s="1"/>
  <c r="G152" i="23" a="1"/>
  <c r="G152" i="23" s="1"/>
  <c r="H152" i="23" a="1"/>
  <c r="H152" i="23" s="1"/>
  <c r="C153" i="23" a="1"/>
  <c r="C153" i="23" s="1"/>
  <c r="D153" i="23" a="1"/>
  <c r="D153" i="23" s="1"/>
  <c r="E153" i="23" a="1"/>
  <c r="E153" i="23" s="1"/>
  <c r="F153" i="23" a="1"/>
  <c r="F153" i="23" s="1"/>
  <c r="G153" i="23" a="1"/>
  <c r="G153" i="23" s="1"/>
  <c r="H153" i="23" a="1"/>
  <c r="H153" i="23" s="1"/>
  <c r="C154" i="23" a="1"/>
  <c r="C154" i="23" s="1"/>
  <c r="D154" i="23" a="1"/>
  <c r="D154" i="23" s="1"/>
  <c r="E154" i="23" a="1"/>
  <c r="E154" i="23" s="1"/>
  <c r="F154" i="23" a="1"/>
  <c r="F154" i="23" s="1"/>
  <c r="G154" i="23" a="1"/>
  <c r="G154" i="23" s="1"/>
  <c r="H154" i="23" a="1"/>
  <c r="H154" i="23" s="1"/>
  <c r="C155" i="23" a="1"/>
  <c r="C155" i="23" s="1"/>
  <c r="D155" i="23" a="1"/>
  <c r="D155" i="23" s="1"/>
  <c r="E155" i="23" a="1"/>
  <c r="E155" i="23" s="1"/>
  <c r="F155" i="23" a="1"/>
  <c r="F155" i="23" s="1"/>
  <c r="G155" i="23" a="1"/>
  <c r="G155" i="23" s="1"/>
  <c r="H155" i="23" a="1"/>
  <c r="H155" i="23" s="1"/>
  <c r="C156" i="23" a="1"/>
  <c r="C156" i="23" s="1"/>
  <c r="D156" i="23" a="1"/>
  <c r="D156" i="23" s="1"/>
  <c r="E156" i="23" a="1"/>
  <c r="E156" i="23" s="1"/>
  <c r="F156" i="23" a="1"/>
  <c r="F156" i="23" s="1"/>
  <c r="G156" i="23" a="1"/>
  <c r="G156" i="23" s="1"/>
  <c r="H156" i="23" a="1"/>
  <c r="H156" i="23" s="1"/>
  <c r="C157" i="23" a="1"/>
  <c r="C157" i="23" s="1"/>
  <c r="D157" i="23" a="1"/>
  <c r="D157" i="23" s="1"/>
  <c r="E157" i="23" a="1"/>
  <c r="E157" i="23" s="1"/>
  <c r="F157" i="23" a="1"/>
  <c r="F157" i="23" s="1"/>
  <c r="G157" i="23" a="1"/>
  <c r="G157" i="23" s="1"/>
  <c r="H157" i="23" a="1"/>
  <c r="H157" i="23" s="1"/>
  <c r="C158" i="23" a="1"/>
  <c r="C158" i="23" s="1"/>
  <c r="D158" i="23" a="1"/>
  <c r="D158" i="23" s="1"/>
  <c r="E158" i="23" a="1"/>
  <c r="E158" i="23" s="1"/>
  <c r="F158" i="23" a="1"/>
  <c r="F158" i="23" s="1"/>
  <c r="G158" i="23" a="1"/>
  <c r="G158" i="23" s="1"/>
  <c r="H158" i="23" a="1"/>
  <c r="H158" i="23" s="1"/>
  <c r="C159" i="23" a="1"/>
  <c r="C159" i="23" s="1"/>
  <c r="D159" i="23" a="1"/>
  <c r="D159" i="23" s="1"/>
  <c r="E159" i="23" a="1"/>
  <c r="E159" i="23" s="1"/>
  <c r="F159" i="23" a="1"/>
  <c r="F159" i="23" s="1"/>
  <c r="G159" i="23" a="1"/>
  <c r="G159" i="23" s="1"/>
  <c r="H159" i="23" a="1"/>
  <c r="H159" i="23" s="1"/>
  <c r="C160" i="23" a="1"/>
  <c r="C160" i="23" s="1"/>
  <c r="D160" i="23" a="1"/>
  <c r="D160" i="23" s="1"/>
  <c r="E160" i="23" a="1"/>
  <c r="E160" i="23" s="1"/>
  <c r="F160" i="23" a="1"/>
  <c r="F160" i="23" s="1"/>
  <c r="G160" i="23" a="1"/>
  <c r="G160" i="23" s="1"/>
  <c r="H160" i="23" a="1"/>
  <c r="H160" i="23" s="1"/>
  <c r="C161" i="23" a="1"/>
  <c r="C161" i="23" s="1"/>
  <c r="D161" i="23" a="1"/>
  <c r="D161" i="23" s="1"/>
  <c r="E161" i="23" a="1"/>
  <c r="E161" i="23" s="1"/>
  <c r="F161" i="23" a="1"/>
  <c r="F161" i="23" s="1"/>
  <c r="G161" i="23" a="1"/>
  <c r="G161" i="23" s="1"/>
  <c r="H161" i="23" a="1"/>
  <c r="H161" i="23" s="1"/>
  <c r="C162" i="23" a="1"/>
  <c r="C162" i="23" s="1"/>
  <c r="D162" i="23" a="1"/>
  <c r="D162" i="23" s="1"/>
  <c r="E162" i="23" a="1"/>
  <c r="E162" i="23" s="1"/>
  <c r="F162" i="23" a="1"/>
  <c r="F162" i="23" s="1"/>
  <c r="G162" i="23" a="1"/>
  <c r="G162" i="23" s="1"/>
  <c r="H162" i="23" a="1"/>
  <c r="H162" i="23" s="1"/>
  <c r="C163" i="23" a="1"/>
  <c r="C163" i="23" s="1"/>
  <c r="D163" i="23" a="1"/>
  <c r="D163" i="23" s="1"/>
  <c r="E163" i="23" a="1"/>
  <c r="E163" i="23" s="1"/>
  <c r="F163" i="23" a="1"/>
  <c r="F163" i="23" s="1"/>
  <c r="G163" i="23" a="1"/>
  <c r="G163" i="23" s="1"/>
  <c r="H163" i="23" a="1"/>
  <c r="H163" i="23" s="1"/>
  <c r="C164" i="23" a="1"/>
  <c r="C164" i="23" s="1"/>
  <c r="D164" i="23" a="1"/>
  <c r="D164" i="23" s="1"/>
  <c r="E164" i="23" a="1"/>
  <c r="E164" i="23" s="1"/>
  <c r="F164" i="23" a="1"/>
  <c r="F164" i="23" s="1"/>
  <c r="G164" i="23" a="1"/>
  <c r="G164" i="23" s="1"/>
  <c r="H164" i="23" a="1"/>
  <c r="H164" i="23" s="1"/>
  <c r="C165" i="23" a="1"/>
  <c r="C165" i="23" s="1"/>
  <c r="D165" i="23" a="1"/>
  <c r="D165" i="23" s="1"/>
  <c r="E165" i="23" a="1"/>
  <c r="E165" i="23" s="1"/>
  <c r="F165" i="23" a="1"/>
  <c r="F165" i="23" s="1"/>
  <c r="G165" i="23" a="1"/>
  <c r="G165" i="23" s="1"/>
  <c r="H165" i="23" a="1"/>
  <c r="H165" i="23" s="1"/>
  <c r="C166" i="23" a="1"/>
  <c r="C166" i="23" s="1"/>
  <c r="D166" i="23" a="1"/>
  <c r="D166" i="23" s="1"/>
  <c r="E166" i="23" a="1"/>
  <c r="E166" i="23" s="1"/>
  <c r="F166" i="23" a="1"/>
  <c r="F166" i="23" s="1"/>
  <c r="G166" i="23" a="1"/>
  <c r="G166" i="23" s="1"/>
  <c r="H166" i="23" a="1"/>
  <c r="H166" i="23" s="1"/>
  <c r="C167" i="23" a="1"/>
  <c r="C167" i="23" s="1"/>
  <c r="D167" i="23" a="1"/>
  <c r="D167" i="23" s="1"/>
  <c r="E167" i="23" a="1"/>
  <c r="E167" i="23" s="1"/>
  <c r="F167" i="23" a="1"/>
  <c r="F167" i="23" s="1"/>
  <c r="G167" i="23" a="1"/>
  <c r="G167" i="23" s="1"/>
  <c r="H167" i="23" a="1"/>
  <c r="H167" i="23" s="1"/>
  <c r="C168" i="23" a="1"/>
  <c r="C168" i="23" s="1"/>
  <c r="D168" i="23" a="1"/>
  <c r="D168" i="23" s="1"/>
  <c r="E168" i="23" a="1"/>
  <c r="E168" i="23" s="1"/>
  <c r="F168" i="23" a="1"/>
  <c r="F168" i="23" s="1"/>
  <c r="G168" i="23" a="1"/>
  <c r="G168" i="23" s="1"/>
  <c r="H168" i="23" a="1"/>
  <c r="H168" i="23" s="1"/>
  <c r="C169" i="23" a="1"/>
  <c r="C169" i="23" s="1"/>
  <c r="D169" i="23" a="1"/>
  <c r="D169" i="23" s="1"/>
  <c r="E169" i="23" a="1"/>
  <c r="E169" i="23" s="1"/>
  <c r="F169" i="23" a="1"/>
  <c r="F169" i="23" s="1"/>
  <c r="G169" i="23" a="1"/>
  <c r="G169" i="23" s="1"/>
  <c r="H169" i="23" a="1"/>
  <c r="H169" i="23" s="1"/>
  <c r="C170" i="23" a="1"/>
  <c r="C170" i="23" s="1"/>
  <c r="D170" i="23" a="1"/>
  <c r="D170" i="23" s="1"/>
  <c r="E170" i="23" a="1"/>
  <c r="E170" i="23" s="1"/>
  <c r="F170" i="23" a="1"/>
  <c r="F170" i="23" s="1"/>
  <c r="G170" i="23" a="1"/>
  <c r="G170" i="23" s="1"/>
  <c r="H170" i="23" a="1"/>
  <c r="H170" i="23" s="1"/>
  <c r="C171" i="23" a="1"/>
  <c r="C171" i="23" s="1"/>
  <c r="D171" i="23" a="1"/>
  <c r="D171" i="23" s="1"/>
  <c r="E171" i="23" a="1"/>
  <c r="E171" i="23" s="1"/>
  <c r="F171" i="23" a="1"/>
  <c r="F171" i="23" s="1"/>
  <c r="G171" i="23" a="1"/>
  <c r="G171" i="23" s="1"/>
  <c r="H171" i="23" a="1"/>
  <c r="H171" i="23" s="1"/>
  <c r="C172" i="23" a="1"/>
  <c r="C172" i="23" s="1"/>
  <c r="D172" i="23" a="1"/>
  <c r="D172" i="23" s="1"/>
  <c r="E172" i="23" a="1"/>
  <c r="E172" i="23" s="1"/>
  <c r="F172" i="23" a="1"/>
  <c r="F172" i="23" s="1"/>
  <c r="G172" i="23" a="1"/>
  <c r="G172" i="23" s="1"/>
  <c r="H172" i="23" a="1"/>
  <c r="H172" i="23" s="1"/>
  <c r="C173" i="23" a="1"/>
  <c r="C173" i="23" s="1"/>
  <c r="D173" i="23" a="1"/>
  <c r="D173" i="23" s="1"/>
  <c r="E173" i="23" a="1"/>
  <c r="E173" i="23" s="1"/>
  <c r="F173" i="23" a="1"/>
  <c r="F173" i="23" s="1"/>
  <c r="G173" i="23" a="1"/>
  <c r="G173" i="23" s="1"/>
  <c r="H173" i="23" a="1"/>
  <c r="H173" i="23" s="1"/>
  <c r="C174" i="23" a="1"/>
  <c r="C174" i="23" s="1"/>
  <c r="D174" i="23" a="1"/>
  <c r="D174" i="23" s="1"/>
  <c r="E174" i="23" a="1"/>
  <c r="E174" i="23" s="1"/>
  <c r="F174" i="23" a="1"/>
  <c r="F174" i="23" s="1"/>
  <c r="G174" i="23" a="1"/>
  <c r="G174" i="23" s="1"/>
  <c r="H174" i="23" a="1"/>
  <c r="H174" i="23" s="1"/>
  <c r="C175" i="23" a="1"/>
  <c r="C175" i="23" s="1"/>
  <c r="D175" i="23" a="1"/>
  <c r="D175" i="23" s="1"/>
  <c r="E175" i="23" a="1"/>
  <c r="E175" i="23" s="1"/>
  <c r="F175" i="23" a="1"/>
  <c r="F175" i="23" s="1"/>
  <c r="G175" i="23" a="1"/>
  <c r="G175" i="23" s="1"/>
  <c r="H175" i="23" a="1"/>
  <c r="H175" i="23" s="1"/>
  <c r="C176" i="23" a="1"/>
  <c r="C176" i="23" s="1"/>
  <c r="D176" i="23" a="1"/>
  <c r="D176" i="23" s="1"/>
  <c r="E176" i="23" a="1"/>
  <c r="E176" i="23" s="1"/>
  <c r="F176" i="23" a="1"/>
  <c r="F176" i="23" s="1"/>
  <c r="G176" i="23" a="1"/>
  <c r="G176" i="23" s="1"/>
  <c r="H176" i="23" a="1"/>
  <c r="H176" i="23" s="1"/>
  <c r="C177" i="23" a="1"/>
  <c r="C177" i="23" s="1"/>
  <c r="D177" i="23" a="1"/>
  <c r="D177" i="23" s="1"/>
  <c r="E177" i="23" a="1"/>
  <c r="E177" i="23" s="1"/>
  <c r="F177" i="23" a="1"/>
  <c r="F177" i="23" s="1"/>
  <c r="G177" i="23" a="1"/>
  <c r="G177" i="23" s="1"/>
  <c r="H177" i="23" a="1"/>
  <c r="H177" i="23" s="1"/>
  <c r="C178" i="23" a="1"/>
  <c r="C178" i="23" s="1"/>
  <c r="D178" i="23" a="1"/>
  <c r="D178" i="23" s="1"/>
  <c r="E178" i="23" a="1"/>
  <c r="E178" i="23" s="1"/>
  <c r="F178" i="23" a="1"/>
  <c r="F178" i="23" s="1"/>
  <c r="G178" i="23" a="1"/>
  <c r="G178" i="23" s="1"/>
  <c r="H178" i="23" a="1"/>
  <c r="H178" i="23" s="1"/>
  <c r="C179" i="23" a="1"/>
  <c r="C179" i="23" s="1"/>
  <c r="D179" i="23" a="1"/>
  <c r="D179" i="23" s="1"/>
  <c r="E179" i="23" a="1"/>
  <c r="E179" i="23" s="1"/>
  <c r="F179" i="23" a="1"/>
  <c r="F179" i="23" s="1"/>
  <c r="G179" i="23" a="1"/>
  <c r="G179" i="23" s="1"/>
  <c r="H179" i="23" a="1"/>
  <c r="H179" i="23" s="1"/>
  <c r="C180" i="23" a="1"/>
  <c r="C180" i="23" s="1"/>
  <c r="D180" i="23" a="1"/>
  <c r="D180" i="23" s="1"/>
  <c r="E180" i="23" a="1"/>
  <c r="E180" i="23" s="1"/>
  <c r="F180" i="23" a="1"/>
  <c r="F180" i="23" s="1"/>
  <c r="G180" i="23" a="1"/>
  <c r="G180" i="23" s="1"/>
  <c r="H180" i="23" a="1"/>
  <c r="H180" i="23" s="1"/>
  <c r="C181" i="23" a="1"/>
  <c r="C181" i="23" s="1"/>
  <c r="D181" i="23" a="1"/>
  <c r="D181" i="23" s="1"/>
  <c r="E181" i="23" a="1"/>
  <c r="E181" i="23" s="1"/>
  <c r="F181" i="23" a="1"/>
  <c r="F181" i="23" s="1"/>
  <c r="G181" i="23" a="1"/>
  <c r="G181" i="23" s="1"/>
  <c r="H181" i="23" a="1"/>
  <c r="H181" i="23" s="1"/>
  <c r="C182" i="23" a="1"/>
  <c r="C182" i="23" s="1"/>
  <c r="D182" i="23" a="1"/>
  <c r="D182" i="23" s="1"/>
  <c r="E182" i="23" a="1"/>
  <c r="E182" i="23" s="1"/>
  <c r="F182" i="23" a="1"/>
  <c r="F182" i="23" s="1"/>
  <c r="G182" i="23" a="1"/>
  <c r="G182" i="23" s="1"/>
  <c r="H182" i="23" a="1"/>
  <c r="H182" i="23" s="1"/>
  <c r="C183" i="23" a="1"/>
  <c r="C183" i="23" s="1"/>
  <c r="D183" i="23" a="1"/>
  <c r="D183" i="23" s="1"/>
  <c r="E183" i="23" a="1"/>
  <c r="E183" i="23" s="1"/>
  <c r="F183" i="23" a="1"/>
  <c r="F183" i="23" s="1"/>
  <c r="G183" i="23" a="1"/>
  <c r="G183" i="23" s="1"/>
  <c r="H183" i="23" a="1"/>
  <c r="H183" i="23" s="1"/>
  <c r="C184" i="23" a="1"/>
  <c r="C184" i="23" s="1"/>
  <c r="D184" i="23" a="1"/>
  <c r="D184" i="23" s="1"/>
  <c r="E184" i="23" a="1"/>
  <c r="E184" i="23" s="1"/>
  <c r="F184" i="23" a="1"/>
  <c r="F184" i="23" s="1"/>
  <c r="G184" i="23" a="1"/>
  <c r="G184" i="23" s="1"/>
  <c r="H184" i="23" a="1"/>
  <c r="H184" i="23" s="1"/>
  <c r="C185" i="23" a="1"/>
  <c r="C185" i="23" s="1"/>
  <c r="D185" i="23" a="1"/>
  <c r="D185" i="23" s="1"/>
  <c r="E185" i="23" a="1"/>
  <c r="E185" i="23" s="1"/>
  <c r="F185" i="23" a="1"/>
  <c r="F185" i="23" s="1"/>
  <c r="G185" i="23" a="1"/>
  <c r="G185" i="23" s="1"/>
  <c r="H185" i="23" a="1"/>
  <c r="H185" i="23" s="1"/>
  <c r="C186" i="23" a="1"/>
  <c r="C186" i="23" s="1"/>
  <c r="D186" i="23" a="1"/>
  <c r="D186" i="23" s="1"/>
  <c r="E186" i="23" a="1"/>
  <c r="E186" i="23" s="1"/>
  <c r="F186" i="23" a="1"/>
  <c r="F186" i="23" s="1"/>
  <c r="G186" i="23" a="1"/>
  <c r="G186" i="23" s="1"/>
  <c r="H186" i="23" a="1"/>
  <c r="H186" i="23" s="1"/>
  <c r="C187" i="23" a="1"/>
  <c r="C187" i="23" s="1"/>
  <c r="D187" i="23" a="1"/>
  <c r="D187" i="23" s="1"/>
  <c r="E187" i="23" a="1"/>
  <c r="E187" i="23" s="1"/>
  <c r="F187" i="23" a="1"/>
  <c r="F187" i="23" s="1"/>
  <c r="G187" i="23" a="1"/>
  <c r="G187" i="23" s="1"/>
  <c r="H187" i="23" a="1"/>
  <c r="H187" i="23" s="1"/>
  <c r="C188" i="23" a="1"/>
  <c r="C188" i="23" s="1"/>
  <c r="D188" i="23" a="1"/>
  <c r="D188" i="23" s="1"/>
  <c r="E188" i="23" a="1"/>
  <c r="E188" i="23" s="1"/>
  <c r="F188" i="23" a="1"/>
  <c r="F188" i="23" s="1"/>
  <c r="G188" i="23" a="1"/>
  <c r="G188" i="23" s="1"/>
  <c r="H188" i="23" a="1"/>
  <c r="H188" i="23" s="1"/>
  <c r="C189" i="23" a="1"/>
  <c r="C189" i="23" s="1"/>
  <c r="D189" i="23" a="1"/>
  <c r="D189" i="23" s="1"/>
  <c r="E189" i="23" a="1"/>
  <c r="E189" i="23" s="1"/>
  <c r="F189" i="23" a="1"/>
  <c r="F189" i="23" s="1"/>
  <c r="G189" i="23" a="1"/>
  <c r="G189" i="23" s="1"/>
  <c r="H189" i="23" a="1"/>
  <c r="H189" i="23" s="1"/>
  <c r="C190" i="23" a="1"/>
  <c r="C190" i="23" s="1"/>
  <c r="D190" i="23" a="1"/>
  <c r="D190" i="23" s="1"/>
  <c r="E190" i="23" a="1"/>
  <c r="E190" i="23" s="1"/>
  <c r="F190" i="23" a="1"/>
  <c r="F190" i="23" s="1"/>
  <c r="G190" i="23" a="1"/>
  <c r="G190" i="23" s="1"/>
  <c r="H190" i="23" a="1"/>
  <c r="H190" i="23" s="1"/>
  <c r="C191" i="23" a="1"/>
  <c r="C191" i="23" s="1"/>
  <c r="D191" i="23" a="1"/>
  <c r="D191" i="23" s="1"/>
  <c r="E191" i="23" a="1"/>
  <c r="E191" i="23" s="1"/>
  <c r="F191" i="23" a="1"/>
  <c r="F191" i="23" s="1"/>
  <c r="G191" i="23" a="1"/>
  <c r="G191" i="23" s="1"/>
  <c r="H191" i="23" a="1"/>
  <c r="H191" i="23" s="1"/>
  <c r="C192" i="23" a="1"/>
  <c r="C192" i="23" s="1"/>
  <c r="D192" i="23" a="1"/>
  <c r="D192" i="23" s="1"/>
  <c r="E192" i="23" a="1"/>
  <c r="E192" i="23" s="1"/>
  <c r="F192" i="23" a="1"/>
  <c r="F192" i="23" s="1"/>
  <c r="G192" i="23" a="1"/>
  <c r="G192" i="23" s="1"/>
  <c r="H192" i="23" a="1"/>
  <c r="H192" i="23" s="1"/>
  <c r="C193" i="23" a="1"/>
  <c r="C193" i="23" s="1"/>
  <c r="D193" i="23" a="1"/>
  <c r="D193" i="23" s="1"/>
  <c r="E193" i="23" a="1"/>
  <c r="E193" i="23" s="1"/>
  <c r="F193" i="23" a="1"/>
  <c r="F193" i="23" s="1"/>
  <c r="G193" i="23" a="1"/>
  <c r="G193" i="23" s="1"/>
  <c r="H193" i="23" a="1"/>
  <c r="H193" i="23" s="1"/>
  <c r="C194" i="23" a="1"/>
  <c r="C194" i="23" s="1"/>
  <c r="D194" i="23" a="1"/>
  <c r="D194" i="23" s="1"/>
  <c r="E194" i="23" a="1"/>
  <c r="E194" i="23" s="1"/>
  <c r="F194" i="23" a="1"/>
  <c r="F194" i="23" s="1"/>
  <c r="G194" i="23" a="1"/>
  <c r="G194" i="23" s="1"/>
  <c r="H194" i="23" a="1"/>
  <c r="H194" i="23" s="1"/>
  <c r="C195" i="23" a="1"/>
  <c r="C195" i="23" s="1"/>
  <c r="D195" i="23" a="1"/>
  <c r="D195" i="23" s="1"/>
  <c r="E195" i="23" a="1"/>
  <c r="E195" i="23" s="1"/>
  <c r="F195" i="23" a="1"/>
  <c r="F195" i="23" s="1"/>
  <c r="G195" i="23" a="1"/>
  <c r="G195" i="23" s="1"/>
  <c r="H195" i="23" a="1"/>
  <c r="H195" i="23" s="1"/>
  <c r="C196" i="23" a="1"/>
  <c r="C196" i="23" s="1"/>
  <c r="D196" i="23" a="1"/>
  <c r="D196" i="23" s="1"/>
  <c r="E196" i="23" a="1"/>
  <c r="E196" i="23" s="1"/>
  <c r="F196" i="23" a="1"/>
  <c r="F196" i="23" s="1"/>
  <c r="G196" i="23" a="1"/>
  <c r="G196" i="23" s="1"/>
  <c r="H196" i="23" a="1"/>
  <c r="H196" i="23" s="1"/>
  <c r="C197" i="23" a="1"/>
  <c r="C197" i="23" s="1"/>
  <c r="D197" i="23" a="1"/>
  <c r="D197" i="23" s="1"/>
  <c r="E197" i="23" a="1"/>
  <c r="E197" i="23" s="1"/>
  <c r="F197" i="23" a="1"/>
  <c r="F197" i="23" s="1"/>
  <c r="G197" i="23" a="1"/>
  <c r="G197" i="23" s="1"/>
  <c r="H197" i="23" a="1"/>
  <c r="H197" i="23" s="1"/>
  <c r="C198" i="23" a="1"/>
  <c r="C198" i="23" s="1"/>
  <c r="D198" i="23" a="1"/>
  <c r="D198" i="23" s="1"/>
  <c r="E198" i="23" a="1"/>
  <c r="E198" i="23" s="1"/>
  <c r="F198" i="23" a="1"/>
  <c r="F198" i="23" s="1"/>
  <c r="G198" i="23" a="1"/>
  <c r="G198" i="23" s="1"/>
  <c r="H198" i="23" a="1"/>
  <c r="H198" i="23" s="1"/>
  <c r="C199" i="23" a="1"/>
  <c r="C199" i="23" s="1"/>
  <c r="D199" i="23" a="1"/>
  <c r="D199" i="23" s="1"/>
  <c r="E199" i="23" a="1"/>
  <c r="E199" i="23" s="1"/>
  <c r="F199" i="23" a="1"/>
  <c r="F199" i="23" s="1"/>
  <c r="G199" i="23" a="1"/>
  <c r="G199" i="23" s="1"/>
  <c r="H199" i="23" a="1"/>
  <c r="H199" i="23" s="1"/>
  <c r="C200" i="23" a="1"/>
  <c r="C200" i="23" s="1"/>
  <c r="D200" i="23" a="1"/>
  <c r="D200" i="23" s="1"/>
  <c r="E200" i="23" a="1"/>
  <c r="E200" i="23" s="1"/>
  <c r="F200" i="23" a="1"/>
  <c r="F200" i="23" s="1"/>
  <c r="G200" i="23" a="1"/>
  <c r="G200" i="23" s="1"/>
  <c r="H200" i="23" a="1"/>
  <c r="H200" i="23" s="1"/>
  <c r="C201" i="23" a="1"/>
  <c r="C201" i="23" s="1"/>
  <c r="D201" i="23" a="1"/>
  <c r="D201" i="23" s="1"/>
  <c r="E201" i="23" a="1"/>
  <c r="E201" i="23" s="1"/>
  <c r="F201" i="23" a="1"/>
  <c r="F201" i="23" s="1"/>
  <c r="G201" i="23" a="1"/>
  <c r="G201" i="23" s="1"/>
  <c r="H201" i="23" a="1"/>
  <c r="H201" i="23" s="1"/>
  <c r="C202" i="23" a="1"/>
  <c r="C202" i="23" s="1"/>
  <c r="D202" i="23" a="1"/>
  <c r="D202" i="23" s="1"/>
  <c r="E202" i="23" a="1"/>
  <c r="E202" i="23" s="1"/>
  <c r="F202" i="23" a="1"/>
  <c r="F202" i="23" s="1"/>
  <c r="G202" i="23" a="1"/>
  <c r="G202" i="23" s="1"/>
  <c r="H202" i="23" a="1"/>
  <c r="H202" i="23" s="1"/>
  <c r="C203" i="23" a="1"/>
  <c r="C203" i="23" s="1"/>
  <c r="D203" i="23" a="1"/>
  <c r="D203" i="23" s="1"/>
  <c r="E203" i="23" a="1"/>
  <c r="E203" i="23" s="1"/>
  <c r="F203" i="23" a="1"/>
  <c r="F203" i="23" s="1"/>
  <c r="G203" i="23" a="1"/>
  <c r="G203" i="23" s="1"/>
  <c r="H203" i="23" a="1"/>
  <c r="H203" i="23" s="1"/>
  <c r="C204" i="23" a="1"/>
  <c r="C204" i="23" s="1"/>
  <c r="D204" i="23" a="1"/>
  <c r="D204" i="23" s="1"/>
  <c r="E204" i="23" a="1"/>
  <c r="E204" i="23" s="1"/>
  <c r="F204" i="23" a="1"/>
  <c r="F204" i="23" s="1"/>
  <c r="G204" i="23" a="1"/>
  <c r="G204" i="23" s="1"/>
  <c r="H204" i="23" a="1"/>
  <c r="H204" i="23" s="1"/>
  <c r="C205" i="23" a="1"/>
  <c r="C205" i="23" s="1"/>
  <c r="D205" i="23" a="1"/>
  <c r="D205" i="23" s="1"/>
  <c r="E205" i="23" a="1"/>
  <c r="E205" i="23" s="1"/>
  <c r="F205" i="23" a="1"/>
  <c r="F205" i="23" s="1"/>
  <c r="G205" i="23" a="1"/>
  <c r="G205" i="23" s="1"/>
  <c r="H205" i="23" a="1"/>
  <c r="H205" i="23" s="1"/>
  <c r="C206" i="23" a="1"/>
  <c r="C206" i="23" s="1"/>
  <c r="D206" i="23" a="1"/>
  <c r="D206" i="23" s="1"/>
  <c r="E206" i="23" a="1"/>
  <c r="E206" i="23" s="1"/>
  <c r="F206" i="23" a="1"/>
  <c r="F206" i="23" s="1"/>
  <c r="G206" i="23" a="1"/>
  <c r="G206" i="23" s="1"/>
  <c r="H206" i="23" a="1"/>
  <c r="H206" i="23" s="1"/>
  <c r="C207" i="23" a="1"/>
  <c r="C207" i="23" s="1"/>
  <c r="D207" i="23" a="1"/>
  <c r="D207" i="23" s="1"/>
  <c r="E207" i="23" a="1"/>
  <c r="E207" i="23" s="1"/>
  <c r="F207" i="23" a="1"/>
  <c r="F207" i="23" s="1"/>
  <c r="G207" i="23" a="1"/>
  <c r="G207" i="23" s="1"/>
  <c r="H207" i="23" a="1"/>
  <c r="H207" i="23" s="1"/>
  <c r="C208" i="23" a="1"/>
  <c r="C208" i="23" s="1"/>
  <c r="D208" i="23" a="1"/>
  <c r="D208" i="23" s="1"/>
  <c r="E208" i="23" a="1"/>
  <c r="E208" i="23" s="1"/>
  <c r="F208" i="23" a="1"/>
  <c r="F208" i="23" s="1"/>
  <c r="G208" i="23" a="1"/>
  <c r="G208" i="23" s="1"/>
  <c r="H208" i="23" a="1"/>
  <c r="H208" i="23" s="1"/>
  <c r="C209" i="23" a="1"/>
  <c r="C209" i="23" s="1"/>
  <c r="D209" i="23" a="1"/>
  <c r="D209" i="23" s="1"/>
  <c r="E209" i="23" a="1"/>
  <c r="E209" i="23" s="1"/>
  <c r="F209" i="23" a="1"/>
  <c r="F209" i="23" s="1"/>
  <c r="G209" i="23" a="1"/>
  <c r="G209" i="23" s="1"/>
  <c r="H209" i="23" a="1"/>
  <c r="H209" i="23" s="1"/>
  <c r="C210" i="23" a="1"/>
  <c r="C210" i="23" s="1"/>
  <c r="D210" i="23" a="1"/>
  <c r="D210" i="23" s="1"/>
  <c r="E210" i="23" a="1"/>
  <c r="E210" i="23" s="1"/>
  <c r="F210" i="23" a="1"/>
  <c r="F210" i="23" s="1"/>
  <c r="G210" i="23" a="1"/>
  <c r="G210" i="23" s="1"/>
  <c r="H210" i="23" a="1"/>
  <c r="H210" i="23" s="1"/>
  <c r="C211" i="23" a="1"/>
  <c r="C211" i="23" s="1"/>
  <c r="D211" i="23" a="1"/>
  <c r="D211" i="23" s="1"/>
  <c r="E211" i="23" a="1"/>
  <c r="E211" i="23" s="1"/>
  <c r="F211" i="23" a="1"/>
  <c r="F211" i="23" s="1"/>
  <c r="G211" i="23" a="1"/>
  <c r="G211" i="23" s="1"/>
  <c r="H211" i="23" a="1"/>
  <c r="H211" i="23" s="1"/>
  <c r="C212" i="23" a="1"/>
  <c r="C212" i="23" s="1"/>
  <c r="D212" i="23" a="1"/>
  <c r="D212" i="23" s="1"/>
  <c r="E212" i="23" a="1"/>
  <c r="E212" i="23" s="1"/>
  <c r="F212" i="23" a="1"/>
  <c r="F212" i="23" s="1"/>
  <c r="G212" i="23" a="1"/>
  <c r="G212" i="23" s="1"/>
  <c r="H212" i="23" a="1"/>
  <c r="H212" i="23" s="1"/>
  <c r="C213" i="23" a="1"/>
  <c r="C213" i="23" s="1"/>
  <c r="D213" i="23" a="1"/>
  <c r="D213" i="23" s="1"/>
  <c r="E213" i="23" a="1"/>
  <c r="E213" i="23" s="1"/>
  <c r="F213" i="23" a="1"/>
  <c r="F213" i="23" s="1"/>
  <c r="G213" i="23" a="1"/>
  <c r="G213" i="23" s="1"/>
  <c r="H213" i="23" a="1"/>
  <c r="H213" i="23" s="1"/>
  <c r="C214" i="23" a="1"/>
  <c r="C214" i="23" s="1"/>
  <c r="D214" i="23" a="1"/>
  <c r="D214" i="23" s="1"/>
  <c r="E214" i="23" a="1"/>
  <c r="E214" i="23" s="1"/>
  <c r="F214" i="23" a="1"/>
  <c r="F214" i="23" s="1"/>
  <c r="G214" i="23" a="1"/>
  <c r="G214" i="23" s="1"/>
  <c r="H214" i="23" a="1"/>
  <c r="H214" i="23" s="1"/>
  <c r="L30" i="24" l="1"/>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29" i="24"/>
  <c r="L28" i="24"/>
  <c r="L20" i="24"/>
  <c r="L21" i="24"/>
  <c r="L22" i="24"/>
  <c r="L23" i="24"/>
  <c r="L24" i="24"/>
  <c r="L8" i="24"/>
  <c r="L9" i="24"/>
  <c r="L10" i="24"/>
  <c r="L11" i="24"/>
  <c r="L12" i="24"/>
  <c r="L13" i="24"/>
  <c r="L14" i="24"/>
  <c r="L15" i="24"/>
  <c r="L16" i="24"/>
  <c r="L17" i="24"/>
  <c r="L18" i="24"/>
  <c r="AH71" i="15" l="1"/>
  <c r="AG71" i="15"/>
  <c r="AH70" i="15"/>
  <c r="AG70" i="15"/>
  <c r="AH35" i="15"/>
  <c r="AG35" i="15"/>
  <c r="AG36" i="15"/>
  <c r="AH36" i="15"/>
  <c r="I50" i="2" l="1"/>
  <c r="I51" i="2"/>
  <c r="J50" i="2"/>
  <c r="J51" i="2"/>
  <c r="G87" i="2"/>
  <c r="H87" i="2" s="1"/>
  <c r="I87" i="2"/>
  <c r="J87" i="2"/>
  <c r="G88" i="2"/>
  <c r="H88" i="2" s="1"/>
  <c r="I88" i="2"/>
  <c r="J88" i="2"/>
  <c r="G50" i="2"/>
  <c r="H50" i="2" s="1"/>
  <c r="G51" i="2"/>
  <c r="H51" i="2" s="1"/>
  <c r="F62" i="2"/>
  <c r="F66" i="2"/>
  <c r="F67" i="2"/>
  <c r="F68" i="2"/>
  <c r="F69" i="2"/>
  <c r="F71" i="2"/>
  <c r="F72" i="2"/>
  <c r="F73" i="2"/>
  <c r="F74" i="2"/>
  <c r="F75" i="2"/>
  <c r="F76" i="2"/>
  <c r="F77" i="2"/>
  <c r="F78" i="2"/>
  <c r="F79" i="2"/>
  <c r="F80" i="2"/>
  <c r="F81" i="2"/>
  <c r="F82" i="2"/>
  <c r="F83" i="2"/>
  <c r="F84" i="2"/>
  <c r="F85" i="2"/>
  <c r="F86" i="2"/>
  <c r="B87" i="2"/>
  <c r="C87" i="2"/>
  <c r="D87" i="2"/>
  <c r="E87" i="2"/>
  <c r="F87" i="2"/>
  <c r="B88" i="2"/>
  <c r="C88" i="2"/>
  <c r="D88" i="2"/>
  <c r="E88" i="2"/>
  <c r="F88" i="2"/>
  <c r="G42" i="15"/>
  <c r="B59" i="2"/>
  <c r="C59" i="2"/>
  <c r="D59" i="2"/>
  <c r="E59" i="2"/>
  <c r="I59" i="2"/>
  <c r="J59" i="2"/>
  <c r="G59" i="2"/>
  <c r="AG42" i="15"/>
  <c r="G43" i="15"/>
  <c r="B60" i="2"/>
  <c r="C60" i="2"/>
  <c r="D60" i="2"/>
  <c r="E60" i="2"/>
  <c r="I60" i="2"/>
  <c r="J60" i="2"/>
  <c r="G60" i="2"/>
  <c r="AG43" i="15"/>
  <c r="G44" i="15"/>
  <c r="F61" i="2" s="1"/>
  <c r="B61" i="2"/>
  <c r="C61" i="2"/>
  <c r="D61" i="2"/>
  <c r="E61" i="2"/>
  <c r="I61" i="2"/>
  <c r="J61" i="2"/>
  <c r="G61" i="2"/>
  <c r="AG44" i="15"/>
  <c r="G45" i="15"/>
  <c r="B62" i="2"/>
  <c r="C62" i="2"/>
  <c r="D62" i="2"/>
  <c r="E62" i="2"/>
  <c r="I62" i="2"/>
  <c r="J62" i="2"/>
  <c r="G62" i="2"/>
  <c r="AG45" i="15"/>
  <c r="G46" i="15"/>
  <c r="B63" i="2"/>
  <c r="C63" i="2"/>
  <c r="D63" i="2"/>
  <c r="E63" i="2"/>
  <c r="I63" i="2"/>
  <c r="J63" i="2"/>
  <c r="G63" i="2"/>
  <c r="AG46" i="15"/>
  <c r="G47" i="15"/>
  <c r="F64" i="2" s="1"/>
  <c r="B64" i="2"/>
  <c r="C64" i="2"/>
  <c r="D64" i="2"/>
  <c r="E64" i="2"/>
  <c r="I64" i="2"/>
  <c r="J64" i="2"/>
  <c r="G64" i="2"/>
  <c r="AG47" i="15"/>
  <c r="G48" i="15"/>
  <c r="F65" i="2" s="1"/>
  <c r="B65" i="2"/>
  <c r="C65" i="2"/>
  <c r="D65" i="2"/>
  <c r="E65" i="2"/>
  <c r="I65" i="2"/>
  <c r="J65" i="2"/>
  <c r="G65" i="2"/>
  <c r="AG48" i="15"/>
  <c r="G49" i="15"/>
  <c r="B66" i="2"/>
  <c r="C66" i="2"/>
  <c r="D66" i="2"/>
  <c r="E66" i="2"/>
  <c r="I66" i="2"/>
  <c r="J66" i="2"/>
  <c r="G66" i="2"/>
  <c r="H66" i="2" s="1"/>
  <c r="AG49" i="15"/>
  <c r="G50" i="15"/>
  <c r="B67" i="2"/>
  <c r="C67" i="2"/>
  <c r="D67" i="2"/>
  <c r="E67" i="2"/>
  <c r="I67" i="2"/>
  <c r="J67" i="2"/>
  <c r="G67" i="2"/>
  <c r="H67" i="2" s="1"/>
  <c r="AG50" i="15"/>
  <c r="G51" i="15"/>
  <c r="B68" i="2"/>
  <c r="C68" i="2"/>
  <c r="D68" i="2"/>
  <c r="E68" i="2"/>
  <c r="I68" i="2"/>
  <c r="J68" i="2"/>
  <c r="G68" i="2"/>
  <c r="AG51" i="15"/>
  <c r="G52" i="15"/>
  <c r="AH52" i="15" s="1"/>
  <c r="B69" i="2"/>
  <c r="C69" i="2"/>
  <c r="D69" i="2"/>
  <c r="E69" i="2"/>
  <c r="I69" i="2"/>
  <c r="J69" i="2"/>
  <c r="G69" i="2"/>
  <c r="H69" i="2" s="1"/>
  <c r="AG52" i="15"/>
  <c r="G53" i="15"/>
  <c r="B70" i="2"/>
  <c r="C70" i="2"/>
  <c r="D70" i="2"/>
  <c r="E70" i="2"/>
  <c r="I70" i="2"/>
  <c r="J70" i="2"/>
  <c r="G70" i="2"/>
  <c r="AG53" i="15"/>
  <c r="G54" i="15"/>
  <c r="AH54" i="15" s="1"/>
  <c r="B71" i="2"/>
  <c r="C71" i="2"/>
  <c r="D71" i="2"/>
  <c r="E71" i="2"/>
  <c r="I71" i="2"/>
  <c r="J71" i="2"/>
  <c r="G71" i="2"/>
  <c r="H71" i="2" s="1"/>
  <c r="AG54" i="15"/>
  <c r="G55" i="15"/>
  <c r="AH55" i="15" s="1"/>
  <c r="B72" i="2"/>
  <c r="C72" i="2"/>
  <c r="D72" i="2"/>
  <c r="E72" i="2"/>
  <c r="I72" i="2"/>
  <c r="J72" i="2"/>
  <c r="G72" i="2"/>
  <c r="H72" i="2" s="1"/>
  <c r="AG55" i="15"/>
  <c r="G56" i="15"/>
  <c r="AH56" i="15" s="1"/>
  <c r="B73" i="2"/>
  <c r="C73" i="2"/>
  <c r="D73" i="2"/>
  <c r="E73" i="2"/>
  <c r="I73" i="2"/>
  <c r="J73" i="2"/>
  <c r="G73" i="2"/>
  <c r="H73" i="2" s="1"/>
  <c r="AG56" i="15"/>
  <c r="G57" i="15"/>
  <c r="AH57" i="15" s="1"/>
  <c r="B74" i="2"/>
  <c r="C74" i="2"/>
  <c r="D74" i="2"/>
  <c r="E74" i="2"/>
  <c r="I74" i="2"/>
  <c r="J74" i="2"/>
  <c r="G74" i="2"/>
  <c r="H74" i="2" s="1"/>
  <c r="AG57" i="15"/>
  <c r="G58" i="15"/>
  <c r="AH58" i="15" s="1"/>
  <c r="B75" i="2"/>
  <c r="C75" i="2"/>
  <c r="D75" i="2"/>
  <c r="E75" i="2"/>
  <c r="I75" i="2"/>
  <c r="J75" i="2"/>
  <c r="G75" i="2"/>
  <c r="H75" i="2" s="1"/>
  <c r="AG58" i="15"/>
  <c r="G59" i="15"/>
  <c r="AH59" i="15" s="1"/>
  <c r="B76" i="2"/>
  <c r="C76" i="2"/>
  <c r="D76" i="2"/>
  <c r="E76" i="2"/>
  <c r="I76" i="2"/>
  <c r="J76" i="2"/>
  <c r="G76" i="2"/>
  <c r="H76" i="2" s="1"/>
  <c r="AG59" i="15"/>
  <c r="G60" i="15"/>
  <c r="AH60" i="15" s="1"/>
  <c r="B77" i="2"/>
  <c r="C77" i="2"/>
  <c r="D77" i="2"/>
  <c r="I77" i="2"/>
  <c r="J77" i="2"/>
  <c r="G77" i="2"/>
  <c r="H77" i="2" s="1"/>
  <c r="AG60" i="15"/>
  <c r="G61" i="15"/>
  <c r="AH61" i="15" s="1"/>
  <c r="B78" i="2"/>
  <c r="C78" i="2"/>
  <c r="D78" i="2"/>
  <c r="E78" i="2"/>
  <c r="I78" i="2"/>
  <c r="J78" i="2"/>
  <c r="G78" i="2"/>
  <c r="H78" i="2" s="1"/>
  <c r="AG61" i="15"/>
  <c r="G62" i="15"/>
  <c r="AH62" i="15" s="1"/>
  <c r="B79" i="2"/>
  <c r="D79" i="2"/>
  <c r="E79" i="2"/>
  <c r="I79" i="2"/>
  <c r="J79" i="2"/>
  <c r="G79" i="2"/>
  <c r="H79" i="2" s="1"/>
  <c r="AG62" i="15"/>
  <c r="G63" i="15"/>
  <c r="AH63" i="15" s="1"/>
  <c r="B80" i="2"/>
  <c r="C80" i="2"/>
  <c r="D80" i="2"/>
  <c r="E80" i="2"/>
  <c r="I80" i="2"/>
  <c r="J80" i="2"/>
  <c r="G80" i="2"/>
  <c r="H80" i="2" s="1"/>
  <c r="AG63" i="15"/>
  <c r="G64" i="15"/>
  <c r="AH64" i="15" s="1"/>
  <c r="B81" i="2"/>
  <c r="C81" i="2"/>
  <c r="D81" i="2"/>
  <c r="E81" i="2"/>
  <c r="I81" i="2"/>
  <c r="J81" i="2"/>
  <c r="G81" i="2"/>
  <c r="H81" i="2" s="1"/>
  <c r="AG64" i="15"/>
  <c r="G65" i="15"/>
  <c r="AH65" i="15" s="1"/>
  <c r="B82" i="2"/>
  <c r="C82" i="2"/>
  <c r="D82" i="2"/>
  <c r="E82" i="2"/>
  <c r="I82" i="2"/>
  <c r="J82" i="2"/>
  <c r="G82" i="2"/>
  <c r="H82" i="2" s="1"/>
  <c r="AG65" i="15"/>
  <c r="G66" i="15"/>
  <c r="AH66" i="15" s="1"/>
  <c r="B83" i="2"/>
  <c r="C83" i="2"/>
  <c r="E83" i="2"/>
  <c r="I83" i="2"/>
  <c r="J83" i="2"/>
  <c r="G83" i="2"/>
  <c r="H83" i="2" s="1"/>
  <c r="AG66" i="15"/>
  <c r="G67" i="15"/>
  <c r="AH67" i="15" s="1"/>
  <c r="B84" i="2"/>
  <c r="C84" i="2"/>
  <c r="D84" i="2"/>
  <c r="E84" i="2"/>
  <c r="I84" i="2"/>
  <c r="J84" i="2"/>
  <c r="G84" i="2"/>
  <c r="H84" i="2" s="1"/>
  <c r="AG67" i="15"/>
  <c r="G68" i="15"/>
  <c r="AH68" i="15" s="1"/>
  <c r="B85" i="2"/>
  <c r="C85" i="2"/>
  <c r="E85" i="2"/>
  <c r="I85" i="2"/>
  <c r="J85" i="2"/>
  <c r="G85" i="2"/>
  <c r="H85" i="2" s="1"/>
  <c r="AG68" i="15"/>
  <c r="G69" i="15"/>
  <c r="AH69" i="15" s="1"/>
  <c r="B86" i="2"/>
  <c r="C86" i="2"/>
  <c r="E86" i="2"/>
  <c r="I86" i="2"/>
  <c r="J86" i="2"/>
  <c r="G86" i="2"/>
  <c r="H86" i="2" s="1"/>
  <c r="AG69" i="15"/>
  <c r="G41" i="15"/>
  <c r="F58" i="2" s="1"/>
  <c r="B58" i="2"/>
  <c r="C58" i="2"/>
  <c r="D58" i="2"/>
  <c r="I58" i="2"/>
  <c r="J58" i="2"/>
  <c r="G58" i="2"/>
  <c r="AG41" i="15"/>
  <c r="AG40" i="15"/>
  <c r="G57" i="2"/>
  <c r="J57" i="2"/>
  <c r="I57" i="2"/>
  <c r="D57" i="2"/>
  <c r="C57" i="2"/>
  <c r="F51" i="2"/>
  <c r="E51" i="2"/>
  <c r="D51" i="2"/>
  <c r="C51" i="2"/>
  <c r="B51" i="2"/>
  <c r="F50" i="2"/>
  <c r="E50" i="2"/>
  <c r="D50" i="2"/>
  <c r="C50" i="2"/>
  <c r="B50" i="2"/>
  <c r="F49" i="2"/>
  <c r="F48" i="2"/>
  <c r="F47" i="2"/>
  <c r="F46" i="2"/>
  <c r="F45" i="2"/>
  <c r="F44" i="2"/>
  <c r="F42" i="2"/>
  <c r="F40" i="2"/>
  <c r="F39" i="2"/>
  <c r="F37" i="2"/>
  <c r="G23" i="15"/>
  <c r="B38" i="2"/>
  <c r="C38" i="2"/>
  <c r="D38" i="2"/>
  <c r="E38" i="2"/>
  <c r="I38" i="2"/>
  <c r="J38" i="2"/>
  <c r="G38" i="2"/>
  <c r="AG23" i="15"/>
  <c r="G24" i="15"/>
  <c r="AH24" i="15" s="1"/>
  <c r="B39" i="2"/>
  <c r="C39" i="2"/>
  <c r="D39" i="2"/>
  <c r="E39" i="2"/>
  <c r="I39" i="2"/>
  <c r="J39" i="2"/>
  <c r="G39" i="2"/>
  <c r="AG24" i="15"/>
  <c r="G25" i="15"/>
  <c r="AH25" i="15" s="1"/>
  <c r="B40" i="2"/>
  <c r="C40" i="2"/>
  <c r="D40" i="2"/>
  <c r="E40" i="2"/>
  <c r="I40" i="2"/>
  <c r="J40" i="2"/>
  <c r="G40" i="2"/>
  <c r="AG25" i="15"/>
  <c r="G26" i="15"/>
  <c r="B41" i="2"/>
  <c r="C41" i="2"/>
  <c r="D41" i="2"/>
  <c r="E41" i="2"/>
  <c r="I41" i="2"/>
  <c r="J41" i="2"/>
  <c r="G41" i="2"/>
  <c r="AG26" i="15"/>
  <c r="G27" i="15"/>
  <c r="B42" i="2"/>
  <c r="C42" i="2"/>
  <c r="D42" i="2"/>
  <c r="E42" i="2"/>
  <c r="I42" i="2"/>
  <c r="J42" i="2"/>
  <c r="G42" i="2"/>
  <c r="AG27" i="15"/>
  <c r="G28" i="15"/>
  <c r="B43" i="2"/>
  <c r="C43" i="2"/>
  <c r="D43" i="2"/>
  <c r="E43" i="2"/>
  <c r="I43" i="2"/>
  <c r="J43" i="2"/>
  <c r="G43" i="2"/>
  <c r="AG28" i="15"/>
  <c r="G29" i="15"/>
  <c r="AH29" i="15" s="1"/>
  <c r="B44" i="2"/>
  <c r="C44" i="2"/>
  <c r="D44" i="2"/>
  <c r="E44" i="2"/>
  <c r="I44" i="2"/>
  <c r="J44" i="2"/>
  <c r="G44" i="2"/>
  <c r="AG29" i="15"/>
  <c r="G30" i="15"/>
  <c r="AH30" i="15" s="1"/>
  <c r="B45" i="2"/>
  <c r="C45" i="2"/>
  <c r="D45" i="2"/>
  <c r="E45" i="2"/>
  <c r="I45" i="2"/>
  <c r="J45" i="2"/>
  <c r="G45" i="2"/>
  <c r="AG30" i="15"/>
  <c r="G31" i="15"/>
  <c r="AH31" i="15" s="1"/>
  <c r="B46" i="2"/>
  <c r="C46" i="2"/>
  <c r="D46" i="2"/>
  <c r="E46" i="2"/>
  <c r="I46" i="2"/>
  <c r="J46" i="2"/>
  <c r="G46" i="2"/>
  <c r="AG31" i="15"/>
  <c r="G32" i="15"/>
  <c r="B47" i="2"/>
  <c r="C47" i="2"/>
  <c r="D47" i="2"/>
  <c r="I47" i="2"/>
  <c r="J47" i="2"/>
  <c r="G47" i="2"/>
  <c r="AG32" i="15"/>
  <c r="G33" i="15"/>
  <c r="AH33" i="15" s="1"/>
  <c r="B48" i="2"/>
  <c r="C48" i="2"/>
  <c r="D48" i="2"/>
  <c r="E48" i="2"/>
  <c r="I48" i="2"/>
  <c r="J48" i="2"/>
  <c r="G48" i="2"/>
  <c r="AG33" i="15"/>
  <c r="G34" i="15"/>
  <c r="AH34" i="15" s="1"/>
  <c r="B49" i="2"/>
  <c r="C49" i="2"/>
  <c r="D49" i="2"/>
  <c r="E49" i="2"/>
  <c r="I49" i="2"/>
  <c r="J49" i="2"/>
  <c r="G49" i="2"/>
  <c r="AG34" i="15"/>
  <c r="G22" i="15"/>
  <c r="AH22" i="15" s="1"/>
  <c r="B37" i="2"/>
  <c r="C37" i="2"/>
  <c r="D37" i="2"/>
  <c r="I37" i="2"/>
  <c r="J37" i="2"/>
  <c r="G37" i="2"/>
  <c r="AG22" i="15"/>
  <c r="C36" i="2"/>
  <c r="D36" i="2"/>
  <c r="I36" i="2"/>
  <c r="J36" i="2"/>
  <c r="G36" i="2"/>
  <c r="AG21" i="15"/>
  <c r="AG20" i="15"/>
  <c r="J35" i="2"/>
  <c r="I35" i="2"/>
  <c r="G35" i="2"/>
  <c r="D35" i="2"/>
  <c r="C35" i="2"/>
  <c r="B35" i="2"/>
  <c r="G21" i="15"/>
  <c r="AH21" i="15" s="1"/>
  <c r="G20" i="15"/>
  <c r="C46" i="24"/>
  <c r="C47" i="24"/>
  <c r="C48" i="24"/>
  <c r="C49" i="24"/>
  <c r="C50" i="24"/>
  <c r="C51" i="24"/>
  <c r="C52" i="24"/>
  <c r="C53" i="24"/>
  <c r="C54" i="24"/>
  <c r="C55" i="24"/>
  <c r="C56" i="24"/>
  <c r="C57" i="24"/>
  <c r="B58" i="24"/>
  <c r="C58" i="24"/>
  <c r="B59" i="24"/>
  <c r="C59" i="24"/>
  <c r="C57" i="18"/>
  <c r="B58" i="18"/>
  <c r="C58" i="18"/>
  <c r="B59" i="18"/>
  <c r="C59" i="18"/>
  <c r="B57" i="2"/>
  <c r="B36" i="2"/>
  <c r="H58" i="2" l="1"/>
  <c r="F36" i="2"/>
  <c r="AH53" i="15"/>
  <c r="F70" i="2"/>
  <c r="H70" i="2" s="1"/>
  <c r="AH27" i="15"/>
  <c r="AH50" i="15"/>
  <c r="AH26" i="15"/>
  <c r="F41" i="2"/>
  <c r="H41" i="2" s="1"/>
  <c r="H61" i="2"/>
  <c r="AH49" i="15"/>
  <c r="H65" i="2"/>
  <c r="AH46" i="15"/>
  <c r="AH42" i="15"/>
  <c r="AH48" i="15"/>
  <c r="H62" i="2"/>
  <c r="AH44" i="15"/>
  <c r="F63" i="2"/>
  <c r="H63" i="2"/>
  <c r="AH45" i="15"/>
  <c r="F59" i="2"/>
  <c r="H59" i="2" s="1"/>
  <c r="AH51" i="15"/>
  <c r="H68" i="2"/>
  <c r="AH47" i="15"/>
  <c r="H64" i="2"/>
  <c r="AH43" i="15"/>
  <c r="F60" i="2"/>
  <c r="H60" i="2" s="1"/>
  <c r="AH28" i="15"/>
  <c r="AH23" i="15"/>
  <c r="E47" i="2"/>
  <c r="AH32" i="15"/>
  <c r="F43" i="2"/>
  <c r="H43" i="2" s="1"/>
  <c r="F38" i="2"/>
  <c r="H48" i="2"/>
  <c r="H46" i="2"/>
  <c r="H45" i="2"/>
  <c r="H44" i="2"/>
  <c r="H42" i="2"/>
  <c r="H40" i="2"/>
  <c r="H38" i="2"/>
  <c r="H49" i="2"/>
  <c r="E58" i="2"/>
  <c r="AH41" i="15"/>
  <c r="AH40" i="15"/>
  <c r="F57" i="2"/>
  <c r="H57" i="2" s="1"/>
  <c r="AH20" i="15"/>
  <c r="F35" i="2"/>
  <c r="H35" i="2" s="1"/>
  <c r="H36" i="2"/>
  <c r="H47" i="2"/>
  <c r="H39" i="2"/>
  <c r="H37" i="2"/>
  <c r="E36" i="2"/>
  <c r="E77" i="2"/>
  <c r="B49" i="24"/>
  <c r="E37" i="2"/>
  <c r="E35" i="2"/>
  <c r="B50" i="24"/>
  <c r="B55" i="24"/>
  <c r="C79" i="2"/>
  <c r="B53" i="24"/>
  <c r="B51" i="24"/>
  <c r="B46" i="24"/>
  <c r="B57" i="24"/>
  <c r="B52" i="24"/>
  <c r="B47" i="24"/>
  <c r="E57" i="2"/>
  <c r="B57" i="18"/>
  <c r="B56" i="24"/>
  <c r="B54" i="24"/>
  <c r="D86" i="2"/>
  <c r="D85" i="2"/>
  <c r="D83" i="2"/>
  <c r="B48" i="24"/>
  <c r="J84" i="23" l="1" a="1"/>
  <c r="J84" i="23" s="1"/>
  <c r="K15" i="23" a="1"/>
  <c r="K15" i="23" s="1"/>
  <c r="O17" i="23" a="1"/>
  <c r="O17" i="23" s="1"/>
  <c r="M20" i="23" a="1"/>
  <c r="M20" i="23" s="1"/>
  <c r="K23" i="23" a="1"/>
  <c r="K23" i="23" s="1"/>
  <c r="O25" i="23" a="1"/>
  <c r="O25" i="23" s="1"/>
  <c r="M28" i="23" a="1"/>
  <c r="M28" i="23" s="1"/>
  <c r="K31" i="23" a="1"/>
  <c r="K31" i="23" s="1"/>
  <c r="O33" i="23" a="1"/>
  <c r="O33" i="23" s="1"/>
  <c r="N16" i="23" a="1"/>
  <c r="N16" i="23" s="1"/>
  <c r="N18" i="23" a="1"/>
  <c r="N18" i="23" s="1"/>
  <c r="N20" i="23" a="1"/>
  <c r="N20" i="23" s="1"/>
  <c r="N22" i="23" a="1"/>
  <c r="N22" i="23" s="1"/>
  <c r="N24" i="23" a="1"/>
  <c r="N24" i="23" s="1"/>
  <c r="N26" i="23" a="1"/>
  <c r="N26" i="23" s="1"/>
  <c r="N28" i="23" a="1"/>
  <c r="N28" i="23" s="1"/>
  <c r="N30" i="23" a="1"/>
  <c r="N30" i="23" s="1"/>
  <c r="J33" i="23" a="1"/>
  <c r="J33" i="23" s="1"/>
  <c r="K16" i="23" a="1"/>
  <c r="K16" i="23" s="1"/>
  <c r="O18" i="23" a="1"/>
  <c r="O18" i="23" s="1"/>
  <c r="M21" i="23" a="1"/>
  <c r="M21" i="23" s="1"/>
  <c r="K24" i="23" a="1"/>
  <c r="K24" i="23" s="1"/>
  <c r="O26" i="23" a="1"/>
  <c r="O26" i="23" s="1"/>
  <c r="M29" i="23" a="1"/>
  <c r="M29" i="23" s="1"/>
  <c r="J32" i="23" a="1"/>
  <c r="J32" i="23" s="1"/>
  <c r="O35" i="23" a="1"/>
  <c r="O35" i="23" s="1"/>
  <c r="P16" i="23" a="1"/>
  <c r="P16" i="23" s="1"/>
  <c r="P18" i="23" a="1"/>
  <c r="P18" i="23" s="1"/>
  <c r="P20" i="23" a="1"/>
  <c r="P20" i="23" s="1"/>
  <c r="P22" i="23" a="1"/>
  <c r="P22" i="23" s="1"/>
  <c r="P24" i="23" a="1"/>
  <c r="P24" i="23" s="1"/>
  <c r="P26" i="23" a="1"/>
  <c r="P26" i="23" s="1"/>
  <c r="P28" i="23" a="1"/>
  <c r="P28" i="23" s="1"/>
  <c r="P30" i="23" a="1"/>
  <c r="P30" i="23" s="1"/>
  <c r="O32" i="23" a="1"/>
  <c r="O32" i="23" s="1"/>
  <c r="M35" i="23" a="1"/>
  <c r="M35" i="23" s="1"/>
  <c r="L40" i="23" a="1"/>
  <c r="L40" i="23" s="1"/>
  <c r="K43" i="23" a="1"/>
  <c r="K43" i="23" s="1"/>
  <c r="O45" i="23" a="1"/>
  <c r="O45" i="23" s="1"/>
  <c r="J48" i="23" a="1"/>
  <c r="J48" i="23" s="1"/>
  <c r="K52" i="23" a="1"/>
  <c r="K52" i="23" s="1"/>
  <c r="L56" i="23" a="1"/>
  <c r="L56" i="23" s="1"/>
  <c r="M61" i="23" a="1"/>
  <c r="M61" i="23" s="1"/>
  <c r="N34" i="23" a="1"/>
  <c r="N34" i="23" s="1"/>
  <c r="J38" i="23" a="1"/>
  <c r="J38" i="23" s="1"/>
  <c r="J41" i="23" a="1"/>
  <c r="J41" i="23" s="1"/>
  <c r="K44" i="23" a="1"/>
  <c r="K44" i="23" s="1"/>
  <c r="N46" i="23" a="1"/>
  <c r="N46" i="23" s="1"/>
  <c r="M51" i="23" a="1"/>
  <c r="M51" i="23" s="1"/>
  <c r="N55" i="23" a="1"/>
  <c r="N55" i="23" s="1"/>
  <c r="O60" i="23" a="1"/>
  <c r="O60" i="23" s="1"/>
  <c r="J69" i="23" a="1"/>
  <c r="J69" i="23" s="1"/>
  <c r="J37" i="23" a="1"/>
  <c r="J37" i="23" s="1"/>
  <c r="J39" i="23" a="1"/>
  <c r="J39" i="23" s="1"/>
  <c r="J42" i="23" a="1"/>
  <c r="J42" i="23" s="1"/>
  <c r="K46" i="23" a="1"/>
  <c r="K46" i="23" s="1"/>
  <c r="M49" i="23" a="1"/>
  <c r="M49" i="23" s="1"/>
  <c r="O54" i="23" a="1"/>
  <c r="O54" i="23" s="1"/>
  <c r="P58" i="23" a="1"/>
  <c r="P58" i="23" s="1"/>
  <c r="J63" i="23" a="1"/>
  <c r="J63" i="23" s="1"/>
  <c r="M68" i="23" a="1"/>
  <c r="M68" i="23" s="1"/>
  <c r="P33" i="23" a="1"/>
  <c r="P33" i="23" s="1"/>
  <c r="K36" i="23" a="1"/>
  <c r="K36" i="23" s="1"/>
  <c r="P39" i="23" a="1"/>
  <c r="P39" i="23" s="1"/>
  <c r="O42" i="23" a="1"/>
  <c r="O42" i="23" s="1"/>
  <c r="P47" i="23" a="1"/>
  <c r="P47" i="23" s="1"/>
  <c r="P51" i="23" a="1"/>
  <c r="P51" i="23" s="1"/>
  <c r="J56" i="23" a="1"/>
  <c r="J56" i="23" s="1"/>
  <c r="K61" i="23" a="1"/>
  <c r="K61" i="23" s="1"/>
  <c r="P65" i="23" a="1"/>
  <c r="P65" i="23" s="1"/>
  <c r="J35" i="23" a="1"/>
  <c r="J35" i="23" s="1"/>
  <c r="L37" i="23" a="1"/>
  <c r="L37" i="23" s="1"/>
  <c r="O39" i="23" a="1"/>
  <c r="O39" i="23" s="1"/>
  <c r="P41" i="23" a="1"/>
  <c r="P41" i="23" s="1"/>
  <c r="M43" i="23" a="1"/>
  <c r="M43" i="23" s="1"/>
  <c r="L46" i="23" a="1"/>
  <c r="L46" i="23" s="1"/>
  <c r="K48" i="23" a="1"/>
  <c r="K48" i="23" s="1"/>
  <c r="L51" i="23" a="1"/>
  <c r="L51" i="23" s="1"/>
  <c r="L53" i="23" a="1"/>
  <c r="L53" i="23" s="1"/>
  <c r="P55" i="23" a="1"/>
  <c r="P55" i="23" s="1"/>
  <c r="J58" i="23" a="1"/>
  <c r="J58" i="23" s="1"/>
  <c r="J60" i="23" a="1"/>
  <c r="J60" i="23" s="1"/>
  <c r="N62" i="23" a="1"/>
  <c r="N62" i="23" s="1"/>
  <c r="K65" i="23" a="1"/>
  <c r="K65" i="23" s="1"/>
  <c r="L67" i="23" a="1"/>
  <c r="L67" i="23" s="1"/>
  <c r="L69" i="23" a="1"/>
  <c r="L69" i="23" s="1"/>
  <c r="J72" i="23" a="1"/>
  <c r="J72" i="23" s="1"/>
  <c r="K74" i="23" a="1"/>
  <c r="K74" i="23" s="1"/>
  <c r="P76" i="23" a="1"/>
  <c r="P76" i="23" s="1"/>
  <c r="O80" i="23" a="1"/>
  <c r="O80" i="23" s="1"/>
  <c r="L84" i="23" a="1"/>
  <c r="L84" i="23" s="1"/>
  <c r="K97" i="23" a="1"/>
  <c r="K97" i="23" s="1"/>
  <c r="J103" i="23" a="1"/>
  <c r="J103" i="23" s="1"/>
  <c r="N112" i="23" a="1"/>
  <c r="N112" i="23" s="1"/>
  <c r="O125" i="23" a="1"/>
  <c r="O125" i="23" s="1"/>
  <c r="O71" i="23" a="1"/>
  <c r="O71" i="23" s="1"/>
  <c r="L74" i="23" a="1"/>
  <c r="L74" i="23" s="1"/>
  <c r="O77" i="23" a="1"/>
  <c r="O77" i="23" s="1"/>
  <c r="K81" i="23" a="1"/>
  <c r="K81" i="23" s="1"/>
  <c r="M86" i="23" a="1"/>
  <c r="M86" i="23" s="1"/>
  <c r="L95" i="23" a="1"/>
  <c r="L95" i="23" s="1"/>
  <c r="N103" i="23" a="1"/>
  <c r="N103" i="23" s="1"/>
  <c r="J113" i="23" a="1"/>
  <c r="J113" i="23" s="1"/>
  <c r="N127" i="23" a="1"/>
  <c r="N127" i="23" s="1"/>
  <c r="M47" i="23" a="1"/>
  <c r="M47" i="23" s="1"/>
  <c r="P49" i="23" a="1"/>
  <c r="P49" i="23" s="1"/>
  <c r="J52" i="23" a="1"/>
  <c r="J52" i="23" s="1"/>
  <c r="N54" i="23" a="1"/>
  <c r="N54" i="23" s="1"/>
  <c r="K57" i="23" a="1"/>
  <c r="K57" i="23" s="1"/>
  <c r="L59" i="23" a="1"/>
  <c r="L59" i="23" s="1"/>
  <c r="L61" i="23" a="1"/>
  <c r="L61" i="23" s="1"/>
  <c r="P63" i="23" a="1"/>
  <c r="P63" i="23" s="1"/>
  <c r="J66" i="23" a="1"/>
  <c r="J66" i="23" s="1"/>
  <c r="J68" i="23" a="1"/>
  <c r="J68" i="23" s="1"/>
  <c r="N70" i="23" a="1"/>
  <c r="N70" i="23" s="1"/>
  <c r="O72" i="23" a="1"/>
  <c r="O72" i="23" s="1"/>
  <c r="M76" i="23" a="1"/>
  <c r="M76" i="23" s="1"/>
  <c r="J79" i="23" a="1"/>
  <c r="J79" i="23" s="1"/>
  <c r="P86" i="23" a="1"/>
  <c r="P86" i="23" s="1"/>
  <c r="K91" i="23" a="1"/>
  <c r="K91" i="23" s="1"/>
  <c r="J102" i="23" a="1"/>
  <c r="J102" i="23" s="1"/>
  <c r="O111" i="23" a="1"/>
  <c r="O111" i="23" s="1"/>
  <c r="K123" i="23" a="1"/>
  <c r="K123" i="23" s="1"/>
  <c r="K178" i="23" a="1"/>
  <c r="K178" i="23" s="1"/>
  <c r="K66" i="23" a="1"/>
  <c r="K66" i="23" s="1"/>
  <c r="O68" i="23" a="1"/>
  <c r="O68" i="23" s="1"/>
  <c r="J71" i="23" a="1"/>
  <c r="J71" i="23" s="1"/>
  <c r="K73" i="23" a="1"/>
  <c r="K73" i="23" s="1"/>
  <c r="K75" i="23" a="1"/>
  <c r="K75" i="23" s="1"/>
  <c r="M77" i="23" a="1"/>
  <c r="M77" i="23" s="1"/>
  <c r="N81" i="23" a="1"/>
  <c r="N81" i="23" s="1"/>
  <c r="N91" i="23" a="1"/>
  <c r="N91" i="23" s="1"/>
  <c r="L101" i="23" a="1"/>
  <c r="L101" i="23" s="1"/>
  <c r="M108" i="23" a="1"/>
  <c r="M108" i="23" s="1"/>
  <c r="J116" i="23" a="1"/>
  <c r="J116" i="23" s="1"/>
  <c r="N138" i="23" a="1"/>
  <c r="N138" i="23" s="1"/>
  <c r="L75" i="23" a="1"/>
  <c r="L75" i="23" s="1"/>
  <c r="P77" i="23" a="1"/>
  <c r="P77" i="23" s="1"/>
  <c r="N79" i="23" a="1"/>
  <c r="N79" i="23" s="1"/>
  <c r="L81" i="23" a="1"/>
  <c r="L81" i="23" s="1"/>
  <c r="K84" i="23" a="1"/>
  <c r="K84" i="23" s="1"/>
  <c r="O86" i="23" a="1"/>
  <c r="O86" i="23" s="1"/>
  <c r="M88" i="23" a="1"/>
  <c r="M88" i="23" s="1"/>
  <c r="N90" i="23" a="1"/>
  <c r="N90" i="23" s="1"/>
  <c r="L93" i="23" a="1"/>
  <c r="L93" i="23" s="1"/>
  <c r="K95" i="23" a="1"/>
  <c r="K95" i="23" s="1"/>
  <c r="N97" i="23" a="1"/>
  <c r="N97" i="23" s="1"/>
  <c r="P99" i="23" a="1"/>
  <c r="P99" i="23" s="1"/>
  <c r="M102" i="23" a="1"/>
  <c r="M102" i="23" s="1"/>
  <c r="M104" i="23" a="1"/>
  <c r="M104" i="23" s="1"/>
  <c r="P106" i="23" a="1"/>
  <c r="P106" i="23" s="1"/>
  <c r="L109" i="23" a="1"/>
  <c r="L109" i="23" s="1"/>
  <c r="N111" i="23" a="1"/>
  <c r="N111" i="23" s="1"/>
  <c r="P113" i="23" a="1"/>
  <c r="P113" i="23" s="1"/>
  <c r="P115" i="23" a="1"/>
  <c r="P115" i="23" s="1"/>
  <c r="M118" i="23" a="1"/>
  <c r="M118" i="23" s="1"/>
  <c r="K121" i="23" a="1"/>
  <c r="K121" i="23" s="1"/>
  <c r="N123" i="23" a="1"/>
  <c r="N123" i="23" s="1"/>
  <c r="N134" i="23" a="1"/>
  <c r="N134" i="23" s="1"/>
  <c r="N143" i="23" a="1"/>
  <c r="N143" i="23" s="1"/>
  <c r="K189" i="23" a="1"/>
  <c r="K189" i="23" s="1"/>
  <c r="G102" i="23" a="1"/>
  <c r="G102" i="23" s="1"/>
  <c r="D102" i="23" a="1"/>
  <c r="D102" i="23" s="1"/>
  <c r="F101" i="23" a="1"/>
  <c r="F101" i="23" s="1"/>
  <c r="H100" i="23" a="1"/>
  <c r="H100" i="23" s="1"/>
  <c r="E100" i="23" a="1"/>
  <c r="E100" i="23" s="1"/>
  <c r="G99" i="23" a="1"/>
  <c r="G99" i="23" s="1"/>
  <c r="D99" i="23" a="1"/>
  <c r="D99" i="23" s="1"/>
  <c r="F98" i="23" a="1"/>
  <c r="F98" i="23" s="1"/>
  <c r="H97" i="23" a="1"/>
  <c r="H97" i="23" s="1"/>
  <c r="E97" i="23" a="1"/>
  <c r="E97" i="23" s="1"/>
  <c r="G96" i="23" a="1"/>
  <c r="G96" i="23" s="1"/>
  <c r="F95" i="23" a="1"/>
  <c r="F95" i="23" s="1"/>
  <c r="H94" i="23" a="1"/>
  <c r="H94" i="23" s="1"/>
  <c r="E94" i="23" a="1"/>
  <c r="E94" i="23" s="1"/>
  <c r="G93" i="23" a="1"/>
  <c r="G93" i="23" s="1"/>
  <c r="C93" i="23" a="1"/>
  <c r="C93" i="23" s="1"/>
  <c r="F92" i="23" a="1"/>
  <c r="F92" i="23" s="1"/>
  <c r="E91" i="23" a="1"/>
  <c r="E91" i="23" s="1"/>
  <c r="B90" i="23" a="1"/>
  <c r="B90" i="23" s="1"/>
  <c r="G89" i="23" a="1"/>
  <c r="G89" i="23" s="1"/>
  <c r="H88" i="23" a="1"/>
  <c r="H88" i="23" s="1"/>
  <c r="E88" i="23" a="1"/>
  <c r="E88" i="23" s="1"/>
  <c r="F87" i="23" a="1"/>
  <c r="F87" i="23" s="1"/>
  <c r="C87" i="23" a="1"/>
  <c r="C87" i="23" s="1"/>
  <c r="G86" i="23" a="1"/>
  <c r="G86" i="23" s="1"/>
  <c r="D86" i="23" a="1"/>
  <c r="D86" i="23" s="1"/>
  <c r="H85" i="23" a="1"/>
  <c r="H85" i="23" s="1"/>
  <c r="E85" i="23" a="1"/>
  <c r="E85" i="23" s="1"/>
  <c r="B85" i="23" a="1"/>
  <c r="B85" i="23" s="1"/>
  <c r="F84" i="23" a="1"/>
  <c r="F84" i="23" s="1"/>
  <c r="C84" i="23" a="1"/>
  <c r="C84" i="23" s="1"/>
  <c r="D83" i="23" a="1"/>
  <c r="D83" i="23" s="1"/>
  <c r="F102" i="23" a="1"/>
  <c r="F102" i="23" s="1"/>
  <c r="C102" i="23" a="1"/>
  <c r="C102" i="23" s="1"/>
  <c r="E101" i="23" a="1"/>
  <c r="E101" i="23" s="1"/>
  <c r="D100" i="23" a="1"/>
  <c r="D100" i="23" s="1"/>
  <c r="F99" i="23" a="1"/>
  <c r="F99" i="23" s="1"/>
  <c r="C99" i="23" a="1"/>
  <c r="C99" i="23" s="1"/>
  <c r="E98" i="23" a="1"/>
  <c r="E98" i="23" s="1"/>
  <c r="G97" i="23" a="1"/>
  <c r="G97" i="23" s="1"/>
  <c r="D97" i="23" a="1"/>
  <c r="D97" i="23" s="1"/>
  <c r="F96" i="23" a="1"/>
  <c r="F96" i="23" s="1"/>
  <c r="C96" i="23" a="1"/>
  <c r="C96" i="23" s="1"/>
  <c r="E95" i="23" a="1"/>
  <c r="E95" i="23" s="1"/>
  <c r="G94" i="23" a="1"/>
  <c r="G94" i="23" s="1"/>
  <c r="D94" i="23" a="1"/>
  <c r="D94" i="23" s="1"/>
  <c r="F93" i="23" a="1"/>
  <c r="F93" i="23" s="1"/>
  <c r="H92" i="23" a="1"/>
  <c r="H92" i="23" s="1"/>
  <c r="E92" i="23" a="1"/>
  <c r="E92" i="23" s="1"/>
  <c r="H91" i="23" a="1"/>
  <c r="H91" i="23" s="1"/>
  <c r="H90" i="23" a="1"/>
  <c r="H90" i="23" s="1"/>
  <c r="E90" i="23" a="1"/>
  <c r="E90" i="23" s="1"/>
  <c r="F89" i="23" a="1"/>
  <c r="F89" i="23" s="1"/>
  <c r="C89" i="23" a="1"/>
  <c r="C89" i="23" s="1"/>
  <c r="G88" i="23" a="1"/>
  <c r="G88" i="23" s="1"/>
  <c r="D88" i="23" a="1"/>
  <c r="D88" i="23" s="1"/>
  <c r="H87" i="23" a="1"/>
  <c r="H87" i="23" s="1"/>
  <c r="E87" i="23" a="1"/>
  <c r="E87" i="23" s="1"/>
  <c r="B87" i="23" a="1"/>
  <c r="B87" i="23" s="1"/>
  <c r="F86" i="23" a="1"/>
  <c r="F86" i="23" s="1"/>
  <c r="C86" i="23" a="1"/>
  <c r="C86" i="23" s="1"/>
  <c r="D85" i="23" a="1"/>
  <c r="D85" i="23" s="1"/>
  <c r="B84" i="23" a="1"/>
  <c r="B84" i="23" s="1"/>
  <c r="G83" i="23" a="1"/>
  <c r="G83" i="23" s="1"/>
  <c r="H82" i="23" a="1"/>
  <c r="H82" i="23" s="1"/>
  <c r="E82" i="23" a="1"/>
  <c r="E82" i="23" s="1"/>
  <c r="H102" i="23" a="1"/>
  <c r="H102" i="23" s="1"/>
  <c r="E102" i="23" a="1"/>
  <c r="E102" i="23" s="1"/>
  <c r="G101" i="23" a="1"/>
  <c r="G101" i="23" s="1"/>
  <c r="C101" i="23" a="1"/>
  <c r="C101" i="23" s="1"/>
  <c r="F100" i="23" a="1"/>
  <c r="F100" i="23" s="1"/>
  <c r="H99" i="23" a="1"/>
  <c r="H99" i="23" s="1"/>
  <c r="G98" i="23" a="1"/>
  <c r="G98" i="23" s="1"/>
  <c r="C98" i="23" a="1"/>
  <c r="C98" i="23" s="1"/>
  <c r="F97" i="23" a="1"/>
  <c r="F97" i="23" s="1"/>
  <c r="H96" i="23" a="1"/>
  <c r="H96" i="23" s="1"/>
  <c r="D96" i="23" a="1"/>
  <c r="D96" i="23" s="1"/>
  <c r="G95" i="23" a="1"/>
  <c r="G95" i="23" s="1"/>
  <c r="C95" i="23" a="1"/>
  <c r="C95" i="23" s="1"/>
  <c r="H93" i="23" a="1"/>
  <c r="H93" i="23" s="1"/>
  <c r="D93" i="23" a="1"/>
  <c r="D93" i="23" s="1"/>
  <c r="G92" i="23" a="1"/>
  <c r="G92" i="23" s="1"/>
  <c r="C92" i="23" a="1"/>
  <c r="C92" i="23" s="1"/>
  <c r="F91" i="23" a="1"/>
  <c r="F91" i="23" s="1"/>
  <c r="C91" i="23" a="1"/>
  <c r="C91" i="23" s="1"/>
  <c r="F90" i="23" a="1"/>
  <c r="F90" i="23" s="1"/>
  <c r="C90" i="23" a="1"/>
  <c r="C90" i="23" s="1"/>
  <c r="D89" i="23" a="1"/>
  <c r="D89" i="23" s="1"/>
  <c r="B88" i="23" a="1"/>
  <c r="B88" i="23" s="1"/>
  <c r="G87" i="23" a="1"/>
  <c r="G87" i="23" s="1"/>
  <c r="H86" i="23" a="1"/>
  <c r="H86" i="23" s="1"/>
  <c r="E86" i="23" a="1"/>
  <c r="E86" i="23" s="1"/>
  <c r="F85" i="23" a="1"/>
  <c r="F85" i="23" s="1"/>
  <c r="C85" i="23" a="1"/>
  <c r="C85" i="23" s="1"/>
  <c r="G84" i="23" a="1"/>
  <c r="G84" i="23" s="1"/>
  <c r="D84" i="23" a="1"/>
  <c r="D84" i="23" s="1"/>
  <c r="H83" i="23" a="1"/>
  <c r="H83" i="23" s="1"/>
  <c r="E83" i="23" a="1"/>
  <c r="E83" i="23" s="1"/>
  <c r="B83" i="23" a="1"/>
  <c r="B83" i="23" s="1"/>
  <c r="F82" i="23" a="1"/>
  <c r="F82" i="23" s="1"/>
  <c r="C82" i="23" a="1"/>
  <c r="C82" i="23" s="1"/>
  <c r="D81" i="23" a="1"/>
  <c r="D81" i="23" s="1"/>
  <c r="B80" i="23" a="1"/>
  <c r="B80" i="23" s="1"/>
  <c r="G79" i="23" a="1"/>
  <c r="G79" i="23" s="1"/>
  <c r="G78" i="23" a="1"/>
  <c r="G78" i="23" s="1"/>
  <c r="D78" i="23" a="1"/>
  <c r="D78" i="23" s="1"/>
  <c r="E77" i="23" a="1"/>
  <c r="E77" i="23" s="1"/>
  <c r="B77" i="23" a="1"/>
  <c r="B77" i="23" s="1"/>
  <c r="G76" i="23" a="1"/>
  <c r="G76" i="23" s="1"/>
  <c r="C76" i="23" a="1"/>
  <c r="C76" i="23" s="1"/>
  <c r="E75" i="23" a="1"/>
  <c r="E75" i="23" s="1"/>
  <c r="H98" i="23" a="1"/>
  <c r="H98" i="23" s="1"/>
  <c r="E96" i="23" a="1"/>
  <c r="E96" i="23" s="1"/>
  <c r="D95" i="23" a="1"/>
  <c r="D95" i="23" s="1"/>
  <c r="C94" i="23" a="1"/>
  <c r="C94" i="23" s="1"/>
  <c r="B89" i="23" a="1"/>
  <c r="B89" i="23" s="1"/>
  <c r="C88" i="23" a="1"/>
  <c r="C88" i="23" s="1"/>
  <c r="D87" i="23" a="1"/>
  <c r="D87" i="23" s="1"/>
  <c r="G85" i="23" a="1"/>
  <c r="G85" i="23" s="1"/>
  <c r="H84" i="23" a="1"/>
  <c r="H84" i="23" s="1"/>
  <c r="H81" i="23" a="1"/>
  <c r="H81" i="23" s="1"/>
  <c r="E80" i="23" a="1"/>
  <c r="E80" i="23" s="1"/>
  <c r="F79" i="23" a="1"/>
  <c r="F79" i="23" s="1"/>
  <c r="B79" i="23" a="1"/>
  <c r="B79" i="23" s="1"/>
  <c r="F78" i="23" a="1"/>
  <c r="F78" i="23" s="1"/>
  <c r="C78" i="23" a="1"/>
  <c r="C78" i="23" s="1"/>
  <c r="H77" i="23" a="1"/>
  <c r="H77" i="23" s="1"/>
  <c r="E76" i="23" a="1"/>
  <c r="E76" i="23" s="1"/>
  <c r="F75" i="23" a="1"/>
  <c r="F75" i="23" s="1"/>
  <c r="B75" i="23" a="1"/>
  <c r="B75" i="23" s="1"/>
  <c r="C74" i="23" a="1"/>
  <c r="C74" i="23" s="1"/>
  <c r="G73" i="23" a="1"/>
  <c r="G73" i="23" s="1"/>
  <c r="H72" i="23" a="1"/>
  <c r="H72" i="23" s="1"/>
  <c r="E72" i="23" a="1"/>
  <c r="E72" i="23" s="1"/>
  <c r="F71" i="23" a="1"/>
  <c r="F71" i="23" s="1"/>
  <c r="C71" i="23" a="1"/>
  <c r="C71" i="23" s="1"/>
  <c r="G70" i="23" a="1"/>
  <c r="G70" i="23" s="1"/>
  <c r="G69" i="23" a="1"/>
  <c r="G69" i="23" s="1"/>
  <c r="C69" i="23" a="1"/>
  <c r="C69" i="23" s="1"/>
  <c r="G68" i="23" a="1"/>
  <c r="G68" i="23" s="1"/>
  <c r="C68" i="23" a="1"/>
  <c r="C68" i="23" s="1"/>
  <c r="F67" i="23" a="1"/>
  <c r="F67" i="23" s="1"/>
  <c r="C67" i="23" a="1"/>
  <c r="C67" i="23" s="1"/>
  <c r="F66" i="23" a="1"/>
  <c r="F66" i="23" s="1"/>
  <c r="C66" i="23" a="1"/>
  <c r="C66" i="23" s="1"/>
  <c r="F65" i="23" a="1"/>
  <c r="F65" i="23" s="1"/>
  <c r="B65" i="23" a="1"/>
  <c r="B65" i="23" s="1"/>
  <c r="H101" i="23" a="1"/>
  <c r="H101" i="23" s="1"/>
  <c r="G100" i="23" a="1"/>
  <c r="G100" i="23" s="1"/>
  <c r="E99" i="23" a="1"/>
  <c r="E99" i="23" s="1"/>
  <c r="D98" i="23" a="1"/>
  <c r="D98" i="23" s="1"/>
  <c r="C97" i="23" a="1"/>
  <c r="C97" i="23" s="1"/>
  <c r="B86" i="23" a="1"/>
  <c r="B86" i="23" s="1"/>
  <c r="E84" i="23" a="1"/>
  <c r="E84" i="23" s="1"/>
  <c r="F83" i="23" a="1"/>
  <c r="F83" i="23" s="1"/>
  <c r="D82" i="23" a="1"/>
  <c r="D82" i="23" s="1"/>
  <c r="G81" i="23" a="1"/>
  <c r="G81" i="23" s="1"/>
  <c r="C81" i="23" a="1"/>
  <c r="C81" i="23" s="1"/>
  <c r="H80" i="23" a="1"/>
  <c r="H80" i="23" s="1"/>
  <c r="D80" i="23" a="1"/>
  <c r="D80" i="23" s="1"/>
  <c r="E79" i="23" a="1"/>
  <c r="E79" i="23" s="1"/>
  <c r="B78" i="23" a="1"/>
  <c r="B78" i="23" s="1"/>
  <c r="G77" i="23" a="1"/>
  <c r="G77" i="23" s="1"/>
  <c r="C77" i="23" a="1"/>
  <c r="C77" i="23" s="1"/>
  <c r="H76" i="23" a="1"/>
  <c r="H76" i="23" s="1"/>
  <c r="D76" i="23" a="1"/>
  <c r="D76" i="23" s="1"/>
  <c r="H74" i="23" a="1"/>
  <c r="H74" i="23" s="1"/>
  <c r="E74" i="23" a="1"/>
  <c r="E74" i="23" s="1"/>
  <c r="B74" i="23" a="1"/>
  <c r="B74" i="23" s="1"/>
  <c r="F73" i="23" a="1"/>
  <c r="F73" i="23" s="1"/>
  <c r="C73" i="23" a="1"/>
  <c r="C73" i="23" s="1"/>
  <c r="D72" i="23" a="1"/>
  <c r="D72" i="23" s="1"/>
  <c r="H71" i="23" a="1"/>
  <c r="H71" i="23" s="1"/>
  <c r="E71" i="23" a="1"/>
  <c r="E71" i="23" s="1"/>
  <c r="B71" i="23" a="1"/>
  <c r="B71" i="23" s="1"/>
  <c r="F70" i="23" a="1"/>
  <c r="F70" i="23" s="1"/>
  <c r="C70" i="23" a="1"/>
  <c r="C70" i="23" s="1"/>
  <c r="F69" i="23" a="1"/>
  <c r="F69" i="23" s="1"/>
  <c r="B69" i="23" a="1"/>
  <c r="B69" i="23" s="1"/>
  <c r="F68" i="23" a="1"/>
  <c r="F68" i="23" s="1"/>
  <c r="B68" i="23" a="1"/>
  <c r="B68" i="23" s="1"/>
  <c r="B67" i="23" a="1"/>
  <c r="B67" i="23" s="1"/>
  <c r="E66" i="23" a="1"/>
  <c r="E66" i="23" s="1"/>
  <c r="B66" i="23" a="1"/>
  <c r="B66" i="23" s="1"/>
  <c r="E65" i="23" a="1"/>
  <c r="E65" i="23" s="1"/>
  <c r="H64" i="23" a="1"/>
  <c r="H64" i="23" s="1"/>
  <c r="E64" i="23" a="1"/>
  <c r="E64" i="23" s="1"/>
  <c r="H63" i="23" a="1"/>
  <c r="H63" i="23" s="1"/>
  <c r="E63" i="23" a="1"/>
  <c r="E63" i="23" s="1"/>
  <c r="H62" i="23" a="1"/>
  <c r="H62" i="23" s="1"/>
  <c r="D62" i="23" a="1"/>
  <c r="D62" i="23" s="1"/>
  <c r="H61" i="23" a="1"/>
  <c r="H61" i="23" s="1"/>
  <c r="D61" i="23" a="1"/>
  <c r="D61" i="23" s="1"/>
  <c r="D60" i="23" a="1"/>
  <c r="D60" i="23" s="1"/>
  <c r="G59" i="23" a="1"/>
  <c r="G59" i="23" s="1"/>
  <c r="D59" i="23" a="1"/>
  <c r="D59" i="23" s="1"/>
  <c r="G58" i="23" a="1"/>
  <c r="G58" i="23" s="1"/>
  <c r="G57" i="23" a="1"/>
  <c r="G57" i="23" s="1"/>
  <c r="C57" i="23" a="1"/>
  <c r="C57" i="23" s="1"/>
  <c r="G56" i="23" a="1"/>
  <c r="G56" i="23" s="1"/>
  <c r="C56" i="23" a="1"/>
  <c r="C56" i="23" s="1"/>
  <c r="F55" i="23" a="1"/>
  <c r="F55" i="23" s="1"/>
  <c r="C55" i="23" a="1"/>
  <c r="C55" i="23" s="1"/>
  <c r="F54" i="23" a="1"/>
  <c r="F54" i="23" s="1"/>
  <c r="C54" i="23" a="1"/>
  <c r="C54" i="23" s="1"/>
  <c r="F53" i="23" a="1"/>
  <c r="F53" i="23" s="1"/>
  <c r="B53" i="23" a="1"/>
  <c r="B53" i="23" s="1"/>
  <c r="F52" i="23" a="1"/>
  <c r="F52" i="23" s="1"/>
  <c r="B52" i="23" a="1"/>
  <c r="B52" i="23" s="1"/>
  <c r="B51" i="23" a="1"/>
  <c r="B51" i="23" s="1"/>
  <c r="H50" i="23" a="1"/>
  <c r="H50" i="23" s="1"/>
  <c r="D50" i="23" a="1"/>
  <c r="D50" i="23" s="1"/>
  <c r="H49" i="23" a="1"/>
  <c r="H49" i="23" s="1"/>
  <c r="E49" i="23" a="1"/>
  <c r="E49" i="23" s="1"/>
  <c r="H48" i="23" a="1"/>
  <c r="H48" i="23" s="1"/>
  <c r="B48" i="23" a="1"/>
  <c r="B48" i="23" s="1"/>
  <c r="E47" i="23" a="1"/>
  <c r="E47" i="23" s="1"/>
  <c r="D101" i="23" a="1"/>
  <c r="D101" i="23" s="1"/>
  <c r="C100" i="23" a="1"/>
  <c r="C100" i="23" s="1"/>
  <c r="G91" i="23" a="1"/>
  <c r="G91" i="23" s="1"/>
  <c r="G90" i="23" a="1"/>
  <c r="G90" i="23" s="1"/>
  <c r="H89" i="23" a="1"/>
  <c r="H89" i="23" s="1"/>
  <c r="C83" i="23" a="1"/>
  <c r="C83" i="23" s="1"/>
  <c r="B82" i="23" a="1"/>
  <c r="B82" i="23" s="1"/>
  <c r="F81" i="23" a="1"/>
  <c r="F81" i="23" s="1"/>
  <c r="B81" i="23" a="1"/>
  <c r="B81" i="23" s="1"/>
  <c r="G80" i="23" a="1"/>
  <c r="G80" i="23" s="1"/>
  <c r="C80" i="23" a="1"/>
  <c r="C80" i="23" s="1"/>
  <c r="H79" i="23" a="1"/>
  <c r="H79" i="23" s="1"/>
  <c r="D79" i="23" a="1"/>
  <c r="D79" i="23" s="1"/>
  <c r="E78" i="23" a="1"/>
  <c r="E78" i="23" s="1"/>
  <c r="F77" i="23" a="1"/>
  <c r="F77" i="23" s="1"/>
  <c r="B76" i="23" a="1"/>
  <c r="B76" i="23" s="1"/>
  <c r="H75" i="23" a="1"/>
  <c r="H75" i="23" s="1"/>
  <c r="D75" i="23" a="1"/>
  <c r="D75" i="23" s="1"/>
  <c r="G74" i="23" a="1"/>
  <c r="G74" i="23" s="1"/>
  <c r="D74" i="23" a="1"/>
  <c r="D74" i="23" s="1"/>
  <c r="E73" i="23" a="1"/>
  <c r="E73" i="23" s="1"/>
  <c r="B73" i="23" a="1"/>
  <c r="B73" i="23" s="1"/>
  <c r="G72" i="23" a="1"/>
  <c r="G72" i="23" s="1"/>
  <c r="C72" i="23" a="1"/>
  <c r="C72" i="23" s="1"/>
  <c r="D71" i="23" a="1"/>
  <c r="D71" i="23" s="1"/>
  <c r="H95" i="23" a="1"/>
  <c r="H95" i="23" s="1"/>
  <c r="F94" i="23" a="1"/>
  <c r="F94" i="23" s="1"/>
  <c r="E93" i="23" a="1"/>
  <c r="E93" i="23" s="1"/>
  <c r="D92" i="23" a="1"/>
  <c r="D92" i="23" s="1"/>
  <c r="D91" i="23" a="1"/>
  <c r="D91" i="23" s="1"/>
  <c r="D90" i="23" a="1"/>
  <c r="D90" i="23" s="1"/>
  <c r="E89" i="23" a="1"/>
  <c r="E89" i="23" s="1"/>
  <c r="F88" i="23" a="1"/>
  <c r="F88" i="23" s="1"/>
  <c r="G82" i="23" a="1"/>
  <c r="G82" i="23" s="1"/>
  <c r="E81" i="23" a="1"/>
  <c r="E81" i="23" s="1"/>
  <c r="F80" i="23" a="1"/>
  <c r="F80" i="23" s="1"/>
  <c r="C79" i="23" a="1"/>
  <c r="C79" i="23" s="1"/>
  <c r="H78" i="23" a="1"/>
  <c r="H78" i="23" s="1"/>
  <c r="D77" i="23" a="1"/>
  <c r="D77" i="23" s="1"/>
  <c r="F76" i="23" a="1"/>
  <c r="F76" i="23" s="1"/>
  <c r="G75" i="23" a="1"/>
  <c r="G75" i="23" s="1"/>
  <c r="C75" i="23" a="1"/>
  <c r="C75" i="23" s="1"/>
  <c r="F74" i="23" a="1"/>
  <c r="F74" i="23" s="1"/>
  <c r="H73" i="23" a="1"/>
  <c r="H73" i="23" s="1"/>
  <c r="D73" i="23" a="1"/>
  <c r="D73" i="23" s="1"/>
  <c r="F72" i="23" a="1"/>
  <c r="F72" i="23" s="1"/>
  <c r="B72" i="23" a="1"/>
  <c r="B72" i="23" s="1"/>
  <c r="G71" i="23" a="1"/>
  <c r="G71" i="23" s="1"/>
  <c r="H70" i="23" a="1"/>
  <c r="H70" i="23" s="1"/>
  <c r="D70" i="23" a="1"/>
  <c r="D70" i="23" s="1"/>
  <c r="H69" i="23" a="1"/>
  <c r="H69" i="23" s="1"/>
  <c r="D69" i="23" a="1"/>
  <c r="D69" i="23" s="1"/>
  <c r="D68" i="23" a="1"/>
  <c r="D68" i="23" s="1"/>
  <c r="G67" i="23" a="1"/>
  <c r="G67" i="23" s="1"/>
  <c r="D67" i="23" a="1"/>
  <c r="D67" i="23" s="1"/>
  <c r="G66" i="23" a="1"/>
  <c r="G66" i="23" s="1"/>
  <c r="G65" i="23" a="1"/>
  <c r="G65" i="23" s="1"/>
  <c r="C65" i="23" a="1"/>
  <c r="C65" i="23" s="1"/>
  <c r="G64" i="23" a="1"/>
  <c r="G64" i="23" s="1"/>
  <c r="C64" i="23" a="1"/>
  <c r="C64" i="23" s="1"/>
  <c r="F63" i="23" a="1"/>
  <c r="F63" i="23" s="1"/>
  <c r="C63" i="23" a="1"/>
  <c r="C63" i="23" s="1"/>
  <c r="F62" i="23" a="1"/>
  <c r="F62" i="23" s="1"/>
  <c r="C62" i="23" a="1"/>
  <c r="C62" i="23" s="1"/>
  <c r="F61" i="23" a="1"/>
  <c r="F61" i="23" s="1"/>
  <c r="B61" i="23" a="1"/>
  <c r="B61" i="23" s="1"/>
  <c r="F60" i="23" a="1"/>
  <c r="F60" i="23" s="1"/>
  <c r="B60" i="23" a="1"/>
  <c r="B60" i="23" s="1"/>
  <c r="B59" i="23" a="1"/>
  <c r="B59" i="23" s="1"/>
  <c r="E58" i="23" a="1"/>
  <c r="E58" i="23" s="1"/>
  <c r="B58" i="23" a="1"/>
  <c r="B58" i="23" s="1"/>
  <c r="E57" i="23" a="1"/>
  <c r="E57" i="23" s="1"/>
  <c r="H56" i="23" a="1"/>
  <c r="H56" i="23" s="1"/>
  <c r="E56" i="23" a="1"/>
  <c r="E56" i="23" s="1"/>
  <c r="H55" i="23" a="1"/>
  <c r="H55" i="23" s="1"/>
  <c r="E55" i="23" a="1"/>
  <c r="E55" i="23" s="1"/>
  <c r="H54" i="23" a="1"/>
  <c r="H54" i="23" s="1"/>
  <c r="D54" i="23" a="1"/>
  <c r="D54" i="23" s="1"/>
  <c r="H53" i="23" a="1"/>
  <c r="H53" i="23" s="1"/>
  <c r="D53" i="23" a="1"/>
  <c r="D53" i="23" s="1"/>
  <c r="D52" i="23" a="1"/>
  <c r="D52" i="23" s="1"/>
  <c r="G51" i="23" a="1"/>
  <c r="G51" i="23" s="1"/>
  <c r="D51" i="23" a="1"/>
  <c r="D51" i="23" s="1"/>
  <c r="F50" i="23" a="1"/>
  <c r="F50" i="23" s="1"/>
  <c r="C50" i="23" a="1"/>
  <c r="C50" i="23" s="1"/>
  <c r="G49" i="23" a="1"/>
  <c r="G49" i="23" s="1"/>
  <c r="C49" i="23" a="1"/>
  <c r="C49" i="23" s="1"/>
  <c r="G48" i="23" a="1"/>
  <c r="G48" i="23" s="1"/>
  <c r="D48" i="23" a="1"/>
  <c r="D48" i="23" s="1"/>
  <c r="G47" i="23" a="1"/>
  <c r="G47" i="23" s="1"/>
  <c r="H46" i="23" a="1"/>
  <c r="H46" i="23" s="1"/>
  <c r="D46" i="23" a="1"/>
  <c r="D46" i="23" s="1"/>
  <c r="F45" i="23" a="1"/>
  <c r="F45" i="23" s="1"/>
  <c r="B45" i="23" a="1"/>
  <c r="B45" i="23" s="1"/>
  <c r="H44" i="23" a="1"/>
  <c r="H44" i="23" s="1"/>
  <c r="B44" i="23" a="1"/>
  <c r="B44" i="23" s="1"/>
  <c r="C43" i="23" a="1"/>
  <c r="C43" i="23" s="1"/>
  <c r="G42" i="23" a="1"/>
  <c r="G42" i="23" s="1"/>
  <c r="H41" i="23" a="1"/>
  <c r="H41" i="23" s="1"/>
  <c r="D41" i="23" a="1"/>
  <c r="D41" i="23" s="1"/>
  <c r="G40" i="23" a="1"/>
  <c r="G40" i="23" s="1"/>
  <c r="D40" i="23" a="1"/>
  <c r="D40" i="23" s="1"/>
  <c r="G39" i="23" a="1"/>
  <c r="G39" i="23" s="1"/>
  <c r="D39" i="23" a="1"/>
  <c r="D39" i="23" s="1"/>
  <c r="H38" i="23" a="1"/>
  <c r="H38" i="23" s="1"/>
  <c r="D38" i="23" a="1"/>
  <c r="D38" i="23" s="1"/>
  <c r="E37" i="23" a="1"/>
  <c r="E37" i="23" s="1"/>
  <c r="E36" i="23" a="1"/>
  <c r="E36" i="23" s="1"/>
  <c r="B70" i="23" a="1"/>
  <c r="B70" i="23" s="1"/>
  <c r="D64" i="23" a="1"/>
  <c r="D64" i="23" s="1"/>
  <c r="D63" i="23" a="1"/>
  <c r="D63" i="23" s="1"/>
  <c r="C61" i="23" a="1"/>
  <c r="C61" i="23" s="1"/>
  <c r="C60" i="23" a="1"/>
  <c r="C60" i="23" s="1"/>
  <c r="C59" i="23" a="1"/>
  <c r="C59" i="23" s="1"/>
  <c r="C58" i="23" a="1"/>
  <c r="C58" i="23" s="1"/>
  <c r="B57" i="23" a="1"/>
  <c r="B57" i="23" s="1"/>
  <c r="B56" i="23" a="1"/>
  <c r="B56" i="23" s="1"/>
  <c r="B55" i="23" a="1"/>
  <c r="B55" i="23" s="1"/>
  <c r="B54" i="23" a="1"/>
  <c r="B54" i="23" s="1"/>
  <c r="H52" i="23" a="1"/>
  <c r="H52" i="23" s="1"/>
  <c r="H51" i="23" a="1"/>
  <c r="H51" i="23" s="1"/>
  <c r="G50" i="23" a="1"/>
  <c r="G50" i="23" s="1"/>
  <c r="H47" i="23" a="1"/>
  <c r="H47" i="23" s="1"/>
  <c r="B47" i="23" a="1"/>
  <c r="B47" i="23" s="1"/>
  <c r="G46" i="23" a="1"/>
  <c r="G46" i="23" s="1"/>
  <c r="C46" i="23" a="1"/>
  <c r="C46" i="23" s="1"/>
  <c r="H45" i="23" a="1"/>
  <c r="H45" i="23" s="1"/>
  <c r="D45" i="23" a="1"/>
  <c r="D45" i="23" s="1"/>
  <c r="D44" i="23" a="1"/>
  <c r="D44" i="23" s="1"/>
  <c r="H43" i="23" a="1"/>
  <c r="H43" i="23" s="1"/>
  <c r="D43" i="23" a="1"/>
  <c r="D43" i="23" s="1"/>
  <c r="E42" i="23" a="1"/>
  <c r="E42" i="23" s="1"/>
  <c r="F41" i="23" a="1"/>
  <c r="F41" i="23" s="1"/>
  <c r="B39" i="23" a="1"/>
  <c r="B39" i="23" s="1"/>
  <c r="F38" i="23" a="1"/>
  <c r="F38" i="23" s="1"/>
  <c r="F37" i="23" a="1"/>
  <c r="F37" i="23" s="1"/>
  <c r="B37" i="23" a="1"/>
  <c r="B37" i="23" s="1"/>
  <c r="F36" i="23" a="1"/>
  <c r="F36" i="23" s="1"/>
  <c r="B36" i="23" a="1"/>
  <c r="B36" i="23" s="1"/>
  <c r="G35" i="23" a="1"/>
  <c r="G35" i="23" s="1"/>
  <c r="D35" i="23" a="1"/>
  <c r="D35" i="23" s="1"/>
  <c r="H34" i="23" a="1"/>
  <c r="H34" i="23" s="1"/>
  <c r="E34" i="23" a="1"/>
  <c r="E34" i="23" s="1"/>
  <c r="H33" i="23" a="1"/>
  <c r="H33" i="23" s="1"/>
  <c r="B64" i="23" a="1"/>
  <c r="B64" i="23" s="1"/>
  <c r="B63" i="23" a="1"/>
  <c r="B63" i="23" s="1"/>
  <c r="B62" i="23" a="1"/>
  <c r="B62" i="23" s="1"/>
  <c r="H60" i="23" a="1"/>
  <c r="H60" i="23" s="1"/>
  <c r="H59" i="23" a="1"/>
  <c r="H59" i="23" s="1"/>
  <c r="H58" i="23" a="1"/>
  <c r="H58" i="23" s="1"/>
  <c r="H57" i="23" a="1"/>
  <c r="H57" i="23" s="1"/>
  <c r="G55" i="23" a="1"/>
  <c r="G55" i="23" s="1"/>
  <c r="G54" i="23" a="1"/>
  <c r="G54" i="23" s="1"/>
  <c r="G53" i="23" a="1"/>
  <c r="G53" i="23" s="1"/>
  <c r="G52" i="23" a="1"/>
  <c r="G52" i="23" s="1"/>
  <c r="F51" i="23" a="1"/>
  <c r="F51" i="23" s="1"/>
  <c r="E50" i="23" a="1"/>
  <c r="E50" i="23" s="1"/>
  <c r="F49" i="23" a="1"/>
  <c r="F49" i="23" s="1"/>
  <c r="F48" i="23" a="1"/>
  <c r="F48" i="23" s="1"/>
  <c r="F47" i="23" a="1"/>
  <c r="F47" i="23" s="1"/>
  <c r="F46" i="23" a="1"/>
  <c r="F46" i="23" s="1"/>
  <c r="B46" i="23" a="1"/>
  <c r="B46" i="23" s="1"/>
  <c r="C45" i="23" a="1"/>
  <c r="C45" i="23" s="1"/>
  <c r="G44" i="23" a="1"/>
  <c r="G44" i="23" s="1"/>
  <c r="C44" i="23" a="1"/>
  <c r="C44" i="23" s="1"/>
  <c r="G43" i="23" a="1"/>
  <c r="G43" i="23" s="1"/>
  <c r="D42" i="23" a="1"/>
  <c r="D42" i="23" s="1"/>
  <c r="E41" i="23" a="1"/>
  <c r="E41" i="23" s="1"/>
  <c r="H40" i="23" a="1"/>
  <c r="H40" i="23" s="1"/>
  <c r="E40" i="23" a="1"/>
  <c r="E40" i="23" s="1"/>
  <c r="E39" i="23" a="1"/>
  <c r="E39" i="23" s="1"/>
  <c r="E38" i="23" a="1"/>
  <c r="E38" i="23" s="1"/>
  <c r="H68" i="23" a="1"/>
  <c r="H68" i="23" s="1"/>
  <c r="H67" i="23" a="1"/>
  <c r="H67" i="23" s="1"/>
  <c r="H66" i="23" a="1"/>
  <c r="H66" i="23" s="1"/>
  <c r="H65" i="23" a="1"/>
  <c r="H65" i="23" s="1"/>
  <c r="G63" i="23" a="1"/>
  <c r="G63" i="23" s="1"/>
  <c r="G62" i="23" a="1"/>
  <c r="G62" i="23" s="1"/>
  <c r="G61" i="23" a="1"/>
  <c r="G61" i="23" s="1"/>
  <c r="G60" i="23" a="1"/>
  <c r="G60" i="23" s="1"/>
  <c r="F59" i="23" a="1"/>
  <c r="F59" i="23" s="1"/>
  <c r="F58" i="23" a="1"/>
  <c r="F58" i="23" s="1"/>
  <c r="F57" i="23" a="1"/>
  <c r="F57" i="23" s="1"/>
  <c r="F56" i="23" a="1"/>
  <c r="F56" i="23" s="1"/>
  <c r="E54" i="23" a="1"/>
  <c r="E54" i="23" s="1"/>
  <c r="E53" i="23" a="1"/>
  <c r="E53" i="23" s="1"/>
  <c r="E52" i="23" a="1"/>
  <c r="E52" i="23" s="1"/>
  <c r="E51" i="23" a="1"/>
  <c r="E51" i="23" s="1"/>
  <c r="D49" i="23" a="1"/>
  <c r="D49" i="23" s="1"/>
  <c r="E48" i="23" a="1"/>
  <c r="E48" i="23" s="1"/>
  <c r="D47" i="23" a="1"/>
  <c r="D47" i="23" s="1"/>
  <c r="E46" i="23" a="1"/>
  <c r="E46" i="23" s="1"/>
  <c r="G45" i="23" a="1"/>
  <c r="G45" i="23" s="1"/>
  <c r="F44" i="23" a="1"/>
  <c r="F44" i="23" s="1"/>
  <c r="F43" i="23" a="1"/>
  <c r="F43" i="23" s="1"/>
  <c r="B43" i="23" a="1"/>
  <c r="B43" i="23" s="1"/>
  <c r="H42" i="23" a="1"/>
  <c r="H42" i="23" s="1"/>
  <c r="C42" i="23" a="1"/>
  <c r="C42" i="23" s="1"/>
  <c r="C41" i="23" a="1"/>
  <c r="C41" i="23" s="1"/>
  <c r="C40" i="23" a="1"/>
  <c r="C40" i="23" s="1"/>
  <c r="H39" i="23" a="1"/>
  <c r="H39" i="23" s="1"/>
  <c r="C38" i="23" a="1"/>
  <c r="C38" i="23" s="1"/>
  <c r="H37" i="23" a="1"/>
  <c r="H37" i="23" s="1"/>
  <c r="D37" i="23" a="1"/>
  <c r="D37" i="23" s="1"/>
  <c r="H36" i="23" a="1"/>
  <c r="H36" i="23" s="1"/>
  <c r="D36" i="23" a="1"/>
  <c r="D36" i="23" s="1"/>
  <c r="C35" i="23" a="1"/>
  <c r="C35" i="23" s="1"/>
  <c r="G34" i="23" a="1"/>
  <c r="G34" i="23" s="1"/>
  <c r="C34" i="23" a="1"/>
  <c r="C34" i="23" s="1"/>
  <c r="E70" i="23" a="1"/>
  <c r="E70" i="23" s="1"/>
  <c r="E69" i="23" a="1"/>
  <c r="E69" i="23" s="1"/>
  <c r="E68" i="23" a="1"/>
  <c r="E68" i="23" s="1"/>
  <c r="E67" i="23" a="1"/>
  <c r="E67" i="23" s="1"/>
  <c r="D66" i="23" a="1"/>
  <c r="D66" i="23" s="1"/>
  <c r="D65" i="23" a="1"/>
  <c r="D65" i="23" s="1"/>
  <c r="F64" i="23" a="1"/>
  <c r="F64" i="23" s="1"/>
  <c r="E62" i="23" a="1"/>
  <c r="E62" i="23" s="1"/>
  <c r="E61" i="23" a="1"/>
  <c r="E61" i="23" s="1"/>
  <c r="E60" i="23" a="1"/>
  <c r="E60" i="23" s="1"/>
  <c r="E59" i="23" a="1"/>
  <c r="E59" i="23" s="1"/>
  <c r="D58" i="23" a="1"/>
  <c r="D58" i="23" s="1"/>
  <c r="D57" i="23" a="1"/>
  <c r="D57" i="23" s="1"/>
  <c r="D56" i="23" a="1"/>
  <c r="D56" i="23" s="1"/>
  <c r="D55" i="23" a="1"/>
  <c r="D55" i="23" s="1"/>
  <c r="C53" i="23" a="1"/>
  <c r="C53" i="23" s="1"/>
  <c r="C52" i="23" a="1"/>
  <c r="C52" i="23" s="1"/>
  <c r="C51" i="23" a="1"/>
  <c r="C51" i="23" s="1"/>
  <c r="B50" i="23" a="1"/>
  <c r="B50" i="23" s="1"/>
  <c r="B49" i="23" a="1"/>
  <c r="B49" i="23" s="1"/>
  <c r="C48" i="23" a="1"/>
  <c r="C48" i="23" s="1"/>
  <c r="C47" i="23" a="1"/>
  <c r="C47" i="23" s="1"/>
  <c r="E45" i="23" a="1"/>
  <c r="E45" i="23" s="1"/>
  <c r="E44" i="23" a="1"/>
  <c r="E44" i="23" s="1"/>
  <c r="E43" i="23" a="1"/>
  <c r="E43" i="23" s="1"/>
  <c r="F42" i="23" a="1"/>
  <c r="F42" i="23" s="1"/>
  <c r="B42" i="23" a="1"/>
  <c r="B42" i="23" s="1"/>
  <c r="G41" i="23" a="1"/>
  <c r="G41" i="23" s="1"/>
  <c r="B41" i="23" a="1"/>
  <c r="B41" i="23" s="1"/>
  <c r="F40" i="23" a="1"/>
  <c r="F40" i="23" s="1"/>
  <c r="B40" i="23" a="1"/>
  <c r="B40" i="23" s="1"/>
  <c r="F39" i="23" a="1"/>
  <c r="F39" i="23" s="1"/>
  <c r="C39" i="23" a="1"/>
  <c r="C39" i="23" s="1"/>
  <c r="G38" i="23" a="1"/>
  <c r="G38" i="23" s="1"/>
  <c r="B38" i="23" a="1"/>
  <c r="B38" i="23" s="1"/>
  <c r="G37" i="23" a="1"/>
  <c r="G37" i="23" s="1"/>
  <c r="C37" i="23" a="1"/>
  <c r="C37" i="23" s="1"/>
  <c r="G36" i="23" a="1"/>
  <c r="G36" i="23" s="1"/>
  <c r="C36" i="23" a="1"/>
  <c r="C36" i="23" s="1"/>
  <c r="H35" i="23" a="1"/>
  <c r="H35" i="23" s="1"/>
  <c r="E35" i="23" a="1"/>
  <c r="E35" i="23" s="1"/>
  <c r="B35" i="23" a="1"/>
  <c r="B35" i="23" s="1"/>
  <c r="F34" i="23" a="1"/>
  <c r="F34" i="23" s="1"/>
  <c r="G33" i="23" a="1"/>
  <c r="G33" i="23" s="1"/>
  <c r="D33" i="23" a="1"/>
  <c r="D33" i="23" s="1"/>
  <c r="G32" i="23" a="1"/>
  <c r="G32" i="23" s="1"/>
  <c r="C32" i="23" a="1"/>
  <c r="C32" i="23" s="1"/>
  <c r="E31" i="23" a="1"/>
  <c r="E31" i="23" s="1"/>
  <c r="G30" i="23" a="1"/>
  <c r="G30" i="23" s="1"/>
  <c r="C30" i="23" a="1"/>
  <c r="C30" i="23" s="1"/>
  <c r="E29" i="23" a="1"/>
  <c r="E29" i="23" s="1"/>
  <c r="G28" i="23" a="1"/>
  <c r="G28" i="23" s="1"/>
  <c r="C28" i="23" a="1"/>
  <c r="C28" i="23" s="1"/>
  <c r="E27" i="23" a="1"/>
  <c r="E27" i="23" s="1"/>
  <c r="G26" i="23" a="1"/>
  <c r="G26" i="23" s="1"/>
  <c r="C26" i="23" a="1"/>
  <c r="C26" i="23" s="1"/>
  <c r="E25" i="23" a="1"/>
  <c r="E25" i="23" s="1"/>
  <c r="G24" i="23" a="1"/>
  <c r="G24" i="23" s="1"/>
  <c r="C24" i="23" a="1"/>
  <c r="C24" i="23" s="1"/>
  <c r="E23" i="23" a="1"/>
  <c r="E23" i="23" s="1"/>
  <c r="G22" i="23" a="1"/>
  <c r="G22" i="23" s="1"/>
  <c r="C22" i="23" a="1"/>
  <c r="C22" i="23" s="1"/>
  <c r="E21" i="23" a="1"/>
  <c r="E21" i="23" s="1"/>
  <c r="G20" i="23" a="1"/>
  <c r="G20" i="23" s="1"/>
  <c r="C20" i="23" a="1"/>
  <c r="C20" i="23" s="1"/>
  <c r="E19" i="23" a="1"/>
  <c r="E19" i="23" s="1"/>
  <c r="G18" i="23" a="1"/>
  <c r="G18" i="23" s="1"/>
  <c r="C18" i="23" a="1"/>
  <c r="C18" i="23" s="1"/>
  <c r="E17" i="23" a="1"/>
  <c r="E17" i="23" s="1"/>
  <c r="G16" i="23" a="1"/>
  <c r="G16" i="23" s="1"/>
  <c r="C16" i="23" a="1"/>
  <c r="C16" i="23" s="1"/>
  <c r="E15" i="23" a="1"/>
  <c r="E15" i="23" s="1"/>
  <c r="H15" i="23" a="1"/>
  <c r="H15" i="23" s="1"/>
  <c r="F15" i="23" a="1"/>
  <c r="F15" i="23" s="1"/>
  <c r="D34" i="23" a="1"/>
  <c r="D34" i="23" s="1"/>
  <c r="F33" i="23" a="1"/>
  <c r="F33" i="23" s="1"/>
  <c r="C33" i="23" a="1"/>
  <c r="C33" i="23" s="1"/>
  <c r="F32" i="23" a="1"/>
  <c r="F32" i="23" s="1"/>
  <c r="B32" i="23" a="1"/>
  <c r="B32" i="23" s="1"/>
  <c r="H31" i="23" a="1"/>
  <c r="H31" i="23" s="1"/>
  <c r="D31" i="23" a="1"/>
  <c r="D31" i="23" s="1"/>
  <c r="F30" i="23" a="1"/>
  <c r="F30" i="23" s="1"/>
  <c r="B30" i="23" a="1"/>
  <c r="B30" i="23" s="1"/>
  <c r="H29" i="23" a="1"/>
  <c r="H29" i="23" s="1"/>
  <c r="D29" i="23" a="1"/>
  <c r="D29" i="23" s="1"/>
  <c r="F28" i="23" a="1"/>
  <c r="F28" i="23" s="1"/>
  <c r="B28" i="23" a="1"/>
  <c r="B28" i="23" s="1"/>
  <c r="H27" i="23" a="1"/>
  <c r="H27" i="23" s="1"/>
  <c r="D27" i="23" a="1"/>
  <c r="D27" i="23" s="1"/>
  <c r="F26" i="23" a="1"/>
  <c r="F26" i="23" s="1"/>
  <c r="B26" i="23" a="1"/>
  <c r="B26" i="23" s="1"/>
  <c r="H25" i="23" a="1"/>
  <c r="H25" i="23" s="1"/>
  <c r="D25" i="23" a="1"/>
  <c r="D25" i="23" s="1"/>
  <c r="F24" i="23" a="1"/>
  <c r="F24" i="23" s="1"/>
  <c r="B24" i="23" a="1"/>
  <c r="B24" i="23" s="1"/>
  <c r="H23" i="23" a="1"/>
  <c r="H23" i="23" s="1"/>
  <c r="D23" i="23" a="1"/>
  <c r="D23" i="23" s="1"/>
  <c r="F22" i="23" a="1"/>
  <c r="F22" i="23" s="1"/>
  <c r="B22" i="23" a="1"/>
  <c r="B22" i="23" s="1"/>
  <c r="H21" i="23" a="1"/>
  <c r="H21" i="23" s="1"/>
  <c r="D21" i="23" a="1"/>
  <c r="D21" i="23" s="1"/>
  <c r="F20" i="23" a="1"/>
  <c r="F20" i="23" s="1"/>
  <c r="B20" i="23" a="1"/>
  <c r="B20" i="23" s="1"/>
  <c r="H19" i="23" a="1"/>
  <c r="H19" i="23" s="1"/>
  <c r="D19" i="23" a="1"/>
  <c r="D19" i="23" s="1"/>
  <c r="F18" i="23" a="1"/>
  <c r="F18" i="23" s="1"/>
  <c r="B18" i="23" a="1"/>
  <c r="B18" i="23" s="1"/>
  <c r="H17" i="23" a="1"/>
  <c r="H17" i="23" s="1"/>
  <c r="D17" i="23" a="1"/>
  <c r="D17" i="23" s="1"/>
  <c r="F16" i="23" a="1"/>
  <c r="F16" i="23" s="1"/>
  <c r="B16" i="23" a="1"/>
  <c r="B16" i="23" s="1"/>
  <c r="D15" i="23" a="1"/>
  <c r="D15" i="23" s="1"/>
  <c r="B34" i="23" a="1"/>
  <c r="B34" i="23" s="1"/>
  <c r="B33" i="23" a="1"/>
  <c r="B33" i="23" s="1"/>
  <c r="H32" i="23" a="1"/>
  <c r="H32" i="23" s="1"/>
  <c r="E32" i="23" a="1"/>
  <c r="E32" i="23" s="1"/>
  <c r="G31" i="23" a="1"/>
  <c r="G31" i="23" s="1"/>
  <c r="C31" i="23" a="1"/>
  <c r="C31" i="23" s="1"/>
  <c r="E30" i="23" a="1"/>
  <c r="E30" i="23" s="1"/>
  <c r="G29" i="23" a="1"/>
  <c r="G29" i="23" s="1"/>
  <c r="C29" i="23" a="1"/>
  <c r="C29" i="23" s="1"/>
  <c r="E28" i="23" a="1"/>
  <c r="E28" i="23" s="1"/>
  <c r="G27" i="23" a="1"/>
  <c r="G27" i="23" s="1"/>
  <c r="C27" i="23" a="1"/>
  <c r="C27" i="23" s="1"/>
  <c r="E26" i="23" a="1"/>
  <c r="E26" i="23" s="1"/>
  <c r="G25" i="23" a="1"/>
  <c r="G25" i="23" s="1"/>
  <c r="C25" i="23" a="1"/>
  <c r="C25" i="23" s="1"/>
  <c r="E24" i="23" a="1"/>
  <c r="E24" i="23" s="1"/>
  <c r="G23" i="23" a="1"/>
  <c r="G23" i="23" s="1"/>
  <c r="C23" i="23" a="1"/>
  <c r="C23" i="23" s="1"/>
  <c r="E22" i="23" a="1"/>
  <c r="E22" i="23" s="1"/>
  <c r="G21" i="23" a="1"/>
  <c r="G21" i="23" s="1"/>
  <c r="C21" i="23" a="1"/>
  <c r="C21" i="23" s="1"/>
  <c r="E20" i="23" a="1"/>
  <c r="E20" i="23" s="1"/>
  <c r="G19" i="23" a="1"/>
  <c r="G19" i="23" s="1"/>
  <c r="C19" i="23" a="1"/>
  <c r="C19" i="23" s="1"/>
  <c r="E18" i="23" a="1"/>
  <c r="E18" i="23" s="1"/>
  <c r="G17" i="23" a="1"/>
  <c r="G17" i="23" s="1"/>
  <c r="C17" i="23" a="1"/>
  <c r="C17" i="23" s="1"/>
  <c r="E16" i="23" a="1"/>
  <c r="E16" i="23" s="1"/>
  <c r="G15" i="23" a="1"/>
  <c r="G15" i="23" s="1"/>
  <c r="C15" i="23" a="1"/>
  <c r="C15" i="23" s="1"/>
  <c r="B15" i="23" a="1"/>
  <c r="B15" i="23" s="1"/>
  <c r="F35" i="23" a="1"/>
  <c r="F35" i="23" s="1"/>
  <c r="E33" i="23" a="1"/>
  <c r="E33" i="23" s="1"/>
  <c r="D32" i="23" a="1"/>
  <c r="D32" i="23" s="1"/>
  <c r="F31" i="23" a="1"/>
  <c r="F31" i="23" s="1"/>
  <c r="B31" i="23" a="1"/>
  <c r="B31" i="23" s="1"/>
  <c r="H30" i="23" a="1"/>
  <c r="H30" i="23" s="1"/>
  <c r="D30" i="23" a="1"/>
  <c r="D30" i="23" s="1"/>
  <c r="F29" i="23" a="1"/>
  <c r="F29" i="23" s="1"/>
  <c r="B29" i="23" a="1"/>
  <c r="B29" i="23" s="1"/>
  <c r="H28" i="23" a="1"/>
  <c r="H28" i="23" s="1"/>
  <c r="D28" i="23" a="1"/>
  <c r="D28" i="23" s="1"/>
  <c r="F27" i="23" a="1"/>
  <c r="F27" i="23" s="1"/>
  <c r="B27" i="23" a="1"/>
  <c r="B27" i="23" s="1"/>
  <c r="H26" i="23" a="1"/>
  <c r="H26" i="23" s="1"/>
  <c r="D26" i="23" a="1"/>
  <c r="D26" i="23" s="1"/>
  <c r="F25" i="23" a="1"/>
  <c r="F25" i="23" s="1"/>
  <c r="B25" i="23" a="1"/>
  <c r="B25" i="23" s="1"/>
  <c r="H24" i="23" a="1"/>
  <c r="H24" i="23" s="1"/>
  <c r="D24" i="23" a="1"/>
  <c r="D24" i="23" s="1"/>
  <c r="F23" i="23" a="1"/>
  <c r="F23" i="23" s="1"/>
  <c r="B23" i="23" a="1"/>
  <c r="B23" i="23" s="1"/>
  <c r="H22" i="23" a="1"/>
  <c r="H22" i="23" s="1"/>
  <c r="D22" i="23" a="1"/>
  <c r="D22" i="23" s="1"/>
  <c r="F21" i="23" a="1"/>
  <c r="F21" i="23" s="1"/>
  <c r="B21" i="23" a="1"/>
  <c r="B21" i="23" s="1"/>
  <c r="H20" i="23" a="1"/>
  <c r="H20" i="23" s="1"/>
  <c r="D20" i="23" a="1"/>
  <c r="D20" i="23" s="1"/>
  <c r="F19" i="23" a="1"/>
  <c r="F19" i="23" s="1"/>
  <c r="B19" i="23" a="1"/>
  <c r="B19" i="23" s="1"/>
  <c r="H18" i="23" a="1"/>
  <c r="H18" i="23" s="1"/>
  <c r="D18" i="23" a="1"/>
  <c r="D18" i="23" s="1"/>
  <c r="F17" i="23" a="1"/>
  <c r="F17" i="23" s="1"/>
  <c r="B17" i="23" a="1"/>
  <c r="B17" i="23" s="1"/>
  <c r="H16" i="23" a="1"/>
  <c r="H16" i="23" s="1"/>
  <c r="D16" i="23" a="1"/>
  <c r="D16" i="23" s="1"/>
  <c r="O15" i="23" a="1"/>
  <c r="O15" i="23" s="1"/>
  <c r="M18" i="23" a="1"/>
  <c r="M18" i="23" s="1"/>
  <c r="K21" i="23" a="1"/>
  <c r="K21" i="23" s="1"/>
  <c r="O23" i="23" a="1"/>
  <c r="O23" i="23" s="1"/>
  <c r="M26" i="23" a="1"/>
  <c r="M26" i="23" s="1"/>
  <c r="K29" i="23" a="1"/>
  <c r="K29" i="23" s="1"/>
  <c r="O31" i="23" a="1"/>
  <c r="O31" i="23" s="1"/>
  <c r="L15" i="23" a="1"/>
  <c r="L15" i="23" s="1"/>
  <c r="L17" i="23" a="1"/>
  <c r="L17" i="23" s="1"/>
  <c r="L19" i="23" a="1"/>
  <c r="L19" i="23" s="1"/>
  <c r="L21" i="23" a="1"/>
  <c r="L21" i="23" s="1"/>
  <c r="L23" i="23" a="1"/>
  <c r="L23" i="23" s="1"/>
  <c r="L25" i="23" a="1"/>
  <c r="L25" i="23" s="1"/>
  <c r="L27" i="23" a="1"/>
  <c r="L27" i="23" s="1"/>
  <c r="L29" i="23" a="1"/>
  <c r="L29" i="23" s="1"/>
  <c r="L31" i="23" a="1"/>
  <c r="L31" i="23" s="1"/>
  <c r="K34" i="23" a="1"/>
  <c r="K34" i="23" s="1"/>
  <c r="O16" i="23" a="1"/>
  <c r="O16" i="23" s="1"/>
  <c r="M19" i="23" a="1"/>
  <c r="M19" i="23" s="1"/>
  <c r="K22" i="23" a="1"/>
  <c r="K22" i="23" s="1"/>
  <c r="O24" i="23" a="1"/>
  <c r="O24" i="23" s="1"/>
  <c r="M27" i="23" a="1"/>
  <c r="M27" i="23" s="1"/>
  <c r="K30" i="23" a="1"/>
  <c r="K30" i="23" s="1"/>
  <c r="N32" i="23" a="1"/>
  <c r="N32" i="23" s="1"/>
  <c r="J15" i="23" a="1"/>
  <c r="J15" i="23" s="1"/>
  <c r="J17" i="23" a="1"/>
  <c r="J17" i="23" s="1"/>
  <c r="J19" i="23" a="1"/>
  <c r="J19" i="23" s="1"/>
  <c r="J21" i="23" a="1"/>
  <c r="J21" i="23" s="1"/>
  <c r="J23" i="23" a="1"/>
  <c r="J23" i="23" s="1"/>
  <c r="J25" i="23" a="1"/>
  <c r="J25" i="23" s="1"/>
  <c r="J27" i="23" a="1"/>
  <c r="J27" i="23" s="1"/>
  <c r="J29" i="23" a="1"/>
  <c r="J29" i="23" s="1"/>
  <c r="J31" i="23" a="1"/>
  <c r="J31" i="23" s="1"/>
  <c r="N33" i="23" a="1"/>
  <c r="N33" i="23" s="1"/>
  <c r="M36" i="23" a="1"/>
  <c r="M36" i="23" s="1"/>
  <c r="M41" i="23" a="1"/>
  <c r="M41" i="23" s="1"/>
  <c r="O43" i="23" a="1"/>
  <c r="O43" i="23" s="1"/>
  <c r="J46" i="23" a="1"/>
  <c r="J46" i="23" s="1"/>
  <c r="J49" i="23" a="1"/>
  <c r="J49" i="23" s="1"/>
  <c r="K53" i="23" a="1"/>
  <c r="K53" i="23" s="1"/>
  <c r="L57" i="23" a="1"/>
  <c r="L57" i="23" s="1"/>
  <c r="M62" i="23" a="1"/>
  <c r="M62" i="23" s="1"/>
  <c r="N35" i="23" a="1"/>
  <c r="N35" i="23" s="1"/>
  <c r="N38" i="23" a="1"/>
  <c r="N38" i="23" s="1"/>
  <c r="N41" i="23" a="1"/>
  <c r="N41" i="23" s="1"/>
  <c r="P44" i="23" a="1"/>
  <c r="P44" i="23" s="1"/>
  <c r="L48" i="23" a="1"/>
  <c r="L48" i="23" s="1"/>
  <c r="M52" i="23" a="1"/>
  <c r="M52" i="23" s="1"/>
  <c r="N56" i="23" a="1"/>
  <c r="N56" i="23" s="1"/>
  <c r="O61" i="23" a="1"/>
  <c r="O61" i="23" s="1"/>
  <c r="J70" i="23" a="1"/>
  <c r="J70" i="23" s="1"/>
  <c r="O37" i="23" a="1"/>
  <c r="O37" i="23" s="1"/>
  <c r="N39" i="23" a="1"/>
  <c r="N39" i="23" s="1"/>
  <c r="M42" i="23" a="1"/>
  <c r="M42" i="23" s="1"/>
  <c r="P46" i="23" a="1"/>
  <c r="P46" i="23" s="1"/>
  <c r="N50" i="23" a="1"/>
  <c r="N50" i="23" s="1"/>
  <c r="O55" i="23" a="1"/>
  <c r="O55" i="23" s="1"/>
  <c r="P59" i="23" a="1"/>
  <c r="P59" i="23" s="1"/>
  <c r="L64" i="23" a="1"/>
  <c r="L64" i="23" s="1"/>
  <c r="M69" i="23" a="1"/>
  <c r="M69" i="23" s="1"/>
  <c r="L34" i="23" a="1"/>
  <c r="L34" i="23" s="1"/>
  <c r="K37" i="23" a="1"/>
  <c r="K37" i="23" s="1"/>
  <c r="J40" i="23" a="1"/>
  <c r="J40" i="23" s="1"/>
  <c r="N43" i="23" a="1"/>
  <c r="N43" i="23" s="1"/>
  <c r="O48" i="23" a="1"/>
  <c r="O48" i="23" s="1"/>
  <c r="J53" i="23" a="1"/>
  <c r="J53" i="23" s="1"/>
  <c r="K58" i="23" a="1"/>
  <c r="K58" i="23" s="1"/>
  <c r="L62" i="23" a="1"/>
  <c r="L62" i="23" s="1"/>
  <c r="P66" i="23" a="1"/>
  <c r="P66" i="23" s="1"/>
  <c r="P35" i="23" a="1"/>
  <c r="P35" i="23" s="1"/>
  <c r="P37" i="23" a="1"/>
  <c r="P37" i="23" s="1"/>
  <c r="K40" i="23" a="1"/>
  <c r="K40" i="23" s="1"/>
  <c r="K42" i="23" a="1"/>
  <c r="K42" i="23" s="1"/>
  <c r="M44" i="23" a="1"/>
  <c r="M44" i="23" s="1"/>
  <c r="O46" i="23" a="1"/>
  <c r="O46" i="23" s="1"/>
  <c r="N49" i="23" a="1"/>
  <c r="N49" i="23" s="1"/>
  <c r="O51" i="23" a="1"/>
  <c r="O51" i="23" s="1"/>
  <c r="P53" i="23" a="1"/>
  <c r="P53" i="23" s="1"/>
  <c r="M56" i="23" a="1"/>
  <c r="M56" i="23" s="1"/>
  <c r="M58" i="23" a="1"/>
  <c r="M58" i="23" s="1"/>
  <c r="N60" i="23" a="1"/>
  <c r="N60" i="23" s="1"/>
  <c r="K63" i="23" a="1"/>
  <c r="K63" i="23" s="1"/>
  <c r="O65" i="23" a="1"/>
  <c r="O65" i="23" s="1"/>
  <c r="O67" i="23" a="1"/>
  <c r="O67" i="23" s="1"/>
  <c r="P69" i="23" a="1"/>
  <c r="P69" i="23" s="1"/>
  <c r="M72" i="23" a="1"/>
  <c r="M72" i="23" s="1"/>
  <c r="N74" i="23" a="1"/>
  <c r="N74" i="23" s="1"/>
  <c r="N77" i="23" a="1"/>
  <c r="N77" i="23" s="1"/>
  <c r="J81" i="23" a="1"/>
  <c r="J81" i="23" s="1"/>
  <c r="K85" i="23" a="1"/>
  <c r="K85" i="23" s="1"/>
  <c r="L98" i="23" a="1"/>
  <c r="L98" i="23" s="1"/>
  <c r="J105" i="23" a="1"/>
  <c r="J105" i="23" s="1"/>
  <c r="M114" i="23" a="1"/>
  <c r="M114" i="23" s="1"/>
  <c r="K133" i="23" a="1"/>
  <c r="K133" i="23" s="1"/>
  <c r="N72" i="23" a="1"/>
  <c r="N72" i="23" s="1"/>
  <c r="N75" i="23" a="1"/>
  <c r="N75" i="23" s="1"/>
  <c r="J78" i="23" a="1"/>
  <c r="J78" i="23" s="1"/>
  <c r="J82" i="23" a="1"/>
  <c r="J82" i="23" s="1"/>
  <c r="L87" i="23" a="1"/>
  <c r="L87" i="23" s="1"/>
  <c r="M96" i="23" a="1"/>
  <c r="M96" i="23" s="1"/>
  <c r="N105" i="23" a="1"/>
  <c r="N105" i="23" s="1"/>
  <c r="P114" i="23" a="1"/>
  <c r="P114" i="23" s="1"/>
  <c r="L142" i="23" a="1"/>
  <c r="L142" i="23" s="1"/>
  <c r="M48" i="23" a="1"/>
  <c r="M48" i="23" s="1"/>
  <c r="M50" i="23" a="1"/>
  <c r="M50" i="23" s="1"/>
  <c r="N52" i="23" a="1"/>
  <c r="N52" i="23" s="1"/>
  <c r="K55" i="23" a="1"/>
  <c r="K55" i="23" s="1"/>
  <c r="O57" i="23" a="1"/>
  <c r="O57" i="23" s="1"/>
  <c r="O59" i="23" a="1"/>
  <c r="O59" i="23" s="1"/>
  <c r="P61" i="23" a="1"/>
  <c r="P61" i="23" s="1"/>
  <c r="M64" i="23" a="1"/>
  <c r="M64" i="23" s="1"/>
  <c r="M66" i="23" a="1"/>
  <c r="M66" i="23" s="1"/>
  <c r="N68" i="23" a="1"/>
  <c r="N68" i="23" s="1"/>
  <c r="M71" i="23" a="1"/>
  <c r="M71" i="23" s="1"/>
  <c r="M73" i="23" a="1"/>
  <c r="M73" i="23" s="1"/>
  <c r="L77" i="23" a="1"/>
  <c r="L77" i="23" s="1"/>
  <c r="O79" i="23" a="1"/>
  <c r="O79" i="23" s="1"/>
  <c r="O87" i="23" a="1"/>
  <c r="O87" i="23" s="1"/>
  <c r="L92" i="23" a="1"/>
  <c r="L92" i="23" s="1"/>
  <c r="J104" i="23" a="1"/>
  <c r="J104" i="23" s="1"/>
  <c r="M115" i="23" a="1"/>
  <c r="M115" i="23" s="1"/>
  <c r="M129" i="23" a="1"/>
  <c r="M129" i="23" s="1"/>
  <c r="J64" i="23" a="1"/>
  <c r="J64" i="23" s="1"/>
  <c r="N66" i="23" a="1"/>
  <c r="N66" i="23" s="1"/>
  <c r="K69" i="23" a="1"/>
  <c r="K69" i="23" s="1"/>
  <c r="N71" i="23" a="1"/>
  <c r="N71" i="23" s="1"/>
  <c r="N73" i="23" a="1"/>
  <c r="N73" i="23" s="1"/>
  <c r="P75" i="23" a="1"/>
  <c r="P75" i="23" s="1"/>
  <c r="M78" i="23" a="1"/>
  <c r="M78" i="23" s="1"/>
  <c r="M82" i="23" a="1"/>
  <c r="M82" i="23" s="1"/>
  <c r="P92" i="23" a="1"/>
  <c r="P92" i="23" s="1"/>
  <c r="N102" i="23" a="1"/>
  <c r="N102" i="23" s="1"/>
  <c r="L110" i="23" a="1"/>
  <c r="L110" i="23" s="1"/>
  <c r="L121" i="23" a="1"/>
  <c r="L121" i="23" s="1"/>
  <c r="K149" i="23" a="1"/>
  <c r="K149" i="23" s="1"/>
  <c r="O75" i="23" a="1"/>
  <c r="O75" i="23" s="1"/>
  <c r="L78" i="23" a="1"/>
  <c r="L78" i="23" s="1"/>
  <c r="J80" i="23" a="1"/>
  <c r="J80" i="23" s="1"/>
  <c r="O81" i="23" a="1"/>
  <c r="O81" i="23" s="1"/>
  <c r="J85" i="23" a="1"/>
  <c r="J85" i="23" s="1"/>
  <c r="K87" i="23" a="1"/>
  <c r="K87" i="23" s="1"/>
  <c r="P88" i="23" a="1"/>
  <c r="P88" i="23" s="1"/>
  <c r="J91" i="23" a="1"/>
  <c r="J91" i="23" s="1"/>
  <c r="P93" i="23" a="1"/>
  <c r="P93" i="23" s="1"/>
  <c r="O95" i="23" a="1"/>
  <c r="O95" i="23" s="1"/>
  <c r="K98" i="23" a="1"/>
  <c r="K98" i="23" s="1"/>
  <c r="J100" i="23" a="1"/>
  <c r="J100" i="23" s="1"/>
  <c r="P102" i="23" a="1"/>
  <c r="P102" i="23" s="1"/>
  <c r="M105" i="23" a="1"/>
  <c r="M105" i="23" s="1"/>
  <c r="L107" i="23" a="1"/>
  <c r="L107" i="23" s="1"/>
  <c r="O109" i="23" a="1"/>
  <c r="O109" i="23" s="1"/>
  <c r="J112" i="23" a="1"/>
  <c r="J112" i="23" s="1"/>
  <c r="L114" i="23" a="1"/>
  <c r="L114" i="23" s="1"/>
  <c r="N116" i="23" a="1"/>
  <c r="N116" i="23" s="1"/>
  <c r="K119" i="23" a="1"/>
  <c r="K119" i="23" s="1"/>
  <c r="O121" i="23" a="1"/>
  <c r="O121" i="23" s="1"/>
  <c r="J127" i="23" a="1"/>
  <c r="J127" i="23" s="1"/>
  <c r="L136" i="23" a="1"/>
  <c r="L136" i="23" s="1"/>
  <c r="M147" i="23" a="1"/>
  <c r="M147" i="23" s="1"/>
  <c r="L82" i="23" a="1"/>
  <c r="L82" i="23" s="1"/>
  <c r="M16" i="23" a="1"/>
  <c r="M16" i="23" s="1"/>
  <c r="K19" i="23" a="1"/>
  <c r="K19" i="23" s="1"/>
  <c r="O21" i="23" a="1"/>
  <c r="O21" i="23" s="1"/>
  <c r="M24" i="23" a="1"/>
  <c r="M24" i="23" s="1"/>
  <c r="K27" i="23" a="1"/>
  <c r="K27" i="23" s="1"/>
  <c r="O29" i="23" a="1"/>
  <c r="O29" i="23" s="1"/>
  <c r="L32" i="23" a="1"/>
  <c r="L32" i="23" s="1"/>
  <c r="P15" i="23" a="1"/>
  <c r="P15" i="23" s="1"/>
  <c r="P17" i="23" a="1"/>
  <c r="P17" i="23" s="1"/>
  <c r="P19" i="23" a="1"/>
  <c r="P19" i="23" s="1"/>
  <c r="P21" i="23" a="1"/>
  <c r="P21" i="23" s="1"/>
  <c r="P23" i="23" a="1"/>
  <c r="P23" i="23" s="1"/>
  <c r="P25" i="23" a="1"/>
  <c r="P25" i="23" s="1"/>
  <c r="P27" i="23" a="1"/>
  <c r="P27" i="23" s="1"/>
  <c r="P29" i="23" a="1"/>
  <c r="P29" i="23" s="1"/>
  <c r="P31" i="23" a="1"/>
  <c r="P31" i="23" s="1"/>
  <c r="K35" i="23" a="1"/>
  <c r="K35" i="23" s="1"/>
  <c r="M17" i="23" a="1"/>
  <c r="M17" i="23" s="1"/>
  <c r="K20" i="23" a="1"/>
  <c r="K20" i="23" s="1"/>
  <c r="O22" i="23" a="1"/>
  <c r="O22" i="23" s="1"/>
  <c r="M25" i="23" a="1"/>
  <c r="M25" i="23" s="1"/>
  <c r="K28" i="23" a="1"/>
  <c r="K28" i="23" s="1"/>
  <c r="O30" i="23" a="1"/>
  <c r="O30" i="23" s="1"/>
  <c r="L33" i="23" a="1"/>
  <c r="L33" i="23" s="1"/>
  <c r="N15" i="23" a="1"/>
  <c r="N15" i="23" s="1"/>
  <c r="N17" i="23" a="1"/>
  <c r="N17" i="23" s="1"/>
  <c r="N19" i="23" a="1"/>
  <c r="N19" i="23" s="1"/>
  <c r="N21" i="23" a="1"/>
  <c r="N21" i="23" s="1"/>
  <c r="N23" i="23" a="1"/>
  <c r="N23" i="23" s="1"/>
  <c r="N25" i="23" a="1"/>
  <c r="N25" i="23" s="1"/>
  <c r="N27" i="23" a="1"/>
  <c r="N27" i="23" s="1"/>
  <c r="N29" i="23" a="1"/>
  <c r="N29" i="23" s="1"/>
  <c r="N31" i="23" a="1"/>
  <c r="N31" i="23" s="1"/>
  <c r="J34" i="23" a="1"/>
  <c r="J34" i="23" s="1"/>
  <c r="M37" i="23" a="1"/>
  <c r="M37" i="23" s="1"/>
  <c r="L42" i="23" a="1"/>
  <c r="L42" i="23" s="1"/>
  <c r="J44" i="23" a="1"/>
  <c r="J44" i="23" s="1"/>
  <c r="M46" i="23" a="1"/>
  <c r="M46" i="23" s="1"/>
  <c r="J50" i="23" a="1"/>
  <c r="J50" i="23" s="1"/>
  <c r="L54" i="23" a="1"/>
  <c r="L54" i="23" s="1"/>
  <c r="M59" i="23" a="1"/>
  <c r="M59" i="23" s="1"/>
  <c r="N63" i="23" a="1"/>
  <c r="N63" i="23" s="1"/>
  <c r="N36" i="23" a="1"/>
  <c r="N36" i="23" s="1"/>
  <c r="M39" i="23" a="1"/>
  <c r="M39" i="23" s="1"/>
  <c r="L43" i="23" a="1"/>
  <c r="L43" i="23" s="1"/>
  <c r="K45" i="23" a="1"/>
  <c r="K45" i="23" s="1"/>
  <c r="K49" i="23" a="1"/>
  <c r="K49" i="23" s="1"/>
  <c r="M53" i="23" a="1"/>
  <c r="M53" i="23" s="1"/>
  <c r="N57" i="23" a="1"/>
  <c r="N57" i="23" s="1"/>
  <c r="O62" i="23" a="1"/>
  <c r="O62" i="23" s="1"/>
  <c r="J36" i="23" a="1"/>
  <c r="J36" i="23" s="1"/>
  <c r="K38" i="23" a="1"/>
  <c r="K38" i="23" s="1"/>
  <c r="N40" i="23" a="1"/>
  <c r="N40" i="23" s="1"/>
  <c r="L44" i="23" a="1"/>
  <c r="L44" i="23" s="1"/>
  <c r="N47" i="23" a="1"/>
  <c r="N47" i="23" s="1"/>
  <c r="O52" i="23" a="1"/>
  <c r="O52" i="23" s="1"/>
  <c r="P56" i="23" a="1"/>
  <c r="P56" i="23" s="1"/>
  <c r="J61" i="23" a="1"/>
  <c r="J61" i="23" s="1"/>
  <c r="L65" i="23" a="1"/>
  <c r="L65" i="23" s="1"/>
  <c r="M70" i="23" a="1"/>
  <c r="M70" i="23" s="1"/>
  <c r="P34" i="23" a="1"/>
  <c r="P34" i="23" s="1"/>
  <c r="L38" i="23" a="1"/>
  <c r="L38" i="23" s="1"/>
  <c r="P40" i="23" a="1"/>
  <c r="P40" i="23" s="1"/>
  <c r="N44" i="23" a="1"/>
  <c r="N44" i="23" s="1"/>
  <c r="O49" i="23" a="1"/>
  <c r="O49" i="23" s="1"/>
  <c r="J54" i="23" a="1"/>
  <c r="J54" i="23" s="1"/>
  <c r="K59" i="23" a="1"/>
  <c r="K59" i="23" s="1"/>
  <c r="L63" i="23" a="1"/>
  <c r="L63" i="23" s="1"/>
  <c r="P67" i="23" a="1"/>
  <c r="P67" i="23" s="1"/>
  <c r="L36" i="23" a="1"/>
  <c r="L36" i="23" s="1"/>
  <c r="P38" i="23" a="1"/>
  <c r="P38" i="23" s="1"/>
  <c r="O40" i="23" a="1"/>
  <c r="O40" i="23" s="1"/>
  <c r="N42" i="23" a="1"/>
  <c r="N42" i="23" s="1"/>
  <c r="J45" i="23" a="1"/>
  <c r="J45" i="23" s="1"/>
  <c r="L47" i="23" a="1"/>
  <c r="L47" i="23" s="1"/>
  <c r="K50" i="23" a="1"/>
  <c r="K50" i="23" s="1"/>
  <c r="L52" i="23" a="1"/>
  <c r="L52" i="23" s="1"/>
  <c r="P54" i="23" a="1"/>
  <c r="P54" i="23" s="1"/>
  <c r="J57" i="23" a="1"/>
  <c r="J57" i="23" s="1"/>
  <c r="J59" i="23" a="1"/>
  <c r="J59" i="23" s="1"/>
  <c r="N61" i="23" a="1"/>
  <c r="N61" i="23" s="1"/>
  <c r="K64" i="23" a="1"/>
  <c r="K64" i="23" s="1"/>
  <c r="L66" i="23" a="1"/>
  <c r="L66" i="23" s="1"/>
  <c r="L68" i="23" a="1"/>
  <c r="L68" i="23" s="1"/>
  <c r="O70" i="23" a="1"/>
  <c r="O70" i="23" s="1"/>
  <c r="L73" i="23" a="1"/>
  <c r="L73" i="23" s="1"/>
  <c r="M75" i="23" a="1"/>
  <c r="M75" i="23" s="1"/>
  <c r="N78" i="23" a="1"/>
  <c r="N78" i="23" s="1"/>
  <c r="P81" i="23" a="1"/>
  <c r="P81" i="23" s="1"/>
  <c r="J86" i="23" a="1"/>
  <c r="J86" i="23" s="1"/>
  <c r="O100" i="23" a="1"/>
  <c r="O100" i="23" s="1"/>
  <c r="J107" i="23" a="1"/>
  <c r="J107" i="23" s="1"/>
  <c r="P116" i="23" a="1"/>
  <c r="P116" i="23" s="1"/>
  <c r="M140" i="23" a="1"/>
  <c r="M140" i="23" s="1"/>
  <c r="J73" i="23" a="1"/>
  <c r="J73" i="23" s="1"/>
  <c r="L76" i="23" a="1"/>
  <c r="L76" i="23" s="1"/>
  <c r="M79" i="23" a="1"/>
  <c r="M79" i="23" s="1"/>
  <c r="O84" i="23" a="1"/>
  <c r="O84" i="23" s="1"/>
  <c r="J93" i="23" a="1"/>
  <c r="J93" i="23" s="1"/>
  <c r="O97" i="23" a="1"/>
  <c r="O97" i="23" s="1"/>
  <c r="M107" i="23" a="1"/>
  <c r="M107" i="23" s="1"/>
  <c r="M117" i="23" a="1"/>
  <c r="M117" i="23" s="1"/>
  <c r="M163" i="23" a="1"/>
  <c r="M163" i="23" s="1"/>
  <c r="P48" i="23" a="1"/>
  <c r="P48" i="23" s="1"/>
  <c r="J51" i="23" a="1"/>
  <c r="J51" i="23" s="1"/>
  <c r="N53" i="23" a="1"/>
  <c r="N53" i="23" s="1"/>
  <c r="K56" i="23" a="1"/>
  <c r="K56" i="23" s="1"/>
  <c r="L58" i="23" a="1"/>
  <c r="L58" i="23" s="1"/>
  <c r="L60" i="23" a="1"/>
  <c r="L60" i="23" s="1"/>
  <c r="P62" i="23" a="1"/>
  <c r="P62" i="23" s="1"/>
  <c r="J65" i="23" a="1"/>
  <c r="J65" i="23" s="1"/>
  <c r="J67" i="23" a="1"/>
  <c r="J67" i="23" s="1"/>
  <c r="N69" i="23" a="1"/>
  <c r="N69" i="23" s="1"/>
  <c r="P71" i="23" a="1"/>
  <c r="P71" i="23" s="1"/>
  <c r="O74" i="23" a="1"/>
  <c r="O74" i="23" s="1"/>
  <c r="K78" i="23" a="1"/>
  <c r="K78" i="23" s="1"/>
  <c r="N80" i="23" a="1"/>
  <c r="N80" i="23" s="1"/>
  <c r="N88" i="23" a="1"/>
  <c r="N88" i="23" s="1"/>
  <c r="M93" i="23" a="1"/>
  <c r="M93" i="23" s="1"/>
  <c r="J108" i="23" a="1"/>
  <c r="J108" i="23" s="1"/>
  <c r="J118" i="23" a="1"/>
  <c r="J118" i="23" s="1"/>
  <c r="P136" i="23" a="1"/>
  <c r="P136" i="23" s="1"/>
  <c r="N64" i="23" a="1"/>
  <c r="N64" i="23" s="1"/>
  <c r="K67" i="23" a="1"/>
  <c r="K67" i="23" s="1"/>
  <c r="O69" i="23" a="1"/>
  <c r="O69" i="23" s="1"/>
  <c r="L72" i="23" a="1"/>
  <c r="L72" i="23" s="1"/>
  <c r="J74" i="23" a="1"/>
  <c r="J74" i="23" s="1"/>
  <c r="J76" i="23" a="1"/>
  <c r="J76" i="23" s="1"/>
  <c r="L79" i="23" a="1"/>
  <c r="L79" i="23" s="1"/>
  <c r="J83" i="23" a="1"/>
  <c r="J83" i="23" s="1"/>
  <c r="J99" i="23" a="1"/>
  <c r="J99" i="23" s="1"/>
  <c r="N104" i="23" a="1"/>
  <c r="N104" i="23" s="1"/>
  <c r="K112" i="23" a="1"/>
  <c r="K112" i="23" s="1"/>
  <c r="P123" i="23" a="1"/>
  <c r="P123" i="23" s="1"/>
  <c r="P192" i="23" a="1"/>
  <c r="P192" i="23" s="1"/>
  <c r="N76" i="23" a="1"/>
  <c r="N76" i="23" s="1"/>
  <c r="O78" i="23" a="1"/>
  <c r="O78" i="23" s="1"/>
  <c r="M80" i="23" a="1"/>
  <c r="M80" i="23" s="1"/>
  <c r="N82" i="23" a="1"/>
  <c r="N82" i="23" s="1"/>
  <c r="M85" i="23" a="1"/>
  <c r="M85" i="23" s="1"/>
  <c r="N87" i="23" a="1"/>
  <c r="N87" i="23" s="1"/>
  <c r="L89" i="23" a="1"/>
  <c r="L89" i="23" s="1"/>
  <c r="K92" i="23" a="1"/>
  <c r="K92" i="23" s="1"/>
  <c r="J94" i="23" a="1"/>
  <c r="J94" i="23" s="1"/>
  <c r="P96" i="23" a="1"/>
  <c r="P96" i="23" s="1"/>
  <c r="O98" i="23" a="1"/>
  <c r="O98" i="23" s="1"/>
  <c r="N100" i="23" a="1"/>
  <c r="N100" i="23" s="1"/>
  <c r="M103" i="23" a="1"/>
  <c r="M103" i="23" s="1"/>
  <c r="J106" i="23" a="1"/>
  <c r="J106" i="23" s="1"/>
  <c r="P107" i="23" a="1"/>
  <c r="P107" i="23" s="1"/>
  <c r="K110" i="23" a="1"/>
  <c r="K110" i="23" s="1"/>
  <c r="M112" i="23" a="1"/>
  <c r="M112" i="23" s="1"/>
  <c r="O114" i="23" a="1"/>
  <c r="O114" i="23" s="1"/>
  <c r="L117" i="23" a="1"/>
  <c r="L117" i="23" s="1"/>
  <c r="O119" i="23" a="1"/>
  <c r="O119" i="23" s="1"/>
  <c r="L122" i="23" a="1"/>
  <c r="L122" i="23" s="1"/>
  <c r="J129" i="23" a="1"/>
  <c r="J129" i="23" s="1"/>
  <c r="K138" i="23" a="1"/>
  <c r="K138" i="23" s="1"/>
  <c r="N154" i="23" a="1"/>
  <c r="N154" i="23" s="1"/>
  <c r="J201" i="23" a="1"/>
  <c r="J201" i="23" s="1"/>
  <c r="O198" i="23" a="1"/>
  <c r="O198" i="23" s="1"/>
  <c r="O196" i="23" a="1"/>
  <c r="O196" i="23" s="1"/>
  <c r="K194" i="23" a="1"/>
  <c r="K194" i="23" s="1"/>
  <c r="K192" i="23" a="1"/>
  <c r="K192" i="23" s="1"/>
  <c r="O189" i="23" a="1"/>
  <c r="O189" i="23" s="1"/>
  <c r="N187" i="23" a="1"/>
  <c r="N187" i="23" s="1"/>
  <c r="L185" i="23" a="1"/>
  <c r="L185" i="23" s="1"/>
  <c r="K183" i="23" a="1"/>
  <c r="K183" i="23" s="1"/>
  <c r="P180" i="23" a="1"/>
  <c r="P180" i="23" s="1"/>
  <c r="M178" i="23" a="1"/>
  <c r="M178" i="23" s="1"/>
  <c r="M176" i="23" a="1"/>
  <c r="M176" i="23" s="1"/>
  <c r="P173" i="23" a="1"/>
  <c r="P173" i="23" s="1"/>
  <c r="P171" i="23" a="1"/>
  <c r="P171" i="23" s="1"/>
  <c r="L169" i="23" a="1"/>
  <c r="L169" i="23" s="1"/>
  <c r="N167" i="23" a="1"/>
  <c r="N167" i="23" s="1"/>
  <c r="K165" i="23" a="1"/>
  <c r="K165" i="23" s="1"/>
  <c r="P201" i="23" a="1"/>
  <c r="P201" i="23" s="1"/>
  <c r="N199" i="23" a="1"/>
  <c r="N199" i="23" s="1"/>
  <c r="N197" i="23" a="1"/>
  <c r="N197" i="23" s="1"/>
  <c r="N195" i="23" a="1"/>
  <c r="N195" i="23" s="1"/>
  <c r="J193" i="23" a="1"/>
  <c r="J193" i="23" s="1"/>
  <c r="J191" i="23" a="1"/>
  <c r="J191" i="23" s="1"/>
  <c r="O188" i="23" a="1"/>
  <c r="O188" i="23" s="1"/>
  <c r="K186" i="23" a="1"/>
  <c r="K186" i="23" s="1"/>
  <c r="P183" i="23" a="1"/>
  <c r="P183" i="23" s="1"/>
  <c r="K182" i="23" a="1"/>
  <c r="K182" i="23" s="1"/>
  <c r="O179" i="23" a="1"/>
  <c r="O179" i="23" s="1"/>
  <c r="L177" i="23" a="1"/>
  <c r="L177" i="23" s="1"/>
  <c r="L175" i="23" a="1"/>
  <c r="L175" i="23" s="1"/>
  <c r="O172" i="23" a="1"/>
  <c r="O172" i="23" s="1"/>
  <c r="O170" i="23" a="1"/>
  <c r="O170" i="23" s="1"/>
  <c r="L168" i="23" a="1"/>
  <c r="L168" i="23" s="1"/>
  <c r="N165" i="23" a="1"/>
  <c r="N165" i="23" s="1"/>
  <c r="M197" i="23" a="1"/>
  <c r="M197" i="23" s="1"/>
  <c r="M193" i="23" a="1"/>
  <c r="M193" i="23" s="1"/>
  <c r="N188" i="23" a="1"/>
  <c r="N188" i="23" s="1"/>
  <c r="K184" i="23" a="1"/>
  <c r="K184" i="23" s="1"/>
  <c r="O178" i="23" a="1"/>
  <c r="O178" i="23" s="1"/>
  <c r="N173" i="23" a="1"/>
  <c r="N173" i="23" s="1"/>
  <c r="N169" i="23" a="1"/>
  <c r="N169" i="23" s="1"/>
  <c r="J166" i="23" a="1"/>
  <c r="J166" i="23" s="1"/>
  <c r="O162" i="23" a="1"/>
  <c r="O162" i="23" s="1"/>
  <c r="J161" i="23" a="1"/>
  <c r="J161" i="23" s="1"/>
  <c r="O158" i="23" a="1"/>
  <c r="O158" i="23" s="1"/>
  <c r="K156" i="23" a="1"/>
  <c r="K156" i="23" s="1"/>
  <c r="P153" i="23" a="1"/>
  <c r="P153" i="23" s="1"/>
  <c r="K152" i="23" a="1"/>
  <c r="K152" i="23" s="1"/>
  <c r="M149" i="23" a="1"/>
  <c r="M149" i="23" s="1"/>
  <c r="O146" i="23" a="1"/>
  <c r="O146" i="23" s="1"/>
  <c r="M198" i="23" a="1"/>
  <c r="M198" i="23" s="1"/>
  <c r="L193" i="23" a="1"/>
  <c r="L193" i="23" s="1"/>
  <c r="M189" i="23" a="1"/>
  <c r="M189" i="23" s="1"/>
  <c r="J184" i="23" a="1"/>
  <c r="J184" i="23" s="1"/>
  <c r="M179" i="23" a="1"/>
  <c r="M179" i="23" s="1"/>
  <c r="M174" i="23" a="1"/>
  <c r="M174" i="23" s="1"/>
  <c r="M170" i="23" a="1"/>
  <c r="M170" i="23" s="1"/>
  <c r="P165" i="23" a="1"/>
  <c r="P165" i="23" s="1"/>
  <c r="J163" i="23" a="1"/>
  <c r="J163" i="23" s="1"/>
  <c r="J160" i="23" a="1"/>
  <c r="J160" i="23" s="1"/>
  <c r="O157" i="23" a="1"/>
  <c r="O157" i="23" s="1"/>
  <c r="J156" i="23" a="1"/>
  <c r="J156" i="23" s="1"/>
  <c r="O153" i="23" a="1"/>
  <c r="O153" i="23" s="1"/>
  <c r="P150" i="23" a="1"/>
  <c r="P150" i="23" s="1"/>
  <c r="P148" i="23" a="1"/>
  <c r="P148" i="23" s="1"/>
  <c r="O145" i="23" a="1"/>
  <c r="O145" i="23" s="1"/>
  <c r="P198" i="23" a="1"/>
  <c r="P198" i="23" s="1"/>
  <c r="P194" i="23" a="1"/>
  <c r="P194" i="23" s="1"/>
  <c r="J189" i="23" a="1"/>
  <c r="J189" i="23" s="1"/>
  <c r="M185" i="23" a="1"/>
  <c r="M185" i="23" s="1"/>
  <c r="J180" i="23" a="1"/>
  <c r="J180" i="23" s="1"/>
  <c r="J176" i="23" a="1"/>
  <c r="J176" i="23" s="1"/>
  <c r="P170" i="23" a="1"/>
  <c r="P170" i="23" s="1"/>
  <c r="L167" i="23" a="1"/>
  <c r="L167" i="23" s="1"/>
  <c r="P163" i="23" a="1"/>
  <c r="P163" i="23" s="1"/>
  <c r="N161" i="23" a="1"/>
  <c r="N161" i="23" s="1"/>
  <c r="O159" i="23" a="1"/>
  <c r="O159" i="23" s="1"/>
  <c r="J157" i="23" a="1"/>
  <c r="J157" i="23" s="1"/>
  <c r="M154" i="23" a="1"/>
  <c r="M154" i="23" s="1"/>
  <c r="L152" i="23" a="1"/>
  <c r="L152" i="23" s="1"/>
  <c r="N150" i="23" a="1"/>
  <c r="N150" i="23" s="1"/>
  <c r="K148" i="23" a="1"/>
  <c r="K148" i="23" s="1"/>
  <c r="M146" i="23" a="1"/>
  <c r="M146" i="23" s="1"/>
  <c r="O183" i="23" a="1"/>
  <c r="O183" i="23" s="1"/>
  <c r="O160" i="23" a="1"/>
  <c r="O160" i="23" s="1"/>
  <c r="K150" i="23" a="1"/>
  <c r="K150" i="23" s="1"/>
  <c r="L144" i="23" a="1"/>
  <c r="L144" i="23" s="1"/>
  <c r="N141" i="23" a="1"/>
  <c r="N141" i="23" s="1"/>
  <c r="L139" i="23" a="1"/>
  <c r="L139" i="23" s="1"/>
  <c r="J137" i="23" a="1"/>
  <c r="J137" i="23" s="1"/>
  <c r="O134" i="23" a="1"/>
  <c r="O134" i="23" s="1"/>
  <c r="M132" i="23" a="1"/>
  <c r="M132" i="23" s="1"/>
  <c r="K130" i="23" a="1"/>
  <c r="K130" i="23" s="1"/>
  <c r="P127" i="23" a="1"/>
  <c r="P127" i="23" s="1"/>
  <c r="P125" i="23" a="1"/>
  <c r="P125" i="23" s="1"/>
  <c r="K124" i="23" a="1"/>
  <c r="K124" i="23" s="1"/>
  <c r="J190" i="23" a="1"/>
  <c r="J190" i="23" s="1"/>
  <c r="K175" i="23" a="1"/>
  <c r="K175" i="23" s="1"/>
  <c r="M158" i="23" a="1"/>
  <c r="M158" i="23" s="1"/>
  <c r="O149" i="23" a="1"/>
  <c r="O149" i="23" s="1"/>
  <c r="O143" i="23" a="1"/>
  <c r="O143" i="23" s="1"/>
  <c r="J141" i="23" a="1"/>
  <c r="J141" i="23" s="1"/>
  <c r="O138" i="23" a="1"/>
  <c r="O138" i="23" s="1"/>
  <c r="M136" i="23" a="1"/>
  <c r="M136" i="23" s="1"/>
  <c r="K134" i="23" a="1"/>
  <c r="K134" i="23" s="1"/>
  <c r="P131" i="23" a="1"/>
  <c r="P131" i="23" s="1"/>
  <c r="N129" i="23" a="1"/>
  <c r="N129" i="23" s="1"/>
  <c r="O127" i="23" a="1"/>
  <c r="O127" i="23" s="1"/>
  <c r="L125" i="23" a="1"/>
  <c r="L125" i="23" s="1"/>
  <c r="P199" i="23" a="1"/>
  <c r="P199" i="23" s="1"/>
  <c r="K181" i="23" a="1"/>
  <c r="K181" i="23" s="1"/>
  <c r="L161" i="23" a="1"/>
  <c r="L161" i="23" s="1"/>
  <c r="K154" i="23" a="1"/>
  <c r="K154" i="23" s="1"/>
  <c r="L145" i="23" a="1"/>
  <c r="L145" i="23" s="1"/>
  <c r="K142" i="23" a="1"/>
  <c r="K142" i="23" s="1"/>
  <c r="P139" i="23" a="1"/>
  <c r="P139" i="23" s="1"/>
  <c r="N137" i="23" a="1"/>
  <c r="N137" i="23" s="1"/>
  <c r="L135" i="23" a="1"/>
  <c r="L135" i="23" s="1"/>
  <c r="J133" i="23" a="1"/>
  <c r="J133" i="23" s="1"/>
  <c r="O130" i="23" a="1"/>
  <c r="O130" i="23" s="1"/>
  <c r="M128" i="23" a="1"/>
  <c r="M128" i="23" s="1"/>
  <c r="J126" i="23" a="1"/>
  <c r="J126" i="23" s="1"/>
  <c r="L123" i="23" a="1"/>
  <c r="L123" i="23" s="1"/>
  <c r="J121" i="23" a="1"/>
  <c r="J121" i="23" s="1"/>
  <c r="J119" i="23" a="1"/>
  <c r="J119" i="23" s="1"/>
  <c r="O116" i="23" a="1"/>
  <c r="O116" i="23" s="1"/>
  <c r="J170" i="23" a="1"/>
  <c r="J170" i="23" s="1"/>
  <c r="K143" i="23" a="1"/>
  <c r="K143" i="23" s="1"/>
  <c r="J134" i="23" a="1"/>
  <c r="J134" i="23" s="1"/>
  <c r="M123" i="23" a="1"/>
  <c r="M123" i="23" s="1"/>
  <c r="P120" i="23" a="1"/>
  <c r="P120" i="23" s="1"/>
  <c r="L118" i="23" a="1"/>
  <c r="L118" i="23" s="1"/>
  <c r="K115" i="23" a="1"/>
  <c r="K115" i="23" s="1"/>
  <c r="P112" i="23" a="1"/>
  <c r="P112" i="23" s="1"/>
  <c r="N110" i="23" a="1"/>
  <c r="N110" i="23" s="1"/>
  <c r="L108" i="23" a="1"/>
  <c r="L108" i="23" s="1"/>
  <c r="P105" i="23" a="1"/>
  <c r="P105" i="23" s="1"/>
  <c r="L103" i="23" a="1"/>
  <c r="L103" i="23" s="1"/>
  <c r="K101" i="23" a="1"/>
  <c r="K101" i="23" s="1"/>
  <c r="N98" i="23" a="1"/>
  <c r="N98" i="23" s="1"/>
  <c r="L96" i="23" a="1"/>
  <c r="L96" i="23" s="1"/>
  <c r="M94" i="23" a="1"/>
  <c r="M94" i="23" s="1"/>
  <c r="P91" i="23" a="1"/>
  <c r="P91" i="23" s="1"/>
  <c r="J90" i="23" a="1"/>
  <c r="J90" i="23" s="1"/>
  <c r="L88" i="23" a="1"/>
  <c r="L88" i="23" s="1"/>
  <c r="P85" i="23" a="1"/>
  <c r="P85" i="23" s="1"/>
  <c r="P82" i="23" a="1"/>
  <c r="P82" i="23" s="1"/>
  <c r="J158" i="23" a="1"/>
  <c r="J158" i="23" s="1"/>
  <c r="P140" i="23" a="1"/>
  <c r="P140" i="23" s="1"/>
  <c r="O131" i="23" a="1"/>
  <c r="O131" i="23" s="1"/>
  <c r="O120" i="23" a="1"/>
  <c r="O120" i="23" s="1"/>
  <c r="K118" i="23" a="1"/>
  <c r="K118" i="23" s="1"/>
  <c r="N114" i="23" a="1"/>
  <c r="N114" i="23" s="1"/>
  <c r="L112" i="23" a="1"/>
  <c r="L112" i="23" s="1"/>
  <c r="J110" i="23" a="1"/>
  <c r="J110" i="23" s="1"/>
  <c r="N107" i="23" a="1"/>
  <c r="N107" i="23" s="1"/>
  <c r="K105" i="23" a="1"/>
  <c r="K105" i="23" s="1"/>
  <c r="K103" i="23" a="1"/>
  <c r="K103" i="23" s="1"/>
  <c r="P100" i="23" a="1"/>
  <c r="P100" i="23" s="1"/>
  <c r="M98" i="23" a="1"/>
  <c r="M98" i="23" s="1"/>
  <c r="K96" i="23" a="1"/>
  <c r="K96" i="23" s="1"/>
  <c r="N93" i="23" a="1"/>
  <c r="N93" i="23" s="1"/>
  <c r="L91" i="23" a="1"/>
  <c r="L91" i="23" s="1"/>
  <c r="J89" i="23" a="1"/>
  <c r="J89" i="23" s="1"/>
  <c r="N200" i="23" a="1"/>
  <c r="N200" i="23" s="1"/>
  <c r="L198" i="23" a="1"/>
  <c r="L198" i="23" s="1"/>
  <c r="O195" i="23" a="1"/>
  <c r="O195" i="23" s="1"/>
  <c r="O193" i="23" a="1"/>
  <c r="O193" i="23" s="1"/>
  <c r="K191" i="23" a="1"/>
  <c r="K191" i="23" s="1"/>
  <c r="P188" i="23" a="1"/>
  <c r="P188" i="23" s="1"/>
  <c r="K187" i="23" a="1"/>
  <c r="K187" i="23" s="1"/>
  <c r="P184" i="23" a="1"/>
  <c r="P184" i="23" s="1"/>
  <c r="O182" i="23" a="1"/>
  <c r="O182" i="23" s="1"/>
  <c r="M180" i="23" a="1"/>
  <c r="M180" i="23" s="1"/>
  <c r="P177" i="23" a="1"/>
  <c r="P177" i="23" s="1"/>
  <c r="P175" i="23" a="1"/>
  <c r="P175" i="23" s="1"/>
  <c r="L173" i="23" a="1"/>
  <c r="L173" i="23" s="1"/>
  <c r="L171" i="23" a="1"/>
  <c r="L171" i="23" s="1"/>
  <c r="P168" i="23" a="1"/>
  <c r="P168" i="23" s="1"/>
  <c r="K167" i="23" a="1"/>
  <c r="K167" i="23" s="1"/>
  <c r="O164" i="23" a="1"/>
  <c r="O164" i="23" s="1"/>
  <c r="M201" i="23" a="1"/>
  <c r="M201" i="23" s="1"/>
  <c r="K199" i="23" a="1"/>
  <c r="K199" i="23" s="1"/>
  <c r="K197" i="23" a="1"/>
  <c r="K197" i="23" s="1"/>
  <c r="N194" i="23" a="1"/>
  <c r="N194" i="23" s="1"/>
  <c r="N192" i="23" a="1"/>
  <c r="N192" i="23" s="1"/>
  <c r="N190" i="23" a="1"/>
  <c r="N190" i="23" s="1"/>
  <c r="L188" i="23" a="1"/>
  <c r="L188" i="23" s="1"/>
  <c r="O185" i="23" a="1"/>
  <c r="O185" i="23" s="1"/>
  <c r="M183" i="23" a="1"/>
  <c r="M183" i="23" s="1"/>
  <c r="L181" i="23" a="1"/>
  <c r="L181" i="23" s="1"/>
  <c r="L179" i="23" a="1"/>
  <c r="L179" i="23" s="1"/>
  <c r="O176" i="23" a="1"/>
  <c r="O176" i="23" s="1"/>
  <c r="O174" i="23" a="1"/>
  <c r="O174" i="23" s="1"/>
  <c r="K172" i="23" a="1"/>
  <c r="K172" i="23" s="1"/>
  <c r="K170" i="23" a="1"/>
  <c r="K170" i="23" s="1"/>
  <c r="M167" i="23" a="1"/>
  <c r="M167" i="23" s="1"/>
  <c r="N164" i="23" a="1"/>
  <c r="N164" i="23" s="1"/>
  <c r="L201" i="23" a="1"/>
  <c r="L201" i="23" s="1"/>
  <c r="M196" i="23" a="1"/>
  <c r="M196" i="23" s="1"/>
  <c r="M192" i="23" a="1"/>
  <c r="M192" i="23" s="1"/>
  <c r="P187" i="23" a="1"/>
  <c r="P187" i="23" s="1"/>
  <c r="N181" i="23" a="1"/>
  <c r="N181" i="23" s="1"/>
  <c r="N176" i="23" a="1"/>
  <c r="N176" i="23" s="1"/>
  <c r="N172" i="23" a="1"/>
  <c r="N172" i="23" s="1"/>
  <c r="N168" i="23" a="1"/>
  <c r="N168" i="23" s="1"/>
  <c r="J165" i="23" a="1"/>
  <c r="J165" i="23" s="1"/>
  <c r="L162" i="23" a="1"/>
  <c r="L162" i="23" s="1"/>
  <c r="M160" i="23" a="1"/>
  <c r="M160" i="23" s="1"/>
  <c r="K158" i="23" a="1"/>
  <c r="K158" i="23" s="1"/>
  <c r="O155" i="23" a="1"/>
  <c r="O155" i="23" s="1"/>
  <c r="M153" i="23" a="1"/>
  <c r="M153" i="23" s="1"/>
  <c r="L151" i="23" a="1"/>
  <c r="L151" i="23" s="1"/>
  <c r="M148" i="23" a="1"/>
  <c r="M148" i="23" s="1"/>
  <c r="P145" i="23" a="1"/>
  <c r="P145" i="23" s="1"/>
  <c r="L196" i="23" a="1"/>
  <c r="L196" i="23" s="1"/>
  <c r="L192" i="23" a="1"/>
  <c r="L192" i="23" s="1"/>
  <c r="O187" i="23" a="1"/>
  <c r="O187" i="23" s="1"/>
  <c r="L183" i="23" a="1"/>
  <c r="L183" i="23" s="1"/>
  <c r="N178" i="23" a="1"/>
  <c r="N178" i="23" s="1"/>
  <c r="M173" i="23" a="1"/>
  <c r="M173" i="23" s="1"/>
  <c r="M169" i="23" a="1"/>
  <c r="M169" i="23" s="1"/>
  <c r="P164" i="23" a="1"/>
  <c r="P164" i="23" s="1"/>
  <c r="N162" i="23" a="1"/>
  <c r="N162" i="23" s="1"/>
  <c r="M159" i="23" a="1"/>
  <c r="M159" i="23" s="1"/>
  <c r="L157" i="23" a="1"/>
  <c r="L157" i="23" s="1"/>
  <c r="N155" i="23" a="1"/>
  <c r="N155" i="23" s="1"/>
  <c r="L153" i="23" a="1"/>
  <c r="L153" i="23" s="1"/>
  <c r="L150" i="23" a="1"/>
  <c r="L150" i="23" s="1"/>
  <c r="P147" i="23" a="1"/>
  <c r="P147" i="23" s="1"/>
  <c r="P197" i="23" a="1"/>
  <c r="P197" i="23" s="1"/>
  <c r="P193" i="23" a="1"/>
  <c r="P193" i="23" s="1"/>
  <c r="K188" i="23" a="1"/>
  <c r="K188" i="23" s="1"/>
  <c r="N184" i="23" a="1"/>
  <c r="N184" i="23" s="1"/>
  <c r="J179" i="23" a="1"/>
  <c r="J179" i="23" s="1"/>
  <c r="J175" i="23" a="1"/>
  <c r="J175" i="23" s="1"/>
  <c r="P169" i="23" a="1"/>
  <c r="P169" i="23" s="1"/>
  <c r="L166" i="23" a="1"/>
  <c r="L166" i="23" s="1"/>
  <c r="L163" i="23" a="1"/>
  <c r="L163" i="23" s="1"/>
  <c r="K161" i="23" a="1"/>
  <c r="K161" i="23" s="1"/>
  <c r="P158" i="23" a="1"/>
  <c r="P158" i="23" s="1"/>
  <c r="L156" i="23" a="1"/>
  <c r="L156" i="23" s="1"/>
  <c r="J154" i="23" a="1"/>
  <c r="J154" i="23" s="1"/>
  <c r="P151" i="23" a="1"/>
  <c r="P151" i="23" s="1"/>
  <c r="N149" i="23" a="1"/>
  <c r="N149" i="23" s="1"/>
  <c r="O147" i="23" a="1"/>
  <c r="O147" i="23" s="1"/>
  <c r="J146" i="23" a="1"/>
  <c r="J146" i="23" s="1"/>
  <c r="J199" i="23" a="1"/>
  <c r="J199" i="23" s="1"/>
  <c r="K180" i="23" a="1"/>
  <c r="K180" i="23" s="1"/>
  <c r="K157" i="23" a="1"/>
  <c r="K157" i="23" s="1"/>
  <c r="L148" i="23" a="1"/>
  <c r="L148" i="23" s="1"/>
  <c r="L143" i="23" a="1"/>
  <c r="L143" i="23" s="1"/>
  <c r="K141" i="23" a="1"/>
  <c r="K141" i="23" s="1"/>
  <c r="P138" i="23" a="1"/>
  <c r="P138" i="23" s="1"/>
  <c r="N136" i="23" a="1"/>
  <c r="N136" i="23" s="1"/>
  <c r="L134" i="23" a="1"/>
  <c r="L134" i="23" s="1"/>
  <c r="J132" i="23" a="1"/>
  <c r="J132" i="23" s="1"/>
  <c r="O129" i="23" a="1"/>
  <c r="O129" i="23" s="1"/>
  <c r="L127" i="23" a="1"/>
  <c r="L127" i="23" s="1"/>
  <c r="M125" i="23" a="1"/>
  <c r="M125" i="23" s="1"/>
  <c r="O123" i="23" a="1"/>
  <c r="O123" i="23" s="1"/>
  <c r="M186" i="23" a="1"/>
  <c r="M186" i="23" s="1"/>
  <c r="J171" i="23" a="1"/>
  <c r="J171" i="23" s="1"/>
  <c r="O156" i="23" a="1"/>
  <c r="O156" i="23" s="1"/>
  <c r="K146" i="23" a="1"/>
  <c r="K146" i="23" s="1"/>
  <c r="P142" i="23" a="1"/>
  <c r="P142" i="23" s="1"/>
  <c r="N140" i="23" a="1"/>
  <c r="N140" i="23" s="1"/>
  <c r="L138" i="23" a="1"/>
  <c r="L138" i="23" s="1"/>
  <c r="J136" i="23" a="1"/>
  <c r="J136" i="23" s="1"/>
  <c r="O133" i="23" a="1"/>
  <c r="O133" i="23" s="1"/>
  <c r="M131" i="23" a="1"/>
  <c r="M131" i="23" s="1"/>
  <c r="K129" i="23" a="1"/>
  <c r="K129" i="23" s="1"/>
  <c r="K127" i="23" a="1"/>
  <c r="K127" i="23" s="1"/>
  <c r="P124" i="23" a="1"/>
  <c r="P124" i="23" s="1"/>
  <c r="J196" i="23" a="1"/>
  <c r="J196" i="23" s="1"/>
  <c r="K177" i="23" a="1"/>
  <c r="K177" i="23" s="1"/>
  <c r="L159" i="23" a="1"/>
  <c r="L159" i="23" s="1"/>
  <c r="O150" i="23" a="1"/>
  <c r="O150" i="23" s="1"/>
  <c r="P143" i="23" a="1"/>
  <c r="P143" i="23" s="1"/>
  <c r="O141" i="23" a="1"/>
  <c r="O141" i="23" s="1"/>
  <c r="M139" i="23" a="1"/>
  <c r="M139" i="23" s="1"/>
  <c r="K137" i="23" a="1"/>
  <c r="K137" i="23" s="1"/>
  <c r="P134" i="23" a="1"/>
  <c r="P134" i="23" s="1"/>
  <c r="N132" i="23" a="1"/>
  <c r="N132" i="23" s="1"/>
  <c r="L130" i="23" a="1"/>
  <c r="L130" i="23" s="1"/>
  <c r="J128" i="23" a="1"/>
  <c r="J128" i="23" s="1"/>
  <c r="N125" i="23" a="1"/>
  <c r="N125" i="23" s="1"/>
  <c r="P122" i="23" a="1"/>
  <c r="P122" i="23" s="1"/>
  <c r="M120" i="23" a="1"/>
  <c r="M120" i="23" s="1"/>
  <c r="N118" i="23" a="1"/>
  <c r="N118" i="23" s="1"/>
  <c r="K116" i="23" a="1"/>
  <c r="K116" i="23" s="1"/>
  <c r="P159" i="23" a="1"/>
  <c r="P159" i="23" s="1"/>
  <c r="M141" i="23" a="1"/>
  <c r="M141" i="23" s="1"/>
  <c r="L132" i="23" a="1"/>
  <c r="L132" i="23" s="1"/>
  <c r="O122" i="23" a="1"/>
  <c r="O122" i="23" s="1"/>
  <c r="K120" i="23" a="1"/>
  <c r="K120" i="23" s="1"/>
  <c r="O117" i="23" a="1"/>
  <c r="O117" i="23" s="1"/>
  <c r="K114" i="23" a="1"/>
  <c r="K114" i="23" s="1"/>
  <c r="P111" i="23" a="1"/>
  <c r="P111" i="23" s="1"/>
  <c r="N109" i="23" a="1"/>
  <c r="N109" i="23" s="1"/>
  <c r="O107" i="23" a="1"/>
  <c r="O107" i="23" s="1"/>
  <c r="L105" i="23" a="1"/>
  <c r="L105" i="23" s="1"/>
  <c r="O102" i="23" a="1"/>
  <c r="O102" i="23" s="1"/>
  <c r="M100" i="23" a="1"/>
  <c r="M100" i="23" s="1"/>
  <c r="P97" i="23" a="1"/>
  <c r="P97" i="23" s="1"/>
  <c r="N95" i="23" a="1"/>
  <c r="N95" i="23" s="1"/>
  <c r="O93" i="23" a="1"/>
  <c r="O93" i="23" s="1"/>
  <c r="M91" i="23" a="1"/>
  <c r="M91" i="23" s="1"/>
  <c r="N89" i="23" a="1"/>
  <c r="N89" i="23" s="1"/>
  <c r="M87" i="23" a="1"/>
  <c r="M87" i="23" s="1"/>
  <c r="N84" i="23" a="1"/>
  <c r="N84" i="23" s="1"/>
  <c r="J197" i="23" a="1"/>
  <c r="J197" i="23" s="1"/>
  <c r="K151" i="23" a="1"/>
  <c r="K151" i="23" s="1"/>
  <c r="K139" i="23" a="1"/>
  <c r="K139" i="23" s="1"/>
  <c r="J130" i="23" a="1"/>
  <c r="J130" i="23" s="1"/>
  <c r="J120" i="23" a="1"/>
  <c r="J120" i="23" s="1"/>
  <c r="L116" i="23" a="1"/>
  <c r="L116" i="23" s="1"/>
  <c r="N113" i="23" a="1"/>
  <c r="N113" i="23" s="1"/>
  <c r="L111" i="23" a="1"/>
  <c r="L111" i="23" s="1"/>
  <c r="J109" i="23" a="1"/>
  <c r="J109" i="23" s="1"/>
  <c r="K107" i="23" a="1"/>
  <c r="K107" i="23" s="1"/>
  <c r="O104" i="23" a="1"/>
  <c r="O104" i="23" s="1"/>
  <c r="K102" i="23" a="1"/>
  <c r="K102" i="23" s="1"/>
  <c r="L100" i="23" a="1"/>
  <c r="L100" i="23" s="1"/>
  <c r="J98" i="23" a="1"/>
  <c r="J98" i="23" s="1"/>
  <c r="M95" i="23" a="1"/>
  <c r="M95" i="23" s="1"/>
  <c r="K93" i="23" a="1"/>
  <c r="K93" i="23" s="1"/>
  <c r="O90" i="23" a="1"/>
  <c r="O90" i="23" s="1"/>
  <c r="K88" i="23" a="1"/>
  <c r="K88" i="23" s="1"/>
  <c r="L85" i="23" a="1"/>
  <c r="L85" i="23" s="1"/>
  <c r="N83" i="23" a="1"/>
  <c r="N83" i="23" s="1"/>
  <c r="M81" i="23" a="1"/>
  <c r="M81" i="23" s="1"/>
  <c r="K200" i="23" a="1"/>
  <c r="K200" i="23" s="1"/>
  <c r="O197" i="23" a="1"/>
  <c r="O197" i="23" s="1"/>
  <c r="K195" i="23" a="1"/>
  <c r="K195" i="23" s="1"/>
  <c r="K193" i="23" a="1"/>
  <c r="K193" i="23" s="1"/>
  <c r="O190" i="23" a="1"/>
  <c r="O190" i="23" s="1"/>
  <c r="M188" i="23" a="1"/>
  <c r="M188" i="23" s="1"/>
  <c r="O186" i="23" a="1"/>
  <c r="O186" i="23" s="1"/>
  <c r="M184" i="23" a="1"/>
  <c r="M184" i="23" s="1"/>
  <c r="L182" i="23" a="1"/>
  <c r="L182" i="23" s="1"/>
  <c r="P179" i="23" a="1"/>
  <c r="P179" i="23" s="1"/>
  <c r="M177" i="23" a="1"/>
  <c r="M177" i="23" s="1"/>
  <c r="P174" i="23" a="1"/>
  <c r="P174" i="23" s="1"/>
  <c r="P172" i="23" a="1"/>
  <c r="P172" i="23" s="1"/>
  <c r="L170" i="23" a="1"/>
  <c r="L170" i="23" s="1"/>
  <c r="M168" i="23" a="1"/>
  <c r="M168" i="23" s="1"/>
  <c r="O166" i="23" a="1"/>
  <c r="O166" i="23" s="1"/>
  <c r="P200" i="23" a="1"/>
  <c r="P200" i="23" s="1"/>
  <c r="N198" i="23" a="1"/>
  <c r="N198" i="23" s="1"/>
  <c r="N196" i="23" a="1"/>
  <c r="N196" i="23" s="1"/>
  <c r="J194" i="23" a="1"/>
  <c r="J194" i="23" s="1"/>
  <c r="J192" i="23" a="1"/>
  <c r="J192" i="23" s="1"/>
  <c r="K190" i="23" a="1"/>
  <c r="K190" i="23" s="1"/>
  <c r="M187" i="23" a="1"/>
  <c r="M187" i="23" s="1"/>
  <c r="K185" i="23" a="1"/>
  <c r="K185" i="23" s="1"/>
  <c r="J183" i="23" a="1"/>
  <c r="J183" i="23" s="1"/>
  <c r="O180" i="23" a="1"/>
  <c r="O180" i="23" s="1"/>
  <c r="L178" i="23" a="1"/>
  <c r="L178" i="23" s="1"/>
  <c r="L176" i="23" a="1"/>
  <c r="L176" i="23" s="1"/>
  <c r="O173" i="23" a="1"/>
  <c r="O173" i="23" s="1"/>
  <c r="O171" i="23" a="1"/>
  <c r="O171" i="23" s="1"/>
  <c r="K169" i="23" a="1"/>
  <c r="K169" i="23" s="1"/>
  <c r="N166" i="23" a="1"/>
  <c r="N166" i="23" s="1"/>
  <c r="K164" i="23" a="1"/>
  <c r="K164" i="23" s="1"/>
  <c r="M200" i="23" a="1"/>
  <c r="M200" i="23" s="1"/>
  <c r="M195" i="23" a="1"/>
  <c r="M195" i="23" s="1"/>
  <c r="M191" i="23" a="1"/>
  <c r="M191" i="23" s="1"/>
  <c r="J187" i="23" a="1"/>
  <c r="J187" i="23" s="1"/>
  <c r="N180" i="23" a="1"/>
  <c r="N180" i="23" s="1"/>
  <c r="N175" i="23" a="1"/>
  <c r="N175" i="23" s="1"/>
  <c r="N171" i="23" a="1"/>
  <c r="N171" i="23" s="1"/>
  <c r="P167" i="23" a="1"/>
  <c r="P167" i="23" s="1"/>
  <c r="L164" i="23" a="1"/>
  <c r="L164" i="23" s="1"/>
  <c r="P161" i="23" a="1"/>
  <c r="P161" i="23" s="1"/>
  <c r="N159" i="23" a="1"/>
  <c r="N159" i="23" s="1"/>
  <c r="M157" i="23" a="1"/>
  <c r="M157" i="23" s="1"/>
  <c r="L155" i="23" a="1"/>
  <c r="L155" i="23" s="1"/>
  <c r="J153" i="23" a="1"/>
  <c r="J153" i="23" s="1"/>
  <c r="M150" i="23" a="1"/>
  <c r="M150" i="23" s="1"/>
  <c r="J148" i="23" a="1"/>
  <c r="J148" i="23" s="1"/>
  <c r="M145" i="23" a="1"/>
  <c r="M145" i="23" s="1"/>
  <c r="K201" i="23" a="1"/>
  <c r="K201" i="23" s="1"/>
  <c r="L195" i="23" a="1"/>
  <c r="L195" i="23" s="1"/>
  <c r="L191" i="23" a="1"/>
  <c r="L191" i="23" s="1"/>
  <c r="P186" i="23" a="1"/>
  <c r="P186" i="23" s="1"/>
  <c r="M182" i="23" a="1"/>
  <c r="M182" i="23" s="1"/>
  <c r="N177" i="23" a="1"/>
  <c r="N177" i="23" s="1"/>
  <c r="M172" i="23" a="1"/>
  <c r="M172" i="23" s="1"/>
  <c r="O167" i="23" a="1"/>
  <c r="O167" i="23" s="1"/>
  <c r="J164" i="23" a="1"/>
  <c r="J164" i="23" s="1"/>
  <c r="O161" i="23" a="1"/>
  <c r="O161" i="23" s="1"/>
  <c r="J159" i="23" a="1"/>
  <c r="J159" i="23" s="1"/>
  <c r="P156" i="23" a="1"/>
  <c r="P156" i="23" s="1"/>
  <c r="K155" i="23" a="1"/>
  <c r="K155" i="23" s="1"/>
  <c r="M152" i="23" a="1"/>
  <c r="M152" i="23" s="1"/>
  <c r="P149" i="23" a="1"/>
  <c r="P149" i="23" s="1"/>
  <c r="K147" i="23" a="1"/>
  <c r="K147" i="23" s="1"/>
  <c r="O200" i="23" a="1"/>
  <c r="O200" i="23" s="1"/>
  <c r="P196" i="23" a="1"/>
  <c r="P196" i="23" s="1"/>
  <c r="O191" i="23" a="1"/>
  <c r="O191" i="23" s="1"/>
  <c r="L187" i="23" a="1"/>
  <c r="L187" i="23" s="1"/>
  <c r="P181" i="23" a="1"/>
  <c r="P181" i="23" s="1"/>
  <c r="J178" i="23" a="1"/>
  <c r="J178" i="23" s="1"/>
  <c r="J174" i="23" a="1"/>
  <c r="J174" i="23" s="1"/>
  <c r="J169" i="23" a="1"/>
  <c r="J169" i="23" s="1"/>
  <c r="L165" i="23" a="1"/>
  <c r="L165" i="23" s="1"/>
  <c r="M162" i="23" a="1"/>
  <c r="M162" i="23" s="1"/>
  <c r="N160" i="23" a="1"/>
  <c r="N160" i="23" s="1"/>
  <c r="L158" i="23" a="1"/>
  <c r="L158" i="23" s="1"/>
  <c r="M155" i="23" a="1"/>
  <c r="M155" i="23" s="1"/>
  <c r="K153" i="23" a="1"/>
  <c r="K153" i="23" s="1"/>
  <c r="M151" i="23" a="1"/>
  <c r="M151" i="23" s="1"/>
  <c r="J149" i="23" a="1"/>
  <c r="J149" i="23" s="1"/>
  <c r="L147" i="23" a="1"/>
  <c r="L147" i="23" s="1"/>
  <c r="J145" i="23" a="1"/>
  <c r="J145" i="23" s="1"/>
  <c r="J195" i="23" a="1"/>
  <c r="J195" i="23" s="1"/>
  <c r="K176" i="23" a="1"/>
  <c r="K176" i="23" s="1"/>
  <c r="N153" i="23" a="1"/>
  <c r="N153" i="23" s="1"/>
  <c r="N146" i="23" a="1"/>
  <c r="N146" i="23" s="1"/>
  <c r="N142" i="23" a="1"/>
  <c r="N142" i="23" s="1"/>
  <c r="L140" i="23" a="1"/>
  <c r="L140" i="23" s="1"/>
  <c r="J138" i="23" a="1"/>
  <c r="J138" i="23" s="1"/>
  <c r="O135" i="23" a="1"/>
  <c r="O135" i="23" s="1"/>
  <c r="M133" i="23" a="1"/>
  <c r="M133" i="23" s="1"/>
  <c r="K131" i="23" a="1"/>
  <c r="K131" i="23" s="1"/>
  <c r="P128" i="23" a="1"/>
  <c r="P128" i="23" s="1"/>
  <c r="P126" i="23" a="1"/>
  <c r="P126" i="23" s="1"/>
  <c r="J125" i="23" a="1"/>
  <c r="J125" i="23" s="1"/>
  <c r="O201" i="23" a="1"/>
  <c r="O201" i="23" s="1"/>
  <c r="P182" i="23" a="1"/>
  <c r="P182" i="23" s="1"/>
  <c r="K162" i="23" a="1"/>
  <c r="K162" i="23" s="1"/>
  <c r="J155" i="23" a="1"/>
  <c r="J155" i="23" s="1"/>
  <c r="O144" i="23" a="1"/>
  <c r="O144" i="23" s="1"/>
  <c r="M142" i="23" a="1"/>
  <c r="M142" i="23" s="1"/>
  <c r="K140" i="23" a="1"/>
  <c r="K140" i="23" s="1"/>
  <c r="P137" i="23" a="1"/>
  <c r="P137" i="23" s="1"/>
  <c r="N135" i="23" a="1"/>
  <c r="N135" i="23" s="1"/>
  <c r="L133" i="23" a="1"/>
  <c r="L133" i="23" s="1"/>
  <c r="J131" i="23" a="1"/>
  <c r="J131" i="23" s="1"/>
  <c r="O128" i="23" a="1"/>
  <c r="O128" i="23" s="1"/>
  <c r="O126" i="23" a="1"/>
  <c r="O126" i="23" s="1"/>
  <c r="M124" i="23" a="1"/>
  <c r="M124" i="23" s="1"/>
  <c r="P191" i="23" a="1"/>
  <c r="P191" i="23" s="1"/>
  <c r="M165" i="23" a="1"/>
  <c r="M165" i="23" s="1"/>
  <c r="N157" i="23" a="1"/>
  <c r="N157" i="23" s="1"/>
  <c r="O148" i="23" a="1"/>
  <c r="O148" i="23" s="1"/>
  <c r="M143" i="23" a="1"/>
  <c r="M143" i="23" s="1"/>
  <c r="L141" i="23" a="1"/>
  <c r="L141" i="23" s="1"/>
  <c r="J139" i="23" a="1"/>
  <c r="J139" i="23" s="1"/>
  <c r="O136" i="23" a="1"/>
  <c r="O136" i="23" s="1"/>
  <c r="M134" i="23" a="1"/>
  <c r="M134" i="23" s="1"/>
  <c r="K132" i="23" a="1"/>
  <c r="K132" i="23" s="1"/>
  <c r="P129" i="23" a="1"/>
  <c r="P129" i="23" s="1"/>
  <c r="M127" i="23" a="1"/>
  <c r="M127" i="23" s="1"/>
  <c r="K125" i="23" a="1"/>
  <c r="K125" i="23" s="1"/>
  <c r="M122" i="23" a="1"/>
  <c r="M122" i="23" s="1"/>
  <c r="P119" i="23" a="1"/>
  <c r="P119" i="23" s="1"/>
  <c r="N117" i="23" a="1"/>
  <c r="N117" i="23" s="1"/>
  <c r="O115" i="23" a="1"/>
  <c r="O115" i="23" s="1"/>
  <c r="P152" i="23" a="1"/>
  <c r="P152" i="23" s="1"/>
  <c r="O137" i="23" a="1"/>
  <c r="O137" i="23" s="1"/>
  <c r="N128" i="23" a="1"/>
  <c r="N128" i="23" s="1"/>
  <c r="K122" i="23" a="1"/>
  <c r="K122" i="23" s="1"/>
  <c r="N119" i="23" a="1"/>
  <c r="N119" i="23" s="1"/>
  <c r="J117" i="23" a="1"/>
  <c r="J117" i="23" s="1"/>
  <c r="O113" i="23" a="1"/>
  <c r="O113" i="23" s="1"/>
  <c r="M111" i="23" a="1"/>
  <c r="M111" i="23" s="1"/>
  <c r="K109" i="23" a="1"/>
  <c r="K109" i="23" s="1"/>
  <c r="O106" i="23" a="1"/>
  <c r="O106" i="23" s="1"/>
  <c r="P104" i="23" a="1"/>
  <c r="P104" i="23" s="1"/>
  <c r="L102" i="23" a="1"/>
  <c r="L102" i="23" s="1"/>
  <c r="O99" i="23" a="1"/>
  <c r="O99" i="23" s="1"/>
  <c r="M97" i="23" a="1"/>
  <c r="M97" i="23" s="1"/>
  <c r="J95" i="23" a="1"/>
  <c r="J95" i="23" s="1"/>
  <c r="N92" i="23" a="1"/>
  <c r="N92" i="23" s="1"/>
  <c r="P90" i="23" a="1"/>
  <c r="P90" i="23" s="1"/>
  <c r="K89" i="23" a="1"/>
  <c r="K89" i="23" s="1"/>
  <c r="J87" i="23" a="1"/>
  <c r="J87" i="23" s="1"/>
  <c r="O83" i="23" a="1"/>
  <c r="O83" i="23" s="1"/>
  <c r="J182" i="23" a="1"/>
  <c r="J182" i="23" s="1"/>
  <c r="N144" i="23" a="1"/>
  <c r="N144" i="23" s="1"/>
  <c r="M135" i="23" a="1"/>
  <c r="M135" i="23" s="1"/>
  <c r="K126" i="23" a="1"/>
  <c r="K126" i="23" s="1"/>
  <c r="L119" i="23" a="1"/>
  <c r="L119" i="23" s="1"/>
  <c r="N115" i="23" a="1"/>
  <c r="N115" i="23" s="1"/>
  <c r="K113" i="23" a="1"/>
  <c r="K113" i="23" s="1"/>
  <c r="P110" i="23" a="1"/>
  <c r="P110" i="23" s="1"/>
  <c r="N108" i="23" a="1"/>
  <c r="N108" i="23" s="1"/>
  <c r="K106" i="23" a="1"/>
  <c r="K106" i="23" s="1"/>
  <c r="K104" i="23" a="1"/>
  <c r="K104" i="23" s="1"/>
  <c r="M101" i="23" a="1"/>
  <c r="M101" i="23" s="1"/>
  <c r="N99" i="23" a="1"/>
  <c r="N99" i="23" s="1"/>
  <c r="L97" i="23" a="1"/>
  <c r="L97" i="23" s="1"/>
  <c r="O94" i="23" a="1"/>
  <c r="O94" i="23" s="1"/>
  <c r="M92" i="23" a="1"/>
  <c r="M92" i="23" s="1"/>
  <c r="L90" i="23" a="1"/>
  <c r="L90" i="23" s="1"/>
  <c r="P87" i="23" a="1"/>
  <c r="P87" i="23" s="1"/>
  <c r="P84" i="23" a="1"/>
  <c r="P84" i="23" s="1"/>
  <c r="K83" i="23" a="1"/>
  <c r="K83" i="23" s="1"/>
  <c r="N201" i="23" a="1"/>
  <c r="N201" i="23" s="1"/>
  <c r="L199" i="23" a="1"/>
  <c r="L199" i="23" s="1"/>
  <c r="L197" i="23" a="1"/>
  <c r="L197" i="23" s="1"/>
  <c r="O194" i="23" a="1"/>
  <c r="O194" i="23" s="1"/>
  <c r="O192" i="23" a="1"/>
  <c r="O192" i="23" s="1"/>
  <c r="L190" i="23" a="1"/>
  <c r="L190" i="23" s="1"/>
  <c r="J188" i="23" a="1"/>
  <c r="J188" i="23" s="1"/>
  <c r="P185" i="23" a="1"/>
  <c r="P185" i="23" s="1"/>
  <c r="N183" i="23" a="1"/>
  <c r="N183" i="23" s="1"/>
  <c r="O181" i="23" a="1"/>
  <c r="O181" i="23" s="1"/>
  <c r="P178" i="23" a="1"/>
  <c r="P178" i="23" s="1"/>
  <c r="P176" i="23" a="1"/>
  <c r="P176" i="23" s="1"/>
  <c r="L174" i="23" a="1"/>
  <c r="L174" i="23" s="1"/>
  <c r="L172" i="23" a="1"/>
  <c r="L172" i="23" s="1"/>
  <c r="O169" i="23" a="1"/>
  <c r="O169" i="23" s="1"/>
  <c r="J168" i="23" a="1"/>
  <c r="J168" i="23" s="1"/>
  <c r="O165" i="23" a="1"/>
  <c r="O165" i="23" s="1"/>
  <c r="J200" i="23" a="1"/>
  <c r="J200" i="23" s="1"/>
  <c r="K198" i="23" a="1"/>
  <c r="K198" i="23" s="1"/>
  <c r="K196" i="23" a="1"/>
  <c r="K196" i="23" s="1"/>
  <c r="N193" i="23" a="1"/>
  <c r="N193" i="23" s="1"/>
  <c r="N191" i="23" a="1"/>
  <c r="N191" i="23" s="1"/>
  <c r="L189" i="23" a="1"/>
  <c r="L189" i="23" s="1"/>
  <c r="N186" i="23" a="1"/>
  <c r="N186" i="23" s="1"/>
  <c r="L184" i="23" a="1"/>
  <c r="L184" i="23" s="1"/>
  <c r="N182" i="23" a="1"/>
  <c r="N182" i="23" s="1"/>
  <c r="L180" i="23" a="1"/>
  <c r="L180" i="23" s="1"/>
  <c r="O177" i="23" a="1"/>
  <c r="O177" i="23" s="1"/>
  <c r="O175" i="23" a="1"/>
  <c r="O175" i="23" s="1"/>
  <c r="K173" i="23" a="1"/>
  <c r="K173" i="23" s="1"/>
  <c r="K171" i="23" a="1"/>
  <c r="K171" i="23" s="1"/>
  <c r="O168" i="23" a="1"/>
  <c r="O168" i="23" s="1"/>
  <c r="K166" i="23" a="1"/>
  <c r="K166" i="23" s="1"/>
  <c r="O163" i="23" a="1"/>
  <c r="O163" i="23" s="1"/>
  <c r="M199" i="23" a="1"/>
  <c r="M199" i="23" s="1"/>
  <c r="M194" i="23" a="1"/>
  <c r="M194" i="23" s="1"/>
  <c r="N189" i="23" a="1"/>
  <c r="N189" i="23" s="1"/>
  <c r="J186" i="23" a="1"/>
  <c r="J186" i="23" s="1"/>
  <c r="N179" i="23" a="1"/>
  <c r="N179" i="23" s="1"/>
  <c r="N174" i="23" a="1"/>
  <c r="N174" i="23" s="1"/>
  <c r="N170" i="23" a="1"/>
  <c r="N170" i="23" s="1"/>
  <c r="J167" i="23" a="1"/>
  <c r="J167" i="23" s="1"/>
  <c r="K163" i="23" a="1"/>
  <c r="K163" i="23" s="1"/>
  <c r="M161" i="23" a="1"/>
  <c r="M161" i="23" s="1"/>
  <c r="K159" i="23" a="1"/>
  <c r="K159" i="23" s="1"/>
  <c r="N156" i="23" a="1"/>
  <c r="N156" i="23" s="1"/>
  <c r="O154" i="23" a="1"/>
  <c r="O154" i="23" s="1"/>
  <c r="N152" i="23" a="1"/>
  <c r="N152" i="23" s="1"/>
  <c r="J150" i="23" a="1"/>
  <c r="J150" i="23" s="1"/>
  <c r="N147" i="23" a="1"/>
  <c r="N147" i="23" s="1"/>
  <c r="P144" i="23" a="1"/>
  <c r="P144" i="23" s="1"/>
  <c r="L200" i="23" a="1"/>
  <c r="L200" i="23" s="1"/>
  <c r="L194" i="23" a="1"/>
  <c r="L194" i="23" s="1"/>
  <c r="M190" i="23" a="1"/>
  <c r="M190" i="23" s="1"/>
  <c r="J185" i="23" a="1"/>
  <c r="J185" i="23" s="1"/>
  <c r="M181" i="23" a="1"/>
  <c r="M181" i="23" s="1"/>
  <c r="M175" i="23" a="1"/>
  <c r="M175" i="23" s="1"/>
  <c r="M171" i="23" a="1"/>
  <c r="M171" i="23" s="1"/>
  <c r="P166" i="23" a="1"/>
  <c r="P166" i="23" s="1"/>
  <c r="N163" i="23" a="1"/>
  <c r="N163" i="23" s="1"/>
  <c r="P160" i="23" a="1"/>
  <c r="P160" i="23" s="1"/>
  <c r="N158" i="23" a="1"/>
  <c r="N158" i="23" s="1"/>
  <c r="M156" i="23" a="1"/>
  <c r="M156" i="23" s="1"/>
  <c r="L154" i="23" a="1"/>
  <c r="L154" i="23" s="1"/>
  <c r="O151" i="23" a="1"/>
  <c r="O151" i="23" s="1"/>
  <c r="L149" i="23" a="1"/>
  <c r="L149" i="23" s="1"/>
  <c r="L146" i="23" a="1"/>
  <c r="L146" i="23" s="1"/>
  <c r="O199" i="23" a="1"/>
  <c r="O199" i="23" s="1"/>
  <c r="P195" i="23" a="1"/>
  <c r="P195" i="23" s="1"/>
  <c r="P189" i="23" a="1"/>
  <c r="P189" i="23" s="1"/>
  <c r="L186" i="23" a="1"/>
  <c r="L186" i="23" s="1"/>
  <c r="J181" i="23" a="1"/>
  <c r="J181" i="23" s="1"/>
  <c r="J177" i="23" a="1"/>
  <c r="J177" i="23" s="1"/>
  <c r="J173" i="23" a="1"/>
  <c r="J173" i="23" s="1"/>
  <c r="K168" i="23" a="1"/>
  <c r="K168" i="23" s="1"/>
  <c r="M164" i="23" a="1"/>
  <c r="M164" i="23" s="1"/>
  <c r="J162" i="23" a="1"/>
  <c r="J162" i="23" s="1"/>
  <c r="K160" i="23" a="1"/>
  <c r="K160" i="23" s="1"/>
  <c r="P157" i="23" a="1"/>
  <c r="P157" i="23" s="1"/>
  <c r="P154" i="23" a="1"/>
  <c r="P154" i="23" s="1"/>
  <c r="O152" i="23" a="1"/>
  <c r="O152" i="23" s="1"/>
  <c r="J151" i="23" a="1"/>
  <c r="J151" i="23" s="1"/>
  <c r="N148" i="23" a="1"/>
  <c r="N148" i="23" s="1"/>
  <c r="P146" i="23" a="1"/>
  <c r="P146" i="23" s="1"/>
  <c r="M144" i="23" a="1"/>
  <c r="M144" i="23" s="1"/>
  <c r="P190" i="23" a="1"/>
  <c r="P190" i="23" s="1"/>
  <c r="J172" i="23" a="1"/>
  <c r="J172" i="23" s="1"/>
  <c r="J152" i="23" a="1"/>
  <c r="J152" i="23" s="1"/>
  <c r="K145" i="23" a="1"/>
  <c r="K145" i="23" s="1"/>
  <c r="J142" i="23" a="1"/>
  <c r="J142" i="23" s="1"/>
  <c r="O139" i="23" a="1"/>
  <c r="O139" i="23" s="1"/>
  <c r="M137" i="23" a="1"/>
  <c r="M137" i="23" s="1"/>
  <c r="K135" i="23" a="1"/>
  <c r="K135" i="23" s="1"/>
  <c r="P132" i="23" a="1"/>
  <c r="P132" i="23" s="1"/>
  <c r="N130" i="23" a="1"/>
  <c r="N130" i="23" s="1"/>
  <c r="L128" i="23" a="1"/>
  <c r="L128" i="23" s="1"/>
  <c r="M126" i="23" a="1"/>
  <c r="M126" i="23" s="1"/>
  <c r="N124" i="23" a="1"/>
  <c r="N124" i="23" s="1"/>
  <c r="J198" i="23" a="1"/>
  <c r="J198" i="23" s="1"/>
  <c r="K179" i="23" a="1"/>
  <c r="K179" i="23" s="1"/>
  <c r="L160" i="23" a="1"/>
  <c r="L160" i="23" s="1"/>
  <c r="N151" i="23" a="1"/>
  <c r="N151" i="23" s="1"/>
  <c r="K144" i="23" a="1"/>
  <c r="K144" i="23" s="1"/>
  <c r="P141" i="23" a="1"/>
  <c r="P141" i="23" s="1"/>
  <c r="N139" i="23" a="1"/>
  <c r="N139" i="23" s="1"/>
  <c r="L137" i="23" a="1"/>
  <c r="L137" i="23" s="1"/>
  <c r="J135" i="23" a="1"/>
  <c r="J135" i="23" s="1"/>
  <c r="O132" i="23" a="1"/>
  <c r="O132" i="23" s="1"/>
  <c r="M130" i="23" a="1"/>
  <c r="M130" i="23" s="1"/>
  <c r="K128" i="23" a="1"/>
  <c r="K128" i="23" s="1"/>
  <c r="L126" i="23" a="1"/>
  <c r="L126" i="23" s="1"/>
  <c r="J124" i="23" a="1"/>
  <c r="J124" i="23" s="1"/>
  <c r="O184" i="23" a="1"/>
  <c r="O184" i="23" s="1"/>
  <c r="P162" i="23" a="1"/>
  <c r="P162" i="23" s="1"/>
  <c r="P155" i="23" a="1"/>
  <c r="P155" i="23" s="1"/>
  <c r="J147" i="23" a="1"/>
  <c r="J147" i="23" s="1"/>
  <c r="J143" i="23" a="1"/>
  <c r="J143" i="23" s="1"/>
  <c r="O140" i="23" a="1"/>
  <c r="O140" i="23" s="1"/>
  <c r="M138" i="23" a="1"/>
  <c r="M138" i="23" s="1"/>
  <c r="K136" i="23" a="1"/>
  <c r="K136" i="23" s="1"/>
  <c r="P133" i="23" a="1"/>
  <c r="P133" i="23" s="1"/>
  <c r="N131" i="23" a="1"/>
  <c r="N131" i="23" s="1"/>
  <c r="L129" i="23" a="1"/>
  <c r="L129" i="23" s="1"/>
  <c r="N126" i="23" a="1"/>
  <c r="N126" i="23" s="1"/>
  <c r="L124" i="23" a="1"/>
  <c r="L124" i="23" s="1"/>
  <c r="J122" i="23" a="1"/>
  <c r="J122" i="23" s="1"/>
  <c r="M119" i="23" a="1"/>
  <c r="M119" i="23" s="1"/>
  <c r="K117" i="23" a="1"/>
  <c r="K117" i="23" s="1"/>
  <c r="N185" i="23" a="1"/>
  <c r="N185" i="23" s="1"/>
  <c r="N145" i="23" a="1"/>
  <c r="N145" i="23" s="1"/>
  <c r="P135" i="23" a="1"/>
  <c r="P135" i="23" s="1"/>
  <c r="O124" i="23" a="1"/>
  <c r="O124" i="23" s="1"/>
  <c r="N121" i="23" a="1"/>
  <c r="N121" i="23" s="1"/>
  <c r="P118" i="23" a="1"/>
  <c r="P118" i="23" s="1"/>
  <c r="M116" i="23" a="1"/>
  <c r="M116" i="23" s="1"/>
  <c r="L113" i="23" a="1"/>
  <c r="L113" i="23" s="1"/>
  <c r="J111" i="23" a="1"/>
  <c r="J111" i="23" s="1"/>
  <c r="O108" i="23" a="1"/>
  <c r="O108" i="23" s="1"/>
  <c r="L106" i="23" a="1"/>
  <c r="L106" i="23" s="1"/>
  <c r="L104" i="23" a="1"/>
  <c r="L104" i="23" s="1"/>
  <c r="N101" i="23" a="1"/>
  <c r="N101" i="23" s="1"/>
  <c r="L99" i="23" a="1"/>
  <c r="L99" i="23" s="1"/>
  <c r="O96" i="23" a="1"/>
  <c r="O96" i="23" s="1"/>
  <c r="P94" i="23" a="1"/>
  <c r="P94" i="23" s="1"/>
  <c r="J92" i="23" a="1"/>
  <c r="J92" i="23" s="1"/>
  <c r="M90" i="23" a="1"/>
  <c r="M90" i="23" s="1"/>
  <c r="O88" i="23" a="1"/>
  <c r="O88" i="23" s="1"/>
  <c r="K86" i="23" a="1"/>
  <c r="K86" i="23" s="1"/>
  <c r="L83" i="23" a="1"/>
  <c r="L83" i="23" s="1"/>
  <c r="M166" i="23" a="1"/>
  <c r="M166" i="23" s="1"/>
  <c r="O142" i="23" a="1"/>
  <c r="O142" i="23" s="1"/>
  <c r="N133" i="23" a="1"/>
  <c r="N133" i="23" s="1"/>
  <c r="M121" i="23" a="1"/>
  <c r="M121" i="23" s="1"/>
  <c r="O118" i="23" a="1"/>
  <c r="O118" i="23" s="1"/>
  <c r="J115" i="23" a="1"/>
  <c r="J115" i="23" s="1"/>
  <c r="O112" i="23" a="1"/>
  <c r="O112" i="23" s="1"/>
  <c r="M110" i="23" a="1"/>
  <c r="M110" i="23" s="1"/>
  <c r="K108" i="23" a="1"/>
  <c r="K108" i="23" s="1"/>
  <c r="O105" i="23" a="1"/>
  <c r="O105" i="23" s="1"/>
  <c r="O103" i="23" a="1"/>
  <c r="O103" i="23" s="1"/>
  <c r="J101" i="23" a="1"/>
  <c r="J101" i="23" s="1"/>
  <c r="K99" i="23" a="1"/>
  <c r="K99" i="23" s="1"/>
  <c r="N96" i="23" a="1"/>
  <c r="N96" i="23" s="1"/>
  <c r="L94" i="23" a="1"/>
  <c r="L94" i="23" s="1"/>
  <c r="O91" i="23" a="1"/>
  <c r="O91" i="23" s="1"/>
  <c r="M89" i="23" a="1"/>
  <c r="M89" i="23" s="1"/>
  <c r="N86" i="23" a="1"/>
  <c r="N86" i="23" s="1"/>
  <c r="M84" i="23" a="1"/>
  <c r="M84" i="23" s="1"/>
  <c r="O82" i="23" a="1"/>
  <c r="O82" i="23" s="1"/>
  <c r="K17" i="23" a="1"/>
  <c r="K17" i="23" s="1"/>
  <c r="O19" i="23" a="1"/>
  <c r="O19" i="23" s="1"/>
  <c r="M22" i="23" a="1"/>
  <c r="M22" i="23" s="1"/>
  <c r="K25" i="23" a="1"/>
  <c r="K25" i="23" s="1"/>
  <c r="O27" i="23" a="1"/>
  <c r="O27" i="23" s="1"/>
  <c r="M30" i="23" a="1"/>
  <c r="M30" i="23" s="1"/>
  <c r="P32" i="23" a="1"/>
  <c r="P32" i="23" s="1"/>
  <c r="J16" i="23" a="1"/>
  <c r="J16" i="23" s="1"/>
  <c r="J18" i="23" a="1"/>
  <c r="J18" i="23" s="1"/>
  <c r="J20" i="23" a="1"/>
  <c r="J20" i="23" s="1"/>
  <c r="J22" i="23" a="1"/>
  <c r="J22" i="23" s="1"/>
  <c r="J24" i="23" a="1"/>
  <c r="J24" i="23" s="1"/>
  <c r="J26" i="23" a="1"/>
  <c r="J26" i="23" s="1"/>
  <c r="J28" i="23" a="1"/>
  <c r="J28" i="23" s="1"/>
  <c r="J30" i="23" a="1"/>
  <c r="J30" i="23" s="1"/>
  <c r="M32" i="23" a="1"/>
  <c r="M32" i="23" s="1"/>
  <c r="M15" i="23" a="1"/>
  <c r="M15" i="23" s="1"/>
  <c r="K18" i="23" a="1"/>
  <c r="K18" i="23" s="1"/>
  <c r="O20" i="23" a="1"/>
  <c r="O20" i="23" s="1"/>
  <c r="M23" i="23" a="1"/>
  <c r="M23" i="23" s="1"/>
  <c r="K26" i="23" a="1"/>
  <c r="K26" i="23" s="1"/>
  <c r="O28" i="23" a="1"/>
  <c r="O28" i="23" s="1"/>
  <c r="M31" i="23" a="1"/>
  <c r="M31" i="23" s="1"/>
  <c r="O34" i="23" a="1"/>
  <c r="O34" i="23" s="1"/>
  <c r="L16" i="23" a="1"/>
  <c r="L16" i="23" s="1"/>
  <c r="L18" i="23" a="1"/>
  <c r="L18" i="23" s="1"/>
  <c r="L20" i="23" a="1"/>
  <c r="L20" i="23" s="1"/>
  <c r="L22" i="23" a="1"/>
  <c r="L22" i="23" s="1"/>
  <c r="L24" i="23" a="1"/>
  <c r="L24" i="23" s="1"/>
  <c r="L26" i="23" a="1"/>
  <c r="L26" i="23" s="1"/>
  <c r="L28" i="23" a="1"/>
  <c r="L28" i="23" s="1"/>
  <c r="L30" i="23" a="1"/>
  <c r="L30" i="23" s="1"/>
  <c r="K32" i="23" a="1"/>
  <c r="K32" i="23" s="1"/>
  <c r="M34" i="23" a="1"/>
  <c r="M34" i="23" s="1"/>
  <c r="M38" i="23" a="1"/>
  <c r="M38" i="23" s="1"/>
  <c r="P42" i="23" a="1"/>
  <c r="P42" i="23" s="1"/>
  <c r="O44" i="23" a="1"/>
  <c r="O44" i="23" s="1"/>
  <c r="K47" i="23" a="1"/>
  <c r="K47" i="23" s="1"/>
  <c r="K51" i="23" a="1"/>
  <c r="K51" i="23" s="1"/>
  <c r="L55" i="23" a="1"/>
  <c r="L55" i="23" s="1"/>
  <c r="M60" i="23" a="1"/>
  <c r="M60" i="23" s="1"/>
  <c r="K33" i="23" a="1"/>
  <c r="K33" i="23" s="1"/>
  <c r="N37" i="23" a="1"/>
  <c r="N37" i="23" s="1"/>
  <c r="M40" i="23" a="1"/>
  <c r="M40" i="23" s="1"/>
  <c r="P43" i="23" a="1"/>
  <c r="P43" i="23" s="1"/>
  <c r="P45" i="23" a="1"/>
  <c r="P45" i="23" s="1"/>
  <c r="L50" i="23" a="1"/>
  <c r="L50" i="23" s="1"/>
  <c r="M54" i="23" a="1"/>
  <c r="M54" i="23" s="1"/>
  <c r="N58" i="23" a="1"/>
  <c r="N58" i="23" s="1"/>
  <c r="O63" i="23" a="1"/>
  <c r="O63" i="23" s="1"/>
  <c r="O36" i="23" a="1"/>
  <c r="O36" i="23" s="1"/>
  <c r="O38" i="23" a="1"/>
  <c r="O38" i="23" s="1"/>
  <c r="O41" i="23" a="1"/>
  <c r="O41" i="23" s="1"/>
  <c r="L45" i="23" a="1"/>
  <c r="L45" i="23" s="1"/>
  <c r="N48" i="23" a="1"/>
  <c r="N48" i="23" s="1"/>
  <c r="O53" i="23" a="1"/>
  <c r="O53" i="23" s="1"/>
  <c r="P57" i="23" a="1"/>
  <c r="P57" i="23" s="1"/>
  <c r="J62" i="23" a="1"/>
  <c r="J62" i="23" s="1"/>
  <c r="M67" i="23" a="1"/>
  <c r="M67" i="23" s="1"/>
  <c r="M33" i="23" a="1"/>
  <c r="M33" i="23" s="1"/>
  <c r="L35" i="23" a="1"/>
  <c r="L35" i="23" s="1"/>
  <c r="K39" i="23" a="1"/>
  <c r="K39" i="23" s="1"/>
  <c r="K41" i="23" a="1"/>
  <c r="K41" i="23" s="1"/>
  <c r="N45" i="23" a="1"/>
  <c r="N45" i="23" s="1"/>
  <c r="P50" i="23" a="1"/>
  <c r="P50" i="23" s="1"/>
  <c r="J55" i="23" a="1"/>
  <c r="J55" i="23" s="1"/>
  <c r="K60" i="23" a="1"/>
  <c r="K60" i="23" s="1"/>
  <c r="P64" i="23" a="1"/>
  <c r="P64" i="23" s="1"/>
  <c r="P70" i="23" a="1"/>
  <c r="P70" i="23" s="1"/>
  <c r="P36" i="23" a="1"/>
  <c r="P36" i="23" s="1"/>
  <c r="L39" i="23" a="1"/>
  <c r="L39" i="23" s="1"/>
  <c r="L41" i="23" a="1"/>
  <c r="L41" i="23" s="1"/>
  <c r="J43" i="23" a="1"/>
  <c r="J43" i="23" s="1"/>
  <c r="M45" i="23" a="1"/>
  <c r="M45" i="23" s="1"/>
  <c r="O47" i="23" a="1"/>
  <c r="O47" i="23" s="1"/>
  <c r="O50" i="23" a="1"/>
  <c r="O50" i="23" s="1"/>
  <c r="P52" i="23" a="1"/>
  <c r="P52" i="23" s="1"/>
  <c r="M55" i="23" a="1"/>
  <c r="M55" i="23" s="1"/>
  <c r="M57" i="23" a="1"/>
  <c r="M57" i="23" s="1"/>
  <c r="N59" i="23" a="1"/>
  <c r="N59" i="23" s="1"/>
  <c r="K62" i="23" a="1"/>
  <c r="K62" i="23" s="1"/>
  <c r="O64" i="23" a="1"/>
  <c r="O64" i="23" s="1"/>
  <c r="O66" i="23" a="1"/>
  <c r="O66" i="23" s="1"/>
  <c r="P68" i="23" a="1"/>
  <c r="P68" i="23" s="1"/>
  <c r="K71" i="23" a="1"/>
  <c r="K71" i="23" s="1"/>
  <c r="O73" i="23" a="1"/>
  <c r="O73" i="23" s="1"/>
  <c r="K76" i="23" a="1"/>
  <c r="K76" i="23" s="1"/>
  <c r="K80" i="23" a="1"/>
  <c r="K80" i="23" s="1"/>
  <c r="M83" i="23" a="1"/>
  <c r="M83" i="23" s="1"/>
  <c r="J96" i="23" a="1"/>
  <c r="J96" i="23" s="1"/>
  <c r="P101" i="23" a="1"/>
  <c r="P101" i="23" s="1"/>
  <c r="O110" i="23" a="1"/>
  <c r="O110" i="23" s="1"/>
  <c r="P121" i="23" a="1"/>
  <c r="P121" i="23" s="1"/>
  <c r="L71" i="23" a="1"/>
  <c r="L71" i="23" s="1"/>
  <c r="P73" i="23" a="1"/>
  <c r="P73" i="23" s="1"/>
  <c r="K77" i="23" a="1"/>
  <c r="K77" i="23" s="1"/>
  <c r="L80" i="23" a="1"/>
  <c r="L80" i="23" s="1"/>
  <c r="N85" i="23" a="1"/>
  <c r="N85" i="23" s="1"/>
  <c r="K94" i="23" a="1"/>
  <c r="K94" i="23" s="1"/>
  <c r="P98" i="23" a="1"/>
  <c r="P98" i="23" s="1"/>
  <c r="M109" i="23" a="1"/>
  <c r="M109" i="23" s="1"/>
  <c r="N122" i="23" a="1"/>
  <c r="N122" i="23" s="1"/>
  <c r="J47" i="23" a="1"/>
  <c r="J47" i="23" s="1"/>
  <c r="L49" i="23" a="1"/>
  <c r="L49" i="23" s="1"/>
  <c r="N51" i="23" a="1"/>
  <c r="N51" i="23" s="1"/>
  <c r="K54" i="23" a="1"/>
  <c r="K54" i="23" s="1"/>
  <c r="O56" i="23" a="1"/>
  <c r="O56" i="23" s="1"/>
  <c r="O58" i="23" a="1"/>
  <c r="O58" i="23" s="1"/>
  <c r="P60" i="23" a="1"/>
  <c r="P60" i="23" s="1"/>
  <c r="M63" i="23" a="1"/>
  <c r="M63" i="23" s="1"/>
  <c r="M65" i="23" a="1"/>
  <c r="M65" i="23" s="1"/>
  <c r="N67" i="23" a="1"/>
  <c r="N67" i="23" s="1"/>
  <c r="K70" i="23" a="1"/>
  <c r="K70" i="23" s="1"/>
  <c r="K72" i="23" a="1"/>
  <c r="K72" i="23" s="1"/>
  <c r="J75" i="23" a="1"/>
  <c r="J75" i="23" s="1"/>
  <c r="P78" i="23" a="1"/>
  <c r="P78" i="23" s="1"/>
  <c r="K82" i="23" a="1"/>
  <c r="K82" i="23" s="1"/>
  <c r="K90" i="23" a="1"/>
  <c r="K90" i="23" s="1"/>
  <c r="P95" i="23" a="1"/>
  <c r="P95" i="23" s="1"/>
  <c r="P109" i="23" a="1"/>
  <c r="P109" i="23" s="1"/>
  <c r="N120" i="23" a="1"/>
  <c r="N120" i="23" s="1"/>
  <c r="J144" i="23" a="1"/>
  <c r="J144" i="23" s="1"/>
  <c r="N65" i="23" a="1"/>
  <c r="N65" i="23" s="1"/>
  <c r="K68" i="23" a="1"/>
  <c r="K68" i="23" s="1"/>
  <c r="L70" i="23" a="1"/>
  <c r="L70" i="23" s="1"/>
  <c r="P72" i="23" a="1"/>
  <c r="P72" i="23" s="1"/>
  <c r="M74" i="23" a="1"/>
  <c r="M74" i="23" s="1"/>
  <c r="O76" i="23" a="1"/>
  <c r="O76" i="23" s="1"/>
  <c r="P79" i="23" a="1"/>
  <c r="P79" i="23" s="1"/>
  <c r="P89" i="23" a="1"/>
  <c r="P89" i="23" s="1"/>
  <c r="K100" i="23" a="1"/>
  <c r="K100" i="23" s="1"/>
  <c r="N106" i="23" a="1"/>
  <c r="N106" i="23" s="1"/>
  <c r="J114" i="23" a="1"/>
  <c r="J114" i="23" s="1"/>
  <c r="L131" i="23" a="1"/>
  <c r="L131" i="23" s="1"/>
  <c r="P74" i="23" a="1"/>
  <c r="P74" i="23" s="1"/>
  <c r="J77" i="23" a="1"/>
  <c r="J77" i="23" s="1"/>
  <c r="K79" i="23" a="1"/>
  <c r="K79" i="23" s="1"/>
  <c r="P80" i="23" a="1"/>
  <c r="P80" i="23" s="1"/>
  <c r="P83" i="23" a="1"/>
  <c r="P83" i="23" s="1"/>
  <c r="L86" i="23" a="1"/>
  <c r="L86" i="23" s="1"/>
  <c r="J88" i="23" a="1"/>
  <c r="J88" i="23" s="1"/>
  <c r="O89" i="23" a="1"/>
  <c r="O89" i="23" s="1"/>
  <c r="O92" i="23" a="1"/>
  <c r="O92" i="23" s="1"/>
  <c r="N94" i="23" a="1"/>
  <c r="N94" i="23" s="1"/>
  <c r="J97" i="23" a="1"/>
  <c r="J97" i="23" s="1"/>
  <c r="M99" i="23" a="1"/>
  <c r="M99" i="23" s="1"/>
  <c r="O101" i="23" a="1"/>
  <c r="O101" i="23" s="1"/>
  <c r="P103" i="23" a="1"/>
  <c r="P103" i="23" s="1"/>
  <c r="M106" i="23" a="1"/>
  <c r="M106" i="23" s="1"/>
  <c r="P108" i="23" a="1"/>
  <c r="P108" i="23" s="1"/>
  <c r="K111" i="23" a="1"/>
  <c r="K111" i="23" s="1"/>
  <c r="M113" i="23" a="1"/>
  <c r="M113" i="23" s="1"/>
  <c r="L115" i="23" a="1"/>
  <c r="L115" i="23" s="1"/>
  <c r="P117" i="23" a="1"/>
  <c r="P117" i="23" s="1"/>
  <c r="L120" i="23" a="1"/>
  <c r="L120" i="23" s="1"/>
  <c r="J123" i="23" a="1"/>
  <c r="J123" i="23" s="1"/>
  <c r="P130" i="23" a="1"/>
  <c r="P130" i="23" s="1"/>
  <c r="J140" i="23" a="1"/>
  <c r="J140" i="23" s="1"/>
  <c r="K174" i="23" a="1"/>
  <c r="K174" i="23" s="1"/>
  <c r="O85" i="23" a="1"/>
  <c r="O85" i="23" s="1"/>
  <c r="E12" i="2"/>
  <c r="C35" i="18" l="1"/>
  <c r="C34" i="18"/>
  <c r="C33" i="18"/>
  <c r="C32" i="18"/>
  <c r="C31" i="18"/>
  <c r="C30" i="18"/>
  <c r="C29" i="18"/>
  <c r="C45" i="18"/>
  <c r="C44" i="18"/>
  <c r="C43" i="18"/>
  <c r="C42" i="18"/>
  <c r="C41" i="18"/>
  <c r="C40" i="18"/>
  <c r="C39" i="18"/>
  <c r="C38" i="18"/>
  <c r="C37" i="18"/>
  <c r="C36" i="18"/>
  <c r="C55" i="18"/>
  <c r="C54" i="18"/>
  <c r="C53" i="18"/>
  <c r="C52" i="18"/>
  <c r="C51" i="18"/>
  <c r="C50" i="18"/>
  <c r="C49" i="18"/>
  <c r="C48" i="18"/>
  <c r="C47" i="18"/>
  <c r="C46" i="18"/>
  <c r="C56" i="18"/>
  <c r="C35" i="24"/>
  <c r="C34" i="24"/>
  <c r="C33" i="24"/>
  <c r="C30" i="24"/>
  <c r="C45" i="24"/>
  <c r="C44" i="24"/>
  <c r="C43" i="24"/>
  <c r="C42" i="24"/>
  <c r="C41" i="24"/>
  <c r="C40" i="24"/>
  <c r="C39" i="24"/>
  <c r="C38" i="24"/>
  <c r="C37" i="24"/>
  <c r="C36" i="24"/>
  <c r="B30" i="24"/>
  <c r="B29" i="18"/>
  <c r="B32" i="24" l="1"/>
  <c r="B33" i="18"/>
  <c r="B35" i="24"/>
  <c r="B51" i="18"/>
  <c r="B39" i="24"/>
  <c r="B39" i="18"/>
  <c r="B43" i="18"/>
  <c r="B56" i="18"/>
  <c r="B36" i="18"/>
  <c r="B36" i="24"/>
  <c r="B37" i="18"/>
  <c r="B37" i="24"/>
  <c r="B40" i="18"/>
  <c r="B40" i="24"/>
  <c r="B41" i="18"/>
  <c r="B41" i="24"/>
  <c r="P72" i="2"/>
  <c r="Q72" i="2" s="1"/>
  <c r="P73" i="2"/>
  <c r="Q73" i="2" s="1"/>
  <c r="P74" i="2"/>
  <c r="Q74" i="2" s="1"/>
  <c r="B38" i="24"/>
  <c r="B50" i="18"/>
  <c r="B38" i="18"/>
  <c r="P69" i="2"/>
  <c r="Q69" i="2" s="1"/>
  <c r="P70" i="2"/>
  <c r="Q70" i="2" s="1"/>
  <c r="P71" i="2"/>
  <c r="Q71" i="2" s="1"/>
  <c r="B43" i="24"/>
  <c r="B47" i="18"/>
  <c r="B55" i="18"/>
  <c r="P68" i="2"/>
  <c r="Q68" i="2" s="1"/>
  <c r="P85" i="2"/>
  <c r="Q85" i="2" s="1"/>
  <c r="P86" i="2"/>
  <c r="Q86" i="2" s="1"/>
  <c r="P87" i="2"/>
  <c r="Q87" i="2" s="1"/>
  <c r="P88" i="2"/>
  <c r="Q88" i="2" s="1"/>
  <c r="P75" i="2"/>
  <c r="Q75" i="2" s="1"/>
  <c r="B42" i="24"/>
  <c r="B46" i="18"/>
  <c r="B54" i="18"/>
  <c r="B42" i="18"/>
  <c r="B45" i="24"/>
  <c r="B49" i="18"/>
  <c r="B53" i="18"/>
  <c r="B45" i="18"/>
  <c r="B44" i="24"/>
  <c r="B48" i="18"/>
  <c r="B52" i="18"/>
  <c r="B44" i="18"/>
  <c r="P76" i="2"/>
  <c r="Q76" i="2" s="1"/>
  <c r="P77" i="2"/>
  <c r="Q77" i="2" s="1"/>
  <c r="P78" i="2"/>
  <c r="Q78" i="2" s="1"/>
  <c r="P79" i="2"/>
  <c r="Q79" i="2" s="1"/>
  <c r="P80" i="2"/>
  <c r="Q80" i="2" s="1"/>
  <c r="P81" i="2"/>
  <c r="Q81" i="2" s="1"/>
  <c r="P82" i="2"/>
  <c r="Q82" i="2" s="1"/>
  <c r="P83" i="2"/>
  <c r="Q83" i="2" s="1"/>
  <c r="P84" i="2"/>
  <c r="Q84" i="2" s="1"/>
  <c r="P65" i="2"/>
  <c r="Q65" i="2" s="1"/>
  <c r="P66" i="2"/>
  <c r="Q66" i="2" s="1"/>
  <c r="P67" i="2"/>
  <c r="Q67" i="2" s="1"/>
  <c r="B35" i="18"/>
  <c r="B34" i="18"/>
  <c r="P64" i="2"/>
  <c r="Q64" i="2" s="1"/>
  <c r="B34" i="24"/>
  <c r="P63" i="2"/>
  <c r="Q63" i="2" s="1"/>
  <c r="P62" i="2"/>
  <c r="Q62" i="2" s="1"/>
  <c r="P58" i="2"/>
  <c r="Q58" i="2" s="1"/>
  <c r="B29" i="24"/>
  <c r="B33" i="24"/>
  <c r="B32" i="18"/>
  <c r="B31" i="18"/>
  <c r="P59" i="2"/>
  <c r="Q59" i="2" s="1"/>
  <c r="B31" i="24"/>
  <c r="B30" i="18"/>
  <c r="P60" i="2"/>
  <c r="Q60" i="2" s="1"/>
  <c r="P61" i="2"/>
  <c r="Q61" i="2" s="1"/>
  <c r="G132" i="6" l="1"/>
  <c r="G131" i="6"/>
  <c r="G130" i="6"/>
  <c r="G129" i="6"/>
  <c r="G126" i="6"/>
  <c r="G125" i="6"/>
  <c r="G124" i="6"/>
  <c r="G123" i="6"/>
  <c r="G122" i="6"/>
  <c r="G121" i="6"/>
  <c r="F102" i="6"/>
  <c r="F101" i="6"/>
  <c r="F100" i="6"/>
  <c r="F99" i="6"/>
  <c r="F109" i="6"/>
  <c r="F108" i="6"/>
  <c r="F107" i="6"/>
  <c r="F106" i="6"/>
  <c r="F105" i="6"/>
  <c r="G87" i="6"/>
  <c r="G86" i="6"/>
  <c r="G85" i="6"/>
  <c r="G84" i="6"/>
  <c r="G83" i="6"/>
  <c r="G82" i="6"/>
  <c r="G81" i="6"/>
  <c r="G80" i="6"/>
  <c r="F71" i="6" l="1"/>
  <c r="F70" i="6"/>
  <c r="F69" i="6"/>
  <c r="F68" i="6"/>
  <c r="F67" i="6"/>
  <c r="F66" i="6"/>
  <c r="F65" i="6"/>
  <c r="F64" i="6"/>
  <c r="O63" i="6"/>
  <c r="O64" i="6"/>
  <c r="O65" i="6"/>
  <c r="O66" i="6"/>
  <c r="O67" i="6"/>
  <c r="O68" i="6"/>
  <c r="O69" i="6"/>
  <c r="O70" i="6"/>
  <c r="O71" i="6"/>
  <c r="O62" i="6"/>
  <c r="F62" i="6" s="1"/>
  <c r="P63" i="6"/>
  <c r="P64" i="6"/>
  <c r="P65" i="6"/>
  <c r="P66" i="6"/>
  <c r="P67" i="6"/>
  <c r="P68" i="6"/>
  <c r="P69" i="6"/>
  <c r="P70" i="6"/>
  <c r="P71" i="6"/>
  <c r="O72" i="6"/>
  <c r="P62" i="6"/>
  <c r="F63" i="6" l="1"/>
  <c r="F59" i="6" s="1"/>
  <c r="M23" i="6"/>
  <c r="K24" i="6"/>
  <c r="M24" i="6" s="1"/>
  <c r="H61" i="18" l="1"/>
  <c r="E147" i="6" l="1"/>
  <c r="E146" i="6"/>
  <c r="K26" i="6" l="1"/>
  <c r="M22" i="6"/>
  <c r="J46" i="6"/>
  <c r="J45" i="6"/>
  <c r="J44" i="6"/>
  <c r="J43" i="6"/>
  <c r="J42" i="6"/>
  <c r="J41" i="6"/>
  <c r="J40" i="6"/>
  <c r="J39" i="6"/>
  <c r="J38" i="6"/>
  <c r="J37" i="6"/>
  <c r="E50" i="6" s="1"/>
  <c r="E49" i="6" l="1"/>
  <c r="M26" i="6"/>
  <c r="E29" i="6" s="1"/>
  <c r="D12" i="6" s="1"/>
  <c r="E28" i="6" l="1"/>
  <c r="L52" i="2"/>
  <c r="I79" i="6" l="1"/>
  <c r="I80" i="6"/>
  <c r="I81" i="6"/>
  <c r="I82" i="6"/>
  <c r="I83" i="6"/>
  <c r="I84" i="6"/>
  <c r="I85" i="6"/>
  <c r="I86" i="6"/>
  <c r="I87" i="6"/>
  <c r="I78" i="6"/>
  <c r="H79" i="6"/>
  <c r="G79" i="6" s="1"/>
  <c r="H80" i="6"/>
  <c r="H81" i="6"/>
  <c r="H82" i="6"/>
  <c r="H83" i="6"/>
  <c r="H84" i="6"/>
  <c r="H85" i="6"/>
  <c r="H86" i="6"/>
  <c r="H87" i="6"/>
  <c r="H78" i="6"/>
  <c r="G78" i="6" s="1"/>
  <c r="L19" i="24"/>
  <c r="C28" i="24"/>
  <c r="C9" i="24"/>
  <c r="C10" i="24"/>
  <c r="C11" i="24"/>
  <c r="C12" i="24"/>
  <c r="C13" i="24"/>
  <c r="C15" i="24"/>
  <c r="C16" i="24"/>
  <c r="C17" i="24"/>
  <c r="C18" i="24"/>
  <c r="C19" i="24"/>
  <c r="C20" i="24"/>
  <c r="C21" i="24"/>
  <c r="C22" i="24"/>
  <c r="C23" i="24"/>
  <c r="C24" i="24"/>
  <c r="B23" i="24"/>
  <c r="B24" i="24"/>
  <c r="C8" i="24"/>
  <c r="C28" i="18"/>
  <c r="C10" i="18"/>
  <c r="C11" i="18"/>
  <c r="C12" i="18"/>
  <c r="C13" i="18"/>
  <c r="C14" i="18"/>
  <c r="C15" i="18"/>
  <c r="C16" i="18"/>
  <c r="C17" i="18"/>
  <c r="C18" i="18"/>
  <c r="C19" i="18"/>
  <c r="C20" i="18"/>
  <c r="C21" i="18"/>
  <c r="C22" i="18"/>
  <c r="C23" i="18"/>
  <c r="C24" i="18"/>
  <c r="C9" i="18"/>
  <c r="C8" i="18"/>
  <c r="P50" i="2"/>
  <c r="Q50" i="2" s="1"/>
  <c r="P51" i="2"/>
  <c r="Q51" i="2" s="1"/>
  <c r="B23" i="18"/>
  <c r="P48" i="2"/>
  <c r="Q48" i="2" s="1"/>
  <c r="P47" i="2"/>
  <c r="Q47" i="2" s="1"/>
  <c r="P45" i="2"/>
  <c r="Q45" i="2" s="1"/>
  <c r="P44" i="2"/>
  <c r="Q44" i="2" s="1"/>
  <c r="P43" i="2"/>
  <c r="Q43" i="2" s="1"/>
  <c r="P42" i="2"/>
  <c r="Q42" i="2" s="1"/>
  <c r="P41" i="2"/>
  <c r="Q41" i="2" s="1"/>
  <c r="B24" i="18"/>
  <c r="F75" i="6" l="1"/>
  <c r="P46" i="2"/>
  <c r="Q46" i="2" s="1"/>
  <c r="E90" i="6"/>
  <c r="E112" i="6"/>
  <c r="B8" i="18"/>
  <c r="P40" i="2"/>
  <c r="Q40" i="2" s="1"/>
  <c r="E136" i="6"/>
  <c r="P49" i="2"/>
  <c r="Q49" i="2" s="1"/>
  <c r="F30" i="1"/>
  <c r="F13" i="1"/>
  <c r="G73" i="15"/>
  <c r="D61" i="18" s="1"/>
  <c r="C12" i="2" l="1"/>
  <c r="M12" i="2" s="1"/>
  <c r="P39" i="2"/>
  <c r="Q39" i="2" s="1"/>
  <c r="P36" i="2"/>
  <c r="Q36" i="2" s="1"/>
  <c r="P37" i="2"/>
  <c r="Q37" i="2" s="1"/>
  <c r="P38" i="2"/>
  <c r="Q38" i="2" s="1"/>
  <c r="P35" i="2"/>
  <c r="P57" i="2"/>
  <c r="Q57" i="2" s="1"/>
  <c r="B28" i="18"/>
  <c r="D11" i="6"/>
  <c r="B12" i="24"/>
  <c r="B8" i="24"/>
  <c r="L18" i="2"/>
  <c r="B21" i="24"/>
  <c r="B12" i="18"/>
  <c r="B21" i="18"/>
  <c r="B16" i="18"/>
  <c r="B22" i="24"/>
  <c r="B18" i="18"/>
  <c r="H52" i="2"/>
  <c r="B15" i="18"/>
  <c r="B20" i="24"/>
  <c r="L17" i="2"/>
  <c r="C30" i="1" s="1"/>
  <c r="B22" i="18"/>
  <c r="B28" i="24"/>
  <c r="L19" i="2"/>
  <c r="B15" i="24"/>
  <c r="B18" i="24"/>
  <c r="B14" i="18"/>
  <c r="B19" i="24"/>
  <c r="B20" i="18"/>
  <c r="B11" i="24"/>
  <c r="B17" i="18"/>
  <c r="B9" i="24"/>
  <c r="B17" i="24"/>
  <c r="B10" i="18"/>
  <c r="B10" i="24"/>
  <c r="B13" i="24"/>
  <c r="B11" i="18"/>
  <c r="B16" i="24"/>
  <c r="B14" i="24"/>
  <c r="B13" i="18"/>
  <c r="B19" i="18"/>
  <c r="B9" i="18"/>
  <c r="M18" i="2"/>
  <c r="AH73" i="15"/>
  <c r="M19" i="2"/>
  <c r="M17" i="2"/>
  <c r="C13" i="1"/>
  <c r="C28" i="1"/>
  <c r="H89" i="2"/>
  <c r="C14" i="1"/>
  <c r="F14" i="1"/>
  <c r="C15" i="1" l="1"/>
  <c r="C18" i="1" s="1"/>
  <c r="C13" i="2"/>
  <c r="C16" i="2" s="1"/>
  <c r="Q35" i="2"/>
  <c r="E13" i="2"/>
  <c r="F15" i="1"/>
  <c r="M13" i="2"/>
  <c r="L20" i="2"/>
  <c r="C31" i="1"/>
  <c r="C32" i="1" s="1"/>
  <c r="C29" i="1"/>
  <c r="F29" i="1" s="1"/>
  <c r="F31" i="1" s="1"/>
  <c r="L27" i="2" l="1"/>
  <c r="L25" i="2"/>
  <c r="E12" i="6" s="1"/>
  <c r="F21" i="1"/>
  <c r="I21" i="1" s="1"/>
  <c r="D22" i="2"/>
  <c r="E27" i="2" s="1"/>
  <c r="E28" i="2" s="1"/>
  <c r="E16" i="2"/>
  <c r="L21" i="2"/>
  <c r="F18" i="1"/>
  <c r="E20" i="1" s="1"/>
  <c r="C34" i="1"/>
  <c r="E25" i="2" l="1"/>
  <c r="G26" i="2" s="1"/>
  <c r="D18" i="2"/>
  <c r="N27" i="2" l="1"/>
  <c r="E11" i="6"/>
  <c r="L28" i="2"/>
  <c r="N29" i="2" s="1"/>
  <c r="H2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jdimedio</author>
  </authors>
  <commentList>
    <comment ref="H34" authorId="0" shapeId="0" xr:uid="{00000000-0006-0000-0900-000001000000}">
      <text>
        <r>
          <rPr>
            <b/>
            <sz val="9"/>
            <color indexed="81"/>
            <rFont val="Tahoma"/>
            <family val="2"/>
          </rPr>
          <t>jdimedio:</t>
        </r>
        <r>
          <rPr>
            <sz val="9"/>
            <color indexed="81"/>
            <rFont val="Tahoma"/>
            <family val="2"/>
          </rPr>
          <t xml:space="preserve">
Based on $3.00/gallon of gasoline and 12,000 miles driven per year.</t>
        </r>
      </text>
    </comment>
    <comment ref="H55" authorId="0" shapeId="0" xr:uid="{00000000-0006-0000-0900-000002000000}">
      <text>
        <r>
          <rPr>
            <b/>
            <sz val="9"/>
            <color indexed="81"/>
            <rFont val="Tahoma"/>
            <family val="2"/>
          </rPr>
          <t>jdimedio:</t>
        </r>
        <r>
          <rPr>
            <sz val="9"/>
            <color indexed="81"/>
            <rFont val="Tahoma"/>
            <family val="2"/>
          </rPr>
          <t xml:space="preserve">
Based on $2.50/gallon of gasoline and 12,000 miles driven per year.</t>
        </r>
      </text>
    </comment>
  </commentList>
</comments>
</file>

<file path=xl/sharedStrings.xml><?xml version="1.0" encoding="utf-8"?>
<sst xmlns="http://schemas.openxmlformats.org/spreadsheetml/2006/main" count="126796" uniqueCount="6835">
  <si>
    <t>Agency Requestor (contact for general questions about requested vehicles or proposed turn-in units)</t>
  </si>
  <si>
    <t>Name</t>
  </si>
  <si>
    <t>Agency</t>
  </si>
  <si>
    <t>Title</t>
  </si>
  <si>
    <t>Phone</t>
  </si>
  <si>
    <t>Email</t>
  </si>
  <si>
    <t>Contact for questions regarding funding for requested leased vehicles</t>
  </si>
  <si>
    <t>CFO Name</t>
  </si>
  <si>
    <t>CFO Email</t>
  </si>
  <si>
    <t>CFO Phone</t>
  </si>
  <si>
    <t xml:space="preserve"> FY2021 Vehicle Request and Fuel Efficiency Calculator - Instruction Sheet</t>
  </si>
  <si>
    <t>INTRODUCTION</t>
  </si>
  <si>
    <t>This workbook was created for Executive Branch Agencies to use when requesting to directly purchase, or lease through OVM, new vehicles for their fleet. Please review all instructions and complete all appropriate input cells (orange) on all tabs/sheets prior to submitting your request to OVM.</t>
  </si>
  <si>
    <t>The Fuel Efficiency Standard for the State Fleet (FES) requires Agencies to adhere to minimum requirements for new light duty vehicle acquistions made during each fiscal year, including average combined MPG targets for each vehicle category and minimum Alternative Fuel or Advanced Technology Vehicle (AFV) acquisitions. In recognition of diverse Agency needs and changing technologies, some flexibility in meeting these requirements is included.</t>
  </si>
  <si>
    <t>Please click here to review the current FES document.</t>
  </si>
  <si>
    <t>This Vehicle Request and FES Calculator workbook will assist Agencies when making acquisition decisions. It is designed for minimal user input and assists in determining if the Agency's acquisition choices will meet the FES requirements by checking for compliance with:</t>
  </si>
  <si>
    <t>1. Average Combined MPG of new vehicle acquisitions</t>
  </si>
  <si>
    <t>Light Duty Vehicles have been designated into 3 categories with corresponding Combined MPG minimums:
Category I - passenger cars - minimum 32 Combined MPG to meet the Standard
Category II - trucks, vans and SUVs that have a GVWR up to 8,500 lbs - minimum 22 Combined MPG to meet the Standard
Category III - trucks, vans and SUVs that have a GVWR between 8,501 and 10,000 lbs - minimum 16 Combined MPG to meet the Standard</t>
  </si>
  <si>
    <t>2. Minimum Acquisition Requirement of AFVs</t>
  </si>
  <si>
    <t>5% of total fiscal year acquisitions must be Alternative Fuel or Advanced Technology vehicles, with a minimum of 1 once 10 acquisitions are made.</t>
  </si>
  <si>
    <t>This tool consists of the following tabs/worksheets:</t>
  </si>
  <si>
    <t>Recommended Vehicles:</t>
  </si>
  <si>
    <r>
      <t xml:space="preserve">Reference sheet showing the most fuel efficient vehicles on </t>
    </r>
    <r>
      <rPr>
        <sz val="10"/>
        <rFont val="Calibri"/>
        <family val="2"/>
      </rPr>
      <t>VEH98</t>
    </r>
    <r>
      <rPr>
        <sz val="10"/>
        <color indexed="8"/>
        <rFont val="Calibri"/>
        <family val="2"/>
      </rPr>
      <t>, recommended by OVM and DOER</t>
    </r>
  </si>
  <si>
    <t>Vehicle Request:</t>
  </si>
  <si>
    <t>Input sheet for all acquisition requests, broken into three sections: Agency information, Light Duty Vehicle requests (Category I, II and III), and Other Heavy Duty Vehicle or Equipment requests</t>
  </si>
  <si>
    <t>Vehicle Justification:</t>
  </si>
  <si>
    <t>Input sheet to provide justification and usage details for each vehicle requested</t>
  </si>
  <si>
    <t>Vehicle Turn-In:</t>
  </si>
  <si>
    <t>Input sheet for exisiting vehicles that will be surrendered for each new vehicle</t>
  </si>
  <si>
    <t>Upfit Calculations:</t>
  </si>
  <si>
    <t>Input sheet to help determine total cost of options or upfits being added to a vehicle (optional)</t>
  </si>
  <si>
    <t>Fuel Efficiency Standard</t>
  </si>
  <si>
    <t>Overall FES results sheet: calulates whether or not an Agency meets the requirements of the standard based on inputs from Vehicle Request Sheet. Review and update columns L through O for each vehicle requested</t>
  </si>
  <si>
    <t>Exemption Justification:</t>
  </si>
  <si>
    <t>Input sheet for request to be exempt from the FES: Exemption requires an Alternative Compliance Plan (ACP)</t>
  </si>
  <si>
    <t>Alternative Compliance:</t>
  </si>
  <si>
    <t>Input sheet for credits to achieve alternative compliance. Calculates points required and achieved automatically, based on various strategies including use of biodiesel, after-market alt. fuel conversions on existing vehicles, retirement of vehicles without replacement, reducing size of 1 for 1 replacements, etc</t>
  </si>
  <si>
    <t>Electronic Signature:</t>
  </si>
  <si>
    <t>Requestors must review the statements on this sheet and input their electronic signature to verify their understanding and compliance</t>
  </si>
  <si>
    <t>Appendix - VEH98 Vehicles</t>
  </si>
  <si>
    <r>
      <t xml:space="preserve">Reference sheet showing the most recently updated vehicles available on </t>
    </r>
    <r>
      <rPr>
        <sz val="10"/>
        <rFont val="Calibri"/>
        <family val="2"/>
      </rPr>
      <t>VEH98</t>
    </r>
  </si>
  <si>
    <t>Color Key for Cells:</t>
  </si>
  <si>
    <t>Cells that require input are highlighted orange (turn white when completed). Based on the number &amp; type of requests, not all cells will turn white.</t>
  </si>
  <si>
    <t>Items that are automatically calculated are highlighted peach.</t>
  </si>
  <si>
    <t>INSTRUCTIONS</t>
  </si>
  <si>
    <t>This tool is designed for the user to work from left to right, beginning with the next tab/sheet, "Recommended Vehicles." See below for specific details regarding each tab/sheet and what inputs are required from Agencies:</t>
  </si>
  <si>
    <t>RECOMMENDED VEHICLES</t>
  </si>
  <si>
    <t>This tab is meant to serve as a resource for fleet managers and lists vehicles from the current statewide contract (VEH98) that will help with compliance. Vehicles are grouped based on their categories and which requirements of the standard they are most helpful with.</t>
  </si>
  <si>
    <t>VEHICLE REQUEST</t>
  </si>
  <si>
    <t>Enter the requesting Agency details. Enter the details of all vehicles being requested. Only one vehicle can be entered in each row. Category I, II and III vehicles should all be entered in the same section. Other Heavy Duty Vehicles and Equipment must be entered in a separate section, as they are not included as part of the FES Calculations, so reference different formulas. For both sections, follow these steps:</t>
  </si>
  <si>
    <t>1. Complete the header section with Agency &amp; Contact information (complete only once for entire request).</t>
  </si>
  <si>
    <t>2. In Columns B through E, enter the requested details (lease or purchase request, unit code &amp; funding info) related to the vehicle in that row.
  - Leased Vehicle Requests should be forwarded to Karen Rasnick when completed, for OVM review
  - Direct Purchase (owned) Vehicle requests should be forwarded to Cheryl Cushman, along with the appropriate quote(s)</t>
  </si>
  <si>
    <t>3. In Column F, use the drop-down menu to select the Vehicle Acquisition # of the vehicle you would like to acquire:
  - Vehicle Acquisition # can be found on the last tab of this workbook (Appendix - VEH98 Vehicles)
  - It is a combination of Model Year, Vehicle ID, and Vendor Number
  - All pertinent details will automatically fill in once the Vehicle Acquisition # is chosen, including the vehicle category (in the case of Other Heavy Duty 
    Vehicles or Equipment, the Category will populate as "N/A" in Column H of Section 2.</t>
  </si>
  <si>
    <t>4. In Columns AI through AN, enter the requested details (colors, options and their costs, upfits and their costs) related to the vehicle in that row.</t>
  </si>
  <si>
    <t xml:space="preserve">
NOTE: If you are requesting a non-standard vehicle (due to mini-bid, departmental contract usage, etc), please use the lines designated as "OTHER" in Column F, and type in all required information, as well as the fields that would normally be completed by the Column F choice.</t>
  </si>
  <si>
    <t>VEHICLE JUSTIFICATION</t>
  </si>
  <si>
    <t>Enter vehicle equipment, usage, driver, garage and mileage details for all vehicles requested in the "Vehicle Request" tab, which will automatically populate in Columns A, B &amp; C, in each section accordingly. Columns D through M should be completed for each populated row. Other Heavy Duty Vehicles and Equipment do not fall under OVM oversight and therefore do not require additional justification, however; if aspects of these acquisitions are being utilized for Alternative Compliance (e.g. vehicle size reduction for same job function, etc), Columns D through M must be completed for those rows.</t>
  </si>
  <si>
    <t>VEHICLE TURN-IN</t>
  </si>
  <si>
    <t>Provide details of the vehicles that are being replaced. The total number of turn-ins should equal, or exceed, the total number of vehicles requested in the "Vehicle Request" tab, which will automatically populate in Columns A, B &amp; C. For each vehicle requested, fill out Columns D through N with information reflecting a vehicle from the Agency fleet to be turned in. Agencies may only identify currently active vehicles. Any request to utilize a previously surrendered vehicle will be considered on a case-by-case basis (please include a detailed justification for OVM review).</t>
  </si>
  <si>
    <t>UPFIT CALCULATIONS</t>
  </si>
  <si>
    <t>In certain cases, additional options, packages or upfitting may be required for the vehicle to meet the business needs of the Agency. This sheet is provided to allow multiple items to be added together in order to create the full configuration of a vehicle requested. For each vehicle, list each option, package or upfit part, the vendor, MSRP and % discount in Columns B through F.  The quoted price column will calculate based on the MSRP and discount % entered. This should match what is received by the vendor. Agencies should use this as a notepad to detail the information supplied in columns AB through AE on the "Vehicle Request" tab.</t>
  </si>
  <si>
    <t>FUEL EFFICIENCY STANDARD</t>
  </si>
  <si>
    <t>This sheet will automatically populate with entries from the "Vehicle Request" tab for Categories I, II and III. It will calculate whether the current vehicle request is in compliance with both requirements of the Fuel Efficiency Standard. Users must answer Questions 1-3 in Columns L through O, using drop down menu options. Certain answers may boost their compliance score.</t>
  </si>
  <si>
    <t xml:space="preserve">Tables at the top of the sheet under the "Compliance Summary" section will show the Agency's current status of compliance with the requirements of the Fuel Efficiency Standard. If the vehicle request is not in compliance, the table will also calculate how many Alternative Compliance points are required. </t>
  </si>
  <si>
    <t>Category I:</t>
  </si>
  <si>
    <t>Select "N/A" for Columns L through N. If the vehicle is bi-fuel or diesel, select "Yes" or "No" in Column O to verify if the agency plans to use E-85 or biodiesel at least 50% of the time. (NOTE: "Yes" is required in order to get extra credit for alternative fuel vehicles.)</t>
  </si>
  <si>
    <t>Category II &amp; III</t>
  </si>
  <si>
    <t>Questions 1, 2a and 2b apply to acquisitions receiving either a hybrid or alternative fuel conversion before delivery to the agency. In Columns L and M, select "Yes," "No" or "N/A" to the question of whether or not the vehicle will undergo an after-market hybrid or alternative fuel converstion. For alternative fuel conversions, select "Dedicated," "Bi-fuel" or "N/A" in Column N to describe the type of after-market conversion.</t>
  </si>
  <si>
    <t>Question 3 is for bi-fuel or diesel vehicles:</t>
  </si>
  <si>
    <t>Verify in Column O that the agency plans to use E-85 or biodiesel at least 50% of the time by selecting "Yes" from the drop-down menu. (NOTE: "Yes" is required in order to get extra credit for alternative fuel vehicles.)</t>
  </si>
  <si>
    <r>
      <rPr>
        <b/>
        <u/>
        <sz val="10"/>
        <color theme="1"/>
        <rFont val="Calibri"/>
        <family val="2"/>
        <scheme val="minor"/>
      </rPr>
      <t>NOTE:</t>
    </r>
    <r>
      <rPr>
        <sz val="10"/>
        <color theme="1"/>
        <rFont val="Calibri"/>
        <family val="2"/>
        <scheme val="minor"/>
      </rPr>
      <t xml:space="preserve"> If the vehicle request is not in compliance with the Fuel Efficiency Standard, please refer to "Exemption Justification" to provide information on why the vehicles chosen are required to meet the operational needs of the Agency. In addition, refer to the "Alternative Compliance" worksheet to fill out an Alternative Compliance Plan for your Agency. </t>
    </r>
  </si>
  <si>
    <t>EXEMPTION JUSTIFICATION</t>
  </si>
  <si>
    <t xml:space="preserve">If necessary, request an exemption from the FES requirements and see the next tab, "Alternative Compliance" to complete your agency's Alternative Compliance Plan (ACP). </t>
  </si>
  <si>
    <t>Enter the current FY and quarter at the top of the worksheet.</t>
  </si>
  <si>
    <r>
      <rPr>
        <b/>
        <sz val="10"/>
        <color theme="1"/>
        <rFont val="Calibri"/>
        <family val="2"/>
        <scheme val="minor"/>
      </rPr>
      <t>Question 1:</t>
    </r>
    <r>
      <rPr>
        <sz val="10"/>
        <color theme="1"/>
        <rFont val="Calibri"/>
        <family val="2"/>
        <scheme val="minor"/>
      </rPr>
      <t xml:space="preserve"> Answer Yes or No as to whether the current vehicle acquisition request is in compliance with all the requirements of the Standard. (If you are unsure, check the Compliance Summary on the "Fuel Efficiency Standard" tab).
     i. If "No", check the box that describes where the current vehicle request falls short of compliance (check all that apply).</t>
    </r>
  </si>
  <si>
    <r>
      <rPr>
        <b/>
        <sz val="10"/>
        <color indexed="8"/>
        <rFont val="Calibri"/>
        <family val="2"/>
      </rPr>
      <t xml:space="preserve">Question 2: </t>
    </r>
    <r>
      <rPr>
        <sz val="10"/>
        <color indexed="8"/>
        <rFont val="Calibri"/>
        <family val="2"/>
      </rPr>
      <t>Answer Yes or No as to whether there are changes that can be made to the current vehicle acquisition request that will bring your agency     closer to, or into, compliance.</t>
    </r>
  </si>
  <si>
    <r>
      <rPr>
        <b/>
        <sz val="10"/>
        <color indexed="8"/>
        <rFont val="Calibri"/>
        <family val="2"/>
      </rPr>
      <t xml:space="preserve">Question 3: </t>
    </r>
    <r>
      <rPr>
        <sz val="10"/>
        <color indexed="8"/>
        <rFont val="Calibri"/>
        <family val="2"/>
      </rPr>
      <t>Provide justification for why the vehicles requested are necessary to meet the operational needs of your agency.</t>
    </r>
  </si>
  <si>
    <r>
      <rPr>
        <b/>
        <sz val="10"/>
        <color theme="1"/>
        <rFont val="Calibri"/>
        <family val="2"/>
        <scheme val="minor"/>
      </rPr>
      <t>Question 4</t>
    </r>
    <r>
      <rPr>
        <sz val="10"/>
        <color theme="1"/>
        <rFont val="Calibri"/>
        <family val="2"/>
        <scheme val="minor"/>
      </rPr>
      <t xml:space="preserve"> (if future acquisitions are anticipated in the current FY. If no, skip to Question 5): Describe any planned future acquisitions that will help your agency reach compliance for the Fiscal Year.</t>
    </r>
  </si>
  <si>
    <r>
      <rPr>
        <b/>
        <sz val="10"/>
        <color theme="1"/>
        <rFont val="Calibri"/>
        <family val="2"/>
        <scheme val="minor"/>
      </rPr>
      <t>Question 5</t>
    </r>
    <r>
      <rPr>
        <sz val="10"/>
        <color theme="1"/>
        <rFont val="Calibri"/>
        <family val="2"/>
        <scheme val="minor"/>
      </rPr>
      <t xml:space="preserve"> (if this is the final acquisition for the current FY):
    i. Answer Yes or No as to whether your agency is requesting an offical exemption from Standard Compliance for the current FY.
    ii. If Yes, describe how the agency plans to meet the requirements of Alternative Compliance. </t>
    </r>
  </si>
  <si>
    <r>
      <rPr>
        <b/>
        <u/>
        <sz val="10"/>
        <color theme="1"/>
        <rFont val="Calibri"/>
        <family val="2"/>
        <scheme val="minor"/>
      </rPr>
      <t>NOTE:</t>
    </r>
    <r>
      <rPr>
        <sz val="10"/>
        <color theme="1"/>
        <rFont val="Calibri"/>
        <family val="2"/>
        <scheme val="minor"/>
      </rPr>
      <t xml:space="preserve"> All entries must be separate and dated. When submitting a new request, do not delete entries from previous requests.</t>
    </r>
  </si>
  <si>
    <t>ALTERNATIVE COMPLIANCE (for agencies requesting an exemption from Standard Compliance)</t>
  </si>
  <si>
    <t>This sheet enables agencies to enter measures to be implemented as part of their Alternative Compliance Plan. Depending on the initiative implemented, agencies can earn credits towards the MPG Requrement and/or the AFV/EV Requirement of the Fuel Efficiency Standard. Agencies can earn credits for the following initiatives:</t>
  </si>
  <si>
    <r>
      <t xml:space="preserve">1. </t>
    </r>
    <r>
      <rPr>
        <b/>
        <sz val="10"/>
        <color theme="1"/>
        <rFont val="Calibri"/>
        <family val="2"/>
        <scheme val="minor"/>
      </rPr>
      <t>Alternative Fuel Consumption and Strategies</t>
    </r>
  </si>
  <si>
    <r>
      <rPr>
        <b/>
        <sz val="10"/>
        <color indexed="8"/>
        <rFont val="Calibri"/>
        <family val="2"/>
      </rPr>
      <t>2. After-market Conversions of Existing Vehicles to Hybrid or Alternative Fuel</t>
    </r>
  </si>
  <si>
    <t>3. Fleet Right-Sizing</t>
  </si>
  <si>
    <t>4. Vehicle Parts and Equipment to Conserve Fuel</t>
  </si>
  <si>
    <t>5. Adoption of Agengy-Wide Strategies or Policies to Conserve Fuel</t>
  </si>
  <si>
    <t>6. Other</t>
  </si>
  <si>
    <t>ELECTRONIC SIGNATURE</t>
  </si>
  <si>
    <t>This worksheet includes statements regarding the requestor's understanding and compliance with policies and the FES requirements. No request will be reviewed and/or approved without an electronic signature.</t>
  </si>
  <si>
    <t>APPENDIX - VEH98 VEHICLES</t>
  </si>
  <si>
    <t>This tab is meant to serve as a resource for fleet managers and lists vehicles from the current statewide contract (VEH98). Users should review all vehicles available that would meet their business needs, which can be accomplished by utilizing the column filters to narrow their choices.</t>
  </si>
  <si>
    <t>Top</t>
  </si>
  <si>
    <t>Worksheet Contacts:
Fuel efficiency calculator questions: Chelsea Kehne | chelsea.kehne@mass.gov | (617) 626-7338
Vehicle request (purchase) questions: Cheryl Cushman | cheryl.cushman@mass.gov | (617) 720-3109
Vehicle request (lease) questions: Karen Rasnick | karen.rasnick@mass.gov | (617) 720-3196</t>
  </si>
  <si>
    <t>FY2021 Vehicle Request and Fuel Efficiency Calculator</t>
  </si>
  <si>
    <t>Recommended Vehicles</t>
  </si>
  <si>
    <r>
      <t xml:space="preserve">This sheet lists all the vehicles from VEH98 (Category I and Category II) that meet the MPG requirements of the standard.  </t>
    </r>
    <r>
      <rPr>
        <sz val="11"/>
        <color indexed="57"/>
        <rFont val="Calibri"/>
        <family val="2"/>
      </rPr>
      <t>Hybrid, plug-in hybrid and battery electric vehicles are highlighted in green.</t>
    </r>
    <r>
      <rPr>
        <sz val="11"/>
        <color theme="1"/>
        <rFont val="Calibri"/>
        <family val="2"/>
        <scheme val="minor"/>
      </rPr>
      <t xml:space="preserve">  </t>
    </r>
    <r>
      <rPr>
        <b/>
        <sz val="11"/>
        <color indexed="8"/>
        <rFont val="Calibri"/>
        <family val="2"/>
      </rPr>
      <t>There is no user input required on this sheet</t>
    </r>
    <r>
      <rPr>
        <sz val="11"/>
        <color theme="1"/>
        <rFont val="Calibri"/>
        <family val="2"/>
        <scheme val="minor"/>
      </rPr>
      <t xml:space="preserve">; it is meant to serve as as resource for agency fleet managers.  </t>
    </r>
  </si>
  <si>
    <t>Instructions</t>
  </si>
  <si>
    <t>Category I: Passenger Cars</t>
  </si>
  <si>
    <t>Category II: Trucks, Vans, SUVs</t>
  </si>
  <si>
    <t>Vehicles that Meet 32 MPG Standard</t>
  </si>
  <si>
    <t>Vehicles that Meet 22 MPG Standard</t>
  </si>
  <si>
    <r>
      <t xml:space="preserve">Choosing any of these vehicles will help your agency reach the 32 MPG average requirement for new acquisitions in Category I.  Those highlighted in </t>
    </r>
    <r>
      <rPr>
        <sz val="11"/>
        <rFont val="Calibri"/>
        <family val="2"/>
      </rPr>
      <t xml:space="preserve">green are hybrid electric vehicles (HEVs), Plug-in Hybrid Electric Vehicles (PHEVs), or Battery Electric Vehicles (BEVs).  Choosing a HEV, PHEV, or BEV will help your agency reach the minimum acquisition requirement for HEVs, PHEVs or BEVs.  </t>
    </r>
  </si>
  <si>
    <t xml:space="preserve">Choosing any of these vehicles will help your agency reach the 22 MPG average requirement for new acquisitions in Category II.  Those highlighted in green are hybrid electric vehicles (HEVs), Plug-in Hybrid Electric Vehicles (PHEVs), or Battery Electric Vehicles (BEVs).  Choosing a HEV, PHEV, or BEV will help your agency reach the minimum acquisition requirement for HEVs, PHEVs or BEVs.  </t>
  </si>
  <si>
    <t>HEV/PHEV/BEV</t>
  </si>
  <si>
    <t>Model Year</t>
  </si>
  <si>
    <t xml:space="preserve">Make </t>
  </si>
  <si>
    <t>Model</t>
  </si>
  <si>
    <t>Trim Level</t>
  </si>
  <si>
    <t>Drive Train</t>
  </si>
  <si>
    <t>Engine</t>
  </si>
  <si>
    <t>Combined MPG</t>
  </si>
  <si>
    <t>Vehicle Acquisition Number (for state entities only)</t>
  </si>
  <si>
    <t>Vehicle ID #</t>
  </si>
  <si>
    <t>Vendor Name</t>
  </si>
  <si>
    <t>Vendor Number</t>
  </si>
  <si>
    <t>Category</t>
  </si>
  <si>
    <t>Subcategory 
(i.e. vehicle class)</t>
  </si>
  <si>
    <t>Manufacturer (OEM) / Make</t>
  </si>
  <si>
    <t xml:space="preserve">Model Year </t>
  </si>
  <si>
    <t>Max # of Pass</t>
  </si>
  <si>
    <t>Max # WC Positions</t>
  </si>
  <si>
    <t>Door / Lift Location</t>
  </si>
  <si>
    <t>Floor Plan / # of Rows</t>
  </si>
  <si>
    <t>Truck Box Length / Van Roof Height</t>
  </si>
  <si>
    <t>Towing Capacity (as equipped)</t>
  </si>
  <si>
    <t>Engine Liter Size / kW Motor Power / HorsePower</t>
  </si>
  <si>
    <t>Cylinders / Battery</t>
  </si>
  <si>
    <t xml:space="preserve">Body Code </t>
  </si>
  <si>
    <t>Equip / Pkg Code</t>
  </si>
  <si>
    <t>Wheel base</t>
  </si>
  <si>
    <t>Fuel Tank Size / Range</t>
  </si>
  <si>
    <t>GVW or Curb Wt</t>
  </si>
  <si>
    <t>Primary Fuel</t>
  </si>
  <si>
    <t>Secondary Fuel</t>
  </si>
  <si>
    <t>Base Vehicle MSRP</t>
  </si>
  <si>
    <t>MSRP with Upfit</t>
  </si>
  <si>
    <t xml:space="preserve">Bid Price </t>
  </si>
  <si>
    <t>Accessory % Discount</t>
  </si>
  <si>
    <t>Vehicle ID+ Option</t>
  </si>
  <si>
    <t>Reference 1</t>
  </si>
  <si>
    <t>Reference 2</t>
  </si>
  <si>
    <t>HIDE-VEHICLE #</t>
  </si>
  <si>
    <t>HIDE-CAT</t>
  </si>
  <si>
    <t>HIDE_MAKE</t>
  </si>
  <si>
    <t>HIDE-CONCATENATE</t>
  </si>
  <si>
    <t>Vehicle Identifier</t>
  </si>
  <si>
    <t>DO NOT DELETE</t>
  </si>
  <si>
    <t>2019-PAS-CHV-BOLT-001-13</t>
  </si>
  <si>
    <t>PAS-CHV-BOLT-001</t>
  </si>
  <si>
    <t>Liberty Chevrolet</t>
  </si>
  <si>
    <t>01-Passenger Cars</t>
  </si>
  <si>
    <t>Small</t>
  </si>
  <si>
    <t>Chevrolet</t>
  </si>
  <si>
    <t>Bolt EV</t>
  </si>
  <si>
    <t>LT</t>
  </si>
  <si>
    <t>FWD</t>
  </si>
  <si>
    <t>~</t>
  </si>
  <si>
    <t>200hp Electric</t>
  </si>
  <si>
    <t>60 kWh Battery</t>
  </si>
  <si>
    <t>1FB48</t>
  </si>
  <si>
    <t>2LT</t>
  </si>
  <si>
    <t>238 mi range</t>
  </si>
  <si>
    <t>Electric</t>
  </si>
  <si>
    <t>N/A</t>
  </si>
  <si>
    <t>2019-PAS-CHV-BOLT-001-17</t>
  </si>
  <si>
    <t>Mirak Chevrolet Hyundai</t>
  </si>
  <si>
    <t>2019-PAS-CHV-BOLT-002-11</t>
  </si>
  <si>
    <t>PAS-CHV-BOLT-002</t>
  </si>
  <si>
    <t>Gordon Chevrolet dba CMG</t>
  </si>
  <si>
    <t>LT - W/Fast Charge Option</t>
  </si>
  <si>
    <t>2019-PAS-CHV-CRUZ-001-13</t>
  </si>
  <si>
    <t>PAS-CHV-CRUZ-001</t>
  </si>
  <si>
    <t>Cruze</t>
  </si>
  <si>
    <t>LS</t>
  </si>
  <si>
    <t>1.4L</t>
  </si>
  <si>
    <t>1BR69</t>
  </si>
  <si>
    <t>1SB</t>
  </si>
  <si>
    <t>Unleaded</t>
  </si>
  <si>
    <t>2019-PAS-CHV-CRUZ-001-17</t>
  </si>
  <si>
    <t>2019-PAS-CHV-CRUZ-002-11</t>
  </si>
  <si>
    <t>PAS-CHV-CRUZ-002</t>
  </si>
  <si>
    <t>1BT69</t>
  </si>
  <si>
    <t>1SD</t>
  </si>
  <si>
    <t>2019-PAS-CHV-CRUZ-002-17</t>
  </si>
  <si>
    <t>2019-PAS-CHV-IMPL-001-11</t>
  </si>
  <si>
    <t>PAS-CHV-IMPL-001</t>
  </si>
  <si>
    <t>Full-Size</t>
  </si>
  <si>
    <t>Impala</t>
  </si>
  <si>
    <t>2.5L</t>
  </si>
  <si>
    <t>1GX69</t>
  </si>
  <si>
    <t>1FL</t>
  </si>
  <si>
    <t>2019-PAS-CHV-IMPL-001-13</t>
  </si>
  <si>
    <t>2019-PAS-CHV-IMPL-001-17</t>
  </si>
  <si>
    <t>2019-PAS-CHV-MALI-001-11</t>
  </si>
  <si>
    <t>PAS-CHV-MALI-001</t>
  </si>
  <si>
    <t>Mid-Size</t>
  </si>
  <si>
    <t>Malibu</t>
  </si>
  <si>
    <t>Hybrid</t>
  </si>
  <si>
    <t>1.8L</t>
  </si>
  <si>
    <t>1ZE69</t>
  </si>
  <si>
    <t>1HY</t>
  </si>
  <si>
    <t>2019-PAS-CHV-MALI-001-17</t>
  </si>
  <si>
    <t>2019-PAS-CHV-MALI-002-11</t>
  </si>
  <si>
    <t>PAS-CHV-MALI-002</t>
  </si>
  <si>
    <t>1.5L</t>
  </si>
  <si>
    <t>1ZC69</t>
  </si>
  <si>
    <t>2019-PAS-CHV-MALI-002-13</t>
  </si>
  <si>
    <t>2019-PAS-CHV-MALI-002-17</t>
  </si>
  <si>
    <t>2019-PAS-CHV-SPRK-001-11</t>
  </si>
  <si>
    <t>PAS-CHV-SPRK-001</t>
  </si>
  <si>
    <t>Compact</t>
  </si>
  <si>
    <t>Spark</t>
  </si>
  <si>
    <t>1LT</t>
  </si>
  <si>
    <t>1DS48</t>
  </si>
  <si>
    <t>2019-PAS-CHV-SPRK-001-17</t>
  </si>
  <si>
    <t>2019-PAS-CHV-SPRK-002-17</t>
  </si>
  <si>
    <t>PAS-CHV-SPRK-002</t>
  </si>
  <si>
    <t>2019-PAS-CHV-VOLT-001-11</t>
  </si>
  <si>
    <t>PAS-CHV-VOLT-001</t>
  </si>
  <si>
    <t>Volt</t>
  </si>
  <si>
    <t>1RF68</t>
  </si>
  <si>
    <t>2019-PAS-CHV-VOLT-001-13</t>
  </si>
  <si>
    <t>2019-PAS-CHV-VOLT-001-17</t>
  </si>
  <si>
    <t>2019-PAS-CRY-~300-003-04</t>
  </si>
  <si>
    <t>PAS-CRY-~300-003</t>
  </si>
  <si>
    <t>Central Dodge</t>
  </si>
  <si>
    <t>04</t>
  </si>
  <si>
    <t>Chrysler</t>
  </si>
  <si>
    <t xml:space="preserve">Touring </t>
  </si>
  <si>
    <t>AWD</t>
  </si>
  <si>
    <t>3.6L</t>
  </si>
  <si>
    <t>LXFH48</t>
  </si>
  <si>
    <t>22E</t>
  </si>
  <si>
    <t>2019-PAS-CRY-~300-004-04</t>
  </si>
  <si>
    <t>PAS-CRY-~300-004</t>
  </si>
  <si>
    <t>RWD</t>
  </si>
  <si>
    <t>LXCH48</t>
  </si>
  <si>
    <t>2019-PAS-CRY-~300-001-08</t>
  </si>
  <si>
    <t>PAS-CRY-~300-001</t>
  </si>
  <si>
    <t>Colonial South Automotive dba CMG</t>
  </si>
  <si>
    <t>08</t>
  </si>
  <si>
    <t>Touring L</t>
  </si>
  <si>
    <t>22F</t>
  </si>
  <si>
    <t>2019-PAS-CRY-~300-002-08</t>
  </si>
  <si>
    <t>PAS-CRY-~300-002</t>
  </si>
  <si>
    <t>2019-PAS-DOD-CHAL-001-04</t>
  </si>
  <si>
    <t>PAS-DOD-CHAL-001</t>
  </si>
  <si>
    <t>Dodge</t>
  </si>
  <si>
    <t>Challenger</t>
  </si>
  <si>
    <t>SXT</t>
  </si>
  <si>
    <t>LADH22</t>
  </si>
  <si>
    <t>21A</t>
  </si>
  <si>
    <t>2019-PAS-DOD-CHAL-001-08</t>
  </si>
  <si>
    <t>2019-PAS-DOD-CHRG-001-08</t>
  </si>
  <si>
    <t>PAS-DOD-CHRG-001</t>
  </si>
  <si>
    <t>Charger</t>
  </si>
  <si>
    <t>GT</t>
  </si>
  <si>
    <t>LDES48</t>
  </si>
  <si>
    <t>28H</t>
  </si>
  <si>
    <t>2019-PAS-DOD-CHRG-006-04</t>
  </si>
  <si>
    <t>PAS-DOD-CHRG-006</t>
  </si>
  <si>
    <t>2019-PAS-DOD-CHRG-005-04</t>
  </si>
  <si>
    <t>PAS-DOD-CHRG-005</t>
  </si>
  <si>
    <t>LDDM48</t>
  </si>
  <si>
    <t>29G</t>
  </si>
  <si>
    <t>2019-PAS-DOD-CHRG-005-08</t>
  </si>
  <si>
    <t>2019-PAS-FRD-FSTA-001-05</t>
  </si>
  <si>
    <t>PAS-FRD-FSTA-001</t>
  </si>
  <si>
    <t>Colonial Ford dba CMG</t>
  </si>
  <si>
    <t>05</t>
  </si>
  <si>
    <t>Ford</t>
  </si>
  <si>
    <t>Fiesta</t>
  </si>
  <si>
    <t>S</t>
  </si>
  <si>
    <t>1.6L</t>
  </si>
  <si>
    <t>P4A</t>
  </si>
  <si>
    <t>100A</t>
  </si>
  <si>
    <t>2019-PAS-FRD-FSTA-001-15</t>
  </si>
  <si>
    <t>MHQ</t>
  </si>
  <si>
    <t>2019-PAS-FRD-FSTA-001-27</t>
  </si>
  <si>
    <t>Colonial Ford of Marlboro dba CMG</t>
  </si>
  <si>
    <t>2019-PAS-FRD-FSTA-004-05</t>
  </si>
  <si>
    <t>PAS-FRD-FSTA-004</t>
  </si>
  <si>
    <t>S Hatch</t>
  </si>
  <si>
    <t>P4T</t>
  </si>
  <si>
    <t>2019-PAS-FRD-FSTA-004-15</t>
  </si>
  <si>
    <t>2019-PAS-FRD-FSTA-004-26</t>
  </si>
  <si>
    <t>Marcotte Ford</t>
  </si>
  <si>
    <t>2019-PAS-FRD-FSTA-004-27</t>
  </si>
  <si>
    <t>S Sedan</t>
  </si>
  <si>
    <t>2019-PAS-FRD-FSTA-001-26</t>
  </si>
  <si>
    <t>2019-PAS-FRD-FSTA-005-05</t>
  </si>
  <si>
    <t>PAS-FRD-FSTA-005</t>
  </si>
  <si>
    <t>SE Hatch</t>
  </si>
  <si>
    <t>P4E</t>
  </si>
  <si>
    <t>200A</t>
  </si>
  <si>
    <t>2019-PAS-FRD-FSTA-005-15</t>
  </si>
  <si>
    <t>2019-PAS-FRD-FSTA-005-26</t>
  </si>
  <si>
    <t>2019-PAS-FRD-FSTA-005-27</t>
  </si>
  <si>
    <t>2019-PAS-FRD-FSTA-002-05</t>
  </si>
  <si>
    <t>PAS-FRD-FSTA-002</t>
  </si>
  <si>
    <t>SE Sedan</t>
  </si>
  <si>
    <t>P4B</t>
  </si>
  <si>
    <t>2019-PAS-FRD-FSTA-002-15</t>
  </si>
  <si>
    <t>2019-PAS-FRD-FSTA-002-26</t>
  </si>
  <si>
    <t>2019-PAS-FRD-FSTA-002-27</t>
  </si>
  <si>
    <t>2019-PAS-FRD-FSTA-007-15</t>
  </si>
  <si>
    <t>PAS-FRD-FSTA-007</t>
  </si>
  <si>
    <t>ST Hatch</t>
  </si>
  <si>
    <t>P4G</t>
  </si>
  <si>
    <t>400A</t>
  </si>
  <si>
    <t>2019-PAS-FRD-FSTA-007-26</t>
  </si>
  <si>
    <t>2019-PAS-FRD-FLEX-004-05</t>
  </si>
  <si>
    <t>PAS-FRD-FLEX-004</t>
  </si>
  <si>
    <t>Flex</t>
  </si>
  <si>
    <t>Limited</t>
  </si>
  <si>
    <t>3.5L</t>
  </si>
  <si>
    <t>K6D</t>
  </si>
  <si>
    <t>300A</t>
  </si>
  <si>
    <t>2019-PAS-FRD-FLEX-004-15</t>
  </si>
  <si>
    <t>2019-PAS-FRD-FLEX-004-26</t>
  </si>
  <si>
    <t>2019-PAS-FRD-FLEX-004-27</t>
  </si>
  <si>
    <t>2019-PAS-FRD-FLEX-005-05</t>
  </si>
  <si>
    <t>PAS-FRD-FLEX-005</t>
  </si>
  <si>
    <t>K5D</t>
  </si>
  <si>
    <t>2019-PAS-FRD-FLEX-005-15</t>
  </si>
  <si>
    <t>2019-PAS-FRD-FLEX-005-26</t>
  </si>
  <si>
    <t>2019-PAS-FRD-FLEX-005-27</t>
  </si>
  <si>
    <t>2019-PAS-FRD-FLEX-001-05</t>
  </si>
  <si>
    <t>PAS-FRD-FLEX-001</t>
  </si>
  <si>
    <t>SE</t>
  </si>
  <si>
    <t>K5B</t>
  </si>
  <si>
    <t>2019-PAS-FRD-FLEX-001-15</t>
  </si>
  <si>
    <t>2019-PAS-FRD-FLEX-001-26</t>
  </si>
  <si>
    <t>2019-PAS-FRD-FLEX-001-27</t>
  </si>
  <si>
    <t>2019-PAS-FRD-FLEX-002-05</t>
  </si>
  <si>
    <t>PAS-FRD-FLEX-002</t>
  </si>
  <si>
    <t>SEL</t>
  </si>
  <si>
    <t>K6C</t>
  </si>
  <si>
    <t>2019-PAS-FRD-FLEX-002-15</t>
  </si>
  <si>
    <t>2019-PAS-FRD-FLEX-002-26</t>
  </si>
  <si>
    <t>2019-PAS-FRD-FLEX-002-27</t>
  </si>
  <si>
    <t>2019-PAS-FRD-FLEX-003-05</t>
  </si>
  <si>
    <t>PAS-FRD-FLEX-003</t>
  </si>
  <si>
    <t>K5C</t>
  </si>
  <si>
    <t>2019-PAS-FRD-FLEX-003-15</t>
  </si>
  <si>
    <t>2019-PAS-FRD-FLEX-003-26</t>
  </si>
  <si>
    <t>2019-PAS-FRD-FLEX-003-27</t>
  </si>
  <si>
    <t>2019-PAS-FRD-FUSN-017-05</t>
  </si>
  <si>
    <t>PAS-FRD-FUSN-017</t>
  </si>
  <si>
    <t>Fusion</t>
  </si>
  <si>
    <t>Energi Titanium</t>
  </si>
  <si>
    <t>2.0L</t>
  </si>
  <si>
    <t>P0S</t>
  </si>
  <si>
    <t>850A</t>
  </si>
  <si>
    <t>2019-PAS-FRD-FUSN-007-15</t>
  </si>
  <si>
    <t>PAS-FRD-FUSN-007</t>
  </si>
  <si>
    <t>900A</t>
  </si>
  <si>
    <t>2019-PAS-FRD-FUSN-007-26</t>
  </si>
  <si>
    <t>2019-PAS-FRD-FUSN-017-27</t>
  </si>
  <si>
    <t>2019-PAS-FRD-FUSN-002-05</t>
  </si>
  <si>
    <t>PAS-FRD-FUSN-002</t>
  </si>
  <si>
    <t>Hybrid SE</t>
  </si>
  <si>
    <t>P0L</t>
  </si>
  <si>
    <t>550A</t>
  </si>
  <si>
    <t>2019-PAS-FRD-FUSN-002-15</t>
  </si>
  <si>
    <t>600A</t>
  </si>
  <si>
    <t>2019-PAS-FRD-FUSN-002-26</t>
  </si>
  <si>
    <t>2019-PAS-FRD-FUSN-002-27</t>
  </si>
  <si>
    <t>2019-PAS-FRD-FUSN-015-05</t>
  </si>
  <si>
    <t>PAS-FRD-FUSN-015</t>
  </si>
  <si>
    <t>Hybrid SEL</t>
  </si>
  <si>
    <t>P0M</t>
  </si>
  <si>
    <t>2019-PAS-FRD-FUSN-015-27</t>
  </si>
  <si>
    <t>2019-PAS-FRD-FUSN-009-05</t>
  </si>
  <si>
    <t>PAS-FRD-FUSN-009</t>
  </si>
  <si>
    <t>Hybrid Titanium</t>
  </si>
  <si>
    <t>P0R</t>
  </si>
  <si>
    <t>650A</t>
  </si>
  <si>
    <t>2019-PAS-FRD-FUSN-009-15</t>
  </si>
  <si>
    <t>700A</t>
  </si>
  <si>
    <t>2019-PAS-FRD-FUSN-009-26</t>
  </si>
  <si>
    <t>2019-PAS-FRD-FUSN-009-27</t>
  </si>
  <si>
    <t>2019-PAS-FRD-FUSN-011-05</t>
  </si>
  <si>
    <t>PAS-FRD-FUSN-011</t>
  </si>
  <si>
    <t>P0G</t>
  </si>
  <si>
    <t>2019-PAS-FRD-FUSN-011-15</t>
  </si>
  <si>
    <t>2019-PAS-FRD-FUSN-011-26</t>
  </si>
  <si>
    <t>2019-PAS-FRD-FUSN-011-27</t>
  </si>
  <si>
    <t>2019-PAS-FRD-FUSN-005-05</t>
  </si>
  <si>
    <t>PAS-FRD-FUSN-005</t>
  </si>
  <si>
    <t>P0T</t>
  </si>
  <si>
    <t>150A</t>
  </si>
  <si>
    <t>2019-PAS-FRD-FUSN-005-15</t>
  </si>
  <si>
    <t>201A</t>
  </si>
  <si>
    <t>2019-PAS-FRD-FUSN-005-26</t>
  </si>
  <si>
    <t>2019-PAS-FRD-FUSN-005-27</t>
  </si>
  <si>
    <t>2019-PAS-FRD-FUSN-006-05</t>
  </si>
  <si>
    <t>PAS-FRD-FUSN-006</t>
  </si>
  <si>
    <t>1.5L w/start-stop</t>
  </si>
  <si>
    <t>P0H</t>
  </si>
  <si>
    <t>2019-PAS-FRD-FUSN-010-05</t>
  </si>
  <si>
    <t>PAS-FRD-FUSN-010</t>
  </si>
  <si>
    <t>2019-PAS-FRD-FUSN-006-15</t>
  </si>
  <si>
    <t>2019-PAS-FRD-FUSN-006-26</t>
  </si>
  <si>
    <t>2019-PAS-FRD-FUSN-006-27</t>
  </si>
  <si>
    <t>2019-PAS-FRD-FUSN-010-27</t>
  </si>
  <si>
    <t>2019-PAS-FRD-FUSN-019-05</t>
  </si>
  <si>
    <t>PAS-FRD-FUSN-019</t>
  </si>
  <si>
    <t>Sport</t>
  </si>
  <si>
    <t>2.7L Ecoboost</t>
  </si>
  <si>
    <t>P0V</t>
  </si>
  <si>
    <t>2019-PAS-FRD-FUSN-012-15</t>
  </si>
  <si>
    <t>PAS-FRD-FUSN-012</t>
  </si>
  <si>
    <t>2019-PAS-FRD-FUSN-012-26</t>
  </si>
  <si>
    <t>2019-PAS-FRD-FUSN-019-27</t>
  </si>
  <si>
    <t>2019-PAS-FRD-FUSN-013-05</t>
  </si>
  <si>
    <t>PAS-FRD-FUSN-013</t>
  </si>
  <si>
    <t>Titanium</t>
  </si>
  <si>
    <t>P0D</t>
  </si>
  <si>
    <t>250A</t>
  </si>
  <si>
    <t>2019-PAS-FRD-FUSN-013-15</t>
  </si>
  <si>
    <t>2019-PAS-FRD-FUSN-013-26</t>
  </si>
  <si>
    <t>2019-PAS-FRD-FUSN-013-27</t>
  </si>
  <si>
    <t>2019-PAS-FRD-FUSN-014-05</t>
  </si>
  <si>
    <t>PAS-FRD-FUSN-014</t>
  </si>
  <si>
    <t>P0K</t>
  </si>
  <si>
    <t>2019-PAS-FRD-FUSN-014-15</t>
  </si>
  <si>
    <t>2019-PAS-FRD-FUSN-014-26</t>
  </si>
  <si>
    <t>2019-PAS-FRD-FUSN-014-27</t>
  </si>
  <si>
    <t>2019-PAS-FRD-TRUS-004-05</t>
  </si>
  <si>
    <t>PAS-FRD-TRUS-004</t>
  </si>
  <si>
    <t>Taurus</t>
  </si>
  <si>
    <t>P2J</t>
  </si>
  <si>
    <t>301A</t>
  </si>
  <si>
    <t>2019-PAS-FRD-TRUS-004-26</t>
  </si>
  <si>
    <t>2019-PAS-FRD-TRUS-004-27</t>
  </si>
  <si>
    <t>2019-PAS-FRD-TRUS-005-05</t>
  </si>
  <si>
    <t>PAS-FRD-TRUS-005</t>
  </si>
  <si>
    <t>P2F</t>
  </si>
  <si>
    <t>2019-PAS-FRD-TRUS-005-26</t>
  </si>
  <si>
    <t>2019-PAS-FRD-TRUS-005-27</t>
  </si>
  <si>
    <t>2019-PAS-FRD-TRUS-001-05</t>
  </si>
  <si>
    <t>PAS-FRD-TRUS-001</t>
  </si>
  <si>
    <t>P2D</t>
  </si>
  <si>
    <t>2019-PAS-FRD-TRUS-001-26</t>
  </si>
  <si>
    <t>2019-PAS-FRD-TRUS-001-27</t>
  </si>
  <si>
    <t>2019-PAS-FRD-TRUS-002-05</t>
  </si>
  <si>
    <t>PAS-FRD-TRUS-002</t>
  </si>
  <si>
    <t>P2H</t>
  </si>
  <si>
    <t>E85</t>
  </si>
  <si>
    <t>2019-PAS-FRD-TRUS-002-26</t>
  </si>
  <si>
    <t>2019-PAS-FRD-TRUS-002-27</t>
  </si>
  <si>
    <t>2019-PAS-FRD-TRUS-003-05</t>
  </si>
  <si>
    <t>PAS-FRD-TRUS-003</t>
  </si>
  <si>
    <t>P2E</t>
  </si>
  <si>
    <t>2019-PAS-FRD-TRUS-003-26</t>
  </si>
  <si>
    <t>2019-PAS-FRD-TRUS-003-27</t>
  </si>
  <si>
    <t>2019-PAS-FRD-TRUS-006-05</t>
  </si>
  <si>
    <t>PAS-FRD-TRUS-006</t>
  </si>
  <si>
    <t>SHO</t>
  </si>
  <si>
    <t>P2K</t>
  </si>
  <si>
    <t>401A</t>
  </si>
  <si>
    <t>2019-PAS-FRD-TRUS-006-26</t>
  </si>
  <si>
    <t>2019-PAS-FRD-TRUS-006-27</t>
  </si>
  <si>
    <t>2019-PAS-HND-ACRD-001-06</t>
  </si>
  <si>
    <t>PAS-HND-ACRD-001</t>
  </si>
  <si>
    <t>Colonial Imports South dba CMG</t>
  </si>
  <si>
    <t>06</t>
  </si>
  <si>
    <t>Honda</t>
  </si>
  <si>
    <t>Accord</t>
  </si>
  <si>
    <t>CV3F1KEW</t>
  </si>
  <si>
    <t>2019-PAS-HND-ACRD-001-14</t>
  </si>
  <si>
    <t>Manchester Sports Center</t>
  </si>
  <si>
    <t>2019-PAS-HND-ACRD-002-06</t>
  </si>
  <si>
    <t>PAS-HND-ACRD-002</t>
  </si>
  <si>
    <t>LX (CVT)</t>
  </si>
  <si>
    <t>CV1F1KEW</t>
  </si>
  <si>
    <t>2019-PAS-HND-ACRD-002-14</t>
  </si>
  <si>
    <t>2019-PAS-HND-CIVH-001-06</t>
  </si>
  <si>
    <t>PAS-HND-CIVH-001</t>
  </si>
  <si>
    <t>Civic Hatchback</t>
  </si>
  <si>
    <t>FK7H3KEW</t>
  </si>
  <si>
    <t>2019-PAS-HND-CIVH-001-14</t>
  </si>
  <si>
    <t>2019-PAS-HND-CIVS-001-06</t>
  </si>
  <si>
    <t>PAS-HND-CIVS-001</t>
  </si>
  <si>
    <t>Civic Sedan</t>
  </si>
  <si>
    <t>FC2F6KEW</t>
  </si>
  <si>
    <t>2019-PAS-HND-CIVS-001-14</t>
  </si>
  <si>
    <t>2018-PAS-HND-CLRT-001-06</t>
  </si>
  <si>
    <t>PAS-HND-CLRT-001</t>
  </si>
  <si>
    <t>Clarity Plug-In</t>
  </si>
  <si>
    <t>Base</t>
  </si>
  <si>
    <t>ZC5F1JGW</t>
  </si>
  <si>
    <t>2018-PAS-HND-CLRT-001-14</t>
  </si>
  <si>
    <t>2018-PAS-HND-CLRT-002-06</t>
  </si>
  <si>
    <t>PAS-HND-CLRT-002</t>
  </si>
  <si>
    <t>Touring</t>
  </si>
  <si>
    <t>ZC5F3JGW</t>
  </si>
  <si>
    <t>2018-PAS-HND-CLRT-002-14</t>
  </si>
  <si>
    <t>2019-PAS-HND-~FIT-001-06</t>
  </si>
  <si>
    <t>PAS-HND-~FIT-001</t>
  </si>
  <si>
    <t>FIT</t>
  </si>
  <si>
    <t>LX CVT</t>
  </si>
  <si>
    <t>GK5H4KEW</t>
  </si>
  <si>
    <t>2019-PAS-HND-~FIT-001-14</t>
  </si>
  <si>
    <t>2019-PAS-HND-INSI-001-06</t>
  </si>
  <si>
    <t>PAS-HND-INSI-001</t>
  </si>
  <si>
    <t>Insight</t>
  </si>
  <si>
    <t>EX Hybrid</t>
  </si>
  <si>
    <t>ZE4F5KEW</t>
  </si>
  <si>
    <t>2019-PAS-HND-INSI-001-14</t>
  </si>
  <si>
    <t>2019-PAS-HND-INSI-002-06</t>
  </si>
  <si>
    <t>PAS-HND-INSI-002</t>
  </si>
  <si>
    <t>LX Hybrid</t>
  </si>
  <si>
    <t>ZE4F1KEW</t>
  </si>
  <si>
    <t>2019-PAS-HND-INSI-002-14</t>
  </si>
  <si>
    <t>2019-PAS-HYD-ELNT-001-17</t>
  </si>
  <si>
    <t>PAS-HYD-ELNT-001</t>
  </si>
  <si>
    <t>Hyundai</t>
  </si>
  <si>
    <t>Elantra</t>
  </si>
  <si>
    <t xml:space="preserve">SE PZEV </t>
  </si>
  <si>
    <t>47412F4P</t>
  </si>
  <si>
    <t>01</t>
  </si>
  <si>
    <t>2019-PAS-HYD-SNTA-001-17</t>
  </si>
  <si>
    <t>PAS-HYD-SNTA-001</t>
  </si>
  <si>
    <t>Sonata</t>
  </si>
  <si>
    <t>Eco</t>
  </si>
  <si>
    <t>28492F4P</t>
  </si>
  <si>
    <t>2019-PAS-HYD-SNTA-002-17</t>
  </si>
  <si>
    <t>PAS-HYD-SNTA-002</t>
  </si>
  <si>
    <t>Hybrid Base</t>
  </si>
  <si>
    <t>G1402F45</t>
  </si>
  <si>
    <t>2019-PAS-HYD-SNTA-003-17</t>
  </si>
  <si>
    <t>PAS-HYD-SNTA-003</t>
  </si>
  <si>
    <t>Plug-in Base</t>
  </si>
  <si>
    <t>L0402F4P</t>
  </si>
  <si>
    <t>2019-PAS-HYD-SNTA-004-17</t>
  </si>
  <si>
    <t>PAS-HYD-SNTA-004</t>
  </si>
  <si>
    <t>2.4L</t>
  </si>
  <si>
    <t>28402F45</t>
  </si>
  <si>
    <t>2019-PAS-NIS-ALTM-002-07</t>
  </si>
  <si>
    <t>PAS-NIS-ALTM-002</t>
  </si>
  <si>
    <t>Colonial Nissan of Medford dba CMG</t>
  </si>
  <si>
    <t>07</t>
  </si>
  <si>
    <t>Nissan</t>
  </si>
  <si>
    <t>Altima</t>
  </si>
  <si>
    <t>2.5S</t>
  </si>
  <si>
    <t>2019-PAS-NIS-ALTM-002-16</t>
  </si>
  <si>
    <t>Milford Nissan</t>
  </si>
  <si>
    <t>2019-PAS-NIS-ALTM-004-16</t>
  </si>
  <si>
    <t>PAS-NIS-ALTM-004</t>
  </si>
  <si>
    <t xml:space="preserve">2.5S </t>
  </si>
  <si>
    <t>2019-PAS-NIS-ALTM-001-07</t>
  </si>
  <si>
    <t>PAS-NIS-ALTM-001</t>
  </si>
  <si>
    <t>2019-PAS-NIS-ALTM-005-07</t>
  </si>
  <si>
    <t>PAS-NIS-ALTM-005</t>
  </si>
  <si>
    <t>2.5SV</t>
  </si>
  <si>
    <t>2019-PAS-NIS-ALTM-006-16</t>
  </si>
  <si>
    <t>PAS-NIS-ALTM-006</t>
  </si>
  <si>
    <t>2.5l</t>
  </si>
  <si>
    <t>2019-PAS-NIS-ALTM-003-07</t>
  </si>
  <si>
    <t>PAS-NIS-ALTM-003</t>
  </si>
  <si>
    <t>2019-PAS-NIS-ALTM-003-16</t>
  </si>
  <si>
    <t>2019-PAS-NIS-LEAF-002-07</t>
  </si>
  <si>
    <t>PAS-NIS-LEAF-002</t>
  </si>
  <si>
    <t>Leaf</t>
  </si>
  <si>
    <t>110 kW Electric</t>
  </si>
  <si>
    <t>40kWh w/QkChrg</t>
  </si>
  <si>
    <t>151 mi range</t>
  </si>
  <si>
    <t>2019-PAS-NIS-LEAF-001-16</t>
  </si>
  <si>
    <t>PAS-NIS-LEAF-001</t>
  </si>
  <si>
    <t>2019-PAS-NIS-LEAF-003-07</t>
  </si>
  <si>
    <t>PAS-NIS-LEAF-003</t>
  </si>
  <si>
    <t>SL</t>
  </si>
  <si>
    <t>SV</t>
  </si>
  <si>
    <t>2019-PAS-NIS-LEAF-002-16</t>
  </si>
  <si>
    <t>2019-PAS-NIS-SNTR-001-07</t>
  </si>
  <si>
    <t>PAS-NIS-SNTR-001</t>
  </si>
  <si>
    <t>Sentra</t>
  </si>
  <si>
    <t>S (CVT)</t>
  </si>
  <si>
    <t>2019-PAS-NIS-SNTR-001-16</t>
  </si>
  <si>
    <t>2019-PAS-NIS-VERS-001-07</t>
  </si>
  <si>
    <t>PAS-NIS-VERS-001</t>
  </si>
  <si>
    <t>Versa</t>
  </si>
  <si>
    <t>S Plus (CVT)</t>
  </si>
  <si>
    <t>2019-PAS-NIS-VERS-001-16</t>
  </si>
  <si>
    <t>2018-PAS-SMT-FR2C-001-10</t>
  </si>
  <si>
    <t>PAS-SMT-FR2C-001</t>
  </si>
  <si>
    <t>Flagship Motorcars of Lynnfield</t>
  </si>
  <si>
    <t>smart</t>
  </si>
  <si>
    <t>Fortwo Electric Drive Coupe</t>
  </si>
  <si>
    <t>Passion</t>
  </si>
  <si>
    <t>CE 453</t>
  </si>
  <si>
    <t>P10</t>
  </si>
  <si>
    <t>63 Miles City</t>
  </si>
  <si>
    <t>2018-PAS-SMT-FR2C-002-10</t>
  </si>
  <si>
    <t>PAS-SMT-FR2C-002</t>
  </si>
  <si>
    <t>Prime</t>
  </si>
  <si>
    <t>P11</t>
  </si>
  <si>
    <t>2018-PAS-SMT-FR2C-003-10</t>
  </si>
  <si>
    <t>PAS-SMT-FR2C-003</t>
  </si>
  <si>
    <t>Pure</t>
  </si>
  <si>
    <t>2019-PAS-TOY-CMRY-001-12</t>
  </si>
  <si>
    <t>PAS-TOY-CMRY-001</t>
  </si>
  <si>
    <t>Harr Toyota</t>
  </si>
  <si>
    <t>Toyota</t>
  </si>
  <si>
    <t>Camry</t>
  </si>
  <si>
    <t>Hybrid LE</t>
  </si>
  <si>
    <t>NA</t>
  </si>
  <si>
    <t>2019-PAS-TOY-CMRY-003-12</t>
  </si>
  <si>
    <t>PAS-TOY-CMRY-003</t>
  </si>
  <si>
    <t>L</t>
  </si>
  <si>
    <t>2019-PAS-TOY-CMRY-002-12</t>
  </si>
  <si>
    <t>PAS-TOY-CMRY-002</t>
  </si>
  <si>
    <t>LE</t>
  </si>
  <si>
    <t>2019-PAS-TOY-CRLA-003-12</t>
  </si>
  <si>
    <t>PAS-TOY-CRLA-003</t>
  </si>
  <si>
    <t>Corolla</t>
  </si>
  <si>
    <t>2019-PAS-TOY-CRLA-002-12</t>
  </si>
  <si>
    <t>PAS-TOY-CRLA-002</t>
  </si>
  <si>
    <t>2019-PAS-TOY-CRLA-001-12</t>
  </si>
  <si>
    <t>PAS-TOY-CRLA-001</t>
  </si>
  <si>
    <t>LE Eco</t>
  </si>
  <si>
    <t>2019-PAS-TOY-PRUS-001-12</t>
  </si>
  <si>
    <t>PAS-TOY-PRUS-001</t>
  </si>
  <si>
    <t>Prius</t>
  </si>
  <si>
    <t>One</t>
  </si>
  <si>
    <t>2019-PAS-TOY-PRUS-002-12</t>
  </si>
  <si>
    <t>PAS-TOY-PRUS-002</t>
  </si>
  <si>
    <t>Two</t>
  </si>
  <si>
    <t>2019-PAS-TOY-PRUS-003-12</t>
  </si>
  <si>
    <t>PAS-TOY-PRUS-003</t>
  </si>
  <si>
    <t>Prius AWD</t>
  </si>
  <si>
    <t>2019-PAS-TOY-PRSP-001-12</t>
  </si>
  <si>
    <t>PAS-TOY-PRSP-001</t>
  </si>
  <si>
    <t>Prius Prime Plug-in</t>
  </si>
  <si>
    <t>Plug-in</t>
  </si>
  <si>
    <t>2019-PAS-TOY-YARS-001-12</t>
  </si>
  <si>
    <t>PAS-TOY-YARS-001</t>
  </si>
  <si>
    <t>Yaris</t>
  </si>
  <si>
    <t>2019-PPV-DOD-CHRG-002-04</t>
  </si>
  <si>
    <t>PPV-DOD-CHRG-002</t>
  </si>
  <si>
    <t>06-PPVs</t>
  </si>
  <si>
    <t>PPV/Full-Size PAS</t>
  </si>
  <si>
    <t>Pursuit</t>
  </si>
  <si>
    <t>5.7L</t>
  </si>
  <si>
    <t>LDEE48</t>
  </si>
  <si>
    <t>29A</t>
  </si>
  <si>
    <t>2019-PPV-DOD-CHRG-002-08</t>
  </si>
  <si>
    <t>2019-PPV-DOD-CHRG-003-04</t>
  </si>
  <si>
    <t>PPV-DOD-CHRG-003</t>
  </si>
  <si>
    <t>LDDE48</t>
  </si>
  <si>
    <t>27A</t>
  </si>
  <si>
    <t>2019-PPV-DOD-CHRG-004-04</t>
  </si>
  <si>
    <t>PPV-DOD-CHRG-004</t>
  </si>
  <si>
    <t>2019-PPV-DOD-CHRG-003-08</t>
  </si>
  <si>
    <t>2019-PPV-DOD-CHRG-004-08</t>
  </si>
  <si>
    <t>2019-PPV-FRD-FUSN-003-15</t>
  </si>
  <si>
    <t>PPV-FRD-FUSN-003</t>
  </si>
  <si>
    <t>PPV/Mid-Size PAS</t>
  </si>
  <si>
    <t>Police Responder Hybrid Sedan</t>
  </si>
  <si>
    <t>P0A</t>
  </si>
  <si>
    <t>430A</t>
  </si>
  <si>
    <t>2019-PPV-FRD-FUSN-003-26</t>
  </si>
  <si>
    <t>2019-PPV-FRD-FUSN-003-27</t>
  </si>
  <si>
    <t xml:space="preserve">Unleaded </t>
  </si>
  <si>
    <t>2019-PPV-FRD-FUSN-018-26</t>
  </si>
  <si>
    <t>PPV-FRD-FUSN-018</t>
  </si>
  <si>
    <t>Special Service Hybrid Sedan</t>
  </si>
  <si>
    <t>P0W</t>
  </si>
  <si>
    <t>910A</t>
  </si>
  <si>
    <t>2019-PPV-FRD-PISD-001-05</t>
  </si>
  <si>
    <t>PPV-FRD-PISD-001</t>
  </si>
  <si>
    <t>PI Sedan</t>
  </si>
  <si>
    <t>Ecoboost</t>
  </si>
  <si>
    <t>P2M,99T</t>
  </si>
  <si>
    <t>500A</t>
  </si>
  <si>
    <t>2019-PPV-FRD-PISD-001-27</t>
  </si>
  <si>
    <t>2019-PPV-FRD-PISD-003-05</t>
  </si>
  <si>
    <t>PPV-FRD-PISD-003</t>
  </si>
  <si>
    <t>Police Interceptor</t>
  </si>
  <si>
    <t>3.7L</t>
  </si>
  <si>
    <t>P2M,99K</t>
  </si>
  <si>
    <t>2019-PPV-FRD-PISD-003-26</t>
  </si>
  <si>
    <t>2019-PPV-FRD-PISD-003-27</t>
  </si>
  <si>
    <t>2019-PPV-FRD-PISD-004-05</t>
  </si>
  <si>
    <t>PPV-FRD-PISD-004</t>
  </si>
  <si>
    <t>P2L,998</t>
  </si>
  <si>
    <t>2019-PPV-FRD-PISD-004-26</t>
  </si>
  <si>
    <t>2019-PPV-FRD-PISD-004-27</t>
  </si>
  <si>
    <t>2019-SSV-FRD-FUSN-016-05</t>
  </si>
  <si>
    <t>SSV-FRD-FUSN-016</t>
  </si>
  <si>
    <t>05-SSVs</t>
  </si>
  <si>
    <t>SSV/Mid-Size PAS</t>
  </si>
  <si>
    <t>SSV Plug-In</t>
  </si>
  <si>
    <t>2019-SSV-FRD-FUSN-016-27</t>
  </si>
  <si>
    <t>2019-SUV-CHV-BLZR-001-11</t>
  </si>
  <si>
    <t>SUV-CHV-BLZR-001</t>
  </si>
  <si>
    <t>02-SUVs</t>
  </si>
  <si>
    <t>Blazer</t>
  </si>
  <si>
    <t>1NR26</t>
  </si>
  <si>
    <t>2019-SUV-CHV-BLZR-002-11</t>
  </si>
  <si>
    <t>SUV-CHV-BLZR-002</t>
  </si>
  <si>
    <t>1NH26</t>
  </si>
  <si>
    <t>2019-SUV-CHV-BLZR-003-11</t>
  </si>
  <si>
    <t>SUV-CHV-BLZR-003</t>
  </si>
  <si>
    <t>1NK26</t>
  </si>
  <si>
    <t>2019-SUV-CHV-BLZR-004-11</t>
  </si>
  <si>
    <t>SUV-CHV-BLZR-004</t>
  </si>
  <si>
    <t>Premier</t>
  </si>
  <si>
    <t>1NT26</t>
  </si>
  <si>
    <t>2019-SUV-CHV-BLZR-005-11</t>
  </si>
  <si>
    <t>SUV-CHV-BLZR-005</t>
  </si>
  <si>
    <t>1NM26</t>
  </si>
  <si>
    <t>2019-SUV-CHV-BLZR-006-11</t>
  </si>
  <si>
    <t>SUV-CHV-BLZR-006</t>
  </si>
  <si>
    <t>RS</t>
  </si>
  <si>
    <t>1NS26</t>
  </si>
  <si>
    <t>2019-SUV-CHV-BLZR-007-11</t>
  </si>
  <si>
    <t>SUV-CHV-BLZR-007</t>
  </si>
  <si>
    <t>1NL26</t>
  </si>
  <si>
    <t>2019-SUV-CHV-EQNX-005-11</t>
  </si>
  <si>
    <t>SUV-CHV-EQNX-005</t>
  </si>
  <si>
    <t>Equinox</t>
  </si>
  <si>
    <t>3LT</t>
  </si>
  <si>
    <t>1.6L Turbo Diesel</t>
  </si>
  <si>
    <t>1XY26</t>
  </si>
  <si>
    <t>Diesel</t>
  </si>
  <si>
    <t>2019-SUV-CHV-EQNX-001-11</t>
  </si>
  <si>
    <t>SUV-CHV-EQNX-001</t>
  </si>
  <si>
    <t>1XX26</t>
  </si>
  <si>
    <t>1LS</t>
  </si>
  <si>
    <t>2019-SUV-CHV-EQNX-001-13</t>
  </si>
  <si>
    <t>2019-SUV-CHV-EQNX-001-17</t>
  </si>
  <si>
    <t>2019-SUV-CHV-EQNX-002-11</t>
  </si>
  <si>
    <t>SUV-CHV-EQNX-002</t>
  </si>
  <si>
    <t>1XP26</t>
  </si>
  <si>
    <t>2019-SUV-CHV-EQNX-002-13</t>
  </si>
  <si>
    <t>2019-SUV-CHV-EQNX-002-17</t>
  </si>
  <si>
    <t>2019-SUV-CHV-EQNX-003-11</t>
  </si>
  <si>
    <t>SUV-CHV-EQNX-003</t>
  </si>
  <si>
    <t>2019-SUV-CHV-EQNX-003-17</t>
  </si>
  <si>
    <t>2019-SUV-CHV-EQNX-004-11</t>
  </si>
  <si>
    <t>SUV-CHV-EQNX-004</t>
  </si>
  <si>
    <t>1XR26</t>
  </si>
  <si>
    <t>2019-SUV-CHV-EQNX-004-17</t>
  </si>
  <si>
    <t>2018-SUV-FRD-ESCT-001-05</t>
  </si>
  <si>
    <t>2019-SUV-CHV-SUBN-001-11</t>
  </si>
  <si>
    <t>SUV-CHV-SUBN-001</t>
  </si>
  <si>
    <t>Suburban</t>
  </si>
  <si>
    <t>Commercial</t>
  </si>
  <si>
    <t>4WD</t>
  </si>
  <si>
    <t>5.3L</t>
  </si>
  <si>
    <t>CK15906</t>
  </si>
  <si>
    <t>2018-SUV-FRD-ESCT-001-27</t>
  </si>
  <si>
    <t>2019-SUV-CHV-SUBN-001-13</t>
  </si>
  <si>
    <t>2018-SUV-FRD-ESCT-001-15</t>
  </si>
  <si>
    <t>2019-SUV-CHV-SUBN-001-17</t>
  </si>
  <si>
    <t>2018-SUV-FRD-ESCT-001-26</t>
  </si>
  <si>
    <t>2019-SUV-CHV-SUBN-002-11</t>
  </si>
  <si>
    <t>SUV-CHV-SUBN-002</t>
  </si>
  <si>
    <t>CC15906</t>
  </si>
  <si>
    <t>2018-SUV-FRD-ESCT-004-05</t>
  </si>
  <si>
    <t>2019-SUV-CHV-SUBN-002-17</t>
  </si>
  <si>
    <t>2018-SUV-FRD-ESCT-004-27</t>
  </si>
  <si>
    <t>2019-SUV-CHV-SUBN-003-11</t>
  </si>
  <si>
    <t>SUV-CHV-SUBN-003</t>
  </si>
  <si>
    <t>2018-SUV-FRD-ESCT-004-15</t>
  </si>
  <si>
    <t>2019-SUV-CHV-SUBN-003-13</t>
  </si>
  <si>
    <t>2018-SUV-FRD-ESCT-004-26</t>
  </si>
  <si>
    <t>2019-SUV-CHV-SUBN-003-17</t>
  </si>
  <si>
    <t>2018-SUV-FRD-ESCT-002-05</t>
  </si>
  <si>
    <t>2019-SUV-CHV-SUBN-004-11</t>
  </si>
  <si>
    <t>SUV-CHV-SUBN-004</t>
  </si>
  <si>
    <t>2018-SUV-FRD-ESCT-002-27</t>
  </si>
  <si>
    <t>2019-SUV-CHV-SUBN-004-13</t>
  </si>
  <si>
    <t>2018-SUV-FRD-ESCT-002-15</t>
  </si>
  <si>
    <t>2019-SUV-CHV-SUBN-004-17</t>
  </si>
  <si>
    <t>2018-SUV-FRD-ESCT-002-26</t>
  </si>
  <si>
    <t>2019-SUV-CHV-SUBN-005-11</t>
  </si>
  <si>
    <t>SUV-CHV-SUBN-005</t>
  </si>
  <si>
    <t>2018-SUV-FRD-ESCT-003-05</t>
  </si>
  <si>
    <t>2019-SUV-CHV-SUBN-005-13</t>
  </si>
  <si>
    <t>2018-SUV-FRD-ESCT-003-27</t>
  </si>
  <si>
    <t>2019-SUV-CHV-SUBN-005-17</t>
  </si>
  <si>
    <t>2018-SUV-FRD-ESCT-003-15</t>
  </si>
  <si>
    <t>2019-SUV-CHV-SUBN-006-11</t>
  </si>
  <si>
    <t>SUV-CHV-SUBN-006</t>
  </si>
  <si>
    <t>2018-SUV-FRD-ESCT-003-26</t>
  </si>
  <si>
    <t>2019-SUV-CHV-SUBN-006-13</t>
  </si>
  <si>
    <t>2018-SUV-FRD-ESCT-005-26</t>
  </si>
  <si>
    <t>2019-SUV-CHV-SUBN-006-17</t>
  </si>
  <si>
    <t>2018-SUV-FRD-ESCT-006-26</t>
  </si>
  <si>
    <t>2019-SUV-CHV-SBN3-001-11</t>
  </si>
  <si>
    <t>SUV-CHV-SBN3-001</t>
  </si>
  <si>
    <t>HD/Full-Size</t>
  </si>
  <si>
    <t>Surburban 3500</t>
  </si>
  <si>
    <t>6.0L</t>
  </si>
  <si>
    <t>CK35906</t>
  </si>
  <si>
    <t>2018-SUV-FRD-ESCT-007-26</t>
  </si>
  <si>
    <t>2019-SUV-CHV-SBN3-001-17</t>
  </si>
  <si>
    <t>2018-SUV-FRD-EDGE-001-05</t>
  </si>
  <si>
    <t>2019-SUV-CHV-SBN3-002-11</t>
  </si>
  <si>
    <t>SUV-CHV-SBN3-002</t>
  </si>
  <si>
    <t>2018-SUV-FRD-EDGE-001-27</t>
  </si>
  <si>
    <t>2019-SUV-CHV-SBN3-002-17</t>
  </si>
  <si>
    <t>2018-SUV-FRD-EDGE-001-26</t>
  </si>
  <si>
    <t>2019-SUV-CHV-TAHO-001-11</t>
  </si>
  <si>
    <t>SUV-CHV-TAHO-001</t>
  </si>
  <si>
    <t>Tahoe</t>
  </si>
  <si>
    <t>CK15706</t>
  </si>
  <si>
    <t>2018-SUV-FRD-EDGE-002-05</t>
  </si>
  <si>
    <t>2019-SUV-CHV-TAHO-001-13</t>
  </si>
  <si>
    <t>2018-SUV-FRD-EDGE-002-27</t>
  </si>
  <si>
    <t>2019-SUV-CHV-TAHO-001-17</t>
  </si>
  <si>
    <t>2018-SUV-FRD-EDGE-002-26</t>
  </si>
  <si>
    <t>2018-SUV-FRD-EDGE-003-26</t>
  </si>
  <si>
    <t>2019-SUV-CHV-TAHO-002-11</t>
  </si>
  <si>
    <t>SUV-CHV-TAHO-002</t>
  </si>
  <si>
    <t>CC15706</t>
  </si>
  <si>
    <t>2018-SUV-FRD-EDGE-004-26</t>
  </si>
  <si>
    <t>2019-SUV-CHV-TAHO-002-17</t>
  </si>
  <si>
    <t>2018-SUV-FRD-EDGE-005-26</t>
  </si>
  <si>
    <t>2019-SUV-CHV-TAHO-003-11</t>
  </si>
  <si>
    <t>SUV-CHV-TAHO-003</t>
  </si>
  <si>
    <t>2018-SUV-FRD-EDGE-006-26</t>
  </si>
  <si>
    <t>2019-SUV-CHV-TAHO-003-13</t>
  </si>
  <si>
    <t>2018-SUV-FRD-EDGE-007-26</t>
  </si>
  <si>
    <t>2019-SUV-CHV-TAHO-003-17</t>
  </si>
  <si>
    <t>2018-SUV-FRD-ESCP-004-05</t>
  </si>
  <si>
    <t>2019-SUV-CHV-TAHO-004-11</t>
  </si>
  <si>
    <t>SUV-CHV-TAHO-004</t>
  </si>
  <si>
    <t>2018-SUV-FRD-ESCP-004-27</t>
  </si>
  <si>
    <t>2019-SUV-CHV-TAHO-004-13</t>
  </si>
  <si>
    <t>2018-SUV-FRD-ESCP-004-15</t>
  </si>
  <si>
    <t>2019-SUV-CHV-TAHO-004-17</t>
  </si>
  <si>
    <t>2018-SUV-FRD-ESCP-004-26</t>
  </si>
  <si>
    <t>2019-SUV-CHV-TAHO-005-11</t>
  </si>
  <si>
    <t>SUV-CHV-TAHO-005</t>
  </si>
  <si>
    <t>2018-SUV-FRD-ESCP-001-05</t>
  </si>
  <si>
    <t>2019-SUV-CHV-TAHO-005-13</t>
  </si>
  <si>
    <t>2018-SUV-FRD-ESCP-001-27</t>
  </si>
  <si>
    <t>2019-SUV-CHV-TAHO-005-17</t>
  </si>
  <si>
    <t>2018-SUV-FRD-ESCP-001-15</t>
  </si>
  <si>
    <t>2019-SUV-CHV-TAHO-006-11</t>
  </si>
  <si>
    <t>SUV-CHV-TAHO-006</t>
  </si>
  <si>
    <t>2018-SUV-FRD-ESCP-001-26</t>
  </si>
  <si>
    <t>2019-SUV-CHV-TAHO-006-13</t>
  </si>
  <si>
    <t>2018-SUV-FRD-ESCP-002-05</t>
  </si>
  <si>
    <t>2019-SUV-CHV-TAHO-006-17</t>
  </si>
  <si>
    <t>2018-SUV-FRD-ESCP-002-27</t>
  </si>
  <si>
    <t>2019-SUV-CHV-TRAV-001-11</t>
  </si>
  <si>
    <t>SUV-CHV-TRAV-001</t>
  </si>
  <si>
    <t>Traverse</t>
  </si>
  <si>
    <t>1NV56</t>
  </si>
  <si>
    <t>2018-SUV-FRD-ESCP-002-15</t>
  </si>
  <si>
    <t>2019-SUV-CHV-TRAV-002-11</t>
  </si>
  <si>
    <t>SUV-CHV-TRAV-002</t>
  </si>
  <si>
    <t>2018-SUV-FRD-ESCP-002-26</t>
  </si>
  <si>
    <t>2019-SUV-CHV-TRAV-001-13</t>
  </si>
  <si>
    <t>2018-SUV-FRD-ESCP-003-05</t>
  </si>
  <si>
    <t>2019-SUV-CHV-TRAV-001-17</t>
  </si>
  <si>
    <t>2018-SUV-FRD-ESCP-003-27</t>
  </si>
  <si>
    <t>2019-SUV-CHV-TRAV-002-17</t>
  </si>
  <si>
    <t>2018-SUV-FRD-ESCP-005-26</t>
  </si>
  <si>
    <t>2019-SUV-CHV-TRAV-003-11</t>
  </si>
  <si>
    <t>SUV-CHV-TRAV-003</t>
  </si>
  <si>
    <t>1NB56</t>
  </si>
  <si>
    <t>2018-SUV-FRD-ESCP-006-26</t>
  </si>
  <si>
    <t>2019-SUV-CHV-TRAV-003-17</t>
  </si>
  <si>
    <t>2018-SUV-FRD-ESCP-007-26</t>
  </si>
  <si>
    <t>2019-SUV-CHV-TRAV-004-11</t>
  </si>
  <si>
    <t>SUV-CHV-TRAV-004</t>
  </si>
  <si>
    <t>1NW56</t>
  </si>
  <si>
    <t>2018-SUV-FRD-ESCP-008-26</t>
  </si>
  <si>
    <t>2019-SUV-CHV-TRAV-004-17</t>
  </si>
  <si>
    <t>2018-SUV-FRD-EXPD-005-26</t>
  </si>
  <si>
    <t>2019-SUV-CHV-TRAX-001-11</t>
  </si>
  <si>
    <t>SUV-CHV-TRAX-001</t>
  </si>
  <si>
    <t>Trax</t>
  </si>
  <si>
    <t>1JR76</t>
  </si>
  <si>
    <t>2018-SUV-FRD-EXPD-006-26</t>
  </si>
  <si>
    <t>2019-SUV-CHV-TRAX-001-13</t>
  </si>
  <si>
    <t>2018-SUV-FRD-EXPD-013-26</t>
  </si>
  <si>
    <t>2019-SUV-CHV-TRAX-001-17</t>
  </si>
  <si>
    <t>2018-SUV-FRD-EXPD-014-26</t>
  </si>
  <si>
    <t>2019-SUV-CHV-TRAX-002-11</t>
  </si>
  <si>
    <t>SUV-CHV-TRAX-002</t>
  </si>
  <si>
    <t>1JU76</t>
  </si>
  <si>
    <t>2018-SUV-FRD-EXPD-015-26</t>
  </si>
  <si>
    <t>2019-SUV-CHV-TRAX-002-17</t>
  </si>
  <si>
    <t>2018-SUV-FRD-EXPD-016-26</t>
  </si>
  <si>
    <t>2019-SUV-DOD-DURG-008-04</t>
  </si>
  <si>
    <t>SUV-DOD-DURG-008</t>
  </si>
  <si>
    <t>Durango</t>
  </si>
  <si>
    <t>WDEH75</t>
  </si>
  <si>
    <t>2BD</t>
  </si>
  <si>
    <t>2018-SUV-FRD-EXPD-009-26</t>
  </si>
  <si>
    <t>2019-SUV-DOD-DURG-005-04</t>
  </si>
  <si>
    <t>SUV-DOD-DURG-005</t>
  </si>
  <si>
    <t>WDEL75</t>
  </si>
  <si>
    <t>2BA</t>
  </si>
  <si>
    <t>2018-SUV-FRD-EXPD-010-26</t>
  </si>
  <si>
    <t>2019-SUV-DOD-DURG-005-08</t>
  </si>
  <si>
    <t>2018-SUV-FRD-EXPD-011-26</t>
  </si>
  <si>
    <t>2019-SUV-DOD-DURG-006-04</t>
  </si>
  <si>
    <t>SUV-DOD-DURG-006</t>
  </si>
  <si>
    <t>WDDL75</t>
  </si>
  <si>
    <t>2018-SUV-FRD-EXPD-012-26</t>
  </si>
  <si>
    <t>2019-SUV-DOD-DURG-007-04</t>
  </si>
  <si>
    <t>SUV-DOD-DURG-007</t>
  </si>
  <si>
    <t>2BB w/AMM</t>
  </si>
  <si>
    <t>2018-SUV-FRD-EXPD-007-26</t>
  </si>
  <si>
    <t>2019-SUV-DOD-DURG-006-08</t>
  </si>
  <si>
    <t>2018-SUV-FRD-EXPD-008-26</t>
  </si>
  <si>
    <t>2019-SUV-DOD-DURG-007-08</t>
  </si>
  <si>
    <t>2018-SUV-FRD-EXPD-001-05</t>
  </si>
  <si>
    <t>2019-SUV-DOD-JRNY-001-04</t>
  </si>
  <si>
    <t>SUV-DOD-JRNY-001</t>
  </si>
  <si>
    <t>Journey</t>
  </si>
  <si>
    <t>JCEE49</t>
  </si>
  <si>
    <t>28A</t>
  </si>
  <si>
    <t>2018-SUV-FRD-EXPD-001-27</t>
  </si>
  <si>
    <t>2019-SUV-DOD-JRNY-001-08</t>
  </si>
  <si>
    <t>2018-SUV-FRD-EXPD-001-15</t>
  </si>
  <si>
    <t>2019-SUV-DOD-JRNY-002-04</t>
  </si>
  <si>
    <t>SUV-DOD-JRNY-002</t>
  </si>
  <si>
    <t>JCDE49</t>
  </si>
  <si>
    <t>2018-SUV-FRD-EXPD-001-26</t>
  </si>
  <si>
    <t>2019-SUV-DOD-JRNY-002-08</t>
  </si>
  <si>
    <t>22A</t>
  </si>
  <si>
    <t>2018-SUV-FRD-EXPD-002-05</t>
  </si>
  <si>
    <t>2019-SUV-FRD-ESCT-008-05</t>
  </si>
  <si>
    <t>SUV-FRD-ESCT-008</t>
  </si>
  <si>
    <t>Ecosport</t>
  </si>
  <si>
    <t>S3F</t>
  </si>
  <si>
    <t>2018-SUV-FRD-EXPD-002-27</t>
  </si>
  <si>
    <t>2019-SUV-FRD-ESCT-008-27</t>
  </si>
  <si>
    <t>2018-SUV-FRD-EXPD-002-15</t>
  </si>
  <si>
    <t>2019-SUV-FRD-ESCT-001-15</t>
  </si>
  <si>
    <t>SUV-FRD-ESCT-001</t>
  </si>
  <si>
    <t>P1S</t>
  </si>
  <si>
    <t>2018-SUV-FRD-EXPD-002-26</t>
  </si>
  <si>
    <t>2019-SUV-FRD-ESCT-009-26</t>
  </si>
  <si>
    <t>SUV-FRD-ESCT-009</t>
  </si>
  <si>
    <t>2018-SUV-FRD-EXPD-003-05</t>
  </si>
  <si>
    <t>2019-SUV-FRD-ESCT-015-05</t>
  </si>
  <si>
    <t>SUV-FRD-ESCT-015</t>
  </si>
  <si>
    <t>1.0L Ecoboost</t>
  </si>
  <si>
    <t>S2F</t>
  </si>
  <si>
    <t>2018-SUV-FRD-EXPD-003-27</t>
  </si>
  <si>
    <t>2019-SUV-FRD-ESCT-004-15</t>
  </si>
  <si>
    <t>SUV-FRD-ESCT-004</t>
  </si>
  <si>
    <t>P1R</t>
  </si>
  <si>
    <t>2018-SUV-FRD-EXPD-003-15</t>
  </si>
  <si>
    <t>2019-SUV-FRD-ESCT-015-26</t>
  </si>
  <si>
    <t>2018-SUV-FRD-EXPD-003-26</t>
  </si>
  <si>
    <t>2019-SUV-FRD-ESCT-015-27</t>
  </si>
  <si>
    <t>2018-SUV-FRD-EXPD-004-05</t>
  </si>
  <si>
    <t>2019-SUV-FRD-ESCT-010-05</t>
  </si>
  <si>
    <t>SUV-FRD-ESCT-010</t>
  </si>
  <si>
    <t>S3G</t>
  </si>
  <si>
    <t>2018-SUV-FRD-EXPD-004-27</t>
  </si>
  <si>
    <t>2019-SUV-FRD-ESCT-010-27</t>
  </si>
  <si>
    <t>2018-SUV-FRD-EXPD-004-15</t>
  </si>
  <si>
    <t>2019-SUV-FRD-ESCT-002-15</t>
  </si>
  <si>
    <t>SUV-FRD-ESCT-002</t>
  </si>
  <si>
    <t>P1U</t>
  </si>
  <si>
    <t>2018-SUV-FRD-EXPD-004-26</t>
  </si>
  <si>
    <t>2019-SUV-FRD-ESCT-011-26</t>
  </si>
  <si>
    <t>SUV-FRD-ESCT-011</t>
  </si>
  <si>
    <t>2018-SUV-FRD-EXPL-001-05</t>
  </si>
  <si>
    <t>2019-SUV-FRD-ESCT-012-05</t>
  </si>
  <si>
    <t>SUV-FRD-ESCT-012</t>
  </si>
  <si>
    <t>S2G</t>
  </si>
  <si>
    <t>2018-SUV-FRD-EXPL-001-27</t>
  </si>
  <si>
    <t>2019-SUV-FRD-ESCT-003-15</t>
  </si>
  <si>
    <t>SUV-FRD-ESCT-003</t>
  </si>
  <si>
    <t>P1T</t>
  </si>
  <si>
    <t>2018-SUV-FRD-EXPL-001-26</t>
  </si>
  <si>
    <t>2019-SUV-FRD-ESCT-012-26</t>
  </si>
  <si>
    <t>2018-SUV-FRD-EXPL-001-15</t>
  </si>
  <si>
    <t>2019-SUV-FRD-ESCT-012-27</t>
  </si>
  <si>
    <t>2018-SUV-FRD-EXPL-002-05</t>
  </si>
  <si>
    <t>2019-SUV-FRD-ESCT-013-05</t>
  </si>
  <si>
    <t>SUV-FRD-ESCT-013</t>
  </si>
  <si>
    <t>SES</t>
  </si>
  <si>
    <t>S3J</t>
  </si>
  <si>
    <t>2018-SUV-FRD-EXPL-002-27</t>
  </si>
  <si>
    <t>2019-SUV-FRD-ESCT-013-27</t>
  </si>
  <si>
    <t>2018-SUV-FRD-EXPL-002-26</t>
  </si>
  <si>
    <t>2019-SUV-FRD-ESCT-005-15</t>
  </si>
  <si>
    <t>SUV-FRD-ESCT-005</t>
  </si>
  <si>
    <t>P1C</t>
  </si>
  <si>
    <t>2018-SUV-FRD-EXPL-002-15</t>
  </si>
  <si>
    <t>2019-SUV-FRD-ESCT-014-26</t>
  </si>
  <si>
    <t>SUV-FRD-ESCT-014</t>
  </si>
  <si>
    <t>2018-SUV-FRD-EXPL-005-26</t>
  </si>
  <si>
    <t>2019-SUV-FRD-ESCT-016-05</t>
  </si>
  <si>
    <t>SUV-FRD-ESCT-016</t>
  </si>
  <si>
    <t>S3K</t>
  </si>
  <si>
    <t>2018-SUV-FRD-EXPL-006-26</t>
  </si>
  <si>
    <t>2019-SUV-FRD-ESCT-016-27</t>
  </si>
  <si>
    <t>2018-SUV-FRD-EXPL-007-26</t>
  </si>
  <si>
    <t>2019-SUV-FRD-ESCT-006-15</t>
  </si>
  <si>
    <t>SUV-FRD-ESCT-006</t>
  </si>
  <si>
    <t>P1W</t>
  </si>
  <si>
    <t>2018-SUV-FRD-EXPL-008-26</t>
  </si>
  <si>
    <t>2019-SUV-FRD-ESCT-017-26</t>
  </si>
  <si>
    <t>SUV-FRD-ESCT-017</t>
  </si>
  <si>
    <t>2018-SUV-FRD-EXPL-003-05</t>
  </si>
  <si>
    <t>2019-SUV-FRD-ESCT-018-05</t>
  </si>
  <si>
    <t>SUV-FRD-ESCT-018</t>
  </si>
  <si>
    <t>S2K</t>
  </si>
  <si>
    <t>2018-SUV-FRD-EXPL-003-27</t>
  </si>
  <si>
    <t>2019-SUV-FRD-ESCT-007-15</t>
  </si>
  <si>
    <t>SUV-FRD-ESCT-007</t>
  </si>
  <si>
    <t>P1V</t>
  </si>
  <si>
    <t>2018-SUV-FRD-EXPL-003-26</t>
  </si>
  <si>
    <t>2019-SUV-FRD-ESCT-018-26</t>
  </si>
  <si>
    <t>2018-SUV-FRD-EXPL-003-15</t>
  </si>
  <si>
    <t>2019-SUV-FRD-ESCT-018-27</t>
  </si>
  <si>
    <t>2018-SUV-FRD-EXPL-004-05</t>
  </si>
  <si>
    <t>2019-SUV-FRD-EDGE-001-05</t>
  </si>
  <si>
    <t>SUV-FRD-EDGE-001</t>
  </si>
  <si>
    <t>Edge</t>
  </si>
  <si>
    <t>2.0L EcoBoost</t>
  </si>
  <si>
    <t>K4G</t>
  </si>
  <si>
    <t>2018-SUV-FRD-EXPL-004-27</t>
  </si>
  <si>
    <t>2019-SUV-FRD-EDGE-001-15</t>
  </si>
  <si>
    <t>2018-SUV-FRD-EXPL-004-26</t>
  </si>
  <si>
    <t>2019-SUV-FRD-EDGE-001-26</t>
  </si>
  <si>
    <t>2018-SUV-FRD-EXPL-004-15</t>
  </si>
  <si>
    <t>2019-SUV-FRD-EDGE-001-27</t>
  </si>
  <si>
    <t>2019-SUV-FRD-EDGE-002-05</t>
  </si>
  <si>
    <t>SUV-FRD-EDGE-002</t>
  </si>
  <si>
    <t>K3G</t>
  </si>
  <si>
    <t>2019-SUV-FRD-EDGE-002-15</t>
  </si>
  <si>
    <t>2019-SUV-FRD-EDGE-002-26</t>
  </si>
  <si>
    <t>2019-SUV-FRD-EDGE-002-27</t>
  </si>
  <si>
    <t>2019-SUV-FRD-EDGE-003-05</t>
  </si>
  <si>
    <t>SUV-FRD-EDGE-003</t>
  </si>
  <si>
    <t>2.0L Ecoboost</t>
  </si>
  <si>
    <t>K4J</t>
  </si>
  <si>
    <t>2019-SUV-FRD-EDGE-003-15</t>
  </si>
  <si>
    <t>2019-SUV-FRD-EDGE-003-26</t>
  </si>
  <si>
    <t>2019-SUV-FRD-EDGE-003-27</t>
  </si>
  <si>
    <t>2019-SUV-FRD-EDGE-004-05</t>
  </si>
  <si>
    <t>SUV-FRD-EDGE-004</t>
  </si>
  <si>
    <t>K3J</t>
  </si>
  <si>
    <t>2019-SUV-FRD-EDGE-004-15</t>
  </si>
  <si>
    <t>2019-SUV-FRD-EDGE-004-26</t>
  </si>
  <si>
    <t>2019-SUV-FRD-EDGE-004-27</t>
  </si>
  <si>
    <t>2019-SUV-FRD-EDGE-005-15</t>
  </si>
  <si>
    <t>SUV-FRD-EDGE-005</t>
  </si>
  <si>
    <t>K4A</t>
  </si>
  <si>
    <t>2019-SUV-FRD-EDGE-008-26</t>
  </si>
  <si>
    <t>SUV-FRD-EDGE-008</t>
  </si>
  <si>
    <t>2019-SUV-FRD-EDGE-008-05</t>
  </si>
  <si>
    <t>ST</t>
  </si>
  <si>
    <t>2019-SUV-FRD-EDGE-008-27</t>
  </si>
  <si>
    <t>2019-SUV-FRD-EDGE-006-05</t>
  </si>
  <si>
    <t>SUV-FRD-EDGE-006</t>
  </si>
  <si>
    <t>K4K</t>
  </si>
  <si>
    <t>2019-SUV-FRD-EDGE-006-15</t>
  </si>
  <si>
    <t>2019-SUV-FRD-EDGE-006-26</t>
  </si>
  <si>
    <t>2019-SUV-FRD-EDGE-006-27</t>
  </si>
  <si>
    <t>2019-SUV-FRD-EDGE-007-05</t>
  </si>
  <si>
    <t>SUV-FRD-EDGE-007</t>
  </si>
  <si>
    <t>K3K</t>
  </si>
  <si>
    <t>2019-SUV-FRD-EDGE-007-15</t>
  </si>
  <si>
    <t>2019-SUV-FRD-EDGE-007-26</t>
  </si>
  <si>
    <t>2019-SUV-FRD-EDGE-007-27</t>
  </si>
  <si>
    <t>2019-SUV-FRD-ESCP-004-05</t>
  </si>
  <si>
    <t>SUV-FRD-ESCP-004</t>
  </si>
  <si>
    <t>Escape</t>
  </si>
  <si>
    <t>U0F</t>
  </si>
  <si>
    <t>2019-SUV-FRD-ESCP-004-15</t>
  </si>
  <si>
    <t>2019-SUV-FRD-ESCP-004-26</t>
  </si>
  <si>
    <t>2019-SUV-FRD-ESCP-004-27</t>
  </si>
  <si>
    <t>2019-SUV-FRD-ESCP-001-05</t>
  </si>
  <si>
    <t>SUV-FRD-ESCP-001</t>
  </si>
  <si>
    <t>U9G</t>
  </si>
  <si>
    <t>2019-SUV-FRD-ESCP-001-15</t>
  </si>
  <si>
    <t>2019-SUV-FRD-ESCP-001-26</t>
  </si>
  <si>
    <t>2019-SUV-FRD-ESCP-001-27</t>
  </si>
  <si>
    <t>2019-SUV-FRD-ESCP-002-05</t>
  </si>
  <si>
    <t>SUV-FRD-ESCP-002</t>
  </si>
  <si>
    <t>U0G</t>
  </si>
  <si>
    <t>2019-SUV-FRD-ESCP-002-15</t>
  </si>
  <si>
    <t>2019-SUV-FRD-ESCP-002-26</t>
  </si>
  <si>
    <t>2019-SUV-FRD-ESCP-002-27</t>
  </si>
  <si>
    <t>2019-SUV-FRD-ESCP-003-05</t>
  </si>
  <si>
    <t>SUV-FRD-ESCP-003</t>
  </si>
  <si>
    <t>U9H</t>
  </si>
  <si>
    <t>2019-SUV-FRD-ESCP-009-05</t>
  </si>
  <si>
    <t>SUV-FRD-ESCP-009</t>
  </si>
  <si>
    <t>2019-SUV-FRD-ESCP-003-15</t>
  </si>
  <si>
    <t>2019-SUV-FRD-ESCP-003-26</t>
  </si>
  <si>
    <t>2019-SUV-FRD-ESCP-003-27</t>
  </si>
  <si>
    <t>2019-SUV-FRD-ESCP-009-27</t>
  </si>
  <si>
    <t>2019-SUV-FRD-ESCP-010-26</t>
  </si>
  <si>
    <t>SUV-FRD-ESCP-010</t>
  </si>
  <si>
    <t>U0H</t>
  </si>
  <si>
    <t>2019-SUV-FRD-ESCP-012-05</t>
  </si>
  <si>
    <t>SUV-FRD-ESCP-012</t>
  </si>
  <si>
    <t>U9J</t>
  </si>
  <si>
    <t>2019-SUV-FRD-ESCP-007-15</t>
  </si>
  <si>
    <t>SUV-FRD-ESCP-007</t>
  </si>
  <si>
    <t>2019-SUV-FRD-ESCP-011-26</t>
  </si>
  <si>
    <t>SUV-FRD-ESCP-011</t>
  </si>
  <si>
    <t>2019-SUV-FRD-ESCP-012-27</t>
  </si>
  <si>
    <t>2019-SUV-FRD-ESCP-014-05</t>
  </si>
  <si>
    <t>SUV-FRD-ESCP-014</t>
  </si>
  <si>
    <t>U0J</t>
  </si>
  <si>
    <t>2019-SUV-FRD-ESCP-008-15</t>
  </si>
  <si>
    <t>SUV-FRD-ESCP-008</t>
  </si>
  <si>
    <t>2019-SUV-FRD-ESCP-013-26</t>
  </si>
  <si>
    <t>SUV-FRD-ESCP-013</t>
  </si>
  <si>
    <t>2019-SUV-FRD-ESCP-014-27</t>
  </si>
  <si>
    <t>2019-SUV-FRD-EXPD-005-05</t>
  </si>
  <si>
    <t>SUV-FRD-EXPD-005</t>
  </si>
  <si>
    <t>Expedition</t>
  </si>
  <si>
    <t>U2A</t>
  </si>
  <si>
    <t>2019-SUV-FRD-EXPD-005-15</t>
  </si>
  <si>
    <t>2019-SUV-FRD-EXPD-005-26</t>
  </si>
  <si>
    <t>2019-SUV-FRD-EXPD-005-27</t>
  </si>
  <si>
    <t>2019-SUV-FRD-EXPD-006-05</t>
  </si>
  <si>
    <t>SUV-FRD-EXPD-006</t>
  </si>
  <si>
    <t>U1K</t>
  </si>
  <si>
    <t>2019-SUV-FRD-EXPD-006-15</t>
  </si>
  <si>
    <t>2019-SUV-FRD-EXPD-006-26</t>
  </si>
  <si>
    <t>2019-SUV-FRD-EXPD-006-27</t>
  </si>
  <si>
    <t>2019-SUV-FRD-EXPD-013-05</t>
  </si>
  <si>
    <t>SUV-FRD-EXPD-013</t>
  </si>
  <si>
    <t>MAX Limited</t>
  </si>
  <si>
    <t>K2A</t>
  </si>
  <si>
    <t>2019-SUV-FRD-EXPD-013-15</t>
  </si>
  <si>
    <t>2019-SUV-FRD-EXPD-013-26</t>
  </si>
  <si>
    <t>2019-SUV-FRD-EXPD-013-27</t>
  </si>
  <si>
    <t>2019-SUV-FRD-EXPD-014-05</t>
  </si>
  <si>
    <t>SUV-FRD-EXPD-014</t>
  </si>
  <si>
    <t>K1K</t>
  </si>
  <si>
    <t>2019-SUV-FRD-EXPD-014-15</t>
  </si>
  <si>
    <t>2019-SUV-FRD-EXPD-014-26</t>
  </si>
  <si>
    <t>2019-SUV-FRD-EXPD-014-27</t>
  </si>
  <si>
    <t>2019-SUV-FRD-EXPD-015-05</t>
  </si>
  <si>
    <t>SUV-FRD-EXPD-015</t>
  </si>
  <si>
    <t>MAX Platinum</t>
  </si>
  <si>
    <t>K1M</t>
  </si>
  <si>
    <t>2019-SUV-FRD-EXPD-015-15</t>
  </si>
  <si>
    <t>2019-SUV-FRD-EXPD-015-26</t>
  </si>
  <si>
    <t>2019-SUV-FRD-EXPD-015-27</t>
  </si>
  <si>
    <t>2019-SUV-FRD-EXPD-016-05</t>
  </si>
  <si>
    <t>SUV-FRD-EXPD-016</t>
  </si>
  <si>
    <t>K1L</t>
  </si>
  <si>
    <t>2019-SUV-FRD-EXPD-016-15</t>
  </si>
  <si>
    <t>2019-SUV-FRD-EXPD-016-26</t>
  </si>
  <si>
    <t>2019-SUV-FRD-EXPD-016-27</t>
  </si>
  <si>
    <t>2019-SUV-FRD-EXPD-009-05</t>
  </si>
  <si>
    <t>SUV-FRD-EXPD-009</t>
  </si>
  <si>
    <t>MAX XL</t>
  </si>
  <si>
    <t>K1G</t>
  </si>
  <si>
    <t>2019-SUV-FRD-EXPD-009-15</t>
  </si>
  <si>
    <t>2019-SUV-FRD-EXPD-009-26</t>
  </si>
  <si>
    <t>2019-SUV-FRD-EXPD-009-27</t>
  </si>
  <si>
    <t>2019-SUV-FRD-EXPD-010-05</t>
  </si>
  <si>
    <t>SUV-FRD-EXPD-010</t>
  </si>
  <si>
    <t>K1F</t>
  </si>
  <si>
    <t>2019-SUV-FRD-EXPD-010-15</t>
  </si>
  <si>
    <t>2019-SUV-FRD-EXPD-010-26</t>
  </si>
  <si>
    <t>2019-SUV-FRD-EXPD-010-27</t>
  </si>
  <si>
    <t>2019-SUV-FRD-EXPD-011-05</t>
  </si>
  <si>
    <t>SUV-FRD-EXPD-011</t>
  </si>
  <si>
    <t>MAX XLT</t>
  </si>
  <si>
    <t>K1J</t>
  </si>
  <si>
    <t>2019-SUV-FRD-EXPD-011-15</t>
  </si>
  <si>
    <t>2019-SUV-FRD-EXPD-011-26</t>
  </si>
  <si>
    <t>2019-SUV-FRD-EXPD-011-27</t>
  </si>
  <si>
    <t>2019-SUV-FRD-EXPD-012-05</t>
  </si>
  <si>
    <t>SUV-FRD-EXPD-012</t>
  </si>
  <si>
    <t>K1H</t>
  </si>
  <si>
    <t>2019-SUV-FRD-EXPD-012-15</t>
  </si>
  <si>
    <t>2019-SUV-FRD-EXPD-012-26</t>
  </si>
  <si>
    <t>2019-SUV-FRD-EXPD-012-27</t>
  </si>
  <si>
    <t>2019-SUV-FRD-EXPD-007-05</t>
  </si>
  <si>
    <t>SUV-FRD-EXPD-007</t>
  </si>
  <si>
    <t>Platinum</t>
  </si>
  <si>
    <t>U1M</t>
  </si>
  <si>
    <t>2019-SUV-FRD-EXPD-007-15</t>
  </si>
  <si>
    <t>2019-SUV-FRD-EXPD-007-26</t>
  </si>
  <si>
    <t>2019-SUV-FRD-EXPD-007-27</t>
  </si>
  <si>
    <t>2019-SUV-FRD-EXPD-008-05</t>
  </si>
  <si>
    <t>SUV-FRD-EXPD-008</t>
  </si>
  <si>
    <t>U1L</t>
  </si>
  <si>
    <t>2019-SUV-FRD-EXPD-008-15</t>
  </si>
  <si>
    <t>2019-SUV-FRD-EXPD-008-26</t>
  </si>
  <si>
    <t>2019-SUV-FRD-EXPD-008-27</t>
  </si>
  <si>
    <t>2019-SUV-FRD-EXPD-001-05</t>
  </si>
  <si>
    <t>SUV-FRD-EXPD-001</t>
  </si>
  <si>
    <t>XL</t>
  </si>
  <si>
    <t>U1G</t>
  </si>
  <si>
    <t>2019-SUV-FRD-EXPD-001-15</t>
  </si>
  <si>
    <t>2019-SUV-FRD-EXPD-001-26</t>
  </si>
  <si>
    <t>2019-SUV-FRD-EXPD-001-27</t>
  </si>
  <si>
    <t>2019-SUV-FRD-EXPD-002-05</t>
  </si>
  <si>
    <t>SUV-FRD-EXPD-002</t>
  </si>
  <si>
    <t>U1F</t>
  </si>
  <si>
    <t>2019-SUV-FRD-EXPD-002-15</t>
  </si>
  <si>
    <t>2019-SUV-FRD-EXPD-002-26</t>
  </si>
  <si>
    <t>2019-SUV-FRD-EXPD-002-27</t>
  </si>
  <si>
    <t>2019-SUV-FRD-EXPD-003-05</t>
  </si>
  <si>
    <t>SUV-FRD-EXPD-003</t>
  </si>
  <si>
    <t>XLT</t>
  </si>
  <si>
    <t>U1J</t>
  </si>
  <si>
    <t>2019-SUV-FRD-EXPD-003-15</t>
  </si>
  <si>
    <t>2019-SUV-FRD-EXPD-003-26</t>
  </si>
  <si>
    <t>2019-SUV-FRD-EXPD-003-27</t>
  </si>
  <si>
    <t>2019-SUV-FRD-EXPD-004-05</t>
  </si>
  <si>
    <t>SUV-FRD-EXPD-004</t>
  </si>
  <si>
    <t>U1H</t>
  </si>
  <si>
    <t>2019-SUV-FRD-EXPD-004-15</t>
  </si>
  <si>
    <t>2019-SUV-FRD-EXPD-004-26</t>
  </si>
  <si>
    <t>2019-SUV-FRD-EXPD-004-27</t>
  </si>
  <si>
    <t>2019-SUV-FRD-EXPL-001-05</t>
  </si>
  <si>
    <t>SUV-FRD-EXPL-001</t>
  </si>
  <si>
    <t>Explorer</t>
  </si>
  <si>
    <t>3.5L STD</t>
  </si>
  <si>
    <t>K8B</t>
  </si>
  <si>
    <t>2019-SUV-FRD-EXPL-001-15</t>
  </si>
  <si>
    <t>2019-SUV-FRD-EXPL-001-26</t>
  </si>
  <si>
    <t>2019-SUV-FRD-EXPL-001-27</t>
  </si>
  <si>
    <t>2019-SUV-FRD-EXPL-002-05</t>
  </si>
  <si>
    <t>SUV-FRD-EXPL-002</t>
  </si>
  <si>
    <t>2.3L</t>
  </si>
  <si>
    <t>K7B</t>
  </si>
  <si>
    <t>2019-SUV-FRD-EXPL-009-05</t>
  </si>
  <si>
    <t>SUV-FRD-EXPL-009</t>
  </si>
  <si>
    <t>2019-SUV-FRD-EXPL-002-15</t>
  </si>
  <si>
    <t>2019-SUV-FRD-EXPL-009-26</t>
  </si>
  <si>
    <t>2019-SUV-FRD-EXPL-002-27</t>
  </si>
  <si>
    <t>2019-SUV-FRD-EXPL-009-27</t>
  </si>
  <si>
    <t>2019-SUV-FRD-EXPL-010-05</t>
  </si>
  <si>
    <t>SUV-FRD-EXPL-010</t>
  </si>
  <si>
    <t>2.3L Ecoboost</t>
  </si>
  <si>
    <t>K8F</t>
  </si>
  <si>
    <t>2019-SUV-FRD-EXPL-010-15</t>
  </si>
  <si>
    <t>2019-SUV-FRD-EXPL-005-26</t>
  </si>
  <si>
    <t>SUV-FRD-EXPL-005</t>
  </si>
  <si>
    <t>2019-SUV-FRD-EXPL-010-27</t>
  </si>
  <si>
    <t>2019-SUV-FRD-EXPL-006-05</t>
  </si>
  <si>
    <t>SUV-FRD-EXPL-006</t>
  </si>
  <si>
    <t>K7F</t>
  </si>
  <si>
    <t>2019-SUV-FRD-EXPL-006-15</t>
  </si>
  <si>
    <t>2019-SUV-FRD-EXPL-006-26</t>
  </si>
  <si>
    <t>2019-SUV-FRD-EXPL-006-27</t>
  </si>
  <si>
    <t>2019-SUV-FRD-EXPL-007-05</t>
  </si>
  <si>
    <t>SUV-FRD-EXPL-007</t>
  </si>
  <si>
    <t>3.5L EcoBoost</t>
  </si>
  <si>
    <t>K8H</t>
  </si>
  <si>
    <t>2019-SUV-FRD-EXPL-007-15</t>
  </si>
  <si>
    <t>2019-SUV-FRD-EXPL-007-26</t>
  </si>
  <si>
    <t>3.5L Ecoboost</t>
  </si>
  <si>
    <t>2019-SUV-FRD-EXPL-007-27</t>
  </si>
  <si>
    <t>2019-SUV-FRD-EXPL-008-05</t>
  </si>
  <si>
    <t>SUV-FRD-EXPL-008</t>
  </si>
  <si>
    <t>K8G</t>
  </si>
  <si>
    <t>2019-SUV-FRD-EXPL-008-15</t>
  </si>
  <si>
    <t>2019-SUV-FRD-EXPL-008-26</t>
  </si>
  <si>
    <t>2019-SUV-FRD-EXPL-008-27</t>
  </si>
  <si>
    <t>2019-SUV-FRD-EXPL-003-05</t>
  </si>
  <si>
    <t>SUV-FRD-EXPL-003</t>
  </si>
  <si>
    <t>K8D</t>
  </si>
  <si>
    <t>2019-SUV-FRD-EXPL-003-15</t>
  </si>
  <si>
    <t>2019-SUV-FRD-EXPL-003-26</t>
  </si>
  <si>
    <t>2019-SUV-FRD-EXPL-003-27</t>
  </si>
  <si>
    <t>2019-SUV-FRD-EXPL-004-05</t>
  </si>
  <si>
    <t>SUV-FRD-EXPL-004</t>
  </si>
  <si>
    <t>K7D</t>
  </si>
  <si>
    <t>2019-SUV-FRD-EXPL-011-05</t>
  </si>
  <si>
    <t>SUV-FRD-EXPL-011</t>
  </si>
  <si>
    <t>2019-SUV-FRD-EXPL-004-15</t>
  </si>
  <si>
    <t>2019-SUV-FRD-EXPL-011-26</t>
  </si>
  <si>
    <t>2019-SUV-FRD-EXPL-004-27</t>
  </si>
  <si>
    <t>2019-SUV-FRD-EXPL-011-27</t>
  </si>
  <si>
    <t>2019-SUV-HND-~CRV-004-06</t>
  </si>
  <si>
    <t>SUV-HND-~CRV-004</t>
  </si>
  <si>
    <t>CR-V</t>
  </si>
  <si>
    <t>EX</t>
  </si>
  <si>
    <t>RW2H5KJW</t>
  </si>
  <si>
    <t>2019-SUV-HND-~CRV-005-06</t>
  </si>
  <si>
    <t>SUV-HND-~CRV-005</t>
  </si>
  <si>
    <t>RW1H5KJW</t>
  </si>
  <si>
    <t>2019-SUV-HND-~CRV-002-06</t>
  </si>
  <si>
    <t>SUV-HND-~CRV-002</t>
  </si>
  <si>
    <t>RW6H3KEW</t>
  </si>
  <si>
    <t>2019-SUV-HND-~CRV-001-14</t>
  </si>
  <si>
    <t>SUV-HND-~CRV-001</t>
  </si>
  <si>
    <t>2019-SUV-HND-~CRV-003-06</t>
  </si>
  <si>
    <t>SUV-HND-~CRV-003</t>
  </si>
  <si>
    <t>RW5H3KEW</t>
  </si>
  <si>
    <t>2019-SUV-HND-~HRV-001-06</t>
  </si>
  <si>
    <t>SUV-HND-~HRV-001</t>
  </si>
  <si>
    <t>HR-V</t>
  </si>
  <si>
    <t>RU6H3KEW</t>
  </si>
  <si>
    <t>2019-SUV-HND-~HRV-001-14</t>
  </si>
  <si>
    <t>2019-SUV-HND-~HRV-002-06</t>
  </si>
  <si>
    <t>SUV-HND-~HRV-002</t>
  </si>
  <si>
    <t>RU5H3KEW</t>
  </si>
  <si>
    <t>2019-SUV-HND-PILT-001-06</t>
  </si>
  <si>
    <t>SUV-HND-PILT-001</t>
  </si>
  <si>
    <t>Pilot</t>
  </si>
  <si>
    <t>LX</t>
  </si>
  <si>
    <t>YF6H1KEW</t>
  </si>
  <si>
    <t>2019-SUV-HND-PILT-001-14</t>
  </si>
  <si>
    <t>2019-SUV-HND-PILT-002-06</t>
  </si>
  <si>
    <t>SUV-HND-PILT-002</t>
  </si>
  <si>
    <t>YF5H1KEW</t>
  </si>
  <si>
    <t>2019-SUV-HYD-SNTF-001-17</t>
  </si>
  <si>
    <t>SUV-HYD-SNTF-001</t>
  </si>
  <si>
    <t>Santa Fe</t>
  </si>
  <si>
    <t>3.3L</t>
  </si>
  <si>
    <t>J0412A65</t>
  </si>
  <si>
    <t>2019-SUV-HYD-SNTF-002-17</t>
  </si>
  <si>
    <t>SUV-HYD-SNTF-002</t>
  </si>
  <si>
    <t>J0412F65</t>
  </si>
  <si>
    <t>2019-SUV-HYD-TUCS-001-17</t>
  </si>
  <si>
    <t>SUV-HYD-TUCS-001</t>
  </si>
  <si>
    <t>Tucson</t>
  </si>
  <si>
    <t>84412A45</t>
  </si>
  <si>
    <t>2019-SUV-HYD-TUCS-002-17</t>
  </si>
  <si>
    <t>SUV-HYD-TUCS-002</t>
  </si>
  <si>
    <t>84412F45</t>
  </si>
  <si>
    <t>2019-SUV-JEP-CHER-001-04</t>
  </si>
  <si>
    <t>SUV-JEP-CHER-001</t>
  </si>
  <si>
    <t>Jeep</t>
  </si>
  <si>
    <t>Cherokee</t>
  </si>
  <si>
    <t>Latitude</t>
  </si>
  <si>
    <t>KLJM74</t>
  </si>
  <si>
    <t>2BJ</t>
  </si>
  <si>
    <t>2019-SUV-JEP-CHER-001-08</t>
  </si>
  <si>
    <t>2019-SUV-JEP-CHER-002-04</t>
  </si>
  <si>
    <t>SUV-JEP-CHER-002</t>
  </si>
  <si>
    <t>KLTM74</t>
  </si>
  <si>
    <t>2019-SUV-JEP-CHER-002-08</t>
  </si>
  <si>
    <t>2019-SUV-JEP-COMP-001-04</t>
  </si>
  <si>
    <t>SUV-JEP-COMP-001</t>
  </si>
  <si>
    <t>Compass</t>
  </si>
  <si>
    <t>MPJM74</t>
  </si>
  <si>
    <t>27J</t>
  </si>
  <si>
    <t>2019-SUV-JEP-COMP-001-08</t>
  </si>
  <si>
    <t>2019-SUV-JEP-COMP-002-04</t>
  </si>
  <si>
    <t>SUV-JEP-COMP-002</t>
  </si>
  <si>
    <t>MPTM74</t>
  </si>
  <si>
    <t>28J</t>
  </si>
  <si>
    <t>2019-SUV-JEP-COMP-002-08</t>
  </si>
  <si>
    <t>2019-SUV-JEP-COMP-003-04</t>
  </si>
  <si>
    <t>SUV-JEP-COMP-003</t>
  </si>
  <si>
    <t>MPJL74</t>
  </si>
  <si>
    <t>2019-SUV-JEP-COMP-003-08</t>
  </si>
  <si>
    <t>2019-SUV-JEP-COMP-004-04</t>
  </si>
  <si>
    <t>SUV-JEP-COMP-004</t>
  </si>
  <si>
    <t>MPTL74</t>
  </si>
  <si>
    <t>2019-SUV-JEP-COMP-004-08</t>
  </si>
  <si>
    <t>2019-SUV-JEP-GRCH-001-04</t>
  </si>
  <si>
    <t>SUV-JEP-GRCH-001</t>
  </si>
  <si>
    <t>Grand Cherokee</t>
  </si>
  <si>
    <t>Laredo</t>
  </si>
  <si>
    <t>WKJH74</t>
  </si>
  <si>
    <t>2019-SUV-JEP-GRCH-002-04</t>
  </si>
  <si>
    <t>SUV-JEP-GRCH-002</t>
  </si>
  <si>
    <t>2BE</t>
  </si>
  <si>
    <t>2019-SUV-JEP-GRCH-001-08</t>
  </si>
  <si>
    <t>2019-SUV-JEP-GRCH-003-04</t>
  </si>
  <si>
    <t>SUV-JEP-GRCH-003</t>
  </si>
  <si>
    <t>WKTH74</t>
  </si>
  <si>
    <t>2019-SUV-JEP-GRCH-004-04</t>
  </si>
  <si>
    <t>SUV-JEP-GRCH-004</t>
  </si>
  <si>
    <t>2019-SUV-JEP-GRCH-003-08</t>
  </si>
  <si>
    <t>2019-SUV-JEP-GRCH-006-08</t>
  </si>
  <si>
    <t>SUV-JEP-GRCH-006</t>
  </si>
  <si>
    <t>Laredo E</t>
  </si>
  <si>
    <t>2019-SUV-JEP-GRCH-007-08</t>
  </si>
  <si>
    <t>SUV-JEP-GRCH-007</t>
  </si>
  <si>
    <t>2019-SUV-JEP-GRCH-005-04</t>
  </si>
  <si>
    <t>SUV-JEP-GRCH-005</t>
  </si>
  <si>
    <t>WKJP74</t>
  </si>
  <si>
    <t>2BH</t>
  </si>
  <si>
    <t>2019-SUV-JEP-GRCH-005-08</t>
  </si>
  <si>
    <t>2019-SUV-JEP-RNGD-001-04</t>
  </si>
  <si>
    <t>SUV-JEP-RNGD-001</t>
  </si>
  <si>
    <t>Renegade</t>
  </si>
  <si>
    <t>BVJM74</t>
  </si>
  <si>
    <t>2XB</t>
  </si>
  <si>
    <t>2019-SUV-JEP-RNGD-001-08</t>
  </si>
  <si>
    <t>2019-SUV-JEP-RNGD-003-04</t>
  </si>
  <si>
    <t>SUV-JEP-RNGD-003</t>
  </si>
  <si>
    <t>BVJL74</t>
  </si>
  <si>
    <t>2XA</t>
  </si>
  <si>
    <t>2019-SUV-JEP-RNGD-002-08</t>
  </si>
  <si>
    <t>SUV-JEP-RNGD-002</t>
  </si>
  <si>
    <t>BUJL74</t>
  </si>
  <si>
    <t>2EA</t>
  </si>
  <si>
    <t>2019-SUV-JEP-WGLR-001-08</t>
  </si>
  <si>
    <t>SUV-JEP-WGLR-001</t>
  </si>
  <si>
    <t xml:space="preserve">Wrangler </t>
  </si>
  <si>
    <t>Rubicon</t>
  </si>
  <si>
    <t>JLJS72</t>
  </si>
  <si>
    <t>24R</t>
  </si>
  <si>
    <t>2019-SUV-JEP-WGLR-004-08</t>
  </si>
  <si>
    <t>SUV-JEP-WGLR-004</t>
  </si>
  <si>
    <t>Sport (Air Conidtioning)</t>
  </si>
  <si>
    <t>JLJL72</t>
  </si>
  <si>
    <t>24G</t>
  </si>
  <si>
    <t>2019-SUV-JEP-WGLR-001-04</t>
  </si>
  <si>
    <t>Wrangler JL</t>
  </si>
  <si>
    <t>2019-SUV-JEP-WGLR-003-04</t>
  </si>
  <si>
    <t>SUV-JEP-WGLR-003</t>
  </si>
  <si>
    <t>24B</t>
  </si>
  <si>
    <t>2019-SUV-JEP-WLRU-001-04</t>
  </si>
  <si>
    <t>SUV-JEP-WLRU-001</t>
  </si>
  <si>
    <t>Wrangler JL Unlimited (4DR)</t>
  </si>
  <si>
    <t>JLJS74</t>
  </si>
  <si>
    <t>2019-SUV-JEP-WLRU-002-04</t>
  </si>
  <si>
    <t>SUV-JEP-WLRU-002</t>
  </si>
  <si>
    <t xml:space="preserve">Sahara </t>
  </si>
  <si>
    <t>JLJP74</t>
  </si>
  <si>
    <t>2019-SUV-JEP-WLRU-004-04</t>
  </si>
  <si>
    <t>SUV-JEP-WLRU-004</t>
  </si>
  <si>
    <t xml:space="preserve">Sport </t>
  </si>
  <si>
    <t>JLJL74</t>
  </si>
  <si>
    <t>2019-SUV-JEP-WLRU-001-08</t>
  </si>
  <si>
    <t>Wrangler Unlimited (4DR)</t>
  </si>
  <si>
    <t>2019-SUV-JEP-WLRU-002-08</t>
  </si>
  <si>
    <t>2019-SUV-JEP-WLRU-004-08</t>
  </si>
  <si>
    <t>24U</t>
  </si>
  <si>
    <t>2019-SUV-NIS-KIKS-001-07</t>
  </si>
  <si>
    <t>SUV-NIS-KIKS-001</t>
  </si>
  <si>
    <t>Kicks</t>
  </si>
  <si>
    <t>2019-SUV-NIS-KIKS-002-16</t>
  </si>
  <si>
    <t>SUV-NIS-KIKS-002</t>
  </si>
  <si>
    <t>2019-SUV-NIS-KIKS-003-07</t>
  </si>
  <si>
    <t>SUV-NIS-KIKS-003</t>
  </si>
  <si>
    <t>2019-SUV-NIS-KIKS-004-16</t>
  </si>
  <si>
    <t>SUV-NIS-KIKS-004</t>
  </si>
  <si>
    <t>2019-SUV-NIS-MRNO-001-16</t>
  </si>
  <si>
    <t>SUV-NIS-MRNO-001</t>
  </si>
  <si>
    <t>Murano</t>
  </si>
  <si>
    <t>2019-SUV-NIS-MRNO-002-16</t>
  </si>
  <si>
    <t>SUV-NIS-MRNO-002</t>
  </si>
  <si>
    <t>2019-SUV-NIS-PFDR-001-07</t>
  </si>
  <si>
    <t>SUV-NIS-PFDR-001</t>
  </si>
  <si>
    <t>Pathfinder</t>
  </si>
  <si>
    <t>2019-SUV-NIS-PFDR-002-07</t>
  </si>
  <si>
    <t>SUV-NIS-PFDR-002</t>
  </si>
  <si>
    <t>2019-SUV-NIS-PFDR-002-16</t>
  </si>
  <si>
    <t>2019-SUV-NIS-PFDR-003-07</t>
  </si>
  <si>
    <t>SUV-NIS-PFDR-003</t>
  </si>
  <si>
    <t>2019-SUV-NIS-PFDR-004-16</t>
  </si>
  <si>
    <t>SUV-NIS-PFDR-004</t>
  </si>
  <si>
    <t>2019-SUV-NIS-ROGE-001-07</t>
  </si>
  <si>
    <t>SUV-NIS-ROGE-001</t>
  </si>
  <si>
    <t>Rogue</t>
  </si>
  <si>
    <t>2019-SUV-NIS-ROGE-001-16</t>
  </si>
  <si>
    <t>2019-SUV-NIS-ROGE-002-07</t>
  </si>
  <si>
    <t>SUV-NIS-ROGE-002</t>
  </si>
  <si>
    <t>2019-SUV-NIS-ROGE-003-07</t>
  </si>
  <si>
    <t>SUV-NIS-ROGE-003</t>
  </si>
  <si>
    <t>SL Hybrid</t>
  </si>
  <si>
    <t>2019-SUV-NIS-ROGE-004-07</t>
  </si>
  <si>
    <t>SUV-NIS-ROGE-004</t>
  </si>
  <si>
    <t>2019-SUV-NIS-ROGE-007-07</t>
  </si>
  <si>
    <t>SUV-NIS-ROGE-007</t>
  </si>
  <si>
    <t>2019-SUV-NIS-ROGE-008-07</t>
  </si>
  <si>
    <t>SUV-NIS-ROGE-008</t>
  </si>
  <si>
    <t>2019-SUV-NIS-ROGE-005-07</t>
  </si>
  <si>
    <t>SUV-NIS-ROGE-005</t>
  </si>
  <si>
    <t>SV Hybrid</t>
  </si>
  <si>
    <t>2019-SUV-NIS-ROGE-006-07</t>
  </si>
  <si>
    <t>SUV-NIS-ROGE-006</t>
  </si>
  <si>
    <t>2019-SUV-NIS-ROGS-001-07</t>
  </si>
  <si>
    <t>SUV-NIS-ROGS-001</t>
  </si>
  <si>
    <t>Rogue Sport</t>
  </si>
  <si>
    <t>2019-SUV-NIS-ROGS-001-16</t>
  </si>
  <si>
    <t>2019-SUV-NIS-ROGS-002-07</t>
  </si>
  <si>
    <t>SUV-NIS-ROGS-002</t>
  </si>
  <si>
    <t>2019-SUV-TOY-HLDR-001-12</t>
  </si>
  <si>
    <t>SUV-TOY-HLDR-001</t>
  </si>
  <si>
    <t>Highlander</t>
  </si>
  <si>
    <t>2019-SUV-TOY-HLDR-002-12</t>
  </si>
  <si>
    <t>SUV-TOY-HLDR-002</t>
  </si>
  <si>
    <t>Hybrid Limited</t>
  </si>
  <si>
    <t>2019-SUV-TOY-HLDR-003-12</t>
  </si>
  <si>
    <t>SUV-TOY-HLDR-003</t>
  </si>
  <si>
    <t>Hybrid XLE</t>
  </si>
  <si>
    <t>2019-SUV-TOY-HLDR-004-12</t>
  </si>
  <si>
    <t>SUV-TOY-HLDR-004</t>
  </si>
  <si>
    <t>2019-SUV-TOY-HLDR-005-12</t>
  </si>
  <si>
    <t>SUV-TOY-HLDR-005</t>
  </si>
  <si>
    <t>2.7L</t>
  </si>
  <si>
    <t>2019-SUV-TOY-HLDR-006-12</t>
  </si>
  <si>
    <t>SUV-TOY-HLDR-006</t>
  </si>
  <si>
    <t>XLE</t>
  </si>
  <si>
    <t>2019-SUV-TOY-RAV4-001-12</t>
  </si>
  <si>
    <t>SUV-TOY-RAV4-001</t>
  </si>
  <si>
    <t>RAV4</t>
  </si>
  <si>
    <t>LO</t>
  </si>
  <si>
    <t>2019-SUV-TOY-RAV4-002-12</t>
  </si>
  <si>
    <t>SUV-TOY-RAV4-002</t>
  </si>
  <si>
    <t>2019-SUV-TOY-RAV4-003-12</t>
  </si>
  <si>
    <t>SUV-TOY-RAV4-003</t>
  </si>
  <si>
    <t>2019-SUV-TOY-RAV4-004-12</t>
  </si>
  <si>
    <t>SUV-TOY-RAV4-004</t>
  </si>
  <si>
    <t>2019-LVN-CHV-XP25-001-11</t>
  </si>
  <si>
    <t>LVN-CHV-XP25-001</t>
  </si>
  <si>
    <t>03A-Light Duty Vans</t>
  </si>
  <si>
    <t>Cargo/Mid-Size</t>
  </si>
  <si>
    <t>Express 2500</t>
  </si>
  <si>
    <t>Cargo Van</t>
  </si>
  <si>
    <t xml:space="preserve">2.8L </t>
  </si>
  <si>
    <t>CG23705</t>
  </si>
  <si>
    <t>1WT</t>
  </si>
  <si>
    <t>BioDiesel</t>
  </si>
  <si>
    <t>2019-LVN-CHV-XP25-002-11</t>
  </si>
  <si>
    <t>LVN-CHV-XP25-002</t>
  </si>
  <si>
    <t>4.3L</t>
  </si>
  <si>
    <t>2019-LVN-CHV-XP25-003-11</t>
  </si>
  <si>
    <t>LVN-CHV-XP25-003</t>
  </si>
  <si>
    <t>CNG</t>
  </si>
  <si>
    <t>2019-LVN-CHV-XP25-004-11</t>
  </si>
  <si>
    <t>LVN-CHV-XP25-004</t>
  </si>
  <si>
    <t>2019-LVN-CHV-XP25-005-11</t>
  </si>
  <si>
    <t>LVN-CHV-XP25-005</t>
  </si>
  <si>
    <t>CG23405</t>
  </si>
  <si>
    <t>2019-LVN-CHV-XP25-007-11</t>
  </si>
  <si>
    <t>LVN-CHV-XP25-007</t>
  </si>
  <si>
    <t>2019-LVN-CHV-XP25-008-11</t>
  </si>
  <si>
    <t>LVN-CHV-XP25-008</t>
  </si>
  <si>
    <t>2019-LVN-CHV-XP25-009-11</t>
  </si>
  <si>
    <t>LVN-CHV-XP25-009</t>
  </si>
  <si>
    <t>2019-LVN-CHV-XP25-001-13</t>
  </si>
  <si>
    <t>2019-LVN-CHV-XP25-002-13</t>
  </si>
  <si>
    <t>2019-LVN-CHV-XP25-003-13</t>
  </si>
  <si>
    <t>2019-LVN-CHV-XP25-004-13</t>
  </si>
  <si>
    <t>2019-LVN-CHV-XP25-006-13</t>
  </si>
  <si>
    <t>LVN-CHV-XP25-006</t>
  </si>
  <si>
    <t>2.8L</t>
  </si>
  <si>
    <t>2019-LVN-CHV-XP25-007-13</t>
  </si>
  <si>
    <t>2019-LVN-CHV-XP25-008-13</t>
  </si>
  <si>
    <t>2019-LVN-CHV-XP25-009-13</t>
  </si>
  <si>
    <t>2019-LVN-CHV-XP25-001-17</t>
  </si>
  <si>
    <t>2019-LVN-CHV-XP25-002-17</t>
  </si>
  <si>
    <t>2019-LVN-CHV-XP25-003-17</t>
  </si>
  <si>
    <t>2019-LVN-CHV-XP25-004-17</t>
  </si>
  <si>
    <t>2019-LVN-CHV-XP25-006-17</t>
  </si>
  <si>
    <t>2019-LVN-CHV-XP25-007-17</t>
  </si>
  <si>
    <t>2019-LVN-CHV-XP25-008-17</t>
  </si>
  <si>
    <t>2019-LVN-CHV-XP25-009-17</t>
  </si>
  <si>
    <t>2019-LVN-CHV-XP25-010-11</t>
  </si>
  <si>
    <t>LVN-CHV-XP25-010</t>
  </si>
  <si>
    <t>Passenger/Mid-Size</t>
  </si>
  <si>
    <t>CG23406</t>
  </si>
  <si>
    <t>2019-LVN-CHV-XP25-010-13</t>
  </si>
  <si>
    <t>2019-LVN-CHV-XP25-010-17</t>
  </si>
  <si>
    <t>2019-LVN-CHV-XP25-011-11</t>
  </si>
  <si>
    <t>LVN-CHV-XP25-011</t>
  </si>
  <si>
    <t>2019-LVN-CHV-XP25-011-13</t>
  </si>
  <si>
    <t>2019-LVN-CHV-XP25-011-17</t>
  </si>
  <si>
    <t>2019-LVN-CHV-XP35-001-11</t>
  </si>
  <si>
    <t>LVN-CHV-XP35-001</t>
  </si>
  <si>
    <t>Cargo/Full-Size</t>
  </si>
  <si>
    <t>Express 3500</t>
  </si>
  <si>
    <t>CG33705</t>
  </si>
  <si>
    <t>2019-LVN-CHV-XP35-002-11</t>
  </si>
  <si>
    <t>LVN-CHV-XP35-002</t>
  </si>
  <si>
    <t>2019-LVN-CHV-XP35-003-11</t>
  </si>
  <si>
    <t>LVN-CHV-XP35-003</t>
  </si>
  <si>
    <t>2019-LVN-CHV-XP35-004-11</t>
  </si>
  <si>
    <t>LVN-CHV-XP35-004</t>
  </si>
  <si>
    <t>2019-LVN-CHV-XP35-005-11</t>
  </si>
  <si>
    <t>LVN-CHV-XP35-005</t>
  </si>
  <si>
    <t>CG33405</t>
  </si>
  <si>
    <t>2019-LVN-CHV-XP35-006-11</t>
  </si>
  <si>
    <t>LVN-CHV-XP35-006</t>
  </si>
  <si>
    <t>2019-LVN-CHV-XP35-007-11</t>
  </si>
  <si>
    <t>LVN-CHV-XP35-007</t>
  </si>
  <si>
    <t>2019-LVN-CHV-XP35-008-11</t>
  </si>
  <si>
    <t>LVN-CHV-XP35-008</t>
  </si>
  <si>
    <t>2019-LVN-CHV-XP35-001-13</t>
  </si>
  <si>
    <t>2019-LVN-CHV-XP35-002-13</t>
  </si>
  <si>
    <t>2019-LVN-CHV-XP35-003-13</t>
  </si>
  <si>
    <t>2019-LVN-CHV-XP35-004-13</t>
  </si>
  <si>
    <t>2019-LVN-CHV-XP35-005-13</t>
  </si>
  <si>
    <t>2019-LVN-CHV-XP35-006-13</t>
  </si>
  <si>
    <t>2019-LVN-CHV-XP35-007-13</t>
  </si>
  <si>
    <t>2019-LVN-CHV-XP35-008-13</t>
  </si>
  <si>
    <t>2019-LVN-CHV-XP35-001-17</t>
  </si>
  <si>
    <t>2019-LVN-CHV-XP35-002-17</t>
  </si>
  <si>
    <t>2019-LVN-CHV-XP35-003-17</t>
  </si>
  <si>
    <t>2019-LVN-CHV-XP35-004-17</t>
  </si>
  <si>
    <t>2019-LVN-CHV-XP35-005-17</t>
  </si>
  <si>
    <t>2019-LVN-CHV-XP35-006-17</t>
  </si>
  <si>
    <t>2019-LVN-CHV-XP35-007-17</t>
  </si>
  <si>
    <t>2019-LVN-CHV-XP35-008-17</t>
  </si>
  <si>
    <t>2019-LVN-CHV-XP35-009-11</t>
  </si>
  <si>
    <t>LVN-CHV-XP35-009</t>
  </si>
  <si>
    <t>Passenger/Full-Size</t>
  </si>
  <si>
    <t>CG33706</t>
  </si>
  <si>
    <t>2019-LVN-CHV-XP35-010-11</t>
  </si>
  <si>
    <t>LVN-CHV-XP35-010</t>
  </si>
  <si>
    <t>2019-LVN-CHV-XP35-011-11</t>
  </si>
  <si>
    <t>LVN-CHV-XP35-011</t>
  </si>
  <si>
    <t>CG33406</t>
  </si>
  <si>
    <t>2019-LVN-CHV-XP35-012-11</t>
  </si>
  <si>
    <t>LVN-CHV-XP35-012</t>
  </si>
  <si>
    <t>2019-LVN-CHV-XP35-009-13</t>
  </si>
  <si>
    <t>2019-LVN-CHV-XP35-010-13</t>
  </si>
  <si>
    <t>2019-LVN-CHV-XP35-011-13</t>
  </si>
  <si>
    <t>2019-LVN-CHV-XP35-012-13</t>
  </si>
  <si>
    <t>2019-LVN-CHV-XP35-009-17</t>
  </si>
  <si>
    <t>2019-LVN-CHV-XP35-010-17</t>
  </si>
  <si>
    <t>2019-LVN-CHV-XP35-011-17</t>
  </si>
  <si>
    <t>2019-LVN-CHV-XP35-012-17</t>
  </si>
  <si>
    <t>2019-LVN-CHV-XP35-013-11</t>
  </si>
  <si>
    <t>LVN-CHV-XP35-013</t>
  </si>
  <si>
    <t>2019-LVN-CHV-XP35-014-11</t>
  </si>
  <si>
    <t>LVN-CHV-XP35-014</t>
  </si>
  <si>
    <t>2019-LVN-CHV-XP35-015-11</t>
  </si>
  <si>
    <t>LVN-CHV-XP35-015</t>
  </si>
  <si>
    <t>2019-LVN-CHV-XP35-016-11</t>
  </si>
  <si>
    <t>LVN-CHV-XP35-016</t>
  </si>
  <si>
    <t>2019-LVN-CHV-XP35-017-11</t>
  </si>
  <si>
    <t>LVN-CHV-XP35-017</t>
  </si>
  <si>
    <t>4.8L</t>
  </si>
  <si>
    <t>2019-LVN-CHV-XP35-013-13</t>
  </si>
  <si>
    <t>2019-LVN-CHV-XP35-014-13</t>
  </si>
  <si>
    <t>2019-LVN-CHV-XP35-015-13</t>
  </si>
  <si>
    <t>2019-LVN-CHV-XP35-016-13</t>
  </si>
  <si>
    <t>2019-LVN-CHV-XP35-013-17</t>
  </si>
  <si>
    <t>2019-LVN-CHV-XP35-014-17</t>
  </si>
  <si>
    <t>2019-LVN-CHV-XP35-015-17</t>
  </si>
  <si>
    <t>2019-LVN-CHV-XP35-016-17</t>
  </si>
  <si>
    <t>2019-LVN-CHV-XP35-017-17</t>
  </si>
  <si>
    <t>2019-LVN-CRY-PCFA-001-04</t>
  </si>
  <si>
    <t>LVN-CRY-PCFA-001</t>
  </si>
  <si>
    <t>Minivan</t>
  </si>
  <si>
    <t>Pacifica</t>
  </si>
  <si>
    <t>RUCE53</t>
  </si>
  <si>
    <t>27F</t>
  </si>
  <si>
    <t>2019-LVN-CRY-PCFA-001-08</t>
  </si>
  <si>
    <t>2019-LVN-CRY-PCFA-002-04</t>
  </si>
  <si>
    <t>LVN-CRY-PCFA-002</t>
  </si>
  <si>
    <t>RUCL53</t>
  </si>
  <si>
    <t>27E</t>
  </si>
  <si>
    <t>2019-LVN-CRY-PCFA-002-08</t>
  </si>
  <si>
    <t>2019-LVN-CRY-PCFA-004-08</t>
  </si>
  <si>
    <t>LVN-CRY-PCFA-004</t>
  </si>
  <si>
    <t>RUCM53</t>
  </si>
  <si>
    <t>27K</t>
  </si>
  <si>
    <t>2019-LVN-CRY-PCFA-004-04</t>
  </si>
  <si>
    <t>2019-LVN-CRY-PCFA-005-08</t>
  </si>
  <si>
    <t>LVN-CRY-PCFA-005</t>
  </si>
  <si>
    <t>Touring L Hybrid (PHEV)</t>
  </si>
  <si>
    <t>RUEH53</t>
  </si>
  <si>
    <t>2EN</t>
  </si>
  <si>
    <t>2019-LVN-CRY-PCFA-003-04</t>
  </si>
  <si>
    <t>LVN-CRY-PCFA-003</t>
  </si>
  <si>
    <t>Touring Plus Hybrid (PHEV)</t>
  </si>
  <si>
    <t>RUEP53</t>
  </si>
  <si>
    <t>2019-LVN-CRY-PCFA-003-08</t>
  </si>
  <si>
    <t>2019-LVN-DOD-GCVN-001-04</t>
  </si>
  <si>
    <t>LVN-DOD-GCVN-001</t>
  </si>
  <si>
    <t>Grand Caravan</t>
  </si>
  <si>
    <t>RTKH53</t>
  </si>
  <si>
    <t>29S</t>
  </si>
  <si>
    <t>2019-LVN-DOD-GCVN-001-08</t>
  </si>
  <si>
    <t>2019-LVN-DOD-GCVN-002-04</t>
  </si>
  <si>
    <t>LVN-DOD-GCVN-002</t>
  </si>
  <si>
    <t>RTKM53</t>
  </si>
  <si>
    <t>29P</t>
  </si>
  <si>
    <t>2019-LVN-DOD-GCVN-002-08</t>
  </si>
  <si>
    <t>2019-LVN-FRD-E350-016-05</t>
  </si>
  <si>
    <t>LVN-FRD-E350-016</t>
  </si>
  <si>
    <t>CC/Full-Size</t>
  </si>
  <si>
    <t>Econoline E350</t>
  </si>
  <si>
    <t>DRW</t>
  </si>
  <si>
    <t>6.8L</t>
  </si>
  <si>
    <t>E3F</t>
  </si>
  <si>
    <t>780A</t>
  </si>
  <si>
    <t>2019-LVN-FRD-E350-017-05</t>
  </si>
  <si>
    <t>LVN-FRD-E350-017</t>
  </si>
  <si>
    <t>2019-LVN-FRD-E350-018-05</t>
  </si>
  <si>
    <t>LVN-FRD-E350-018</t>
  </si>
  <si>
    <t>2019-LVN-FRD-E350-016-27</t>
  </si>
  <si>
    <t>2019-LVN-FRD-E350-017-27</t>
  </si>
  <si>
    <t>2019-LVN-FRD-E350-018-27</t>
  </si>
  <si>
    <t>2019-LVN-FRD-E350-001-05</t>
  </si>
  <si>
    <t>LVN-FRD-E350-001</t>
  </si>
  <si>
    <t>DRW Cutaway Van Chassis</t>
  </si>
  <si>
    <t>6.2L</t>
  </si>
  <si>
    <t>2019-LVN-FRD-E350-002-05</t>
  </si>
  <si>
    <t>LVN-FRD-E350-002</t>
  </si>
  <si>
    <t>2019-LVN-FRD-E350-003-05</t>
  </si>
  <si>
    <t>LVN-FRD-E350-003</t>
  </si>
  <si>
    <t>2019-LVN-FRD-E350-004-05</t>
  </si>
  <si>
    <t>LVN-FRD-E350-004</t>
  </si>
  <si>
    <t>2019-LVN-FRD-E350-005-05</t>
  </si>
  <si>
    <t>LVN-FRD-E350-005</t>
  </si>
  <si>
    <t>2019-LVN-FRD-E350-006-05</t>
  </si>
  <si>
    <t>LVN-FRD-E350-006</t>
  </si>
  <si>
    <t>2019-LVN-FRD-E350-007-05</t>
  </si>
  <si>
    <t>LVN-FRD-E350-007</t>
  </si>
  <si>
    <t>2019-LVN-FRD-E350-008-05</t>
  </si>
  <si>
    <t>LVN-FRD-E350-008</t>
  </si>
  <si>
    <t>2019-LVN-FRD-E350-009-05</t>
  </si>
  <si>
    <t>LVN-FRD-E350-009</t>
  </si>
  <si>
    <t>2019-LVN-FRD-E350-010-05</t>
  </si>
  <si>
    <t>LVN-FRD-E350-010</t>
  </si>
  <si>
    <t>2019-LVN-FRD-E350-011-05</t>
  </si>
  <si>
    <t>LVN-FRD-E350-011</t>
  </si>
  <si>
    <t>2019-LVN-FRD-E350-012-05</t>
  </si>
  <si>
    <t>LVN-FRD-E350-012</t>
  </si>
  <si>
    <t>2019-LVN-FRD-E350-009-15</t>
  </si>
  <si>
    <t>2019-LVN-FRD-E350-012-15</t>
  </si>
  <si>
    <t>2019-LVN-FRD-E350-004-26</t>
  </si>
  <si>
    <t>2019-LVN-FRD-E350-005-26</t>
  </si>
  <si>
    <t>2019-LVN-FRD-E350-006-26</t>
  </si>
  <si>
    <t>2019-LVN-FRD-E350-001-27</t>
  </si>
  <si>
    <t>2019-LVN-FRD-E350-002-27</t>
  </si>
  <si>
    <t>2019-LVN-FRD-E350-003-27</t>
  </si>
  <si>
    <t>2019-LVN-FRD-E350-004-27</t>
  </si>
  <si>
    <t>2019-LVN-FRD-E350-005-27</t>
  </si>
  <si>
    <t>2019-LVN-FRD-E350-006-27</t>
  </si>
  <si>
    <t>2019-LVN-FRD-E350-007-27</t>
  </si>
  <si>
    <t>2019-LVN-FRD-E350-008-27</t>
  </si>
  <si>
    <t>2019-LVN-FRD-E350-009-27</t>
  </si>
  <si>
    <t>2019-LVN-FRD-E350-010-27</t>
  </si>
  <si>
    <t>2019-LVN-FRD-E350-011-27</t>
  </si>
  <si>
    <t>2019-LVN-FRD-E350-012-27</t>
  </si>
  <si>
    <t>2019-LVN-FRD-E350-013-05</t>
  </si>
  <si>
    <t>LVN-FRD-E350-013</t>
  </si>
  <si>
    <t>DRW Stripped Chassis</t>
  </si>
  <si>
    <t>E3K</t>
  </si>
  <si>
    <t>785A</t>
  </si>
  <si>
    <t>2019-LVN-FRD-E350-014-05</t>
  </si>
  <si>
    <t>LVN-FRD-E350-014</t>
  </si>
  <si>
    <t>2019-LVN-FRD-E350-015-05</t>
  </si>
  <si>
    <t>LVN-FRD-E350-015</t>
  </si>
  <si>
    <t>2019-LVN-FRD-E350-013-26</t>
  </si>
  <si>
    <t>2019-LVN-FRD-E350-014-26</t>
  </si>
  <si>
    <t>2019-LVN-FRD-E350-015-26</t>
  </si>
  <si>
    <t>2019-LVN-FRD-E350-013-27</t>
  </si>
  <si>
    <t>2019-LVN-FRD-E350-014-27</t>
  </si>
  <si>
    <t>2019-LVN-FRD-E350-015-27</t>
  </si>
  <si>
    <t>2019-LVN-FRD-E350-027-05</t>
  </si>
  <si>
    <t>LVN-FRD-E350-027</t>
  </si>
  <si>
    <t>SRW</t>
  </si>
  <si>
    <t>2019-LVN-FRD-E350-028-05</t>
  </si>
  <si>
    <t>LVN-FRD-E350-028</t>
  </si>
  <si>
    <t>2019-LVN-FRD-E350-027-27</t>
  </si>
  <si>
    <t>2019-LVN-FRD-E350-028-27</t>
  </si>
  <si>
    <t>2019-LVN-FRD-E350-019-05</t>
  </si>
  <si>
    <t>LVN-FRD-E350-019</t>
  </si>
  <si>
    <t>SRW Cutaway Van Chassis</t>
  </si>
  <si>
    <t>2019-LVN-FRD-E350-020-05</t>
  </si>
  <si>
    <t>LVN-FRD-E350-020</t>
  </si>
  <si>
    <t>2019-LVN-FRD-E350-021-05</t>
  </si>
  <si>
    <t>LVN-FRD-E350-021</t>
  </si>
  <si>
    <t>2019-LVN-FRD-E350-022-05</t>
  </si>
  <si>
    <t>LVN-FRD-E350-022</t>
  </si>
  <si>
    <t>2019-LVN-FRD-E350-023-05</t>
  </si>
  <si>
    <t>LVN-FRD-E350-023</t>
  </si>
  <si>
    <t>2019-LVN-FRD-E350-024-05</t>
  </si>
  <si>
    <t>LVN-FRD-E350-024</t>
  </si>
  <si>
    <t>2019-LVN-FRD-E350-025-05</t>
  </si>
  <si>
    <t>LVN-FRD-E350-025</t>
  </si>
  <si>
    <t>2019-LVN-FRD-E350-026-05</t>
  </si>
  <si>
    <t>LVN-FRD-E350-026</t>
  </si>
  <si>
    <t>2019-LVN-FRD-E350-023-15</t>
  </si>
  <si>
    <t>2019-LVN-FRD-E350-024-15</t>
  </si>
  <si>
    <t>2019-LVN-FRD-E350-025-15</t>
  </si>
  <si>
    <t>2019-LVN-FRD-E350-026-15</t>
  </si>
  <si>
    <t>2019-LVN-FRD-E350-021-26</t>
  </si>
  <si>
    <t>2019-LVN-FRD-E350-022-26</t>
  </si>
  <si>
    <t>2019-LVN-FRD-E350-019-27</t>
  </si>
  <si>
    <t>2019-LVN-FRD-E350-020-27</t>
  </si>
  <si>
    <t>2019-LVN-FRD-E350-021-27</t>
  </si>
  <si>
    <t>2019-LVN-FRD-E350-022-27</t>
  </si>
  <si>
    <t>2019-LVN-FRD-E350-023-27</t>
  </si>
  <si>
    <t>2019-LVN-FRD-E350-024-27</t>
  </si>
  <si>
    <t>2019-LVN-FRD-E350-025-27</t>
  </si>
  <si>
    <t>2019-LVN-FRD-E350-026-27</t>
  </si>
  <si>
    <t>2019-LVN-FRD-E350-029-05</t>
  </si>
  <si>
    <t>LVN-FRD-E350-029</t>
  </si>
  <si>
    <t>Stripped Chassis</t>
  </si>
  <si>
    <t>2019-LVN-FRD-E350-030-05</t>
  </si>
  <si>
    <t>LVN-FRD-E350-030</t>
  </si>
  <si>
    <t>2019-LVN-FRD-E350-031-05</t>
  </si>
  <si>
    <t>LVN-FRD-E350-031</t>
  </si>
  <si>
    <t>2019-LVN-FRD-E350-032-05</t>
  </si>
  <si>
    <t>LVN-FRD-E350-032</t>
  </si>
  <si>
    <t>2019-LVN-FRD-E350-033-05</t>
  </si>
  <si>
    <t>LVN-FRD-E350-033</t>
  </si>
  <si>
    <t>2019-LVN-FRD-E350-034-05</t>
  </si>
  <si>
    <t>LVN-FRD-E350-034</t>
  </si>
  <si>
    <t>2019-LVN-FRD-E350-035-05</t>
  </si>
  <si>
    <t>LVN-FRD-E350-035</t>
  </si>
  <si>
    <t>2019-LVN-FRD-E350-036-05</t>
  </si>
  <si>
    <t>LVN-FRD-E350-036</t>
  </si>
  <si>
    <t>2019-LVN-FRD-E350-037-05</t>
  </si>
  <si>
    <t>LVN-FRD-E350-037</t>
  </si>
  <si>
    <t>2019-LVN-FRD-E350-038-05</t>
  </si>
  <si>
    <t>LVN-FRD-E350-038</t>
  </si>
  <si>
    <t>2019-LVN-FRD-E350-039-05</t>
  </si>
  <si>
    <t>LVN-FRD-E350-039</t>
  </si>
  <si>
    <t>2019-LVN-FRD-E350-040-05</t>
  </si>
  <si>
    <t>LVN-FRD-E350-040</t>
  </si>
  <si>
    <t>2019-LVN-FRD-E350-035-15</t>
  </si>
  <si>
    <t>2019-LVN-FRD-E350-036-15</t>
  </si>
  <si>
    <t>2019-LVN-FRD-E350-037-15</t>
  </si>
  <si>
    <t>2019-LVN-FRD-E350-038-15</t>
  </si>
  <si>
    <t>2019-LVN-FRD-E350-039-15</t>
  </si>
  <si>
    <t>2019-LVN-FRD-E350-040-15</t>
  </si>
  <si>
    <t>2019-LVN-FRD-E350-029-27</t>
  </si>
  <si>
    <t>2019-LVN-FRD-E350-030-27</t>
  </si>
  <si>
    <t>2019-LVN-FRD-E350-031-27</t>
  </si>
  <si>
    <t>2019-LVN-FRD-E350-032-27</t>
  </si>
  <si>
    <t>2019-LVN-FRD-E350-033-27</t>
  </si>
  <si>
    <t>2019-LVN-FRD-E350-034-27</t>
  </si>
  <si>
    <t>2019-LVN-FRD-E350-035-27</t>
  </si>
  <si>
    <t>2019-LVN-FRD-E350-036-27</t>
  </si>
  <si>
    <t>2019-LVN-FRD-E350-037-27</t>
  </si>
  <si>
    <t>2019-LVN-FRD-E350-038-27</t>
  </si>
  <si>
    <t>2019-LVN-FRD-E350-039-27</t>
  </si>
  <si>
    <t>2019-LVN-FRD-E350-040-27</t>
  </si>
  <si>
    <t>2019-LVN-FRD-E450-007-05</t>
  </si>
  <si>
    <t>LVN-FRD-E450-007</t>
  </si>
  <si>
    <t>Econoline E450</t>
  </si>
  <si>
    <t>E4F</t>
  </si>
  <si>
    <t>782A</t>
  </si>
  <si>
    <t>2019-LVN-FRD-E450-008-05</t>
  </si>
  <si>
    <t>LVN-FRD-E450-008</t>
  </si>
  <si>
    <t>2019-LVN-FRD-E450-007-27</t>
  </si>
  <si>
    <t>2019-LVN-FRD-E450-008-27</t>
  </si>
  <si>
    <t>2019-LVN-FRD-E450-001-05</t>
  </si>
  <si>
    <t>LVN-FRD-E450-001</t>
  </si>
  <si>
    <t>2019-LVN-FRD-E450-002-05</t>
  </si>
  <si>
    <t>LVN-FRD-E450-002</t>
  </si>
  <si>
    <t>2019-LVN-FRD-E450-003-05</t>
  </si>
  <si>
    <t>LVN-FRD-E450-003</t>
  </si>
  <si>
    <t>2019-LVN-FRD-E450-004-05</t>
  </si>
  <si>
    <t>LVN-FRD-E450-004</t>
  </si>
  <si>
    <t>2019-LVN-FRD-E450-001-15</t>
  </si>
  <si>
    <t>2019-LVN-FRD-E450-004-15</t>
  </si>
  <si>
    <t>2019-LVN-FRD-E450-003-26</t>
  </si>
  <si>
    <t>2019-LVN-FRD-E450-004-26</t>
  </si>
  <si>
    <t>2019-LVN-FRD-E450-001-27</t>
  </si>
  <si>
    <t>2019-LVN-FRD-E450-002-27</t>
  </si>
  <si>
    <t>2019-LVN-FRD-E450-003-27</t>
  </si>
  <si>
    <t>2019-LVN-FRD-E450-004-27</t>
  </si>
  <si>
    <t>2019-LVN-FRD-E450-005-05</t>
  </si>
  <si>
    <t>LVN-FRD-E450-005</t>
  </si>
  <si>
    <t>E4K</t>
  </si>
  <si>
    <t>790A</t>
  </si>
  <si>
    <t>2019-LVN-FRD-E450-006-05</t>
  </si>
  <si>
    <t>LVN-FRD-E450-006</t>
  </si>
  <si>
    <t>2019-LVN-FRD-E450-005-26</t>
  </si>
  <si>
    <t>2019-LVN-FRD-E450-006-26</t>
  </si>
  <si>
    <t>2019-LVN-FRD-E450-005-27</t>
  </si>
  <si>
    <t>2019-LVN-FRD-E450-006-27</t>
  </si>
  <si>
    <t>2019-LVN-FRD-E450-009-05</t>
  </si>
  <si>
    <t>LVN-FRD-E450-009</t>
  </si>
  <si>
    <t>2019-LVN-FRD-E450-010-05</t>
  </si>
  <si>
    <t>LVN-FRD-E450-010</t>
  </si>
  <si>
    <t>2019-LVN-FRD-E450-011-05</t>
  </si>
  <si>
    <t>LVN-FRD-E450-011</t>
  </si>
  <si>
    <t>2019-LVN-FRD-E450-012-05</t>
  </si>
  <si>
    <t>LVN-FRD-E450-012</t>
  </si>
  <si>
    <t>2019-LVN-FRD-E450-009-15</t>
  </si>
  <si>
    <t>2019-LVN-FRD-E450-010-15</t>
  </si>
  <si>
    <t>2019-LVN-FRD-E450-011-15</t>
  </si>
  <si>
    <t>2019-LVN-FRD-E450-012-15</t>
  </si>
  <si>
    <t>2019-LVN-FRD-E450-009-27</t>
  </si>
  <si>
    <t>2019-LVN-FRD-E450-010-27</t>
  </si>
  <si>
    <t>2019-LVN-FRD-E450-011-27</t>
  </si>
  <si>
    <t>2019-LVN-FRD-E450-012-27</t>
  </si>
  <si>
    <t>2019-LVN-FRD-T15V-031-25</t>
  </si>
  <si>
    <t>LVN-FRD-T15V-031</t>
  </si>
  <si>
    <t>New England Wheels, Inc.</t>
  </si>
  <si>
    <t>Passenger/Small</t>
  </si>
  <si>
    <t>Transit 150 MR Van</t>
  </si>
  <si>
    <t>FPF0013</t>
  </si>
  <si>
    <t>E2C</t>
  </si>
  <si>
    <t>101A</t>
  </si>
  <si>
    <t>2019-LVN-FRD-T15V-032-25</t>
  </si>
  <si>
    <t>LVN-FRD-T15V-032</t>
  </si>
  <si>
    <t>Wheelchair Accessible</t>
  </si>
  <si>
    <t>REAR</t>
  </si>
  <si>
    <t>FWCRE0208A</t>
  </si>
  <si>
    <t>SIDE</t>
  </si>
  <si>
    <t>FWCSE0208A</t>
  </si>
  <si>
    <t>2019-LVN-FRD-T15V-033-25</t>
  </si>
  <si>
    <t>LVN-FRD-T15V-033</t>
  </si>
  <si>
    <t>F7DSE0309</t>
  </si>
  <si>
    <t>FWCSE0309</t>
  </si>
  <si>
    <t>2019-LVN-FRD-T15W-035-25</t>
  </si>
  <si>
    <t>LVN-FRD-T15W-035</t>
  </si>
  <si>
    <t>Transit 150 MR Wagon</t>
  </si>
  <si>
    <t>F7DPA0010</t>
  </si>
  <si>
    <t>K1C</t>
  </si>
  <si>
    <t>F7DPF0010</t>
  </si>
  <si>
    <t>2019-LVN-FRD-T15V-001-05</t>
  </si>
  <si>
    <t>LVN-FRD-T15V-001</t>
  </si>
  <si>
    <t>Cargo/Small</t>
  </si>
  <si>
    <t>Transit 150 Van</t>
  </si>
  <si>
    <t>Dual Door</t>
  </si>
  <si>
    <t>3.2L</t>
  </si>
  <si>
    <t>E2D</t>
  </si>
  <si>
    <t>2019-LVN-FRD-T15V-002-05</t>
  </si>
  <si>
    <t>LVN-FRD-T15V-002</t>
  </si>
  <si>
    <t>2019-LVN-FRD-T15V-003-05</t>
  </si>
  <si>
    <t>LVN-FRD-T15V-003</t>
  </si>
  <si>
    <t>2019-LVN-FRD-T15V-004-05</t>
  </si>
  <si>
    <t>LVN-FRD-T15V-004</t>
  </si>
  <si>
    <t>E1D</t>
  </si>
  <si>
    <t>2019-LVN-FRD-T15V-005-05</t>
  </si>
  <si>
    <t>LVN-FRD-T15V-005</t>
  </si>
  <si>
    <t>2019-LVN-FRD-T15V-006-05</t>
  </si>
  <si>
    <t>LVN-FRD-T15V-006</t>
  </si>
  <si>
    <t>2019-LVN-FRD-T15V-001-15</t>
  </si>
  <si>
    <t>2019-LVN-FRD-T15V-002-15</t>
  </si>
  <si>
    <t>2019-LVN-FRD-T15V-003-15</t>
  </si>
  <si>
    <t>2019-LVN-FRD-T15V-004-15</t>
  </si>
  <si>
    <t>2019-LVN-FRD-T15V-005-15</t>
  </si>
  <si>
    <t>2019-LVN-FRD-T15V-006-15</t>
  </si>
  <si>
    <t>2019-LVN-FRD-T15V-001-26</t>
  </si>
  <si>
    <t>2019-LVN-FRD-T15V-002-26</t>
  </si>
  <si>
    <t>2019-LVN-FRD-T15V-003-26</t>
  </si>
  <si>
    <t>2019-LVN-FRD-T15V-004-26</t>
  </si>
  <si>
    <t>2019-LVN-FRD-T15V-005-26</t>
  </si>
  <si>
    <t>2019-LVN-FRD-T15V-006-26</t>
  </si>
  <si>
    <t>2019-LVN-FRD-T15V-001-27</t>
  </si>
  <si>
    <t>2019-LVN-FRD-T15V-002-27</t>
  </si>
  <si>
    <t>2019-LVN-FRD-T15V-003-27</t>
  </si>
  <si>
    <t>2019-LVN-FRD-T15V-004-27</t>
  </si>
  <si>
    <t>2019-LVN-FRD-T15V-005-27</t>
  </si>
  <si>
    <t>2019-LVN-FRD-T15V-006-27</t>
  </si>
  <si>
    <t>2019-LVN-FRD-T15V-007-05</t>
  </si>
  <si>
    <t>LVN-FRD-T15V-007</t>
  </si>
  <si>
    <t>Sliding RH Door</t>
  </si>
  <si>
    <t>2019-LVN-FRD-T15V-008-05</t>
  </si>
  <si>
    <t>LVN-FRD-T15V-008</t>
  </si>
  <si>
    <t>2019-LVN-FRD-T15V-009-05</t>
  </si>
  <si>
    <t>LVN-FRD-T15V-009</t>
  </si>
  <si>
    <t>2019-LVN-FRD-T15V-011-05</t>
  </si>
  <si>
    <t>LVN-FRD-T15V-011</t>
  </si>
  <si>
    <t>E1C</t>
  </si>
  <si>
    <t>2019-LVN-FRD-T15V-012-05</t>
  </si>
  <si>
    <t>LVN-FRD-T15V-012</t>
  </si>
  <si>
    <t>2019-LVN-FRD-T15V-013-05</t>
  </si>
  <si>
    <t>LVN-FRD-T15V-013</t>
  </si>
  <si>
    <t>2019-LVN-FRD-T15V-015-05</t>
  </si>
  <si>
    <t>LVN-FRD-T15V-015</t>
  </si>
  <si>
    <t>E2Y</t>
  </si>
  <si>
    <t>2019-LVN-FRD-T15V-016-05</t>
  </si>
  <si>
    <t>LVN-FRD-T15V-016</t>
  </si>
  <si>
    <t>2019-LVN-FRD-T15V-017-05</t>
  </si>
  <si>
    <t>LVN-FRD-T15V-017</t>
  </si>
  <si>
    <t>2019-LVN-FRD-T15V-018-05</t>
  </si>
  <si>
    <t>LVN-FRD-T15V-018</t>
  </si>
  <si>
    <t>E1Y</t>
  </si>
  <si>
    <t>2019-LVN-FRD-T15V-019-05</t>
  </si>
  <si>
    <t>LVN-FRD-T15V-019</t>
  </si>
  <si>
    <t>2019-LVN-FRD-T15V-020-05</t>
  </si>
  <si>
    <t>LVN-FRD-T15V-020</t>
  </si>
  <si>
    <t>2019-LVN-FRD-T15V-007-15</t>
  </si>
  <si>
    <t>2019-LVN-FRD-T15V-008-15</t>
  </si>
  <si>
    <t>2019-LVN-FRD-T15V-009-15</t>
  </si>
  <si>
    <t>2019-LVN-FRD-T15V-011-15</t>
  </si>
  <si>
    <t>2019-LVN-FRD-T15V-012-15</t>
  </si>
  <si>
    <t>2019-LVN-FRD-T15V-013-15</t>
  </si>
  <si>
    <t>2019-LVN-FRD-T15V-015-15</t>
  </si>
  <si>
    <t>2019-LVN-FRD-T15V-016-15</t>
  </si>
  <si>
    <t>2019-LVN-FRD-T15V-017-15</t>
  </si>
  <si>
    <t>2019-LVN-FRD-T15V-018-15</t>
  </si>
  <si>
    <t>2019-LVN-FRD-T15V-019-15</t>
  </si>
  <si>
    <t>2019-LVN-FRD-T15V-020-15</t>
  </si>
  <si>
    <t>2019-LVN-FRD-T15V-007-26</t>
  </si>
  <si>
    <t>2019-LVN-FRD-T15V-008-26</t>
  </si>
  <si>
    <t>2019-LVN-FRD-T15V-009-26</t>
  </si>
  <si>
    <t>2019-LVN-FRD-T15V-011-26</t>
  </si>
  <si>
    <t>2019-LVN-FRD-T15V-012-26</t>
  </si>
  <si>
    <t>2019-LVN-FRD-T15V-013-26</t>
  </si>
  <si>
    <t>2019-LVN-FRD-T15V-015-26</t>
  </si>
  <si>
    <t>2019-LVN-FRD-T15V-016-26</t>
  </si>
  <si>
    <t>2019-LVN-FRD-T15V-017-26</t>
  </si>
  <si>
    <t>2019-LVN-FRD-T15V-018-26</t>
  </si>
  <si>
    <t>2019-LVN-FRD-T15V-019-26</t>
  </si>
  <si>
    <t>2019-LVN-FRD-T15V-020-26</t>
  </si>
  <si>
    <t>2019-LVN-FRD-T15V-007-27</t>
  </si>
  <si>
    <t>2019-LVN-FRD-T15V-008-27</t>
  </si>
  <si>
    <t>2019-LVN-FRD-T15V-009-27</t>
  </si>
  <si>
    <t>2019-LVN-FRD-T15V-011-27</t>
  </si>
  <si>
    <t>2019-LVN-FRD-T15V-012-27</t>
  </si>
  <si>
    <t>2019-LVN-FRD-T15V-013-27</t>
  </si>
  <si>
    <t>2019-LVN-FRD-T15V-015-27</t>
  </si>
  <si>
    <t>2019-LVN-FRD-T15V-016-27</t>
  </si>
  <si>
    <t>2019-LVN-FRD-T15V-017-27</t>
  </si>
  <si>
    <t>2019-LVN-FRD-T15V-018-27</t>
  </si>
  <si>
    <t>2019-LVN-FRD-T15V-019-27</t>
  </si>
  <si>
    <t>2019-LVN-FRD-T15V-020-27</t>
  </si>
  <si>
    <t>2019-LVN-FRD-T15V-021-05</t>
  </si>
  <si>
    <t>LVN-FRD-T15V-021</t>
  </si>
  <si>
    <t>Swing-Out RH Door</t>
  </si>
  <si>
    <t>E9Z</t>
  </si>
  <si>
    <t>2019-LVN-FRD-T15V-022-05</t>
  </si>
  <si>
    <t>LVN-FRD-T15V-022</t>
  </si>
  <si>
    <t>2019-LVN-FRD-T15V-023-05</t>
  </si>
  <si>
    <t>LVN-FRD-T15V-023</t>
  </si>
  <si>
    <t>2019-LVN-FRD-T15V-025-05</t>
  </si>
  <si>
    <t>LVN-FRD-T15V-025</t>
  </si>
  <si>
    <t>E1Z</t>
  </si>
  <si>
    <t>2019-LVN-FRD-T15V-026-05</t>
  </si>
  <si>
    <t>LVN-FRD-T15V-026</t>
  </si>
  <si>
    <t>2019-LVN-FRD-T15V-027-05</t>
  </si>
  <si>
    <t>LVN-FRD-T15V-027</t>
  </si>
  <si>
    <t>2019-LVN-FRD-T15V-021-15</t>
  </si>
  <si>
    <t>2019-LVN-FRD-T15V-022-15</t>
  </si>
  <si>
    <t>2019-LVN-FRD-T15V-023-15</t>
  </si>
  <si>
    <t>2019-LVN-FRD-T15V-025-15</t>
  </si>
  <si>
    <t>2019-LVN-FRD-T15V-026-15</t>
  </si>
  <si>
    <t>2019-LVN-FRD-T15V-027-15</t>
  </si>
  <si>
    <t>2019-LVN-FRD-T15V-021-26</t>
  </si>
  <si>
    <t>2019-LVN-FRD-T15V-022-26</t>
  </si>
  <si>
    <t>2019-LVN-FRD-T15V-023-26</t>
  </si>
  <si>
    <t>2019-LVN-FRD-T15V-025-26</t>
  </si>
  <si>
    <t>2019-LVN-FRD-T15V-026-26</t>
  </si>
  <si>
    <t>2019-LVN-FRD-T15V-027-26</t>
  </si>
  <si>
    <t>2019-LVN-FRD-T15V-021-27</t>
  </si>
  <si>
    <t>2019-LVN-FRD-T15V-022-27</t>
  </si>
  <si>
    <t>2019-LVN-FRD-T15V-023-27</t>
  </si>
  <si>
    <t>2019-LVN-FRD-T15V-025-27</t>
  </si>
  <si>
    <t>2019-LVN-FRD-T15V-026-27</t>
  </si>
  <si>
    <t>2019-LVN-FRD-T15V-027-27</t>
  </si>
  <si>
    <t>2019-LVN-FRD-T15W-001-05</t>
  </si>
  <si>
    <t>LVN-FRD-T15W-001</t>
  </si>
  <si>
    <t>Transit 150 Wagon</t>
  </si>
  <si>
    <t>XL Sliding RH Door</t>
  </si>
  <si>
    <t>K1Y</t>
  </si>
  <si>
    <t>2019-LVN-FRD-T15W-002-05</t>
  </si>
  <si>
    <t>LVN-FRD-T15W-002</t>
  </si>
  <si>
    <t>2019-LVN-FRD-T15W-003-05</t>
  </si>
  <si>
    <t>LVN-FRD-T15W-003</t>
  </si>
  <si>
    <t>2019-LVN-FRD-T15W-004-05</t>
  </si>
  <si>
    <t>LVN-FRD-T15W-004</t>
  </si>
  <si>
    <t>2019-LVN-FRD-T15W-006-05</t>
  </si>
  <si>
    <t>LVN-FRD-T15W-006</t>
  </si>
  <si>
    <t>2019-LVN-FRD-T15W-007-05</t>
  </si>
  <si>
    <t>LVN-FRD-T15W-007</t>
  </si>
  <si>
    <t>2019-LVN-FRD-T15W-008-05</t>
  </si>
  <si>
    <t>LVN-FRD-T15W-008</t>
  </si>
  <si>
    <t>2019-LVN-FRD-T15W-009-05</t>
  </si>
  <si>
    <t>LVN-FRD-T15W-009</t>
  </si>
  <si>
    <t>2019-LVN-FRD-T15W-001-15</t>
  </si>
  <si>
    <t>2019-LVN-FRD-T15W-002-15</t>
  </si>
  <si>
    <t>2019-LVN-FRD-T15W-003-15</t>
  </si>
  <si>
    <t>2019-LVN-FRD-T15W-004-15</t>
  </si>
  <si>
    <t>2019-LVN-FRD-T15W-006-15</t>
  </si>
  <si>
    <t>2019-LVN-FRD-T15W-007-15</t>
  </si>
  <si>
    <t>2019-LVN-FRD-T15W-008-15</t>
  </si>
  <si>
    <t>2019-LVN-FRD-T15W-009-15</t>
  </si>
  <si>
    <t>2019-LVN-FRD-T15W-006-26</t>
  </si>
  <si>
    <t>2019-LVN-FRD-T15W-007-26</t>
  </si>
  <si>
    <t>2019-LVN-FRD-T15W-008-26</t>
  </si>
  <si>
    <t>2019-LVN-FRD-T15W-009-26</t>
  </si>
  <si>
    <t>2019-LVN-FRD-T15W-001-27</t>
  </si>
  <si>
    <t>2019-LVN-FRD-T15W-002-27</t>
  </si>
  <si>
    <t>2019-LVN-FRD-T15W-003-27</t>
  </si>
  <si>
    <t>2019-LVN-FRD-T15W-004-27</t>
  </si>
  <si>
    <t>2019-LVN-FRD-T15W-006-27</t>
  </si>
  <si>
    <t>2019-LVN-FRD-T15W-007-27</t>
  </si>
  <si>
    <t>2019-LVN-FRD-T15W-008-27</t>
  </si>
  <si>
    <t>2019-LVN-FRD-T15W-009-27</t>
  </si>
  <si>
    <t>2019-LVN-FRD-T15W-011-05</t>
  </si>
  <si>
    <t>LVN-FRD-T15W-011</t>
  </si>
  <si>
    <t>XL Swing-Out RH Door</t>
  </si>
  <si>
    <t>K1Z</t>
  </si>
  <si>
    <t>2019-LVN-FRD-T15W-012-05</t>
  </si>
  <si>
    <t>LVN-FRD-T15W-012</t>
  </si>
  <si>
    <t>2019-LVN-FRD-T15W-014-05</t>
  </si>
  <si>
    <t>LVN-FRD-T15W-014</t>
  </si>
  <si>
    <t>2019-LVN-FRD-T15W-015-05</t>
  </si>
  <si>
    <t>LVN-FRD-T15W-015</t>
  </si>
  <si>
    <t>2019-LVN-FRD-T15W-011-15</t>
  </si>
  <si>
    <t>2019-LVN-FRD-T15W-012-15</t>
  </si>
  <si>
    <t>2019-LVN-FRD-T15W-014-15</t>
  </si>
  <si>
    <t>2019-LVN-FRD-T15W-015-15</t>
  </si>
  <si>
    <t>2019-LVN-FRD-T15W-014-26</t>
  </si>
  <si>
    <t>2019-LVN-FRD-T15W-015-26</t>
  </si>
  <si>
    <t>2019-LVN-FRD-T15W-011-27</t>
  </si>
  <si>
    <t>2019-LVN-FRD-T15W-012-27</t>
  </si>
  <si>
    <t>2019-LVN-FRD-T15W-014-27</t>
  </si>
  <si>
    <t>2019-LVN-FRD-T15W-015-27</t>
  </si>
  <si>
    <t>2019-LVN-FRD-T15W-017-05</t>
  </si>
  <si>
    <t>LVN-FRD-T15W-017</t>
  </si>
  <si>
    <t>XLT Sliding RH Door</t>
  </si>
  <si>
    <t>302A</t>
  </si>
  <si>
    <t>2019-LVN-FRD-T15W-018-05</t>
  </si>
  <si>
    <t>LVN-FRD-T15W-018</t>
  </si>
  <si>
    <t>2019-LVN-FRD-T15W-019-05</t>
  </si>
  <si>
    <t>LVN-FRD-T15W-019</t>
  </si>
  <si>
    <t>2019-LVN-FRD-T15W-020-05</t>
  </si>
  <si>
    <t>LVN-FRD-T15W-020</t>
  </si>
  <si>
    <t>2019-LVN-FRD-T15W-022-05</t>
  </si>
  <si>
    <t>LVN-FRD-T15W-022</t>
  </si>
  <si>
    <t>2019-LVN-FRD-T15W-023-05</t>
  </si>
  <si>
    <t>LVN-FRD-T15W-023</t>
  </si>
  <si>
    <t>2019-LVN-FRD-T15W-024-05</t>
  </si>
  <si>
    <t>LVN-FRD-T15W-024</t>
  </si>
  <si>
    <t>2019-LVN-FRD-T15W-025-05</t>
  </si>
  <si>
    <t>LVN-FRD-T15W-025</t>
  </si>
  <si>
    <t>2019-LVN-FRD-T15W-017-15</t>
  </si>
  <si>
    <t>2019-LVN-FRD-T15W-018-15</t>
  </si>
  <si>
    <t>2019-LVN-FRD-T15W-019-15</t>
  </si>
  <si>
    <t>2019-LVN-FRD-T15W-020-15</t>
  </si>
  <si>
    <t>2019-LVN-FRD-T15W-022-15</t>
  </si>
  <si>
    <t>2019-LVN-FRD-T15W-023-15</t>
  </si>
  <si>
    <t>2019-LVN-FRD-T15W-024-15</t>
  </si>
  <si>
    <t>2019-LVN-FRD-T15W-025-15</t>
  </si>
  <si>
    <t>2019-LVN-FRD-T15W-022-26</t>
  </si>
  <si>
    <t>2019-LVN-FRD-T15W-023-26</t>
  </si>
  <si>
    <t>2019-LVN-FRD-T15W-024-26</t>
  </si>
  <si>
    <t>2019-LVN-FRD-T15W-025-26</t>
  </si>
  <si>
    <t>2019-LVN-FRD-T15W-017-27</t>
  </si>
  <si>
    <t>2019-LVN-FRD-T15W-018-27</t>
  </si>
  <si>
    <t>2019-LVN-FRD-T15W-019-27</t>
  </si>
  <si>
    <t>2019-LVN-FRD-T15W-020-27</t>
  </si>
  <si>
    <t>2019-LVN-FRD-T15W-022-27</t>
  </si>
  <si>
    <t>2019-LVN-FRD-T15W-023-27</t>
  </si>
  <si>
    <t>2019-LVN-FRD-T15W-024-27</t>
  </si>
  <si>
    <t>2019-LVN-FRD-T15W-025-27</t>
  </si>
  <si>
    <t>2019-LVN-FRD-T15W-027-05</t>
  </si>
  <si>
    <t>LVN-FRD-T15W-027</t>
  </si>
  <si>
    <t>XLT Swing-Out RH Door</t>
  </si>
  <si>
    <t>2019-LVN-FRD-T15W-028-05</t>
  </si>
  <si>
    <t>LVN-FRD-T15W-028</t>
  </si>
  <si>
    <t>2019-LVN-FRD-T15W-030-05</t>
  </si>
  <si>
    <t>LVN-FRD-T15W-030</t>
  </si>
  <si>
    <t>2019-LVN-FRD-T15W-031-05</t>
  </si>
  <si>
    <t>LVN-FRD-T15W-031</t>
  </si>
  <si>
    <t>2019-LVN-FRD-T15W-027-15</t>
  </si>
  <si>
    <t>2019-LVN-FRD-T15W-028-15</t>
  </si>
  <si>
    <t>2019-LVN-FRD-T15W-030-15</t>
  </si>
  <si>
    <t>2019-LVN-FRD-T15W-031-15</t>
  </si>
  <si>
    <t>2019-LVN-FRD-T15W-030-26</t>
  </si>
  <si>
    <t>2019-LVN-FRD-T15W-031-26</t>
  </si>
  <si>
    <t>2019-LVN-FRD-T15W-027-27</t>
  </si>
  <si>
    <t>2019-LVN-FRD-T15W-028-27</t>
  </si>
  <si>
    <t>2019-LVN-FRD-T15W-030-27</t>
  </si>
  <si>
    <t>2019-LVN-FRD-T15W-031-27</t>
  </si>
  <si>
    <t>2019-LVN-FRD-T2CC-002-05</t>
  </si>
  <si>
    <t>LVN-FRD-T2CC-002</t>
  </si>
  <si>
    <t>CC/Mid-Size</t>
  </si>
  <si>
    <t>Transit 250 Chassis Cab</t>
  </si>
  <si>
    <t>R7Z</t>
  </si>
  <si>
    <t>701A</t>
  </si>
  <si>
    <t>2019-LVN-FRD-T2CC-004-05</t>
  </si>
  <si>
    <t>LVN-FRD-T2CC-004</t>
  </si>
  <si>
    <t>R5Z</t>
  </si>
  <si>
    <t>2019-LVN-FRD-T2CC-004-15</t>
  </si>
  <si>
    <t>2019-LVN-FRD-T2CC-001-26</t>
  </si>
  <si>
    <t>LVN-FRD-T2CC-001</t>
  </si>
  <si>
    <t>2019-LVN-FRD-T2CC-002-26</t>
  </si>
  <si>
    <t>2019-LVN-FRD-T2CC-003-26</t>
  </si>
  <si>
    <t>LVN-FRD-T2CC-003</t>
  </si>
  <si>
    <t>2019-LVN-FRD-T2CC-004-26</t>
  </si>
  <si>
    <t>2019-LVN-FRD-T2CC-002-27</t>
  </si>
  <si>
    <t>2019-LVN-FRD-T2CC-004-27</t>
  </si>
  <si>
    <t>2019-LVN-FRD-T2CW-002-05</t>
  </si>
  <si>
    <t>LVN-FRD-T2CW-002</t>
  </si>
  <si>
    <t>Transit 250 Cutaway</t>
  </si>
  <si>
    <t>R5P</t>
  </si>
  <si>
    <t>501A</t>
  </si>
  <si>
    <t>2019-LVN-FRD-T2CW-004-05</t>
  </si>
  <si>
    <t>LVN-FRD-T2CW-004</t>
  </si>
  <si>
    <t>R7P</t>
  </si>
  <si>
    <t>2019-LVN-FRD-T2CW-002-15</t>
  </si>
  <si>
    <t>2019-LVN-FRD-T2CW-004-15</t>
  </si>
  <si>
    <t>2019-LVN-FRD-T2CW-001-26</t>
  </si>
  <si>
    <t>LVN-FRD-T2CW-001</t>
  </si>
  <si>
    <t>2019-LVN-FRD-T2CW-002-26</t>
  </si>
  <si>
    <t>2019-LVN-FRD-T2CW-003-26</t>
  </si>
  <si>
    <t>LVN-FRD-T2CW-003</t>
  </si>
  <si>
    <t>2019-LVN-FRD-T2CW-004-26</t>
  </si>
  <si>
    <t>2019-LVN-FRD-T2CW-002-27</t>
  </si>
  <si>
    <t>2019-LVN-FRD-T2CW-004-27</t>
  </si>
  <si>
    <t>2019-LVN-FRD-T25V-040-05</t>
  </si>
  <si>
    <t>LVN-FRD-T25V-040</t>
  </si>
  <si>
    <t>Transit 250 Van</t>
  </si>
  <si>
    <t>R2D</t>
  </si>
  <si>
    <t>2019-LVN-FRD-T25V-001-05</t>
  </si>
  <si>
    <t>LVN-FRD-T25V-001</t>
  </si>
  <si>
    <t>R1D</t>
  </si>
  <si>
    <t>2019-LVN-FRD-T25V-002-05</t>
  </si>
  <si>
    <t>LVN-FRD-T25V-002</t>
  </si>
  <si>
    <t>2019-LVN-FRD-T25V-003-05</t>
  </si>
  <si>
    <t>LVN-FRD-T25V-003</t>
  </si>
  <si>
    <t>2019-LVN-FRD-T25V-004-05</t>
  </si>
  <si>
    <t>LVN-FRD-T25V-004</t>
  </si>
  <si>
    <t>R3U</t>
  </si>
  <si>
    <t>2019-LVN-FRD-T25V-005-05</t>
  </si>
  <si>
    <t>LVN-FRD-T25V-005</t>
  </si>
  <si>
    <t>2019-LVN-FRD-T25V-006-05</t>
  </si>
  <si>
    <t>LVN-FRD-T25V-006</t>
  </si>
  <si>
    <t>2019-LVN-FRD-T25V-007-05</t>
  </si>
  <si>
    <t>LVN-FRD-T25V-007</t>
  </si>
  <si>
    <t>R2U</t>
  </si>
  <si>
    <t>2019-LVN-FRD-T25V-008-05</t>
  </si>
  <si>
    <t>LVN-FRD-T25V-008</t>
  </si>
  <si>
    <t>2019-LVN-FRD-T25V-009-05</t>
  </si>
  <si>
    <t>LVN-FRD-T25V-009</t>
  </si>
  <si>
    <t>2019-LVN-FRD-T25V-040-15</t>
  </si>
  <si>
    <t>2019-LVN-FRD-T25V-001-15</t>
  </si>
  <si>
    <t>2019-LVN-FRD-T25V-002-15</t>
  </si>
  <si>
    <t>2019-LVN-FRD-T25V-003-15</t>
  </si>
  <si>
    <t>2019-LVN-FRD-T25V-004-15</t>
  </si>
  <si>
    <t>2019-LVN-FRD-T25V-005-15</t>
  </si>
  <si>
    <t>2019-LVN-FRD-T25V-006-15</t>
  </si>
  <si>
    <t>2019-LVN-FRD-T25V-007-15</t>
  </si>
  <si>
    <t>2019-LVN-FRD-T25V-008-15</t>
  </si>
  <si>
    <t>2019-LVN-FRD-T25V-009-15</t>
  </si>
  <si>
    <t>2019-LVN-FRD-T25V-040-26</t>
  </si>
  <si>
    <t>2019-LVN-FRD-T25V-001-26</t>
  </si>
  <si>
    <t>2019-LVN-FRD-T25V-002-26</t>
  </si>
  <si>
    <t>2019-LVN-FRD-T25V-003-26</t>
  </si>
  <si>
    <t>2019-LVN-FRD-T25V-004-26</t>
  </si>
  <si>
    <t>2019-LVN-FRD-T25V-005-26</t>
  </si>
  <si>
    <t>2019-LVN-FRD-T25V-006-26</t>
  </si>
  <si>
    <t>2019-LVN-FRD-T25V-007-26</t>
  </si>
  <si>
    <t>2019-LVN-FRD-T25V-008-26</t>
  </si>
  <si>
    <t>2019-LVN-FRD-T25V-009-26</t>
  </si>
  <si>
    <t>2019-LVN-FRD-T25V-040-27</t>
  </si>
  <si>
    <t>2019-LVN-FRD-T25V-001-27</t>
  </si>
  <si>
    <t>2019-LVN-FRD-T25V-002-27</t>
  </si>
  <si>
    <t>2019-LVN-FRD-T25V-003-27</t>
  </si>
  <si>
    <t>2019-LVN-FRD-T25V-004-27</t>
  </si>
  <si>
    <t>2019-LVN-FRD-T25V-005-27</t>
  </si>
  <si>
    <t>2019-LVN-FRD-T25V-006-27</t>
  </si>
  <si>
    <t>2019-LVN-FRD-T25V-007-27</t>
  </si>
  <si>
    <t>2019-LVN-FRD-T25V-008-27</t>
  </si>
  <si>
    <t>2019-LVN-FRD-T25V-009-27</t>
  </si>
  <si>
    <t>2019-LVN-FRD-T25V-010-05</t>
  </si>
  <si>
    <t>LVN-FRD-T25V-010</t>
  </si>
  <si>
    <t>R2C</t>
  </si>
  <si>
    <t>2019-LVN-FRD-T25V-011-05</t>
  </si>
  <si>
    <t>LVN-FRD-T25V-011</t>
  </si>
  <si>
    <t>2019-LVN-FRD-T25V-012-05</t>
  </si>
  <si>
    <t>LVN-FRD-T25V-012</t>
  </si>
  <si>
    <t>2019-LVN-FRD-T25V-014-05</t>
  </si>
  <si>
    <t>LVN-FRD-T25V-014</t>
  </si>
  <si>
    <t>R1C</t>
  </si>
  <si>
    <t>2019-LVN-FRD-T25V-015-05</t>
  </si>
  <si>
    <t>LVN-FRD-T25V-015</t>
  </si>
  <si>
    <t>2019-LVN-FRD-T25V-016-05</t>
  </si>
  <si>
    <t>LVN-FRD-T25V-016</t>
  </si>
  <si>
    <t>2019-LVN-FRD-T25V-018-05</t>
  </si>
  <si>
    <t>LVN-FRD-T25V-018</t>
  </si>
  <si>
    <t>R3X</t>
  </si>
  <si>
    <t>2019-LVN-FRD-T25V-019-05</t>
  </si>
  <si>
    <t>LVN-FRD-T25V-019</t>
  </si>
  <si>
    <t>2019-LVN-FRD-T25V-020-05</t>
  </si>
  <si>
    <t>LVN-FRD-T25V-020</t>
  </si>
  <si>
    <t>2019-LVN-FRD-T25V-022-05</t>
  </si>
  <si>
    <t>LVN-FRD-T25V-022</t>
  </si>
  <si>
    <t>R2X</t>
  </si>
  <si>
    <t>2019-LVN-FRD-T25V-023-05</t>
  </si>
  <si>
    <t>LVN-FRD-T25V-023</t>
  </si>
  <si>
    <t>2019-LVN-FRD-T25V-024-05</t>
  </si>
  <si>
    <t>LVN-FRD-T25V-024</t>
  </si>
  <si>
    <t>2019-LVN-FRD-T25V-026-05</t>
  </si>
  <si>
    <t>LVN-FRD-T25V-026</t>
  </si>
  <si>
    <t>R1Y</t>
  </si>
  <si>
    <t>2019-LVN-FRD-T25V-027-05</t>
  </si>
  <si>
    <t>LVN-FRD-T25V-027</t>
  </si>
  <si>
    <t>R2Y</t>
  </si>
  <si>
    <t>2019-LVN-FRD-T25V-028-05</t>
  </si>
  <si>
    <t>LVN-FRD-T25V-028</t>
  </si>
  <si>
    <t>2019-LVN-FRD-T25V-029-05</t>
  </si>
  <si>
    <t>LVN-FRD-T25V-029</t>
  </si>
  <si>
    <t>2019-LVN-FRD-T25V-030-05</t>
  </si>
  <si>
    <t>LVN-FRD-T25V-030</t>
  </si>
  <si>
    <t>2019-LVN-FRD-T25V-031-05</t>
  </si>
  <si>
    <t>LVN-FRD-T25V-031</t>
  </si>
  <si>
    <t>2019-LVN-FRD-T25V-010-15</t>
  </si>
  <si>
    <t>2019-LVN-FRD-T25V-011-15</t>
  </si>
  <si>
    <t>2019-LVN-FRD-T25V-012-15</t>
  </si>
  <si>
    <t>2019-LVN-FRD-T25V-014-15</t>
  </si>
  <si>
    <t>2019-LVN-FRD-T25V-015-15</t>
  </si>
  <si>
    <t>2019-LVN-FRD-T25V-016-15</t>
  </si>
  <si>
    <t>2019-LVN-FRD-T25V-018-15</t>
  </si>
  <si>
    <t>2019-LVN-FRD-T25V-019-15</t>
  </si>
  <si>
    <t>2019-LVN-FRD-T25V-020-15</t>
  </si>
  <si>
    <t>2019-LVN-FRD-T25V-022-15</t>
  </si>
  <si>
    <t>2019-LVN-FRD-T25V-023-15</t>
  </si>
  <si>
    <t>2019-LVN-FRD-T25V-024-15</t>
  </si>
  <si>
    <t>2019-LVN-FRD-T25V-026-15</t>
  </si>
  <si>
    <t>2019-LVN-FRD-T25V-027-15</t>
  </si>
  <si>
    <t>2019-LVN-FRD-T25V-028-15</t>
  </si>
  <si>
    <t>2019-LVN-FRD-T25V-029-15</t>
  </si>
  <si>
    <t>2019-LVN-FRD-T25V-030-15</t>
  </si>
  <si>
    <t>2019-LVN-FRD-T25V-031-15</t>
  </si>
  <si>
    <t>2018-LVN-FRD-T25V-015-26</t>
  </si>
  <si>
    <t>2018-LVN-FRD-T25V-028-26</t>
  </si>
  <si>
    <t>2019-LVN-FRD-T25V-010-26</t>
  </si>
  <si>
    <t>2019-LVN-FRD-T25V-011-26</t>
  </si>
  <si>
    <t>2019-LVN-FRD-T25V-012-26</t>
  </si>
  <si>
    <t>2019-LVN-FRD-T25V-014-26</t>
  </si>
  <si>
    <t>2019-LVN-FRD-T25V-016-26</t>
  </si>
  <si>
    <t>2019-LVN-FRD-T25V-018-26</t>
  </si>
  <si>
    <t>2019-LVN-FRD-T25V-019-26</t>
  </si>
  <si>
    <t>2019-LVN-FRD-T25V-020-26</t>
  </si>
  <si>
    <t>2019-LVN-FRD-T25V-022-26</t>
  </si>
  <si>
    <t>2019-LVN-FRD-T25V-023-26</t>
  </si>
  <si>
    <t>2019-LVN-FRD-T25V-024-26</t>
  </si>
  <si>
    <t>2019-LVN-FRD-T25V-026-26</t>
  </si>
  <si>
    <t>2019-LVN-FRD-T25V-027-26</t>
  </si>
  <si>
    <t>2019-LVN-FRD-T25V-029-26</t>
  </si>
  <si>
    <t>2019-LVN-FRD-T25V-030-26</t>
  </si>
  <si>
    <t>2019-LVN-FRD-T25V-031-26</t>
  </si>
  <si>
    <t>2019-LVN-FRD-T25V-010-27</t>
  </si>
  <si>
    <t>2019-LVN-FRD-T25V-011-27</t>
  </si>
  <si>
    <t>2019-LVN-FRD-T25V-012-27</t>
  </si>
  <si>
    <t>2019-LVN-FRD-T25V-014-27</t>
  </si>
  <si>
    <t>2019-LVN-FRD-T25V-015-27</t>
  </si>
  <si>
    <t>2019-LVN-FRD-T25V-016-27</t>
  </si>
  <si>
    <t>2019-LVN-FRD-T25V-018-27</t>
  </si>
  <si>
    <t>2019-LVN-FRD-T25V-019-27</t>
  </si>
  <si>
    <t>2019-LVN-FRD-T25V-020-27</t>
  </si>
  <si>
    <t>2019-LVN-FRD-T25V-022-27</t>
  </si>
  <si>
    <t>2019-LVN-FRD-T25V-023-27</t>
  </si>
  <si>
    <t>2019-LVN-FRD-T25V-024-27</t>
  </si>
  <si>
    <t>2019-LVN-FRD-T25V-026-27</t>
  </si>
  <si>
    <t>2019-LVN-FRD-T25V-027-27</t>
  </si>
  <si>
    <t>2019-LVN-FRD-T25V-028-27</t>
  </si>
  <si>
    <t>2019-LVN-FRD-T25V-029-27</t>
  </si>
  <si>
    <t>2019-LVN-FRD-T25V-030-27</t>
  </si>
  <si>
    <t>2019-LVN-FRD-T25V-031-27</t>
  </si>
  <si>
    <t>2019-LVN-FRD-T25V-032-05</t>
  </si>
  <si>
    <t>LVN-FRD-T25V-032</t>
  </si>
  <si>
    <t>R2Z</t>
  </si>
  <si>
    <t>2019-LVN-FRD-T25V-033-05</t>
  </si>
  <si>
    <t>LVN-FRD-T25V-033</t>
  </si>
  <si>
    <t>2019-LVN-FRD-T25V-034-05</t>
  </si>
  <si>
    <t>LVN-FRD-T25V-034</t>
  </si>
  <si>
    <t>2019-LVN-FRD-T25V-036-05</t>
  </si>
  <si>
    <t>LVN-FRD-T25V-036</t>
  </si>
  <si>
    <t>R1Z</t>
  </si>
  <si>
    <t>2019-LVN-FRD-T25V-037-05</t>
  </si>
  <si>
    <t>LVN-FRD-T25V-037</t>
  </si>
  <si>
    <t>2019-LVN-FRD-T25V-038-05</t>
  </si>
  <si>
    <t>LVN-FRD-T25V-038</t>
  </si>
  <si>
    <t>2019-LVN-FRD-T25V-032-15</t>
  </si>
  <si>
    <t>2019-LVN-FRD-T25V-033-15</t>
  </si>
  <si>
    <t>2019-LVN-FRD-T25V-034-15</t>
  </si>
  <si>
    <t>2019-LVN-FRD-T25V-036-15</t>
  </si>
  <si>
    <t>2019-LVN-FRD-T25V-037-15</t>
  </si>
  <si>
    <t>2019-LVN-FRD-T25V-038-15</t>
  </si>
  <si>
    <t>2019-LVN-FRD-T25V-032-26</t>
  </si>
  <si>
    <t>2019-LVN-FRD-T25V-033-26</t>
  </si>
  <si>
    <t>2019-LVN-FRD-T25V-034-26</t>
  </si>
  <si>
    <t>2019-LVN-FRD-T25V-036-26</t>
  </si>
  <si>
    <t>2019-LVN-FRD-T25V-037-26</t>
  </si>
  <si>
    <t>2019-LVN-FRD-T25V-038-26</t>
  </si>
  <si>
    <t>2019-LVN-FRD-T25V-032-27</t>
  </si>
  <si>
    <t>2019-LVN-FRD-T25V-033-27</t>
  </si>
  <si>
    <t>2019-LVN-FRD-T25V-034-27</t>
  </si>
  <si>
    <t>2019-LVN-FRD-T25V-036-27</t>
  </si>
  <si>
    <t>2019-LVN-FRD-T25V-037-27</t>
  </si>
  <si>
    <t>2019-LVN-FRD-T25V-038-27</t>
  </si>
  <si>
    <t>2019-LVN-FRD-T3CC-003-05</t>
  </si>
  <si>
    <t>LVN-FRD-T3CC-003</t>
  </si>
  <si>
    <t>Transit 350 Chassis Cab</t>
  </si>
  <si>
    <t>S8Z</t>
  </si>
  <si>
    <t>2019-LVN-FRD-T3CC-004-05</t>
  </si>
  <si>
    <t>LVN-FRD-T3CC-004</t>
  </si>
  <si>
    <t>S9Z</t>
  </si>
  <si>
    <t>2019-LVN-FRD-T3CC-005-05</t>
  </si>
  <si>
    <t>LVN-FRD-T3CC-005</t>
  </si>
  <si>
    <t>F8Z</t>
  </si>
  <si>
    <t>2019-LVN-FRD-T3CC-006-05</t>
  </si>
  <si>
    <t>LVN-FRD-T3CC-006</t>
  </si>
  <si>
    <t>F9Z</t>
  </si>
  <si>
    <t>2019-LVN-FRD-T3CC-007-05</t>
  </si>
  <si>
    <t>LVN-FRD-T3CC-007</t>
  </si>
  <si>
    <t>2019-LVN-FRD-T3CC-008-05</t>
  </si>
  <si>
    <t>LVN-FRD-T3CC-008</t>
  </si>
  <si>
    <t>2019-LVN-FRD-T3CC-010-05</t>
  </si>
  <si>
    <t>LVN-FRD-T3CC-010</t>
  </si>
  <si>
    <t>S6Z</t>
  </si>
  <si>
    <t>2019-LVN-FRD-T3CC-011-05</t>
  </si>
  <si>
    <t>LVN-FRD-T3CC-011</t>
  </si>
  <si>
    <t>F6Z</t>
  </si>
  <si>
    <t>2019-LVN-FRD-T3CC-012-05</t>
  </si>
  <si>
    <t>LVN-FRD-T3CC-012</t>
  </si>
  <si>
    <t>2019-LVN-FRD-T3CC-003-15</t>
  </si>
  <si>
    <t>2019-LVN-FRD-T3CC-004-15</t>
  </si>
  <si>
    <t>2019-LVN-FRD-T3CC-005-15</t>
  </si>
  <si>
    <t>2019-LVN-FRD-T3CC-006-15</t>
  </si>
  <si>
    <t>2019-LVN-FRD-T3CC-007-15</t>
  </si>
  <si>
    <t>2019-LVN-FRD-T3CC-008-15</t>
  </si>
  <si>
    <t>2019-LVN-FRD-T3CC-010-15</t>
  </si>
  <si>
    <t>2019-LVN-FRD-T3CC-011-15</t>
  </si>
  <si>
    <t>2019-LVN-FRD-T3CC-012-15</t>
  </si>
  <si>
    <t>2019-LVN-FRD-T3CC-001-26</t>
  </si>
  <si>
    <t>LVN-FRD-T3CC-001</t>
  </si>
  <si>
    <t>2019-LVN-FRD-T3CC-002-26</t>
  </si>
  <si>
    <t>LVN-FRD-T3CC-002</t>
  </si>
  <si>
    <t>2019-LVN-FRD-T3CC-003-26</t>
  </si>
  <si>
    <t>2019-LVN-FRD-T3CC-004-26</t>
  </si>
  <si>
    <t>2019-LVN-FRD-T3CC-005-26</t>
  </si>
  <si>
    <t>2019-LVN-FRD-T3CC-006-26</t>
  </si>
  <si>
    <t>2019-LVN-FRD-T3CC-007-26</t>
  </si>
  <si>
    <t>2019-LVN-FRD-T3CC-008-26</t>
  </si>
  <si>
    <t>2019-LVN-FRD-T3CC-009-26</t>
  </si>
  <si>
    <t>LVN-FRD-T3CC-009</t>
  </si>
  <si>
    <t>2019-LVN-FRD-T3CC-010-26</t>
  </si>
  <si>
    <t>2019-LVN-FRD-T3CC-011-26</t>
  </si>
  <si>
    <t>2019-LVN-FRD-T3CC-012-26</t>
  </si>
  <si>
    <t>2019-LVN-FRD-T3CC-003-27</t>
  </si>
  <si>
    <t>2019-LVN-FRD-T3CC-004-27</t>
  </si>
  <si>
    <t>2019-LVN-FRD-T3CC-005-27</t>
  </si>
  <si>
    <t>2019-LVN-FRD-T3CC-006-27</t>
  </si>
  <si>
    <t>2019-LVN-FRD-T3CC-007-27</t>
  </si>
  <si>
    <t>2019-LVN-FRD-T3CC-008-27</t>
  </si>
  <si>
    <t>2019-LVN-FRD-T3CC-010-27</t>
  </si>
  <si>
    <t>2019-LVN-FRD-T3CC-011-27</t>
  </si>
  <si>
    <t>2019-LVN-FRD-T3CC-012-27</t>
  </si>
  <si>
    <t>2019-LVN-FRD-T3CC-014-05</t>
  </si>
  <si>
    <t>LVN-FRD-T3CC-014</t>
  </si>
  <si>
    <t>W5Z</t>
  </si>
  <si>
    <t>2019-LVN-FRD-T3CC-016-05</t>
  </si>
  <si>
    <t>LVN-FRD-T3CC-016</t>
  </si>
  <si>
    <t>W7Z</t>
  </si>
  <si>
    <t>2019-LVN-FRD-T3CC-014-15</t>
  </si>
  <si>
    <t>2019-LVN-FRD-T3CC-016-15</t>
  </si>
  <si>
    <t>2019-LVN-FRD-T3CC-013-26</t>
  </si>
  <si>
    <t>LVN-FRD-T3CC-013</t>
  </si>
  <si>
    <t>2019-LVN-FRD-T3CC-014-26</t>
  </si>
  <si>
    <t>2019-LVN-FRD-T3CC-015-26</t>
  </si>
  <si>
    <t>LVN-FRD-T3CC-015</t>
  </si>
  <si>
    <t>2019-LVN-FRD-T3CC-016-26</t>
  </si>
  <si>
    <t>2019-LVN-FRD-T3CC-014-27</t>
  </si>
  <si>
    <t>2019-LVN-FRD-T3CC-016-27</t>
  </si>
  <si>
    <t>2019-LVN-FRD-T3CW-002-05</t>
  </si>
  <si>
    <t>LVN-FRD-T3CW-002</t>
  </si>
  <si>
    <t>Transit 350 Cutaway</t>
  </si>
  <si>
    <t>F6P</t>
  </si>
  <si>
    <t>2019-LVN-FRD-T3CW-005-05</t>
  </si>
  <si>
    <t>LVN-FRD-T3CW-005</t>
  </si>
  <si>
    <t>S8P</t>
  </si>
  <si>
    <t>2019-LVN-FRD-T3CW-006-05</t>
  </si>
  <si>
    <t>LVN-FRD-T3CW-006</t>
  </si>
  <si>
    <t>S9P</t>
  </si>
  <si>
    <t>2019-LVN-FRD-T3CW-007-05</t>
  </si>
  <si>
    <t>LVN-FRD-T3CW-007</t>
  </si>
  <si>
    <t>F8P</t>
  </si>
  <si>
    <t>2019-LVN-FRD-T3CW-008-05</t>
  </si>
  <si>
    <t>LVN-FRD-T3CW-008</t>
  </si>
  <si>
    <t>F9P</t>
  </si>
  <si>
    <t>2019-LVN-FRD-T3CW-009-05</t>
  </si>
  <si>
    <t>LVN-FRD-T3CW-009</t>
  </si>
  <si>
    <t>2019-LVN-FRD-T3CW-010-05</t>
  </si>
  <si>
    <t>LVN-FRD-T3CW-010</t>
  </si>
  <si>
    <t>2019-LVN-FRD-T3CW-011-05</t>
  </si>
  <si>
    <t>LVN-FRD-T3CW-011</t>
  </si>
  <si>
    <t>S6P</t>
  </si>
  <si>
    <t>2019-LVN-FRD-T3CW-012-05</t>
  </si>
  <si>
    <t>LVN-FRD-T3CW-012</t>
  </si>
  <si>
    <t>2019-LVN-FRD-T3CW-002-15</t>
  </si>
  <si>
    <t>2019-LVN-FRD-T3CW-005-15</t>
  </si>
  <si>
    <t>2019-LVN-FRD-T3CW-006-15</t>
  </si>
  <si>
    <t>2019-LVN-FRD-T3CW-007-15</t>
  </si>
  <si>
    <t>2019-LVN-FRD-T3CW-008-15</t>
  </si>
  <si>
    <t>2019-LVN-FRD-T3CW-009-15</t>
  </si>
  <si>
    <t>2019-LVN-FRD-T3CW-010-15</t>
  </si>
  <si>
    <t>2019-LVN-FRD-T3CW-011-15</t>
  </si>
  <si>
    <t>2019-LVN-FRD-T3CW-012-15</t>
  </si>
  <si>
    <t>2019-LVN-FRD-T3CW-001-26</t>
  </si>
  <si>
    <t>LVN-FRD-T3CW-001</t>
  </si>
  <si>
    <t>2019-LVN-FRD-T3CW-002-26</t>
  </si>
  <si>
    <t>2019-LVN-FRD-T3CW-003-26</t>
  </si>
  <si>
    <t>LVN-FRD-T3CW-003</t>
  </si>
  <si>
    <t>2019-LVN-FRD-T3CW-004-26</t>
  </si>
  <si>
    <t>LVN-FRD-T3CW-004</t>
  </si>
  <si>
    <t>2019-LVN-FRD-T3CW-005-26</t>
  </si>
  <si>
    <t>2019-LVN-FRD-T3CW-006-26</t>
  </si>
  <si>
    <t>2019-LVN-FRD-T3CW-007-26</t>
  </si>
  <si>
    <t>2019-LVN-FRD-T3CW-008-26</t>
  </si>
  <si>
    <t>2019-LVN-FRD-T3CW-009-26</t>
  </si>
  <si>
    <t>2019-LVN-FRD-T3CW-010-26</t>
  </si>
  <si>
    <t>2019-LVN-FRD-T3CW-011-26</t>
  </si>
  <si>
    <t>2019-LVN-FRD-T3CW-012-26</t>
  </si>
  <si>
    <t>2019-LVN-FRD-T3CW-002-27</t>
  </si>
  <si>
    <t>2019-LVN-FRD-T3CW-005-27</t>
  </si>
  <si>
    <t>2019-LVN-FRD-T3CW-006-27</t>
  </si>
  <si>
    <t>2019-LVN-FRD-T3CW-007-27</t>
  </si>
  <si>
    <t>2019-LVN-FRD-T3CW-008-27</t>
  </si>
  <si>
    <t>2019-LVN-FRD-T3CW-009-27</t>
  </si>
  <si>
    <t>2019-LVN-FRD-T3CW-010-27</t>
  </si>
  <si>
    <t>2019-LVN-FRD-T3CW-011-27</t>
  </si>
  <si>
    <t>2019-LVN-FRD-T3CW-012-27</t>
  </si>
  <si>
    <t>2019-LVN-FRD-T3CW-016-05</t>
  </si>
  <si>
    <t>LVN-FRD-T3CW-016</t>
  </si>
  <si>
    <t>W7P</t>
  </si>
  <si>
    <t>2019-LVN-FRD-T3CW-014-15</t>
  </si>
  <si>
    <t>LVN-FRD-T3CW-014</t>
  </si>
  <si>
    <t>W5P</t>
  </si>
  <si>
    <t>2019-LVN-FRD-T3CW-016-15</t>
  </si>
  <si>
    <t>2019-LVN-FRD-T3CW-013-26</t>
  </si>
  <si>
    <t>LVN-FRD-T3CW-013</t>
  </si>
  <si>
    <t>2019-LVN-FRD-T3CW-014-26</t>
  </si>
  <si>
    <t>2019-LVN-FRD-T3CW-015-26</t>
  </si>
  <si>
    <t>LVN-FRD-T3CW-015</t>
  </si>
  <si>
    <t>2019-LVN-FRD-T3CW-016-26</t>
  </si>
  <si>
    <t>2019-LVN-FRD-T3CW-016-27</t>
  </si>
  <si>
    <t>2019-LVN-FRD-T35H-001-05</t>
  </si>
  <si>
    <t>LVN-FRD-T35H-001</t>
  </si>
  <si>
    <t>Transit 350 HD Van</t>
  </si>
  <si>
    <t>EL Dual Door</t>
  </si>
  <si>
    <t>F4U</t>
  </si>
  <si>
    <t>2019-LVN-FRD-T35H-002-05</t>
  </si>
  <si>
    <t>LVN-FRD-T35H-002</t>
  </si>
  <si>
    <t>S4U</t>
  </si>
  <si>
    <t>2019-LVN-FRD-T35H-003-05</t>
  </si>
  <si>
    <t>LVN-FRD-T35H-003</t>
  </si>
  <si>
    <t>2019-LVN-FRD-T35H-004-05</t>
  </si>
  <si>
    <t>LVN-FRD-T35H-004</t>
  </si>
  <si>
    <t>2019-LVN-FRD-T35H-005-05</t>
  </si>
  <si>
    <t>LVN-FRD-T35H-005</t>
  </si>
  <si>
    <t>2019-LVN-FRD-T35H-006-05</t>
  </si>
  <si>
    <t>LVN-FRD-T35H-006</t>
  </si>
  <si>
    <t>2019-LVN-FRD-T35H-001-15</t>
  </si>
  <si>
    <t>2019-LVN-FRD-T35H-002-15</t>
  </si>
  <si>
    <t>2019-LVN-FRD-T35H-003-15</t>
  </si>
  <si>
    <t>2019-LVN-FRD-T35H-004-15</t>
  </si>
  <si>
    <t>2019-LVN-FRD-T35H-005-15</t>
  </si>
  <si>
    <t>2019-LVN-FRD-T35H-006-15</t>
  </si>
  <si>
    <t>2019-LVN-FRD-T35H-001-26</t>
  </si>
  <si>
    <t>2019-LVN-FRD-T35H-002-26</t>
  </si>
  <si>
    <t>2019-LVN-FRD-T35H-003-26</t>
  </si>
  <si>
    <t>2019-LVN-FRD-T35H-004-26</t>
  </si>
  <si>
    <t>2019-LVN-FRD-T35H-005-26</t>
  </si>
  <si>
    <t>2019-LVN-FRD-T35H-006-26</t>
  </si>
  <si>
    <t>2019-LVN-FRD-T35H-001-27</t>
  </si>
  <si>
    <t>2019-LVN-FRD-T35H-002-27</t>
  </si>
  <si>
    <t>2019-LVN-FRD-T35H-003-27</t>
  </si>
  <si>
    <t>2019-LVN-FRD-T35H-004-27</t>
  </si>
  <si>
    <t>2019-LVN-FRD-T35H-005-27</t>
  </si>
  <si>
    <t>2019-LVN-FRD-T35H-006-27</t>
  </si>
  <si>
    <t>2019-LVN-FRD-T35H-007-05</t>
  </si>
  <si>
    <t>LVN-FRD-T35H-007</t>
  </si>
  <si>
    <t>EL Sliding RH Door</t>
  </si>
  <si>
    <t>F4X</t>
  </si>
  <si>
    <t>2019-LVN-FRD-T35H-008-05</t>
  </si>
  <si>
    <t>LVN-FRD-T35H-008</t>
  </si>
  <si>
    <t>S4X</t>
  </si>
  <si>
    <t>2019-LVN-FRD-T35H-009-05</t>
  </si>
  <si>
    <t>LVN-FRD-T35H-009</t>
  </si>
  <si>
    <t>2019-LVN-FRD-T35H-010-05</t>
  </si>
  <si>
    <t>LVN-FRD-T35H-010</t>
  </si>
  <si>
    <t>2019-LVN-FRD-T35H-020-05</t>
  </si>
  <si>
    <t>LVN-FRD-T35H-020</t>
  </si>
  <si>
    <t>2019-LVN-FRD-T35H-011-05</t>
  </si>
  <si>
    <t>LVN-FRD-T35H-011</t>
  </si>
  <si>
    <t>2019-LVN-FRD-T35H-007-15</t>
  </si>
  <si>
    <t>2019-LVN-FRD-T35H-008-15</t>
  </si>
  <si>
    <t>2019-LVN-FRD-T35H-009-15</t>
  </si>
  <si>
    <t>2019-LVN-FRD-T35H-010-15</t>
  </si>
  <si>
    <t>2019-LVN-FRD-T35H-020-15</t>
  </si>
  <si>
    <t>2019-LVN-FRD-T35H-011-15</t>
  </si>
  <si>
    <t>2019-LVN-FRD-T35H-007-26</t>
  </si>
  <si>
    <t>2019-LVN-FRD-T35H-008-26</t>
  </si>
  <si>
    <t>2019-LVN-FRD-T35H-009-26</t>
  </si>
  <si>
    <t>2019-LVN-FRD-T35H-010-26</t>
  </si>
  <si>
    <t>2019-LVN-FRD-T35H-020-26</t>
  </si>
  <si>
    <t>2019-LVN-FRD-T35H-011-26</t>
  </si>
  <si>
    <t>2019-LVN-FRD-T35H-007-27</t>
  </si>
  <si>
    <t>2019-LVN-FRD-T35H-008-27</t>
  </si>
  <si>
    <t>2019-LVN-FRD-T35H-009-27</t>
  </si>
  <si>
    <t>2019-LVN-FRD-T35H-010-27</t>
  </si>
  <si>
    <t>2019-LVN-FRD-T35H-020-27</t>
  </si>
  <si>
    <t>2019-LVN-FRD-T35H-011-27</t>
  </si>
  <si>
    <t>2019-LVN-FRD-T35H-015-05</t>
  </si>
  <si>
    <t>LVN-FRD-T35H-015</t>
  </si>
  <si>
    <t>Transit 350 HD Wagon</t>
  </si>
  <si>
    <t>Bus Door / Rear Entry</t>
  </si>
  <si>
    <t>FBDWCRE0310</t>
  </si>
  <si>
    <t xml:space="preserve">3.7L </t>
  </si>
  <si>
    <t>U4X</t>
  </si>
  <si>
    <t>2019-LVN-FRD-T35H-018-25</t>
  </si>
  <si>
    <t>LVN-FRD-T35H-018</t>
  </si>
  <si>
    <t>FBDPA0014</t>
  </si>
  <si>
    <t>GAS</t>
  </si>
  <si>
    <t>2019-LVN-FRD-T35H-019-25</t>
  </si>
  <si>
    <t>LVN-FRD-T35H-019</t>
  </si>
  <si>
    <t>FPA0015</t>
  </si>
  <si>
    <t>2019-LVN-FRD-T35H-016-25</t>
  </si>
  <si>
    <t>LVN-FRD-T35H-016</t>
  </si>
  <si>
    <t>2019-LVN-FRD-T35H-017-25</t>
  </si>
  <si>
    <t>LVN-FRD-T35H-017</t>
  </si>
  <si>
    <t>FWCRE0311</t>
  </si>
  <si>
    <t>2019-LVN-FRD-T35H-015-27</t>
  </si>
  <si>
    <t>2019-LVN-FRD-T35W-064-25</t>
  </si>
  <si>
    <t>LVN-FRD-T35W-064</t>
  </si>
  <si>
    <t>Transit 350 MR Wagon</t>
  </si>
  <si>
    <t>FPF0012</t>
  </si>
  <si>
    <t>X2C</t>
  </si>
  <si>
    <t>2019-LVN-FRD-T35W-063-25</t>
  </si>
  <si>
    <t>LVN-FRD-T35W-063</t>
  </si>
  <si>
    <t>F7DRE0210</t>
  </si>
  <si>
    <t>FWCRE0210</t>
  </si>
  <si>
    <t>2019-LVN-FRD-T35W-065-25</t>
  </si>
  <si>
    <t>LVN-FRD-T35W-065</t>
  </si>
  <si>
    <t>FWCSE0208</t>
  </si>
  <si>
    <t>FWCRE0208</t>
  </si>
  <si>
    <t>2019-LVN-FRD-T35V-001-05</t>
  </si>
  <si>
    <t>LVN-FRD-T35V-001</t>
  </si>
  <si>
    <t>Transit 350 Van</t>
  </si>
  <si>
    <t>W2D</t>
  </si>
  <si>
    <t>2019-LVN-FRD-T35V-003-05</t>
  </si>
  <si>
    <t>LVN-FRD-T35V-003</t>
  </si>
  <si>
    <t>W1D</t>
  </si>
  <si>
    <t>2019-LVN-FRD-T35V-004-05</t>
  </si>
  <si>
    <t>LVN-FRD-T35V-004</t>
  </si>
  <si>
    <t>2019-LVN-FRD-T35V-005-05</t>
  </si>
  <si>
    <t>LVN-FRD-T35V-005</t>
  </si>
  <si>
    <t>W3U</t>
  </si>
  <si>
    <t>2019-LVN-FRD-T35V-006-05</t>
  </si>
  <si>
    <t>LVN-FRD-T35V-006</t>
  </si>
  <si>
    <t>2019-LVN-FRD-T35V-007-05</t>
  </si>
  <si>
    <t>LVN-FRD-T35V-007</t>
  </si>
  <si>
    <t>2019-LVN-FRD-T35V-008-05</t>
  </si>
  <si>
    <t>LVN-FRD-T35V-008</t>
  </si>
  <si>
    <t>W2U</t>
  </si>
  <si>
    <t>2019-LVN-FRD-T35V-009-05</t>
  </si>
  <si>
    <t>LVN-FRD-T35V-009</t>
  </si>
  <si>
    <t>2019-LVN-FRD-T35V-001-15</t>
  </si>
  <si>
    <t>2019-LVN-FRD-T35V-002-15</t>
  </si>
  <si>
    <t>LVN-FRD-T35V-002</t>
  </si>
  <si>
    <t>2019-LVN-FRD-T35V-003-15</t>
  </si>
  <si>
    <t>2019-LVN-FRD-T35V-004-15</t>
  </si>
  <si>
    <t>2019-LVN-FRD-T35V-005-15</t>
  </si>
  <si>
    <t>2019-LVN-FRD-T35V-006-15</t>
  </si>
  <si>
    <t>2019-LVN-FRD-T35V-007-15</t>
  </si>
  <si>
    <t>2019-LVN-FRD-T35V-008-15</t>
  </si>
  <si>
    <t>2019-LVN-FRD-T35V-009-15</t>
  </si>
  <si>
    <t>2019-LVN-FRD-T35V-001-26</t>
  </si>
  <si>
    <t>2019-LVN-FRD-T35V-003-26</t>
  </si>
  <si>
    <t>2019-LVN-FRD-T35V-004-26</t>
  </si>
  <si>
    <t>2019-LVN-FRD-T35V-005-26</t>
  </si>
  <si>
    <t>2019-LVN-FRD-T35V-006-26</t>
  </si>
  <si>
    <t>2019-LVN-FRD-T35V-007-26</t>
  </si>
  <si>
    <t>2019-LVN-FRD-T35V-008-26</t>
  </si>
  <si>
    <t>2019-LVN-FRD-T35V-009-26</t>
  </si>
  <si>
    <t>2019-LVN-FRD-T35V-001-27</t>
  </si>
  <si>
    <t>2019-LVN-FRD-T35V-003-27</t>
  </si>
  <si>
    <t>2019-LVN-FRD-T35V-004-27</t>
  </si>
  <si>
    <t>2019-LVN-FRD-T35V-005-27</t>
  </si>
  <si>
    <t>2019-LVN-FRD-T35V-006-27</t>
  </si>
  <si>
    <t>2019-LVN-FRD-T35V-007-27</t>
  </si>
  <si>
    <t>2019-LVN-FRD-T35V-008-27</t>
  </si>
  <si>
    <t>2019-LVN-FRD-T35V-009-27</t>
  </si>
  <si>
    <t>2019-LVN-FRD-T35V-010-05</t>
  </si>
  <si>
    <t>LVN-FRD-T35V-010</t>
  </si>
  <si>
    <t>W2C</t>
  </si>
  <si>
    <t>2019-LVN-FRD-T35V-011-05</t>
  </si>
  <si>
    <t>LVN-FRD-T35V-011</t>
  </si>
  <si>
    <t>2019-LVN-FRD-T35V-013-05</t>
  </si>
  <si>
    <t>LVN-FRD-T35V-013</t>
  </si>
  <si>
    <t>W9C</t>
  </si>
  <si>
    <t>2019-LVN-FRD-T35V-014-05</t>
  </si>
  <si>
    <t>LVN-FRD-T35V-014</t>
  </si>
  <si>
    <t>2019-LVN-FRD-T35V-015-05</t>
  </si>
  <si>
    <t>LVN-FRD-T35V-015</t>
  </si>
  <si>
    <t>W3X</t>
  </si>
  <si>
    <t>2019-LVN-FRD-T35V-016-05</t>
  </si>
  <si>
    <t>LVN-FRD-T35V-016</t>
  </si>
  <si>
    <t>2019-LVN-FRD-T35V-030-05</t>
  </si>
  <si>
    <t>LVN-FRD-T35V-030</t>
  </si>
  <si>
    <t>2019-LVN-FRD-T35V-029-05</t>
  </si>
  <si>
    <t>LVN-FRD-T35V-029</t>
  </si>
  <si>
    <t>W2X</t>
  </si>
  <si>
    <t>2019-LVN-FRD-T35V-017-05</t>
  </si>
  <si>
    <t>LVN-FRD-T35V-017</t>
  </si>
  <si>
    <t>2019-LVN-FRD-T35V-018-05</t>
  </si>
  <si>
    <t>LVN-FRD-T35V-018</t>
  </si>
  <si>
    <t>2019-LVN-FRD-T35V-020-05</t>
  </si>
  <si>
    <t>LVN-FRD-T35V-020</t>
  </si>
  <si>
    <t>W2Y</t>
  </si>
  <si>
    <t>2019-LVN-FRD-T35V-021-05</t>
  </si>
  <si>
    <t>LVN-FRD-T35V-021</t>
  </si>
  <si>
    <t>2019-LVN-FRD-T35V-022-05</t>
  </si>
  <si>
    <t>LVN-FRD-T35V-022</t>
  </si>
  <si>
    <t>W1Y</t>
  </si>
  <si>
    <t>2019-LVN-FRD-T35V-023-05</t>
  </si>
  <si>
    <t>LVN-FRD-T35V-023</t>
  </si>
  <si>
    <t>2019-LVN-FRD-T35V-010-15</t>
  </si>
  <si>
    <t>2019-LVN-FRD-T35V-011-15</t>
  </si>
  <si>
    <t>2019-LVN-FRD-T35V-013-15</t>
  </si>
  <si>
    <t>2019-LVN-FRD-T35V-014-15</t>
  </si>
  <si>
    <t>2019-LVN-FRD-T35V-015-15</t>
  </si>
  <si>
    <t>2019-LVN-FRD-T35V-016-15</t>
  </si>
  <si>
    <t>2019-LVN-FRD-T35V-030-15</t>
  </si>
  <si>
    <t>2019-LVN-FRD-T35V-031-15</t>
  </si>
  <si>
    <t>LVN-FRD-T35V-031</t>
  </si>
  <si>
    <t>2019-LVN-FRD-T35V-017-15</t>
  </si>
  <si>
    <t>2019-LVN-FRD-T35V-018-15</t>
  </si>
  <si>
    <t>2019-LVN-FRD-T35V-020-15</t>
  </si>
  <si>
    <t>2019-LVN-FRD-T35V-021-15</t>
  </si>
  <si>
    <t>2019-LVN-FRD-T35V-022-15</t>
  </si>
  <si>
    <t>2019-LVN-FRD-T35V-023-15</t>
  </si>
  <si>
    <t>2019-LVN-FRD-T35V-010-26</t>
  </si>
  <si>
    <t>2019-LVN-FRD-T35V-011-26</t>
  </si>
  <si>
    <t>2019-LVN-FRD-T35V-013-26</t>
  </si>
  <si>
    <t>2019-LVN-FRD-T35V-014-26</t>
  </si>
  <si>
    <t>2019-LVN-FRD-T35V-015-26</t>
  </si>
  <si>
    <t>2019-LVN-FRD-T35V-016-26</t>
  </si>
  <si>
    <t>2019-LVN-FRD-T35V-030-26</t>
  </si>
  <si>
    <t>2019-LVN-FRD-T35V-017-26</t>
  </si>
  <si>
    <t>2019-LVN-FRD-T35V-018-26</t>
  </si>
  <si>
    <t>2019-LVN-FRD-T35V-021-26</t>
  </si>
  <si>
    <t>2019-LVN-FRD-T35V-023-26</t>
  </si>
  <si>
    <t>2019-LVN-FRD-T35V-010-27</t>
  </si>
  <si>
    <t>2019-LVN-FRD-T35V-011-27</t>
  </si>
  <si>
    <t>2019-LVN-FRD-T35V-013-27</t>
  </si>
  <si>
    <t>2019-LVN-FRD-T35V-014-27</t>
  </si>
  <si>
    <t>2019-LVN-FRD-T35V-015-27</t>
  </si>
  <si>
    <t>2019-LVN-FRD-T35V-016-27</t>
  </si>
  <si>
    <t>2019-LVN-FRD-T35V-030-27</t>
  </si>
  <si>
    <t>2019-LVN-FRD-T35V-029-27</t>
  </si>
  <si>
    <t>2019-LVN-FRD-T35V-017-27</t>
  </si>
  <si>
    <t>2019-LVN-FRD-T35V-018-27</t>
  </si>
  <si>
    <t>2019-LVN-FRD-T35V-020-27</t>
  </si>
  <si>
    <t>2019-LVN-FRD-T35V-021-27</t>
  </si>
  <si>
    <t>2019-LVN-FRD-T35V-022-27</t>
  </si>
  <si>
    <t>2019-LVN-FRD-T35V-023-27</t>
  </si>
  <si>
    <t>2019-LVN-FRD-T35V-024-05</t>
  </si>
  <si>
    <t>LVN-FRD-T35V-024</t>
  </si>
  <si>
    <t>W1Z</t>
  </si>
  <si>
    <t>2019-LVN-FRD-T35V-025-05</t>
  </si>
  <si>
    <t>LVN-FRD-T35V-025</t>
  </si>
  <si>
    <t>W2Z</t>
  </si>
  <si>
    <t>2019-LVN-FRD-T35V-026-05</t>
  </si>
  <si>
    <t>LVN-FRD-T35V-026</t>
  </si>
  <si>
    <t>2019-LVN-FRD-T35V-027-05</t>
  </si>
  <si>
    <t>LVN-FRD-T35V-027</t>
  </si>
  <si>
    <t>2019-LVN-FRD-T35V-024-15</t>
  </si>
  <si>
    <t>2019-LVN-FRD-T35V-025-15</t>
  </si>
  <si>
    <t>2019-LVN-FRD-T35V-026-15</t>
  </si>
  <si>
    <t>2019-LVN-FRD-T35V-027-15</t>
  </si>
  <si>
    <t>2019-LVN-FRD-T35V-026-26</t>
  </si>
  <si>
    <t>2019-LVN-FRD-T35V-027-26</t>
  </si>
  <si>
    <t>2019-LVN-FRD-T35V-024-27</t>
  </si>
  <si>
    <t>2019-LVN-FRD-T35V-025-27</t>
  </si>
  <si>
    <t>2019-LVN-FRD-T35V-026-27</t>
  </si>
  <si>
    <t>2019-LVN-FRD-T35V-027-27</t>
  </si>
  <si>
    <t>2019-LVN-FRD-T35W-001-05</t>
  </si>
  <si>
    <t>LVN-FRD-T35W-001</t>
  </si>
  <si>
    <t>Transit 350 Wagon</t>
  </si>
  <si>
    <t>X2X</t>
  </si>
  <si>
    <t>2019-LVN-FRD-T35W-002-05</t>
  </si>
  <si>
    <t>LVN-FRD-T35W-002</t>
  </si>
  <si>
    <t>2019-LVN-FRD-T35W-003-05</t>
  </si>
  <si>
    <t>LVN-FRD-T35W-003</t>
  </si>
  <si>
    <t>2019-LVN-FRD-T35W-005-05</t>
  </si>
  <si>
    <t>LVN-FRD-T35W-005</t>
  </si>
  <si>
    <t>X2Y</t>
  </si>
  <si>
    <t>2019-LVN-FRD-T35W-066-05</t>
  </si>
  <si>
    <t>LVN-FRD-T35W-066</t>
  </si>
  <si>
    <t>2019-LVN-FRD-T35W-075-05</t>
  </si>
  <si>
    <t>LVN-FRD-T35W-075</t>
  </si>
  <si>
    <t>2019-LVN-FRD-T35W-006-05</t>
  </si>
  <si>
    <t>LVN-FRD-T35W-006</t>
  </si>
  <si>
    <t>2019-LVN-FRD-T35W-007-05</t>
  </si>
  <si>
    <t>LVN-FRD-T35W-007</t>
  </si>
  <si>
    <t>2019-LVN-FRD-T35W-008-05</t>
  </si>
  <si>
    <t>LVN-FRD-T35W-008</t>
  </si>
  <si>
    <t>2019-LVN-FRD-T35W-010-05</t>
  </si>
  <si>
    <t>LVN-FRD-T35W-010</t>
  </si>
  <si>
    <t>2019-LVN-FRD-T35W-011-05</t>
  </si>
  <si>
    <t>LVN-FRD-T35W-011</t>
  </si>
  <si>
    <t>2019-LVN-FRD-T35W-012-05</t>
  </si>
  <si>
    <t>LVN-FRD-T35W-012</t>
  </si>
  <si>
    <t>2019-LVN-FRD-T35W-013-05</t>
  </si>
  <si>
    <t>LVN-FRD-T35W-013</t>
  </si>
  <si>
    <t>2019-LVN-FRD-T35W-014-05</t>
  </si>
  <si>
    <t>LVN-FRD-T35W-014</t>
  </si>
  <si>
    <t>2019-LVN-FRD-T35W-015-05</t>
  </si>
  <si>
    <t>LVN-FRD-T35W-015</t>
  </si>
  <si>
    <t>2019-LVN-FRD-T35W-067-05</t>
  </si>
  <si>
    <t>LVN-FRD-T35W-067</t>
  </si>
  <si>
    <t>2019-LVN-FRD-T35W-017-05</t>
  </si>
  <si>
    <t>LVN-FRD-T35W-017</t>
  </si>
  <si>
    <t>2019-LVN-FRD-T35W-068-05</t>
  </si>
  <si>
    <t>LVN-FRD-T35W-068</t>
  </si>
  <si>
    <t>2019-LVN-FRD-T35W-018-05</t>
  </si>
  <si>
    <t>LVN-FRD-T35W-018</t>
  </si>
  <si>
    <t>2019-LVN-FRD-T35W-019-05</t>
  </si>
  <si>
    <t>LVN-FRD-T35W-019</t>
  </si>
  <si>
    <t>2019-LVN-FRD-T35W-020-05</t>
  </si>
  <si>
    <t>LVN-FRD-T35W-020</t>
  </si>
  <si>
    <t>2019-LVN-FRD-T35W-001-15</t>
  </si>
  <si>
    <t>2019-LVN-FRD-T35W-002-15</t>
  </si>
  <si>
    <t>2019-LVN-FRD-T35W-003-15</t>
  </si>
  <si>
    <t>2019-LVN-FRD-T35W-005-15</t>
  </si>
  <si>
    <t>2019-LVN-FRD-T35W-075-15</t>
  </si>
  <si>
    <t>2019-LVN-FRD-T35W-006-15</t>
  </si>
  <si>
    <t>2019-LVN-FRD-T35W-007-15</t>
  </si>
  <si>
    <t>2019-LVN-FRD-T35W-008-15</t>
  </si>
  <si>
    <t>2019-LVN-FRD-T35W-010-15</t>
  </si>
  <si>
    <t>2019-LVN-FRD-T35W-011-15</t>
  </si>
  <si>
    <t>2019-LVN-FRD-T35W-012-15</t>
  </si>
  <si>
    <t>2019-LVN-FRD-T35W-013-15</t>
  </si>
  <si>
    <t>2019-LVN-FRD-T35W-014-15</t>
  </si>
  <si>
    <t>2019-LVN-FRD-T35W-015-15</t>
  </si>
  <si>
    <t>2019-LVN-FRD-T35W-017-15</t>
  </si>
  <si>
    <t>2019-LVN-FRD-T35W-018-15</t>
  </si>
  <si>
    <t>2019-LVN-FRD-T35W-019-15</t>
  </si>
  <si>
    <t>2019-LVN-FRD-T35W-020-15</t>
  </si>
  <si>
    <t>2019-LVN-FRD-T35W-001-26</t>
  </si>
  <si>
    <t>2019-LVN-FRD-T35W-002-26</t>
  </si>
  <si>
    <t>2019-LVN-FRD-T35W-003-26</t>
  </si>
  <si>
    <t>2019-LVN-FRD-T35W-005-26</t>
  </si>
  <si>
    <t>2019-LVN-FRD-T35W-074-26</t>
  </si>
  <si>
    <t>LVN-FRD-T35W-074</t>
  </si>
  <si>
    <t>2019-LVN-FRD-T35W-075-26</t>
  </si>
  <si>
    <t>2019-LVN-FRD-T35W-006-26</t>
  </si>
  <si>
    <t>2019-LVN-FRD-T35W-007-26</t>
  </si>
  <si>
    <t>2019-LVN-FRD-T35W-008-26</t>
  </si>
  <si>
    <t>2019-LVN-FRD-T35W-010-26</t>
  </si>
  <si>
    <t>2019-LVN-FRD-T35W-011-26</t>
  </si>
  <si>
    <t>2019-LVN-FRD-T35W-012-26</t>
  </si>
  <si>
    <t>2019-LVN-FRD-T35W-001-27</t>
  </si>
  <si>
    <t>2019-LVN-FRD-T35W-002-27</t>
  </si>
  <si>
    <t>2019-LVN-FRD-T35W-003-27</t>
  </si>
  <si>
    <t>2019-LVN-FRD-T35W-005-27</t>
  </si>
  <si>
    <t>2019-LVN-FRD-T35W-066-27</t>
  </si>
  <si>
    <t>2019-LVN-FRD-T35W-075-27</t>
  </si>
  <si>
    <t>2019-LVN-FRD-T35W-006-27</t>
  </si>
  <si>
    <t>2019-LVN-FRD-T35W-007-27</t>
  </si>
  <si>
    <t>2019-LVN-FRD-T35W-008-27</t>
  </si>
  <si>
    <t>2019-LVN-FRD-T35W-010-27</t>
  </si>
  <si>
    <t>2019-LVN-FRD-T35W-011-27</t>
  </si>
  <si>
    <t>2019-LVN-FRD-T35W-012-27</t>
  </si>
  <si>
    <t>2019-LVN-FRD-T35W-013-27</t>
  </si>
  <si>
    <t>2019-LVN-FRD-T35W-014-27</t>
  </si>
  <si>
    <t>2019-LVN-FRD-T35W-015-27</t>
  </si>
  <si>
    <t>2019-LVN-FRD-T35W-067-27</t>
  </si>
  <si>
    <t>2019-LVN-FRD-T35W-017-27</t>
  </si>
  <si>
    <t>2019-LVN-FRD-T35W-068-27</t>
  </si>
  <si>
    <t>2019-LVN-FRD-T35W-018-27</t>
  </si>
  <si>
    <t>2019-LVN-FRD-T35W-019-27</t>
  </si>
  <si>
    <t>2019-LVN-FRD-T35W-020-27</t>
  </si>
  <si>
    <t>2019-LVN-FRD-T35W-022-05</t>
  </si>
  <si>
    <t>LVN-FRD-T35W-022</t>
  </si>
  <si>
    <t>X2Z</t>
  </si>
  <si>
    <t>2019-LVN-FRD-T35W-023-05</t>
  </si>
  <si>
    <t>LVN-FRD-T35W-023</t>
  </si>
  <si>
    <t>2019-LVN-FRD-T35W-024-05</t>
  </si>
  <si>
    <t>LVN-FRD-T35W-024</t>
  </si>
  <si>
    <t>2019-LVN-FRD-T35W-026-05</t>
  </si>
  <si>
    <t>LVN-FRD-T35W-026</t>
  </si>
  <si>
    <t>2019-LVN-FRD-T35W-027-05</t>
  </si>
  <si>
    <t>LVN-FRD-T35W-027</t>
  </si>
  <si>
    <t>2019-LVN-FRD-T35W-022-15</t>
  </si>
  <si>
    <t>2019-LVN-FRD-T35W-023-15</t>
  </si>
  <si>
    <t>2019-LVN-FRD-T35W-024-15</t>
  </si>
  <si>
    <t>2019-LVN-FRD-T35W-026-15</t>
  </si>
  <si>
    <t>2019-LVN-FRD-T35W-027-15</t>
  </si>
  <si>
    <t>2019-LVN-FRD-T35W-028-15</t>
  </si>
  <si>
    <t>LVN-FRD-T35W-028</t>
  </si>
  <si>
    <t>2019-LVN-FRD-T35W-022-26</t>
  </si>
  <si>
    <t>2019-LVN-FRD-T35W-023-26</t>
  </si>
  <si>
    <t>2019-LVN-FRD-T35W-024-26</t>
  </si>
  <si>
    <t>2019-LVN-FRD-T35W-022-27</t>
  </si>
  <si>
    <t>2019-LVN-FRD-T35W-023-27</t>
  </si>
  <si>
    <t>2019-LVN-FRD-T35W-024-27</t>
  </si>
  <si>
    <t>2019-LVN-FRD-T35W-026-27</t>
  </si>
  <si>
    <t>2019-LVN-FRD-T35W-027-27</t>
  </si>
  <si>
    <t>2019-LVN-FRD-T35W-032-05</t>
  </si>
  <si>
    <t>LVN-FRD-T35W-032</t>
  </si>
  <si>
    <t>2019-LVN-FRD-T35W-033-05</t>
  </si>
  <si>
    <t>LVN-FRD-T35W-033</t>
  </si>
  <si>
    <t>2019-LVN-FRD-T35W-034-05</t>
  </si>
  <si>
    <t>LVN-FRD-T35W-034</t>
  </si>
  <si>
    <t>2019-LVN-FRD-T35W-069-05</t>
  </si>
  <si>
    <t>LVN-FRD-T35W-069</t>
  </si>
  <si>
    <t>2019-LVN-FRD-T35W-070-05</t>
  </si>
  <si>
    <t>LVN-FRD-T35W-070</t>
  </si>
  <si>
    <t>2019-LVN-FRD-T35W-079-05</t>
  </si>
  <si>
    <t>LVN-FRD-T35W-079</t>
  </si>
  <si>
    <t>2019-LVN-FRD-T35W-036-05</t>
  </si>
  <si>
    <t>LVN-FRD-T35W-036</t>
  </si>
  <si>
    <t>2019-LVN-FRD-T35W-037-05</t>
  </si>
  <si>
    <t>LVN-FRD-T35W-037</t>
  </si>
  <si>
    <t>2019-LVN-FRD-T35W-038-05</t>
  </si>
  <si>
    <t>LVN-FRD-T35W-038</t>
  </si>
  <si>
    <t>2019-LVN-FRD-T35W-040-05</t>
  </si>
  <si>
    <t>LVN-FRD-T35W-040</t>
  </si>
  <si>
    <t>2019-LVN-FRD-T35W-041-05</t>
  </si>
  <si>
    <t>LVN-FRD-T35W-041</t>
  </si>
  <si>
    <t>2019-LVN-FRD-T35W-042-05</t>
  </si>
  <si>
    <t>LVN-FRD-T35W-042</t>
  </si>
  <si>
    <t>2019-LVN-FRD-T35W-043-05</t>
  </si>
  <si>
    <t>LVN-FRD-T35W-043</t>
  </si>
  <si>
    <t>2019-LVN-FRD-T35W-044-05</t>
  </si>
  <si>
    <t>LVN-FRD-T35W-044</t>
  </si>
  <si>
    <t>2019-LVN-FRD-T35W-045-05</t>
  </si>
  <si>
    <t>LVN-FRD-T35W-045</t>
  </si>
  <si>
    <t>2019-LVN-FRD-T35W-071-05</t>
  </si>
  <si>
    <t>LVN-FRD-T35W-071</t>
  </si>
  <si>
    <t>2019-LVN-FRD-T35W-072-05</t>
  </si>
  <si>
    <t>LVN-FRD-T35W-072</t>
  </si>
  <si>
    <t>2019-LVN-FRD-T35W-073-05</t>
  </si>
  <si>
    <t>LVN-FRD-T35W-073</t>
  </si>
  <si>
    <t>2019-LVN-FRD-T35W-047-05</t>
  </si>
  <si>
    <t>LVN-FRD-T35W-047</t>
  </si>
  <si>
    <t>2019-LVN-FRD-T35W-048-05</t>
  </si>
  <si>
    <t>LVN-FRD-T35W-048</t>
  </si>
  <si>
    <t>2019-LVN-FRD-T35W-049-05</t>
  </si>
  <si>
    <t>LVN-FRD-T35W-049</t>
  </si>
  <si>
    <t>2019-LVN-FRD-T35W-032-15</t>
  </si>
  <si>
    <t>2019-LVN-FRD-T35W-033-15</t>
  </si>
  <si>
    <t>2019-LVN-FRD-T35W-034-15</t>
  </si>
  <si>
    <t>2019-LVN-FRD-T35W-077-15</t>
  </si>
  <si>
    <t>LVN-FRD-T35W-077</t>
  </si>
  <si>
    <t>2019-LVN-FRD-T35W-079-15</t>
  </si>
  <si>
    <t>2019-LVN-FRD-T35W-036-15</t>
  </si>
  <si>
    <t>2019-LVN-FRD-T35W-037-15</t>
  </si>
  <si>
    <t>2019-LVN-FRD-T35W-038-15</t>
  </si>
  <si>
    <t>2019-LVN-FRD-T35W-040-15</t>
  </si>
  <si>
    <t>2019-LVN-FRD-T35W-041-15</t>
  </si>
  <si>
    <t>2019-LVN-FRD-T35W-042-15</t>
  </si>
  <si>
    <t>2019-LVN-FRD-T35W-043-15</t>
  </si>
  <si>
    <t>2019-LVN-FRD-T35W-044-15</t>
  </si>
  <si>
    <t>2019-LVN-FRD-T35W-045-15</t>
  </si>
  <si>
    <t>2019-LVN-FRD-T35W-072-15</t>
  </si>
  <si>
    <t>2019-LVN-FRD-T35W-047-15</t>
  </si>
  <si>
    <t>2019-LVN-FRD-T35W-048-15</t>
  </si>
  <si>
    <t>2019-LVN-FRD-T35W-049-15</t>
  </si>
  <si>
    <t>2018-LVN-FRD-T35W-078-26</t>
  </si>
  <si>
    <t>LVN-FRD-T35W-078</t>
  </si>
  <si>
    <t>2018-LVN-FRD-T35W-070-26</t>
  </si>
  <si>
    <t>2019-LVN-FRD-T35W-032-26</t>
  </si>
  <si>
    <t>2019-LVN-FRD-T35W-033-26</t>
  </si>
  <si>
    <t>2019-LVN-FRD-T35W-034-26</t>
  </si>
  <si>
    <t>2019-LVN-FRD-T35W-079-26</t>
  </si>
  <si>
    <t>2019-LVN-FRD-T35W-036-26</t>
  </si>
  <si>
    <t>2019-LVN-FRD-T35W-037-26</t>
  </si>
  <si>
    <t>2019-LVN-FRD-T35W-038-26</t>
  </si>
  <si>
    <t>2019-LVN-FRD-T35W-040-26</t>
  </si>
  <si>
    <t>2019-LVN-FRD-T35W-041-26</t>
  </si>
  <si>
    <t>2019-LVN-FRD-T35W-042-26</t>
  </si>
  <si>
    <t>2019-LVN-FRD-T35W-032-27</t>
  </si>
  <si>
    <t>2019-LVN-FRD-T35W-033-27</t>
  </si>
  <si>
    <t>2019-LVN-FRD-T35W-034-27</t>
  </si>
  <si>
    <t>2019-LVN-FRD-T35W-069-27</t>
  </si>
  <si>
    <t>2019-LVN-FRD-T35W-070-27</t>
  </si>
  <si>
    <t>2019-LVN-FRD-T35W-079-27</t>
  </si>
  <si>
    <t>2019-LVN-FRD-T35W-036-27</t>
  </si>
  <si>
    <t>2019-LVN-FRD-T35W-037-27</t>
  </si>
  <si>
    <t>2019-LVN-FRD-T35W-038-27</t>
  </si>
  <si>
    <t>2019-LVN-FRD-T35W-040-27</t>
  </si>
  <si>
    <t>2019-LVN-FRD-T35W-041-27</t>
  </si>
  <si>
    <t>2019-LVN-FRD-T35W-042-27</t>
  </si>
  <si>
    <t>2019-LVN-FRD-T35W-043-27</t>
  </si>
  <si>
    <t>2019-LVN-FRD-T35W-044-27</t>
  </si>
  <si>
    <t>2019-LVN-FRD-T35W-045-27</t>
  </si>
  <si>
    <t>2019-LVN-FRD-T35W-071-27</t>
  </si>
  <si>
    <t>2019-LVN-FRD-T35W-072-27</t>
  </si>
  <si>
    <t>2019-LVN-FRD-T35W-073-27</t>
  </si>
  <si>
    <t>2019-LVN-FRD-T35W-047-27</t>
  </si>
  <si>
    <t>2019-LVN-FRD-T35W-048-27</t>
  </si>
  <si>
    <t>2019-LVN-FRD-T35W-049-27</t>
  </si>
  <si>
    <t>2019-LVN-FRD-T35W-052-05</t>
  </si>
  <si>
    <t>LVN-FRD-T35W-052</t>
  </si>
  <si>
    <t>2019-LVN-FRD-T35W-053-05</t>
  </si>
  <si>
    <t>LVN-FRD-T35W-053</t>
  </si>
  <si>
    <t>2019-LVN-FRD-T35W-055-05</t>
  </si>
  <si>
    <t>LVN-FRD-T35W-055</t>
  </si>
  <si>
    <t>2019-LVN-FRD-T35W-056-05</t>
  </si>
  <si>
    <t>LVN-FRD-T35W-056</t>
  </si>
  <si>
    <t>2019-LVN-FRD-T35W-057-05</t>
  </si>
  <si>
    <t>LVN-FRD-T35W-057</t>
  </si>
  <si>
    <t>2019-LVN-FRD-T35W-051-15</t>
  </si>
  <si>
    <t>LVN-FRD-T35W-051</t>
  </si>
  <si>
    <t>2019-LVN-FRD-T35W-052-15</t>
  </si>
  <si>
    <t>2019-LVN-FRD-T35W-053-15</t>
  </si>
  <si>
    <t>2019-LVN-FRD-T35W-055-15</t>
  </si>
  <si>
    <t>2019-LVN-FRD-T35W-056-15</t>
  </si>
  <si>
    <t>2019-LVN-FRD-T35W-057-15</t>
  </si>
  <si>
    <t>2019-LVN-FRD-T35W-052-27</t>
  </si>
  <si>
    <t>2019-LVN-FRD-T35W-053-27</t>
  </si>
  <si>
    <t>2019-LVN-FRD-T35W-055-27</t>
  </si>
  <si>
    <t>2019-LVN-FRD-T35W-056-27</t>
  </si>
  <si>
    <t>2019-LVN-FRD-T35W-057-27</t>
  </si>
  <si>
    <t>2019-LVN-FRD-TCTV-009-05</t>
  </si>
  <si>
    <t>LVN-FRD-TCTV-009</t>
  </si>
  <si>
    <t>Cargo/Compact</t>
  </si>
  <si>
    <t>Transit Connect Van</t>
  </si>
  <si>
    <t>XL w/Rear Liftgate</t>
  </si>
  <si>
    <t>1.5L Ecoblue Diesel</t>
  </si>
  <si>
    <t>E6E</t>
  </si>
  <si>
    <t>2019-LVN-FRD-TCTV-001-05</t>
  </si>
  <si>
    <t>LVN-FRD-TCTV-001</t>
  </si>
  <si>
    <t xml:space="preserve">2.0L </t>
  </si>
  <si>
    <t>2019-LVN-FRD-TCTV-010-05</t>
  </si>
  <si>
    <t>LVN-FRD-TCTV-010</t>
  </si>
  <si>
    <t>2.5L/CNG Prep</t>
  </si>
  <si>
    <t>2019-LVN-FRD-TCTV-011-05</t>
  </si>
  <si>
    <t>LVN-FRD-TCTV-011</t>
  </si>
  <si>
    <t>E7E</t>
  </si>
  <si>
    <t>2019-LVN-FRD-TCTV-002-05</t>
  </si>
  <si>
    <t>LVN-FRD-TCTV-002</t>
  </si>
  <si>
    <t>2019-LVN-FRD-TCTV-012-05</t>
  </si>
  <si>
    <t>LVN-FRD-TCTV-012</t>
  </si>
  <si>
    <t>2019-LVN-FRD-TCTV-001-15</t>
  </si>
  <si>
    <t>2019-LVN-FRD-TCTV-002-15</t>
  </si>
  <si>
    <t>2019-LVN-FRD-TCTV-001-26</t>
  </si>
  <si>
    <t>2019-LVN-FRD-TCTV-002-26</t>
  </si>
  <si>
    <t>2019-LVN-FRD-TCTV-009-27</t>
  </si>
  <si>
    <t>2019-LVN-FRD-TCTV-001-27</t>
  </si>
  <si>
    <t>2019-LVN-FRD-TCTV-010-27</t>
  </si>
  <si>
    <t>2019-LVN-FRD-TCTV-011-27</t>
  </si>
  <si>
    <t>2019-LVN-FRD-TCTV-002-27</t>
  </si>
  <si>
    <t>2019-LVN-FRD-TCTV-012-27</t>
  </si>
  <si>
    <t>2019-LVN-FRD-TCTV-013-05</t>
  </si>
  <si>
    <t>LVN-FRD-TCTV-013</t>
  </si>
  <si>
    <t>XL w/Symmetrical Rear Drs</t>
  </si>
  <si>
    <t>S6E</t>
  </si>
  <si>
    <t>2019-LVN-FRD-TCTV-003-05</t>
  </si>
  <si>
    <t>LVN-FRD-TCTV-003</t>
  </si>
  <si>
    <t>2019-LVN-FRD-TCTV-014-05</t>
  </si>
  <si>
    <t>LVN-FRD-TCTV-014</t>
  </si>
  <si>
    <t>2019-LVN-FRD-TCTV-015-05</t>
  </si>
  <si>
    <t>LVN-FRD-TCTV-015</t>
  </si>
  <si>
    <t>S7E</t>
  </si>
  <si>
    <t>2019-LVN-FRD-TCTV-004-05</t>
  </si>
  <si>
    <t>LVN-FRD-TCTV-004</t>
  </si>
  <si>
    <t>2019-LVN-FRD-TCTV-016-05</t>
  </si>
  <si>
    <t>LVN-FRD-TCTV-016</t>
  </si>
  <si>
    <t>2019-LVN-FRD-TCTV-003-15</t>
  </si>
  <si>
    <t>2019-LVN-FRD-TCTV-004-15</t>
  </si>
  <si>
    <t>2019-LVN-FRD-TCTV-003-26</t>
  </si>
  <si>
    <t>2019-LVN-FRD-TCTV-004-26</t>
  </si>
  <si>
    <t>2019-LVN-FRD-TCTV-013-27</t>
  </si>
  <si>
    <t>2019-LVN-FRD-TCTV-003-27</t>
  </si>
  <si>
    <t>2019-LVN-FRD-TCTV-014-27</t>
  </si>
  <si>
    <t>2019-LVN-FRD-TCTV-015-27</t>
  </si>
  <si>
    <t>2019-LVN-FRD-TCTV-004-27</t>
  </si>
  <si>
    <t>2019-LVN-FRD-TCTV-016-27</t>
  </si>
  <si>
    <t>2019-LVN-FRD-TCTV-017-05</t>
  </si>
  <si>
    <t>LVN-FRD-TCTV-017</t>
  </si>
  <si>
    <t>XLT w/Rear Liftgate</t>
  </si>
  <si>
    <t>E6F</t>
  </si>
  <si>
    <t>110A</t>
  </si>
  <si>
    <t>2019-LVN-FRD-TCTV-005-05</t>
  </si>
  <si>
    <t>LVN-FRD-TCTV-005</t>
  </si>
  <si>
    <t>2019-LVN-FRD-TCTV-018-05</t>
  </si>
  <si>
    <t>LVN-FRD-TCTV-018</t>
  </si>
  <si>
    <t>2019-LVN-FRD-TCTV-019-05</t>
  </si>
  <si>
    <t>LVN-FRD-TCTV-019</t>
  </si>
  <si>
    <t>E7F</t>
  </si>
  <si>
    <t>2019-LVN-FRD-TCTV-006-05</t>
  </si>
  <si>
    <t>LVN-FRD-TCTV-006</t>
  </si>
  <si>
    <t>2019-LVN-FRD-TCTV-020-05</t>
  </si>
  <si>
    <t>LVN-FRD-TCTV-020</t>
  </si>
  <si>
    <t>2019-LVN-FRD-TCTV-005-15</t>
  </si>
  <si>
    <t>2019-LVN-FRD-TCTV-006-15</t>
  </si>
  <si>
    <t>2019-LVN-FRD-TCTV-005-26</t>
  </si>
  <si>
    <t>2019-LVN-FRD-TCTV-006-26</t>
  </si>
  <si>
    <t>2019-LVN-FRD-TCTV-017-27</t>
  </si>
  <si>
    <t>2019-LVN-FRD-TCTV-005-27</t>
  </si>
  <si>
    <t>2019-LVN-FRD-TCTV-018-27</t>
  </si>
  <si>
    <t>2019-LVN-FRD-TCTV-019-27</t>
  </si>
  <si>
    <t>2019-LVN-FRD-TCTV-006-27</t>
  </si>
  <si>
    <t>2019-LVN-FRD-TCTV-020-27</t>
  </si>
  <si>
    <t>2019-LVN-FRD-TCTV-021-05</t>
  </si>
  <si>
    <t>LVN-FRD-TCTV-021</t>
  </si>
  <si>
    <t>XLT w/Symmetrical Rear Drs</t>
  </si>
  <si>
    <t>S6F</t>
  </si>
  <si>
    <t>2019-LVN-FRD-TCTV-007-05</t>
  </si>
  <si>
    <t>LVN-FRD-TCTV-007</t>
  </si>
  <si>
    <t>2019-LVN-FRD-TCTV-022-05</t>
  </si>
  <si>
    <t>LVN-FRD-TCTV-022</t>
  </si>
  <si>
    <t>2019-LVN-FRD-TCTV-023-05</t>
  </si>
  <si>
    <t>LVN-FRD-TCTV-023</t>
  </si>
  <si>
    <t>S7F</t>
  </si>
  <si>
    <t>2019-LVN-FRD-TCTV-008-05</t>
  </si>
  <si>
    <t>LVN-FRD-TCTV-008</t>
  </si>
  <si>
    <t>2019-LVN-FRD-TCTV-024-05</t>
  </si>
  <si>
    <t>LVN-FRD-TCTV-024</t>
  </si>
  <si>
    <t>2019-LVN-FRD-TCTV-007-15</t>
  </si>
  <si>
    <t>2019-LVN-FRD-TCTV-008-15</t>
  </si>
  <si>
    <t>2019-LVN-FRD-TCTV-007-26</t>
  </si>
  <si>
    <t>2019-LVN-FRD-TCTV-008-26</t>
  </si>
  <si>
    <t>2019-LVN-FRD-TCTV-021-27</t>
  </si>
  <si>
    <t>2019-LVN-FRD-TCTV-007-27</t>
  </si>
  <si>
    <t>2019-LVN-FRD-TCTV-022-27</t>
  </si>
  <si>
    <t>2019-LVN-FRD-TCTV-023-27</t>
  </si>
  <si>
    <t>2019-LVN-FRD-TCTV-008-27</t>
  </si>
  <si>
    <t>2019-LVN-FRD-TCTV-024-27</t>
  </si>
  <si>
    <t>2019-LVN-FRD-TCTW-007-05</t>
  </si>
  <si>
    <t>LVN-FRD-TCTW-007</t>
  </si>
  <si>
    <t>Passenger/Compact</t>
  </si>
  <si>
    <t>Transit Connect Wagon</t>
  </si>
  <si>
    <t>E8G</t>
  </si>
  <si>
    <t>310A</t>
  </si>
  <si>
    <t>2019-LVN-FRD-TCTW-008-05</t>
  </si>
  <si>
    <t>LVN-FRD-TCTW-008</t>
  </si>
  <si>
    <t>E9G</t>
  </si>
  <si>
    <t>2019-LVN-FRD-TCTW-007-15</t>
  </si>
  <si>
    <t>2019-LVN-FRD-TCTW-008-15</t>
  </si>
  <si>
    <t>2019-LVN-FRD-TCTW-008-26</t>
  </si>
  <si>
    <t>2019-LVN-FRD-TCTW-007-27</t>
  </si>
  <si>
    <t>2019-LVN-FRD-TCTW-008-27</t>
  </si>
  <si>
    <t>2019-LVN-FRD-TCTW-009-05</t>
  </si>
  <si>
    <t>LVN-FRD-TCTW-009</t>
  </si>
  <si>
    <t>E9E</t>
  </si>
  <si>
    <t>2019-LVN-FRD-TCTW-001-05</t>
  </si>
  <si>
    <t>LVN-FRD-TCTW-001</t>
  </si>
  <si>
    <t>2019-LVN-FRD-TCTW-010-05</t>
  </si>
  <si>
    <t>LVN-FRD-TCTW-010</t>
  </si>
  <si>
    <t>2019-LVN-FRD-TCTW-001-15</t>
  </si>
  <si>
    <t>2019-LVN-FRD-TCTW-001-26</t>
  </si>
  <si>
    <t>2019-LVN-FRD-TCTW-009-27</t>
  </si>
  <si>
    <t>2019-LVN-FRD-TCTW-001-27</t>
  </si>
  <si>
    <t>2019-LVN-FRD-TCTW-010-27</t>
  </si>
  <si>
    <t>2019-LVN-FRD-TCTW-011-05</t>
  </si>
  <si>
    <t>LVN-FRD-TCTW-011</t>
  </si>
  <si>
    <t>S9E</t>
  </si>
  <si>
    <t>2019-LVN-FRD-TCTW-002-05</t>
  </si>
  <si>
    <t>LVN-FRD-TCTW-002</t>
  </si>
  <si>
    <t>2019-LVN-FRD-TCTW-012-05</t>
  </si>
  <si>
    <t>LVN-FRD-TCTW-012</t>
  </si>
  <si>
    <t>2019-LVN-FRD-TCTW-002-15</t>
  </si>
  <si>
    <t>2019-LVN-FRD-TCTW-002-26</t>
  </si>
  <si>
    <t>2019-LVN-FRD-TCTW-011-27</t>
  </si>
  <si>
    <t>2019-LVN-FRD-TCTW-002-27</t>
  </si>
  <si>
    <t>2019-LVN-FRD-TCTW-012-27</t>
  </si>
  <si>
    <t>2019-LVN-FRD-TCTW-013-05</t>
  </si>
  <si>
    <t>LVN-FRD-TCTW-013</t>
  </si>
  <si>
    <t>E8F</t>
  </si>
  <si>
    <t>210A</t>
  </si>
  <si>
    <t>2019-LVN-FRD-TCTW-014-05</t>
  </si>
  <si>
    <t>LVN-FRD-TCTW-014</t>
  </si>
  <si>
    <t>E9F</t>
  </si>
  <si>
    <t>2019-LVN-FRD-TCTW-004-05</t>
  </si>
  <si>
    <t>LVN-FRD-TCTW-004</t>
  </si>
  <si>
    <t>2019-LVN-FRD-TCTW-003-15</t>
  </si>
  <si>
    <t>LVN-FRD-TCTW-003</t>
  </si>
  <si>
    <t>2019-LVN-FRD-TCTW-004-15</t>
  </si>
  <si>
    <t>2019-LVN-FRD-TCTW-003-26</t>
  </si>
  <si>
    <t>2019-LVN-FRD-TCTW-004-26</t>
  </si>
  <si>
    <t>2019-LVN-FRD-TCTW-013-27</t>
  </si>
  <si>
    <t>2019-LVN-FRD-TCTW-014-27</t>
  </si>
  <si>
    <t>2019-LVN-FRD-TCTW-004-27</t>
  </si>
  <si>
    <t>2019-LVN-FRD-TCTW-015-05</t>
  </si>
  <si>
    <t>LVN-FRD-TCTW-015</t>
  </si>
  <si>
    <t>S8F</t>
  </si>
  <si>
    <t>2019-LVN-FRD-TCTW-016-05</t>
  </si>
  <si>
    <t>LVN-FRD-TCTW-016</t>
  </si>
  <si>
    <t>S9F</t>
  </si>
  <si>
    <t>2019-LVN-FRD-TCTW-006-05</t>
  </si>
  <si>
    <t>LVN-FRD-TCTW-006</t>
  </si>
  <si>
    <t>2019-LVN-FRD-TCTW-005-15</t>
  </si>
  <si>
    <t>LVN-FRD-TCTW-005</t>
  </si>
  <si>
    <t>2019-LVN-FRD-TCTW-006-15</t>
  </si>
  <si>
    <t>2019-LVN-FRD-TCTW-005-26</t>
  </si>
  <si>
    <t>2019-LVN-FRD-TCTW-006-26</t>
  </si>
  <si>
    <t>2019-LVN-FRD-TCTW-015-27</t>
  </si>
  <si>
    <t>2019-LVN-FRD-TCTW-016-27</t>
  </si>
  <si>
    <t>2019-LVN-FRD-TCTW-006-27</t>
  </si>
  <si>
    <t>2019-LVN-HND-ODSY-001-06</t>
  </si>
  <si>
    <t>LVN-HND-ODSY-001</t>
  </si>
  <si>
    <t>Odyssey</t>
  </si>
  <si>
    <t>LX Auto</t>
  </si>
  <si>
    <t>RL6H2KEW</t>
  </si>
  <si>
    <t>2019-LVN-HND-ODSY-001-14</t>
  </si>
  <si>
    <t>2019-LVN-NIS-NV15-001-07</t>
  </si>
  <si>
    <t>LVN-NIS-NV15-001</t>
  </si>
  <si>
    <t>NV 1500</t>
  </si>
  <si>
    <t>4.0L</t>
  </si>
  <si>
    <t>2019-LVN-NIS-NV15-001-16</t>
  </si>
  <si>
    <t>2019-LVN-NIS-NV15-002-07</t>
  </si>
  <si>
    <t>LVN-NIS-NV15-002</t>
  </si>
  <si>
    <t>2019-LVN-NIS-NV15-002-16</t>
  </si>
  <si>
    <t>2019-LVN-NIS-NV25-005-07</t>
  </si>
  <si>
    <t>LVN-NIS-NV25-005</t>
  </si>
  <si>
    <t>NV 2500</t>
  </si>
  <si>
    <t>2019-LVN-NIS-NV25-006-07</t>
  </si>
  <si>
    <t>LVN-NIS-NV25-006</t>
  </si>
  <si>
    <t>5.6L</t>
  </si>
  <si>
    <t>2019-LVN-NIS-NV25-007-07</t>
  </si>
  <si>
    <t>LVN-NIS-NV25-007</t>
  </si>
  <si>
    <t>2019-LVN-NIS-NV25-008-07</t>
  </si>
  <si>
    <t>LVN-NIS-NV25-008</t>
  </si>
  <si>
    <t>2019-LVN-NIS-NV25-007-16</t>
  </si>
  <si>
    <t>2019-LVN-NIS-NV25-001-07</t>
  </si>
  <si>
    <t>LVN-NIS-NV25-001</t>
  </si>
  <si>
    <t>2019-LVN-NIS-NV25-003-07</t>
  </si>
  <si>
    <t>LVN-NIS-NV25-003</t>
  </si>
  <si>
    <t>2019-LVN-NIS-NV25-013-07</t>
  </si>
  <si>
    <t>LVN-NIS-NV25-013</t>
  </si>
  <si>
    <t>2019-LVN-NIS-NV25-009-07</t>
  </si>
  <si>
    <t>LVN-NIS-NV25-009</t>
  </si>
  <si>
    <t>2019-LVN-NIS-NV25-010-07</t>
  </si>
  <si>
    <t>LVN-NIS-NV25-010</t>
  </si>
  <si>
    <t>2019-LVN-NIS-NV25-011-07</t>
  </si>
  <si>
    <t>LVN-NIS-NV25-011</t>
  </si>
  <si>
    <t>2019-LVN-NIS-NV25-010-16</t>
  </si>
  <si>
    <t>2019-LVN-NIS-NV25-014-16</t>
  </si>
  <si>
    <t>LVN-NIS-NV25-014</t>
  </si>
  <si>
    <t>NV 2500HR</t>
  </si>
  <si>
    <t>2019-LVN-NIS-NV25-012-16</t>
  </si>
  <si>
    <t>LVN-NIS-NV25-012</t>
  </si>
  <si>
    <t>2019-LVN-NIS-NV35-003-07</t>
  </si>
  <si>
    <t>LVN-NIS-NV35-003</t>
  </si>
  <si>
    <t>NV 3500</t>
  </si>
  <si>
    <t>2019-LVN-NIS-NV35-004-07</t>
  </si>
  <si>
    <t>LVN-NIS-NV35-004</t>
  </si>
  <si>
    <t>2019-LVN-NIS-NV35-001-07</t>
  </si>
  <si>
    <t>LVN-NIS-NV35-001</t>
  </si>
  <si>
    <t>2019-LVN-NIS-NV35-002-07</t>
  </si>
  <si>
    <t>LVN-NIS-NV35-002</t>
  </si>
  <si>
    <t>2019-LVN-NIS-NV35-005-07</t>
  </si>
  <si>
    <t>LVN-NIS-NV35-005</t>
  </si>
  <si>
    <t>2019-LVN-NIS-NV35-006-07</t>
  </si>
  <si>
    <t>LVN-NIS-NV35-006</t>
  </si>
  <si>
    <t>2019-LVN-NIS-NV35-007-16</t>
  </si>
  <si>
    <t>LVN-NIS-NV35-007</t>
  </si>
  <si>
    <t>NV 3500HR</t>
  </si>
  <si>
    <t>2019-LVN-NIS-NV20-001-07</t>
  </si>
  <si>
    <t>LVN-NIS-NV20-001</t>
  </si>
  <si>
    <t>NV200</t>
  </si>
  <si>
    <t>2019-LVN-NIS-NV20-002-07</t>
  </si>
  <si>
    <t>LVN-NIS-NV20-002</t>
  </si>
  <si>
    <t>2019-LVN-NIS-NV20-001-16</t>
  </si>
  <si>
    <t>2019-LVN-NIS-NV20-003-07</t>
  </si>
  <si>
    <t>LVN-NIS-NV20-003</t>
  </si>
  <si>
    <t>2019-LVN-NIS-NV20-004-07</t>
  </si>
  <si>
    <t>LVN-NIS-NV20-004</t>
  </si>
  <si>
    <t>2019-LVN-NIS-NV20-003-16</t>
  </si>
  <si>
    <t>2019-LVN-NIS-NVP3-002-07</t>
  </si>
  <si>
    <t>LVN-NIS-NVP3-002</t>
  </si>
  <si>
    <t>NVP 3500</t>
  </si>
  <si>
    <t>2019-LVN-NIS-NVP3-002-16</t>
  </si>
  <si>
    <t>2019-LVN-NIS-NVP3-001-07</t>
  </si>
  <si>
    <t>LVN-NIS-NVP3-001</t>
  </si>
  <si>
    <t>2019-LVN-NIS-NVP3-004-07</t>
  </si>
  <si>
    <t>LVN-NIS-NVP3-004</t>
  </si>
  <si>
    <t>2019-LVN-NIS-NVP3-004-16</t>
  </si>
  <si>
    <t>2019-LVN-RAM-PM15-003-08</t>
  </si>
  <si>
    <t>LVN-RAM-PM15-003</t>
  </si>
  <si>
    <t>RAM</t>
  </si>
  <si>
    <t>Promaster 1500</t>
  </si>
  <si>
    <t xml:space="preserve">3.6L </t>
  </si>
  <si>
    <t>VF1L11</t>
  </si>
  <si>
    <t>2019-LVN-RAM-PM15-004-08</t>
  </si>
  <si>
    <t>LVN-RAM-PM15-004</t>
  </si>
  <si>
    <t>VF1L12</t>
  </si>
  <si>
    <t>2019-LVN-RAM-PM15-006-08</t>
  </si>
  <si>
    <t>LVN-RAM-PM15-006</t>
  </si>
  <si>
    <t>VF1L13</t>
  </si>
  <si>
    <t>2019-LVN-RAM-PM15-006-04</t>
  </si>
  <si>
    <t>Cargo Van HR</t>
  </si>
  <si>
    <t>2019-LVN-RAM-PM15-003-04</t>
  </si>
  <si>
    <t>Cargo Van LR</t>
  </si>
  <si>
    <t>2019-LVN-RAM-PM15-004-04</t>
  </si>
  <si>
    <t>2019-LVN-RAM-PM25-003-08</t>
  </si>
  <si>
    <t>LVN-RAM-PM25-003</t>
  </si>
  <si>
    <t>Promaster 2500</t>
  </si>
  <si>
    <t>VF2L13</t>
  </si>
  <si>
    <t>2019-LVN-RAM-PM25-004-08</t>
  </si>
  <si>
    <t>LVN-RAM-PM25-004</t>
  </si>
  <si>
    <t>VF2L16</t>
  </si>
  <si>
    <t>2019-LVN-RAM-PM15-007-04</t>
  </si>
  <si>
    <t>LVN-RAM-PM15-007</t>
  </si>
  <si>
    <t>2019-LVN-RAM-PM25-005-08</t>
  </si>
  <si>
    <t>LVN-RAM-PM25-005</t>
  </si>
  <si>
    <t>Window Van</t>
  </si>
  <si>
    <t>VF2L26</t>
  </si>
  <si>
    <t>2019-LVN-RAM-PM25-005-04</t>
  </si>
  <si>
    <t>Window Van HR</t>
  </si>
  <si>
    <t>2019-LVN-RAM-PM25-011-25</t>
  </si>
  <si>
    <t>LVN-RAM-PM25-011</t>
  </si>
  <si>
    <t>Promaster 2500 Window Van HR</t>
  </si>
  <si>
    <t>RPA0014</t>
  </si>
  <si>
    <t>2019-LVN-RAM-PM25-010-25</t>
  </si>
  <si>
    <t>LVN-RAM-PM25-010</t>
  </si>
  <si>
    <t>RWCRE0310</t>
  </si>
  <si>
    <t>RWCRE0210</t>
  </si>
  <si>
    <t>2019-LVN-RAM-PM25-012-25</t>
  </si>
  <si>
    <t>LVN-RAM-PM25-012</t>
  </si>
  <si>
    <t>RWCSE0308</t>
  </si>
  <si>
    <t>2019-LVN-RAM-PM35-003-08</t>
  </si>
  <si>
    <t>LVN-RAM-PM35-003</t>
  </si>
  <si>
    <t>Promaster 3500</t>
  </si>
  <si>
    <t>VF3L17</t>
  </si>
  <si>
    <t>2019-LVN-RAM-PM35-004-08</t>
  </si>
  <si>
    <t>LVN-RAM-PM35-004</t>
  </si>
  <si>
    <t>VF3L16</t>
  </si>
  <si>
    <t>2019-LVN-RAM-PM35-001-04</t>
  </si>
  <si>
    <t>LVN-RAM-PM35-001</t>
  </si>
  <si>
    <t xml:space="preserve">Central Dodge </t>
  </si>
  <si>
    <t>Cargo Van EXT</t>
  </si>
  <si>
    <t>2019-LVN-RAM-PM35-001-08</t>
  </si>
  <si>
    <t>2019-LVN-RAM-PM35-004-04</t>
  </si>
  <si>
    <t>2019-LVN-RAM-PM35-015-04</t>
  </si>
  <si>
    <t>LVN-RAM-PM35-015</t>
  </si>
  <si>
    <t xml:space="preserve">Window Van EXT </t>
  </si>
  <si>
    <t>VF3L27</t>
  </si>
  <si>
    <t>2019-LVN-RAM-PM35-005-08</t>
  </si>
  <si>
    <t>LVN-RAM-PM35-005</t>
  </si>
  <si>
    <t>Window Van EXT (can configure up to 15 psgr)</t>
  </si>
  <si>
    <t>2019-LVN-RAM-PM35-011-25</t>
  </si>
  <si>
    <t>LVN-RAM-PM35-011</t>
  </si>
  <si>
    <t>Promaster 3500 Window Van HR</t>
  </si>
  <si>
    <t>RWCSE0310</t>
  </si>
  <si>
    <t>159 Ext.</t>
  </si>
  <si>
    <t>2019-LVN-RAM-PM35-012-25</t>
  </si>
  <si>
    <t>LVN-RAM-PM35-012</t>
  </si>
  <si>
    <t>RBDPA0014</t>
  </si>
  <si>
    <t>2019-LVN-RAM-PM35-013-25</t>
  </si>
  <si>
    <t>LVN-RAM-PM35-013</t>
  </si>
  <si>
    <t>RPA0015</t>
  </si>
  <si>
    <t>RWCRE0405</t>
  </si>
  <si>
    <t>2019-LVN-RAM-PM35-014-25</t>
  </si>
  <si>
    <t>LVN-RAM-PM35-014</t>
  </si>
  <si>
    <t>RWCSE0209</t>
  </si>
  <si>
    <t>2019-LVN-RAM-PMCT-004-04</t>
  </si>
  <si>
    <t>LVN-RAM-PMCT-004</t>
  </si>
  <si>
    <t>Promaster City</t>
  </si>
  <si>
    <t>Tradesman</t>
  </si>
  <si>
    <t>VMDL51</t>
  </si>
  <si>
    <t>24C</t>
  </si>
  <si>
    <t>2019-LVN-RAM-PMCT-004-08</t>
  </si>
  <si>
    <t>2019-LVN-RAM-PMCT-002-04</t>
  </si>
  <si>
    <t>LVN-RAM-PMCT-002</t>
  </si>
  <si>
    <t>Tradesman SLT</t>
  </si>
  <si>
    <t>VMDH51</t>
  </si>
  <si>
    <t>24D</t>
  </si>
  <si>
    <t>2019-LVN-RAM-PMCT-001-08</t>
  </si>
  <si>
    <t>LVN-RAM-PMCT-001</t>
  </si>
  <si>
    <t>2019-LVN-RAM-PMCT-006-04</t>
  </si>
  <si>
    <t>LVN-RAM-PMCT-006</t>
  </si>
  <si>
    <t>Tradesman Wagon</t>
  </si>
  <si>
    <t>24A</t>
  </si>
  <si>
    <t>Tradesman Wagon SLT</t>
  </si>
  <si>
    <t>2019-LVN-RAM-PMCT-006-08</t>
  </si>
  <si>
    <t>Wagon</t>
  </si>
  <si>
    <t>2019-LVN-RAM-PMCT-005-08</t>
  </si>
  <si>
    <t>LVN-RAM-PMCT-005</t>
  </si>
  <si>
    <t>Wagon SLT</t>
  </si>
  <si>
    <t>2019-LVN-TOY-SNNA-003-12</t>
  </si>
  <si>
    <t>LVN-TOY-SNNA-003</t>
  </si>
  <si>
    <t>Sienna</t>
  </si>
  <si>
    <t>2019-LVN-TOY-SNNA-001-12</t>
  </si>
  <si>
    <t>LVN-TOY-SNNA-001</t>
  </si>
  <si>
    <t>2019-LVN-TOY-SNNA-002-12</t>
  </si>
  <si>
    <t>LVN-TOY-SNNA-002</t>
  </si>
  <si>
    <t>2019-LTK-CHV-COLO-001-11</t>
  </si>
  <si>
    <t>LTK-CHV-COLO-001</t>
  </si>
  <si>
    <t>04A-Light Duty Trucks</t>
  </si>
  <si>
    <t>Colorado</t>
  </si>
  <si>
    <t>LT (Base) Crew Cab</t>
  </si>
  <si>
    <t>2WD</t>
  </si>
  <si>
    <t>5'1"</t>
  </si>
  <si>
    <t>12N43</t>
  </si>
  <si>
    <t>2019-LTK-CHV-COLO-001-13</t>
  </si>
  <si>
    <t>2019-LTK-CHV-COLO-001-17</t>
  </si>
  <si>
    <t>2019-LTK-CHV-COLO-002-11</t>
  </si>
  <si>
    <t>LTK-CHV-COLO-002</t>
  </si>
  <si>
    <t>LT Crew Cab</t>
  </si>
  <si>
    <t>6'2"</t>
  </si>
  <si>
    <t>12U43</t>
  </si>
  <si>
    <t>2019-LTK-CHV-COLO-002-13</t>
  </si>
  <si>
    <t>2019-LTK-CHV-COLO-002-17</t>
  </si>
  <si>
    <t>2019-LTK-CHV-COLO-003-11</t>
  </si>
  <si>
    <t>LTK-CHV-COLO-003</t>
  </si>
  <si>
    <t>4LT</t>
  </si>
  <si>
    <t>2019-LTK-CHV-COLO-004-11</t>
  </si>
  <si>
    <t>LTK-CHV-COLO-004</t>
  </si>
  <si>
    <t>2019-LTK-CHV-COLO-003-13</t>
  </si>
  <si>
    <t>2019-LTK-CHV-COLO-004-13</t>
  </si>
  <si>
    <t>2019-LTK-CHV-COLO-003-17</t>
  </si>
  <si>
    <t>2019-LTK-CHV-COLO-004-17</t>
  </si>
  <si>
    <t>2019-LTK-CHV-COLO-005-11</t>
  </si>
  <si>
    <t>LTK-CHV-COLO-005</t>
  </si>
  <si>
    <t>LT Extended Cab</t>
  </si>
  <si>
    <t>12N53</t>
  </si>
  <si>
    <t>2019-LTK-CHV-COLO-005-13</t>
  </si>
  <si>
    <t>2019-LTK-CHV-COLO-005-17</t>
  </si>
  <si>
    <t>2019-LTK-CHV-COLO-006-11</t>
  </si>
  <si>
    <t>LTK-CHV-COLO-006</t>
  </si>
  <si>
    <t>2019-LTK-CHV-COLO-006-13</t>
  </si>
  <si>
    <t>2019-LTK-CHV-COLO-006-17</t>
  </si>
  <si>
    <t>2019-LTK-CHV-COLO-007-11</t>
  </si>
  <si>
    <t>LTK-CHV-COLO-007</t>
  </si>
  <si>
    <t>WT Crew Cab</t>
  </si>
  <si>
    <t>12M43</t>
  </si>
  <si>
    <t>4WT</t>
  </si>
  <si>
    <t>2019-LTK-CHV-COLO-008-11</t>
  </si>
  <si>
    <t>LTK-CHV-COLO-008</t>
  </si>
  <si>
    <t>12T43</t>
  </si>
  <si>
    <t>2019-LTK-CHV-COLO-007-13</t>
  </si>
  <si>
    <t>2019-LTK-CHV-COLO-008-13</t>
  </si>
  <si>
    <t>2019-LTK-CHV-COLO-007-17</t>
  </si>
  <si>
    <t>2019-LTK-CHV-COLO-008-17</t>
  </si>
  <si>
    <t>2019-LTK-CHV-COLO-009-11</t>
  </si>
  <si>
    <t>LTK-CHV-COLO-009</t>
  </si>
  <si>
    <t>WT Extended Cab</t>
  </si>
  <si>
    <t>12M53</t>
  </si>
  <si>
    <t>2WT</t>
  </si>
  <si>
    <t>2019-LTK-CHV-COLO-009-13</t>
  </si>
  <si>
    <t>2019-LTK-CHV-COLO-009-17</t>
  </si>
  <si>
    <t>2019-LTK-CHV-COLO-010-11</t>
  </si>
  <si>
    <t>LTK-CHV-COLO-010</t>
  </si>
  <si>
    <t>2019-LTK-CHV-COLO-010-13</t>
  </si>
  <si>
    <t>2019-LTK-CHV-COLO-010-17</t>
  </si>
  <si>
    <t>2019-LTK-CHV-COLO-011-11</t>
  </si>
  <si>
    <t>LTK-CHV-COLO-011</t>
  </si>
  <si>
    <t>Z71 Crew Cab</t>
  </si>
  <si>
    <t>12P43</t>
  </si>
  <si>
    <t>2Z7</t>
  </si>
  <si>
    <t>2019-LTK-CHV-COLO-012-11</t>
  </si>
  <si>
    <t>LTK-CHV-COLO-012</t>
  </si>
  <si>
    <t>12V43</t>
  </si>
  <si>
    <t>2019-LTK-CHV-COLO-011-13</t>
  </si>
  <si>
    <t>2019-LTK-CHV-COLO-012-13</t>
  </si>
  <si>
    <t>2019-LTK-CHV-COLO-011-17</t>
  </si>
  <si>
    <t>2019-LTK-CHV-COLO-012-17</t>
  </si>
  <si>
    <t>2019-LTK-CHV-COLO-013-11</t>
  </si>
  <si>
    <t>LTK-CHV-COLO-013</t>
  </si>
  <si>
    <t>4Z7</t>
  </si>
  <si>
    <t>2019-LTK-CHV-COLO-014-11</t>
  </si>
  <si>
    <t>LTK-CHV-COLO-014</t>
  </si>
  <si>
    <t>2019-LTK-CHV-COLO-013-13</t>
  </si>
  <si>
    <t>2019-LTK-CHV-COLO-014-13</t>
  </si>
  <si>
    <t>2019-LTK-CHV-COLO-013-17</t>
  </si>
  <si>
    <t>2019-LTK-CHV-COLO-014-17</t>
  </si>
  <si>
    <t>2019-LTK-CHV-COLO-015-11</t>
  </si>
  <si>
    <t>LTK-CHV-COLO-015</t>
  </si>
  <si>
    <t>Z71 Extended Cab</t>
  </si>
  <si>
    <t>12P53</t>
  </si>
  <si>
    <t>2019-LTK-CHV-COLO-015-13</t>
  </si>
  <si>
    <t>2019-LTK-CHV-COLO-015-17</t>
  </si>
  <si>
    <t>2019-LTK-CHV-COLO-016-11</t>
  </si>
  <si>
    <t>LTK-CHV-COLO-016</t>
  </si>
  <si>
    <t>2019-LTK-CHV-COLO-016-13</t>
  </si>
  <si>
    <t>2019-LTK-CHV-COLO-016-17</t>
  </si>
  <si>
    <t>2019-LTK-CHV-SV15-036-13</t>
  </si>
  <si>
    <t>LTK-CHV-SV15-036</t>
  </si>
  <si>
    <t>Silverado 1500</t>
  </si>
  <si>
    <t>CUSTOM CREW CAB</t>
  </si>
  <si>
    <t>5'9"</t>
  </si>
  <si>
    <t>CC10543</t>
  </si>
  <si>
    <t>1CX</t>
  </si>
  <si>
    <t>2019-LTK-CHV-SV15-037-13</t>
  </si>
  <si>
    <t>LTK-CHV-SV15-037</t>
  </si>
  <si>
    <t>6'6"</t>
  </si>
  <si>
    <t>CC10743</t>
  </si>
  <si>
    <t>2019-LTK-CHV-SV15-038-13</t>
  </si>
  <si>
    <t>LTK-CHV-SV15-038</t>
  </si>
  <si>
    <t>CK10543</t>
  </si>
  <si>
    <t>2019-LTK-CHV-SV15-039-13</t>
  </si>
  <si>
    <t>LTK-CHV-SV15-039</t>
  </si>
  <si>
    <t>CK10743</t>
  </si>
  <si>
    <t>2019-LTK-CHV-SV15-040-13</t>
  </si>
  <si>
    <t>LTK-CHV-SV15-040</t>
  </si>
  <si>
    <t>CUSTOM DOUBLE CAB</t>
  </si>
  <si>
    <t>CK10753</t>
  </si>
  <si>
    <t>2019-LTK-CHV-SV15-002-17</t>
  </si>
  <si>
    <t>LTK-CHV-SV15-002</t>
  </si>
  <si>
    <t>LS Crew Cab</t>
  </si>
  <si>
    <t>CC15543</t>
  </si>
  <si>
    <t>2019-LTK-CHV-SV15-003-17</t>
  </si>
  <si>
    <t>LTK-CHV-SV15-003</t>
  </si>
  <si>
    <t>CC15743</t>
  </si>
  <si>
    <t>2019-LTK-CHV-SV15-004-17</t>
  </si>
  <si>
    <t>LTK-CHV-SV15-004</t>
  </si>
  <si>
    <t>2019-LTK-CHV-SV15-005-17</t>
  </si>
  <si>
    <t>LTK-CHV-SV15-005</t>
  </si>
  <si>
    <t>CK15543</t>
  </si>
  <si>
    <t>2019-LTK-CHV-SV15-006-17</t>
  </si>
  <si>
    <t>LTK-CHV-SV15-006</t>
  </si>
  <si>
    <t>CK15743</t>
  </si>
  <si>
    <t>2019-LTK-CHV-SV15-007-17</t>
  </si>
  <si>
    <t>LTK-CHV-SV15-007</t>
  </si>
  <si>
    <t>LS Double Cab</t>
  </si>
  <si>
    <t>CC15753</t>
  </si>
  <si>
    <t>2019-LTK-CHV-SV15-008-17</t>
  </si>
  <si>
    <t>LTK-CHV-SV15-008</t>
  </si>
  <si>
    <t>CK15753</t>
  </si>
  <si>
    <t>2019-LTK-CHV-SV15-009-17</t>
  </si>
  <si>
    <t>LTK-CHV-SV15-009</t>
  </si>
  <si>
    <t>LS Regular Cab</t>
  </si>
  <si>
    <t>8'1"</t>
  </si>
  <si>
    <t>CC15903</t>
  </si>
  <si>
    <t>2019-LTK-CHV-SV15-010-17</t>
  </si>
  <si>
    <t>LTK-CHV-SV15-010</t>
  </si>
  <si>
    <t>CK15703</t>
  </si>
  <si>
    <t>2019-LTK-CHV-SV15-041-11</t>
  </si>
  <si>
    <t>LTK-CHV-SV15-041</t>
  </si>
  <si>
    <t>5'8"</t>
  </si>
  <si>
    <t>2019-LTK-CHV-SV15-042-11</t>
  </si>
  <si>
    <t>LTK-CHV-SV15-042</t>
  </si>
  <si>
    <t>2019-LTK-CHV-SV15-012-13</t>
  </si>
  <si>
    <t>LTK-CHV-SV15-012</t>
  </si>
  <si>
    <t>2019-LTK-CHV-SV15-013-13</t>
  </si>
  <si>
    <t>LTK-CHV-SV15-013</t>
  </si>
  <si>
    <t>2019-LTK-CHV-SV15-012-17</t>
  </si>
  <si>
    <t>2019-LTK-CHV-SV15-013-17</t>
  </si>
  <si>
    <t>2019-LTK-CHV-SV15-043-11</t>
  </si>
  <si>
    <t>LTK-CHV-SV15-043</t>
  </si>
  <si>
    <t>2019-LTK-CHV-SV15-044-11</t>
  </si>
  <si>
    <t>LTK-CHV-SV15-044</t>
  </si>
  <si>
    <t>2019-LTK-CHV-SV15-014-13</t>
  </si>
  <si>
    <t>LTK-CHV-SV15-014</t>
  </si>
  <si>
    <t>2019-LTK-CHV-SV15-015-13</t>
  </si>
  <si>
    <t>LTK-CHV-SV15-015</t>
  </si>
  <si>
    <t>2019-LTK-CHV-SV15-014-17</t>
  </si>
  <si>
    <t>2019-LTK-CHV-SV15-015-17</t>
  </si>
  <si>
    <t>2019-LTK-CHV-SV15-045-11</t>
  </si>
  <si>
    <t>LTK-CHV-SV15-045</t>
  </si>
  <si>
    <t>LT Double Cab</t>
  </si>
  <si>
    <t>CC10753</t>
  </si>
  <si>
    <t>2019-LTK-CHV-SV15-016-13</t>
  </si>
  <si>
    <t>LTK-CHV-SV15-016</t>
  </si>
  <si>
    <t>2019-LTK-CHV-SV15-016-17</t>
  </si>
  <si>
    <t>2019-LTK-CHV-SV15-046-11</t>
  </si>
  <si>
    <t>LTK-CHV-SV15-046</t>
  </si>
  <si>
    <t>2019-LTK-CHV-SV15-017-13</t>
  </si>
  <si>
    <t>LTK-CHV-SV15-017</t>
  </si>
  <si>
    <t>2019-LTK-CHV-SV15-017-17</t>
  </si>
  <si>
    <t>2019-LTK-CHV-SV15-047-11</t>
  </si>
  <si>
    <t>LTK-CHV-SV15-047</t>
  </si>
  <si>
    <t>2019-LTK-CHV-SV15-048-11</t>
  </si>
  <si>
    <t>LTK-CHV-SV15-048</t>
  </si>
  <si>
    <t>2019-LTK-CHV-SV15-026-13</t>
  </si>
  <si>
    <t>LTK-CHV-SV15-026</t>
  </si>
  <si>
    <t>2019-LTK-CHV-SV15-027-13</t>
  </si>
  <si>
    <t>LTK-CHV-SV15-027</t>
  </si>
  <si>
    <t>2019-LTK-CHV-SV15-026-17</t>
  </si>
  <si>
    <t>2019-LTK-CHV-SV15-028-17</t>
  </si>
  <si>
    <t>LTK-CHV-SV15-028</t>
  </si>
  <si>
    <t>2019-LTK-CHV-SV15-049-11</t>
  </si>
  <si>
    <t>LTK-CHV-SV15-049</t>
  </si>
  <si>
    <t>2019-LTK-CHV-SV15-050-11</t>
  </si>
  <si>
    <t>LTK-CHV-SV15-050</t>
  </si>
  <si>
    <t>2019-LTK-CHV-SV15-029-13</t>
  </si>
  <si>
    <t>LTK-CHV-SV15-029</t>
  </si>
  <si>
    <t>2019-LTK-CHV-SV15-030-13</t>
  </si>
  <si>
    <t>LTK-CHV-SV15-030</t>
  </si>
  <si>
    <t>2019-LTK-CHV-SV15-029-17</t>
  </si>
  <si>
    <t>2019-LTK-CHV-SV15-030-17</t>
  </si>
  <si>
    <t>2019-LTK-CHV-SV15-051-11</t>
  </si>
  <si>
    <t>LTK-CHV-SV15-051</t>
  </si>
  <si>
    <t>WT Double Cab</t>
  </si>
  <si>
    <t>2019-LTK-CHV-SV15-031-13</t>
  </si>
  <si>
    <t>LTK-CHV-SV15-031</t>
  </si>
  <si>
    <t>2019-LTK-CHV-SV15-031-17</t>
  </si>
  <si>
    <t>2019-LTK-CHV-SV15-052-11</t>
  </si>
  <si>
    <t>LTK-CHV-SV15-052</t>
  </si>
  <si>
    <t>2019-LTK-CHV-SV15-032-13</t>
  </si>
  <si>
    <t>LTK-CHV-SV15-032</t>
  </si>
  <si>
    <t>2019-LTK-CHV-SV15-032-17</t>
  </si>
  <si>
    <t>2019-LTK-CHV-SV15-053-11</t>
  </si>
  <si>
    <t>LTK-CHV-SV15-053</t>
  </si>
  <si>
    <t>WT Regular Cab</t>
  </si>
  <si>
    <t>CC10903</t>
  </si>
  <si>
    <t>2019-LTK-CHV-SV15-033-13</t>
  </si>
  <si>
    <t>LTK-CHV-SV15-033</t>
  </si>
  <si>
    <t>2019-LTK-CHV-SV15-033-17</t>
  </si>
  <si>
    <t>2019-LTK-CHV-SV15-054-11</t>
  </si>
  <si>
    <t>LTK-CHV-SV15-054</t>
  </si>
  <si>
    <t>CK10903</t>
  </si>
  <si>
    <t>2019-LTK-CHV-SV15-035-13</t>
  </si>
  <si>
    <t>LTK-CHV-SV15-035</t>
  </si>
  <si>
    <t>2019-LTK-CHV-SV15-035-17</t>
  </si>
  <si>
    <t>CK15903</t>
  </si>
  <si>
    <t>2019-LTK-CHV-SV25-001-11</t>
  </si>
  <si>
    <t>LTK-CHV-SV25-001</t>
  </si>
  <si>
    <t>Silverado 2500</t>
  </si>
  <si>
    <t>CC25743</t>
  </si>
  <si>
    <t>2019-LTK-CHV-SV25-002-11</t>
  </si>
  <si>
    <t>LTK-CHV-SV25-002</t>
  </si>
  <si>
    <t>CC25943</t>
  </si>
  <si>
    <t>2019-LTK-CHV-SV25-001-13</t>
  </si>
  <si>
    <t>2019-LTK-CHV-SV25-002-13</t>
  </si>
  <si>
    <t>2019-LTK-CHV-SV25-001-17</t>
  </si>
  <si>
    <t>2019-LTK-CHV-SV25-002-17</t>
  </si>
  <si>
    <t>2019-LTK-CHV-SV25-003-11</t>
  </si>
  <si>
    <t>LTK-CHV-SV25-003</t>
  </si>
  <si>
    <t>CK25743</t>
  </si>
  <si>
    <t>2019-LTK-CHV-SV25-004-11</t>
  </si>
  <si>
    <t>LTK-CHV-SV25-004</t>
  </si>
  <si>
    <t>CK25943</t>
  </si>
  <si>
    <t>2019-LTK-CHV-SV25-003-13</t>
  </si>
  <si>
    <t>2019-LTK-CHV-SV25-004-13</t>
  </si>
  <si>
    <t>2019-LTK-CHV-SV25-003-17</t>
  </si>
  <si>
    <t>2019-LTK-CHV-SV25-004-17</t>
  </si>
  <si>
    <t>2019-LTK-CHV-SV25-006-11</t>
  </si>
  <si>
    <t>LTK-CHV-SV25-006</t>
  </si>
  <si>
    <t>CC25953</t>
  </si>
  <si>
    <t>2019-LTK-CHV-SV25-006-13</t>
  </si>
  <si>
    <t>2019-LTK-CHV-SV25-006-17</t>
  </si>
  <si>
    <t>2019-LTK-CHV-SV25-007-11</t>
  </si>
  <si>
    <t>LTK-CHV-SV25-007</t>
  </si>
  <si>
    <t>CK25753</t>
  </si>
  <si>
    <t>2019-LTK-CHV-SV25-008-11</t>
  </si>
  <si>
    <t>LTK-CHV-SV25-008</t>
  </si>
  <si>
    <t>CK25953</t>
  </si>
  <si>
    <t>2019-LTK-CHV-SV25-007-13</t>
  </si>
  <si>
    <t>2019-LTK-CHV-SV25-008-13</t>
  </si>
  <si>
    <t>2019-LTK-CHV-SV25-007-17</t>
  </si>
  <si>
    <t>2019-LTK-CHV-SV25-008-17</t>
  </si>
  <si>
    <t>2019-LTK-CHV-SV25-009-13</t>
  </si>
  <si>
    <t>LTK-CHV-SV25-009</t>
  </si>
  <si>
    <t>LT Regular Cab</t>
  </si>
  <si>
    <t>CC25903</t>
  </si>
  <si>
    <t>2019-LTK-CHV-SV25-010-13</t>
  </si>
  <si>
    <t>LTK-CHV-SV25-010</t>
  </si>
  <si>
    <t>CK25903</t>
  </si>
  <si>
    <t>2019-LTK-CHV-SV25-011-11</t>
  </si>
  <si>
    <t>LTK-CHV-SV25-011</t>
  </si>
  <si>
    <t>2019-LTK-CHV-SV25-012-11</t>
  </si>
  <si>
    <t>LTK-CHV-SV25-012</t>
  </si>
  <si>
    <t>2019-LTK-CHV-SV25-011-13</t>
  </si>
  <si>
    <t>2019-LTK-CHV-SV25-012-13</t>
  </si>
  <si>
    <t>2019-LTK-CHV-SV25-011-17</t>
  </si>
  <si>
    <t>2019-LTK-CHV-SV25-012-17</t>
  </si>
  <si>
    <t>2019-LTK-CHV-SV25-013-11</t>
  </si>
  <si>
    <t>LTK-CHV-SV25-013</t>
  </si>
  <si>
    <t>2019-LTK-CHV-SV25-014-11</t>
  </si>
  <si>
    <t>LTK-CHV-SV25-014</t>
  </si>
  <si>
    <t>2019-LTK-CHV-SV25-013-13</t>
  </si>
  <si>
    <t>2019-LTK-CHV-SV25-014-13</t>
  </si>
  <si>
    <t>2019-LTK-CHV-SV25-013-17</t>
  </si>
  <si>
    <t>2019-LTK-CHV-SV25-014-17</t>
  </si>
  <si>
    <t>2019-LTK-CHV-SV25-016-11</t>
  </si>
  <si>
    <t>LTK-CHV-SV25-016</t>
  </si>
  <si>
    <t>2019-LTK-CHV-SV25-016-13</t>
  </si>
  <si>
    <t>2019-LTK-CHV-SV25-016-17</t>
  </si>
  <si>
    <t>2019-LTK-CHV-SV25-017-11</t>
  </si>
  <si>
    <t>LTK-CHV-SV25-017</t>
  </si>
  <si>
    <t>2019-LTK-CHV-SV25-018-11</t>
  </si>
  <si>
    <t>LTK-CHV-SV25-018</t>
  </si>
  <si>
    <t>2019-LTK-CHV-SV25-017-13</t>
  </si>
  <si>
    <t>2019-LTK-CHV-SV25-018-13</t>
  </si>
  <si>
    <t>2019-LTK-CHV-SV25-017-17</t>
  </si>
  <si>
    <t>2019-LTK-CHV-SV25-018-17</t>
  </si>
  <si>
    <t>2019-LTK-CHV-SV25-019-13</t>
  </si>
  <si>
    <t>LTK-CHV-SV25-019</t>
  </si>
  <si>
    <t>2019-LTK-CHV-SV25-020-11</t>
  </si>
  <si>
    <t>LTK-CHV-SV25-020</t>
  </si>
  <si>
    <t>2019-LTK-CHV-SV25-020-13</t>
  </si>
  <si>
    <t>2019-LTK-CHV-SV35-001-11</t>
  </si>
  <si>
    <t>LTK-CHV-SV35-001</t>
  </si>
  <si>
    <t>Silverado 3500</t>
  </si>
  <si>
    <t>CC35743</t>
  </si>
  <si>
    <t>2019-LTK-CHV-SV35-002-11</t>
  </si>
  <si>
    <t>LTK-CHV-SV35-002</t>
  </si>
  <si>
    <t>CC35943</t>
  </si>
  <si>
    <t>2019-LTK-CHV-SV35-001-17</t>
  </si>
  <si>
    <t>2019-LTK-CHV-SV35-002-17</t>
  </si>
  <si>
    <t>2019-LTK-CHV-SV35-003-11</t>
  </si>
  <si>
    <t>LTK-CHV-SV35-003</t>
  </si>
  <si>
    <t>CK35743</t>
  </si>
  <si>
    <t>2019-LTK-CHV-SV35-004-11</t>
  </si>
  <si>
    <t>LTK-CHV-SV35-004</t>
  </si>
  <si>
    <t>CK35943</t>
  </si>
  <si>
    <t>2019-LTK-CHV-SV35-003-17</t>
  </si>
  <si>
    <t>2019-LTK-CHV-SV35-004-17</t>
  </si>
  <si>
    <t>2019-LTK-CHV-SV35-009-11</t>
  </si>
  <si>
    <t>LTK-CHV-SV35-009</t>
  </si>
  <si>
    <t>2019-LTK-CHV-SV35-010-11</t>
  </si>
  <si>
    <t>LTK-CHV-SV35-010</t>
  </si>
  <si>
    <t>2019-LTK-CHV-SV35-009-17</t>
  </si>
  <si>
    <t>2019-LTK-CHV-SV35-010-17</t>
  </si>
  <si>
    <t>2019-LTK-CHV-SV35-011-11</t>
  </si>
  <si>
    <t>LTK-CHV-SV35-011</t>
  </si>
  <si>
    <t>2019-LTK-CHV-SV35-012-11</t>
  </si>
  <si>
    <t>LTK-CHV-SV35-012</t>
  </si>
  <si>
    <t>2019-LTK-CHV-SV35-011-13</t>
  </si>
  <si>
    <t>2019-LTK-CHV-SV35-012-13</t>
  </si>
  <si>
    <t>2019-LTK-CHV-SV35-011-17</t>
  </si>
  <si>
    <t>2019-LTK-CHV-SV35-012-17</t>
  </si>
  <si>
    <t>2019-LTK-CHV-SV35-014-13</t>
  </si>
  <si>
    <t>LTK-CHV-SV35-014</t>
  </si>
  <si>
    <t>CK35953</t>
  </si>
  <si>
    <t>2019-LTK-CHV-SV35-016-13</t>
  </si>
  <si>
    <t>LTK-CHV-SV35-016</t>
  </si>
  <si>
    <t>CK35903</t>
  </si>
  <si>
    <t>2019-LTK-CHV-SV3C-001-11</t>
  </si>
  <si>
    <t>LTK-CHV-SV3C-001</t>
  </si>
  <si>
    <t>Silverado 3500 Chassis Cab</t>
  </si>
  <si>
    <t>CC36043</t>
  </si>
  <si>
    <t>2019-LTK-CHV-SV3C-001-17</t>
  </si>
  <si>
    <t>2019-LTK-CHV-SV3C-002-11</t>
  </si>
  <si>
    <t>LTK-CHV-SV3C-002</t>
  </si>
  <si>
    <t>CK36043</t>
  </si>
  <si>
    <t>2019-LTK-CHV-SV3C-002-17</t>
  </si>
  <si>
    <t>2019-LTK-CHV-SV3C-003-11</t>
  </si>
  <si>
    <t>LTK-CHV-SV3C-003</t>
  </si>
  <si>
    <t>CC36003</t>
  </si>
  <si>
    <t>2019-LTK-CHV-SV3C-004-11</t>
  </si>
  <si>
    <t>LTK-CHV-SV3C-004</t>
  </si>
  <si>
    <t>CC36403</t>
  </si>
  <si>
    <t>2019-LTK-CHV-SV3C-003-17</t>
  </si>
  <si>
    <t>2019-LTK-CHV-SV3C-004-17</t>
  </si>
  <si>
    <t>2019-LTK-CHV-SV3C-005-11</t>
  </si>
  <si>
    <t>LTK-CHV-SV3C-005</t>
  </si>
  <si>
    <t>CK36003</t>
  </si>
  <si>
    <t>2019-LTK-CHV-SV3C-006-11</t>
  </si>
  <si>
    <t>LTK-CHV-SV3C-006</t>
  </si>
  <si>
    <t>CK36403</t>
  </si>
  <si>
    <t>2019-LTK-CHV-SV3C-005-17</t>
  </si>
  <si>
    <t>2019-LTK-CHV-SV3C-006-17</t>
  </si>
  <si>
    <t>2019-LTK-CHV-SV3C-007-11</t>
  </si>
  <si>
    <t>LTK-CHV-SV3C-007</t>
  </si>
  <si>
    <t>2019-LTK-CHV-SV3C-007-17</t>
  </si>
  <si>
    <t>2019-LTK-CHV-SV3C-008-11</t>
  </si>
  <si>
    <t>LTK-CHV-SV3C-008</t>
  </si>
  <si>
    <t>2019-LTK-CHV-SV3C-009-13</t>
  </si>
  <si>
    <t>LTK-CHV-SV3C-009</t>
  </si>
  <si>
    <t>2019-LTK-CHV-SV3C-008-17</t>
  </si>
  <si>
    <t>2019-LTK-CHV-SV3C-009-17</t>
  </si>
  <si>
    <t>2019-LTK-CHV-SV3C-012-11</t>
  </si>
  <si>
    <t>LTK-CHV-SV3C-012</t>
  </si>
  <si>
    <t>2019-LTK-CHV-SV3C-013-11</t>
  </si>
  <si>
    <t>LTK-CHV-SV3C-013</t>
  </si>
  <si>
    <t>2019-LTK-CHV-SV3C-012-17</t>
  </si>
  <si>
    <t>2019-LTK-CHV-SV3C-013-17</t>
  </si>
  <si>
    <t>2019-LTK-CHV-SV3C-014-11</t>
  </si>
  <si>
    <t>LTK-CHV-SV3C-014</t>
  </si>
  <si>
    <t>WT</t>
  </si>
  <si>
    <t>2019-LTK-CHV-SV3C-016-11</t>
  </si>
  <si>
    <t>LTK-CHV-SV3C-016</t>
  </si>
  <si>
    <t>2019-LTK-CHV-SV3C-014-17</t>
  </si>
  <si>
    <t>2019-LTK-CHV-SV3C-015-17</t>
  </si>
  <si>
    <t>LTK-CHV-SV3C-015</t>
  </si>
  <si>
    <t>2019-LTK-CHV-SV3C-016-17</t>
  </si>
  <si>
    <t>2019-LTK-CHV-SV3C-010-11</t>
  </si>
  <si>
    <t>LTK-CHV-SV3C-010</t>
  </si>
  <si>
    <t>WT Regular Cab DRW</t>
  </si>
  <si>
    <t>2019-LTK-CHV-SV3C-011-11</t>
  </si>
  <si>
    <t>LTK-CHV-SV3C-011</t>
  </si>
  <si>
    <t>2019-LTK-CHV-SV3C-010-13</t>
  </si>
  <si>
    <t>2019-LTK-CHV-SV3C-011-13</t>
  </si>
  <si>
    <t>2019-LTK-CHV-SV3C-010-17</t>
  </si>
  <si>
    <t>2019-LTK-CHV-SV3C-011-17</t>
  </si>
  <si>
    <t>2019-LTK-FRD-F150-001-05</t>
  </si>
  <si>
    <t>LTK-FRD-F150-001</t>
  </si>
  <si>
    <t>F150</t>
  </si>
  <si>
    <t>Crew Cab XL</t>
  </si>
  <si>
    <t>5'5"</t>
  </si>
  <si>
    <t xml:space="preserve">2.7L EcoBoost </t>
  </si>
  <si>
    <t>W1E</t>
  </si>
  <si>
    <t>2019-LTK-FRD-F150-002-05</t>
  </si>
  <si>
    <t>LTK-FRD-F150-002</t>
  </si>
  <si>
    <t>3.3L FFV</t>
  </si>
  <si>
    <t>2019-LTK-FRD-F150-003-05</t>
  </si>
  <si>
    <t>LTK-FRD-F150-003</t>
  </si>
  <si>
    <t>3.5L Eco Boost</t>
  </si>
  <si>
    <t>2019-LTK-FRD-F150-004-05</t>
  </si>
  <si>
    <t>LTK-FRD-F150-004</t>
  </si>
  <si>
    <t>5.0L FFV</t>
  </si>
  <si>
    <t>2019-LTK-FRD-F150-006-05</t>
  </si>
  <si>
    <t>LTK-FRD-F150-006</t>
  </si>
  <si>
    <t>6'5"</t>
  </si>
  <si>
    <t>2019-LTK-FRD-F150-007-05</t>
  </si>
  <si>
    <t>LTK-FRD-F150-007</t>
  </si>
  <si>
    <t>2019-LTK-FRD-F150-001-15</t>
  </si>
  <si>
    <t>2019-LTK-FRD-F150-002-15</t>
  </si>
  <si>
    <t>2019-LTK-FRD-F150-003-15</t>
  </si>
  <si>
    <t>2019-LTK-FRD-F150-004-15</t>
  </si>
  <si>
    <t>2019-LTK-FRD-F150-006-15</t>
  </si>
  <si>
    <t>2019-LTK-FRD-F150-007-15</t>
  </si>
  <si>
    <t>2019-LTK-FRD-F150-001-26</t>
  </si>
  <si>
    <t>2019-LTK-FRD-F150-003-26</t>
  </si>
  <si>
    <t>2019-LTK-FRD-F150-004-26</t>
  </si>
  <si>
    <t>2019-LTK-FRD-F150-005-26</t>
  </si>
  <si>
    <t>LTK-FRD-F150-005</t>
  </si>
  <si>
    <t>2019-LTK-FRD-F150-006-26</t>
  </si>
  <si>
    <t>2019-LTK-FRD-F150-007-26</t>
  </si>
  <si>
    <t>2019-LTK-FRD-F150-001-27</t>
  </si>
  <si>
    <t>2019-LTK-FRD-F150-002-27</t>
  </si>
  <si>
    <t>2019-LTK-FRD-F150-003-27</t>
  </si>
  <si>
    <t>2019-LTK-FRD-F150-004-27</t>
  </si>
  <si>
    <t>2019-LTK-FRD-F150-006-27</t>
  </si>
  <si>
    <t>2019-LTK-FRD-F150-007-27</t>
  </si>
  <si>
    <t>2019-LTK-FRD-F150-009-05</t>
  </si>
  <si>
    <t>LTK-FRD-F150-009</t>
  </si>
  <si>
    <t>Crew Cab XLT</t>
  </si>
  <si>
    <t>2019-LTK-FRD-F150-010-05</t>
  </si>
  <si>
    <t>LTK-FRD-F150-010</t>
  </si>
  <si>
    <t>2019-LTK-FRD-F150-011-05</t>
  </si>
  <si>
    <t>LTK-FRD-F150-011</t>
  </si>
  <si>
    <t>2019-LTK-FRD-F150-012-05</t>
  </si>
  <si>
    <t>LTK-FRD-F150-012</t>
  </si>
  <si>
    <t>2019-LTK-FRD-F150-014-05</t>
  </si>
  <si>
    <t>LTK-FRD-F150-014</t>
  </si>
  <si>
    <t>2019-LTK-FRD-F150-015-05</t>
  </si>
  <si>
    <t>LTK-FRD-F150-015</t>
  </si>
  <si>
    <t>2019-LTK-FRD-F150-009-15</t>
  </si>
  <si>
    <t>2019-LTK-FRD-F150-010-15</t>
  </si>
  <si>
    <t>2019-LTK-FRD-F150-011-15</t>
  </si>
  <si>
    <t>2019-LTK-FRD-F150-012-15</t>
  </si>
  <si>
    <t>2019-LTK-FRD-F150-014-15</t>
  </si>
  <si>
    <t>2019-LTK-FRD-F150-015-15</t>
  </si>
  <si>
    <t>2019-LTK-FRD-F150-009-26</t>
  </si>
  <si>
    <t>2019-LTK-FRD-F150-011-26</t>
  </si>
  <si>
    <t>2019-LTK-FRD-F150-012-26</t>
  </si>
  <si>
    <t>2019-LTK-FRD-F150-013-26</t>
  </si>
  <si>
    <t>LTK-FRD-F150-013</t>
  </si>
  <si>
    <t>2019-LTK-FRD-F150-014-26</t>
  </si>
  <si>
    <t>2019-LTK-FRD-F150-015-26</t>
  </si>
  <si>
    <t>2019-LTK-FRD-F150-009-27</t>
  </si>
  <si>
    <t>2019-LTK-FRD-F150-010-27</t>
  </si>
  <si>
    <t>2019-LTK-FRD-F150-011-27</t>
  </si>
  <si>
    <t>2019-LTK-FRD-F150-012-27</t>
  </si>
  <si>
    <t>2019-LTK-FRD-F150-014-27</t>
  </si>
  <si>
    <t>2019-LTK-FRD-F150-015-27</t>
  </si>
  <si>
    <t>2019-LTK-FRD-F150-020-05</t>
  </si>
  <si>
    <t>LTK-FRD-F150-020</t>
  </si>
  <si>
    <t>Regular Cab XL</t>
  </si>
  <si>
    <t>F1C</t>
  </si>
  <si>
    <t>2019-LTK-FRD-F150-021-05</t>
  </si>
  <si>
    <t>LTK-FRD-F150-021</t>
  </si>
  <si>
    <t>2.7L EcoBoost</t>
  </si>
  <si>
    <t>2019-LTK-FRD-F150-023-05</t>
  </si>
  <si>
    <t>LTK-FRD-F150-023</t>
  </si>
  <si>
    <t>2019-LTK-FRD-F150-024-05</t>
  </si>
  <si>
    <t>LTK-FRD-F150-024</t>
  </si>
  <si>
    <t>8'</t>
  </si>
  <si>
    <t>2019-LTK-FRD-F150-025-05</t>
  </si>
  <si>
    <t>LTK-FRD-F150-025</t>
  </si>
  <si>
    <t>2019-LTK-FRD-F150-027-05</t>
  </si>
  <si>
    <t>LTK-FRD-F150-027</t>
  </si>
  <si>
    <t>2019-LTK-FRD-F150-029-05</t>
  </si>
  <si>
    <t>LTK-FRD-F150-029</t>
  </si>
  <si>
    <t>2019-LTK-FRD-F150-020-15</t>
  </si>
  <si>
    <t>2019-LTK-FRD-F150-021-15</t>
  </si>
  <si>
    <t>2019-LTK-FRD-F150-023-15</t>
  </si>
  <si>
    <t>2019-LTK-FRD-F150-024-15</t>
  </si>
  <si>
    <t>2019-LTK-FRD-F150-025-15</t>
  </si>
  <si>
    <t>2019-LTK-FRD-F150-027-15</t>
  </si>
  <si>
    <t>2019-LTK-FRD-F150-029-15</t>
  </si>
  <si>
    <t>2019-LTK-FRD-F150-020-26</t>
  </si>
  <si>
    <t>2019-LTK-FRD-F150-021-26</t>
  </si>
  <si>
    <t>2019-LTK-FRD-F150-023-26</t>
  </si>
  <si>
    <t>2019-LTK-FRD-F150-024-26</t>
  </si>
  <si>
    <t>2019-LTK-FRD-F150-027-26</t>
  </si>
  <si>
    <t>2019-LTK-FRD-F150-028-26</t>
  </si>
  <si>
    <t>LTK-FRD-F150-028</t>
  </si>
  <si>
    <t>3.3L Ti-VCT</t>
  </si>
  <si>
    <t>2019-LTK-FRD-F150-029-26</t>
  </si>
  <si>
    <t>2019-LTK-FRD-F150-020-27</t>
  </si>
  <si>
    <t>2019-LTK-FRD-F150-021-27</t>
  </si>
  <si>
    <t>2019-LTK-FRD-F150-023-27</t>
  </si>
  <si>
    <t>2019-LTK-FRD-F150-024-27</t>
  </si>
  <si>
    <t>2019-LTK-FRD-F150-025-27</t>
  </si>
  <si>
    <t>2019-LTK-FRD-F150-027-27</t>
  </si>
  <si>
    <t>2019-LTK-FRD-F150-029-27</t>
  </si>
  <si>
    <t>2019-LTK-FRD-F150-030-05</t>
  </si>
  <si>
    <t>LTK-FRD-F150-030</t>
  </si>
  <si>
    <t>F1E</t>
  </si>
  <si>
    <t>2019-LTK-FRD-F150-031-05</t>
  </si>
  <si>
    <t>LTK-FRD-F150-031</t>
  </si>
  <si>
    <t>2019-LTK-FRD-F150-032-05</t>
  </si>
  <si>
    <t>LTK-FRD-F150-032</t>
  </si>
  <si>
    <t>2019-LTK-FRD-F150-034-05</t>
  </si>
  <si>
    <t>LTK-FRD-F150-034</t>
  </si>
  <si>
    <t>2019-LTK-FRD-F150-035-05</t>
  </si>
  <si>
    <t>LTK-FRD-F150-035</t>
  </si>
  <si>
    <t>2019-LTK-FRD-F150-036-05</t>
  </si>
  <si>
    <t>LTK-FRD-F150-036</t>
  </si>
  <si>
    <t>2019-LTK-FRD-F150-037-05</t>
  </si>
  <si>
    <t>LTK-FRD-F150-037</t>
  </si>
  <si>
    <t>2019-LTK-FRD-F150-030-15</t>
  </si>
  <si>
    <t>2019-LTK-FRD-F150-031-15</t>
  </si>
  <si>
    <t>2019-LTK-FRD-F150-032-15</t>
  </si>
  <si>
    <t>2019-LTK-FRD-F150-034-15</t>
  </si>
  <si>
    <t>2019-LTK-FRD-F150-035-15</t>
  </si>
  <si>
    <t>2019-LTK-FRD-F150-036-15</t>
  </si>
  <si>
    <t>2019-LTK-FRD-F150-037-15</t>
  </si>
  <si>
    <t>2018-LTK-FRD-F150-034-26</t>
  </si>
  <si>
    <t>2018-LTK-FRD-F150-036-26</t>
  </si>
  <si>
    <t>2018-LTK-FRD-F150-037-26</t>
  </si>
  <si>
    <t>2019-LTK-FRD-F150-031-26</t>
  </si>
  <si>
    <t>2019-LTK-FRD-F150-032-26</t>
  </si>
  <si>
    <t>2019-LTK-FRD-F150-033-26</t>
  </si>
  <si>
    <t>LTK-FRD-F150-033</t>
  </si>
  <si>
    <t>2019-LTK-FRD-F150-038-26</t>
  </si>
  <si>
    <t>LTK-FRD-F150-038</t>
  </si>
  <si>
    <t>2019-LTK-FRD-F150-030-27</t>
  </si>
  <si>
    <t>2019-LTK-FRD-F150-031-27</t>
  </si>
  <si>
    <t>2019-LTK-FRD-F150-032-27</t>
  </si>
  <si>
    <t>2019-LTK-FRD-F150-034-27</t>
  </si>
  <si>
    <t>2019-LTK-FRD-F150-035-27</t>
  </si>
  <si>
    <t>2019-LTK-FRD-F150-036-27</t>
  </si>
  <si>
    <t>2019-LTK-FRD-F150-037-27</t>
  </si>
  <si>
    <t>2019-LTK-FRD-F150-039-05</t>
  </si>
  <si>
    <t>LTK-FRD-F150-039</t>
  </si>
  <si>
    <t>Regular Cab XLT</t>
  </si>
  <si>
    <t>2019-LTK-FRD-F150-040-05</t>
  </si>
  <si>
    <t>LTK-FRD-F150-040</t>
  </si>
  <si>
    <t>2019-LTK-FRD-F150-042-05</t>
  </si>
  <si>
    <t>LTK-FRD-F150-042</t>
  </si>
  <si>
    <t>2019-LTK-FRD-F150-043-05</t>
  </si>
  <si>
    <t>LTK-FRD-F150-043</t>
  </si>
  <si>
    <t>2019-LTK-FRD-F150-044-05</t>
  </si>
  <si>
    <t>LTK-FRD-F150-044</t>
  </si>
  <si>
    <t>2019-LTK-FRD-F150-045-05</t>
  </si>
  <si>
    <t>LTK-FRD-F150-045</t>
  </si>
  <si>
    <t>2019-LTK-FRD-F150-047-05</t>
  </si>
  <si>
    <t>LTK-FRD-F150-047</t>
  </si>
  <si>
    <t>2019-LTK-FRD-F150-039-15</t>
  </si>
  <si>
    <t>2019-LTK-FRD-F150-040-15</t>
  </si>
  <si>
    <t>2019-LTK-FRD-F150-042-15</t>
  </si>
  <si>
    <t>2019-LTK-FRD-F150-043-15</t>
  </si>
  <si>
    <t>2019-LTK-FRD-F150-044-15</t>
  </si>
  <si>
    <t>2019-LTK-FRD-F150-045-15</t>
  </si>
  <si>
    <t>2019-LTK-FRD-F150-047-15</t>
  </si>
  <si>
    <t>2019-LTK-FRD-F150-039-26</t>
  </si>
  <si>
    <t>2019-LTK-FRD-F150-040-26</t>
  </si>
  <si>
    <t>2019-LTK-FRD-F150-042-26</t>
  </si>
  <si>
    <t>2019-LTK-FRD-F150-043-26</t>
  </si>
  <si>
    <t>2019-LTK-FRD-F150-045-26</t>
  </si>
  <si>
    <t>2019-LTK-FRD-F150-046-26</t>
  </si>
  <si>
    <t>LTK-FRD-F150-046</t>
  </si>
  <si>
    <t>2019-LTK-FRD-F150-047-26</t>
  </si>
  <si>
    <t>2019-LTK-FRD-F150-039-27</t>
  </si>
  <si>
    <t>2019-LTK-FRD-F150-040-27</t>
  </si>
  <si>
    <t>2019-LTK-FRD-F150-042-27</t>
  </si>
  <si>
    <t>2019-LTK-FRD-F150-043-27</t>
  </si>
  <si>
    <t>2019-LTK-FRD-F150-044-27</t>
  </si>
  <si>
    <t>2019-LTK-FRD-F150-045-27</t>
  </si>
  <si>
    <t>2019-LTK-FRD-F150-047-27</t>
  </si>
  <si>
    <t>2019-LTK-FRD-F150-048-05</t>
  </si>
  <si>
    <t>LTK-FRD-F150-048</t>
  </si>
  <si>
    <t>2019-LTK-FRD-F150-049-05</t>
  </si>
  <si>
    <t>LTK-FRD-F150-049</t>
  </si>
  <si>
    <t>2019-LTK-FRD-F150-050-05</t>
  </si>
  <si>
    <t>LTK-FRD-F150-050</t>
  </si>
  <si>
    <t>2019-LTK-FRD-F150-051-05</t>
  </si>
  <si>
    <t>LTK-FRD-F150-051</t>
  </si>
  <si>
    <t>2019-LTK-FRD-F150-053-05</t>
  </si>
  <si>
    <t>LTK-FRD-F150-053</t>
  </si>
  <si>
    <t>2019-LTK-FRD-F150-054-05</t>
  </si>
  <si>
    <t>LTK-FRD-F150-054</t>
  </si>
  <si>
    <t>2019-LTK-FRD-F150-055-05</t>
  </si>
  <si>
    <t>LTK-FRD-F150-055</t>
  </si>
  <si>
    <t>2019-LTK-FRD-F150-056-05</t>
  </si>
  <si>
    <t>LTK-FRD-F150-056</t>
  </si>
  <si>
    <t>2019-LTK-FRD-F150-057-05</t>
  </si>
  <si>
    <t>LTK-FRD-F150-057</t>
  </si>
  <si>
    <t>2019-LTK-FRD-F150-049-15</t>
  </si>
  <si>
    <t>2019-LTK-FRD-F150-050-15</t>
  </si>
  <si>
    <t>2019-LTK-FRD-F150-051-15</t>
  </si>
  <si>
    <t>2019-LTK-FRD-F150-054-15</t>
  </si>
  <si>
    <t>2019-LTK-FRD-F150-055-15</t>
  </si>
  <si>
    <t>2019-LTK-FRD-F150-056-15</t>
  </si>
  <si>
    <t>2019-LTK-FRD-F150-057-15</t>
  </si>
  <si>
    <t>2019-LTK-FRD-F150-050-26</t>
  </si>
  <si>
    <t>2019-LTK-FRD-F150-051-26</t>
  </si>
  <si>
    <t>2019-LTK-FRD-F150-052-26</t>
  </si>
  <si>
    <t>LTK-FRD-F150-052</t>
  </si>
  <si>
    <t>2019-LTK-FRD-F150-054-26</t>
  </si>
  <si>
    <t>2019-LTK-FRD-F150-056-26</t>
  </si>
  <si>
    <t>2019-LTK-FRD-F150-057-26</t>
  </si>
  <si>
    <t>2019-LTK-FRD-F150-058-26</t>
  </si>
  <si>
    <t>LTK-FRD-F150-058</t>
  </si>
  <si>
    <t>2019-LTK-FRD-F150-048-27</t>
  </si>
  <si>
    <t>2019-LTK-FRD-F150-049-27</t>
  </si>
  <si>
    <t>2019-LTK-FRD-F150-050-27</t>
  </si>
  <si>
    <t>2019-LTK-FRD-F150-051-27</t>
  </si>
  <si>
    <t>2019-LTK-FRD-F150-053-27</t>
  </si>
  <si>
    <t>2019-LTK-FRD-F150-054-27</t>
  </si>
  <si>
    <t>2019-LTK-FRD-F150-055-27</t>
  </si>
  <si>
    <t>2019-LTK-FRD-F150-056-27</t>
  </si>
  <si>
    <t>2019-LTK-FRD-F150-057-27</t>
  </si>
  <si>
    <t>2019-LTK-FRD-F150-059-05</t>
  </si>
  <si>
    <t>LTK-FRD-F150-059</t>
  </si>
  <si>
    <t>Super Cab XL</t>
  </si>
  <si>
    <t>X1C</t>
  </si>
  <si>
    <t>2019-LTK-FRD-F150-060-05</t>
  </si>
  <si>
    <t>LTK-FRD-F150-060</t>
  </si>
  <si>
    <t>2019-LTK-FRD-F150-061-05</t>
  </si>
  <si>
    <t>LTK-FRD-F150-061</t>
  </si>
  <si>
    <t>2019-LTK-FRD-F150-062-05</t>
  </si>
  <si>
    <t>LTK-FRD-F150-062</t>
  </si>
  <si>
    <t>2019-LTK-FRD-F150-063-05</t>
  </si>
  <si>
    <t>LTK-FRD-F150-063</t>
  </si>
  <si>
    <t>2019-LTK-FRD-F150-064-05</t>
  </si>
  <si>
    <t>LTK-FRD-F150-064</t>
  </si>
  <si>
    <t>2019-LTK-FRD-F150-065-05</t>
  </si>
  <si>
    <t>LTK-FRD-F150-065</t>
  </si>
  <si>
    <t>2019-LTK-FRD-F150-059-15</t>
  </si>
  <si>
    <t>2019-LTK-FRD-F150-060-15</t>
  </si>
  <si>
    <t>2019-LTK-FRD-F150-061-15</t>
  </si>
  <si>
    <t>2019-LTK-FRD-F150-062-15</t>
  </si>
  <si>
    <t>2019-LTK-FRD-F150-063-15</t>
  </si>
  <si>
    <t>2019-LTK-FRD-F150-064-15</t>
  </si>
  <si>
    <t>2019-LTK-FRD-F150-065-15</t>
  </si>
  <si>
    <t>2019-LTK-FRD-F150-059-26</t>
  </si>
  <si>
    <t>2019-LTK-FRD-F150-060-26</t>
  </si>
  <si>
    <t>2019-LTK-FRD-F150-061-26</t>
  </si>
  <si>
    <t>2019-LTK-FRD-F150-062-26</t>
  </si>
  <si>
    <t>2019-LTK-FRD-F150-063-26</t>
  </si>
  <si>
    <t>2019-LTK-FRD-F150-064-26</t>
  </si>
  <si>
    <t>2019-LTK-FRD-F150-065-26</t>
  </si>
  <si>
    <t>2019-LTK-FRD-F150-059-27</t>
  </si>
  <si>
    <t>2019-LTK-FRD-F150-060-27</t>
  </si>
  <si>
    <t>2019-LTK-FRD-F150-061-27</t>
  </si>
  <si>
    <t>2019-LTK-FRD-F150-062-27</t>
  </si>
  <si>
    <t>2019-LTK-FRD-F150-063-27</t>
  </si>
  <si>
    <t>2019-LTK-FRD-F150-064-27</t>
  </si>
  <si>
    <t>2019-LTK-FRD-F150-065-27</t>
  </si>
  <si>
    <t>2019-LTK-FRD-F150-066-05</t>
  </si>
  <si>
    <t>LTK-FRD-F150-066</t>
  </si>
  <si>
    <t>X1E</t>
  </si>
  <si>
    <t>2019-LTK-FRD-F150-067-05</t>
  </si>
  <si>
    <t>LTK-FRD-F150-067</t>
  </si>
  <si>
    <t>2019-LTK-FRD-F150-068-05</t>
  </si>
  <si>
    <t>LTK-FRD-F150-068</t>
  </si>
  <si>
    <t>2019-LTK-FRD-F150-074-05</t>
  </si>
  <si>
    <t>LTK-FRD-F150-074</t>
  </si>
  <si>
    <t>2019-LTK-FRD-F150-076-05</t>
  </si>
  <si>
    <t>LTK-FRD-F150-076</t>
  </si>
  <si>
    <t>2019-LTK-FRD-F150-077-05</t>
  </si>
  <si>
    <t>LTK-FRD-F150-077</t>
  </si>
  <si>
    <t>2019-LTK-FRD-F150-079-05</t>
  </si>
  <si>
    <t>LTK-FRD-F150-079</t>
  </si>
  <si>
    <t>2019-LTK-FRD-F150-072-15</t>
  </si>
  <si>
    <t>LTK-FRD-F150-072</t>
  </si>
  <si>
    <t>2019-LTK-FRD-F150-073-15</t>
  </si>
  <si>
    <t>LTK-FRD-F150-073</t>
  </si>
  <si>
    <t>2019-LTK-FRD-F150-074-15</t>
  </si>
  <si>
    <t>2019-LTK-FRD-F150-076-15</t>
  </si>
  <si>
    <t>2019-LTK-FRD-F150-077-15</t>
  </si>
  <si>
    <t>2019-LTK-FRD-F150-079-15</t>
  </si>
  <si>
    <t>2019-LTK-FRD-F150-072-26</t>
  </si>
  <si>
    <t>2019-LTK-FRD-F150-074-26</t>
  </si>
  <si>
    <t>2019-LTK-FRD-F150-075-26</t>
  </si>
  <si>
    <t>LTK-FRD-F150-075</t>
  </si>
  <si>
    <t>2019-LTK-FRD-F150-076-26</t>
  </si>
  <si>
    <t>2019-LTK-FRD-F150-077-26</t>
  </si>
  <si>
    <t>2019-LTK-FRD-F150-079-26</t>
  </si>
  <si>
    <t>2019-LTK-FRD-F150-066-27</t>
  </si>
  <si>
    <t>2019-LTK-FRD-F150-067-27</t>
  </si>
  <si>
    <t>2019-LTK-FRD-F150-068-27</t>
  </si>
  <si>
    <t>2019-LTK-FRD-F150-074-27</t>
  </si>
  <si>
    <t>2019-LTK-FRD-F150-076-27</t>
  </si>
  <si>
    <t>2019-LTK-FRD-F150-077-27</t>
  </si>
  <si>
    <t>2019-LTK-FRD-F150-079-27</t>
  </si>
  <si>
    <t>2019-LTK-FRD-F150-080-05</t>
  </si>
  <si>
    <t>LTK-FRD-F150-080</t>
  </si>
  <si>
    <t>Super Cab XLT</t>
  </si>
  <si>
    <t>2019-LTK-FRD-F150-081-05</t>
  </si>
  <si>
    <t>LTK-FRD-F150-081</t>
  </si>
  <si>
    <t>2019-LTK-FRD-F150-082-05</t>
  </si>
  <si>
    <t>LTK-FRD-F150-082</t>
  </si>
  <si>
    <t>2019-LTK-FRD-F150-084-05</t>
  </si>
  <si>
    <t>LTK-FRD-F150-084</t>
  </si>
  <si>
    <t>2019-LTK-FRD-F150-085-05</t>
  </si>
  <si>
    <t>LTK-FRD-F150-085</t>
  </si>
  <si>
    <t>2019-LTK-FRD-F150-086-05</t>
  </si>
  <si>
    <t>LTK-FRD-F150-086</t>
  </si>
  <si>
    <t>2019-LTK-FRD-F150-088-05</t>
  </si>
  <si>
    <t>LTK-FRD-F150-088</t>
  </si>
  <si>
    <t>2019-LTK-FRD-F150-080-15</t>
  </si>
  <si>
    <t>2019-LTK-FRD-F150-081-15</t>
  </si>
  <si>
    <t>2019-LTK-FRD-F150-082-15</t>
  </si>
  <si>
    <t>2019-LTK-FRD-F150-084-15</t>
  </si>
  <si>
    <t>2019-LTK-FRD-F150-085-15</t>
  </si>
  <si>
    <t>2019-LTK-FRD-F150-086-15</t>
  </si>
  <si>
    <t>2019-LTK-FRD-F150-088-15</t>
  </si>
  <si>
    <t>2019-LTK-FRD-F150-080-26</t>
  </si>
  <si>
    <t>2019-LTK-FRD-F150-082-26</t>
  </si>
  <si>
    <t>2019-LTK-FRD-F150-083-26</t>
  </si>
  <si>
    <t>LTK-FRD-F150-083</t>
  </si>
  <si>
    <t>2019-LTK-FRD-F150-084-26</t>
  </si>
  <si>
    <t>2019-LTK-FRD-F150-085-26</t>
  </si>
  <si>
    <t>2019-LTK-FRD-F150-086-26</t>
  </si>
  <si>
    <t>2019-LTK-FRD-F150-088-26</t>
  </si>
  <si>
    <t>2019-LTK-FRD-F150-080-27</t>
  </si>
  <si>
    <t>2019-LTK-FRD-F150-081-27</t>
  </si>
  <si>
    <t>2019-LTK-FRD-F150-082-27</t>
  </si>
  <si>
    <t>2019-LTK-FRD-F150-084-27</t>
  </si>
  <si>
    <t>2019-LTK-FRD-F150-085-27</t>
  </si>
  <si>
    <t>2019-LTK-FRD-F150-086-27</t>
  </si>
  <si>
    <t>2019-LTK-FRD-F150-088-27</t>
  </si>
  <si>
    <t>2019-LTK-FRD-F150-093-05</t>
  </si>
  <si>
    <t>LTK-FRD-F150-093</t>
  </si>
  <si>
    <t>2019-LTK-FRD-F150-094-05</t>
  </si>
  <si>
    <t>LTK-FRD-F150-094</t>
  </si>
  <si>
    <t>2019-LTK-FRD-F150-095-05</t>
  </si>
  <si>
    <t>LTK-FRD-F150-095</t>
  </si>
  <si>
    <t>2019-LTK-FRD-F150-096-05</t>
  </si>
  <si>
    <t>LTK-FRD-F150-096</t>
  </si>
  <si>
    <t>2019-LTK-FRD-F150-097-05</t>
  </si>
  <si>
    <t>LTK-FRD-F150-097</t>
  </si>
  <si>
    <t>2019-LTK-FRD-F150-099-05</t>
  </si>
  <si>
    <t>LTK-FRD-F150-099</t>
  </si>
  <si>
    <t>2019-LTK-FRD-F150-095-15</t>
  </si>
  <si>
    <t>2019-LTK-FRD-F150-096-15</t>
  </si>
  <si>
    <t>2019-LTK-FRD-F150-097-15</t>
  </si>
  <si>
    <t>2019-LTK-FRD-F150-099-15</t>
  </si>
  <si>
    <t>2019-LTK-FRD-F150-100-15</t>
  </si>
  <si>
    <t>LTK-FRD-F150-100</t>
  </si>
  <si>
    <t>2019-LTK-FRD-F150-102-15</t>
  </si>
  <si>
    <t>LTK-FRD-F150-102</t>
  </si>
  <si>
    <t>2019-LTK-FRD-F150-095-26</t>
  </si>
  <si>
    <t>2019-LTK-FRD-F150-097-26</t>
  </si>
  <si>
    <t>2019-LTK-FRD-F150-098-26</t>
  </si>
  <si>
    <t>LTK-FRD-F150-098</t>
  </si>
  <si>
    <t>2019-LTK-FRD-F150-099-26</t>
  </si>
  <si>
    <t>2019-LTK-FRD-F150-100-26</t>
  </si>
  <si>
    <t>2019-LTK-FRD-F150-102-26</t>
  </si>
  <si>
    <t>2019-LTK-FRD-F150-093-27</t>
  </si>
  <si>
    <t>2019-LTK-FRD-F150-094-27</t>
  </si>
  <si>
    <t>2019-LTK-FRD-F150-095-27</t>
  </si>
  <si>
    <t>2019-LTK-FRD-F150-096-27</t>
  </si>
  <si>
    <t>2019-LTK-FRD-F150-097-27</t>
  </si>
  <si>
    <t>2019-LTK-FRD-F150-099-27</t>
  </si>
  <si>
    <t>2019-LTK-FRD-F150-103-05</t>
  </si>
  <si>
    <t>LTK-FRD-F150-103</t>
  </si>
  <si>
    <t>Super Crew XL</t>
  </si>
  <si>
    <t>W1C</t>
  </si>
  <si>
    <t>2019-LTK-FRD-F150-104-05</t>
  </si>
  <si>
    <t>LTK-FRD-F150-104</t>
  </si>
  <si>
    <t>2019-LTK-FRD-F150-105-05</t>
  </si>
  <si>
    <t>LTK-FRD-F150-105</t>
  </si>
  <si>
    <t>2019-LTK-FRD-F150-107-05</t>
  </si>
  <si>
    <t>LTK-FRD-F150-107</t>
  </si>
  <si>
    <t>2019-LTK-FRD-F150-108-05</t>
  </si>
  <si>
    <t>LTK-FRD-F150-108</t>
  </si>
  <si>
    <t>2019-LTK-FRD-F150-109-05</t>
  </si>
  <si>
    <t>LTK-FRD-F150-109</t>
  </si>
  <si>
    <t>2019-LTK-FRD-F150-111-05</t>
  </si>
  <si>
    <t>LTK-FRD-F150-111</t>
  </si>
  <si>
    <t>2019-LTK-FRD-F150-103-15</t>
  </si>
  <si>
    <t>2019-LTK-FRD-F150-104-15</t>
  </si>
  <si>
    <t>2019-LTK-FRD-F150-105-15</t>
  </si>
  <si>
    <t>2019-LTK-FRD-F150-107-15</t>
  </si>
  <si>
    <t>2019-LTK-FRD-F150-108-15</t>
  </si>
  <si>
    <t>2019-LTK-FRD-F150-109-15</t>
  </si>
  <si>
    <t>2019-LTK-FRD-F150-111-15</t>
  </si>
  <si>
    <t>2019-LTK-FRD-F150-103-26</t>
  </si>
  <si>
    <t>2019-LTK-FRD-F150-105-26</t>
  </si>
  <si>
    <t>2019-LTK-FRD-F150-106-26</t>
  </si>
  <si>
    <t>LTK-FRD-F150-106</t>
  </si>
  <si>
    <t>6</t>
  </si>
  <si>
    <t>2019-LTK-FRD-F150-107-26</t>
  </si>
  <si>
    <t>2019-LTK-FRD-F150-108-26</t>
  </si>
  <si>
    <t>2019-LTK-FRD-F150-109-26</t>
  </si>
  <si>
    <t>2019-LTK-FRD-F150-111-26</t>
  </si>
  <si>
    <t>2019-LTK-FRD-F150-103-27</t>
  </si>
  <si>
    <t>2019-LTK-FRD-F150-104-27</t>
  </si>
  <si>
    <t>2019-LTK-FRD-F150-105-27</t>
  </si>
  <si>
    <t>2019-LTK-FRD-F150-107-27</t>
  </si>
  <si>
    <t>2019-LTK-FRD-F150-108-27</t>
  </si>
  <si>
    <t>2019-LTK-FRD-F150-109-27</t>
  </si>
  <si>
    <t>2019-LTK-FRD-F150-111-27</t>
  </si>
  <si>
    <t>2019-LTK-FRD-F150-132-05</t>
  </si>
  <si>
    <t>LTK-FRD-F150-132</t>
  </si>
  <si>
    <t>Super Crew XLT</t>
  </si>
  <si>
    <t>2019-LTK-FRD-F150-133-05</t>
  </si>
  <si>
    <t>LTK-FRD-F150-133</t>
  </si>
  <si>
    <t>2019-LTK-FRD-F150-112-05</t>
  </si>
  <si>
    <t>LTK-FRD-F150-112</t>
  </si>
  <si>
    <t>2019-LTK-FRD-F150-135-05</t>
  </si>
  <si>
    <t>LTK-FRD-F150-135</t>
  </si>
  <si>
    <t>2019-LTK-FRD-F150-136-05</t>
  </si>
  <si>
    <t>LTK-FRD-F150-136</t>
  </si>
  <si>
    <t>2019-LTK-FRD-F150-137-05</t>
  </si>
  <si>
    <t>LTK-FRD-F150-137</t>
  </si>
  <si>
    <t>2019-LTK-FRD-F150-138-05</t>
  </si>
  <si>
    <t>LTK-FRD-F150-138</t>
  </si>
  <si>
    <t>2019-LTK-FRD-F150-131-26</t>
  </si>
  <si>
    <t>LTK-FRD-F150-131</t>
  </si>
  <si>
    <t>2019-LTK-FRD-F150-133-26</t>
  </si>
  <si>
    <t>2019-LTK-FRD-F150-134-26</t>
  </si>
  <si>
    <t>LTK-FRD-F150-134</t>
  </si>
  <si>
    <t>2019-LTK-FRD-F150-135-26</t>
  </si>
  <si>
    <t>2019-LTK-FRD-F150-132-27</t>
  </si>
  <si>
    <t>2019-LTK-FRD-F150-133-27</t>
  </si>
  <si>
    <t>2019-LTK-FRD-F150-112-27</t>
  </si>
  <si>
    <t>2019-LTK-FRD-F150-135-27</t>
  </si>
  <si>
    <t>2019-LTK-FRD-F150-136-27</t>
  </si>
  <si>
    <t>2019-LTK-FRD-F150-137-27</t>
  </si>
  <si>
    <t>2019-LTK-FRD-F150-138-27</t>
  </si>
  <si>
    <t>2019-LTK-FRD-F150-114-05</t>
  </si>
  <si>
    <t>LTK-FRD-F150-114</t>
  </si>
  <si>
    <t>SuperCab XL</t>
  </si>
  <si>
    <t>2019-LTK-FRD-F150-115-05</t>
  </si>
  <si>
    <t>LTK-FRD-F150-115</t>
  </si>
  <si>
    <t>2019-LTK-FRD-F150-116-05</t>
  </si>
  <si>
    <t>LTK-FRD-F150-116</t>
  </si>
  <si>
    <t>2019-LTK-FRD-F150-118-05</t>
  </si>
  <si>
    <t>LTK-FRD-F150-118</t>
  </si>
  <si>
    <t>2019-LTK-FRD-F150-119-05</t>
  </si>
  <si>
    <t>LTK-FRD-F150-119</t>
  </si>
  <si>
    <t>2019-LTK-FRD-F150-120-05</t>
  </si>
  <si>
    <t>LTK-FRD-F150-120</t>
  </si>
  <si>
    <t>2019-LTK-FRD-F150-122-05</t>
  </si>
  <si>
    <t>LTK-FRD-F150-122</t>
  </si>
  <si>
    <t>2019-LTK-FRD-F150-114-27</t>
  </si>
  <si>
    <t>2019-LTK-FRD-F150-115-27</t>
  </si>
  <si>
    <t>2019-LTK-FRD-F150-116-27</t>
  </si>
  <si>
    <t>2019-LTK-FRD-F150-118-27</t>
  </si>
  <si>
    <t>2019-LTK-FRD-F150-119-27</t>
  </si>
  <si>
    <t>2019-LTK-FRD-F150-120-27</t>
  </si>
  <si>
    <t>2019-LTK-FRD-F150-122-27</t>
  </si>
  <si>
    <t>2019-LTK-FRD-F250-003-05</t>
  </si>
  <si>
    <t>LTK-FRD-F250-003</t>
  </si>
  <si>
    <t>F250</t>
  </si>
  <si>
    <t>6'9"</t>
  </si>
  <si>
    <t>6.7L Diesel</t>
  </si>
  <si>
    <t>W2A</t>
  </si>
  <si>
    <t>2019-LTK-FRD-F250-004-05</t>
  </si>
  <si>
    <t>LTK-FRD-F250-004</t>
  </si>
  <si>
    <t>6.2L FFV</t>
  </si>
  <si>
    <t>2019-LTK-FRD-F250-006-05</t>
  </si>
  <si>
    <t>LTK-FRD-F250-006</t>
  </si>
  <si>
    <t>2019-LTK-FRD-F250-081-05</t>
  </si>
  <si>
    <t>LTK-FRD-F250-081</t>
  </si>
  <si>
    <t>2019-LTK-FRD-F250-082-05</t>
  </si>
  <si>
    <t>LTK-FRD-F250-082</t>
  </si>
  <si>
    <t>2019-LTK-FRD-F250-002-15</t>
  </si>
  <si>
    <t>LTK-FRD-F250-002</t>
  </si>
  <si>
    <t>2019-LTK-FRD-F250-003-15</t>
  </si>
  <si>
    <t>2019-LTK-FRD-F250-006-15</t>
  </si>
  <si>
    <t>2019-LTK-FRD-F250-007-15</t>
  </si>
  <si>
    <t>LTK-FRD-F250-007</t>
  </si>
  <si>
    <t>2019-LTK-FRD-F250-002-26</t>
  </si>
  <si>
    <t>2019-LTK-FRD-F250-003-26</t>
  </si>
  <si>
    <t>2019-LTK-FRD-F250-006-26</t>
  </si>
  <si>
    <t>2019-LTK-FRD-F250-007-26</t>
  </si>
  <si>
    <t>2019-LTK-FRD-F250-003-27</t>
  </si>
  <si>
    <t>2019-LTK-FRD-F250-004-27</t>
  </si>
  <si>
    <t>2019-LTK-FRD-F250-006-27</t>
  </si>
  <si>
    <t>2019-LTK-FRD-F250-081-27</t>
  </si>
  <si>
    <t>2019-LTK-FRD-F250-082-27</t>
  </si>
  <si>
    <t>2019-LTK-FRD-F250-011-05</t>
  </si>
  <si>
    <t>LTK-FRD-F250-011</t>
  </si>
  <si>
    <t>W2B</t>
  </si>
  <si>
    <t>2019-LTK-FRD-F250-012-05</t>
  </si>
  <si>
    <t>LTK-FRD-F250-012</t>
  </si>
  <si>
    <t>2019-LTK-FRD-F250-083-05</t>
  </si>
  <si>
    <t>LTK-FRD-F250-083</t>
  </si>
  <si>
    <t>2019-LTK-FRD-F250-084-05</t>
  </si>
  <si>
    <t>LTK-FRD-F250-084</t>
  </si>
  <si>
    <t>2019-LTK-FRD-F250-010-15</t>
  </si>
  <si>
    <t>LTK-FRD-F250-010</t>
  </si>
  <si>
    <t>2019-LTK-FRD-F250-011-15</t>
  </si>
  <si>
    <t>2019-LTK-FRD-F250-014-15</t>
  </si>
  <si>
    <t>LTK-FRD-F250-014</t>
  </si>
  <si>
    <t>2019-LTK-FRD-F250-015-15</t>
  </si>
  <si>
    <t>LTK-FRD-F250-015</t>
  </si>
  <si>
    <t>2019-LTK-FRD-F250-010-26</t>
  </si>
  <si>
    <t>2019-LTK-FRD-F250-011-26</t>
  </si>
  <si>
    <t>2019-LTK-FRD-F250-014-26</t>
  </si>
  <si>
    <t>2019-LTK-FRD-F250-015-26</t>
  </si>
  <si>
    <t>2019-LTK-FRD-F250-011-27</t>
  </si>
  <si>
    <t>2019-LTK-FRD-F250-012-27</t>
  </si>
  <si>
    <t>2019-LTK-FRD-F250-083-27</t>
  </si>
  <si>
    <t>2019-LTK-FRD-F250-084-27</t>
  </si>
  <si>
    <t>2019-LTK-FRD-F250-018-05</t>
  </si>
  <si>
    <t>LTK-FRD-F250-018</t>
  </si>
  <si>
    <t>603A</t>
  </si>
  <si>
    <t>2019-LTK-FRD-F250-019-05</t>
  </si>
  <si>
    <t>LTK-FRD-F250-019</t>
  </si>
  <si>
    <t>2019-LTK-FRD-F250-020-05</t>
  </si>
  <si>
    <t>LTK-FRD-F250-020</t>
  </si>
  <si>
    <t>2019-LTK-FRD-F250-022-05</t>
  </si>
  <si>
    <t>LTK-FRD-F250-022</t>
  </si>
  <si>
    <t>2019-LTK-FRD-F250-085-05</t>
  </si>
  <si>
    <t>LTK-FRD-F250-085</t>
  </si>
  <si>
    <t>2019-LTK-FRD-F250-086-05</t>
  </si>
  <si>
    <t>LTK-FRD-F250-086</t>
  </si>
  <si>
    <t>2019-LTK-FRD-F250-018-15</t>
  </si>
  <si>
    <t>2019-LTK-FRD-F250-019-15</t>
  </si>
  <si>
    <t>2019-LTK-FRD-F250-022-15</t>
  </si>
  <si>
    <t>2019-LTK-FRD-F250-023-15</t>
  </si>
  <si>
    <t>LTK-FRD-F250-023</t>
  </si>
  <si>
    <t>2019-LTK-FRD-F250-018-26</t>
  </si>
  <si>
    <t>2019-LTK-FRD-F250-019-26</t>
  </si>
  <si>
    <t>2019-LTK-FRD-F250-022-26</t>
  </si>
  <si>
    <t>2019-LTK-FRD-F250-023-26</t>
  </si>
  <si>
    <t>2019-LTK-FRD-F250-018-27</t>
  </si>
  <si>
    <t>2019-LTK-FRD-F250-019-27</t>
  </si>
  <si>
    <t>2019-LTK-FRD-F250-020-27</t>
  </si>
  <si>
    <t>2019-LTK-FRD-F250-022-27</t>
  </si>
  <si>
    <t>2019-LTK-FRD-F250-085-27</t>
  </si>
  <si>
    <t>2019-LTK-FRD-F250-086-27</t>
  </si>
  <si>
    <t>2019-LTK-FRD-F250-027-05</t>
  </si>
  <si>
    <t>LTK-FRD-F250-027</t>
  </si>
  <si>
    <t>2019-LTK-FRD-F250-028-05</t>
  </si>
  <si>
    <t>LTK-FRD-F250-028</t>
  </si>
  <si>
    <t>2019-LTK-FRD-F250-087-05</t>
  </si>
  <si>
    <t>LTK-FRD-F250-087</t>
  </si>
  <si>
    <t>2019-LTK-FRD-F250-088-05</t>
  </si>
  <si>
    <t>LTK-FRD-F250-088</t>
  </si>
  <si>
    <t>2019-LTK-FRD-F250-026-15</t>
  </si>
  <si>
    <t>LTK-FRD-F250-026</t>
  </si>
  <si>
    <t>2019-LTK-FRD-F250-027-15</t>
  </si>
  <si>
    <t>2019-LTK-FRD-F250-030-15</t>
  </si>
  <si>
    <t>LTK-FRD-F250-030</t>
  </si>
  <si>
    <t>2019-LTK-FRD-F250-031-15</t>
  </si>
  <si>
    <t>LTK-FRD-F250-031</t>
  </si>
  <si>
    <t>2019-LTK-FRD-F250-026-26</t>
  </si>
  <si>
    <t>2019-LTK-FRD-F250-027-26</t>
  </si>
  <si>
    <t>2019-LTK-FRD-F250-030-26</t>
  </si>
  <si>
    <t>2019-LTK-FRD-F250-031-26</t>
  </si>
  <si>
    <t>2019-LTK-FRD-F250-027-27</t>
  </si>
  <si>
    <t>2019-LTK-FRD-F250-028-27</t>
  </si>
  <si>
    <t>2019-LTK-FRD-F250-087-27</t>
  </si>
  <si>
    <t>2019-LTK-FRD-F250-088-27</t>
  </si>
  <si>
    <t>2019-LTK-FRD-F250-033-05</t>
  </si>
  <si>
    <t>LTK-FRD-F250-033</t>
  </si>
  <si>
    <t>F2A</t>
  </si>
  <si>
    <t>2019-LTK-FRD-F250-034-05</t>
  </si>
  <si>
    <t>LTK-FRD-F250-034</t>
  </si>
  <si>
    <t>2019-LTK-FRD-F250-035-05</t>
  </si>
  <si>
    <t>LTK-FRD-F250-035</t>
  </si>
  <si>
    <t>2019-LTK-FRD-F250-036-05</t>
  </si>
  <si>
    <t>LTK-FRD-F250-036</t>
  </si>
  <si>
    <t xml:space="preserve">Diesel </t>
  </si>
  <si>
    <t>2019-LTK-FRD-F250-037-05</t>
  </si>
  <si>
    <t>LTK-FRD-F250-037</t>
  </si>
  <si>
    <t>2019-LTK-FRD-F250-035-15</t>
  </si>
  <si>
    <t>2019-LTK-FRD-F250-037-15</t>
  </si>
  <si>
    <t>2019-LTK-FRD-F250-033-26</t>
  </si>
  <si>
    <t>2019-LTK-FRD-F250-033-27</t>
  </si>
  <si>
    <t>2019-LTK-FRD-F250-034-27</t>
  </si>
  <si>
    <t>2019-LTK-FRD-F250-035-27</t>
  </si>
  <si>
    <t>2019-LTK-FRD-F250-036-27</t>
  </si>
  <si>
    <t>2019-LTK-FRD-F250-037-27</t>
  </si>
  <si>
    <t>2019-LTK-FRD-F250-038-05</t>
  </si>
  <si>
    <t>LTK-FRD-F250-038</t>
  </si>
  <si>
    <t>F2B</t>
  </si>
  <si>
    <t>2019-LTK-FRD-F250-039-05</t>
  </si>
  <si>
    <t>LTK-FRD-F250-039</t>
  </si>
  <si>
    <t>2019-LTK-FRD-F250-040-05</t>
  </si>
  <si>
    <t>LTK-FRD-F250-040</t>
  </si>
  <si>
    <t>2019-LTK-FRD-F250-038-15</t>
  </si>
  <si>
    <t>2019-LTK-FRD-F250-040-15</t>
  </si>
  <si>
    <t>2019-LTK-FRD-F250-038-26</t>
  </si>
  <si>
    <t>2019-LTK-FRD-F250-040-26</t>
  </si>
  <si>
    <t>2019-LTK-FRD-F250-038-27</t>
  </si>
  <si>
    <t>2019-LTK-FRD-F250-039-27</t>
  </si>
  <si>
    <t>2019-LTK-FRD-F250-040-27</t>
  </si>
  <si>
    <t>2019-LTK-FRD-F250-041-05</t>
  </si>
  <si>
    <t>LTK-FRD-F250-041</t>
  </si>
  <si>
    <t>2019-LTK-FRD-F250-043-05</t>
  </si>
  <si>
    <t>LTK-FRD-F250-043</t>
  </si>
  <si>
    <t>2019-LTK-FRD-F250-044-05</t>
  </si>
  <si>
    <t>LTK-FRD-F250-044</t>
  </si>
  <si>
    <t>2019-LTK-FRD-F250-042-15</t>
  </si>
  <si>
    <t>LTK-FRD-F250-042</t>
  </si>
  <si>
    <t>2019-LTK-FRD-F250-044-15</t>
  </si>
  <si>
    <t>2019-LTK-FRD-F250-041-26</t>
  </si>
  <si>
    <t>2019-LTK-FRD-F250-044-26</t>
  </si>
  <si>
    <t>2019-LTK-FRD-F250-041-27</t>
  </si>
  <si>
    <t>2019-LTK-FRD-F250-043-27</t>
  </si>
  <si>
    <t>2019-LTK-FRD-F250-044-27</t>
  </si>
  <si>
    <t>2019-LTK-FRD-F250-045-05</t>
  </si>
  <si>
    <t>LTK-FRD-F250-045</t>
  </si>
  <si>
    <t>2019-LTK-FRD-F250-046-05</t>
  </si>
  <si>
    <t>LTK-FRD-F250-046</t>
  </si>
  <si>
    <t>2019-LTK-FRD-F250-047-05</t>
  </si>
  <si>
    <t>LTK-FRD-F250-047</t>
  </si>
  <si>
    <t>2019-LTK-FRD-F250-048-05</t>
  </si>
  <si>
    <t>LTK-FRD-F250-048</t>
  </si>
  <si>
    <t>2019-LTK-FRD-F250-045-15</t>
  </si>
  <si>
    <t>2019-LTK-FRD-F250-048-15</t>
  </si>
  <si>
    <t>2019-LTK-FRD-F250-045-26</t>
  </si>
  <si>
    <t>2019-LTK-FRD-F250-048-26</t>
  </si>
  <si>
    <t>2019-LTK-FRD-F250-045-27</t>
  </si>
  <si>
    <t>2019-LTK-FRD-F250-046-27</t>
  </si>
  <si>
    <t>2019-LTK-FRD-F250-047-27</t>
  </si>
  <si>
    <t>2019-LTK-FRD-F250-048-27</t>
  </si>
  <si>
    <t>2019-LTK-FRD-F250-050-05</t>
  </si>
  <si>
    <t>LTK-FRD-F250-050</t>
  </si>
  <si>
    <t>X2A</t>
  </si>
  <si>
    <t>2019-LTK-FRD-F250-051-05</t>
  </si>
  <si>
    <t>LTK-FRD-F250-051</t>
  </si>
  <si>
    <t>2019-LTK-FRD-F250-052-05</t>
  </si>
  <si>
    <t>LTK-FRD-F250-052</t>
  </si>
  <si>
    <t>2019-LTK-FRD-F250-053-05</t>
  </si>
  <si>
    <t>LTK-FRD-F250-053</t>
  </si>
  <si>
    <t xml:space="preserve">8' </t>
  </si>
  <si>
    <t>2019-LTK-FRD-F250-055-05</t>
  </si>
  <si>
    <t>LTK-FRD-F250-055</t>
  </si>
  <si>
    <t>2019-LTK-FRD-F250-056-05</t>
  </si>
  <si>
    <t>LTK-FRD-F250-056</t>
  </si>
  <si>
    <t>2019-LTK-FRD-F250-050-15</t>
  </si>
  <si>
    <t>2019-LTK-FRD-F250-051-15</t>
  </si>
  <si>
    <t>2019-LTK-FRD-F250-055-15</t>
  </si>
  <si>
    <t>2019-LTK-FRD-F250-056-15</t>
  </si>
  <si>
    <t>2019-LTK-FRD-F250-050-26</t>
  </si>
  <si>
    <t>2019-LTK-FRD-F250-051-26</t>
  </si>
  <si>
    <t>2019-LTK-FRD-F250-055-26</t>
  </si>
  <si>
    <t>2019-LTK-FRD-F250-056-26</t>
  </si>
  <si>
    <t>2019-LTK-FRD-F250-050-27</t>
  </si>
  <si>
    <t>2019-LTK-FRD-F250-051-27</t>
  </si>
  <si>
    <t>2019-LTK-FRD-F250-052-27</t>
  </si>
  <si>
    <t>2019-LTK-FRD-F250-053-27</t>
  </si>
  <si>
    <t>2019-LTK-FRD-F250-055-27</t>
  </si>
  <si>
    <t>2019-LTK-FRD-F250-056-27</t>
  </si>
  <si>
    <t>2019-LTK-FRD-F250-058-05</t>
  </si>
  <si>
    <t>LTK-FRD-F250-058</t>
  </si>
  <si>
    <t>X2B</t>
  </si>
  <si>
    <t>2019-LTK-FRD-F250-059-05</t>
  </si>
  <si>
    <t>LTK-FRD-F250-059</t>
  </si>
  <si>
    <t>2019-LTK-FRD-F250-060-05</t>
  </si>
  <si>
    <t>LTK-FRD-F250-060</t>
  </si>
  <si>
    <t>2019-LTK-FRD-F250-063-05</t>
  </si>
  <si>
    <t>LTK-FRD-F250-063</t>
  </si>
  <si>
    <t>2019-LTK-FRD-F250-064-05</t>
  </si>
  <si>
    <t>LTK-FRD-F250-064</t>
  </si>
  <si>
    <t>2019-LTK-FRD-F250-058-15</t>
  </si>
  <si>
    <t>2019-LTK-FRD-F250-059-15</t>
  </si>
  <si>
    <t>2019-LTK-FRD-F250-062-15</t>
  </si>
  <si>
    <t>LTK-FRD-F250-062</t>
  </si>
  <si>
    <t>2019-LTK-FRD-F250-063-15</t>
  </si>
  <si>
    <t>2019-LTK-FRD-F250-058-26</t>
  </si>
  <si>
    <t>2019-LTK-FRD-F250-059-26</t>
  </si>
  <si>
    <t>2019-LTK-FRD-F250-062-26</t>
  </si>
  <si>
    <t>2019-LTK-FRD-F250-063-26</t>
  </si>
  <si>
    <t>2019-LTK-FRD-F250-058-27</t>
  </si>
  <si>
    <t>2019-LTK-FRD-F250-059-27</t>
  </si>
  <si>
    <t>2019-LTK-FRD-F250-060-27</t>
  </si>
  <si>
    <t>2019-LTK-FRD-F250-063-27</t>
  </si>
  <si>
    <t>2019-LTK-FRD-F250-064-27</t>
  </si>
  <si>
    <t>2019-LTK-FRD-F250-066-05</t>
  </si>
  <si>
    <t>LTK-FRD-F250-066</t>
  </si>
  <si>
    <t>2019-LTK-FRD-F250-067-05</t>
  </si>
  <si>
    <t>LTK-FRD-F250-067</t>
  </si>
  <si>
    <t>2019-LTK-FRD-F250-068-05</t>
  </si>
  <si>
    <t>LTK-FRD-F250-068</t>
  </si>
  <si>
    <t>2019-LTK-FRD-F250-070-05</t>
  </si>
  <si>
    <t>LTK-FRD-F250-070</t>
  </si>
  <si>
    <t>2019-LTK-FRD-F250-071-05</t>
  </si>
  <si>
    <t>LTK-FRD-F250-071</t>
  </si>
  <si>
    <t>2019-LTK-FRD-F250-072-05</t>
  </si>
  <si>
    <t>LTK-FRD-F250-072</t>
  </si>
  <si>
    <t>2019-LTK-FRD-F250-066-15</t>
  </si>
  <si>
    <t>2019-LTK-FRD-F250-067-15</t>
  </si>
  <si>
    <t>2019-LTK-FRD-F250-070-15</t>
  </si>
  <si>
    <t>2019-LTK-FRD-F250-071-15</t>
  </si>
  <si>
    <t>2019-LTK-FRD-F250-066-26</t>
  </si>
  <si>
    <t>2019-LTK-FRD-F250-067-26</t>
  </si>
  <si>
    <t>2019-LTK-FRD-F250-070-26</t>
  </si>
  <si>
    <t>2019-LTK-FRD-F250-071-26</t>
  </si>
  <si>
    <t>2019-LTK-FRD-F250-066-27</t>
  </si>
  <si>
    <t>2019-LTK-FRD-F250-067-27</t>
  </si>
  <si>
    <t>2019-LTK-FRD-F250-068-27</t>
  </si>
  <si>
    <t>2019-LTK-FRD-F250-070-27</t>
  </si>
  <si>
    <t>2019-LTK-FRD-F250-071-27</t>
  </si>
  <si>
    <t>2019-LTK-FRD-F250-072-27</t>
  </si>
  <si>
    <t>2019-LTK-FRD-F250-074-05</t>
  </si>
  <si>
    <t>LTK-FRD-F250-074</t>
  </si>
  <si>
    <t>2019-LTK-FRD-F250-075-05</t>
  </si>
  <si>
    <t>LTK-FRD-F250-075</t>
  </si>
  <si>
    <t>2019-LTK-FRD-F250-076-05</t>
  </si>
  <si>
    <t>LTK-FRD-F250-076</t>
  </si>
  <si>
    <t>2019-LTK-FRD-F250-078-05</t>
  </si>
  <si>
    <t>LTK-FRD-F250-078</t>
  </si>
  <si>
    <t>2019-LTK-FRD-F250-079-05</t>
  </si>
  <si>
    <t>LTK-FRD-F250-079</t>
  </si>
  <si>
    <t>2019-LTK-FRD-F250-080-05</t>
  </si>
  <si>
    <t>LTK-FRD-F250-080</t>
  </si>
  <si>
    <t>2019-LTK-FRD-F250-074-15</t>
  </si>
  <si>
    <t>2019-LTK-FRD-F250-075-15</t>
  </si>
  <si>
    <t>2019-LTK-FRD-F250-078-15</t>
  </si>
  <si>
    <t>2019-LTK-FRD-F250-079-15</t>
  </si>
  <si>
    <t>2019-LTK-FRD-F250-074-26</t>
  </si>
  <si>
    <t>2019-LTK-FRD-F250-075-26</t>
  </si>
  <si>
    <t>2019-LTK-FRD-F250-078-26</t>
  </si>
  <si>
    <t>2019-LTK-FRD-F250-079-26</t>
  </si>
  <si>
    <t>2019-LTK-FRD-F250-074-27</t>
  </si>
  <si>
    <t>2019-LTK-FRD-F250-075-27</t>
  </si>
  <si>
    <t>2019-LTK-FRD-F250-076-27</t>
  </si>
  <si>
    <t>2019-LTK-FRD-F250-078-27</t>
  </si>
  <si>
    <t>2019-LTK-FRD-F250-079-27</t>
  </si>
  <si>
    <t>2019-LTK-FRD-F250-080-27</t>
  </si>
  <si>
    <t>2019-LTK-FRD-F350-007-05</t>
  </si>
  <si>
    <t>LTK-FRD-F350-007</t>
  </si>
  <si>
    <t>F350</t>
  </si>
  <si>
    <t>W3A</t>
  </si>
  <si>
    <t>610A</t>
  </si>
  <si>
    <t>2019-LTK-FRD-F350-008-05</t>
  </si>
  <si>
    <t>LTK-FRD-F350-008</t>
  </si>
  <si>
    <t>2019-LTK-FRD-F350-009-05</t>
  </si>
  <si>
    <t>LTK-FRD-F350-009</t>
  </si>
  <si>
    <t>2019-LTK-FRD-F350-081-05</t>
  </si>
  <si>
    <t>LTK-FRD-F350-081</t>
  </si>
  <si>
    <t>2019-LTK-FRD-F350-010-05</t>
  </si>
  <si>
    <t>LTK-FRD-F350-010</t>
  </si>
  <si>
    <t>2019-LTK-FRD-F350-011-05</t>
  </si>
  <si>
    <t>LTK-FRD-F350-011</t>
  </si>
  <si>
    <t>2019-LTK-FRD-F350-008-15</t>
  </si>
  <si>
    <t>2019-LTK-FRD-F350-009-15</t>
  </si>
  <si>
    <t>2019-LTK-FRD-F350-010-15</t>
  </si>
  <si>
    <t>2019-LTK-FRD-F350-011-15</t>
  </si>
  <si>
    <t>2019-LTK-FRD-F350-008-26</t>
  </si>
  <si>
    <t>2019-LTK-FRD-F350-009-26</t>
  </si>
  <si>
    <t>2019-LTK-FRD-F350-010-26</t>
  </si>
  <si>
    <t>2019-LTK-FRD-F350-011-26</t>
  </si>
  <si>
    <t>2019-LTK-FRD-F350-007-27</t>
  </si>
  <si>
    <t>2019-LTK-FRD-F350-008-27</t>
  </si>
  <si>
    <t>2019-LTK-FRD-F350-009-27</t>
  </si>
  <si>
    <t>2019-LTK-FRD-F350-081-27</t>
  </si>
  <si>
    <t>2019-LTK-FRD-F350-010-27</t>
  </si>
  <si>
    <t>2019-LTK-FRD-F350-011-27</t>
  </si>
  <si>
    <t>2019-LTK-FRD-F350-014-05</t>
  </si>
  <si>
    <t>LTK-FRD-F350-014</t>
  </si>
  <si>
    <t>W3B</t>
  </si>
  <si>
    <t>2019-LTK-FRD-F350-015-05</t>
  </si>
  <si>
    <t>LTK-FRD-F350-015</t>
  </si>
  <si>
    <t>2019-LTK-FRD-F350-016-05</t>
  </si>
  <si>
    <t>LTK-FRD-F350-016</t>
  </si>
  <si>
    <t>2019-LTK-FRD-F350-017-05</t>
  </si>
  <si>
    <t>LTK-FRD-F350-017</t>
  </si>
  <si>
    <t>2019-LTK-FRD-F350-018-05</t>
  </si>
  <si>
    <t>LTK-FRD-F350-018</t>
  </si>
  <si>
    <t>2019-LTK-FRD-F350-014-15</t>
  </si>
  <si>
    <t>2019-LTK-FRD-F350-015-15</t>
  </si>
  <si>
    <t>2019-LTK-FRD-F350-016-15</t>
  </si>
  <si>
    <t>2019-LTK-FRD-F350-017-15</t>
  </si>
  <si>
    <t>2019-LTK-FRD-F350-014-26</t>
  </si>
  <si>
    <t>2019-LTK-FRD-F350-015-26</t>
  </si>
  <si>
    <t>2019-LTK-FRD-F350-016-26</t>
  </si>
  <si>
    <t>2019-LTK-FRD-F350-017-26</t>
  </si>
  <si>
    <t>2019-LTK-FRD-F350-014-27</t>
  </si>
  <si>
    <t>2019-LTK-FRD-F350-015-27</t>
  </si>
  <si>
    <t>2019-LTK-FRD-F350-016-27</t>
  </si>
  <si>
    <t>2019-LTK-FRD-F350-017-27</t>
  </si>
  <si>
    <t>2019-LTK-FRD-F350-018-27</t>
  </si>
  <si>
    <t>2019-LTK-FRD-F350-001-05</t>
  </si>
  <si>
    <t>LTK-FRD-F350-001</t>
  </si>
  <si>
    <t>Crew Cab XL DRW</t>
  </si>
  <si>
    <t>W3C</t>
  </si>
  <si>
    <t>620A</t>
  </si>
  <si>
    <t>2019-LTK-FRD-F350-002-05</t>
  </si>
  <si>
    <t>LTK-FRD-F350-002</t>
  </si>
  <si>
    <t>2019-LTK-FRD-F350-003-05</t>
  </si>
  <si>
    <t>LTK-FRD-F350-003</t>
  </si>
  <si>
    <t>2019-LTK-FRD-F350-002-15</t>
  </si>
  <si>
    <t>2019-LTK-FRD-F350-003-15</t>
  </si>
  <si>
    <t>2019-LTK-FRD-F350-002-26</t>
  </si>
  <si>
    <t>2019-LTK-FRD-F350-003-26</t>
  </si>
  <si>
    <t>2019-LTK-FRD-F350-001-27</t>
  </si>
  <si>
    <t>2019-LTK-FRD-F350-002-27</t>
  </si>
  <si>
    <t>2019-LTK-FRD-F350-003-27</t>
  </si>
  <si>
    <t>2019-LTK-FRD-F350-004-05</t>
  </si>
  <si>
    <t>LTK-FRD-F350-004</t>
  </si>
  <si>
    <t>W3D</t>
  </si>
  <si>
    <t>2019-LTK-FRD-F350-006-05</t>
  </si>
  <si>
    <t>LTK-FRD-F350-006</t>
  </si>
  <si>
    <t>2019-LTK-FRD-F350-005-15</t>
  </si>
  <si>
    <t>LTK-FRD-F350-005</t>
  </si>
  <si>
    <t>2019-LTK-FRD-F350-006-15</t>
  </si>
  <si>
    <t>2019-LTK-FRD-F350-005-26</t>
  </si>
  <si>
    <t>2019-LTK-FRD-F350-006-26</t>
  </si>
  <si>
    <t>2019-LTK-FRD-F350-004-27</t>
  </si>
  <si>
    <t>2019-LTK-FRD-F350-006-27</t>
  </si>
  <si>
    <t>2019-LTK-FRD-F350-026-05</t>
  </si>
  <si>
    <t>LTK-FRD-F350-026</t>
  </si>
  <si>
    <t>613A</t>
  </si>
  <si>
    <t>2019-LTK-FRD-F350-082-05</t>
  </si>
  <si>
    <t>LTK-FRD-F350-082</t>
  </si>
  <si>
    <t>2019-LTK-FRD-F350-027-05</t>
  </si>
  <si>
    <t>LTK-FRD-F350-027</t>
  </si>
  <si>
    <t>2019-LTK-FRD-F350-028-05</t>
  </si>
  <si>
    <t>LTK-FRD-F350-028</t>
  </si>
  <si>
    <t>2019-LTK-FRD-F350-029-05</t>
  </si>
  <si>
    <t>LTK-FRD-F350-029</t>
  </si>
  <si>
    <t>2019-LTK-FRD-F350-025-15</t>
  </si>
  <si>
    <t>LTK-FRD-F350-025</t>
  </si>
  <si>
    <t>2019-LTK-FRD-F350-026-15</t>
  </si>
  <si>
    <t>2019-LTK-FRD-F350-027-15</t>
  </si>
  <si>
    <t>2019-LTK-FRD-F350-028-15</t>
  </si>
  <si>
    <t>2019-LTK-FRD-F350-025-26</t>
  </si>
  <si>
    <t>2019-LTK-FRD-F350-026-26</t>
  </si>
  <si>
    <t>2019-LTK-FRD-F350-027-26</t>
  </si>
  <si>
    <t>2019-LTK-FRD-F350-028-26</t>
  </si>
  <si>
    <t>2019-LTK-FRD-F350-026-27</t>
  </si>
  <si>
    <t>2019-LTK-FRD-F350-082-27</t>
  </si>
  <si>
    <t>2019-LTK-FRD-F350-027-27</t>
  </si>
  <si>
    <t>2019-LTK-FRD-F350-028-27</t>
  </si>
  <si>
    <t>2019-LTK-FRD-F350-029-27</t>
  </si>
  <si>
    <t>2019-LTK-FRD-F350-032-05</t>
  </si>
  <si>
    <t>LTK-FRD-F350-032</t>
  </si>
  <si>
    <t>2019-LTK-FRD-F350-083-05</t>
  </si>
  <si>
    <t>LTK-FRD-F350-083</t>
  </si>
  <si>
    <t>2019-LTK-FRD-F350-033-05</t>
  </si>
  <si>
    <t>LTK-FRD-F350-033</t>
  </si>
  <si>
    <t>2019-LTK-FRD-F350-034-05</t>
  </si>
  <si>
    <t>LTK-FRD-F350-034</t>
  </si>
  <si>
    <t>2019-LTK-FRD-F350-035-05</t>
  </si>
  <si>
    <t>LTK-FRD-F350-035</t>
  </si>
  <si>
    <t>2019-LTK-FRD-F350-030-15</t>
  </si>
  <si>
    <t>LTK-FRD-F350-030</t>
  </si>
  <si>
    <t>2019-LTK-FRD-F350-031-15</t>
  </si>
  <si>
    <t>LTK-FRD-F350-031</t>
  </si>
  <si>
    <t>2019-LTK-FRD-F350-033-15</t>
  </si>
  <si>
    <t>2019-LTK-FRD-F350-034-15</t>
  </si>
  <si>
    <t>2019-LTK-FRD-F350-030-26</t>
  </si>
  <si>
    <t>2019-LTK-FRD-F350-031-26</t>
  </si>
  <si>
    <t>2019-LTK-FRD-F350-033-26</t>
  </si>
  <si>
    <t>2019-LTK-FRD-F350-034-26</t>
  </si>
  <si>
    <t>2019-LTK-FRD-F350-032-27</t>
  </si>
  <si>
    <t>2019-LTK-FRD-F350-083-27</t>
  </si>
  <si>
    <t>2019-LTK-FRD-F350-033-27</t>
  </si>
  <si>
    <t>2019-LTK-FRD-F350-034-27</t>
  </si>
  <si>
    <t>2019-LTK-FRD-F350-035-27</t>
  </si>
  <si>
    <t>2019-LTK-FRD-F350-019-05</t>
  </si>
  <si>
    <t>LTK-FRD-F350-019</t>
  </si>
  <si>
    <t>Crew Cab XLT DRW</t>
  </si>
  <si>
    <t>623A</t>
  </si>
  <si>
    <t>2019-LTK-FRD-F350-020-05</t>
  </si>
  <si>
    <t>LTK-FRD-F350-020</t>
  </si>
  <si>
    <t>2019-LTK-FRD-F350-021-05</t>
  </si>
  <si>
    <t>LTK-FRD-F350-021</t>
  </si>
  <si>
    <t>2019-LTK-FRD-F350-020-15</t>
  </si>
  <si>
    <t>2019-LTK-FRD-F350-021-15</t>
  </si>
  <si>
    <t>2019-LTK-FRD-F350-020-26</t>
  </si>
  <si>
    <t>2019-LTK-FRD-F350-021-26</t>
  </si>
  <si>
    <t>2019-LTK-FRD-F350-019-27</t>
  </si>
  <si>
    <t>2019-LTK-FRD-F350-020-27</t>
  </si>
  <si>
    <t>2019-LTK-FRD-F350-021-27</t>
  </si>
  <si>
    <t>2019-LTK-FRD-F350-022-05</t>
  </si>
  <si>
    <t>LTK-FRD-F350-022</t>
  </si>
  <si>
    <t>2019-LTK-FRD-F350-023-05</t>
  </si>
  <si>
    <t>LTK-FRD-F350-023</t>
  </si>
  <si>
    <t>2019-LTK-FRD-F350-024-05</t>
  </si>
  <si>
    <t>LTK-FRD-F350-024</t>
  </si>
  <si>
    <t>2019-LTK-FRD-F350-023-15</t>
  </si>
  <si>
    <t>2019-LTK-FRD-F350-024-15</t>
  </si>
  <si>
    <t>2019-LTK-FRD-F350-023-26</t>
  </si>
  <si>
    <t>2019-LTK-FRD-F350-024-26</t>
  </si>
  <si>
    <t>2019-LTK-FRD-F350-022-27</t>
  </si>
  <si>
    <t>2019-LTK-FRD-F350-023-27</t>
  </si>
  <si>
    <t>2019-LTK-FRD-F350-024-27</t>
  </si>
  <si>
    <t>2019-LTK-FRD-F350-040-05</t>
  </si>
  <si>
    <t>LTK-FRD-F350-040</t>
  </si>
  <si>
    <t>F3A</t>
  </si>
  <si>
    <t>2019-LTK-FRD-F350-041-05</t>
  </si>
  <si>
    <t>LTK-FRD-F350-041</t>
  </si>
  <si>
    <t>2019-LTK-FRD-F350-040-15</t>
  </si>
  <si>
    <t>2019-LTK-FRD-F350-041-15</t>
  </si>
  <si>
    <t>2019-LTK-FRD-F350-040-26</t>
  </si>
  <si>
    <t>2019-LTK-FRD-F350-041-26</t>
  </si>
  <si>
    <t>2019-LTK-FRD-F350-040-27</t>
  </si>
  <si>
    <t>2019-LTK-FRD-F350-041-27</t>
  </si>
  <si>
    <t>2019-LTK-FRD-F350-042-05</t>
  </si>
  <si>
    <t>LTK-FRD-F350-042</t>
  </si>
  <si>
    <t>F3B</t>
  </si>
  <si>
    <t>2019-LTK-FRD-F350-043-05</t>
  </si>
  <si>
    <t>LTK-FRD-F350-043</t>
  </si>
  <si>
    <t>2019-LTK-FRD-F350-042-15</t>
  </si>
  <si>
    <t>2019-LTK-FRD-F350-043-15</t>
  </si>
  <si>
    <t>2019-LTK-FRD-F350-042-26</t>
  </si>
  <si>
    <t>2019-LTK-FRD-F350-043-26</t>
  </si>
  <si>
    <t>2019-LTK-FRD-F350-042-27</t>
  </si>
  <si>
    <t>2019-LTK-FRD-F350-043-27</t>
  </si>
  <si>
    <t>2019-LTK-FRD-F350-036-05</t>
  </si>
  <si>
    <t>LTK-FRD-F350-036</t>
  </si>
  <si>
    <t>Regular Cab XL DRW</t>
  </si>
  <si>
    <t>F3C</t>
  </si>
  <si>
    <t>2019-LTK-FRD-F350-037-05</t>
  </si>
  <si>
    <t>LTK-FRD-F350-037</t>
  </si>
  <si>
    <t>2019-LTK-FRD-F350-036-15</t>
  </si>
  <si>
    <t>2019-LTK-FRD-F350-037-15</t>
  </si>
  <si>
    <t>2019-LTK-FRD-F350-036-26</t>
  </si>
  <si>
    <t>2019-LTK-FRD-F350-037-26</t>
  </si>
  <si>
    <t>2019-LTK-FRD-F350-036-27</t>
  </si>
  <si>
    <t>2019-LTK-FRD-F350-037-27</t>
  </si>
  <si>
    <t>2019-LTK-FRD-F350-038-05</t>
  </si>
  <si>
    <t>LTK-FRD-F350-038</t>
  </si>
  <si>
    <t>F3D</t>
  </si>
  <si>
    <t>2019-LTK-FRD-F350-039-05</t>
  </si>
  <si>
    <t>LTK-FRD-F350-039</t>
  </si>
  <si>
    <t>2019-LTK-FRD-F350-038-15</t>
  </si>
  <si>
    <t>2019-LTK-FRD-F350-039-15</t>
  </si>
  <si>
    <t>2019-LTK-FRD-F350-038-26</t>
  </si>
  <si>
    <t>2019-LTK-FRD-F350-039-26</t>
  </si>
  <si>
    <t>2019-LTK-FRD-F350-038-27</t>
  </si>
  <si>
    <t>2019-LTK-FRD-F350-039-27</t>
  </si>
  <si>
    <t>2019-LTK-FRD-F350-048-05</t>
  </si>
  <si>
    <t>LTK-FRD-F350-048</t>
  </si>
  <si>
    <t>2019-LTK-FRD-F350-049-05</t>
  </si>
  <si>
    <t>LTK-FRD-F350-049</t>
  </si>
  <si>
    <t>2019-LTK-FRD-F350-050-05</t>
  </si>
  <si>
    <t>LTK-FRD-F350-050</t>
  </si>
  <si>
    <t>2019-LTK-FRD-F350-048-15</t>
  </si>
  <si>
    <t>2019-LTK-FRD-F350-049-15</t>
  </si>
  <si>
    <t>2019-LTK-FRD-F350-048-26</t>
  </si>
  <si>
    <t>2019-LTK-FRD-F350-049-26</t>
  </si>
  <si>
    <t>2019-LTK-FRD-F350-048-27</t>
  </si>
  <si>
    <t>2019-LTK-FRD-F350-049-27</t>
  </si>
  <si>
    <t>2019-LTK-FRD-F350-050-27</t>
  </si>
  <si>
    <t>2019-LTK-FRD-F350-051-05</t>
  </si>
  <si>
    <t>LTK-FRD-F350-051</t>
  </si>
  <si>
    <t>2019-LTK-FRD-F350-052-05</t>
  </si>
  <si>
    <t>LTK-FRD-F350-052</t>
  </si>
  <si>
    <t>2019-LTK-FRD-F350-051-15</t>
  </si>
  <si>
    <t>2019-LTK-FRD-F350-052-15</t>
  </si>
  <si>
    <t>2019-LTK-FRD-F350-051-26</t>
  </si>
  <si>
    <t>2019-LTK-FRD-F350-052-26</t>
  </si>
  <si>
    <t>2019-LTK-FRD-F350-051-27</t>
  </si>
  <si>
    <t>2019-LTK-FRD-F350-052-27</t>
  </si>
  <si>
    <t>2019-LTK-FRD-F350-044-05</t>
  </si>
  <si>
    <t>LTK-FRD-F350-044</t>
  </si>
  <si>
    <t>Regular Cab XLT DRW</t>
  </si>
  <si>
    <t>2019-LTK-FRD-F350-045-05</t>
  </si>
  <si>
    <t>LTK-FRD-F350-045</t>
  </si>
  <si>
    <t>2019-LTK-FRD-F350-044-15</t>
  </si>
  <si>
    <t>2019-LTK-FRD-F350-045-15</t>
  </si>
  <si>
    <t>2019-LTK-FRD-F350-044-26</t>
  </si>
  <si>
    <t>2019-LTK-FRD-F350-045-26</t>
  </si>
  <si>
    <t>2019-LTK-FRD-F350-044-27</t>
  </si>
  <si>
    <t>2019-LTK-FRD-F350-045-27</t>
  </si>
  <si>
    <t>2019-LTK-FRD-F350-046-05</t>
  </si>
  <si>
    <t>LTK-FRD-F350-046</t>
  </si>
  <si>
    <t>2019-LTK-FRD-F350-047-05</t>
  </si>
  <si>
    <t>LTK-FRD-F350-047</t>
  </si>
  <si>
    <t>2019-LTK-FRD-F350-046-15</t>
  </si>
  <si>
    <t>2019-LTK-FRD-F350-047-15</t>
  </si>
  <si>
    <t>2019-LTK-FRD-F350-046-26</t>
  </si>
  <si>
    <t>2019-LTK-FRD-F350-047-26</t>
  </si>
  <si>
    <t>2019-LTK-FRD-F350-046-27</t>
  </si>
  <si>
    <t>2019-LTK-FRD-F350-047-27</t>
  </si>
  <si>
    <t>2019-LTK-FRD-F350-058-05</t>
  </si>
  <si>
    <t>LTK-FRD-F350-058</t>
  </si>
  <si>
    <t>X3A</t>
  </si>
  <si>
    <t>2019-LTK-FRD-F350-059-05</t>
  </si>
  <si>
    <t>LTK-FRD-F350-059</t>
  </si>
  <si>
    <t>2019-LTK-FRD-F350-060-05</t>
  </si>
  <si>
    <t>LTK-FRD-F350-060</t>
  </si>
  <si>
    <t>2019-LTK-FRD-F350-061-05</t>
  </si>
  <si>
    <t>LTK-FRD-F350-061</t>
  </si>
  <si>
    <t>2019-LTK-FRD-F350-058-15</t>
  </si>
  <si>
    <t>2019-LTK-FRD-F350-059-15</t>
  </si>
  <si>
    <t>2019-LTK-FRD-F350-060-15</t>
  </si>
  <si>
    <t>2019-LTK-FRD-F350-061-15</t>
  </si>
  <si>
    <t>2019-LTK-FRD-F350-058-26</t>
  </si>
  <si>
    <t>2019-LTK-FRD-F350-059-26</t>
  </si>
  <si>
    <t>2019-LTK-FRD-F350-060-26</t>
  </si>
  <si>
    <t>2019-LTK-FRD-F350-061-26</t>
  </si>
  <si>
    <t>2019-LTK-FRD-F350-058-27</t>
  </si>
  <si>
    <t>2019-LTK-FRD-F350-059-27</t>
  </si>
  <si>
    <t>2019-LTK-FRD-F350-061-27</t>
  </si>
  <si>
    <t>2019-LTK-FRD-F350-062-05</t>
  </si>
  <si>
    <t>LTK-FRD-F350-062</t>
  </si>
  <si>
    <t>X3B</t>
  </si>
  <si>
    <t>2019-LTK-FRD-F350-063-05</t>
  </si>
  <si>
    <t>LTK-FRD-F350-063</t>
  </si>
  <si>
    <t>2019-LTK-FRD-F350-064-05</t>
  </si>
  <si>
    <t>LTK-FRD-F350-064</t>
  </si>
  <si>
    <t>2019-LTK-FRD-F350-065-05</t>
  </si>
  <si>
    <t>LTK-FRD-F350-065</t>
  </si>
  <si>
    <t>2019-LTK-FRD-F350-066-05</t>
  </si>
  <si>
    <t>LTK-FRD-F350-066</t>
  </si>
  <si>
    <t>2019-LTK-FRD-F350-063-15</t>
  </si>
  <si>
    <t>2019-LTK-FRD-F350-064-15</t>
  </si>
  <si>
    <t>2019-LTK-FRD-F350-065-15</t>
  </si>
  <si>
    <t>2019-LTK-FRD-F350-066-15</t>
  </si>
  <si>
    <t>2019-LTK-FRD-F350-063-26</t>
  </si>
  <si>
    <t>2019-LTK-FRD-F350-064-26</t>
  </si>
  <si>
    <t>2019-LTK-FRD-F350-065-26</t>
  </si>
  <si>
    <t>2019-LTK-FRD-F350-066-26</t>
  </si>
  <si>
    <t>2019-LTK-FRD-F350-062-27</t>
  </si>
  <si>
    <t>2019-LTK-FRD-F350-063-27</t>
  </si>
  <si>
    <t>2019-LTK-FRD-F350-064-27</t>
  </si>
  <si>
    <t>2019-LTK-FRD-F350-065-27</t>
  </si>
  <si>
    <t>2019-LTK-FRD-F350-066-27</t>
  </si>
  <si>
    <t>2019-LTK-FRD-F350-053-05</t>
  </si>
  <si>
    <t>LTK-FRD-F350-053</t>
  </si>
  <si>
    <t>Super Cab XL DRW</t>
  </si>
  <si>
    <t>X3C</t>
  </si>
  <si>
    <t>2019-LTK-FRD-F350-054-05</t>
  </si>
  <si>
    <t>LTK-FRD-F350-054</t>
  </si>
  <si>
    <t>2019-LTK-FRD-F350-053-15</t>
  </si>
  <si>
    <t>2019-LTK-FRD-F350-054-15</t>
  </si>
  <si>
    <t>2019-LTK-FRD-F350-053-26</t>
  </si>
  <si>
    <t>2019-LTK-FRD-F350-054-26</t>
  </si>
  <si>
    <t>2019-LTK-FRD-F350-053-27</t>
  </si>
  <si>
    <t>2019-LTK-FRD-F350-054-27</t>
  </si>
  <si>
    <t>2019-LTK-FRD-F350-055-05</t>
  </si>
  <si>
    <t>LTK-FRD-F350-055</t>
  </si>
  <si>
    <t>X3D</t>
  </si>
  <si>
    <t>2019-LTK-FRD-F350-056-05</t>
  </si>
  <si>
    <t>LTK-FRD-F350-056</t>
  </si>
  <si>
    <t>2019-LTK-FRD-F350-055-15</t>
  </si>
  <si>
    <t>2019-LTK-FRD-F350-056-15</t>
  </si>
  <si>
    <t>2019-LTK-FRD-F350-055-26</t>
  </si>
  <si>
    <t>2019-LTK-FRD-F350-056-26</t>
  </si>
  <si>
    <t>2019-LTK-FRD-F350-055-27</t>
  </si>
  <si>
    <t>2019-LTK-FRD-F350-056-27</t>
  </si>
  <si>
    <t>2019-LTK-FRD-F350-072-05</t>
  </si>
  <si>
    <t>LTK-FRD-F350-072</t>
  </si>
  <si>
    <t>2019-LTK-FRD-F350-073-05</t>
  </si>
  <si>
    <t>LTK-FRD-F350-073</t>
  </si>
  <si>
    <t>2019-LTK-FRD-F350-074-05</t>
  </si>
  <si>
    <t>LTK-FRD-F350-074</t>
  </si>
  <si>
    <t>2019-LTK-FRD-F350-075-05</t>
  </si>
  <si>
    <t>LTK-FRD-F350-075</t>
  </si>
  <si>
    <t>2019-LTK-FRD-F350-072-15</t>
  </si>
  <si>
    <t>2019-LTK-FRD-F350-073-15</t>
  </si>
  <si>
    <t>2019-LTK-FRD-F350-074-15</t>
  </si>
  <si>
    <t>2019-LTK-FRD-F350-075-15</t>
  </si>
  <si>
    <t>2019-LTK-FRD-F350-072-26</t>
  </si>
  <si>
    <t>2019-LTK-FRD-F350-073-26</t>
  </si>
  <si>
    <t>2019-LTK-FRD-F350-074-26</t>
  </si>
  <si>
    <t>2019-LTK-FRD-F350-075-26</t>
  </si>
  <si>
    <t>2019-LTK-FRD-F350-072-27</t>
  </si>
  <si>
    <t>2019-LTK-FRD-F350-073-27</t>
  </si>
  <si>
    <t>2019-LTK-FRD-F350-074-27</t>
  </si>
  <si>
    <t>2019-LTK-FRD-F350-075-27</t>
  </si>
  <si>
    <t>2019-LTK-FRD-F350-077-05</t>
  </si>
  <si>
    <t>LTK-FRD-F350-077</t>
  </si>
  <si>
    <t>2019-LTK-FRD-F350-078-05</t>
  </si>
  <si>
    <t>LTK-FRD-F350-078</t>
  </si>
  <si>
    <t>2019-LTK-FRD-F350-079-05</t>
  </si>
  <si>
    <t>LTK-FRD-F350-079</t>
  </si>
  <si>
    <t>2019-LTK-FRD-F350-080-05</t>
  </si>
  <si>
    <t>LTK-FRD-F350-080</t>
  </si>
  <si>
    <t>2019-LTK-FRD-F350-077-15</t>
  </si>
  <si>
    <t>2019-LTK-FRD-F350-078-15</t>
  </si>
  <si>
    <t>2019-LTK-FRD-F350-079-15</t>
  </si>
  <si>
    <t>2019-LTK-FRD-F350-080-15</t>
  </si>
  <si>
    <t>2019-LTK-FRD-F350-077-26</t>
  </si>
  <si>
    <t>2019-LTK-FRD-F350-078-26</t>
  </si>
  <si>
    <t>2019-LTK-FRD-F350-079-26</t>
  </si>
  <si>
    <t>2019-LTK-FRD-F350-080-26</t>
  </si>
  <si>
    <t>2019-LTK-FRD-F350-077-27</t>
  </si>
  <si>
    <t>2019-LTK-FRD-F350-078-27</t>
  </si>
  <si>
    <t>2019-LTK-FRD-F350-079-27</t>
  </si>
  <si>
    <t>2019-LTK-FRD-F350-080-27</t>
  </si>
  <si>
    <t>2019-LTK-FRD-F350-067-05</t>
  </si>
  <si>
    <t>LTK-FRD-F350-067</t>
  </si>
  <si>
    <t>Super Cab XLT DRW</t>
  </si>
  <si>
    <t>2019-LTK-FRD-F350-068-05</t>
  </si>
  <si>
    <t>LTK-FRD-F350-068</t>
  </si>
  <si>
    <t>2019-LTK-FRD-F350-067-15</t>
  </si>
  <si>
    <t>2019-LTK-FRD-F350-068-15</t>
  </si>
  <si>
    <t>2019-LTK-FRD-F350-067-26</t>
  </si>
  <si>
    <t>2019-LTK-FRD-F350-068-26</t>
  </si>
  <si>
    <t>2019-LTK-FRD-F350-067-27</t>
  </si>
  <si>
    <t>2019-LTK-FRD-F350-068-27</t>
  </si>
  <si>
    <t>2019-LTK-FRD-F350-069-05</t>
  </si>
  <si>
    <t>LTK-FRD-F350-069</t>
  </si>
  <si>
    <t>2019-LTK-FRD-F350-070-05</t>
  </si>
  <si>
    <t>LTK-FRD-F350-070</t>
  </si>
  <si>
    <t>2019-LTK-FRD-F350-069-15</t>
  </si>
  <si>
    <t>2019-LTK-FRD-F350-070-15</t>
  </si>
  <si>
    <t>2019-LTK-FRD-F350-069-26</t>
  </si>
  <si>
    <t>2019-LTK-FRD-F350-070-26</t>
  </si>
  <si>
    <t>2019-LTK-FRD-F350-069-27</t>
  </si>
  <si>
    <t>2019-LTK-FRD-F350-070-27</t>
  </si>
  <si>
    <t>2019-LTK-FRD-F35C-001-05</t>
  </si>
  <si>
    <t>LTK-FRD-F35C-001</t>
  </si>
  <si>
    <t>F350 Chassis Cab</t>
  </si>
  <si>
    <t>W3G</t>
  </si>
  <si>
    <t>640A</t>
  </si>
  <si>
    <t>2019-LTK-FRD-F35C-002-05</t>
  </si>
  <si>
    <t>LTK-FRD-F35C-002</t>
  </si>
  <si>
    <t>2019-LTK-FRD-F35C-001-15</t>
  </si>
  <si>
    <t>2019-LTK-FRD-F35C-002-15</t>
  </si>
  <si>
    <t>2019-LTK-FRD-F35C-001-26</t>
  </si>
  <si>
    <t>2019-LTK-FRD-F35C-002-26</t>
  </si>
  <si>
    <t>2019-LTK-FRD-F35C-001-27</t>
  </si>
  <si>
    <t>2019-LTK-FRD-F35C-002-27</t>
  </si>
  <si>
    <t>2019-LTK-FRD-F35C-003-05</t>
  </si>
  <si>
    <t>LTK-FRD-F35C-003</t>
  </si>
  <si>
    <t>W3H</t>
  </si>
  <si>
    <t>2019-LTK-FRD-F35C-004-05</t>
  </si>
  <si>
    <t>LTK-FRD-F35C-004</t>
  </si>
  <si>
    <t>2019-LTK-FRD-F35C-003-15</t>
  </si>
  <si>
    <t>2019-LTK-FRD-F35C-004-15</t>
  </si>
  <si>
    <t>2019-LTK-FRD-F35C-003-26</t>
  </si>
  <si>
    <t>2019-LTK-FRD-F35C-004-26</t>
  </si>
  <si>
    <t>2019-LTK-FRD-F35C-003-27</t>
  </si>
  <si>
    <t>2019-LTK-FRD-F35C-004-27</t>
  </si>
  <si>
    <t>2019-LTK-FRD-F35C-006-05</t>
  </si>
  <si>
    <t>LTK-FRD-F35C-006</t>
  </si>
  <si>
    <t>Crew Cab XL SRW</t>
  </si>
  <si>
    <t>W3E</t>
  </si>
  <si>
    <t>630A</t>
  </si>
  <si>
    <t>2019-LTK-FRD-F35C-007-05</t>
  </si>
  <si>
    <t>LTK-FRD-F35C-007</t>
  </si>
  <si>
    <t>2019-LTK-FRD-F35C-006-15</t>
  </si>
  <si>
    <t>2019-LTK-FRD-F35C-007-15</t>
  </si>
  <si>
    <t>2019-LTK-FRD-F35C-006-26</t>
  </si>
  <si>
    <t>2019-LTK-FRD-F35C-007-26</t>
  </si>
  <si>
    <t>2019-LTK-FRD-F35C-006-27</t>
  </si>
  <si>
    <t>2019-LTK-FRD-F35C-007-27</t>
  </si>
  <si>
    <t>2019-LTK-FRD-F35C-008-05</t>
  </si>
  <si>
    <t>LTK-FRD-F35C-008</t>
  </si>
  <si>
    <t>W3F</t>
  </si>
  <si>
    <t>2019-LTK-FRD-F35C-010-05</t>
  </si>
  <si>
    <t>LTK-FRD-F35C-010</t>
  </si>
  <si>
    <t>2019-LTK-FRD-F35C-009-15</t>
  </si>
  <si>
    <t>LTK-FRD-F35C-009</t>
  </si>
  <si>
    <t>2019-LTK-FRD-F35C-010-15</t>
  </si>
  <si>
    <t>2019-LTK-FRD-F35C-009-26</t>
  </si>
  <si>
    <t>2019-LTK-FRD-F35C-010-26</t>
  </si>
  <si>
    <t>2019-LTK-FRD-F35C-008-27</t>
  </si>
  <si>
    <t>2019-LTK-FRD-F35C-010-27</t>
  </si>
  <si>
    <t>2019-LTK-FRD-F35C-011-05</t>
  </si>
  <si>
    <t>LTK-FRD-F35C-011</t>
  </si>
  <si>
    <t>643A</t>
  </si>
  <si>
    <t>2019-LTK-FRD-F35C-012-05</t>
  </si>
  <si>
    <t>LTK-FRD-F35C-012</t>
  </si>
  <si>
    <t>2019-LTK-FRD-F35C-011-15</t>
  </si>
  <si>
    <t>2019-LTK-FRD-F35C-012-15</t>
  </si>
  <si>
    <t>2019-LTK-FRD-F35C-011-26</t>
  </si>
  <si>
    <t>2019-LTK-FRD-F35C-012-26</t>
  </si>
  <si>
    <t>2019-LTK-FRD-F35C-011-27</t>
  </si>
  <si>
    <t>2019-LTK-FRD-F35C-012-27</t>
  </si>
  <si>
    <t>2019-LTK-FRD-F35C-013-05</t>
  </si>
  <si>
    <t>LTK-FRD-F35C-013</t>
  </si>
  <si>
    <t>2019-LTK-FRD-F35C-014-05</t>
  </si>
  <si>
    <t>LTK-FRD-F35C-014</t>
  </si>
  <si>
    <t>2019-LTK-FRD-F35C-013-15</t>
  </si>
  <si>
    <t>2019-LTK-FRD-F35C-014-15</t>
  </si>
  <si>
    <t>2019-LTK-FRD-F35C-013-26</t>
  </si>
  <si>
    <t>2019-LTK-FRD-F35C-014-26</t>
  </si>
  <si>
    <t>2019-LTK-FRD-F35C-013-27</t>
  </si>
  <si>
    <t>2019-LTK-FRD-F35C-014-27</t>
  </si>
  <si>
    <t>2019-LTK-FRD-F35C-016-05</t>
  </si>
  <si>
    <t>LTK-FRD-F35C-016</t>
  </si>
  <si>
    <t>Crew Cab XLT SRW</t>
  </si>
  <si>
    <t>633A</t>
  </si>
  <si>
    <t>2019-LTK-FRD-F35C-017-05</t>
  </si>
  <si>
    <t>LTK-FRD-F35C-017</t>
  </si>
  <si>
    <t>2019-LTK-FRD-F35C-016-15</t>
  </si>
  <si>
    <t>2019-LTK-FRD-F35C-017-15</t>
  </si>
  <si>
    <t>2019-LTK-FRD-F35C-016-26</t>
  </si>
  <si>
    <t>2019-LTK-FRD-F35C-017-26</t>
  </si>
  <si>
    <t>2019-LTK-FRD-F35C-016-27</t>
  </si>
  <si>
    <t>2019-LTK-FRD-F35C-017-27</t>
  </si>
  <si>
    <t>2019-LTK-FRD-F35C-018-05</t>
  </si>
  <si>
    <t>LTK-FRD-F35C-018</t>
  </si>
  <si>
    <t>2019-LTK-FRD-F35C-020-05</t>
  </si>
  <si>
    <t>LTK-FRD-F35C-020</t>
  </si>
  <si>
    <t>2019-LTK-FRD-F35C-019-15</t>
  </si>
  <si>
    <t>LTK-FRD-F35C-019</t>
  </si>
  <si>
    <t>2019-LTK-FRD-F35C-020-15</t>
  </si>
  <si>
    <t>2019-LTK-FRD-F35C-019-26</t>
  </si>
  <si>
    <t>2019-LTK-FRD-F35C-020-26</t>
  </si>
  <si>
    <t>2019-LTK-FRD-F35C-018-27</t>
  </si>
  <si>
    <t>2019-LTK-FRD-F35C-020-27</t>
  </si>
  <si>
    <t>2019-LTK-FRD-F35C-021-05</t>
  </si>
  <si>
    <t>LTK-FRD-F35C-021</t>
  </si>
  <si>
    <t>F3G</t>
  </si>
  <si>
    <t>2019-LTK-FRD-F35C-022-05</t>
  </si>
  <si>
    <t>LTK-FRD-F35C-022</t>
  </si>
  <si>
    <t>2019-LTK-FRD-F35C-023-05</t>
  </si>
  <si>
    <t>LTK-FRD-F35C-023</t>
  </si>
  <si>
    <t>2019-LTK-FRD-F35C-025-05</t>
  </si>
  <si>
    <t>LTK-FRD-F35C-025</t>
  </si>
  <si>
    <t>2019-LTK-FRD-F35C-021-15</t>
  </si>
  <si>
    <t>2019-LTK-FRD-F35C-022-15</t>
  </si>
  <si>
    <t>2019-LTK-FRD-F35C-023-15</t>
  </si>
  <si>
    <t>2019-LTK-FRD-F35C-025-15</t>
  </si>
  <si>
    <t>2019-LTK-FRD-F35C-021-26</t>
  </si>
  <si>
    <t>2019-LTK-FRD-F35C-022-26</t>
  </si>
  <si>
    <t>2019-LTK-FRD-F35C-023-26</t>
  </si>
  <si>
    <t>2019-LTK-FRD-F35C-025-26</t>
  </si>
  <si>
    <t>2019-LTK-FRD-F35C-021-27</t>
  </si>
  <si>
    <t>2019-LTK-FRD-F35C-022-27</t>
  </si>
  <si>
    <t>2019-LTK-FRD-F35C-023-27</t>
  </si>
  <si>
    <t>2019-LTK-FRD-F35C-025-27</t>
  </si>
  <si>
    <t>2019-LTK-FRD-F35C-028-05</t>
  </si>
  <si>
    <t>LTK-FRD-F35C-028</t>
  </si>
  <si>
    <t>F3H</t>
  </si>
  <si>
    <t>2019-LTK-FRD-F35C-030-05</t>
  </si>
  <si>
    <t>LTK-FRD-F35C-030</t>
  </si>
  <si>
    <t>2019-LTK-FRD-F35C-031-05</t>
  </si>
  <si>
    <t>LTK-FRD-F35C-031</t>
  </si>
  <si>
    <t>2019-LTK-FRD-F35C-033-05</t>
  </si>
  <si>
    <t>LTK-FRD-F35C-033</t>
  </si>
  <si>
    <t>2019-LTK-FRD-F35C-028-15</t>
  </si>
  <si>
    <t>2019-LTK-FRD-F35C-030-15</t>
  </si>
  <si>
    <t>2019-LTK-FRD-F35C-031-15</t>
  </si>
  <si>
    <t>2019-LTK-FRD-F35C-033-15</t>
  </si>
  <si>
    <t>2019-LTK-FRD-F35C-028-26</t>
  </si>
  <si>
    <t>2019-LTK-FRD-F35C-030-26</t>
  </si>
  <si>
    <t>2019-LTK-FRD-F35C-031-26</t>
  </si>
  <si>
    <t>2019-LTK-FRD-F35C-033-26</t>
  </si>
  <si>
    <t>2019-LTK-FRD-F35C-028-27</t>
  </si>
  <si>
    <t>2019-LTK-FRD-F35C-030-27</t>
  </si>
  <si>
    <t>2019-LTK-FRD-F35C-031-27</t>
  </si>
  <si>
    <t>2019-LTK-FRD-F35C-033-27</t>
  </si>
  <si>
    <t>2019-LTK-FRD-F35C-034-05</t>
  </si>
  <si>
    <t>LTK-FRD-F35C-034</t>
  </si>
  <si>
    <t>Regular Cab XL SRW</t>
  </si>
  <si>
    <t>F3E</t>
  </si>
  <si>
    <t>2019-LTK-FRD-F35C-035-05</t>
  </si>
  <si>
    <t>LTK-FRD-F35C-035</t>
  </si>
  <si>
    <t>2019-LTK-FRD-F35C-034-15</t>
  </si>
  <si>
    <t>2019-LTK-FRD-F35C-035-15</t>
  </si>
  <si>
    <t>2019-LTK-FRD-F35C-034-26</t>
  </si>
  <si>
    <t>2019-LTK-FRD-F35C-035-26</t>
  </si>
  <si>
    <t>2019-LTK-FRD-F35C-034-27</t>
  </si>
  <si>
    <t>2019-LTK-FRD-F35C-035-27</t>
  </si>
  <si>
    <t>2019-LTK-FRD-F35C-037-05</t>
  </si>
  <si>
    <t>LTK-FRD-F35C-037</t>
  </si>
  <si>
    <t>F3F</t>
  </si>
  <si>
    <t>2019-LTK-FRD-F35C-038-05</t>
  </si>
  <si>
    <t>LTK-FRD-F35C-038</t>
  </si>
  <si>
    <t>2019-LTK-FRD-F35C-037-15</t>
  </si>
  <si>
    <t>2019-LTK-FRD-F35C-038-15</t>
  </si>
  <si>
    <t>2019-LTK-FRD-F35C-037-26</t>
  </si>
  <si>
    <t>2019-LTK-FRD-F35C-038-26</t>
  </si>
  <si>
    <t>2019-LTK-FRD-F35C-037-27</t>
  </si>
  <si>
    <t>2019-LTK-FRD-F35C-038-27</t>
  </si>
  <si>
    <t>2019-LTK-FRD-F35C-039-05</t>
  </si>
  <si>
    <t>LTK-FRD-F35C-039</t>
  </si>
  <si>
    <t>2019-LTK-FRD-F35C-040-05</t>
  </si>
  <si>
    <t>LTK-FRD-F35C-040</t>
  </si>
  <si>
    <t>2019-LTK-FRD-F35C-041-05</t>
  </si>
  <si>
    <t>LTK-FRD-F35C-041</t>
  </si>
  <si>
    <t>2019-LTK-FRD-F35C-043-05</t>
  </si>
  <si>
    <t>LTK-FRD-F35C-043</t>
  </si>
  <si>
    <t>2019-LTK-FRD-F35C-039-15</t>
  </si>
  <si>
    <t>2019-LTK-FRD-F35C-040-15</t>
  </si>
  <si>
    <t>2019-LTK-FRD-F35C-041-15</t>
  </si>
  <si>
    <t>2019-LTK-FRD-F35C-043-15</t>
  </si>
  <si>
    <t>2019-LTK-FRD-F35C-039-26</t>
  </si>
  <si>
    <t>2019-LTK-FRD-F35C-040-26</t>
  </si>
  <si>
    <t>2019-LTK-FRD-F35C-041-26</t>
  </si>
  <si>
    <t>2019-LTK-FRD-F35C-043-26</t>
  </si>
  <si>
    <t>2019-LTK-FRD-F35C-039-27</t>
  </si>
  <si>
    <t>2019-LTK-FRD-F35C-040-27</t>
  </si>
  <si>
    <t>2019-LTK-FRD-F35C-041-27</t>
  </si>
  <si>
    <t>2019-LTK-FRD-F35C-043-27</t>
  </si>
  <si>
    <t>2019-LTK-FRD-F35C-046-05</t>
  </si>
  <si>
    <t>LTK-FRD-F35C-046</t>
  </si>
  <si>
    <t>2019-LTK-FRD-F35C-048-05</t>
  </si>
  <si>
    <t>LTK-FRD-F35C-048</t>
  </si>
  <si>
    <t>2019-LTK-FRD-F35C-049-05</t>
  </si>
  <si>
    <t>LTK-FRD-F35C-049</t>
  </si>
  <si>
    <t>2019-LTK-FRD-F35C-051-05</t>
  </si>
  <si>
    <t>LTK-FRD-F35C-051</t>
  </si>
  <si>
    <t>2019-LTK-FRD-F35C-046-15</t>
  </si>
  <si>
    <t>2019-LTK-FRD-F35C-048-15</t>
  </si>
  <si>
    <t>2019-LTK-FRD-F35C-049-15</t>
  </si>
  <si>
    <t>2019-LTK-FRD-F35C-051-15</t>
  </si>
  <si>
    <t>2019-LTK-FRD-F35C-046-26</t>
  </si>
  <si>
    <t>2019-LTK-FRD-F35C-048-26</t>
  </si>
  <si>
    <t>2019-LTK-FRD-F35C-049-26</t>
  </si>
  <si>
    <t>2019-LTK-FRD-F35C-051-26</t>
  </si>
  <si>
    <t>2019-LTK-FRD-F35C-046-27</t>
  </si>
  <si>
    <t>2019-LTK-FRD-F35C-048-27</t>
  </si>
  <si>
    <t>2019-LTK-FRD-F35C-049-27</t>
  </si>
  <si>
    <t>2019-LTK-FRD-F35C-051-27</t>
  </si>
  <si>
    <t>2019-LTK-FRD-F35C-052-05</t>
  </si>
  <si>
    <t>LTK-FRD-F35C-052</t>
  </si>
  <si>
    <t>Regular Cab XLT SRW</t>
  </si>
  <si>
    <t>2019-LTK-FRD-F35C-053-05</t>
  </si>
  <si>
    <t>LTK-FRD-F35C-053</t>
  </si>
  <si>
    <t>2019-LTK-FRD-F35C-052-15</t>
  </si>
  <si>
    <t>2019-LTK-FRD-F35C-053-15</t>
  </si>
  <si>
    <t>2019-LTK-FRD-F35C-052-26</t>
  </si>
  <si>
    <t>2019-LTK-FRD-F35C-053-26</t>
  </si>
  <si>
    <t>2019-LTK-FRD-F35C-052-27</t>
  </si>
  <si>
    <t>2019-LTK-FRD-F35C-053-27</t>
  </si>
  <si>
    <t>2019-LTK-FRD-F35C-055-05</t>
  </si>
  <si>
    <t>LTK-FRD-F35C-055</t>
  </si>
  <si>
    <t>2019-LTK-FRD-F35C-056-05</t>
  </si>
  <si>
    <t>LTK-FRD-F35C-056</t>
  </si>
  <si>
    <t>2019-LTK-FRD-F35C-055-15</t>
  </si>
  <si>
    <t>2019-LTK-FRD-F35C-056-15</t>
  </si>
  <si>
    <t>2019-LTK-FRD-F35C-055-26</t>
  </si>
  <si>
    <t>2019-LTK-FRD-F35C-056-26</t>
  </si>
  <si>
    <t>2019-LTK-FRD-F35C-055-27</t>
  </si>
  <si>
    <t>2019-LTK-FRD-F35C-056-27</t>
  </si>
  <si>
    <t>2019-LTK-FRD-F35C-057-05</t>
  </si>
  <si>
    <t>LTK-FRD-F35C-057</t>
  </si>
  <si>
    <t>X3G</t>
  </si>
  <si>
    <t>2019-LTK-FRD-F35C-058-05</t>
  </si>
  <si>
    <t>LTK-FRD-F35C-058</t>
  </si>
  <si>
    <t>2019-LTK-FRD-F35C-057-15</t>
  </si>
  <si>
    <t>2019-LTK-FRD-F35C-058-15</t>
  </si>
  <si>
    <t>2019-LTK-FRD-F35C-057-26</t>
  </si>
  <si>
    <t>2019-LTK-FRD-F35C-058-26</t>
  </si>
  <si>
    <t>2019-LTK-FRD-F35C-057-27</t>
  </si>
  <si>
    <t>2019-LTK-FRD-F35C-058-27</t>
  </si>
  <si>
    <t>2019-LTK-FRD-F35C-059-05</t>
  </si>
  <si>
    <t>LTK-FRD-F35C-059</t>
  </si>
  <si>
    <t>X3H</t>
  </si>
  <si>
    <t>2019-LTK-FRD-F35C-060-05</t>
  </si>
  <si>
    <t>LTK-FRD-F35C-060</t>
  </si>
  <si>
    <t>2019-LTK-FRD-F35C-059-15</t>
  </si>
  <si>
    <t>2019-LTK-FRD-F35C-060-15</t>
  </si>
  <si>
    <t>2019-LTK-FRD-F35C-059-26</t>
  </si>
  <si>
    <t>2019-LTK-FRD-F35C-060-26</t>
  </si>
  <si>
    <t>2019-LTK-FRD-F35C-059-27</t>
  </si>
  <si>
    <t>2019-LTK-FRD-F35C-060-27</t>
  </si>
  <si>
    <t>2019-LTK-FRD-F35C-061-05</t>
  </si>
  <si>
    <t>LTK-FRD-F35C-061</t>
  </si>
  <si>
    <t>Super Cab XL SRW</t>
  </si>
  <si>
    <t>X3E</t>
  </si>
  <si>
    <t>2019-LTK-FRD-F35C-062-05</t>
  </si>
  <si>
    <t>LTK-FRD-F35C-062</t>
  </si>
  <si>
    <t>2019-LTK-FRD-F35C-061-15</t>
  </si>
  <si>
    <t>2019-LTK-FRD-F35C-062-15</t>
  </si>
  <si>
    <t>2019-LTK-FRD-F35C-061-26</t>
  </si>
  <si>
    <t>2019-LTK-FRD-F35C-062-26</t>
  </si>
  <si>
    <t>2019-LTK-FRD-F35C-061-27</t>
  </si>
  <si>
    <t>2019-LTK-FRD-F35C-062-27</t>
  </si>
  <si>
    <t>2019-LTK-FRD-F35C-063-05</t>
  </si>
  <si>
    <t>LTK-FRD-F35C-063</t>
  </si>
  <si>
    <t>X3F</t>
  </si>
  <si>
    <t>2019-LTK-FRD-F35C-064-05</t>
  </si>
  <si>
    <t>LTK-FRD-F35C-064</t>
  </si>
  <si>
    <t>2019-LTK-FRD-F35C-065-05</t>
  </si>
  <si>
    <t>LTK-FRD-F35C-065</t>
  </si>
  <si>
    <t>2019-LTK-FRD-F35C-064-15</t>
  </si>
  <si>
    <t>2019-LTK-FRD-F35C-065-15</t>
  </si>
  <si>
    <t>2019-LTK-FRD-F35C-064-26</t>
  </si>
  <si>
    <t>2019-LTK-FRD-F35C-065-26</t>
  </si>
  <si>
    <t>2019-LTK-FRD-F35C-063-27</t>
  </si>
  <si>
    <t>2019-LTK-FRD-F35C-064-27</t>
  </si>
  <si>
    <t>2019-LTK-FRD-F35C-065-27</t>
  </si>
  <si>
    <t>2019-LTK-FRD-F35C-066-05</t>
  </si>
  <si>
    <t>LTK-FRD-F35C-066</t>
  </si>
  <si>
    <t>2019-LTK-FRD-F35C-067-05</t>
  </si>
  <si>
    <t>LTK-FRD-F35C-067</t>
  </si>
  <si>
    <t>2019-LTK-FRD-F35C-066-15</t>
  </si>
  <si>
    <t>2019-LTK-FRD-F35C-067-15</t>
  </si>
  <si>
    <t>2019-LTK-FRD-F35C-066-26</t>
  </si>
  <si>
    <t>2019-LTK-FRD-F35C-067-26</t>
  </si>
  <si>
    <t>2019-LTK-FRD-F35C-066-27</t>
  </si>
  <si>
    <t>2019-LTK-FRD-F35C-067-27</t>
  </si>
  <si>
    <t>2019-LTK-FRD-F35C-068-05</t>
  </si>
  <si>
    <t>LTK-FRD-F35C-068</t>
  </si>
  <si>
    <t>2019-LTK-FRD-F35C-069-05</t>
  </si>
  <si>
    <t>LTK-FRD-F35C-069</t>
  </si>
  <si>
    <t>2019-LTK-FRD-F35C-068-15</t>
  </si>
  <si>
    <t>2019-LTK-FRD-F35C-069-15</t>
  </si>
  <si>
    <t>2019-LTK-FRD-F35C-068-26</t>
  </si>
  <si>
    <t>2019-LTK-FRD-F35C-069-26</t>
  </si>
  <si>
    <t>2019-LTK-FRD-F35C-068-27</t>
  </si>
  <si>
    <t>2019-LTK-FRD-F35C-069-27</t>
  </si>
  <si>
    <t>2019-LTK-FRD-F35C-070-05</t>
  </si>
  <si>
    <t>LTK-FRD-F35C-070</t>
  </si>
  <si>
    <t>Super Cab XLT SRW</t>
  </si>
  <si>
    <t>2019-LTK-FRD-F35C-071-05</t>
  </si>
  <si>
    <t>LTK-FRD-F35C-071</t>
  </si>
  <si>
    <t>2019-LTK-FRD-F35C-070-15</t>
  </si>
  <si>
    <t>2019-LTK-FRD-F35C-071-15</t>
  </si>
  <si>
    <t>2019-LTK-FRD-F35C-070-26</t>
  </si>
  <si>
    <t>2019-LTK-FRD-F35C-071-26</t>
  </si>
  <si>
    <t>2019-LTK-FRD-F35C-070-27</t>
  </si>
  <si>
    <t>2019-LTK-FRD-F35C-071-27</t>
  </si>
  <si>
    <t>2019-LTK-FRD-F35C-072-05</t>
  </si>
  <si>
    <t>LTK-FRD-F35C-072</t>
  </si>
  <si>
    <t>2019-LTK-FRD-F35C-073-05</t>
  </si>
  <si>
    <t>LTK-FRD-F35C-073</t>
  </si>
  <si>
    <t>2019-LTK-FRD-F35C-074-05</t>
  </si>
  <si>
    <t>LTK-FRD-F35C-074</t>
  </si>
  <si>
    <t>2019-LTK-FRD-F35C-073-15</t>
  </si>
  <si>
    <t>2019-LTK-FRD-F35C-074-15</t>
  </si>
  <si>
    <t>2019-LTK-FRD-F35C-073-26</t>
  </si>
  <si>
    <t>2019-LTK-FRD-F35C-074-26</t>
  </si>
  <si>
    <t>2019-LTK-FRD-F35C-072-27</t>
  </si>
  <si>
    <t>2019-LTK-FRD-F35C-073-27</t>
  </si>
  <si>
    <t>2019-LTK-FRD-F35C-074-27</t>
  </si>
  <si>
    <t>2019-LTK-FRD-F450-001-05</t>
  </si>
  <si>
    <t>LTK-FRD-F450-001</t>
  </si>
  <si>
    <t>F450</t>
  </si>
  <si>
    <t>DRW XL</t>
  </si>
  <si>
    <t>W4D</t>
  </si>
  <si>
    <t>670A</t>
  </si>
  <si>
    <t>2019-LTK-FRD-F450-001-26</t>
  </si>
  <si>
    <t>2019-LTK-FRD-F450-001-27</t>
  </si>
  <si>
    <t>2019-LTK-FRD-F450-002-05</t>
  </si>
  <si>
    <t>LTK-FRD-F450-002</t>
  </si>
  <si>
    <t>W4C</t>
  </si>
  <si>
    <t>2019-LTK-FRD-F450-002-26</t>
  </si>
  <si>
    <t>2019-LTK-FRD-F450-002-27</t>
  </si>
  <si>
    <t>2019-LTK-FRD-F450-003-05</t>
  </si>
  <si>
    <t>LTK-FRD-F450-003</t>
  </si>
  <si>
    <t>DRW XLT</t>
  </si>
  <si>
    <t>673A</t>
  </si>
  <si>
    <t>2019-LTK-FRD-F450-003-26</t>
  </si>
  <si>
    <t>2019-LTK-FRD-F450-003-27</t>
  </si>
  <si>
    <t>2019-LTK-FRD-F450-004-05</t>
  </si>
  <si>
    <t>LTK-FRD-F450-004</t>
  </si>
  <si>
    <t>2019-LTK-FRD-F450-004-26</t>
  </si>
  <si>
    <t>2019-LTK-FRD-F450-004-27</t>
  </si>
  <si>
    <t>2019-LTK-FRD-F450-005-05</t>
  </si>
  <si>
    <t>LTK-FRD-F450-005</t>
  </si>
  <si>
    <t>Super Duty Crew Cab XL DRW</t>
  </si>
  <si>
    <t>2019-LTK-FRD-F450-005-15</t>
  </si>
  <si>
    <t>2019-LTK-FRD-F450-007-15</t>
  </si>
  <si>
    <t>LTK-FRD-F450-007</t>
  </si>
  <si>
    <t>2019-LTK-FRD-F450-005-27</t>
  </si>
  <si>
    <t>2019-LTK-FRD-F450-006-05</t>
  </si>
  <si>
    <t>LTK-FRD-F450-006</t>
  </si>
  <si>
    <t>2019-LTK-FRD-F450-006-27</t>
  </si>
  <si>
    <t>2019-LTK-FRD-F450-008-05</t>
  </si>
  <si>
    <t>LTK-FRD-F450-008</t>
  </si>
  <si>
    <t>Super Duty Crew Cab XLT DRW</t>
  </si>
  <si>
    <t>2019-LTK-FRD-F450-011-15</t>
  </si>
  <si>
    <t>LTK-FRD-F450-011</t>
  </si>
  <si>
    <t>2019-LTK-FRD-F450-008-27</t>
  </si>
  <si>
    <t>2019-LTK-FRD-F450-009-05</t>
  </si>
  <si>
    <t>LTK-FRD-F450-009</t>
  </si>
  <si>
    <t>2019-LTK-FRD-F450-010-15</t>
  </si>
  <si>
    <t>LTK-FRD-F450-010</t>
  </si>
  <si>
    <t>2019-LTK-FRD-F450-009-27</t>
  </si>
  <si>
    <t>2019-LTK-FRD-RNGR-001-05</t>
  </si>
  <si>
    <t>LTK-FRD-RNGR-001</t>
  </si>
  <si>
    <t>Ranger</t>
  </si>
  <si>
    <t>SuperCab Pickup Box Delete XL</t>
  </si>
  <si>
    <t>R1A</t>
  </si>
  <si>
    <t>2019-LTK-FRD-RNGR-001-27</t>
  </si>
  <si>
    <t>2019-LTK-FRD-RNGR-002-05</t>
  </si>
  <si>
    <t>LTK-FRD-RNGR-002</t>
  </si>
  <si>
    <t>6'</t>
  </si>
  <si>
    <t>R1E</t>
  </si>
  <si>
    <t>2019-LTK-FRD-RNGR-002-27</t>
  </si>
  <si>
    <t>2019-LTK-FRD-RNGR-003-05</t>
  </si>
  <si>
    <t>LTK-FRD-RNGR-003</t>
  </si>
  <si>
    <t>R1F</t>
  </si>
  <si>
    <t>2019-LTK-FRD-RNGR-003-27</t>
  </si>
  <si>
    <t>2019-LTK-FRD-RNGR-004-05</t>
  </si>
  <si>
    <t>LTK-FRD-RNGR-004</t>
  </si>
  <si>
    <t>SuperCab XLT</t>
  </si>
  <si>
    <t>2019-LTK-FRD-RNGR-004-27</t>
  </si>
  <si>
    <t>2019-LTK-FRD-RNGR-005-05</t>
  </si>
  <si>
    <t>LTK-FRD-RNGR-005</t>
  </si>
  <si>
    <t>2019-LTK-FRD-RNGR-005-27</t>
  </si>
  <si>
    <t>2019-LTK-FRD-RNGR-006-05</t>
  </si>
  <si>
    <t>LTK-FRD-RNGR-006</t>
  </si>
  <si>
    <t>SuperCrew XL</t>
  </si>
  <si>
    <t>5'</t>
  </si>
  <si>
    <t>R4E</t>
  </si>
  <si>
    <t>2019-LTK-FRD-RNGR-006-27</t>
  </si>
  <si>
    <t>2019-LTK-FRD-RNGR-007-05</t>
  </si>
  <si>
    <t>LTK-FRD-RNGR-007</t>
  </si>
  <si>
    <t>R4F</t>
  </si>
  <si>
    <t>2019-LTK-FRD-RNGR-007-27</t>
  </si>
  <si>
    <t>2019-LTK-FRD-RNGR-008-05</t>
  </si>
  <si>
    <t>LTK-FRD-RNGR-008</t>
  </si>
  <si>
    <t>SuperCrew XLT</t>
  </si>
  <si>
    <t>2019-LTK-FRD-RNGR-008-27</t>
  </si>
  <si>
    <t>2019-LTK-FRD-RNGR-009-05</t>
  </si>
  <si>
    <t>LTK-FRD-RNGR-009</t>
  </si>
  <si>
    <t>2019-LTK-FRD-RNGR-009-27</t>
  </si>
  <si>
    <t>2019-LTK-FRD-RNGR-010-26</t>
  </si>
  <si>
    <t>LTK-FRD-RNGR-010</t>
  </si>
  <si>
    <t>XL CC 4X2 5' Box</t>
  </si>
  <si>
    <t>2019-LTK-FRD-RNGR-011-26</t>
  </si>
  <si>
    <t>LTK-FRD-RNGR-011</t>
  </si>
  <si>
    <t>XL CC 4X4 5' Box</t>
  </si>
  <si>
    <t>2019-LTK-FRD-RNGR-012-26</t>
  </si>
  <si>
    <t>LTK-FRD-RNGR-012</t>
  </si>
  <si>
    <t>XL SC 4x2 (Pickup Box Delete)</t>
  </si>
  <si>
    <t>2019-LTK-FRD-RNGR-013-26</t>
  </si>
  <si>
    <t>LTK-FRD-RNGR-013</t>
  </si>
  <si>
    <t>XL SC 4X2 6' Box</t>
  </si>
  <si>
    <t>2019-LTK-FRD-RNGR-014-26</t>
  </si>
  <si>
    <t>LTK-FRD-RNGR-014</t>
  </si>
  <si>
    <t>XL SC 4X4 6' Box</t>
  </si>
  <si>
    <t>2019-LTK-FRD-RNGR-015-26</t>
  </si>
  <si>
    <t>LTK-FRD-RNGR-015</t>
  </si>
  <si>
    <t>XLT CC 4X2 5' Box</t>
  </si>
  <si>
    <t>2019-LTK-FRD-RNGR-016-26</t>
  </si>
  <si>
    <t>LTK-FRD-RNGR-016</t>
  </si>
  <si>
    <t>XLT CC 4X4 5' Box</t>
  </si>
  <si>
    <t>2019-LTK-FRD-RNGR-017-26</t>
  </si>
  <si>
    <t>LTK-FRD-RNGR-017</t>
  </si>
  <si>
    <t>XLT SC 4X2 6' Box</t>
  </si>
  <si>
    <t>2019-LTK-FRD-RNGR-018-26</t>
  </si>
  <si>
    <t>LTK-FRD-RNGR-018</t>
  </si>
  <si>
    <t>XLT SC 4X4 6' Box</t>
  </si>
  <si>
    <t>2019-LTK-HND-RDGL-001-06</t>
  </si>
  <si>
    <t>LTK-HND-RDGL-001</t>
  </si>
  <si>
    <t>Ridgeline</t>
  </si>
  <si>
    <t>RT</t>
  </si>
  <si>
    <t>5'4"</t>
  </si>
  <si>
    <t>YK2F2KEW</t>
  </si>
  <si>
    <t>2019-LTK-HND-RDGL-004-06</t>
  </si>
  <si>
    <t>LTK-HND-RDGL-004</t>
  </si>
  <si>
    <t>RTL</t>
  </si>
  <si>
    <t>YK3F5KJNW</t>
  </si>
  <si>
    <t>2019-LTK-HND-RDGL-004-14</t>
  </si>
  <si>
    <t>2019-LTK-HND-RDGL-003-06</t>
  </si>
  <si>
    <t>LTK-HND-RDGL-003</t>
  </si>
  <si>
    <t>YK3F1KEW</t>
  </si>
  <si>
    <t>2019-LTK-HND-RDGL-003-14</t>
  </si>
  <si>
    <t>5'4</t>
  </si>
  <si>
    <t>2019-LTK-NIS-FRNT-001-07</t>
  </si>
  <si>
    <t>LTK-NIS-FRNT-001</t>
  </si>
  <si>
    <t>Frontier</t>
  </si>
  <si>
    <t>Crew Cab Desert Runner</t>
  </si>
  <si>
    <t>4'11"</t>
  </si>
  <si>
    <t>2019-LTK-NIS-FRNT-002-07</t>
  </si>
  <si>
    <t>LTK-NIS-FRNT-002</t>
  </si>
  <si>
    <t>Crew Cab S</t>
  </si>
  <si>
    <t>2019-LTK-NIS-FRNT-003-07</t>
  </si>
  <si>
    <t>LTK-NIS-FRNT-003</t>
  </si>
  <si>
    <t>2019-LTK-NIS-FRNT-003-16</t>
  </si>
  <si>
    <t>2019-LTK-NIS-FRNT-004-07</t>
  </si>
  <si>
    <t>LTK-NIS-FRNT-004</t>
  </si>
  <si>
    <t>Crew Cab SV</t>
  </si>
  <si>
    <t>2019-LTK-NIS-FRNT-005-07</t>
  </si>
  <si>
    <t>LTK-NIS-FRNT-005</t>
  </si>
  <si>
    <t>2019-LTK-NIS-FRNT-005-16</t>
  </si>
  <si>
    <t>2019-LTK-NIS-FRNT-006-07</t>
  </si>
  <si>
    <t>LTK-NIS-FRNT-006</t>
  </si>
  <si>
    <t>King Cab Desert Runner</t>
  </si>
  <si>
    <t>6'1"</t>
  </si>
  <si>
    <t>2019-LTK-NIS-FRNT-007-07</t>
  </si>
  <si>
    <t>LTK-NIS-FRNT-007</t>
  </si>
  <si>
    <t>King Cab S</t>
  </si>
  <si>
    <t>2019-LTK-NIS-FRNT-007-16</t>
  </si>
  <si>
    <t>2019-LTK-NIS-FRNT-009-07</t>
  </si>
  <si>
    <t>LTK-NIS-FRNT-009</t>
  </si>
  <si>
    <t>King Cab SV</t>
  </si>
  <si>
    <t>2019-LTK-NIS-FRNT-010-07</t>
  </si>
  <si>
    <t>LTK-NIS-FRNT-010</t>
  </si>
  <si>
    <t>2019-LTK-NIS-FRNT-010-16</t>
  </si>
  <si>
    <t>2019-LTK-NIS-FRNT-011-07</t>
  </si>
  <si>
    <t>LTK-NIS-FRNT-011</t>
  </si>
  <si>
    <t>King Cab SV-I4</t>
  </si>
  <si>
    <t>2019-LTK-NIS-TITN-001-07</t>
  </si>
  <si>
    <t>LTK-NIS-TITN-001</t>
  </si>
  <si>
    <t>Titan</t>
  </si>
  <si>
    <t>5'7"</t>
  </si>
  <si>
    <t>2019-LTK-NIS-TITN-002-07</t>
  </si>
  <si>
    <t>LTK-NIS-TITN-002</t>
  </si>
  <si>
    <t>2019-LTK-NIS-TITN-002-16</t>
  </si>
  <si>
    <t>2019-LTK-NIS-TITN-003-07</t>
  </si>
  <si>
    <t>LTK-NIS-TITN-003</t>
  </si>
  <si>
    <t>Crew Cab SL</t>
  </si>
  <si>
    <t>2019-LTK-NIS-TITN-004-07</t>
  </si>
  <si>
    <t>LTK-NIS-TITN-004</t>
  </si>
  <si>
    <t>2019-LTK-NIS-TITN-005-07</t>
  </si>
  <si>
    <t>LTK-NIS-TITN-005</t>
  </si>
  <si>
    <t>2019-LTK-NIS-TITN-006-07</t>
  </si>
  <si>
    <t>LTK-NIS-TITN-006</t>
  </si>
  <si>
    <t>2019-LTK-NIS-TITN-006-16</t>
  </si>
  <si>
    <t>2019-LTK-NIS-TITN-007-07</t>
  </si>
  <si>
    <t>LTK-NIS-TITN-007</t>
  </si>
  <si>
    <t>6'7"</t>
  </si>
  <si>
    <t>2019-LTK-NIS-TITN-008-07</t>
  </si>
  <si>
    <t>LTK-NIS-TITN-008</t>
  </si>
  <si>
    <t>2019-LTK-NIS-TITN-008-16</t>
  </si>
  <si>
    <t>2019-LTK-NIS-TITN-009-07</t>
  </si>
  <si>
    <t>LTK-NIS-TITN-009</t>
  </si>
  <si>
    <t>2019-LTK-NIS-TITN-010-07</t>
  </si>
  <si>
    <t>LTK-NIS-TITN-010</t>
  </si>
  <si>
    <t>2019-LTK-NIS-TITN-010-16</t>
  </si>
  <si>
    <t>2019-LTK-NIS-TITN-011-07</t>
  </si>
  <si>
    <t>LTK-NIS-TITN-011</t>
  </si>
  <si>
    <t>Single Cab S</t>
  </si>
  <si>
    <t>2019-LTK-NIS-TITN-012-07</t>
  </si>
  <si>
    <t>LTK-NIS-TITN-012</t>
  </si>
  <si>
    <t>Single Cab SV</t>
  </si>
  <si>
    <t>2019-LTK-NIS-TTNX-001-07</t>
  </si>
  <si>
    <t>LTK-NIS-TTNX-001</t>
  </si>
  <si>
    <t>Titan XD</t>
  </si>
  <si>
    <t>Plow Rated</t>
  </si>
  <si>
    <t>2019-LTK-NIS-TTNX-001-16</t>
  </si>
  <si>
    <t>Crew Cab S Gas</t>
  </si>
  <si>
    <t>2019-LTK-NIS-TTNX-002-07</t>
  </si>
  <si>
    <t>LTK-NIS-TTNX-002</t>
  </si>
  <si>
    <t>King Cab S Gas</t>
  </si>
  <si>
    <t>2019-LTK-NIS-TTNX-003-07</t>
  </si>
  <si>
    <t>LTK-NIS-TTNX-003</t>
  </si>
  <si>
    <t>2019-LTK-RAM-RM15-171-08</t>
  </si>
  <si>
    <t>LTK-RAM-RM15-171</t>
  </si>
  <si>
    <t>Ram 1500</t>
  </si>
  <si>
    <t>SLT Crew</t>
  </si>
  <si>
    <t>DS1H98</t>
  </si>
  <si>
    <t>22G</t>
  </si>
  <si>
    <t>2019-LTK-RAM-RM15-172-08</t>
  </si>
  <si>
    <t>LTK-RAM-RM15-172</t>
  </si>
  <si>
    <t>5.7L Hemi</t>
  </si>
  <si>
    <t>27G</t>
  </si>
  <si>
    <t>2019-LTK-RAM-RM15-173-08</t>
  </si>
  <si>
    <t>LTK-RAM-RM15-173</t>
  </si>
  <si>
    <t>6'4"</t>
  </si>
  <si>
    <t>DS1H91</t>
  </si>
  <si>
    <t>2019-LTK-RAM-RM15-174-08</t>
  </si>
  <si>
    <t>LTK-RAM-RM15-174</t>
  </si>
  <si>
    <t>DS6H91</t>
  </si>
  <si>
    <t>2019-LTK-RAM-RM15-169-08</t>
  </si>
  <si>
    <t>LTK-RAM-RM15-169</t>
  </si>
  <si>
    <t>SLT Crew Cab</t>
  </si>
  <si>
    <t>DS6H98</t>
  </si>
  <si>
    <t>2019-LTK-RAM-RM15-170-08</t>
  </si>
  <si>
    <t>LTK-RAM-RM15-170</t>
  </si>
  <si>
    <t>2019-LTK-RAM-RM15-175-08</t>
  </si>
  <si>
    <t>LTK-RAM-RM15-175</t>
  </si>
  <si>
    <t>SLT Quad Cab</t>
  </si>
  <si>
    <t>DS1H41</t>
  </si>
  <si>
    <t>2019-LTK-RAM-RM15-176-08</t>
  </si>
  <si>
    <t>LTK-RAM-RM15-176</t>
  </si>
  <si>
    <t>2019-LTK-RAM-RM15-177-08</t>
  </si>
  <si>
    <t>LTK-RAM-RM15-177</t>
  </si>
  <si>
    <t>DS6H41</t>
  </si>
  <si>
    <t>2019-LTK-RAM-RM15-178-08</t>
  </si>
  <si>
    <t>LTK-RAM-RM15-178</t>
  </si>
  <si>
    <t>2019-LTK-RAM-RM15-179-08</t>
  </si>
  <si>
    <t>LTK-RAM-RM15-179</t>
  </si>
  <si>
    <t>SLT Regular Cab</t>
  </si>
  <si>
    <t>DS1H61</t>
  </si>
  <si>
    <t>2019-LTK-RAM-RM15-180-08</t>
  </si>
  <si>
    <t>LTK-RAM-RM15-180</t>
  </si>
  <si>
    <t>2019-LTK-RAM-RM15-181-08</t>
  </si>
  <si>
    <t>LTK-RAM-RM15-181</t>
  </si>
  <si>
    <t>DS1H62</t>
  </si>
  <si>
    <t>2019-LTK-RAM-RM15-182-08</t>
  </si>
  <si>
    <t>LTK-RAM-RM15-182</t>
  </si>
  <si>
    <t>2019-LTK-RAM-RM15-183-08</t>
  </si>
  <si>
    <t>LTK-RAM-RM15-183</t>
  </si>
  <si>
    <t>DS6H61</t>
  </si>
  <si>
    <t>2019-LTK-RAM-RM15-184-08</t>
  </si>
  <si>
    <t>LTK-RAM-RM15-184</t>
  </si>
  <si>
    <t>2019-LTK-RAM-RM15-185-08</t>
  </si>
  <si>
    <t>LTK-RAM-RM15-185</t>
  </si>
  <si>
    <t>DS6H62</t>
  </si>
  <si>
    <t>2019-LTK-RAM-RM15-186-08</t>
  </si>
  <si>
    <t>LTK-RAM-RM15-186</t>
  </si>
  <si>
    <t>2019-LTK-RAM-RM15-187-08</t>
  </si>
  <si>
    <t>LTK-RAM-RM15-187</t>
  </si>
  <si>
    <t>Tradesman Crew Cab</t>
  </si>
  <si>
    <t>DS1L98</t>
  </si>
  <si>
    <t>22B</t>
  </si>
  <si>
    <t>2019-LTK-RAM-RM15-188-08</t>
  </si>
  <si>
    <t>LTK-RAM-RM15-188</t>
  </si>
  <si>
    <t>27B</t>
  </si>
  <si>
    <t>2019-LTK-RAM-RM15-189-08</t>
  </si>
  <si>
    <t>LTK-RAM-RM15-189</t>
  </si>
  <si>
    <t>6'4'</t>
  </si>
  <si>
    <t>DS1L91</t>
  </si>
  <si>
    <t>2019-LTK-RAM-RM15-190-08</t>
  </si>
  <si>
    <t>LTK-RAM-RM15-190</t>
  </si>
  <si>
    <t>DS6L98</t>
  </si>
  <si>
    <t>2019-LTK-RAM-RM15-191-08</t>
  </si>
  <si>
    <t>LTK-RAM-RM15-191</t>
  </si>
  <si>
    <t>2019-LTK-RAM-RM15-192-08</t>
  </si>
  <si>
    <t>LTK-RAM-RM15-192</t>
  </si>
  <si>
    <t>DS6L91</t>
  </si>
  <si>
    <t>2019-LTK-RAM-RM15-193-08</t>
  </si>
  <si>
    <t>LTK-RAM-RM15-193</t>
  </si>
  <si>
    <t>Tradesman Quad Cab</t>
  </si>
  <si>
    <t>DS1L41</t>
  </si>
  <si>
    <t>2019-LTK-RAM-RM15-194-08</t>
  </si>
  <si>
    <t>LTK-RAM-RM15-194</t>
  </si>
  <si>
    <t>2019-LTK-RAM-RM15-195-08</t>
  </si>
  <si>
    <t>LTK-RAM-RM15-195</t>
  </si>
  <si>
    <t>DS6L41</t>
  </si>
  <si>
    <t>2019-LTK-RAM-RM15-196-08</t>
  </si>
  <si>
    <t>LTK-RAM-RM15-196</t>
  </si>
  <si>
    <t>2019-LTK-RAM-RM15-197-08</t>
  </si>
  <si>
    <t>LTK-RAM-RM15-197</t>
  </si>
  <si>
    <t>Tradesman Regular Cab</t>
  </si>
  <si>
    <t>DS1L61</t>
  </si>
  <si>
    <t>2019-LTK-RAM-RM15-198-08</t>
  </si>
  <si>
    <t>LTK-RAM-RM15-198</t>
  </si>
  <si>
    <t>2019-LTK-RAM-RM15-199-08</t>
  </si>
  <si>
    <t>LTK-RAM-RM15-199</t>
  </si>
  <si>
    <t>DS1L62</t>
  </si>
  <si>
    <t>2019-LTK-RAM-RM15-200-08</t>
  </si>
  <si>
    <t>LTK-RAM-RM15-200</t>
  </si>
  <si>
    <t>2019-LTK-RAM-RM15-201-08</t>
  </si>
  <si>
    <t>LTK-RAM-RM15-201</t>
  </si>
  <si>
    <t>DS6L61</t>
  </si>
  <si>
    <t>2019-LTK-RAM-RM15-202-08</t>
  </si>
  <si>
    <t>LTK-RAM-RM15-202</t>
  </si>
  <si>
    <t>2019-LTK-RAM-RM15-203-08</t>
  </si>
  <si>
    <t>LTK-RAM-RM15-203</t>
  </si>
  <si>
    <t>DS6L62</t>
  </si>
  <si>
    <t>2019-LTK-RAM-RM15-204-08</t>
  </si>
  <si>
    <t>LTK-RAM-RM15-204</t>
  </si>
  <si>
    <t>2019-LTK-RAM-RM15-108-04</t>
  </si>
  <si>
    <t>LTK-RAM-RM15-108</t>
  </si>
  <si>
    <t>Ram 1500 Classic</t>
  </si>
  <si>
    <t>3.6L V6/3.21 axle</t>
  </si>
  <si>
    <t>2019-LTK-RAM-RM15-110-04</t>
  </si>
  <si>
    <t>LTK-RAM-RM15-110</t>
  </si>
  <si>
    <t>5.7Hemi/ 3.21 axle</t>
  </si>
  <si>
    <t>2019-LTK-RAM-RM15-112-04</t>
  </si>
  <si>
    <t>LTK-RAM-RM15-112</t>
  </si>
  <si>
    <t>5.7L Hemi/3.21 axle</t>
  </si>
  <si>
    <t>2019-LTK-RAM-RM15-109-04</t>
  </si>
  <si>
    <t>LTK-RAM-RM15-109</t>
  </si>
  <si>
    <t>3.6L V6/ 3.55 axle</t>
  </si>
  <si>
    <t>2019-LTK-RAM-RM15-111-04</t>
  </si>
  <si>
    <t>LTK-RAM-RM15-111</t>
  </si>
  <si>
    <t>5.7L Hemi/3.92axle</t>
  </si>
  <si>
    <t>26G</t>
  </si>
  <si>
    <t>2019-LTK-RAM-RM15-113-04</t>
  </si>
  <si>
    <t>LTK-RAM-RM15-113</t>
  </si>
  <si>
    <t>5.7 Hemi/3.21 axle</t>
  </si>
  <si>
    <t>2019-LTK-RAM-RM15-114-04</t>
  </si>
  <si>
    <t>LTK-RAM-RM15-114</t>
  </si>
  <si>
    <t>5.7 Hemi/3.92 axle</t>
  </si>
  <si>
    <t>2019-LTK-RAM-RM15-105-04</t>
  </si>
  <si>
    <t>LTK-RAM-RM15-105</t>
  </si>
  <si>
    <t>2019-LTK-RAM-RM15-107-04</t>
  </si>
  <si>
    <t>LTK-RAM-RM15-107</t>
  </si>
  <si>
    <t>2019-LTK-RAM-RM15-104-04</t>
  </si>
  <si>
    <t>LTK-RAM-RM15-104</t>
  </si>
  <si>
    <t>2019-LTK-RAM-RM15-106-04</t>
  </si>
  <si>
    <t>LTK-RAM-RM15-106</t>
  </si>
  <si>
    <t>3.6L V6/3.55 axle</t>
  </si>
  <si>
    <t>2019-LTK-RAM-RM15-115-04</t>
  </si>
  <si>
    <t>LTK-RAM-RM15-115</t>
  </si>
  <si>
    <t>2019-LTK-RAM-RM15-117-04</t>
  </si>
  <si>
    <t>LTK-RAM-RM15-117</t>
  </si>
  <si>
    <t>2019-LTK-RAM-RM15-116-04</t>
  </si>
  <si>
    <t>LTK-RAM-RM15-116</t>
  </si>
  <si>
    <t>2019-LTK-RAM-RM15-119-04</t>
  </si>
  <si>
    <t>LTK-RAM-RM15-119</t>
  </si>
  <si>
    <t>2019-LTK-RAM-RM15-121-04</t>
  </si>
  <si>
    <t>LTK-RAM-RM15-121</t>
  </si>
  <si>
    <t>5.7L V8/3.21 axle</t>
  </si>
  <si>
    <t>2019-LTK-RAM-RM15-118-04</t>
  </si>
  <si>
    <t>LTK-RAM-RM15-118</t>
  </si>
  <si>
    <t>5.7L V8/3.92 axle</t>
  </si>
  <si>
    <t>2019-LTK-RAM-RM15-120-04</t>
  </si>
  <si>
    <t>LTK-RAM-RM15-120</t>
  </si>
  <si>
    <t>2019-LTK-RAM-RM15-122-04</t>
  </si>
  <si>
    <t>LTK-RAM-RM15-122</t>
  </si>
  <si>
    <t>2019-LTK-RAM-RM15-124-04</t>
  </si>
  <si>
    <t>LTK-RAM-RM15-124</t>
  </si>
  <si>
    <t>2019-LTK-RAM-RM15-126-04</t>
  </si>
  <si>
    <t>LTK-RAM-RM15-126</t>
  </si>
  <si>
    <t>2019-LTK-RAM-RM15-128-04</t>
  </si>
  <si>
    <t>LTK-RAM-RM15-128</t>
  </si>
  <si>
    <t>2019-LTK-RAM-RM15-123-04</t>
  </si>
  <si>
    <t>LTK-RAM-RM15-123</t>
  </si>
  <si>
    <t>2019-LTK-RAM-RM15-125-04</t>
  </si>
  <si>
    <t>LTK-RAM-RM15-125</t>
  </si>
  <si>
    <t>2019-LTK-RAM-RM15-127-04</t>
  </si>
  <si>
    <t>LTK-RAM-RM15-127</t>
  </si>
  <si>
    <t>2019-LTK-RAM-RM15-129-04</t>
  </si>
  <si>
    <t>LTK-RAM-RM15-129</t>
  </si>
  <si>
    <t>2019-LTK-RAM-RM15-131-04</t>
  </si>
  <si>
    <t>LTK-RAM-RM15-131</t>
  </si>
  <si>
    <t>2019-LTK-RAM-RM15-133-04</t>
  </si>
  <si>
    <t>LTK-RAM-RM15-133</t>
  </si>
  <si>
    <t>2019-LTK-RAM-RM15-135-04</t>
  </si>
  <si>
    <t>LTK-RAM-RM15-135</t>
  </si>
  <si>
    <t>2019-LTK-RAM-RM15-130-04</t>
  </si>
  <si>
    <t>LTK-RAM-RM15-130</t>
  </si>
  <si>
    <t>2019-LTK-RAM-RM15-132-04</t>
  </si>
  <si>
    <t>LTK-RAM-RM15-132</t>
  </si>
  <si>
    <t>2019-LTK-RAM-RM15-134-04</t>
  </si>
  <si>
    <t>LTK-RAM-RM15-134</t>
  </si>
  <si>
    <t>2019-LTK-RAM-RM15-136-04</t>
  </si>
  <si>
    <t>LTK-RAM-RM15-136</t>
  </si>
  <si>
    <t>2019-LTK-RAM-RM15-138-04</t>
  </si>
  <si>
    <t>LTK-RAM-RM15-138</t>
  </si>
  <si>
    <t>2019-LTK-RAM-RM15-140-04</t>
  </si>
  <si>
    <t>LTK-RAM-RM15-140</t>
  </si>
  <si>
    <t>2019-LTK-RAM-RM15-137-04</t>
  </si>
  <si>
    <t>LTK-RAM-RM15-137</t>
  </si>
  <si>
    <t>2019-LTK-RAM-RM15-139-04</t>
  </si>
  <si>
    <t>LTK-RAM-RM15-139</t>
  </si>
  <si>
    <t>26B</t>
  </si>
  <si>
    <t>2019-LTK-RAM-RM15-142-04</t>
  </si>
  <si>
    <t>LTK-RAM-RM15-142</t>
  </si>
  <si>
    <t>2019-LTK-RAM-RM15-144-04</t>
  </si>
  <si>
    <t>LTK-RAM-RM15-144</t>
  </si>
  <si>
    <t>2019-LTK-RAM-RM15-145-04</t>
  </si>
  <si>
    <t>LTK-RAM-RM15-145</t>
  </si>
  <si>
    <t>2019-LTK-RAM-RM15-141-04</t>
  </si>
  <si>
    <t>LTK-RAM-RM15-141</t>
  </si>
  <si>
    <t>2019-LTK-RAM-RM15-143-04</t>
  </si>
  <si>
    <t>LTK-RAM-RM15-143</t>
  </si>
  <si>
    <t>2019-LTK-RAM-RM15-146-04</t>
  </si>
  <si>
    <t>LTK-RAM-RM15-146</t>
  </si>
  <si>
    <t>2019-LTK-RAM-RM15-147-04</t>
  </si>
  <si>
    <t>LTK-RAM-RM15-147</t>
  </si>
  <si>
    <t>2019-LTK-RAM-RM15-150-04</t>
  </si>
  <si>
    <t>LTK-RAM-RM15-150</t>
  </si>
  <si>
    <t>2019-LTK-RAM-RM15-148-04</t>
  </si>
  <si>
    <t>LTK-RAM-RM15-148</t>
  </si>
  <si>
    <t>2019-LTK-RAM-RM15-149-04</t>
  </si>
  <si>
    <t>LTK-RAM-RM15-149</t>
  </si>
  <si>
    <t>2019-LTK-RAM-RM15-151-04</t>
  </si>
  <si>
    <t>LTK-RAM-RM15-151</t>
  </si>
  <si>
    <t>2019-LTK-RAM-RM15-152-04</t>
  </si>
  <si>
    <t>LTK-RAM-RM15-152</t>
  </si>
  <si>
    <t>2019-LTK-RAM-RM15-153-04</t>
  </si>
  <si>
    <t>LTK-RAM-RM15-153</t>
  </si>
  <si>
    <t>2019-LTK-RAM-RM15-154-04</t>
  </si>
  <si>
    <t>LTK-RAM-RM15-154</t>
  </si>
  <si>
    <t>2019-LTK-RAM-RM15-155-04</t>
  </si>
  <si>
    <t>LTK-RAM-RM15-155</t>
  </si>
  <si>
    <t>2019-LTK-RAM-RM15-157-04</t>
  </si>
  <si>
    <t>LTK-RAM-RM15-157</t>
  </si>
  <si>
    <t>2019-LTK-RAM-RM15-159-04</t>
  </si>
  <si>
    <t>LTK-RAM-RM15-159</t>
  </si>
  <si>
    <t>2019-LTK-RAM-RM15-161-04</t>
  </si>
  <si>
    <t>LTK-RAM-RM15-161</t>
  </si>
  <si>
    <t>2019-LTK-RAM-RM15-156-04</t>
  </si>
  <si>
    <t>LTK-RAM-RM15-156</t>
  </si>
  <si>
    <t>2019-LTK-RAM-RM15-158-04</t>
  </si>
  <si>
    <t>LTK-RAM-RM15-158</t>
  </si>
  <si>
    <t>2019-LTK-RAM-RM15-160-04</t>
  </si>
  <si>
    <t>LTK-RAM-RM15-160</t>
  </si>
  <si>
    <t>2019-LTK-RAM-RM15-162-04</t>
  </si>
  <si>
    <t>LTK-RAM-RM15-162</t>
  </si>
  <si>
    <t>2019-LTK-RAM-RM15-163-04</t>
  </si>
  <si>
    <t>LTK-RAM-RM15-163</t>
  </si>
  <si>
    <t>2019-LTK-RAM-RM15-166-04</t>
  </si>
  <si>
    <t>LTK-RAM-RM15-166</t>
  </si>
  <si>
    <t>2019-LTK-RAM-RM15-168-04</t>
  </si>
  <si>
    <t>LTK-RAM-RM15-168</t>
  </si>
  <si>
    <t>2019-LTK-RAM-RM15-164-04</t>
  </si>
  <si>
    <t>LTK-RAM-RM15-164</t>
  </si>
  <si>
    <t>2019-LTK-RAM-RM15-165-04</t>
  </si>
  <si>
    <t>LTK-RAM-RM15-165</t>
  </si>
  <si>
    <t>2019-LTK-RAM-RM15-167-04</t>
  </si>
  <si>
    <t>LTK-RAM-RM15-167</t>
  </si>
  <si>
    <t>2019-LTK-RAM-RM25-003-04</t>
  </si>
  <si>
    <t>LTK-RAM-RM25-003</t>
  </si>
  <si>
    <t>Ram 2500</t>
  </si>
  <si>
    <t>6.4L Mid Duty Hemi</t>
  </si>
  <si>
    <t>DJ2H91</t>
  </si>
  <si>
    <t>2019-LTK-RAM-RM25-005-04</t>
  </si>
  <si>
    <t>LTK-RAM-RM25-005</t>
  </si>
  <si>
    <t>2FG</t>
  </si>
  <si>
    <t>2019-LTK-RAM-RM25-008-04</t>
  </si>
  <si>
    <t>LTK-RAM-RM25-008</t>
  </si>
  <si>
    <t>DJ2H92</t>
  </si>
  <si>
    <t>2019-LTK-RAM-RM25-009-04</t>
  </si>
  <si>
    <t>LTK-RAM-RM25-009</t>
  </si>
  <si>
    <t>2018-LTK-RAM-RM25-001-08</t>
  </si>
  <si>
    <t>LTK-RAM-RM25-001</t>
  </si>
  <si>
    <t>2018-LTK-RAM-RM25-003-08</t>
  </si>
  <si>
    <t>2018-LTK-RAM-RM25-005-08</t>
  </si>
  <si>
    <t>2018-LTK-RAM-RM25-007-08</t>
  </si>
  <si>
    <t>LTK-RAM-RM25-007</t>
  </si>
  <si>
    <t>2018-LTK-RAM-RM25-008-08</t>
  </si>
  <si>
    <t>2018-LTK-RAM-RM25-009-08</t>
  </si>
  <si>
    <t>2019-LTK-RAM-RM25-083-04</t>
  </si>
  <si>
    <t>LTK-RAM-RM25-083</t>
  </si>
  <si>
    <t>DJ7H91</t>
  </si>
  <si>
    <t>2019-LTK-RAM-RM25-084-04</t>
  </si>
  <si>
    <t>LTK-RAM-RM25-084</t>
  </si>
  <si>
    <t>2019-LTK-RAM-RM25-011-04</t>
  </si>
  <si>
    <t>LTK-RAM-RM25-011</t>
  </si>
  <si>
    <t>2019-LTK-RAM-RM25-085-04</t>
  </si>
  <si>
    <t>LTK-RAM-RM25-085</t>
  </si>
  <si>
    <t>DJ7H92</t>
  </si>
  <si>
    <t>2019-LTK-RAM-RM25-086-04</t>
  </si>
  <si>
    <t>LTK-RAM-RM25-086</t>
  </si>
  <si>
    <t>6.4L Hemi/3.73 axle ratio</t>
  </si>
  <si>
    <t>2019-LTK-RAM-RM25-087-04</t>
  </si>
  <si>
    <t>LTK-RAM-RM25-087</t>
  </si>
  <si>
    <t>2019-LTK-RAM-RM25-088-04</t>
  </si>
  <si>
    <t>LTK-RAM-RM25-088</t>
  </si>
  <si>
    <t>5.7L Hemi CNG/3.73 axle</t>
  </si>
  <si>
    <t>2018-LTK-RAM-RM25-011-08</t>
  </si>
  <si>
    <t>2018-LTK-RAM-RM25-012-08</t>
  </si>
  <si>
    <t>LTK-RAM-RM25-012</t>
  </si>
  <si>
    <t>2018-LTK-RAM-RM25-014-08</t>
  </si>
  <si>
    <t>LTK-RAM-RM25-014</t>
  </si>
  <si>
    <t>2018-LTK-RAM-RM25-019-08</t>
  </si>
  <si>
    <t>LTK-RAM-RM25-019</t>
  </si>
  <si>
    <t>5.7L Hemi CNG</t>
  </si>
  <si>
    <t>2018-LTK-RAM-RM25-020-08</t>
  </si>
  <si>
    <t>LTK-RAM-RM25-020</t>
  </si>
  <si>
    <t>2018-LTK-RAM-RM25-021-08</t>
  </si>
  <si>
    <t>LTK-RAM-RM25-021</t>
  </si>
  <si>
    <t>2018-LTK-RAM-RM25-022-08</t>
  </si>
  <si>
    <t>LTK-RAM-RM25-022</t>
  </si>
  <si>
    <t>2019-LTK-RAM-RM25-089-04</t>
  </si>
  <si>
    <t>LTK-RAM-RM25-089</t>
  </si>
  <si>
    <t>SLT Mega Cab</t>
  </si>
  <si>
    <t>5.7L Hemi/3.73 axle ratio</t>
  </si>
  <si>
    <t>DJ2H81</t>
  </si>
  <si>
    <t>2019-LTK-RAM-RM25-090-04</t>
  </si>
  <si>
    <t>LTK-RAM-RM25-090</t>
  </si>
  <si>
    <t>2019-LTK-RAM-RM25-091-04</t>
  </si>
  <si>
    <t>LTK-RAM-RM25-091</t>
  </si>
  <si>
    <t>6.7L Diesel/3.42 axle ratio</t>
  </si>
  <si>
    <t>2018-LTK-RAM-RM25-024-08</t>
  </si>
  <si>
    <t>LTK-RAM-RM25-024</t>
  </si>
  <si>
    <t>2018-LTK-RAM-RM25-025-08</t>
  </si>
  <si>
    <t>LTK-RAM-RM25-025</t>
  </si>
  <si>
    <t>2018-LTK-RAM-RM25-026-08</t>
  </si>
  <si>
    <t>LTK-RAM-RM25-026</t>
  </si>
  <si>
    <t>2019-LTK-RAM-RM25-092-04</t>
  </si>
  <si>
    <t>LTK-RAM-RM25-092</t>
  </si>
  <si>
    <t>DJ7H81</t>
  </si>
  <si>
    <t>2019-LTK-RAM-RM25-093-04</t>
  </si>
  <si>
    <t>LTK-RAM-RM25-093</t>
  </si>
  <si>
    <t>2019-LTK-RAM-RM25-094-04</t>
  </si>
  <si>
    <t>LTK-RAM-RM25-094</t>
  </si>
  <si>
    <t>2019-LTK-RAM-RM25-095-04</t>
  </si>
  <si>
    <t>LTK-RAM-RM25-095</t>
  </si>
  <si>
    <t>6.4L Hemi/4.10 axle ratio</t>
  </si>
  <si>
    <t>2018-LTK-RAM-RM25-030-08</t>
  </si>
  <si>
    <t>LTK-RAM-RM25-030</t>
  </si>
  <si>
    <t>2018-LTK-RAM-RM25-031-08</t>
  </si>
  <si>
    <t>LTK-RAM-RM25-031</t>
  </si>
  <si>
    <t>2018-LTK-RAM-RM25-032-08</t>
  </si>
  <si>
    <t>LTK-RAM-RM25-032</t>
  </si>
  <si>
    <t>2019-LTK-RAM-RM25-096-04</t>
  </si>
  <si>
    <t>LTK-RAM-RM25-096</t>
  </si>
  <si>
    <t>DJ2H62</t>
  </si>
  <si>
    <t>2019-LTK-RAM-RM25-097-04</t>
  </si>
  <si>
    <t>LTK-RAM-RM25-097</t>
  </si>
  <si>
    <t>2019-LTK-RAM-RM25-098-04</t>
  </si>
  <si>
    <t>LTK-RAM-RM25-098</t>
  </si>
  <si>
    <t>2018-LTK-RAM-RM25-034-08</t>
  </si>
  <si>
    <t>LTK-RAM-RM25-034</t>
  </si>
  <si>
    <t>2018-LTK-RAM-RM25-035-08</t>
  </si>
  <si>
    <t>LTK-RAM-RM25-035</t>
  </si>
  <si>
    <t>2018-LTK-RAM-RM25-037-08</t>
  </si>
  <si>
    <t>LTK-RAM-RM25-037</t>
  </si>
  <si>
    <t>2019-LTK-RAM-RM25-099-04</t>
  </si>
  <si>
    <t>LTK-RAM-RM25-099</t>
  </si>
  <si>
    <t>DJ7H62</t>
  </si>
  <si>
    <t>2019-LTK-RAM-RM25-100-04</t>
  </si>
  <si>
    <t>LTK-RAM-RM25-100</t>
  </si>
  <si>
    <t>2019-LTK-RAM-RM25-101-04</t>
  </si>
  <si>
    <t>LTK-RAM-RM25-101</t>
  </si>
  <si>
    <t>2019-LTK-RAM-RM25-102-04</t>
  </si>
  <si>
    <t>LTK-RAM-RM25-102</t>
  </si>
  <si>
    <t>2018-LTK-RAM-RM25-042-08</t>
  </si>
  <si>
    <t>LTK-RAM-RM25-042</t>
  </si>
  <si>
    <t>2018-LTK-RAM-RM25-043-08</t>
  </si>
  <si>
    <t>LTK-RAM-RM25-043</t>
  </si>
  <si>
    <t>2018-LTK-RAM-RM25-044-08</t>
  </si>
  <si>
    <t>LTK-RAM-RM25-044</t>
  </si>
  <si>
    <t>2019-LTK-RAM-RM25-103-04</t>
  </si>
  <si>
    <t>LTK-RAM-RM25-103</t>
  </si>
  <si>
    <t>Trademan Regular Cab</t>
  </si>
  <si>
    <t>DJ2L62</t>
  </si>
  <si>
    <t>26A</t>
  </si>
  <si>
    <t>2019-LTK-RAM-RM25-104-04</t>
  </si>
  <si>
    <t>LTK-RAM-RM25-104</t>
  </si>
  <si>
    <t>2019-LTK-RAM-RM25-105-04</t>
  </si>
  <si>
    <t>LTK-RAM-RM25-105</t>
  </si>
  <si>
    <t>2019-LTK-RAM-RM25-106-04</t>
  </si>
  <si>
    <t>LTK-RAM-RM25-106</t>
  </si>
  <si>
    <t>2FA</t>
  </si>
  <si>
    <t>2018-LTK-RAM-RM25-047-08</t>
  </si>
  <si>
    <t>LTK-RAM-RM25-047</t>
  </si>
  <si>
    <t>2018-LTK-RAM-RM25-048-08</t>
  </si>
  <si>
    <t>LTK-RAM-RM25-048</t>
  </si>
  <si>
    <t>2018-LTK-RAM-RM25-049-08</t>
  </si>
  <si>
    <t>LTK-RAM-RM25-049</t>
  </si>
  <si>
    <t>2019-LTK-RAM-RM25-107-04</t>
  </si>
  <si>
    <t>LTK-RAM-RM25-107</t>
  </si>
  <si>
    <t>DJ7L62</t>
  </si>
  <si>
    <t>2019-LTK-RAM-RM25-108-04</t>
  </si>
  <si>
    <t>LTK-RAM-RM25-108</t>
  </si>
  <si>
    <t>2019-LTK-RAM-RM25-109-04</t>
  </si>
  <si>
    <t>LTK-RAM-RM25-109</t>
  </si>
  <si>
    <t>2019-LTK-RAM-RM25-110-04</t>
  </si>
  <si>
    <t>LTK-RAM-RM25-110</t>
  </si>
  <si>
    <t>2018-LTK-RAM-RM25-053-08</t>
  </si>
  <si>
    <t>LTK-RAM-RM25-053</t>
  </si>
  <si>
    <t>2018-LTK-RAM-RM25-054-08</t>
  </si>
  <si>
    <t>LTK-RAM-RM25-054</t>
  </si>
  <si>
    <t>2018-LTK-RAM-RM25-055-08</t>
  </si>
  <si>
    <t>LTK-RAM-RM25-055</t>
  </si>
  <si>
    <t>2019-LTK-RAM-RM25-111-04</t>
  </si>
  <si>
    <t>LTK-RAM-RM25-111</t>
  </si>
  <si>
    <t>DJ2L91</t>
  </si>
  <si>
    <t>2019-LTK-RAM-RM25-112-04</t>
  </si>
  <si>
    <t>LTK-RAM-RM25-112</t>
  </si>
  <si>
    <t>2019-LTK-RAM-RM25-113-04</t>
  </si>
  <si>
    <t>LTK-RAM-RM25-113</t>
  </si>
  <si>
    <t>2019-LTK-RAM-RM25-114-04</t>
  </si>
  <si>
    <t>LTK-RAM-RM25-114</t>
  </si>
  <si>
    <t>2019-LTK-RAM-RM25-115-04</t>
  </si>
  <si>
    <t>LTK-RAM-RM25-115</t>
  </si>
  <si>
    <t>DJ2L92</t>
  </si>
  <si>
    <t>2019-LTK-RAM-RM25-116-04</t>
  </si>
  <si>
    <t>LTK-RAM-RM25-116</t>
  </si>
  <si>
    <t>2019-LTK-RAM-RM25-117-04</t>
  </si>
  <si>
    <t>LTK-RAM-RM25-117</t>
  </si>
  <si>
    <t>2019-LTK-RAM-RM25-118-04</t>
  </si>
  <si>
    <t>LTK-RAM-RM25-118</t>
  </si>
  <si>
    <t>2018-LTK-RAM-RM25-059-08</t>
  </si>
  <si>
    <t>LTK-RAM-RM25-059</t>
  </si>
  <si>
    <t>2018-LTK-RAM-RM25-060-08</t>
  </si>
  <si>
    <t>LTK-RAM-RM25-060</t>
  </si>
  <si>
    <t>2018-LTK-RAM-RM25-061-08</t>
  </si>
  <si>
    <t>LTK-RAM-RM25-061</t>
  </si>
  <si>
    <t>2018-LTK-RAM-RM25-065-08</t>
  </si>
  <si>
    <t>LTK-RAM-RM25-065</t>
  </si>
  <si>
    <t>2018-LTK-RAM-RM25-066-08</t>
  </si>
  <si>
    <t>LTK-RAM-RM25-066</t>
  </si>
  <si>
    <t>2018-LTK-RAM-RM25-067-08</t>
  </si>
  <si>
    <t>LTK-RAM-RM25-067</t>
  </si>
  <si>
    <t>2019-LTK-RAM-RM25-119-04</t>
  </si>
  <si>
    <t>LTK-RAM-RM25-119</t>
  </si>
  <si>
    <t>DJ7L91</t>
  </si>
  <si>
    <t>2019-LTK-RAM-RM25-120-04</t>
  </si>
  <si>
    <t>LTK-RAM-RM25-120</t>
  </si>
  <si>
    <t>2019-LTK-RAM-RM25-121-04</t>
  </si>
  <si>
    <t>LTK-RAM-RM25-121</t>
  </si>
  <si>
    <t>5.7L Hemi/4.10 axle ratio</t>
  </si>
  <si>
    <t>2019-LTK-RAM-RM25-122-04</t>
  </si>
  <si>
    <t>LTK-RAM-RM25-122</t>
  </si>
  <si>
    <t>6.7L Hemi/3.42 axle ratio</t>
  </si>
  <si>
    <t>2019-LTK-RAM-RM25-123-04</t>
  </si>
  <si>
    <t>LTK-RAM-RM25-123</t>
  </si>
  <si>
    <t>DJ7L92</t>
  </si>
  <si>
    <t>2019-LTK-RAM-RM25-124-04</t>
  </si>
  <si>
    <t>LTK-RAM-RM25-124</t>
  </si>
  <si>
    <t>2019-LTK-RAM-RM25-125-04</t>
  </si>
  <si>
    <t>LTK-RAM-RM25-125</t>
  </si>
  <si>
    <t>2019-LTK-RAM-RM25-126-04</t>
  </si>
  <si>
    <t>LTK-RAM-RM25-126</t>
  </si>
  <si>
    <t>5.7L HemiCNG/3.73 axle ratio</t>
  </si>
  <si>
    <t>2018-LTK-RAM-RM25-071-08</t>
  </si>
  <si>
    <t>LTK-RAM-RM25-071</t>
  </si>
  <si>
    <t>2018-LTK-RAM-RM25-072-08</t>
  </si>
  <si>
    <t>LTK-RAM-RM25-072</t>
  </si>
  <si>
    <t>2018-LTK-RAM-RM25-073-08</t>
  </si>
  <si>
    <t>LTK-RAM-RM25-073</t>
  </si>
  <si>
    <t>2018-LTK-RAM-RM25-077-08</t>
  </si>
  <si>
    <t>LTK-RAM-RM25-077</t>
  </si>
  <si>
    <t>2018-LTK-RAM-RM25-078-08</t>
  </si>
  <si>
    <t>LTK-RAM-RM25-078</t>
  </si>
  <si>
    <t>2018-LTK-RAM-RM25-079-08</t>
  </si>
  <si>
    <t>LTK-RAM-RM25-079</t>
  </si>
  <si>
    <t>2018-LTK-RAM-RM25-080-08</t>
  </si>
  <si>
    <t>LTK-RAM-RM25-080</t>
  </si>
  <si>
    <t>2019-LTK-RAM-RM35-037-04</t>
  </si>
  <si>
    <t>LTK-RAM-RM35-037</t>
  </si>
  <si>
    <t>Ram 3500</t>
  </si>
  <si>
    <t>D23H81</t>
  </si>
  <si>
    <t>2018-LTK-RAM-RM35-005-08</t>
  </si>
  <si>
    <t>LTK-RAM-RM35-005</t>
  </si>
  <si>
    <t>2019-LTK-RAM-RM35-038-04</t>
  </si>
  <si>
    <t>LTK-RAM-RM35-038</t>
  </si>
  <si>
    <t>D28H81</t>
  </si>
  <si>
    <t>2018-LTK-RAM-RM35-006-08</t>
  </si>
  <si>
    <t>LTK-RAM-RM35-006</t>
  </si>
  <si>
    <t>2019-LTK-RAM-RM35-039-04</t>
  </si>
  <si>
    <t>LTK-RAM-RM35-039</t>
  </si>
  <si>
    <t>D23L91</t>
  </si>
  <si>
    <t>2019-LTK-RAM-RM35-040-04</t>
  </si>
  <si>
    <t>LTK-RAM-RM35-040</t>
  </si>
  <si>
    <t>UNLEADED</t>
  </si>
  <si>
    <t>2019-LTK-RAM-RM35-009-04</t>
  </si>
  <si>
    <t>LTK-RAM-RM35-009</t>
  </si>
  <si>
    <t>6.4L Hemi</t>
  </si>
  <si>
    <t>2019-LTK-RAM-RM35-010-04</t>
  </si>
  <si>
    <t>LTK-RAM-RM35-010</t>
  </si>
  <si>
    <t>28A AISIN</t>
  </si>
  <si>
    <t>2019-LTK-RAM-RM35-011-04</t>
  </si>
  <si>
    <t>LTK-RAM-RM35-011</t>
  </si>
  <si>
    <t>2019-LTK-RAM-RM35-041-04</t>
  </si>
  <si>
    <t>LTK-RAM-RM35-041</t>
  </si>
  <si>
    <t>D23L92</t>
  </si>
  <si>
    <t>2019-LTK-RAM-RM35-042-04</t>
  </si>
  <si>
    <t>LTK-RAM-RM35-042</t>
  </si>
  <si>
    <t>5.7Hemi/4.10 axle ratio</t>
  </si>
  <si>
    <t>2019-LTK-RAM-RM35-014-04</t>
  </si>
  <si>
    <t>LTK-RAM-RM35-014</t>
  </si>
  <si>
    <t>2019-LTK-RAM-RM35-015-04</t>
  </si>
  <si>
    <t>LTK-RAM-RM35-015</t>
  </si>
  <si>
    <t>2019-LTK-RAM-RM35-016-04</t>
  </si>
  <si>
    <t>LTK-RAM-RM35-016</t>
  </si>
  <si>
    <t>2018-LTK-RAM-RM35-007-08</t>
  </si>
  <si>
    <t>LTK-RAM-RM35-007</t>
  </si>
  <si>
    <t>2018-LTK-RAM-RM35-012-08</t>
  </si>
  <si>
    <t>LTK-RAM-RM35-012</t>
  </si>
  <si>
    <t>2019-LTK-RAM-RM35-043-04</t>
  </si>
  <si>
    <t>LTK-RAM-RM35-043</t>
  </si>
  <si>
    <t>D28L91</t>
  </si>
  <si>
    <t>2019-LTK-RAM-RM35-044-04</t>
  </si>
  <si>
    <t>LTK-RAM-RM35-044</t>
  </si>
  <si>
    <t>2019-LTK-RAM-RM35-019-04</t>
  </si>
  <si>
    <t>LTK-RAM-RM35-019</t>
  </si>
  <si>
    <t>2019-LTK-RAM-RM35-020-04</t>
  </si>
  <si>
    <t>LTK-RAM-RM35-020</t>
  </si>
  <si>
    <t>2019-LTK-RAM-RM35-021-04</t>
  </si>
  <si>
    <t>LTK-RAM-RM35-021</t>
  </si>
  <si>
    <t>2019-LTK-RAM-RM35-045-04</t>
  </si>
  <si>
    <t>LTK-RAM-RM35-045</t>
  </si>
  <si>
    <t>D28L92</t>
  </si>
  <si>
    <t>2019-LTK-RAM-RM35-046-04</t>
  </si>
  <si>
    <t>LTK-RAM-RM35-046</t>
  </si>
  <si>
    <t>2019-LTK-RAM-RM35-024-04</t>
  </si>
  <si>
    <t>LTK-RAM-RM35-024</t>
  </si>
  <si>
    <t>2019-LTK-RAM-RM35-025-04</t>
  </si>
  <si>
    <t>LTK-RAM-RM35-025</t>
  </si>
  <si>
    <t>2019-LTK-RAM-RM35-026-04</t>
  </si>
  <si>
    <t>LTK-RAM-RM35-026</t>
  </si>
  <si>
    <t>2018-LTK-RAM-RM35-017-08</t>
  </si>
  <si>
    <t>LTK-RAM-RM35-017</t>
  </si>
  <si>
    <t>2018-LTK-RAM-RM35-022-08</t>
  </si>
  <si>
    <t>LTK-RAM-RM35-022</t>
  </si>
  <si>
    <t>2019-LTK-RAM-RM35-047-04</t>
  </si>
  <si>
    <t>LTK-RAM-RM35-047</t>
  </si>
  <si>
    <t>D23L62</t>
  </si>
  <si>
    <t>2019-LTK-RAM-RM35-048-04</t>
  </si>
  <si>
    <t>LTK-RAM-RM35-048</t>
  </si>
  <si>
    <t>2019-LTK-RAM-RM35-029-04</t>
  </si>
  <si>
    <t>LTK-RAM-RM35-029</t>
  </si>
  <si>
    <t>2019-LTK-RAM-RM35-030-04</t>
  </si>
  <si>
    <t>LTK-RAM-RM35-030</t>
  </si>
  <si>
    <t>2019-LTK-RAM-RM35-031-04</t>
  </si>
  <si>
    <t>LTK-RAM-RM35-031</t>
  </si>
  <si>
    <t>2018-LTK-RAM-RM35-027-08</t>
  </si>
  <si>
    <t>LTK-RAM-RM35-027</t>
  </si>
  <si>
    <t>2019-LTK-RAM-RM35-049-04</t>
  </si>
  <si>
    <t>LTK-RAM-RM35-049</t>
  </si>
  <si>
    <t>D28L62</t>
  </si>
  <si>
    <t>2019-LTK-RAM-RM35-050-04</t>
  </si>
  <si>
    <t>LTK-RAM-RM35-050</t>
  </si>
  <si>
    <t>2019-LTK-RAM-RM35-034-04</t>
  </si>
  <si>
    <t>LTK-RAM-RM35-034</t>
  </si>
  <si>
    <t>2019-LTK-RAM-RM35-035-04</t>
  </si>
  <si>
    <t>LTK-RAM-RM35-035</t>
  </si>
  <si>
    <t>2019-LTK-RAM-RM35-036-04</t>
  </si>
  <si>
    <t>LTK-RAM-RM35-036</t>
  </si>
  <si>
    <t>2018-LTK-RAM-RM35-032-08</t>
  </si>
  <si>
    <t>LTK-RAM-RM35-032</t>
  </si>
  <si>
    <t>2018-LTK-RAM-RM35-001-08</t>
  </si>
  <si>
    <t>LTK-RAM-RM35-001</t>
  </si>
  <si>
    <t>Ram 3500 Chassis Cab</t>
  </si>
  <si>
    <t>Crew Chassis Cab</t>
  </si>
  <si>
    <t>DD3L93</t>
  </si>
  <si>
    <t>2018-LTK-RAM-RM35-002-08</t>
  </si>
  <si>
    <t>LTK-RAM-RM35-002</t>
  </si>
  <si>
    <t>DF3L93</t>
  </si>
  <si>
    <t>2018-LTK-RAM-RM35-003-08</t>
  </si>
  <si>
    <t>LTK-RAM-RM35-003</t>
  </si>
  <si>
    <t>DD8L93</t>
  </si>
  <si>
    <t>2018-LTK-RAM-RM35-004-08</t>
  </si>
  <si>
    <t>LTK-RAM-RM35-004</t>
  </si>
  <si>
    <t>DF8L93</t>
  </si>
  <si>
    <t>2019-LTK-RAM-RM3C-001-04</t>
  </si>
  <si>
    <t>LTK-RAM-RM3C-001</t>
  </si>
  <si>
    <t>Regular Cab</t>
  </si>
  <si>
    <t>DD3L64</t>
  </si>
  <si>
    <t>2019-LTK-RAM-RM3C-002-04</t>
  </si>
  <si>
    <t>LTK-RAM-RM3C-002</t>
  </si>
  <si>
    <t>DD3L63</t>
  </si>
  <si>
    <t>2019-LTK-RAM-RM3C-003-04</t>
  </si>
  <si>
    <t>LTK-RAM-RM3C-003</t>
  </si>
  <si>
    <t>DF3L63</t>
  </si>
  <si>
    <t>2018-LTK-RAM-RM3C-001-08</t>
  </si>
  <si>
    <t>2018-LTK-RAM-RM3C-002-08</t>
  </si>
  <si>
    <t>2018-LTK-RAM-RM3C-003-08</t>
  </si>
  <si>
    <t>2019-LTK-RAM-RM3C-004-04</t>
  </si>
  <si>
    <t>LTK-RAM-RM3C-004</t>
  </si>
  <si>
    <t>DD8L64</t>
  </si>
  <si>
    <t>2019-LTK-RAM-RM3C-005-04</t>
  </si>
  <si>
    <t>LTK-RAM-RM3C-005</t>
  </si>
  <si>
    <t>DD8L63</t>
  </si>
  <si>
    <t>2019-LTK-RAM-RM3C-006-04</t>
  </si>
  <si>
    <t>LTK-RAM-RM3C-006</t>
  </si>
  <si>
    <t>DF8L63</t>
  </si>
  <si>
    <t>2018-LTK-RAM-RM3C-004-08</t>
  </si>
  <si>
    <t>2018-LTK-RAM-RM3C-005-08</t>
  </si>
  <si>
    <t>2018-LTK-RAM-RM3C-006-08</t>
  </si>
  <si>
    <t>2019-LTK-RAM-RM3C-011-04</t>
  </si>
  <si>
    <t>LTK-RAM-RM3C-011</t>
  </si>
  <si>
    <t>CA 60"</t>
  </si>
  <si>
    <t>2019-LTK-RAM-RM3C-035-04</t>
  </si>
  <si>
    <t>LTK-RAM-RM3C-035</t>
  </si>
  <si>
    <t>6.4L</t>
  </si>
  <si>
    <t>2019-LTK-RAM-RM3C-012-04</t>
  </si>
  <si>
    <t>LTK-RAM-RM3C-012</t>
  </si>
  <si>
    <t>29A AISIN</t>
  </si>
  <si>
    <t>2019-LTK-RAM-RM3C-013-04</t>
  </si>
  <si>
    <t>LTK-RAM-RM3C-013</t>
  </si>
  <si>
    <t>27A AISIN</t>
  </si>
  <si>
    <t>2019-LTK-RAM-RM3C-014-04</t>
  </si>
  <si>
    <t>LTK-RAM-RM3C-014</t>
  </si>
  <si>
    <t>2019-LTK-RAM-RM3C-015-04</t>
  </si>
  <si>
    <t>LTK-RAM-RM3C-015</t>
  </si>
  <si>
    <t>2019-LTK-RAM-RM3C-016-04</t>
  </si>
  <si>
    <t>LTK-RAM-RM3C-016</t>
  </si>
  <si>
    <t>2019-LTK-RAM-RM3C-008-04</t>
  </si>
  <si>
    <t>LTK-RAM-RM3C-008</t>
  </si>
  <si>
    <t>Tradesman Crew Cab 10K</t>
  </si>
  <si>
    <t>2019-LTK-RAM-RM3C-009-04</t>
  </si>
  <si>
    <t>LTK-RAM-RM3C-009</t>
  </si>
  <si>
    <t>2019-LTK-RAM-RM3C-010-04</t>
  </si>
  <si>
    <t>LTK-RAM-RM3C-010</t>
  </si>
  <si>
    <t>2019-LTK-RAM-RM3C-023-04</t>
  </si>
  <si>
    <t>LTK-RAM-RM3C-023</t>
  </si>
  <si>
    <t>2019-LTK-RAM-RM3C-024-04</t>
  </si>
  <si>
    <t>LTK-RAM-RM3C-024</t>
  </si>
  <si>
    <t>2019-LTK-RAM-RM3C-025-04</t>
  </si>
  <si>
    <t>LTK-RAM-RM3C-025</t>
  </si>
  <si>
    <t>2019-LTK-RAM-RM3C-026-04</t>
  </si>
  <si>
    <t>LTK-RAM-RM3C-026</t>
  </si>
  <si>
    <t>CA 84"</t>
  </si>
  <si>
    <t>2019-LTK-RAM-RM3C-027-04</t>
  </si>
  <si>
    <t>LTK-RAM-RM3C-027</t>
  </si>
  <si>
    <t>2019-LTK-RAM-RM3C-028-04</t>
  </si>
  <si>
    <t>LTK-RAM-RM3C-028</t>
  </si>
  <si>
    <t>2019-LTK-RAM-RM3C-029-04</t>
  </si>
  <si>
    <t>LTK-RAM-RM3C-029</t>
  </si>
  <si>
    <t>2019-LTK-RAM-RM3C-030-04</t>
  </si>
  <si>
    <t>LTK-RAM-RM3C-030</t>
  </si>
  <si>
    <t>2019-LTK-RAM-RM3C-031-04</t>
  </si>
  <si>
    <t>LTK-RAM-RM3C-031</t>
  </si>
  <si>
    <t>2019-LTK-RAM-RM3C-032-04</t>
  </si>
  <si>
    <t>LTK-RAM-RM3C-032</t>
  </si>
  <si>
    <t>2019-LTK-RAM-RM3C-033-04</t>
  </si>
  <si>
    <t>LTK-RAM-RM3C-033</t>
  </si>
  <si>
    <t>2019-LTK-RAM-RM3C-034-04</t>
  </si>
  <si>
    <t>LTK-RAM-RM3C-034</t>
  </si>
  <si>
    <t>2019-LTK-RAM-RM3C-017-04</t>
  </si>
  <si>
    <t>LTK-RAM-RM3C-017</t>
  </si>
  <si>
    <t>Tradesman Regular Cab 10K SRW</t>
  </si>
  <si>
    <t>2019-LTK-RAM-RM3C-018-04</t>
  </si>
  <si>
    <t>LTK-RAM-RM3C-018</t>
  </si>
  <si>
    <t>2019-LTK-RAM-RM3C-019-04</t>
  </si>
  <si>
    <t>LTK-RAM-RM3C-019</t>
  </si>
  <si>
    <t>2019-LTK-RAM-RM3C-020-04</t>
  </si>
  <si>
    <t>LTK-RAM-RM3C-020</t>
  </si>
  <si>
    <t>2019-LTK-RAM-RM3C-021-04</t>
  </si>
  <si>
    <t>LTK-RAM-RM3C-021</t>
  </si>
  <si>
    <t>2019-LTK-RAM-RM3C-022-04</t>
  </si>
  <si>
    <t>LTK-RAM-RM3C-022</t>
  </si>
  <si>
    <t>2019-LTK-TOY-TCMA-001-12</t>
  </si>
  <si>
    <t>LTK-TOY-TCMA-001</t>
  </si>
  <si>
    <t>Tacoma</t>
  </si>
  <si>
    <t>Access Cab SR</t>
  </si>
  <si>
    <t>2019-LTK-TOY-TCMA-002-12</t>
  </si>
  <si>
    <t>LTK-TOY-TCMA-002</t>
  </si>
  <si>
    <t xml:space="preserve">6' </t>
  </si>
  <si>
    <t>2019-LTK-TOY-TCMA-003-12</t>
  </si>
  <si>
    <t>LTK-TOY-TCMA-003</t>
  </si>
  <si>
    <t>Access Cab SR5</t>
  </si>
  <si>
    <t>2019-LTK-TOY-TCMA-004-12</t>
  </si>
  <si>
    <t>LTK-TOY-TCMA-004</t>
  </si>
  <si>
    <t>Double Cab SR</t>
  </si>
  <si>
    <t>2019-LTK-TOY-TCMA-005-12</t>
  </si>
  <si>
    <t>LTK-TOY-TCMA-005</t>
  </si>
  <si>
    <t>Double Cab SR5</t>
  </si>
  <si>
    <t>2019-LTK-TOY-TCMA-006-12</t>
  </si>
  <si>
    <t>LTK-TOY-TCMA-006</t>
  </si>
  <si>
    <t>2019-LTK-TOY-TDRA-001-12</t>
  </si>
  <si>
    <t>LTK-TOY-TDRA-001</t>
  </si>
  <si>
    <t>Tundra</t>
  </si>
  <si>
    <t>Limited CrewMax</t>
  </si>
  <si>
    <t>2019-LTK-TOY-TDRA-002-12</t>
  </si>
  <si>
    <t>LTK-TOY-TDRA-002</t>
  </si>
  <si>
    <t>2019-LTK-TOY-TDRA-003-12</t>
  </si>
  <si>
    <t>LTK-TOY-TDRA-003</t>
  </si>
  <si>
    <t>Limited Double Cab</t>
  </si>
  <si>
    <t>2019-LTK-TOY-TDRA-004-12</t>
  </si>
  <si>
    <t>LTK-TOY-TDRA-004</t>
  </si>
  <si>
    <t>2019-LTK-TOY-TDRA-005-12</t>
  </si>
  <si>
    <t>LTK-TOY-TDRA-005</t>
  </si>
  <si>
    <t>SR Double Cab</t>
  </si>
  <si>
    <t>2019-LTK-TOY-TDRA-006-12</t>
  </si>
  <si>
    <t>LTK-TOY-TDRA-006</t>
  </si>
  <si>
    <t>4.6L</t>
  </si>
  <si>
    <t>2019-LTK-TOY-TDRA-007-12</t>
  </si>
  <si>
    <t>LTK-TOY-TDRA-007</t>
  </si>
  <si>
    <t>2019-LTK-TOY-TDRA-008-12</t>
  </si>
  <si>
    <t>LTK-TOY-TDRA-008</t>
  </si>
  <si>
    <t>2019-LTK-TOY-TDRA-009-12</t>
  </si>
  <si>
    <t>LTK-TOY-TDRA-009</t>
  </si>
  <si>
    <t>2019-LTK-TOY-TDRA-010-12</t>
  </si>
  <si>
    <t>LTK-TOY-TDRA-010</t>
  </si>
  <si>
    <t>2019-LTK-TOY-TDRA-011-12</t>
  </si>
  <si>
    <t>LTK-TOY-TDRA-011</t>
  </si>
  <si>
    <t>SR5 CrewMax</t>
  </si>
  <si>
    <t>2019-LTK-TOY-TDRA-012-12</t>
  </si>
  <si>
    <t>LTK-TOY-TDRA-012</t>
  </si>
  <si>
    <t>2019-LTK-TOY-TDRA-013-12</t>
  </si>
  <si>
    <t>LTK-TOY-TDRA-013</t>
  </si>
  <si>
    <t>2019-LTK-TOY-TDRA-014-12</t>
  </si>
  <si>
    <t>LTK-TOY-TDRA-014</t>
  </si>
  <si>
    <t>2019-LTK-TOY-TDRA-015-12</t>
  </si>
  <si>
    <t>LTK-TOY-TDRA-015</t>
  </si>
  <si>
    <t>SR5 Double Cab</t>
  </si>
  <si>
    <t>2019-LTK-TOY-TDRA-016-12</t>
  </si>
  <si>
    <t>LTK-TOY-TDRA-016</t>
  </si>
  <si>
    <t>2019-LTK-TOY-TDRA-017-12</t>
  </si>
  <si>
    <t>LTK-TOY-TDRA-017</t>
  </si>
  <si>
    <t>2019-LTK-TOY-TDRA-018-12</t>
  </si>
  <si>
    <t>LTK-TOY-TDRA-018</t>
  </si>
  <si>
    <t>2019-LTK-TOY-TDRA-019-12</t>
  </si>
  <si>
    <t>LTK-TOY-TDRA-019</t>
  </si>
  <si>
    <t>2019-LTK-TOY-TDRA-020-12</t>
  </si>
  <si>
    <t>LTK-TOY-TDRA-020</t>
  </si>
  <si>
    <t>2019-SSV-CHV-SV15-022-11</t>
  </si>
  <si>
    <t>SSV-CHV-SV15-022</t>
  </si>
  <si>
    <t>SSV/Small LTK</t>
  </si>
  <si>
    <t>WT / SSV Crew Cab Short Bed</t>
  </si>
  <si>
    <t>1WT/5W4/PCV</t>
  </si>
  <si>
    <t>2019-SSV-CHV-SV15-022-13</t>
  </si>
  <si>
    <t>1WT/5W4</t>
  </si>
  <si>
    <t>2019-SSV-CHV-SV15-022-17</t>
  </si>
  <si>
    <t>2019-SSV-CHV-SV15-023-11</t>
  </si>
  <si>
    <t>SSV-CHV-SV15-023</t>
  </si>
  <si>
    <t>2019-SSV-CHV-SV15-023-13</t>
  </si>
  <si>
    <t>2019-SSV-CHV-SV15-023-17</t>
  </si>
  <si>
    <t>2019-SSV-CHV-SV15-024-11</t>
  </si>
  <si>
    <t>SSV-CHV-SV15-024</t>
  </si>
  <si>
    <t>WT / SSV Crew Cab Std Bed</t>
  </si>
  <si>
    <t>2019-SSV-CHV-SV15-024-13</t>
  </si>
  <si>
    <t>2019-SSV-CHV-SV15-024-17</t>
  </si>
  <si>
    <t>2019-SSV-CHV-SV15-025-11</t>
  </si>
  <si>
    <t>SSV-CHV-SV15-025</t>
  </si>
  <si>
    <t>2019-SSV-CHV-SV15-025-13</t>
  </si>
  <si>
    <t>2019-SSV-CHV-SV15-025-17</t>
  </si>
  <si>
    <t>2019-SSV-CHV-TAHO-009-11</t>
  </si>
  <si>
    <t>SSV-CHV-TAHO-009</t>
  </si>
  <si>
    <t>SSV/Full-Size SUV</t>
  </si>
  <si>
    <t>SSV / 5W4</t>
  </si>
  <si>
    <t>1FL/5W4</t>
  </si>
  <si>
    <t>2019-SSV-CHV-TAHO-009-17</t>
  </si>
  <si>
    <t>2019-SSV-DOD-DURG-011-08</t>
  </si>
  <si>
    <t>SSV-DOD-DURG-011</t>
  </si>
  <si>
    <t>SSV/Mid-Size SUV</t>
  </si>
  <si>
    <t>PPV</t>
  </si>
  <si>
    <t>WDEE75</t>
  </si>
  <si>
    <t>2BZ</t>
  </si>
  <si>
    <t>2019-SSV-DOD-DURG-012-08</t>
  </si>
  <si>
    <t>SSV-DOD-DURG-012</t>
  </si>
  <si>
    <t>22Z</t>
  </si>
  <si>
    <t>2019-SSV-DOD-DURG-003-04</t>
  </si>
  <si>
    <t>SSV-DOD-DURG-003</t>
  </si>
  <si>
    <t>SSV</t>
  </si>
  <si>
    <t>WDDE75</t>
  </si>
  <si>
    <t>2BX</t>
  </si>
  <si>
    <t>2019-SSV-DOD-DURG-004-04</t>
  </si>
  <si>
    <t>SSV-DOD-DURG-004</t>
  </si>
  <si>
    <t>22X</t>
  </si>
  <si>
    <t>2019-SSV-DOD-DURG-003-08</t>
  </si>
  <si>
    <t>2019-SSV-DOD-DURG-013-08</t>
  </si>
  <si>
    <t>SSV-DOD-DURG-013</t>
  </si>
  <si>
    <t>2019-SSV-DOD-RM15-052-04</t>
  </si>
  <si>
    <t>SSV-DOD-RM15-052</t>
  </si>
  <si>
    <t>DS6T98</t>
  </si>
  <si>
    <t>25D</t>
  </si>
  <si>
    <t>2019-SSV-DOD-RM15-052-08</t>
  </si>
  <si>
    <t>2019-SSV-FRD-EXPD-017-05</t>
  </si>
  <si>
    <t>SSV-FRD-EXPD-017</t>
  </si>
  <si>
    <t>102A</t>
  </si>
  <si>
    <t>2019-SSV-FRD-EXPD-018-15</t>
  </si>
  <si>
    <t>SSV-FRD-EXPD-018</t>
  </si>
  <si>
    <t>2019-SSV-FRD-EXPD-017-27</t>
  </si>
  <si>
    <t>2019-SSV-FRD-EXPD-019-05</t>
  </si>
  <si>
    <t>SSV-FRD-EXPD-019</t>
  </si>
  <si>
    <t>2019-SSV-FRD-EXPD-020-15</t>
  </si>
  <si>
    <t>SSV-FRD-EXPD-020</t>
  </si>
  <si>
    <t>2019-SSV-FRD-EXPD-019-27</t>
  </si>
  <si>
    <t>2019-SSV-FRD-F150-123-05</t>
  </si>
  <si>
    <t>SSV-FRD-F150-123</t>
  </si>
  <si>
    <t>XL Super Cab SSV</t>
  </si>
  <si>
    <t>100A/66S</t>
  </si>
  <si>
    <t>2019-SSV-FRD-F150-124-05</t>
  </si>
  <si>
    <t>SSV-FRD-F150-124</t>
  </si>
  <si>
    <t>2019-SSV-FRD-F150-139-05</t>
  </si>
  <si>
    <t>SSV-FRD-F150-139</t>
  </si>
  <si>
    <t>2019-SSV-FRD-F150-140-05</t>
  </si>
  <si>
    <t>SSV-FRD-F150-140</t>
  </si>
  <si>
    <t>2019-SSV-FRD-F150-123-15</t>
  </si>
  <si>
    <t>2019-SSV-FRD-F150-124-15</t>
  </si>
  <si>
    <t>2019-SSV-FRD-F150-123-27</t>
  </si>
  <si>
    <t>2019-SSV-FRD-F150-124-27</t>
  </si>
  <si>
    <t>2019-SSV-FRD-F150-139-27</t>
  </si>
  <si>
    <t>2019-SSV-FRD-F150-140-27</t>
  </si>
  <si>
    <t>2019-SSV-FRD-F150-127-05</t>
  </si>
  <si>
    <t>SSV-FRD-F150-127</t>
  </si>
  <si>
    <t>2019-SSV-FRD-F150-128-05</t>
  </si>
  <si>
    <t>SSV-FRD-F150-128</t>
  </si>
  <si>
    <t>2019-SSV-FRD-F150-141-05</t>
  </si>
  <si>
    <t>SSV-FRD-F150-141</t>
  </si>
  <si>
    <t>2019-SSV-FRD-F150-142-05</t>
  </si>
  <si>
    <t>SSV-FRD-F150-142</t>
  </si>
  <si>
    <t>2019-SSV-FRD-F150-127-15</t>
  </si>
  <si>
    <t>2019-SSV-FRD-F150-128-15</t>
  </si>
  <si>
    <t>2019-SSV-FRD-F150-127-27</t>
  </si>
  <si>
    <t>2019-SSV-FRD-F150-128-27</t>
  </si>
  <si>
    <t>2019-SSV-FRD-F150-141-27</t>
  </si>
  <si>
    <t>2019-SSV-FRD-F150-142-27</t>
  </si>
  <si>
    <t>2019-SSV-RAM-RM15-052-08</t>
  </si>
  <si>
    <t>SSV-RAM-RM15-052</t>
  </si>
  <si>
    <t>2019-PPV-CHV-TAHO-007-11</t>
  </si>
  <si>
    <t>PPV-CHV-TAHO-007</t>
  </si>
  <si>
    <t>PPV/Full-Size SUV</t>
  </si>
  <si>
    <t>PPV / 9C1</t>
  </si>
  <si>
    <t>1FL/9C1</t>
  </si>
  <si>
    <t>2019-PPV-CHV-TAHO-007-17</t>
  </si>
  <si>
    <t>2019-PPV-CHV-TAHO-008-11</t>
  </si>
  <si>
    <t>PPV-CHV-TAHO-008</t>
  </si>
  <si>
    <t>2019-PPV-CHV-TAHO-008-17</t>
  </si>
  <si>
    <t>2019-PPV-DOD-DURG-009-04</t>
  </si>
  <si>
    <t>PPV-DOD-DURG-009</t>
  </si>
  <si>
    <t>2019-PPV-DOD-DURG-010-04</t>
  </si>
  <si>
    <t>PPV-DOD-DURG-010</t>
  </si>
  <si>
    <t>2019-PPV-FRD-F150-019-05</t>
  </si>
  <si>
    <t>PPV-FRD-F150-019</t>
  </si>
  <si>
    <t>PPV/Small LTK</t>
  </si>
  <si>
    <t>Police Responder Supercrew</t>
  </si>
  <si>
    <t>W1P</t>
  </si>
  <si>
    <t>2019-PPV-FRD-F150-018-15</t>
  </si>
  <si>
    <t>PPV-FRD-F150-018</t>
  </si>
  <si>
    <t>2019-PPV-FRD-F150-017-26</t>
  </si>
  <si>
    <t>PPV-FRD-F150-017</t>
  </si>
  <si>
    <t>2019-PPV-FRD-F150-019-27</t>
  </si>
  <si>
    <t>2019-PPV-FRD-FUSN-003-05</t>
  </si>
  <si>
    <t>2020-PPV-FRD-PIUT-003-05</t>
  </si>
  <si>
    <t>PPV-FRD-PIUT-003</t>
  </si>
  <si>
    <t>PPV/Mid-Size SUV</t>
  </si>
  <si>
    <t>PI Utility</t>
  </si>
  <si>
    <t>3.0L</t>
  </si>
  <si>
    <t>K8A,99C</t>
  </si>
  <si>
    <t>2020-PPV-FRD-PIUT-003-15</t>
  </si>
  <si>
    <t>3.0L Ecoboost</t>
  </si>
  <si>
    <t>2019-PPV-FRD-PIUT-001-26</t>
  </si>
  <si>
    <t>PPV-FRD-PIUT-001</t>
  </si>
  <si>
    <t>K8A,99T</t>
  </si>
  <si>
    <t>2020-PPV-FRD-PIUT-003-27</t>
  </si>
  <si>
    <t>2020-PPV-FRD-PIUT-005-05</t>
  </si>
  <si>
    <t>PPV-FRD-PIUT-005</t>
  </si>
  <si>
    <t>3.3L Hybrid</t>
  </si>
  <si>
    <t>K8A,44B</t>
  </si>
  <si>
    <t>2020-PPV-FRD-PIUT-005-15</t>
  </si>
  <si>
    <t>3.3L Hyrbrid</t>
  </si>
  <si>
    <t>K8A,99W</t>
  </si>
  <si>
    <t>2020-PPV-FRD-PIUT-005-27</t>
  </si>
  <si>
    <t>2020-PPV-FRD-PIUT-004-05</t>
  </si>
  <si>
    <t>PPV-FRD-PIUT-004</t>
  </si>
  <si>
    <t>K8A,99B</t>
  </si>
  <si>
    <t>2019-PPV-FRD-PIUT-002-05</t>
  </si>
  <si>
    <t>PPV-FRD-PIUT-002</t>
  </si>
  <si>
    <t>K8A,99R</t>
  </si>
  <si>
    <t>2018-PPV-FRD-PIUT-002-15</t>
  </si>
  <si>
    <t>2019-PPV-FRD-PIUT-002-15</t>
  </si>
  <si>
    <t>2020-PPV-FRD-PIUT-004-15</t>
  </si>
  <si>
    <t>2019-PPV-FRD-PIUT-002-26</t>
  </si>
  <si>
    <t>2020-PPV-FRD-PIUT-003-26</t>
  </si>
  <si>
    <t>3.0L EcoBoost</t>
  </si>
  <si>
    <t>K8A</t>
  </si>
  <si>
    <t>2020-PPV-FRD-PIUT-004-26</t>
  </si>
  <si>
    <t>3.3L V6 DI HEV</t>
  </si>
  <si>
    <t>3.3L V6 DI</t>
  </si>
  <si>
    <t>2020-PPV-FRD-PIUT-004-27</t>
  </si>
  <si>
    <t>2019-PPV-FRD-PIUT-002-27</t>
  </si>
  <si>
    <t>2019-BUS-RAM-PM3C-008-25</t>
  </si>
  <si>
    <t>BUS-RAM-PM3C-008</t>
  </si>
  <si>
    <t>08-Bus</t>
  </si>
  <si>
    <t>Promaster 3500 Cutaway</t>
  </si>
  <si>
    <t>Ramp/Side</t>
  </si>
  <si>
    <t>FR102</t>
  </si>
  <si>
    <t>VF3L34</t>
  </si>
  <si>
    <t>2019-BUS-RAM-PM3C-009-25</t>
  </si>
  <si>
    <t>BUS-RAM-PM3C-009</t>
  </si>
  <si>
    <t>FR121</t>
  </si>
  <si>
    <t>2019-BUS-RAM-PM3C-010-25</t>
  </si>
  <si>
    <t>BUS-RAM-PM3C-010</t>
  </si>
  <si>
    <t>FR083</t>
  </si>
  <si>
    <t>2020-LVN-CRY-VYGR-001-8</t>
  </si>
  <si>
    <t>LVN-CRY-VYGR-001</t>
  </si>
  <si>
    <t>Voyager</t>
  </si>
  <si>
    <t>2020-LVN-CRY-VYGR-002-4</t>
  </si>
  <si>
    <t>LVN-CRY-VYGR-002</t>
  </si>
  <si>
    <t>4</t>
  </si>
  <si>
    <t>2020-LVN-CRY-VYGR-002-8</t>
  </si>
  <si>
    <t>2020-LVN-CRY-VYGR-003-8</t>
  </si>
  <si>
    <t>LVN-CRY-VYGR-003</t>
  </si>
  <si>
    <t>LXI</t>
  </si>
  <si>
    <t>Vehicle Acquisition Request</t>
  </si>
  <si>
    <r>
      <t xml:space="preserve">NOTE: </t>
    </r>
    <r>
      <rPr>
        <b/>
        <u/>
        <sz val="11"/>
        <color indexed="8"/>
        <rFont val="Calibri"/>
        <family val="2"/>
      </rPr>
      <t>Only one vehicle can be entered in each row.</t>
    </r>
    <r>
      <rPr>
        <b/>
        <sz val="11"/>
        <color indexed="8"/>
        <rFont val="Calibri"/>
        <family val="2"/>
      </rPr>
      <t xml:space="preserve">   </t>
    </r>
    <r>
      <rPr>
        <sz val="11"/>
        <rFont val="Calibri"/>
        <family val="2"/>
      </rPr>
      <t>All cells that require user input are highlighted in orange.</t>
    </r>
    <r>
      <rPr>
        <sz val="11"/>
        <rFont val="Calibri"/>
        <family val="2"/>
        <scheme val="minor"/>
      </rPr>
      <t xml:space="preserve">  </t>
    </r>
  </si>
  <si>
    <t>AGENCY INFORMATION</t>
  </si>
  <si>
    <t>Secretariat:</t>
  </si>
  <si>
    <t>Agency Contact:</t>
  </si>
  <si>
    <t>CFO Name:</t>
  </si>
  <si>
    <t>Agency:</t>
  </si>
  <si>
    <t>Agency Contact Title:</t>
  </si>
  <si>
    <t>CFO Title:</t>
  </si>
  <si>
    <t>MMARS Agency Code:</t>
  </si>
  <si>
    <t>Agency Contact Phone:</t>
  </si>
  <si>
    <t>CFO Phone:</t>
  </si>
  <si>
    <t>Original Request Date:</t>
  </si>
  <si>
    <t>Agency Contact Email:</t>
  </si>
  <si>
    <t>CFO Email:</t>
  </si>
  <si>
    <t>CATEGORY I: PASSENGER CAR INPUT</t>
  </si>
  <si>
    <t>Lease or Purchase</t>
  </si>
  <si>
    <t>Unit Code</t>
  </si>
  <si>
    <t>Account / Appropriation Code</t>
  </si>
  <si>
    <t>Fund Code</t>
  </si>
  <si>
    <t>Vehicle Acquisition #</t>
  </si>
  <si>
    <t>Qty</t>
  </si>
  <si>
    <t>Year</t>
  </si>
  <si>
    <t>Make</t>
  </si>
  <si>
    <t>Mfr Code / Body Code</t>
  </si>
  <si>
    <t>Equipment / Package Code</t>
  </si>
  <si>
    <t># Psngrs</t>
  </si>
  <si>
    <t>Engine Type</t>
  </si>
  <si>
    <t>Cylinders</t>
  </si>
  <si>
    <t>Roof Height / Bed Length</t>
  </si>
  <si>
    <t>GVWR - Curb Wt</t>
  </si>
  <si>
    <t>Primary Fuel Type</t>
  </si>
  <si>
    <t>Secondary Fuel Type</t>
  </si>
  <si>
    <t>Comb. MPG</t>
  </si>
  <si>
    <t>Tank Size</t>
  </si>
  <si>
    <t>Dealer / Vendor</t>
  </si>
  <si>
    <t>Base Price</t>
  </si>
  <si>
    <t>Exterior Color</t>
  </si>
  <si>
    <t>Interior Color</t>
  </si>
  <si>
    <t>OEM Option Descriptions</t>
  </si>
  <si>
    <t>OEM Total Option Price</t>
  </si>
  <si>
    <t>Upfit Option Descriptions</t>
  </si>
  <si>
    <t>Upfit Total Option Price</t>
  </si>
  <si>
    <t>Total Per Unit Price</t>
  </si>
  <si>
    <t>Total Price</t>
  </si>
  <si>
    <t>OTHER--</t>
  </si>
  <si>
    <t>CATEGORY II: TRUCK, VAN, SUV INPUT</t>
  </si>
  <si>
    <t>OTHER</t>
  </si>
  <si>
    <t>Total Quantity Requested</t>
  </si>
  <si>
    <t>Total Cost</t>
  </si>
  <si>
    <t>Worksheet Contacts:
For fuel efficiency calculator questions: Chelsea Kehne, chelsea.kehne@mass.gov, (617) 626-7338; 
For vehicle request (purchase) questions: Cheryl Cushman, Cheryl.Cushman@mass.gov, (617) 720-3109; 
For vehicle request (lease) questions: Karen Rasnick, Karen.Rasnick@mass.gov, (617) 720-3196</t>
  </si>
  <si>
    <t>Vehicle Justification</t>
  </si>
  <si>
    <r>
      <t xml:space="preserve">NOTE: </t>
    </r>
    <r>
      <rPr>
        <b/>
        <u/>
        <sz val="11"/>
        <color indexed="8"/>
        <rFont val="Calibri"/>
        <family val="2"/>
      </rPr>
      <t xml:space="preserve">Only one vehicle can be entered in each row. </t>
    </r>
    <r>
      <rPr>
        <sz val="11"/>
        <color theme="1"/>
        <rFont val="Calibri"/>
        <family val="2"/>
        <scheme val="minor"/>
      </rPr>
      <t xml:space="preserve">  </t>
    </r>
    <r>
      <rPr>
        <sz val="11"/>
        <rFont val="Calibri"/>
        <family val="2"/>
      </rPr>
      <t xml:space="preserve">All cells that require user input are highlighted in orange.  </t>
    </r>
  </si>
  <si>
    <t>CATEGORY I: PASSENGER CAR JUSTIFICATION</t>
  </si>
  <si>
    <t>Requested Replacement</t>
  </si>
  <si>
    <t>Replacement Org/Unit Code</t>
  </si>
  <si>
    <t>What Need Does the Unit Serve / What is the Business Application of the Vehicle?
(please enter as much detail as possible)</t>
  </si>
  <si>
    <r>
      <t xml:space="preserve">Will Emergency Equipment be Added
 </t>
    </r>
    <r>
      <rPr>
        <b/>
        <sz val="9"/>
        <color indexed="9"/>
        <rFont val="Calibri"/>
        <family val="2"/>
      </rPr>
      <t>(e.g. lights, sirens, in-vehicles communication devices)?</t>
    </r>
  </si>
  <si>
    <r>
      <t xml:space="preserve">Type of Emergency Equipment 
</t>
    </r>
    <r>
      <rPr>
        <b/>
        <sz val="9"/>
        <color indexed="9"/>
        <rFont val="Calibri"/>
        <family val="2"/>
      </rPr>
      <t>(if lights, include color):</t>
    </r>
  </si>
  <si>
    <t>Vehicle Usage Type</t>
  </si>
  <si>
    <t>Assigned Driver, if Applicable</t>
  </si>
  <si>
    <t>Garage Location</t>
  </si>
  <si>
    <t>Average Expected Mileage per Trip</t>
  </si>
  <si>
    <t>Expected Weekly Trips</t>
  </si>
  <si>
    <t>Expected Annual Mileage</t>
  </si>
  <si>
    <t>If Less Than 15,000 Miles Annually or 80% Weekly Usage, Provide Further Justification for Vehicle</t>
  </si>
  <si>
    <t>`</t>
  </si>
  <si>
    <t>CATEGORY II: TRUCK, VAN, SUV JUSTIFICATION</t>
  </si>
  <si>
    <t>Vehicle Turn-In Information</t>
  </si>
  <si>
    <r>
      <t xml:space="preserve">NOTE: </t>
    </r>
    <r>
      <rPr>
        <b/>
        <u/>
        <sz val="11"/>
        <color indexed="8"/>
        <rFont val="Calibri"/>
        <family val="2"/>
      </rPr>
      <t>The total number of turn-in vehicles should equal (or exceed) the number of new acquisitions requested.</t>
    </r>
    <r>
      <rPr>
        <b/>
        <i/>
        <sz val="11"/>
        <color indexed="8"/>
        <rFont val="Calibri"/>
        <family val="2"/>
      </rPr>
      <t xml:space="preserve">  </t>
    </r>
    <r>
      <rPr>
        <sz val="11"/>
        <color indexed="8"/>
        <rFont val="Calibri"/>
        <family val="2"/>
      </rPr>
      <t>All cells that require user input are highlighted in orange.</t>
    </r>
  </si>
  <si>
    <t>CATEGORY I: PASSENGER CAR TURN-INS</t>
  </si>
  <si>
    <t>Turn-In Plate</t>
  </si>
  <si>
    <t>Turn-In VIN</t>
  </si>
  <si>
    <t>Replacement Has Same Job Function as Turn-In?</t>
  </si>
  <si>
    <t>Current Odometer</t>
  </si>
  <si>
    <t>Avg Annual Mileage</t>
  </si>
  <si>
    <t>Current Location</t>
  </si>
  <si>
    <t>Org/Unit Code</t>
  </si>
  <si>
    <t>General Condition</t>
  </si>
  <si>
    <t>Date to Westboro
(if prior turn-in)</t>
  </si>
  <si>
    <t>Justification
(if prior turn-in)</t>
  </si>
  <si>
    <t>CATEGORY II: TRUCK, VAN, SUV TURN-INS</t>
  </si>
  <si>
    <t>Turn-Ins Required</t>
  </si>
  <si>
    <t>Total Quantity Turned-In</t>
  </si>
  <si>
    <t>Vehicle Upfit Calculations</t>
  </si>
  <si>
    <r>
      <t>This is not a required tab, but may be helpful when acquiring options and upfitting. You may use this space to enter the details of any requested options, packages or upfits for the vehicles listed in the "Vehicle Request" tab, and then enter the totals on the "Vehicle Request" tab, columns AD and AF.</t>
    </r>
    <r>
      <rPr>
        <sz val="11"/>
        <rFont val="Calibri"/>
        <family val="2"/>
      </rPr>
      <t xml:space="preserve">
NOTE:</t>
    </r>
    <r>
      <rPr>
        <b/>
        <i/>
        <sz val="11"/>
        <rFont val="Calibri"/>
        <family val="2"/>
      </rPr>
      <t xml:space="preserve"> </t>
    </r>
    <r>
      <rPr>
        <b/>
        <u/>
        <sz val="11"/>
        <rFont val="Calibri"/>
        <family val="2"/>
      </rPr>
      <t>This information will not automatically populate the "Vehicle Request" tab and will need to be manually entered there.</t>
    </r>
  </si>
  <si>
    <t>For Which Vehicle(s):</t>
  </si>
  <si>
    <t>OEM Option or Package Code &amp;/or Description</t>
  </si>
  <si>
    <t>Vendor</t>
  </si>
  <si>
    <t>MSRP</t>
  </si>
  <si>
    <t>Discount %</t>
  </si>
  <si>
    <t>Quoted Price</t>
  </si>
  <si>
    <t>Totals</t>
  </si>
  <si>
    <t>Upfit Code &amp;/or Description</t>
  </si>
  <si>
    <t>FY2018 Vehicle Request and Fuel Efficiency Calculator</t>
  </si>
  <si>
    <t>Compliance with the Standard</t>
  </si>
  <si>
    <t>Color Key for Result Cells:</t>
  </si>
  <si>
    <t>If input vehicles meet a requirement of the standard, the cell will be highlighted in green.</t>
  </si>
  <si>
    <t>If input vehicles do not meet a requirement of the standard, the cell will be highlighted in red.</t>
  </si>
  <si>
    <t>Standard Requirement 1: Minimum Average Combined MPG</t>
  </si>
  <si>
    <t>Category II: Pickups/SUVs/Vans</t>
  </si>
  <si>
    <t>MPG Differential Range</t>
  </si>
  <si>
    <t>Alternative Compliance Credits</t>
  </si>
  <si>
    <t>**Note: If an agency fails to meet the average MPG requirement in one vehicle category, it can still pass the overall MPG category by surpassing the requirement in the other vehicle category by an amount sufficient to cover the shortfall.</t>
  </si>
  <si>
    <t>Number of Vehicles Acquired</t>
  </si>
  <si>
    <t>-11 to -8</t>
  </si>
  <si>
    <t>Average Combined MPG</t>
  </si>
  <si>
    <t>-8 to -5</t>
  </si>
  <si>
    <t>Avg. Combined MPG with Credits</t>
  </si>
  <si>
    <t>-5 to -2</t>
  </si>
  <si>
    <t>Standard MPG</t>
  </si>
  <si>
    <t>-2 and higher</t>
  </si>
  <si>
    <t>Category I Score</t>
  </si>
  <si>
    <t>Category II Score</t>
  </si>
  <si>
    <t>Overall MPG Standard Score</t>
  </si>
  <si>
    <t>Alt. Compliance Credits Required</t>
  </si>
  <si>
    <t>Alt. Compliance Credits Achieved</t>
  </si>
  <si>
    <t>Total Differential</t>
  </si>
  <si>
    <t>MPG</t>
  </si>
  <si>
    <t>Standard Requirement 2: Minimum Acquistion of AFVs, HEVs, PHEVs and BEVs</t>
  </si>
  <si>
    <t>AFV, Hybrid, EV Acquisition Requirement</t>
  </si>
  <si>
    <t>Total Category I and Category II Vehicles Acquired</t>
  </si>
  <si>
    <r>
      <t xml:space="preserve">AFV, HEV, EV Requirement
</t>
    </r>
    <r>
      <rPr>
        <sz val="10"/>
        <color indexed="9"/>
        <rFont val="Calibri"/>
        <family val="2"/>
      </rPr>
      <t>( 5% of all vehicles acquired must be AFV/HEV)</t>
    </r>
  </si>
  <si>
    <t>Maximum Biodiesel Credits Allowed</t>
  </si>
  <si>
    <t>BEVs/PHEVs Acquired</t>
  </si>
  <si>
    <t>Biodiesel Credits Earned</t>
  </si>
  <si>
    <t>AFVs/Hybrids Acquired</t>
  </si>
  <si>
    <t>Biodiesel Credits Applicable</t>
  </si>
  <si>
    <t>Total AFV, HEV, PHEV, BEV</t>
  </si>
  <si>
    <t>*Biodiesel fuel use may only be used to satisfy up to a maximum of 50% of the AFV/hybrid acquisition requirement</t>
  </si>
  <si>
    <t>Score</t>
  </si>
  <si>
    <r>
      <rPr>
        <b/>
        <sz val="11"/>
        <color indexed="8"/>
        <rFont val="Calibri"/>
        <family val="2"/>
      </rPr>
      <t>Worksheet Contacts:</t>
    </r>
    <r>
      <rPr>
        <sz val="11"/>
        <color theme="1"/>
        <rFont val="Calibri"/>
        <family val="2"/>
        <scheme val="minor"/>
      </rPr>
      <t xml:space="preserve">
For </t>
    </r>
    <r>
      <rPr>
        <u/>
        <sz val="11"/>
        <color indexed="8"/>
        <rFont val="Calibri"/>
        <family val="2"/>
      </rPr>
      <t>fuel efficiency calculator</t>
    </r>
    <r>
      <rPr>
        <sz val="11"/>
        <color theme="1"/>
        <rFont val="Calibri"/>
        <family val="2"/>
        <scheme val="minor"/>
      </rPr>
      <t xml:space="preserve"> questions, please contact </t>
    </r>
    <r>
      <rPr>
        <u/>
        <sz val="11"/>
        <color indexed="8"/>
        <rFont val="Calibri"/>
        <family val="2"/>
      </rPr>
      <t>Jillian DiMedio</t>
    </r>
    <r>
      <rPr>
        <sz val="11"/>
        <color theme="1"/>
        <rFont val="Calibri"/>
        <family val="2"/>
        <scheme val="minor"/>
      </rPr>
      <t xml:space="preserve">, Jillian.DiMedio@state.ma.us, (617) 626-7367; 
For </t>
    </r>
    <r>
      <rPr>
        <u/>
        <sz val="11"/>
        <color indexed="8"/>
        <rFont val="Calibri"/>
        <family val="2"/>
      </rPr>
      <t>vehicle request (purchase)</t>
    </r>
    <r>
      <rPr>
        <sz val="11"/>
        <color theme="1"/>
        <rFont val="Calibri"/>
        <family val="2"/>
        <scheme val="minor"/>
      </rPr>
      <t xml:space="preserve"> questions, please contact </t>
    </r>
    <r>
      <rPr>
        <u/>
        <sz val="11"/>
        <color indexed="8"/>
        <rFont val="Calibri"/>
        <family val="2"/>
      </rPr>
      <t>Cheryl Cushman</t>
    </r>
    <r>
      <rPr>
        <sz val="11"/>
        <color theme="1"/>
        <rFont val="Calibri"/>
        <family val="2"/>
        <scheme val="minor"/>
      </rPr>
      <t xml:space="preserve">, Cheryl.Cushman@state.ma.us, (617) 720-3109; 
For </t>
    </r>
    <r>
      <rPr>
        <u/>
        <sz val="11"/>
        <color indexed="8"/>
        <rFont val="Calibri"/>
        <family val="2"/>
      </rPr>
      <t>vehicle request (lease)</t>
    </r>
    <r>
      <rPr>
        <sz val="11"/>
        <color theme="1"/>
        <rFont val="Calibri"/>
        <family val="2"/>
        <scheme val="minor"/>
      </rPr>
      <t xml:space="preserve"> questions, please contact </t>
    </r>
    <r>
      <rPr>
        <u/>
        <sz val="11"/>
        <color indexed="8"/>
        <rFont val="Calibri"/>
        <family val="2"/>
      </rPr>
      <t>Karen Rasnick</t>
    </r>
    <r>
      <rPr>
        <sz val="11"/>
        <color theme="1"/>
        <rFont val="Calibri"/>
        <family val="2"/>
        <scheme val="minor"/>
      </rPr>
      <t>, Karen.Rasnick@state.ma.us, (617) 720-3196</t>
    </r>
  </si>
  <si>
    <t xml:space="preserve">Fuel Efficiency Standard </t>
  </si>
  <si>
    <t>price gallon gas</t>
  </si>
  <si>
    <t>COMPLIANCE SUMMARY</t>
  </si>
  <si>
    <t>Category II &amp; III: Pickups/SUVs/Vans</t>
  </si>
  <si>
    <t>Vehicles Acquired^</t>
  </si>
  <si>
    <t>Total Vehicles Acquired</t>
  </si>
  <si>
    <t>AFV, HEV, EV Requirement 
(5% of all acquisitions)</t>
  </si>
  <si>
    <t>Category I</t>
  </si>
  <si>
    <t>Category II</t>
  </si>
  <si>
    <t>Overall MPG Standard Score*</t>
  </si>
  <si>
    <t>Total Hybrid Acquired</t>
  </si>
  <si>
    <t>Total Alt. Fuel Acquired</t>
  </si>
  <si>
    <t xml:space="preserve"> ^Total does not include SSV/PPV vehicles</t>
  </si>
  <si>
    <t>Requirement 1 Score</t>
  </si>
  <si>
    <t>Score after Credits Applied</t>
  </si>
  <si>
    <t>Requirement 2 Score</t>
  </si>
  <si>
    <r>
      <t>Credits Available for Future Acquisitions</t>
    </r>
    <r>
      <rPr>
        <b/>
        <vertAlign val="superscript"/>
        <sz val="12"/>
        <color theme="1"/>
        <rFont val="Calibri"/>
        <family val="2"/>
        <scheme val="minor"/>
      </rPr>
      <t>+</t>
    </r>
    <r>
      <rPr>
        <b/>
        <sz val="12"/>
        <color theme="1"/>
        <rFont val="Calibri"/>
        <family val="2"/>
        <scheme val="minor"/>
      </rPr>
      <t>:</t>
    </r>
  </si>
  <si>
    <t>*Note: an agency failing to meet the average MPG requirement in one category can pass the overall MPG requirement by surpassing the average MPG in the other category by an amount sufficient to cover the shortfall.</t>
  </si>
  <si>
    <t>Credits Required:</t>
  </si>
  <si>
    <t>Requirement 1</t>
  </si>
  <si>
    <t>Requirement 2</t>
  </si>
  <si>
    <t xml:space="preserve">Credits Required: </t>
  </si>
  <si>
    <r>
      <t>Prior FY Credits</t>
    </r>
    <r>
      <rPr>
        <vertAlign val="superscript"/>
        <sz val="13"/>
        <color theme="1"/>
        <rFont val="Calibri"/>
        <family val="2"/>
        <scheme val="minor"/>
      </rPr>
      <t>+</t>
    </r>
    <r>
      <rPr>
        <sz val="13"/>
        <color theme="1"/>
        <rFont val="Calibri"/>
        <family val="2"/>
        <scheme val="minor"/>
      </rPr>
      <t>:</t>
    </r>
  </si>
  <si>
    <t>Current FY Credits:</t>
  </si>
  <si>
    <t>Total Credits Achieved</t>
  </si>
  <si>
    <t>Total Credits Achieved:</t>
  </si>
  <si>
    <r>
      <t>+</t>
    </r>
    <r>
      <rPr>
        <sz val="11"/>
        <color theme="1"/>
        <rFont val="Calibri"/>
        <family val="2"/>
        <scheme val="minor"/>
      </rPr>
      <t xml:space="preserve">Excess credits decrease by 50% each year and expire after three years. </t>
    </r>
  </si>
  <si>
    <t>AFV</t>
  </si>
  <si>
    <r>
      <rPr>
        <vertAlign val="superscript"/>
        <sz val="11"/>
        <color theme="1"/>
        <rFont val="Calibri"/>
        <family val="2"/>
        <scheme val="minor"/>
      </rPr>
      <t>+</t>
    </r>
    <r>
      <rPr>
        <sz val="11"/>
        <color theme="1"/>
        <rFont val="Calibri"/>
        <family val="2"/>
        <scheme val="minor"/>
      </rPr>
      <t>Excess credits decrease by 50% each year &amp; expire after 3 years.</t>
    </r>
  </si>
  <si>
    <t>CATEGORY I: PASSENGER CAR SUMMARY</t>
  </si>
  <si>
    <t>Engine + Drive Train</t>
  </si>
  <si>
    <t>Number Requested</t>
  </si>
  <si>
    <t>EPA-Estimated Combined 
MPG or MPGe</t>
  </si>
  <si>
    <t>Estimated Fuel Cost/Year</t>
  </si>
  <si>
    <t>If the vehicle is bi-fuel or diesel, will it use alternative fuel or biodiesel at least 50% of the time?</t>
  </si>
  <si>
    <r>
      <rPr>
        <b/>
        <u/>
        <sz val="11"/>
        <color theme="1"/>
        <rFont val="Calibri"/>
        <family val="2"/>
        <scheme val="minor"/>
      </rPr>
      <t>HOW TO APPLY CREDITS:</t>
    </r>
    <r>
      <rPr>
        <sz val="11"/>
        <color theme="1"/>
        <rFont val="Calibri"/>
        <family val="2"/>
        <scheme val="minor"/>
      </rPr>
      <t xml:space="preserve">
MPG Credits can be applied to future MPG requirements equally
3 MPG credits are required to equal 1 AFV credit
AFV Credits can be applied to future AFV requirements equally
1 AFV credit equals 3 required MPG credits</t>
    </r>
  </si>
  <si>
    <t>MPG + Extra MPG Boost for Dedicated or Bi-Fuel Vehicles</t>
  </si>
  <si>
    <t>MPG Reciprocal</t>
  </si>
  <si>
    <t>Total Estimated Fuel Cost:</t>
  </si>
  <si>
    <t>CATEGORY II &amp; III: TRUCK, VAN, SUV SUMMARY</t>
  </si>
  <si>
    <t>Estimated Fuel Cost Per Year</t>
  </si>
  <si>
    <t>Will this vehicle:</t>
  </si>
  <si>
    <t>1. 
undergo an after-market hybrid conversion?</t>
  </si>
  <si>
    <t>2a. 
 undergo an after-market alternative fuel conversion?</t>
  </si>
  <si>
    <t>2b.
If yes, will the converted AFV be dedicated or bifuel?</t>
  </si>
  <si>
    <t>3. 
If bi-fuel or diesel, will the vehicle use alternative fuel or B20 biodiesel at least 50% of the time?</t>
  </si>
  <si>
    <t>Exemption Justification</t>
  </si>
  <si>
    <t>NOTE: All entries must be separate and dated.  When submitting a new request, do not delete entries from previous requests. 
If there are any questions as to whether your agency qualifies or requires an exemption for the entire Fiscal Year (not just the current quarter), please contact Chelsea Kehne at chelsea.kehne@mass.gov.</t>
  </si>
  <si>
    <t>Fiscal Year:</t>
  </si>
  <si>
    <t>Quarter:</t>
  </si>
  <si>
    <t>Request Number:</t>
  </si>
  <si>
    <t>If this is not the first vehicle request during this fiscal year, enter the compliance details from prior orders here:</t>
  </si>
  <si>
    <t>Total Number of Vehicles Ordered</t>
  </si>
  <si>
    <t>Cat I MPG  Compliance Result</t>
  </si>
  <si>
    <t>Cat II &amp; III MPG Compliance Result</t>
  </si>
  <si>
    <t>AFV Compliance Result</t>
  </si>
  <si>
    <t>Compliance Points Required</t>
  </si>
  <si>
    <t>Compliance Points Achieved</t>
  </si>
  <si>
    <t>Select Yes or No:</t>
  </si>
  <si>
    <t xml:space="preserve">1. Do the vehicles listed for the current request, including any credits earned, meet all the requirements of the standard? </t>
  </si>
  <si>
    <t>If Yes, no further details are required. However, the Green Fleet Committee recommends incorporating fuel efficiency strategies wherever possible.</t>
  </si>
  <si>
    <t>If No, please select the requirements of the standard this request does not meet (check all that apply):</t>
  </si>
  <si>
    <t>The vehicles (Category I and II combined) do not meet the minimum MPG requirement.</t>
  </si>
  <si>
    <t>The vehicles do not not meet the 5% minimum hybrid or alternative fuel requirement.</t>
  </si>
  <si>
    <t>2. Are there changes that were made, or that can be made, to your vehicle acquisition request that will 
    bring your agency closer to compliance with the standard?</t>
  </si>
  <si>
    <t>Select from the drop-down menu:</t>
  </si>
  <si>
    <t>3. Please provide justification for why the requested, non-compliant, vehicles are necessary to meet the operational needs of your agency.
    Please also provide a narrative on any changes that were already made to meet the standard:</t>
  </si>
  <si>
    <t>e.g.</t>
  </si>
  <si>
    <r>
      <rPr>
        <b/>
        <i/>
        <sz val="11"/>
        <color theme="5" tint="-0.249977111117893"/>
        <rFont val="Calibri"/>
        <family val="2"/>
      </rPr>
      <t>SAMPLE TEXT</t>
    </r>
    <r>
      <rPr>
        <i/>
        <sz val="11"/>
        <color theme="5" tint="-0.249977111117893"/>
        <rFont val="Calibri"/>
        <family val="2"/>
      </rPr>
      <t xml:space="preserve">
Agency XYZ needs two additional cargo vans because we are expanding transport programs.  We do not need any additional vehicles at this time.</t>
    </r>
    <r>
      <rPr>
        <i/>
        <sz val="6"/>
        <color theme="5" tint="-0.249977111117893"/>
        <rFont val="Calibri"/>
        <family val="2"/>
      </rPr>
      <t xml:space="preserve">
</t>
    </r>
    <r>
      <rPr>
        <i/>
        <sz val="11"/>
        <color theme="5" tint="-0.249977111117893"/>
        <rFont val="Calibri"/>
        <family val="2"/>
      </rPr>
      <t>Agency XYZ cannot swap out any vehicles listed in this acquisition request because they are needed to meet the operational needs of the agency.  The F-250s will be used at sites around the state for hauling and towing maintenance equipment.  4WD is required because the vehicles are often used off road and need to be able to operate reliably in inclement weather.  However, idle managment technology has been added.</t>
    </r>
  </si>
  <si>
    <t>If additional Vehicle Requests are anticipated in the current Fiscal Year (if no, skip to next question):</t>
  </si>
  <si>
    <t xml:space="preserve">4. Please describe what acquisitions are planned in future quarters that will help your agency be in compliance with the FES for this fiscal year: </t>
  </si>
  <si>
    <r>
      <rPr>
        <b/>
        <i/>
        <sz val="11"/>
        <color theme="5" tint="-0.249977111117893"/>
        <rFont val="Calibri"/>
        <family val="2"/>
      </rPr>
      <t>SAMPLE TEXT:</t>
    </r>
    <r>
      <rPr>
        <i/>
        <sz val="11"/>
        <color theme="5" tint="-0.249977111117893"/>
        <rFont val="Calibri"/>
        <family val="2"/>
      </rPr>
      <t xml:space="preserve"> 
Agency XYZ plans to acquire an additional 5 passenger cars in Q4 of FY18.
Agency XYZ plans to acquire an additional 2 SUVs and 5 passenger cars in Q4 of FY18, all of which will be hybrid vehicles.  </t>
    </r>
  </si>
  <si>
    <t xml:space="preserve">If this is the final vehicle request for the current Fiscal Year: </t>
  </si>
  <si>
    <t>5a. Are you requesting an exemption from Standard Compliance for the current fiscal year?</t>
  </si>
  <si>
    <r>
      <t xml:space="preserve">5b. If yes, please refer to the "Alternative Compliance" tab to select chosen strategies for your agency's Alternative Compliance Plan (ACP).  </t>
    </r>
    <r>
      <rPr>
        <b/>
        <sz val="11"/>
        <color theme="1"/>
        <rFont val="Calibri"/>
        <family val="2"/>
        <scheme val="minor"/>
      </rPr>
      <t>NOTE: the 
        number of points earned must equal or exceed the number assigned on the "Scoring" tab.</t>
    </r>
    <r>
      <rPr>
        <sz val="11"/>
        <color theme="1"/>
        <rFont val="Calibri"/>
        <family val="2"/>
        <scheme val="minor"/>
      </rPr>
      <t xml:space="preserve">  </t>
    </r>
  </si>
  <si>
    <t>In addition, in the space below, please provide some specificity regarding the initiatives chosen for the ACP (e.g. estimated target/completion date, audience, who will implement and how often, etc.)</t>
  </si>
  <si>
    <r>
      <rPr>
        <b/>
        <i/>
        <sz val="11"/>
        <color theme="5" tint="-0.249977111117893"/>
        <rFont val="Calibri"/>
        <family val="2"/>
        <scheme val="minor"/>
      </rPr>
      <t xml:space="preserve">SAMPLE TEXT: 
</t>
    </r>
    <r>
      <rPr>
        <i/>
        <sz val="11"/>
        <color theme="5" tint="-0.249977111117893"/>
        <rFont val="Calibri"/>
        <family val="2"/>
        <scheme val="minor"/>
      </rPr>
      <t xml:space="preserve">Agency XYZ will be implementing driver training bi-annually beginning this summer to educate our seasonal staff on maximizing fuel efficiency through proper driver behavior.  Agency XYZ will also be purchasing idle reduction technologies from VEH102 for 12 heavy duty trucks in our fleet.  </t>
    </r>
  </si>
  <si>
    <t>Alternative Compliance - Earning Points</t>
  </si>
  <si>
    <r>
      <t xml:space="preserve">Note: </t>
    </r>
    <r>
      <rPr>
        <b/>
        <sz val="11"/>
        <color theme="1"/>
        <rFont val="Calibri"/>
        <family val="2"/>
        <scheme val="minor"/>
      </rPr>
      <t>The Green Fleet Committee may ask for additional information to verify the information entered on this spreadsheet and ensure the goals of the Standard are met.</t>
    </r>
    <r>
      <rPr>
        <sz val="11"/>
        <color theme="1"/>
        <rFont val="Calibri"/>
        <family val="2"/>
        <scheme val="minor"/>
      </rPr>
      <t xml:space="preserve">  This list of eligible alternative compliance technologies and strategies may be updated at any time to reflect evolving technologies and strategies for increasing fleet fuel efficiency or decreasing petroleum consumption.  </t>
    </r>
  </si>
  <si>
    <t>CREDIT SUMMARY</t>
  </si>
  <si>
    <t>Credits Earned</t>
  </si>
  <si>
    <t>Credits Required</t>
  </si>
  <si>
    <t xml:space="preserve">MPG Requirement </t>
  </si>
  <si>
    <t>AFV/EV Requirement</t>
  </si>
  <si>
    <t>COMPLIANCE PLAN</t>
  </si>
  <si>
    <t>Alternative Fuel Consumption &amp; Strategies</t>
  </si>
  <si>
    <r>
      <t>Alternative fuels are derived from sources other than petroleum. The alternative fuels eligible for use under the Fuel Efficiency Standard "burn" cleaner than gasoline or diesel, resulting in less tailpipe pollution and fewer GHG emissions.  In addition, because most are produced domestically, using alternative fuels helps to reduce our dependence on imported oil.</t>
    </r>
    <r>
      <rPr>
        <sz val="6"/>
        <color theme="1"/>
        <rFont val="Calibri"/>
        <family val="2"/>
        <scheme val="minor"/>
      </rPr>
      <t xml:space="preserve">
</t>
    </r>
    <r>
      <rPr>
        <b/>
        <u/>
        <sz val="11"/>
        <color theme="1"/>
        <rFont val="Calibri"/>
        <family val="2"/>
        <scheme val="minor"/>
      </rPr>
      <t>Resources:</t>
    </r>
    <r>
      <rPr>
        <sz val="11"/>
        <color theme="1"/>
        <rFont val="Calibri"/>
        <family val="2"/>
        <scheme val="minor"/>
      </rPr>
      <t xml:space="preserve">
http://www.afdc.energy.gov/fuels/
https://www.fueleconomy.gov/feg/current.shtml
http://www.afdc.energy.gov/fuels/biodiesel.html
https://www.afdc.energy.gov/fuels/electricity_infrastructure.html</t>
    </r>
  </si>
  <si>
    <t>HOW DOES AN AGENCY EARN CREDITS WITH THIS INITIATIVE?</t>
  </si>
  <si>
    <r>
      <t xml:space="preserve">Agencies can earn credits under this category in one of three ways: 
1) commit to </t>
    </r>
    <r>
      <rPr>
        <b/>
        <u/>
        <sz val="11"/>
        <color theme="1"/>
        <rFont val="Calibri"/>
        <family val="2"/>
        <scheme val="minor"/>
      </rPr>
      <t>increased use of alternative fuels in their existing fleet</t>
    </r>
    <r>
      <rPr>
        <sz val="11"/>
        <color theme="1"/>
        <rFont val="Calibri"/>
        <family val="2"/>
        <scheme val="minor"/>
      </rPr>
      <t xml:space="preserve"> during the upcoming fiscal year (at least 450 gallons)
2) demonstrate </t>
    </r>
    <r>
      <rPr>
        <b/>
        <u/>
        <sz val="11"/>
        <color theme="1"/>
        <rFont val="Calibri"/>
        <family val="2"/>
        <scheme val="minor"/>
      </rPr>
      <t>biodiesel purchased in the last fiscal year</t>
    </r>
    <r>
      <rPr>
        <sz val="11"/>
        <color theme="1"/>
        <rFont val="Calibri"/>
        <family val="2"/>
        <scheme val="minor"/>
      </rPr>
      <t xml:space="preserve"> for any light, medium or heavy duty fleet vehicles (at least 450 gallons </t>
    </r>
    <r>
      <rPr>
        <u/>
        <sz val="11"/>
        <color theme="1"/>
        <rFont val="Calibri"/>
        <family val="2"/>
        <scheme val="minor"/>
      </rPr>
      <t>of B100 equivalent</t>
    </r>
    <r>
      <rPr>
        <sz val="11"/>
        <color theme="1"/>
        <rFont val="Calibri"/>
        <family val="2"/>
        <scheme val="minor"/>
      </rPr>
      <t xml:space="preserve">)
3) install a </t>
    </r>
    <r>
      <rPr>
        <b/>
        <u/>
        <sz val="11"/>
        <color theme="1"/>
        <rFont val="Calibri"/>
        <family val="2"/>
        <scheme val="minor"/>
      </rPr>
      <t>Level II charging station</t>
    </r>
    <r>
      <rPr>
        <sz val="11"/>
        <color theme="1"/>
        <rFont val="Calibri"/>
        <family val="2"/>
        <scheme val="minor"/>
      </rPr>
      <t xml:space="preserve"> (or above) at a facility location</t>
    </r>
    <r>
      <rPr>
        <sz val="6"/>
        <color theme="1"/>
        <rFont val="Calibri"/>
        <family val="2"/>
        <scheme val="minor"/>
      </rPr>
      <t xml:space="preserve">
</t>
    </r>
    <r>
      <rPr>
        <sz val="11"/>
        <color theme="1"/>
        <rFont val="Calibri"/>
        <family val="2"/>
        <scheme val="minor"/>
      </rPr>
      <t>NOTE: Credits earned through any of these initiatives can be applied to meet either the MPG Requirement or the AFV/EV Requirement of the Fuel Efficiency Standard.  The number of credits earned depends on how agency choose to apply these credits:</t>
    </r>
    <r>
      <rPr>
        <sz val="6"/>
        <color theme="1"/>
        <rFont val="Calibri"/>
        <family val="2"/>
        <scheme val="minor"/>
      </rPr>
      <t xml:space="preserve">
</t>
    </r>
    <r>
      <rPr>
        <sz val="11"/>
        <color theme="1"/>
        <rFont val="Calibri"/>
        <family val="2"/>
        <scheme val="minor"/>
      </rPr>
      <t>For credits applied to the MPG Requirement:  Credits vary based on initiative selected.
For credits applied to the AFV/EV Requirement: Each initiative completed is credited as the acquisition of one Alternative Fuel Vehicle.</t>
    </r>
  </si>
  <si>
    <t>Strategy</t>
  </si>
  <si>
    <t>Select Yes or No</t>
  </si>
  <si>
    <t>Quantity (gallons or stations)</t>
  </si>
  <si>
    <t>Number</t>
  </si>
  <si>
    <t>Fuels (List All):</t>
  </si>
  <si>
    <t>Where would you like to apply the credit(s)?</t>
  </si>
  <si>
    <t>Credits</t>
  </si>
  <si>
    <r>
      <t xml:space="preserve">Agree to increase use of alternative fuels in existing fleet vehicles
 (CNG, propane, E-85, hydrogen)*
</t>
    </r>
    <r>
      <rPr>
        <b/>
        <sz val="11"/>
        <color theme="1"/>
        <rFont val="Calibri"/>
        <family val="2"/>
        <scheme val="minor"/>
      </rPr>
      <t>*must use at least 450 gallons/year</t>
    </r>
  </si>
  <si>
    <t>Install dual-head Level II Charger (or above) at facility location</t>
  </si>
  <si>
    <r>
      <t xml:space="preserve">Agree to increased use of biodiesel or higher biodiesel blends in existing fleet vehicles*
</t>
    </r>
    <r>
      <rPr>
        <b/>
        <sz val="11"/>
        <color theme="1"/>
        <rFont val="Calibri"/>
        <family val="2"/>
        <scheme val="minor"/>
      </rPr>
      <t>*B15 blends are the minimum eligible for credits; must use at least 450 gallons/year</t>
    </r>
  </si>
  <si>
    <t>Quantity
(gallons)</t>
  </si>
  <si>
    <t>Blend</t>
  </si>
  <si>
    <t>B100 Equivalent (gallons)</t>
  </si>
  <si>
    <r>
      <t xml:space="preserve">Agency has purchased biodiesel or biodiesel blends in the last fiscal year for use in light, medium or heavy duty fleets 
</t>
    </r>
    <r>
      <rPr>
        <b/>
        <sz val="11"/>
        <color theme="1"/>
        <rFont val="Calibri"/>
        <family val="2"/>
        <scheme val="minor"/>
      </rPr>
      <t>(note: this strategy may only be used once for credit)</t>
    </r>
  </si>
  <si>
    <t>MPG Requirement Credits Earned</t>
  </si>
  <si>
    <t>AFV/EV Requirement Credits Earned</t>
  </si>
  <si>
    <t>After-Market Conversions of Existing Vehicles</t>
  </si>
  <si>
    <r>
      <t>An after-market conversion modifies a vehicle or engine to operate using a different fuel or power source that that which it was originally designed for.  Many conventional vehicles can be converted to run on fuels like electricity, propane or natural gas, helping to reduce petroleum consumption and GHG emissions and often significantly increasing the fuel efficiency of the vehicle.</t>
    </r>
    <r>
      <rPr>
        <sz val="6"/>
        <color theme="1"/>
        <rFont val="Calibri"/>
        <family val="2"/>
        <scheme val="minor"/>
      </rPr>
      <t xml:space="preserve">
</t>
    </r>
    <r>
      <rPr>
        <b/>
        <sz val="11"/>
        <color theme="1"/>
        <rFont val="Calibri"/>
        <family val="2"/>
        <scheme val="minor"/>
      </rPr>
      <t xml:space="preserve">Resources:
</t>
    </r>
    <r>
      <rPr>
        <sz val="11"/>
        <color theme="1"/>
        <rFont val="Calibri"/>
        <family val="2"/>
        <scheme val="minor"/>
      </rPr>
      <t>https://www.afdc.energy.gov/vehicles/conversions.html</t>
    </r>
    <r>
      <rPr>
        <b/>
        <sz val="11"/>
        <color theme="1"/>
        <rFont val="Calibri"/>
        <family val="2"/>
        <scheme val="minor"/>
      </rPr>
      <t xml:space="preserve">
</t>
    </r>
    <r>
      <rPr>
        <sz val="11"/>
        <color theme="1"/>
        <rFont val="Calibri"/>
        <family val="2"/>
        <scheme val="minor"/>
      </rPr>
      <t>VEH102 User Guide: http://www.mass.gov/anf/docs/osd/uguide/veh102designateddoer.pdf</t>
    </r>
  </si>
  <si>
    <r>
      <t xml:space="preserve">Agencies can earn credits through the after-market </t>
    </r>
    <r>
      <rPr>
        <b/>
        <u/>
        <sz val="11"/>
        <color theme="1"/>
        <rFont val="Calibri"/>
        <family val="2"/>
        <scheme val="minor"/>
      </rPr>
      <t>hybrid</t>
    </r>
    <r>
      <rPr>
        <sz val="11"/>
        <color theme="1"/>
        <rFont val="Calibri"/>
        <family val="2"/>
        <scheme val="minor"/>
      </rPr>
      <t xml:space="preserve">, </t>
    </r>
    <r>
      <rPr>
        <b/>
        <u/>
        <sz val="11"/>
        <color theme="1"/>
        <rFont val="Calibri"/>
        <family val="2"/>
        <scheme val="minor"/>
      </rPr>
      <t>plug-in hybrid electric</t>
    </r>
    <r>
      <rPr>
        <sz val="11"/>
        <color theme="1"/>
        <rFont val="Calibri"/>
        <family val="2"/>
        <scheme val="minor"/>
      </rPr>
      <t xml:space="preserve"> or </t>
    </r>
    <r>
      <rPr>
        <b/>
        <u/>
        <sz val="11"/>
        <color theme="1"/>
        <rFont val="Calibri"/>
        <family val="2"/>
        <scheme val="minor"/>
      </rPr>
      <t>alternative fuel</t>
    </r>
    <r>
      <rPr>
        <sz val="11"/>
        <color theme="1"/>
        <rFont val="Calibri"/>
        <family val="2"/>
        <scheme val="minor"/>
      </rPr>
      <t xml:space="preserve"> conversion of existing vehicles.</t>
    </r>
    <r>
      <rPr>
        <sz val="6"/>
        <color theme="1"/>
        <rFont val="Calibri"/>
        <family val="2"/>
        <scheme val="minor"/>
      </rPr>
      <t xml:space="preserve">
</t>
    </r>
    <r>
      <rPr>
        <sz val="11"/>
        <color theme="1"/>
        <rFont val="Calibri"/>
        <family val="2"/>
        <scheme val="minor"/>
      </rPr>
      <t>NOTE: Credits earned through any of these initiatives can be applied to meet either the MPG Requirement or the AFV/EV Requirement of the Fuel Efficiency Standard.  The number of credits earned depends on how agency choose to apply these credits:</t>
    </r>
    <r>
      <rPr>
        <sz val="6"/>
        <color theme="1"/>
        <rFont val="Calibri"/>
        <family val="2"/>
        <scheme val="minor"/>
      </rPr>
      <t xml:space="preserve">
</t>
    </r>
    <r>
      <rPr>
        <sz val="11"/>
        <color theme="1"/>
        <rFont val="Calibri"/>
        <family val="2"/>
        <scheme val="minor"/>
      </rPr>
      <t xml:space="preserve">For credits applied to the MPG Requirement:  Credits vary based on initiative selected (5-10).
For credits applied to the AFV/EV Requirement: Each conversion completed is credited as the acquisition of one Alternative Fuel Vehicle.  </t>
    </r>
  </si>
  <si>
    <t>Vehicle Type</t>
  </si>
  <si>
    <t>Conversion</t>
  </si>
  <si>
    <t>Dedicated or Bi-Fuel?*</t>
  </si>
  <si>
    <t>*bi-fuel vehicles must utilize at least 50% alternative fuel to be eligible for credit</t>
  </si>
  <si>
    <t>Fleet Right-Sizing</t>
  </si>
  <si>
    <r>
      <t>Fleet rightsizing refers to striking the optimal balance between fleet composition and operational requirements such that each asset within a fleet is not only fully utilized but the right size and type for the job.  Right Sizing is a management practice that can help vehicle fleet managers build and maintain sustainable, fuel-efficient fleets. Fleet inventories often grow over time to include vehicles that are highly specialized, rarely used, or unsuitable for current applications. By optimizing fleet size and composition, managers can minimize vehicle use, conserve fuel, reduce emissions, and save money on fuel and maintenance.</t>
    </r>
    <r>
      <rPr>
        <sz val="6"/>
        <color theme="1"/>
        <rFont val="Calibri"/>
        <family val="2"/>
        <scheme val="minor"/>
      </rPr>
      <t xml:space="preserve">
</t>
    </r>
    <r>
      <rPr>
        <b/>
        <sz val="11"/>
        <color theme="1"/>
        <rFont val="Calibri"/>
        <family val="2"/>
        <scheme val="minor"/>
      </rPr>
      <t xml:space="preserve">Resources:
</t>
    </r>
    <r>
      <rPr>
        <sz val="11"/>
        <color theme="1"/>
        <rFont val="Calibri"/>
        <family val="2"/>
        <scheme val="minor"/>
      </rPr>
      <t>https://www.afdc.energy.gov/conserve/rightsizing.html
http://www.toolkit.bc.ca/tool/fuel-efficient-vehicle-purchasing-strategies
http://www.worktruckonline.com/blog/market-trends/story/2011/10/right-sizing-is-an-easy-way-to-green-your-fleet.aspx</t>
    </r>
  </si>
  <si>
    <r>
      <t xml:space="preserve">Agencies can earn credits by:
1) </t>
    </r>
    <r>
      <rPr>
        <b/>
        <u/>
        <sz val="11"/>
        <color theme="1"/>
        <rFont val="Calibri"/>
        <family val="2"/>
        <scheme val="minor"/>
      </rPr>
      <t>retiring an existing fleet vehicle without replacement</t>
    </r>
    <r>
      <rPr>
        <sz val="11"/>
        <color theme="1"/>
        <rFont val="Calibri"/>
        <family val="2"/>
        <scheme val="minor"/>
      </rPr>
      <t xml:space="preserve"> in current or future fiscal years, thereby reducing the size of the agency's overall fleet.  Though not covered by this standard, you may earn credits for the retirement of medium or heavy duty vehicles recently in use as well.  (Heavy and medium duty vehicles that were not in use before being retired do not count towards credits under this Standard).
2) </t>
    </r>
    <r>
      <rPr>
        <b/>
        <u/>
        <sz val="11"/>
        <color theme="1"/>
        <rFont val="Calibri"/>
        <family val="2"/>
        <scheme val="minor"/>
      </rPr>
      <t>retiring an existing fleet vehicle and replacing it with a smaller, more fuel efficient vehicle</t>
    </r>
    <r>
      <rPr>
        <sz val="11"/>
        <color theme="1"/>
        <rFont val="Calibri"/>
        <family val="2"/>
        <scheme val="minor"/>
      </rPr>
      <t>.</t>
    </r>
    <r>
      <rPr>
        <sz val="6"/>
        <color theme="1"/>
        <rFont val="Calibri"/>
        <family val="2"/>
        <scheme val="minor"/>
      </rPr>
      <t xml:space="preserve">
</t>
    </r>
    <r>
      <rPr>
        <sz val="11"/>
        <color theme="1"/>
        <rFont val="Calibri"/>
        <family val="2"/>
        <scheme val="minor"/>
      </rPr>
      <t xml:space="preserve">NOTE: Credits earned through this initiative can only be applied to meet the MPG Requirement of the Standard.  </t>
    </r>
    <r>
      <rPr>
        <sz val="11"/>
        <rFont val="Calibri"/>
        <family val="2"/>
        <scheme val="minor"/>
      </rPr>
      <t>The number of credits earned depends on the size of the vehicle retired and/or the size of the replacement vehicle (1-4).</t>
    </r>
  </si>
  <si>
    <t>Retirement of Existing Fleet Vehicles Without Replacement</t>
  </si>
  <si>
    <t>Total Vehicles Retired</t>
  </si>
  <si>
    <r>
      <t xml:space="preserve">Vehicle Make and Model
</t>
    </r>
    <r>
      <rPr>
        <sz val="10"/>
        <color theme="0"/>
        <rFont val="Calibri"/>
        <family val="2"/>
        <scheme val="minor"/>
      </rPr>
      <t xml:space="preserve"> (incl. engine and drive train if known)</t>
    </r>
  </si>
  <si>
    <t>Age 
(in years)</t>
  </si>
  <si>
    <t>Vehicle Size</t>
  </si>
  <si>
    <t>Reduction in Category II Vehicle Size When Replacing for Same Job Application</t>
  </si>
  <si>
    <t>Total Vehicles Down-sized</t>
  </si>
  <si>
    <r>
      <t xml:space="preserve">Make/Model of Vehicle Being Replaced* </t>
    </r>
    <r>
      <rPr>
        <sz val="10"/>
        <color theme="0"/>
        <rFont val="Calibri"/>
        <family val="2"/>
        <scheme val="minor"/>
      </rPr>
      <t>(incl. engine &amp; drive train if known)</t>
    </r>
  </si>
  <si>
    <r>
      <t xml:space="preserve">Make/Model of Replacement Vehicle </t>
    </r>
    <r>
      <rPr>
        <sz val="10"/>
        <color theme="0"/>
        <rFont val="Calibri"/>
        <family val="2"/>
        <scheme val="minor"/>
      </rPr>
      <t>(incl. engine &amp; drive train if known)</t>
    </r>
  </si>
  <si>
    <t>Replacement Vehicle Size</t>
  </si>
  <si>
    <t>*must be a Category II vehicle to earn credits (truck, van or SUV)</t>
  </si>
  <si>
    <t>Vehicle Parts and Equipment to Conserve Fuel</t>
  </si>
  <si>
    <r>
      <t>There are many technologies available that, when added to existing vehicles, can help save fuel, reduce emissions, and save money.</t>
    </r>
    <r>
      <rPr>
        <sz val="6"/>
        <color theme="1"/>
        <rFont val="Calibri"/>
        <family val="2"/>
        <scheme val="minor"/>
      </rPr>
      <t xml:space="preserve">
</t>
    </r>
    <r>
      <rPr>
        <b/>
        <sz val="11"/>
        <color theme="1"/>
        <rFont val="Calibri"/>
        <family val="2"/>
        <scheme val="minor"/>
      </rPr>
      <t xml:space="preserve">Resources:
</t>
    </r>
    <r>
      <rPr>
        <sz val="11"/>
        <color theme="1"/>
        <rFont val="Calibri"/>
        <family val="2"/>
        <scheme val="minor"/>
      </rPr>
      <t>http://www.afdc.energy.gov/conserve/idle_reduction_light.html
http://www.afdc.energy.gov/conserve/equipment.html
https://www.epa.gov/verified-diesel-tech</t>
    </r>
  </si>
  <si>
    <r>
      <t>Agencies can earn credits through investing in vehicle parts or equipment that conserves fuel.</t>
    </r>
    <r>
      <rPr>
        <sz val="6"/>
        <color theme="1"/>
        <rFont val="Calibri"/>
        <family val="2"/>
        <scheme val="minor"/>
      </rPr>
      <t xml:space="preserve">
</t>
    </r>
    <r>
      <rPr>
        <sz val="11"/>
        <color theme="1"/>
        <rFont val="Calibri"/>
        <family val="2"/>
        <scheme val="minor"/>
      </rPr>
      <t>NOTE: Credits earned through this initiative can only be applied to meet the MPG Requirement of the Standard.  The number of credits earned depends on the type of techology and the number purchased or, in the case of vehicle parts, the percentage of the fleet in which the technology is implemented.</t>
    </r>
  </si>
  <si>
    <t>Fuel Conservation Equipment</t>
  </si>
  <si>
    <t>Idle Reduction Technologies</t>
  </si>
  <si>
    <t xml:space="preserve">Credits  </t>
  </si>
  <si>
    <t>Engine Idle Management Systems (10 min. or less)</t>
  </si>
  <si>
    <t>Heaters for cab and/or engine block</t>
  </si>
  <si>
    <t>Auxiliary Power Units (APUs) or automatic power management system</t>
  </si>
  <si>
    <t>Waste heat recovery systems</t>
  </si>
  <si>
    <t>Other? Please list:</t>
  </si>
  <si>
    <t>TBD</t>
  </si>
  <si>
    <t>Vehicle Parts to Conserve Fuel (pts. Awarded based on percentage of fleet utlizing each technology)</t>
  </si>
  <si>
    <t>% of Fleet Utilizing</t>
  </si>
  <si>
    <t>Low rolling resistance tires</t>
  </si>
  <si>
    <t>Aerodynamic Equipment</t>
  </si>
  <si>
    <t>Synthetic Oils (% of fleet that uses synthetics)</t>
  </si>
  <si>
    <t>Tracking devices connected to fuel consumption</t>
  </si>
  <si>
    <t>Speed control modules</t>
  </si>
  <si>
    <t>Agency-wide Strategies to Reduce Fuel Consumption</t>
  </si>
  <si>
    <r>
      <t>Additional strategies and best practices exist around driver behavior, teleconferencing, and vehicle maintenance that, when adopted, have to potential for significant fuel savings.</t>
    </r>
    <r>
      <rPr>
        <sz val="6"/>
        <color theme="1"/>
        <rFont val="Calibri"/>
        <family val="2"/>
        <scheme val="minor"/>
      </rPr>
      <t xml:space="preserve">
</t>
    </r>
    <r>
      <rPr>
        <b/>
        <sz val="11"/>
        <color theme="1"/>
        <rFont val="Calibri"/>
        <family val="2"/>
        <scheme val="minor"/>
      </rPr>
      <t>Resources:</t>
    </r>
    <r>
      <rPr>
        <sz val="11"/>
        <color theme="1"/>
        <rFont val="Calibri"/>
        <family val="2"/>
        <scheme val="minor"/>
      </rPr>
      <t xml:space="preserve">
for efficienct trip planning - http://www.fueleconomy.gov/feg/planning.shtml 
for driver tips - www.afdc.energy.gov/conserve/behavior_techniques.html 
for weather-related fuel efficiency - http://www.fueleconomy.gov/feg/coldweather.shtml, http://www.fueleconomy.gov/feg/hotweather.shtml</t>
    </r>
  </si>
  <si>
    <r>
      <t>Agencies earn credits through the implementation of policies or strategies designed to reduce conventional fuel consumption.  After implementation, agencies can only earn credits for additional promotion of, or updates to, these policies or strategies.</t>
    </r>
    <r>
      <rPr>
        <sz val="6"/>
        <color theme="1"/>
        <rFont val="Calibri"/>
        <family val="2"/>
        <scheme val="minor"/>
      </rPr>
      <t xml:space="preserve">
</t>
    </r>
    <r>
      <rPr>
        <sz val="11"/>
        <color theme="1"/>
        <rFont val="Calibri"/>
        <family val="2"/>
        <scheme val="minor"/>
      </rPr>
      <t xml:space="preserve">NOTE: Credits earned through this initiative can only be applied to meet the MPG Requirement of the Standard.  The number of credits earned depends on the type and number of policies/strategies implemented.  </t>
    </r>
  </si>
  <si>
    <t>Fuel Reduction Strategies*</t>
  </si>
  <si>
    <t>Policies</t>
  </si>
  <si>
    <r>
      <t xml:space="preserve">Adopt an idle reduction policy and distribute to agency drivers*
</t>
    </r>
    <r>
      <rPr>
        <b/>
        <sz val="11"/>
        <color theme="1"/>
        <rFont val="Calibri"/>
        <family val="2"/>
        <scheme val="minor"/>
      </rPr>
      <t>(*note: this strategy can only be used once)</t>
    </r>
  </si>
  <si>
    <t xml:space="preserve">Post signs encouraging efficient driving behaviors (e.g. no idling, follow speed limit, etc)  </t>
  </si>
  <si>
    <t>Ask ALL drivers to sign pledge to reduce idling</t>
  </si>
  <si>
    <t>Encourage more efficient trip planning for staff utilizing Agency fleet vehicles</t>
  </si>
  <si>
    <t>Adopt a policy that drivers must utilize most fuel efficient vehicle available that meets needs</t>
  </si>
  <si>
    <t>Adopt policy to consider first teleconferencing or public transportation for off-site meetings</t>
  </si>
  <si>
    <t>Driver/Staff Training</t>
  </si>
  <si>
    <t>Enter % of Agency Drivers Trained</t>
  </si>
  <si>
    <t>Host idle reduction workshop for Agency drivers</t>
  </si>
  <si>
    <t>Host idle reduction workshop open to all Executive Branch fleet managers and/or drivers</t>
  </si>
  <si>
    <t>Driving training to encourage more fuel-efficient driver behavior</t>
  </si>
  <si>
    <t>Implement and/or share cold &amp; hot weather fuel efficiency tips with drivers and employees</t>
  </si>
  <si>
    <t>*Note: for the strategies and techniques listed in this section, OVM will follow-up for more information on how strategies were implemented</t>
  </si>
  <si>
    <t>Other</t>
  </si>
  <si>
    <t xml:space="preserve">There may be additional creative and strategic ways your agency is reducing fuel consumption and/or fleet vehicle use that are not included in this worksheet.  Please provide information below.  Credits will be determined by the Green Fleet Committee on a case by case basis.  
</t>
  </si>
  <si>
    <t>OEM List</t>
  </si>
  <si>
    <t>Chevrolet List</t>
  </si>
  <si>
    <t>Ford List</t>
  </si>
  <si>
    <t>Honda List</t>
  </si>
  <si>
    <t>Nissan List</t>
  </si>
  <si>
    <t>Hyundai List</t>
  </si>
  <si>
    <t>Toyota List</t>
  </si>
  <si>
    <t xml:space="preserve">Focus </t>
  </si>
  <si>
    <t>Civic</t>
  </si>
  <si>
    <t>Spark Electric</t>
  </si>
  <si>
    <t>Focus Electric</t>
  </si>
  <si>
    <t>CivicHF</t>
  </si>
  <si>
    <t>Sonata Hybrid</t>
  </si>
  <si>
    <t>CMax Hybrid</t>
  </si>
  <si>
    <t>Leaf Electric</t>
  </si>
  <si>
    <t>Sonata Plug In</t>
  </si>
  <si>
    <t>CMax Energi</t>
  </si>
  <si>
    <t>Accord Hybrid</t>
  </si>
  <si>
    <t>Fusion Hybrid</t>
  </si>
  <si>
    <t>Fusion Energi</t>
  </si>
  <si>
    <t>ChevroletSpark</t>
  </si>
  <si>
    <t>ChevroletSparkElectric</t>
  </si>
  <si>
    <t>ChevroletCruze</t>
  </si>
  <si>
    <t>ChevroletVolt</t>
  </si>
  <si>
    <t>ChevroletMalibu</t>
  </si>
  <si>
    <t>ChevroletImpala</t>
  </si>
  <si>
    <t>1.2L var. gear ratio FWD</t>
  </si>
  <si>
    <t>Eco 1.4L FWD</t>
  </si>
  <si>
    <t>1.4L FWD</t>
  </si>
  <si>
    <t>2.5L FWD</t>
  </si>
  <si>
    <t>FordFocus</t>
  </si>
  <si>
    <t>FordFocusElectric</t>
  </si>
  <si>
    <t>FordCMaxHybrid</t>
  </si>
  <si>
    <t>FordCMaxEnergi</t>
  </si>
  <si>
    <t>FordFusion</t>
  </si>
  <si>
    <t>FordFusionHybrid</t>
  </si>
  <si>
    <t>FordFusionEnergi</t>
  </si>
  <si>
    <t>FordTaurus</t>
  </si>
  <si>
    <t>2.0L FWD E-85</t>
  </si>
  <si>
    <t>Electric FWD</t>
  </si>
  <si>
    <t>Hybrid 2.0L FWD</t>
  </si>
  <si>
    <t>Energi Plug-in 2.0L FWD</t>
  </si>
  <si>
    <t>1.5L w/start-stop FWD</t>
  </si>
  <si>
    <t>2.0L Eco FWD</t>
  </si>
  <si>
    <t>2.0L AWD</t>
  </si>
  <si>
    <t>3.0L AWD E-85</t>
  </si>
  <si>
    <t>HondaCivic</t>
  </si>
  <si>
    <t>HondaCivicHF</t>
  </si>
  <si>
    <t>HondaAccord</t>
  </si>
  <si>
    <t>HondaAccordHybrid</t>
  </si>
  <si>
    <t>(CVT) 1.8L FWD</t>
  </si>
  <si>
    <t>HF 1.8L FWD</t>
  </si>
  <si>
    <t>2.4L FWD</t>
  </si>
  <si>
    <t>NissanVersa</t>
  </si>
  <si>
    <t>NissanSentra</t>
  </si>
  <si>
    <t>NissanLeafElectric</t>
  </si>
  <si>
    <t>NissanAltima</t>
  </si>
  <si>
    <t>(CVT) 1.6L var. gear ratio FWD</t>
  </si>
  <si>
    <t>FE+S 1.8L FWD</t>
  </si>
  <si>
    <t>HyundaiSonata</t>
  </si>
  <si>
    <t>HyundaiSonataHybrid</t>
  </si>
  <si>
    <t>HyundaiSonataPlugIn</t>
  </si>
  <si>
    <t>2.4 L FWD</t>
  </si>
  <si>
    <t>2.0L FWD</t>
  </si>
  <si>
    <t>1.6L FWD Eco</t>
  </si>
  <si>
    <t xml:space="preserve">Manufacturer  (OEM) / Make </t>
  </si>
  <si>
    <t xml:space="preserve">Model </t>
  </si>
  <si>
    <t>Trim/Engine/Drive/Fuel</t>
  </si>
  <si>
    <t>None</t>
  </si>
  <si>
    <t xml:space="preserve">Chevrolet </t>
  </si>
  <si>
    <t>OEM. List</t>
  </si>
  <si>
    <t>Chevrolet.</t>
  </si>
  <si>
    <t>ChrysDodgeJeep.</t>
  </si>
  <si>
    <t>Ford.</t>
  </si>
  <si>
    <t>Honda.</t>
  </si>
  <si>
    <t>Hyundai.</t>
  </si>
  <si>
    <t>Nissan.</t>
  </si>
  <si>
    <t>Ram.</t>
  </si>
  <si>
    <t>Toyota.</t>
  </si>
  <si>
    <t>CRV</t>
  </si>
  <si>
    <t>Promaster City Pass</t>
  </si>
  <si>
    <t>Tahoe C1500</t>
  </si>
  <si>
    <t>Promaster City Cargo</t>
  </si>
  <si>
    <t>Tahoe K1500</t>
  </si>
  <si>
    <t xml:space="preserve">Grand Caravan </t>
  </si>
  <si>
    <t>Suburban C1500</t>
  </si>
  <si>
    <t>Transit Cargo 150</t>
  </si>
  <si>
    <t>Suburban K1500</t>
  </si>
  <si>
    <t>Transit Cargo 250</t>
  </si>
  <si>
    <t>Express Cargo 2500</t>
  </si>
  <si>
    <t>Transit Cargo 350</t>
  </si>
  <si>
    <t>NV 200</t>
  </si>
  <si>
    <t>Express Cargo 3500</t>
  </si>
  <si>
    <t>Transit Cargo 350HD</t>
  </si>
  <si>
    <t>City Express Cargo Mini</t>
  </si>
  <si>
    <t xml:space="preserve">Transit Connect Cargo </t>
  </si>
  <si>
    <t>Quest</t>
  </si>
  <si>
    <t>Express Pass 2500</t>
  </si>
  <si>
    <t>Transit Wagon 150</t>
  </si>
  <si>
    <t xml:space="preserve">Frontier </t>
  </si>
  <si>
    <t>Express Pass 3500</t>
  </si>
  <si>
    <t>Transit Wagon 350</t>
  </si>
  <si>
    <t>Chevrolet.Equinox</t>
  </si>
  <si>
    <t>Chevrolet.TahoeC1500</t>
  </si>
  <si>
    <t>Chervrolet.TahoeK1500</t>
  </si>
  <si>
    <t>Chevrolet.SuburbanC1500</t>
  </si>
  <si>
    <t>Chevrolet.SuburbanK1500</t>
  </si>
  <si>
    <t>Chevrolet.ExpressCargo2500</t>
  </si>
  <si>
    <t>Chevrolet.ExpressCargo3500</t>
  </si>
  <si>
    <t>Chevrolet.CityExpressCargoMini</t>
  </si>
  <si>
    <t>Chevrolet.ExpressPass2500</t>
  </si>
  <si>
    <t>Chevrolet.ExpressPass3500</t>
  </si>
  <si>
    <t>Chevrolet.Colorado</t>
  </si>
  <si>
    <t>Chevrolet.Silverado1500</t>
  </si>
  <si>
    <t>Chevrolet.Silverado2500</t>
  </si>
  <si>
    <t>2.4L FWD E-85</t>
  </si>
  <si>
    <t>5.3L RWD E-85</t>
  </si>
  <si>
    <t>5.3L 4WD E-85</t>
  </si>
  <si>
    <t>4.8L RWD</t>
  </si>
  <si>
    <t>4.8L RWD E-85</t>
  </si>
  <si>
    <t>2.5L 2WD</t>
  </si>
  <si>
    <t>4.3L 2WD E-85</t>
  </si>
  <si>
    <t>6.0L 2WD E-85</t>
  </si>
  <si>
    <t>2.4L AWD E-85</t>
  </si>
  <si>
    <t>6.0L RWD E-85</t>
  </si>
  <si>
    <t>6.6L RWD Diesel</t>
  </si>
  <si>
    <t>3.6L 2WD</t>
  </si>
  <si>
    <t>4.3L 4WD E-85</t>
  </si>
  <si>
    <t>6.0L 4WD E-85</t>
  </si>
  <si>
    <t>6.0L RWD CNG</t>
  </si>
  <si>
    <t>2.5L 4WD</t>
  </si>
  <si>
    <t>3.6L 4WD</t>
  </si>
  <si>
    <t>ChrysDodgeJeep.Cherokee</t>
  </si>
  <si>
    <t>ChrysDodgeJeep.GrandCherokee</t>
  </si>
  <si>
    <t>ChrysDodgeJeep.GrandCaravan</t>
  </si>
  <si>
    <t>3.6L RWD</t>
  </si>
  <si>
    <t>3.6L FWD</t>
  </si>
  <si>
    <t>2.4L 4WD</t>
  </si>
  <si>
    <t>Ram.PromasterCityCargo</t>
  </si>
  <si>
    <t>Ram.PromasterCityPass</t>
  </si>
  <si>
    <t>Ram.Promaster1500</t>
  </si>
  <si>
    <t>Ram.Promaster2500</t>
  </si>
  <si>
    <t>Ram.Promaster3500</t>
  </si>
  <si>
    <t>Ram.1500</t>
  </si>
  <si>
    <t>Ram.2500</t>
  </si>
  <si>
    <t>3.0L EcoDiesel 2WD</t>
  </si>
  <si>
    <t>5.7L V8 Hemi VVT 2WD</t>
  </si>
  <si>
    <t xml:space="preserve">3.6L Pentastar V6 2WD E-85 </t>
  </si>
  <si>
    <t>6.4L V8 Mid Duty Hemi 2WD</t>
  </si>
  <si>
    <t>5.7L Hemi 6 Spd 2WD</t>
  </si>
  <si>
    <t>6.7L Cummins Turbo 2WD Diesel</t>
  </si>
  <si>
    <t>5.7L Hemi 8 Spd 2WD</t>
  </si>
  <si>
    <t>5.7L V8 Hemi VVT 4WD CNG</t>
  </si>
  <si>
    <t>3.0L EcoDiesel 4WD</t>
  </si>
  <si>
    <t>5.7L V8 Hemi VVT 4WD</t>
  </si>
  <si>
    <t xml:space="preserve">3.6L Pentastar V6 4WD E-85 </t>
  </si>
  <si>
    <t>6.4L V8 Mid Duty Hemi 4WD</t>
  </si>
  <si>
    <t>5.7L Hemi 6 Spd 4WD</t>
  </si>
  <si>
    <t>6.7L Cummins Turbo 4WD Diesel</t>
  </si>
  <si>
    <t>5.7L Hemi 8 Spd 4WD</t>
  </si>
  <si>
    <t>5.7L Hemi MDS 4WD</t>
  </si>
  <si>
    <t>Ford.Escape</t>
  </si>
  <si>
    <t>Ford.Explorer</t>
  </si>
  <si>
    <t>Ford.Expedition</t>
  </si>
  <si>
    <t>Ford.TransitCargo150</t>
  </si>
  <si>
    <t>Ford.TransitCargo250</t>
  </si>
  <si>
    <t>Ford.TransitCargo350</t>
  </si>
  <si>
    <t>Ford.TransitCargo350HD</t>
  </si>
  <si>
    <t>Ford.TransitConnectCargo</t>
  </si>
  <si>
    <t>Ford.TransitWagon150</t>
  </si>
  <si>
    <t>Ford.TransitWagon350</t>
  </si>
  <si>
    <t>Ford.F150</t>
  </si>
  <si>
    <t>Ford.F250</t>
  </si>
  <si>
    <t>1.6L FWD</t>
  </si>
  <si>
    <t>2.3L FWD</t>
  </si>
  <si>
    <t>3.5L RWD</t>
  </si>
  <si>
    <t>3.2L RWD Diesel</t>
  </si>
  <si>
    <t>3.5L EcoBoost RWD</t>
  </si>
  <si>
    <t>2.5L RWD</t>
  </si>
  <si>
    <t>2.7L EcoBoost 2WD</t>
  </si>
  <si>
    <t>6.2L 2WD FFV E-85</t>
  </si>
  <si>
    <t>2.0L 4WD</t>
  </si>
  <si>
    <t>3.5L STD 4WD E-85</t>
  </si>
  <si>
    <t>3.5L 4WD</t>
  </si>
  <si>
    <t>3.7L Ti-VCT FFV RWD E-85</t>
  </si>
  <si>
    <t>3.5L EcoBoost 2WD</t>
  </si>
  <si>
    <t>6.2L 2Valve 2WD FFV E-85</t>
  </si>
  <si>
    <t>3.5L Ti-VCT 2WD E-85</t>
  </si>
  <si>
    <t>6.7L 4Valve 2WD Diesel</t>
  </si>
  <si>
    <t>5.0L Ti-VCT 2WD E-85</t>
  </si>
  <si>
    <t>6.2L 4WD FFV E-85</t>
  </si>
  <si>
    <t>2.7L EcoBoost 4WD</t>
  </si>
  <si>
    <t>6.2L 2Valve 4WD FFV E-85</t>
  </si>
  <si>
    <t>3.5L 4WD FFV E-85</t>
  </si>
  <si>
    <t>6.7L 4Valve 4WD Diesel</t>
  </si>
  <si>
    <t>3.5L EcoBoost 4WD</t>
  </si>
  <si>
    <t>5.0L 4WD FFV E-85</t>
  </si>
  <si>
    <t>Honda.CRV</t>
  </si>
  <si>
    <t>Honda.Odyssey</t>
  </si>
  <si>
    <t>3.5L FWD</t>
  </si>
  <si>
    <t>2.4L AWD</t>
  </si>
  <si>
    <t>Nissan.Rogue</t>
  </si>
  <si>
    <t>Nissan.Pathfinder</t>
  </si>
  <si>
    <t>Nissan.NV1500</t>
  </si>
  <si>
    <t>Nissan.NV2500</t>
  </si>
  <si>
    <t>Nissan.NV3500</t>
  </si>
  <si>
    <t>Nissan.NV200</t>
  </si>
  <si>
    <t>Nissan.NVP3500</t>
  </si>
  <si>
    <t>Nissan.Quest</t>
  </si>
  <si>
    <t>Nissan.Frontier</t>
  </si>
  <si>
    <t>Nissan.Titan</t>
  </si>
  <si>
    <t>4.0L RWD</t>
  </si>
  <si>
    <t>5.6L RWD</t>
  </si>
  <si>
    <t>5.6L 2WD</t>
  </si>
  <si>
    <t>2.5L AWD</t>
  </si>
  <si>
    <t>4.0L 2WD</t>
  </si>
  <si>
    <t>5.6L 4WD</t>
  </si>
  <si>
    <t>4.0L 4WD</t>
  </si>
  <si>
    <t>Hyundai.Tucson</t>
  </si>
  <si>
    <t>Hyundai.SantaFe</t>
  </si>
  <si>
    <t>3.3L FWD</t>
  </si>
  <si>
    <t>3.3L AWD</t>
  </si>
  <si>
    <t>Engine/Drive Train/Fuel</t>
  </si>
  <si>
    <t>SUV</t>
  </si>
  <si>
    <t>ChrysDodgeJeep</t>
  </si>
  <si>
    <t>Cargo</t>
  </si>
  <si>
    <t xml:space="preserve">4.8L RWD </t>
  </si>
  <si>
    <t>Cargo Mini</t>
  </si>
  <si>
    <t>Large Passenger</t>
  </si>
  <si>
    <t>MiniVan</t>
  </si>
  <si>
    <t>Ram</t>
  </si>
  <si>
    <t>Small Pickup</t>
  </si>
  <si>
    <t>Pickup</t>
  </si>
  <si>
    <t>Electronic Signature</t>
  </si>
  <si>
    <t>Please note: No request will be reviewed and/or approved without an electronic signature.</t>
  </si>
  <si>
    <t>By entering their name below, the Agency Contact certifies that they have read, understand and agree to comply with the OVM Policies and Procedures Manual and the Fuel Efficiency Standard for the State Fleet.</t>
  </si>
  <si>
    <t>Additionally, they verify that they have discussed their vehicle needs with their Agency CFO and that all information contained in this request spreadsheet is complete, true &amp; correct, to the best of their knowledge. If any vehicle request includes emergency equipment, such as lights, sirens or in-vehicle communication devices, Agency Contact further verifies that Agency Head approval has been appropriately obtained and documented, including justification of the need for such emergency equipment.</t>
  </si>
  <si>
    <t>If any exemption to vehicle contract options, OVM Policy or the Fuel Efficiency Standard is being requested, Agency Contact certifies that justification &amp;/or exemption documentation is included.  If there are any questions as to whether your agency qualifies or requires an exemption, please contact OVM or DOER, as appropriate.</t>
  </si>
  <si>
    <t>I certify my understanding &amp; compliance with the above statements:</t>
  </si>
  <si>
    <t>For OVM use only:</t>
  </si>
  <si>
    <t>OVM Representative has read and approves this vehicle acquisition request:</t>
  </si>
  <si>
    <t>OVM Approval Date:</t>
  </si>
  <si>
    <t>119 MPGe</t>
  </si>
  <si>
    <t>112 MPGe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</si>
</sst>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4" formatCode="_(&quot;$&quot;* #,##0.00_);_(&quot;$&quot;* \(#,##0.00\);_(&quot;$&quot;* &quot;-&quot;??_);_(@_)"/>
    <numFmt numFmtId="43" formatCode="_(* #,##0.00_);_(* \(#,##0.00\);_(* &quot;-&quot;??_);_(@_)"/>
    <numFmt numFmtId="164" formatCode="0.0"/>
    <numFmt numFmtId="165" formatCode="0.000"/>
    <numFmt numFmtId="166" formatCode="&quot;$&quot;#,##0"/>
    <numFmt numFmtId="167" formatCode="&quot;$&quot;#,##0.00"/>
    <numFmt numFmtId="168" formatCode="0_);\(0\)"/>
    <numFmt numFmtId="169" formatCode="0.0_);\(0.0\)"/>
    <numFmt numFmtId="170" formatCode="#,##0.0_);\(#,##0.0\)"/>
    <numFmt numFmtId="171" formatCode="_(* #,##0_);_(* \(#,##0\);_(* &quot;-&quot;??_);_(@_)"/>
    <numFmt numFmtId="172" formatCode="&quot; $&quot;#,##0.00&quot; &quot;;&quot; $(&quot;#,##0.00&quot;)&quot;;&quot; $-&quot;#&quot; &quot;;@&quot; &quot;"/>
    <numFmt numFmtId="173" formatCode="[$-409]0%"/>
    <numFmt numFmtId="174" formatCode="[$-409]General"/>
    <numFmt numFmtId="175" formatCode="[$$-409]#,##0.00;[Red]&quot;-&quot;[$$-409]#,##0.00"/>
  </numFmts>
  <fonts count="109">
    <font>
      <sz val="11"/>
      <color theme="1"/>
      <name val="Calibri"/>
      <family val="2"/>
      <scheme val="minor"/>
    </font>
    <font>
      <sz val="10"/>
      <color theme="1"/>
      <name val="Calibri"/>
      <family val="2"/>
    </font>
    <font>
      <sz val="11"/>
      <color indexed="9"/>
      <name val="Calibri"/>
      <family val="2"/>
    </font>
    <font>
      <sz val="11"/>
      <name val="Calibri"/>
      <family val="2"/>
    </font>
    <font>
      <sz val="10"/>
      <color indexed="9"/>
      <name val="Calibri"/>
      <family val="2"/>
    </font>
    <font>
      <sz val="10"/>
      <color indexed="8"/>
      <name val="Calibri"/>
      <family val="2"/>
    </font>
    <font>
      <b/>
      <sz val="10"/>
      <color indexed="8"/>
      <name val="Calibri"/>
      <family val="2"/>
    </font>
    <font>
      <b/>
      <u/>
      <sz val="11"/>
      <color indexed="8"/>
      <name val="Calibri"/>
      <family val="2"/>
    </font>
    <font>
      <b/>
      <sz val="11"/>
      <color indexed="8"/>
      <name val="Calibri"/>
      <family val="2"/>
    </font>
    <font>
      <sz val="10"/>
      <name val="Calibri"/>
      <family val="2"/>
    </font>
    <font>
      <sz val="9"/>
      <color indexed="81"/>
      <name val="Tahoma"/>
      <family val="2"/>
    </font>
    <font>
      <b/>
      <sz val="9"/>
      <color indexed="81"/>
      <name val="Tahoma"/>
      <family val="2"/>
    </font>
    <font>
      <sz val="10"/>
      <name val="Arial"/>
      <family val="2"/>
    </font>
    <font>
      <sz val="11"/>
      <color indexed="8"/>
      <name val="Calibri"/>
      <family val="2"/>
    </font>
    <font>
      <u/>
      <sz val="11"/>
      <color indexed="12"/>
      <name val="Calibri"/>
      <family val="2"/>
    </font>
    <font>
      <sz val="11"/>
      <color indexed="6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Verdana"/>
      <family val="2"/>
    </font>
    <font>
      <sz val="10"/>
      <name val="Georgia"/>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9"/>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8"/>
      <name val="Calibri"/>
      <family val="2"/>
    </font>
    <font>
      <b/>
      <i/>
      <sz val="11"/>
      <color indexed="8"/>
      <name val="Calibri"/>
      <family val="2"/>
    </font>
    <font>
      <sz val="11"/>
      <color indexed="57"/>
      <name val="Calibri"/>
      <family val="2"/>
    </font>
    <font>
      <b/>
      <sz val="9"/>
      <color indexed="9"/>
      <name val="Calibri"/>
      <family val="2"/>
    </font>
    <font>
      <b/>
      <i/>
      <sz val="11"/>
      <name val="Calibri"/>
      <family val="2"/>
    </font>
    <font>
      <sz val="11"/>
      <color theme="1"/>
      <name val="Calibri"/>
      <family val="2"/>
      <scheme val="minor"/>
    </font>
    <font>
      <u/>
      <sz val="11"/>
      <color theme="10"/>
      <name val="Calibri"/>
      <family val="2"/>
    </font>
    <font>
      <u/>
      <sz val="11"/>
      <color theme="10"/>
      <name val="Calibri"/>
      <family val="2"/>
      <scheme val="minor"/>
    </font>
    <font>
      <sz val="11"/>
      <color rgb="FF006100"/>
      <name val="Calibri"/>
      <family val="2"/>
      <scheme val="minor"/>
    </font>
    <font>
      <sz val="11"/>
      <color rgb="FF9C0006"/>
      <name val="Calibri"/>
      <family val="2"/>
      <scheme val="minor"/>
    </font>
    <font>
      <sz val="18"/>
      <color theme="1"/>
      <name val="Calibri"/>
      <family val="2"/>
      <scheme val="minor"/>
    </font>
    <font>
      <sz val="16"/>
      <color theme="1"/>
      <name val="Calibri"/>
      <family val="2"/>
      <scheme val="minor"/>
    </font>
    <font>
      <b/>
      <sz val="11"/>
      <color theme="0"/>
      <name val="Calibri"/>
      <family val="2"/>
      <scheme val="minor"/>
    </font>
    <font>
      <sz val="11"/>
      <color theme="0"/>
      <name val="Calibri"/>
      <family val="2"/>
      <scheme val="minor"/>
    </font>
    <font>
      <sz val="22"/>
      <color theme="1"/>
      <name val="Calibri"/>
      <family val="2"/>
      <scheme val="minor"/>
    </font>
    <font>
      <sz val="11"/>
      <color rgb="FFFF0000"/>
      <name val="Calibri"/>
      <family val="2"/>
      <scheme val="minor"/>
    </font>
    <font>
      <sz val="10"/>
      <color theme="1"/>
      <name val="Calibri"/>
      <family val="2"/>
      <scheme val="minor"/>
    </font>
    <font>
      <sz val="20"/>
      <color theme="1"/>
      <name val="Calibri"/>
      <family val="2"/>
      <scheme val="minor"/>
    </font>
    <font>
      <sz val="11"/>
      <name val="Calibri"/>
      <family val="2"/>
      <scheme val="minor"/>
    </font>
    <font>
      <b/>
      <sz val="11"/>
      <name val="Calibri"/>
      <family val="2"/>
      <scheme val="minor"/>
    </font>
    <font>
      <sz val="11"/>
      <color rgb="FFFF0000"/>
      <name val="Calibri"/>
      <family val="2"/>
    </font>
    <font>
      <b/>
      <sz val="11"/>
      <color theme="1"/>
      <name val="Calibri"/>
      <family val="2"/>
      <scheme val="minor"/>
    </font>
    <font>
      <b/>
      <sz val="24"/>
      <color theme="1"/>
      <name val="Calibri"/>
      <family val="2"/>
      <scheme val="minor"/>
    </font>
    <font>
      <i/>
      <sz val="11"/>
      <color rgb="FFFF0000"/>
      <name val="Calibri"/>
      <family val="2"/>
      <scheme val="minor"/>
    </font>
    <font>
      <b/>
      <sz val="14"/>
      <color theme="1"/>
      <name val="Calibri"/>
      <family val="2"/>
      <scheme val="minor"/>
    </font>
    <font>
      <sz val="16"/>
      <color theme="0"/>
      <name val="Calibri"/>
      <family val="2"/>
      <scheme val="minor"/>
    </font>
    <font>
      <b/>
      <sz val="12"/>
      <color theme="1"/>
      <name val="Calibri"/>
      <family val="2"/>
      <scheme val="minor"/>
    </font>
    <font>
      <sz val="14"/>
      <color theme="0"/>
      <name val="Calibri"/>
      <family val="2"/>
      <scheme val="minor"/>
    </font>
    <font>
      <i/>
      <sz val="11"/>
      <color theme="1"/>
      <name val="Calibri"/>
      <family val="2"/>
      <scheme val="minor"/>
    </font>
    <font>
      <sz val="10"/>
      <name val="Calibri"/>
      <family val="2"/>
      <scheme val="minor"/>
    </font>
    <font>
      <sz val="14"/>
      <color theme="1"/>
      <name val="Calibri"/>
      <family val="2"/>
      <scheme val="minor"/>
    </font>
    <font>
      <u/>
      <sz val="10"/>
      <color theme="10"/>
      <name val="Calibri"/>
      <family val="2"/>
    </font>
    <font>
      <b/>
      <sz val="10"/>
      <color theme="1"/>
      <name val="Calibri"/>
      <family val="2"/>
      <scheme val="minor"/>
    </font>
    <font>
      <sz val="9"/>
      <color theme="1"/>
      <name val="Calibri"/>
      <family val="2"/>
      <scheme val="minor"/>
    </font>
    <font>
      <sz val="12"/>
      <color theme="1"/>
      <name val="Calibri"/>
      <family val="2"/>
      <scheme val="minor"/>
    </font>
    <font>
      <sz val="13"/>
      <color theme="1"/>
      <name val="Calibri"/>
      <family val="2"/>
      <scheme val="minor"/>
    </font>
    <font>
      <b/>
      <sz val="10"/>
      <color theme="0"/>
      <name val="Calibri"/>
      <family val="2"/>
      <scheme val="minor"/>
    </font>
    <font>
      <b/>
      <u/>
      <sz val="10"/>
      <color theme="1"/>
      <name val="Calibri"/>
      <family val="2"/>
      <scheme val="minor"/>
    </font>
    <font>
      <b/>
      <i/>
      <sz val="11"/>
      <color theme="1"/>
      <name val="Calibri"/>
      <family val="2"/>
      <scheme val="minor"/>
    </font>
    <font>
      <b/>
      <u/>
      <sz val="11"/>
      <color theme="1"/>
      <name val="Calibri"/>
      <family val="2"/>
      <scheme val="minor"/>
    </font>
    <font>
      <i/>
      <sz val="11"/>
      <name val="Calibri"/>
      <family val="2"/>
    </font>
    <font>
      <b/>
      <u/>
      <sz val="11"/>
      <name val="Calibri"/>
      <family val="2"/>
    </font>
    <font>
      <i/>
      <sz val="11"/>
      <color theme="5" tint="-0.249977111117893"/>
      <name val="Calibri"/>
      <family val="2"/>
      <scheme val="minor"/>
    </font>
    <font>
      <i/>
      <sz val="11"/>
      <color theme="5" tint="-0.249977111117893"/>
      <name val="Calibri"/>
      <family val="2"/>
    </font>
    <font>
      <sz val="11"/>
      <color theme="5" tint="-0.249977111117893"/>
      <name val="Calibri"/>
      <family val="2"/>
      <scheme val="minor"/>
    </font>
    <font>
      <b/>
      <i/>
      <sz val="11"/>
      <color theme="5" tint="-0.249977111117893"/>
      <name val="Calibri"/>
      <family val="2"/>
    </font>
    <font>
      <b/>
      <i/>
      <sz val="11"/>
      <color theme="5" tint="-0.249977111117893"/>
      <name val="Calibri"/>
      <family val="2"/>
      <scheme val="minor"/>
    </font>
    <font>
      <u/>
      <sz val="11"/>
      <color theme="1"/>
      <name val="Calibri"/>
      <family val="2"/>
      <scheme val="minor"/>
    </font>
    <font>
      <sz val="6"/>
      <color theme="1"/>
      <name val="Calibri"/>
      <family val="2"/>
      <scheme val="minor"/>
    </font>
    <font>
      <i/>
      <sz val="6"/>
      <color theme="5" tint="-0.249977111117893"/>
      <name val="Calibri"/>
      <family val="2"/>
    </font>
    <font>
      <vertAlign val="superscript"/>
      <sz val="13"/>
      <color theme="1"/>
      <name val="Calibri"/>
      <family val="2"/>
      <scheme val="minor"/>
    </font>
    <font>
      <vertAlign val="superscript"/>
      <sz val="11"/>
      <color theme="1"/>
      <name val="Calibri"/>
      <family val="2"/>
      <scheme val="minor"/>
    </font>
    <font>
      <sz val="10"/>
      <color theme="0"/>
      <name val="Calibri"/>
      <family val="2"/>
      <scheme val="minor"/>
    </font>
    <font>
      <sz val="11"/>
      <color rgb="FF000000"/>
      <name val="Arial"/>
      <family val="2"/>
    </font>
    <font>
      <b/>
      <i/>
      <sz val="16"/>
      <color rgb="FF000000"/>
      <name val="Arial"/>
      <family val="2"/>
    </font>
    <font>
      <u/>
      <sz val="11"/>
      <color rgb="FF0000FF"/>
      <name val="Calibri"/>
      <family val="2"/>
    </font>
    <font>
      <sz val="11"/>
      <color rgb="FF000000"/>
      <name val="Calibri"/>
      <family val="2"/>
    </font>
    <font>
      <b/>
      <i/>
      <u/>
      <sz val="11"/>
      <color rgb="FF000000"/>
      <name val="Arial"/>
      <family val="2"/>
    </font>
    <font>
      <sz val="10"/>
      <name val="Lato"/>
      <family val="2"/>
    </font>
    <font>
      <b/>
      <sz val="10"/>
      <name val="Calibri"/>
      <family val="2"/>
      <scheme val="minor"/>
    </font>
    <font>
      <sz val="24"/>
      <color theme="1"/>
      <name val="Calibri"/>
      <family val="2"/>
      <scheme val="minor"/>
    </font>
    <font>
      <b/>
      <vertAlign val="superscript"/>
      <sz val="12"/>
      <color theme="1"/>
      <name val="Calibri"/>
      <family val="2"/>
      <scheme val="minor"/>
    </font>
    <font>
      <sz val="10"/>
      <color rgb="FFFF0000"/>
      <name val="Calibri"/>
      <family val="2"/>
      <scheme val="minor"/>
    </font>
    <font>
      <sz val="10"/>
      <color rgb="FF0000F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theme="0"/>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FF0000"/>
        <bgColor indexed="64"/>
      </patternFill>
    </fill>
    <fill>
      <patternFill patternType="solid">
        <fgColor rgb="FFFFFFCC"/>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FFFFCC"/>
        <bgColor theme="4" tint="0.79998168889431442"/>
      </patternFill>
    </fill>
    <fill>
      <patternFill patternType="solid">
        <fgColor theme="5" tint="0.39997558519241921"/>
        <bgColor indexed="64"/>
      </patternFill>
    </fill>
    <fill>
      <patternFill patternType="solid">
        <fgColor rgb="FFFFFF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2" tint="-0.249977111117893"/>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rgb="FFFFCCCC"/>
        <bgColor indexed="64"/>
      </patternFill>
    </fill>
    <fill>
      <patternFill patternType="solid">
        <fgColor rgb="FFCCECFF"/>
        <bgColor indexed="64"/>
      </patternFill>
    </fill>
    <fill>
      <patternFill patternType="solid">
        <fgColor rgb="FFCCFFCC"/>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right/>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theme="4" tint="0.3999755851924192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indexed="64"/>
      </right>
      <top style="thin">
        <color indexed="64"/>
      </top>
      <bottom style="dotted">
        <color theme="0" tint="-0.14996795556505021"/>
      </bottom>
      <diagonal/>
    </border>
    <border>
      <left style="thin">
        <color indexed="64"/>
      </left>
      <right style="thin">
        <color indexed="64"/>
      </right>
      <top style="thin">
        <color indexed="64"/>
      </top>
      <bottom style="dotted">
        <color theme="0" tint="-0.14996795556505021"/>
      </bottom>
      <diagonal/>
    </border>
    <border>
      <left style="thin">
        <color indexed="64"/>
      </left>
      <right style="medium">
        <color indexed="64"/>
      </right>
      <top style="thin">
        <color indexed="64"/>
      </top>
      <bottom style="dotted">
        <color theme="0" tint="-0.14996795556505021"/>
      </bottom>
      <diagonal/>
    </border>
    <border>
      <left style="medium">
        <color indexed="64"/>
      </left>
      <right style="thin">
        <color indexed="64"/>
      </right>
      <top style="dotted">
        <color theme="0" tint="-0.14996795556505021"/>
      </top>
      <bottom style="dotted">
        <color theme="0" tint="-0.14996795556505021"/>
      </bottom>
      <diagonal/>
    </border>
    <border>
      <left style="thin">
        <color indexed="64"/>
      </left>
      <right style="thin">
        <color indexed="64"/>
      </right>
      <top style="dotted">
        <color theme="0" tint="-0.14996795556505021"/>
      </top>
      <bottom style="dotted">
        <color theme="0" tint="-0.14996795556505021"/>
      </bottom>
      <diagonal/>
    </border>
    <border>
      <left style="thin">
        <color indexed="64"/>
      </left>
      <right style="medium">
        <color indexed="64"/>
      </right>
      <top style="dotted">
        <color theme="0" tint="-0.14996795556505021"/>
      </top>
      <bottom style="dotted">
        <color theme="0" tint="-0.14996795556505021"/>
      </bottom>
      <diagonal/>
    </border>
    <border>
      <left style="medium">
        <color indexed="64"/>
      </left>
      <right style="thin">
        <color indexed="64"/>
      </right>
      <top style="dotted">
        <color theme="0" tint="-0.14996795556505021"/>
      </top>
      <bottom style="medium">
        <color indexed="64"/>
      </bottom>
      <diagonal/>
    </border>
    <border>
      <left style="thin">
        <color indexed="64"/>
      </left>
      <right style="thin">
        <color indexed="64"/>
      </right>
      <top style="dotted">
        <color theme="0" tint="-0.14996795556505021"/>
      </top>
      <bottom style="medium">
        <color indexed="64"/>
      </bottom>
      <diagonal/>
    </border>
    <border>
      <left style="thin">
        <color indexed="64"/>
      </left>
      <right style="medium">
        <color indexed="64"/>
      </right>
      <top style="dotted">
        <color theme="0" tint="-0.14996795556505021"/>
      </top>
      <bottom style="medium">
        <color indexed="64"/>
      </bottom>
      <diagonal/>
    </border>
    <border>
      <left style="medium">
        <color indexed="64"/>
      </left>
      <right style="thin">
        <color indexed="64"/>
      </right>
      <top style="dotted">
        <color theme="0" tint="-0.14996795556505021"/>
      </top>
      <bottom style="thin">
        <color indexed="64"/>
      </bottom>
      <diagonal/>
    </border>
    <border>
      <left style="thin">
        <color indexed="64"/>
      </left>
      <right style="thin">
        <color indexed="64"/>
      </right>
      <top style="dotted">
        <color theme="0" tint="-0.14996795556505021"/>
      </top>
      <bottom style="thin">
        <color indexed="64"/>
      </bottom>
      <diagonal/>
    </border>
    <border>
      <left style="medium">
        <color indexed="64"/>
      </left>
      <right style="thin">
        <color indexed="64"/>
      </right>
      <top/>
      <bottom style="dotted">
        <color theme="0" tint="-0.14996795556505021"/>
      </bottom>
      <diagonal/>
    </border>
    <border>
      <left style="thin">
        <color indexed="64"/>
      </left>
      <right style="thin">
        <color indexed="64"/>
      </right>
      <top/>
      <bottom style="dotted">
        <color theme="0" tint="-0.14996795556505021"/>
      </bottom>
      <diagonal/>
    </border>
    <border>
      <left style="thin">
        <color indexed="64"/>
      </left>
      <right style="medium">
        <color indexed="64"/>
      </right>
      <top/>
      <bottom style="dotted">
        <color theme="0" tint="-0.14996795556505021"/>
      </bottom>
      <diagonal/>
    </border>
    <border>
      <left style="thin">
        <color indexed="64"/>
      </left>
      <right/>
      <top style="thin">
        <color indexed="64"/>
      </top>
      <bottom style="dotted">
        <color theme="0" tint="-0.14996795556505021"/>
      </bottom>
      <diagonal/>
    </border>
    <border>
      <left style="thin">
        <color indexed="64"/>
      </left>
      <right/>
      <top style="dotted">
        <color theme="0" tint="-0.14996795556505021"/>
      </top>
      <bottom style="dotted">
        <color theme="0" tint="-0.14996795556505021"/>
      </bottom>
      <diagonal/>
    </border>
    <border>
      <left style="thin">
        <color indexed="64"/>
      </left>
      <right/>
      <top style="dotted">
        <color theme="0" tint="-0.14996795556505021"/>
      </top>
      <bottom style="medium">
        <color indexed="64"/>
      </bottom>
      <diagonal/>
    </border>
    <border>
      <left/>
      <right style="thin">
        <color indexed="64"/>
      </right>
      <top style="dotted">
        <color theme="0" tint="-0.14996795556505021"/>
      </top>
      <bottom style="dotted">
        <color theme="0" tint="-0.14996795556505021"/>
      </bottom>
      <diagonal/>
    </border>
    <border>
      <left/>
      <right style="thin">
        <color indexed="64"/>
      </right>
      <top/>
      <bottom style="dotted">
        <color theme="0" tint="-0.14996795556505021"/>
      </bottom>
      <diagonal/>
    </border>
    <border>
      <left/>
      <right/>
      <top style="dotted">
        <color theme="0" tint="-0.14996795556505021"/>
      </top>
      <bottom style="thin">
        <color indexed="64"/>
      </bottom>
      <diagonal/>
    </border>
    <border>
      <left/>
      <right style="medium">
        <color indexed="64"/>
      </right>
      <top style="dotted">
        <color theme="0" tint="-0.14996795556505021"/>
      </top>
      <bottom style="thin">
        <color indexed="64"/>
      </bottom>
      <diagonal/>
    </border>
    <border>
      <left style="medium">
        <color indexed="64"/>
      </left>
      <right/>
      <top/>
      <bottom style="dotted">
        <color theme="0" tint="-0.14996795556505021"/>
      </bottom>
      <diagonal/>
    </border>
    <border>
      <left style="medium">
        <color indexed="64"/>
      </left>
      <right/>
      <top style="dotted">
        <color theme="0" tint="-0.14996795556505021"/>
      </top>
      <bottom style="dotted">
        <color theme="0" tint="-0.14996795556505021"/>
      </bottom>
      <diagonal/>
    </border>
    <border>
      <left style="medium">
        <color indexed="64"/>
      </left>
      <right/>
      <top style="dotted">
        <color theme="0" tint="-0.14996795556505021"/>
      </top>
      <bottom style="thin">
        <color indexed="64"/>
      </bottom>
      <diagonal/>
    </border>
    <border>
      <left style="thin">
        <color indexed="64"/>
      </left>
      <right style="dashed">
        <color theme="0" tint="-4.9989318521683403E-2"/>
      </right>
      <top style="thin">
        <color indexed="64"/>
      </top>
      <bottom/>
      <diagonal/>
    </border>
    <border>
      <left style="thin">
        <color indexed="64"/>
      </left>
      <right style="dashed">
        <color theme="0" tint="-4.9989318521683403E-2"/>
      </right>
      <top/>
      <bottom/>
      <diagonal/>
    </border>
    <border>
      <left style="thin">
        <color indexed="64"/>
      </left>
      <right style="dashed">
        <color theme="0" tint="-4.9989318521683403E-2"/>
      </right>
      <top/>
      <bottom style="thin">
        <color indexed="64"/>
      </bottom>
      <diagonal/>
    </border>
    <border>
      <left/>
      <right style="medium">
        <color indexed="64"/>
      </right>
      <top style="thin">
        <color indexed="64"/>
      </top>
      <bottom style="dotted">
        <color theme="0" tint="-0.14996795556505021"/>
      </bottom>
      <diagonal/>
    </border>
    <border>
      <left/>
      <right style="medium">
        <color indexed="64"/>
      </right>
      <top style="dotted">
        <color theme="0" tint="-0.14996795556505021"/>
      </top>
      <bottom style="dotted">
        <color theme="0" tint="-0.14996795556505021"/>
      </bottom>
      <diagonal/>
    </border>
    <border>
      <left/>
      <right style="medium">
        <color indexed="64"/>
      </right>
      <top style="dotted">
        <color theme="0" tint="-0.14996795556505021"/>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thin">
        <color indexed="64"/>
      </top>
      <bottom style="dotted">
        <color theme="0" tint="-0.14996795556505021"/>
      </bottom>
      <diagonal/>
    </border>
    <border>
      <left style="medium">
        <color indexed="64"/>
      </left>
      <right/>
      <top style="thin">
        <color indexed="64"/>
      </top>
      <bottom style="dotted">
        <color theme="0" tint="-0.14996795556505021"/>
      </bottom>
      <diagonal/>
    </border>
    <border>
      <left/>
      <right/>
      <top style="thin">
        <color indexed="64"/>
      </top>
      <bottom style="dotted">
        <color theme="0" tint="-0.14996795556505021"/>
      </bottom>
      <diagonal/>
    </border>
    <border>
      <left/>
      <right/>
      <top style="dotted">
        <color theme="0" tint="-0.14996795556505021"/>
      </top>
      <bottom style="dotted">
        <color theme="0" tint="-0.14996795556505021"/>
      </bottom>
      <diagonal/>
    </border>
    <border>
      <left style="medium">
        <color indexed="64"/>
      </left>
      <right/>
      <top style="dotted">
        <color theme="0" tint="-0.14996795556505021"/>
      </top>
      <bottom style="medium">
        <color indexed="64"/>
      </bottom>
      <diagonal/>
    </border>
    <border>
      <left/>
      <right/>
      <top style="dotted">
        <color theme="0" tint="-0.14996795556505021"/>
      </top>
      <bottom style="medium">
        <color indexed="64"/>
      </bottom>
      <diagonal/>
    </border>
    <border>
      <left/>
      <right style="thin">
        <color indexed="64"/>
      </right>
      <top style="dotted">
        <color theme="0" tint="-0.14996795556505021"/>
      </top>
      <bottom style="medium">
        <color indexed="64"/>
      </bottom>
      <diagonal/>
    </border>
    <border>
      <left style="thin">
        <color indexed="64"/>
      </left>
      <right/>
      <top style="thin">
        <color indexed="64"/>
      </top>
      <bottom style="medium">
        <color indexed="64"/>
      </bottom>
      <diagonal/>
    </border>
    <border>
      <left/>
      <right/>
      <top/>
      <bottom style="dotted">
        <color theme="0" tint="-0.14996795556505021"/>
      </bottom>
      <diagonal/>
    </border>
    <border>
      <left style="medium">
        <color indexed="64"/>
      </left>
      <right/>
      <top style="dotted">
        <color theme="0" tint="-0.14996795556505021"/>
      </top>
      <bottom/>
      <diagonal/>
    </border>
    <border>
      <left/>
      <right/>
      <top style="dotted">
        <color theme="0" tint="-0.14996795556505021"/>
      </top>
      <bottom/>
      <diagonal/>
    </border>
    <border>
      <left/>
      <right style="thin">
        <color indexed="64"/>
      </right>
      <top style="dotted">
        <color theme="0" tint="-0.14996795556505021"/>
      </top>
      <bottom/>
      <diagonal/>
    </border>
    <border>
      <left/>
      <right/>
      <top/>
      <bottom style="double">
        <color indexed="64"/>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theme="4" tint="0.39997558519241921"/>
      </top>
      <bottom/>
      <diagonal/>
    </border>
    <border>
      <left style="thin">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02">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43" fillId="24" borderId="0" applyNumberFormat="0" applyBorder="0" applyAlignment="0" applyProtection="0"/>
    <xf numFmtId="0" fontId="17" fillId="3" borderId="0" applyNumberFormat="0" applyBorder="0" applyAlignment="0" applyProtection="0"/>
    <xf numFmtId="0" fontId="18" fillId="7" borderId="1" applyNumberFormat="0" applyAlignment="0" applyProtection="0"/>
    <xf numFmtId="0" fontId="19" fillId="20" borderId="2" applyNumberFormat="0" applyAlignment="0" applyProtection="0"/>
    <xf numFmtId="43" fontId="39"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4" fontId="39"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2" fillId="0" borderId="0" applyNumberFormat="0" applyFill="0" applyBorder="0" applyAlignment="0" applyProtection="0"/>
    <xf numFmtId="0" fontId="42" fillId="23"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40" fillId="0" borderId="0" applyNumberFormat="0" applyFill="0" applyBorder="0" applyAlignment="0" applyProtection="0">
      <alignment vertical="top"/>
      <protection locked="0"/>
    </xf>
    <xf numFmtId="0" fontId="14" fillId="0" borderId="0" applyNumberFormat="0" applyFill="0" applyBorder="0" applyAlignment="0" applyProtection="0"/>
    <xf numFmtId="0" fontId="14" fillId="0" borderId="0" applyNumberFormat="0" applyFill="0" applyBorder="0" applyAlignment="0" applyProtection="0">
      <alignment vertical="top"/>
      <protection locked="0"/>
    </xf>
    <xf numFmtId="0" fontId="40" fillId="0" borderId="0" applyNumberFormat="0" applyFill="0" applyBorder="0" applyAlignment="0" applyProtection="0"/>
    <xf numFmtId="0" fontId="41" fillId="0" borderId="0" applyNumberFormat="0" applyFill="0" applyBorder="0" applyAlignment="0" applyProtection="0"/>
    <xf numFmtId="0" fontId="27" fillId="7" borderId="1" applyNumberFormat="0" applyAlignment="0" applyProtection="0"/>
    <xf numFmtId="0" fontId="28" fillId="0" borderId="6" applyNumberFormat="0" applyFill="0" applyAlignment="0" applyProtection="0"/>
    <xf numFmtId="0" fontId="15" fillId="21" borderId="0" applyNumberFormat="0" applyBorder="0" applyAlignment="0" applyProtection="0"/>
    <xf numFmtId="0" fontId="12" fillId="0" borderId="0"/>
    <xf numFmtId="0" fontId="13" fillId="0" borderId="0"/>
    <xf numFmtId="0" fontId="21" fillId="0" borderId="0"/>
    <xf numFmtId="0" fontId="12"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2" fillId="0" borderId="0"/>
    <xf numFmtId="0" fontId="13" fillId="0" borderId="0"/>
    <xf numFmtId="0" fontId="13" fillId="0" borderId="0"/>
    <xf numFmtId="0" fontId="29" fillId="0" borderId="0"/>
    <xf numFmtId="0" fontId="20" fillId="0" borderId="0"/>
    <xf numFmtId="0" fontId="20" fillId="0" borderId="0"/>
    <xf numFmtId="0" fontId="21" fillId="0" borderId="0"/>
    <xf numFmtId="0" fontId="21" fillId="0" borderId="0"/>
    <xf numFmtId="0" fontId="13" fillId="22" borderId="7" applyNumberFormat="0" applyFont="0" applyAlignment="0" applyProtection="0"/>
    <xf numFmtId="0" fontId="13" fillId="22" borderId="7" applyNumberFormat="0" applyFont="0" applyAlignment="0" applyProtection="0"/>
    <xf numFmtId="0" fontId="30" fillId="7" borderId="8" applyNumberFormat="0" applyAlignment="0" applyProtection="0"/>
    <xf numFmtId="9" fontId="39" fillId="0" borderId="0" applyFont="0" applyFill="0" applyBorder="0" applyAlignment="0" applyProtection="0"/>
    <xf numFmtId="9" fontId="12"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0" fontId="20" fillId="0" borderId="0"/>
    <xf numFmtId="0" fontId="20" fillId="0" borderId="0"/>
    <xf numFmtId="0" fontId="12" fillId="0" borderId="0"/>
    <xf numFmtId="0" fontId="39" fillId="0" borderId="0"/>
    <xf numFmtId="0" fontId="13" fillId="0" borderId="0"/>
    <xf numFmtId="0" fontId="13" fillId="0" borderId="0"/>
    <xf numFmtId="0" fontId="13" fillId="0" borderId="0"/>
    <xf numFmtId="0" fontId="13" fillId="0" borderId="0"/>
    <xf numFmtId="0" fontId="13" fillId="0" borderId="0"/>
    <xf numFmtId="0" fontId="13" fillId="0" borderId="0"/>
    <xf numFmtId="9" fontId="20" fillId="0" borderId="0" applyFont="0" applyFill="0" applyBorder="0" applyAlignment="0" applyProtection="0"/>
    <xf numFmtId="9"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87" fillId="0" borderId="0" applyFont="0" applyBorder="0" applyProtection="0"/>
    <xf numFmtId="0" fontId="89" fillId="0" borderId="0" applyNumberFormat="0" applyBorder="0" applyProtection="0"/>
    <xf numFmtId="0" fontId="87" fillId="0" borderId="0"/>
    <xf numFmtId="0" fontId="89" fillId="0" borderId="0" applyNumberFormat="0" applyBorder="0" applyProtection="0"/>
    <xf numFmtId="0" fontId="88" fillId="0" borderId="0" applyNumberFormat="0" applyBorder="0" applyProtection="0">
      <alignment horizontal="center" textRotation="90"/>
    </xf>
    <xf numFmtId="0" fontId="88" fillId="0" borderId="0" applyNumberFormat="0" applyBorder="0" applyProtection="0">
      <alignment horizontal="center"/>
    </xf>
    <xf numFmtId="173" fontId="87" fillId="0" borderId="0" applyFont="0" applyBorder="0" applyProtection="0"/>
    <xf numFmtId="172" fontId="87" fillId="0" borderId="0" applyFont="0" applyBorder="0" applyProtection="0"/>
    <xf numFmtId="172" fontId="87" fillId="0" borderId="0" applyFont="0" applyBorder="0" applyProtection="0"/>
    <xf numFmtId="0" fontId="89" fillId="0" borderId="0" applyNumberFormat="0" applyBorder="0" applyProtection="0"/>
    <xf numFmtId="174" fontId="90" fillId="0" borderId="0" applyBorder="0" applyProtection="0"/>
    <xf numFmtId="0" fontId="91" fillId="0" borderId="0" applyNumberFormat="0" applyBorder="0" applyProtection="0"/>
    <xf numFmtId="175" fontId="91" fillId="0" borderId="0" applyBorder="0" applyProtection="0"/>
    <xf numFmtId="0" fontId="92" fillId="0" borderId="0" applyFont="0" applyFill="0">
      <alignment horizontal="left" vertical="top" wrapText="1"/>
      <protection locked="0"/>
    </xf>
    <xf numFmtId="44" fontId="13" fillId="0" borderId="0" applyFont="0" applyFill="0" applyBorder="0" applyAlignment="0" applyProtection="0"/>
    <xf numFmtId="0" fontId="20" fillId="0" borderId="0"/>
    <xf numFmtId="0" fontId="39" fillId="0" borderId="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44" fontId="12" fillId="0" borderId="0" applyFont="0" applyFill="0" applyBorder="0" applyAlignment="0" applyProtection="0"/>
    <xf numFmtId="0" fontId="40" fillId="0" borderId="0" applyNumberFormat="0" applyFill="0" applyBorder="0" applyAlignment="0" applyProtection="0">
      <alignment vertical="top"/>
      <protection locked="0"/>
    </xf>
    <xf numFmtId="0" fontId="13" fillId="0" borderId="0"/>
    <xf numFmtId="0" fontId="21" fillId="0" borderId="0"/>
    <xf numFmtId="0" fontId="12" fillId="0" borderId="0"/>
    <xf numFmtId="0" fontId="13" fillId="0" borderId="0"/>
    <xf numFmtId="0" fontId="12" fillId="0" borderId="0"/>
    <xf numFmtId="0" fontId="13" fillId="0" borderId="0"/>
    <xf numFmtId="0" fontId="13" fillId="0" borderId="0"/>
    <xf numFmtId="0" fontId="12" fillId="0" borderId="0"/>
    <xf numFmtId="0" fontId="12" fillId="0" borderId="0"/>
    <xf numFmtId="0" fontId="29" fillId="0" borderId="0"/>
    <xf numFmtId="0" fontId="20" fillId="0" borderId="0"/>
    <xf numFmtId="0" fontId="21" fillId="0" borderId="0"/>
    <xf numFmtId="0" fontId="8" fillId="0" borderId="9" applyNumberFormat="0" applyFill="0" applyAlignment="0" applyProtection="0"/>
    <xf numFmtId="0" fontId="98" fillId="0" borderId="0" applyNumberFormat="0" applyFill="0" applyBorder="0" applyAlignment="0" applyProtection="0"/>
    <xf numFmtId="44" fontId="1" fillId="0" borderId="0" applyFont="0" applyFill="0" applyBorder="0" applyAlignment="0" applyProtection="0"/>
    <xf numFmtId="0" fontId="47" fillId="67" borderId="0" applyNumberFormat="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0" fontId="49" fillId="0" borderId="0" applyNumberFormat="0" applyFill="0" applyBorder="0" applyAlignment="0" applyProtection="0"/>
    <xf numFmtId="0" fontId="39" fillId="85" borderId="0" applyNumberFormat="0" applyBorder="0" applyAlignment="0" applyProtection="0"/>
    <xf numFmtId="0" fontId="46" fillId="61" borderId="131" applyNumberFormat="0" applyAlignment="0" applyProtection="0"/>
    <xf numFmtId="0" fontId="39" fillId="76" borderId="0" applyNumberFormat="0" applyBorder="0" applyAlignment="0" applyProtection="0"/>
    <xf numFmtId="0" fontId="39" fillId="80" borderId="0" applyNumberFormat="0" applyBorder="0" applyAlignment="0" applyProtection="0"/>
    <xf numFmtId="44" fontId="12" fillId="0" borderId="0" applyFont="0" applyFill="0" applyBorder="0" applyAlignment="0" applyProtection="0"/>
    <xf numFmtId="0" fontId="47" fillId="74" borderId="0" applyNumberFormat="0" applyBorder="0" applyAlignment="0" applyProtection="0"/>
    <xf numFmtId="0" fontId="39" fillId="62" borderId="132" applyNumberFormat="0" applyFont="0" applyAlignment="0" applyProtection="0"/>
    <xf numFmtId="0" fontId="39" fillId="72" borderId="0" applyNumberFormat="0" applyBorder="0" applyAlignment="0" applyProtection="0"/>
    <xf numFmtId="0" fontId="1" fillId="0" borderId="0"/>
    <xf numFmtId="0" fontId="43" fillId="2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39" fillId="81" borderId="0" applyNumberFormat="0" applyBorder="0" applyAlignment="0" applyProtection="0"/>
    <xf numFmtId="0" fontId="39" fillId="65" borderId="0" applyNumberFormat="0" applyBorder="0" applyAlignment="0" applyProtection="0"/>
    <xf numFmtId="0" fontId="1" fillId="0" borderId="0"/>
    <xf numFmtId="0" fontId="39" fillId="69" borderId="0" applyNumberFormat="0" applyBorder="0" applyAlignment="0" applyProtection="0"/>
    <xf numFmtId="0" fontId="47" fillId="79" borderId="0" applyNumberFormat="0" applyBorder="0" applyAlignment="0" applyProtection="0"/>
    <xf numFmtId="43" fontId="1" fillId="0" borderId="0" applyFont="0" applyFill="0" applyBorder="0" applyAlignment="0" applyProtection="0"/>
    <xf numFmtId="0" fontId="47" fillId="83" borderId="0" applyNumberFormat="0" applyBorder="0" applyAlignment="0" applyProtection="0"/>
    <xf numFmtId="0" fontId="47" fillId="63" borderId="0" applyNumberFormat="0" applyBorder="0" applyAlignment="0" applyProtection="0"/>
    <xf numFmtId="0" fontId="1" fillId="0" borderId="0"/>
    <xf numFmtId="0" fontId="99" fillId="0" borderId="125" applyNumberFormat="0" applyFill="0" applyAlignment="0" applyProtection="0"/>
    <xf numFmtId="0" fontId="103" fillId="59" borderId="128" applyNumberFormat="0" applyAlignment="0" applyProtection="0"/>
    <xf numFmtId="0" fontId="1" fillId="0" borderId="0"/>
    <xf numFmtId="0" fontId="42" fillId="23" borderId="0" applyNumberFormat="0" applyBorder="0" applyAlignment="0" applyProtection="0"/>
    <xf numFmtId="43" fontId="39" fillId="0" borderId="0" applyFont="0" applyFill="0" applyBorder="0" applyAlignment="0" applyProtection="0"/>
    <xf numFmtId="0" fontId="39" fillId="73" borderId="0" applyNumberFormat="0" applyBorder="0" applyAlignment="0" applyProtection="0"/>
    <xf numFmtId="0" fontId="101" fillId="0" borderId="127" applyNumberFormat="0" applyFill="0" applyAlignment="0" applyProtection="0"/>
    <xf numFmtId="0" fontId="47" fillId="66" borderId="0" applyNumberFormat="0" applyBorder="0" applyAlignment="0" applyProtection="0"/>
    <xf numFmtId="0" fontId="47" fillId="75" borderId="0" applyNumberFormat="0" applyBorder="0" applyAlignment="0" applyProtection="0"/>
    <xf numFmtId="43" fontId="1" fillId="0" borderId="0" applyFont="0" applyFill="0" applyBorder="0" applyAlignment="0" applyProtection="0"/>
    <xf numFmtId="0" fontId="47" fillId="70" borderId="0" applyNumberFormat="0" applyBorder="0" applyAlignment="0" applyProtection="0"/>
    <xf numFmtId="0" fontId="105" fillId="60" borderId="128" applyNumberFormat="0" applyAlignment="0" applyProtection="0"/>
    <xf numFmtId="0" fontId="102" fillId="58" borderId="0" applyNumberFormat="0" applyBorder="0" applyAlignment="0" applyProtection="0"/>
    <xf numFmtId="0" fontId="104" fillId="60" borderId="129" applyNumberFormat="0" applyAlignment="0" applyProtection="0"/>
    <xf numFmtId="0" fontId="39" fillId="68" borderId="0" applyNumberFormat="0" applyBorder="0" applyAlignment="0" applyProtection="0"/>
    <xf numFmtId="0" fontId="55" fillId="0" borderId="133" applyNumberFormat="0" applyFill="0" applyAlignment="0" applyProtection="0"/>
    <xf numFmtId="0" fontId="100" fillId="0" borderId="126" applyNumberFormat="0" applyFill="0" applyAlignment="0" applyProtection="0"/>
    <xf numFmtId="0" fontId="39" fillId="77" borderId="0" applyNumberFormat="0" applyBorder="0" applyAlignment="0" applyProtection="0"/>
    <xf numFmtId="0" fontId="39" fillId="64" borderId="0" applyNumberFormat="0" applyBorder="0" applyAlignment="0" applyProtection="0"/>
    <xf numFmtId="0" fontId="39" fillId="84" borderId="0" applyNumberFormat="0" applyBorder="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86" borderId="0" applyNumberFormat="0" applyBorder="0" applyAlignment="0" applyProtection="0"/>
    <xf numFmtId="0" fontId="47" fillId="78" borderId="0" applyNumberFormat="0" applyBorder="0" applyAlignment="0" applyProtection="0"/>
    <xf numFmtId="0" fontId="106" fillId="0" borderId="130" applyNumberFormat="0" applyFill="0" applyAlignment="0" applyProtection="0"/>
    <xf numFmtId="0" fontId="47" fillId="82" borderId="0" applyNumberFormat="0" applyBorder="0" applyAlignment="0" applyProtection="0"/>
    <xf numFmtId="0" fontId="47" fillId="71" borderId="0" applyNumberFormat="0" applyBorder="0" applyAlignment="0" applyProtection="0"/>
    <xf numFmtId="0" fontId="107" fillId="0" borderId="0" applyNumberFormat="0" applyFill="0" applyBorder="0" applyAlignment="0" applyProtection="0"/>
  </cellStyleXfs>
  <cellXfs count="1250">
    <xf numFmtId="0" fontId="0" fillId="0" borderId="0" xfId="0"/>
    <xf numFmtId="0" fontId="0" fillId="0" borderId="0" xfId="0" applyBorder="1"/>
    <xf numFmtId="0" fontId="0" fillId="25" borderId="10" xfId="0" applyFill="1" applyBorder="1"/>
    <xf numFmtId="0" fontId="0" fillId="25" borderId="0" xfId="0" applyFill="1" applyBorder="1"/>
    <xf numFmtId="0" fontId="0" fillId="25" borderId="11" xfId="0" applyFill="1" applyBorder="1"/>
    <xf numFmtId="0" fontId="44" fillId="25" borderId="10" xfId="0" applyFont="1" applyFill="1" applyBorder="1" applyAlignment="1"/>
    <xf numFmtId="0" fontId="44" fillId="25" borderId="0" xfId="0" applyFont="1" applyFill="1" applyBorder="1" applyAlignment="1"/>
    <xf numFmtId="0" fontId="0" fillId="25" borderId="12" xfId="0" applyFill="1" applyBorder="1"/>
    <xf numFmtId="0" fontId="44" fillId="25" borderId="11" xfId="0" applyFont="1" applyFill="1" applyBorder="1" applyAlignment="1"/>
    <xf numFmtId="0" fontId="45" fillId="25" borderId="13" xfId="0" applyFont="1" applyFill="1" applyBorder="1"/>
    <xf numFmtId="0" fontId="0" fillId="25" borderId="0" xfId="0" applyFill="1"/>
    <xf numFmtId="0" fontId="0" fillId="27" borderId="10" xfId="0" applyFill="1" applyBorder="1" applyAlignment="1">
      <alignment horizontal="center" wrapText="1"/>
    </xf>
    <xf numFmtId="0" fontId="0" fillId="27" borderId="0" xfId="0" applyFill="1" applyBorder="1"/>
    <xf numFmtId="0" fontId="47" fillId="26" borderId="14" xfId="0" applyFont="1" applyFill="1" applyBorder="1" applyAlignment="1">
      <alignment horizontal="center"/>
    </xf>
    <xf numFmtId="0" fontId="47" fillId="26" borderId="15" xfId="0" applyFont="1" applyFill="1" applyBorder="1" applyAlignment="1">
      <alignment horizontal="center"/>
    </xf>
    <xf numFmtId="0" fontId="48" fillId="25" borderId="16" xfId="0" applyFont="1" applyFill="1" applyBorder="1" applyAlignment="1">
      <alignment horizontal="center" vertical="center"/>
    </xf>
    <xf numFmtId="0" fontId="0" fillId="25" borderId="0" xfId="0" applyFill="1" applyAlignment="1">
      <alignment vertical="center" wrapText="1"/>
    </xf>
    <xf numFmtId="0" fontId="45" fillId="25" borderId="0" xfId="0" applyFont="1" applyFill="1" applyBorder="1" applyAlignment="1">
      <alignment horizontal="center"/>
    </xf>
    <xf numFmtId="0" fontId="49" fillId="25" borderId="0" xfId="0" applyFont="1" applyFill="1"/>
    <xf numFmtId="0" fontId="0" fillId="25" borderId="0" xfId="0" quotePrefix="1" applyFill="1"/>
    <xf numFmtId="0" fontId="50" fillId="25" borderId="0" xfId="0" applyFont="1" applyFill="1" applyBorder="1"/>
    <xf numFmtId="0" fontId="47" fillId="25" borderId="0" xfId="0" applyFont="1" applyFill="1" applyBorder="1" applyAlignment="1">
      <alignment horizontal="center" vertical="center"/>
    </xf>
    <xf numFmtId="0" fontId="40" fillId="25" borderId="0" xfId="46" applyFill="1" applyAlignment="1" applyProtection="1"/>
    <xf numFmtId="0" fontId="0" fillId="25" borderId="0" xfId="0" applyFill="1" applyAlignment="1">
      <alignment horizontal="center"/>
    </xf>
    <xf numFmtId="0" fontId="0" fillId="25" borderId="0" xfId="0" applyFill="1" applyAlignment="1">
      <alignment wrapText="1"/>
    </xf>
    <xf numFmtId="0" fontId="0" fillId="25" borderId="10" xfId="0" applyFill="1" applyBorder="1" applyAlignment="1"/>
    <xf numFmtId="0" fontId="0" fillId="27" borderId="17" xfId="0" applyFill="1" applyBorder="1"/>
    <xf numFmtId="0" fontId="47" fillId="27" borderId="10" xfId="0" applyFont="1" applyFill="1" applyBorder="1" applyAlignment="1">
      <alignment horizontal="center"/>
    </xf>
    <xf numFmtId="0" fontId="40" fillId="25" borderId="0" xfId="46" applyFill="1" applyBorder="1" applyAlignment="1" applyProtection="1"/>
    <xf numFmtId="0" fontId="0" fillId="27" borderId="11" xfId="0" applyFill="1" applyBorder="1"/>
    <xf numFmtId="0" fontId="48" fillId="25" borderId="18" xfId="0" applyFont="1" applyFill="1" applyBorder="1" applyAlignment="1">
      <alignment vertical="center"/>
    </xf>
    <xf numFmtId="0" fontId="51" fillId="25" borderId="19" xfId="0" applyFont="1" applyFill="1" applyBorder="1" applyAlignment="1">
      <alignment horizontal="center" vertical="center"/>
    </xf>
    <xf numFmtId="0" fontId="51" fillId="25" borderId="18" xfId="0" applyFont="1" applyFill="1" applyBorder="1" applyAlignment="1">
      <alignment horizontal="center" vertical="center"/>
    </xf>
    <xf numFmtId="0" fontId="0" fillId="27" borderId="16" xfId="0" applyFill="1" applyBorder="1"/>
    <xf numFmtId="0" fontId="47" fillId="27" borderId="20" xfId="0" applyFont="1" applyFill="1" applyBorder="1" applyAlignment="1">
      <alignment horizontal="center"/>
    </xf>
    <xf numFmtId="0" fontId="0" fillId="25" borderId="21" xfId="0" applyFill="1" applyBorder="1"/>
    <xf numFmtId="0" fontId="0" fillId="27" borderId="21" xfId="0" applyFill="1" applyBorder="1"/>
    <xf numFmtId="0" fontId="0" fillId="27" borderId="22" xfId="0" applyFill="1" applyBorder="1"/>
    <xf numFmtId="0" fontId="0" fillId="25" borderId="23" xfId="0" applyNumberFormat="1" applyFont="1" applyFill="1" applyBorder="1" applyAlignment="1">
      <alignment horizontal="center"/>
    </xf>
    <xf numFmtId="0" fontId="47" fillId="26" borderId="14" xfId="0" applyFont="1" applyFill="1" applyBorder="1" applyAlignment="1">
      <alignment horizontal="center" wrapText="1"/>
    </xf>
    <xf numFmtId="0" fontId="0" fillId="25" borderId="0" xfId="0" applyNumberFormat="1" applyFill="1" applyBorder="1" applyAlignment="1"/>
    <xf numFmtId="0" fontId="0" fillId="25" borderId="0" xfId="0" applyFill="1" applyBorder="1" applyAlignment="1"/>
    <xf numFmtId="0" fontId="0" fillId="25" borderId="24" xfId="0" applyFill="1" applyBorder="1" applyAlignment="1">
      <alignment horizontal="center"/>
    </xf>
    <xf numFmtId="1" fontId="0" fillId="25" borderId="0" xfId="0" applyNumberFormat="1" applyFill="1" applyBorder="1" applyAlignment="1">
      <alignment horizontal="center"/>
    </xf>
    <xf numFmtId="164" fontId="0" fillId="25" borderId="0" xfId="0" applyNumberFormat="1" applyFill="1" applyBorder="1" applyAlignment="1">
      <alignment horizontal="center"/>
    </xf>
    <xf numFmtId="0" fontId="49" fillId="25" borderId="0" xfId="0" applyFont="1" applyFill="1" applyBorder="1" applyAlignment="1" applyProtection="1">
      <alignment horizontal="center"/>
      <protection locked="0"/>
    </xf>
    <xf numFmtId="0" fontId="0" fillId="25" borderId="0" xfId="0" applyFont="1" applyFill="1" applyBorder="1" applyAlignment="1">
      <alignment horizontal="center"/>
    </xf>
    <xf numFmtId="0" fontId="49" fillId="25" borderId="0" xfId="0" applyFont="1" applyFill="1" applyBorder="1" applyAlignment="1">
      <alignment horizontal="center"/>
    </xf>
    <xf numFmtId="0" fontId="0" fillId="27" borderId="0" xfId="0" applyFill="1" applyBorder="1" applyAlignment="1">
      <alignment horizontal="center" wrapText="1"/>
    </xf>
    <xf numFmtId="0" fontId="44" fillId="25" borderId="0" xfId="0" applyFont="1" applyFill="1" applyBorder="1" applyAlignment="1">
      <alignment vertical="center" wrapText="1"/>
    </xf>
    <xf numFmtId="5" fontId="39" fillId="25" borderId="0" xfId="29" applyNumberFormat="1" applyFont="1" applyFill="1" applyBorder="1" applyAlignment="1">
      <alignment horizontal="center"/>
    </xf>
    <xf numFmtId="0" fontId="50" fillId="25" borderId="0" xfId="0" applyFont="1" applyFill="1" applyAlignment="1">
      <alignment wrapText="1"/>
    </xf>
    <xf numFmtId="0" fontId="47" fillId="26" borderId="24" xfId="0" applyFont="1" applyFill="1" applyBorder="1" applyAlignment="1">
      <alignment horizontal="center" vertical="center"/>
    </xf>
    <xf numFmtId="0" fontId="47" fillId="26" borderId="25" xfId="0" applyFont="1" applyFill="1" applyBorder="1" applyAlignment="1">
      <alignment horizontal="center" vertical="center"/>
    </xf>
    <xf numFmtId="1" fontId="0" fillId="28" borderId="26" xfId="0" applyNumberFormat="1" applyFill="1" applyBorder="1" applyAlignment="1">
      <alignment horizontal="center" vertical="center"/>
    </xf>
    <xf numFmtId="0" fontId="47" fillId="26" borderId="27" xfId="0" applyFont="1" applyFill="1" applyBorder="1" applyAlignment="1">
      <alignment horizontal="center" vertical="center"/>
    </xf>
    <xf numFmtId="0" fontId="52" fillId="25" borderId="27" xfId="0" applyFont="1" applyFill="1" applyBorder="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0" borderId="17" xfId="0" applyBorder="1"/>
    <xf numFmtId="0" fontId="0" fillId="25" borderId="17" xfId="0"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30" xfId="0" applyFill="1" applyBorder="1" applyAlignment="1">
      <alignment horizontal="center"/>
    </xf>
    <xf numFmtId="0" fontId="0" fillId="29" borderId="31" xfId="0" applyFill="1" applyBorder="1" applyAlignment="1">
      <alignment horizontal="center"/>
    </xf>
    <xf numFmtId="0" fontId="0" fillId="29" borderId="32" xfId="0" applyFill="1" applyBorder="1" applyAlignment="1">
      <alignment horizontal="center"/>
    </xf>
    <xf numFmtId="0" fontId="0" fillId="29" borderId="20" xfId="0" applyFill="1" applyBorder="1" applyAlignment="1">
      <alignment horizontal="center"/>
    </xf>
    <xf numFmtId="0" fontId="0" fillId="25" borderId="12" xfId="0" applyFill="1" applyBorder="1" applyAlignment="1">
      <alignment horizontal="center"/>
    </xf>
    <xf numFmtId="0" fontId="0" fillId="25" borderId="33" xfId="0" applyFill="1" applyBorder="1" applyAlignment="1">
      <alignment horizontal="center"/>
    </xf>
    <xf numFmtId="0" fontId="0" fillId="25" borderId="34" xfId="0" applyFill="1" applyBorder="1" applyAlignment="1">
      <alignment horizontal="center"/>
    </xf>
    <xf numFmtId="0" fontId="0" fillId="29" borderId="12" xfId="0" applyFill="1" applyBorder="1" applyAlignment="1">
      <alignment horizontal="center"/>
    </xf>
    <xf numFmtId="0" fontId="0" fillId="29" borderId="33" xfId="0" applyFill="1" applyBorder="1" applyAlignment="1">
      <alignment horizontal="center"/>
    </xf>
    <xf numFmtId="0" fontId="0" fillId="29" borderId="34" xfId="0" applyFill="1" applyBorder="1" applyAlignment="1">
      <alignment horizontal="center"/>
    </xf>
    <xf numFmtId="0" fontId="52" fillId="25" borderId="14" xfId="0" applyFont="1" applyFill="1" applyBorder="1" applyAlignment="1">
      <alignment horizontal="center"/>
    </xf>
    <xf numFmtId="0" fontId="0" fillId="25" borderId="14" xfId="0" applyFill="1" applyBorder="1" applyAlignment="1">
      <alignment horizontal="center"/>
    </xf>
    <xf numFmtId="0" fontId="53" fillId="29" borderId="14" xfId="0" applyFont="1" applyFill="1" applyBorder="1" applyAlignment="1">
      <alignment horizontal="center" vertical="center" wrapText="1"/>
    </xf>
    <xf numFmtId="0" fontId="0" fillId="25" borderId="0" xfId="0" applyFill="1" applyBorder="1" applyAlignment="1" applyProtection="1">
      <alignment horizontal="center"/>
      <protection locked="0"/>
    </xf>
    <xf numFmtId="0" fontId="45" fillId="25" borderId="0" xfId="0" applyFont="1" applyFill="1" applyAlignment="1"/>
    <xf numFmtId="0" fontId="0" fillId="29" borderId="14" xfId="0" applyFill="1" applyBorder="1" applyAlignment="1">
      <alignment horizontal="center"/>
    </xf>
    <xf numFmtId="0" fontId="52" fillId="25" borderId="14" xfId="0" applyFont="1" applyFill="1" applyBorder="1" applyAlignment="1">
      <alignment horizontal="center" vertical="center"/>
    </xf>
    <xf numFmtId="0" fontId="52" fillId="30" borderId="14" xfId="0" applyFont="1" applyFill="1" applyBorder="1" applyAlignment="1">
      <alignment horizontal="center" vertical="center"/>
    </xf>
    <xf numFmtId="0" fontId="0" fillId="30" borderId="14" xfId="0" applyFill="1" applyBorder="1" applyAlignment="1">
      <alignment horizontal="center"/>
    </xf>
    <xf numFmtId="0" fontId="52" fillId="30" borderId="14" xfId="0" applyFont="1" applyFill="1" applyBorder="1" applyAlignment="1">
      <alignment horizontal="center"/>
    </xf>
    <xf numFmtId="164" fontId="52" fillId="28" borderId="28" xfId="0" quotePrefix="1" applyNumberFormat="1" applyFont="1" applyFill="1" applyBorder="1" applyAlignment="1">
      <alignment horizontal="center" vertical="center"/>
    </xf>
    <xf numFmtId="0" fontId="52" fillId="28" borderId="17" xfId="0" quotePrefix="1" applyFont="1" applyFill="1" applyBorder="1" applyAlignment="1">
      <alignment horizontal="center" vertical="center"/>
    </xf>
    <xf numFmtId="0" fontId="49" fillId="25" borderId="14" xfId="0" applyFont="1" applyFill="1" applyBorder="1" applyAlignment="1">
      <alignment horizontal="center"/>
    </xf>
    <xf numFmtId="0" fontId="54" fillId="25" borderId="14" xfId="0" applyFont="1" applyFill="1" applyBorder="1" applyAlignment="1">
      <alignment horizontal="center"/>
    </xf>
    <xf numFmtId="0" fontId="49" fillId="25" borderId="14" xfId="0" applyFont="1" applyFill="1" applyBorder="1" applyAlignment="1">
      <alignment horizontal="center" vertical="center"/>
    </xf>
    <xf numFmtId="0" fontId="49" fillId="25" borderId="27" xfId="0" applyFont="1" applyFill="1" applyBorder="1" applyAlignment="1">
      <alignment horizontal="center" vertical="center"/>
    </xf>
    <xf numFmtId="0" fontId="0" fillId="25" borderId="0" xfId="0" applyFill="1" applyBorder="1" applyAlignment="1">
      <alignment wrapText="1"/>
    </xf>
    <xf numFmtId="1" fontId="0" fillId="28" borderId="24" xfId="0" applyNumberFormat="1" applyFill="1" applyBorder="1" applyAlignment="1">
      <alignment horizontal="center" vertical="center"/>
    </xf>
    <xf numFmtId="0" fontId="47" fillId="26" borderId="10" xfId="0" applyFont="1" applyFill="1" applyBorder="1" applyAlignment="1">
      <alignment horizontal="center" vertical="center" wrapText="1"/>
    </xf>
    <xf numFmtId="0" fontId="47" fillId="26" borderId="35" xfId="0" applyFont="1" applyFill="1" applyBorder="1" applyAlignment="1">
      <alignment horizontal="center" vertical="center"/>
    </xf>
    <xf numFmtId="1" fontId="0" fillId="28" borderId="27" xfId="0" applyNumberFormat="1" applyFill="1" applyBorder="1" applyAlignment="1">
      <alignment horizontal="center" vertical="center"/>
    </xf>
    <xf numFmtId="0" fontId="47" fillId="26" borderId="10" xfId="0" applyFont="1" applyFill="1" applyBorder="1" applyAlignment="1">
      <alignment horizontal="center" vertical="center"/>
    </xf>
    <xf numFmtId="1" fontId="0" fillId="28" borderId="36" xfId="0" applyNumberFormat="1" applyFill="1" applyBorder="1" applyAlignment="1">
      <alignment horizontal="center" vertical="center"/>
    </xf>
    <xf numFmtId="0" fontId="46" fillId="26" borderId="35" xfId="0" applyFont="1" applyFill="1" applyBorder="1" applyAlignment="1">
      <alignment horizontal="center" vertical="center"/>
    </xf>
    <xf numFmtId="1" fontId="55" fillId="28" borderId="24" xfId="0" applyNumberFormat="1" applyFont="1" applyFill="1" applyBorder="1" applyAlignment="1">
      <alignment horizontal="center" vertical="center"/>
    </xf>
    <xf numFmtId="0" fontId="0" fillId="32" borderId="0" xfId="0" applyFill="1"/>
    <xf numFmtId="0" fontId="0" fillId="0" borderId="0" xfId="0"/>
    <xf numFmtId="0" fontId="0" fillId="25" borderId="0" xfId="0" applyFont="1" applyFill="1" applyBorder="1" applyAlignment="1">
      <alignment horizontal="center" vertical="center" wrapText="1"/>
    </xf>
    <xf numFmtId="49" fontId="46" fillId="33" borderId="39" xfId="0" applyNumberFormat="1" applyFont="1" applyFill="1" applyBorder="1" applyAlignment="1">
      <alignment horizontal="center" vertical="center" wrapText="1"/>
    </xf>
    <xf numFmtId="49" fontId="46" fillId="33" borderId="40" xfId="0" applyNumberFormat="1" applyFont="1" applyFill="1" applyBorder="1" applyAlignment="1">
      <alignment horizontal="center" vertical="center" wrapText="1"/>
    </xf>
    <xf numFmtId="0" fontId="46" fillId="33" borderId="40" xfId="0" applyNumberFormat="1" applyFont="1" applyFill="1" applyBorder="1" applyAlignment="1">
      <alignment horizontal="center" vertical="center" wrapText="1"/>
    </xf>
    <xf numFmtId="0" fontId="46" fillId="33" borderId="40" xfId="54" applyNumberFormat="1" applyFont="1" applyFill="1" applyBorder="1" applyAlignment="1">
      <alignment horizontal="center" vertical="center" wrapText="1"/>
    </xf>
    <xf numFmtId="0" fontId="46" fillId="33" borderId="41" xfId="54" applyNumberFormat="1" applyFont="1" applyFill="1" applyBorder="1" applyAlignment="1">
      <alignment horizontal="center" vertical="center" wrapText="1"/>
    </xf>
    <xf numFmtId="0" fontId="46" fillId="33" borderId="40" xfId="36" applyNumberFormat="1" applyFont="1" applyFill="1" applyBorder="1" applyAlignment="1">
      <alignment horizontal="center" vertical="center" wrapText="1"/>
    </xf>
    <xf numFmtId="0" fontId="46" fillId="33" borderId="40" xfId="35" applyNumberFormat="1" applyFont="1" applyFill="1" applyBorder="1" applyAlignment="1">
      <alignment horizontal="center" vertical="center" wrapText="1"/>
    </xf>
    <xf numFmtId="0" fontId="0" fillId="34" borderId="0" xfId="0" applyFill="1"/>
    <xf numFmtId="49" fontId="46" fillId="33" borderId="42" xfId="0" applyNumberFormat="1" applyFont="1" applyFill="1" applyBorder="1" applyAlignment="1">
      <alignment horizontal="center" vertical="center" wrapText="1"/>
    </xf>
    <xf numFmtId="0" fontId="0" fillId="35" borderId="37" xfId="0" applyFill="1" applyBorder="1" applyAlignment="1">
      <alignment wrapText="1"/>
    </xf>
    <xf numFmtId="0" fontId="0" fillId="35" borderId="13" xfId="0" applyFill="1" applyBorder="1" applyAlignment="1">
      <alignment wrapText="1"/>
    </xf>
    <xf numFmtId="0" fontId="0" fillId="35" borderId="43" xfId="0" applyFill="1" applyBorder="1" applyAlignment="1">
      <alignment wrapText="1"/>
    </xf>
    <xf numFmtId="0" fontId="0" fillId="35" borderId="0" xfId="0" applyFill="1" applyBorder="1" applyAlignment="1">
      <alignment wrapText="1"/>
    </xf>
    <xf numFmtId="0" fontId="0" fillId="35" borderId="11" xfId="0" applyFill="1" applyBorder="1" applyAlignment="1">
      <alignment wrapText="1"/>
    </xf>
    <xf numFmtId="0" fontId="0" fillId="35" borderId="0" xfId="0" applyFill="1" applyBorder="1" applyAlignment="1">
      <alignment horizontal="center" wrapText="1"/>
    </xf>
    <xf numFmtId="0" fontId="0" fillId="35" borderId="19" xfId="0" applyFill="1" applyBorder="1" applyAlignment="1">
      <alignment wrapText="1"/>
    </xf>
    <xf numFmtId="0" fontId="0" fillId="35" borderId="18" xfId="0" applyFill="1" applyBorder="1" applyAlignment="1">
      <alignment wrapText="1"/>
    </xf>
    <xf numFmtId="0" fontId="0" fillId="35" borderId="38" xfId="0" applyFill="1" applyBorder="1" applyAlignment="1">
      <alignment wrapText="1"/>
    </xf>
    <xf numFmtId="0" fontId="44" fillId="25" borderId="0" xfId="0" applyFont="1" applyFill="1" applyBorder="1" applyAlignment="1">
      <alignment wrapText="1"/>
    </xf>
    <xf numFmtId="0" fontId="55" fillId="25" borderId="0" xfId="0" applyFont="1" applyFill="1" applyBorder="1" applyAlignment="1">
      <alignment horizontal="center" vertical="center" wrapText="1"/>
    </xf>
    <xf numFmtId="166" fontId="39" fillId="25" borderId="0" xfId="35" applyNumberFormat="1" applyFont="1" applyFill="1" applyBorder="1" applyAlignment="1">
      <alignment horizontal="center" vertical="center" wrapText="1"/>
    </xf>
    <xf numFmtId="0" fontId="44" fillId="25" borderId="0" xfId="0" applyFont="1" applyFill="1" applyBorder="1" applyAlignment="1">
      <alignment horizontal="left" vertical="center" wrapText="1"/>
    </xf>
    <xf numFmtId="0" fontId="50" fillId="25" borderId="0" xfId="0" applyFont="1" applyFill="1"/>
    <xf numFmtId="164" fontId="46" fillId="26" borderId="30" xfId="0" applyNumberFormat="1" applyFont="1" applyFill="1" applyBorder="1" applyAlignment="1">
      <alignment horizontal="center" vertical="center" wrapText="1"/>
    </xf>
    <xf numFmtId="164" fontId="0" fillId="28" borderId="28" xfId="0" applyNumberFormat="1" applyFill="1" applyBorder="1" applyAlignment="1">
      <alignment horizontal="center"/>
    </xf>
    <xf numFmtId="0" fontId="0" fillId="28" borderId="34" xfId="0" applyFill="1" applyBorder="1" applyAlignment="1">
      <alignment horizontal="center"/>
    </xf>
    <xf numFmtId="44" fontId="39" fillId="0" borderId="0" xfId="35" applyFont="1"/>
    <xf numFmtId="9" fontId="39" fillId="0" borderId="0" xfId="77" applyFont="1"/>
    <xf numFmtId="0" fontId="0" fillId="36" borderId="0" xfId="0" applyFill="1"/>
    <xf numFmtId="0" fontId="47" fillId="26" borderId="44" xfId="0" applyFont="1" applyFill="1" applyBorder="1" applyAlignment="1">
      <alignment horizontal="right"/>
    </xf>
    <xf numFmtId="0" fontId="47" fillId="26" borderId="45" xfId="0" applyFont="1" applyFill="1" applyBorder="1" applyAlignment="1">
      <alignment horizontal="right"/>
    </xf>
    <xf numFmtId="0" fontId="47" fillId="26" borderId="46" xfId="0" applyFont="1" applyFill="1" applyBorder="1" applyAlignment="1">
      <alignment horizontal="right"/>
    </xf>
    <xf numFmtId="0" fontId="59" fillId="26" borderId="16" xfId="0" applyFont="1" applyFill="1" applyBorder="1" applyAlignment="1">
      <alignment horizontal="right"/>
    </xf>
    <xf numFmtId="0" fontId="0" fillId="27" borderId="31" xfId="0" applyFill="1" applyBorder="1"/>
    <xf numFmtId="0" fontId="47" fillId="26" borderId="25" xfId="0" applyFont="1" applyFill="1" applyBorder="1" applyAlignment="1">
      <alignment horizontal="right"/>
    </xf>
    <xf numFmtId="0" fontId="47" fillId="26" borderId="27" xfId="0" applyFont="1" applyFill="1" applyBorder="1" applyAlignment="1">
      <alignment horizontal="right"/>
    </xf>
    <xf numFmtId="0" fontId="47" fillId="26" borderId="24" xfId="0" applyFont="1" applyFill="1" applyBorder="1" applyAlignment="1">
      <alignment horizontal="right"/>
    </xf>
    <xf numFmtId="0" fontId="47" fillId="26" borderId="47" xfId="0" applyFont="1" applyFill="1" applyBorder="1" applyAlignment="1">
      <alignment horizontal="right"/>
    </xf>
    <xf numFmtId="0" fontId="44" fillId="25" borderId="28" xfId="0" applyFont="1" applyFill="1" applyBorder="1" applyAlignment="1"/>
    <xf numFmtId="164" fontId="0" fillId="28" borderId="27" xfId="0" applyNumberFormat="1" applyFill="1" applyBorder="1" applyAlignment="1">
      <alignment horizontal="center"/>
    </xf>
    <xf numFmtId="1" fontId="0" fillId="28" borderId="24" xfId="0" applyNumberFormat="1" applyFill="1" applyBorder="1" applyAlignment="1">
      <alignment horizontal="center"/>
    </xf>
    <xf numFmtId="0" fontId="0" fillId="27" borderId="28" xfId="0" applyFill="1" applyBorder="1" applyAlignment="1">
      <alignment horizontal="center"/>
    </xf>
    <xf numFmtId="0" fontId="45" fillId="0" borderId="20" xfId="0" applyFont="1" applyBorder="1" applyAlignment="1">
      <alignment horizontal="center"/>
    </xf>
    <xf numFmtId="0" fontId="48" fillId="25" borderId="14" xfId="0" applyFont="1" applyFill="1" applyBorder="1" applyAlignment="1">
      <alignment horizontal="center" vertical="center"/>
    </xf>
    <xf numFmtId="0" fontId="0" fillId="25" borderId="0" xfId="0" applyFill="1" applyAlignment="1">
      <alignment horizontal="center" vertical="center" wrapText="1"/>
    </xf>
    <xf numFmtId="0" fontId="0" fillId="25" borderId="0" xfId="0" applyFill="1" applyBorder="1" applyAlignment="1">
      <alignment vertical="center" wrapText="1"/>
    </xf>
    <xf numFmtId="0" fontId="0" fillId="36" borderId="0" xfId="0" applyFill="1" applyAlignment="1">
      <alignment wrapText="1"/>
    </xf>
    <xf numFmtId="0" fontId="0" fillId="25" borderId="0" xfId="0" applyFill="1" applyAlignment="1"/>
    <xf numFmtId="0" fontId="40" fillId="25" borderId="0" xfId="46" applyFill="1" applyAlignment="1" applyProtection="1">
      <alignment wrapText="1"/>
    </xf>
    <xf numFmtId="0" fontId="46" fillId="25" borderId="0" xfId="0" applyFont="1" applyFill="1" applyBorder="1" applyAlignment="1">
      <alignment horizontal="center" wrapText="1"/>
    </xf>
    <xf numFmtId="0" fontId="46" fillId="33" borderId="48" xfId="0" applyFont="1" applyFill="1" applyBorder="1" applyAlignment="1">
      <alignment horizontal="center" wrapText="1"/>
    </xf>
    <xf numFmtId="0" fontId="55" fillId="28" borderId="49" xfId="0" applyFont="1" applyFill="1" applyBorder="1" applyAlignment="1">
      <alignment horizontal="center" vertical="center" wrapText="1"/>
    </xf>
    <xf numFmtId="0" fontId="46" fillId="33" borderId="48" xfId="0" applyFont="1" applyFill="1" applyBorder="1" applyAlignment="1">
      <alignment horizontal="center" vertical="center" wrapText="1"/>
    </xf>
    <xf numFmtId="44" fontId="39" fillId="25" borderId="0" xfId="35" applyFont="1" applyFill="1"/>
    <xf numFmtId="9" fontId="39" fillId="25" borderId="0" xfId="77" applyFont="1" applyFill="1"/>
    <xf numFmtId="44" fontId="55" fillId="28" borderId="50" xfId="35" applyNumberFormat="1" applyFont="1" applyFill="1" applyBorder="1" applyAlignment="1"/>
    <xf numFmtId="0" fontId="46" fillId="37" borderId="40" xfId="0" applyFont="1" applyFill="1" applyBorder="1" applyAlignment="1">
      <alignment horizontal="center" wrapText="1"/>
    </xf>
    <xf numFmtId="0" fontId="60" fillId="25" borderId="0" xfId="0" applyFont="1" applyFill="1" applyAlignment="1">
      <alignment wrapText="1"/>
    </xf>
    <xf numFmtId="0" fontId="0" fillId="25" borderId="0" xfId="0" quotePrefix="1" applyFill="1" applyAlignment="1">
      <alignment horizontal="center"/>
    </xf>
    <xf numFmtId="166" fontId="55" fillId="28" borderId="51" xfId="35" applyNumberFormat="1" applyFont="1" applyFill="1" applyBorder="1" applyAlignment="1">
      <alignment horizontal="center" wrapText="1"/>
    </xf>
    <xf numFmtId="0" fontId="0" fillId="27" borderId="19" xfId="0" applyFill="1" applyBorder="1"/>
    <xf numFmtId="0" fontId="0" fillId="27" borderId="18" xfId="0" applyFill="1" applyBorder="1"/>
    <xf numFmtId="0" fontId="0" fillId="27" borderId="10" xfId="0" applyFill="1" applyBorder="1"/>
    <xf numFmtId="0" fontId="0" fillId="25" borderId="0" xfId="0" applyFont="1" applyFill="1" applyAlignment="1">
      <alignment horizontal="left"/>
    </xf>
    <xf numFmtId="0" fontId="46" fillId="33" borderId="52" xfId="0" applyNumberFormat="1" applyFont="1" applyFill="1" applyBorder="1" applyAlignment="1">
      <alignment horizontal="center" wrapText="1"/>
    </xf>
    <xf numFmtId="0" fontId="46" fillId="33" borderId="51" xfId="0" applyNumberFormat="1" applyFont="1" applyFill="1" applyBorder="1" applyAlignment="1">
      <alignment horizontal="center" wrapText="1"/>
    </xf>
    <xf numFmtId="0" fontId="0" fillId="25" borderId="0" xfId="0" quotePrefix="1" applyFill="1" applyBorder="1"/>
    <xf numFmtId="0" fontId="0" fillId="0" borderId="0" xfId="0" applyAlignment="1">
      <alignment wrapText="1"/>
    </xf>
    <xf numFmtId="0" fontId="0" fillId="25" borderId="0" xfId="0" applyFill="1" applyProtection="1">
      <protection locked="0"/>
    </xf>
    <xf numFmtId="0" fontId="55" fillId="33" borderId="51" xfId="77" applyNumberFormat="1" applyFont="1" applyFill="1" applyBorder="1" applyAlignment="1">
      <alignment horizontal="center" wrapText="1"/>
    </xf>
    <xf numFmtId="165" fontId="0" fillId="28" borderId="11" xfId="0" applyNumberFormat="1" applyFill="1" applyBorder="1" applyAlignment="1">
      <alignment horizontal="center"/>
    </xf>
    <xf numFmtId="0" fontId="0" fillId="35" borderId="11" xfId="0" applyFill="1" applyBorder="1"/>
    <xf numFmtId="0" fontId="0" fillId="35" borderId="0" xfId="0" applyFill="1" applyBorder="1"/>
    <xf numFmtId="0" fontId="0" fillId="35" borderId="0" xfId="0" applyFill="1" applyBorder="1" applyAlignment="1"/>
    <xf numFmtId="0" fontId="0" fillId="35" borderId="10" xfId="0" applyFill="1" applyBorder="1"/>
    <xf numFmtId="0" fontId="0" fillId="35" borderId="19" xfId="0" applyFill="1" applyBorder="1"/>
    <xf numFmtId="0" fontId="0" fillId="35" borderId="18" xfId="0" applyFill="1" applyBorder="1"/>
    <xf numFmtId="0" fontId="0" fillId="35" borderId="38" xfId="0" applyFill="1" applyBorder="1"/>
    <xf numFmtId="0" fontId="46" fillId="33" borderId="54" xfId="54" applyNumberFormat="1" applyFont="1" applyFill="1" applyBorder="1" applyAlignment="1">
      <alignment horizontal="center" vertical="center" wrapText="1"/>
    </xf>
    <xf numFmtId="0" fontId="0" fillId="0" borderId="0" xfId="0" applyFill="1" applyBorder="1" applyAlignment="1">
      <alignment wrapText="1"/>
    </xf>
    <xf numFmtId="0" fontId="44" fillId="0" borderId="0" xfId="0" applyFont="1" applyFill="1" applyBorder="1" applyAlignment="1">
      <alignment wrapText="1"/>
    </xf>
    <xf numFmtId="49" fontId="46" fillId="33" borderId="55" xfId="0" applyNumberFormat="1" applyFont="1" applyFill="1" applyBorder="1" applyAlignment="1">
      <alignment horizontal="center" vertical="center" wrapText="1"/>
    </xf>
    <xf numFmtId="0" fontId="46" fillId="33" borderId="41" xfId="35" applyNumberFormat="1" applyFont="1" applyFill="1" applyBorder="1" applyAlignment="1">
      <alignment horizontal="center" vertical="center" wrapText="1"/>
    </xf>
    <xf numFmtId="0" fontId="0" fillId="35" borderId="37" xfId="0" applyFill="1" applyBorder="1"/>
    <xf numFmtId="0" fontId="0" fillId="35" borderId="13" xfId="0" applyFill="1" applyBorder="1"/>
    <xf numFmtId="0" fontId="0" fillId="35" borderId="43" xfId="0" applyFill="1" applyBorder="1"/>
    <xf numFmtId="0" fontId="62" fillId="25" borderId="0" xfId="0" applyFont="1" applyFill="1"/>
    <xf numFmtId="0" fontId="45" fillId="25" borderId="0" xfId="0" applyFont="1" applyFill="1" applyAlignment="1">
      <alignment wrapText="1"/>
    </xf>
    <xf numFmtId="0" fontId="56" fillId="25" borderId="0" xfId="0" applyFont="1" applyFill="1" applyAlignment="1">
      <alignment wrapText="1"/>
    </xf>
    <xf numFmtId="0" fontId="53" fillId="31" borderId="28" xfId="0" applyFont="1" applyFill="1" applyBorder="1" applyAlignment="1">
      <alignment horizontal="center" vertical="center" wrapText="1"/>
    </xf>
    <xf numFmtId="3" fontId="53" fillId="31" borderId="27" xfId="0" applyNumberFormat="1" applyFont="1" applyFill="1" applyBorder="1" applyAlignment="1">
      <alignment horizontal="center" vertical="center" wrapText="1"/>
    </xf>
    <xf numFmtId="0" fontId="63" fillId="0" borderId="0" xfId="0" applyFont="1" applyAlignment="1">
      <alignment wrapText="1"/>
    </xf>
    <xf numFmtId="0" fontId="52" fillId="0" borderId="0" xfId="0" applyFont="1"/>
    <xf numFmtId="0" fontId="52" fillId="0" borderId="27" xfId="0" applyFont="1" applyBorder="1"/>
    <xf numFmtId="0" fontId="52" fillId="0" borderId="27" xfId="0" applyFont="1" applyBorder="1" applyAlignment="1"/>
    <xf numFmtId="0" fontId="52" fillId="0" borderId="27" xfId="0" applyFont="1" applyBorder="1" applyAlignment="1">
      <alignment wrapText="1"/>
    </xf>
    <xf numFmtId="0" fontId="52" fillId="0" borderId="27" xfId="0" applyFont="1" applyFill="1" applyBorder="1" applyAlignment="1">
      <alignment wrapText="1"/>
    </xf>
    <xf numFmtId="3" fontId="52" fillId="0" borderId="27" xfId="0" applyNumberFormat="1" applyFont="1" applyBorder="1" applyAlignment="1">
      <alignment wrapText="1"/>
    </xf>
    <xf numFmtId="167" fontId="52" fillId="0" borderId="27" xfId="0" applyNumberFormat="1" applyFont="1" applyBorder="1" applyAlignment="1">
      <alignment wrapText="1"/>
    </xf>
    <xf numFmtId="0" fontId="55" fillId="25" borderId="33" xfId="0" applyFont="1" applyFill="1" applyBorder="1" applyAlignment="1">
      <alignment wrapText="1"/>
    </xf>
    <xf numFmtId="2" fontId="0" fillId="0" borderId="56" xfId="0" quotePrefix="1" applyNumberFormat="1" applyFont="1" applyBorder="1" applyAlignment="1">
      <alignment horizontal="center"/>
    </xf>
    <xf numFmtId="0" fontId="0" fillId="25" borderId="0" xfId="0" applyNumberFormat="1" applyFont="1" applyFill="1" applyBorder="1" applyAlignment="1">
      <alignment horizontal="center"/>
    </xf>
    <xf numFmtId="0" fontId="48" fillId="25" borderId="0" xfId="0" applyFont="1" applyFill="1" applyBorder="1" applyAlignment="1">
      <alignment horizontal="center" vertical="center"/>
    </xf>
    <xf numFmtId="0" fontId="51" fillId="25" borderId="0" xfId="0" applyFont="1" applyFill="1" applyBorder="1" applyAlignment="1"/>
    <xf numFmtId="0" fontId="0" fillId="25" borderId="45" xfId="0" quotePrefix="1" applyFill="1" applyBorder="1" applyAlignment="1">
      <alignment horizontal="center"/>
    </xf>
    <xf numFmtId="164" fontId="0" fillId="41" borderId="11" xfId="0" applyNumberFormat="1" applyFill="1" applyBorder="1" applyAlignment="1">
      <alignment horizontal="center"/>
    </xf>
    <xf numFmtId="164" fontId="0" fillId="25" borderId="45" xfId="0" quotePrefix="1" applyNumberFormat="1" applyFill="1" applyBorder="1" applyAlignment="1">
      <alignment horizontal="center"/>
    </xf>
    <xf numFmtId="164" fontId="0" fillId="25" borderId="57" xfId="0" quotePrefix="1" applyNumberFormat="1" applyFill="1" applyBorder="1" applyAlignment="1">
      <alignment horizontal="center"/>
    </xf>
    <xf numFmtId="164" fontId="0" fillId="42" borderId="38" xfId="0" applyNumberFormat="1" applyFill="1" applyBorder="1" applyAlignment="1">
      <alignment horizontal="center"/>
    </xf>
    <xf numFmtId="164" fontId="0" fillId="25" borderId="14" xfId="0" quotePrefix="1" applyNumberFormat="1" applyFont="1" applyFill="1" applyBorder="1" applyAlignment="1">
      <alignment horizontal="center"/>
    </xf>
    <xf numFmtId="0" fontId="64" fillId="25" borderId="14" xfId="0" applyFont="1" applyFill="1" applyBorder="1" applyAlignment="1">
      <alignment horizontal="center" vertical="center" wrapText="1"/>
    </xf>
    <xf numFmtId="164" fontId="0" fillId="43" borderId="11" xfId="0" applyNumberFormat="1" applyFill="1" applyBorder="1" applyAlignment="1">
      <alignment horizontal="center"/>
    </xf>
    <xf numFmtId="0" fontId="0" fillId="35" borderId="0" xfId="0" applyFill="1" applyBorder="1" applyAlignment="1">
      <alignment vertical="center" wrapText="1"/>
    </xf>
    <xf numFmtId="164" fontId="0" fillId="46" borderId="11" xfId="0" applyNumberFormat="1" applyFill="1" applyBorder="1" applyAlignment="1">
      <alignment horizontal="center"/>
    </xf>
    <xf numFmtId="37" fontId="57" fillId="25" borderId="0" xfId="29" applyNumberFormat="1" applyFont="1" applyFill="1" applyBorder="1" applyAlignment="1" applyProtection="1">
      <alignment horizontal="center" vertical="center"/>
      <protection locked="0"/>
    </xf>
    <xf numFmtId="168" fontId="57" fillId="25" borderId="0" xfId="29" applyNumberFormat="1" applyFont="1" applyFill="1" applyBorder="1" applyAlignment="1" applyProtection="1">
      <alignment horizontal="center" vertical="center"/>
      <protection locked="0"/>
    </xf>
    <xf numFmtId="2" fontId="0" fillId="25" borderId="0" xfId="0" applyNumberFormat="1" applyFill="1" applyBorder="1" applyAlignment="1">
      <alignment horizontal="center"/>
    </xf>
    <xf numFmtId="37" fontId="57" fillId="25" borderId="10" xfId="29" applyNumberFormat="1" applyFont="1" applyFill="1" applyBorder="1" applyAlignment="1" applyProtection="1">
      <alignment horizontal="center" vertical="center"/>
      <protection locked="0"/>
    </xf>
    <xf numFmtId="0" fontId="47" fillId="25" borderId="0" xfId="0" applyFont="1" applyFill="1" applyBorder="1" applyAlignment="1">
      <alignment horizontal="center"/>
    </xf>
    <xf numFmtId="0" fontId="47" fillId="25" borderId="11" xfId="0" applyFont="1" applyFill="1" applyBorder="1" applyAlignment="1">
      <alignment horizontal="center"/>
    </xf>
    <xf numFmtId="0" fontId="47" fillId="25" borderId="0" xfId="0" applyFont="1" applyFill="1" applyBorder="1" applyAlignment="1">
      <alignment horizontal="center" wrapText="1"/>
    </xf>
    <xf numFmtId="3" fontId="0" fillId="25" borderId="0" xfId="0" applyNumberFormat="1" applyFill="1" applyBorder="1" applyAlignment="1">
      <alignment horizontal="center"/>
    </xf>
    <xf numFmtId="0" fontId="0" fillId="25" borderId="14" xfId="0" applyFont="1" applyFill="1" applyBorder="1" applyAlignment="1" applyProtection="1">
      <alignment horizontal="center" vertical="center"/>
      <protection locked="0"/>
    </xf>
    <xf numFmtId="0" fontId="0" fillId="25" borderId="14" xfId="0" applyFont="1" applyFill="1" applyBorder="1" applyAlignment="1" applyProtection="1">
      <alignment horizontal="center"/>
      <protection locked="0"/>
    </xf>
    <xf numFmtId="0" fontId="0" fillId="47" borderId="61" xfId="0" applyFill="1" applyBorder="1" applyAlignment="1">
      <alignment wrapText="1"/>
    </xf>
    <xf numFmtId="0" fontId="0" fillId="47" borderId="23" xfId="0" applyFill="1" applyBorder="1" applyAlignment="1">
      <alignment wrapText="1"/>
    </xf>
    <xf numFmtId="0" fontId="0" fillId="25" borderId="10" xfId="0" applyFill="1" applyBorder="1" applyAlignment="1">
      <alignment wrapText="1"/>
    </xf>
    <xf numFmtId="0" fontId="0" fillId="25" borderId="11" xfId="0" applyFill="1" applyBorder="1" applyAlignment="1">
      <alignment wrapText="1"/>
    </xf>
    <xf numFmtId="49" fontId="50" fillId="25" borderId="70" xfId="0" applyNumberFormat="1" applyFont="1" applyFill="1" applyBorder="1" applyAlignment="1">
      <alignment horizontal="left" wrapText="1"/>
    </xf>
    <xf numFmtId="0" fontId="50" fillId="25" borderId="70" xfId="0" applyFont="1" applyFill="1" applyBorder="1" applyAlignment="1">
      <alignment horizontal="left" wrapText="1"/>
    </xf>
    <xf numFmtId="0" fontId="65" fillId="40" borderId="70" xfId="46" applyFont="1" applyFill="1" applyBorder="1" applyAlignment="1" applyProtection="1">
      <alignment horizontal="right" vertical="center" wrapText="1"/>
    </xf>
    <xf numFmtId="0" fontId="50" fillId="25" borderId="10" xfId="0" applyFont="1" applyFill="1" applyBorder="1" applyAlignment="1">
      <alignment wrapText="1"/>
    </xf>
    <xf numFmtId="0" fontId="50" fillId="25" borderId="11" xfId="0" applyFont="1" applyFill="1" applyBorder="1" applyAlignment="1">
      <alignment wrapText="1"/>
    </xf>
    <xf numFmtId="0" fontId="50" fillId="36" borderId="0" xfId="0" applyFont="1" applyFill="1" applyAlignment="1">
      <alignment wrapText="1"/>
    </xf>
    <xf numFmtId="0" fontId="47" fillId="47" borderId="61" xfId="0" applyFont="1" applyFill="1" applyBorder="1" applyAlignment="1">
      <alignment wrapText="1"/>
    </xf>
    <xf numFmtId="0" fontId="47" fillId="47" borderId="23" xfId="0" applyFont="1" applyFill="1" applyBorder="1" applyAlignment="1">
      <alignment wrapText="1"/>
    </xf>
    <xf numFmtId="0" fontId="0" fillId="40" borderId="10" xfId="0" applyFill="1" applyBorder="1" applyAlignment="1">
      <alignment wrapText="1"/>
    </xf>
    <xf numFmtId="0" fontId="0" fillId="40" borderId="11" xfId="0" applyFill="1" applyBorder="1" applyAlignment="1">
      <alignment wrapText="1"/>
    </xf>
    <xf numFmtId="0" fontId="0" fillId="25" borderId="19" xfId="0" applyFill="1" applyBorder="1" applyAlignment="1">
      <alignment wrapText="1"/>
    </xf>
    <xf numFmtId="0" fontId="0" fillId="25" borderId="18" xfId="0" applyFill="1" applyBorder="1" applyAlignment="1">
      <alignment wrapText="1"/>
    </xf>
    <xf numFmtId="0" fontId="0" fillId="25" borderId="38" xfId="0" applyFill="1" applyBorder="1" applyAlignment="1">
      <alignment wrapText="1"/>
    </xf>
    <xf numFmtId="0" fontId="40" fillId="25" borderId="0" xfId="46" applyFill="1" applyBorder="1" applyAlignment="1" applyProtection="1">
      <alignment horizontal="left" wrapText="1"/>
    </xf>
    <xf numFmtId="0" fontId="67" fillId="25" borderId="0" xfId="0" applyFont="1" applyFill="1" applyAlignment="1">
      <alignment wrapText="1"/>
    </xf>
    <xf numFmtId="0" fontId="67" fillId="25" borderId="10" xfId="0" applyFont="1" applyFill="1" applyBorder="1" applyAlignment="1">
      <alignment wrapText="1"/>
    </xf>
    <xf numFmtId="0" fontId="67" fillId="25" borderId="11" xfId="0" applyFont="1" applyFill="1" applyBorder="1" applyAlignment="1">
      <alignment wrapText="1"/>
    </xf>
    <xf numFmtId="0" fontId="67" fillId="36" borderId="0" xfId="0" applyFont="1" applyFill="1" applyAlignment="1">
      <alignment wrapText="1"/>
    </xf>
    <xf numFmtId="167" fontId="55" fillId="28" borderId="49" xfId="0" applyNumberFormat="1" applyFont="1" applyFill="1" applyBorder="1" applyAlignment="1">
      <alignment horizontal="center" vertical="center" wrapText="1"/>
    </xf>
    <xf numFmtId="0" fontId="0" fillId="25" borderId="0" xfId="0" applyFill="1" applyBorder="1" applyAlignment="1">
      <alignment horizontal="center" wrapText="1"/>
    </xf>
    <xf numFmtId="1" fontId="0" fillId="28" borderId="72" xfId="0" applyNumberFormat="1" applyFill="1" applyBorder="1" applyAlignment="1">
      <alignment horizontal="center" vertical="center" wrapText="1"/>
    </xf>
    <xf numFmtId="0" fontId="0" fillId="25" borderId="72" xfId="0" applyFont="1" applyFill="1" applyBorder="1" applyAlignment="1" applyProtection="1">
      <alignment horizontal="center" vertical="center" wrapText="1"/>
      <protection locked="0"/>
    </xf>
    <xf numFmtId="0" fontId="0" fillId="25" borderId="75" xfId="0" applyFont="1" applyFill="1" applyBorder="1" applyAlignment="1" applyProtection="1">
      <alignment horizontal="left" vertical="center" wrapText="1"/>
      <protection locked="0"/>
    </xf>
    <xf numFmtId="0" fontId="0" fillId="25" borderId="75" xfId="0" applyFont="1" applyFill="1" applyBorder="1" applyAlignment="1" applyProtection="1">
      <alignment horizontal="center" vertical="center" wrapText="1"/>
      <protection locked="0"/>
    </xf>
    <xf numFmtId="3" fontId="0" fillId="28" borderId="75" xfId="0" applyNumberFormat="1" applyFont="1" applyFill="1" applyBorder="1" applyAlignment="1" applyProtection="1">
      <alignment horizontal="center" vertical="center" wrapText="1"/>
    </xf>
    <xf numFmtId="0" fontId="0" fillId="25" borderId="76" xfId="0" applyFont="1" applyFill="1" applyBorder="1" applyAlignment="1" applyProtection="1">
      <alignment horizontal="left" vertical="center" wrapText="1"/>
      <protection locked="0"/>
    </xf>
    <xf numFmtId="0" fontId="0" fillId="28" borderId="77" xfId="0" applyFill="1" applyBorder="1" applyAlignment="1">
      <alignment horizontal="center" vertical="center" wrapText="1"/>
    </xf>
    <xf numFmtId="0" fontId="0" fillId="28" borderId="78" xfId="0" applyFill="1" applyBorder="1" applyAlignment="1">
      <alignment horizontal="center" vertical="center" wrapText="1"/>
    </xf>
    <xf numFmtId="0" fontId="0" fillId="25" borderId="78" xfId="0" applyFont="1" applyFill="1" applyBorder="1" applyAlignment="1" applyProtection="1">
      <alignment horizontal="left" vertical="center" wrapText="1"/>
      <protection locked="0"/>
    </xf>
    <xf numFmtId="0" fontId="0" fillId="25" borderId="78" xfId="0" applyFont="1" applyFill="1" applyBorder="1" applyAlignment="1" applyProtection="1">
      <alignment horizontal="center" vertical="center" wrapText="1"/>
      <protection locked="0"/>
    </xf>
    <xf numFmtId="3" fontId="0" fillId="28" borderId="78" xfId="0" applyNumberFormat="1" applyFont="1" applyFill="1" applyBorder="1" applyAlignment="1" applyProtection="1">
      <alignment horizontal="center" vertical="center" wrapText="1"/>
    </xf>
    <xf numFmtId="0" fontId="0" fillId="25" borderId="79" xfId="0" applyFont="1" applyFill="1" applyBorder="1" applyAlignment="1" applyProtection="1">
      <alignment horizontal="left" vertical="center" wrapText="1"/>
      <protection locked="0"/>
    </xf>
    <xf numFmtId="0" fontId="0" fillId="25" borderId="71" xfId="0" applyFont="1" applyFill="1" applyBorder="1" applyAlignment="1" applyProtection="1">
      <alignment horizontal="center" vertical="center" wrapText="1"/>
      <protection locked="0"/>
    </xf>
    <xf numFmtId="0" fontId="0" fillId="28" borderId="72" xfId="0" applyFont="1" applyFill="1" applyBorder="1" applyAlignment="1">
      <alignment horizontal="center" vertical="center" wrapText="1"/>
    </xf>
    <xf numFmtId="0" fontId="0" fillId="29" borderId="72" xfId="0" applyFont="1" applyFill="1" applyBorder="1" applyAlignment="1">
      <alignment horizontal="center" vertical="center" wrapText="1"/>
    </xf>
    <xf numFmtId="3" fontId="0" fillId="28" borderId="72" xfId="0" applyNumberFormat="1" applyFont="1" applyFill="1" applyBorder="1" applyAlignment="1">
      <alignment horizontal="center" vertical="center" wrapText="1"/>
    </xf>
    <xf numFmtId="0" fontId="0" fillId="34" borderId="72" xfId="0" applyFont="1" applyFill="1" applyBorder="1" applyAlignment="1">
      <alignment horizontal="center" vertical="center" wrapText="1"/>
    </xf>
    <xf numFmtId="167" fontId="39" fillId="28" borderId="72" xfId="35" applyNumberFormat="1" applyFont="1" applyFill="1" applyBorder="1" applyAlignment="1">
      <alignment horizontal="center" vertical="center" wrapText="1"/>
    </xf>
    <xf numFmtId="167" fontId="0" fillId="25" borderId="72" xfId="0" applyNumberFormat="1" applyFont="1" applyFill="1" applyBorder="1" applyAlignment="1" applyProtection="1">
      <alignment horizontal="center" vertical="center" wrapText="1"/>
      <protection locked="0"/>
    </xf>
    <xf numFmtId="167" fontId="39" fillId="28" borderId="73" xfId="35" applyNumberFormat="1" applyFont="1" applyFill="1" applyBorder="1" applyAlignment="1">
      <alignment horizontal="center" vertical="center" wrapText="1"/>
    </xf>
    <xf numFmtId="0" fontId="0" fillId="25" borderId="74" xfId="0" applyFont="1" applyFill="1" applyBorder="1" applyAlignment="1" applyProtection="1">
      <alignment horizontal="center" vertical="center" wrapText="1"/>
      <protection locked="0"/>
    </xf>
    <xf numFmtId="0" fontId="0" fillId="28" borderId="75" xfId="0" applyFont="1" applyFill="1" applyBorder="1" applyAlignment="1">
      <alignment horizontal="center" vertical="center" wrapText="1"/>
    </xf>
    <xf numFmtId="0" fontId="0" fillId="29" borderId="75" xfId="0" applyFont="1" applyFill="1" applyBorder="1" applyAlignment="1">
      <alignment horizontal="center" vertical="center" wrapText="1"/>
    </xf>
    <xf numFmtId="3" fontId="0" fillId="28" borderId="75" xfId="0" applyNumberFormat="1" applyFont="1" applyFill="1" applyBorder="1" applyAlignment="1">
      <alignment horizontal="center" vertical="center" wrapText="1"/>
    </xf>
    <xf numFmtId="0" fontId="0" fillId="34" borderId="75" xfId="0" applyFont="1" applyFill="1" applyBorder="1" applyAlignment="1">
      <alignment horizontal="center" vertical="center" wrapText="1"/>
    </xf>
    <xf numFmtId="167" fontId="39" fillId="28" borderId="75" xfId="35" applyNumberFormat="1" applyFont="1" applyFill="1" applyBorder="1" applyAlignment="1">
      <alignment horizontal="center" vertical="center" wrapText="1"/>
    </xf>
    <xf numFmtId="167" fontId="0" fillId="25" borderId="75" xfId="0" applyNumberFormat="1" applyFont="1" applyFill="1" applyBorder="1" applyAlignment="1" applyProtection="1">
      <alignment horizontal="center" vertical="center" wrapText="1"/>
      <protection locked="0"/>
    </xf>
    <xf numFmtId="167" fontId="39" fillId="28" borderId="76" xfId="35" applyNumberFormat="1" applyFont="1" applyFill="1" applyBorder="1" applyAlignment="1">
      <alignment horizontal="center" vertical="center" wrapText="1"/>
    </xf>
    <xf numFmtId="0" fontId="0" fillId="25" borderId="80" xfId="0" applyFont="1" applyFill="1" applyBorder="1" applyAlignment="1" applyProtection="1">
      <alignment horizontal="center" vertical="center" wrapText="1"/>
      <protection locked="0"/>
    </xf>
    <xf numFmtId="0" fontId="0" fillId="25" borderId="81" xfId="0" applyFont="1" applyFill="1" applyBorder="1" applyAlignment="1" applyProtection="1">
      <alignment horizontal="center" vertical="center" wrapText="1"/>
      <protection locked="0"/>
    </xf>
    <xf numFmtId="167" fontId="0" fillId="25" borderId="81" xfId="0" applyNumberFormat="1" applyFont="1" applyFill="1" applyBorder="1" applyAlignment="1" applyProtection="1">
      <alignment horizontal="center" vertical="center" wrapText="1"/>
      <protection locked="0"/>
    </xf>
    <xf numFmtId="0" fontId="0" fillId="25" borderId="72" xfId="0" applyFont="1" applyFill="1" applyBorder="1" applyAlignment="1" applyProtection="1">
      <alignment horizontal="center" vertical="center" wrapText="1"/>
    </xf>
    <xf numFmtId="0" fontId="0" fillId="28" borderId="72" xfId="0" applyFont="1" applyFill="1" applyBorder="1" applyAlignment="1" applyProtection="1">
      <alignment horizontal="center" vertical="center" wrapText="1"/>
      <protection locked="0"/>
    </xf>
    <xf numFmtId="0" fontId="0" fillId="29" borderId="72" xfId="0" applyFont="1" applyFill="1" applyBorder="1" applyAlignment="1" applyProtection="1">
      <alignment horizontal="center" vertical="center" wrapText="1"/>
      <protection locked="0"/>
    </xf>
    <xf numFmtId="3" fontId="0" fillId="28" borderId="72" xfId="0" applyNumberFormat="1" applyFont="1" applyFill="1" applyBorder="1" applyAlignment="1" applyProtection="1">
      <alignment horizontal="center" vertical="center" wrapText="1"/>
      <protection locked="0"/>
    </xf>
    <xf numFmtId="0" fontId="0" fillId="34" borderId="72" xfId="0" applyFont="1" applyFill="1" applyBorder="1" applyAlignment="1" applyProtection="1">
      <alignment horizontal="center" vertical="center" wrapText="1"/>
      <protection locked="0"/>
    </xf>
    <xf numFmtId="167" fontId="39" fillId="28" borderId="72" xfId="35" applyNumberFormat="1" applyFont="1" applyFill="1" applyBorder="1" applyAlignment="1" applyProtection="1">
      <alignment horizontal="center" vertical="center" wrapText="1"/>
      <protection locked="0"/>
    </xf>
    <xf numFmtId="167" fontId="39" fillId="28" borderId="73" xfId="35" applyNumberFormat="1" applyFont="1" applyFill="1" applyBorder="1" applyAlignment="1" applyProtection="1">
      <alignment horizontal="center" vertical="center" wrapText="1"/>
      <protection locked="0"/>
    </xf>
    <xf numFmtId="0" fontId="0" fillId="25" borderId="77" xfId="0" applyFont="1" applyFill="1" applyBorder="1" applyAlignment="1" applyProtection="1">
      <alignment horizontal="center" vertical="center" wrapText="1"/>
      <protection locked="0"/>
    </xf>
    <xf numFmtId="0" fontId="0" fillId="25" borderId="78" xfId="0" applyFont="1" applyFill="1" applyBorder="1" applyAlignment="1" applyProtection="1">
      <alignment horizontal="center" vertical="center" wrapText="1"/>
    </xf>
    <xf numFmtId="0" fontId="0" fillId="28" borderId="78" xfId="0" applyFont="1" applyFill="1" applyBorder="1" applyAlignment="1" applyProtection="1">
      <alignment horizontal="center" vertical="center" wrapText="1"/>
      <protection locked="0"/>
    </xf>
    <xf numFmtId="0" fontId="0" fillId="29" borderId="78" xfId="0" applyFont="1" applyFill="1" applyBorder="1" applyAlignment="1" applyProtection="1">
      <alignment horizontal="center" vertical="center" wrapText="1"/>
      <protection locked="0"/>
    </xf>
    <xf numFmtId="3" fontId="0" fillId="28" borderId="78" xfId="0" applyNumberFormat="1" applyFont="1" applyFill="1" applyBorder="1" applyAlignment="1" applyProtection="1">
      <alignment horizontal="center" vertical="center" wrapText="1"/>
      <protection locked="0"/>
    </xf>
    <xf numFmtId="0" fontId="0" fillId="34" borderId="78" xfId="0" applyFont="1" applyFill="1" applyBorder="1" applyAlignment="1" applyProtection="1">
      <alignment horizontal="center" vertical="center" wrapText="1"/>
      <protection locked="0"/>
    </xf>
    <xf numFmtId="167" fontId="39" fillId="28" borderId="78" xfId="35" applyNumberFormat="1" applyFont="1" applyFill="1" applyBorder="1" applyAlignment="1" applyProtection="1">
      <alignment horizontal="center" vertical="center" wrapText="1"/>
      <protection locked="0"/>
    </xf>
    <xf numFmtId="167" fontId="0" fillId="25" borderId="78" xfId="0" applyNumberFormat="1" applyFont="1" applyFill="1" applyBorder="1" applyAlignment="1" applyProtection="1">
      <alignment horizontal="center" vertical="center" wrapText="1"/>
      <protection locked="0"/>
    </xf>
    <xf numFmtId="167" fontId="39" fillId="28" borderId="79" xfId="35" applyNumberFormat="1" applyFont="1" applyFill="1" applyBorder="1" applyAlignment="1" applyProtection="1">
      <alignment horizontal="center" vertical="center" wrapText="1"/>
      <protection locked="0"/>
    </xf>
    <xf numFmtId="49" fontId="0" fillId="25" borderId="81" xfId="0" applyNumberFormat="1" applyFont="1" applyFill="1" applyBorder="1" applyAlignment="1" applyProtection="1">
      <alignment horizontal="center" vertical="center" wrapText="1"/>
      <protection locked="0"/>
    </xf>
    <xf numFmtId="49" fontId="0" fillId="25" borderId="78" xfId="0" applyNumberFormat="1" applyFont="1" applyFill="1" applyBorder="1" applyAlignment="1" applyProtection="1">
      <alignment horizontal="center" vertical="center" wrapText="1"/>
      <protection locked="0"/>
    </xf>
    <xf numFmtId="0" fontId="0" fillId="25" borderId="74" xfId="0" applyFill="1" applyBorder="1" applyAlignment="1" applyProtection="1">
      <alignment horizontal="center" vertical="center" wrapText="1"/>
      <protection locked="0"/>
    </xf>
    <xf numFmtId="167" fontId="39" fillId="25" borderId="75" xfId="35" applyNumberFormat="1" applyFont="1" applyFill="1" applyBorder="1" applyAlignment="1" applyProtection="1">
      <alignment horizontal="center" vertical="center" wrapText="1"/>
      <protection locked="0"/>
    </xf>
    <xf numFmtId="10" fontId="39" fillId="25" borderId="75" xfId="77" applyNumberFormat="1" applyFont="1" applyFill="1" applyBorder="1" applyAlignment="1" applyProtection="1">
      <alignment horizontal="center" vertical="center" wrapText="1"/>
      <protection locked="0"/>
    </xf>
    <xf numFmtId="44" fontId="39" fillId="28" borderId="76" xfId="35" applyFont="1" applyFill="1" applyBorder="1" applyAlignment="1">
      <alignment horizontal="center" vertical="center"/>
    </xf>
    <xf numFmtId="0" fontId="0" fillId="28" borderId="76" xfId="0" applyFill="1" applyBorder="1" applyAlignment="1">
      <alignment horizontal="center"/>
    </xf>
    <xf numFmtId="0" fontId="0" fillId="28" borderId="79" xfId="0" applyFill="1" applyBorder="1" applyAlignment="1">
      <alignment horizontal="center"/>
    </xf>
    <xf numFmtId="5" fontId="39" fillId="25" borderId="73" xfId="29" applyNumberFormat="1" applyFont="1" applyFill="1" applyBorder="1" applyAlignment="1" applyProtection="1">
      <alignment horizontal="center" wrapText="1"/>
      <protection locked="0"/>
    </xf>
    <xf numFmtId="5" fontId="39" fillId="25" borderId="75" xfId="29" applyNumberFormat="1" applyFont="1" applyFill="1" applyBorder="1" applyAlignment="1" applyProtection="1">
      <alignment horizontal="center" wrapText="1"/>
      <protection locked="0"/>
    </xf>
    <xf numFmtId="5" fontId="39" fillId="25" borderId="76" xfId="29" applyNumberFormat="1" applyFont="1" applyFill="1" applyBorder="1" applyAlignment="1" applyProtection="1">
      <alignment horizontal="center" wrapText="1"/>
      <protection locked="0"/>
    </xf>
    <xf numFmtId="5" fontId="39" fillId="25" borderId="78" xfId="29" applyNumberFormat="1" applyFont="1" applyFill="1" applyBorder="1" applyAlignment="1" applyProtection="1">
      <alignment horizontal="center" wrapText="1"/>
      <protection locked="0"/>
    </xf>
    <xf numFmtId="5" fontId="39" fillId="25" borderId="79" xfId="29" applyNumberFormat="1" applyFont="1" applyFill="1" applyBorder="1" applyAlignment="1" applyProtection="1">
      <alignment horizontal="center" wrapText="1"/>
      <protection locked="0"/>
    </xf>
    <xf numFmtId="0" fontId="0" fillId="28" borderId="82" xfId="0" applyFill="1" applyBorder="1" applyAlignment="1">
      <alignment horizontal="center" wrapText="1"/>
    </xf>
    <xf numFmtId="0" fontId="0" fillId="28" borderId="83" xfId="0" applyFill="1" applyBorder="1" applyAlignment="1">
      <alignment horizontal="center" wrapText="1"/>
    </xf>
    <xf numFmtId="0" fontId="0" fillId="28" borderId="83" xfId="0" applyFill="1" applyBorder="1" applyAlignment="1" applyProtection="1">
      <alignment horizontal="center" wrapText="1"/>
    </xf>
    <xf numFmtId="5" fontId="39" fillId="28" borderId="83" xfId="29" applyNumberFormat="1" applyFont="1" applyFill="1" applyBorder="1" applyAlignment="1">
      <alignment horizontal="center" wrapText="1"/>
    </xf>
    <xf numFmtId="0" fontId="0" fillId="28" borderId="83" xfId="0" quotePrefix="1" applyFill="1" applyBorder="1" applyAlignment="1">
      <alignment horizontal="center" vertical="top" wrapText="1"/>
    </xf>
    <xf numFmtId="0" fontId="0" fillId="28" borderId="84" xfId="0" applyFill="1" applyBorder="1" applyAlignment="1">
      <alignment horizontal="center" wrapText="1"/>
    </xf>
    <xf numFmtId="0" fontId="0" fillId="28" borderId="74" xfId="0" applyFill="1" applyBorder="1" applyAlignment="1">
      <alignment horizontal="center" wrapText="1"/>
    </xf>
    <xf numFmtId="0" fontId="0" fillId="28" borderId="75" xfId="0" applyFill="1" applyBorder="1" applyAlignment="1">
      <alignment horizontal="center" wrapText="1"/>
    </xf>
    <xf numFmtId="0" fontId="0" fillId="28" borderId="75" xfId="0" quotePrefix="1" applyFill="1" applyBorder="1" applyAlignment="1">
      <alignment horizontal="center" vertical="top" wrapText="1"/>
    </xf>
    <xf numFmtId="0" fontId="0" fillId="28" borderId="76" xfId="0" applyFill="1" applyBorder="1" applyAlignment="1">
      <alignment horizontal="center" wrapText="1"/>
    </xf>
    <xf numFmtId="0" fontId="0" fillId="28" borderId="77" xfId="0" applyFill="1" applyBorder="1" applyAlignment="1">
      <alignment horizontal="center" wrapText="1"/>
    </xf>
    <xf numFmtId="0" fontId="0" fillId="28" borderId="78" xfId="0" applyFill="1" applyBorder="1" applyAlignment="1">
      <alignment horizontal="center" wrapText="1"/>
    </xf>
    <xf numFmtId="0" fontId="0" fillId="28" borderId="78" xfId="0" applyFill="1" applyBorder="1" applyAlignment="1" applyProtection="1">
      <alignment horizontal="center" wrapText="1"/>
    </xf>
    <xf numFmtId="5" fontId="39" fillId="28" borderId="78" xfId="29" applyNumberFormat="1" applyFont="1" applyFill="1" applyBorder="1" applyAlignment="1">
      <alignment horizontal="center" wrapText="1"/>
    </xf>
    <xf numFmtId="0" fontId="0" fillId="28" borderId="78" xfId="0" quotePrefix="1" applyFill="1" applyBorder="1" applyAlignment="1">
      <alignment horizontal="center" vertical="top" wrapText="1"/>
    </xf>
    <xf numFmtId="0" fontId="0" fillId="28" borderId="79" xfId="0" applyFill="1" applyBorder="1" applyAlignment="1">
      <alignment horizontal="center" wrapText="1"/>
    </xf>
    <xf numFmtId="44" fontId="39" fillId="25" borderId="0" xfId="35" applyFont="1" applyFill="1" applyAlignment="1">
      <alignment wrapText="1"/>
    </xf>
    <xf numFmtId="9" fontId="39" fillId="25" borderId="0" xfId="77" applyFont="1" applyFill="1" applyAlignment="1">
      <alignment wrapText="1"/>
    </xf>
    <xf numFmtId="0" fontId="0" fillId="25" borderId="75" xfId="0" applyFill="1" applyBorder="1" applyAlignment="1" applyProtection="1">
      <alignment horizontal="center" wrapText="1"/>
      <protection locked="0"/>
    </xf>
    <xf numFmtId="37" fontId="39" fillId="25" borderId="75" xfId="29" applyNumberFormat="1" applyFont="1" applyFill="1" applyBorder="1" applyAlignment="1" applyProtection="1">
      <alignment horizontal="center" wrapText="1"/>
      <protection locked="0"/>
    </xf>
    <xf numFmtId="49" fontId="0" fillId="25" borderId="75" xfId="0" applyNumberFormat="1" applyFill="1" applyBorder="1" applyAlignment="1" applyProtection="1">
      <alignment horizontal="center" wrapText="1"/>
      <protection locked="0"/>
    </xf>
    <xf numFmtId="14" fontId="0" fillId="25" borderId="76" xfId="0" applyNumberFormat="1" applyFill="1" applyBorder="1" applyAlignment="1" applyProtection="1">
      <alignment horizontal="center" wrapText="1"/>
      <protection locked="0"/>
    </xf>
    <xf numFmtId="1" fontId="0" fillId="28" borderId="73" xfId="0" applyNumberFormat="1" applyFill="1" applyBorder="1" applyAlignment="1">
      <alignment horizontal="center" wrapText="1"/>
    </xf>
    <xf numFmtId="1" fontId="0" fillId="28" borderId="76" xfId="0" applyNumberFormat="1" applyFill="1" applyBorder="1" applyAlignment="1">
      <alignment horizontal="center" wrapText="1"/>
    </xf>
    <xf numFmtId="1" fontId="0" fillId="28" borderId="79" xfId="0" applyNumberFormat="1" applyFill="1" applyBorder="1" applyAlignment="1">
      <alignment horizontal="center" wrapText="1"/>
    </xf>
    <xf numFmtId="0" fontId="0" fillId="28" borderId="73" xfId="0" applyFill="1" applyBorder="1" applyAlignment="1">
      <alignment horizontal="center"/>
    </xf>
    <xf numFmtId="0" fontId="46" fillId="33" borderId="62" xfId="0" applyNumberFormat="1" applyFont="1" applyFill="1" applyBorder="1" applyAlignment="1">
      <alignment horizontal="center" vertical="center" wrapText="1"/>
    </xf>
    <xf numFmtId="0" fontId="46" fillId="33" borderId="40" xfId="77" applyNumberFormat="1" applyFont="1" applyFill="1" applyBorder="1" applyAlignment="1">
      <alignment horizontal="center" vertical="center" wrapText="1"/>
    </xf>
    <xf numFmtId="0" fontId="46" fillId="33" borderId="41" xfId="35" applyNumberFormat="1" applyFont="1" applyFill="1" applyBorder="1" applyAlignment="1">
      <alignment horizontal="center" vertical="center"/>
    </xf>
    <xf numFmtId="0" fontId="44" fillId="25" borderId="0" xfId="0" applyFont="1" applyFill="1" applyBorder="1" applyAlignment="1">
      <alignment horizontal="left" wrapText="1"/>
    </xf>
    <xf numFmtId="0" fontId="46" fillId="26" borderId="22" xfId="0" applyFont="1" applyFill="1" applyBorder="1" applyAlignment="1">
      <alignment horizontal="center" vertical="center" wrapText="1"/>
    </xf>
    <xf numFmtId="0" fontId="0" fillId="25" borderId="78" xfId="0" applyFill="1" applyBorder="1" applyAlignment="1" applyProtection="1">
      <alignment horizontal="center" wrapText="1"/>
      <protection locked="0"/>
    </xf>
    <xf numFmtId="37" fontId="39" fillId="25" borderId="78" xfId="29" applyNumberFormat="1" applyFont="1" applyFill="1" applyBorder="1" applyAlignment="1" applyProtection="1">
      <alignment horizontal="center" wrapText="1"/>
      <protection locked="0"/>
    </xf>
    <xf numFmtId="3" fontId="0" fillId="28" borderId="78" xfId="0" applyNumberFormat="1" applyFill="1" applyBorder="1" applyAlignment="1">
      <alignment horizontal="center" wrapText="1"/>
    </xf>
    <xf numFmtId="49" fontId="0" fillId="25" borderId="78" xfId="0" applyNumberFormat="1" applyFill="1" applyBorder="1" applyAlignment="1" applyProtection="1">
      <alignment horizontal="center" wrapText="1"/>
      <protection locked="0"/>
    </xf>
    <xf numFmtId="14" fontId="0" fillId="25" borderId="79" xfId="0" applyNumberFormat="1" applyFill="1" applyBorder="1" applyAlignment="1" applyProtection="1">
      <alignment horizontal="center" wrapText="1"/>
      <protection locked="0"/>
    </xf>
    <xf numFmtId="0" fontId="0" fillId="25" borderId="14" xfId="0" quotePrefix="1" applyNumberFormat="1" applyFont="1" applyFill="1" applyBorder="1" applyAlignment="1">
      <alignment horizontal="center"/>
    </xf>
    <xf numFmtId="0" fontId="0" fillId="28" borderId="28" xfId="0" applyFill="1" applyBorder="1" applyAlignment="1">
      <alignment horizontal="center"/>
    </xf>
    <xf numFmtId="0" fontId="45" fillId="0" borderId="30" xfId="0" applyFont="1" applyBorder="1" applyAlignment="1">
      <alignment horizontal="center"/>
    </xf>
    <xf numFmtId="0" fontId="0" fillId="27" borderId="32" xfId="0" applyFill="1" applyBorder="1"/>
    <xf numFmtId="164" fontId="0" fillId="28" borderId="58" xfId="0" applyNumberFormat="1" applyFill="1" applyBorder="1" applyAlignment="1">
      <alignment horizontal="center"/>
    </xf>
    <xf numFmtId="1" fontId="0" fillId="28" borderId="36" xfId="0" applyNumberFormat="1" applyFill="1" applyBorder="1" applyAlignment="1">
      <alignment horizontal="center"/>
    </xf>
    <xf numFmtId="0" fontId="47" fillId="27" borderId="16" xfId="0" applyFont="1" applyFill="1" applyBorder="1" applyAlignment="1">
      <alignment horizontal="center"/>
    </xf>
    <xf numFmtId="0" fontId="0" fillId="27" borderId="63" xfId="0" applyFill="1" applyBorder="1"/>
    <xf numFmtId="0" fontId="45" fillId="0" borderId="63" xfId="0" quotePrefix="1" applyFont="1" applyBorder="1" applyAlignment="1">
      <alignment horizontal="center"/>
    </xf>
    <xf numFmtId="2" fontId="0" fillId="0" borderId="64" xfId="0" quotePrefix="1" applyNumberFormat="1" applyFont="1" applyBorder="1" applyAlignment="1">
      <alignment horizontal="center"/>
    </xf>
    <xf numFmtId="0" fontId="0" fillId="25" borderId="65" xfId="0" applyNumberFormat="1" applyFont="1" applyFill="1" applyBorder="1" applyAlignment="1">
      <alignment horizontal="center"/>
    </xf>
    <xf numFmtId="0" fontId="0" fillId="25" borderId="44" xfId="0" quotePrefix="1" applyFill="1" applyBorder="1" applyAlignment="1">
      <alignment horizontal="center"/>
    </xf>
    <xf numFmtId="0" fontId="48" fillId="25" borderId="0" xfId="0" quotePrefix="1" applyFont="1" applyFill="1" applyBorder="1" applyAlignment="1">
      <alignment horizontal="center" vertical="center"/>
    </xf>
    <xf numFmtId="0" fontId="0" fillId="28" borderId="28" xfId="0" applyFill="1" applyBorder="1" applyAlignment="1">
      <alignment horizontal="center" vertical="center"/>
    </xf>
    <xf numFmtId="0" fontId="0" fillId="28" borderId="58" xfId="0" applyFill="1" applyBorder="1" applyAlignment="1">
      <alignment horizontal="center" vertical="center"/>
    </xf>
    <xf numFmtId="0" fontId="64" fillId="25" borderId="0" xfId="0" applyFont="1" applyFill="1" applyBorder="1" applyAlignment="1"/>
    <xf numFmtId="0" fontId="47" fillId="25" borderId="0" xfId="0" applyFont="1" applyFill="1" applyBorder="1" applyAlignment="1">
      <alignment vertical="center" wrapText="1"/>
    </xf>
    <xf numFmtId="1" fontId="0" fillId="25" borderId="0" xfId="0" applyNumberFormat="1" applyFill="1" applyBorder="1" applyAlignment="1">
      <alignment horizontal="center" vertical="center"/>
    </xf>
    <xf numFmtId="0" fontId="0" fillId="27" borderId="0" xfId="0" applyFill="1" applyBorder="1" applyAlignment="1">
      <alignment horizontal="center"/>
    </xf>
    <xf numFmtId="0" fontId="0" fillId="25" borderId="0" xfId="0" applyFill="1" applyBorder="1" applyAlignment="1">
      <alignment horizontal="center" vertical="center" wrapText="1"/>
    </xf>
    <xf numFmtId="0" fontId="0" fillId="28" borderId="25" xfId="0" applyFill="1" applyBorder="1" applyAlignment="1">
      <alignment horizontal="center" vertical="center"/>
    </xf>
    <xf numFmtId="1" fontId="0" fillId="45" borderId="14" xfId="0" applyNumberFormat="1" applyFill="1" applyBorder="1" applyAlignment="1">
      <alignment horizontal="center" vertical="center"/>
    </xf>
    <xf numFmtId="37" fontId="52" fillId="25" borderId="72" xfId="29" applyNumberFormat="1" applyFont="1" applyFill="1" applyBorder="1" applyAlignment="1" applyProtection="1">
      <alignment horizontal="center" vertical="center" wrapText="1"/>
      <protection locked="0"/>
    </xf>
    <xf numFmtId="37" fontId="52" fillId="25" borderId="75" xfId="29" applyNumberFormat="1" applyFont="1" applyFill="1" applyBorder="1" applyAlignment="1" applyProtection="1">
      <alignment horizontal="center" vertical="center" wrapText="1"/>
      <protection locked="0"/>
    </xf>
    <xf numFmtId="37" fontId="52" fillId="25" borderId="78" xfId="29" applyNumberFormat="1" applyFont="1" applyFill="1" applyBorder="1" applyAlignment="1" applyProtection="1">
      <alignment horizontal="center" vertical="center" wrapText="1"/>
      <protection locked="0"/>
    </xf>
    <xf numFmtId="0" fontId="47" fillId="26" borderId="31" xfId="0" applyFont="1" applyFill="1" applyBorder="1" applyAlignment="1">
      <alignment horizontal="center"/>
    </xf>
    <xf numFmtId="0" fontId="47" fillId="26" borderId="63" xfId="0" applyFont="1" applyFill="1" applyBorder="1" applyAlignment="1">
      <alignment horizontal="center"/>
    </xf>
    <xf numFmtId="37" fontId="57" fillId="25" borderId="0" xfId="29" applyNumberFormat="1" applyFont="1" applyFill="1" applyBorder="1" applyAlignment="1" applyProtection="1">
      <alignment horizontal="center" vertical="center" wrapText="1"/>
      <protection locked="0"/>
    </xf>
    <xf numFmtId="0" fontId="49" fillId="25" borderId="0" xfId="0" applyFont="1" applyFill="1" applyBorder="1" applyAlignment="1" applyProtection="1">
      <alignment horizontal="center" wrapText="1"/>
      <protection locked="0"/>
    </xf>
    <xf numFmtId="0" fontId="0" fillId="25" borderId="0" xfId="0" quotePrefix="1" applyFill="1" applyBorder="1" applyAlignment="1">
      <alignment horizontal="center" wrapText="1"/>
    </xf>
    <xf numFmtId="0" fontId="64" fillId="25" borderId="0" xfId="0" applyFont="1" applyFill="1" applyBorder="1" applyAlignment="1">
      <alignment vertical="center" wrapText="1"/>
    </xf>
    <xf numFmtId="1" fontId="0" fillId="25" borderId="0" xfId="0" applyNumberFormat="1" applyFill="1" applyBorder="1" applyAlignment="1">
      <alignment horizontal="center" wrapText="1"/>
    </xf>
    <xf numFmtId="0" fontId="0" fillId="28" borderId="73" xfId="0" applyFill="1" applyBorder="1" applyAlignment="1">
      <alignment horizontal="center" wrapText="1"/>
    </xf>
    <xf numFmtId="0" fontId="0" fillId="27" borderId="0" xfId="0" applyFill="1" applyBorder="1" applyAlignment="1">
      <alignment vertical="center" wrapText="1"/>
    </xf>
    <xf numFmtId="0" fontId="52" fillId="25" borderId="72" xfId="0" applyFont="1" applyFill="1" applyBorder="1" applyAlignment="1" applyProtection="1">
      <alignment horizontal="center" wrapText="1"/>
      <protection locked="0"/>
    </xf>
    <xf numFmtId="0" fontId="52" fillId="25" borderId="75" xfId="0" applyFont="1" applyFill="1" applyBorder="1" applyAlignment="1" applyProtection="1">
      <alignment horizontal="center" wrapText="1"/>
      <protection locked="0"/>
    </xf>
    <xf numFmtId="0" fontId="52" fillId="25" borderId="78" xfId="0" applyFont="1" applyFill="1" applyBorder="1" applyAlignment="1" applyProtection="1">
      <alignment horizontal="center" wrapText="1"/>
      <protection locked="0"/>
    </xf>
    <xf numFmtId="168" fontId="52" fillId="25" borderId="72" xfId="29" applyNumberFormat="1" applyFont="1" applyFill="1" applyBorder="1" applyAlignment="1" applyProtection="1">
      <alignment horizontal="center" vertical="center" wrapText="1"/>
      <protection locked="0"/>
    </xf>
    <xf numFmtId="168" fontId="52" fillId="25" borderId="75" xfId="29" applyNumberFormat="1" applyFont="1" applyFill="1" applyBorder="1" applyAlignment="1" applyProtection="1">
      <alignment horizontal="center" vertical="center" wrapText="1"/>
      <protection locked="0"/>
    </xf>
    <xf numFmtId="168" fontId="52" fillId="25" borderId="78" xfId="29" applyNumberFormat="1" applyFont="1" applyFill="1" applyBorder="1" applyAlignment="1" applyProtection="1">
      <alignment horizontal="center" vertical="center" wrapText="1"/>
      <protection locked="0"/>
    </xf>
    <xf numFmtId="0" fontId="52" fillId="25" borderId="72" xfId="0" applyFont="1" applyFill="1" applyBorder="1" applyAlignment="1" applyProtection="1">
      <alignment horizontal="center"/>
      <protection locked="0"/>
    </xf>
    <xf numFmtId="0" fontId="52" fillId="25" borderId="75" xfId="0" applyFont="1" applyFill="1" applyBorder="1" applyAlignment="1" applyProtection="1">
      <alignment horizontal="center"/>
      <protection locked="0"/>
    </xf>
    <xf numFmtId="0" fontId="52" fillId="25" borderId="78" xfId="0" applyFont="1" applyFill="1" applyBorder="1" applyAlignment="1" applyProtection="1">
      <alignment horizontal="center"/>
      <protection locked="0"/>
    </xf>
    <xf numFmtId="168" fontId="52" fillId="25" borderId="72" xfId="29" applyNumberFormat="1" applyFont="1" applyFill="1" applyBorder="1" applyAlignment="1" applyProtection="1">
      <alignment horizontal="center" vertical="center"/>
      <protection locked="0"/>
    </xf>
    <xf numFmtId="168" fontId="52" fillId="25" borderId="75" xfId="29" applyNumberFormat="1" applyFont="1" applyFill="1" applyBorder="1" applyAlignment="1" applyProtection="1">
      <alignment horizontal="center" vertical="center"/>
      <protection locked="0"/>
    </xf>
    <xf numFmtId="168" fontId="52" fillId="25" borderId="78" xfId="29" applyNumberFormat="1" applyFont="1" applyFill="1" applyBorder="1" applyAlignment="1" applyProtection="1">
      <alignment horizontal="center" vertical="center"/>
      <protection locked="0"/>
    </xf>
    <xf numFmtId="0" fontId="45" fillId="49" borderId="0" xfId="0" applyFont="1" applyFill="1" applyAlignment="1">
      <alignment horizontal="left"/>
    </xf>
    <xf numFmtId="0" fontId="56" fillId="49" borderId="0" xfId="0" applyFont="1" applyFill="1" applyAlignment="1">
      <alignment horizontal="left"/>
    </xf>
    <xf numFmtId="0" fontId="0" fillId="49" borderId="0" xfId="0" applyFill="1" applyAlignment="1"/>
    <xf numFmtId="0" fontId="0" fillId="49" borderId="0" xfId="0" applyFill="1"/>
    <xf numFmtId="0" fontId="0" fillId="49" borderId="0" xfId="0" applyFill="1" applyBorder="1"/>
    <xf numFmtId="0" fontId="0" fillId="49" borderId="0" xfId="0" applyFill="1" applyBorder="1" applyAlignment="1">
      <alignment vertical="center" wrapText="1"/>
    </xf>
    <xf numFmtId="0" fontId="0" fillId="49" borderId="0" xfId="0" applyFill="1" applyBorder="1" applyAlignment="1">
      <alignment horizontal="center"/>
    </xf>
    <xf numFmtId="0" fontId="0" fillId="49" borderId="0" xfId="0" applyFill="1" applyBorder="1" applyAlignment="1">
      <alignment horizontal="center" vertical="center" wrapText="1"/>
    </xf>
    <xf numFmtId="3" fontId="0" fillId="49" borderId="0" xfId="0" applyNumberFormat="1" applyFill="1" applyBorder="1" applyAlignment="1">
      <alignment horizontal="center"/>
    </xf>
    <xf numFmtId="0" fontId="47" fillId="49" borderId="0" xfId="0" applyFont="1" applyFill="1" applyBorder="1" applyAlignment="1">
      <alignment horizontal="center" wrapText="1"/>
    </xf>
    <xf numFmtId="2" fontId="0" fillId="49" borderId="0" xfId="0" applyNumberFormat="1" applyFill="1" applyBorder="1" applyAlignment="1">
      <alignment horizontal="center"/>
    </xf>
    <xf numFmtId="0" fontId="64" fillId="49" borderId="0" xfId="0" applyFont="1" applyFill="1" applyBorder="1" applyAlignment="1">
      <alignment horizontal="center" vertical="center" wrapText="1"/>
    </xf>
    <xf numFmtId="1" fontId="0" fillId="28" borderId="14" xfId="0" applyNumberFormat="1" applyFill="1" applyBorder="1" applyAlignment="1">
      <alignment horizontal="center" vertical="center" wrapText="1"/>
    </xf>
    <xf numFmtId="1" fontId="0" fillId="25" borderId="0" xfId="0" applyNumberFormat="1" applyFill="1" applyBorder="1" applyAlignment="1">
      <alignment vertical="center" wrapText="1"/>
    </xf>
    <xf numFmtId="0" fontId="47" fillId="26" borderId="63" xfId="0" applyFont="1" applyFill="1" applyBorder="1" applyAlignment="1">
      <alignment horizontal="center" wrapText="1"/>
    </xf>
    <xf numFmtId="168" fontId="0" fillId="28" borderId="76" xfId="0" applyNumberFormat="1" applyFill="1" applyBorder="1" applyAlignment="1">
      <alignment horizontal="center"/>
    </xf>
    <xf numFmtId="168" fontId="52" fillId="25" borderId="88" xfId="29" applyNumberFormat="1" applyFont="1" applyFill="1" applyBorder="1" applyAlignment="1" applyProtection="1">
      <alignment horizontal="center" vertical="center"/>
      <protection locked="0"/>
    </xf>
    <xf numFmtId="168" fontId="52" fillId="25" borderId="89" xfId="29" applyNumberFormat="1" applyFont="1" applyFill="1" applyBorder="1" applyAlignment="1" applyProtection="1">
      <alignment horizontal="center" vertical="center"/>
      <protection locked="0"/>
    </xf>
    <xf numFmtId="0" fontId="47" fillId="26" borderId="91" xfId="0" applyFont="1" applyFill="1" applyBorder="1" applyAlignment="1">
      <alignment horizontal="center"/>
    </xf>
    <xf numFmtId="0" fontId="59" fillId="26" borderId="31" xfId="0" applyFont="1" applyFill="1" applyBorder="1" applyAlignment="1">
      <alignment horizontal="right"/>
    </xf>
    <xf numFmtId="0" fontId="0" fillId="27" borderId="32" xfId="0" applyFill="1" applyBorder="1" applyAlignment="1">
      <alignment horizontal="center"/>
    </xf>
    <xf numFmtId="0" fontId="47" fillId="26" borderId="10" xfId="0" applyFont="1" applyFill="1" applyBorder="1" applyAlignment="1">
      <alignment horizontal="right"/>
    </xf>
    <xf numFmtId="0" fontId="0" fillId="35" borderId="0" xfId="0" applyFill="1" applyBorder="1" applyAlignment="1">
      <alignment horizontal="center"/>
    </xf>
    <xf numFmtId="37" fontId="52" fillId="25" borderId="0" xfId="29" applyNumberFormat="1" applyFont="1" applyFill="1" applyBorder="1" applyAlignment="1" applyProtection="1">
      <alignment horizontal="center" vertical="center" wrapText="1"/>
      <protection locked="0"/>
    </xf>
    <xf numFmtId="0" fontId="0" fillId="25" borderId="0" xfId="0" applyFill="1" applyAlignment="1">
      <alignment vertical="center"/>
    </xf>
    <xf numFmtId="0" fontId="2" fillId="26" borderId="59" xfId="0" applyFont="1" applyFill="1" applyBorder="1" applyAlignment="1">
      <alignment horizontal="right" wrapText="1"/>
    </xf>
    <xf numFmtId="0" fontId="47" fillId="26" borderId="35" xfId="0" applyFont="1" applyFill="1" applyBorder="1" applyAlignment="1">
      <alignment horizontal="right"/>
    </xf>
    <xf numFmtId="0" fontId="2" fillId="26" borderId="95" xfId="0" applyFont="1" applyFill="1" applyBorder="1" applyAlignment="1">
      <alignment horizontal="right"/>
    </xf>
    <xf numFmtId="0" fontId="47" fillId="26" borderId="96" xfId="0" applyFont="1" applyFill="1" applyBorder="1" applyAlignment="1">
      <alignment horizontal="right"/>
    </xf>
    <xf numFmtId="0" fontId="47" fillId="26" borderId="97" xfId="0" applyFont="1" applyFill="1" applyBorder="1" applyAlignment="1">
      <alignment horizontal="right"/>
    </xf>
    <xf numFmtId="0" fontId="0" fillId="27" borderId="16" xfId="0" applyFill="1" applyBorder="1" applyAlignment="1"/>
    <xf numFmtId="0" fontId="0" fillId="27" borderId="32" xfId="0" applyFill="1" applyBorder="1" applyAlignment="1"/>
    <xf numFmtId="0" fontId="0" fillId="27" borderId="63" xfId="0" applyFill="1" applyBorder="1" applyAlignment="1"/>
    <xf numFmtId="0" fontId="45" fillId="25" borderId="0" xfId="0" applyFont="1" applyFill="1" applyBorder="1" applyAlignment="1">
      <alignment vertical="center"/>
    </xf>
    <xf numFmtId="0" fontId="45" fillId="0" borderId="0" xfId="0" applyFont="1" applyBorder="1" applyAlignment="1">
      <alignment horizontal="center" vertical="center"/>
    </xf>
    <xf numFmtId="1" fontId="0" fillId="25" borderId="0" xfId="0" applyNumberFormat="1" applyFill="1" applyBorder="1" applyAlignment="1">
      <alignment vertical="center"/>
    </xf>
    <xf numFmtId="0" fontId="47" fillId="27" borderId="0" xfId="0" applyFont="1" applyFill="1" applyBorder="1" applyAlignment="1">
      <alignment vertical="center" wrapText="1"/>
    </xf>
    <xf numFmtId="0" fontId="47" fillId="27" borderId="10" xfId="0" applyFont="1" applyFill="1" applyBorder="1" applyAlignment="1">
      <alignment vertical="center" wrapText="1"/>
    </xf>
    <xf numFmtId="0" fontId="47" fillId="27" borderId="11" xfId="0" applyFont="1" applyFill="1" applyBorder="1" applyAlignment="1">
      <alignment vertical="center" wrapText="1"/>
    </xf>
    <xf numFmtId="0" fontId="0" fillId="45" borderId="15" xfId="0" applyFill="1" applyBorder="1" applyAlignment="1">
      <alignment horizontal="center" vertical="center"/>
    </xf>
    <xf numFmtId="0" fontId="0" fillId="28" borderId="58" xfId="0" quotePrefix="1" applyFill="1" applyBorder="1" applyAlignment="1">
      <alignment horizontal="center" vertical="center"/>
    </xf>
    <xf numFmtId="1" fontId="39" fillId="28" borderId="58" xfId="29" quotePrefix="1" applyNumberFormat="1" applyFont="1" applyFill="1" applyBorder="1" applyAlignment="1">
      <alignment horizontal="center" vertical="center"/>
    </xf>
    <xf numFmtId="1" fontId="39" fillId="28" borderId="36" xfId="29" quotePrefix="1" applyNumberFormat="1" applyFont="1" applyFill="1" applyBorder="1" applyAlignment="1">
      <alignment horizontal="center" vertical="center"/>
    </xf>
    <xf numFmtId="0" fontId="0" fillId="28" borderId="30" xfId="0" applyFill="1" applyBorder="1" applyAlignment="1">
      <alignment horizontal="center"/>
    </xf>
    <xf numFmtId="0" fontId="0" fillId="25" borderId="0" xfId="0" applyFill="1" applyBorder="1" applyAlignment="1">
      <alignment horizontal="center" vertical="center"/>
    </xf>
    <xf numFmtId="0" fontId="0" fillId="25" borderId="0" xfId="0" quotePrefix="1" applyFill="1" applyBorder="1" applyAlignment="1">
      <alignment horizontal="center" vertical="center"/>
    </xf>
    <xf numFmtId="1" fontId="39" fillId="25" borderId="0" xfId="29" quotePrefix="1" applyNumberFormat="1" applyFont="1" applyFill="1" applyBorder="1" applyAlignment="1">
      <alignment horizontal="center" vertical="center"/>
    </xf>
    <xf numFmtId="1" fontId="0" fillId="28" borderId="60" xfId="0" applyNumberFormat="1" applyFill="1" applyBorder="1" applyAlignment="1">
      <alignment horizontal="center" vertical="center"/>
    </xf>
    <xf numFmtId="5" fontId="39" fillId="34" borderId="30" xfId="29" applyNumberFormat="1" applyFont="1" applyFill="1" applyBorder="1" applyAlignment="1">
      <alignment horizontal="center"/>
    </xf>
    <xf numFmtId="0" fontId="74" fillId="25" borderId="0" xfId="46" applyFont="1" applyFill="1" applyAlignment="1" applyProtection="1">
      <alignment horizontal="left"/>
    </xf>
    <xf numFmtId="0" fontId="46" fillId="26" borderId="62" xfId="0" applyFont="1" applyFill="1" applyBorder="1" applyAlignment="1">
      <alignment horizontal="center" vertical="center" wrapText="1"/>
    </xf>
    <xf numFmtId="0" fontId="46" fillId="37" borderId="67" xfId="0" applyFont="1" applyFill="1" applyBorder="1" applyAlignment="1">
      <alignment horizontal="center" vertical="center" wrapText="1"/>
    </xf>
    <xf numFmtId="0" fontId="40" fillId="25" borderId="0" xfId="46" quotePrefix="1" applyFill="1" applyAlignment="1" applyProtection="1">
      <alignment horizontal="left" wrapText="1"/>
    </xf>
    <xf numFmtId="0" fontId="0" fillId="35" borderId="13" xfId="0" applyFill="1" applyBorder="1" applyAlignment="1"/>
    <xf numFmtId="0" fontId="0" fillId="35" borderId="43" xfId="0" applyFill="1" applyBorder="1" applyAlignment="1"/>
    <xf numFmtId="0" fontId="60" fillId="35" borderId="0" xfId="0" applyFont="1" applyFill="1" applyBorder="1" applyAlignment="1">
      <alignment horizontal="center" wrapText="1"/>
    </xf>
    <xf numFmtId="0" fontId="0" fillId="35" borderId="11" xfId="0" applyFill="1" applyBorder="1" applyAlignment="1"/>
    <xf numFmtId="0" fontId="0" fillId="35" borderId="0" xfId="0" applyFill="1" applyBorder="1" applyAlignment="1">
      <alignment horizontal="left" indent="2"/>
    </xf>
    <xf numFmtId="0" fontId="0" fillId="35" borderId="0" xfId="0" quotePrefix="1" applyFill="1" applyBorder="1" applyAlignment="1">
      <alignment horizontal="left" vertical="top"/>
    </xf>
    <xf numFmtId="0" fontId="0" fillId="35" borderId="0" xfId="0" applyFill="1" applyBorder="1" applyAlignment="1">
      <alignment horizontal="left" vertical="top"/>
    </xf>
    <xf numFmtId="0" fontId="0" fillId="35" borderId="0" xfId="0" applyFill="1" applyBorder="1" applyAlignment="1">
      <alignment horizontal="left" vertical="center"/>
    </xf>
    <xf numFmtId="0" fontId="58" fillId="35" borderId="0" xfId="0" applyFont="1" applyFill="1" applyBorder="1" applyAlignment="1">
      <alignment horizontal="left" vertical="center"/>
    </xf>
    <xf numFmtId="0" fontId="57" fillId="35" borderId="0" xfId="0" applyFont="1" applyFill="1" applyBorder="1" applyAlignment="1">
      <alignment horizontal="left" vertical="top" wrapText="1"/>
    </xf>
    <xf numFmtId="0" fontId="76" fillId="35" borderId="28" xfId="0" applyFont="1" applyFill="1" applyBorder="1" applyAlignment="1">
      <alignment horizontal="right"/>
    </xf>
    <xf numFmtId="0" fontId="76" fillId="35" borderId="0" xfId="0" applyFont="1" applyFill="1" applyBorder="1" applyAlignment="1">
      <alignment horizontal="right"/>
    </xf>
    <xf numFmtId="0" fontId="0" fillId="35" borderId="0" xfId="0" applyFill="1"/>
    <xf numFmtId="0" fontId="0" fillId="35" borderId="0" xfId="0" applyFill="1" applyAlignment="1"/>
    <xf numFmtId="0" fontId="0" fillId="35" borderId="0" xfId="0" applyFill="1" applyAlignment="1">
      <alignment horizontal="left" vertical="top" wrapText="1"/>
    </xf>
    <xf numFmtId="0" fontId="76" fillId="35" borderId="0" xfId="0" applyFont="1" applyFill="1" applyAlignment="1">
      <alignment horizontal="right"/>
    </xf>
    <xf numFmtId="0" fontId="78" fillId="35" borderId="0" xfId="0" applyFont="1" applyFill="1"/>
    <xf numFmtId="0" fontId="0" fillId="35" borderId="0" xfId="0" applyFont="1" applyFill="1" applyBorder="1" applyAlignment="1" applyProtection="1">
      <alignment horizontal="center" vertical="center"/>
      <protection locked="0"/>
    </xf>
    <xf numFmtId="0" fontId="0" fillId="35" borderId="0" xfId="0" quotePrefix="1" applyFill="1" applyBorder="1" applyAlignment="1">
      <alignment horizontal="left"/>
    </xf>
    <xf numFmtId="0" fontId="0" fillId="25" borderId="10" xfId="0" applyFill="1" applyBorder="1" applyAlignment="1">
      <alignment vertical="top" wrapText="1"/>
    </xf>
    <xf numFmtId="0" fontId="0" fillId="25" borderId="11" xfId="0" applyFill="1" applyBorder="1" applyAlignment="1">
      <alignment vertical="top" wrapText="1"/>
    </xf>
    <xf numFmtId="0" fontId="0" fillId="36" borderId="0" xfId="0" applyFill="1" applyAlignment="1">
      <alignment vertical="top" wrapText="1"/>
    </xf>
    <xf numFmtId="0" fontId="40" fillId="25" borderId="0" xfId="46" applyFill="1" applyBorder="1" applyAlignment="1" applyProtection="1">
      <alignment horizontal="left" vertical="center"/>
    </xf>
    <xf numFmtId="0" fontId="47" fillId="26" borderId="20" xfId="0" quotePrefix="1" applyFont="1" applyFill="1" applyBorder="1" applyAlignment="1">
      <alignment horizontal="center" wrapText="1"/>
    </xf>
    <xf numFmtId="0" fontId="47" fillId="26" borderId="14" xfId="0" quotePrefix="1" applyFont="1" applyFill="1" applyBorder="1" applyAlignment="1">
      <alignment horizontal="center" wrapText="1"/>
    </xf>
    <xf numFmtId="0" fontId="47" fillId="26" borderId="40" xfId="0" applyFont="1" applyFill="1" applyBorder="1" applyAlignment="1">
      <alignment horizontal="center" wrapText="1"/>
    </xf>
    <xf numFmtId="0" fontId="47" fillId="26" borderId="40" xfId="0" quotePrefix="1" applyFont="1" applyFill="1" applyBorder="1" applyAlignment="1">
      <alignment horizontal="center" wrapText="1"/>
    </xf>
    <xf numFmtId="0" fontId="47" fillId="26" borderId="66" xfId="0" applyFont="1" applyFill="1" applyBorder="1" applyAlignment="1">
      <alignment horizontal="center" wrapText="1"/>
    </xf>
    <xf numFmtId="0" fontId="0" fillId="49" borderId="13" xfId="0" applyFill="1" applyBorder="1"/>
    <xf numFmtId="0" fontId="47" fillId="26" borderId="41" xfId="0" applyFont="1" applyFill="1" applyBorder="1" applyAlignment="1">
      <alignment horizontal="center" wrapText="1"/>
    </xf>
    <xf numFmtId="37" fontId="52" fillId="28" borderId="76" xfId="29" applyNumberFormat="1" applyFont="1" applyFill="1" applyBorder="1" applyAlignment="1" applyProtection="1">
      <alignment horizontal="center" vertical="center" wrapText="1"/>
      <protection locked="0"/>
    </xf>
    <xf numFmtId="0" fontId="47" fillId="26" borderId="15" xfId="0" applyFont="1" applyFill="1" applyBorder="1" applyAlignment="1">
      <alignment horizontal="center" wrapText="1"/>
    </xf>
    <xf numFmtId="0" fontId="0" fillId="49" borderId="18" xfId="0" applyFill="1" applyBorder="1"/>
    <xf numFmtId="37" fontId="52" fillId="25" borderId="110" xfId="29" applyNumberFormat="1" applyFont="1" applyFill="1" applyBorder="1" applyAlignment="1" applyProtection="1">
      <alignment horizontal="center" vertical="center" wrapText="1"/>
      <protection locked="0"/>
    </xf>
    <xf numFmtId="3" fontId="0" fillId="28" borderId="51" xfId="0" applyNumberFormat="1" applyFill="1" applyBorder="1" applyAlignment="1">
      <alignment horizontal="center" vertical="center" wrapText="1"/>
    </xf>
    <xf numFmtId="0" fontId="0" fillId="25" borderId="0" xfId="0" applyFill="1" applyBorder="1" applyAlignment="1">
      <alignment vertical="top"/>
    </xf>
    <xf numFmtId="0" fontId="0" fillId="25" borderId="0" xfId="0" applyFill="1" applyAlignment="1">
      <alignment vertical="top"/>
    </xf>
    <xf numFmtId="0" fontId="0" fillId="0" borderId="0" xfId="0" applyAlignment="1">
      <alignment vertical="top"/>
    </xf>
    <xf numFmtId="0" fontId="0" fillId="25" borderId="18" xfId="0" applyFill="1" applyBorder="1"/>
    <xf numFmtId="0" fontId="0" fillId="25" borderId="19" xfId="0" applyFill="1" applyBorder="1"/>
    <xf numFmtId="0" fontId="0" fillId="25" borderId="38" xfId="0" applyFill="1" applyBorder="1"/>
    <xf numFmtId="0" fontId="47" fillId="26" borderId="14" xfId="0" quotePrefix="1" applyFont="1" applyFill="1" applyBorder="1" applyAlignment="1">
      <alignment horizontal="center"/>
    </xf>
    <xf numFmtId="0" fontId="0" fillId="25" borderId="0" xfId="0" applyFill="1" applyBorder="1" applyAlignment="1">
      <alignment horizontal="center"/>
    </xf>
    <xf numFmtId="37" fontId="57" fillId="25" borderId="11" xfId="29" applyNumberFormat="1" applyFont="1" applyFill="1" applyBorder="1" applyAlignment="1" applyProtection="1">
      <alignment horizontal="center" vertical="center" wrapText="1"/>
      <protection locked="0"/>
    </xf>
    <xf numFmtId="37" fontId="57" fillId="25" borderId="19" xfId="29" applyNumberFormat="1" applyFont="1" applyFill="1" applyBorder="1" applyAlignment="1" applyProtection="1">
      <alignment horizontal="center" vertical="center"/>
      <protection locked="0"/>
    </xf>
    <xf numFmtId="168" fontId="57" fillId="25" borderId="18" xfId="29" applyNumberFormat="1" applyFont="1" applyFill="1" applyBorder="1" applyAlignment="1" applyProtection="1">
      <alignment horizontal="center" vertical="center"/>
      <protection locked="0"/>
    </xf>
    <xf numFmtId="0" fontId="49" fillId="25" borderId="18" xfId="0" applyFont="1" applyFill="1" applyBorder="1" applyAlignment="1" applyProtection="1">
      <alignment horizontal="center"/>
      <protection locked="0"/>
    </xf>
    <xf numFmtId="0" fontId="0" fillId="25" borderId="18" xfId="0" applyFill="1" applyBorder="1" applyAlignment="1">
      <alignment horizontal="center"/>
    </xf>
    <xf numFmtId="2" fontId="0" fillId="25" borderId="18" xfId="0" applyNumberFormat="1" applyFill="1" applyBorder="1" applyAlignment="1">
      <alignment horizontal="center"/>
    </xf>
    <xf numFmtId="2" fontId="0" fillId="49" borderId="18" xfId="0" applyNumberFormat="1" applyFill="1" applyBorder="1" applyAlignment="1">
      <alignment horizontal="center"/>
    </xf>
    <xf numFmtId="0" fontId="47" fillId="26" borderId="22" xfId="0" applyFont="1" applyFill="1" applyBorder="1" applyAlignment="1">
      <alignment horizontal="center"/>
    </xf>
    <xf numFmtId="0" fontId="0" fillId="25" borderId="10" xfId="0" applyNumberFormat="1" applyFill="1" applyBorder="1" applyAlignment="1">
      <alignment wrapText="1"/>
    </xf>
    <xf numFmtId="1" fontId="52" fillId="25" borderId="0" xfId="0" applyNumberFormat="1" applyFont="1" applyFill="1" applyBorder="1" applyAlignment="1">
      <alignment horizontal="center"/>
    </xf>
    <xf numFmtId="1" fontId="52" fillId="25" borderId="0" xfId="0" applyNumberFormat="1" applyFont="1" applyFill="1" applyBorder="1" applyAlignment="1">
      <alignment horizontal="center" vertical="center" wrapText="1"/>
    </xf>
    <xf numFmtId="1" fontId="52" fillId="28" borderId="14" xfId="0" applyNumberFormat="1" applyFont="1" applyFill="1" applyBorder="1" applyAlignment="1">
      <alignment horizontal="center" vertical="center" wrapText="1"/>
    </xf>
    <xf numFmtId="0" fontId="47" fillId="26" borderId="24" xfId="0" applyFont="1" applyFill="1" applyBorder="1" applyAlignment="1">
      <alignment horizontal="center" vertical="center" wrapText="1"/>
    </xf>
    <xf numFmtId="0" fontId="47" fillId="25" borderId="11" xfId="0" applyFont="1" applyFill="1" applyBorder="1" applyAlignment="1">
      <alignment wrapText="1"/>
    </xf>
    <xf numFmtId="0" fontId="55" fillId="25" borderId="20" xfId="0" applyFont="1" applyFill="1" applyBorder="1" applyAlignment="1">
      <alignment horizontal="center"/>
    </xf>
    <xf numFmtId="168" fontId="0" fillId="28" borderId="84" xfId="0" applyNumberFormat="1" applyFill="1" applyBorder="1" applyAlignment="1">
      <alignment horizontal="center" vertical="center"/>
    </xf>
    <xf numFmtId="168" fontId="0" fillId="28" borderId="76" xfId="0" applyNumberFormat="1" applyFill="1" applyBorder="1" applyAlignment="1">
      <alignment horizontal="center" vertical="center"/>
    </xf>
    <xf numFmtId="0" fontId="0" fillId="28" borderId="76" xfId="0" applyFill="1" applyBorder="1" applyAlignment="1">
      <alignment horizontal="center" vertical="center"/>
    </xf>
    <xf numFmtId="0" fontId="47" fillId="26" borderId="91" xfId="0" applyFont="1" applyFill="1" applyBorder="1" applyAlignment="1">
      <alignment horizontal="center" vertical="center"/>
    </xf>
    <xf numFmtId="0" fontId="0" fillId="28" borderId="79" xfId="0" applyFill="1" applyBorder="1" applyAlignment="1">
      <alignment horizontal="center" vertical="center"/>
    </xf>
    <xf numFmtId="0" fontId="0" fillId="0" borderId="0" xfId="0" applyAlignment="1">
      <alignment wrapText="1"/>
    </xf>
    <xf numFmtId="1" fontId="53" fillId="31" borderId="27" xfId="0" applyNumberFormat="1" applyFont="1" applyFill="1" applyBorder="1" applyAlignment="1">
      <alignment horizontal="center" vertical="center" wrapText="1"/>
    </xf>
    <xf numFmtId="9" fontId="52" fillId="25" borderId="75" xfId="77" applyFont="1" applyFill="1" applyBorder="1" applyAlignment="1" applyProtection="1">
      <alignment horizontal="center" vertical="center"/>
      <protection locked="0"/>
    </xf>
    <xf numFmtId="169" fontId="0" fillId="28" borderId="84" xfId="0" applyNumberFormat="1" applyFill="1" applyBorder="1" applyAlignment="1">
      <alignment horizontal="center"/>
    </xf>
    <xf numFmtId="169" fontId="0" fillId="28" borderId="76" xfId="0" applyNumberFormat="1" applyFill="1" applyBorder="1" applyAlignment="1">
      <alignment horizontal="center"/>
    </xf>
    <xf numFmtId="169" fontId="0" fillId="48" borderId="14" xfId="0" applyNumberFormat="1" applyFill="1" applyBorder="1" applyAlignment="1">
      <alignment horizontal="center"/>
    </xf>
    <xf numFmtId="164" fontId="0" fillId="48" borderId="14" xfId="0" applyNumberFormat="1" applyFill="1" applyBorder="1" applyAlignment="1">
      <alignment horizontal="center"/>
    </xf>
    <xf numFmtId="164" fontId="0" fillId="48" borderId="25" xfId="0" applyNumberFormat="1" applyFill="1" applyBorder="1" applyAlignment="1">
      <alignment horizontal="center"/>
    </xf>
    <xf numFmtId="164" fontId="0" fillId="48" borderId="24" xfId="0" applyNumberFormat="1" applyFill="1" applyBorder="1" applyAlignment="1">
      <alignment horizontal="center"/>
    </xf>
    <xf numFmtId="164" fontId="0" fillId="25" borderId="34" xfId="0" applyNumberFormat="1" applyFont="1" applyFill="1" applyBorder="1" applyAlignment="1">
      <alignment horizontal="center" vertical="center"/>
    </xf>
    <xf numFmtId="164" fontId="0" fillId="28" borderId="28" xfId="0" applyNumberFormat="1" applyFill="1" applyBorder="1" applyAlignment="1">
      <alignment horizontal="center" vertical="center"/>
    </xf>
    <xf numFmtId="164" fontId="0" fillId="25" borderId="24" xfId="0" applyNumberFormat="1" applyFont="1" applyFill="1" applyBorder="1" applyAlignment="1">
      <alignment horizontal="center" vertical="center"/>
    </xf>
    <xf numFmtId="164" fontId="0" fillId="28" borderId="30" xfId="0" applyNumberFormat="1" applyFill="1" applyBorder="1" applyAlignment="1">
      <alignment horizontal="center" vertical="center"/>
    </xf>
    <xf numFmtId="0" fontId="40" fillId="0" borderId="0" xfId="46" applyAlignment="1" applyProtection="1"/>
    <xf numFmtId="0" fontId="46" fillId="47" borderId="40" xfId="54" applyNumberFormat="1" applyFont="1" applyFill="1" applyBorder="1" applyAlignment="1">
      <alignment horizontal="center" vertical="center" wrapText="1"/>
    </xf>
    <xf numFmtId="0" fontId="46" fillId="47" borderId="40" xfId="35" applyNumberFormat="1" applyFont="1" applyFill="1" applyBorder="1" applyAlignment="1">
      <alignment horizontal="center" vertical="center" wrapText="1"/>
    </xf>
    <xf numFmtId="0" fontId="46" fillId="47" borderId="62" xfId="0" applyNumberFormat="1" applyFont="1" applyFill="1" applyBorder="1" applyAlignment="1">
      <alignment horizontal="center" vertical="center" wrapText="1"/>
    </xf>
    <xf numFmtId="0" fontId="46" fillId="47" borderId="40" xfId="0" applyNumberFormat="1" applyFont="1" applyFill="1" applyBorder="1" applyAlignment="1">
      <alignment horizontal="center" vertical="center" wrapText="1"/>
    </xf>
    <xf numFmtId="0" fontId="46" fillId="47" borderId="40" xfId="77" applyNumberFormat="1" applyFont="1" applyFill="1" applyBorder="1" applyAlignment="1">
      <alignment horizontal="center" vertical="center" wrapText="1"/>
    </xf>
    <xf numFmtId="0" fontId="46" fillId="47" borderId="41" xfId="35" applyNumberFormat="1" applyFont="1" applyFill="1" applyBorder="1" applyAlignment="1">
      <alignment horizontal="center" vertical="center"/>
    </xf>
    <xf numFmtId="0" fontId="46" fillId="47" borderId="52" xfId="0" applyNumberFormat="1" applyFont="1" applyFill="1" applyBorder="1" applyAlignment="1">
      <alignment horizontal="center" wrapText="1"/>
    </xf>
    <xf numFmtId="0" fontId="46" fillId="47" borderId="51" xfId="0" applyNumberFormat="1" applyFont="1" applyFill="1" applyBorder="1" applyAlignment="1">
      <alignment horizontal="center" wrapText="1"/>
    </xf>
    <xf numFmtId="0" fontId="55" fillId="47" borderId="51" xfId="77" applyNumberFormat="1" applyFont="1" applyFill="1" applyBorder="1" applyAlignment="1">
      <alignment horizontal="center" wrapText="1"/>
    </xf>
    <xf numFmtId="0" fontId="0" fillId="25" borderId="33" xfId="0" applyFill="1" applyBorder="1"/>
    <xf numFmtId="0" fontId="47" fillId="27" borderId="0" xfId="0" applyFont="1" applyFill="1" applyBorder="1" applyAlignment="1">
      <alignment horizontal="center"/>
    </xf>
    <xf numFmtId="37" fontId="57" fillId="25" borderId="18" xfId="29" applyNumberFormat="1" applyFont="1" applyFill="1" applyBorder="1" applyAlignment="1" applyProtection="1">
      <alignment horizontal="center" vertical="center"/>
      <protection locked="0"/>
    </xf>
    <xf numFmtId="168" fontId="52" fillId="25" borderId="81" xfId="29" applyNumberFormat="1" applyFont="1" applyFill="1" applyBorder="1" applyAlignment="1" applyProtection="1">
      <alignment horizontal="center" vertical="center" wrapText="1"/>
      <protection locked="0"/>
    </xf>
    <xf numFmtId="0" fontId="0" fillId="35" borderId="21" xfId="0" applyFill="1" applyBorder="1" applyAlignment="1">
      <alignment horizontal="right"/>
    </xf>
    <xf numFmtId="49" fontId="46" fillId="33" borderId="14" xfId="0" applyNumberFormat="1" applyFont="1" applyFill="1" applyBorder="1" applyAlignment="1">
      <alignment horizontal="center" vertical="center" wrapText="1"/>
    </xf>
    <xf numFmtId="0" fontId="0" fillId="35" borderId="13" xfId="0" applyFill="1" applyBorder="1" applyAlignment="1">
      <alignment horizontal="center" vertical="center" wrapText="1"/>
    </xf>
    <xf numFmtId="0" fontId="0" fillId="35" borderId="43" xfId="0" applyFill="1" applyBorder="1" applyAlignment="1">
      <alignment horizontal="center" vertical="center" wrapText="1"/>
    </xf>
    <xf numFmtId="0" fontId="0" fillId="35" borderId="11" xfId="0" applyFill="1" applyBorder="1" applyAlignment="1">
      <alignment horizontal="center" vertical="center" wrapText="1"/>
    </xf>
    <xf numFmtId="0" fontId="0" fillId="35" borderId="18" xfId="0" applyFill="1" applyBorder="1" applyAlignment="1">
      <alignment horizontal="center" vertical="center" wrapText="1"/>
    </xf>
    <xf numFmtId="0" fontId="0" fillId="35" borderId="38" xfId="0" applyFill="1" applyBorder="1" applyAlignment="1">
      <alignment horizontal="center" vertical="center" wrapText="1"/>
    </xf>
    <xf numFmtId="0" fontId="0" fillId="36" borderId="0" xfId="0" applyFill="1" applyAlignment="1">
      <alignment horizontal="center" vertical="center" wrapText="1"/>
    </xf>
    <xf numFmtId="0" fontId="0" fillId="0" borderId="0" xfId="0" applyAlignment="1">
      <alignment horizontal="center" vertical="center" wrapText="1"/>
    </xf>
    <xf numFmtId="164" fontId="0" fillId="25" borderId="0" xfId="0" quotePrefix="1" applyNumberFormat="1" applyFont="1" applyFill="1" applyBorder="1" applyAlignment="1">
      <alignment horizontal="center"/>
    </xf>
    <xf numFmtId="170" fontId="0" fillId="25" borderId="0" xfId="0" quotePrefix="1" applyNumberFormat="1" applyFont="1" applyFill="1" applyBorder="1" applyAlignment="1">
      <alignment horizontal="center"/>
    </xf>
    <xf numFmtId="0" fontId="48" fillId="25" borderId="0" xfId="0" applyFont="1" applyFill="1" applyBorder="1" applyAlignment="1">
      <alignment horizontal="right" vertical="center"/>
    </xf>
    <xf numFmtId="1" fontId="0" fillId="25" borderId="0" xfId="0" applyNumberFormat="1" applyFont="1" applyFill="1" applyBorder="1" applyAlignment="1">
      <alignment horizontal="center" vertical="center" wrapText="1"/>
    </xf>
    <xf numFmtId="0" fontId="64" fillId="25" borderId="0" xfId="0" applyFont="1" applyFill="1" applyBorder="1" applyAlignment="1">
      <alignment horizontal="center" vertical="center" wrapText="1"/>
    </xf>
    <xf numFmtId="164" fontId="0" fillId="25" borderId="0" xfId="0" applyNumberFormat="1" applyFill="1" applyBorder="1" applyAlignment="1">
      <alignment horizontal="center" vertical="center"/>
    </xf>
    <xf numFmtId="2" fontId="0" fillId="25" borderId="0" xfId="0" quotePrefix="1" applyNumberFormat="1" applyFont="1" applyFill="1" applyBorder="1" applyAlignment="1">
      <alignment horizontal="center"/>
    </xf>
    <xf numFmtId="0" fontId="69" fillId="25" borderId="0" xfId="0" applyFont="1" applyFill="1" applyBorder="1" applyAlignment="1">
      <alignment vertical="center" wrapText="1"/>
    </xf>
    <xf numFmtId="1" fontId="0" fillId="25" borderId="41" xfId="0" applyNumberFormat="1" applyFont="1" applyFill="1" applyBorder="1" applyAlignment="1">
      <alignment horizontal="center" vertical="center" wrapText="1"/>
    </xf>
    <xf numFmtId="164" fontId="0" fillId="25" borderId="117" xfId="0" applyNumberFormat="1" applyFill="1" applyBorder="1" applyAlignment="1">
      <alignment horizontal="center" vertical="center"/>
    </xf>
    <xf numFmtId="164" fontId="0" fillId="25" borderId="50" xfId="0" applyNumberFormat="1" applyFill="1" applyBorder="1" applyAlignment="1">
      <alignment horizontal="center" vertical="center"/>
    </xf>
    <xf numFmtId="164" fontId="0" fillId="25" borderId="67" xfId="0" quotePrefix="1" applyNumberFormat="1" applyFont="1" applyFill="1" applyBorder="1" applyAlignment="1">
      <alignment horizontal="center"/>
    </xf>
    <xf numFmtId="0" fontId="69" fillId="25" borderId="118" xfId="0" applyFont="1" applyFill="1" applyBorder="1" applyAlignment="1">
      <alignment horizontal="right" vertical="center" wrapText="1"/>
    </xf>
    <xf numFmtId="0" fontId="62" fillId="25" borderId="0" xfId="0" applyFont="1" applyFill="1" applyBorder="1" applyAlignment="1">
      <alignment wrapText="1"/>
    </xf>
    <xf numFmtId="0" fontId="69" fillId="25" borderId="55" xfId="0" applyFont="1" applyFill="1" applyBorder="1" applyAlignment="1">
      <alignment horizontal="right" vertical="center" wrapText="1"/>
    </xf>
    <xf numFmtId="0" fontId="62" fillId="25" borderId="11" xfId="0" applyFont="1" applyFill="1" applyBorder="1" applyAlignment="1">
      <alignment wrapText="1"/>
    </xf>
    <xf numFmtId="37" fontId="52" fillId="28" borderId="75" xfId="29" applyNumberFormat="1" applyFont="1" applyFill="1" applyBorder="1" applyAlignment="1" applyProtection="1">
      <alignment horizontal="center" vertical="center" wrapText="1"/>
      <protection locked="0"/>
    </xf>
    <xf numFmtId="1" fontId="0" fillId="28" borderId="65" xfId="0" applyNumberFormat="1" applyFill="1" applyBorder="1" applyAlignment="1">
      <alignment horizontal="center" vertical="center" wrapText="1"/>
    </xf>
    <xf numFmtId="170" fontId="0" fillId="25" borderId="120" xfId="0" quotePrefix="1" applyNumberFormat="1" applyFont="1" applyFill="1" applyBorder="1" applyAlignment="1">
      <alignment horizontal="center"/>
    </xf>
    <xf numFmtId="170" fontId="0" fillId="25" borderId="117" xfId="0" quotePrefix="1" applyNumberFormat="1" applyFont="1" applyFill="1" applyBorder="1" applyAlignment="1">
      <alignment horizontal="center"/>
    </xf>
    <xf numFmtId="0" fontId="62" fillId="25" borderId="10" xfId="0" applyFont="1" applyFill="1" applyBorder="1"/>
    <xf numFmtId="9" fontId="52" fillId="25" borderId="83" xfId="77" applyFont="1" applyFill="1" applyBorder="1" applyAlignment="1" applyProtection="1">
      <alignment horizontal="center" vertical="center"/>
      <protection locked="0"/>
    </xf>
    <xf numFmtId="1" fontId="52" fillId="28" borderId="15" xfId="0" applyNumberFormat="1" applyFont="1" applyFill="1" applyBorder="1" applyAlignment="1">
      <alignment horizontal="center" vertical="center" wrapText="1"/>
    </xf>
    <xf numFmtId="0" fontId="55" fillId="25" borderId="10" xfId="0" applyFont="1" applyFill="1" applyBorder="1"/>
    <xf numFmtId="0" fontId="47" fillId="26" borderId="32" xfId="0" applyFont="1" applyFill="1" applyBorder="1" applyAlignment="1">
      <alignment horizontal="center" wrapText="1"/>
    </xf>
    <xf numFmtId="171" fontId="63" fillId="44" borderId="69" xfId="0" applyNumberFormat="1" applyFont="1" applyFill="1" applyBorder="1" applyAlignment="1">
      <alignment horizontal="left" vertical="center" wrapText="1"/>
    </xf>
    <xf numFmtId="0" fontId="63" fillId="44" borderId="69" xfId="0" applyFont="1" applyFill="1" applyBorder="1" applyAlignment="1">
      <alignment horizontal="left" vertical="center" wrapText="1"/>
    </xf>
    <xf numFmtId="0" fontId="63" fillId="39" borderId="28" xfId="0" applyFont="1" applyFill="1" applyBorder="1" applyAlignment="1">
      <alignment horizontal="left" vertical="center" wrapText="1"/>
    </xf>
    <xf numFmtId="171" fontId="63" fillId="0" borderId="69" xfId="0" applyNumberFormat="1" applyFont="1" applyBorder="1" applyAlignment="1">
      <alignment horizontal="left" vertical="center" wrapText="1"/>
    </xf>
    <xf numFmtId="0" fontId="63" fillId="0" borderId="0" xfId="0" applyFont="1" applyAlignment="1">
      <alignment horizontal="left"/>
    </xf>
    <xf numFmtId="0" fontId="63" fillId="0" borderId="69" xfId="0" applyFont="1" applyBorder="1" applyAlignment="1">
      <alignment horizontal="left" vertical="center" wrapText="1"/>
    </xf>
    <xf numFmtId="0" fontId="53" fillId="31" borderId="27" xfId="0" applyFont="1" applyFill="1" applyBorder="1" applyAlignment="1">
      <alignment horizontal="center" vertical="center" wrapText="1"/>
    </xf>
    <xf numFmtId="167" fontId="53" fillId="31" borderId="27" xfId="0" applyNumberFormat="1" applyFont="1" applyFill="1" applyBorder="1" applyAlignment="1">
      <alignment horizontal="center" vertical="center" wrapText="1"/>
    </xf>
    <xf numFmtId="0" fontId="0" fillId="25" borderId="86" xfId="0" applyFill="1" applyBorder="1" applyAlignment="1" applyProtection="1">
      <alignment horizontal="center" wrapText="1"/>
      <protection locked="0"/>
    </xf>
    <xf numFmtId="0" fontId="0" fillId="25" borderId="87" xfId="0" applyFill="1" applyBorder="1" applyAlignment="1" applyProtection="1">
      <alignment horizontal="center" wrapText="1"/>
      <protection locked="0"/>
    </xf>
    <xf numFmtId="49" fontId="63" fillId="0" borderId="69" xfId="0" applyNumberFormat="1" applyFont="1" applyBorder="1" applyAlignment="1">
      <alignment horizontal="left" vertical="center" wrapText="1"/>
    </xf>
    <xf numFmtId="0" fontId="63" fillId="0" borderId="69" xfId="77" applyNumberFormat="1" applyFont="1" applyBorder="1" applyAlignment="1">
      <alignment horizontal="left" vertical="center" wrapText="1"/>
    </xf>
    <xf numFmtId="49" fontId="63" fillId="44" borderId="69" xfId="0" applyNumberFormat="1" applyFont="1" applyFill="1" applyBorder="1" applyAlignment="1">
      <alignment horizontal="left" vertical="center" wrapText="1"/>
    </xf>
    <xf numFmtId="0" fontId="63" fillId="44" borderId="69" xfId="77" applyNumberFormat="1" applyFont="1" applyFill="1" applyBorder="1" applyAlignment="1">
      <alignment horizontal="left" vertical="center" wrapText="1"/>
    </xf>
    <xf numFmtId="0" fontId="63" fillId="0" borderId="69" xfId="0" applyFont="1" applyFill="1" applyBorder="1" applyAlignment="1">
      <alignment horizontal="left" vertical="center" wrapText="1"/>
    </xf>
    <xf numFmtId="1" fontId="52" fillId="0" borderId="27" xfId="0" applyNumberFormat="1" applyFont="1" applyFill="1" applyBorder="1" applyAlignment="1">
      <alignment wrapText="1"/>
    </xf>
    <xf numFmtId="44" fontId="63" fillId="0" borderId="69" xfId="35" applyFont="1" applyBorder="1" applyAlignment="1">
      <alignment horizontal="left" vertical="center" wrapText="1"/>
    </xf>
    <xf numFmtId="44" fontId="63" fillId="44" borderId="69" xfId="35" applyFont="1" applyFill="1" applyBorder="1" applyAlignment="1">
      <alignment horizontal="left" vertical="center" wrapText="1"/>
    </xf>
    <xf numFmtId="9" fontId="63" fillId="0" borderId="69" xfId="77" applyFont="1" applyBorder="1" applyAlignment="1">
      <alignment horizontal="left" vertical="center" wrapText="1"/>
    </xf>
    <xf numFmtId="9" fontId="63" fillId="44" borderId="69" xfId="77" applyFont="1" applyFill="1" applyBorder="1" applyAlignment="1">
      <alignment horizontal="left" vertical="center" wrapText="1"/>
    </xf>
    <xf numFmtId="14" fontId="0" fillId="25" borderId="86" xfId="0" applyNumberFormat="1" applyFill="1" applyBorder="1" applyAlignment="1" applyProtection="1">
      <alignment horizontal="center" wrapText="1"/>
      <protection locked="0"/>
    </xf>
    <xf numFmtId="0" fontId="0" fillId="0" borderId="0" xfId="0" applyAlignment="1">
      <alignment wrapText="1"/>
    </xf>
    <xf numFmtId="0" fontId="63" fillId="38" borderId="30" xfId="0" applyFont="1" applyFill="1" applyBorder="1"/>
    <xf numFmtId="0" fontId="63" fillId="38" borderId="27" xfId="0" applyFont="1" applyFill="1" applyBorder="1"/>
    <xf numFmtId="3" fontId="63" fillId="38" borderId="27" xfId="0" applyNumberFormat="1" applyFont="1" applyFill="1" applyBorder="1"/>
    <xf numFmtId="1" fontId="63" fillId="38" borderId="27" xfId="0" applyNumberFormat="1" applyFont="1" applyFill="1" applyBorder="1"/>
    <xf numFmtId="167" fontId="63" fillId="38" borderId="27" xfId="0" applyNumberFormat="1" applyFont="1" applyFill="1" applyBorder="1"/>
    <xf numFmtId="0" fontId="93" fillId="34" borderId="18" xfId="0" applyFont="1" applyFill="1" applyBorder="1" applyAlignment="1">
      <alignment horizontal="center" vertical="center" wrapText="1"/>
    </xf>
    <xf numFmtId="0" fontId="63" fillId="0" borderId="28" xfId="0" applyFont="1" applyBorder="1"/>
    <xf numFmtId="0" fontId="63" fillId="0" borderId="27" xfId="0" applyFont="1" applyBorder="1"/>
    <xf numFmtId="0" fontId="63" fillId="0" borderId="27" xfId="0" applyFont="1" applyBorder="1" applyAlignment="1">
      <alignment wrapText="1"/>
    </xf>
    <xf numFmtId="3" fontId="63" fillId="0" borderId="27" xfId="0" applyNumberFormat="1" applyFont="1" applyBorder="1" applyAlignment="1">
      <alignment wrapText="1"/>
    </xf>
    <xf numFmtId="167" fontId="63" fillId="0" borderId="27" xfId="0" applyNumberFormat="1" applyFont="1" applyBorder="1" applyAlignment="1">
      <alignment wrapText="1"/>
    </xf>
    <xf numFmtId="0" fontId="63" fillId="0" borderId="0" xfId="0" applyFont="1" applyAlignment="1">
      <alignment horizontal="center"/>
    </xf>
    <xf numFmtId="0" fontId="63" fillId="0" borderId="0" xfId="0" applyFont="1"/>
    <xf numFmtId="0" fontId="52" fillId="0" borderId="0" xfId="0" applyFont="1" applyAlignment="1">
      <alignment wrapText="1"/>
    </xf>
    <xf numFmtId="0" fontId="0" fillId="0" borderId="75" xfId="0" applyFont="1" applyFill="1" applyBorder="1" applyAlignment="1" applyProtection="1">
      <alignment horizontal="center" vertical="center" wrapText="1"/>
      <protection locked="0"/>
    </xf>
    <xf numFmtId="0" fontId="0" fillId="0" borderId="74" xfId="0" applyFont="1" applyFill="1" applyBorder="1" applyAlignment="1" applyProtection="1">
      <alignment horizontal="center" vertical="center" wrapText="1"/>
      <protection locked="0"/>
    </xf>
    <xf numFmtId="49" fontId="0" fillId="0" borderId="75" xfId="0" applyNumberFormat="1" applyFont="1" applyFill="1" applyBorder="1" applyAlignment="1" applyProtection="1">
      <alignment horizontal="center" vertical="center" wrapText="1"/>
      <protection locked="0"/>
    </xf>
    <xf numFmtId="0" fontId="0" fillId="0" borderId="75" xfId="0" applyFill="1" applyBorder="1" applyAlignment="1" applyProtection="1">
      <alignment horizontal="center" wrapText="1"/>
      <protection locked="0"/>
    </xf>
    <xf numFmtId="0" fontId="0" fillId="0" borderId="78" xfId="0" applyFill="1" applyBorder="1" applyAlignment="1" applyProtection="1">
      <alignment horizontal="center" wrapText="1"/>
      <protection locked="0"/>
    </xf>
    <xf numFmtId="164" fontId="0" fillId="0" borderId="46" xfId="0" quotePrefix="1" applyNumberFormat="1" applyFont="1" applyFill="1" applyBorder="1" applyAlignment="1">
      <alignment horizontal="center"/>
    </xf>
    <xf numFmtId="170" fontId="0" fillId="25" borderId="36" xfId="0" quotePrefix="1" applyNumberFormat="1" applyFont="1" applyFill="1" applyBorder="1" applyAlignment="1">
      <alignment horizontal="center"/>
    </xf>
    <xf numFmtId="164" fontId="39" fillId="25" borderId="76" xfId="29" applyNumberFormat="1" applyFont="1" applyFill="1" applyBorder="1" applyAlignment="1" applyProtection="1">
      <alignment horizontal="center" wrapText="1"/>
      <protection locked="0"/>
    </xf>
    <xf numFmtId="0" fontId="63" fillId="38" borderId="28" xfId="0" applyFont="1" applyFill="1" applyBorder="1"/>
    <xf numFmtId="0" fontId="0" fillId="25" borderId="0" xfId="0" applyFill="1" applyAlignment="1">
      <alignment vertical="top" wrapText="1"/>
    </xf>
    <xf numFmtId="0" fontId="0" fillId="0" borderId="0" xfId="0" applyAlignment="1">
      <alignment wrapText="1"/>
    </xf>
    <xf numFmtId="0" fontId="0" fillId="35" borderId="0" xfId="0" applyFill="1" applyBorder="1" applyAlignment="1">
      <alignment horizontal="center" vertical="center" wrapText="1"/>
    </xf>
    <xf numFmtId="171" fontId="63" fillId="0" borderId="123" xfId="0" applyNumberFormat="1" applyFont="1" applyBorder="1" applyAlignment="1">
      <alignment horizontal="left" vertical="center" wrapText="1"/>
    </xf>
    <xf numFmtId="0" fontId="63" fillId="0" borderId="123" xfId="77" applyNumberFormat="1" applyFont="1" applyBorder="1" applyAlignment="1">
      <alignment horizontal="left" vertical="center" wrapText="1"/>
    </xf>
    <xf numFmtId="44" fontId="63" fillId="0" borderId="123" xfId="35" applyFont="1" applyBorder="1" applyAlignment="1">
      <alignment horizontal="left" vertical="center" wrapText="1"/>
    </xf>
    <xf numFmtId="9" fontId="63" fillId="0" borderId="123" xfId="77" applyFont="1" applyBorder="1" applyAlignment="1">
      <alignment horizontal="left" vertical="center" wrapText="1"/>
    </xf>
    <xf numFmtId="171" fontId="63" fillId="44" borderId="123" xfId="0" applyNumberFormat="1" applyFont="1" applyFill="1" applyBorder="1" applyAlignment="1">
      <alignment horizontal="left" vertical="center" wrapText="1"/>
    </xf>
    <xf numFmtId="0" fontId="63" fillId="44" borderId="123" xfId="77" applyNumberFormat="1" applyFont="1" applyFill="1" applyBorder="1" applyAlignment="1">
      <alignment horizontal="left" vertical="center" wrapText="1"/>
    </xf>
    <xf numFmtId="44" fontId="63" fillId="44" borderId="123" xfId="35" applyFont="1" applyFill="1" applyBorder="1" applyAlignment="1">
      <alignment horizontal="left" vertical="center" wrapText="1"/>
    </xf>
    <xf numFmtId="9" fontId="63" fillId="44" borderId="123" xfId="77" applyFont="1" applyFill="1" applyBorder="1" applyAlignment="1">
      <alignment horizontal="left" vertical="center" wrapText="1"/>
    </xf>
    <xf numFmtId="0" fontId="52" fillId="0" borderId="27" xfId="0" applyFont="1" applyBorder="1" applyAlignment="1">
      <alignment horizontal="left"/>
    </xf>
    <xf numFmtId="0" fontId="52" fillId="0" borderId="27" xfId="0" applyFont="1" applyBorder="1" applyAlignment="1">
      <alignment horizontal="center"/>
    </xf>
    <xf numFmtId="0" fontId="5" fillId="25" borderId="70" xfId="0" applyFont="1" applyFill="1" applyBorder="1" applyAlignment="1">
      <alignment horizontal="left" wrapText="1"/>
    </xf>
    <xf numFmtId="0" fontId="3" fillId="25" borderId="0" xfId="46" applyFont="1" applyFill="1" applyBorder="1" applyAlignment="1" applyProtection="1">
      <alignment horizontal="left" wrapText="1"/>
    </xf>
    <xf numFmtId="0" fontId="0" fillId="0" borderId="0" xfId="0" applyAlignment="1">
      <alignment vertical="center" wrapText="1"/>
    </xf>
    <xf numFmtId="3" fontId="50" fillId="25" borderId="0" xfId="29" applyNumberFormat="1" applyFont="1" applyFill="1" applyBorder="1" applyAlignment="1">
      <alignment horizontal="center" vertical="center" wrapText="1"/>
    </xf>
    <xf numFmtId="44" fontId="0" fillId="25" borderId="0" xfId="35" applyFont="1" applyFill="1" applyAlignment="1">
      <alignment horizontal="center" vertical="center" wrapText="1"/>
    </xf>
    <xf numFmtId="167" fontId="0" fillId="25" borderId="0" xfId="35" applyNumberFormat="1" applyFont="1" applyFill="1" applyAlignment="1">
      <alignment horizontal="center" vertical="center" wrapText="1"/>
    </xf>
    <xf numFmtId="167" fontId="0" fillId="25" borderId="0" xfId="0" applyNumberFormat="1" applyFill="1" applyAlignment="1">
      <alignment horizontal="center" vertical="center" wrapText="1"/>
    </xf>
    <xf numFmtId="3" fontId="0" fillId="25" borderId="0" xfId="29" applyNumberFormat="1" applyFont="1" applyFill="1" applyAlignment="1">
      <alignment horizontal="center" vertical="center" wrapText="1"/>
    </xf>
    <xf numFmtId="3" fontId="0" fillId="35" borderId="13" xfId="29" applyNumberFormat="1" applyFont="1" applyFill="1" applyBorder="1" applyAlignment="1">
      <alignment horizontal="center" vertical="center" wrapText="1"/>
    </xf>
    <xf numFmtId="3" fontId="0" fillId="35" borderId="0" xfId="29" applyNumberFormat="1" applyFont="1" applyFill="1" applyBorder="1" applyAlignment="1">
      <alignment horizontal="center" vertical="center" wrapText="1"/>
    </xf>
    <xf numFmtId="3" fontId="0" fillId="35" borderId="18" xfId="29" applyNumberFormat="1" applyFont="1" applyFill="1" applyBorder="1" applyAlignment="1">
      <alignment horizontal="center" vertical="center" wrapText="1"/>
    </xf>
    <xf numFmtId="0" fontId="56" fillId="25" borderId="21" xfId="0" applyFont="1" applyFill="1" applyBorder="1" applyAlignment="1">
      <alignment wrapText="1"/>
    </xf>
    <xf numFmtId="0" fontId="13" fillId="31" borderId="32" xfId="0" quotePrefix="1" applyFont="1" applyFill="1" applyBorder="1" applyAlignment="1">
      <alignment wrapText="1"/>
    </xf>
    <xf numFmtId="0" fontId="13" fillId="31" borderId="20" xfId="0" quotePrefix="1" applyFont="1" applyFill="1" applyBorder="1" applyAlignment="1">
      <alignment wrapText="1"/>
    </xf>
    <xf numFmtId="14" fontId="0" fillId="25" borderId="87" xfId="0" applyNumberFormat="1" applyFill="1" applyBorder="1" applyAlignment="1" applyProtection="1">
      <alignment horizontal="center" wrapText="1"/>
      <protection locked="0"/>
    </xf>
    <xf numFmtId="0" fontId="0" fillId="40" borderId="0" xfId="0" applyFill="1"/>
    <xf numFmtId="0" fontId="0" fillId="28" borderId="57" xfId="0" applyFill="1" applyBorder="1" applyAlignment="1">
      <alignment horizontal="center" wrapText="1"/>
    </xf>
    <xf numFmtId="0" fontId="0" fillId="28" borderId="124" xfId="0" applyFill="1" applyBorder="1" applyAlignment="1">
      <alignment horizontal="center" wrapText="1"/>
    </xf>
    <xf numFmtId="0" fontId="0" fillId="28" borderId="124" xfId="0" applyFill="1" applyBorder="1" applyAlignment="1" applyProtection="1">
      <alignment horizontal="center" wrapText="1"/>
    </xf>
    <xf numFmtId="5" fontId="39" fillId="28" borderId="124" xfId="29" applyNumberFormat="1" applyFont="1" applyFill="1" applyBorder="1" applyAlignment="1">
      <alignment horizontal="center" wrapText="1"/>
    </xf>
    <xf numFmtId="0" fontId="0" fillId="28" borderId="124" xfId="0" quotePrefix="1" applyFill="1" applyBorder="1" applyAlignment="1">
      <alignment horizontal="center" vertical="top" wrapText="1"/>
    </xf>
    <xf numFmtId="0" fontId="0" fillId="0" borderId="0" xfId="0" applyAlignment="1">
      <alignment wrapText="1"/>
    </xf>
    <xf numFmtId="0" fontId="0" fillId="25" borderId="0" xfId="0" applyFill="1" applyAlignment="1">
      <alignment wrapText="1"/>
    </xf>
    <xf numFmtId="0" fontId="0" fillId="0" borderId="0" xfId="0" applyFill="1"/>
    <xf numFmtId="0" fontId="61" fillId="25" borderId="0" xfId="0" applyFont="1" applyFill="1" applyAlignment="1">
      <alignment horizontal="center"/>
    </xf>
    <xf numFmtId="0" fontId="60" fillId="32" borderId="0" xfId="0" applyFont="1" applyFill="1" applyAlignment="1">
      <alignment horizontal="center" vertical="center" wrapText="1"/>
    </xf>
    <xf numFmtId="0" fontId="0" fillId="44" borderId="0" xfId="0" applyFill="1" applyAlignment="1">
      <alignment horizontal="center"/>
    </xf>
    <xf numFmtId="1" fontId="0" fillId="44" borderId="0" xfId="0" applyNumberFormat="1" applyFill="1" applyAlignment="1">
      <alignment horizontal="center"/>
    </xf>
    <xf numFmtId="1" fontId="0" fillId="0" borderId="0" xfId="0" applyNumberFormat="1" applyFill="1" applyAlignment="1">
      <alignment horizontal="center"/>
    </xf>
    <xf numFmtId="0" fontId="0" fillId="0" borderId="0" xfId="0" quotePrefix="1" applyFill="1"/>
    <xf numFmtId="0" fontId="0" fillId="25" borderId="0" xfId="0" applyFill="1" applyBorder="1" applyAlignment="1">
      <alignment horizontal="left" vertical="center"/>
    </xf>
    <xf numFmtId="0" fontId="53" fillId="34" borderId="0" xfId="0" applyFont="1" applyFill="1" applyAlignment="1">
      <alignment horizontal="center" vertical="center" wrapText="1"/>
    </xf>
    <xf numFmtId="0" fontId="53" fillId="54" borderId="0" xfId="0" applyFont="1" applyFill="1" applyAlignment="1">
      <alignment horizontal="center" vertical="center" wrapText="1"/>
    </xf>
    <xf numFmtId="0" fontId="53" fillId="31" borderId="0" xfId="0" applyFont="1" applyFill="1" applyAlignment="1">
      <alignment horizontal="center" vertical="center" wrapText="1"/>
    </xf>
    <xf numFmtId="0" fontId="63" fillId="38" borderId="0" xfId="0" applyFont="1" applyFill="1"/>
    <xf numFmtId="0" fontId="63" fillId="34" borderId="0" xfId="0" applyFont="1" applyFill="1" applyAlignment="1">
      <alignment horizontal="center" vertical="center"/>
    </xf>
    <xf numFmtId="0" fontId="63" fillId="0" borderId="0" xfId="0" applyFont="1" applyAlignment="1">
      <alignment horizontal="left" vertical="center" wrapText="1"/>
    </xf>
    <xf numFmtId="1" fontId="63" fillId="0" borderId="27" xfId="0" applyNumberFormat="1" applyFont="1" applyBorder="1" applyAlignment="1">
      <alignment wrapText="1"/>
    </xf>
    <xf numFmtId="0" fontId="0" fillId="55" borderId="10" xfId="0" applyFill="1" applyBorder="1" applyAlignment="1">
      <alignment wrapText="1"/>
    </xf>
    <xf numFmtId="0" fontId="0" fillId="55" borderId="11" xfId="0" applyFill="1" applyBorder="1" applyAlignment="1">
      <alignment wrapText="1"/>
    </xf>
    <xf numFmtId="0" fontId="0" fillId="56" borderId="10" xfId="0" applyFill="1" applyBorder="1" applyAlignment="1">
      <alignment wrapText="1"/>
    </xf>
    <xf numFmtId="0" fontId="0" fillId="56" borderId="11" xfId="0" applyFill="1" applyBorder="1" applyAlignment="1">
      <alignment wrapText="1"/>
    </xf>
    <xf numFmtId="0" fontId="65" fillId="56" borderId="70" xfId="46" applyFont="1" applyFill="1" applyBorder="1" applyAlignment="1" applyProtection="1">
      <alignment horizontal="right" vertical="center" wrapText="1"/>
    </xf>
    <xf numFmtId="0" fontId="40" fillId="56" borderId="70" xfId="46" applyFill="1" applyBorder="1" applyAlignment="1" applyProtection="1">
      <alignment horizontal="right" vertical="center" wrapText="1"/>
    </xf>
    <xf numFmtId="0" fontId="65" fillId="57" borderId="70" xfId="46" applyFont="1" applyFill="1" applyBorder="1" applyAlignment="1" applyProtection="1">
      <alignment horizontal="right" vertical="center" wrapText="1"/>
    </xf>
    <xf numFmtId="0" fontId="40" fillId="57" borderId="70" xfId="46" applyFill="1" applyBorder="1" applyAlignment="1" applyProtection="1">
      <alignment horizontal="right" vertical="center" wrapText="1"/>
    </xf>
    <xf numFmtId="0" fontId="65" fillId="55" borderId="70" xfId="46" applyFont="1" applyFill="1" applyBorder="1" applyAlignment="1" applyProtection="1">
      <alignment horizontal="right" vertical="center" wrapText="1"/>
    </xf>
    <xf numFmtId="0" fontId="40" fillId="55" borderId="70" xfId="46" applyFill="1" applyBorder="1" applyAlignment="1" applyProtection="1">
      <alignment horizontal="right" vertical="center" wrapText="1"/>
    </xf>
    <xf numFmtId="0" fontId="0" fillId="57" borderId="10" xfId="0" applyFill="1" applyBorder="1" applyAlignment="1">
      <alignment wrapText="1"/>
    </xf>
    <xf numFmtId="0" fontId="0" fillId="57" borderId="11" xfId="0" applyFill="1" applyBorder="1" applyAlignment="1">
      <alignment wrapText="1"/>
    </xf>
    <xf numFmtId="3" fontId="0" fillId="25" borderId="72" xfId="0" applyNumberFormat="1" applyFont="1" applyFill="1" applyBorder="1" applyAlignment="1" applyProtection="1">
      <alignment horizontal="center" vertical="center" wrapText="1"/>
      <protection locked="0"/>
    </xf>
    <xf numFmtId="3" fontId="0" fillId="25" borderId="75" xfId="0" applyNumberFormat="1" applyFont="1" applyFill="1" applyBorder="1" applyAlignment="1" applyProtection="1">
      <alignment horizontal="center" vertical="center" wrapText="1"/>
      <protection locked="0"/>
    </xf>
    <xf numFmtId="0" fontId="64" fillId="25" borderId="0" xfId="0" applyFont="1" applyFill="1" applyBorder="1" applyAlignment="1">
      <alignment horizontal="right" vertical="center"/>
    </xf>
    <xf numFmtId="0" fontId="64" fillId="25" borderId="0" xfId="0" applyFont="1" applyFill="1" applyBorder="1" applyAlignment="1">
      <alignment horizontal="center" vertical="center"/>
    </xf>
    <xf numFmtId="0" fontId="46" fillId="26" borderId="43" xfId="0" applyFont="1" applyFill="1" applyBorder="1" applyAlignment="1">
      <alignment horizontal="center" vertical="center" wrapText="1"/>
    </xf>
    <xf numFmtId="0" fontId="97" fillId="44" borderId="123" xfId="77" applyNumberFormat="1" applyFont="1" applyFill="1" applyBorder="1" applyAlignment="1">
      <alignment horizontal="left" vertical="center" wrapText="1"/>
    </xf>
    <xf numFmtId="0" fontId="97" fillId="0" borderId="123" xfId="77" applyNumberFormat="1" applyFont="1" applyBorder="1" applyAlignment="1">
      <alignment horizontal="left" vertical="center" wrapText="1"/>
    </xf>
    <xf numFmtId="0" fontId="97" fillId="44" borderId="69" xfId="0" applyFont="1" applyFill="1" applyBorder="1" applyAlignment="1">
      <alignment horizontal="left" vertical="center" wrapText="1"/>
    </xf>
    <xf numFmtId="44" fontId="97" fillId="44" borderId="123" xfId="35" applyFont="1" applyFill="1" applyBorder="1" applyAlignment="1">
      <alignment horizontal="left" vertical="center" wrapText="1"/>
    </xf>
    <xf numFmtId="9" fontId="97" fillId="44" borderId="123" xfId="77" applyFont="1" applyFill="1" applyBorder="1" applyAlignment="1">
      <alignment horizontal="left" vertical="center" wrapText="1"/>
    </xf>
    <xf numFmtId="0" fontId="97" fillId="0" borderId="69" xfId="0" applyFont="1" applyBorder="1" applyAlignment="1">
      <alignment horizontal="left" vertical="center" wrapText="1"/>
    </xf>
    <xf numFmtId="0" fontId="93" fillId="31" borderId="25" xfId="0" applyFont="1" applyFill="1" applyBorder="1" applyAlignment="1">
      <alignment horizontal="center" vertical="center" wrapText="1"/>
    </xf>
    <xf numFmtId="3" fontId="93" fillId="31" borderId="25" xfId="0" applyNumberFormat="1" applyFont="1" applyFill="1" applyBorder="1" applyAlignment="1">
      <alignment horizontal="center" vertical="center" wrapText="1"/>
    </xf>
    <xf numFmtId="1" fontId="93" fillId="40" borderId="25" xfId="0" applyNumberFormat="1" applyFont="1" applyFill="1" applyBorder="1" applyAlignment="1">
      <alignment horizontal="center" vertical="center" wrapText="1"/>
    </xf>
    <xf numFmtId="167" fontId="93" fillId="31" borderId="25" xfId="0" applyNumberFormat="1" applyFont="1" applyFill="1" applyBorder="1" applyAlignment="1">
      <alignment horizontal="center" vertical="center" wrapText="1"/>
    </xf>
    <xf numFmtId="49" fontId="63" fillId="0" borderId="69" xfId="0" applyNumberFormat="1" applyFont="1" applyFill="1" applyBorder="1" applyAlignment="1">
      <alignment horizontal="left" vertical="center" wrapText="1"/>
    </xf>
    <xf numFmtId="171" fontId="63" fillId="0" borderId="69" xfId="0" applyNumberFormat="1" applyFont="1" applyFill="1" applyBorder="1" applyAlignment="1">
      <alignment horizontal="left" vertical="center" wrapText="1"/>
    </xf>
    <xf numFmtId="171" fontId="63" fillId="0" borderId="123" xfId="0" applyNumberFormat="1" applyFont="1" applyFill="1" applyBorder="1" applyAlignment="1">
      <alignment horizontal="left" vertical="center" wrapText="1"/>
    </xf>
    <xf numFmtId="0" fontId="63" fillId="0" borderId="123" xfId="77" applyNumberFormat="1" applyFont="1" applyFill="1" applyBorder="1" applyAlignment="1">
      <alignment horizontal="left" vertical="center" wrapText="1"/>
    </xf>
    <xf numFmtId="44" fontId="63" fillId="0" borderId="123" xfId="35" applyFont="1" applyFill="1" applyBorder="1" applyAlignment="1">
      <alignment horizontal="left" vertical="center" wrapText="1"/>
    </xf>
    <xf numFmtId="9" fontId="63" fillId="0" borderId="123" xfId="77" applyFont="1" applyFill="1" applyBorder="1" applyAlignment="1">
      <alignment horizontal="left" vertical="center" wrapText="1"/>
    </xf>
    <xf numFmtId="14" fontId="0" fillId="25" borderId="76" xfId="0" applyNumberFormat="1" applyFill="1" applyBorder="1" applyAlignment="1" applyProtection="1">
      <alignment horizontal="left" vertical="center" wrapText="1"/>
      <protection locked="0"/>
    </xf>
    <xf numFmtId="49" fontId="0" fillId="25" borderId="72" xfId="0" applyNumberFormat="1" applyFont="1" applyFill="1" applyBorder="1" applyAlignment="1" applyProtection="1">
      <alignment horizontal="center" vertical="center" wrapText="1"/>
      <protection locked="0"/>
    </xf>
    <xf numFmtId="49" fontId="0" fillId="25" borderId="75" xfId="0" applyNumberFormat="1" applyFont="1" applyFill="1" applyBorder="1" applyAlignment="1" applyProtection="1">
      <alignment horizontal="center" vertical="center" wrapText="1"/>
      <protection locked="0"/>
    </xf>
    <xf numFmtId="0" fontId="0" fillId="25" borderId="73" xfId="0" applyFont="1" applyFill="1" applyBorder="1" applyAlignment="1" applyProtection="1">
      <alignment horizontal="left" vertical="center" wrapText="1"/>
      <protection locked="0"/>
    </xf>
    <xf numFmtId="0" fontId="0" fillId="28" borderId="71" xfId="0" applyFill="1" applyBorder="1" applyAlignment="1">
      <alignment horizontal="center" vertical="center" wrapText="1"/>
    </xf>
    <xf numFmtId="0" fontId="0" fillId="25" borderId="72" xfId="0" applyFont="1" applyFill="1" applyBorder="1" applyAlignment="1" applyProtection="1">
      <alignment horizontal="left" vertical="center" wrapText="1"/>
      <protection locked="0"/>
    </xf>
    <xf numFmtId="0" fontId="0" fillId="28" borderId="74" xfId="0" applyFill="1" applyBorder="1" applyAlignment="1">
      <alignment horizontal="center" vertical="center" wrapText="1"/>
    </xf>
    <xf numFmtId="0" fontId="0" fillId="28" borderId="75" xfId="0" applyFill="1" applyBorder="1" applyAlignment="1">
      <alignment horizontal="center" vertical="center" wrapText="1"/>
    </xf>
    <xf numFmtId="0" fontId="0" fillId="25" borderId="72" xfId="0" applyFill="1" applyBorder="1" applyAlignment="1" applyProtection="1">
      <alignment horizontal="center" vertical="center" wrapText="1"/>
      <protection locked="0"/>
    </xf>
    <xf numFmtId="0" fontId="0" fillId="25" borderId="75" xfId="0" applyFill="1" applyBorder="1" applyAlignment="1" applyProtection="1">
      <alignment horizontal="center" vertical="center" wrapText="1"/>
      <protection locked="0"/>
    </xf>
    <xf numFmtId="0" fontId="0" fillId="25" borderId="75" xfId="0" applyFill="1" applyBorder="1" applyAlignment="1" applyProtection="1">
      <alignment horizontal="left" vertical="center" wrapText="1"/>
      <protection locked="0"/>
    </xf>
    <xf numFmtId="0" fontId="0" fillId="28" borderId="72" xfId="0" applyFill="1" applyBorder="1" applyAlignment="1">
      <alignment horizontal="center" vertical="center" wrapText="1"/>
    </xf>
    <xf numFmtId="37" fontId="39" fillId="25" borderId="72" xfId="29" applyNumberFormat="1" applyFont="1" applyFill="1" applyBorder="1" applyAlignment="1" applyProtection="1">
      <alignment horizontal="center" vertical="center" wrapText="1"/>
      <protection locked="0"/>
    </xf>
    <xf numFmtId="49" fontId="0" fillId="25" borderId="72" xfId="0" applyNumberFormat="1" applyFill="1" applyBorder="1" applyAlignment="1" applyProtection="1">
      <alignment horizontal="center" vertical="center" wrapText="1"/>
      <protection locked="0"/>
    </xf>
    <xf numFmtId="37" fontId="39" fillId="25" borderId="75" xfId="29" applyNumberFormat="1" applyFont="1" applyFill="1" applyBorder="1" applyAlignment="1" applyProtection="1">
      <alignment horizontal="center" vertical="center" wrapText="1"/>
      <protection locked="0"/>
    </xf>
    <xf numFmtId="3" fontId="0" fillId="28" borderId="75" xfId="0" applyNumberFormat="1" applyFill="1" applyBorder="1" applyAlignment="1">
      <alignment horizontal="center" vertical="center" wrapText="1"/>
    </xf>
    <xf numFmtId="49" fontId="0" fillId="25" borderId="75" xfId="0" applyNumberFormat="1" applyFill="1" applyBorder="1" applyAlignment="1" applyProtection="1">
      <alignment horizontal="center" vertical="center" wrapText="1"/>
      <protection locked="0"/>
    </xf>
    <xf numFmtId="14" fontId="0" fillId="25" borderId="86" xfId="0" applyNumberFormat="1" applyFill="1" applyBorder="1" applyAlignment="1" applyProtection="1">
      <alignment horizontal="center" vertical="center" wrapText="1"/>
      <protection locked="0"/>
    </xf>
    <xf numFmtId="14" fontId="0" fillId="25" borderId="76" xfId="0" applyNumberFormat="1" applyFill="1" applyBorder="1" applyAlignment="1" applyProtection="1">
      <alignment horizontal="center" vertical="center" wrapText="1"/>
      <protection locked="0"/>
    </xf>
    <xf numFmtId="0" fontId="0" fillId="25" borderId="86" xfId="0" applyFill="1" applyBorder="1" applyAlignment="1" applyProtection="1">
      <alignment horizontal="center" vertical="center" wrapText="1"/>
      <protection locked="0"/>
    </xf>
    <xf numFmtId="0" fontId="0" fillId="25" borderId="85" xfId="0" applyFill="1" applyBorder="1" applyAlignment="1" applyProtection="1">
      <alignment horizontal="center" vertical="center" wrapText="1"/>
      <protection locked="0"/>
    </xf>
    <xf numFmtId="14" fontId="0" fillId="25" borderId="73" xfId="0" applyNumberFormat="1" applyFill="1" applyBorder="1" applyAlignment="1" applyProtection="1">
      <alignment horizontal="center" vertical="center" wrapText="1"/>
      <protection locked="0"/>
    </xf>
    <xf numFmtId="0" fontId="108" fillId="25" borderId="76" xfId="0" applyFont="1" applyFill="1" applyBorder="1" applyAlignment="1" applyProtection="1">
      <alignment horizontal="left" vertical="center" wrapText="1"/>
      <protection locked="0"/>
    </xf>
    <xf numFmtId="0" fontId="67" fillId="25" borderId="76" xfId="0" applyFont="1" applyFill="1" applyBorder="1" applyAlignment="1" applyProtection="1">
      <alignment horizontal="left" vertical="center" wrapText="1"/>
      <protection locked="0"/>
    </xf>
    <xf numFmtId="14" fontId="108" fillId="25" borderId="76" xfId="0" applyNumberFormat="1" applyFont="1" applyFill="1" applyBorder="1" applyAlignment="1" applyProtection="1">
      <alignment horizontal="left" vertical="center" wrapText="1"/>
      <protection locked="0"/>
    </xf>
    <xf numFmtId="0" fontId="0" fillId="25" borderId="75" xfId="0" applyFill="1" applyBorder="1" applyAlignment="1" applyProtection="1">
      <alignment horizontal="left" vertical="center" wrapText="1" indent="2"/>
      <protection locked="0"/>
    </xf>
    <xf numFmtId="14" fontId="0" fillId="25" borderId="76" xfId="0" applyNumberFormat="1" applyFont="1" applyFill="1" applyBorder="1" applyAlignment="1" applyProtection="1">
      <alignment horizontal="left" vertical="center" wrapText="1"/>
      <protection locked="0"/>
    </xf>
    <xf numFmtId="0" fontId="66" fillId="25" borderId="0" xfId="0" applyFont="1" applyFill="1" applyBorder="1" applyAlignment="1">
      <alignment horizontal="left" wrapText="1"/>
    </xf>
    <xf numFmtId="0" fontId="0" fillId="25" borderId="0" xfId="0" applyFill="1" applyAlignment="1">
      <alignment horizontal="left" wrapText="1"/>
    </xf>
    <xf numFmtId="0" fontId="0" fillId="25" borderId="0" xfId="0" applyFill="1" applyAlignment="1">
      <alignment wrapText="1"/>
    </xf>
    <xf numFmtId="0" fontId="45" fillId="25" borderId="0" xfId="0" applyFont="1" applyFill="1" applyAlignment="1">
      <alignment horizontal="left" wrapText="1"/>
    </xf>
    <xf numFmtId="0" fontId="56" fillId="25" borderId="0" xfId="0" applyFont="1" applyFill="1" applyAlignment="1">
      <alignment horizontal="left" wrapText="1"/>
    </xf>
    <xf numFmtId="0" fontId="0" fillId="25" borderId="0" xfId="0" applyFill="1" applyBorder="1" applyAlignment="1">
      <alignment horizontal="left" vertical="center" wrapText="1"/>
    </xf>
    <xf numFmtId="0" fontId="0" fillId="35" borderId="10" xfId="0" applyFill="1" applyBorder="1" applyAlignment="1">
      <alignment horizontal="right" wrapText="1" indent="1"/>
    </xf>
    <xf numFmtId="0" fontId="0" fillId="35" borderId="0" xfId="0" applyFill="1" applyBorder="1" applyAlignment="1">
      <alignment horizontal="right" wrapText="1" indent="1"/>
    </xf>
    <xf numFmtId="0" fontId="0" fillId="35" borderId="0" xfId="0" applyFill="1" applyBorder="1" applyAlignment="1">
      <alignment horizontal="right" vertical="center" wrapText="1" indent="1"/>
    </xf>
    <xf numFmtId="0" fontId="50" fillId="25" borderId="0" xfId="0" applyFont="1" applyFill="1" applyBorder="1" applyAlignment="1">
      <alignment horizontal="center" vertical="center" wrapText="1"/>
    </xf>
    <xf numFmtId="0" fontId="0" fillId="0" borderId="0" xfId="0" applyAlignment="1">
      <alignment wrapText="1"/>
    </xf>
    <xf numFmtId="0" fontId="0" fillId="25" borderId="21" xfId="0" applyFill="1" applyBorder="1" applyAlignment="1">
      <alignment horizontal="center"/>
    </xf>
    <xf numFmtId="0" fontId="56" fillId="25" borderId="0" xfId="0" applyFont="1" applyFill="1" applyAlignment="1">
      <alignment horizontal="left"/>
    </xf>
    <xf numFmtId="1" fontId="0" fillId="28" borderId="11" xfId="0" applyNumberFormat="1" applyFill="1" applyBorder="1" applyAlignment="1">
      <alignment horizontal="center" vertical="center"/>
    </xf>
    <xf numFmtId="0" fontId="69" fillId="25" borderId="116" xfId="0" quotePrefix="1" applyFont="1" applyFill="1" applyBorder="1" applyAlignment="1">
      <alignment horizontal="right" vertical="center" wrapText="1"/>
    </xf>
    <xf numFmtId="0" fontId="69" fillId="25" borderId="10" xfId="0" quotePrefix="1" applyFont="1" applyFill="1" applyBorder="1" applyAlignment="1">
      <alignment horizontal="right" vertical="center" wrapText="1"/>
    </xf>
    <xf numFmtId="0" fontId="46" fillId="26" borderId="40" xfId="0" applyFont="1" applyFill="1" applyBorder="1" applyAlignment="1">
      <alignment horizontal="center" vertical="center"/>
    </xf>
    <xf numFmtId="0" fontId="46" fillId="26" borderId="40" xfId="0" applyFont="1" applyFill="1" applyBorder="1" applyAlignment="1">
      <alignment horizontal="center" vertical="center" wrapText="1"/>
    </xf>
    <xf numFmtId="0" fontId="46" fillId="26" borderId="14" xfId="0" applyFont="1" applyFill="1" applyBorder="1" applyAlignment="1">
      <alignment horizontal="center" vertical="center" wrapText="1"/>
    </xf>
    <xf numFmtId="0" fontId="45" fillId="25" borderId="0" xfId="0" applyFont="1" applyFill="1" applyAlignment="1">
      <alignment horizontal="left"/>
    </xf>
    <xf numFmtId="0" fontId="40" fillId="25" borderId="0" xfId="46" applyFill="1" applyAlignment="1" applyProtection="1">
      <alignment horizontal="left"/>
    </xf>
    <xf numFmtId="0" fontId="40" fillId="25" borderId="0" xfId="46" applyFill="1" applyBorder="1" applyAlignment="1" applyProtection="1">
      <alignment horizontal="left"/>
    </xf>
    <xf numFmtId="0" fontId="0" fillId="35" borderId="0" xfId="0" applyFill="1" applyBorder="1" applyAlignment="1">
      <alignment horizontal="right"/>
    </xf>
    <xf numFmtId="0" fontId="0" fillId="35" borderId="0" xfId="0" applyFill="1" applyBorder="1" applyAlignment="1">
      <alignment horizontal="left" vertical="center" wrapText="1"/>
    </xf>
    <xf numFmtId="37" fontId="52" fillId="25" borderId="86" xfId="29" applyNumberFormat="1" applyFont="1" applyFill="1" applyBorder="1" applyAlignment="1" applyProtection="1">
      <alignment horizontal="center" vertical="center" wrapText="1"/>
      <protection locked="0"/>
    </xf>
    <xf numFmtId="0" fontId="0" fillId="25" borderId="10" xfId="0" applyFill="1" applyBorder="1" applyAlignment="1">
      <alignment horizontal="right"/>
    </xf>
    <xf numFmtId="0" fontId="0" fillId="25" borderId="0" xfId="0" applyFill="1" applyBorder="1" applyAlignment="1">
      <alignment horizontal="right"/>
    </xf>
    <xf numFmtId="0" fontId="0" fillId="0" borderId="0" xfId="0" applyBorder="1" applyAlignment="1">
      <alignment wrapText="1"/>
    </xf>
    <xf numFmtId="37" fontId="52" fillId="25" borderId="85" xfId="29" applyNumberFormat="1" applyFont="1" applyFill="1" applyBorder="1" applyAlignment="1" applyProtection="1">
      <alignment horizontal="center" vertical="center" wrapText="1"/>
      <protection locked="0"/>
    </xf>
    <xf numFmtId="37" fontId="52" fillId="25" borderId="87" xfId="29" applyNumberFormat="1" applyFont="1" applyFill="1" applyBorder="1" applyAlignment="1" applyProtection="1">
      <alignment horizontal="center" vertical="center" wrapText="1"/>
      <protection locked="0"/>
    </xf>
    <xf numFmtId="0" fontId="0" fillId="25" borderId="0" xfId="0" quotePrefix="1" applyFill="1" applyBorder="1" applyAlignment="1">
      <alignment horizontal="left" vertical="center" wrapText="1"/>
    </xf>
    <xf numFmtId="0" fontId="47" fillId="26" borderId="32" xfId="0" applyFont="1" applyFill="1" applyBorder="1" applyAlignment="1">
      <alignment horizontal="center"/>
    </xf>
    <xf numFmtId="0" fontId="47" fillId="26" borderId="90" xfId="0" applyFont="1" applyFill="1" applyBorder="1" applyAlignment="1">
      <alignment horizontal="center"/>
    </xf>
    <xf numFmtId="0" fontId="47" fillId="26" borderId="21" xfId="0" applyFont="1" applyFill="1" applyBorder="1" applyAlignment="1">
      <alignment horizontal="center"/>
    </xf>
    <xf numFmtId="0" fontId="0" fillId="35" borderId="0" xfId="0" applyFill="1" applyBorder="1" applyAlignment="1">
      <alignment horizontal="right" wrapText="1"/>
    </xf>
    <xf numFmtId="0" fontId="0" fillId="35" borderId="10" xfId="0" applyFill="1" applyBorder="1" applyAlignment="1">
      <alignment horizontal="right" wrapText="1"/>
    </xf>
    <xf numFmtId="0" fontId="66" fillId="25" borderId="0" xfId="0" quotePrefix="1" applyFont="1" applyFill="1" applyBorder="1" applyAlignment="1">
      <alignment horizontal="left" wrapText="1"/>
    </xf>
    <xf numFmtId="0" fontId="0" fillId="25" borderId="0" xfId="0" applyFill="1" applyAlignment="1">
      <alignment horizontal="left" wrapText="1"/>
    </xf>
    <xf numFmtId="0" fontId="71" fillId="25" borderId="0" xfId="0" applyFont="1" applyFill="1" applyBorder="1" applyAlignment="1">
      <alignment horizontal="left" wrapText="1"/>
    </xf>
    <xf numFmtId="0" fontId="50" fillId="25" borderId="0" xfId="0" quotePrefix="1" applyFont="1" applyFill="1" applyBorder="1" applyAlignment="1">
      <alignment horizontal="left" wrapText="1"/>
    </xf>
    <xf numFmtId="0" fontId="50" fillId="25" borderId="0" xfId="0" applyFont="1" applyFill="1" applyBorder="1" applyAlignment="1">
      <alignment horizontal="left" wrapText="1"/>
    </xf>
    <xf numFmtId="0" fontId="5" fillId="25" borderId="0" xfId="0" quotePrefix="1" applyFont="1" applyFill="1" applyBorder="1" applyAlignment="1">
      <alignment horizontal="left" wrapText="1"/>
    </xf>
    <xf numFmtId="0" fontId="0" fillId="25" borderId="0" xfId="0" applyFill="1" applyAlignment="1">
      <alignment wrapText="1"/>
    </xf>
    <xf numFmtId="0" fontId="63" fillId="25" borderId="0" xfId="0" applyFont="1" applyFill="1" applyBorder="1" applyAlignment="1">
      <alignment horizontal="left" wrapText="1" indent="1"/>
    </xf>
    <xf numFmtId="0" fontId="52" fillId="0" borderId="0" xfId="0" applyFont="1" applyAlignment="1">
      <alignment horizontal="left" wrapText="1" indent="1"/>
    </xf>
    <xf numFmtId="0" fontId="5" fillId="25" borderId="0" xfId="0" applyFont="1" applyFill="1" applyBorder="1" applyAlignment="1">
      <alignment horizontal="left" wrapText="1"/>
    </xf>
    <xf numFmtId="0" fontId="44" fillId="25" borderId="0" xfId="0" applyFont="1" applyFill="1" applyAlignment="1">
      <alignment horizontal="center" wrapText="1"/>
    </xf>
    <xf numFmtId="0" fontId="50" fillId="0" borderId="13" xfId="0" applyFont="1" applyBorder="1" applyAlignment="1">
      <alignment horizontal="left" wrapText="1"/>
    </xf>
    <xf numFmtId="0" fontId="50" fillId="0" borderId="0" xfId="0" applyNumberFormat="1" applyFont="1" applyBorder="1" applyAlignment="1">
      <alignment horizontal="left" wrapText="1"/>
    </xf>
    <xf numFmtId="0" fontId="66" fillId="25" borderId="0" xfId="0" applyFont="1" applyFill="1" applyBorder="1" applyAlignment="1">
      <alignment horizontal="left" wrapText="1"/>
    </xf>
    <xf numFmtId="0" fontId="70" fillId="47" borderId="56" xfId="0" applyFont="1" applyFill="1" applyBorder="1" applyAlignment="1">
      <alignment horizontal="left" wrapText="1"/>
    </xf>
    <xf numFmtId="0" fontId="40" fillId="25" borderId="0" xfId="46" applyFill="1" applyBorder="1" applyAlignment="1" applyProtection="1">
      <alignment wrapText="1"/>
    </xf>
    <xf numFmtId="0" fontId="40" fillId="0" borderId="0" xfId="46" applyBorder="1" applyAlignment="1" applyProtection="1">
      <alignment wrapText="1"/>
    </xf>
    <xf numFmtId="0" fontId="50" fillId="25" borderId="0" xfId="0" applyFont="1" applyFill="1" applyBorder="1" applyAlignment="1">
      <alignment horizontal="left" wrapText="1" indent="3"/>
    </xf>
    <xf numFmtId="0" fontId="50" fillId="25" borderId="21" xfId="0" applyFont="1" applyFill="1" applyBorder="1" applyAlignment="1">
      <alignment wrapText="1"/>
    </xf>
    <xf numFmtId="0" fontId="0" fillId="0" borderId="21" xfId="0" applyBorder="1" applyAlignment="1">
      <alignment wrapText="1"/>
    </xf>
    <xf numFmtId="0" fontId="50" fillId="25" borderId="13" xfId="0" applyFont="1" applyFill="1" applyBorder="1" applyAlignment="1">
      <alignment horizontal="left" vertical="center" wrapText="1"/>
    </xf>
    <xf numFmtId="0" fontId="50" fillId="50" borderId="12" xfId="0" applyFont="1" applyFill="1" applyBorder="1" applyAlignment="1">
      <alignment horizontal="left" wrapText="1"/>
    </xf>
    <xf numFmtId="0" fontId="50" fillId="50" borderId="34" xfId="0" applyFont="1" applyFill="1" applyBorder="1" applyAlignment="1">
      <alignment horizontal="left" wrapText="1"/>
    </xf>
    <xf numFmtId="0" fontId="50" fillId="28" borderId="29" xfId="0" applyFont="1" applyFill="1" applyBorder="1" applyAlignment="1">
      <alignment horizontal="left" wrapText="1"/>
    </xf>
    <xf numFmtId="0" fontId="50" fillId="28" borderId="30" xfId="0" applyFont="1" applyFill="1" applyBorder="1" applyAlignment="1">
      <alignment horizontal="left" wrapText="1"/>
    </xf>
    <xf numFmtId="0" fontId="65" fillId="55" borderId="0" xfId="46" applyFont="1" applyFill="1" applyBorder="1" applyAlignment="1" applyProtection="1">
      <alignment horizontal="left" wrapText="1"/>
    </xf>
    <xf numFmtId="0" fontId="65" fillId="56" borderId="0" xfId="46" applyFont="1" applyFill="1" applyBorder="1" applyAlignment="1" applyProtection="1">
      <alignment horizontal="left" wrapText="1"/>
    </xf>
    <xf numFmtId="0" fontId="0" fillId="25" borderId="0" xfId="0" quotePrefix="1" applyFill="1" applyBorder="1" applyAlignment="1">
      <alignment horizontal="left" vertical="center" wrapText="1" indent="15"/>
    </xf>
    <xf numFmtId="0" fontId="0" fillId="0" borderId="0" xfId="0" applyAlignment="1">
      <alignment horizontal="left" wrapText="1" indent="15"/>
    </xf>
    <xf numFmtId="0" fontId="65" fillId="57" borderId="0" xfId="46" applyFont="1" applyFill="1" applyBorder="1" applyAlignment="1" applyProtection="1">
      <alignment horizontal="left" wrapText="1"/>
    </xf>
    <xf numFmtId="0" fontId="96" fillId="25" borderId="0" xfId="0" applyFont="1" applyFill="1" applyBorder="1" applyAlignment="1">
      <alignment horizontal="left" wrapText="1"/>
    </xf>
    <xf numFmtId="0" fontId="50" fillId="25" borderId="0" xfId="0" applyNumberFormat="1" applyFont="1" applyFill="1" applyBorder="1" applyAlignment="1">
      <alignment horizontal="left" wrapText="1"/>
    </xf>
    <xf numFmtId="0" fontId="50" fillId="25" borderId="0" xfId="0" quotePrefix="1" applyFont="1" applyFill="1" applyBorder="1" applyAlignment="1">
      <alignment horizontal="left" vertical="top" wrapText="1"/>
    </xf>
    <xf numFmtId="0" fontId="50" fillId="25" borderId="0" xfId="0" applyFont="1" applyFill="1" applyBorder="1" applyAlignment="1">
      <alignment horizontal="left" vertical="top" wrapText="1"/>
    </xf>
    <xf numFmtId="0" fontId="63" fillId="25" borderId="0" xfId="0" quotePrefix="1" applyFont="1" applyFill="1" applyBorder="1" applyAlignment="1">
      <alignment horizontal="left" wrapText="1" indent="1"/>
    </xf>
    <xf numFmtId="0" fontId="71" fillId="25" borderId="0" xfId="0" applyFont="1" applyFill="1" applyBorder="1" applyAlignment="1">
      <alignment horizontal="left"/>
    </xf>
    <xf numFmtId="0" fontId="40" fillId="55" borderId="0" xfId="46" applyFill="1" applyBorder="1" applyAlignment="1" applyProtection="1">
      <alignment horizontal="left" wrapText="1"/>
    </xf>
    <xf numFmtId="0" fontId="63" fillId="25" borderId="0" xfId="0" applyFont="1" applyFill="1" applyBorder="1" applyAlignment="1">
      <alignment horizontal="left" wrapText="1"/>
    </xf>
    <xf numFmtId="0" fontId="0" fillId="0" borderId="0" xfId="0" applyFont="1" applyAlignment="1">
      <alignment horizontal="left" wrapText="1"/>
    </xf>
    <xf numFmtId="0" fontId="63" fillId="25" borderId="0" xfId="0" quotePrefix="1" applyFont="1" applyFill="1" applyBorder="1" applyAlignment="1">
      <alignment horizontal="left" wrapText="1"/>
    </xf>
    <xf numFmtId="0" fontId="63" fillId="25" borderId="0" xfId="0" applyFont="1" applyFill="1" applyBorder="1" applyAlignment="1">
      <alignment horizontal="left" vertical="top" wrapText="1"/>
    </xf>
    <xf numFmtId="0" fontId="65" fillId="40" borderId="0" xfId="46" applyFont="1" applyFill="1" applyBorder="1" applyAlignment="1" applyProtection="1">
      <alignment horizontal="left" wrapText="1"/>
    </xf>
    <xf numFmtId="0" fontId="45" fillId="25" borderId="0" xfId="0" applyFont="1" applyFill="1" applyAlignment="1">
      <alignment horizontal="left" wrapText="1"/>
    </xf>
    <xf numFmtId="0" fontId="56" fillId="25" borderId="0" xfId="0" applyFont="1" applyFill="1" applyAlignment="1">
      <alignment horizontal="left" wrapText="1"/>
    </xf>
    <xf numFmtId="0" fontId="0" fillId="51" borderId="19" xfId="0" applyFill="1" applyBorder="1" applyAlignment="1">
      <alignment horizontal="center" vertical="center" wrapText="1"/>
    </xf>
    <xf numFmtId="0" fontId="0" fillId="51" borderId="18" xfId="0" applyFill="1" applyBorder="1" applyAlignment="1">
      <alignment horizontal="center" vertical="center" wrapText="1"/>
    </xf>
    <xf numFmtId="0" fontId="0" fillId="51" borderId="38" xfId="0" applyFill="1" applyBorder="1" applyAlignment="1">
      <alignment horizontal="center" vertical="center" wrapText="1"/>
    </xf>
    <xf numFmtId="0" fontId="44" fillId="25" borderId="37" xfId="0" applyFont="1" applyFill="1" applyBorder="1" applyAlignment="1">
      <alignment horizontal="center"/>
    </xf>
    <xf numFmtId="0" fontId="44" fillId="25" borderId="13" xfId="0" applyFont="1" applyFill="1" applyBorder="1" applyAlignment="1">
      <alignment horizontal="center"/>
    </xf>
    <xf numFmtId="0" fontId="44" fillId="25" borderId="43" xfId="0" applyFont="1" applyFill="1" applyBorder="1" applyAlignment="1">
      <alignment horizontal="center"/>
    </xf>
    <xf numFmtId="0" fontId="61" fillId="26" borderId="10" xfId="0" applyFont="1" applyFill="1" applyBorder="1" applyAlignment="1">
      <alignment horizontal="center"/>
    </xf>
    <xf numFmtId="0" fontId="61" fillId="26" borderId="0" xfId="0" applyFont="1" applyFill="1" applyAlignment="1">
      <alignment horizontal="center"/>
    </xf>
    <xf numFmtId="0" fontId="61" fillId="26" borderId="11" xfId="0" applyFont="1" applyFill="1" applyBorder="1" applyAlignment="1">
      <alignment horizontal="center"/>
    </xf>
    <xf numFmtId="0" fontId="0" fillId="31" borderId="12" xfId="0" applyFill="1" applyBorder="1" applyAlignment="1">
      <alignment horizontal="left" wrapText="1"/>
    </xf>
    <xf numFmtId="0" fontId="0" fillId="31" borderId="33" xfId="0" applyFill="1" applyBorder="1" applyAlignment="1">
      <alignment horizontal="left" wrapText="1"/>
    </xf>
    <xf numFmtId="0" fontId="0" fillId="0" borderId="34" xfId="0" applyBorder="1" applyAlignment="1">
      <alignment wrapText="1"/>
    </xf>
    <xf numFmtId="0" fontId="0" fillId="31" borderId="29" xfId="0" applyFill="1" applyBorder="1" applyAlignment="1">
      <alignment horizontal="left" wrapText="1"/>
    </xf>
    <xf numFmtId="0" fontId="0" fillId="31" borderId="21" xfId="0" applyFill="1" applyBorder="1" applyAlignment="1">
      <alignment horizontal="left" wrapText="1"/>
    </xf>
    <xf numFmtId="0" fontId="0" fillId="0" borderId="30" xfId="0" applyBorder="1" applyAlignment="1">
      <alignment wrapText="1"/>
    </xf>
    <xf numFmtId="15" fontId="0" fillId="25" borderId="31" xfId="0" applyNumberFormat="1" applyFill="1" applyBorder="1" applyAlignment="1" applyProtection="1">
      <alignment horizontal="center" wrapText="1"/>
      <protection locked="0"/>
    </xf>
    <xf numFmtId="0" fontId="0" fillId="25" borderId="32" xfId="0" applyFill="1" applyBorder="1" applyAlignment="1" applyProtection="1">
      <alignment horizontal="center" wrapText="1"/>
      <protection locked="0"/>
    </xf>
    <xf numFmtId="0" fontId="0" fillId="25" borderId="20" xfId="0" applyFill="1" applyBorder="1" applyAlignment="1" applyProtection="1">
      <alignment horizontal="center" wrapText="1"/>
      <protection locked="0"/>
    </xf>
    <xf numFmtId="0" fontId="0" fillId="35" borderId="0" xfId="0" applyFill="1" applyBorder="1" applyAlignment="1">
      <alignment horizontal="right" vertical="center" wrapText="1" indent="1"/>
    </xf>
    <xf numFmtId="0" fontId="40" fillId="25" borderId="31" xfId="46" applyFill="1" applyBorder="1" applyAlignment="1" applyProtection="1">
      <alignment horizontal="center" vertical="center" wrapText="1"/>
      <protection locked="0"/>
    </xf>
    <xf numFmtId="0" fontId="0" fillId="25" borderId="32" xfId="0" applyFill="1" applyBorder="1" applyAlignment="1" applyProtection="1">
      <alignment horizontal="center" vertical="center" wrapText="1"/>
      <protection locked="0"/>
    </xf>
    <xf numFmtId="0" fontId="0" fillId="25" borderId="20" xfId="0" applyFill="1" applyBorder="1" applyAlignment="1" applyProtection="1">
      <alignment horizontal="center" vertical="center" wrapText="1"/>
      <protection locked="0"/>
    </xf>
    <xf numFmtId="0" fontId="0" fillId="0" borderId="28" xfId="0" applyBorder="1" applyAlignment="1">
      <alignment horizontal="right" vertical="center" wrapText="1" indent="1"/>
    </xf>
    <xf numFmtId="0" fontId="0" fillId="25" borderId="31" xfId="0" applyFill="1" applyBorder="1" applyAlignment="1" applyProtection="1">
      <alignment horizontal="center" vertical="center" wrapText="1"/>
      <protection locked="0"/>
    </xf>
    <xf numFmtId="0" fontId="0" fillId="25" borderId="31" xfId="0" applyFill="1" applyBorder="1" applyAlignment="1" applyProtection="1">
      <alignment horizontal="center" wrapText="1"/>
      <protection locked="0"/>
    </xf>
    <xf numFmtId="0" fontId="50" fillId="25" borderId="0" xfId="0" applyFont="1" applyFill="1" applyBorder="1" applyAlignment="1">
      <alignment horizontal="center" vertical="center" wrapText="1"/>
    </xf>
    <xf numFmtId="0" fontId="0" fillId="31" borderId="31" xfId="0" applyFill="1" applyBorder="1" applyAlignment="1">
      <alignment horizontal="left" vertical="center"/>
    </xf>
    <xf numFmtId="0" fontId="0" fillId="31" borderId="32" xfId="0" applyFill="1" applyBorder="1" applyAlignment="1">
      <alignment horizontal="left" vertical="center"/>
    </xf>
    <xf numFmtId="0" fontId="0" fillId="31" borderId="20" xfId="0" applyFill="1" applyBorder="1" applyAlignment="1">
      <alignment horizontal="left" vertical="center"/>
    </xf>
    <xf numFmtId="0" fontId="44" fillId="35" borderId="61" xfId="0" applyFont="1" applyFill="1" applyBorder="1" applyAlignment="1">
      <alignment horizontal="left" wrapText="1"/>
    </xf>
    <xf numFmtId="0" fontId="0" fillId="35" borderId="56" xfId="0" applyFill="1" applyBorder="1" applyAlignment="1">
      <alignment horizontal="left" wrapText="1"/>
    </xf>
    <xf numFmtId="0" fontId="0" fillId="35" borderId="23" xfId="0" applyFill="1" applyBorder="1" applyAlignment="1">
      <alignment horizontal="left" wrapText="1"/>
    </xf>
    <xf numFmtId="0" fontId="0" fillId="25" borderId="0" xfId="0" applyFill="1" applyBorder="1" applyAlignment="1">
      <alignment horizontal="left" vertical="center" wrapText="1"/>
    </xf>
    <xf numFmtId="0" fontId="44" fillId="35" borderId="61" xfId="0" applyFont="1" applyFill="1" applyBorder="1" applyAlignment="1">
      <alignment horizontal="left" vertical="center" wrapText="1"/>
    </xf>
    <xf numFmtId="0" fontId="0" fillId="35" borderId="56" xfId="0" applyFill="1" applyBorder="1" applyAlignment="1">
      <alignment horizontal="left" vertical="center" wrapText="1"/>
    </xf>
    <xf numFmtId="0" fontId="0" fillId="35" borderId="23" xfId="0" applyFill="1" applyBorder="1" applyAlignment="1">
      <alignment horizontal="left" vertical="center" wrapText="1"/>
    </xf>
    <xf numFmtId="0" fontId="0" fillId="35" borderId="10" xfId="0" applyFill="1" applyBorder="1" applyAlignment="1">
      <alignment horizontal="right" wrapText="1" indent="1"/>
    </xf>
    <xf numFmtId="0" fontId="0" fillId="35" borderId="0" xfId="0" applyFill="1" applyBorder="1" applyAlignment="1">
      <alignment horizontal="right" wrapText="1" indent="1"/>
    </xf>
    <xf numFmtId="0" fontId="0" fillId="0" borderId="28" xfId="0" applyBorder="1" applyAlignment="1">
      <alignment horizontal="right" wrapText="1" indent="1"/>
    </xf>
    <xf numFmtId="0" fontId="0" fillId="35" borderId="28" xfId="0" applyFill="1" applyBorder="1" applyAlignment="1">
      <alignment horizontal="right" vertical="center" wrapText="1" indent="1"/>
    </xf>
    <xf numFmtId="0" fontId="0" fillId="0" borderId="0" xfId="0" applyAlignment="1">
      <alignment horizontal="left" vertical="center" wrapText="1"/>
    </xf>
    <xf numFmtId="0" fontId="44" fillId="35" borderId="56" xfId="0" applyFont="1" applyFill="1" applyBorder="1" applyAlignment="1">
      <alignment horizontal="left" wrapText="1"/>
    </xf>
    <xf numFmtId="0" fontId="44" fillId="35" borderId="23" xfId="0" applyFont="1" applyFill="1" applyBorder="1" applyAlignment="1">
      <alignment horizontal="left" wrapText="1"/>
    </xf>
    <xf numFmtId="0" fontId="56" fillId="25" borderId="21" xfId="0" applyFont="1" applyFill="1" applyBorder="1" applyAlignment="1">
      <alignment horizontal="left" wrapText="1"/>
    </xf>
    <xf numFmtId="0" fontId="0" fillId="31" borderId="31" xfId="0" quotePrefix="1" applyFill="1" applyBorder="1" applyAlignment="1">
      <alignment horizontal="left" wrapText="1"/>
    </xf>
    <xf numFmtId="0" fontId="0" fillId="31" borderId="32" xfId="0" quotePrefix="1" applyFill="1" applyBorder="1" applyAlignment="1">
      <alignment horizontal="left" wrapText="1"/>
    </xf>
    <xf numFmtId="0" fontId="0" fillId="31" borderId="20" xfId="0" quotePrefix="1" applyFill="1" applyBorder="1" applyAlignment="1">
      <alignment horizontal="left" wrapText="1"/>
    </xf>
    <xf numFmtId="0" fontId="0" fillId="0" borderId="0" xfId="0" applyAlignment="1">
      <alignment wrapText="1"/>
    </xf>
    <xf numFmtId="0" fontId="0" fillId="0" borderId="23" xfId="0" applyBorder="1" applyAlignment="1">
      <alignment wrapText="1"/>
    </xf>
    <xf numFmtId="0" fontId="44" fillId="35" borderId="37" xfId="0" applyFont="1" applyFill="1" applyBorder="1" applyAlignment="1">
      <alignment horizontal="left" wrapText="1"/>
    </xf>
    <xf numFmtId="0" fontId="44" fillId="35" borderId="13" xfId="0" applyFont="1" applyFill="1" applyBorder="1" applyAlignment="1">
      <alignment horizontal="left" wrapText="1"/>
    </xf>
    <xf numFmtId="0" fontId="0" fillId="0" borderId="43" xfId="0" applyBorder="1" applyAlignment="1">
      <alignment wrapText="1"/>
    </xf>
    <xf numFmtId="0" fontId="13" fillId="31" borderId="31" xfId="0" quotePrefix="1" applyFont="1" applyFill="1" applyBorder="1" applyAlignment="1">
      <alignment horizontal="left" wrapText="1"/>
    </xf>
    <xf numFmtId="0" fontId="13" fillId="31" borderId="32" xfId="0" quotePrefix="1" applyFont="1" applyFill="1" applyBorder="1" applyAlignment="1">
      <alignment horizontal="left" wrapText="1"/>
    </xf>
    <xf numFmtId="0" fontId="0" fillId="0" borderId="0" xfId="0" applyAlignment="1">
      <alignment horizontal="left" wrapText="1"/>
    </xf>
    <xf numFmtId="0" fontId="45" fillId="0" borderId="0" xfId="0" applyFont="1" applyAlignment="1">
      <alignment horizontal="left"/>
    </xf>
    <xf numFmtId="0" fontId="56" fillId="25" borderId="0" xfId="0" applyFont="1" applyFill="1" applyAlignment="1">
      <alignment horizontal="left"/>
    </xf>
    <xf numFmtId="164" fontId="0" fillId="28" borderId="0" xfId="0" quotePrefix="1" applyNumberFormat="1" applyFill="1" applyBorder="1" applyAlignment="1">
      <alignment horizontal="center"/>
    </xf>
    <xf numFmtId="164" fontId="0" fillId="28" borderId="11" xfId="0" applyNumberFormat="1" applyFill="1" applyBorder="1" applyAlignment="1">
      <alignment horizontal="center"/>
    </xf>
    <xf numFmtId="0" fontId="51" fillId="25" borderId="59" xfId="0" applyFont="1" applyFill="1" applyBorder="1" applyAlignment="1">
      <alignment horizontal="center" vertical="center"/>
    </xf>
    <xf numFmtId="0" fontId="51" fillId="25" borderId="33" xfId="0" applyFont="1" applyFill="1" applyBorder="1" applyAlignment="1">
      <alignment horizontal="center" vertical="center"/>
    </xf>
    <xf numFmtId="0" fontId="51" fillId="25" borderId="34" xfId="0" applyFont="1" applyFill="1" applyBorder="1" applyAlignment="1">
      <alignment horizontal="center" vertical="center"/>
    </xf>
    <xf numFmtId="0" fontId="50" fillId="25" borderId="12" xfId="0" applyFont="1" applyFill="1" applyBorder="1" applyAlignment="1"/>
    <xf numFmtId="0" fontId="0" fillId="0" borderId="33" xfId="0" applyBorder="1" applyAlignment="1"/>
    <xf numFmtId="0" fontId="0" fillId="0" borderId="34" xfId="0" applyBorder="1" applyAlignment="1"/>
    <xf numFmtId="0" fontId="42" fillId="23" borderId="17" xfId="40" applyBorder="1" applyAlignment="1">
      <alignment horizontal="left"/>
    </xf>
    <xf numFmtId="0" fontId="42" fillId="23" borderId="0" xfId="40" applyBorder="1" applyAlignment="1">
      <alignment horizontal="left"/>
    </xf>
    <xf numFmtId="0" fontId="0" fillId="0" borderId="0" xfId="0" applyBorder="1" applyAlignment="1"/>
    <xf numFmtId="0" fontId="0" fillId="0" borderId="28" xfId="0" applyBorder="1" applyAlignment="1"/>
    <xf numFmtId="0" fontId="43" fillId="24" borderId="29" xfId="25" applyBorder="1" applyAlignment="1">
      <alignment horizontal="left"/>
    </xf>
    <xf numFmtId="0" fontId="43" fillId="24" borderId="21" xfId="25" applyBorder="1" applyAlignment="1">
      <alignment horizontal="left"/>
    </xf>
    <xf numFmtId="0" fontId="0" fillId="0" borderId="21" xfId="0" applyBorder="1" applyAlignment="1"/>
    <xf numFmtId="0" fontId="0" fillId="0" borderId="30" xfId="0" applyBorder="1" applyAlignment="1"/>
    <xf numFmtId="0" fontId="44" fillId="36" borderId="61" xfId="0" applyFont="1" applyFill="1" applyBorder="1" applyAlignment="1">
      <alignment horizontal="left"/>
    </xf>
    <xf numFmtId="0" fontId="44" fillId="36" borderId="56" xfId="0" applyFont="1" applyFill="1" applyBorder="1" applyAlignment="1">
      <alignment horizontal="left"/>
    </xf>
    <xf numFmtId="0" fontId="44" fillId="36" borderId="23" xfId="0" applyFont="1" applyFill="1" applyBorder="1" applyAlignment="1">
      <alignment horizontal="left"/>
    </xf>
    <xf numFmtId="0" fontId="45" fillId="0" borderId="62" xfId="0" applyFont="1" applyBorder="1" applyAlignment="1">
      <alignment horizontal="center"/>
    </xf>
    <xf numFmtId="0" fontId="45" fillId="0" borderId="42" xfId="0" applyFont="1" applyBorder="1" applyAlignment="1">
      <alignment horizontal="center"/>
    </xf>
    <xf numFmtId="0" fontId="45" fillId="0" borderId="54" xfId="0" applyFont="1" applyBorder="1" applyAlignment="1">
      <alignment horizontal="center"/>
    </xf>
    <xf numFmtId="0" fontId="45" fillId="0" borderId="66" xfId="0" applyFont="1" applyBorder="1" applyAlignment="1">
      <alignment horizontal="center"/>
    </xf>
    <xf numFmtId="0" fontId="45" fillId="0" borderId="67" xfId="0" applyFont="1" applyBorder="1" applyAlignment="1">
      <alignment horizontal="center"/>
    </xf>
    <xf numFmtId="0" fontId="0" fillId="25" borderId="35" xfId="0" applyFill="1" applyBorder="1" applyAlignment="1">
      <alignment horizontal="center"/>
    </xf>
    <xf numFmtId="0" fontId="0" fillId="25" borderId="21" xfId="0" applyFill="1" applyBorder="1" applyAlignment="1">
      <alignment horizontal="center"/>
    </xf>
    <xf numFmtId="0" fontId="0" fillId="25" borderId="22" xfId="0" applyFill="1" applyBorder="1" applyAlignment="1">
      <alignment horizontal="center"/>
    </xf>
    <xf numFmtId="0" fontId="55" fillId="25" borderId="43" xfId="0" applyFont="1" applyFill="1" applyBorder="1" applyAlignment="1">
      <alignment horizontal="center" vertical="center" wrapText="1"/>
    </xf>
    <xf numFmtId="0" fontId="55" fillId="25" borderId="22" xfId="0" applyFont="1" applyFill="1" applyBorder="1" applyAlignment="1">
      <alignment horizontal="center" vertical="center" wrapText="1"/>
    </xf>
    <xf numFmtId="0" fontId="55" fillId="25" borderId="55" xfId="0" applyFont="1" applyFill="1" applyBorder="1" applyAlignment="1">
      <alignment horizontal="center" vertical="center" wrapText="1"/>
    </xf>
    <xf numFmtId="0" fontId="55" fillId="25" borderId="46" xfId="0" applyFont="1" applyFill="1" applyBorder="1" applyAlignment="1">
      <alignment horizontal="center" vertical="center" wrapText="1"/>
    </xf>
    <xf numFmtId="0" fontId="48" fillId="0" borderId="64" xfId="0" quotePrefix="1" applyFont="1" applyBorder="1" applyAlignment="1">
      <alignment horizontal="center" vertical="center"/>
    </xf>
    <xf numFmtId="0" fontId="48" fillId="0" borderId="65" xfId="0" quotePrefix="1" applyFont="1" applyBorder="1" applyAlignment="1">
      <alignment horizontal="center" vertical="center"/>
    </xf>
    <xf numFmtId="0" fontId="45" fillId="0" borderId="32" xfId="0" quotePrefix="1" applyFont="1" applyBorder="1" applyAlignment="1">
      <alignment horizontal="center"/>
    </xf>
    <xf numFmtId="0" fontId="45" fillId="0" borderId="63" xfId="0" applyFont="1" applyBorder="1" applyAlignment="1">
      <alignment horizontal="center"/>
    </xf>
    <xf numFmtId="0" fontId="0" fillId="28" borderId="33" xfId="0" applyFill="1" applyBorder="1" applyAlignment="1">
      <alignment horizontal="center"/>
    </xf>
    <xf numFmtId="0" fontId="0" fillId="28" borderId="26" xfId="0" applyFill="1" applyBorder="1" applyAlignment="1">
      <alignment horizontal="center"/>
    </xf>
    <xf numFmtId="164" fontId="0" fillId="28" borderId="0" xfId="0" applyNumberFormat="1" applyFill="1" applyBorder="1" applyAlignment="1">
      <alignment horizontal="center"/>
    </xf>
    <xf numFmtId="1" fontId="0" fillId="28" borderId="29" xfId="0" applyNumberFormat="1" applyFill="1" applyBorder="1" applyAlignment="1">
      <alignment horizontal="center"/>
    </xf>
    <xf numFmtId="1" fontId="0" fillId="28" borderId="22" xfId="0" applyNumberFormat="1" applyFill="1" applyBorder="1" applyAlignment="1">
      <alignment horizontal="center"/>
    </xf>
    <xf numFmtId="0" fontId="0" fillId="27" borderId="0" xfId="0" applyFill="1" applyBorder="1" applyAlignment="1">
      <alignment horizontal="center" vertical="center" wrapText="1"/>
    </xf>
    <xf numFmtId="0" fontId="0" fillId="27" borderId="11" xfId="0" applyFill="1" applyBorder="1" applyAlignment="1">
      <alignment horizontal="center" vertical="center" wrapText="1"/>
    </xf>
    <xf numFmtId="0" fontId="0" fillId="27" borderId="18" xfId="0" applyFill="1" applyBorder="1" applyAlignment="1">
      <alignment horizontal="center" vertical="center" wrapText="1"/>
    </xf>
    <xf numFmtId="0" fontId="0" fillId="27" borderId="38" xfId="0" applyFill="1" applyBorder="1" applyAlignment="1">
      <alignment horizontal="center" vertical="center" wrapText="1"/>
    </xf>
    <xf numFmtId="0" fontId="68" fillId="25" borderId="0" xfId="0" applyFont="1" applyFill="1" applyBorder="1" applyAlignment="1">
      <alignment horizontal="center" vertical="center" wrapText="1"/>
    </xf>
    <xf numFmtId="0" fontId="0" fillId="25" borderId="13" xfId="0" quotePrefix="1" applyFont="1" applyFill="1" applyBorder="1" applyAlignment="1">
      <alignment horizontal="center" vertical="center" wrapText="1"/>
    </xf>
    <xf numFmtId="0" fontId="0" fillId="0" borderId="13" xfId="0" applyBorder="1" applyAlignment="1">
      <alignment wrapText="1"/>
    </xf>
    <xf numFmtId="5" fontId="39" fillId="25" borderId="85" xfId="29" applyNumberFormat="1" applyFont="1" applyFill="1" applyBorder="1" applyAlignment="1" applyProtection="1">
      <alignment horizontal="center" wrapText="1"/>
      <protection locked="0"/>
    </xf>
    <xf numFmtId="5" fontId="39" fillId="25" borderId="98" xfId="29" applyNumberFormat="1" applyFont="1" applyFill="1" applyBorder="1" applyAlignment="1" applyProtection="1">
      <alignment horizontal="center" wrapText="1"/>
      <protection locked="0"/>
    </xf>
    <xf numFmtId="0" fontId="69" fillId="25" borderId="47" xfId="0" applyFont="1" applyFill="1" applyBorder="1" applyAlignment="1">
      <alignment horizontal="center"/>
    </xf>
    <xf numFmtId="0" fontId="69" fillId="25" borderId="56" xfId="0" applyFont="1" applyFill="1" applyBorder="1" applyAlignment="1">
      <alignment horizontal="center"/>
    </xf>
    <xf numFmtId="0" fontId="69" fillId="25" borderId="23" xfId="0" applyFont="1" applyFill="1" applyBorder="1" applyAlignment="1">
      <alignment horizontal="center"/>
    </xf>
    <xf numFmtId="0" fontId="46" fillId="37" borderId="54" xfId="0" applyFont="1" applyFill="1" applyBorder="1" applyAlignment="1">
      <alignment horizontal="center" wrapText="1"/>
    </xf>
    <xf numFmtId="0" fontId="46" fillId="37" borderId="67" xfId="0" applyFont="1" applyFill="1" applyBorder="1" applyAlignment="1">
      <alignment horizontal="center" wrapText="1"/>
    </xf>
    <xf numFmtId="0" fontId="0" fillId="25" borderId="0" xfId="0" applyFill="1" applyBorder="1" applyAlignment="1">
      <alignment vertical="top" wrapText="1"/>
    </xf>
    <xf numFmtId="0" fontId="0" fillId="0" borderId="0" xfId="0" applyBorder="1" applyAlignment="1">
      <alignment vertical="top" wrapText="1"/>
    </xf>
    <xf numFmtId="0" fontId="0" fillId="0" borderId="0" xfId="0" applyAlignment="1">
      <alignment vertical="top" wrapText="1"/>
    </xf>
    <xf numFmtId="0" fontId="45" fillId="25" borderId="0" xfId="0" applyFont="1" applyFill="1" applyAlignment="1">
      <alignment horizontal="left"/>
    </xf>
    <xf numFmtId="0" fontId="56" fillId="25" borderId="0" xfId="0" applyFont="1" applyFill="1" applyBorder="1" applyAlignment="1">
      <alignment horizontal="left" wrapText="1"/>
    </xf>
    <xf numFmtId="0" fontId="45" fillId="25" borderId="0" xfId="0" applyFont="1" applyFill="1" applyBorder="1" applyAlignment="1">
      <alignment horizontal="center" vertical="center"/>
    </xf>
    <xf numFmtId="0" fontId="46" fillId="26" borderId="40" xfId="0" applyFont="1" applyFill="1" applyBorder="1" applyAlignment="1">
      <alignment horizontal="center" vertical="center"/>
    </xf>
    <xf numFmtId="0" fontId="46" fillId="26" borderId="14" xfId="0" applyFont="1" applyFill="1" applyBorder="1" applyAlignment="1">
      <alignment horizontal="center" vertical="center"/>
    </xf>
    <xf numFmtId="0" fontId="46" fillId="26" borderId="101" xfId="0" applyFont="1" applyFill="1" applyBorder="1" applyAlignment="1">
      <alignment horizontal="center" vertical="center" wrapText="1"/>
    </xf>
    <xf numFmtId="0" fontId="46" fillId="26" borderId="24" xfId="0" applyFont="1" applyFill="1" applyBorder="1" applyAlignment="1">
      <alignment horizontal="center" vertical="center" wrapText="1"/>
    </xf>
    <xf numFmtId="0" fontId="46" fillId="26" borderId="40" xfId="0" applyFont="1" applyFill="1" applyBorder="1" applyAlignment="1">
      <alignment horizontal="center" vertical="center" wrapText="1"/>
    </xf>
    <xf numFmtId="0" fontId="46" fillId="26" borderId="14" xfId="0" applyFont="1" applyFill="1" applyBorder="1" applyAlignment="1">
      <alignment horizontal="center" vertical="center" wrapText="1"/>
    </xf>
    <xf numFmtId="0" fontId="46" fillId="26" borderId="102" xfId="0" applyFont="1" applyFill="1" applyBorder="1" applyAlignment="1">
      <alignment horizontal="center" vertical="center" wrapText="1"/>
    </xf>
    <xf numFmtId="0" fontId="46" fillId="26" borderId="30" xfId="0" applyFont="1" applyFill="1" applyBorder="1" applyAlignment="1">
      <alignment horizontal="center" vertical="center" wrapText="1"/>
    </xf>
    <xf numFmtId="0" fontId="0" fillId="34" borderId="29" xfId="0" applyFill="1" applyBorder="1" applyAlignment="1">
      <alignment horizontal="center"/>
    </xf>
    <xf numFmtId="0" fontId="0" fillId="34" borderId="30" xfId="0" applyFill="1" applyBorder="1" applyAlignment="1">
      <alignment horizontal="center"/>
    </xf>
    <xf numFmtId="0" fontId="64" fillId="36" borderId="61" xfId="0" applyFont="1" applyFill="1" applyBorder="1" applyAlignment="1">
      <alignment horizontal="left" wrapText="1"/>
    </xf>
    <xf numFmtId="0" fontId="64" fillId="36" borderId="56" xfId="0" applyFont="1" applyFill="1" applyBorder="1" applyAlignment="1">
      <alignment horizontal="left" wrapText="1"/>
    </xf>
    <xf numFmtId="0" fontId="64" fillId="36" borderId="23" xfId="0" applyFont="1" applyFill="1" applyBorder="1" applyAlignment="1">
      <alignment horizontal="left" wrapText="1"/>
    </xf>
    <xf numFmtId="0" fontId="64" fillId="36" borderId="61" xfId="0" applyFont="1" applyFill="1" applyBorder="1" applyAlignment="1">
      <alignment horizontal="left" vertical="center"/>
    </xf>
    <xf numFmtId="0" fontId="64" fillId="36" borderId="56" xfId="0" applyFont="1" applyFill="1" applyBorder="1" applyAlignment="1">
      <alignment horizontal="left" vertical="center"/>
    </xf>
    <xf numFmtId="0" fontId="64" fillId="36" borderId="23" xfId="0" applyFont="1" applyFill="1" applyBorder="1" applyAlignment="1">
      <alignment horizontal="left" vertical="center"/>
    </xf>
    <xf numFmtId="0" fontId="47" fillId="26" borderId="19" xfId="0" applyFont="1" applyFill="1" applyBorder="1" applyAlignment="1">
      <alignment horizontal="center"/>
    </xf>
    <xf numFmtId="0" fontId="47" fillId="26" borderId="68" xfId="0" applyFont="1" applyFill="1" applyBorder="1" applyAlignment="1">
      <alignment horizontal="center"/>
    </xf>
    <xf numFmtId="0" fontId="51" fillId="25" borderId="10" xfId="0" applyFont="1" applyFill="1" applyBorder="1" applyAlignment="1">
      <alignment horizontal="center" vertical="center"/>
    </xf>
    <xf numFmtId="0" fontId="51" fillId="25" borderId="0" xfId="0" applyFont="1" applyFill="1" applyBorder="1" applyAlignment="1">
      <alignment horizontal="center" vertical="center"/>
    </xf>
    <xf numFmtId="5" fontId="39" fillId="25" borderId="86" xfId="29" applyNumberFormat="1" applyFont="1" applyFill="1" applyBorder="1" applyAlignment="1" applyProtection="1">
      <alignment horizontal="center" wrapText="1"/>
      <protection locked="0"/>
    </xf>
    <xf numFmtId="5" fontId="39" fillId="25" borderId="99" xfId="29" applyNumberFormat="1" applyFont="1" applyFill="1" applyBorder="1" applyAlignment="1" applyProtection="1">
      <alignment horizontal="center" wrapText="1"/>
      <protection locked="0"/>
    </xf>
    <xf numFmtId="5" fontId="39" fillId="25" borderId="87" xfId="29" applyNumberFormat="1" applyFont="1" applyFill="1" applyBorder="1" applyAlignment="1" applyProtection="1">
      <alignment horizontal="center" wrapText="1"/>
      <protection locked="0"/>
    </xf>
    <xf numFmtId="5" fontId="39" fillId="25" borderId="100" xfId="29" applyNumberFormat="1" applyFont="1" applyFill="1" applyBorder="1" applyAlignment="1" applyProtection="1">
      <alignment horizontal="center" wrapText="1"/>
      <protection locked="0"/>
    </xf>
    <xf numFmtId="0" fontId="69" fillId="25" borderId="118" xfId="0" quotePrefix="1" applyFont="1" applyFill="1" applyBorder="1" applyAlignment="1">
      <alignment horizontal="right" vertical="center" wrapText="1"/>
    </xf>
    <xf numFmtId="0" fontId="69" fillId="25" borderId="119" xfId="0" quotePrefix="1" applyFont="1" applyFill="1" applyBorder="1" applyAlignment="1">
      <alignment horizontal="right" vertical="center" wrapText="1"/>
    </xf>
    <xf numFmtId="1" fontId="0" fillId="25" borderId="33" xfId="0" applyNumberFormat="1" applyFill="1" applyBorder="1" applyAlignment="1">
      <alignment horizontal="center" vertical="center"/>
    </xf>
    <xf numFmtId="1" fontId="0" fillId="25" borderId="26" xfId="0" applyNumberFormat="1" applyFill="1" applyBorder="1" applyAlignment="1">
      <alignment horizontal="center" vertical="center"/>
    </xf>
    <xf numFmtId="0" fontId="48" fillId="25" borderId="59" xfId="0" applyFont="1" applyFill="1" applyBorder="1" applyAlignment="1">
      <alignment horizontal="right" vertical="center"/>
    </xf>
    <xf numFmtId="0" fontId="48" fillId="25" borderId="33" xfId="0" applyFont="1" applyFill="1" applyBorder="1" applyAlignment="1">
      <alignment horizontal="right" vertical="center"/>
    </xf>
    <xf numFmtId="0" fontId="48" fillId="25" borderId="19" xfId="0" applyFont="1" applyFill="1" applyBorder="1" applyAlignment="1">
      <alignment horizontal="right" vertical="center"/>
    </xf>
    <xf numFmtId="0" fontId="48" fillId="25" borderId="18" xfId="0" applyFont="1" applyFill="1" applyBorder="1" applyAlignment="1">
      <alignment horizontal="right" vertical="center"/>
    </xf>
    <xf numFmtId="0" fontId="48" fillId="25" borderId="33" xfId="0" applyFont="1" applyFill="1" applyBorder="1" applyAlignment="1">
      <alignment horizontal="center" vertical="center"/>
    </xf>
    <xf numFmtId="0" fontId="48" fillId="25" borderId="26" xfId="0" applyFont="1" applyFill="1" applyBorder="1" applyAlignment="1">
      <alignment horizontal="center" vertical="center"/>
    </xf>
    <xf numFmtId="0" fontId="48" fillId="25" borderId="18" xfId="0" applyFont="1" applyFill="1" applyBorder="1" applyAlignment="1">
      <alignment horizontal="center" vertical="center"/>
    </xf>
    <xf numFmtId="0" fontId="48" fillId="25" borderId="38" xfId="0" applyFont="1" applyFill="1" applyBorder="1" applyAlignment="1">
      <alignment horizontal="center" vertical="center"/>
    </xf>
    <xf numFmtId="0" fontId="46" fillId="26" borderId="35" xfId="0" applyFont="1" applyFill="1" applyBorder="1" applyAlignment="1">
      <alignment horizontal="right" vertical="center"/>
    </xf>
    <xf numFmtId="0" fontId="46" fillId="26" borderId="30" xfId="0" applyFont="1" applyFill="1" applyBorder="1" applyAlignment="1">
      <alignment horizontal="right" vertical="center"/>
    </xf>
    <xf numFmtId="0" fontId="58" fillId="36" borderId="61" xfId="0" applyFont="1" applyFill="1" applyBorder="1" applyAlignment="1">
      <alignment horizontal="center" vertical="center"/>
    </xf>
    <xf numFmtId="0" fontId="58" fillId="36" borderId="56" xfId="0" applyFont="1" applyFill="1" applyBorder="1" applyAlignment="1">
      <alignment horizontal="center" vertical="center"/>
    </xf>
    <xf numFmtId="0" fontId="58" fillId="36" borderId="23" xfId="0" applyFont="1" applyFill="1" applyBorder="1" applyAlignment="1">
      <alignment horizontal="center" vertical="center"/>
    </xf>
    <xf numFmtId="0" fontId="69" fillId="25" borderId="37" xfId="0" applyFont="1" applyFill="1" applyBorder="1" applyAlignment="1">
      <alignment horizontal="right" vertical="center" wrapText="1"/>
    </xf>
    <xf numFmtId="0" fontId="69" fillId="25" borderId="13" xfId="0" applyFont="1" applyFill="1" applyBorder="1" applyAlignment="1">
      <alignment horizontal="right" vertical="center" wrapText="1"/>
    </xf>
    <xf numFmtId="0" fontId="69" fillId="25" borderId="10" xfId="0" quotePrefix="1" applyFont="1" applyFill="1" applyBorder="1" applyAlignment="1">
      <alignment horizontal="right" vertical="center" wrapText="1"/>
    </xf>
    <xf numFmtId="0" fontId="69" fillId="25" borderId="0" xfId="0" quotePrefix="1" applyFont="1" applyFill="1" applyBorder="1" applyAlignment="1">
      <alignment horizontal="right" vertical="center" wrapText="1"/>
    </xf>
    <xf numFmtId="164" fontId="94" fillId="25" borderId="121" xfId="0" quotePrefix="1" applyNumberFormat="1" applyFont="1" applyFill="1" applyBorder="1" applyAlignment="1">
      <alignment horizontal="center" vertical="center"/>
    </xf>
    <xf numFmtId="0" fontId="94" fillId="0" borderId="121" xfId="0" applyFont="1" applyBorder="1" applyAlignment="1">
      <alignment horizontal="center" vertical="center"/>
    </xf>
    <xf numFmtId="0" fontId="94" fillId="0" borderId="122" xfId="0" applyFont="1" applyBorder="1" applyAlignment="1">
      <alignment horizontal="center" vertical="center"/>
    </xf>
    <xf numFmtId="164" fontId="94" fillId="25" borderId="15" xfId="0" quotePrefix="1" applyNumberFormat="1" applyFont="1" applyFill="1" applyBorder="1" applyAlignment="1">
      <alignment horizontal="center" vertical="center"/>
    </xf>
    <xf numFmtId="0" fontId="94" fillId="0" borderId="15" xfId="0" applyFont="1" applyBorder="1" applyAlignment="1">
      <alignment horizontal="center" vertical="center"/>
    </xf>
    <xf numFmtId="0" fontId="94" fillId="0" borderId="50" xfId="0" applyFont="1" applyBorder="1" applyAlignment="1">
      <alignment horizontal="center" vertical="center"/>
    </xf>
    <xf numFmtId="0" fontId="46" fillId="26" borderId="37" xfId="0" applyFont="1" applyFill="1" applyBorder="1" applyAlignment="1">
      <alignment horizontal="center" vertical="center" wrapText="1"/>
    </xf>
    <xf numFmtId="0" fontId="46" fillId="26" borderId="35" xfId="0" applyFont="1" applyFill="1" applyBorder="1" applyAlignment="1">
      <alignment horizontal="center" vertical="center" wrapText="1"/>
    </xf>
    <xf numFmtId="2" fontId="85" fillId="25" borderId="13" xfId="0" quotePrefix="1" applyNumberFormat="1" applyFont="1" applyFill="1" applyBorder="1" applyAlignment="1">
      <alignment horizontal="left" vertical="top" wrapText="1"/>
    </xf>
    <xf numFmtId="2" fontId="85" fillId="25" borderId="0" xfId="0" quotePrefix="1" applyNumberFormat="1" applyFont="1" applyFill="1" applyBorder="1" applyAlignment="1">
      <alignment horizontal="left" vertical="top" wrapText="1"/>
    </xf>
    <xf numFmtId="0" fontId="0" fillId="25" borderId="16" xfId="0" applyFill="1" applyBorder="1" applyAlignment="1">
      <alignment horizontal="center"/>
    </xf>
    <xf numFmtId="0" fontId="0" fillId="25" borderId="32" xfId="0" applyFill="1" applyBorder="1" applyAlignment="1">
      <alignment horizontal="center"/>
    </xf>
    <xf numFmtId="0" fontId="0" fillId="25" borderId="26" xfId="0" applyFill="1" applyBorder="1" applyAlignment="1">
      <alignment horizontal="center"/>
    </xf>
    <xf numFmtId="0" fontId="0" fillId="25" borderId="20" xfId="0" applyFill="1" applyBorder="1" applyAlignment="1">
      <alignment horizontal="center"/>
    </xf>
    <xf numFmtId="1" fontId="60" fillId="36" borderId="37" xfId="0" applyNumberFormat="1" applyFont="1" applyFill="1" applyBorder="1" applyAlignment="1">
      <alignment horizontal="center" vertical="center" wrapText="1"/>
    </xf>
    <xf numFmtId="0" fontId="0" fillId="0" borderId="43"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9" xfId="0" applyBorder="1" applyAlignment="1">
      <alignment horizontal="center" vertical="center" wrapText="1"/>
    </xf>
    <xf numFmtId="0" fontId="0" fillId="0" borderId="38" xfId="0" applyBorder="1" applyAlignment="1">
      <alignment horizontal="center" vertical="center" wrapText="1"/>
    </xf>
    <xf numFmtId="1" fontId="64" fillId="25" borderId="37" xfId="0" applyNumberFormat="1" applyFont="1" applyFill="1" applyBorder="1" applyAlignment="1">
      <alignment horizontal="center" vertical="center" wrapText="1"/>
    </xf>
    <xf numFmtId="0" fontId="55" fillId="25" borderId="53" xfId="0" applyFont="1" applyFill="1" applyBorder="1" applyAlignment="1">
      <alignment horizontal="center" vertical="center" wrapText="1"/>
    </xf>
    <xf numFmtId="0" fontId="55" fillId="25" borderId="36" xfId="0" applyFont="1" applyFill="1" applyBorder="1" applyAlignment="1">
      <alignment horizontal="center" vertical="center" wrapText="1"/>
    </xf>
    <xf numFmtId="164" fontId="0" fillId="43" borderId="11" xfId="0" applyNumberFormat="1" applyFill="1" applyBorder="1" applyAlignment="1">
      <alignment horizontal="center" vertical="center"/>
    </xf>
    <xf numFmtId="0" fontId="44" fillId="25" borderId="16" xfId="0" applyFont="1" applyFill="1" applyBorder="1" applyAlignment="1">
      <alignment horizontal="center"/>
    </xf>
    <xf numFmtId="0" fontId="44" fillId="25" borderId="32" xfId="0" applyFont="1" applyFill="1" applyBorder="1" applyAlignment="1">
      <alignment horizontal="center"/>
    </xf>
    <xf numFmtId="0" fontId="44" fillId="25" borderId="63" xfId="0" applyFont="1" applyFill="1" applyBorder="1" applyAlignment="1">
      <alignment horizontal="center"/>
    </xf>
    <xf numFmtId="0" fontId="62" fillId="25" borderId="0" xfId="0" quotePrefix="1" applyFont="1" applyFill="1" applyBorder="1" applyAlignment="1">
      <alignment horizontal="left" wrapText="1"/>
    </xf>
    <xf numFmtId="0" fontId="47" fillId="26" borderId="10" xfId="0" applyFont="1" applyFill="1" applyBorder="1" applyAlignment="1">
      <alignment horizontal="right" vertical="center"/>
    </xf>
    <xf numFmtId="0" fontId="47" fillId="26" borderId="28" xfId="0" applyFont="1" applyFill="1" applyBorder="1" applyAlignment="1">
      <alignment horizontal="right" vertical="center"/>
    </xf>
    <xf numFmtId="0" fontId="47" fillId="26" borderId="10" xfId="0" applyFont="1" applyFill="1" applyBorder="1" applyAlignment="1">
      <alignment horizontal="right" vertical="center" wrapText="1"/>
    </xf>
    <xf numFmtId="0" fontId="47" fillId="26" borderId="0" xfId="0" applyFont="1" applyFill="1" applyBorder="1" applyAlignment="1">
      <alignment horizontal="right" vertical="center" wrapText="1"/>
    </xf>
    <xf numFmtId="0" fontId="47" fillId="26" borderId="28" xfId="0" applyFont="1" applyFill="1" applyBorder="1" applyAlignment="1">
      <alignment horizontal="right" vertical="center" wrapText="1"/>
    </xf>
    <xf numFmtId="0" fontId="47" fillId="26" borderId="35" xfId="0" applyFont="1" applyFill="1" applyBorder="1" applyAlignment="1">
      <alignment horizontal="right" vertical="center" wrapText="1"/>
    </xf>
    <xf numFmtId="0" fontId="47" fillId="26" borderId="21" xfId="0" applyFont="1" applyFill="1" applyBorder="1" applyAlignment="1">
      <alignment horizontal="right" vertical="center" wrapText="1"/>
    </xf>
    <xf numFmtId="0" fontId="47" fillId="26" borderId="30" xfId="0" applyFont="1" applyFill="1" applyBorder="1" applyAlignment="1">
      <alignment horizontal="right" vertical="center" wrapText="1"/>
    </xf>
    <xf numFmtId="1" fontId="0" fillId="28" borderId="11" xfId="0" applyNumberFormat="1" applyFill="1" applyBorder="1" applyAlignment="1">
      <alignment horizontal="center" vertical="center"/>
    </xf>
    <xf numFmtId="1" fontId="0" fillId="28" borderId="22" xfId="0" applyNumberFormat="1" applyFill="1" applyBorder="1" applyAlignment="1">
      <alignment horizontal="center" vertical="center"/>
    </xf>
    <xf numFmtId="0" fontId="69" fillId="25" borderId="116" xfId="0" quotePrefix="1" applyFont="1" applyFill="1" applyBorder="1" applyAlignment="1">
      <alignment horizontal="right" vertical="center" wrapText="1"/>
    </xf>
    <xf numFmtId="0" fontId="69" fillId="25" borderId="115" xfId="0" quotePrefix="1" applyFont="1" applyFill="1" applyBorder="1" applyAlignment="1">
      <alignment horizontal="right" vertical="center" wrapText="1"/>
    </xf>
    <xf numFmtId="0" fontId="58" fillId="36" borderId="61" xfId="0" quotePrefix="1" applyFont="1" applyFill="1" applyBorder="1" applyAlignment="1">
      <alignment horizontal="center" vertical="center"/>
    </xf>
    <xf numFmtId="0" fontId="47" fillId="26" borderId="59" xfId="0" applyFont="1" applyFill="1" applyBorder="1" applyAlignment="1">
      <alignment horizontal="right" vertical="center" wrapText="1"/>
    </xf>
    <xf numFmtId="0" fontId="47" fillId="26" borderId="33" xfId="0" applyFont="1" applyFill="1" applyBorder="1" applyAlignment="1">
      <alignment horizontal="right" vertical="center" wrapText="1"/>
    </xf>
    <xf numFmtId="0" fontId="47" fillId="26" borderId="34" xfId="0" applyFont="1" applyFill="1" applyBorder="1" applyAlignment="1">
      <alignment horizontal="right" vertical="center" wrapText="1"/>
    </xf>
    <xf numFmtId="0" fontId="45" fillId="0" borderId="62" xfId="0" applyFont="1" applyBorder="1" applyAlignment="1">
      <alignment horizontal="center" vertical="center"/>
    </xf>
    <xf numFmtId="0" fontId="45" fillId="0" borderId="42" xfId="0" applyFont="1" applyBorder="1" applyAlignment="1">
      <alignment horizontal="center" vertical="center"/>
    </xf>
    <xf numFmtId="0" fontId="45" fillId="0" borderId="54" xfId="0" applyFont="1" applyBorder="1" applyAlignment="1">
      <alignment horizontal="center" vertical="center"/>
    </xf>
    <xf numFmtId="0" fontId="45" fillId="0" borderId="67" xfId="0" applyFont="1" applyBorder="1" applyAlignment="1">
      <alignment horizontal="center" vertical="center"/>
    </xf>
    <xf numFmtId="0" fontId="48" fillId="0" borderId="33" xfId="0" quotePrefix="1" applyFont="1" applyBorder="1" applyAlignment="1">
      <alignment horizontal="center" vertical="center"/>
    </xf>
    <xf numFmtId="0" fontId="48" fillId="0" borderId="26" xfId="0" quotePrefix="1" applyFont="1" applyBorder="1" applyAlignment="1">
      <alignment horizontal="center" vertical="center"/>
    </xf>
    <xf numFmtId="0" fontId="48" fillId="0" borderId="0" xfId="0" quotePrefix="1" applyFont="1" applyBorder="1" applyAlignment="1">
      <alignment horizontal="center" vertical="center"/>
    </xf>
    <xf numFmtId="0" fontId="48" fillId="0" borderId="11" xfId="0" quotePrefix="1" applyFont="1" applyBorder="1" applyAlignment="1">
      <alignment horizontal="center" vertical="center"/>
    </xf>
    <xf numFmtId="0" fontId="48" fillId="0" borderId="21" xfId="0" quotePrefix="1" applyFont="1" applyBorder="1" applyAlignment="1">
      <alignment horizontal="center" vertical="center"/>
    </xf>
    <xf numFmtId="0" fontId="48" fillId="0" borderId="22" xfId="0" quotePrefix="1" applyFont="1" applyBorder="1" applyAlignment="1">
      <alignment horizontal="center" vertical="center"/>
    </xf>
    <xf numFmtId="164" fontId="0" fillId="25" borderId="45" xfId="0" quotePrefix="1" applyNumberFormat="1" applyFill="1" applyBorder="1" applyAlignment="1">
      <alignment horizontal="center" vertical="center"/>
    </xf>
    <xf numFmtId="0" fontId="45" fillId="0" borderId="66" xfId="0" applyFont="1" applyBorder="1" applyAlignment="1">
      <alignment horizontal="center" vertical="center"/>
    </xf>
    <xf numFmtId="0" fontId="0" fillId="35" borderId="0" xfId="0" applyFill="1" applyBorder="1" applyAlignment="1">
      <alignment horizontal="right"/>
    </xf>
    <xf numFmtId="0" fontId="0" fillId="35" borderId="28" xfId="0" applyFill="1" applyBorder="1" applyAlignment="1">
      <alignment horizontal="right"/>
    </xf>
    <xf numFmtId="0" fontId="0" fillId="0" borderId="12" xfId="0" applyFont="1" applyFill="1" applyBorder="1" applyAlignment="1" applyProtection="1">
      <alignment horizontal="left" vertical="top" wrapText="1"/>
      <protection locked="0"/>
    </xf>
    <xf numFmtId="0" fontId="0" fillId="0" borderId="33" xfId="0" applyFont="1" applyFill="1" applyBorder="1" applyAlignment="1" applyProtection="1">
      <alignment horizontal="left" vertical="top" wrapText="1"/>
      <protection locked="0"/>
    </xf>
    <xf numFmtId="0" fontId="0" fillId="0" borderId="34" xfId="0" applyFont="1" applyFill="1" applyBorder="1" applyAlignment="1" applyProtection="1">
      <alignment horizontal="left" vertical="top" wrapText="1"/>
      <protection locked="0"/>
    </xf>
    <xf numFmtId="0" fontId="0" fillId="0" borderId="29" xfId="0" applyFont="1" applyFill="1" applyBorder="1" applyAlignment="1" applyProtection="1">
      <alignment horizontal="left" vertical="top" wrapText="1"/>
      <protection locked="0"/>
    </xf>
    <xf numFmtId="0" fontId="0" fillId="0" borderId="21" xfId="0" applyFont="1" applyFill="1" applyBorder="1" applyAlignment="1" applyProtection="1">
      <alignment horizontal="left" vertical="top" wrapText="1"/>
      <protection locked="0"/>
    </xf>
    <xf numFmtId="0" fontId="0" fillId="0" borderId="30" xfId="0" applyFont="1" applyFill="1" applyBorder="1" applyAlignment="1" applyProtection="1">
      <alignment horizontal="left" vertical="top" wrapText="1"/>
      <protection locked="0"/>
    </xf>
    <xf numFmtId="0" fontId="0" fillId="35" borderId="0" xfId="0" applyFill="1" applyBorder="1" applyAlignment="1">
      <alignment horizontal="left" wrapText="1"/>
    </xf>
    <xf numFmtId="0" fontId="0" fillId="35" borderId="0" xfId="0" quotePrefix="1" applyFill="1" applyAlignment="1">
      <alignment horizontal="left" wrapText="1"/>
    </xf>
    <xf numFmtId="0" fontId="0" fillId="35" borderId="0" xfId="0" applyFill="1" applyAlignment="1">
      <alignment horizontal="left" wrapText="1"/>
    </xf>
    <xf numFmtId="0" fontId="76" fillId="53" borderId="12" xfId="0" quotePrefix="1" applyFont="1" applyFill="1" applyBorder="1" applyAlignment="1">
      <alignment horizontal="left" wrapText="1"/>
    </xf>
    <xf numFmtId="0" fontId="76" fillId="53" borderId="33" xfId="0" applyFont="1" applyFill="1" applyBorder="1" applyAlignment="1">
      <alignment horizontal="left" wrapText="1"/>
    </xf>
    <xf numFmtId="0" fontId="76" fillId="53" borderId="34" xfId="0" applyFont="1" applyFill="1" applyBorder="1" applyAlignment="1">
      <alignment horizontal="left" wrapText="1"/>
    </xf>
    <xf numFmtId="0" fontId="76" fillId="53" borderId="17" xfId="0" applyFont="1" applyFill="1" applyBorder="1" applyAlignment="1">
      <alignment horizontal="left" wrapText="1"/>
    </xf>
    <xf numFmtId="0" fontId="76" fillId="53" borderId="0" xfId="0" applyFont="1" applyFill="1" applyBorder="1" applyAlignment="1">
      <alignment horizontal="left" wrapText="1"/>
    </xf>
    <xf numFmtId="0" fontId="76" fillId="53" borderId="28" xfId="0" applyFont="1" applyFill="1" applyBorder="1" applyAlignment="1">
      <alignment horizontal="left" wrapText="1"/>
    </xf>
    <xf numFmtId="0" fontId="76" fillId="53" borderId="29" xfId="0" applyFont="1" applyFill="1" applyBorder="1" applyAlignment="1">
      <alignment horizontal="left" wrapText="1"/>
    </xf>
    <xf numFmtId="0" fontId="76" fillId="53" borderId="21" xfId="0" applyFont="1" applyFill="1" applyBorder="1" applyAlignment="1">
      <alignment horizontal="left" wrapText="1"/>
    </xf>
    <xf numFmtId="0" fontId="76" fillId="53" borderId="30" xfId="0" applyFont="1" applyFill="1" applyBorder="1" applyAlignment="1">
      <alignment horizontal="left" wrapText="1"/>
    </xf>
    <xf numFmtId="0" fontId="58" fillId="35" borderId="0" xfId="0" applyFont="1" applyFill="1" applyBorder="1" applyAlignment="1">
      <alignment horizontal="left"/>
    </xf>
    <xf numFmtId="0" fontId="76" fillId="53" borderId="12" xfId="0" quotePrefix="1" applyFont="1" applyFill="1" applyBorder="1" applyAlignment="1">
      <alignment horizontal="left" vertical="top" wrapText="1"/>
    </xf>
    <xf numFmtId="0" fontId="76" fillId="53" borderId="33" xfId="0" applyFont="1" applyFill="1" applyBorder="1" applyAlignment="1">
      <alignment horizontal="left" vertical="top" wrapText="1"/>
    </xf>
    <xf numFmtId="0" fontId="76" fillId="53" borderId="34" xfId="0" applyFont="1" applyFill="1" applyBorder="1" applyAlignment="1">
      <alignment horizontal="left" vertical="top" wrapText="1"/>
    </xf>
    <xf numFmtId="0" fontId="76" fillId="53" borderId="17" xfId="0" applyFont="1" applyFill="1" applyBorder="1" applyAlignment="1">
      <alignment horizontal="left" vertical="top" wrapText="1"/>
    </xf>
    <xf numFmtId="0" fontId="76" fillId="53" borderId="0" xfId="0" applyFont="1" applyFill="1" applyBorder="1" applyAlignment="1">
      <alignment horizontal="left" vertical="top" wrapText="1"/>
    </xf>
    <xf numFmtId="0" fontId="76" fillId="53" borderId="28" xfId="0" applyFont="1" applyFill="1" applyBorder="1" applyAlignment="1">
      <alignment horizontal="left" vertical="top" wrapText="1"/>
    </xf>
    <xf numFmtId="0" fontId="76" fillId="53" borderId="29" xfId="0" applyFont="1" applyFill="1" applyBorder="1" applyAlignment="1">
      <alignment horizontal="left" vertical="top" wrapText="1"/>
    </xf>
    <xf numFmtId="0" fontId="76" fillId="53" borderId="21" xfId="0" applyFont="1" applyFill="1" applyBorder="1" applyAlignment="1">
      <alignment horizontal="left" vertical="top" wrapText="1"/>
    </xf>
    <xf numFmtId="0" fontId="76" fillId="53" borderId="30" xfId="0" applyFont="1" applyFill="1" applyBorder="1" applyAlignment="1">
      <alignment horizontal="left" vertical="top" wrapText="1"/>
    </xf>
    <xf numFmtId="0" fontId="0" fillId="35" borderId="0" xfId="0" applyFill="1" applyBorder="1" applyAlignment="1">
      <alignment horizontal="left" vertical="center" wrapText="1"/>
    </xf>
    <xf numFmtId="0" fontId="0" fillId="35" borderId="0" xfId="0" quotePrefix="1" applyFill="1" applyBorder="1" applyAlignment="1">
      <alignment horizontal="left" wrapText="1"/>
    </xf>
    <xf numFmtId="0" fontId="0" fillId="0" borderId="0" xfId="0" applyAlignment="1"/>
    <xf numFmtId="0" fontId="46" fillId="33" borderId="31" xfId="0" applyFont="1" applyFill="1" applyBorder="1" applyAlignment="1">
      <alignment horizontal="center" wrapText="1"/>
    </xf>
    <xf numFmtId="0" fontId="46" fillId="33" borderId="20" xfId="0" applyFont="1" applyFill="1" applyBorder="1" applyAlignment="1">
      <alignment wrapText="1"/>
    </xf>
    <xf numFmtId="0" fontId="76" fillId="53" borderId="31" xfId="0" quotePrefix="1" applyFont="1" applyFill="1" applyBorder="1" applyAlignment="1">
      <alignment horizontal="left" vertical="top" wrapText="1"/>
    </xf>
    <xf numFmtId="0" fontId="76" fillId="53" borderId="32" xfId="0" quotePrefix="1" applyFont="1" applyFill="1" applyBorder="1" applyAlignment="1">
      <alignment horizontal="left" vertical="top" wrapText="1"/>
    </xf>
    <xf numFmtId="0" fontId="76" fillId="53" borderId="20" xfId="0" quotePrefix="1" applyFont="1" applyFill="1" applyBorder="1" applyAlignment="1">
      <alignment horizontal="left" vertical="top" wrapText="1"/>
    </xf>
    <xf numFmtId="0" fontId="0" fillId="35" borderId="0" xfId="0" applyFont="1" applyFill="1" applyAlignment="1">
      <alignment horizontal="left" vertical="top" wrapText="1" indent="3"/>
    </xf>
    <xf numFmtId="0" fontId="0" fillId="35" borderId="0" xfId="0" applyFill="1" applyAlignment="1">
      <alignment horizontal="left" vertical="top" wrapText="1" indent="3"/>
    </xf>
    <xf numFmtId="0" fontId="0" fillId="35" borderId="0" xfId="0" applyFill="1" applyAlignment="1">
      <alignment horizontal="center"/>
    </xf>
    <xf numFmtId="0" fontId="0" fillId="35" borderId="31" xfId="0" applyFill="1" applyBorder="1" applyAlignment="1">
      <alignment horizontal="center"/>
    </xf>
    <xf numFmtId="0" fontId="0" fillId="0" borderId="20" xfId="0" applyBorder="1" applyAlignment="1"/>
    <xf numFmtId="0" fontId="40" fillId="25" borderId="0" xfId="46" applyFill="1" applyAlignment="1" applyProtection="1">
      <alignment horizontal="left"/>
    </xf>
    <xf numFmtId="0" fontId="40" fillId="25" borderId="0" xfId="46" applyFill="1" applyBorder="1" applyAlignment="1" applyProtection="1">
      <alignment horizontal="left"/>
    </xf>
    <xf numFmtId="0" fontId="0" fillId="31" borderId="31" xfId="0" quotePrefix="1" applyFill="1" applyBorder="1" applyAlignment="1">
      <alignment horizontal="left" vertical="top" wrapText="1"/>
    </xf>
    <xf numFmtId="0" fontId="0" fillId="31" borderId="32" xfId="0" applyFill="1" applyBorder="1" applyAlignment="1">
      <alignment horizontal="left" vertical="top" wrapText="1"/>
    </xf>
    <xf numFmtId="0" fontId="0" fillId="31" borderId="32" xfId="0" applyFill="1" applyBorder="1" applyAlignment="1">
      <alignment vertical="top" wrapText="1"/>
    </xf>
    <xf numFmtId="0" fontId="0" fillId="31" borderId="20" xfId="0" applyFill="1" applyBorder="1" applyAlignment="1">
      <alignment vertical="top" wrapText="1"/>
    </xf>
    <xf numFmtId="0" fontId="0" fillId="25" borderId="0" xfId="0" applyFill="1" applyBorder="1" applyAlignment="1">
      <alignment horizontal="left" vertical="center" wrapText="1" indent="12"/>
    </xf>
    <xf numFmtId="0" fontId="0" fillId="0" borderId="0" xfId="0" applyAlignment="1">
      <alignment horizontal="left" wrapText="1" indent="12"/>
    </xf>
    <xf numFmtId="168" fontId="0" fillId="28" borderId="93" xfId="0" applyNumberFormat="1" applyFill="1" applyBorder="1" applyAlignment="1">
      <alignment horizontal="right" vertical="top" wrapText="1"/>
    </xf>
    <xf numFmtId="168" fontId="0" fillId="28" borderId="106" xfId="0" applyNumberFormat="1" applyFill="1" applyBorder="1" applyAlignment="1">
      <alignment horizontal="right" vertical="top" wrapText="1"/>
    </xf>
    <xf numFmtId="0" fontId="0" fillId="0" borderId="88" xfId="0" applyBorder="1" applyAlignment="1">
      <alignment horizontal="right" vertical="top" wrapText="1"/>
    </xf>
    <xf numFmtId="0" fontId="0" fillId="25" borderId="10" xfId="0" quotePrefix="1" applyNumberFormat="1" applyFill="1" applyBorder="1" applyAlignment="1">
      <alignment horizontal="left" wrapText="1"/>
    </xf>
    <xf numFmtId="0" fontId="0" fillId="25" borderId="0" xfId="0" quotePrefix="1" applyNumberFormat="1" applyFill="1" applyBorder="1" applyAlignment="1">
      <alignment horizontal="left" wrapText="1"/>
    </xf>
    <xf numFmtId="0" fontId="0" fillId="0" borderId="0" xfId="0" applyBorder="1" applyAlignment="1">
      <alignment horizontal="left" wrapText="1"/>
    </xf>
    <xf numFmtId="0" fontId="0" fillId="0" borderId="11" xfId="0" applyBorder="1" applyAlignment="1">
      <alignment horizontal="left" wrapText="1"/>
    </xf>
    <xf numFmtId="168" fontId="0" fillId="28" borderId="92" xfId="0" applyNumberFormat="1" applyFill="1" applyBorder="1" applyAlignment="1">
      <alignment horizontal="right"/>
    </xf>
    <xf numFmtId="168" fontId="0" fillId="28" borderId="111" xfId="0" applyNumberFormat="1" applyFill="1" applyBorder="1" applyAlignment="1">
      <alignment horizontal="right"/>
    </xf>
    <xf numFmtId="168" fontId="0" fillId="28" borderId="89" xfId="0" applyNumberFormat="1" applyFill="1" applyBorder="1" applyAlignment="1">
      <alignment horizontal="right"/>
    </xf>
    <xf numFmtId="37" fontId="52" fillId="25" borderId="93" xfId="29" applyNumberFormat="1" applyFont="1" applyFill="1" applyBorder="1" applyAlignment="1" applyProtection="1">
      <alignment horizontal="center" vertical="center"/>
      <protection locked="0"/>
    </xf>
    <xf numFmtId="0" fontId="0" fillId="0" borderId="88" xfId="0" applyBorder="1" applyAlignment="1">
      <alignment horizontal="center" vertical="center"/>
    </xf>
    <xf numFmtId="0" fontId="44" fillId="29" borderId="10" xfId="0" applyFont="1" applyFill="1" applyBorder="1" applyAlignment="1">
      <alignment horizontal="center" vertical="center"/>
    </xf>
    <xf numFmtId="0" fontId="44" fillId="29" borderId="0" xfId="0" applyFont="1" applyFill="1"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25" borderId="10" xfId="0" quotePrefix="1" applyFont="1" applyFill="1" applyBorder="1" applyAlignment="1">
      <alignment horizontal="left" vertical="top" wrapText="1"/>
    </xf>
    <xf numFmtId="0" fontId="0" fillId="25" borderId="0" xfId="0" quotePrefix="1" applyFont="1" applyFill="1" applyBorder="1" applyAlignment="1">
      <alignment horizontal="left" vertical="top" wrapText="1"/>
    </xf>
    <xf numFmtId="0" fontId="0" fillId="0" borderId="0" xfId="0" applyFont="1" applyBorder="1" applyAlignment="1">
      <alignment horizontal="left" vertical="top" wrapText="1"/>
    </xf>
    <xf numFmtId="0" fontId="0" fillId="0" borderId="11" xfId="0" applyFont="1" applyBorder="1" applyAlignment="1">
      <alignment horizontal="left" vertical="top" wrapText="1"/>
    </xf>
    <xf numFmtId="168" fontId="0" fillId="28" borderId="93" xfId="0" applyNumberFormat="1" applyFill="1" applyBorder="1" applyAlignment="1">
      <alignment horizontal="right" wrapText="1"/>
    </xf>
    <xf numFmtId="168" fontId="0" fillId="28" borderId="106" xfId="0" applyNumberFormat="1" applyFill="1" applyBorder="1" applyAlignment="1">
      <alignment horizontal="right" wrapText="1"/>
    </xf>
    <xf numFmtId="0" fontId="0" fillId="0" borderId="106" xfId="0" applyBorder="1" applyAlignment="1">
      <alignment horizontal="right" wrapText="1"/>
    </xf>
    <xf numFmtId="168" fontId="0" fillId="28" borderId="88" xfId="0" applyNumberFormat="1" applyFill="1" applyBorder="1" applyAlignment="1">
      <alignment horizontal="right" wrapText="1"/>
    </xf>
    <xf numFmtId="0" fontId="0" fillId="52" borderId="10" xfId="0" applyFill="1" applyBorder="1" applyAlignment="1">
      <alignment horizontal="left" wrapText="1"/>
    </xf>
    <xf numFmtId="0" fontId="0" fillId="52" borderId="0" xfId="0" applyFill="1" applyBorder="1" applyAlignment="1">
      <alignment horizontal="left" wrapText="1"/>
    </xf>
    <xf numFmtId="168" fontId="0" fillId="28" borderId="19" xfId="0" applyNumberFormat="1" applyFill="1" applyBorder="1" applyAlignment="1">
      <alignment horizontal="right"/>
    </xf>
    <xf numFmtId="168" fontId="0" fillId="28" borderId="18" xfId="0" applyNumberFormat="1" applyFill="1" applyBorder="1" applyAlignment="1">
      <alignment horizontal="right"/>
    </xf>
    <xf numFmtId="168" fontId="0" fillId="28" borderId="68" xfId="0" applyNumberFormat="1" applyFill="1" applyBorder="1" applyAlignment="1">
      <alignment horizontal="right"/>
    </xf>
    <xf numFmtId="0" fontId="0" fillId="25" borderId="10" xfId="0" applyFill="1" applyBorder="1" applyAlignment="1">
      <alignment horizontal="right"/>
    </xf>
    <xf numFmtId="0" fontId="0" fillId="25" borderId="0" xfId="0" applyFill="1" applyBorder="1" applyAlignment="1">
      <alignment horizontal="right"/>
    </xf>
    <xf numFmtId="168" fontId="0" fillId="28" borderId="10" xfId="0" applyNumberFormat="1" applyFill="1" applyBorder="1" applyAlignment="1">
      <alignment horizontal="right" wrapText="1"/>
    </xf>
    <xf numFmtId="168" fontId="0" fillId="28" borderId="0" xfId="0" applyNumberFormat="1" applyFill="1" applyBorder="1" applyAlignment="1">
      <alignment horizontal="right" wrapText="1"/>
    </xf>
    <xf numFmtId="0" fontId="0" fillId="0" borderId="88" xfId="0" applyBorder="1" applyAlignment="1">
      <alignment horizontal="right" wrapText="1"/>
    </xf>
    <xf numFmtId="0" fontId="64" fillId="0" borderId="62" xfId="0" applyFont="1" applyBorder="1" applyAlignment="1">
      <alignment horizontal="center" vertical="center" wrapText="1"/>
    </xf>
    <xf numFmtId="0" fontId="64" fillId="0" borderId="66" xfId="0" applyFont="1" applyBorder="1" applyAlignment="1">
      <alignment horizontal="center" vertical="center" wrapText="1"/>
    </xf>
    <xf numFmtId="0" fontId="64" fillId="0" borderId="67" xfId="0" applyFont="1" applyBorder="1" applyAlignment="1">
      <alignment horizontal="center" vertical="center" wrapText="1"/>
    </xf>
    <xf numFmtId="0" fontId="0" fillId="25" borderId="10" xfId="0" quotePrefix="1" applyFont="1" applyFill="1" applyBorder="1" applyAlignment="1">
      <alignment horizontal="left" wrapText="1"/>
    </xf>
    <xf numFmtId="0" fontId="0" fillId="25" borderId="0" xfId="0" quotePrefix="1" applyFont="1" applyFill="1" applyBorder="1" applyAlignment="1">
      <alignment horizontal="left" wrapText="1"/>
    </xf>
    <xf numFmtId="0" fontId="0" fillId="0" borderId="0" xfId="0" applyFont="1" applyBorder="1" applyAlignment="1">
      <alignment horizontal="left" wrapText="1"/>
    </xf>
    <xf numFmtId="0" fontId="0" fillId="0" borderId="11" xfId="0" applyFont="1" applyBorder="1" applyAlignment="1">
      <alignment horizontal="left" wrapText="1"/>
    </xf>
    <xf numFmtId="168" fontId="0" fillId="28" borderId="28" xfId="0" applyNumberFormat="1" applyFill="1" applyBorder="1" applyAlignment="1">
      <alignment horizontal="right" wrapText="1"/>
    </xf>
    <xf numFmtId="0" fontId="47" fillId="26" borderId="31" xfId="0" applyFont="1" applyFill="1" applyBorder="1" applyAlignment="1">
      <alignment horizontal="right"/>
    </xf>
    <xf numFmtId="0" fontId="47" fillId="26" borderId="20" xfId="0" applyFont="1" applyFill="1" applyBorder="1" applyAlignment="1">
      <alignment horizontal="right"/>
    </xf>
    <xf numFmtId="37" fontId="52" fillId="25" borderId="107" xfId="29" applyNumberFormat="1" applyFont="1" applyFill="1" applyBorder="1" applyAlignment="1" applyProtection="1">
      <alignment horizontal="center" vertical="center"/>
      <protection locked="0"/>
    </xf>
    <xf numFmtId="0" fontId="0" fillId="0" borderId="109" xfId="0" applyBorder="1" applyAlignment="1">
      <alignment horizontal="center" vertical="center"/>
    </xf>
    <xf numFmtId="37" fontId="52" fillId="25" borderId="93" xfId="29" applyNumberFormat="1" applyFont="1" applyFill="1" applyBorder="1" applyAlignment="1" applyProtection="1">
      <alignment horizontal="center" vertical="center" wrapText="1"/>
      <protection locked="0"/>
    </xf>
    <xf numFmtId="37" fontId="52" fillId="25" borderId="107" xfId="29" applyNumberFormat="1" applyFont="1" applyFill="1" applyBorder="1" applyAlignment="1" applyProtection="1">
      <alignment horizontal="center" vertical="center" wrapText="1"/>
      <protection locked="0"/>
    </xf>
    <xf numFmtId="168" fontId="0" fillId="28" borderId="112" xfId="0" applyNumberFormat="1" applyFill="1" applyBorder="1" applyAlignment="1">
      <alignment horizontal="right" vertical="center" wrapText="1"/>
    </xf>
    <xf numFmtId="168" fontId="0" fillId="28" borderId="113" xfId="0" applyNumberFormat="1" applyFill="1" applyBorder="1" applyAlignment="1">
      <alignment horizontal="right" vertical="center" wrapText="1"/>
    </xf>
    <xf numFmtId="168" fontId="0" fillId="28" borderId="114" xfId="0" applyNumberFormat="1" applyFill="1" applyBorder="1" applyAlignment="1">
      <alignment horizontal="right" vertical="center" wrapText="1"/>
    </xf>
    <xf numFmtId="0" fontId="47" fillId="26" borderId="35" xfId="0" applyFont="1" applyFill="1" applyBorder="1" applyAlignment="1">
      <alignment horizontal="center"/>
    </xf>
    <xf numFmtId="0" fontId="47" fillId="26" borderId="21" xfId="0" applyFont="1" applyFill="1" applyBorder="1" applyAlignment="1">
      <alignment horizontal="center"/>
    </xf>
    <xf numFmtId="0" fontId="47" fillId="26" borderId="10" xfId="0" applyFont="1" applyFill="1" applyBorder="1" applyAlignment="1">
      <alignment horizontal="center"/>
    </xf>
    <xf numFmtId="0" fontId="47" fillId="26" borderId="0" xfId="0" applyFont="1" applyFill="1" applyBorder="1" applyAlignment="1">
      <alignment horizontal="center"/>
    </xf>
    <xf numFmtId="37" fontId="52" fillId="25" borderId="104" xfId="29" quotePrefix="1" applyNumberFormat="1" applyFont="1" applyFill="1" applyBorder="1" applyAlignment="1" applyProtection="1">
      <alignment horizontal="center" vertical="center"/>
      <protection locked="0"/>
    </xf>
    <xf numFmtId="0" fontId="0" fillId="0" borderId="103" xfId="0" applyBorder="1" applyAlignment="1">
      <alignment horizontal="center" vertical="center"/>
    </xf>
    <xf numFmtId="0" fontId="47" fillId="26" borderId="29" xfId="0" applyFont="1" applyFill="1" applyBorder="1" applyAlignment="1">
      <alignment horizontal="center" vertical="center" wrapText="1"/>
    </xf>
    <xf numFmtId="0" fontId="47" fillId="26" borderId="30" xfId="0" applyFont="1" applyFill="1" applyBorder="1" applyAlignment="1">
      <alignment horizontal="center" vertical="center" wrapText="1"/>
    </xf>
    <xf numFmtId="168" fontId="0" fillId="28" borderId="93" xfId="0" applyNumberFormat="1" applyFill="1" applyBorder="1" applyAlignment="1">
      <alignment horizontal="right"/>
    </xf>
    <xf numFmtId="168" fontId="0" fillId="28" borderId="106" xfId="0" applyNumberFormat="1" applyFill="1" applyBorder="1" applyAlignment="1">
      <alignment horizontal="right"/>
    </xf>
    <xf numFmtId="168" fontId="0" fillId="28" borderId="88" xfId="0" applyNumberFormat="1" applyFill="1" applyBorder="1" applyAlignment="1">
      <alignment horizontal="right"/>
    </xf>
    <xf numFmtId="0" fontId="44" fillId="29" borderId="10" xfId="0" quotePrefix="1" applyFont="1" applyFill="1" applyBorder="1" applyAlignment="1">
      <alignment horizontal="center" vertical="center"/>
    </xf>
    <xf numFmtId="0" fontId="44" fillId="29" borderId="0" xfId="0" quotePrefix="1" applyFont="1" applyFill="1" applyBorder="1" applyAlignment="1">
      <alignment horizontal="center" vertical="center"/>
    </xf>
    <xf numFmtId="0" fontId="47" fillId="26" borderId="16" xfId="0" applyFont="1" applyFill="1" applyBorder="1" applyAlignment="1">
      <alignment horizontal="center"/>
    </xf>
    <xf numFmtId="0" fontId="47" fillId="26" borderId="32" xfId="0" applyFont="1" applyFill="1" applyBorder="1" applyAlignment="1">
      <alignment horizontal="center"/>
    </xf>
    <xf numFmtId="0" fontId="0" fillId="25" borderId="10" xfId="0" quotePrefix="1" applyNumberFormat="1" applyFill="1" applyBorder="1" applyAlignment="1">
      <alignment horizontal="left" vertical="top" wrapText="1"/>
    </xf>
    <xf numFmtId="0" fontId="0" fillId="25" borderId="0" xfId="0" quotePrefix="1" applyNumberFormat="1" applyFill="1" applyBorder="1" applyAlignment="1">
      <alignment horizontal="left" vertical="top" wrapText="1"/>
    </xf>
    <xf numFmtId="0" fontId="0" fillId="0" borderId="0" xfId="0" applyBorder="1" applyAlignment="1">
      <alignment horizontal="left" vertical="top" wrapText="1"/>
    </xf>
    <xf numFmtId="0" fontId="0" fillId="0" borderId="11" xfId="0" applyBorder="1" applyAlignment="1">
      <alignment horizontal="left" vertical="top" wrapText="1"/>
    </xf>
    <xf numFmtId="0" fontId="47" fillId="26" borderId="94" xfId="0" applyFont="1" applyFill="1" applyBorder="1" applyAlignment="1">
      <alignment horizontal="center"/>
    </xf>
    <xf numFmtId="0" fontId="47" fillId="26" borderId="90" xfId="0" applyFont="1" applyFill="1" applyBorder="1" applyAlignment="1">
      <alignment horizontal="center"/>
    </xf>
    <xf numFmtId="37" fontId="52" fillId="25" borderId="31" xfId="29" applyNumberFormat="1" applyFont="1" applyFill="1" applyBorder="1" applyAlignment="1" applyProtection="1">
      <alignment horizontal="center" vertical="center" wrapText="1"/>
      <protection locked="0"/>
    </xf>
    <xf numFmtId="37" fontId="52" fillId="25" borderId="20" xfId="29" applyNumberFormat="1" applyFont="1" applyFill="1" applyBorder="1" applyAlignment="1" applyProtection="1">
      <alignment horizontal="center" vertical="center" wrapText="1"/>
      <protection locked="0"/>
    </xf>
    <xf numFmtId="168" fontId="0" fillId="28" borderId="107" xfId="0" applyNumberFormat="1" applyFill="1" applyBorder="1" applyAlignment="1">
      <alignment horizontal="right" vertical="center" wrapText="1"/>
    </xf>
    <xf numFmtId="168" fontId="0" fillId="28" borderId="108" xfId="0" applyNumberFormat="1" applyFill="1" applyBorder="1" applyAlignment="1">
      <alignment horizontal="right" vertical="center" wrapText="1"/>
    </xf>
    <xf numFmtId="168" fontId="0" fillId="28" borderId="109" xfId="0" applyNumberFormat="1" applyFill="1" applyBorder="1" applyAlignment="1">
      <alignment horizontal="right" vertical="center" wrapText="1"/>
    </xf>
    <xf numFmtId="0" fontId="0" fillId="25" borderId="10" xfId="0" quotePrefix="1" applyFill="1" applyBorder="1" applyAlignment="1">
      <alignment horizontal="right"/>
    </xf>
    <xf numFmtId="0" fontId="0" fillId="25" borderId="0" xfId="0" quotePrefix="1" applyFill="1" applyBorder="1" applyAlignment="1">
      <alignment horizontal="right"/>
    </xf>
    <xf numFmtId="0" fontId="0" fillId="25" borderId="28" xfId="0" applyFill="1" applyBorder="1" applyAlignment="1">
      <alignment horizontal="right"/>
    </xf>
    <xf numFmtId="0" fontId="0" fillId="25" borderId="37" xfId="0" applyNumberFormat="1" applyFill="1" applyBorder="1" applyAlignment="1" applyProtection="1">
      <alignment wrapText="1"/>
      <protection locked="0"/>
    </xf>
    <xf numFmtId="0" fontId="0" fillId="0" borderId="13" xfId="0" applyBorder="1" applyAlignment="1" applyProtection="1">
      <alignment wrapText="1"/>
      <protection locked="0"/>
    </xf>
    <xf numFmtId="0" fontId="0" fillId="0" borderId="43" xfId="0" applyBorder="1" applyAlignment="1" applyProtection="1">
      <alignment wrapText="1"/>
      <protection locked="0"/>
    </xf>
    <xf numFmtId="0" fontId="0" fillId="0" borderId="10" xfId="0" applyBorder="1" applyAlignment="1" applyProtection="1">
      <alignment wrapText="1"/>
      <protection locked="0"/>
    </xf>
    <xf numFmtId="0" fontId="0" fillId="0" borderId="0" xfId="0" applyBorder="1" applyAlignment="1" applyProtection="1">
      <alignment wrapText="1"/>
      <protection locked="0"/>
    </xf>
    <xf numFmtId="0" fontId="0" fillId="0" borderId="11" xfId="0" applyBorder="1" applyAlignment="1" applyProtection="1">
      <alignment wrapText="1"/>
      <protection locked="0"/>
    </xf>
    <xf numFmtId="0" fontId="0" fillId="0" borderId="19" xfId="0" applyBorder="1" applyAlignment="1" applyProtection="1">
      <alignment wrapText="1"/>
      <protection locked="0"/>
    </xf>
    <xf numFmtId="0" fontId="0" fillId="0" borderId="18" xfId="0" applyBorder="1" applyAlignment="1" applyProtection="1">
      <alignment wrapText="1"/>
      <protection locked="0"/>
    </xf>
    <xf numFmtId="0" fontId="0" fillId="0" borderId="38" xfId="0" applyBorder="1" applyAlignment="1" applyProtection="1">
      <alignment wrapText="1"/>
      <protection locked="0"/>
    </xf>
    <xf numFmtId="0" fontId="0" fillId="25" borderId="0" xfId="0" applyFill="1" applyAlignment="1">
      <alignment horizontal="left" vertical="top" wrapText="1"/>
    </xf>
    <xf numFmtId="0" fontId="0" fillId="25" borderId="10" xfId="0" quotePrefix="1" applyFill="1" applyBorder="1" applyAlignment="1">
      <alignment horizontal="left" wrapText="1"/>
    </xf>
    <xf numFmtId="0" fontId="0" fillId="25" borderId="0" xfId="0" quotePrefix="1" applyFill="1" applyBorder="1" applyAlignment="1">
      <alignment horizontal="left" wrapText="1"/>
    </xf>
    <xf numFmtId="37" fontId="52" fillId="25" borderId="87" xfId="29" applyNumberFormat="1" applyFont="1" applyFill="1" applyBorder="1" applyAlignment="1" applyProtection="1">
      <alignment horizontal="center" vertical="center" wrapText="1"/>
      <protection locked="0"/>
    </xf>
    <xf numFmtId="37" fontId="52" fillId="25" borderId="109" xfId="29" applyNumberFormat="1" applyFont="1" applyFill="1" applyBorder="1" applyAlignment="1" applyProtection="1">
      <alignment horizontal="center" vertical="center" wrapText="1"/>
      <protection locked="0"/>
    </xf>
    <xf numFmtId="0" fontId="47" fillId="26" borderId="66" xfId="0" quotePrefix="1" applyFont="1" applyFill="1" applyBorder="1" applyAlignment="1">
      <alignment horizontal="center" wrapText="1"/>
    </xf>
    <xf numFmtId="0" fontId="47" fillId="26" borderId="42" xfId="0" quotePrefix="1" applyFont="1" applyFill="1" applyBorder="1" applyAlignment="1">
      <alignment horizontal="center" wrapText="1"/>
    </xf>
    <xf numFmtId="37" fontId="52" fillId="25" borderId="86" xfId="29" applyNumberFormat="1" applyFont="1" applyFill="1" applyBorder="1" applyAlignment="1" applyProtection="1">
      <alignment horizontal="center" vertical="center" wrapText="1"/>
      <protection locked="0"/>
    </xf>
    <xf numFmtId="37" fontId="52" fillId="25" borderId="88" xfId="29" applyNumberFormat="1" applyFont="1" applyFill="1" applyBorder="1" applyAlignment="1" applyProtection="1">
      <alignment horizontal="center" vertical="center" wrapText="1"/>
      <protection locked="0"/>
    </xf>
    <xf numFmtId="0" fontId="0" fillId="28" borderId="93" xfId="0" applyFill="1" applyBorder="1" applyAlignment="1">
      <alignment horizontal="right" wrapText="1"/>
    </xf>
    <xf numFmtId="0" fontId="0" fillId="28" borderId="106" xfId="0" applyFill="1" applyBorder="1" applyAlignment="1">
      <alignment horizontal="right" wrapText="1"/>
    </xf>
    <xf numFmtId="0" fontId="0" fillId="28" borderId="88" xfId="0" applyFill="1" applyBorder="1" applyAlignment="1">
      <alignment horizontal="right" wrapText="1"/>
    </xf>
    <xf numFmtId="0" fontId="0" fillId="0" borderId="0" xfId="0" applyBorder="1" applyAlignment="1">
      <alignment wrapText="1"/>
    </xf>
    <xf numFmtId="0" fontId="0" fillId="0" borderId="11" xfId="0" applyBorder="1" applyAlignment="1">
      <alignment wrapText="1"/>
    </xf>
    <xf numFmtId="0" fontId="0" fillId="52" borderId="10" xfId="0" applyFill="1" applyBorder="1" applyAlignment="1">
      <alignment horizontal="left" vertical="center" wrapText="1"/>
    </xf>
    <xf numFmtId="0" fontId="0" fillId="52" borderId="0" xfId="0" applyFill="1" applyBorder="1" applyAlignment="1">
      <alignment horizontal="left" vertical="center" wrapText="1"/>
    </xf>
    <xf numFmtId="0" fontId="0" fillId="0" borderId="0" xfId="0" applyBorder="1" applyAlignment="1">
      <alignment horizontal="left" vertical="center" wrapText="1"/>
    </xf>
    <xf numFmtId="0" fontId="0" fillId="0" borderId="11" xfId="0" applyBorder="1" applyAlignment="1">
      <alignment horizontal="left" vertical="center" wrapText="1"/>
    </xf>
    <xf numFmtId="0" fontId="0" fillId="28" borderId="107" xfId="0" applyFill="1" applyBorder="1" applyAlignment="1">
      <alignment horizontal="right" wrapText="1"/>
    </xf>
    <xf numFmtId="0" fontId="0" fillId="28" borderId="108" xfId="0" applyFill="1" applyBorder="1" applyAlignment="1">
      <alignment horizontal="right" wrapText="1"/>
    </xf>
    <xf numFmtId="0" fontId="0" fillId="28" borderId="109" xfId="0" applyFill="1" applyBorder="1" applyAlignment="1">
      <alignment horizontal="right" wrapText="1"/>
    </xf>
    <xf numFmtId="0" fontId="0" fillId="36" borderId="93" xfId="0" applyFill="1" applyBorder="1" applyAlignment="1">
      <alignment horizontal="center" wrapText="1"/>
    </xf>
    <xf numFmtId="0" fontId="0" fillId="36" borderId="106" xfId="0" applyFill="1" applyBorder="1" applyAlignment="1">
      <alignment horizontal="center" wrapText="1"/>
    </xf>
    <xf numFmtId="0" fontId="0" fillId="36" borderId="88" xfId="0" applyFill="1" applyBorder="1" applyAlignment="1">
      <alignment horizontal="center" wrapText="1"/>
    </xf>
    <xf numFmtId="0" fontId="44" fillId="29" borderId="16" xfId="0" applyFont="1" applyFill="1" applyBorder="1" applyAlignment="1">
      <alignment horizontal="center" vertical="center"/>
    </xf>
    <xf numFmtId="0" fontId="44" fillId="29" borderId="32" xfId="0" applyFont="1" applyFill="1" applyBorder="1" applyAlignment="1">
      <alignment horizontal="center" vertical="center"/>
    </xf>
    <xf numFmtId="0" fontId="0" fillId="0" borderId="32" xfId="0" applyBorder="1" applyAlignment="1">
      <alignment horizontal="center" vertical="center"/>
    </xf>
    <xf numFmtId="0" fontId="0" fillId="0" borderId="63" xfId="0" applyBorder="1" applyAlignment="1">
      <alignment horizontal="center" vertical="center"/>
    </xf>
    <xf numFmtId="0" fontId="0" fillId="25" borderId="59" xfId="0" quotePrefix="1" applyFill="1" applyBorder="1" applyAlignment="1">
      <alignment horizontal="left" vertical="top" wrapText="1"/>
    </xf>
    <xf numFmtId="0" fontId="0" fillId="25" borderId="33" xfId="0" quotePrefix="1" applyFill="1" applyBorder="1" applyAlignment="1">
      <alignment horizontal="left" vertical="top" wrapText="1"/>
    </xf>
    <xf numFmtId="0" fontId="0" fillId="0" borderId="33" xfId="0" applyBorder="1" applyAlignment="1">
      <alignment vertical="top" wrapText="1"/>
    </xf>
    <xf numFmtId="0" fontId="0" fillId="0" borderId="26" xfId="0" applyBorder="1" applyAlignment="1">
      <alignment vertical="top" wrapText="1"/>
    </xf>
    <xf numFmtId="0" fontId="44" fillId="36" borderId="62" xfId="0" quotePrefix="1" applyFont="1" applyFill="1" applyBorder="1" applyAlignment="1">
      <alignment horizontal="center" vertical="center"/>
    </xf>
    <xf numFmtId="0" fontId="44" fillId="36" borderId="66" xfId="0" quotePrefix="1" applyFont="1" applyFill="1"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25" borderId="10" xfId="0" quotePrefix="1" applyFill="1" applyBorder="1" applyAlignment="1">
      <alignment horizontal="left" vertical="center" wrapText="1"/>
    </xf>
    <xf numFmtId="0" fontId="0" fillId="25" borderId="0" xfId="0" quotePrefix="1" applyFill="1" applyBorder="1" applyAlignment="1">
      <alignment horizontal="left" vertical="center" wrapText="1"/>
    </xf>
    <xf numFmtId="0" fontId="2" fillId="26" borderId="17" xfId="0" applyFont="1" applyFill="1" applyBorder="1" applyAlignment="1">
      <alignment horizontal="right" wrapText="1"/>
    </xf>
    <xf numFmtId="0" fontId="0" fillId="0" borderId="28" xfId="0" applyBorder="1" applyAlignment="1">
      <alignment horizontal="right" wrapText="1"/>
    </xf>
    <xf numFmtId="0" fontId="2" fillId="26" borderId="29" xfId="0" applyFont="1" applyFill="1" applyBorder="1" applyAlignment="1">
      <alignment horizontal="right" wrapText="1"/>
    </xf>
    <xf numFmtId="0" fontId="0" fillId="0" borderId="30" xfId="0" applyBorder="1" applyAlignment="1">
      <alignment horizontal="right" wrapText="1"/>
    </xf>
    <xf numFmtId="0" fontId="0" fillId="0" borderId="88" xfId="0" applyBorder="1" applyAlignment="1">
      <alignment horizontal="center" vertical="center" wrapText="1"/>
    </xf>
    <xf numFmtId="0" fontId="0" fillId="25" borderId="10" xfId="0" quotePrefix="1" applyFill="1" applyBorder="1" applyAlignment="1">
      <alignment horizontal="left" vertical="top" wrapText="1"/>
    </xf>
    <xf numFmtId="0" fontId="0" fillId="25" borderId="0" xfId="0" quotePrefix="1" applyFill="1" applyBorder="1" applyAlignment="1">
      <alignment horizontal="left" vertical="top" wrapText="1"/>
    </xf>
    <xf numFmtId="0" fontId="0" fillId="0" borderId="21" xfId="0" applyBorder="1" applyAlignment="1">
      <alignment vertical="top" wrapText="1"/>
    </xf>
    <xf numFmtId="0" fontId="0" fillId="0" borderId="11" xfId="0" applyBorder="1" applyAlignment="1">
      <alignment vertical="top" wrapText="1"/>
    </xf>
    <xf numFmtId="0" fontId="47" fillId="26" borderId="62" xfId="0" applyFont="1" applyFill="1" applyBorder="1" applyAlignment="1">
      <alignment horizontal="center" vertical="center"/>
    </xf>
    <xf numFmtId="0" fontId="47" fillId="26" borderId="66" xfId="0" applyFont="1" applyFill="1" applyBorder="1" applyAlignment="1">
      <alignment horizontal="center" vertical="center"/>
    </xf>
    <xf numFmtId="0" fontId="47" fillId="26" borderId="42" xfId="0" applyFont="1" applyFill="1" applyBorder="1" applyAlignment="1">
      <alignment horizontal="center" vertical="center"/>
    </xf>
    <xf numFmtId="0" fontId="0" fillId="28" borderId="104" xfId="0" quotePrefix="1" applyFill="1" applyBorder="1" applyAlignment="1" applyProtection="1">
      <alignment horizontal="right" wrapText="1"/>
      <protection locked="0"/>
    </xf>
    <xf numFmtId="0" fontId="0" fillId="28" borderId="105" xfId="0" quotePrefix="1" applyFill="1" applyBorder="1" applyAlignment="1" applyProtection="1">
      <alignment horizontal="right" wrapText="1"/>
      <protection locked="0"/>
    </xf>
    <xf numFmtId="0" fontId="0" fillId="28" borderId="105" xfId="0" applyFill="1" applyBorder="1" applyAlignment="1" applyProtection="1">
      <alignment horizontal="right" wrapText="1"/>
      <protection locked="0"/>
    </xf>
    <xf numFmtId="0" fontId="0" fillId="28" borderId="103" xfId="0" applyFill="1" applyBorder="1" applyAlignment="1" applyProtection="1">
      <alignment horizontal="right" wrapText="1"/>
      <protection locked="0"/>
    </xf>
    <xf numFmtId="0" fontId="47" fillId="26" borderId="29" xfId="0" applyFont="1" applyFill="1" applyBorder="1" applyAlignment="1">
      <alignment horizontal="center" wrapText="1"/>
    </xf>
    <xf numFmtId="0" fontId="47" fillId="26" borderId="30" xfId="0" applyFont="1" applyFill="1" applyBorder="1" applyAlignment="1">
      <alignment horizontal="center" wrapText="1"/>
    </xf>
    <xf numFmtId="37" fontId="52" fillId="25" borderId="85" xfId="29" applyNumberFormat="1" applyFont="1" applyFill="1" applyBorder="1" applyAlignment="1" applyProtection="1">
      <alignment horizontal="center" vertical="center" wrapText="1"/>
      <protection locked="0"/>
    </xf>
    <xf numFmtId="37" fontId="52" fillId="25" borderId="103" xfId="29" applyNumberFormat="1" applyFont="1" applyFill="1" applyBorder="1" applyAlignment="1" applyProtection="1">
      <alignment horizontal="center" vertical="center" wrapText="1"/>
      <protection locked="0"/>
    </xf>
    <xf numFmtId="0" fontId="0" fillId="0" borderId="20" xfId="0" applyBorder="1" applyAlignment="1">
      <alignment horizontal="center"/>
    </xf>
    <xf numFmtId="37" fontId="52" fillId="25" borderId="104" xfId="29" applyNumberFormat="1" applyFont="1" applyFill="1" applyBorder="1" applyAlignment="1" applyProtection="1">
      <alignment horizontal="center" vertical="center" wrapText="1"/>
      <protection locked="0"/>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47" fillId="26" borderId="16" xfId="0" quotePrefix="1" applyFont="1" applyFill="1" applyBorder="1" applyAlignment="1">
      <alignment horizontal="center" wrapText="1"/>
    </xf>
    <xf numFmtId="0" fontId="0" fillId="0" borderId="20" xfId="0" applyBorder="1" applyAlignment="1">
      <alignment horizontal="center" wrapText="1"/>
    </xf>
    <xf numFmtId="0" fontId="64" fillId="0" borderId="62" xfId="0" quotePrefix="1" applyFont="1" applyBorder="1" applyAlignment="1">
      <alignment horizontal="center" vertical="center" wrapText="1"/>
    </xf>
    <xf numFmtId="0" fontId="64" fillId="0" borderId="66" xfId="0" quotePrefix="1" applyFont="1" applyBorder="1" applyAlignment="1">
      <alignment horizontal="center" vertical="center" wrapText="1"/>
    </xf>
    <xf numFmtId="0" fontId="47" fillId="26" borderId="31" xfId="0" applyFont="1" applyFill="1" applyBorder="1" applyAlignment="1">
      <alignment horizontal="right" wrapText="1"/>
    </xf>
    <xf numFmtId="0" fontId="47" fillId="26" borderId="20" xfId="0" applyFont="1" applyFill="1" applyBorder="1" applyAlignment="1">
      <alignment horizontal="right" wrapText="1"/>
    </xf>
    <xf numFmtId="0" fontId="0" fillId="25" borderId="0" xfId="0" applyFill="1" applyBorder="1" applyAlignment="1">
      <alignment horizontal="left" vertical="center" wrapText="1" indent="4"/>
    </xf>
    <xf numFmtId="0" fontId="0" fillId="0" borderId="0" xfId="0" applyAlignment="1">
      <alignment horizontal="left" wrapText="1" indent="4"/>
    </xf>
    <xf numFmtId="0" fontId="0" fillId="35" borderId="0" xfId="0" applyFill="1" applyBorder="1" applyAlignment="1">
      <alignment horizontal="right" wrapText="1"/>
    </xf>
    <xf numFmtId="0" fontId="0" fillId="35" borderId="28" xfId="0" applyFill="1" applyBorder="1" applyAlignment="1">
      <alignment horizontal="right" wrapText="1"/>
    </xf>
    <xf numFmtId="14" fontId="0" fillId="0" borderId="31" xfId="0" applyNumberFormat="1" applyFill="1" applyBorder="1" applyAlignment="1" applyProtection="1">
      <alignment horizontal="center" wrapText="1"/>
    </xf>
    <xf numFmtId="0" fontId="0" fillId="0" borderId="32" xfId="0" applyFill="1" applyBorder="1" applyAlignment="1" applyProtection="1">
      <alignment horizontal="center" wrapText="1"/>
    </xf>
    <xf numFmtId="0" fontId="0" fillId="0" borderId="20" xfId="0" applyFill="1" applyBorder="1" applyAlignment="1" applyProtection="1">
      <alignment horizontal="center" wrapText="1"/>
    </xf>
    <xf numFmtId="0" fontId="0" fillId="35" borderId="10" xfId="0" applyFill="1" applyBorder="1" applyAlignment="1">
      <alignment horizontal="right" wrapText="1"/>
    </xf>
    <xf numFmtId="0" fontId="0" fillId="0" borderId="0" xfId="0" applyAlignment="1">
      <alignment horizontal="right" wrapText="1"/>
    </xf>
    <xf numFmtId="0" fontId="72" fillId="31" borderId="31" xfId="0" applyFont="1" applyFill="1" applyBorder="1" applyAlignment="1">
      <alignment horizontal="left"/>
    </xf>
    <xf numFmtId="0" fontId="72" fillId="31" borderId="32" xfId="0" applyFont="1" applyFill="1" applyBorder="1" applyAlignment="1">
      <alignment horizontal="left"/>
    </xf>
    <xf numFmtId="0" fontId="72" fillId="31" borderId="20" xfId="0" applyFont="1" applyFill="1" applyBorder="1" applyAlignment="1">
      <alignment horizontal="left"/>
    </xf>
    <xf numFmtId="0" fontId="0" fillId="0" borderId="31" xfId="0" applyFill="1" applyBorder="1" applyAlignment="1">
      <alignment horizontal="center"/>
    </xf>
    <xf numFmtId="0" fontId="0" fillId="0" borderId="32" xfId="0" applyFill="1" applyBorder="1" applyAlignment="1">
      <alignment horizontal="center"/>
    </xf>
    <xf numFmtId="0" fontId="0" fillId="0" borderId="20" xfId="0" applyFill="1" applyBorder="1" applyAlignment="1">
      <alignment horizontal="center"/>
    </xf>
    <xf numFmtId="0" fontId="0" fillId="0" borderId="31" xfId="0" applyBorder="1" applyAlignment="1">
      <alignment wrapText="1"/>
    </xf>
    <xf numFmtId="0" fontId="0" fillId="0" borderId="32" xfId="0" applyBorder="1" applyAlignment="1">
      <alignment wrapText="1"/>
    </xf>
    <xf numFmtId="0" fontId="0" fillId="0" borderId="20" xfId="0" applyBorder="1" applyAlignment="1">
      <alignment wrapText="1"/>
    </xf>
    <xf numFmtId="0" fontId="0" fillId="0" borderId="32" xfId="0" applyBorder="1" applyAlignment="1"/>
    <xf numFmtId="0" fontId="3" fillId="25" borderId="14" xfId="0" applyFont="1" applyFill="1" applyBorder="1" applyAlignment="1">
      <alignment horizontal="center"/>
    </xf>
  </cellXfs>
  <cellStyles count="202">
    <cellStyle name="20% - Accent1 2" xfId="1" xr:uid="{00000000-0005-0000-0000-000000000000}"/>
    <cellStyle name="20% - Accent1 2 2" xfId="191" xr:uid="{00000000-0005-0000-0000-000001000000}"/>
    <cellStyle name="20% - Accent2 2" xfId="2" xr:uid="{00000000-0005-0000-0000-000002000000}"/>
    <cellStyle name="20% - Accent2 2 2" xfId="187" xr:uid="{00000000-0005-0000-0000-000003000000}"/>
    <cellStyle name="20% - Accent3 2" xfId="3" xr:uid="{00000000-0005-0000-0000-000004000000}"/>
    <cellStyle name="20% - Accent3 2 2" xfId="158" xr:uid="{00000000-0005-0000-0000-000005000000}"/>
    <cellStyle name="20% - Accent4 2" xfId="4" xr:uid="{00000000-0005-0000-0000-000006000000}"/>
    <cellStyle name="20% - Accent4 2 2" xfId="153" xr:uid="{00000000-0005-0000-0000-000007000000}"/>
    <cellStyle name="20% - Accent5 2" xfId="5" xr:uid="{00000000-0005-0000-0000-000008000000}"/>
    <cellStyle name="20% - Accent5 2 2" xfId="154" xr:uid="{00000000-0005-0000-0000-000009000000}"/>
    <cellStyle name="20% - Accent6 2" xfId="6" xr:uid="{00000000-0005-0000-0000-00000A000000}"/>
    <cellStyle name="20% - Accent6 2 2" xfId="192" xr:uid="{00000000-0005-0000-0000-00000B000000}"/>
    <cellStyle name="40% - Accent1 2" xfId="7" xr:uid="{00000000-0005-0000-0000-00000C000000}"/>
    <cellStyle name="40% - Accent1 2 2" xfId="165" xr:uid="{00000000-0005-0000-0000-00000D000000}"/>
    <cellStyle name="40% - Accent2 2" xfId="8" xr:uid="{00000000-0005-0000-0000-00000E000000}"/>
    <cellStyle name="40% - Accent2 2 2" xfId="167" xr:uid="{00000000-0005-0000-0000-00000F000000}"/>
    <cellStyle name="40% - Accent3 2" xfId="9" xr:uid="{00000000-0005-0000-0000-000010000000}"/>
    <cellStyle name="40% - Accent3 2 2" xfId="178" xr:uid="{00000000-0005-0000-0000-000011000000}"/>
    <cellStyle name="40% - Accent4 2" xfId="10" xr:uid="{00000000-0005-0000-0000-000012000000}"/>
    <cellStyle name="40% - Accent4 2 2" xfId="190" xr:uid="{00000000-0005-0000-0000-000013000000}"/>
    <cellStyle name="40% - Accent5 2" xfId="11" xr:uid="{00000000-0005-0000-0000-000014000000}"/>
    <cellStyle name="40% - Accent5 2 2" xfId="164" xr:uid="{00000000-0005-0000-0000-000015000000}"/>
    <cellStyle name="40% - Accent6 2" xfId="12" xr:uid="{00000000-0005-0000-0000-000016000000}"/>
    <cellStyle name="40% - Accent6 2 2" xfId="151" xr:uid="{00000000-0005-0000-0000-000017000000}"/>
    <cellStyle name="60% - Accent1 2" xfId="13" xr:uid="{00000000-0005-0000-0000-000018000000}"/>
    <cellStyle name="60% - Accent1 2 2" xfId="117" xr:uid="{00000000-0005-0000-0000-000019000000}"/>
    <cellStyle name="60% - Accent1 2 3" xfId="180" xr:uid="{00000000-0005-0000-0000-00001A000000}"/>
    <cellStyle name="60% - Accent2 2" xfId="14" xr:uid="{00000000-0005-0000-0000-00001B000000}"/>
    <cellStyle name="60% - Accent2 2 2" xfId="118" xr:uid="{00000000-0005-0000-0000-00001C000000}"/>
    <cellStyle name="60% - Accent2 2 3" xfId="183" xr:uid="{00000000-0005-0000-0000-00001D000000}"/>
    <cellStyle name="60% - Accent3 2" xfId="15" xr:uid="{00000000-0005-0000-0000-00001E000000}"/>
    <cellStyle name="60% - Accent3 2 2" xfId="119" xr:uid="{00000000-0005-0000-0000-00001F000000}"/>
    <cellStyle name="60% - Accent3 2 3" xfId="156" xr:uid="{00000000-0005-0000-0000-000020000000}"/>
    <cellStyle name="60% - Accent4 2" xfId="16" xr:uid="{00000000-0005-0000-0000-000021000000}"/>
    <cellStyle name="60% - Accent4 2 2" xfId="120" xr:uid="{00000000-0005-0000-0000-000022000000}"/>
    <cellStyle name="60% - Accent4 2 3" xfId="197" xr:uid="{00000000-0005-0000-0000-000023000000}"/>
    <cellStyle name="60% - Accent5 2" xfId="17" xr:uid="{00000000-0005-0000-0000-000024000000}"/>
    <cellStyle name="60% - Accent5 2 2" xfId="121" xr:uid="{00000000-0005-0000-0000-000025000000}"/>
    <cellStyle name="60% - Accent5 2 3" xfId="199" xr:uid="{00000000-0005-0000-0000-000026000000}"/>
    <cellStyle name="60% - Accent6 2" xfId="18" xr:uid="{00000000-0005-0000-0000-000027000000}"/>
    <cellStyle name="60% - Accent6 2 2" xfId="122" xr:uid="{00000000-0005-0000-0000-000028000000}"/>
    <cellStyle name="60% - Accent6 2 3" xfId="196" xr:uid="{00000000-0005-0000-0000-000029000000}"/>
    <cellStyle name="Accent1 2" xfId="19" xr:uid="{00000000-0005-0000-0000-00002A000000}"/>
    <cellStyle name="Accent1 2 2" xfId="123" xr:uid="{00000000-0005-0000-0000-00002B000000}"/>
    <cellStyle name="Accent1 2 3" xfId="171" xr:uid="{00000000-0005-0000-0000-00002C000000}"/>
    <cellStyle name="Accent2 2" xfId="20" xr:uid="{00000000-0005-0000-0000-00002D000000}"/>
    <cellStyle name="Accent2 2 2" xfId="124" xr:uid="{00000000-0005-0000-0000-00002E000000}"/>
    <cellStyle name="Accent2 2 3" xfId="146" xr:uid="{00000000-0005-0000-0000-00002F000000}"/>
    <cellStyle name="Accent3 2" xfId="21" xr:uid="{00000000-0005-0000-0000-000030000000}"/>
    <cellStyle name="Accent3 2 2" xfId="125" xr:uid="{00000000-0005-0000-0000-000031000000}"/>
    <cellStyle name="Accent3 2 3" xfId="200" xr:uid="{00000000-0005-0000-0000-000032000000}"/>
    <cellStyle name="Accent4 2" xfId="22" xr:uid="{00000000-0005-0000-0000-000033000000}"/>
    <cellStyle name="Accent4 2 2" xfId="126" xr:uid="{00000000-0005-0000-0000-000034000000}"/>
    <cellStyle name="Accent4 2 3" xfId="181" xr:uid="{00000000-0005-0000-0000-000035000000}"/>
    <cellStyle name="Accent5 2" xfId="23" xr:uid="{00000000-0005-0000-0000-000036000000}"/>
    <cellStyle name="Accent5 2 2" xfId="127" xr:uid="{00000000-0005-0000-0000-000037000000}"/>
    <cellStyle name="Accent5 2 3" xfId="168" xr:uid="{00000000-0005-0000-0000-000038000000}"/>
    <cellStyle name="Accent6 2" xfId="24" xr:uid="{00000000-0005-0000-0000-000039000000}"/>
    <cellStyle name="Accent6 2 2" xfId="128" xr:uid="{00000000-0005-0000-0000-00003A000000}"/>
    <cellStyle name="Accent6 2 3" xfId="170" xr:uid="{00000000-0005-0000-0000-00003B000000}"/>
    <cellStyle name="Bad" xfId="25" builtinId="27"/>
    <cellStyle name="Bad 2" xfId="26" xr:uid="{00000000-0005-0000-0000-00003D000000}"/>
    <cellStyle name="Bad 2 2" xfId="160" xr:uid="{00000000-0005-0000-0000-00003E000000}"/>
    <cellStyle name="Calculation 2" xfId="27" xr:uid="{00000000-0005-0000-0000-00003F000000}"/>
    <cellStyle name="Calculation 2 2" xfId="184" xr:uid="{00000000-0005-0000-0000-000040000000}"/>
    <cellStyle name="Check Cell 2" xfId="28" xr:uid="{00000000-0005-0000-0000-000041000000}"/>
    <cellStyle name="Check Cell 2 2" xfId="152" xr:uid="{00000000-0005-0000-0000-000042000000}"/>
    <cellStyle name="Comma" xfId="29" builtinId="3"/>
    <cellStyle name="Comma 2" xfId="30" xr:uid="{00000000-0005-0000-0000-000044000000}"/>
    <cellStyle name="Comma 2 2" xfId="31" xr:uid="{00000000-0005-0000-0000-000045000000}"/>
    <cellStyle name="Comma 2 2 2" xfId="161" xr:uid="{00000000-0005-0000-0000-000046000000}"/>
    <cellStyle name="Comma 2 2 3" xfId="194" xr:uid="{00000000-0005-0000-0000-000047000000}"/>
    <cellStyle name="Comma 2 3" xfId="32" xr:uid="{00000000-0005-0000-0000-000048000000}"/>
    <cellStyle name="Comma 2 3 2" xfId="169" xr:uid="{00000000-0005-0000-0000-000049000000}"/>
    <cellStyle name="Comma 2 4" xfId="195" xr:uid="{00000000-0005-0000-0000-00004A000000}"/>
    <cellStyle name="Comma 3" xfId="33" xr:uid="{00000000-0005-0000-0000-00004B000000}"/>
    <cellStyle name="Comma 3 2" xfId="177" xr:uid="{00000000-0005-0000-0000-00004C000000}"/>
    <cellStyle name="Comma 4" xfId="34" xr:uid="{00000000-0005-0000-0000-00004D000000}"/>
    <cellStyle name="Comma 5" xfId="182" xr:uid="{00000000-0005-0000-0000-00004E000000}"/>
    <cellStyle name="Currency" xfId="35" builtinId="4"/>
    <cellStyle name="Currency 2" xfId="36" xr:uid="{00000000-0005-0000-0000-000050000000}"/>
    <cellStyle name="Currency 2 2" xfId="37" xr:uid="{00000000-0005-0000-0000-000051000000}"/>
    <cellStyle name="Currency 2 2 2" xfId="100" xr:uid="{00000000-0005-0000-0000-000052000000}"/>
    <cellStyle name="Currency 2 2 2 2" xfId="147" xr:uid="{00000000-0005-0000-0000-000053000000}"/>
    <cellStyle name="Currency 2 2 3" xfId="149" xr:uid="{00000000-0005-0000-0000-000054000000}"/>
    <cellStyle name="Currency 2 2 4" xfId="155" xr:uid="{00000000-0005-0000-0000-000055000000}"/>
    <cellStyle name="Currency 2 3" xfId="82" xr:uid="{00000000-0005-0000-0000-000056000000}"/>
    <cellStyle name="Currency 2 3 2" xfId="108" xr:uid="{00000000-0005-0000-0000-000057000000}"/>
    <cellStyle name="Currency 2 3 3" xfId="114" xr:uid="{00000000-0005-0000-0000-000058000000}"/>
    <cellStyle name="Currency 2 4" xfId="83" xr:uid="{00000000-0005-0000-0000-000059000000}"/>
    <cellStyle name="Currency 2 5" xfId="99" xr:uid="{00000000-0005-0000-0000-00005A000000}"/>
    <cellStyle name="Currency 2 6" xfId="129" xr:uid="{00000000-0005-0000-0000-00005B000000}"/>
    <cellStyle name="Currency 3" xfId="38" xr:uid="{00000000-0005-0000-0000-00005C000000}"/>
    <cellStyle name="Currency 3 2" xfId="98" xr:uid="{00000000-0005-0000-0000-00005D000000}"/>
    <cellStyle name="Currency 3 3" xfId="84" xr:uid="{00000000-0005-0000-0000-00005E000000}"/>
    <cellStyle name="Currency 4" xfId="145" xr:uid="{00000000-0005-0000-0000-00005F000000}"/>
    <cellStyle name="Currency 6" xfId="85" xr:uid="{00000000-0005-0000-0000-000060000000}"/>
    <cellStyle name="Excel Built-in Currency" xfId="107" xr:uid="{00000000-0005-0000-0000-000061000000}"/>
    <cellStyle name="Excel Built-in Percent" xfId="106" xr:uid="{00000000-0005-0000-0000-000062000000}"/>
    <cellStyle name="Explanatory Text 2" xfId="39" xr:uid="{00000000-0005-0000-0000-000063000000}"/>
    <cellStyle name="Explanatory Text 2 2" xfId="201" xr:uid="{00000000-0005-0000-0000-000064000000}"/>
    <cellStyle name="glossary" xfId="113" xr:uid="{00000000-0005-0000-0000-000065000000}"/>
    <cellStyle name="Good" xfId="40" builtinId="26"/>
    <cellStyle name="Good 2" xfId="41" xr:uid="{00000000-0005-0000-0000-000067000000}"/>
    <cellStyle name="Good 2 2" xfId="176" xr:uid="{00000000-0005-0000-0000-000068000000}"/>
    <cellStyle name="Heading" xfId="105" xr:uid="{00000000-0005-0000-0000-000069000000}"/>
    <cellStyle name="Heading 1 2" xfId="42" xr:uid="{00000000-0005-0000-0000-00006A000000}"/>
    <cellStyle name="Heading 1 2 2" xfId="173" xr:uid="{00000000-0005-0000-0000-00006B000000}"/>
    <cellStyle name="Heading 2 2" xfId="43" xr:uid="{00000000-0005-0000-0000-00006C000000}"/>
    <cellStyle name="Heading 2 2 2" xfId="189" xr:uid="{00000000-0005-0000-0000-00006D000000}"/>
    <cellStyle name="Heading 3 2" xfId="44" xr:uid="{00000000-0005-0000-0000-00006E000000}"/>
    <cellStyle name="Heading 3 2 2" xfId="179" xr:uid="{00000000-0005-0000-0000-00006F000000}"/>
    <cellStyle name="Heading 4 2" xfId="45" xr:uid="{00000000-0005-0000-0000-000070000000}"/>
    <cellStyle name="Heading 4 2 2" xfId="193" xr:uid="{00000000-0005-0000-0000-000071000000}"/>
    <cellStyle name="Heading1" xfId="104" xr:uid="{00000000-0005-0000-0000-000072000000}"/>
    <cellStyle name="Hyperlink" xfId="46" builtinId="8"/>
    <cellStyle name="Hyperlink 2" xfId="47" xr:uid="{00000000-0005-0000-0000-000074000000}"/>
    <cellStyle name="Hyperlink 2 2" xfId="103" xr:uid="{00000000-0005-0000-0000-000075000000}"/>
    <cellStyle name="Hyperlink 3" xfId="48" xr:uid="{00000000-0005-0000-0000-000076000000}"/>
    <cellStyle name="Hyperlink 3 2" xfId="101" xr:uid="{00000000-0005-0000-0000-000077000000}"/>
    <cellStyle name="Hyperlink 4" xfId="49" xr:uid="{00000000-0005-0000-0000-000078000000}"/>
    <cellStyle name="Hyperlink 4 2" xfId="109" xr:uid="{00000000-0005-0000-0000-000079000000}"/>
    <cellStyle name="Hyperlink 5" xfId="50" xr:uid="{00000000-0005-0000-0000-00007A000000}"/>
    <cellStyle name="Hyperlink 6" xfId="130" xr:uid="{00000000-0005-0000-0000-00007B000000}"/>
    <cellStyle name="Input 2" xfId="51" xr:uid="{00000000-0005-0000-0000-00007C000000}"/>
    <cellStyle name="Input 2 2" xfId="174" xr:uid="{00000000-0005-0000-0000-00007D000000}"/>
    <cellStyle name="Linked Cell 2" xfId="52" xr:uid="{00000000-0005-0000-0000-00007E000000}"/>
    <cellStyle name="Linked Cell 2 2" xfId="198" xr:uid="{00000000-0005-0000-0000-00007F000000}"/>
    <cellStyle name="Neutral 2" xfId="53" xr:uid="{00000000-0005-0000-0000-000080000000}"/>
    <cellStyle name="Neutral 2 2" xfId="185" xr:uid="{00000000-0005-0000-0000-000081000000}"/>
    <cellStyle name="Normal" xfId="0" builtinId="0"/>
    <cellStyle name="Normal 10" xfId="86" xr:uid="{00000000-0005-0000-0000-000083000000}"/>
    <cellStyle name="Normal 11" xfId="172" xr:uid="{00000000-0005-0000-0000-000084000000}"/>
    <cellStyle name="Normal 2" xfId="54" xr:uid="{00000000-0005-0000-0000-000085000000}"/>
    <cellStyle name="Normal 2 2" xfId="55" xr:uid="{00000000-0005-0000-0000-000086000000}"/>
    <cellStyle name="Normal 2 2 2" xfId="56" xr:uid="{00000000-0005-0000-0000-000087000000}"/>
    <cellStyle name="Normal 2 2 2 2" xfId="132" xr:uid="{00000000-0005-0000-0000-000088000000}"/>
    <cellStyle name="Normal 2 2 2 3" xfId="110" xr:uid="{00000000-0005-0000-0000-000089000000}"/>
    <cellStyle name="Normal 2 2 2 4" xfId="148" xr:uid="{00000000-0005-0000-0000-00008A000000}"/>
    <cellStyle name="Normal 2 2 3" xfId="57" xr:uid="{00000000-0005-0000-0000-00008B000000}"/>
    <cellStyle name="Normal 2 2 3 2" xfId="133" xr:uid="{00000000-0005-0000-0000-00008C000000}"/>
    <cellStyle name="Normal 2 2 3 3" xfId="115" xr:uid="{00000000-0005-0000-0000-00008D000000}"/>
    <cellStyle name="Normal 2 2 4" xfId="131" xr:uid="{00000000-0005-0000-0000-00008E000000}"/>
    <cellStyle name="Normal 2 2 5" xfId="87" xr:uid="{00000000-0005-0000-0000-00008F000000}"/>
    <cellStyle name="Normal 2 3" xfId="58" xr:uid="{00000000-0005-0000-0000-000090000000}"/>
    <cellStyle name="Normal 2 3 2" xfId="134" xr:uid="{00000000-0005-0000-0000-000091000000}"/>
    <cellStyle name="Normal 2 3 2 2" xfId="175" xr:uid="{00000000-0005-0000-0000-000092000000}"/>
    <cellStyle name="Normal 2 3 3" xfId="88" xr:uid="{00000000-0005-0000-0000-000093000000}"/>
    <cellStyle name="Normal 2 3 4" xfId="166" xr:uid="{00000000-0005-0000-0000-000094000000}"/>
    <cellStyle name="Normal 2 4" xfId="59" xr:uid="{00000000-0005-0000-0000-000095000000}"/>
    <cellStyle name="Normal 2 4 2" xfId="162" xr:uid="{00000000-0005-0000-0000-000096000000}"/>
    <cellStyle name="Normal 2 5" xfId="60" xr:uid="{00000000-0005-0000-0000-000097000000}"/>
    <cellStyle name="Normal 2 5 2" xfId="163" xr:uid="{00000000-0005-0000-0000-000098000000}"/>
    <cellStyle name="Normal 2_Vehicles Requested" xfId="61" xr:uid="{00000000-0005-0000-0000-000099000000}"/>
    <cellStyle name="Normal 3" xfId="62" xr:uid="{00000000-0005-0000-0000-00009A000000}"/>
    <cellStyle name="Normal 3 2" xfId="63" xr:uid="{00000000-0005-0000-0000-00009B000000}"/>
    <cellStyle name="Normal 3 2 2" xfId="136" xr:uid="{00000000-0005-0000-0000-00009C000000}"/>
    <cellStyle name="Normal 3 2 3" xfId="102" xr:uid="{00000000-0005-0000-0000-00009D000000}"/>
    <cellStyle name="Normal 3 3" xfId="64" xr:uid="{00000000-0005-0000-0000-00009E000000}"/>
    <cellStyle name="Normal 3 3 2" xfId="137" xr:uid="{00000000-0005-0000-0000-00009F000000}"/>
    <cellStyle name="Normal 3 3 3" xfId="116" xr:uid="{00000000-0005-0000-0000-0000A0000000}"/>
    <cellStyle name="Normal 3 4" xfId="135" xr:uid="{00000000-0005-0000-0000-0000A1000000}"/>
    <cellStyle name="Normal 3 5" xfId="89" xr:uid="{00000000-0005-0000-0000-0000A2000000}"/>
    <cellStyle name="Normal 4" xfId="65" xr:uid="{00000000-0005-0000-0000-0000A3000000}"/>
    <cellStyle name="Normal 4 2" xfId="66" xr:uid="{00000000-0005-0000-0000-0000A4000000}"/>
    <cellStyle name="Normal 4 2 2" xfId="67" xr:uid="{00000000-0005-0000-0000-0000A5000000}"/>
    <cellStyle name="Normal 4 2 3" xfId="139" xr:uid="{00000000-0005-0000-0000-0000A6000000}"/>
    <cellStyle name="Normal 4 3" xfId="68" xr:uid="{00000000-0005-0000-0000-0000A7000000}"/>
    <cellStyle name="Normal 4 4" xfId="90" xr:uid="{00000000-0005-0000-0000-0000A8000000}"/>
    <cellStyle name="Normal 4 5" xfId="138" xr:uid="{00000000-0005-0000-0000-0000A9000000}"/>
    <cellStyle name="Normal 4 6" xfId="159" xr:uid="{00000000-0005-0000-0000-0000AA000000}"/>
    <cellStyle name="Normal 5" xfId="69" xr:uid="{00000000-0005-0000-0000-0000AB000000}"/>
    <cellStyle name="Normal 5 2" xfId="70" xr:uid="{00000000-0005-0000-0000-0000AC000000}"/>
    <cellStyle name="Normal 5 2 2" xfId="141" xr:uid="{00000000-0005-0000-0000-0000AD000000}"/>
    <cellStyle name="Normal 5 2 3" xfId="92" xr:uid="{00000000-0005-0000-0000-0000AE000000}"/>
    <cellStyle name="Normal 5 3" xfId="71" xr:uid="{00000000-0005-0000-0000-0000AF000000}"/>
    <cellStyle name="Normal 5 4" xfId="140" xr:uid="{00000000-0005-0000-0000-0000B0000000}"/>
    <cellStyle name="Normal 5 5" xfId="91" xr:uid="{00000000-0005-0000-0000-0000B1000000}"/>
    <cellStyle name="Normal 6" xfId="72" xr:uid="{00000000-0005-0000-0000-0000B2000000}"/>
    <cellStyle name="Normal 7" xfId="73" xr:uid="{00000000-0005-0000-0000-0000B3000000}"/>
    <cellStyle name="Normal 7 2" xfId="142" xr:uid="{00000000-0005-0000-0000-0000B4000000}"/>
    <cellStyle name="Normal 7 3" xfId="93" xr:uid="{00000000-0005-0000-0000-0000B5000000}"/>
    <cellStyle name="Normal 8" xfId="94" xr:uid="{00000000-0005-0000-0000-0000B6000000}"/>
    <cellStyle name="Normal 9" xfId="95" xr:uid="{00000000-0005-0000-0000-0000B7000000}"/>
    <cellStyle name="Note 2" xfId="74" xr:uid="{00000000-0005-0000-0000-0000B8000000}"/>
    <cellStyle name="Note 2 2" xfId="157" xr:uid="{00000000-0005-0000-0000-0000B9000000}"/>
    <cellStyle name="Note 3" xfId="75" xr:uid="{00000000-0005-0000-0000-0000BA000000}"/>
    <cellStyle name="Output 2" xfId="76" xr:uid="{00000000-0005-0000-0000-0000BB000000}"/>
    <cellStyle name="Output 2 2" xfId="186" xr:uid="{00000000-0005-0000-0000-0000BC000000}"/>
    <cellStyle name="Percent" xfId="77" builtinId="5"/>
    <cellStyle name="Percent 2" xfId="78" xr:uid="{00000000-0005-0000-0000-0000BE000000}"/>
    <cellStyle name="Percent 2 2" xfId="96" xr:uid="{00000000-0005-0000-0000-0000BF000000}"/>
    <cellStyle name="Percent 2 3" xfId="97" xr:uid="{00000000-0005-0000-0000-0000C0000000}"/>
    <cellStyle name="Result" xfId="111" xr:uid="{00000000-0005-0000-0000-0000C1000000}"/>
    <cellStyle name="Result2" xfId="112" xr:uid="{00000000-0005-0000-0000-0000C2000000}"/>
    <cellStyle name="Title" xfId="144" builtinId="15" customBuiltin="1"/>
    <cellStyle name="Title 2" xfId="79" xr:uid="{00000000-0005-0000-0000-0000C4000000}"/>
    <cellStyle name="Total 2" xfId="80" xr:uid="{00000000-0005-0000-0000-0000C5000000}"/>
    <cellStyle name="Total 2 2" xfId="143" xr:uid="{00000000-0005-0000-0000-0000C6000000}"/>
    <cellStyle name="Total 2 3" xfId="188" xr:uid="{00000000-0005-0000-0000-0000C7000000}"/>
    <cellStyle name="Warning Text 2" xfId="81" xr:uid="{00000000-0005-0000-0000-0000C8000000}"/>
    <cellStyle name="Warning Text 2 2" xfId="150" xr:uid="{00000000-0005-0000-0000-0000C9000000}"/>
  </cellStyles>
  <dxfs count="243">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auto="1"/>
      </font>
      <fill>
        <patternFill>
          <bgColor theme="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theme="4" tint="0.39994506668294322"/>
        </patternFill>
      </fill>
    </dxf>
    <dxf>
      <fill>
        <patternFill>
          <bgColor theme="7" tint="0.39994506668294322"/>
        </patternFill>
      </fill>
    </dxf>
    <dxf>
      <fill>
        <patternFill>
          <bgColor theme="2" tint="-0.24994659260841701"/>
        </patternFill>
      </fill>
    </dxf>
    <dxf>
      <fill>
        <patternFill>
          <bgColor theme="9" tint="-0.24994659260841701"/>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C000"/>
        </patternFill>
      </fill>
    </dxf>
    <dxf>
      <fill>
        <patternFill>
          <bgColor rgb="FFFFC000"/>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theme="9" tint="-0.24994659260841701"/>
        </patternFill>
      </fill>
    </dxf>
    <dxf>
      <fill>
        <patternFill>
          <bgColor theme="7" tint="-0.24994659260841701"/>
        </patternFill>
      </fill>
    </dxf>
    <dxf>
      <fill>
        <patternFill>
          <bgColor theme="4" tint="0.39994506668294322"/>
        </patternFill>
      </fill>
    </dxf>
    <dxf>
      <fill>
        <patternFill>
          <bgColor theme="4" tint="0.39994506668294322"/>
        </patternFill>
      </fill>
    </dxf>
    <dxf>
      <fill>
        <patternFill>
          <bgColor theme="7" tint="0.39994506668294322"/>
        </patternFill>
      </fill>
    </dxf>
    <dxf>
      <fill>
        <patternFill>
          <bgColor theme="2" tint="-0.24994659260841701"/>
        </patternFill>
      </fill>
    </dxf>
    <dxf>
      <fill>
        <patternFill>
          <bgColor theme="9" tint="-0.24994659260841701"/>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s>
  <tableStyles count="0" defaultTableStyle="TableStyleMedium2" defaultPivotStyle="PivotStyleLight16"/>
  <colors>
    <mruColors>
      <color rgb="FFFFFFCC"/>
      <color rgb="FF0000FF"/>
      <color rgb="FFCCECFF"/>
      <color rgb="FFFFCCCC"/>
      <color rgb="FFB2B2B2"/>
      <color rgb="FFCCFFCC"/>
      <color rgb="FFFFCCFF"/>
      <color rgb="FFCC99FF"/>
      <color rgb="FFCCC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jpeg"/><Relationship Id="rId1" Type="http://schemas.openxmlformats.org/officeDocument/2006/relationships/image" Target="../media/image6.jpeg"/><Relationship Id="rId5" Type="http://schemas.openxmlformats.org/officeDocument/2006/relationships/image" Target="cid:image001.jpg@01D21275.49A32D30" TargetMode="External"/><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cid:image001.jpg@01D21275.49A32D30" TargetMode="External"/><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cid:image001.jpg@01D21275.49A32D30" TargetMode="External"/><Relationship Id="rId2" Type="http://schemas.openxmlformats.org/officeDocument/2006/relationships/image" Target="../media/image4.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cid:image001.jpg@01D21275.49A32D30" TargetMode="External"/><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cid:image001.jpg@01D21275.49A32D30" TargetMode="External"/><Relationship Id="rId2" Type="http://schemas.openxmlformats.org/officeDocument/2006/relationships/image" Target="../media/image4.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cid:image001.jpg@01D21275.49A32D30" TargetMode="External"/><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cid:image001.jpg@01D21275.49A32D30" TargetMode="External"/><Relationship Id="rId2" Type="http://schemas.openxmlformats.org/officeDocument/2006/relationships/image" Target="../media/image4.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cid:image001.jpg@01D21275.49A32D30" TargetMode="External"/><Relationship Id="rId2" Type="http://schemas.openxmlformats.org/officeDocument/2006/relationships/image" Target="../media/image4.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cid:image001.jpg@01D21275.49A32D30" TargetMode="External"/><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8464</xdr:colOff>
      <xdr:row>76</xdr:row>
      <xdr:rowOff>24340</xdr:rowOff>
    </xdr:from>
    <xdr:to>
      <xdr:col>2</xdr:col>
      <xdr:colOff>1238248</xdr:colOff>
      <xdr:row>80</xdr:row>
      <xdr:rowOff>27943</xdr:rowOff>
    </xdr:to>
    <xdr:pic>
      <xdr:nvPicPr>
        <xdr:cNvPr id="4" name="Picture 3" descr="DOER.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439" y="22198540"/>
          <a:ext cx="1334559" cy="765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5143500</xdr:colOff>
      <xdr:row>76</xdr:row>
      <xdr:rowOff>31748</xdr:rowOff>
    </xdr:from>
    <xdr:to>
      <xdr:col>5</xdr:col>
      <xdr:colOff>1</xdr:colOff>
      <xdr:row>80</xdr:row>
      <xdr:rowOff>52918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639050" y="22205948"/>
          <a:ext cx="1666876" cy="7831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4667250</xdr:colOff>
      <xdr:row>7</xdr:row>
      <xdr:rowOff>85725</xdr:rowOff>
    </xdr:from>
    <xdr:to>
      <xdr:col>2</xdr:col>
      <xdr:colOff>0</xdr:colOff>
      <xdr:row>8</xdr:row>
      <xdr:rowOff>19050</xdr:rowOff>
    </xdr:to>
    <xdr:pic>
      <xdr:nvPicPr>
        <xdr:cNvPr id="13313" name="Picture 9" descr="DOER.jpg">
          <a:extLst>
            <a:ext uri="{FF2B5EF4-FFF2-40B4-BE49-F238E27FC236}">
              <a16:creationId xmlns:a16="http://schemas.microsoft.com/office/drawing/2014/main" id="{00000000-0008-0000-1000-0000013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3049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xdr:row>
      <xdr:rowOff>0</xdr:rowOff>
    </xdr:from>
    <xdr:to>
      <xdr:col>2</xdr:col>
      <xdr:colOff>0</xdr:colOff>
      <xdr:row>35</xdr:row>
      <xdr:rowOff>161925</xdr:rowOff>
    </xdr:to>
    <xdr:pic>
      <xdr:nvPicPr>
        <xdr:cNvPr id="13314" name="Picture 15" descr="DOER.jpg">
          <a:extLst>
            <a:ext uri="{FF2B5EF4-FFF2-40B4-BE49-F238E27FC236}">
              <a16:creationId xmlns:a16="http://schemas.microsoft.com/office/drawing/2014/main" id="{00000000-0008-0000-10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6219825"/>
          <a:ext cx="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78317</xdr:colOff>
      <xdr:row>28</xdr:row>
      <xdr:rowOff>112184</xdr:rowOff>
    </xdr:from>
    <xdr:to>
      <xdr:col>2</xdr:col>
      <xdr:colOff>232833</xdr:colOff>
      <xdr:row>31</xdr:row>
      <xdr:rowOff>144761</xdr:rowOff>
    </xdr:to>
    <xdr:pic>
      <xdr:nvPicPr>
        <xdr:cNvPr id="13315" name="Picture 3" descr="DOER.jpg">
          <a:extLst>
            <a:ext uri="{FF2B5EF4-FFF2-40B4-BE49-F238E27FC236}">
              <a16:creationId xmlns:a16="http://schemas.microsoft.com/office/drawing/2014/main" id="{00000000-0008-0000-1000-0000033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317" y="6525684"/>
          <a:ext cx="1011766" cy="604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209155</xdr:colOff>
      <xdr:row>28</xdr:row>
      <xdr:rowOff>165098</xdr:rowOff>
    </xdr:from>
    <xdr:to>
      <xdr:col>14</xdr:col>
      <xdr:colOff>127001</xdr:colOff>
      <xdr:row>32</xdr:row>
      <xdr:rowOff>52917</xdr:rowOff>
    </xdr:to>
    <xdr:pic>
      <xdr:nvPicPr>
        <xdr:cNvPr id="13316" name="Picture 7" descr="Description: Description: Description: Description: Description: Description: cid:image011.jpg@01D1E67E.3B4E73C0">
          <a:extLst>
            <a:ext uri="{FF2B5EF4-FFF2-40B4-BE49-F238E27FC236}">
              <a16:creationId xmlns:a16="http://schemas.microsoft.com/office/drawing/2014/main" id="{00000000-0008-0000-1000-00000434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7395238" y="6578598"/>
          <a:ext cx="1145513" cy="649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52215</xdr:colOff>
      <xdr:row>77</xdr:row>
      <xdr:rowOff>52917</xdr:rowOff>
    </xdr:from>
    <xdr:to>
      <xdr:col>2</xdr:col>
      <xdr:colOff>391583</xdr:colOff>
      <xdr:row>80</xdr:row>
      <xdr:rowOff>134975</xdr:rowOff>
    </xdr:to>
    <xdr:pic>
      <xdr:nvPicPr>
        <xdr:cNvPr id="2049" name="Picture 5" descr="DOER.jpg">
          <a:extLst>
            <a:ext uri="{FF2B5EF4-FFF2-40B4-BE49-F238E27FC236}">
              <a16:creationId xmlns:a16="http://schemas.microsoft.com/office/drawing/2014/main" id="{00000000-0008-0000-0400-000001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632" y="15303500"/>
          <a:ext cx="1101368" cy="653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75</xdr:row>
      <xdr:rowOff>914400</xdr:rowOff>
    </xdr:from>
    <xdr:to>
      <xdr:col>2</xdr:col>
      <xdr:colOff>171450</xdr:colOff>
      <xdr:row>75</xdr:row>
      <xdr:rowOff>1419225</xdr:rowOff>
    </xdr:to>
    <xdr:pic>
      <xdr:nvPicPr>
        <xdr:cNvPr id="2050" name="Picture 7" descr="Description: Description: Description: Description: Description: Description: cid:image011.jpg@01D1E67E.3B4E73C0">
          <a:extLst>
            <a:ext uri="{FF2B5EF4-FFF2-40B4-BE49-F238E27FC236}">
              <a16:creationId xmlns:a16="http://schemas.microsoft.com/office/drawing/2014/main" id="{00000000-0008-0000-0400-00000208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342900" y="19297650"/>
          <a:ext cx="828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1066539</xdr:colOff>
      <xdr:row>77</xdr:row>
      <xdr:rowOff>74084</xdr:rowOff>
    </xdr:from>
    <xdr:to>
      <xdr:col>10</xdr:col>
      <xdr:colOff>1058336</xdr:colOff>
      <xdr:row>81</xdr:row>
      <xdr:rowOff>23446</xdr:rowOff>
    </xdr:to>
    <xdr:pic>
      <xdr:nvPicPr>
        <xdr:cNvPr id="2051" name="Picture 7" descr="Description: Description: Description: Description: Description: Description: cid:image011.jpg@01D1E67E.3B4E73C0">
          <a:extLst>
            <a:ext uri="{FF2B5EF4-FFF2-40B4-BE49-F238E27FC236}">
              <a16:creationId xmlns:a16="http://schemas.microsoft.com/office/drawing/2014/main" id="{00000000-0008-0000-0400-00000308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7649372" y="15324667"/>
          <a:ext cx="1155964" cy="711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518583</xdr:colOff>
      <xdr:row>65</xdr:row>
      <xdr:rowOff>28571</xdr:rowOff>
    </xdr:from>
    <xdr:to>
      <xdr:col>1</xdr:col>
      <xdr:colOff>1667934</xdr:colOff>
      <xdr:row>68</xdr:row>
      <xdr:rowOff>139102</xdr:rowOff>
    </xdr:to>
    <xdr:pic>
      <xdr:nvPicPr>
        <xdr:cNvPr id="3073" name="Picture 1" descr="DOER.jpg">
          <a:extLst>
            <a:ext uri="{FF2B5EF4-FFF2-40B4-BE49-F238E27FC236}">
              <a16:creationId xmlns:a16="http://schemas.microsoft.com/office/drawing/2014/main" id="{00000000-0008-0000-0500-000001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3702238"/>
          <a:ext cx="1149351" cy="682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5365750</xdr:colOff>
      <xdr:row>65</xdr:row>
      <xdr:rowOff>7404</xdr:rowOff>
    </xdr:from>
    <xdr:to>
      <xdr:col>4</xdr:col>
      <xdr:colOff>931333</xdr:colOff>
      <xdr:row>69</xdr:row>
      <xdr:rowOff>24890</xdr:rowOff>
    </xdr:to>
    <xdr:pic>
      <xdr:nvPicPr>
        <xdr:cNvPr id="3074" name="Picture 7" descr="Description: Description: Description: Description: Description: Description: cid:image011.jpg@01D1E67E.3B4E73C0">
          <a:extLst>
            <a:ext uri="{FF2B5EF4-FFF2-40B4-BE49-F238E27FC236}">
              <a16:creationId xmlns:a16="http://schemas.microsoft.com/office/drawing/2014/main" id="{00000000-0008-0000-0500-0000020C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434917" y="13681071"/>
          <a:ext cx="1280583" cy="779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668881</xdr:colOff>
      <xdr:row>64</xdr:row>
      <xdr:rowOff>35983</xdr:rowOff>
    </xdr:from>
    <xdr:to>
      <xdr:col>1</xdr:col>
      <xdr:colOff>1806410</xdr:colOff>
      <xdr:row>67</xdr:row>
      <xdr:rowOff>127001</xdr:rowOff>
    </xdr:to>
    <xdr:pic>
      <xdr:nvPicPr>
        <xdr:cNvPr id="4097" name="Picture 3" descr="DOER.jpg">
          <a:extLst>
            <a:ext uri="{FF2B5EF4-FFF2-40B4-BE49-F238E27FC236}">
              <a16:creationId xmlns:a16="http://schemas.microsoft.com/office/drawing/2014/main" id="{00000000-0008-0000-0600-000001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2298" y="13508566"/>
          <a:ext cx="1137529" cy="662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624418</xdr:colOff>
      <xdr:row>64</xdr:row>
      <xdr:rowOff>103693</xdr:rowOff>
    </xdr:from>
    <xdr:to>
      <xdr:col>8</xdr:col>
      <xdr:colOff>371491</xdr:colOff>
      <xdr:row>68</xdr:row>
      <xdr:rowOff>7394</xdr:rowOff>
    </xdr:to>
    <xdr:pic>
      <xdr:nvPicPr>
        <xdr:cNvPr id="4098" name="Picture 7" descr="Description: Description: Description: Description: Description: Description: cid:image011.jpg@01D1E67E.3B4E73C0">
          <a:extLst>
            <a:ext uri="{FF2B5EF4-FFF2-40B4-BE49-F238E27FC236}">
              <a16:creationId xmlns:a16="http://schemas.microsoft.com/office/drawing/2014/main" id="{00000000-0008-0000-0600-0000021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350251" y="13576276"/>
          <a:ext cx="1133490" cy="665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817047</xdr:colOff>
      <xdr:row>60</xdr:row>
      <xdr:rowOff>35983</xdr:rowOff>
    </xdr:from>
    <xdr:to>
      <xdr:col>1</xdr:col>
      <xdr:colOff>1954576</xdr:colOff>
      <xdr:row>63</xdr:row>
      <xdr:rowOff>127000</xdr:rowOff>
    </xdr:to>
    <xdr:pic>
      <xdr:nvPicPr>
        <xdr:cNvPr id="4" name="Picture 3" descr="DOER.jp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0464" y="12725400"/>
          <a:ext cx="1137529" cy="662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158751</xdr:colOff>
      <xdr:row>60</xdr:row>
      <xdr:rowOff>96457</xdr:rowOff>
    </xdr:from>
    <xdr:to>
      <xdr:col>10</xdr:col>
      <xdr:colOff>190501</xdr:colOff>
      <xdr:row>64</xdr:row>
      <xdr:rowOff>7395</xdr:rowOff>
    </xdr:to>
    <xdr:pic>
      <xdr:nvPicPr>
        <xdr:cNvPr id="5" name="Picture 7" descr="Description: Description: Description: Description: Description: Description: cid:image011.jpg@01D1E67E.3B4E73C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699501" y="12785874"/>
          <a:ext cx="1121833" cy="67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xdr:colOff>
      <xdr:row>38</xdr:row>
      <xdr:rowOff>38100</xdr:rowOff>
    </xdr:from>
    <xdr:to>
      <xdr:col>1</xdr:col>
      <xdr:colOff>923925</xdr:colOff>
      <xdr:row>40</xdr:row>
      <xdr:rowOff>171450</xdr:rowOff>
    </xdr:to>
    <xdr:pic>
      <xdr:nvPicPr>
        <xdr:cNvPr id="8193" name="Picture 2" descr="DOER.jpg">
          <a:extLst>
            <a:ext uri="{FF2B5EF4-FFF2-40B4-BE49-F238E27FC236}">
              <a16:creationId xmlns:a16="http://schemas.microsoft.com/office/drawing/2014/main" id="{00000000-0008-0000-0800-0000012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8505825"/>
          <a:ext cx="8667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1171575</xdr:colOff>
      <xdr:row>38</xdr:row>
      <xdr:rowOff>38100</xdr:rowOff>
    </xdr:from>
    <xdr:to>
      <xdr:col>1</xdr:col>
      <xdr:colOff>2000250</xdr:colOff>
      <xdr:row>40</xdr:row>
      <xdr:rowOff>171450</xdr:rowOff>
    </xdr:to>
    <xdr:pic>
      <xdr:nvPicPr>
        <xdr:cNvPr id="8194" name="Picture 7" descr="Description: Description: Description: Description: Description: Description: cid:image011.jpg@01D1E67E.3B4E73C0">
          <a:extLst>
            <a:ext uri="{FF2B5EF4-FFF2-40B4-BE49-F238E27FC236}">
              <a16:creationId xmlns:a16="http://schemas.microsoft.com/office/drawing/2014/main" id="{00000000-0008-0000-0800-0000022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352550" y="8505825"/>
          <a:ext cx="82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502194</xdr:colOff>
      <xdr:row>95</xdr:row>
      <xdr:rowOff>47889</xdr:rowOff>
    </xdr:from>
    <xdr:to>
      <xdr:col>1</xdr:col>
      <xdr:colOff>1506373</xdr:colOff>
      <xdr:row>98</xdr:row>
      <xdr:rowOff>138906</xdr:rowOff>
    </xdr:to>
    <xdr:pic>
      <xdr:nvPicPr>
        <xdr:cNvPr id="6" name="Picture 3" descr="DOER.jpg">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225" y="19693202"/>
          <a:ext cx="1004179" cy="662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35718</xdr:colOff>
      <xdr:row>95</xdr:row>
      <xdr:rowOff>127506</xdr:rowOff>
    </xdr:from>
    <xdr:to>
      <xdr:col>8</xdr:col>
      <xdr:colOff>38116</xdr:colOff>
      <xdr:row>99</xdr:row>
      <xdr:rowOff>31207</xdr:rowOff>
    </xdr:to>
    <xdr:pic>
      <xdr:nvPicPr>
        <xdr:cNvPr id="7" name="Picture 7" descr="Description: Description: Description: Description: Description: Description: cid:image011.jpg@01D1E67E.3B4E73C0">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679656" y="19772819"/>
          <a:ext cx="1121585" cy="665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83613</xdr:colOff>
      <xdr:row>68</xdr:row>
      <xdr:rowOff>61382</xdr:rowOff>
    </xdr:from>
    <xdr:to>
      <xdr:col>5</xdr:col>
      <xdr:colOff>341447</xdr:colOff>
      <xdr:row>71</xdr:row>
      <xdr:rowOff>126999</xdr:rowOff>
    </xdr:to>
    <xdr:pic>
      <xdr:nvPicPr>
        <xdr:cNvPr id="12318" name="Picture 1" descr="DOER.jpg">
          <a:extLst>
            <a:ext uri="{FF2B5EF4-FFF2-40B4-BE49-F238E27FC236}">
              <a16:creationId xmlns:a16="http://schemas.microsoft.com/office/drawing/2014/main" id="{00000000-0008-0000-0A00-00001E3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030" y="16846549"/>
          <a:ext cx="1093917" cy="63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949331</xdr:colOff>
      <xdr:row>68</xdr:row>
      <xdr:rowOff>114299</xdr:rowOff>
    </xdr:from>
    <xdr:to>
      <xdr:col>11</xdr:col>
      <xdr:colOff>740833</xdr:colOff>
      <xdr:row>72</xdr:row>
      <xdr:rowOff>8210</xdr:rowOff>
    </xdr:to>
    <xdr:pic>
      <xdr:nvPicPr>
        <xdr:cNvPr id="12319" name="Picture 7" descr="Description: Description: Description: Description: Description: Description: cid:image011.jpg@01D1E67E.3B4E73C0">
          <a:extLst>
            <a:ext uri="{FF2B5EF4-FFF2-40B4-BE49-F238E27FC236}">
              <a16:creationId xmlns:a16="http://schemas.microsoft.com/office/drawing/2014/main" id="{00000000-0008-0000-0A00-00001F3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7722664" y="16899466"/>
          <a:ext cx="1103836" cy="655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638175</xdr:colOff>
      <xdr:row>156</xdr:row>
      <xdr:rowOff>180975</xdr:rowOff>
    </xdr:from>
    <xdr:to>
      <xdr:col>1</xdr:col>
      <xdr:colOff>1457325</xdr:colOff>
      <xdr:row>158</xdr:row>
      <xdr:rowOff>247650</xdr:rowOff>
    </xdr:to>
    <xdr:pic>
      <xdr:nvPicPr>
        <xdr:cNvPr id="9218" name="Picture 7" descr="Description: Description: Description: Description: Description: Description: cid:image011.jpg@01D1E67E.3B4E73C0">
          <a:extLst>
            <a:ext uri="{FF2B5EF4-FFF2-40B4-BE49-F238E27FC236}">
              <a16:creationId xmlns:a16="http://schemas.microsoft.com/office/drawing/2014/main" id="{00000000-0008-0000-0B00-00000224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09625" y="35842575"/>
          <a:ext cx="8191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62799</xdr:colOff>
      <xdr:row>154</xdr:row>
      <xdr:rowOff>21167</xdr:rowOff>
    </xdr:from>
    <xdr:to>
      <xdr:col>2</xdr:col>
      <xdr:colOff>836084</xdr:colOff>
      <xdr:row>157</xdr:row>
      <xdr:rowOff>143186</xdr:rowOff>
    </xdr:to>
    <xdr:pic>
      <xdr:nvPicPr>
        <xdr:cNvPr id="4" name="Picture 5" descr="DOER.jp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2132" y="45794084"/>
          <a:ext cx="953202" cy="693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1090084</xdr:colOff>
      <xdr:row>154</xdr:row>
      <xdr:rowOff>74084</xdr:rowOff>
    </xdr:from>
    <xdr:to>
      <xdr:col>10</xdr:col>
      <xdr:colOff>364071</xdr:colOff>
      <xdr:row>158</xdr:row>
      <xdr:rowOff>23446</xdr:rowOff>
    </xdr:to>
    <xdr:pic>
      <xdr:nvPicPr>
        <xdr:cNvPr id="5" name="Picture 7" descr="Description: Description: Description: Description: Description: Description: cid:image011.jpg@01D1E67E.3B4E73C0">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620001" y="45847001"/>
          <a:ext cx="1094320" cy="711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OVM\Lease%20Program\FY17%20Lease%20Program\Request%20Spreadsheets\Updated%20Request%20Spreadsheet\Vehicle%20Request%20with%20FES%20Calculator_V_12-29-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jdimedio\AppData\Local\Microsoft\Windows\Temporary%20Internet%20Files\Content.Outlook\MYG6HQG4\Vehicle%20Request_DRAFT_09-15-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ER\OVM%2008-10-16\Fuel_Efficiency_Calculator_exemption_5-24-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mp; Instructions "/>
      <sheetName val="Agency Information"/>
      <sheetName val="Recommended Vehicles"/>
      <sheetName val="Vehicle Request"/>
      <sheetName val="Vehicle Justification"/>
      <sheetName val="Vehicle Turn-In"/>
      <sheetName val="Upfit Calculations"/>
      <sheetName val="Category I Vehicles"/>
      <sheetName val="Category II Vehicles"/>
      <sheetName val="Credits"/>
      <sheetName val="Scoring"/>
      <sheetName val="Exemption Justification"/>
      <sheetName val="Dependent Lists - Cat I"/>
      <sheetName val="Cat I Vehicles"/>
      <sheetName val="Dependent Lists - Cat II"/>
      <sheetName val="Cat II Vehicles"/>
      <sheetName val="Electronic Signature"/>
      <sheetName val="VEH98 Data"/>
      <sheetName val="Appendix 1- VEH98"/>
    </sheetNames>
    <sheetDataSet>
      <sheetData sheetId="0"/>
      <sheetData sheetId="1"/>
      <sheetData sheetId="2"/>
      <sheetData sheetId="3"/>
      <sheetData sheetId="4"/>
      <sheetData sheetId="5"/>
      <sheetData sheetId="6"/>
      <sheetData sheetId="7">
        <row r="4">
          <cell r="L4">
            <v>0</v>
          </cell>
        </row>
        <row r="9">
          <cell r="L9">
            <v>0</v>
          </cell>
        </row>
        <row r="14">
          <cell r="F14" t="str">
            <v/>
          </cell>
          <cell r="H14" t="str">
            <v/>
          </cell>
          <cell r="I14" t="str">
            <v/>
          </cell>
          <cell r="J14" t="str">
            <v/>
          </cell>
        </row>
        <row r="15">
          <cell r="F15" t="str">
            <v/>
          </cell>
          <cell r="H15" t="str">
            <v/>
          </cell>
          <cell r="I15" t="str">
            <v/>
          </cell>
          <cell r="J15" t="str">
            <v/>
          </cell>
        </row>
        <row r="16">
          <cell r="F16" t="str">
            <v/>
          </cell>
          <cell r="H16" t="str">
            <v/>
          </cell>
          <cell r="I16" t="str">
            <v/>
          </cell>
          <cell r="J16" t="str">
            <v/>
          </cell>
        </row>
        <row r="17">
          <cell r="F17" t="str">
            <v/>
          </cell>
          <cell r="H17" t="str">
            <v/>
          </cell>
          <cell r="I17" t="str">
            <v/>
          </cell>
          <cell r="J17" t="str">
            <v/>
          </cell>
        </row>
        <row r="18">
          <cell r="F18" t="str">
            <v/>
          </cell>
          <cell r="H18" t="str">
            <v/>
          </cell>
          <cell r="I18" t="str">
            <v/>
          </cell>
          <cell r="J18" t="str">
            <v/>
          </cell>
        </row>
        <row r="19">
          <cell r="F19" t="str">
            <v/>
          </cell>
          <cell r="H19" t="str">
            <v/>
          </cell>
          <cell r="I19" t="str">
            <v/>
          </cell>
          <cell r="J19" t="str">
            <v/>
          </cell>
        </row>
        <row r="20">
          <cell r="F20" t="str">
            <v/>
          </cell>
          <cell r="H20" t="str">
            <v/>
          </cell>
          <cell r="I20" t="str">
            <v/>
          </cell>
          <cell r="J20" t="str">
            <v/>
          </cell>
        </row>
        <row r="21">
          <cell r="F21" t="str">
            <v/>
          </cell>
          <cell r="H21" t="str">
            <v/>
          </cell>
          <cell r="I21" t="str">
            <v/>
          </cell>
          <cell r="J21" t="str">
            <v/>
          </cell>
        </row>
        <row r="22">
          <cell r="F22" t="str">
            <v/>
          </cell>
          <cell r="H22" t="str">
            <v/>
          </cell>
          <cell r="I22" t="str">
            <v/>
          </cell>
          <cell r="J22" t="str">
            <v/>
          </cell>
        </row>
        <row r="23">
          <cell r="F23" t="str">
            <v/>
          </cell>
          <cell r="H23" t="str">
            <v/>
          </cell>
          <cell r="I23" t="str">
            <v/>
          </cell>
          <cell r="J23" t="str">
            <v/>
          </cell>
        </row>
        <row r="24">
          <cell r="F24" t="str">
            <v/>
          </cell>
          <cell r="H24" t="str">
            <v/>
          </cell>
          <cell r="I24" t="str">
            <v/>
          </cell>
          <cell r="J24" t="str">
            <v/>
          </cell>
        </row>
        <row r="25">
          <cell r="F25" t="str">
            <v/>
          </cell>
          <cell r="H25" t="str">
            <v/>
          </cell>
          <cell r="I25" t="str">
            <v/>
          </cell>
          <cell r="J25" t="str">
            <v/>
          </cell>
        </row>
        <row r="26">
          <cell r="F26" t="str">
            <v/>
          </cell>
          <cell r="H26" t="str">
            <v/>
          </cell>
          <cell r="I26" t="str">
            <v/>
          </cell>
          <cell r="J26" t="str">
            <v/>
          </cell>
        </row>
        <row r="27">
          <cell r="F27" t="str">
            <v/>
          </cell>
          <cell r="H27" t="str">
            <v/>
          </cell>
          <cell r="I27" t="str">
            <v/>
          </cell>
          <cell r="J27" t="str">
            <v/>
          </cell>
        </row>
        <row r="28">
          <cell r="F28" t="str">
            <v/>
          </cell>
          <cell r="H28" t="str">
            <v/>
          </cell>
          <cell r="I28" t="str">
            <v/>
          </cell>
          <cell r="J28" t="str">
            <v/>
          </cell>
        </row>
        <row r="29">
          <cell r="F29" t="str">
            <v/>
          </cell>
          <cell r="H29" t="str">
            <v/>
          </cell>
          <cell r="I29" t="str">
            <v/>
          </cell>
          <cell r="J29" t="str">
            <v/>
          </cell>
        </row>
        <row r="30">
          <cell r="F30" t="str">
            <v/>
          </cell>
          <cell r="H30" t="str">
            <v/>
          </cell>
          <cell r="I30" t="str">
            <v/>
          </cell>
          <cell r="J30" t="str">
            <v/>
          </cell>
        </row>
      </sheetData>
      <sheetData sheetId="8">
        <row r="4">
          <cell r="M4">
            <v>0</v>
          </cell>
        </row>
        <row r="14">
          <cell r="F14" t="str">
            <v/>
          </cell>
          <cell r="H14" t="str">
            <v/>
          </cell>
          <cell r="I14" t="str">
            <v/>
          </cell>
          <cell r="J14" t="str">
            <v/>
          </cell>
        </row>
        <row r="15">
          <cell r="F15" t="str">
            <v/>
          </cell>
          <cell r="H15" t="str">
            <v/>
          </cell>
          <cell r="I15" t="str">
            <v/>
          </cell>
          <cell r="J15" t="str">
            <v/>
          </cell>
        </row>
        <row r="16">
          <cell r="F16" t="str">
            <v/>
          </cell>
          <cell r="H16" t="str">
            <v/>
          </cell>
          <cell r="I16" t="str">
            <v/>
          </cell>
          <cell r="J16" t="str">
            <v/>
          </cell>
        </row>
        <row r="17">
          <cell r="F17" t="str">
            <v/>
          </cell>
          <cell r="H17" t="str">
            <v/>
          </cell>
          <cell r="I17" t="str">
            <v/>
          </cell>
          <cell r="J17" t="str">
            <v/>
          </cell>
        </row>
        <row r="18">
          <cell r="F18" t="str">
            <v/>
          </cell>
          <cell r="H18" t="str">
            <v/>
          </cell>
          <cell r="I18" t="str">
            <v/>
          </cell>
          <cell r="J18" t="str">
            <v/>
          </cell>
        </row>
        <row r="19">
          <cell r="F19" t="str">
            <v/>
          </cell>
          <cell r="H19" t="str">
            <v/>
          </cell>
          <cell r="I19" t="str">
            <v/>
          </cell>
          <cell r="J19" t="str">
            <v/>
          </cell>
        </row>
        <row r="20">
          <cell r="F20" t="str">
            <v/>
          </cell>
          <cell r="H20" t="str">
            <v/>
          </cell>
          <cell r="I20" t="str">
            <v/>
          </cell>
          <cell r="J20" t="str">
            <v/>
          </cell>
        </row>
        <row r="21">
          <cell r="F21" t="str">
            <v/>
          </cell>
          <cell r="H21" t="str">
            <v/>
          </cell>
          <cell r="I21" t="str">
            <v/>
          </cell>
          <cell r="J21" t="str">
            <v/>
          </cell>
        </row>
        <row r="22">
          <cell r="F22" t="str">
            <v/>
          </cell>
          <cell r="H22" t="str">
            <v/>
          </cell>
          <cell r="I22" t="str">
            <v/>
          </cell>
          <cell r="J22" t="str">
            <v/>
          </cell>
        </row>
        <row r="23">
          <cell r="F23" t="str">
            <v/>
          </cell>
          <cell r="H23" t="str">
            <v/>
          </cell>
          <cell r="I23" t="str">
            <v/>
          </cell>
          <cell r="J23" t="str">
            <v/>
          </cell>
        </row>
        <row r="24">
          <cell r="F24" t="str">
            <v/>
          </cell>
          <cell r="H24" t="str">
            <v/>
          </cell>
          <cell r="I24" t="str">
            <v/>
          </cell>
          <cell r="J24" t="str">
            <v/>
          </cell>
        </row>
        <row r="25">
          <cell r="F25" t="str">
            <v/>
          </cell>
          <cell r="H25" t="str">
            <v/>
          </cell>
          <cell r="I25" t="str">
            <v/>
          </cell>
          <cell r="J25" t="str">
            <v/>
          </cell>
        </row>
        <row r="26">
          <cell r="F26" t="str">
            <v/>
          </cell>
          <cell r="H26" t="str">
            <v/>
          </cell>
          <cell r="I26" t="str">
            <v/>
          </cell>
          <cell r="J26" t="str">
            <v/>
          </cell>
        </row>
        <row r="27">
          <cell r="F27" t="str">
            <v/>
          </cell>
          <cell r="H27" t="str">
            <v/>
          </cell>
          <cell r="I27" t="str">
            <v/>
          </cell>
          <cell r="J27" t="str">
            <v/>
          </cell>
        </row>
        <row r="28">
          <cell r="F28" t="str">
            <v/>
          </cell>
          <cell r="H28" t="str">
            <v/>
          </cell>
          <cell r="I28" t="str">
            <v/>
          </cell>
          <cell r="J28" t="str">
            <v/>
          </cell>
        </row>
        <row r="29">
          <cell r="F29" t="str">
            <v/>
          </cell>
          <cell r="H29" t="str">
            <v/>
          </cell>
          <cell r="I29" t="str">
            <v/>
          </cell>
          <cell r="J29" t="str">
            <v/>
          </cell>
        </row>
        <row r="30">
          <cell r="F30" t="str">
            <v/>
          </cell>
          <cell r="H30" t="str">
            <v/>
          </cell>
          <cell r="I30" t="str">
            <v/>
          </cell>
          <cell r="J30" t="str">
            <v/>
          </cell>
        </row>
      </sheetData>
      <sheetData sheetId="9"/>
      <sheetData sheetId="10">
        <row r="16">
          <cell r="C16">
            <v>32</v>
          </cell>
          <cell r="F16">
            <v>22</v>
          </cell>
        </row>
      </sheetData>
      <sheetData sheetId="11"/>
      <sheetData sheetId="12"/>
      <sheetData sheetId="13"/>
      <sheetData sheetId="14"/>
      <sheetData sheetId="15"/>
      <sheetData sheetId="16"/>
      <sheetData sheetId="17">
        <row r="3">
          <cell r="A3" t="str">
            <v>PAC001-2017-1</v>
          </cell>
        </row>
      </sheetData>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mp; Instructions "/>
      <sheetName val="Recommended Vehicles"/>
      <sheetName val="Vehicle Request"/>
      <sheetName val="Sheet3"/>
      <sheetName val="Vehicle Turn-In"/>
      <sheetName val="Upfit Calculations"/>
    </sheetNames>
    <sheetDataSet>
      <sheetData sheetId="0"/>
      <sheetData sheetId="1"/>
      <sheetData sheetId="2"/>
      <sheetData sheetId="3">
        <row r="2">
          <cell r="A2" t="str">
            <v>PAC001-2016-1</v>
          </cell>
          <cell r="B2" t="str">
            <v>PAC001</v>
          </cell>
        </row>
        <row r="3">
          <cell r="A3" t="str">
            <v>PAC001-2016-2</v>
          </cell>
          <cell r="B3" t="str">
            <v>PAC001</v>
          </cell>
        </row>
        <row r="4">
          <cell r="A4" t="str">
            <v>PAC002-2016-1</v>
          </cell>
          <cell r="B4" t="str">
            <v>PAC002</v>
          </cell>
        </row>
        <row r="5">
          <cell r="A5" t="str">
            <v>PAC002-2016-2</v>
          </cell>
          <cell r="B5" t="str">
            <v>PAC002</v>
          </cell>
        </row>
        <row r="6">
          <cell r="A6" t="str">
            <v>PAC003-2016-1</v>
          </cell>
          <cell r="B6" t="str">
            <v>PAC003</v>
          </cell>
        </row>
        <row r="7">
          <cell r="A7" t="str">
            <v>PAC004-2016-1</v>
          </cell>
          <cell r="B7" t="str">
            <v>PAC004</v>
          </cell>
        </row>
        <row r="8">
          <cell r="A8" t="str">
            <v>PAC006-2016-1</v>
          </cell>
          <cell r="B8" t="str">
            <v>PAC006</v>
          </cell>
        </row>
        <row r="9">
          <cell r="A9" t="str">
            <v>PAC006-2016-2</v>
          </cell>
          <cell r="B9" t="str">
            <v>PAC006</v>
          </cell>
        </row>
        <row r="10">
          <cell r="A10" t="str">
            <v>PAC007-2016-1</v>
          </cell>
          <cell r="B10" t="str">
            <v>PAC007</v>
          </cell>
        </row>
        <row r="11">
          <cell r="A11" t="str">
            <v>PAC008-2016-1</v>
          </cell>
          <cell r="B11" t="str">
            <v>PAC008</v>
          </cell>
        </row>
        <row r="12">
          <cell r="A12" t="str">
            <v>PAC008-2016-2</v>
          </cell>
          <cell r="B12" t="str">
            <v>PAC008</v>
          </cell>
        </row>
        <row r="13">
          <cell r="A13" t="str">
            <v>PAC009-2016-1</v>
          </cell>
          <cell r="B13" t="str">
            <v>PAC009</v>
          </cell>
        </row>
        <row r="14">
          <cell r="A14" t="str">
            <v>PAC009-2016-2</v>
          </cell>
          <cell r="B14" t="str">
            <v>PAC009</v>
          </cell>
        </row>
        <row r="15">
          <cell r="A15" t="str">
            <v>PAC010-2016-1</v>
          </cell>
          <cell r="B15" t="str">
            <v>PAC010</v>
          </cell>
        </row>
        <row r="16">
          <cell r="A16" t="str">
            <v>PAC010-2016-2</v>
          </cell>
          <cell r="B16" t="str">
            <v>PAC010</v>
          </cell>
        </row>
        <row r="17">
          <cell r="A17" t="str">
            <v>PAC011-2016-1</v>
          </cell>
          <cell r="B17" t="str">
            <v>PAC011</v>
          </cell>
        </row>
        <row r="18">
          <cell r="A18" t="str">
            <v>PAC011-2016-2</v>
          </cell>
          <cell r="B18" t="str">
            <v>PAC011</v>
          </cell>
        </row>
        <row r="19">
          <cell r="A19" t="str">
            <v>PAC012-2016-1</v>
          </cell>
          <cell r="B19" t="str">
            <v>PAC012</v>
          </cell>
        </row>
        <row r="20">
          <cell r="A20" t="str">
            <v>PAC012-2016-2</v>
          </cell>
          <cell r="B20" t="str">
            <v>PAC012</v>
          </cell>
        </row>
        <row r="21">
          <cell r="A21" t="str">
            <v>PAC013-2016-1</v>
          </cell>
          <cell r="B21" t="str">
            <v>PAC013</v>
          </cell>
        </row>
        <row r="22">
          <cell r="A22" t="str">
            <v>PAC013-2016-2</v>
          </cell>
          <cell r="B22" t="str">
            <v>PAC013</v>
          </cell>
        </row>
        <row r="23">
          <cell r="A23" t="str">
            <v>PAC014-2016-1</v>
          </cell>
          <cell r="B23" t="str">
            <v>PAC014</v>
          </cell>
        </row>
        <row r="24">
          <cell r="A24" t="str">
            <v>PAC017-2017-1</v>
          </cell>
          <cell r="B24" t="str">
            <v>PAC017</v>
          </cell>
        </row>
        <row r="25">
          <cell r="A25" t="str">
            <v>PAC018-2016-1</v>
          </cell>
          <cell r="B25" t="str">
            <v>PAC018</v>
          </cell>
        </row>
        <row r="26">
          <cell r="A26" t="str">
            <v>PAC018-2016-2</v>
          </cell>
          <cell r="B26" t="str">
            <v>PAC018</v>
          </cell>
        </row>
        <row r="27">
          <cell r="A27" t="str">
            <v>PAC019-2016-1</v>
          </cell>
          <cell r="B27" t="str">
            <v>PAC019</v>
          </cell>
        </row>
        <row r="28">
          <cell r="A28" t="str">
            <v>PAC019-2016-2</v>
          </cell>
          <cell r="B28" t="str">
            <v>PAC019</v>
          </cell>
        </row>
        <row r="29">
          <cell r="A29" t="str">
            <v>PAC020-2016-1</v>
          </cell>
          <cell r="B29" t="str">
            <v>PAC020</v>
          </cell>
        </row>
        <row r="30">
          <cell r="A30" t="str">
            <v>PAC020-2016-2</v>
          </cell>
          <cell r="B30" t="str">
            <v>PAC020</v>
          </cell>
        </row>
        <row r="31">
          <cell r="A31" t="str">
            <v>PAC028-2016-1</v>
          </cell>
          <cell r="B31" t="str">
            <v>PAC028</v>
          </cell>
        </row>
        <row r="32">
          <cell r="A32" t="str">
            <v>PAC028-2016-2</v>
          </cell>
          <cell r="B32" t="str">
            <v>PAC028</v>
          </cell>
        </row>
        <row r="33">
          <cell r="A33" t="str">
            <v>PAC030-2016-1</v>
          </cell>
          <cell r="B33" t="str">
            <v>PAC030</v>
          </cell>
        </row>
        <row r="34">
          <cell r="A34" t="str">
            <v>PAC030-2016-2</v>
          </cell>
          <cell r="B34" t="str">
            <v>PAC030</v>
          </cell>
        </row>
        <row r="35">
          <cell r="A35" t="str">
            <v>PAC031-2016-1</v>
          </cell>
          <cell r="B35" t="str">
            <v>PAC031</v>
          </cell>
        </row>
        <row r="36">
          <cell r="A36" t="str">
            <v>PAC031-2016-2</v>
          </cell>
          <cell r="B36" t="str">
            <v>PAC031</v>
          </cell>
        </row>
        <row r="37">
          <cell r="A37" t="str">
            <v>PAC032-2016-1</v>
          </cell>
          <cell r="B37" t="str">
            <v>PAC032</v>
          </cell>
        </row>
        <row r="38">
          <cell r="A38" t="str">
            <v>PAC032-2016-2</v>
          </cell>
          <cell r="B38" t="str">
            <v>PAC032</v>
          </cell>
        </row>
        <row r="39">
          <cell r="A39" t="str">
            <v>PAC033-2016-1</v>
          </cell>
          <cell r="B39" t="str">
            <v>PAC033</v>
          </cell>
        </row>
        <row r="40">
          <cell r="A40" t="str">
            <v>PAC033-2016-2</v>
          </cell>
          <cell r="B40" t="str">
            <v>PAC033</v>
          </cell>
        </row>
        <row r="41">
          <cell r="A41" t="str">
            <v>PAC034-2016-1</v>
          </cell>
          <cell r="B41" t="str">
            <v>PAC034</v>
          </cell>
        </row>
        <row r="42">
          <cell r="A42" t="str">
            <v>PAC034-2016-2</v>
          </cell>
          <cell r="B42" t="str">
            <v>PAC034</v>
          </cell>
        </row>
        <row r="43">
          <cell r="A43" t="str">
            <v>PAC037-2016-1</v>
          </cell>
          <cell r="B43" t="str">
            <v>PAC037</v>
          </cell>
        </row>
        <row r="44">
          <cell r="A44" t="str">
            <v>PAC038-2016-1</v>
          </cell>
          <cell r="B44" t="str">
            <v>PAC038</v>
          </cell>
        </row>
        <row r="45">
          <cell r="A45" t="str">
            <v>PAC039-2016-1</v>
          </cell>
          <cell r="B45" t="str">
            <v>PAC039</v>
          </cell>
        </row>
        <row r="46">
          <cell r="A46" t="str">
            <v>PAC039-2016-2</v>
          </cell>
          <cell r="B46" t="str">
            <v>PAC039</v>
          </cell>
        </row>
        <row r="47">
          <cell r="A47" t="str">
            <v>PAC042-2016-1</v>
          </cell>
          <cell r="B47" t="str">
            <v>PAC042</v>
          </cell>
        </row>
        <row r="48">
          <cell r="A48" t="str">
            <v>PAC042-2016-2</v>
          </cell>
          <cell r="B48" t="str">
            <v>PAC042</v>
          </cell>
        </row>
        <row r="49">
          <cell r="A49" t="str">
            <v>PAC043-2016-1</v>
          </cell>
          <cell r="B49" t="str">
            <v>PAC043</v>
          </cell>
        </row>
        <row r="50">
          <cell r="A50" t="str">
            <v>PAC043-2016-2</v>
          </cell>
          <cell r="B50" t="str">
            <v>PAC043</v>
          </cell>
        </row>
        <row r="51">
          <cell r="A51" t="str">
            <v>PAC044-2016-1</v>
          </cell>
          <cell r="B51" t="str">
            <v>PAC044</v>
          </cell>
        </row>
        <row r="52">
          <cell r="A52" t="str">
            <v>PAC044-2016-2</v>
          </cell>
          <cell r="B52" t="str">
            <v>PAC044</v>
          </cell>
        </row>
        <row r="53">
          <cell r="A53" t="str">
            <v>PAC045-2016-1</v>
          </cell>
          <cell r="B53" t="str">
            <v>PAC045</v>
          </cell>
        </row>
        <row r="54">
          <cell r="A54" t="str">
            <v>PAC045-2016-2</v>
          </cell>
          <cell r="B54" t="str">
            <v>PAC045</v>
          </cell>
        </row>
        <row r="55">
          <cell r="A55" t="str">
            <v>PAC046-2016-1</v>
          </cell>
          <cell r="B55" t="str">
            <v>PAC046</v>
          </cell>
        </row>
        <row r="56">
          <cell r="A56" t="str">
            <v>PAC047-2016-1</v>
          </cell>
          <cell r="B56" t="str">
            <v>PAC047</v>
          </cell>
        </row>
        <row r="57">
          <cell r="A57" t="str">
            <v>PAC037-2016-1</v>
          </cell>
          <cell r="B57" t="str">
            <v>PAC037</v>
          </cell>
        </row>
        <row r="58">
          <cell r="A58" t="str">
            <v>PAC038-2016-1</v>
          </cell>
          <cell r="B58" t="str">
            <v>PAC038</v>
          </cell>
        </row>
        <row r="59">
          <cell r="A59" t="str">
            <v>OTHER--</v>
          </cell>
        </row>
        <row r="60">
          <cell r="A60" t="str">
            <v>SUV001-2016-1</v>
          </cell>
        </row>
        <row r="61">
          <cell r="A61" t="str">
            <v>SUV002-2016-1</v>
          </cell>
        </row>
        <row r="62">
          <cell r="A62" t="str">
            <v>SUV002-2016-2</v>
          </cell>
        </row>
        <row r="63">
          <cell r="A63" t="str">
            <v>SUV003-2016-1</v>
          </cell>
        </row>
        <row r="64">
          <cell r="A64" t="str">
            <v>SUV004-2016-1</v>
          </cell>
        </row>
        <row r="65">
          <cell r="A65" t="str">
            <v>SUV008-2016-1</v>
          </cell>
        </row>
        <row r="66">
          <cell r="A66" t="str">
            <v>SUV008-2016-2</v>
          </cell>
        </row>
        <row r="67">
          <cell r="A67" t="str">
            <v>SUV009-2016-1</v>
          </cell>
        </row>
        <row r="68">
          <cell r="A68" t="str">
            <v>SUV009-2016-2</v>
          </cell>
        </row>
        <row r="69">
          <cell r="A69" t="str">
            <v>SUV010-2016-1</v>
          </cell>
        </row>
        <row r="70">
          <cell r="A70" t="str">
            <v>SUV010-2016-2</v>
          </cell>
        </row>
        <row r="71">
          <cell r="A71" t="str">
            <v>SUV011-2016-1</v>
          </cell>
        </row>
        <row r="72">
          <cell r="A72" t="str">
            <v>SUV011-2016-2</v>
          </cell>
        </row>
        <row r="73">
          <cell r="A73" t="str">
            <v>SUV012-2016-1</v>
          </cell>
        </row>
        <row r="74">
          <cell r="A74" t="str">
            <v>SUV012-2016-2</v>
          </cell>
        </row>
        <row r="75">
          <cell r="A75" t="str">
            <v>SUV013-2016-1</v>
          </cell>
        </row>
        <row r="76">
          <cell r="A76" t="str">
            <v>SUV013-2016-2</v>
          </cell>
        </row>
        <row r="77">
          <cell r="A77" t="str">
            <v>SUV014-2016-1</v>
          </cell>
        </row>
        <row r="78">
          <cell r="A78" t="str">
            <v>SUV015-2016-1</v>
          </cell>
        </row>
        <row r="79">
          <cell r="A79" t="str">
            <v>SUV016-2016-1</v>
          </cell>
        </row>
        <row r="80">
          <cell r="A80" t="str">
            <v>SUV016-2016-2</v>
          </cell>
        </row>
        <row r="81">
          <cell r="A81" t="str">
            <v>SUV017-2016-1</v>
          </cell>
        </row>
        <row r="82">
          <cell r="A82" t="str">
            <v>SUV017-2016-2</v>
          </cell>
        </row>
        <row r="83">
          <cell r="A83" t="str">
            <v>SUV018-2016-1</v>
          </cell>
        </row>
        <row r="84">
          <cell r="A84" t="str">
            <v>SUV018-2016-2</v>
          </cell>
        </row>
        <row r="85">
          <cell r="A85" t="str">
            <v>SUV019-2016-1</v>
          </cell>
        </row>
        <row r="86">
          <cell r="A86" t="str">
            <v>SUV019-2016-2</v>
          </cell>
        </row>
        <row r="87">
          <cell r="A87" t="str">
            <v>SUV020-2016-1</v>
          </cell>
        </row>
        <row r="88">
          <cell r="A88" t="str">
            <v>SUV020-2016-2</v>
          </cell>
        </row>
        <row r="89">
          <cell r="A89" t="str">
            <v>SUV021-2016-1</v>
          </cell>
        </row>
        <row r="90">
          <cell r="A90" t="str">
            <v>SUV021-2016-2</v>
          </cell>
        </row>
        <row r="91">
          <cell r="A91" t="str">
            <v>SUV025-2016-1</v>
          </cell>
        </row>
        <row r="92">
          <cell r="A92" t="str">
            <v>SUV026-2016-1</v>
          </cell>
        </row>
        <row r="93">
          <cell r="A93" t="str">
            <v>SUV029-2016-1</v>
          </cell>
        </row>
        <row r="94">
          <cell r="A94" t="str">
            <v>SUV030-2016-1</v>
          </cell>
        </row>
        <row r="95">
          <cell r="A95" t="str">
            <v>SUV030-2016-2</v>
          </cell>
        </row>
        <row r="96">
          <cell r="A96" t="str">
            <v>SUV031-2016-1</v>
          </cell>
        </row>
        <row r="97">
          <cell r="A97" t="str">
            <v>SUV031-2016-2</v>
          </cell>
        </row>
        <row r="98">
          <cell r="A98" t="str">
            <v>SUV032-2016-1</v>
          </cell>
        </row>
        <row r="99">
          <cell r="A99" t="str">
            <v>SUV032-2016-2</v>
          </cell>
        </row>
        <row r="100">
          <cell r="A100" t="str">
            <v>SUV033-2016-1</v>
          </cell>
        </row>
        <row r="101">
          <cell r="A101" t="str">
            <v>SUV033-2016-2</v>
          </cell>
        </row>
        <row r="102">
          <cell r="A102" t="str">
            <v>SUV034-2016-1</v>
          </cell>
        </row>
        <row r="103">
          <cell r="A103" t="str">
            <v>SUV034-2016-2</v>
          </cell>
        </row>
        <row r="104">
          <cell r="A104" t="str">
            <v>SUV035-2016-1</v>
          </cell>
        </row>
        <row r="105">
          <cell r="A105" t="str">
            <v>SUV035-2016-2</v>
          </cell>
        </row>
        <row r="106">
          <cell r="A106" t="str">
            <v>SUV036-2016-1</v>
          </cell>
        </row>
        <row r="107">
          <cell r="A107" t="str">
            <v>SUV036-2016-2</v>
          </cell>
        </row>
        <row r="108">
          <cell r="A108" t="str">
            <v>SUV037-2016-1</v>
          </cell>
        </row>
        <row r="109">
          <cell r="A109" t="str">
            <v>SUV037-2016-2</v>
          </cell>
        </row>
        <row r="110">
          <cell r="A110" t="str">
            <v>SUV038-2016-1</v>
          </cell>
        </row>
        <row r="111">
          <cell r="A111" t="str">
            <v>SUV038-2016-2</v>
          </cell>
        </row>
        <row r="112">
          <cell r="A112" t="str">
            <v>SUV039-2016-1</v>
          </cell>
        </row>
        <row r="113">
          <cell r="A113" t="str">
            <v>SUV039-2016-2</v>
          </cell>
        </row>
        <row r="114">
          <cell r="A114" t="str">
            <v>SUV040-2016-1</v>
          </cell>
        </row>
        <row r="115">
          <cell r="A115" t="str">
            <v>SUV040-2016-2</v>
          </cell>
        </row>
        <row r="116">
          <cell r="A116" t="str">
            <v>SUV041-2016-1</v>
          </cell>
        </row>
        <row r="117">
          <cell r="A117" t="str">
            <v>SUV041-2016-2</v>
          </cell>
        </row>
        <row r="118">
          <cell r="A118" t="str">
            <v>SUV042-2016-1</v>
          </cell>
        </row>
        <row r="119">
          <cell r="A119" t="str">
            <v>SUV042-2016-2</v>
          </cell>
        </row>
        <row r="120">
          <cell r="A120" t="str">
            <v>CGV083-2016-2</v>
          </cell>
        </row>
        <row r="121">
          <cell r="A121" t="str">
            <v>CGV084-2016-1</v>
          </cell>
        </row>
        <row r="122">
          <cell r="A122" t="str">
            <v>CGV084-2016-2</v>
          </cell>
        </row>
        <row r="123">
          <cell r="A123" t="str">
            <v>CGV085-2016-1</v>
          </cell>
        </row>
        <row r="124">
          <cell r="A124" t="str">
            <v>CGV085-2016-2</v>
          </cell>
        </row>
        <row r="125">
          <cell r="A125" t="str">
            <v>CMV001-2016-1</v>
          </cell>
        </row>
        <row r="126">
          <cell r="A126" t="str">
            <v>CMV001-2016-2</v>
          </cell>
        </row>
        <row r="127">
          <cell r="A127" t="str">
            <v>CMV002-2016-1</v>
          </cell>
        </row>
        <row r="128">
          <cell r="A128" t="str">
            <v>CMV002-2016-2</v>
          </cell>
        </row>
        <row r="129">
          <cell r="A129" t="str">
            <v>CMV003-2016-1</v>
          </cell>
        </row>
        <row r="130">
          <cell r="A130" t="str">
            <v>CMV003-2016-2</v>
          </cell>
        </row>
        <row r="131">
          <cell r="A131" t="str">
            <v>CMV004-2016-1</v>
          </cell>
        </row>
        <row r="132">
          <cell r="A132" t="str">
            <v>CMV004-2016-2</v>
          </cell>
        </row>
        <row r="133">
          <cell r="A133" t="str">
            <v>CMV005-2016-1</v>
          </cell>
        </row>
        <row r="134">
          <cell r="A134" t="str">
            <v>CMV005-2016-2</v>
          </cell>
        </row>
        <row r="135">
          <cell r="A135" t="str">
            <v>CMV006-2016-1</v>
          </cell>
        </row>
        <row r="136">
          <cell r="A136" t="str">
            <v>CMV006-2016-2</v>
          </cell>
        </row>
        <row r="137">
          <cell r="A137" t="str">
            <v>CMV007-2016-1</v>
          </cell>
        </row>
        <row r="138">
          <cell r="A138" t="str">
            <v>CMV007-2016-2</v>
          </cell>
        </row>
        <row r="139">
          <cell r="A139" t="str">
            <v>CMV008-2016-1</v>
          </cell>
        </row>
        <row r="140">
          <cell r="A140" t="str">
            <v>CMV008-2016-2</v>
          </cell>
        </row>
        <row r="141">
          <cell r="A141" t="str">
            <v>CMV009-2016-1</v>
          </cell>
        </row>
        <row r="142">
          <cell r="A142" t="str">
            <v>CMV009-2016-2</v>
          </cell>
        </row>
        <row r="143">
          <cell r="A143" t="str">
            <v>CMV010-2016-1</v>
          </cell>
        </row>
        <row r="144">
          <cell r="A144" t="str">
            <v>CMV010-2016-2</v>
          </cell>
        </row>
        <row r="145">
          <cell r="A145" t="str">
            <v>CMV011-2016-1</v>
          </cell>
        </row>
        <row r="146">
          <cell r="A146" t="str">
            <v>CMV011-2016-2</v>
          </cell>
        </row>
        <row r="147">
          <cell r="A147" t="str">
            <v>CMV012-2016-1</v>
          </cell>
        </row>
        <row r="148">
          <cell r="A148" t="str">
            <v>CMV012-2016-2</v>
          </cell>
        </row>
        <row r="149">
          <cell r="A149" t="str">
            <v>CMV013-2016-1</v>
          </cell>
        </row>
        <row r="150">
          <cell r="A150" t="str">
            <v>CMV013-2016-2</v>
          </cell>
        </row>
        <row r="151">
          <cell r="A151" t="str">
            <v>CMV014-2016-1</v>
          </cell>
        </row>
        <row r="152">
          <cell r="A152" t="str">
            <v>CMV014-2016-2</v>
          </cell>
        </row>
        <row r="153">
          <cell r="A153" t="str">
            <v>LPV001-2016-1</v>
          </cell>
        </row>
        <row r="154">
          <cell r="A154" t="str">
            <v>LPV001-2016-2</v>
          </cell>
        </row>
        <row r="155">
          <cell r="A155" t="str">
            <v>LPV002-2016-1</v>
          </cell>
        </row>
        <row r="156">
          <cell r="A156" t="str">
            <v>LPV002-2016-2</v>
          </cell>
        </row>
        <row r="157">
          <cell r="A157" t="str">
            <v>LPV003-2016-1</v>
          </cell>
        </row>
        <row r="158">
          <cell r="A158" t="str">
            <v>LPV003-2016-2</v>
          </cell>
        </row>
        <row r="159">
          <cell r="A159" t="str">
            <v>LPV004-2016-1</v>
          </cell>
        </row>
        <row r="160">
          <cell r="A160" t="str">
            <v>LPV004-2016-2</v>
          </cell>
        </row>
        <row r="161">
          <cell r="A161" t="str">
            <v>LPV005-2016-1</v>
          </cell>
        </row>
        <row r="162">
          <cell r="A162" t="str">
            <v>LPV005-2016-2</v>
          </cell>
        </row>
        <row r="163">
          <cell r="A163" t="str">
            <v>LPV006-2016-1</v>
          </cell>
        </row>
        <row r="164">
          <cell r="A164" t="str">
            <v>LPV006-2016-2</v>
          </cell>
        </row>
        <row r="165">
          <cell r="A165" t="str">
            <v>LPV007-2016-1</v>
          </cell>
        </row>
        <row r="166">
          <cell r="A166" t="str">
            <v>LPV007-2016-2</v>
          </cell>
        </row>
        <row r="167">
          <cell r="A167" t="str">
            <v>LPV008-2016-1</v>
          </cell>
        </row>
        <row r="168">
          <cell r="A168" t="str">
            <v>LPV008-2016-2</v>
          </cell>
        </row>
        <row r="169">
          <cell r="A169" t="str">
            <v>LPV009-2016-1</v>
          </cell>
        </row>
        <row r="170">
          <cell r="A170" t="str">
            <v>LPV009-2016-2</v>
          </cell>
        </row>
        <row r="171">
          <cell r="A171" t="str">
            <v>LPV010-2016-1</v>
          </cell>
        </row>
        <row r="172">
          <cell r="A172" t="str">
            <v>LPV010-2016-2</v>
          </cell>
        </row>
        <row r="173">
          <cell r="A173" t="str">
            <v>LPV011-2016-1</v>
          </cell>
        </row>
        <row r="174">
          <cell r="A174" t="str">
            <v>LPV011-2016-2</v>
          </cell>
        </row>
        <row r="175">
          <cell r="A175" t="str">
            <v>LPV012-2016-1</v>
          </cell>
        </row>
        <row r="176">
          <cell r="A176" t="str">
            <v>LPV012-2016-2</v>
          </cell>
        </row>
        <row r="177">
          <cell r="A177" t="str">
            <v>LPV013-2016-1</v>
          </cell>
        </row>
        <row r="178">
          <cell r="A178" t="str">
            <v>LPV013-2016-2</v>
          </cell>
        </row>
        <row r="179">
          <cell r="A179" t="str">
            <v>LPV014-2016-1</v>
          </cell>
        </row>
        <row r="180">
          <cell r="A180" t="str">
            <v>LPV014-2016-2</v>
          </cell>
        </row>
        <row r="181">
          <cell r="A181" t="str">
            <v>LPV015-2016-1</v>
          </cell>
        </row>
        <row r="182">
          <cell r="A182" t="str">
            <v>LPV015-2016-2</v>
          </cell>
        </row>
        <row r="183">
          <cell r="A183" t="str">
            <v>LPV016-2016-1</v>
          </cell>
        </row>
        <row r="184">
          <cell r="A184" t="str">
            <v>LPV016-2016-2</v>
          </cell>
        </row>
        <row r="185">
          <cell r="A185" t="str">
            <v>LPV017-2016-1</v>
          </cell>
        </row>
        <row r="186">
          <cell r="A186" t="str">
            <v>LPV017-2016-2</v>
          </cell>
        </row>
        <row r="187">
          <cell r="A187" t="str">
            <v>LPV018-2016-1</v>
          </cell>
        </row>
        <row r="188">
          <cell r="A188" t="str">
            <v>LPV018-2016-2</v>
          </cell>
        </row>
        <row r="189">
          <cell r="A189" t="str">
            <v>LPV019-2016-1</v>
          </cell>
        </row>
        <row r="190">
          <cell r="A190" t="str">
            <v>LPV019-2016-2</v>
          </cell>
        </row>
        <row r="191">
          <cell r="A191" t="str">
            <v>LPV020-2016-1</v>
          </cell>
        </row>
        <row r="192">
          <cell r="A192" t="str">
            <v>LPV020-2016-2</v>
          </cell>
        </row>
        <row r="193">
          <cell r="A193" t="str">
            <v>LPV021-2016-1</v>
          </cell>
        </row>
        <row r="194">
          <cell r="A194" t="str">
            <v>LPV021-2016-2</v>
          </cell>
        </row>
        <row r="195">
          <cell r="A195" t="str">
            <v>LPV022-2016-1</v>
          </cell>
        </row>
        <row r="196">
          <cell r="A196" t="str">
            <v>LPV022-2016-2</v>
          </cell>
        </row>
        <row r="197">
          <cell r="A197" t="str">
            <v>LPV023-2016-1</v>
          </cell>
        </row>
        <row r="198">
          <cell r="A198" t="str">
            <v>LPV023-2016-2</v>
          </cell>
        </row>
        <row r="199">
          <cell r="A199" t="str">
            <v>LPV024-2016-1</v>
          </cell>
        </row>
        <row r="200">
          <cell r="A200" t="str">
            <v>LPV024-2016-2</v>
          </cell>
        </row>
        <row r="201">
          <cell r="A201" t="str">
            <v>LPV025-2016-1</v>
          </cell>
        </row>
        <row r="202">
          <cell r="A202" t="str">
            <v>LPV025-2016-2</v>
          </cell>
        </row>
        <row r="203">
          <cell r="A203" t="str">
            <v>LPV026-2016-1</v>
          </cell>
        </row>
        <row r="204">
          <cell r="A204" t="str">
            <v>LPV026-2016-2</v>
          </cell>
        </row>
        <row r="205">
          <cell r="A205" t="str">
            <v>LPV027-2016-1</v>
          </cell>
        </row>
        <row r="206">
          <cell r="A206" t="str">
            <v>LPV027-2016-2</v>
          </cell>
        </row>
        <row r="207">
          <cell r="A207" t="str">
            <v>LPV028-2016-1</v>
          </cell>
        </row>
        <row r="208">
          <cell r="A208" t="str">
            <v>LPV028-2016-2</v>
          </cell>
        </row>
        <row r="209">
          <cell r="A209" t="str">
            <v>LPV029-2016-1</v>
          </cell>
        </row>
        <row r="210">
          <cell r="A210" t="str">
            <v>LPV029-2016-2</v>
          </cell>
        </row>
        <row r="211">
          <cell r="A211" t="str">
            <v>LPV030-2016-1</v>
          </cell>
        </row>
        <row r="212">
          <cell r="A212" t="str">
            <v>LPV030-2016-2</v>
          </cell>
        </row>
        <row r="213">
          <cell r="A213" t="str">
            <v>LPV031-2016-1</v>
          </cell>
        </row>
        <row r="214">
          <cell r="A214" t="str">
            <v>LPV031-2016-2</v>
          </cell>
        </row>
        <row r="215">
          <cell r="A215" t="str">
            <v>LPV032-2016-1</v>
          </cell>
        </row>
        <row r="216">
          <cell r="A216" t="str">
            <v>LPV032-2016-2</v>
          </cell>
        </row>
        <row r="217">
          <cell r="A217" t="str">
            <v>LPV033-2016-1</v>
          </cell>
        </row>
        <row r="218">
          <cell r="A218" t="str">
            <v>LPV033-2016-2</v>
          </cell>
        </row>
        <row r="219">
          <cell r="A219" t="str">
            <v>LPV034-2016-1</v>
          </cell>
        </row>
        <row r="220">
          <cell r="A220" t="str">
            <v>LPV034-2016-2</v>
          </cell>
        </row>
        <row r="221">
          <cell r="A221" t="str">
            <v>LPV035-2016-1</v>
          </cell>
        </row>
        <row r="222">
          <cell r="A222" t="str">
            <v>LPV035-2016-2</v>
          </cell>
        </row>
        <row r="223">
          <cell r="A223" t="str">
            <v>LPV036-2016-1</v>
          </cell>
        </row>
        <row r="224">
          <cell r="A224" t="str">
            <v>LPV036-2016-2</v>
          </cell>
        </row>
        <row r="225">
          <cell r="A225" t="str">
            <v>LPV037-2016-1</v>
          </cell>
        </row>
        <row r="226">
          <cell r="A226" t="str">
            <v>LPV037-2016-2</v>
          </cell>
        </row>
        <row r="227">
          <cell r="A227" t="str">
            <v>LPV038-2016-1</v>
          </cell>
        </row>
        <row r="228">
          <cell r="A228" t="str">
            <v>LPV038-2016-2</v>
          </cell>
        </row>
        <row r="229">
          <cell r="A229" t="str">
            <v>LPV039-2016-1</v>
          </cell>
        </row>
        <row r="230">
          <cell r="A230" t="str">
            <v>LPV039-2016-2</v>
          </cell>
        </row>
        <row r="231">
          <cell r="A231" t="str">
            <v>LPV040-2016-1</v>
          </cell>
        </row>
        <row r="232">
          <cell r="A232" t="str">
            <v>LPV040-2016-2</v>
          </cell>
        </row>
        <row r="233">
          <cell r="A233" t="str">
            <v>LPV041-2016-1</v>
          </cell>
        </row>
        <row r="234">
          <cell r="A234" t="str">
            <v>LPV041-2016-2</v>
          </cell>
        </row>
        <row r="235">
          <cell r="A235" t="str">
            <v>LPV042-2016-1</v>
          </cell>
        </row>
        <row r="236">
          <cell r="A236" t="str">
            <v>LPV042-2016-2</v>
          </cell>
        </row>
        <row r="237">
          <cell r="A237" t="str">
            <v>LPV043-2016-1</v>
          </cell>
        </row>
        <row r="238">
          <cell r="A238" t="str">
            <v>LPV043-2016-2</v>
          </cell>
        </row>
        <row r="239">
          <cell r="A239" t="str">
            <v>LPV044-2016-1</v>
          </cell>
        </row>
        <row r="240">
          <cell r="A240" t="str">
            <v>LPV044-2016-2</v>
          </cell>
        </row>
        <row r="241">
          <cell r="A241" t="str">
            <v>LPV045-2016-1</v>
          </cell>
        </row>
        <row r="242">
          <cell r="A242" t="str">
            <v>LPV045-2016-2</v>
          </cell>
        </row>
        <row r="243">
          <cell r="A243" t="str">
            <v>LPV046-2016-1</v>
          </cell>
        </row>
        <row r="244">
          <cell r="A244" t="str">
            <v>LPV046-2016-2</v>
          </cell>
        </row>
        <row r="245">
          <cell r="A245" t="str">
            <v>LPV047-2016-1</v>
          </cell>
        </row>
        <row r="246">
          <cell r="A246" t="str">
            <v>LPV047-2016-2</v>
          </cell>
        </row>
        <row r="247">
          <cell r="A247" t="str">
            <v>LPV048-2016-1</v>
          </cell>
        </row>
        <row r="248">
          <cell r="A248" t="str">
            <v>LPV048-2016-2</v>
          </cell>
        </row>
        <row r="249">
          <cell r="A249" t="str">
            <v>LPV049-2016-1</v>
          </cell>
        </row>
        <row r="250">
          <cell r="A250" t="str">
            <v>LPV049-2016-2</v>
          </cell>
        </row>
        <row r="251">
          <cell r="A251" t="str">
            <v>LPV050-2016-1</v>
          </cell>
        </row>
        <row r="252">
          <cell r="A252" t="str">
            <v>LPV050-2016-2</v>
          </cell>
        </row>
        <row r="253">
          <cell r="A253" t="str">
            <v>LPV051-2016-1</v>
          </cell>
        </row>
        <row r="254">
          <cell r="A254" t="str">
            <v>LPV051-2016-2</v>
          </cell>
        </row>
        <row r="255">
          <cell r="A255" t="str">
            <v>LPV052-2016-1</v>
          </cell>
        </row>
        <row r="256">
          <cell r="A256" t="str">
            <v>LPV052-2016-2</v>
          </cell>
        </row>
        <row r="257">
          <cell r="A257" t="str">
            <v>LPV053-2016-1</v>
          </cell>
        </row>
        <row r="258">
          <cell r="A258" t="str">
            <v>LPV053-2016-2</v>
          </cell>
        </row>
        <row r="259">
          <cell r="A259" t="str">
            <v>LPV054-2016-1</v>
          </cell>
        </row>
        <row r="260">
          <cell r="A260" t="str">
            <v>LPV054-2016-2</v>
          </cell>
        </row>
        <row r="261">
          <cell r="A261" t="str">
            <v>LPV055-2016-1</v>
          </cell>
        </row>
        <row r="262">
          <cell r="A262" t="str">
            <v>LPV055-2016-2</v>
          </cell>
        </row>
        <row r="263">
          <cell r="A263" t="str">
            <v>LPV056-2016-1</v>
          </cell>
        </row>
        <row r="264">
          <cell r="A264" t="str">
            <v>LPV056-2016-2</v>
          </cell>
        </row>
        <row r="265">
          <cell r="A265" t="str">
            <v>LPV057-2016-1</v>
          </cell>
        </row>
        <row r="266">
          <cell r="A266" t="str">
            <v>LPV057-2016-2</v>
          </cell>
        </row>
        <row r="267">
          <cell r="A267" t="str">
            <v>LPV058-2016-1</v>
          </cell>
        </row>
        <row r="268">
          <cell r="A268" t="str">
            <v>LPV058-2016-2</v>
          </cell>
        </row>
        <row r="269">
          <cell r="A269" t="str">
            <v>LPV059-2016-1</v>
          </cell>
        </row>
        <row r="270">
          <cell r="A270" t="str">
            <v>LPV059-2016-2</v>
          </cell>
        </row>
        <row r="271">
          <cell r="A271" t="str">
            <v>LPV060-2016-1</v>
          </cell>
        </row>
        <row r="272">
          <cell r="A272" t="str">
            <v>LPV060-2016-2</v>
          </cell>
        </row>
        <row r="273">
          <cell r="A273" t="str">
            <v>LPV061-2016-1</v>
          </cell>
        </row>
        <row r="274">
          <cell r="A274" t="str">
            <v>LPV061-2016-2</v>
          </cell>
        </row>
        <row r="275">
          <cell r="A275" t="str">
            <v>LPV062-2016-1</v>
          </cell>
        </row>
        <row r="276">
          <cell r="A276" t="str">
            <v>LPV062-2016-2</v>
          </cell>
        </row>
        <row r="277">
          <cell r="A277" t="str">
            <v>LPV063-2016-1</v>
          </cell>
        </row>
        <row r="278">
          <cell r="A278" t="str">
            <v>LPV064-2016-1</v>
          </cell>
        </row>
        <row r="279">
          <cell r="A279" t="str">
            <v>LPV065-2016-1</v>
          </cell>
        </row>
        <row r="280">
          <cell r="A280" t="str">
            <v>LPV066-2016-1</v>
          </cell>
        </row>
        <row r="281">
          <cell r="A281" t="str">
            <v>LPV067-2016-1</v>
          </cell>
        </row>
        <row r="282">
          <cell r="A282" t="str">
            <v>MPV001-2016-1</v>
          </cell>
        </row>
        <row r="283">
          <cell r="A283" t="str">
            <v>MPV001-2016-2</v>
          </cell>
        </row>
        <row r="284">
          <cell r="A284" t="str">
            <v>MPV002-2016-1</v>
          </cell>
        </row>
        <row r="285">
          <cell r="A285" t="str">
            <v>MPV002-2016-2</v>
          </cell>
        </row>
        <row r="286">
          <cell r="A286" t="str">
            <v>MPV003-2016-1</v>
          </cell>
        </row>
        <row r="287">
          <cell r="A287" t="str">
            <v>MPV003-2016-2</v>
          </cell>
        </row>
        <row r="288">
          <cell r="A288" t="str">
            <v>MPV005-2016-1</v>
          </cell>
        </row>
        <row r="289">
          <cell r="A289" t="str">
            <v>MPV006-2016-1</v>
          </cell>
        </row>
        <row r="290">
          <cell r="A290" t="str">
            <v>TRK007-2016-1</v>
          </cell>
        </row>
        <row r="291">
          <cell r="A291" t="str">
            <v>TRK007-2016-2</v>
          </cell>
        </row>
        <row r="292">
          <cell r="A292" t="str">
            <v>TRK008-2016-1</v>
          </cell>
        </row>
        <row r="293">
          <cell r="A293" t="str">
            <v>TRK008-2016-2</v>
          </cell>
        </row>
        <row r="294">
          <cell r="A294" t="str">
            <v>TRK009-2016-1</v>
          </cell>
        </row>
        <row r="295">
          <cell r="A295" t="str">
            <v>TRK009-2016-2</v>
          </cell>
        </row>
        <row r="296">
          <cell r="A296" t="str">
            <v>TRK010-2016-1</v>
          </cell>
        </row>
        <row r="297">
          <cell r="A297" t="str">
            <v>TRK010-2016-2</v>
          </cell>
        </row>
        <row r="298">
          <cell r="A298" t="str">
            <v>TRK011-2016-1</v>
          </cell>
        </row>
        <row r="299">
          <cell r="A299" t="str">
            <v>TRK011-2016-2</v>
          </cell>
        </row>
        <row r="300">
          <cell r="A300" t="str">
            <v>TRK012-2016-1</v>
          </cell>
        </row>
        <row r="301">
          <cell r="A301" t="str">
            <v>TRK012-2016-2</v>
          </cell>
        </row>
        <row r="302">
          <cell r="A302" t="str">
            <v>TRK013-2016-1</v>
          </cell>
        </row>
        <row r="303">
          <cell r="A303" t="str">
            <v>TRK013-2016-2</v>
          </cell>
        </row>
        <row r="304">
          <cell r="A304" t="str">
            <v>TRK014-2016-1</v>
          </cell>
        </row>
        <row r="305">
          <cell r="A305" t="str">
            <v>TRK014-2016-2</v>
          </cell>
        </row>
        <row r="306">
          <cell r="A306" t="str">
            <v>TRK015-2016-1</v>
          </cell>
        </row>
        <row r="307">
          <cell r="A307" t="str">
            <v>TRK015-2016-2</v>
          </cell>
        </row>
        <row r="308">
          <cell r="A308" t="str">
            <v>TRK016-2016-1</v>
          </cell>
        </row>
        <row r="309">
          <cell r="A309" t="str">
            <v>TRK016-2016-2</v>
          </cell>
        </row>
        <row r="310">
          <cell r="A310" t="str">
            <v>TRK017-2016-1</v>
          </cell>
        </row>
        <row r="311">
          <cell r="A311" t="str">
            <v>TRK017-2016-2</v>
          </cell>
        </row>
        <row r="312">
          <cell r="A312" t="str">
            <v>TRK018-2016-1</v>
          </cell>
        </row>
        <row r="313">
          <cell r="A313" t="str">
            <v>TRK018-2016-2</v>
          </cell>
        </row>
        <row r="314">
          <cell r="A314" t="str">
            <v>TRK019-2016-1</v>
          </cell>
        </row>
        <row r="315">
          <cell r="A315" t="str">
            <v>TRK019-2016-2</v>
          </cell>
        </row>
        <row r="316">
          <cell r="A316" t="str">
            <v>TRK020-2016-1</v>
          </cell>
        </row>
        <row r="317">
          <cell r="A317" t="str">
            <v>TRK020-2016-2</v>
          </cell>
        </row>
        <row r="318">
          <cell r="A318" t="str">
            <v>TRK021-2016-1</v>
          </cell>
        </row>
        <row r="319">
          <cell r="A319" t="str">
            <v>TRK021-2016-2</v>
          </cell>
        </row>
        <row r="320">
          <cell r="A320" t="str">
            <v>TRK022-2016-1</v>
          </cell>
        </row>
        <row r="321">
          <cell r="A321" t="str">
            <v>TRK022-2016-2</v>
          </cell>
        </row>
        <row r="322">
          <cell r="A322" t="str">
            <v>TRK023-2016-1</v>
          </cell>
        </row>
        <row r="323">
          <cell r="A323" t="str">
            <v>TRK024-2016-1</v>
          </cell>
        </row>
        <row r="324">
          <cell r="A324" t="str">
            <v>TRK025-2016-1</v>
          </cell>
        </row>
        <row r="325">
          <cell r="A325" t="str">
            <v>TRK026-2016-1</v>
          </cell>
        </row>
        <row r="326">
          <cell r="A326" t="str">
            <v>TRK027-2016-1</v>
          </cell>
        </row>
        <row r="327">
          <cell r="A327" t="str">
            <v>TRK028-2016-1</v>
          </cell>
        </row>
        <row r="328">
          <cell r="A328" t="str">
            <v>TRK029-2016-1</v>
          </cell>
        </row>
        <row r="329">
          <cell r="A329" t="str">
            <v>TRK030-2016-1</v>
          </cell>
        </row>
        <row r="330">
          <cell r="A330" t="str">
            <v>TRK031-2016-1</v>
          </cell>
        </row>
        <row r="331">
          <cell r="A331" t="str">
            <v>TRK032-2016-1</v>
          </cell>
        </row>
        <row r="332">
          <cell r="A332" t="str">
            <v>TRK033-2016-1</v>
          </cell>
        </row>
        <row r="333">
          <cell r="A333" t="str">
            <v>TRK033-2016-2</v>
          </cell>
        </row>
        <row r="334">
          <cell r="A334" t="str">
            <v>TRK034-2016-1</v>
          </cell>
        </row>
        <row r="335">
          <cell r="A335" t="str">
            <v>TRK034-2016-2</v>
          </cell>
        </row>
        <row r="336">
          <cell r="A336" t="str">
            <v>TRK035-2016-1</v>
          </cell>
        </row>
        <row r="337">
          <cell r="A337" t="str">
            <v>TRK035-2016-2</v>
          </cell>
        </row>
        <row r="338">
          <cell r="A338" t="str">
            <v>TRK036-2016-1</v>
          </cell>
        </row>
        <row r="339">
          <cell r="A339" t="str">
            <v>TRK036-2016-2</v>
          </cell>
        </row>
        <row r="340">
          <cell r="A340" t="str">
            <v>TRK037-2016-1</v>
          </cell>
        </row>
        <row r="341">
          <cell r="A341" t="str">
            <v>TRK037-2016-2</v>
          </cell>
        </row>
        <row r="342">
          <cell r="A342" t="str">
            <v>TRK038-2016-1</v>
          </cell>
        </row>
        <row r="343">
          <cell r="A343" t="str">
            <v>TRK038-2016-2</v>
          </cell>
        </row>
        <row r="344">
          <cell r="A344" t="str">
            <v>TRK039-2016-1</v>
          </cell>
        </row>
        <row r="345">
          <cell r="A345" t="str">
            <v>TRK039-2016-2</v>
          </cell>
        </row>
        <row r="346">
          <cell r="A346" t="str">
            <v>TRK040-2016-1</v>
          </cell>
        </row>
        <row r="347">
          <cell r="A347" t="str">
            <v>TRK040-2016-2</v>
          </cell>
        </row>
        <row r="348">
          <cell r="A348" t="str">
            <v>TRK041-2016-1</v>
          </cell>
        </row>
        <row r="349">
          <cell r="A349" t="str">
            <v>TRK041-2016-2</v>
          </cell>
        </row>
        <row r="350">
          <cell r="A350" t="str">
            <v>TRK042-2016-1</v>
          </cell>
        </row>
        <row r="351">
          <cell r="A351" t="str">
            <v>TRK042-2016-2</v>
          </cell>
        </row>
        <row r="352">
          <cell r="A352" t="str">
            <v>TRK043-2016-1</v>
          </cell>
        </row>
        <row r="353">
          <cell r="A353" t="str">
            <v>TRK043-2016-2</v>
          </cell>
        </row>
        <row r="354">
          <cell r="A354" t="str">
            <v>TRK044-2016-1</v>
          </cell>
        </row>
        <row r="355">
          <cell r="A355" t="str">
            <v>TRK044-2016-2</v>
          </cell>
        </row>
        <row r="356">
          <cell r="A356" t="str">
            <v>TRK045-2016-1</v>
          </cell>
        </row>
        <row r="357">
          <cell r="A357" t="str">
            <v>TRK045-2016-2</v>
          </cell>
        </row>
        <row r="358">
          <cell r="A358" t="str">
            <v>TRK046-2016-1</v>
          </cell>
        </row>
        <row r="359">
          <cell r="A359" t="str">
            <v>TRK046-2016-2</v>
          </cell>
        </row>
        <row r="360">
          <cell r="A360" t="str">
            <v>TRK047-2016-1</v>
          </cell>
        </row>
        <row r="361">
          <cell r="A361" t="str">
            <v>TRK047-2016-2</v>
          </cell>
        </row>
        <row r="362">
          <cell r="A362" t="str">
            <v>TRK048-2016-1</v>
          </cell>
        </row>
        <row r="363">
          <cell r="A363" t="str">
            <v>TRK048-2016-2</v>
          </cell>
        </row>
        <row r="364">
          <cell r="A364" t="str">
            <v>TRK049-2016-1</v>
          </cell>
        </row>
        <row r="365">
          <cell r="A365" t="str">
            <v>TRK049-2016-2</v>
          </cell>
        </row>
        <row r="366">
          <cell r="A366" t="str">
            <v>TRK050-2016-1</v>
          </cell>
        </row>
        <row r="367">
          <cell r="A367" t="str">
            <v>TRK050-2016-2</v>
          </cell>
        </row>
        <row r="368">
          <cell r="A368" t="str">
            <v>TRK051-2016-1</v>
          </cell>
        </row>
        <row r="369">
          <cell r="A369" t="str">
            <v>TRK051-2016-2</v>
          </cell>
        </row>
        <row r="370">
          <cell r="A370" t="str">
            <v>TRK052-2016-1</v>
          </cell>
        </row>
        <row r="371">
          <cell r="A371" t="str">
            <v>TRK052-2016-2</v>
          </cell>
        </row>
        <row r="372">
          <cell r="A372" t="str">
            <v>TRK053-2016-1</v>
          </cell>
        </row>
        <row r="373">
          <cell r="A373" t="str">
            <v>TRK053-2016-2</v>
          </cell>
        </row>
        <row r="374">
          <cell r="A374" t="str">
            <v>TRK054-2016-1</v>
          </cell>
        </row>
        <row r="375">
          <cell r="A375" t="str">
            <v>TRK054-2016-2</v>
          </cell>
        </row>
        <row r="376">
          <cell r="A376" t="str">
            <v>TRK055-2016-1</v>
          </cell>
        </row>
        <row r="377">
          <cell r="A377" t="str">
            <v>TRK055-2016-2</v>
          </cell>
        </row>
        <row r="378">
          <cell r="A378" t="str">
            <v>TRK056-2016-1</v>
          </cell>
        </row>
        <row r="379">
          <cell r="A379" t="str">
            <v>TRK056-2016-2</v>
          </cell>
        </row>
        <row r="380">
          <cell r="A380" t="str">
            <v>TRK057-2016-1</v>
          </cell>
        </row>
        <row r="381">
          <cell r="A381" t="str">
            <v>TRK057-2016-2</v>
          </cell>
        </row>
        <row r="382">
          <cell r="A382" t="str">
            <v>TRK058-2016-1</v>
          </cell>
        </row>
        <row r="383">
          <cell r="A383" t="str">
            <v>TRK058-2016-2</v>
          </cell>
        </row>
        <row r="384">
          <cell r="A384" t="str">
            <v>TRK059-2016-1</v>
          </cell>
        </row>
        <row r="385">
          <cell r="A385" t="str">
            <v>TRK059-2016-2</v>
          </cell>
        </row>
        <row r="386">
          <cell r="A386" t="str">
            <v>TRK060-2016-1</v>
          </cell>
        </row>
        <row r="387">
          <cell r="A387" t="str">
            <v>TRK060-2016-2</v>
          </cell>
        </row>
        <row r="388">
          <cell r="A388" t="str">
            <v>TRK061-2016-1</v>
          </cell>
        </row>
        <row r="389">
          <cell r="A389" t="str">
            <v>TRK061-2016-2</v>
          </cell>
        </row>
        <row r="390">
          <cell r="A390" t="str">
            <v>TRK062-2016-1</v>
          </cell>
        </row>
        <row r="391">
          <cell r="A391" t="str">
            <v>TRK062-2016-2</v>
          </cell>
        </row>
        <row r="392">
          <cell r="A392" t="str">
            <v>TRK063-2016-1</v>
          </cell>
        </row>
        <row r="393">
          <cell r="A393" t="str">
            <v>TRK063-2016-2</v>
          </cell>
        </row>
        <row r="394">
          <cell r="A394" t="str">
            <v>TRK064-2016-1</v>
          </cell>
        </row>
        <row r="395">
          <cell r="A395" t="str">
            <v>TRK064-2016-2</v>
          </cell>
        </row>
        <row r="396">
          <cell r="A396" t="str">
            <v>TRK065-2016-1</v>
          </cell>
        </row>
        <row r="397">
          <cell r="A397" t="str">
            <v>TRK065-2016-2</v>
          </cell>
        </row>
        <row r="398">
          <cell r="A398" t="str">
            <v>TRK066-2016-1</v>
          </cell>
        </row>
        <row r="399">
          <cell r="A399" t="str">
            <v>TRK066-2016-2</v>
          </cell>
        </row>
        <row r="400">
          <cell r="A400" t="str">
            <v>TRK067-2016-1</v>
          </cell>
        </row>
        <row r="401">
          <cell r="A401" t="str">
            <v>TRK067-2016-2</v>
          </cell>
        </row>
        <row r="402">
          <cell r="A402" t="str">
            <v>TRK068-2016-1</v>
          </cell>
        </row>
        <row r="403">
          <cell r="A403" t="str">
            <v>TRK068-2016-2</v>
          </cell>
        </row>
        <row r="404">
          <cell r="A404" t="str">
            <v>TRK069-2016-1</v>
          </cell>
        </row>
        <row r="405">
          <cell r="A405" t="str">
            <v>TRK069-2016-2</v>
          </cell>
        </row>
        <row r="406">
          <cell r="A406" t="str">
            <v>TRK070-2016-1</v>
          </cell>
        </row>
        <row r="407">
          <cell r="A407" t="str">
            <v>TRK070-2016-2</v>
          </cell>
        </row>
        <row r="408">
          <cell r="A408" t="str">
            <v>TRK071-2016-1</v>
          </cell>
        </row>
        <row r="409">
          <cell r="A409" t="str">
            <v>TRK071-2016-2</v>
          </cell>
        </row>
        <row r="410">
          <cell r="A410" t="str">
            <v>TRK072-2016-1</v>
          </cell>
        </row>
        <row r="411">
          <cell r="A411" t="str">
            <v>TRK072-2016-2</v>
          </cell>
        </row>
        <row r="412">
          <cell r="A412" t="str">
            <v>TRK073-2016-1</v>
          </cell>
        </row>
        <row r="413">
          <cell r="A413" t="str">
            <v>TRK073-2016-2</v>
          </cell>
        </row>
        <row r="414">
          <cell r="A414" t="str">
            <v>TRK074-2016-1</v>
          </cell>
        </row>
        <row r="415">
          <cell r="A415" t="str">
            <v>TRK074-2016-2</v>
          </cell>
        </row>
        <row r="416">
          <cell r="A416" t="str">
            <v>TRK075-2016-1</v>
          </cell>
        </row>
        <row r="417">
          <cell r="A417" t="str">
            <v>TRK075-2016-2</v>
          </cell>
        </row>
        <row r="418">
          <cell r="A418" t="str">
            <v>TRK076-2016-1</v>
          </cell>
        </row>
        <row r="419">
          <cell r="A419" t="str">
            <v>TRK076-2016-2</v>
          </cell>
        </row>
        <row r="420">
          <cell r="A420" t="str">
            <v>TRK077-2016-1</v>
          </cell>
        </row>
        <row r="421">
          <cell r="A421" t="str">
            <v>TRK077-2016-2</v>
          </cell>
        </row>
        <row r="422">
          <cell r="A422" t="str">
            <v>TRK078-2016-1</v>
          </cell>
        </row>
        <row r="423">
          <cell r="A423" t="str">
            <v>TRK078-2016-2</v>
          </cell>
        </row>
        <row r="424">
          <cell r="A424" t="str">
            <v>TRK079-2016-1</v>
          </cell>
        </row>
        <row r="425">
          <cell r="A425" t="str">
            <v>TRK079-2016-2</v>
          </cell>
        </row>
        <row r="426">
          <cell r="A426" t="str">
            <v>TRK080-2016-1</v>
          </cell>
        </row>
        <row r="427">
          <cell r="A427" t="str">
            <v>TRK080-2016-2</v>
          </cell>
        </row>
        <row r="428">
          <cell r="A428" t="str">
            <v>TRK081-2016-1</v>
          </cell>
        </row>
        <row r="429">
          <cell r="A429" t="str">
            <v>TRK081-2016-2</v>
          </cell>
        </row>
        <row r="430">
          <cell r="A430" t="str">
            <v>TRK082-2016-1</v>
          </cell>
        </row>
        <row r="431">
          <cell r="A431" t="str">
            <v>TRK082-2016-2</v>
          </cell>
        </row>
        <row r="432">
          <cell r="A432" t="str">
            <v>TRK083-2016-1</v>
          </cell>
        </row>
        <row r="433">
          <cell r="A433" t="str">
            <v>TRK083-2016-2</v>
          </cell>
        </row>
        <row r="434">
          <cell r="A434" t="str">
            <v>TRK084-2016-1</v>
          </cell>
        </row>
        <row r="435">
          <cell r="A435" t="str">
            <v>TRK084-2016-2</v>
          </cell>
        </row>
        <row r="436">
          <cell r="A436" t="str">
            <v>TRK085-2016-1</v>
          </cell>
        </row>
        <row r="437">
          <cell r="A437" t="str">
            <v>TRK085-2016-2</v>
          </cell>
        </row>
        <row r="438">
          <cell r="A438" t="str">
            <v>TRK086-2016-1</v>
          </cell>
        </row>
        <row r="439">
          <cell r="A439" t="str">
            <v>TRK086-2016-2</v>
          </cell>
        </row>
        <row r="440">
          <cell r="A440" t="str">
            <v>TRK087-2016-1</v>
          </cell>
        </row>
        <row r="441">
          <cell r="A441" t="str">
            <v>TRK087-2016-2</v>
          </cell>
        </row>
        <row r="442">
          <cell r="A442" t="str">
            <v>TRK088-2016-1</v>
          </cell>
        </row>
        <row r="443">
          <cell r="A443" t="str">
            <v>TRK088-2016-2</v>
          </cell>
        </row>
        <row r="444">
          <cell r="A444" t="str">
            <v>TRK089-2016-1</v>
          </cell>
        </row>
        <row r="445">
          <cell r="A445" t="str">
            <v>TRK089-2016-2</v>
          </cell>
        </row>
        <row r="446">
          <cell r="A446" t="str">
            <v>TRK090-2016-1</v>
          </cell>
        </row>
        <row r="447">
          <cell r="A447" t="str">
            <v>TRK090-2016-2</v>
          </cell>
        </row>
        <row r="448">
          <cell r="A448" t="str">
            <v>TRK091-2016-1</v>
          </cell>
        </row>
        <row r="449">
          <cell r="A449" t="str">
            <v>TRK091-2016-2</v>
          </cell>
        </row>
        <row r="450">
          <cell r="A450" t="str">
            <v>TRK092-2016-1</v>
          </cell>
        </row>
        <row r="451">
          <cell r="A451" t="str">
            <v>TRK092-2016-2</v>
          </cell>
        </row>
        <row r="452">
          <cell r="A452" t="str">
            <v>TRK093-2016-1</v>
          </cell>
        </row>
        <row r="453">
          <cell r="A453" t="str">
            <v>TRK093-2016-2</v>
          </cell>
        </row>
        <row r="454">
          <cell r="A454" t="str">
            <v>TRK094-2016-1</v>
          </cell>
        </row>
        <row r="455">
          <cell r="A455" t="str">
            <v>TRK094-2016-2</v>
          </cell>
        </row>
        <row r="456">
          <cell r="A456" t="str">
            <v>TRK095-2016-1</v>
          </cell>
        </row>
        <row r="457">
          <cell r="A457" t="str">
            <v>TRK095-2016-2</v>
          </cell>
        </row>
        <row r="458">
          <cell r="A458" t="str">
            <v>TRK096-2016-1</v>
          </cell>
        </row>
        <row r="459">
          <cell r="A459" t="str">
            <v>TRK096-2016-2</v>
          </cell>
        </row>
        <row r="460">
          <cell r="A460" t="str">
            <v>TRK097-2016-1</v>
          </cell>
        </row>
        <row r="461">
          <cell r="A461" t="str">
            <v>TRK097-2016-2</v>
          </cell>
        </row>
        <row r="462">
          <cell r="A462" t="str">
            <v>TRK098-2016-1</v>
          </cell>
        </row>
        <row r="463">
          <cell r="A463" t="str">
            <v>TRK098-2016-2</v>
          </cell>
        </row>
        <row r="464">
          <cell r="A464" t="str">
            <v>TRK099-2016-1</v>
          </cell>
        </row>
        <row r="465">
          <cell r="A465" t="str">
            <v>TRK099-2016-2</v>
          </cell>
        </row>
        <row r="466">
          <cell r="A466" t="str">
            <v>TRK100-2016-1</v>
          </cell>
        </row>
        <row r="467">
          <cell r="A467" t="str">
            <v>TRK100-2016-2</v>
          </cell>
        </row>
        <row r="468">
          <cell r="A468" t="str">
            <v>TRK101-2016-1</v>
          </cell>
        </row>
        <row r="469">
          <cell r="A469" t="str">
            <v>TRK101-2016-2</v>
          </cell>
        </row>
        <row r="470">
          <cell r="A470" t="str">
            <v>TRK102-2016-1</v>
          </cell>
        </row>
        <row r="471">
          <cell r="A471" t="str">
            <v>TRK102-2016-2</v>
          </cell>
        </row>
        <row r="472">
          <cell r="A472" t="str">
            <v>TRK103-2016-1</v>
          </cell>
        </row>
        <row r="473">
          <cell r="A473" t="str">
            <v>TRK103-2016-2</v>
          </cell>
        </row>
        <row r="474">
          <cell r="A474" t="str">
            <v>TRK104-2016-1</v>
          </cell>
        </row>
        <row r="475">
          <cell r="A475" t="str">
            <v>TRK104-2016-2</v>
          </cell>
        </row>
        <row r="476">
          <cell r="A476" t="str">
            <v>TRK105-2016-1</v>
          </cell>
        </row>
        <row r="477">
          <cell r="A477" t="str">
            <v>TRK105-2016-2</v>
          </cell>
        </row>
        <row r="478">
          <cell r="A478" t="str">
            <v>TRK106-2016-1</v>
          </cell>
        </row>
        <row r="479">
          <cell r="A479" t="str">
            <v>TRK106-2016-2</v>
          </cell>
        </row>
        <row r="480">
          <cell r="A480" t="str">
            <v>TRK107-2016-1</v>
          </cell>
        </row>
        <row r="481">
          <cell r="A481" t="str">
            <v>TRK107-2016-2</v>
          </cell>
        </row>
        <row r="482">
          <cell r="A482" t="str">
            <v>TRK108-2016-1</v>
          </cell>
        </row>
        <row r="483">
          <cell r="A483" t="str">
            <v>TRK108-2016-2</v>
          </cell>
        </row>
        <row r="484">
          <cell r="A484" t="str">
            <v>TRK109-2016-1</v>
          </cell>
        </row>
        <row r="485">
          <cell r="A485" t="str">
            <v>TRK109-2016-2</v>
          </cell>
        </row>
        <row r="486">
          <cell r="A486" t="str">
            <v>TRK110-2016-1</v>
          </cell>
        </row>
        <row r="487">
          <cell r="A487" t="str">
            <v>TRK110-2016-2</v>
          </cell>
        </row>
        <row r="488">
          <cell r="A488" t="str">
            <v>TRK111-2016-1</v>
          </cell>
        </row>
        <row r="489">
          <cell r="A489" t="str">
            <v>TRK111-2016-2</v>
          </cell>
        </row>
        <row r="490">
          <cell r="A490" t="str">
            <v>TRK112-2016-1</v>
          </cell>
        </row>
        <row r="491">
          <cell r="A491" t="str">
            <v>TRK112-2016-2</v>
          </cell>
        </row>
        <row r="492">
          <cell r="A492" t="str">
            <v>TRK113-2016-1</v>
          </cell>
        </row>
        <row r="493">
          <cell r="A493" t="str">
            <v>TRK113-2016-2</v>
          </cell>
        </row>
        <row r="494">
          <cell r="A494" t="str">
            <v>TRK114-2016-1</v>
          </cell>
        </row>
        <row r="495">
          <cell r="A495" t="str">
            <v>TRK114-2016-2</v>
          </cell>
        </row>
        <row r="496">
          <cell r="A496" t="str">
            <v>TRK115-2016-1</v>
          </cell>
        </row>
        <row r="497">
          <cell r="A497" t="str">
            <v>TRK115-2016-2</v>
          </cell>
        </row>
        <row r="498">
          <cell r="A498" t="str">
            <v>TRK116-2016-1</v>
          </cell>
        </row>
        <row r="499">
          <cell r="A499" t="str">
            <v>TRK116-2016-2</v>
          </cell>
        </row>
        <row r="500">
          <cell r="A500" t="str">
            <v>TRK117-2016-1</v>
          </cell>
        </row>
        <row r="501">
          <cell r="A501" t="str">
            <v>TRK117-2016-2</v>
          </cell>
        </row>
        <row r="502">
          <cell r="A502" t="str">
            <v>TRK118-2016-1</v>
          </cell>
        </row>
        <row r="503">
          <cell r="A503" t="str">
            <v>TRK118-2016-2</v>
          </cell>
        </row>
        <row r="504">
          <cell r="A504" t="str">
            <v>TRK119-2016-1</v>
          </cell>
        </row>
        <row r="505">
          <cell r="A505" t="str">
            <v>TRK119-2016-2</v>
          </cell>
        </row>
        <row r="506">
          <cell r="A506" t="str">
            <v>TRK120-2016-1</v>
          </cell>
        </row>
        <row r="507">
          <cell r="A507" t="str">
            <v>TRK120-2016-2</v>
          </cell>
        </row>
        <row r="508">
          <cell r="A508" t="str">
            <v>TRK121-2016-1</v>
          </cell>
        </row>
        <row r="509">
          <cell r="A509" t="str">
            <v>TRK121-2016-2</v>
          </cell>
        </row>
        <row r="510">
          <cell r="A510" t="str">
            <v>TRK122-2016-1</v>
          </cell>
        </row>
        <row r="511">
          <cell r="A511" t="str">
            <v>TRK122-2016-2</v>
          </cell>
        </row>
        <row r="512">
          <cell r="A512" t="str">
            <v>TRK123-2016-1</v>
          </cell>
        </row>
        <row r="513">
          <cell r="A513" t="str">
            <v>TRK124-2016-1</v>
          </cell>
        </row>
        <row r="514">
          <cell r="A514" t="str">
            <v>TRK125-2016-1</v>
          </cell>
        </row>
        <row r="515">
          <cell r="A515" t="str">
            <v>TRK126-2016-1</v>
          </cell>
        </row>
        <row r="516">
          <cell r="A516" t="str">
            <v>TRK127-2016-1</v>
          </cell>
        </row>
        <row r="517">
          <cell r="A517" t="str">
            <v>TRK128-2016-1</v>
          </cell>
        </row>
        <row r="518">
          <cell r="A518" t="str">
            <v>TRK129-2016-1</v>
          </cell>
        </row>
        <row r="519">
          <cell r="A519" t="str">
            <v>TRK130-2016-1</v>
          </cell>
        </row>
        <row r="520">
          <cell r="A520" t="str">
            <v>TRK131-2016-1</v>
          </cell>
        </row>
        <row r="521">
          <cell r="A521" t="str">
            <v>TRK132-2016-1</v>
          </cell>
        </row>
        <row r="522">
          <cell r="A522" t="str">
            <v>TRK133-2016-1</v>
          </cell>
        </row>
        <row r="523">
          <cell r="A523" t="str">
            <v>TRK133-2016-2</v>
          </cell>
        </row>
        <row r="524">
          <cell r="A524" t="str">
            <v>TRK134-2016-1</v>
          </cell>
        </row>
        <row r="525">
          <cell r="A525" t="str">
            <v>TRK134-2016-2</v>
          </cell>
        </row>
        <row r="526">
          <cell r="A526" t="str">
            <v>TRK135-2016-1</v>
          </cell>
        </row>
        <row r="527">
          <cell r="A527" t="str">
            <v>TRK135-2016-2</v>
          </cell>
        </row>
        <row r="528">
          <cell r="A528" t="str">
            <v>TRK136-2016-1</v>
          </cell>
        </row>
        <row r="529">
          <cell r="A529" t="str">
            <v>TRK136-2016-2</v>
          </cell>
        </row>
        <row r="530">
          <cell r="A530" t="str">
            <v>TRK137-2016-1</v>
          </cell>
        </row>
        <row r="531">
          <cell r="A531" t="str">
            <v>TRK137-2016-2</v>
          </cell>
        </row>
        <row r="532">
          <cell r="A532" t="str">
            <v>TRK138-2016-1</v>
          </cell>
        </row>
        <row r="533">
          <cell r="A533" t="str">
            <v>TRK138-2016-2</v>
          </cell>
        </row>
        <row r="534">
          <cell r="A534" t="str">
            <v>TRK139-2016-1</v>
          </cell>
        </row>
        <row r="535">
          <cell r="A535" t="str">
            <v>TRK139-2016-2</v>
          </cell>
        </row>
        <row r="536">
          <cell r="A536" t="str">
            <v>TRK140-2016-1</v>
          </cell>
        </row>
        <row r="537">
          <cell r="A537" t="str">
            <v>TRK140-2016-2</v>
          </cell>
        </row>
        <row r="538">
          <cell r="A538" t="str">
            <v>TRK141-2016-1</v>
          </cell>
        </row>
        <row r="539">
          <cell r="A539" t="str">
            <v>TRK141-2016-2</v>
          </cell>
        </row>
        <row r="540">
          <cell r="A540" t="str">
            <v>TRK142-2016-1</v>
          </cell>
        </row>
        <row r="541">
          <cell r="A541" t="str">
            <v>TRK142-2016-2</v>
          </cell>
        </row>
        <row r="542">
          <cell r="A542" t="str">
            <v>TRK143-2016-1</v>
          </cell>
        </row>
        <row r="543">
          <cell r="A543" t="str">
            <v>TRK143-2016-2</v>
          </cell>
        </row>
        <row r="544">
          <cell r="A544" t="str">
            <v>TRK144-2016-1</v>
          </cell>
        </row>
        <row r="545">
          <cell r="A545" t="str">
            <v>TRK144-2016-2</v>
          </cell>
        </row>
        <row r="546">
          <cell r="A546" t="str">
            <v>TRK145-2016-1</v>
          </cell>
        </row>
        <row r="547">
          <cell r="A547" t="str">
            <v>TRK145-2016-2</v>
          </cell>
        </row>
        <row r="548">
          <cell r="A548" t="str">
            <v>TRK146-2016-1</v>
          </cell>
        </row>
        <row r="549">
          <cell r="A549" t="str">
            <v>TRK146-2016-2</v>
          </cell>
        </row>
        <row r="550">
          <cell r="A550" t="str">
            <v>TRK147-2016-1</v>
          </cell>
        </row>
        <row r="551">
          <cell r="A551" t="str">
            <v>TRK147-2016-2</v>
          </cell>
        </row>
        <row r="552">
          <cell r="A552" t="str">
            <v>TRK148-2016-1</v>
          </cell>
        </row>
        <row r="553">
          <cell r="A553" t="str">
            <v>TRK148-2016-2</v>
          </cell>
        </row>
        <row r="554">
          <cell r="A554" t="str">
            <v>TRK149-2016-1</v>
          </cell>
        </row>
        <row r="555">
          <cell r="A555" t="str">
            <v>TRK149-2016-2</v>
          </cell>
        </row>
        <row r="556">
          <cell r="A556" t="str">
            <v>TRK150-2016-1</v>
          </cell>
        </row>
        <row r="557">
          <cell r="A557" t="str">
            <v>TRK150-2016-2</v>
          </cell>
        </row>
        <row r="558">
          <cell r="A558" t="str">
            <v>TRK151-2016-1</v>
          </cell>
        </row>
        <row r="559">
          <cell r="A559" t="str">
            <v>TRK151-2016-2</v>
          </cell>
        </row>
        <row r="560">
          <cell r="A560" t="str">
            <v>TRK152-2016-1</v>
          </cell>
        </row>
        <row r="561">
          <cell r="A561" t="str">
            <v>TRK152-2016-2</v>
          </cell>
        </row>
        <row r="562">
          <cell r="A562" t="str">
            <v>TRK153-2016-1</v>
          </cell>
        </row>
        <row r="563">
          <cell r="A563" t="str">
            <v>TRK153-2016-2</v>
          </cell>
        </row>
        <row r="564">
          <cell r="A564" t="str">
            <v>TRK154-2016-1</v>
          </cell>
        </row>
        <row r="565">
          <cell r="A565" t="str">
            <v>TRK154-2016-2</v>
          </cell>
        </row>
        <row r="566">
          <cell r="A566" t="str">
            <v>TRK155-2016-1</v>
          </cell>
        </row>
        <row r="567">
          <cell r="A567" t="str">
            <v>TRK155-2016-2</v>
          </cell>
        </row>
        <row r="568">
          <cell r="A568" t="str">
            <v>TRK156-2016-1</v>
          </cell>
        </row>
        <row r="569">
          <cell r="A569" t="str">
            <v>TRK156-2016-2</v>
          </cell>
        </row>
        <row r="570">
          <cell r="A570" t="str">
            <v>TRK157-2016-1</v>
          </cell>
        </row>
        <row r="571">
          <cell r="A571" t="str">
            <v>TRK157-2016-2</v>
          </cell>
        </row>
        <row r="572">
          <cell r="A572" t="str">
            <v>TRK158-2016-1</v>
          </cell>
        </row>
        <row r="573">
          <cell r="A573" t="str">
            <v>TRK158-2016-2</v>
          </cell>
        </row>
        <row r="574">
          <cell r="A574" t="str">
            <v>TRK159-2016-1</v>
          </cell>
        </row>
        <row r="575">
          <cell r="A575" t="str">
            <v>TRK159-2016-2</v>
          </cell>
        </row>
        <row r="576">
          <cell r="A576" t="str">
            <v>TRK160-2016-1</v>
          </cell>
        </row>
        <row r="577">
          <cell r="A577" t="str">
            <v>TRK160-2016-2</v>
          </cell>
        </row>
        <row r="578">
          <cell r="A578" t="str">
            <v>TRK161-2016-1</v>
          </cell>
        </row>
        <row r="579">
          <cell r="A579" t="str">
            <v>TRK161-2016-2</v>
          </cell>
        </row>
        <row r="580">
          <cell r="A580" t="str">
            <v>TRK162-2016-1</v>
          </cell>
        </row>
        <row r="581">
          <cell r="A581" t="str">
            <v>TRK162-2016-2</v>
          </cell>
        </row>
        <row r="582">
          <cell r="A582" t="str">
            <v>TRK163-2016-1</v>
          </cell>
        </row>
        <row r="583">
          <cell r="A583" t="str">
            <v>TRK163-2016-2</v>
          </cell>
        </row>
        <row r="584">
          <cell r="A584" t="str">
            <v>TRK164-2016-1</v>
          </cell>
        </row>
        <row r="585">
          <cell r="A585" t="str">
            <v>TRK164-2016-2</v>
          </cell>
        </row>
        <row r="586">
          <cell r="A586" t="str">
            <v>TRK165-2016-1</v>
          </cell>
        </row>
        <row r="587">
          <cell r="A587" t="str">
            <v>TRK165-2016-2</v>
          </cell>
        </row>
        <row r="588">
          <cell r="A588" t="str">
            <v>TRK166-2016-1</v>
          </cell>
        </row>
        <row r="589">
          <cell r="A589" t="str">
            <v>TRK166-2016-2</v>
          </cell>
        </row>
        <row r="590">
          <cell r="A590" t="str">
            <v>TRK167-2016-1</v>
          </cell>
        </row>
        <row r="591">
          <cell r="A591" t="str">
            <v>TRK167-2016-2</v>
          </cell>
        </row>
        <row r="592">
          <cell r="A592" t="str">
            <v>TRK168-2016-1</v>
          </cell>
        </row>
        <row r="593">
          <cell r="A593" t="str">
            <v>TRK168-2016-2</v>
          </cell>
        </row>
        <row r="594">
          <cell r="A594" t="str">
            <v>TRK169-2016-1</v>
          </cell>
        </row>
        <row r="595">
          <cell r="A595" t="str">
            <v>TRK169-2016-2</v>
          </cell>
        </row>
        <row r="596">
          <cell r="A596" t="str">
            <v>TRK170-2016-1</v>
          </cell>
        </row>
        <row r="597">
          <cell r="A597" t="str">
            <v>TRK170-2016-2</v>
          </cell>
        </row>
        <row r="598">
          <cell r="A598" t="str">
            <v>TRK171-2016-1</v>
          </cell>
        </row>
        <row r="599">
          <cell r="A599" t="str">
            <v>TRK171-2016-2</v>
          </cell>
        </row>
        <row r="600">
          <cell r="A600" t="str">
            <v>TRK172-2016-1</v>
          </cell>
        </row>
        <row r="601">
          <cell r="A601" t="str">
            <v>TRK172-2016-2</v>
          </cell>
        </row>
        <row r="602">
          <cell r="A602" t="str">
            <v>TRK173-2016-1</v>
          </cell>
        </row>
        <row r="603">
          <cell r="A603" t="str">
            <v>TRK173-2016-2</v>
          </cell>
        </row>
        <row r="604">
          <cell r="A604" t="str">
            <v>TRK174-2016-1</v>
          </cell>
        </row>
        <row r="605">
          <cell r="A605" t="str">
            <v>TRK174-2016-2</v>
          </cell>
        </row>
        <row r="606">
          <cell r="A606" t="str">
            <v>TRK175-2016-1</v>
          </cell>
        </row>
        <row r="607">
          <cell r="A607" t="str">
            <v>TRK175-2016-2</v>
          </cell>
        </row>
        <row r="608">
          <cell r="A608" t="str">
            <v>TRK176-2016-1</v>
          </cell>
        </row>
        <row r="609">
          <cell r="A609" t="str">
            <v>TRK176-2016-2</v>
          </cell>
        </row>
        <row r="610">
          <cell r="A610" t="str">
            <v>TRK177-2016-1</v>
          </cell>
        </row>
        <row r="611">
          <cell r="A611" t="str">
            <v>TRK177-2016-2</v>
          </cell>
        </row>
        <row r="612">
          <cell r="A612" t="str">
            <v>TRK178-2016-1</v>
          </cell>
        </row>
        <row r="613">
          <cell r="A613" t="str">
            <v>TRK178-2016-2</v>
          </cell>
        </row>
        <row r="614">
          <cell r="A614" t="str">
            <v>TRK179-2016-1</v>
          </cell>
        </row>
        <row r="615">
          <cell r="A615" t="str">
            <v>TRK179-2016-2</v>
          </cell>
        </row>
        <row r="616">
          <cell r="A616" t="str">
            <v>TRK180-2016-1</v>
          </cell>
        </row>
        <row r="617">
          <cell r="A617" t="str">
            <v>TRK180-2016-2</v>
          </cell>
        </row>
        <row r="618">
          <cell r="A618" t="str">
            <v>TRK181-2016-1</v>
          </cell>
        </row>
        <row r="619">
          <cell r="A619" t="str">
            <v>TRK181-2016-2</v>
          </cell>
        </row>
        <row r="620">
          <cell r="A620" t="str">
            <v>TRK182-2016-1</v>
          </cell>
        </row>
        <row r="621">
          <cell r="A621" t="str">
            <v>TRK182-2016-2</v>
          </cell>
        </row>
        <row r="622">
          <cell r="A622" t="str">
            <v>TRK183-2016-1</v>
          </cell>
        </row>
        <row r="623">
          <cell r="A623" t="str">
            <v>TRK183-2016-2</v>
          </cell>
        </row>
        <row r="624">
          <cell r="A624" t="str">
            <v>TRK184-2016-1</v>
          </cell>
        </row>
        <row r="625">
          <cell r="A625" t="str">
            <v>TRK184-2016-2</v>
          </cell>
        </row>
        <row r="626">
          <cell r="A626" t="str">
            <v>TRK185-2016-1</v>
          </cell>
        </row>
        <row r="627">
          <cell r="A627" t="str">
            <v>TRK185-2016-2</v>
          </cell>
        </row>
        <row r="628">
          <cell r="A628" t="str">
            <v>TRK186-2016-1</v>
          </cell>
        </row>
        <row r="629">
          <cell r="A629" t="str">
            <v>TRK186-2016-2</v>
          </cell>
        </row>
        <row r="630">
          <cell r="A630" t="str">
            <v>TRK187-2016-1</v>
          </cell>
        </row>
        <row r="631">
          <cell r="A631" t="str">
            <v>TRK187-2016-2</v>
          </cell>
        </row>
        <row r="632">
          <cell r="A632" t="str">
            <v>TRK188-2016-1</v>
          </cell>
        </row>
        <row r="633">
          <cell r="A633" t="str">
            <v>TRK188-2016-2</v>
          </cell>
        </row>
        <row r="634">
          <cell r="A634" t="str">
            <v>TRK189-2016-1</v>
          </cell>
        </row>
        <row r="635">
          <cell r="A635" t="str">
            <v>TRK189-2016-2</v>
          </cell>
        </row>
        <row r="636">
          <cell r="A636" t="str">
            <v>TRK191-2016-1</v>
          </cell>
        </row>
        <row r="637">
          <cell r="A637" t="str">
            <v>TRK191-2016-2</v>
          </cell>
        </row>
        <row r="638">
          <cell r="A638" t="str">
            <v>TRK192-2016-1</v>
          </cell>
        </row>
        <row r="639">
          <cell r="A639" t="str">
            <v>TRK192-2016-2</v>
          </cell>
        </row>
        <row r="640">
          <cell r="A640" t="str">
            <v>TRK193-2016-1</v>
          </cell>
        </row>
        <row r="641">
          <cell r="A641" t="str">
            <v>TRK193-2016-2</v>
          </cell>
        </row>
        <row r="642">
          <cell r="A642" t="str">
            <v>TRK224-2016-1</v>
          </cell>
        </row>
        <row r="643">
          <cell r="A643" t="str">
            <v>TRK224-2016-2</v>
          </cell>
        </row>
        <row r="644">
          <cell r="A644" t="str">
            <v>TRK225-2016-1</v>
          </cell>
        </row>
        <row r="645">
          <cell r="A645" t="str">
            <v>TRK225-2016-2</v>
          </cell>
        </row>
        <row r="646">
          <cell r="A646" t="str">
            <v>TRK226-2016-1</v>
          </cell>
        </row>
        <row r="647">
          <cell r="A647" t="str">
            <v>TRK226-2016-2</v>
          </cell>
        </row>
        <row r="648">
          <cell r="A648" t="str">
            <v>TRK227-2016-1</v>
          </cell>
        </row>
        <row r="649">
          <cell r="A649" t="str">
            <v>TRK227-2016-2</v>
          </cell>
        </row>
        <row r="650">
          <cell r="A650" t="str">
            <v>TRK228-2016-1</v>
          </cell>
        </row>
        <row r="651">
          <cell r="A651" t="str">
            <v>TRK228-2016-2</v>
          </cell>
        </row>
        <row r="652">
          <cell r="A652" t="str">
            <v>TRK229-2016-1</v>
          </cell>
        </row>
        <row r="653">
          <cell r="A653" t="str">
            <v>TRK229-2016-2</v>
          </cell>
        </row>
        <row r="654">
          <cell r="A654" t="str">
            <v>TRK230-2016-1</v>
          </cell>
        </row>
        <row r="655">
          <cell r="A655" t="str">
            <v>TRK230-2016-2</v>
          </cell>
        </row>
        <row r="656">
          <cell r="A656" t="str">
            <v>TRK231-2016-1</v>
          </cell>
        </row>
        <row r="657">
          <cell r="A657" t="str">
            <v>TRK231-2016-2</v>
          </cell>
        </row>
        <row r="658">
          <cell r="A658" t="str">
            <v>TRK232-2016-1</v>
          </cell>
        </row>
        <row r="659">
          <cell r="A659" t="str">
            <v>TRK232-2016-2</v>
          </cell>
        </row>
        <row r="660">
          <cell r="A660" t="str">
            <v>TRK233-2016-1</v>
          </cell>
        </row>
        <row r="661">
          <cell r="A661" t="str">
            <v>TRK233-2016-2</v>
          </cell>
        </row>
        <row r="662">
          <cell r="A662" t="str">
            <v>TRK234-2016-1</v>
          </cell>
        </row>
        <row r="663">
          <cell r="A663" t="str">
            <v>TRK234-2016-2</v>
          </cell>
        </row>
        <row r="664">
          <cell r="A664" t="str">
            <v>TRK235-2016-1</v>
          </cell>
        </row>
        <row r="665">
          <cell r="A665" t="str">
            <v>TRK235-2016-2</v>
          </cell>
        </row>
        <row r="666">
          <cell r="A666" t="str">
            <v>TRK236-2016-1</v>
          </cell>
        </row>
        <row r="667">
          <cell r="A667" t="str">
            <v>TRK236-2016-2</v>
          </cell>
        </row>
        <row r="668">
          <cell r="A668" t="str">
            <v>TRK237-2016-1</v>
          </cell>
        </row>
        <row r="669">
          <cell r="A669" t="str">
            <v>TRK237-2016-2</v>
          </cell>
        </row>
        <row r="670">
          <cell r="A670" t="str">
            <v>TRK238-2016-1</v>
          </cell>
        </row>
        <row r="671">
          <cell r="A671" t="str">
            <v>TRK238-2016-2</v>
          </cell>
        </row>
        <row r="672">
          <cell r="A672" t="str">
            <v>TRK239-2016-1</v>
          </cell>
        </row>
        <row r="673">
          <cell r="A673" t="str">
            <v>TRK239-2016-2</v>
          </cell>
        </row>
        <row r="674">
          <cell r="A674" t="str">
            <v>TRK240-2016-1</v>
          </cell>
        </row>
        <row r="675">
          <cell r="A675" t="str">
            <v>TRK240-2016-2</v>
          </cell>
        </row>
        <row r="676">
          <cell r="A676" t="str">
            <v>TRK241-2016-1</v>
          </cell>
        </row>
        <row r="677">
          <cell r="A677" t="str">
            <v>TRK241-2016-2</v>
          </cell>
        </row>
        <row r="678">
          <cell r="A678" t="str">
            <v>TRK242-2016-1</v>
          </cell>
        </row>
        <row r="679">
          <cell r="A679" t="str">
            <v>TRK242-2016-2</v>
          </cell>
        </row>
        <row r="680">
          <cell r="A680" t="str">
            <v>TRK243-2016-1</v>
          </cell>
        </row>
        <row r="681">
          <cell r="A681" t="str">
            <v>TRK243-2016-2</v>
          </cell>
        </row>
        <row r="682">
          <cell r="A682" t="str">
            <v>TRK244-2016-1</v>
          </cell>
        </row>
        <row r="683">
          <cell r="A683" t="str">
            <v>TRK244-2016-2</v>
          </cell>
        </row>
        <row r="684">
          <cell r="A684" t="str">
            <v>TRK245-2016-1</v>
          </cell>
        </row>
        <row r="685">
          <cell r="A685" t="str">
            <v>TRK245-2016-2</v>
          </cell>
        </row>
        <row r="686">
          <cell r="A686" t="str">
            <v>TRK246-2016-1</v>
          </cell>
        </row>
        <row r="687">
          <cell r="A687" t="str">
            <v>TRK246-2016-2</v>
          </cell>
        </row>
        <row r="688">
          <cell r="A688" t="str">
            <v>TRK247-2016-1</v>
          </cell>
        </row>
        <row r="689">
          <cell r="A689" t="str">
            <v>TRK247-2016-2</v>
          </cell>
        </row>
        <row r="690">
          <cell r="A690" t="str">
            <v>TRK248-2016-1</v>
          </cell>
        </row>
        <row r="691">
          <cell r="A691" t="str">
            <v>TRK248-2016-2</v>
          </cell>
        </row>
        <row r="692">
          <cell r="A692" t="str">
            <v>TRK249-2016-1</v>
          </cell>
        </row>
        <row r="693">
          <cell r="A693" t="str">
            <v>TRK249-2016-2</v>
          </cell>
        </row>
        <row r="694">
          <cell r="A694" t="str">
            <v>TRK250-2016-1</v>
          </cell>
        </row>
        <row r="695">
          <cell r="A695" t="str">
            <v>TRK250-2016-2</v>
          </cell>
        </row>
        <row r="696">
          <cell r="A696" t="str">
            <v>TRK251-2016-1</v>
          </cell>
        </row>
        <row r="697">
          <cell r="A697" t="str">
            <v>TRK251-2016-2</v>
          </cell>
        </row>
        <row r="698">
          <cell r="A698" t="str">
            <v>TRK252-2016-1</v>
          </cell>
        </row>
        <row r="699">
          <cell r="A699" t="str">
            <v>TRK252-2016-2</v>
          </cell>
        </row>
        <row r="700">
          <cell r="A700" t="str">
            <v>TRK253-2016-1</v>
          </cell>
        </row>
        <row r="701">
          <cell r="A701" t="str">
            <v>TRK253-2016-2</v>
          </cell>
        </row>
        <row r="702">
          <cell r="A702" t="str">
            <v>TRK254-2016-1</v>
          </cell>
        </row>
        <row r="703">
          <cell r="A703" t="str">
            <v>TRK254-2016-2</v>
          </cell>
        </row>
        <row r="704">
          <cell r="A704" t="str">
            <v>TRK255-2016-1</v>
          </cell>
        </row>
        <row r="705">
          <cell r="A705" t="str">
            <v>TRK255-2016-2</v>
          </cell>
        </row>
        <row r="706">
          <cell r="A706" t="str">
            <v>TRK256-2016-1</v>
          </cell>
        </row>
        <row r="707">
          <cell r="A707" t="str">
            <v>TRK256-2016-2</v>
          </cell>
        </row>
        <row r="708">
          <cell r="A708" t="str">
            <v>TRK257-2016-1</v>
          </cell>
        </row>
        <row r="709">
          <cell r="A709" t="str">
            <v>TRK257-2016-2</v>
          </cell>
        </row>
        <row r="710">
          <cell r="A710" t="str">
            <v>TRK258-2016-1</v>
          </cell>
        </row>
        <row r="711">
          <cell r="A711" t="str">
            <v>TRK258-2016-2</v>
          </cell>
        </row>
        <row r="712">
          <cell r="A712" t="str">
            <v>TRK259-2016-1</v>
          </cell>
        </row>
        <row r="713">
          <cell r="A713" t="str">
            <v>TRK259-2016-2</v>
          </cell>
        </row>
        <row r="714">
          <cell r="A714" t="str">
            <v>TRK260-2016-1</v>
          </cell>
        </row>
        <row r="715">
          <cell r="A715" t="str">
            <v>TRK260-2016-2</v>
          </cell>
        </row>
        <row r="716">
          <cell r="A716" t="str">
            <v>TRK261-2016-1</v>
          </cell>
        </row>
        <row r="717">
          <cell r="A717" t="str">
            <v>TRK261-2016-2</v>
          </cell>
        </row>
        <row r="718">
          <cell r="A718" t="str">
            <v>TRK262-2016-1</v>
          </cell>
        </row>
        <row r="719">
          <cell r="A719" t="str">
            <v>TRK262-2016-2</v>
          </cell>
        </row>
        <row r="720">
          <cell r="A720" t="str">
            <v>TRK263-2016-1</v>
          </cell>
        </row>
        <row r="721">
          <cell r="A721" t="str">
            <v>TRK263-2016-2</v>
          </cell>
        </row>
        <row r="722">
          <cell r="A722" t="str">
            <v>TRK264-2016-1</v>
          </cell>
        </row>
        <row r="723">
          <cell r="A723" t="str">
            <v>TRK264-2016-2</v>
          </cell>
        </row>
        <row r="724">
          <cell r="A724" t="str">
            <v>TRK265-2016-1</v>
          </cell>
        </row>
        <row r="725">
          <cell r="A725" t="str">
            <v>TRK265-2016-2</v>
          </cell>
        </row>
        <row r="726">
          <cell r="A726" t="str">
            <v>TRK266-2016-1</v>
          </cell>
        </row>
        <row r="727">
          <cell r="A727" t="str">
            <v>TRK266-2016-2</v>
          </cell>
        </row>
        <row r="728">
          <cell r="A728" t="str">
            <v>TRK267-2016-1</v>
          </cell>
        </row>
        <row r="729">
          <cell r="A729" t="str">
            <v>TRK267-2016-2</v>
          </cell>
        </row>
        <row r="730">
          <cell r="A730" t="str">
            <v>TRK268-2016-1</v>
          </cell>
        </row>
        <row r="731">
          <cell r="A731" t="str">
            <v>TRK268-2016-2</v>
          </cell>
        </row>
        <row r="732">
          <cell r="A732" t="str">
            <v>TRK269-2016-1</v>
          </cell>
        </row>
        <row r="733">
          <cell r="A733" t="str">
            <v>TRK269-2016-2</v>
          </cell>
        </row>
        <row r="734">
          <cell r="A734" t="str">
            <v>TRK270-2016-1</v>
          </cell>
        </row>
        <row r="735">
          <cell r="A735" t="str">
            <v>TRK270-2016-2</v>
          </cell>
        </row>
        <row r="736">
          <cell r="A736" t="str">
            <v>TRK271-2016-1</v>
          </cell>
        </row>
        <row r="737">
          <cell r="A737" t="str">
            <v>TRK271-2016-2</v>
          </cell>
        </row>
        <row r="738">
          <cell r="A738" t="str">
            <v>TRK272-2016-1</v>
          </cell>
        </row>
        <row r="739">
          <cell r="A739" t="str">
            <v>TRK272-2016-2</v>
          </cell>
        </row>
        <row r="740">
          <cell r="A740" t="str">
            <v>TRK273-2016-1</v>
          </cell>
        </row>
        <row r="741">
          <cell r="A741" t="str">
            <v>TRK273-2016-2</v>
          </cell>
        </row>
        <row r="742">
          <cell r="A742" t="str">
            <v>TRK274-2016-1</v>
          </cell>
        </row>
        <row r="743">
          <cell r="A743" t="str">
            <v>TRK274-2016-2</v>
          </cell>
        </row>
        <row r="744">
          <cell r="A744" t="str">
            <v>TRK275-2016-1</v>
          </cell>
        </row>
        <row r="745">
          <cell r="A745" t="str">
            <v>TRK275-2016-2</v>
          </cell>
        </row>
        <row r="746">
          <cell r="A746" t="str">
            <v>TRK276-2016-1</v>
          </cell>
        </row>
        <row r="747">
          <cell r="A747" t="str">
            <v>TRK276-2016-2</v>
          </cell>
        </row>
        <row r="748">
          <cell r="A748" t="str">
            <v>TRK277-2016-1</v>
          </cell>
        </row>
        <row r="749">
          <cell r="A749" t="str">
            <v>TRK277-2016-2</v>
          </cell>
        </row>
        <row r="750">
          <cell r="A750" t="str">
            <v>TRK278-2016-1</v>
          </cell>
        </row>
        <row r="751">
          <cell r="A751" t="str">
            <v>TRK278-2016-2</v>
          </cell>
        </row>
        <row r="752">
          <cell r="A752" t="str">
            <v>TRK279-2016-1</v>
          </cell>
        </row>
        <row r="753">
          <cell r="A753" t="str">
            <v>TRK279-2016-2</v>
          </cell>
        </row>
        <row r="754">
          <cell r="A754" t="str">
            <v>TRK280-2016-1</v>
          </cell>
        </row>
        <row r="755">
          <cell r="A755" t="str">
            <v>TRK280-2016-2</v>
          </cell>
        </row>
        <row r="756">
          <cell r="A756" t="str">
            <v>TRK281-2016-1</v>
          </cell>
        </row>
        <row r="757">
          <cell r="A757" t="str">
            <v>TRK281-2016-2</v>
          </cell>
        </row>
        <row r="758">
          <cell r="A758" t="str">
            <v>TRK282-2016-1</v>
          </cell>
        </row>
        <row r="759">
          <cell r="A759" t="str">
            <v>TRK282-2016-2</v>
          </cell>
        </row>
        <row r="760">
          <cell r="A760" t="str">
            <v>TRK283-2016-1</v>
          </cell>
        </row>
        <row r="761">
          <cell r="A761" t="str">
            <v>TRK283-2016-2</v>
          </cell>
        </row>
        <row r="762">
          <cell r="A762" t="str">
            <v>TRK284-2016-1</v>
          </cell>
        </row>
        <row r="763">
          <cell r="A763" t="str">
            <v>TRK284-2016-2</v>
          </cell>
        </row>
        <row r="764">
          <cell r="A764" t="str">
            <v>TRK285-2016-1</v>
          </cell>
        </row>
        <row r="765">
          <cell r="A765" t="str">
            <v>TRK285-2016-2</v>
          </cell>
        </row>
        <row r="766">
          <cell r="A766" t="str">
            <v>TRK286-2016-1</v>
          </cell>
        </row>
        <row r="767">
          <cell r="A767" t="str">
            <v>TRK286-2016-2</v>
          </cell>
        </row>
        <row r="768">
          <cell r="A768" t="str">
            <v>TRK287-2016-1</v>
          </cell>
        </row>
        <row r="769">
          <cell r="A769" t="str">
            <v>TRK287-2016-2</v>
          </cell>
        </row>
        <row r="770">
          <cell r="A770" t="str">
            <v>TRK288-2016-1</v>
          </cell>
        </row>
        <row r="771">
          <cell r="A771" t="str">
            <v>TRK288-2016-2</v>
          </cell>
        </row>
        <row r="772">
          <cell r="A772" t="str">
            <v>TRK289-2016-1</v>
          </cell>
        </row>
        <row r="773">
          <cell r="A773" t="str">
            <v>TRK289-2016-2</v>
          </cell>
        </row>
        <row r="774">
          <cell r="A774" t="str">
            <v>TRK290-2016-1</v>
          </cell>
        </row>
        <row r="775">
          <cell r="A775" t="str">
            <v>TRK290-2016-2</v>
          </cell>
        </row>
        <row r="776">
          <cell r="A776" t="str">
            <v>TRK291-2016-1</v>
          </cell>
        </row>
        <row r="777">
          <cell r="A777" t="str">
            <v>TRK291-2016-2</v>
          </cell>
        </row>
        <row r="778">
          <cell r="A778" t="str">
            <v>TRK292-2016-1</v>
          </cell>
        </row>
        <row r="779">
          <cell r="A779" t="str">
            <v>TRK292-2016-2</v>
          </cell>
        </row>
        <row r="780">
          <cell r="A780" t="str">
            <v>TRK293-2016-1</v>
          </cell>
        </row>
        <row r="781">
          <cell r="A781" t="str">
            <v>TRK293-2016-2</v>
          </cell>
        </row>
        <row r="782">
          <cell r="A782" t="str">
            <v>TRK294-2016-1</v>
          </cell>
        </row>
        <row r="783">
          <cell r="A783" t="str">
            <v>TRK294-2016-2</v>
          </cell>
        </row>
        <row r="784">
          <cell r="A784" t="str">
            <v>TRK295-2016-1</v>
          </cell>
        </row>
        <row r="785">
          <cell r="A785" t="str">
            <v>TRK295-2016-2</v>
          </cell>
        </row>
        <row r="786">
          <cell r="A786" t="str">
            <v>TRK296-2016-1</v>
          </cell>
        </row>
        <row r="787">
          <cell r="A787" t="str">
            <v>TRK297-2016-2</v>
          </cell>
        </row>
        <row r="788">
          <cell r="A788" t="str">
            <v>TRK298-2016-1</v>
          </cell>
        </row>
        <row r="789">
          <cell r="A789" t="str">
            <v>TRK298-2016-2</v>
          </cell>
        </row>
        <row r="790">
          <cell r="A790" t="str">
            <v>TRK299-2016-1</v>
          </cell>
        </row>
        <row r="791">
          <cell r="A791" t="str">
            <v>TRK299-2016-2</v>
          </cell>
        </row>
        <row r="792">
          <cell r="A792" t="str">
            <v>TRK300-2016-1</v>
          </cell>
        </row>
        <row r="793">
          <cell r="A793" t="str">
            <v>TRK300-2016-2</v>
          </cell>
        </row>
        <row r="794">
          <cell r="A794" t="str">
            <v>TRK301-2016-1</v>
          </cell>
        </row>
        <row r="795">
          <cell r="A795" t="str">
            <v>TRK301-2016-2</v>
          </cell>
        </row>
        <row r="796">
          <cell r="A796" t="str">
            <v>TRK302-2016-1</v>
          </cell>
        </row>
        <row r="797">
          <cell r="A797" t="str">
            <v>TRK302-2016-2</v>
          </cell>
        </row>
        <row r="798">
          <cell r="A798" t="str">
            <v>TRK303-2016-1</v>
          </cell>
        </row>
        <row r="799">
          <cell r="A799" t="str">
            <v>TRK303-2016-2</v>
          </cell>
        </row>
        <row r="800">
          <cell r="A800" t="str">
            <v>TRK304-2016-1</v>
          </cell>
        </row>
        <row r="801">
          <cell r="A801" t="str">
            <v>TRK304-2016-2</v>
          </cell>
        </row>
        <row r="802">
          <cell r="A802" t="str">
            <v>TRK305-2016-1</v>
          </cell>
        </row>
        <row r="803">
          <cell r="A803" t="str">
            <v>TRK305-2016-2</v>
          </cell>
        </row>
        <row r="804">
          <cell r="A804" t="str">
            <v>TRK306-2016-1</v>
          </cell>
        </row>
        <row r="805">
          <cell r="A805" t="str">
            <v>TRK307-2016-1</v>
          </cell>
        </row>
        <row r="806">
          <cell r="A806" t="str">
            <v>TRK308-2016-1</v>
          </cell>
        </row>
        <row r="807">
          <cell r="A807" t="str">
            <v>TRK308-2016-2</v>
          </cell>
        </row>
        <row r="808">
          <cell r="A808" t="str">
            <v>TRK309-2016-1</v>
          </cell>
        </row>
        <row r="809">
          <cell r="A809" t="str">
            <v>TRK309-2016-2</v>
          </cell>
        </row>
        <row r="810">
          <cell r="A810" t="str">
            <v>TRK310-2016-1</v>
          </cell>
        </row>
        <row r="811">
          <cell r="A811" t="str">
            <v>TRK310-2016-2</v>
          </cell>
        </row>
        <row r="812">
          <cell r="A812" t="str">
            <v>TRK311-2016-1</v>
          </cell>
        </row>
        <row r="813">
          <cell r="A813" t="str">
            <v>TRK311-2016-2</v>
          </cell>
        </row>
        <row r="814">
          <cell r="A814" t="str">
            <v>TRK312-2016-1</v>
          </cell>
        </row>
        <row r="815">
          <cell r="A815" t="str">
            <v>TRK312-2016-2</v>
          </cell>
        </row>
        <row r="816">
          <cell r="A816" t="str">
            <v>TRK313-2016-1</v>
          </cell>
        </row>
        <row r="817">
          <cell r="A817" t="str">
            <v>TRK313-2016-2</v>
          </cell>
        </row>
        <row r="818">
          <cell r="A818" t="str">
            <v>TRK314-2016-1</v>
          </cell>
        </row>
        <row r="819">
          <cell r="A819" t="str">
            <v>TRK314-2016-2</v>
          </cell>
        </row>
        <row r="820">
          <cell r="A820" t="str">
            <v>TRK315-2016-1</v>
          </cell>
        </row>
        <row r="821">
          <cell r="A821" t="str">
            <v>TRK315-2016-2</v>
          </cell>
        </row>
        <row r="822">
          <cell r="A822" t="str">
            <v>SSV001-2016-1</v>
          </cell>
        </row>
        <row r="823">
          <cell r="A823" t="str">
            <v>SSV001-2016-2</v>
          </cell>
        </row>
        <row r="824">
          <cell r="A824" t="str">
            <v>SSV002-2016-1</v>
          </cell>
        </row>
        <row r="825">
          <cell r="A825" t="str">
            <v>SSV002-2016-2</v>
          </cell>
        </row>
        <row r="826">
          <cell r="A826" t="str">
            <v>SSV003-2016-1</v>
          </cell>
        </row>
        <row r="827">
          <cell r="A827" t="str">
            <v>SSV004-2016-1</v>
          </cell>
        </row>
        <row r="828">
          <cell r="A828" t="str">
            <v>SSV004-2016-2</v>
          </cell>
        </row>
        <row r="829">
          <cell r="A829" t="str">
            <v>SSV005-2016-1</v>
          </cell>
        </row>
        <row r="830">
          <cell r="A830" t="str">
            <v>SSV005-2016-2</v>
          </cell>
        </row>
        <row r="831">
          <cell r="A831" t="str">
            <v>SSV006-2016-1</v>
          </cell>
        </row>
        <row r="832">
          <cell r="A832" t="str">
            <v>SSV006-2016-2</v>
          </cell>
        </row>
        <row r="833">
          <cell r="A833" t="str">
            <v>SSV007-2016-1</v>
          </cell>
        </row>
        <row r="834">
          <cell r="A834" t="str">
            <v>SSV007-2016-2</v>
          </cell>
        </row>
        <row r="835">
          <cell r="A835" t="str">
            <v>SSV008-2016-1</v>
          </cell>
        </row>
        <row r="836">
          <cell r="A836" t="str">
            <v>SSV008-2016-2</v>
          </cell>
        </row>
        <row r="837">
          <cell r="A837" t="str">
            <v>SSV011-2016-1</v>
          </cell>
        </row>
        <row r="838">
          <cell r="A838" t="str">
            <v>SSV011-2016-2</v>
          </cell>
        </row>
        <row r="839">
          <cell r="A839" t="str">
            <v>SSV012-2016-1</v>
          </cell>
        </row>
        <row r="840">
          <cell r="A840" t="str">
            <v>SSV012-2016-2</v>
          </cell>
        </row>
        <row r="841">
          <cell r="A841" t="str">
            <v>SSV015-2016-1</v>
          </cell>
        </row>
        <row r="842">
          <cell r="A842" t="str">
            <v>SSV015-2016-2</v>
          </cell>
        </row>
        <row r="843">
          <cell r="A843" t="str">
            <v>SSV016-2016-1</v>
          </cell>
        </row>
        <row r="844">
          <cell r="A844" t="str">
            <v>SSV016-2016-2</v>
          </cell>
        </row>
        <row r="845">
          <cell r="A845" t="str">
            <v>PPV001-2016-1</v>
          </cell>
        </row>
        <row r="846">
          <cell r="A846" t="str">
            <v>PPV001-2016-2</v>
          </cell>
        </row>
        <row r="847">
          <cell r="A847" t="str">
            <v>PPV002-2016-1</v>
          </cell>
        </row>
        <row r="848">
          <cell r="A848" t="str">
            <v>PPV002-2016-2</v>
          </cell>
        </row>
        <row r="849">
          <cell r="A849" t="str">
            <v>PPV003-2016-1</v>
          </cell>
        </row>
        <row r="850">
          <cell r="A850" t="str">
            <v>PPV003-2016-2</v>
          </cell>
        </row>
        <row r="851">
          <cell r="A851" t="str">
            <v>PPV004-2016-1</v>
          </cell>
        </row>
        <row r="852">
          <cell r="A852" t="str">
            <v>PPV004-2016-2</v>
          </cell>
        </row>
        <row r="853">
          <cell r="A853" t="str">
            <v>PPV005-2016-1</v>
          </cell>
        </row>
        <row r="854">
          <cell r="A854" t="str">
            <v>PPV005-2016-2</v>
          </cell>
        </row>
        <row r="855">
          <cell r="A855" t="str">
            <v>PPV006-2016-1</v>
          </cell>
        </row>
        <row r="856">
          <cell r="A856" t="str">
            <v>PPV006-2016-2</v>
          </cell>
        </row>
        <row r="857">
          <cell r="A857" t="str">
            <v>PPV007-2016-1</v>
          </cell>
        </row>
        <row r="858">
          <cell r="A858" t="str">
            <v>PPV007-2016-2</v>
          </cell>
        </row>
        <row r="859">
          <cell r="A859" t="str">
            <v>PPV008-2016-1</v>
          </cell>
        </row>
        <row r="860">
          <cell r="A860" t="str">
            <v>PPV008-2016-2</v>
          </cell>
        </row>
        <row r="861">
          <cell r="A861" t="str">
            <v>PPV009-2016-1</v>
          </cell>
        </row>
        <row r="862">
          <cell r="A862" t="str">
            <v>PPV009-2016-2</v>
          </cell>
        </row>
        <row r="863">
          <cell r="A863" t="str">
            <v>PPV010-2016-1</v>
          </cell>
        </row>
        <row r="864">
          <cell r="A864" t="str">
            <v>PPV010-2016-2</v>
          </cell>
        </row>
        <row r="865">
          <cell r="A865" t="str">
            <v>PPV011-2016-1</v>
          </cell>
        </row>
        <row r="866">
          <cell r="A866" t="str">
            <v>PPV011-2016-2</v>
          </cell>
        </row>
        <row r="867">
          <cell r="A867" t="str">
            <v>PPV012-2016-1</v>
          </cell>
        </row>
        <row r="868">
          <cell r="A868" t="str">
            <v>PPV012-2016-2</v>
          </cell>
        </row>
        <row r="869">
          <cell r="A869" t="str">
            <v>PPV013-2016-1</v>
          </cell>
        </row>
        <row r="870">
          <cell r="A870" t="str">
            <v>PPV013-2016-2</v>
          </cell>
        </row>
        <row r="871">
          <cell r="A871" t="str">
            <v>PPV014-2016-1</v>
          </cell>
        </row>
        <row r="872">
          <cell r="A872" t="str">
            <v>PPV014-2016-2</v>
          </cell>
        </row>
        <row r="873">
          <cell r="A873" t="str">
            <v>PPV015-2016-1</v>
          </cell>
        </row>
        <row r="874">
          <cell r="A874" t="str">
            <v>PPV015-2016-2</v>
          </cell>
        </row>
        <row r="875">
          <cell r="A875" t="str">
            <v>PAC017-2017-1</v>
          </cell>
        </row>
        <row r="876">
          <cell r="A876" t="str">
            <v>PAC030-2017-1</v>
          </cell>
        </row>
        <row r="877">
          <cell r="A877" t="str">
            <v>PAC030-2017-2</v>
          </cell>
        </row>
        <row r="878">
          <cell r="A878" t="str">
            <v>PAC031-2017-1</v>
          </cell>
        </row>
        <row r="879">
          <cell r="A879" t="str">
            <v>PAC031-2017-2</v>
          </cell>
        </row>
        <row r="880">
          <cell r="A880" t="str">
            <v>PAC032-2017-1</v>
          </cell>
        </row>
        <row r="881">
          <cell r="A881" t="str">
            <v>PAC032-2017-2</v>
          </cell>
        </row>
        <row r="882">
          <cell r="A882" t="str">
            <v>PAC033-2017-1</v>
          </cell>
        </row>
        <row r="883">
          <cell r="A883" t="str">
            <v>PAC033-2017-2</v>
          </cell>
        </row>
        <row r="884">
          <cell r="A884" t="str">
            <v>SUV008-2017-1</v>
          </cell>
        </row>
        <row r="885">
          <cell r="A885" t="str">
            <v>SUV008-2017-2</v>
          </cell>
        </row>
        <row r="886">
          <cell r="A886" t="str">
            <v>SUV009-2017-1</v>
          </cell>
        </row>
        <row r="887">
          <cell r="A887" t="str">
            <v>SUV009-2017-2</v>
          </cell>
        </row>
        <row r="888">
          <cell r="A888" t="str">
            <v>SUV016-2017-1</v>
          </cell>
        </row>
        <row r="889">
          <cell r="A889" t="str">
            <v>SUV016-2017-2</v>
          </cell>
        </row>
        <row r="890">
          <cell r="A890" t="str">
            <v>SUV017-2017-1</v>
          </cell>
        </row>
        <row r="891">
          <cell r="A891" t="str">
            <v>SUV017-2017-2</v>
          </cell>
        </row>
        <row r="892">
          <cell r="A892" t="str">
            <v>SUV018-2017-1</v>
          </cell>
        </row>
        <row r="893">
          <cell r="A893" t="str">
            <v>SUV018-2017-2</v>
          </cell>
        </row>
        <row r="894">
          <cell r="A894" t="str">
            <v>SUV019-2017-1</v>
          </cell>
        </row>
        <row r="895">
          <cell r="A895" t="str">
            <v>SUV019-2017-2</v>
          </cell>
        </row>
        <row r="896">
          <cell r="A896" t="str">
            <v>SUV031-2017-1</v>
          </cell>
        </row>
        <row r="897">
          <cell r="A897" t="str">
            <v>SUV031-2017-2</v>
          </cell>
        </row>
        <row r="898">
          <cell r="A898" t="str">
            <v>SUV032-2017-1</v>
          </cell>
        </row>
        <row r="899">
          <cell r="A899" t="str">
            <v>SUV032-2017-2</v>
          </cell>
        </row>
        <row r="900">
          <cell r="A900" t="str">
            <v>SUV033-2017-1</v>
          </cell>
        </row>
        <row r="901">
          <cell r="A901" t="str">
            <v>SUV033-2017-2</v>
          </cell>
        </row>
        <row r="902">
          <cell r="A902" t="str">
            <v>SUV034-2017-1</v>
          </cell>
        </row>
        <row r="903">
          <cell r="A903" t="str">
            <v>SUV034-2017-2</v>
          </cell>
        </row>
        <row r="904">
          <cell r="A904" t="str">
            <v>CGV017-2017-1</v>
          </cell>
        </row>
        <row r="905">
          <cell r="A905" t="str">
            <v>CGV017-2017-2</v>
          </cell>
        </row>
        <row r="906">
          <cell r="A906" t="str">
            <v>CGV018-2017-1</v>
          </cell>
        </row>
        <row r="907">
          <cell r="A907" t="str">
            <v>CGV018-2017-2</v>
          </cell>
        </row>
        <row r="908">
          <cell r="A908" t="str">
            <v>CGV019-2017-1</v>
          </cell>
        </row>
        <row r="909">
          <cell r="A909" t="str">
            <v>CGV019-2017-2</v>
          </cell>
        </row>
        <row r="910">
          <cell r="A910" t="str">
            <v>CGV020-2017-1</v>
          </cell>
        </row>
        <row r="911">
          <cell r="A911" t="str">
            <v>CGV020-2017-2</v>
          </cell>
        </row>
        <row r="912">
          <cell r="A912" t="str">
            <v>CGV021-2017-1</v>
          </cell>
        </row>
        <row r="913">
          <cell r="A913" t="str">
            <v>CGV021-2017-2</v>
          </cell>
        </row>
        <row r="914">
          <cell r="A914" t="str">
            <v>CGV022-2017-1</v>
          </cell>
        </row>
        <row r="915">
          <cell r="A915" t="str">
            <v>CGV022-2017-2</v>
          </cell>
        </row>
        <row r="916">
          <cell r="A916" t="str">
            <v>CGV023-2017-1</v>
          </cell>
        </row>
        <row r="917">
          <cell r="A917" t="str">
            <v>CGV023-2017-2</v>
          </cell>
        </row>
        <row r="918">
          <cell r="A918" t="str">
            <v>CGV024-2017-1</v>
          </cell>
        </row>
        <row r="919">
          <cell r="A919" t="str">
            <v>CGV024-2017-2</v>
          </cell>
        </row>
        <row r="920">
          <cell r="A920" t="str">
            <v>CGV025-2017-1</v>
          </cell>
        </row>
        <row r="921">
          <cell r="A921" t="str">
            <v>CGV025-2017-2</v>
          </cell>
        </row>
        <row r="922">
          <cell r="A922" t="str">
            <v>CGV026-2017-1</v>
          </cell>
        </row>
        <row r="923">
          <cell r="A923" t="str">
            <v>CGV026-2017-2</v>
          </cell>
        </row>
        <row r="924">
          <cell r="A924" t="str">
            <v>CGV027-2017-1</v>
          </cell>
        </row>
        <row r="925">
          <cell r="A925" t="str">
            <v>CGV027-2017-2</v>
          </cell>
        </row>
        <row r="926">
          <cell r="A926" t="str">
            <v>CGV028-2017-1</v>
          </cell>
        </row>
        <row r="927">
          <cell r="A927" t="str">
            <v>CGV028-2017-2</v>
          </cell>
        </row>
        <row r="928">
          <cell r="A928" t="str">
            <v>CGV029-2017-1</v>
          </cell>
        </row>
        <row r="929">
          <cell r="A929" t="str">
            <v>CGV029-2017-2</v>
          </cell>
        </row>
        <row r="930">
          <cell r="A930" t="str">
            <v>CGV030-2017-1</v>
          </cell>
        </row>
        <row r="931">
          <cell r="A931" t="str">
            <v>CGV030-2017-2</v>
          </cell>
        </row>
        <row r="932">
          <cell r="A932" t="str">
            <v>CGV031-2017-1</v>
          </cell>
        </row>
        <row r="933">
          <cell r="A933" t="str">
            <v>CGV031-2017-2</v>
          </cell>
        </row>
        <row r="934">
          <cell r="A934" t="str">
            <v>CGV032-2017-1</v>
          </cell>
        </row>
        <row r="935">
          <cell r="A935" t="str">
            <v>CGV032-2017-2</v>
          </cell>
        </row>
        <row r="936">
          <cell r="A936" t="str">
            <v>CGV033-2017-1</v>
          </cell>
        </row>
        <row r="937">
          <cell r="A937" t="str">
            <v>CGV033-2017-2</v>
          </cell>
        </row>
        <row r="938">
          <cell r="A938" t="str">
            <v>CGV034-2017-1</v>
          </cell>
        </row>
        <row r="939">
          <cell r="A939" t="str">
            <v>CGV034-2017-2</v>
          </cell>
        </row>
        <row r="940">
          <cell r="A940" t="str">
            <v>CGV035-2017-1</v>
          </cell>
        </row>
        <row r="941">
          <cell r="A941" t="str">
            <v>CGV035-2017-2</v>
          </cell>
        </row>
        <row r="942">
          <cell r="A942" t="str">
            <v>CGV036-2017-1</v>
          </cell>
        </row>
        <row r="943">
          <cell r="A943" t="str">
            <v>CGV036-2017-2</v>
          </cell>
        </row>
        <row r="944">
          <cell r="A944" t="str">
            <v>CGV037-2017-1</v>
          </cell>
        </row>
        <row r="945">
          <cell r="A945" t="str">
            <v>CGV037-2017-2</v>
          </cell>
        </row>
        <row r="946">
          <cell r="A946" t="str">
            <v>CGV038-2017-1</v>
          </cell>
        </row>
        <row r="947">
          <cell r="A947" t="str">
            <v>CGV038-2017-2</v>
          </cell>
        </row>
        <row r="948">
          <cell r="A948" t="str">
            <v>CGV039-2017-1</v>
          </cell>
        </row>
        <row r="949">
          <cell r="A949" t="str">
            <v>CGV039-2017-2</v>
          </cell>
        </row>
        <row r="950">
          <cell r="A950" t="str">
            <v>CGV040-2017-1</v>
          </cell>
        </row>
        <row r="951">
          <cell r="A951" t="str">
            <v>CGV040-2017-2</v>
          </cell>
        </row>
        <row r="952">
          <cell r="A952" t="str">
            <v>CGV041-2017-1</v>
          </cell>
        </row>
        <row r="953">
          <cell r="A953" t="str">
            <v>CGV041-2017-2</v>
          </cell>
        </row>
        <row r="954">
          <cell r="A954" t="str">
            <v>CGV042-2017-1</v>
          </cell>
        </row>
        <row r="955">
          <cell r="A955" t="str">
            <v>CGV042-2017-2</v>
          </cell>
        </row>
        <row r="956">
          <cell r="A956" t="str">
            <v>CGV043-2017-1</v>
          </cell>
        </row>
        <row r="957">
          <cell r="A957" t="str">
            <v>CGV043-2017-2</v>
          </cell>
        </row>
        <row r="958">
          <cell r="A958" t="str">
            <v>CGV044-2017-1</v>
          </cell>
        </row>
        <row r="959">
          <cell r="A959" t="str">
            <v>CGV044-2017-2</v>
          </cell>
        </row>
        <row r="960">
          <cell r="A960" t="str">
            <v>CGV045-2017-1</v>
          </cell>
        </row>
        <row r="961">
          <cell r="A961" t="str">
            <v>CGV045-2017-2</v>
          </cell>
        </row>
        <row r="962">
          <cell r="A962" t="str">
            <v>CGV046-2017-1</v>
          </cell>
        </row>
        <row r="963">
          <cell r="A963" t="str">
            <v>CGV046-2017-2</v>
          </cell>
        </row>
        <row r="964">
          <cell r="A964" t="str">
            <v>CGV047-2017-1</v>
          </cell>
        </row>
        <row r="965">
          <cell r="A965" t="str">
            <v>CGV047-2017-2</v>
          </cell>
        </row>
        <row r="966">
          <cell r="A966" t="str">
            <v>CGV048-2017-1</v>
          </cell>
        </row>
        <row r="967">
          <cell r="A967" t="str">
            <v>CGV048-2017-2</v>
          </cell>
        </row>
        <row r="968">
          <cell r="A968" t="str">
            <v>CGV049-2017-1</v>
          </cell>
        </row>
        <row r="969">
          <cell r="A969" t="str">
            <v>CGV049-2017-2</v>
          </cell>
        </row>
        <row r="970">
          <cell r="A970" t="str">
            <v>CGV050-2017-1</v>
          </cell>
        </row>
        <row r="971">
          <cell r="A971" t="str">
            <v>CGV050-2017-2</v>
          </cell>
        </row>
        <row r="972">
          <cell r="A972" t="str">
            <v>CGV051-2017-1</v>
          </cell>
        </row>
        <row r="973">
          <cell r="A973" t="str">
            <v>CGV051-2017-2</v>
          </cell>
        </row>
        <row r="974">
          <cell r="A974" t="str">
            <v>CGV052-2017-1</v>
          </cell>
        </row>
        <row r="975">
          <cell r="A975" t="str">
            <v>CGV052-2017-2</v>
          </cell>
        </row>
        <row r="976">
          <cell r="A976" t="str">
            <v>CGV053-2017-1</v>
          </cell>
        </row>
        <row r="977">
          <cell r="A977" t="str">
            <v>CGV053-2017-2</v>
          </cell>
        </row>
        <row r="978">
          <cell r="A978" t="str">
            <v>CGV054-2017-1</v>
          </cell>
        </row>
        <row r="979">
          <cell r="A979" t="str">
            <v>CGV054-2017-2</v>
          </cell>
        </row>
        <row r="980">
          <cell r="A980" t="str">
            <v>CGV055-2017-1</v>
          </cell>
        </row>
        <row r="981">
          <cell r="A981" t="str">
            <v>CGV055-2017-2</v>
          </cell>
        </row>
        <row r="982">
          <cell r="A982" t="str">
            <v>CGV056-2017-1</v>
          </cell>
        </row>
        <row r="983">
          <cell r="A983" t="str">
            <v>CGV056-2017-2</v>
          </cell>
        </row>
        <row r="984">
          <cell r="A984" t="str">
            <v>CMV003-2017-1</v>
          </cell>
        </row>
        <row r="985">
          <cell r="A985" t="str">
            <v>CMV003-2017-2</v>
          </cell>
        </row>
        <row r="986">
          <cell r="A986" t="str">
            <v>CMV004-2017-1</v>
          </cell>
        </row>
        <row r="987">
          <cell r="A987" t="str">
            <v>CMV004-2017-2</v>
          </cell>
        </row>
        <row r="988">
          <cell r="A988" t="str">
            <v>CMV005-2017-1</v>
          </cell>
        </row>
        <row r="989">
          <cell r="A989" t="str">
            <v>CMV005-2017-2</v>
          </cell>
        </row>
        <row r="990">
          <cell r="A990" t="str">
            <v>CMV006-2017-1</v>
          </cell>
        </row>
        <row r="991">
          <cell r="A991" t="str">
            <v>CMV006-2017-2</v>
          </cell>
        </row>
        <row r="992">
          <cell r="A992" t="str">
            <v>CMV007-2017-1</v>
          </cell>
        </row>
        <row r="993">
          <cell r="A993" t="str">
            <v>CMV007-2017-2</v>
          </cell>
        </row>
        <row r="994">
          <cell r="A994" t="str">
            <v>CMV008-2017-1</v>
          </cell>
        </row>
        <row r="995">
          <cell r="A995" t="str">
            <v>CMV008-2017-2</v>
          </cell>
        </row>
        <row r="996">
          <cell r="A996" t="str">
            <v>CMV009-2017-1</v>
          </cell>
        </row>
        <row r="997">
          <cell r="A997" t="str">
            <v>CMV009-2017-2</v>
          </cell>
        </row>
        <row r="998">
          <cell r="A998" t="str">
            <v>CMV010-2017-1</v>
          </cell>
        </row>
        <row r="999">
          <cell r="A999" t="str">
            <v>CMV010-2017-2</v>
          </cell>
        </row>
        <row r="1000">
          <cell r="A1000" t="str">
            <v>LPV011-2017-1</v>
          </cell>
        </row>
        <row r="1001">
          <cell r="A1001" t="str">
            <v>LPV011-2017-2</v>
          </cell>
        </row>
        <row r="1002">
          <cell r="A1002" t="str">
            <v>LPV012-2017-1</v>
          </cell>
        </row>
        <row r="1003">
          <cell r="A1003" t="str">
            <v>LPV012-2017-2</v>
          </cell>
        </row>
        <row r="1004">
          <cell r="A1004" t="str">
            <v>LPV013-2017-1</v>
          </cell>
        </row>
        <row r="1005">
          <cell r="A1005" t="str">
            <v>LPV013-2017-2</v>
          </cell>
        </row>
        <row r="1006">
          <cell r="A1006" t="str">
            <v>LPV014-2017-1</v>
          </cell>
        </row>
        <row r="1007">
          <cell r="A1007" t="str">
            <v>LPV014-2017-2</v>
          </cell>
        </row>
        <row r="1008">
          <cell r="A1008" t="str">
            <v>LPV015-2017-1</v>
          </cell>
        </row>
        <row r="1009">
          <cell r="A1009" t="str">
            <v>LPV015-2017-2</v>
          </cell>
        </row>
        <row r="1010">
          <cell r="A1010" t="str">
            <v>LPV016-2017-1</v>
          </cell>
        </row>
        <row r="1011">
          <cell r="A1011" t="str">
            <v>LPV016-2017-2</v>
          </cell>
        </row>
        <row r="1012">
          <cell r="A1012" t="str">
            <v>LPV017-2017-1</v>
          </cell>
        </row>
        <row r="1013">
          <cell r="A1013" t="str">
            <v>LPV017-2017-2</v>
          </cell>
        </row>
        <row r="1014">
          <cell r="A1014" t="str">
            <v>LPV018-2017-1</v>
          </cell>
        </row>
        <row r="1015">
          <cell r="A1015" t="str">
            <v>LPV018-2017-2</v>
          </cell>
        </row>
        <row r="1016">
          <cell r="A1016" t="str">
            <v>LPV019-2017-1</v>
          </cell>
        </row>
        <row r="1017">
          <cell r="A1017" t="str">
            <v>LPV019-2017-2</v>
          </cell>
        </row>
        <row r="1018">
          <cell r="A1018" t="str">
            <v>LPV020-2017-1</v>
          </cell>
        </row>
        <row r="1019">
          <cell r="A1019" t="str">
            <v>LPV020-2017-2</v>
          </cell>
        </row>
        <row r="1020">
          <cell r="A1020" t="str">
            <v>LPV021-2017-1</v>
          </cell>
        </row>
        <row r="1021">
          <cell r="A1021" t="str">
            <v>LPV021-2017-2</v>
          </cell>
        </row>
        <row r="1022">
          <cell r="A1022" t="str">
            <v>LPV022-2017-1</v>
          </cell>
        </row>
        <row r="1023">
          <cell r="A1023" t="str">
            <v>LPV022-2017-2</v>
          </cell>
        </row>
        <row r="1024">
          <cell r="A1024" t="str">
            <v>LPV023-2017-1</v>
          </cell>
        </row>
        <row r="1025">
          <cell r="A1025" t="str">
            <v>LPV023-2017-2</v>
          </cell>
        </row>
        <row r="1026">
          <cell r="A1026" t="str">
            <v>LPV024-2017-1</v>
          </cell>
        </row>
        <row r="1027">
          <cell r="A1027" t="str">
            <v>LPV024-2017-2</v>
          </cell>
        </row>
        <row r="1028">
          <cell r="A1028" t="str">
            <v>LPV025-2017-1</v>
          </cell>
        </row>
        <row r="1029">
          <cell r="A1029" t="str">
            <v>LPV025-2017-2</v>
          </cell>
        </row>
        <row r="1030">
          <cell r="A1030" t="str">
            <v>LPV026-2017-1</v>
          </cell>
        </row>
        <row r="1031">
          <cell r="A1031" t="str">
            <v>LPV026-2017-2</v>
          </cell>
        </row>
        <row r="1032">
          <cell r="A1032" t="str">
            <v>LPV027-2017-1</v>
          </cell>
        </row>
        <row r="1033">
          <cell r="A1033" t="str">
            <v>LPV027-2017-2</v>
          </cell>
        </row>
        <row r="1034">
          <cell r="A1034" t="str">
            <v>LPV028-2017-1</v>
          </cell>
        </row>
        <row r="1035">
          <cell r="A1035" t="str">
            <v>LPV028-2017-2</v>
          </cell>
        </row>
        <row r="1036">
          <cell r="A1036" t="str">
            <v>LPV029-2017-1</v>
          </cell>
        </row>
        <row r="1037">
          <cell r="A1037" t="str">
            <v>LPV029-2017-2</v>
          </cell>
        </row>
        <row r="1038">
          <cell r="A1038" t="str">
            <v>LPV030-2017-1</v>
          </cell>
        </row>
        <row r="1039">
          <cell r="A1039" t="str">
            <v>LPV030-2017-2</v>
          </cell>
        </row>
        <row r="1040">
          <cell r="A1040" t="str">
            <v>LPV031-2017-1</v>
          </cell>
        </row>
        <row r="1041">
          <cell r="A1041" t="str">
            <v>LPV031-2017-2</v>
          </cell>
        </row>
        <row r="1042">
          <cell r="A1042" t="str">
            <v>LPV032-2017-1</v>
          </cell>
        </row>
        <row r="1043">
          <cell r="A1043" t="str">
            <v>LPV032-2017-2</v>
          </cell>
        </row>
        <row r="1044">
          <cell r="A1044" t="str">
            <v>LPV033-2017-1</v>
          </cell>
        </row>
        <row r="1045">
          <cell r="A1045" t="str">
            <v>LPV033-2017-2</v>
          </cell>
        </row>
        <row r="1046">
          <cell r="A1046" t="str">
            <v>LPV034-2017-1</v>
          </cell>
        </row>
        <row r="1047">
          <cell r="A1047" t="str">
            <v>LPV034-2017-2</v>
          </cell>
        </row>
        <row r="1048">
          <cell r="A1048" t="str">
            <v>LPV035-2017-1</v>
          </cell>
        </row>
        <row r="1049">
          <cell r="A1049" t="str">
            <v>LPV035-2017-2</v>
          </cell>
        </row>
        <row r="1050">
          <cell r="A1050" t="str">
            <v>LPV036-2017-1</v>
          </cell>
        </row>
        <row r="1051">
          <cell r="A1051" t="str">
            <v>LPV036-2017-2</v>
          </cell>
        </row>
        <row r="1052">
          <cell r="A1052" t="str">
            <v>LPV037-2017-1</v>
          </cell>
        </row>
        <row r="1053">
          <cell r="A1053" t="str">
            <v>LPV037-2017-2</v>
          </cell>
        </row>
        <row r="1054">
          <cell r="A1054" t="str">
            <v>LPV038-2017-1</v>
          </cell>
        </row>
        <row r="1055">
          <cell r="A1055" t="str">
            <v>LPV038-2017-2</v>
          </cell>
        </row>
        <row r="1056">
          <cell r="A1056" t="str">
            <v>LPV039-2017-1</v>
          </cell>
        </row>
        <row r="1057">
          <cell r="A1057" t="str">
            <v>LPV039-2017-2</v>
          </cell>
        </row>
        <row r="1058">
          <cell r="A1058" t="str">
            <v>LPV040-2017-1</v>
          </cell>
        </row>
        <row r="1059">
          <cell r="A1059" t="str">
            <v>LPV040-2017-2</v>
          </cell>
        </row>
        <row r="1060">
          <cell r="A1060" t="str">
            <v>LPV041-2017-1</v>
          </cell>
        </row>
        <row r="1061">
          <cell r="A1061" t="str">
            <v>LPV041-2017-2</v>
          </cell>
        </row>
        <row r="1062">
          <cell r="A1062" t="str">
            <v>LPV042-2017-1</v>
          </cell>
        </row>
        <row r="1063">
          <cell r="A1063" t="str">
            <v>LPV042-2017-2</v>
          </cell>
        </row>
        <row r="1064">
          <cell r="A1064" t="str">
            <v>LPV043-2017-1</v>
          </cell>
        </row>
        <row r="1065">
          <cell r="A1065" t="str">
            <v>LPV043-2017-2</v>
          </cell>
        </row>
        <row r="1066">
          <cell r="A1066" t="str">
            <v>LPV044-2017-1</v>
          </cell>
        </row>
        <row r="1067">
          <cell r="A1067" t="str">
            <v>LPV044-2017-2</v>
          </cell>
        </row>
        <row r="1068">
          <cell r="A1068" t="str">
            <v>LPV045-2017-1</v>
          </cell>
        </row>
        <row r="1069">
          <cell r="A1069" t="str">
            <v>LPV045-2017-2</v>
          </cell>
        </row>
        <row r="1070">
          <cell r="A1070" t="str">
            <v>LPV046-2017-1</v>
          </cell>
        </row>
        <row r="1071">
          <cell r="A1071" t="str">
            <v>LPV046-2017-2</v>
          </cell>
        </row>
        <row r="1072">
          <cell r="A1072" t="str">
            <v>LPV047-2017-1</v>
          </cell>
        </row>
        <row r="1073">
          <cell r="A1073" t="str">
            <v>LPV047-2017-2</v>
          </cell>
        </row>
        <row r="1074">
          <cell r="A1074" t="str">
            <v>LPV048-2017-1</v>
          </cell>
        </row>
        <row r="1075">
          <cell r="A1075" t="str">
            <v>LPV048-2017-2</v>
          </cell>
        </row>
        <row r="1076">
          <cell r="A1076" t="str">
            <v>LPV049-2017-1</v>
          </cell>
        </row>
        <row r="1077">
          <cell r="A1077" t="str">
            <v>LPV049-2017-2</v>
          </cell>
        </row>
        <row r="1078">
          <cell r="A1078" t="str">
            <v>LPV050-2017-1</v>
          </cell>
        </row>
        <row r="1079">
          <cell r="A1079" t="str">
            <v>LPV050-2017-2</v>
          </cell>
        </row>
        <row r="1080">
          <cell r="A1080" t="str">
            <v>LPV051-2017-1</v>
          </cell>
        </row>
        <row r="1081">
          <cell r="A1081" t="str">
            <v>LPV051-2017-2</v>
          </cell>
        </row>
        <row r="1082">
          <cell r="A1082" t="str">
            <v>LPV052-2017-1</v>
          </cell>
        </row>
        <row r="1083">
          <cell r="A1083" t="str">
            <v>LPV052-2017-2</v>
          </cell>
        </row>
        <row r="1084">
          <cell r="A1084" t="str">
            <v>LPV053-2017-1</v>
          </cell>
        </row>
        <row r="1085">
          <cell r="A1085" t="str">
            <v>LPV053-2017-2</v>
          </cell>
        </row>
        <row r="1086">
          <cell r="A1086" t="str">
            <v>LPV054-2017-1</v>
          </cell>
        </row>
        <row r="1087">
          <cell r="A1087" t="str">
            <v>LPV054-2017-2</v>
          </cell>
        </row>
        <row r="1088">
          <cell r="A1088" t="str">
            <v>LPV055-2017-1</v>
          </cell>
        </row>
        <row r="1089">
          <cell r="A1089" t="str">
            <v>LPV055-2017-2</v>
          </cell>
        </row>
        <row r="1090">
          <cell r="A1090" t="str">
            <v>LPV056-2017-1</v>
          </cell>
        </row>
        <row r="1091">
          <cell r="A1091" t="str">
            <v>LPV056-2017-2</v>
          </cell>
        </row>
        <row r="1092">
          <cell r="A1092" t="str">
            <v>LPV057-2017-1</v>
          </cell>
        </row>
        <row r="1093">
          <cell r="A1093" t="str">
            <v>LPV057-2017-2</v>
          </cell>
        </row>
        <row r="1094">
          <cell r="A1094" t="str">
            <v>LPV058-2017-1</v>
          </cell>
        </row>
        <row r="1095">
          <cell r="A1095" t="str">
            <v>LPV058-2017-2</v>
          </cell>
        </row>
        <row r="1096">
          <cell r="A1096" t="str">
            <v>LPV059-2017-1</v>
          </cell>
        </row>
        <row r="1097">
          <cell r="A1097" t="str">
            <v>LPV059-2017-2</v>
          </cell>
        </row>
        <row r="1098">
          <cell r="A1098" t="str">
            <v>LPV060-2017-1</v>
          </cell>
        </row>
        <row r="1099">
          <cell r="A1099" t="str">
            <v>LPV060-2017-2</v>
          </cell>
        </row>
        <row r="1100">
          <cell r="A1100" t="str">
            <v>LPV061-2017-1</v>
          </cell>
        </row>
        <row r="1101">
          <cell r="A1101" t="str">
            <v>LPV061-2017-2</v>
          </cell>
        </row>
        <row r="1102">
          <cell r="A1102" t="str">
            <v>LPV062-2017-1</v>
          </cell>
        </row>
        <row r="1103">
          <cell r="A1103" t="str">
            <v>LPV062-2017-2</v>
          </cell>
        </row>
        <row r="1104">
          <cell r="A1104" t="str">
            <v>TRK062-2017-1</v>
          </cell>
        </row>
        <row r="1105">
          <cell r="A1105" t="str">
            <v>TRK063-2017-1</v>
          </cell>
        </row>
        <row r="1106">
          <cell r="A1106" t="str">
            <v>TRK064-2017-1</v>
          </cell>
        </row>
        <row r="1107">
          <cell r="A1107" t="str">
            <v>TRK065-2017-1</v>
          </cell>
        </row>
        <row r="1108">
          <cell r="A1108" t="str">
            <v>TRK066-2017-1</v>
          </cell>
        </row>
        <row r="1109">
          <cell r="A1109" t="str">
            <v>TRK067-2017-1</v>
          </cell>
        </row>
        <row r="1110">
          <cell r="A1110" t="str">
            <v>TRK068-2017-1</v>
          </cell>
        </row>
        <row r="1111">
          <cell r="A1111" t="str">
            <v>TRK069-2017-1</v>
          </cell>
        </row>
        <row r="1112">
          <cell r="A1112" t="str">
            <v>TRK070-2017-1</v>
          </cell>
        </row>
        <row r="1113">
          <cell r="A1113" t="str">
            <v>TRK071-2017-1</v>
          </cell>
        </row>
        <row r="1114">
          <cell r="A1114" t="str">
            <v>TRK072-2017-1</v>
          </cell>
        </row>
        <row r="1115">
          <cell r="A1115" t="str">
            <v>TRK073-2017-1</v>
          </cell>
        </row>
        <row r="1116">
          <cell r="A1116" t="str">
            <v>TRK074-2017-1</v>
          </cell>
        </row>
        <row r="1117">
          <cell r="A1117" t="str">
            <v>TRK075-2017-1</v>
          </cell>
        </row>
        <row r="1118">
          <cell r="A1118" t="str">
            <v>TRK076-2017-1</v>
          </cell>
        </row>
        <row r="1119">
          <cell r="A1119" t="str">
            <v>TRK077-2017-1</v>
          </cell>
        </row>
        <row r="1120">
          <cell r="A1120" t="str">
            <v>TRK078-2017-1</v>
          </cell>
        </row>
        <row r="1121">
          <cell r="A1121" t="str">
            <v>TRK079-2017-1</v>
          </cell>
        </row>
        <row r="1122">
          <cell r="A1122" t="str">
            <v>TRK080-2017-1</v>
          </cell>
        </row>
        <row r="1123">
          <cell r="A1123" t="str">
            <v>TRK081-2017-1</v>
          </cell>
        </row>
        <row r="1124">
          <cell r="A1124" t="str">
            <v>TRK082-2017-1</v>
          </cell>
        </row>
        <row r="1125">
          <cell r="A1125" t="str">
            <v>TRK083-2017-1</v>
          </cell>
        </row>
        <row r="1126">
          <cell r="A1126" t="str">
            <v>TRK084-2017-1</v>
          </cell>
        </row>
        <row r="1127">
          <cell r="A1127" t="str">
            <v>TRK085-2017-1</v>
          </cell>
        </row>
        <row r="1128">
          <cell r="A1128" t="str">
            <v>TRK086-2017-1</v>
          </cell>
        </row>
        <row r="1129">
          <cell r="A1129" t="str">
            <v>TRK087-2017-1</v>
          </cell>
        </row>
        <row r="1130">
          <cell r="A1130" t="str">
            <v>TRK088-2017-1</v>
          </cell>
        </row>
        <row r="1131">
          <cell r="A1131" t="str">
            <v>TRK089-2017-1</v>
          </cell>
        </row>
        <row r="1132">
          <cell r="A1132" t="str">
            <v>TRK090-2017-1</v>
          </cell>
        </row>
        <row r="1133">
          <cell r="A1133" t="str">
            <v>TRK091-2017-1</v>
          </cell>
        </row>
        <row r="1134">
          <cell r="A1134" t="str">
            <v>TRK092-2017-1</v>
          </cell>
        </row>
        <row r="1135">
          <cell r="A1135" t="str">
            <v>TRK093-2017-1</v>
          </cell>
        </row>
        <row r="1136">
          <cell r="A1136" t="str">
            <v>TRK094-2017-1</v>
          </cell>
        </row>
        <row r="1137">
          <cell r="A1137" t="str">
            <v>TRK095-2017-1</v>
          </cell>
        </row>
        <row r="1138">
          <cell r="A1138" t="str">
            <v>TRK096-2017-1</v>
          </cell>
        </row>
        <row r="1139">
          <cell r="A1139" t="str">
            <v>TRK097-2017-1</v>
          </cell>
        </row>
        <row r="1140">
          <cell r="A1140" t="str">
            <v>TRK098-2017-1</v>
          </cell>
        </row>
        <row r="1141">
          <cell r="A1141" t="str">
            <v>TRK099-2017-1</v>
          </cell>
        </row>
        <row r="1142">
          <cell r="A1142" t="str">
            <v>TRK100-2017-1</v>
          </cell>
        </row>
        <row r="1143">
          <cell r="A1143" t="str">
            <v>TRK101-2017-1</v>
          </cell>
        </row>
        <row r="1144">
          <cell r="A1144" t="str">
            <v>TRK102-2017-1</v>
          </cell>
        </row>
        <row r="1145">
          <cell r="A1145" t="str">
            <v>TRK103-2017-1</v>
          </cell>
        </row>
        <row r="1146">
          <cell r="A1146" t="str">
            <v>TRK104-2017-1</v>
          </cell>
        </row>
        <row r="1147">
          <cell r="A1147" t="str">
            <v>TRK105-2017-1</v>
          </cell>
        </row>
        <row r="1148">
          <cell r="A1148" t="str">
            <v>TRK106-2017-1</v>
          </cell>
        </row>
        <row r="1149">
          <cell r="A1149" t="str">
            <v>TRK107-2017-1</v>
          </cell>
        </row>
        <row r="1150">
          <cell r="A1150" t="str">
            <v>TRK108-2017-1</v>
          </cell>
        </row>
        <row r="1151">
          <cell r="A1151" t="str">
            <v>TRK109-2017-1</v>
          </cell>
        </row>
        <row r="1152">
          <cell r="A1152" t="str">
            <v>TRK110-2017-1</v>
          </cell>
        </row>
        <row r="1153">
          <cell r="A1153" t="str">
            <v>TRK111-2017-1</v>
          </cell>
        </row>
        <row r="1154">
          <cell r="A1154" t="str">
            <v>TRK112-2017-1</v>
          </cell>
        </row>
        <row r="1155">
          <cell r="A1155" t="str">
            <v>TRK113-2017-1</v>
          </cell>
        </row>
        <row r="1156">
          <cell r="A1156" t="str">
            <v>TRK114-2017-1</v>
          </cell>
        </row>
        <row r="1157">
          <cell r="A1157" t="str">
            <v>TRK115-2017-1</v>
          </cell>
        </row>
        <row r="1158">
          <cell r="A1158" t="str">
            <v>TRK116-2017-1</v>
          </cell>
        </row>
        <row r="1159">
          <cell r="A1159" t="str">
            <v>TRK117-2017-1</v>
          </cell>
        </row>
        <row r="1160">
          <cell r="A1160" t="str">
            <v>TRK118-2017-1</v>
          </cell>
        </row>
        <row r="1161">
          <cell r="A1161" t="str">
            <v>TRK119-2017-1</v>
          </cell>
        </row>
        <row r="1162">
          <cell r="A1162" t="str">
            <v>TRK120-2017-1</v>
          </cell>
        </row>
        <row r="1163">
          <cell r="A1163" t="str">
            <v>TRK121-2017-1</v>
          </cell>
        </row>
        <row r="1164">
          <cell r="A1164" t="str">
            <v>TRK122-2017-1</v>
          </cell>
        </row>
        <row r="1165">
          <cell r="A1165" t="str">
            <v>TRK224-2017-2</v>
          </cell>
        </row>
        <row r="1166">
          <cell r="A1166" t="str">
            <v>TRK225-2017-2</v>
          </cell>
        </row>
        <row r="1167">
          <cell r="A1167" t="str">
            <v>TRK226-2017-2</v>
          </cell>
        </row>
        <row r="1168">
          <cell r="A1168" t="str">
            <v>TRK227-2017-2</v>
          </cell>
        </row>
        <row r="1169">
          <cell r="A1169" t="str">
            <v>TRK228-2017-2</v>
          </cell>
        </row>
        <row r="1170">
          <cell r="A1170" t="str">
            <v>TRK229-2017-2</v>
          </cell>
        </row>
        <row r="1171">
          <cell r="A1171" t="str">
            <v>TRK230-2017-2</v>
          </cell>
        </row>
        <row r="1172">
          <cell r="A1172" t="str">
            <v>TRK231-2017-2</v>
          </cell>
        </row>
        <row r="1173">
          <cell r="A1173" t="str">
            <v>TRK296-2017-1</v>
          </cell>
        </row>
        <row r="1174">
          <cell r="A1174" t="str">
            <v>TRK297-2017-2</v>
          </cell>
        </row>
        <row r="1175">
          <cell r="A1175" t="str">
            <v>TRK298-2017-2</v>
          </cell>
        </row>
        <row r="1176">
          <cell r="A1176" t="str">
            <v>TRK299-2017-2</v>
          </cell>
        </row>
        <row r="1177">
          <cell r="A1177" t="str">
            <v>TRK300-2017-2</v>
          </cell>
        </row>
        <row r="1178">
          <cell r="A1178" t="str">
            <v>TRK301-2017-2</v>
          </cell>
        </row>
        <row r="1179">
          <cell r="A1179" t="str">
            <v>TRK302-2017-2</v>
          </cell>
        </row>
        <row r="1180">
          <cell r="A1180" t="str">
            <v>TRK303-2017-2</v>
          </cell>
        </row>
        <row r="1181">
          <cell r="A1181" t="str">
            <v>TRK304-2017-2</v>
          </cell>
        </row>
        <row r="1182">
          <cell r="A1182" t="str">
            <v>TRK305-2017-2</v>
          </cell>
        </row>
        <row r="1183">
          <cell r="A1183" t="str">
            <v>TRK306-2017-1</v>
          </cell>
        </row>
        <row r="1184">
          <cell r="A1184" t="str">
            <v>TRK307-2017-1</v>
          </cell>
        </row>
        <row r="1185">
          <cell r="A1185" t="str">
            <v>TRK308-2017-2</v>
          </cell>
        </row>
        <row r="1186">
          <cell r="A1186" t="str">
            <v>TRK309-2017-2</v>
          </cell>
        </row>
        <row r="1187">
          <cell r="A1187" t="str">
            <v>TRK310-2017-2</v>
          </cell>
        </row>
        <row r="1188">
          <cell r="A1188" t="str">
            <v>TRK311-2017-2</v>
          </cell>
        </row>
        <row r="1189">
          <cell r="A1189" t="str">
            <v>TRK312-2017-2</v>
          </cell>
        </row>
        <row r="1190">
          <cell r="A1190" t="str">
            <v>TRK313-2017-2</v>
          </cell>
        </row>
        <row r="1191">
          <cell r="A1191" t="str">
            <v>TRK314-2017-2</v>
          </cell>
        </row>
        <row r="1192">
          <cell r="A1192" t="str">
            <v>TRK315-2017-2</v>
          </cell>
        </row>
        <row r="1193">
          <cell r="A1193" t="str">
            <v>SSV007-2017-1</v>
          </cell>
        </row>
        <row r="1194">
          <cell r="A1194" t="str">
            <v>SSV007-2017-2</v>
          </cell>
        </row>
        <row r="1195">
          <cell r="A1195" t="str">
            <v>SSV008-2017-1</v>
          </cell>
        </row>
        <row r="1196">
          <cell r="A1196" t="str">
            <v>SSV008-2017-2</v>
          </cell>
        </row>
        <row r="1197">
          <cell r="A1197" t="str">
            <v>SSV011-2017-1</v>
          </cell>
        </row>
        <row r="1198">
          <cell r="A1198" t="str">
            <v>SSV012-2017-1</v>
          </cell>
        </row>
        <row r="1199">
          <cell r="A1199" t="str">
            <v>SSV015-2017-1</v>
          </cell>
        </row>
        <row r="1200">
          <cell r="A1200" t="str">
            <v>SSV016-2017-1</v>
          </cell>
        </row>
        <row r="1201">
          <cell r="A1201" t="str">
            <v>PPV001-2017-1</v>
          </cell>
        </row>
        <row r="1202">
          <cell r="A1202" t="str">
            <v>PPV001-2017-2</v>
          </cell>
        </row>
        <row r="1203">
          <cell r="A1203" t="str">
            <v>PPV002-2017-1</v>
          </cell>
        </row>
        <row r="1204">
          <cell r="A1204" t="str">
            <v>PPV002-2017-2</v>
          </cell>
        </row>
        <row r="1205">
          <cell r="A1205" t="str">
            <v>OTHER</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 - Review+Instructions"/>
      <sheetName val="Recommended Vehicles"/>
      <sheetName val="1. Category I Vehicles"/>
      <sheetName val="2. Category II Vehicles"/>
      <sheetName val="3. Credits"/>
      <sheetName val="Scoring"/>
      <sheetName val="4. Exemption Justification"/>
      <sheetName val="Dependent Lists - Cat I"/>
      <sheetName val="Cat I Vehicles"/>
      <sheetName val="Dependent Lists - Cat II"/>
      <sheetName val="Cat II Vehicl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Chevrolet</v>
          </cell>
        </row>
        <row r="4">
          <cell r="B4" t="str">
            <v>Ford</v>
          </cell>
        </row>
        <row r="5">
          <cell r="B5" t="str">
            <v>Honda</v>
          </cell>
        </row>
        <row r="6">
          <cell r="B6" t="str">
            <v>Hyundai</v>
          </cell>
        </row>
        <row r="7">
          <cell r="B7" t="str">
            <v>Nissan</v>
          </cell>
        </row>
      </sheetData>
      <sheetData sheetId="8" refreshError="1"/>
      <sheetData sheetId="9">
        <row r="3">
          <cell r="B3" t="str">
            <v>Chevrolet.</v>
          </cell>
        </row>
        <row r="4">
          <cell r="B4" t="str">
            <v>ChrysDodgeJeep.</v>
          </cell>
        </row>
        <row r="5">
          <cell r="B5" t="str">
            <v>Ford.</v>
          </cell>
        </row>
        <row r="6">
          <cell r="B6" t="str">
            <v>Honda.</v>
          </cell>
        </row>
        <row r="7">
          <cell r="B7" t="str">
            <v>Hyundai.</v>
          </cell>
        </row>
        <row r="8">
          <cell r="B8" t="str">
            <v>Nissan.</v>
          </cell>
        </row>
        <row r="9">
          <cell r="B9" t="str">
            <v>Ram.</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ass.gov/files/documents/2018/03/21/FuelEfficiencyStandard_UPDATED_Fall2017.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499984740745262"/>
  </sheetPr>
  <dimension ref="A1:L36"/>
  <sheetViews>
    <sheetView workbookViewId="0">
      <selection activeCell="G39" sqref="G39"/>
    </sheetView>
  </sheetViews>
  <sheetFormatPr defaultColWidth="8.85546875" defaultRowHeight="15"/>
  <sheetData>
    <row r="1" spans="1:12">
      <c r="A1" s="10"/>
      <c r="B1" s="10"/>
      <c r="C1" s="10"/>
      <c r="D1" s="10"/>
      <c r="E1" s="10"/>
      <c r="F1" s="10"/>
      <c r="G1" s="10"/>
      <c r="H1" s="10"/>
      <c r="I1" s="10"/>
      <c r="J1" s="10"/>
      <c r="K1" s="10"/>
      <c r="L1" s="10"/>
    </row>
    <row r="2" spans="1:12">
      <c r="A2" s="10"/>
      <c r="B2" s="10"/>
      <c r="C2" s="10"/>
      <c r="D2" s="10"/>
      <c r="E2" s="10"/>
      <c r="F2" s="10"/>
      <c r="G2" s="10"/>
      <c r="H2" s="10"/>
      <c r="I2" s="10"/>
      <c r="J2" s="10"/>
      <c r="K2" s="10"/>
      <c r="L2" s="10"/>
    </row>
    <row r="3" spans="1:12">
      <c r="A3" s="10"/>
      <c r="B3" s="10" t="s">
        <v>0</v>
      </c>
      <c r="C3" s="10"/>
      <c r="D3" s="10"/>
      <c r="E3" s="10"/>
      <c r="F3" s="10"/>
      <c r="G3" s="10"/>
      <c r="H3" s="10"/>
      <c r="I3" s="10"/>
      <c r="J3" s="10"/>
      <c r="K3" s="10"/>
      <c r="L3" s="10"/>
    </row>
    <row r="4" spans="1:12">
      <c r="A4" s="10"/>
      <c r="B4" s="10" t="s">
        <v>1</v>
      </c>
      <c r="C4" s="10"/>
      <c r="D4" s="10"/>
      <c r="E4" s="10"/>
      <c r="F4" s="10"/>
      <c r="G4" s="10"/>
      <c r="H4" s="10"/>
      <c r="I4" s="10"/>
      <c r="J4" s="10"/>
      <c r="K4" s="10"/>
      <c r="L4" s="10"/>
    </row>
    <row r="5" spans="1:12">
      <c r="A5" s="10"/>
      <c r="B5" s="10" t="s">
        <v>2</v>
      </c>
      <c r="C5" s="10"/>
      <c r="D5" s="10"/>
      <c r="E5" s="10"/>
      <c r="F5" s="10"/>
      <c r="G5" s="10"/>
      <c r="H5" s="10"/>
      <c r="I5" s="10"/>
      <c r="J5" s="10"/>
      <c r="K5" s="10"/>
      <c r="L5" s="10"/>
    </row>
    <row r="6" spans="1:12">
      <c r="A6" s="10"/>
      <c r="B6" s="10" t="s">
        <v>3</v>
      </c>
      <c r="C6" s="10"/>
      <c r="D6" s="10"/>
      <c r="E6" s="10"/>
      <c r="F6" s="10"/>
      <c r="G6" s="10"/>
      <c r="H6" s="10"/>
      <c r="I6" s="10"/>
      <c r="J6" s="10"/>
      <c r="K6" s="10"/>
      <c r="L6" s="10"/>
    </row>
    <row r="7" spans="1:12">
      <c r="A7" s="10"/>
      <c r="B7" s="10" t="s">
        <v>4</v>
      </c>
      <c r="C7" s="10"/>
      <c r="D7" s="10"/>
      <c r="E7" s="10"/>
      <c r="F7" s="10"/>
      <c r="G7" s="10"/>
      <c r="H7" s="10"/>
      <c r="I7" s="10"/>
      <c r="J7" s="10"/>
      <c r="K7" s="10"/>
      <c r="L7" s="10"/>
    </row>
    <row r="8" spans="1:12">
      <c r="A8" s="10"/>
      <c r="B8" s="10" t="s">
        <v>5</v>
      </c>
      <c r="C8" s="10"/>
      <c r="D8" s="10"/>
      <c r="E8" s="10"/>
      <c r="F8" s="10"/>
      <c r="G8" s="10"/>
      <c r="H8" s="10"/>
      <c r="I8" s="10"/>
      <c r="J8" s="10"/>
      <c r="K8" s="10"/>
      <c r="L8" s="10"/>
    </row>
    <row r="9" spans="1:12">
      <c r="A9" s="10"/>
      <c r="B9" s="10"/>
      <c r="C9" s="10"/>
      <c r="D9" s="10"/>
      <c r="E9" s="10"/>
      <c r="F9" s="10"/>
      <c r="G9" s="10"/>
      <c r="H9" s="10"/>
      <c r="I9" s="10"/>
      <c r="J9" s="10"/>
      <c r="K9" s="10"/>
      <c r="L9" s="10"/>
    </row>
    <row r="10" spans="1:12">
      <c r="A10" s="10"/>
      <c r="B10" s="10" t="s">
        <v>6</v>
      </c>
      <c r="C10" s="10"/>
      <c r="D10" s="10"/>
      <c r="E10" s="10"/>
      <c r="F10" s="10"/>
      <c r="G10" s="10"/>
      <c r="H10" s="10"/>
      <c r="I10" s="10"/>
      <c r="J10" s="10"/>
      <c r="K10" s="10"/>
      <c r="L10" s="10"/>
    </row>
    <row r="11" spans="1:12">
      <c r="A11" s="10"/>
      <c r="B11" s="10" t="s">
        <v>7</v>
      </c>
      <c r="C11" s="10"/>
      <c r="D11" s="10"/>
      <c r="E11" s="10"/>
      <c r="F11" s="10"/>
      <c r="G11" s="10"/>
      <c r="H11" s="10"/>
      <c r="I11" s="10"/>
      <c r="J11" s="10"/>
      <c r="K11" s="10"/>
      <c r="L11" s="10"/>
    </row>
    <row r="12" spans="1:12">
      <c r="A12" s="10"/>
      <c r="B12" s="10" t="s">
        <v>8</v>
      </c>
      <c r="C12" s="10"/>
      <c r="D12" s="10"/>
      <c r="E12" s="10"/>
      <c r="F12" s="10"/>
      <c r="G12" s="10"/>
      <c r="H12" s="10"/>
      <c r="I12" s="10"/>
      <c r="J12" s="10"/>
      <c r="K12" s="10"/>
      <c r="L12" s="10"/>
    </row>
    <row r="13" spans="1:12">
      <c r="A13" s="10"/>
      <c r="B13" s="10" t="s">
        <v>9</v>
      </c>
      <c r="C13" s="10"/>
      <c r="D13" s="10"/>
      <c r="E13" s="10"/>
      <c r="F13" s="10"/>
      <c r="G13" s="10"/>
      <c r="H13" s="10"/>
      <c r="I13" s="10"/>
      <c r="J13" s="10"/>
      <c r="K13" s="10"/>
      <c r="L13" s="10"/>
    </row>
    <row r="14" spans="1:12">
      <c r="A14" s="10"/>
      <c r="B14" s="10"/>
      <c r="C14" s="10"/>
      <c r="D14" s="10"/>
      <c r="E14" s="10"/>
      <c r="F14" s="10"/>
      <c r="G14" s="10"/>
      <c r="H14" s="10"/>
      <c r="I14" s="10"/>
      <c r="J14" s="10"/>
      <c r="K14" s="10"/>
      <c r="L14" s="10"/>
    </row>
    <row r="15" spans="1:12">
      <c r="A15" s="10"/>
      <c r="B15" s="10"/>
      <c r="C15" s="10"/>
      <c r="D15" s="10"/>
      <c r="E15" s="10"/>
      <c r="F15" s="10"/>
      <c r="G15" s="10"/>
      <c r="H15" s="10"/>
      <c r="I15" s="10"/>
      <c r="J15" s="10"/>
      <c r="K15" s="10"/>
      <c r="L15" s="10"/>
    </row>
    <row r="16" spans="1:12">
      <c r="A16" s="10"/>
      <c r="B16" s="10"/>
      <c r="C16" s="10"/>
      <c r="D16" s="10"/>
      <c r="E16" s="10"/>
      <c r="F16" s="10"/>
      <c r="G16" s="10"/>
      <c r="H16" s="10"/>
      <c r="I16" s="10"/>
      <c r="J16" s="10"/>
      <c r="K16" s="10"/>
      <c r="L16" s="10"/>
    </row>
    <row r="17" spans="1:12">
      <c r="A17" s="10"/>
      <c r="B17" s="10"/>
      <c r="C17" s="10"/>
      <c r="D17" s="10"/>
      <c r="E17" s="10"/>
      <c r="F17" s="10"/>
      <c r="G17" s="10"/>
      <c r="H17" s="10"/>
      <c r="I17" s="10"/>
      <c r="J17" s="10"/>
      <c r="K17" s="10"/>
      <c r="L17" s="10"/>
    </row>
    <row r="18" spans="1:12">
      <c r="A18" s="10"/>
      <c r="B18" s="10"/>
      <c r="C18" s="10"/>
      <c r="D18" s="10"/>
      <c r="E18" s="10"/>
      <c r="F18" s="10"/>
      <c r="G18" s="10"/>
      <c r="H18" s="10"/>
      <c r="I18" s="10"/>
      <c r="J18" s="10"/>
      <c r="K18" s="10"/>
      <c r="L18" s="10"/>
    </row>
    <row r="19" spans="1:12">
      <c r="A19" s="10"/>
      <c r="B19" s="10"/>
      <c r="C19" s="10"/>
      <c r="D19" s="10"/>
      <c r="E19" s="10"/>
      <c r="F19" s="10"/>
      <c r="G19" s="10"/>
      <c r="H19" s="10"/>
      <c r="I19" s="10"/>
      <c r="J19" s="10"/>
      <c r="K19" s="10"/>
      <c r="L19" s="10"/>
    </row>
    <row r="20" spans="1:12">
      <c r="A20" s="10"/>
      <c r="B20" s="10"/>
      <c r="C20" s="10"/>
      <c r="D20" s="10"/>
      <c r="E20" s="10"/>
      <c r="F20" s="10"/>
      <c r="G20" s="10"/>
      <c r="H20" s="10"/>
      <c r="I20" s="10"/>
      <c r="J20" s="10"/>
      <c r="K20" s="10"/>
      <c r="L20" s="10"/>
    </row>
    <row r="21" spans="1:12">
      <c r="A21" s="10"/>
      <c r="B21" s="10"/>
      <c r="C21" s="10"/>
      <c r="D21" s="10"/>
      <c r="E21" s="10"/>
      <c r="F21" s="10"/>
      <c r="G21" s="10"/>
      <c r="H21" s="10"/>
      <c r="I21" s="10"/>
      <c r="J21" s="10"/>
      <c r="K21" s="10"/>
      <c r="L21" s="10"/>
    </row>
    <row r="22" spans="1:12">
      <c r="A22" s="10"/>
      <c r="B22" s="10"/>
      <c r="C22" s="10"/>
      <c r="D22" s="10"/>
      <c r="E22" s="10"/>
      <c r="F22" s="10"/>
      <c r="G22" s="10"/>
      <c r="H22" s="10"/>
      <c r="I22" s="10"/>
      <c r="J22" s="10"/>
      <c r="K22" s="10"/>
      <c r="L22" s="10"/>
    </row>
    <row r="23" spans="1:12">
      <c r="A23" s="10"/>
      <c r="B23" s="10"/>
      <c r="C23" s="10"/>
      <c r="D23" s="10"/>
      <c r="E23" s="10"/>
      <c r="F23" s="10"/>
      <c r="G23" s="10"/>
      <c r="H23" s="10"/>
      <c r="I23" s="10"/>
      <c r="J23" s="10"/>
      <c r="K23" s="10"/>
      <c r="L23" s="10"/>
    </row>
    <row r="24" spans="1:12">
      <c r="A24" s="10"/>
      <c r="B24" s="10"/>
      <c r="C24" s="10"/>
      <c r="D24" s="10"/>
      <c r="E24" s="10"/>
      <c r="F24" s="10"/>
      <c r="G24" s="10"/>
      <c r="H24" s="10"/>
      <c r="I24" s="10"/>
      <c r="J24" s="10"/>
      <c r="K24" s="10"/>
      <c r="L24" s="10"/>
    </row>
    <row r="25" spans="1:12">
      <c r="A25" s="10"/>
      <c r="B25" s="10"/>
      <c r="C25" s="10"/>
      <c r="D25" s="10"/>
      <c r="E25" s="10"/>
      <c r="F25" s="10"/>
      <c r="G25" s="10"/>
      <c r="H25" s="10"/>
      <c r="I25" s="10"/>
      <c r="J25" s="10"/>
      <c r="K25" s="10"/>
      <c r="L25" s="10"/>
    </row>
    <row r="26" spans="1:12">
      <c r="A26" s="10"/>
      <c r="B26" s="10"/>
      <c r="C26" s="10"/>
      <c r="D26" s="10"/>
      <c r="E26" s="10"/>
      <c r="F26" s="10"/>
      <c r="G26" s="10"/>
      <c r="H26" s="10"/>
      <c r="I26" s="10"/>
      <c r="J26" s="10"/>
      <c r="K26" s="10"/>
      <c r="L26" s="10"/>
    </row>
    <row r="27" spans="1:12">
      <c r="A27" s="10"/>
      <c r="B27" s="10"/>
      <c r="C27" s="10"/>
      <c r="D27" s="10"/>
      <c r="E27" s="10"/>
      <c r="F27" s="10"/>
      <c r="G27" s="10"/>
      <c r="H27" s="10"/>
      <c r="I27" s="10"/>
      <c r="J27" s="10"/>
      <c r="K27" s="10"/>
      <c r="L27" s="10"/>
    </row>
    <row r="28" spans="1:12">
      <c r="A28" s="10"/>
      <c r="B28" s="10"/>
      <c r="C28" s="10"/>
      <c r="D28" s="10"/>
      <c r="E28" s="10"/>
      <c r="F28" s="10"/>
      <c r="G28" s="10"/>
      <c r="H28" s="10"/>
      <c r="I28" s="10"/>
      <c r="J28" s="10"/>
      <c r="K28" s="10"/>
      <c r="L28" s="10"/>
    </row>
    <row r="29" spans="1:12">
      <c r="A29" s="10"/>
      <c r="B29" s="10"/>
      <c r="C29" s="10"/>
      <c r="D29" s="10"/>
      <c r="E29" s="10"/>
      <c r="F29" s="10"/>
      <c r="G29" s="10"/>
      <c r="H29" s="10"/>
      <c r="I29" s="10"/>
      <c r="J29" s="10"/>
      <c r="K29" s="10"/>
      <c r="L29" s="10"/>
    </row>
    <row r="30" spans="1:12">
      <c r="A30" s="10"/>
      <c r="B30" s="10"/>
      <c r="C30" s="10"/>
      <c r="D30" s="10"/>
      <c r="E30" s="10"/>
      <c r="F30" s="10"/>
      <c r="G30" s="10"/>
      <c r="H30" s="10"/>
      <c r="I30" s="10"/>
      <c r="J30" s="10"/>
      <c r="K30" s="10"/>
      <c r="L30" s="10"/>
    </row>
    <row r="31" spans="1:12">
      <c r="A31" s="10"/>
      <c r="B31" s="10"/>
      <c r="C31" s="10"/>
      <c r="D31" s="10"/>
      <c r="E31" s="10"/>
      <c r="F31" s="10"/>
      <c r="G31" s="10"/>
      <c r="H31" s="10"/>
      <c r="I31" s="10"/>
      <c r="J31" s="10"/>
      <c r="K31" s="10"/>
      <c r="L31" s="10"/>
    </row>
    <row r="32" spans="1:12">
      <c r="A32" s="10"/>
      <c r="B32" s="10"/>
      <c r="C32" s="10"/>
      <c r="D32" s="10"/>
      <c r="E32" s="10"/>
      <c r="F32" s="10"/>
      <c r="G32" s="10"/>
      <c r="H32" s="10"/>
      <c r="I32" s="10"/>
      <c r="J32" s="10"/>
      <c r="K32" s="10"/>
      <c r="L32" s="10"/>
    </row>
    <row r="33" spans="1:12">
      <c r="A33" s="10"/>
      <c r="B33" s="10"/>
      <c r="C33" s="10"/>
      <c r="D33" s="10"/>
      <c r="E33" s="10"/>
      <c r="F33" s="10"/>
      <c r="G33" s="10"/>
      <c r="H33" s="10"/>
      <c r="I33" s="10"/>
      <c r="J33" s="10"/>
      <c r="K33" s="10"/>
      <c r="L33" s="10"/>
    </row>
    <row r="34" spans="1:12">
      <c r="A34" s="10"/>
      <c r="B34" s="10"/>
      <c r="C34" s="10"/>
      <c r="D34" s="10"/>
      <c r="E34" s="10"/>
      <c r="F34" s="10"/>
      <c r="G34" s="10"/>
      <c r="H34" s="10"/>
      <c r="I34" s="10"/>
      <c r="J34" s="10"/>
      <c r="K34" s="10"/>
      <c r="L34" s="10"/>
    </row>
    <row r="35" spans="1:12">
      <c r="A35" s="10"/>
      <c r="B35" s="10"/>
      <c r="C35" s="10"/>
      <c r="D35" s="10"/>
      <c r="E35" s="10"/>
      <c r="F35" s="10"/>
      <c r="G35" s="10"/>
      <c r="H35" s="10"/>
      <c r="I35" s="10"/>
      <c r="J35" s="10"/>
      <c r="K35" s="10"/>
      <c r="L35" s="10"/>
    </row>
    <row r="36" spans="1:12">
      <c r="A36" s="10"/>
      <c r="B36" s="10"/>
      <c r="C36" s="10"/>
      <c r="D36" s="10"/>
      <c r="E36" s="10"/>
      <c r="F36" s="10"/>
      <c r="G36" s="10"/>
      <c r="H36" s="10"/>
      <c r="I36" s="10"/>
      <c r="J36" s="10"/>
      <c r="K36" s="10"/>
      <c r="L36" s="1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CCFFCC"/>
    <pageSetUpPr fitToPage="1"/>
  </sheetPr>
  <dimension ref="A1:Y146"/>
  <sheetViews>
    <sheetView zoomScale="80" zoomScaleNormal="80" workbookViewId="0">
      <pane ySplit="7" topLeftCell="A8" activePane="bottomLeft" state="frozen"/>
      <selection pane="bottomLeft"/>
    </sheetView>
  </sheetViews>
  <sheetFormatPr defaultColWidth="0" defaultRowHeight="15"/>
  <cols>
    <col min="1" max="1" width="3.7109375" style="10" customWidth="1"/>
    <col min="2" max="2" width="25.140625" style="10" customWidth="1"/>
    <col min="3" max="3" width="21.42578125" style="10" customWidth="1"/>
    <col min="4" max="4" width="27.7109375" style="10" customWidth="1"/>
    <col min="5" max="5" width="24.28515625" style="10" customWidth="1"/>
    <col min="6" max="6" width="10.28515625" style="10" customWidth="1"/>
    <col min="7" max="8" width="16.7109375" style="10" customWidth="1"/>
    <col min="9" max="9" width="14.42578125" style="10" customWidth="1"/>
    <col min="10" max="10" width="11.85546875" style="10" customWidth="1"/>
    <col min="11" max="11" width="20.42578125" style="10" customWidth="1"/>
    <col min="12" max="12" width="18" style="10" bestFit="1" customWidth="1"/>
    <col min="13" max="13" width="19.28515625" style="10" customWidth="1"/>
    <col min="14" max="14" width="7.7109375" style="10" customWidth="1"/>
    <col min="15" max="15" width="25.7109375" style="10" customWidth="1"/>
    <col min="16" max="16" width="23.140625" style="10" hidden="1" customWidth="1"/>
    <col min="17" max="18" width="13.42578125" style="10" hidden="1" customWidth="1"/>
    <col min="19" max="20" width="9.140625" style="10" customWidth="1"/>
    <col min="21" max="26" width="9.140625" hidden="1" customWidth="1"/>
    <col min="27" max="16384" width="9.140625" hidden="1"/>
  </cols>
  <sheetData>
    <row r="1" spans="1:23" s="99" customFormat="1" ht="21">
      <c r="A1" s="10"/>
      <c r="B1" s="918" t="s">
        <v>94</v>
      </c>
      <c r="C1" s="918"/>
      <c r="D1" s="918"/>
      <c r="E1" s="918"/>
      <c r="F1" s="918"/>
      <c r="G1" s="918"/>
      <c r="H1" s="918"/>
      <c r="I1" s="918"/>
      <c r="J1" s="918"/>
      <c r="K1" s="743"/>
      <c r="L1" s="77"/>
      <c r="M1" s="77"/>
      <c r="N1" s="77"/>
      <c r="O1" s="77"/>
      <c r="P1" s="77"/>
      <c r="Q1" s="77"/>
      <c r="R1" s="10"/>
      <c r="S1" s="10"/>
      <c r="T1" s="10"/>
      <c r="U1" s="10"/>
      <c r="V1" s="10"/>
    </row>
    <row r="2" spans="1:23" s="99" customFormat="1" ht="29.25" customHeight="1">
      <c r="A2" s="10"/>
      <c r="B2" s="919" t="s">
        <v>6426</v>
      </c>
      <c r="C2" s="919"/>
      <c r="D2" s="919"/>
      <c r="E2" s="919"/>
      <c r="F2" s="919"/>
      <c r="G2" s="919"/>
      <c r="H2" s="919"/>
      <c r="I2" s="919"/>
      <c r="J2" s="919"/>
      <c r="K2" s="10"/>
      <c r="L2" s="920"/>
      <c r="M2" s="920"/>
      <c r="N2" s="920"/>
      <c r="O2" s="10"/>
      <c r="P2" s="10"/>
      <c r="Q2" s="98" t="s">
        <v>6427</v>
      </c>
      <c r="R2" s="641">
        <v>2.5</v>
      </c>
      <c r="S2" s="10"/>
      <c r="T2" s="10"/>
      <c r="U2" s="10"/>
      <c r="V2" s="10"/>
    </row>
    <row r="3" spans="1:23" s="99" customFormat="1" ht="7.5" customHeight="1">
      <c r="A3" s="10"/>
      <c r="B3" s="744"/>
      <c r="C3" s="744"/>
      <c r="D3" s="10"/>
      <c r="E3" s="18"/>
      <c r="F3" s="18"/>
      <c r="G3" s="10"/>
      <c r="H3" s="10"/>
      <c r="I3" s="10"/>
      <c r="J3" s="10"/>
      <c r="K3" s="10"/>
      <c r="L3" s="10"/>
      <c r="M3" s="10"/>
      <c r="N3" s="10"/>
      <c r="O3" s="21"/>
      <c r="P3" s="21"/>
      <c r="Q3" s="10"/>
      <c r="R3" s="10"/>
      <c r="S3" s="10"/>
      <c r="T3" s="10"/>
    </row>
    <row r="4" spans="1:23" ht="15" customHeight="1">
      <c r="B4" s="744" t="s">
        <v>97</v>
      </c>
      <c r="C4" s="744"/>
      <c r="I4" s="19"/>
      <c r="U4" s="99"/>
      <c r="V4" s="99"/>
      <c r="W4" s="99"/>
    </row>
    <row r="5" spans="1:23" ht="7.5" customHeight="1" thickBot="1">
      <c r="B5" s="744"/>
      <c r="C5" s="744"/>
      <c r="E5" s="18"/>
      <c r="F5" s="18"/>
      <c r="O5" s="21"/>
      <c r="P5" s="21"/>
      <c r="U5" s="99"/>
      <c r="V5" s="99"/>
      <c r="W5" s="99"/>
    </row>
    <row r="6" spans="1:23" s="99" customFormat="1" ht="24.75" customHeight="1" thickBot="1">
      <c r="A6" s="10"/>
      <c r="B6" s="833" t="s">
        <v>6428</v>
      </c>
      <c r="C6" s="845"/>
      <c r="D6" s="845"/>
      <c r="E6" s="845"/>
      <c r="F6" s="845"/>
      <c r="G6" s="845"/>
      <c r="H6" s="845"/>
      <c r="I6" s="845"/>
      <c r="J6" s="845"/>
      <c r="K6" s="845"/>
      <c r="L6" s="845"/>
      <c r="M6" s="846"/>
      <c r="N6" s="119"/>
      <c r="O6" s="119"/>
      <c r="P6" s="119"/>
      <c r="Q6" s="119"/>
      <c r="R6" s="119"/>
      <c r="S6" s="119"/>
      <c r="T6" s="10"/>
    </row>
    <row r="7" spans="1:23" s="99" customFormat="1" ht="7.5" customHeight="1" thickBot="1">
      <c r="A7" s="10"/>
      <c r="B7" s="744"/>
      <c r="C7" s="744"/>
      <c r="D7" s="10"/>
      <c r="E7" s="18"/>
      <c r="F7" s="18"/>
      <c r="G7" s="10"/>
      <c r="H7" s="10"/>
      <c r="I7" s="10"/>
      <c r="J7" s="10"/>
      <c r="K7" s="3"/>
      <c r="L7" s="3"/>
      <c r="M7" s="10"/>
      <c r="N7" s="10"/>
      <c r="O7" s="21"/>
      <c r="P7" s="21"/>
      <c r="Q7" s="10"/>
      <c r="R7" s="10"/>
      <c r="S7" s="10"/>
      <c r="T7" s="10"/>
    </row>
    <row r="8" spans="1:23" s="99" customFormat="1" ht="36.75" customHeight="1" thickBot="1">
      <c r="A8" s="10"/>
      <c r="B8" s="934" t="s">
        <v>6393</v>
      </c>
      <c r="C8" s="935"/>
      <c r="D8" s="935"/>
      <c r="E8" s="935"/>
      <c r="F8" s="935"/>
      <c r="G8" s="935"/>
      <c r="H8" s="936"/>
      <c r="I8" s="360"/>
      <c r="J8" s="931" t="s">
        <v>6413</v>
      </c>
      <c r="K8" s="932"/>
      <c r="L8" s="932"/>
      <c r="M8" s="933"/>
      <c r="N8" s="360"/>
      <c r="O8" s="360"/>
      <c r="P8" s="360"/>
      <c r="Q8" s="360"/>
      <c r="R8" s="360"/>
      <c r="S8" s="360"/>
    </row>
    <row r="9" spans="1:23" s="99" customFormat="1" ht="8.25" customHeight="1" thickBot="1">
      <c r="A9" s="10"/>
      <c r="B9" s="28"/>
      <c r="C9" s="28"/>
      <c r="D9" s="28"/>
      <c r="E9" s="28"/>
      <c r="F9" s="28"/>
      <c r="G9" s="28"/>
      <c r="H9" s="28"/>
      <c r="I9" s="28"/>
      <c r="J9" s="10"/>
      <c r="K9" s="10"/>
      <c r="L9" s="10"/>
      <c r="M9" s="10"/>
      <c r="N9" s="10"/>
      <c r="O9" s="10"/>
      <c r="P9" s="10"/>
      <c r="Q9" s="10"/>
      <c r="R9" s="10"/>
      <c r="S9" s="10"/>
      <c r="T9" s="10"/>
    </row>
    <row r="10" spans="1:23" s="99" customFormat="1" ht="33" customHeight="1">
      <c r="A10" s="10"/>
      <c r="B10" s="1010" t="s">
        <v>98</v>
      </c>
      <c r="C10" s="1011"/>
      <c r="D10" s="1012" t="s">
        <v>6429</v>
      </c>
      <c r="E10" s="1013"/>
      <c r="F10" s="424"/>
      <c r="G10" s="890" t="s">
        <v>6395</v>
      </c>
      <c r="H10" s="987" t="s">
        <v>6396</v>
      </c>
      <c r="I10" s="3"/>
      <c r="J10" s="1010" t="s">
        <v>6414</v>
      </c>
      <c r="K10" s="1021"/>
      <c r="L10" s="1021"/>
      <c r="M10" s="1013"/>
      <c r="N10" s="425"/>
      <c r="O10" s="10"/>
      <c r="P10" s="424"/>
      <c r="Q10" s="3"/>
      <c r="R10" s="21"/>
      <c r="S10" s="21"/>
      <c r="T10" s="3"/>
      <c r="U10" s="10"/>
      <c r="V10" s="10"/>
      <c r="W10" s="10"/>
    </row>
    <row r="11" spans="1:23" s="99" customFormat="1" ht="9" customHeight="1">
      <c r="A11" s="10"/>
      <c r="B11" s="990"/>
      <c r="C11" s="991"/>
      <c r="D11" s="991"/>
      <c r="E11" s="992"/>
      <c r="F11" s="3"/>
      <c r="G11" s="891"/>
      <c r="H11" s="988"/>
      <c r="I11" s="3"/>
      <c r="J11" s="976"/>
      <c r="K11" s="977"/>
      <c r="L11" s="977"/>
      <c r="M11" s="978"/>
      <c r="N11" s="486"/>
      <c r="O11" s="550"/>
      <c r="P11" s="41"/>
      <c r="Q11" s="41"/>
      <c r="R11" s="41"/>
      <c r="S11" s="41"/>
      <c r="T11" s="3"/>
      <c r="U11" s="10"/>
      <c r="V11" s="10"/>
      <c r="W11" s="10"/>
    </row>
    <row r="12" spans="1:23" s="99" customFormat="1" ht="15.75" customHeight="1">
      <c r="A12" s="10"/>
      <c r="B12" s="416" t="s">
        <v>6430</v>
      </c>
      <c r="C12" s="365">
        <f>(SUM(NumberRequested_CatI))</f>
        <v>0</v>
      </c>
      <c r="D12" s="418" t="s">
        <v>6430</v>
      </c>
      <c r="E12" s="359">
        <f>SUM(NumberRequested_CatII)</f>
        <v>0</v>
      </c>
      <c r="F12" s="3"/>
      <c r="G12" s="356" t="s">
        <v>6399</v>
      </c>
      <c r="H12" s="206">
        <v>10</v>
      </c>
      <c r="I12" s="3"/>
      <c r="J12" s="1007" t="s">
        <v>6431</v>
      </c>
      <c r="K12" s="1008"/>
      <c r="L12" s="1009"/>
      <c r="M12" s="438">
        <f>C12+E12</f>
        <v>0</v>
      </c>
      <c r="N12" s="362"/>
      <c r="O12" s="550"/>
      <c r="P12" s="28"/>
      <c r="Q12" s="3"/>
      <c r="R12" s="21"/>
      <c r="S12" s="21"/>
      <c r="T12" s="3"/>
      <c r="U12" s="10"/>
      <c r="V12" s="10"/>
      <c r="W12" s="10"/>
    </row>
    <row r="13" spans="1:23" s="99" customFormat="1" ht="15" customHeight="1">
      <c r="A13" s="10"/>
      <c r="B13" s="412" t="s">
        <v>6400</v>
      </c>
      <c r="C13" s="140">
        <f>IFERROR((AVERAGE(P35:P51)), 0)</f>
        <v>0</v>
      </c>
      <c r="D13" s="419" t="s">
        <v>6400</v>
      </c>
      <c r="E13" s="349">
        <f>IFERROR((AVERAGE('Fuel Efficiency Standard'!P57:P88)), 0)</f>
        <v>0</v>
      </c>
      <c r="F13" s="3"/>
      <c r="G13" s="205" t="s">
        <v>6401</v>
      </c>
      <c r="H13" s="214">
        <v>7</v>
      </c>
      <c r="I13" s="3"/>
      <c r="J13" s="996" t="s">
        <v>6432</v>
      </c>
      <c r="K13" s="997"/>
      <c r="L13" s="998"/>
      <c r="M13" s="1002">
        <f>ROUND(IF(AND(M12&gt;10,M12&lt;20),1,M12*0.05), 0)</f>
        <v>0</v>
      </c>
      <c r="N13" s="362"/>
      <c r="O13" s="550"/>
      <c r="P13" s="426"/>
      <c r="Q13" s="3"/>
      <c r="R13" s="21"/>
      <c r="S13" s="21"/>
      <c r="T13" s="3"/>
      <c r="U13" s="10"/>
      <c r="V13" s="10"/>
      <c r="W13" s="10"/>
    </row>
    <row r="14" spans="1:23" s="99" customFormat="1" ht="13.5" customHeight="1">
      <c r="A14" s="10"/>
      <c r="B14" s="417" t="s">
        <v>6404</v>
      </c>
      <c r="C14" s="141">
        <v>32</v>
      </c>
      <c r="D14" s="420" t="s">
        <v>6404</v>
      </c>
      <c r="E14" s="350">
        <v>22</v>
      </c>
      <c r="F14" s="3"/>
      <c r="G14" s="1020" t="s">
        <v>6403</v>
      </c>
      <c r="H14" s="989">
        <v>5</v>
      </c>
      <c r="I14" s="3"/>
      <c r="J14" s="999"/>
      <c r="K14" s="1000"/>
      <c r="L14" s="1001"/>
      <c r="M14" s="1003"/>
      <c r="N14" s="362"/>
      <c r="O14" s="10"/>
      <c r="P14" s="28"/>
      <c r="Q14" s="3"/>
      <c r="R14" s="21"/>
      <c r="S14" s="21"/>
      <c r="T14" s="3"/>
      <c r="U14" s="10"/>
      <c r="V14" s="10"/>
      <c r="W14" s="10"/>
    </row>
    <row r="15" spans="1:23" s="99" customFormat="1" ht="7.5" customHeight="1">
      <c r="A15" s="10"/>
      <c r="B15" s="351"/>
      <c r="C15" s="411"/>
      <c r="D15" s="348"/>
      <c r="E15" s="352"/>
      <c r="F15" s="3"/>
      <c r="G15" s="1020"/>
      <c r="H15" s="989"/>
      <c r="I15" s="3"/>
      <c r="J15" s="428"/>
      <c r="K15" s="427"/>
      <c r="L15" s="427"/>
      <c r="M15" s="429"/>
      <c r="N15" s="361"/>
      <c r="O15" s="10"/>
      <c r="P15" s="10"/>
      <c r="Q15" s="10"/>
      <c r="R15" s="10"/>
      <c r="S15" s="361"/>
      <c r="T15" s="3"/>
      <c r="U15" s="10"/>
      <c r="V15" s="10"/>
      <c r="W15" s="10"/>
    </row>
    <row r="16" spans="1:23" s="99" customFormat="1" ht="19.5" customHeight="1" thickBot="1">
      <c r="A16" s="10"/>
      <c r="B16" s="133" t="s">
        <v>6406</v>
      </c>
      <c r="C16" s="347" t="str">
        <f>IF(AND(C13=0, C13=0), "N/A", IFERROR(IF(OR(C13&gt;31.45,C13&gt;31.45), "Pass", "Fail"), ""))</f>
        <v>N/A</v>
      </c>
      <c r="D16" s="410" t="s">
        <v>6407</v>
      </c>
      <c r="E16" s="353" t="str">
        <f>IF(AND(E13=0, E13=0), "N/A", IFERROR(IF(OR(E13&gt;21.45, E13&gt;21.45), "Pass", "Fail"), ""))</f>
        <v>N/A</v>
      </c>
      <c r="F16" s="3"/>
      <c r="G16" s="208" t="s">
        <v>6405</v>
      </c>
      <c r="H16" s="209">
        <v>2</v>
      </c>
      <c r="I16" s="3"/>
      <c r="J16" s="976"/>
      <c r="K16" s="979"/>
      <c r="L16" s="366" t="s">
        <v>6433</v>
      </c>
      <c r="M16" s="430" t="s">
        <v>6434</v>
      </c>
      <c r="N16" s="435"/>
      <c r="O16" s="10"/>
      <c r="P16" s="10"/>
      <c r="Q16" s="10"/>
      <c r="R16" s="10"/>
      <c r="S16" s="21"/>
      <c r="T16" s="3"/>
      <c r="U16" s="10"/>
      <c r="V16" s="10"/>
      <c r="W16" s="10"/>
    </row>
    <row r="17" spans="1:25" s="99" customFormat="1" ht="14.25" customHeight="1">
      <c r="A17" s="10"/>
      <c r="B17" s="421"/>
      <c r="C17" s="422"/>
      <c r="D17" s="422"/>
      <c r="E17" s="423"/>
      <c r="F17" s="41"/>
      <c r="G17" s="41"/>
      <c r="H17" s="41"/>
      <c r="I17" s="3"/>
      <c r="J17" s="994" t="s">
        <v>6418</v>
      </c>
      <c r="K17" s="995"/>
      <c r="L17" s="358">
        <f>SUMIF(PrimaryFuel_CatI, "Electric", NumberRequested_CatI)</f>
        <v>0</v>
      </c>
      <c r="M17" s="431">
        <f>SUMIF(PrimaryFuel_CatII, "Electric", NumberRequested_CatII)</f>
        <v>0</v>
      </c>
      <c r="N17" s="436"/>
      <c r="O17" s="10"/>
      <c r="P17" s="10"/>
      <c r="Q17" s="10"/>
      <c r="R17" s="10"/>
      <c r="S17" s="21"/>
      <c r="T17" s="3"/>
      <c r="U17" s="10"/>
      <c r="V17" s="10"/>
      <c r="W17" s="10"/>
    </row>
    <row r="18" spans="1:25" s="99" customFormat="1" ht="13.5" customHeight="1">
      <c r="A18" s="10"/>
      <c r="B18" s="863" t="s">
        <v>6435</v>
      </c>
      <c r="C18" s="864"/>
      <c r="D18" s="1014" t="str">
        <f>IF(AND(C16="N/A",E16="N/A"),"N/A",IF(AND(C16="N/A",E16="Fail"),"Fail",IF(AND(C16="Fail",E16="N/A"),"Fail",IFERROR(IF(D22&gt;-0.0001,"Pass","Fail"),""))))</f>
        <v>N/A</v>
      </c>
      <c r="E18" s="1015"/>
      <c r="F18" s="41"/>
      <c r="H18" s="556"/>
      <c r="I18" s="556"/>
      <c r="J18" s="994" t="s">
        <v>6436</v>
      </c>
      <c r="K18" s="995"/>
      <c r="L18" s="346">
        <f>SUMIF(SecondaryFuel_CatI, "Electric", NumberRequested_CatI)</f>
        <v>0</v>
      </c>
      <c r="M18" s="432">
        <f>SUMIF(SecondaryFuel_CatII, "Electric", NumberRequested_CatII)+SUMIF('Fuel Efficiency Standard'!K57:K88, "Yes", NumberRequested_CatII)</f>
        <v>0</v>
      </c>
      <c r="N18" s="437"/>
      <c r="O18" s="10"/>
      <c r="P18" s="10"/>
      <c r="Q18" s="10"/>
      <c r="R18" s="10"/>
      <c r="S18" s="21"/>
      <c r="T18" s="3"/>
      <c r="U18" s="10"/>
      <c r="V18" s="10"/>
      <c r="W18" s="10"/>
    </row>
    <row r="19" spans="1:25" s="99" customFormat="1" ht="13.5" customHeight="1">
      <c r="A19" s="10"/>
      <c r="B19" s="939"/>
      <c r="C19" s="940"/>
      <c r="D19" s="1016"/>
      <c r="E19" s="1017"/>
      <c r="F19" s="41"/>
      <c r="G19" s="10"/>
      <c r="H19" s="10"/>
      <c r="I19" s="10"/>
      <c r="J19" s="994" t="s">
        <v>6437</v>
      </c>
      <c r="K19" s="995"/>
      <c r="L19" s="434">
        <f>SUMIF(PrimaryFuel_CatI, "CNG", NumberRequested_CatI) + SUMIFS(NumberRequested_CatI, PrimaryFuel_CatI, "Diesel", (K35:K51), "Yes")+SUMIFS(NumberRequested_CatI, SecondaryFuel_CatI, "E85", (K35:K51), "Yes")</f>
        <v>0</v>
      </c>
      <c r="M19" s="433">
        <f>SUMIF(PrimaryFuel_CatII,"CNG",NumberRequested_CatII)+SUMIF('Fuel Efficiency Standard'!M57:M88,"Dedicated",NumberRequested_CatII)+SUMIFS(NumberRequested_CatII,PrimaryFuel_CatII,"E85",('Fuel Efficiency Standard'!O57:O88),"Yes")+SUMIFS(NumberRequested_CatII,'Fuel Efficiency Standard'!M57:M88,"Bi-Fuel",('Fuel Efficiency Standard'!O57:O88),"Yes")+SUMIFS(NumberRequested_CatII,PrimaryFuel_CatII,"Diesel",('Fuel Efficiency Standard'!O57:O88),"Yes")</f>
        <v>0</v>
      </c>
      <c r="N19" s="437"/>
      <c r="O19" s="10"/>
      <c r="P19" s="10"/>
      <c r="Q19" s="10"/>
      <c r="R19" s="10"/>
      <c r="S19" s="3"/>
      <c r="T19" s="3"/>
      <c r="U19" s="10"/>
      <c r="V19" s="10"/>
      <c r="W19" s="10"/>
    </row>
    <row r="20" spans="1:25" s="99" customFormat="1" ht="13.5" customHeight="1">
      <c r="A20" s="10"/>
      <c r="B20" s="939"/>
      <c r="C20" s="940"/>
      <c r="D20" s="1016"/>
      <c r="E20" s="1017"/>
      <c r="F20" s="41"/>
      <c r="G20" s="10"/>
      <c r="H20" s="10"/>
      <c r="I20" s="10"/>
      <c r="J20" s="957" t="s">
        <v>6422</v>
      </c>
      <c r="K20" s="958"/>
      <c r="L20" s="947">
        <f>L17+L18+L19+M17+M18+M19</f>
        <v>0</v>
      </c>
      <c r="M20" s="948"/>
      <c r="N20" s="362"/>
      <c r="O20" s="3"/>
      <c r="P20" s="550"/>
      <c r="Q20" s="3"/>
      <c r="R20" s="3"/>
      <c r="S20" s="3"/>
      <c r="T20" s="3"/>
      <c r="U20" s="10"/>
      <c r="V20" s="10"/>
      <c r="W20" s="10"/>
    </row>
    <row r="21" spans="1:25" s="99" customFormat="1" ht="14.25" customHeight="1">
      <c r="A21" s="10"/>
      <c r="B21" s="939"/>
      <c r="C21" s="940"/>
      <c r="D21" s="1018"/>
      <c r="E21" s="1019"/>
      <c r="F21" s="357"/>
      <c r="G21" s="10"/>
      <c r="H21" s="10"/>
      <c r="I21" s="10"/>
      <c r="J21" s="949" t="s">
        <v>6424</v>
      </c>
      <c r="K21" s="950"/>
      <c r="L21" s="953" t="str">
        <f>IF(M13=0, "N/A", IF(L20&gt;=M13,"Pass",IF((L20+L27)&gt;=M13,"Pass","Fail")))</f>
        <v>N/A</v>
      </c>
      <c r="M21" s="954"/>
      <c r="N21" s="203"/>
      <c r="O21" s="3"/>
      <c r="P21" s="550"/>
      <c r="Q21" s="3"/>
      <c r="R21" s="3"/>
      <c r="S21" s="3"/>
      <c r="T21" s="3"/>
      <c r="U21" s="10"/>
      <c r="V21" s="10"/>
      <c r="W21" s="10"/>
    </row>
    <row r="22" spans="1:25" s="99" customFormat="1" ht="15" customHeight="1" thickBot="1">
      <c r="A22" s="10"/>
      <c r="B22" s="937" t="s">
        <v>6411</v>
      </c>
      <c r="C22" s="938"/>
      <c r="D22" s="354">
        <f>IFERROR((((E13*E12)+(C13*C12))/(C12+E12))-(((StandardMPG_CatII*E12)+(StandardMPG_CatI*C12))/(C12+E12)), 0)</f>
        <v>0</v>
      </c>
      <c r="E22" s="355" t="s">
        <v>6412</v>
      </c>
      <c r="F22" s="3"/>
      <c r="G22" s="10"/>
      <c r="H22" s="10"/>
      <c r="I22" s="10"/>
      <c r="J22" s="951"/>
      <c r="K22" s="952"/>
      <c r="L22" s="955"/>
      <c r="M22" s="956"/>
      <c r="N22" s="203"/>
      <c r="O22" s="3"/>
      <c r="P22" s="3"/>
      <c r="Q22" s="3"/>
      <c r="R22" s="3"/>
      <c r="S22" s="3"/>
      <c r="T22" s="3"/>
      <c r="U22" s="21"/>
      <c r="V22" s="10"/>
      <c r="W22" s="10"/>
      <c r="X22" s="10"/>
      <c r="Y22" s="10"/>
    </row>
    <row r="23" spans="1:25" s="99" customFormat="1" ht="15" customHeight="1" thickBot="1">
      <c r="A23" s="10"/>
      <c r="C23" s="219"/>
      <c r="D23" s="549"/>
      <c r="E23" s="202"/>
      <c r="F23" s="3"/>
      <c r="G23" s="10"/>
      <c r="H23" s="10"/>
      <c r="I23" s="3"/>
      <c r="J23" s="545"/>
      <c r="K23" s="545"/>
      <c r="L23" s="203"/>
      <c r="M23" s="203"/>
      <c r="N23" s="203"/>
      <c r="O23" s="546"/>
      <c r="P23" s="547"/>
      <c r="Q23" s="3"/>
      <c r="R23" s="548"/>
      <c r="S23" s="3"/>
      <c r="T23" s="3"/>
      <c r="U23" s="21"/>
      <c r="V23" s="10"/>
      <c r="W23" s="10"/>
      <c r="X23" s="10"/>
      <c r="Y23" s="10"/>
    </row>
    <row r="24" spans="1:25" s="99" customFormat="1" ht="15" customHeight="1" thickBot="1">
      <c r="A24" s="10"/>
      <c r="B24" s="440" t="s">
        <v>6438</v>
      </c>
      <c r="C24" s="558"/>
      <c r="D24" s="1006" t="s">
        <v>6439</v>
      </c>
      <c r="E24" s="961"/>
      <c r="F24" s="3"/>
      <c r="G24" s="1006" t="s">
        <v>6440</v>
      </c>
      <c r="H24" s="961"/>
      <c r="I24" s="3"/>
      <c r="J24" s="959" t="s">
        <v>6441</v>
      </c>
      <c r="K24" s="960"/>
      <c r="L24" s="961"/>
      <c r="M24" s="10"/>
      <c r="N24" s="980" t="s">
        <v>6442</v>
      </c>
      <c r="O24" s="981"/>
      <c r="P24" s="547"/>
      <c r="Q24" s="3"/>
      <c r="R24" s="548"/>
      <c r="S24" s="3"/>
      <c r="T24" s="3"/>
      <c r="U24" s="21"/>
      <c r="V24" s="10"/>
      <c r="W24" s="10"/>
      <c r="X24" s="10"/>
      <c r="Y24" s="10"/>
    </row>
    <row r="25" spans="1:25" s="99" customFormat="1" ht="15" customHeight="1">
      <c r="A25" s="10"/>
      <c r="B25" s="993" t="s">
        <v>6443</v>
      </c>
      <c r="C25" s="993"/>
      <c r="D25" s="557" t="s">
        <v>6444</v>
      </c>
      <c r="E25" s="554">
        <f>IF(D22&lt;-8,10,IF(AND(D22&lt;-5,D22&gt;=-14),7,IF(AND(D22&lt;-2, D22&gt;=-5),5, IF(AND(D22&lt;0, D22&gt;=-2),2,IF(D22&gt;=0, 0, (0))))))</f>
        <v>0</v>
      </c>
      <c r="F25" s="3"/>
      <c r="G25" s="609" t="s">
        <v>6445</v>
      </c>
      <c r="H25" s="610" t="s">
        <v>6446</v>
      </c>
      <c r="I25" s="3"/>
      <c r="J25" s="962" t="s">
        <v>6447</v>
      </c>
      <c r="K25" s="963"/>
      <c r="L25" s="551">
        <f>IF((M13-L20)&lt;0, 0, (M13-L20)*3)</f>
        <v>0</v>
      </c>
      <c r="M25" s="10"/>
      <c r="N25" s="982"/>
      <c r="O25" s="983"/>
      <c r="P25" s="547"/>
      <c r="Q25" s="3"/>
      <c r="R25" s="548"/>
      <c r="S25" s="3"/>
      <c r="T25" s="3"/>
      <c r="U25" s="21"/>
      <c r="V25" s="10"/>
      <c r="W25" s="10"/>
      <c r="X25" s="10"/>
      <c r="Y25" s="10"/>
    </row>
    <row r="26" spans="1:25" s="99" customFormat="1" ht="15" customHeight="1" thickBot="1">
      <c r="A26" s="10"/>
      <c r="B26" s="993"/>
      <c r="C26" s="993"/>
      <c r="D26" s="739" t="s">
        <v>6448</v>
      </c>
      <c r="E26" s="611">
        <v>0</v>
      </c>
      <c r="F26" s="3"/>
      <c r="G26" s="966" t="str">
        <f>IF((C12+E12)=0,"N/A",IF(E28&gt;=E25,"Pass","Fail"))</f>
        <v>N/A</v>
      </c>
      <c r="H26" s="969" t="str">
        <f>IF(M13=0, "N/A", IF(L28&gt;=L25,"Pass","Fail"))</f>
        <v>N/A</v>
      </c>
      <c r="I26" s="3"/>
      <c r="J26" s="964" t="s">
        <v>6448</v>
      </c>
      <c r="K26" s="965"/>
      <c r="L26" s="611">
        <f>IF(E26&gt;0,E26-E25,0)</f>
        <v>0</v>
      </c>
      <c r="M26" s="3"/>
      <c r="N26" s="984"/>
      <c r="O26" s="985"/>
      <c r="P26" s="547"/>
      <c r="Q26" s="3"/>
      <c r="R26" s="548"/>
      <c r="S26" s="3"/>
      <c r="T26" s="3"/>
      <c r="U26" s="21"/>
      <c r="V26" s="10"/>
      <c r="W26" s="10"/>
      <c r="X26" s="10"/>
      <c r="Y26" s="10"/>
    </row>
    <row r="27" spans="1:25" s="99" customFormat="1" ht="15" customHeight="1" thickBot="1">
      <c r="A27" s="10"/>
      <c r="B27" s="993"/>
      <c r="C27" s="993"/>
      <c r="D27" s="738" t="s">
        <v>6449</v>
      </c>
      <c r="E27" s="562">
        <f ca="1">'Alternative Compliance'!D11+D22</f>
        <v>0</v>
      </c>
      <c r="F27" s="3"/>
      <c r="G27" s="967"/>
      <c r="H27" s="970"/>
      <c r="I27" s="3"/>
      <c r="J27" s="1004" t="s">
        <v>6449</v>
      </c>
      <c r="K27" s="1005"/>
      <c r="L27" s="552">
        <f ca="1">'Alternative Compliance'!D12+(L20-M13)</f>
        <v>0</v>
      </c>
      <c r="M27" s="10"/>
      <c r="N27" s="986">
        <f ca="1">E28-E25</f>
        <v>0</v>
      </c>
      <c r="O27" s="981"/>
      <c r="P27" s="547"/>
      <c r="Q27" s="3"/>
      <c r="R27" s="548"/>
      <c r="S27" s="3"/>
      <c r="T27" s="3"/>
      <c r="U27" s="21"/>
      <c r="V27" s="10"/>
      <c r="W27" s="10"/>
      <c r="X27" s="10"/>
      <c r="Y27" s="10"/>
    </row>
    <row r="28" spans="1:25" s="99" customFormat="1" ht="15" customHeight="1" thickTop="1" thickBot="1">
      <c r="A28" s="10"/>
      <c r="B28" s="993"/>
      <c r="C28" s="993"/>
      <c r="D28" s="555" t="s">
        <v>6450</v>
      </c>
      <c r="E28" s="561">
        <f ca="1">E26+E27</f>
        <v>0</v>
      </c>
      <c r="F28" s="3"/>
      <c r="G28" s="968"/>
      <c r="H28" s="971"/>
      <c r="I28" s="3"/>
      <c r="J28" s="945" t="s">
        <v>6451</v>
      </c>
      <c r="K28" s="946"/>
      <c r="L28" s="553">
        <f ca="1">L26+L27</f>
        <v>0</v>
      </c>
      <c r="M28" s="678" t="s">
        <v>6412</v>
      </c>
      <c r="N28" s="984"/>
      <c r="O28" s="985"/>
      <c r="P28" s="547"/>
      <c r="Q28" s="3"/>
      <c r="R28" s="548"/>
      <c r="S28" s="3"/>
      <c r="T28" s="3"/>
      <c r="U28" s="21"/>
      <c r="V28" s="10"/>
      <c r="W28" s="10"/>
      <c r="X28" s="10"/>
      <c r="Y28" s="10"/>
    </row>
    <row r="29" spans="1:25" s="99" customFormat="1" ht="15" customHeight="1">
      <c r="A29" s="10"/>
      <c r="B29" s="993"/>
      <c r="C29" s="993"/>
      <c r="D29" s="974" t="s">
        <v>6452</v>
      </c>
      <c r="E29" s="974"/>
      <c r="F29" s="3"/>
      <c r="G29" s="543"/>
      <c r="H29" s="544"/>
      <c r="I29" s="3"/>
      <c r="J29" s="974" t="s">
        <v>6452</v>
      </c>
      <c r="K29" s="974"/>
      <c r="L29" s="974"/>
      <c r="M29" s="679"/>
      <c r="N29" s="986">
        <f ca="1">L28-L25</f>
        <v>0</v>
      </c>
      <c r="O29" s="981"/>
      <c r="P29" s="547"/>
      <c r="Q29" s="3"/>
      <c r="R29" s="548"/>
      <c r="S29" s="3"/>
      <c r="T29" s="3"/>
      <c r="U29" s="21"/>
      <c r="V29" s="10"/>
      <c r="W29" s="10"/>
      <c r="X29" s="10"/>
      <c r="Y29" s="10"/>
    </row>
    <row r="30" spans="1:25" s="99" customFormat="1" ht="24" customHeight="1" thickBot="1">
      <c r="A30" s="10"/>
      <c r="B30" s="10"/>
      <c r="C30" s="10"/>
      <c r="D30" s="975"/>
      <c r="E30" s="975"/>
      <c r="F30" s="10"/>
      <c r="G30" s="10"/>
      <c r="H30" s="10"/>
      <c r="I30" s="10"/>
      <c r="J30" s="975"/>
      <c r="K30" s="975"/>
      <c r="L30" s="975"/>
      <c r="M30" s="678" t="s">
        <v>6453</v>
      </c>
      <c r="N30" s="984"/>
      <c r="O30" s="985"/>
      <c r="P30" s="547"/>
      <c r="Q30" s="3"/>
      <c r="R30" s="548"/>
      <c r="S30" s="3"/>
      <c r="T30" s="3"/>
      <c r="U30" s="21"/>
      <c r="V30" s="10"/>
      <c r="W30" s="10"/>
      <c r="X30" s="10"/>
      <c r="Y30" s="10"/>
    </row>
    <row r="31" spans="1:25" s="99" customFormat="1" ht="4.5" customHeight="1">
      <c r="A31" s="10"/>
      <c r="B31" s="338"/>
      <c r="C31" s="338"/>
      <c r="D31" s="338"/>
      <c r="E31" s="338"/>
      <c r="F31" s="338"/>
      <c r="G31" s="338"/>
      <c r="H31" s="338"/>
      <c r="I31" s="338"/>
      <c r="J31" s="338"/>
      <c r="K31" s="338"/>
      <c r="L31" s="119"/>
      <c r="M31" s="89"/>
      <c r="N31" s="906" t="s">
        <v>6454</v>
      </c>
      <c r="O31" s="907"/>
      <c r="P31" s="89"/>
      <c r="Q31" s="10"/>
      <c r="R31" s="10"/>
      <c r="S31" s="10"/>
      <c r="T31" s="10"/>
    </row>
    <row r="32" spans="1:25" s="99" customFormat="1" ht="7.5" customHeight="1" thickBot="1">
      <c r="A32" s="10"/>
      <c r="B32" s="10"/>
      <c r="C32" s="10"/>
      <c r="D32" s="10"/>
      <c r="E32" s="10"/>
      <c r="F32" s="10"/>
      <c r="G32" s="10"/>
      <c r="H32" s="10"/>
      <c r="I32" s="3"/>
      <c r="J32" s="3"/>
      <c r="K32" s="10"/>
      <c r="L32" s="10"/>
      <c r="M32" s="6"/>
      <c r="N32" s="851"/>
      <c r="O32" s="851"/>
      <c r="P32" s="21"/>
      <c r="Q32" s="10"/>
      <c r="R32" s="10"/>
      <c r="S32" s="10"/>
      <c r="T32" s="10"/>
    </row>
    <row r="33" spans="2:17" ht="24.95" thickBot="1">
      <c r="B33" s="833" t="s">
        <v>6455</v>
      </c>
      <c r="C33" s="845"/>
      <c r="D33" s="845"/>
      <c r="E33" s="845"/>
      <c r="F33" s="845"/>
      <c r="G33" s="845"/>
      <c r="H33" s="845"/>
      <c r="I33" s="845"/>
      <c r="J33" s="845"/>
      <c r="K33" s="846"/>
      <c r="L33" s="119"/>
      <c r="M33" s="89"/>
      <c r="N33" s="851"/>
      <c r="O33" s="851"/>
      <c r="P33" s="89"/>
    </row>
    <row r="34" spans="2:17" ht="80.099999999999994">
      <c r="B34" s="441" t="s">
        <v>105</v>
      </c>
      <c r="C34" s="740" t="s">
        <v>6317</v>
      </c>
      <c r="D34" s="740" t="s">
        <v>107</v>
      </c>
      <c r="E34" s="741" t="s">
        <v>6456</v>
      </c>
      <c r="F34" s="741" t="s">
        <v>6457</v>
      </c>
      <c r="G34" s="741" t="s">
        <v>6458</v>
      </c>
      <c r="H34" s="741" t="s">
        <v>6459</v>
      </c>
      <c r="I34" s="741" t="s">
        <v>133</v>
      </c>
      <c r="J34" s="741" t="s">
        <v>134</v>
      </c>
      <c r="K34" s="442" t="s">
        <v>6460</v>
      </c>
      <c r="N34" s="915" t="s">
        <v>6461</v>
      </c>
      <c r="O34" s="916"/>
      <c r="P34" s="680" t="s">
        <v>6462</v>
      </c>
      <c r="Q34" s="339" t="s">
        <v>6463</v>
      </c>
    </row>
    <row r="35" spans="2:17" ht="15.95">
      <c r="B35" s="309" t="str">
        <f>IF('Vehicle Request'!H20="", "", 'Vehicle Request'!H20)</f>
        <v/>
      </c>
      <c r="C35" s="310" t="str">
        <f>IF('Vehicle Request'!I20="", "", 'Vehicle Request'!I20)</f>
        <v/>
      </c>
      <c r="D35" s="310" t="str">
        <f>IF('Vehicle Request'!J20="", "", 'Vehicle Request'!J20)</f>
        <v/>
      </c>
      <c r="E35" s="310" t="str">
        <f>IF('Vehicle Request'!K20="", "", CONCATENATE('Vehicle Request'!P20," ", 'Vehicle Request'!L20))</f>
        <v/>
      </c>
      <c r="F35" s="311" t="str">
        <f>IF('Vehicle Request'!F20="", "", 'Vehicle Request'!G20)</f>
        <v/>
      </c>
      <c r="G35" s="310" t="str">
        <f>IF('Vehicle Request'!W20=0, "", 'Vehicle Request'!W20)</f>
        <v/>
      </c>
      <c r="H35" s="312" t="str">
        <f>IF(G35="", "", (12000/G35)*$R$2*F35)</f>
        <v/>
      </c>
      <c r="I35" s="313" t="str">
        <f>IF('Vehicle Request'!U20=0, "", 'Vehicle Request'!U20)</f>
        <v/>
      </c>
      <c r="J35" s="310" t="str">
        <f>IF('Vehicle Request'!V20=0, "", 'Vehicle Request'!V20)</f>
        <v/>
      </c>
      <c r="K35" s="304"/>
      <c r="N35" s="917"/>
      <c r="O35" s="917"/>
      <c r="P35" s="314" t="str">
        <f t="shared" ref="P35:P51" si="0">IF(F35="","",IF(I35="CNG",G35*2,IF(OR(AND(I35="E85",K35="Yes"), AND(I35="Diesel", K35="Yes")), G35*1.5,IF(G35="N/A","",(G35)))))</f>
        <v/>
      </c>
      <c r="Q35" s="171" t="str">
        <f t="shared" ref="Q35:Q51" si="1">IF(P35="", "", (1/P35)*F35)</f>
        <v/>
      </c>
    </row>
    <row r="36" spans="2:17" ht="15.95">
      <c r="B36" s="309" t="str">
        <f>IF('Vehicle Request'!H21="", "", 'Vehicle Request'!H21)</f>
        <v/>
      </c>
      <c r="C36" s="310" t="str">
        <f>IF('Vehicle Request'!I21="", "", 'Vehicle Request'!I21)</f>
        <v/>
      </c>
      <c r="D36" s="310" t="str">
        <f>IF('Vehicle Request'!J21="", "", 'Vehicle Request'!J21)</f>
        <v/>
      </c>
      <c r="E36" s="310" t="str">
        <f>IF('Vehicle Request'!K21="", "", CONCATENATE('Vehicle Request'!P21," ", 'Vehicle Request'!L21))</f>
        <v/>
      </c>
      <c r="F36" s="311" t="str">
        <f>IF('Vehicle Request'!F21="", "", 'Vehicle Request'!G21)</f>
        <v/>
      </c>
      <c r="G36" s="310" t="str">
        <f>IF('Vehicle Request'!W21=0, "", 'Vehicle Request'!W21)</f>
        <v/>
      </c>
      <c r="H36" s="312" t="str">
        <f t="shared" ref="H36:H51" si="2">IF(G36="", "", (12000/G36)*$R$2*F36)</f>
        <v/>
      </c>
      <c r="I36" s="317" t="str">
        <f>IF('Vehicle Request'!U21=0, "", 'Vehicle Request'!U21)</f>
        <v/>
      </c>
      <c r="J36" s="310" t="str">
        <f>IF('Vehicle Request'!V21=0, "", 'Vehicle Request'!V21)</f>
        <v/>
      </c>
      <c r="K36" s="306"/>
      <c r="N36" s="917"/>
      <c r="O36" s="917"/>
      <c r="P36" s="318" t="str">
        <f t="shared" si="0"/>
        <v/>
      </c>
      <c r="Q36" s="171" t="str">
        <f t="shared" si="1"/>
        <v/>
      </c>
    </row>
    <row r="37" spans="2:17" ht="15.95">
      <c r="B37" s="309" t="str">
        <f>IF('Vehicle Request'!H22="", "", 'Vehicle Request'!H22)</f>
        <v/>
      </c>
      <c r="C37" s="310" t="str">
        <f>IF('Vehicle Request'!I22="", "", 'Vehicle Request'!I22)</f>
        <v/>
      </c>
      <c r="D37" s="310" t="str">
        <f>IF('Vehicle Request'!J22="", "", 'Vehicle Request'!J22)</f>
        <v/>
      </c>
      <c r="E37" s="310" t="str">
        <f>IF('Vehicle Request'!K22="", "", CONCATENATE('Vehicle Request'!P22," ", 'Vehicle Request'!L22))</f>
        <v/>
      </c>
      <c r="F37" s="311" t="str">
        <f>IF('Vehicle Request'!F22="", "", 'Vehicle Request'!G22)</f>
        <v/>
      </c>
      <c r="G37" s="310" t="str">
        <f>IF('Vehicle Request'!W22=0, "", 'Vehicle Request'!W22)</f>
        <v/>
      </c>
      <c r="H37" s="312" t="str">
        <f t="shared" si="2"/>
        <v/>
      </c>
      <c r="I37" s="313" t="str">
        <f>IF('Vehicle Request'!U22=0, "", 'Vehicle Request'!U22)</f>
        <v/>
      </c>
      <c r="J37" s="310" t="str">
        <f>IF('Vehicle Request'!V22=0, "", 'Vehicle Request'!V22)</f>
        <v/>
      </c>
      <c r="K37" s="306"/>
      <c r="N37" s="917"/>
      <c r="O37" s="917"/>
      <c r="P37" s="318" t="str">
        <f t="shared" si="0"/>
        <v/>
      </c>
      <c r="Q37" s="171" t="str">
        <f t="shared" si="1"/>
        <v/>
      </c>
    </row>
    <row r="38" spans="2:17" ht="15.95">
      <c r="B38" s="309" t="str">
        <f>IF('Vehicle Request'!H23="", "", 'Vehicle Request'!H23)</f>
        <v/>
      </c>
      <c r="C38" s="310" t="str">
        <f>IF('Vehicle Request'!I23="", "", 'Vehicle Request'!I23)</f>
        <v/>
      </c>
      <c r="D38" s="310" t="str">
        <f>IF('Vehicle Request'!J23="", "", 'Vehicle Request'!J23)</f>
        <v/>
      </c>
      <c r="E38" s="310" t="str">
        <f>IF('Vehicle Request'!K23="", "", CONCATENATE('Vehicle Request'!P23," ", 'Vehicle Request'!L23))</f>
        <v/>
      </c>
      <c r="F38" s="311" t="str">
        <f>IF('Vehicle Request'!F23="", "", 'Vehicle Request'!G23)</f>
        <v/>
      </c>
      <c r="G38" s="310" t="str">
        <f>IF('Vehicle Request'!W23=0, "", 'Vehicle Request'!W23)</f>
        <v/>
      </c>
      <c r="H38" s="312" t="str">
        <f t="shared" si="2"/>
        <v/>
      </c>
      <c r="I38" s="313" t="str">
        <f>IF('Vehicle Request'!U23=0, "", 'Vehicle Request'!U23)</f>
        <v/>
      </c>
      <c r="J38" s="310" t="str">
        <f>IF('Vehicle Request'!V23=0, "", 'Vehicle Request'!V23)</f>
        <v/>
      </c>
      <c r="K38" s="306"/>
      <c r="N38" s="917"/>
      <c r="O38" s="917"/>
      <c r="P38" s="318" t="str">
        <f t="shared" si="0"/>
        <v/>
      </c>
      <c r="Q38" s="171" t="str">
        <f t="shared" si="1"/>
        <v/>
      </c>
    </row>
    <row r="39" spans="2:17" ht="15.95">
      <c r="B39" s="309" t="str">
        <f>IF('Vehicle Request'!H24="", "", 'Vehicle Request'!H24)</f>
        <v/>
      </c>
      <c r="C39" s="310" t="str">
        <f>IF('Vehicle Request'!I24="", "", 'Vehicle Request'!I24)</f>
        <v/>
      </c>
      <c r="D39" s="310" t="str">
        <f>IF('Vehicle Request'!J24="", "", 'Vehicle Request'!J24)</f>
        <v/>
      </c>
      <c r="E39" s="310" t="str">
        <f>IF('Vehicle Request'!K24="", "", CONCATENATE('Vehicle Request'!P24," ", 'Vehicle Request'!L24))</f>
        <v/>
      </c>
      <c r="F39" s="311" t="str">
        <f>IF('Vehicle Request'!F24="", "", 'Vehicle Request'!G24)</f>
        <v/>
      </c>
      <c r="G39" s="310" t="str">
        <f>IF('Vehicle Request'!W24=0, "", 'Vehicle Request'!W24)</f>
        <v/>
      </c>
      <c r="H39" s="312" t="str">
        <f t="shared" si="2"/>
        <v/>
      </c>
      <c r="I39" s="313" t="str">
        <f>IF('Vehicle Request'!U24=0, "", 'Vehicle Request'!U24)</f>
        <v/>
      </c>
      <c r="J39" s="310" t="str">
        <f>IF('Vehicle Request'!V24=0, "", 'Vehicle Request'!V24)</f>
        <v/>
      </c>
      <c r="K39" s="306"/>
      <c r="N39" s="917"/>
      <c r="O39" s="917"/>
      <c r="P39" s="318" t="str">
        <f t="shared" si="0"/>
        <v/>
      </c>
      <c r="Q39" s="171" t="str">
        <f t="shared" si="1"/>
        <v/>
      </c>
    </row>
    <row r="40" spans="2:17" ht="15.95">
      <c r="B40" s="309" t="str">
        <f>IF('Vehicle Request'!H25="", "", 'Vehicle Request'!H25)</f>
        <v/>
      </c>
      <c r="C40" s="310" t="str">
        <f>IF('Vehicle Request'!I25="", "", 'Vehicle Request'!I25)</f>
        <v/>
      </c>
      <c r="D40" s="310" t="str">
        <f>IF('Vehicle Request'!J25="", "", 'Vehicle Request'!J25)</f>
        <v/>
      </c>
      <c r="E40" s="310" t="str">
        <f>IF('Vehicle Request'!K25="", "", CONCATENATE('Vehicle Request'!P25," ", 'Vehicle Request'!L25))</f>
        <v/>
      </c>
      <c r="F40" s="311" t="str">
        <f>IF('Vehicle Request'!F25="", "", 'Vehicle Request'!G25)</f>
        <v/>
      </c>
      <c r="G40" s="310" t="str">
        <f>IF('Vehicle Request'!W25=0, "", 'Vehicle Request'!W25)</f>
        <v/>
      </c>
      <c r="H40" s="312" t="str">
        <f t="shared" si="2"/>
        <v/>
      </c>
      <c r="I40" s="313" t="str">
        <f>IF('Vehicle Request'!U25=0, "", 'Vehicle Request'!U25)</f>
        <v/>
      </c>
      <c r="J40" s="310" t="str">
        <f>IF('Vehicle Request'!V25=0, "", 'Vehicle Request'!V25)</f>
        <v/>
      </c>
      <c r="K40" s="306"/>
      <c r="N40" s="917"/>
      <c r="O40" s="917"/>
      <c r="P40" s="318" t="str">
        <f t="shared" si="0"/>
        <v/>
      </c>
      <c r="Q40" s="171" t="str">
        <f t="shared" si="1"/>
        <v/>
      </c>
    </row>
    <row r="41" spans="2:17" ht="15.95">
      <c r="B41" s="309" t="str">
        <f>IF('Vehicle Request'!H26="", "", 'Vehicle Request'!H26)</f>
        <v/>
      </c>
      <c r="C41" s="310" t="str">
        <f>IF('Vehicle Request'!I26="", "", 'Vehicle Request'!I26)</f>
        <v/>
      </c>
      <c r="D41" s="310" t="str">
        <f>IF('Vehicle Request'!J26="", "", 'Vehicle Request'!J26)</f>
        <v/>
      </c>
      <c r="E41" s="310" t="str">
        <f>IF('Vehicle Request'!K26="", "", CONCATENATE('Vehicle Request'!P26," ", 'Vehicle Request'!L26))</f>
        <v/>
      </c>
      <c r="F41" s="311" t="str">
        <f>IF('Vehicle Request'!F26="", "", 'Vehicle Request'!G26)</f>
        <v/>
      </c>
      <c r="G41" s="310" t="str">
        <f>IF('Vehicle Request'!W26=0, "", 'Vehicle Request'!W26)</f>
        <v/>
      </c>
      <c r="H41" s="312" t="str">
        <f t="shared" si="2"/>
        <v/>
      </c>
      <c r="I41" s="313" t="str">
        <f>IF('Vehicle Request'!U26=0, "", 'Vehicle Request'!U26)</f>
        <v/>
      </c>
      <c r="J41" s="310" t="str">
        <f>IF('Vehicle Request'!V26=0, "", 'Vehicle Request'!V26)</f>
        <v/>
      </c>
      <c r="K41" s="306"/>
      <c r="N41" s="917"/>
      <c r="O41" s="917"/>
      <c r="P41" s="318" t="str">
        <f t="shared" si="0"/>
        <v/>
      </c>
      <c r="Q41" s="171" t="str">
        <f t="shared" si="1"/>
        <v/>
      </c>
    </row>
    <row r="42" spans="2:17" ht="15.95">
      <c r="B42" s="309" t="str">
        <f>IF('Vehicle Request'!H27="", "", 'Vehicle Request'!H27)</f>
        <v/>
      </c>
      <c r="C42" s="310" t="str">
        <f>IF('Vehicle Request'!I27="", "", 'Vehicle Request'!I27)</f>
        <v/>
      </c>
      <c r="D42" s="310" t="str">
        <f>IF('Vehicle Request'!J27="", "", 'Vehicle Request'!J27)</f>
        <v/>
      </c>
      <c r="E42" s="310" t="str">
        <f>IF('Vehicle Request'!K27="", "", CONCATENATE('Vehicle Request'!P27," ", 'Vehicle Request'!L27))</f>
        <v/>
      </c>
      <c r="F42" s="311" t="str">
        <f>IF('Vehicle Request'!F27="", "", 'Vehicle Request'!G27)</f>
        <v/>
      </c>
      <c r="G42" s="310" t="str">
        <f>IF('Vehicle Request'!W27=0, "", 'Vehicle Request'!W27)</f>
        <v/>
      </c>
      <c r="H42" s="312" t="str">
        <f t="shared" si="2"/>
        <v/>
      </c>
      <c r="I42" s="313" t="str">
        <f>IF('Vehicle Request'!U27=0, "", 'Vehicle Request'!U27)</f>
        <v/>
      </c>
      <c r="J42" s="310" t="str">
        <f>IF('Vehicle Request'!V27=0, "", 'Vehicle Request'!V27)</f>
        <v/>
      </c>
      <c r="K42" s="306"/>
      <c r="N42" s="917"/>
      <c r="O42" s="917"/>
      <c r="P42" s="318" t="str">
        <f t="shared" si="0"/>
        <v/>
      </c>
      <c r="Q42" s="171" t="str">
        <f t="shared" si="1"/>
        <v/>
      </c>
    </row>
    <row r="43" spans="2:17" ht="15.95">
      <c r="B43" s="309" t="str">
        <f>IF('Vehicle Request'!H28="", "", 'Vehicle Request'!H28)</f>
        <v/>
      </c>
      <c r="C43" s="310" t="str">
        <f>IF('Vehicle Request'!I28="", "", 'Vehicle Request'!I28)</f>
        <v/>
      </c>
      <c r="D43" s="310" t="str">
        <f>IF('Vehicle Request'!J28="", "", 'Vehicle Request'!J28)</f>
        <v/>
      </c>
      <c r="E43" s="310" t="str">
        <f>IF('Vehicle Request'!K28="", "", CONCATENATE('Vehicle Request'!P28," ", 'Vehicle Request'!L28))</f>
        <v/>
      </c>
      <c r="F43" s="311" t="str">
        <f>IF('Vehicle Request'!F28="", "", 'Vehicle Request'!G28)</f>
        <v/>
      </c>
      <c r="G43" s="310" t="str">
        <f>IF('Vehicle Request'!W28=0, "", 'Vehicle Request'!W28)</f>
        <v/>
      </c>
      <c r="H43" s="312" t="str">
        <f t="shared" si="2"/>
        <v/>
      </c>
      <c r="I43" s="313" t="str">
        <f>IF('Vehicle Request'!U28=0, "", 'Vehicle Request'!U28)</f>
        <v/>
      </c>
      <c r="J43" s="310" t="str">
        <f>IF('Vehicle Request'!V28=0, "", 'Vehicle Request'!V28)</f>
        <v/>
      </c>
      <c r="K43" s="306"/>
      <c r="N43" s="917"/>
      <c r="O43" s="917"/>
      <c r="P43" s="318" t="str">
        <f t="shared" si="0"/>
        <v/>
      </c>
      <c r="Q43" s="171" t="str">
        <f t="shared" si="1"/>
        <v/>
      </c>
    </row>
    <row r="44" spans="2:17" ht="15.95">
      <c r="B44" s="309" t="str">
        <f>IF('Vehicle Request'!H29="", "", 'Vehicle Request'!H29)</f>
        <v/>
      </c>
      <c r="C44" s="310" t="str">
        <f>IF('Vehicle Request'!I29="", "", 'Vehicle Request'!I29)</f>
        <v/>
      </c>
      <c r="D44" s="310" t="str">
        <f>IF('Vehicle Request'!J29="", "", 'Vehicle Request'!J29)</f>
        <v/>
      </c>
      <c r="E44" s="310" t="str">
        <f>IF('Vehicle Request'!K29="", "", CONCATENATE('Vehicle Request'!P29," ", 'Vehicle Request'!L29))</f>
        <v/>
      </c>
      <c r="F44" s="311" t="str">
        <f>IF('Vehicle Request'!F29="", "", 'Vehicle Request'!G29)</f>
        <v/>
      </c>
      <c r="G44" s="310" t="str">
        <f>IF('Vehicle Request'!W29=0, "", 'Vehicle Request'!W29)</f>
        <v/>
      </c>
      <c r="H44" s="312" t="str">
        <f t="shared" si="2"/>
        <v/>
      </c>
      <c r="I44" s="313" t="str">
        <f>IF('Vehicle Request'!U29=0, "", 'Vehicle Request'!U29)</f>
        <v/>
      </c>
      <c r="J44" s="310" t="str">
        <f>IF('Vehicle Request'!V29=0, "", 'Vehicle Request'!V29)</f>
        <v/>
      </c>
      <c r="K44" s="306"/>
      <c r="N44" s="917"/>
      <c r="O44" s="917"/>
      <c r="P44" s="318" t="str">
        <f t="shared" si="0"/>
        <v/>
      </c>
      <c r="Q44" s="171" t="str">
        <f t="shared" si="1"/>
        <v/>
      </c>
    </row>
    <row r="45" spans="2:17" ht="15.95">
      <c r="B45" s="309" t="str">
        <f>IF('Vehicle Request'!H30="", "", 'Vehicle Request'!H30)</f>
        <v/>
      </c>
      <c r="C45" s="310" t="str">
        <f>IF('Vehicle Request'!I30="", "", 'Vehicle Request'!I30)</f>
        <v/>
      </c>
      <c r="D45" s="310" t="str">
        <f>IF('Vehicle Request'!J30="", "", 'Vehicle Request'!J30)</f>
        <v/>
      </c>
      <c r="E45" s="310" t="str">
        <f>IF('Vehicle Request'!K30="", "", CONCATENATE('Vehicle Request'!P30," ", 'Vehicle Request'!L30))</f>
        <v/>
      </c>
      <c r="F45" s="311" t="str">
        <f>IF('Vehicle Request'!F30="", "", 'Vehicle Request'!G30)</f>
        <v/>
      </c>
      <c r="G45" s="310" t="str">
        <f>IF('Vehicle Request'!W30=0, "", 'Vehicle Request'!W30)</f>
        <v/>
      </c>
      <c r="H45" s="312" t="str">
        <f t="shared" si="2"/>
        <v/>
      </c>
      <c r="I45" s="313" t="str">
        <f>IF('Vehicle Request'!U30=0, "", 'Vehicle Request'!U30)</f>
        <v/>
      </c>
      <c r="J45" s="310" t="str">
        <f>IF('Vehicle Request'!V30=0, "", 'Vehicle Request'!V30)</f>
        <v/>
      </c>
      <c r="K45" s="306"/>
      <c r="N45" s="917"/>
      <c r="O45" s="917"/>
      <c r="P45" s="318" t="str">
        <f t="shared" si="0"/>
        <v/>
      </c>
      <c r="Q45" s="171" t="str">
        <f t="shared" si="1"/>
        <v/>
      </c>
    </row>
    <row r="46" spans="2:17" ht="15.95">
      <c r="B46" s="309" t="str">
        <f>IF('Vehicle Request'!H31="", "", 'Vehicle Request'!H31)</f>
        <v/>
      </c>
      <c r="C46" s="310" t="str">
        <f>IF('Vehicle Request'!I31="", "", 'Vehicle Request'!I31)</f>
        <v/>
      </c>
      <c r="D46" s="310" t="str">
        <f>IF('Vehicle Request'!J31="", "", 'Vehicle Request'!J31)</f>
        <v/>
      </c>
      <c r="E46" s="310" t="str">
        <f>IF('Vehicle Request'!K31="", "", CONCATENATE('Vehicle Request'!P31," ", 'Vehicle Request'!L31))</f>
        <v/>
      </c>
      <c r="F46" s="311" t="str">
        <f>IF('Vehicle Request'!F31="", "", 'Vehicle Request'!G31)</f>
        <v/>
      </c>
      <c r="G46" s="310" t="str">
        <f>IF('Vehicle Request'!W31=0, "", 'Vehicle Request'!W31)</f>
        <v/>
      </c>
      <c r="H46" s="312" t="str">
        <f t="shared" si="2"/>
        <v/>
      </c>
      <c r="I46" s="313" t="str">
        <f>IF('Vehicle Request'!U31=0, "", 'Vehicle Request'!U31)</f>
        <v/>
      </c>
      <c r="J46" s="310" t="str">
        <f>IF('Vehicle Request'!V31=0, "", 'Vehicle Request'!V31)</f>
        <v/>
      </c>
      <c r="K46" s="306"/>
      <c r="N46" s="917"/>
      <c r="O46" s="917"/>
      <c r="P46" s="318" t="str">
        <f t="shared" si="0"/>
        <v/>
      </c>
      <c r="Q46" s="171" t="str">
        <f t="shared" si="1"/>
        <v/>
      </c>
    </row>
    <row r="47" spans="2:17" ht="15.95">
      <c r="B47" s="309" t="str">
        <f>IF('Vehicle Request'!H32="", "", 'Vehicle Request'!H32)</f>
        <v/>
      </c>
      <c r="C47" s="310" t="str">
        <f>IF('Vehicle Request'!I32="", "", 'Vehicle Request'!I32)</f>
        <v/>
      </c>
      <c r="D47" s="310" t="str">
        <f>IF('Vehicle Request'!J32="", "", 'Vehicle Request'!J32)</f>
        <v/>
      </c>
      <c r="E47" s="310" t="str">
        <f>IF('Vehicle Request'!K32="", "", CONCATENATE('Vehicle Request'!P32," ", 'Vehicle Request'!L32))</f>
        <v/>
      </c>
      <c r="F47" s="311" t="str">
        <f>IF('Vehicle Request'!F32="", "", 'Vehicle Request'!G32)</f>
        <v/>
      </c>
      <c r="G47" s="310" t="str">
        <f>IF('Vehicle Request'!W32=0, "", 'Vehicle Request'!W32)</f>
        <v/>
      </c>
      <c r="H47" s="312" t="str">
        <f t="shared" si="2"/>
        <v/>
      </c>
      <c r="I47" s="313" t="str">
        <f>IF('Vehicle Request'!U32=0, "", 'Vehicle Request'!U32)</f>
        <v/>
      </c>
      <c r="J47" s="310" t="str">
        <f>IF('Vehicle Request'!V32=0, "", 'Vehicle Request'!V32)</f>
        <v/>
      </c>
      <c r="K47" s="306"/>
      <c r="N47" s="917"/>
      <c r="O47" s="917"/>
      <c r="P47" s="318" t="str">
        <f t="shared" si="0"/>
        <v/>
      </c>
      <c r="Q47" s="171" t="str">
        <f t="shared" si="1"/>
        <v/>
      </c>
    </row>
    <row r="48" spans="2:17" ht="15.95">
      <c r="B48" s="309" t="str">
        <f>IF('Vehicle Request'!H33="", "", 'Vehicle Request'!H33)</f>
        <v/>
      </c>
      <c r="C48" s="310" t="str">
        <f>IF('Vehicle Request'!I33="", "", 'Vehicle Request'!I33)</f>
        <v/>
      </c>
      <c r="D48" s="310" t="str">
        <f>IF('Vehicle Request'!J33="", "", 'Vehicle Request'!J33)</f>
        <v/>
      </c>
      <c r="E48" s="310" t="str">
        <f>IF('Vehicle Request'!K33="", "", CONCATENATE('Vehicle Request'!P33," ", 'Vehicle Request'!L33))</f>
        <v/>
      </c>
      <c r="F48" s="311" t="str">
        <f>IF('Vehicle Request'!F33="", "", 'Vehicle Request'!G33)</f>
        <v/>
      </c>
      <c r="G48" s="310" t="str">
        <f>IF('Vehicle Request'!W33=0, "", 'Vehicle Request'!W33)</f>
        <v/>
      </c>
      <c r="H48" s="312" t="str">
        <f t="shared" si="2"/>
        <v/>
      </c>
      <c r="I48" s="313" t="str">
        <f>IF('Vehicle Request'!U33=0, "", 'Vehicle Request'!U33)</f>
        <v/>
      </c>
      <c r="J48" s="310" t="str">
        <f>IF('Vehicle Request'!V33=0, "", 'Vehicle Request'!V33)</f>
        <v/>
      </c>
      <c r="K48" s="306"/>
      <c r="N48" s="917"/>
      <c r="O48" s="917"/>
      <c r="P48" s="318" t="str">
        <f t="shared" si="0"/>
        <v/>
      </c>
      <c r="Q48" s="171" t="str">
        <f t="shared" si="1"/>
        <v/>
      </c>
    </row>
    <row r="49" spans="1:20" ht="15.95">
      <c r="B49" s="309" t="str">
        <f>IF('Vehicle Request'!H34="", "", 'Vehicle Request'!H34)</f>
        <v/>
      </c>
      <c r="C49" s="310" t="str">
        <f>IF('Vehicle Request'!I34="", "", 'Vehicle Request'!I34)</f>
        <v/>
      </c>
      <c r="D49" s="310" t="str">
        <f>IF('Vehicle Request'!J34="", "", 'Vehicle Request'!J34)</f>
        <v/>
      </c>
      <c r="E49" s="310" t="str">
        <f>IF('Vehicle Request'!K34="", "", CONCATENATE('Vehicle Request'!P34," ", 'Vehicle Request'!L34))</f>
        <v/>
      </c>
      <c r="F49" s="311" t="str">
        <f>IF('Vehicle Request'!F34="", "", 'Vehicle Request'!G34)</f>
        <v/>
      </c>
      <c r="G49" s="310" t="str">
        <f>IF('Vehicle Request'!W34=0, "", 'Vehicle Request'!W34)</f>
        <v/>
      </c>
      <c r="H49" s="312" t="str">
        <f t="shared" si="2"/>
        <v/>
      </c>
      <c r="I49" s="313" t="str">
        <f>IF('Vehicle Request'!U34=0, "", 'Vehicle Request'!U34)</f>
        <v/>
      </c>
      <c r="J49" s="310" t="str">
        <f>IF('Vehicle Request'!V34=0, "", 'Vehicle Request'!V34)</f>
        <v/>
      </c>
      <c r="K49" s="306"/>
      <c r="M49" s="99"/>
      <c r="N49" s="917"/>
      <c r="O49" s="917"/>
      <c r="P49" s="318" t="str">
        <f t="shared" si="0"/>
        <v/>
      </c>
      <c r="Q49" s="171" t="str">
        <f t="shared" si="1"/>
        <v/>
      </c>
    </row>
    <row r="50" spans="1:20" ht="15.95">
      <c r="B50" s="309" t="str">
        <f>IF('Vehicle Request'!H35="", "", 'Vehicle Request'!H35)</f>
        <v/>
      </c>
      <c r="C50" s="310" t="str">
        <f>IF('Vehicle Request'!I35="", "", 'Vehicle Request'!I35)</f>
        <v/>
      </c>
      <c r="D50" s="310" t="str">
        <f>IF('Vehicle Request'!J35="", "", 'Vehicle Request'!J35)</f>
        <v/>
      </c>
      <c r="E50" s="310" t="str">
        <f>IF('Vehicle Request'!K35="", "", CONCATENATE('Vehicle Request'!P35," ", 'Vehicle Request'!L35))</f>
        <v/>
      </c>
      <c r="F50" s="311">
        <f>IF('Vehicle Request'!F35="", "", 'Vehicle Request'!G35)</f>
        <v>0</v>
      </c>
      <c r="G50" s="310" t="str">
        <f>IF('Vehicle Request'!W35=0, "", 'Vehicle Request'!W35)</f>
        <v/>
      </c>
      <c r="H50" s="312" t="str">
        <f t="shared" si="2"/>
        <v/>
      </c>
      <c r="I50" s="313" t="str">
        <f>IF('Vehicle Request'!U35=0, "", 'Vehicle Request'!U35)</f>
        <v/>
      </c>
      <c r="J50" s="310" t="str">
        <f>IF('Vehicle Request'!V35=0, "", 'Vehicle Request'!V35)</f>
        <v/>
      </c>
      <c r="K50" s="306"/>
      <c r="N50" s="917"/>
      <c r="O50" s="917"/>
      <c r="P50" s="318" t="str">
        <f t="shared" si="0"/>
        <v/>
      </c>
      <c r="Q50" s="171" t="str">
        <f t="shared" si="1"/>
        <v/>
      </c>
    </row>
    <row r="51" spans="1:20" ht="17.100000000000001" thickBot="1">
      <c r="B51" s="642" t="str">
        <f>IF('Vehicle Request'!H36="", "", 'Vehicle Request'!H36)</f>
        <v/>
      </c>
      <c r="C51" s="643" t="str">
        <f>IF('Vehicle Request'!I36="", "", 'Vehicle Request'!I36)</f>
        <v/>
      </c>
      <c r="D51" s="643" t="str">
        <f>IF('Vehicle Request'!J36="", "", 'Vehicle Request'!J36)</f>
        <v/>
      </c>
      <c r="E51" s="643" t="str">
        <f>IF('Vehicle Request'!K36="", "", CONCATENATE('Vehicle Request'!P36," ", 'Vehicle Request'!L36))</f>
        <v/>
      </c>
      <c r="F51" s="644">
        <f>IF('Vehicle Request'!F36="", "", 'Vehicle Request'!G36)</f>
        <v>0</v>
      </c>
      <c r="G51" s="320" t="str">
        <f>IF('Vehicle Request'!W36=0, "", 'Vehicle Request'!W36)</f>
        <v/>
      </c>
      <c r="H51" s="645" t="str">
        <f t="shared" si="2"/>
        <v/>
      </c>
      <c r="I51" s="646" t="str">
        <f>IF('Vehicle Request'!U36=0, "", 'Vehicle Request'!U36)</f>
        <v/>
      </c>
      <c r="J51" s="320" t="str">
        <f>IF('Vehicle Request'!V36=0, "", 'Vehicle Request'!V36)</f>
        <v/>
      </c>
      <c r="K51" s="308"/>
      <c r="N51" s="917"/>
      <c r="O51" s="917"/>
      <c r="P51" s="324" t="str">
        <f t="shared" si="0"/>
        <v/>
      </c>
      <c r="Q51" s="171" t="str">
        <f t="shared" si="1"/>
        <v/>
      </c>
    </row>
    <row r="52" spans="1:20" ht="16.5" customHeight="1">
      <c r="B52" s="486"/>
      <c r="C52" s="486"/>
      <c r="D52" s="486"/>
      <c r="E52" s="486"/>
      <c r="F52" s="929" t="s">
        <v>6464</v>
      </c>
      <c r="G52" s="930"/>
      <c r="H52" s="439">
        <f>SUM(EstimatedFuelCost_CatI)</f>
        <v>0</v>
      </c>
      <c r="I52" s="486"/>
      <c r="J52" s="50"/>
      <c r="K52" s="486"/>
      <c r="L52" s="219">
        <f>IF(F52="","",IF(I52="CNG",G52*2,IF(OR(AND(I52="E85",K52="Yes"), AND(I52="Diesel", K52="Yes")), G52*1.5,IF(G52="N/A","",(G52)))))</f>
        <v>0</v>
      </c>
      <c r="M52" s="486"/>
      <c r="N52" s="486"/>
      <c r="O52" s="486"/>
      <c r="P52" s="486"/>
      <c r="Q52" s="3"/>
    </row>
    <row r="53" spans="1:20" s="99" customFormat="1" ht="7.5" customHeight="1" thickBot="1">
      <c r="A53" s="10"/>
      <c r="B53" s="486"/>
      <c r="C53" s="486"/>
      <c r="D53" s="486"/>
      <c r="E53" s="486"/>
      <c r="F53" s="486"/>
      <c r="G53" s="76"/>
      <c r="H53" s="50"/>
      <c r="I53" s="486"/>
      <c r="J53" s="50"/>
      <c r="K53" s="486"/>
      <c r="L53" s="486"/>
      <c r="M53" s="486"/>
      <c r="N53" s="486"/>
      <c r="O53" s="486"/>
      <c r="P53" s="486"/>
      <c r="Q53" s="3"/>
      <c r="R53" s="10"/>
      <c r="S53" s="10"/>
      <c r="T53" s="10"/>
    </row>
    <row r="54" spans="1:20" ht="24" customHeight="1" thickBot="1">
      <c r="B54" s="833" t="s">
        <v>6465</v>
      </c>
      <c r="C54" s="845"/>
      <c r="D54" s="845"/>
      <c r="E54" s="845"/>
      <c r="F54" s="845"/>
      <c r="G54" s="845"/>
      <c r="H54" s="845"/>
      <c r="I54" s="845"/>
      <c r="J54" s="845"/>
      <c r="K54" s="845"/>
      <c r="L54" s="845"/>
      <c r="M54" s="845"/>
      <c r="N54" s="845"/>
      <c r="O54" s="846"/>
      <c r="P54" s="486"/>
      <c r="Q54" s="3"/>
    </row>
    <row r="55" spans="1:20" s="99" customFormat="1" ht="17.25" customHeight="1" thickBot="1">
      <c r="A55" s="10"/>
      <c r="B55" s="972" t="s">
        <v>105</v>
      </c>
      <c r="C55" s="921" t="s">
        <v>6317</v>
      </c>
      <c r="D55" s="921" t="s">
        <v>107</v>
      </c>
      <c r="E55" s="923" t="s">
        <v>6456</v>
      </c>
      <c r="F55" s="925" t="s">
        <v>6457</v>
      </c>
      <c r="G55" s="925" t="s">
        <v>6458</v>
      </c>
      <c r="H55" s="925" t="s">
        <v>6466</v>
      </c>
      <c r="I55" s="925" t="s">
        <v>133</v>
      </c>
      <c r="J55" s="927" t="s">
        <v>134</v>
      </c>
      <c r="K55" s="910" t="s">
        <v>6467</v>
      </c>
      <c r="L55" s="911"/>
      <c r="M55" s="911"/>
      <c r="N55" s="911"/>
      <c r="O55" s="912"/>
      <c r="P55" s="486"/>
      <c r="Q55" s="3"/>
      <c r="R55" s="10"/>
      <c r="S55" s="10"/>
      <c r="T55" s="10"/>
    </row>
    <row r="56" spans="1:20" ht="63.95">
      <c r="B56" s="973"/>
      <c r="C56" s="922"/>
      <c r="D56" s="922"/>
      <c r="E56" s="924"/>
      <c r="F56" s="926"/>
      <c r="G56" s="926"/>
      <c r="H56" s="926"/>
      <c r="I56" s="926"/>
      <c r="J56" s="928"/>
      <c r="K56" s="157" t="s">
        <v>6468</v>
      </c>
      <c r="L56" s="157" t="s">
        <v>6469</v>
      </c>
      <c r="M56" s="157" t="s">
        <v>6470</v>
      </c>
      <c r="N56" s="913" t="s">
        <v>6471</v>
      </c>
      <c r="O56" s="914"/>
      <c r="P56" s="124" t="s">
        <v>6462</v>
      </c>
      <c r="Q56" s="742" t="s">
        <v>6463</v>
      </c>
    </row>
    <row r="57" spans="1:20" ht="15.95">
      <c r="B57" s="309" t="str">
        <f>IF('Vehicle Request'!H40="", "", 'Vehicle Request'!H40)</f>
        <v/>
      </c>
      <c r="C57" s="310" t="str">
        <f>IF('Vehicle Request'!I40="", "", 'Vehicle Request'!I40)</f>
        <v/>
      </c>
      <c r="D57" s="310" t="str">
        <f>IF('Vehicle Request'!J40="", "", 'Vehicle Request'!J40)</f>
        <v/>
      </c>
      <c r="E57" s="310" t="str">
        <f>IF('Vehicle Request'!K40="", "", CONCATENATE('Vehicle Request'!P40," ", 'Vehicle Request'!L40))</f>
        <v/>
      </c>
      <c r="F57" s="311" t="str">
        <f>IF('Vehicle Request'!F40="", "", 'Vehicle Request'!G40)</f>
        <v/>
      </c>
      <c r="G57" s="310" t="str">
        <f>IF('Vehicle Request'!W40=0, "", 'Vehicle Request'!W40)</f>
        <v/>
      </c>
      <c r="H57" s="312" t="str">
        <f>IF(G57="", "", (12000/G57)*$R$2*F57)</f>
        <v/>
      </c>
      <c r="I57" s="313" t="str">
        <f>IF('Vehicle Request'!U40=0, "", 'Vehicle Request'!U40)</f>
        <v/>
      </c>
      <c r="J57" s="310" t="str">
        <f>IF('Vehicle Request'!V40=0, "", 'Vehicle Request'!V40)</f>
        <v/>
      </c>
      <c r="K57" s="305"/>
      <c r="L57" s="305"/>
      <c r="M57" s="305"/>
      <c r="N57" s="908"/>
      <c r="O57" s="909"/>
      <c r="P57" s="83" t="str">
        <f t="shared" ref="P57:P84" si="3">IF(F57="","",IF(OR(I57="CNG", M57="Dedicated", K57="Yes"),G57*2,IF(OR(AND(I57="E85",O57="Yes"),AND(M57="Bi-Fuel",O57="Yes"), AND(I57="Diesel", O57="Yes")), G57*1.5,IF(G57="N/A","",(G57)))))</f>
        <v/>
      </c>
      <c r="Q57" s="84" t="str">
        <f t="shared" ref="Q57:Q84" si="4">IF(P57="", "", (1/P57)*F57)</f>
        <v/>
      </c>
    </row>
    <row r="58" spans="1:20" s="99" customFormat="1" ht="15.95">
      <c r="A58" s="10"/>
      <c r="B58" s="309" t="str">
        <f>IF('Vehicle Request'!H41="", "", 'Vehicle Request'!H41)</f>
        <v/>
      </c>
      <c r="C58" s="310" t="str">
        <f>IF('Vehicle Request'!I41="", "", 'Vehicle Request'!I41)</f>
        <v/>
      </c>
      <c r="D58" s="310" t="str">
        <f>IF('Vehicle Request'!J41="", "", 'Vehicle Request'!J41)</f>
        <v/>
      </c>
      <c r="E58" s="310" t="str">
        <f>IF('Vehicle Request'!K41="", "", CONCATENATE('Vehicle Request'!P41," ", 'Vehicle Request'!L41))</f>
        <v/>
      </c>
      <c r="F58" s="311" t="str">
        <f>IF('Vehicle Request'!F41="", "", 'Vehicle Request'!G41)</f>
        <v/>
      </c>
      <c r="G58" s="310" t="str">
        <f>IF('Vehicle Request'!W41=0, "", 'Vehicle Request'!W41)</f>
        <v/>
      </c>
      <c r="H58" s="312" t="str">
        <f t="shared" ref="H58:H88" si="5">IF(G58="", "", (12000/G58)*$R$2*F58)</f>
        <v/>
      </c>
      <c r="I58" s="313" t="str">
        <f>IF('Vehicle Request'!U41=0, "", 'Vehicle Request'!U41)</f>
        <v/>
      </c>
      <c r="J58" s="310" t="str">
        <f>IF('Vehicle Request'!V41=0, "", 'Vehicle Request'!V41)</f>
        <v/>
      </c>
      <c r="K58" s="305"/>
      <c r="L58" s="305"/>
      <c r="M58" s="305"/>
      <c r="N58" s="941"/>
      <c r="O58" s="942"/>
      <c r="P58" s="83" t="str">
        <f t="shared" si="3"/>
        <v/>
      </c>
      <c r="Q58" s="84" t="str">
        <f t="shared" si="4"/>
        <v/>
      </c>
      <c r="R58" s="10"/>
      <c r="S58" s="10"/>
      <c r="T58" s="10"/>
    </row>
    <row r="59" spans="1:20" s="99" customFormat="1" ht="15.95">
      <c r="A59" s="10"/>
      <c r="B59" s="309" t="str">
        <f>IF('Vehicle Request'!H42="", "", 'Vehicle Request'!H42)</f>
        <v/>
      </c>
      <c r="C59" s="310" t="str">
        <f>IF('Vehicle Request'!I42="", "", 'Vehicle Request'!I42)</f>
        <v/>
      </c>
      <c r="D59" s="310" t="str">
        <f>IF('Vehicle Request'!J42="", "", 'Vehicle Request'!J42)</f>
        <v/>
      </c>
      <c r="E59" s="310" t="str">
        <f>IF('Vehicle Request'!K42="", "", CONCATENATE('Vehicle Request'!P42," ", 'Vehicle Request'!L42))</f>
        <v/>
      </c>
      <c r="F59" s="311" t="str">
        <f>IF('Vehicle Request'!F42="", "", 'Vehicle Request'!G42)</f>
        <v/>
      </c>
      <c r="G59" s="310" t="str">
        <f>IF('Vehicle Request'!W42=0, "", 'Vehicle Request'!W42)</f>
        <v/>
      </c>
      <c r="H59" s="312" t="str">
        <f t="shared" si="5"/>
        <v/>
      </c>
      <c r="I59" s="313" t="str">
        <f>IF('Vehicle Request'!U42=0, "", 'Vehicle Request'!U42)</f>
        <v/>
      </c>
      <c r="J59" s="310" t="str">
        <f>IF('Vehicle Request'!V42=0, "", 'Vehicle Request'!V42)</f>
        <v/>
      </c>
      <c r="K59" s="305"/>
      <c r="L59" s="305"/>
      <c r="M59" s="305"/>
      <c r="N59" s="941"/>
      <c r="O59" s="942"/>
      <c r="P59" s="83" t="str">
        <f t="shared" si="3"/>
        <v/>
      </c>
      <c r="Q59" s="84" t="str">
        <f t="shared" si="4"/>
        <v/>
      </c>
      <c r="R59" s="10"/>
      <c r="S59" s="10"/>
      <c r="T59" s="10"/>
    </row>
    <row r="60" spans="1:20" s="99" customFormat="1" ht="15.95">
      <c r="A60" s="10"/>
      <c r="B60" s="309" t="str">
        <f>IF('Vehicle Request'!H43="", "", 'Vehicle Request'!H43)</f>
        <v/>
      </c>
      <c r="C60" s="310" t="str">
        <f>IF('Vehicle Request'!I43="", "", 'Vehicle Request'!I43)</f>
        <v/>
      </c>
      <c r="D60" s="310" t="str">
        <f>IF('Vehicle Request'!J43="", "", 'Vehicle Request'!J43)</f>
        <v/>
      </c>
      <c r="E60" s="310" t="str">
        <f>IF('Vehicle Request'!K43="", "", CONCATENATE('Vehicle Request'!P43," ", 'Vehicle Request'!L43))</f>
        <v/>
      </c>
      <c r="F60" s="311" t="str">
        <f>IF('Vehicle Request'!F43="", "", 'Vehicle Request'!G43)</f>
        <v/>
      </c>
      <c r="G60" s="310" t="str">
        <f>IF('Vehicle Request'!W43=0, "", 'Vehicle Request'!W43)</f>
        <v/>
      </c>
      <c r="H60" s="312" t="str">
        <f t="shared" si="5"/>
        <v/>
      </c>
      <c r="I60" s="313" t="str">
        <f>IF('Vehicle Request'!U43=0, "", 'Vehicle Request'!U43)</f>
        <v/>
      </c>
      <c r="J60" s="310" t="str">
        <f>IF('Vehicle Request'!V43=0, "", 'Vehicle Request'!V43)</f>
        <v/>
      </c>
      <c r="K60" s="305"/>
      <c r="L60" s="305"/>
      <c r="M60" s="305"/>
      <c r="N60" s="941"/>
      <c r="O60" s="942"/>
      <c r="P60" s="83" t="str">
        <f t="shared" si="3"/>
        <v/>
      </c>
      <c r="Q60" s="84" t="str">
        <f t="shared" si="4"/>
        <v/>
      </c>
      <c r="R60" s="10"/>
      <c r="S60" s="10"/>
      <c r="T60" s="10"/>
    </row>
    <row r="61" spans="1:20" s="99" customFormat="1" ht="15.95">
      <c r="A61" s="10"/>
      <c r="B61" s="309" t="str">
        <f>IF('Vehicle Request'!H44="", "", 'Vehicle Request'!H44)</f>
        <v/>
      </c>
      <c r="C61" s="310" t="str">
        <f>IF('Vehicle Request'!I44="", "", 'Vehicle Request'!I44)</f>
        <v/>
      </c>
      <c r="D61" s="310" t="str">
        <f>IF('Vehicle Request'!J44="", "", 'Vehicle Request'!J44)</f>
        <v/>
      </c>
      <c r="E61" s="310" t="str">
        <f>IF('Vehicle Request'!K44="", "", CONCATENATE('Vehicle Request'!P44," ", 'Vehicle Request'!L44))</f>
        <v/>
      </c>
      <c r="F61" s="311" t="str">
        <f>IF('Vehicle Request'!F44="", "", 'Vehicle Request'!G44)</f>
        <v/>
      </c>
      <c r="G61" s="310" t="str">
        <f>IF('Vehicle Request'!W44=0, "", 'Vehicle Request'!W44)</f>
        <v/>
      </c>
      <c r="H61" s="312" t="str">
        <f t="shared" si="5"/>
        <v/>
      </c>
      <c r="I61" s="313" t="str">
        <f>IF('Vehicle Request'!U44=0, "", 'Vehicle Request'!U44)</f>
        <v/>
      </c>
      <c r="J61" s="310" t="str">
        <f>IF('Vehicle Request'!V44=0, "", 'Vehicle Request'!V44)</f>
        <v/>
      </c>
      <c r="K61" s="305"/>
      <c r="L61" s="305"/>
      <c r="M61" s="305"/>
      <c r="N61" s="941"/>
      <c r="O61" s="942"/>
      <c r="P61" s="83" t="str">
        <f t="shared" si="3"/>
        <v/>
      </c>
      <c r="Q61" s="84" t="str">
        <f t="shared" si="4"/>
        <v/>
      </c>
      <c r="R61" s="10"/>
      <c r="S61" s="10"/>
      <c r="T61" s="10"/>
    </row>
    <row r="62" spans="1:20" s="99" customFormat="1" ht="15.95">
      <c r="A62" s="10"/>
      <c r="B62" s="309" t="str">
        <f>IF('Vehicle Request'!H45="", "", 'Vehicle Request'!H45)</f>
        <v/>
      </c>
      <c r="C62" s="310" t="str">
        <f>IF('Vehicle Request'!I45="", "", 'Vehicle Request'!I45)</f>
        <v/>
      </c>
      <c r="D62" s="310" t="str">
        <f>IF('Vehicle Request'!J45="", "", 'Vehicle Request'!J45)</f>
        <v/>
      </c>
      <c r="E62" s="310" t="str">
        <f>IF('Vehicle Request'!K45="", "", CONCATENATE('Vehicle Request'!P45," ", 'Vehicle Request'!L45))</f>
        <v/>
      </c>
      <c r="F62" s="311" t="str">
        <f>IF('Vehicle Request'!F45="", "", 'Vehicle Request'!G45)</f>
        <v/>
      </c>
      <c r="G62" s="310" t="str">
        <f>IF('Vehicle Request'!W45=0, "", 'Vehicle Request'!W45)</f>
        <v/>
      </c>
      <c r="H62" s="312" t="str">
        <f t="shared" si="5"/>
        <v/>
      </c>
      <c r="I62" s="313" t="str">
        <f>IF('Vehicle Request'!U45=0, "", 'Vehicle Request'!U45)</f>
        <v/>
      </c>
      <c r="J62" s="310" t="str">
        <f>IF('Vehicle Request'!V45=0, "", 'Vehicle Request'!V45)</f>
        <v/>
      </c>
      <c r="K62" s="305"/>
      <c r="L62" s="305"/>
      <c r="M62" s="305"/>
      <c r="N62" s="941"/>
      <c r="O62" s="942"/>
      <c r="P62" s="83" t="str">
        <f t="shared" si="3"/>
        <v/>
      </c>
      <c r="Q62" s="84" t="str">
        <f t="shared" si="4"/>
        <v/>
      </c>
      <c r="R62" s="10"/>
      <c r="S62" s="10"/>
      <c r="T62" s="10"/>
    </row>
    <row r="63" spans="1:20" s="99" customFormat="1" ht="15.95">
      <c r="A63" s="10"/>
      <c r="B63" s="309" t="str">
        <f>IF('Vehicle Request'!H46="", "", 'Vehicle Request'!H46)</f>
        <v/>
      </c>
      <c r="C63" s="310" t="str">
        <f>IF('Vehicle Request'!I46="", "", 'Vehicle Request'!I46)</f>
        <v/>
      </c>
      <c r="D63" s="310" t="str">
        <f>IF('Vehicle Request'!J46="", "", 'Vehicle Request'!J46)</f>
        <v/>
      </c>
      <c r="E63" s="310" t="str">
        <f>IF('Vehicle Request'!K46="", "", CONCATENATE('Vehicle Request'!P46," ", 'Vehicle Request'!L46))</f>
        <v/>
      </c>
      <c r="F63" s="311" t="str">
        <f>IF('Vehicle Request'!F46="", "", 'Vehicle Request'!G46)</f>
        <v/>
      </c>
      <c r="G63" s="310" t="str">
        <f>IF('Vehicle Request'!W46=0, "", 'Vehicle Request'!W46)</f>
        <v/>
      </c>
      <c r="H63" s="312" t="str">
        <f t="shared" si="5"/>
        <v/>
      </c>
      <c r="I63" s="313" t="str">
        <f>IF('Vehicle Request'!U46=0, "", 'Vehicle Request'!U46)</f>
        <v/>
      </c>
      <c r="J63" s="310" t="str">
        <f>IF('Vehicle Request'!V46=0, "", 'Vehicle Request'!V46)</f>
        <v/>
      </c>
      <c r="K63" s="305"/>
      <c r="L63" s="305"/>
      <c r="M63" s="305"/>
      <c r="N63" s="941"/>
      <c r="O63" s="942"/>
      <c r="P63" s="83" t="str">
        <f t="shared" si="3"/>
        <v/>
      </c>
      <c r="Q63" s="84" t="str">
        <f t="shared" si="4"/>
        <v/>
      </c>
      <c r="R63" s="10"/>
      <c r="S63" s="10"/>
      <c r="T63" s="10"/>
    </row>
    <row r="64" spans="1:20" s="99" customFormat="1" ht="15.95">
      <c r="A64" s="10"/>
      <c r="B64" s="309" t="str">
        <f>IF('Vehicle Request'!H47="", "", 'Vehicle Request'!H47)</f>
        <v/>
      </c>
      <c r="C64" s="310" t="str">
        <f>IF('Vehicle Request'!I47="", "", 'Vehicle Request'!I47)</f>
        <v/>
      </c>
      <c r="D64" s="310" t="str">
        <f>IF('Vehicle Request'!J47="", "", 'Vehicle Request'!J47)</f>
        <v/>
      </c>
      <c r="E64" s="310" t="str">
        <f>IF('Vehicle Request'!K47="", "", CONCATENATE('Vehicle Request'!P47," ", 'Vehicle Request'!L47))</f>
        <v/>
      </c>
      <c r="F64" s="311" t="str">
        <f>IF('Vehicle Request'!F47="", "", 'Vehicle Request'!G47)</f>
        <v/>
      </c>
      <c r="G64" s="310" t="str">
        <f>IF('Vehicle Request'!W47=0, "", 'Vehicle Request'!W47)</f>
        <v/>
      </c>
      <c r="H64" s="312" t="str">
        <f t="shared" si="5"/>
        <v/>
      </c>
      <c r="I64" s="313" t="str">
        <f>IF('Vehicle Request'!U47=0, "", 'Vehicle Request'!U47)</f>
        <v/>
      </c>
      <c r="J64" s="310" t="str">
        <f>IF('Vehicle Request'!V47=0, "", 'Vehicle Request'!V47)</f>
        <v/>
      </c>
      <c r="K64" s="305"/>
      <c r="L64" s="305"/>
      <c r="M64" s="305"/>
      <c r="N64" s="941"/>
      <c r="O64" s="942"/>
      <c r="P64" s="83" t="str">
        <f t="shared" si="3"/>
        <v/>
      </c>
      <c r="Q64" s="84" t="str">
        <f t="shared" si="4"/>
        <v/>
      </c>
      <c r="R64" s="10"/>
      <c r="S64" s="10"/>
      <c r="T64" s="10"/>
    </row>
    <row r="65" spans="1:20" s="99" customFormat="1" ht="15.95">
      <c r="A65" s="10"/>
      <c r="B65" s="309" t="str">
        <f>IF('Vehicle Request'!H48="", "", 'Vehicle Request'!H48)</f>
        <v/>
      </c>
      <c r="C65" s="310" t="str">
        <f>IF('Vehicle Request'!I48="", "", 'Vehicle Request'!I48)</f>
        <v/>
      </c>
      <c r="D65" s="310" t="str">
        <f>IF('Vehicle Request'!J48="", "", 'Vehicle Request'!J48)</f>
        <v/>
      </c>
      <c r="E65" s="310" t="str">
        <f>IF('Vehicle Request'!K48="", "", CONCATENATE('Vehicle Request'!P48," ", 'Vehicle Request'!L48))</f>
        <v/>
      </c>
      <c r="F65" s="311" t="str">
        <f>IF('Vehicle Request'!F48="", "", 'Vehicle Request'!G48)</f>
        <v/>
      </c>
      <c r="G65" s="310" t="str">
        <f>IF('Vehicle Request'!W48=0, "", 'Vehicle Request'!W48)</f>
        <v/>
      </c>
      <c r="H65" s="312" t="str">
        <f t="shared" si="5"/>
        <v/>
      </c>
      <c r="I65" s="313" t="str">
        <f>IF('Vehicle Request'!U48=0, "", 'Vehicle Request'!U48)</f>
        <v/>
      </c>
      <c r="J65" s="310" t="str">
        <f>IF('Vehicle Request'!V48=0, "", 'Vehicle Request'!V48)</f>
        <v/>
      </c>
      <c r="K65" s="305"/>
      <c r="L65" s="305"/>
      <c r="M65" s="305"/>
      <c r="N65" s="941"/>
      <c r="O65" s="942"/>
      <c r="P65" s="83" t="str">
        <f t="shared" ref="P65:P74" si="6">IF(F65="","",IF(OR(I65="CNG", M65="Dedicated", K65="Yes"),G65*2,IF(OR(AND(I65="E85",O65="Yes"),AND(M65="Bi-Fuel",O65="Yes"), AND(I65="Diesel", O65="Yes")), G65*1.5,IF(G65="N/A","",(G65)))))</f>
        <v/>
      </c>
      <c r="Q65" s="84" t="str">
        <f t="shared" ref="Q65:Q74" si="7">IF(P65="", "", (1/P65)*F65)</f>
        <v/>
      </c>
      <c r="R65" s="10"/>
      <c r="S65" s="10"/>
      <c r="T65" s="10"/>
    </row>
    <row r="66" spans="1:20" s="99" customFormat="1" ht="15.95">
      <c r="A66" s="10"/>
      <c r="B66" s="309" t="str">
        <f>IF('Vehicle Request'!H49="", "", 'Vehicle Request'!H49)</f>
        <v/>
      </c>
      <c r="C66" s="310" t="str">
        <f>IF('Vehicle Request'!I49="", "", 'Vehicle Request'!I49)</f>
        <v/>
      </c>
      <c r="D66" s="310" t="str">
        <f>IF('Vehicle Request'!J49="", "", 'Vehicle Request'!J49)</f>
        <v/>
      </c>
      <c r="E66" s="310" t="str">
        <f>IF('Vehicle Request'!K49="", "", CONCATENATE('Vehicle Request'!P49," ", 'Vehicle Request'!L49))</f>
        <v/>
      </c>
      <c r="F66" s="311" t="str">
        <f>IF('Vehicle Request'!F49="", "", 'Vehicle Request'!G49)</f>
        <v/>
      </c>
      <c r="G66" s="310" t="str">
        <f>IF('Vehicle Request'!W49=0, "", 'Vehicle Request'!W49)</f>
        <v/>
      </c>
      <c r="H66" s="312" t="str">
        <f t="shared" si="5"/>
        <v/>
      </c>
      <c r="I66" s="313" t="str">
        <f>IF('Vehicle Request'!U49=0, "", 'Vehicle Request'!U49)</f>
        <v/>
      </c>
      <c r="J66" s="310" t="str">
        <f>IF('Vehicle Request'!V49=0, "", 'Vehicle Request'!V49)</f>
        <v/>
      </c>
      <c r="K66" s="305"/>
      <c r="L66" s="305"/>
      <c r="M66" s="305"/>
      <c r="N66" s="941"/>
      <c r="O66" s="942"/>
      <c r="P66" s="83" t="str">
        <f t="shared" si="6"/>
        <v/>
      </c>
      <c r="Q66" s="84" t="str">
        <f t="shared" si="7"/>
        <v/>
      </c>
      <c r="R66" s="10"/>
      <c r="S66" s="10"/>
      <c r="T66" s="10"/>
    </row>
    <row r="67" spans="1:20" s="99" customFormat="1" ht="15.95">
      <c r="A67" s="10"/>
      <c r="B67" s="309" t="str">
        <f>IF('Vehicle Request'!H50="", "", 'Vehicle Request'!H50)</f>
        <v/>
      </c>
      <c r="C67" s="310" t="str">
        <f>IF('Vehicle Request'!I50="", "", 'Vehicle Request'!I50)</f>
        <v/>
      </c>
      <c r="D67" s="310" t="str">
        <f>IF('Vehicle Request'!J50="", "", 'Vehicle Request'!J50)</f>
        <v/>
      </c>
      <c r="E67" s="310" t="str">
        <f>IF('Vehicle Request'!K50="", "", CONCATENATE('Vehicle Request'!P50," ", 'Vehicle Request'!L50))</f>
        <v/>
      </c>
      <c r="F67" s="311" t="str">
        <f>IF('Vehicle Request'!F50="", "", 'Vehicle Request'!G50)</f>
        <v/>
      </c>
      <c r="G67" s="310" t="str">
        <f>IF('Vehicle Request'!W50=0, "", 'Vehicle Request'!W50)</f>
        <v/>
      </c>
      <c r="H67" s="312" t="str">
        <f t="shared" si="5"/>
        <v/>
      </c>
      <c r="I67" s="313" t="str">
        <f>IF('Vehicle Request'!U50=0, "", 'Vehicle Request'!U50)</f>
        <v/>
      </c>
      <c r="J67" s="310" t="str">
        <f>IF('Vehicle Request'!V50=0, "", 'Vehicle Request'!V50)</f>
        <v/>
      </c>
      <c r="K67" s="305"/>
      <c r="L67" s="305"/>
      <c r="M67" s="305"/>
      <c r="N67" s="941"/>
      <c r="O67" s="942"/>
      <c r="P67" s="83" t="str">
        <f t="shared" si="6"/>
        <v/>
      </c>
      <c r="Q67" s="84" t="str">
        <f t="shared" si="7"/>
        <v/>
      </c>
      <c r="R67" s="10"/>
      <c r="S67" s="10"/>
      <c r="T67" s="10"/>
    </row>
    <row r="68" spans="1:20" s="99" customFormat="1" ht="15.95">
      <c r="A68" s="10"/>
      <c r="B68" s="309" t="str">
        <f>IF('Vehicle Request'!H51="", "", 'Vehicle Request'!H51)</f>
        <v/>
      </c>
      <c r="C68" s="310" t="str">
        <f>IF('Vehicle Request'!I51="", "", 'Vehicle Request'!I51)</f>
        <v/>
      </c>
      <c r="D68" s="310" t="str">
        <f>IF('Vehicle Request'!J51="", "", 'Vehicle Request'!J51)</f>
        <v/>
      </c>
      <c r="E68" s="310" t="str">
        <f>IF('Vehicle Request'!K51="", "", CONCATENATE('Vehicle Request'!P51," ", 'Vehicle Request'!L51))</f>
        <v/>
      </c>
      <c r="F68" s="311" t="str">
        <f>IF('Vehicle Request'!F51="", "", 'Vehicle Request'!G51)</f>
        <v/>
      </c>
      <c r="G68" s="310" t="str">
        <f>IF('Vehicle Request'!W51=0, "", 'Vehicle Request'!W51)</f>
        <v/>
      </c>
      <c r="H68" s="312" t="str">
        <f t="shared" si="5"/>
        <v/>
      </c>
      <c r="I68" s="313" t="str">
        <f>IF('Vehicle Request'!U51=0, "", 'Vehicle Request'!U51)</f>
        <v/>
      </c>
      <c r="J68" s="310" t="str">
        <f>IF('Vehicle Request'!V51=0, "", 'Vehicle Request'!V51)</f>
        <v/>
      </c>
      <c r="K68" s="305"/>
      <c r="L68" s="305"/>
      <c r="M68" s="305"/>
      <c r="N68" s="941"/>
      <c r="O68" s="942"/>
      <c r="P68" s="83" t="str">
        <f t="shared" si="6"/>
        <v/>
      </c>
      <c r="Q68" s="84" t="str">
        <f t="shared" si="7"/>
        <v/>
      </c>
      <c r="R68" s="10"/>
      <c r="S68" s="10"/>
      <c r="T68" s="10"/>
    </row>
    <row r="69" spans="1:20" s="99" customFormat="1" ht="15.95">
      <c r="A69" s="10"/>
      <c r="B69" s="309" t="str">
        <f>IF('Vehicle Request'!H52="", "", 'Vehicle Request'!H52)</f>
        <v/>
      </c>
      <c r="C69" s="310" t="str">
        <f>IF('Vehicle Request'!I52="", "", 'Vehicle Request'!I52)</f>
        <v/>
      </c>
      <c r="D69" s="310" t="str">
        <f>IF('Vehicle Request'!J52="", "", 'Vehicle Request'!J52)</f>
        <v/>
      </c>
      <c r="E69" s="310" t="str">
        <f>IF('Vehicle Request'!K52="", "", CONCATENATE('Vehicle Request'!P52," ", 'Vehicle Request'!L52))</f>
        <v/>
      </c>
      <c r="F69" s="311" t="str">
        <f>IF('Vehicle Request'!F52="", "", 'Vehicle Request'!G52)</f>
        <v/>
      </c>
      <c r="G69" s="310" t="str">
        <f>IF('Vehicle Request'!W52=0, "", 'Vehicle Request'!W52)</f>
        <v/>
      </c>
      <c r="H69" s="312" t="str">
        <f t="shared" si="5"/>
        <v/>
      </c>
      <c r="I69" s="313" t="str">
        <f>IF('Vehicle Request'!U52=0, "", 'Vehicle Request'!U52)</f>
        <v/>
      </c>
      <c r="J69" s="310" t="str">
        <f>IF('Vehicle Request'!V52=0, "", 'Vehicle Request'!V52)</f>
        <v/>
      </c>
      <c r="K69" s="305"/>
      <c r="L69" s="305"/>
      <c r="M69" s="305"/>
      <c r="N69" s="941"/>
      <c r="O69" s="942"/>
      <c r="P69" s="83" t="str">
        <f t="shared" si="6"/>
        <v/>
      </c>
      <c r="Q69" s="84" t="str">
        <f t="shared" si="7"/>
        <v/>
      </c>
      <c r="R69" s="10"/>
      <c r="S69" s="10"/>
      <c r="T69" s="10"/>
    </row>
    <row r="70" spans="1:20" s="99" customFormat="1" ht="15.95">
      <c r="A70" s="10"/>
      <c r="B70" s="309" t="str">
        <f>IF('Vehicle Request'!H53="", "", 'Vehicle Request'!H53)</f>
        <v/>
      </c>
      <c r="C70" s="310" t="str">
        <f>IF('Vehicle Request'!I53="", "", 'Vehicle Request'!I53)</f>
        <v/>
      </c>
      <c r="D70" s="310" t="str">
        <f>IF('Vehicle Request'!J53="", "", 'Vehicle Request'!J53)</f>
        <v/>
      </c>
      <c r="E70" s="310" t="str">
        <f>IF('Vehicle Request'!K53="", "", CONCATENATE('Vehicle Request'!P53," ", 'Vehicle Request'!L53))</f>
        <v/>
      </c>
      <c r="F70" s="311" t="str">
        <f>IF('Vehicle Request'!F53="", "", 'Vehicle Request'!G53)</f>
        <v/>
      </c>
      <c r="G70" s="310" t="str">
        <f>IF('Vehicle Request'!W53=0, "", 'Vehicle Request'!W53)</f>
        <v/>
      </c>
      <c r="H70" s="312" t="str">
        <f t="shared" si="5"/>
        <v/>
      </c>
      <c r="I70" s="313" t="str">
        <f>IF('Vehicle Request'!U53=0, "", 'Vehicle Request'!U53)</f>
        <v/>
      </c>
      <c r="J70" s="310" t="str">
        <f>IF('Vehicle Request'!V53=0, "", 'Vehicle Request'!V53)</f>
        <v/>
      </c>
      <c r="K70" s="305"/>
      <c r="L70" s="305"/>
      <c r="M70" s="305"/>
      <c r="N70" s="941"/>
      <c r="O70" s="942"/>
      <c r="P70" s="83" t="str">
        <f t="shared" si="6"/>
        <v/>
      </c>
      <c r="Q70" s="84" t="str">
        <f t="shared" si="7"/>
        <v/>
      </c>
      <c r="R70" s="10"/>
      <c r="S70" s="10"/>
      <c r="T70" s="10"/>
    </row>
    <row r="71" spans="1:20" s="99" customFormat="1" ht="15.95">
      <c r="A71" s="10"/>
      <c r="B71" s="309" t="str">
        <f>IF('Vehicle Request'!H54="", "", 'Vehicle Request'!H54)</f>
        <v/>
      </c>
      <c r="C71" s="310" t="str">
        <f>IF('Vehicle Request'!I54="", "", 'Vehicle Request'!I54)</f>
        <v/>
      </c>
      <c r="D71" s="310" t="str">
        <f>IF('Vehicle Request'!J54="", "", 'Vehicle Request'!J54)</f>
        <v/>
      </c>
      <c r="E71" s="310" t="str">
        <f>IF('Vehicle Request'!K54="", "", CONCATENATE('Vehicle Request'!P54," ", 'Vehicle Request'!L54))</f>
        <v/>
      </c>
      <c r="F71" s="311" t="str">
        <f>IF('Vehicle Request'!F54="", "", 'Vehicle Request'!G54)</f>
        <v/>
      </c>
      <c r="G71" s="310" t="str">
        <f>IF('Vehicle Request'!W54=0, "", 'Vehicle Request'!W54)</f>
        <v/>
      </c>
      <c r="H71" s="312" t="str">
        <f t="shared" si="5"/>
        <v/>
      </c>
      <c r="I71" s="313" t="str">
        <f>IF('Vehicle Request'!U54=0, "", 'Vehicle Request'!U54)</f>
        <v/>
      </c>
      <c r="J71" s="310" t="str">
        <f>IF('Vehicle Request'!V54=0, "", 'Vehicle Request'!V54)</f>
        <v/>
      </c>
      <c r="K71" s="305"/>
      <c r="L71" s="305"/>
      <c r="M71" s="305"/>
      <c r="N71" s="941"/>
      <c r="O71" s="942"/>
      <c r="P71" s="83" t="str">
        <f t="shared" si="6"/>
        <v/>
      </c>
      <c r="Q71" s="84" t="str">
        <f t="shared" si="7"/>
        <v/>
      </c>
      <c r="R71" s="10"/>
      <c r="S71" s="10"/>
      <c r="T71" s="10"/>
    </row>
    <row r="72" spans="1:20" s="99" customFormat="1" ht="15.95">
      <c r="A72" s="10"/>
      <c r="B72" s="309" t="str">
        <f>IF('Vehicle Request'!H55="", "", 'Vehicle Request'!H55)</f>
        <v/>
      </c>
      <c r="C72" s="310" t="str">
        <f>IF('Vehicle Request'!I55="", "", 'Vehicle Request'!I55)</f>
        <v/>
      </c>
      <c r="D72" s="310" t="str">
        <f>IF('Vehicle Request'!J55="", "", 'Vehicle Request'!J55)</f>
        <v/>
      </c>
      <c r="E72" s="310" t="str">
        <f>IF('Vehicle Request'!K55="", "", CONCATENATE('Vehicle Request'!P55," ", 'Vehicle Request'!L55))</f>
        <v/>
      </c>
      <c r="F72" s="311" t="str">
        <f>IF('Vehicle Request'!F55="", "", 'Vehicle Request'!G55)</f>
        <v/>
      </c>
      <c r="G72" s="310" t="str">
        <f>IF('Vehicle Request'!W55=0, "", 'Vehicle Request'!W55)</f>
        <v/>
      </c>
      <c r="H72" s="312" t="str">
        <f t="shared" si="5"/>
        <v/>
      </c>
      <c r="I72" s="313" t="str">
        <f>IF('Vehicle Request'!U55=0, "", 'Vehicle Request'!U55)</f>
        <v/>
      </c>
      <c r="J72" s="310" t="str">
        <f>IF('Vehicle Request'!V55=0, "", 'Vehicle Request'!V55)</f>
        <v/>
      </c>
      <c r="K72" s="305"/>
      <c r="L72" s="305"/>
      <c r="M72" s="305"/>
      <c r="N72" s="941"/>
      <c r="O72" s="942"/>
      <c r="P72" s="83" t="str">
        <f t="shared" si="6"/>
        <v/>
      </c>
      <c r="Q72" s="84" t="str">
        <f t="shared" si="7"/>
        <v/>
      </c>
      <c r="R72" s="10"/>
      <c r="S72" s="10"/>
      <c r="T72" s="10"/>
    </row>
    <row r="73" spans="1:20" s="99" customFormat="1" ht="15.95">
      <c r="A73" s="10"/>
      <c r="B73" s="309" t="str">
        <f>IF('Vehicle Request'!H56="", "", 'Vehicle Request'!H56)</f>
        <v/>
      </c>
      <c r="C73" s="310" t="str">
        <f>IF('Vehicle Request'!I56="", "", 'Vehicle Request'!I56)</f>
        <v/>
      </c>
      <c r="D73" s="310" t="str">
        <f>IF('Vehicle Request'!J56="", "", 'Vehicle Request'!J56)</f>
        <v/>
      </c>
      <c r="E73" s="310" t="str">
        <f>IF('Vehicle Request'!K56="", "", CONCATENATE('Vehicle Request'!P56," ", 'Vehicle Request'!L56))</f>
        <v/>
      </c>
      <c r="F73" s="311" t="str">
        <f>IF('Vehicle Request'!F56="", "", 'Vehicle Request'!G56)</f>
        <v/>
      </c>
      <c r="G73" s="310" t="str">
        <f>IF('Vehicle Request'!W56=0, "", 'Vehicle Request'!W56)</f>
        <v/>
      </c>
      <c r="H73" s="312" t="str">
        <f t="shared" si="5"/>
        <v/>
      </c>
      <c r="I73" s="313" t="str">
        <f>IF('Vehicle Request'!U56=0, "", 'Vehicle Request'!U56)</f>
        <v/>
      </c>
      <c r="J73" s="310" t="str">
        <f>IF('Vehicle Request'!V56=0, "", 'Vehicle Request'!V56)</f>
        <v/>
      </c>
      <c r="K73" s="305"/>
      <c r="L73" s="305"/>
      <c r="M73" s="305"/>
      <c r="N73" s="941"/>
      <c r="O73" s="942"/>
      <c r="P73" s="83" t="str">
        <f t="shared" si="6"/>
        <v/>
      </c>
      <c r="Q73" s="84" t="str">
        <f t="shared" si="7"/>
        <v/>
      </c>
      <c r="R73" s="10"/>
      <c r="S73" s="10"/>
      <c r="T73" s="10"/>
    </row>
    <row r="74" spans="1:20" s="99" customFormat="1" ht="15.95">
      <c r="A74" s="10"/>
      <c r="B74" s="309" t="str">
        <f>IF('Vehicle Request'!H57="", "", 'Vehicle Request'!H57)</f>
        <v/>
      </c>
      <c r="C74" s="310" t="str">
        <f>IF('Vehicle Request'!I57="", "", 'Vehicle Request'!I57)</f>
        <v/>
      </c>
      <c r="D74" s="310" t="str">
        <f>IF('Vehicle Request'!J57="", "", 'Vehicle Request'!J57)</f>
        <v/>
      </c>
      <c r="E74" s="310" t="str">
        <f>IF('Vehicle Request'!K57="", "", CONCATENATE('Vehicle Request'!P57," ", 'Vehicle Request'!L57))</f>
        <v/>
      </c>
      <c r="F74" s="311" t="str">
        <f>IF('Vehicle Request'!F57="", "", 'Vehicle Request'!G57)</f>
        <v/>
      </c>
      <c r="G74" s="310" t="str">
        <f>IF('Vehicle Request'!W57=0, "", 'Vehicle Request'!W57)</f>
        <v/>
      </c>
      <c r="H74" s="312" t="str">
        <f t="shared" si="5"/>
        <v/>
      </c>
      <c r="I74" s="313" t="str">
        <f>IF('Vehicle Request'!U57=0, "", 'Vehicle Request'!U57)</f>
        <v/>
      </c>
      <c r="J74" s="310" t="str">
        <f>IF('Vehicle Request'!V57=0, "", 'Vehicle Request'!V57)</f>
        <v/>
      </c>
      <c r="K74" s="305"/>
      <c r="L74" s="305"/>
      <c r="M74" s="305"/>
      <c r="N74" s="941"/>
      <c r="O74" s="942"/>
      <c r="P74" s="83" t="str">
        <f t="shared" si="6"/>
        <v/>
      </c>
      <c r="Q74" s="84" t="str">
        <f t="shared" si="7"/>
        <v/>
      </c>
      <c r="R74" s="10"/>
      <c r="S74" s="10"/>
      <c r="T74" s="10"/>
    </row>
    <row r="75" spans="1:20" s="99" customFormat="1" ht="15.95">
      <c r="A75" s="10"/>
      <c r="B75" s="309" t="str">
        <f>IF('Vehicle Request'!H58="", "", 'Vehicle Request'!H58)</f>
        <v/>
      </c>
      <c r="C75" s="310" t="str">
        <f>IF('Vehicle Request'!I58="", "", 'Vehicle Request'!I58)</f>
        <v/>
      </c>
      <c r="D75" s="310" t="str">
        <f>IF('Vehicle Request'!J58="", "", 'Vehicle Request'!J58)</f>
        <v/>
      </c>
      <c r="E75" s="310" t="str">
        <f>IF('Vehicle Request'!K58="", "", CONCATENATE('Vehicle Request'!P58," ", 'Vehicle Request'!L58))</f>
        <v/>
      </c>
      <c r="F75" s="311" t="str">
        <f>IF('Vehicle Request'!F58="", "", 'Vehicle Request'!G58)</f>
        <v/>
      </c>
      <c r="G75" s="310" t="str">
        <f>IF('Vehicle Request'!W58=0, "", 'Vehicle Request'!W58)</f>
        <v/>
      </c>
      <c r="H75" s="312" t="str">
        <f t="shared" si="5"/>
        <v/>
      </c>
      <c r="I75" s="313" t="str">
        <f>IF('Vehicle Request'!U58=0, "", 'Vehicle Request'!U58)</f>
        <v/>
      </c>
      <c r="J75" s="310" t="str">
        <f>IF('Vehicle Request'!V58=0, "", 'Vehicle Request'!V58)</f>
        <v/>
      </c>
      <c r="K75" s="305"/>
      <c r="L75" s="305"/>
      <c r="M75" s="305"/>
      <c r="N75" s="941"/>
      <c r="O75" s="942"/>
      <c r="P75" s="83" t="str">
        <f t="shared" si="3"/>
        <v/>
      </c>
      <c r="Q75" s="84" t="str">
        <f t="shared" si="4"/>
        <v/>
      </c>
      <c r="R75" s="10"/>
      <c r="S75" s="10"/>
      <c r="T75" s="10"/>
    </row>
    <row r="76" spans="1:20" s="99" customFormat="1" ht="15.95">
      <c r="A76" s="10"/>
      <c r="B76" s="309" t="str">
        <f>IF('Vehicle Request'!H59="", "", 'Vehicle Request'!H59)</f>
        <v/>
      </c>
      <c r="C76" s="310" t="str">
        <f>IF('Vehicle Request'!I59="", "", 'Vehicle Request'!I59)</f>
        <v/>
      </c>
      <c r="D76" s="310" t="str">
        <f>IF('Vehicle Request'!J59="", "", 'Vehicle Request'!J59)</f>
        <v/>
      </c>
      <c r="E76" s="310" t="str">
        <f>IF('Vehicle Request'!K59="", "", CONCATENATE('Vehicle Request'!P59," ", 'Vehicle Request'!L59))</f>
        <v/>
      </c>
      <c r="F76" s="311" t="str">
        <f>IF('Vehicle Request'!F59="", "", 'Vehicle Request'!G59)</f>
        <v/>
      </c>
      <c r="G76" s="310" t="str">
        <f>IF('Vehicle Request'!W59=0, "", 'Vehicle Request'!W59)</f>
        <v/>
      </c>
      <c r="H76" s="312" t="str">
        <f t="shared" si="5"/>
        <v/>
      </c>
      <c r="I76" s="313" t="str">
        <f>IF('Vehicle Request'!U59=0, "", 'Vehicle Request'!U59)</f>
        <v/>
      </c>
      <c r="J76" s="310" t="str">
        <f>IF('Vehicle Request'!V59=0, "", 'Vehicle Request'!V59)</f>
        <v/>
      </c>
      <c r="K76" s="305"/>
      <c r="L76" s="305"/>
      <c r="M76" s="305"/>
      <c r="N76" s="941"/>
      <c r="O76" s="942"/>
      <c r="P76" s="83" t="str">
        <f t="shared" si="3"/>
        <v/>
      </c>
      <c r="Q76" s="84" t="str">
        <f t="shared" si="4"/>
        <v/>
      </c>
      <c r="R76" s="10"/>
      <c r="S76" s="10"/>
      <c r="T76" s="10"/>
    </row>
    <row r="77" spans="1:20" s="99" customFormat="1" ht="15.95">
      <c r="A77" s="10"/>
      <c r="B77" s="309" t="str">
        <f>IF('Vehicle Request'!H60="", "", 'Vehicle Request'!H60)</f>
        <v/>
      </c>
      <c r="C77" s="310" t="str">
        <f>IF('Vehicle Request'!I60="", "", 'Vehicle Request'!I60)</f>
        <v/>
      </c>
      <c r="D77" s="310" t="str">
        <f>IF('Vehicle Request'!J60="", "", 'Vehicle Request'!J60)</f>
        <v/>
      </c>
      <c r="E77" s="310" t="str">
        <f>IF('Vehicle Request'!K60="", "", CONCATENATE('Vehicle Request'!P60," ", 'Vehicle Request'!L60))</f>
        <v/>
      </c>
      <c r="F77" s="311" t="str">
        <f>IF('Vehicle Request'!F60="", "", 'Vehicle Request'!G60)</f>
        <v/>
      </c>
      <c r="G77" s="310" t="str">
        <f>IF('Vehicle Request'!W60=0, "", 'Vehicle Request'!W60)</f>
        <v/>
      </c>
      <c r="H77" s="312" t="str">
        <f t="shared" si="5"/>
        <v/>
      </c>
      <c r="I77" s="313" t="str">
        <f>IF('Vehicle Request'!U60=0, "", 'Vehicle Request'!U60)</f>
        <v/>
      </c>
      <c r="J77" s="310" t="str">
        <f>IF('Vehicle Request'!V60=0, "", 'Vehicle Request'!V60)</f>
        <v/>
      </c>
      <c r="K77" s="305"/>
      <c r="L77" s="305"/>
      <c r="M77" s="305"/>
      <c r="N77" s="941"/>
      <c r="O77" s="942"/>
      <c r="P77" s="83" t="str">
        <f t="shared" si="3"/>
        <v/>
      </c>
      <c r="Q77" s="84" t="str">
        <f t="shared" si="4"/>
        <v/>
      </c>
      <c r="R77" s="10"/>
      <c r="S77" s="10"/>
      <c r="T77" s="10"/>
    </row>
    <row r="78" spans="1:20" s="99" customFormat="1" ht="15.95">
      <c r="A78" s="10"/>
      <c r="B78" s="309" t="str">
        <f>IF('Vehicle Request'!H61="", "", 'Vehicle Request'!H61)</f>
        <v/>
      </c>
      <c r="C78" s="310" t="str">
        <f>IF('Vehicle Request'!I61="", "", 'Vehicle Request'!I61)</f>
        <v/>
      </c>
      <c r="D78" s="310" t="str">
        <f>IF('Vehicle Request'!J61="", "", 'Vehicle Request'!J61)</f>
        <v/>
      </c>
      <c r="E78" s="310" t="str">
        <f>IF('Vehicle Request'!K61="", "", CONCATENATE('Vehicle Request'!P61," ", 'Vehicle Request'!L61))</f>
        <v/>
      </c>
      <c r="F78" s="311" t="str">
        <f>IF('Vehicle Request'!F61="", "", 'Vehicle Request'!G61)</f>
        <v/>
      </c>
      <c r="G78" s="310" t="str">
        <f>IF('Vehicle Request'!W61=0, "", 'Vehicle Request'!W61)</f>
        <v/>
      </c>
      <c r="H78" s="312" t="str">
        <f t="shared" si="5"/>
        <v/>
      </c>
      <c r="I78" s="313" t="str">
        <f>IF('Vehicle Request'!U61=0, "", 'Vehicle Request'!U61)</f>
        <v/>
      </c>
      <c r="J78" s="310" t="str">
        <f>IF('Vehicle Request'!V61=0, "", 'Vehicle Request'!V61)</f>
        <v/>
      </c>
      <c r="K78" s="305"/>
      <c r="L78" s="305"/>
      <c r="M78" s="305"/>
      <c r="N78" s="941"/>
      <c r="O78" s="942"/>
      <c r="P78" s="83" t="str">
        <f t="shared" si="3"/>
        <v/>
      </c>
      <c r="Q78" s="84" t="str">
        <f t="shared" si="4"/>
        <v/>
      </c>
      <c r="R78" s="10"/>
      <c r="S78" s="10"/>
      <c r="T78" s="10"/>
    </row>
    <row r="79" spans="1:20" s="99" customFormat="1" ht="15.95">
      <c r="A79" s="10"/>
      <c r="B79" s="309" t="str">
        <f>IF('Vehicle Request'!H62="", "", 'Vehicle Request'!H62)</f>
        <v/>
      </c>
      <c r="C79" s="310" t="str">
        <f>IF('Vehicle Request'!I62="", "", 'Vehicle Request'!I62)</f>
        <v/>
      </c>
      <c r="D79" s="310" t="str">
        <f>IF('Vehicle Request'!J62="", "", 'Vehicle Request'!J62)</f>
        <v/>
      </c>
      <c r="E79" s="310" t="str">
        <f>IF('Vehicle Request'!K62="", "", CONCATENATE('Vehicle Request'!P62," ", 'Vehicle Request'!L62))</f>
        <v/>
      </c>
      <c r="F79" s="311" t="str">
        <f>IF('Vehicle Request'!F62="", "", 'Vehicle Request'!G62)</f>
        <v/>
      </c>
      <c r="G79" s="310" t="str">
        <f>IF('Vehicle Request'!W62=0, "", 'Vehicle Request'!W62)</f>
        <v/>
      </c>
      <c r="H79" s="312" t="str">
        <f t="shared" si="5"/>
        <v/>
      </c>
      <c r="I79" s="313" t="str">
        <f>IF('Vehicle Request'!U62=0, "", 'Vehicle Request'!U62)</f>
        <v/>
      </c>
      <c r="J79" s="310" t="str">
        <f>IF('Vehicle Request'!V62=0, "", 'Vehicle Request'!V62)</f>
        <v/>
      </c>
      <c r="K79" s="305"/>
      <c r="L79" s="305"/>
      <c r="M79" s="305"/>
      <c r="N79" s="941"/>
      <c r="O79" s="942"/>
      <c r="P79" s="83" t="str">
        <f t="shared" si="3"/>
        <v/>
      </c>
      <c r="Q79" s="84" t="str">
        <f t="shared" si="4"/>
        <v/>
      </c>
      <c r="R79" s="10"/>
      <c r="S79" s="10"/>
      <c r="T79" s="10"/>
    </row>
    <row r="80" spans="1:20" s="99" customFormat="1" ht="15.95">
      <c r="A80" s="10"/>
      <c r="B80" s="309" t="str">
        <f>IF('Vehicle Request'!H63="", "", 'Vehicle Request'!H63)</f>
        <v/>
      </c>
      <c r="C80" s="310" t="str">
        <f>IF('Vehicle Request'!I63="", "", 'Vehicle Request'!I63)</f>
        <v/>
      </c>
      <c r="D80" s="310" t="str">
        <f>IF('Vehicle Request'!J63="", "", 'Vehicle Request'!J63)</f>
        <v/>
      </c>
      <c r="E80" s="310" t="str">
        <f>IF('Vehicle Request'!K63="", "", CONCATENATE('Vehicle Request'!P63," ", 'Vehicle Request'!L63))</f>
        <v/>
      </c>
      <c r="F80" s="311" t="str">
        <f>IF('Vehicle Request'!F63="", "", 'Vehicle Request'!G63)</f>
        <v/>
      </c>
      <c r="G80" s="310" t="str">
        <f>IF('Vehicle Request'!W63=0, "", 'Vehicle Request'!W63)</f>
        <v/>
      </c>
      <c r="H80" s="312" t="str">
        <f t="shared" si="5"/>
        <v/>
      </c>
      <c r="I80" s="313" t="str">
        <f>IF('Vehicle Request'!U63=0, "", 'Vehicle Request'!U63)</f>
        <v/>
      </c>
      <c r="J80" s="310" t="str">
        <f>IF('Vehicle Request'!V63=0, "", 'Vehicle Request'!V63)</f>
        <v/>
      </c>
      <c r="K80" s="305"/>
      <c r="L80" s="305"/>
      <c r="M80" s="305"/>
      <c r="N80" s="941"/>
      <c r="O80" s="942"/>
      <c r="P80" s="83" t="str">
        <f t="shared" si="3"/>
        <v/>
      </c>
      <c r="Q80" s="84" t="str">
        <f t="shared" si="4"/>
        <v/>
      </c>
      <c r="R80" s="10"/>
      <c r="S80" s="10"/>
      <c r="T80" s="10"/>
    </row>
    <row r="81" spans="1:20" s="99" customFormat="1" ht="15.95">
      <c r="A81" s="10"/>
      <c r="B81" s="309" t="str">
        <f>IF('Vehicle Request'!H64="", "", 'Vehicle Request'!H64)</f>
        <v/>
      </c>
      <c r="C81" s="310" t="str">
        <f>IF('Vehicle Request'!I64="", "", 'Vehicle Request'!I64)</f>
        <v/>
      </c>
      <c r="D81" s="310" t="str">
        <f>IF('Vehicle Request'!J64="", "", 'Vehicle Request'!J64)</f>
        <v/>
      </c>
      <c r="E81" s="310" t="str">
        <f>IF('Vehicle Request'!K64="", "", CONCATENATE('Vehicle Request'!P64," ", 'Vehicle Request'!L64))</f>
        <v/>
      </c>
      <c r="F81" s="311" t="str">
        <f>IF('Vehicle Request'!F64="", "", 'Vehicle Request'!G64)</f>
        <v/>
      </c>
      <c r="G81" s="310" t="str">
        <f>IF('Vehicle Request'!W64=0, "", 'Vehicle Request'!W64)</f>
        <v/>
      </c>
      <c r="H81" s="312" t="str">
        <f t="shared" si="5"/>
        <v/>
      </c>
      <c r="I81" s="313" t="str">
        <f>IF('Vehicle Request'!U64=0, "", 'Vehicle Request'!U64)</f>
        <v/>
      </c>
      <c r="J81" s="310" t="str">
        <f>IF('Vehicle Request'!V64=0, "", 'Vehicle Request'!V64)</f>
        <v/>
      </c>
      <c r="K81" s="305"/>
      <c r="L81" s="305"/>
      <c r="M81" s="305"/>
      <c r="N81" s="941"/>
      <c r="O81" s="942"/>
      <c r="P81" s="83" t="str">
        <f t="shared" si="3"/>
        <v/>
      </c>
      <c r="Q81" s="84" t="str">
        <f t="shared" si="4"/>
        <v/>
      </c>
      <c r="R81" s="10"/>
      <c r="S81" s="10"/>
      <c r="T81" s="10"/>
    </row>
    <row r="82" spans="1:20" s="99" customFormat="1" ht="15.95">
      <c r="A82" s="10"/>
      <c r="B82" s="309" t="str">
        <f>IF('Vehicle Request'!H65="", "", 'Vehicle Request'!H65)</f>
        <v/>
      </c>
      <c r="C82" s="310" t="str">
        <f>IF('Vehicle Request'!I65="", "", 'Vehicle Request'!I65)</f>
        <v/>
      </c>
      <c r="D82" s="310" t="str">
        <f>IF('Vehicle Request'!J65="", "", 'Vehicle Request'!J65)</f>
        <v/>
      </c>
      <c r="E82" s="310" t="str">
        <f>IF('Vehicle Request'!K65="", "", CONCATENATE('Vehicle Request'!P65," ", 'Vehicle Request'!L65))</f>
        <v/>
      </c>
      <c r="F82" s="311" t="str">
        <f>IF('Vehicle Request'!F65="", "", 'Vehicle Request'!G65)</f>
        <v/>
      </c>
      <c r="G82" s="310" t="str">
        <f>IF('Vehicle Request'!W65=0, "", 'Vehicle Request'!W65)</f>
        <v/>
      </c>
      <c r="H82" s="312" t="str">
        <f t="shared" si="5"/>
        <v/>
      </c>
      <c r="I82" s="313" t="str">
        <f>IF('Vehicle Request'!U65=0, "", 'Vehicle Request'!U65)</f>
        <v/>
      </c>
      <c r="J82" s="310" t="str">
        <f>IF('Vehicle Request'!V65=0, "", 'Vehicle Request'!V65)</f>
        <v/>
      </c>
      <c r="K82" s="305"/>
      <c r="L82" s="305"/>
      <c r="M82" s="305"/>
      <c r="N82" s="941"/>
      <c r="O82" s="942"/>
      <c r="P82" s="83" t="str">
        <f t="shared" si="3"/>
        <v/>
      </c>
      <c r="Q82" s="84" t="str">
        <f t="shared" si="4"/>
        <v/>
      </c>
      <c r="R82" s="10"/>
      <c r="S82" s="10"/>
      <c r="T82" s="10"/>
    </row>
    <row r="83" spans="1:20" s="99" customFormat="1" ht="15.95">
      <c r="A83" s="10"/>
      <c r="B83" s="309" t="str">
        <f>IF('Vehicle Request'!H66="", "", 'Vehicle Request'!H66)</f>
        <v/>
      </c>
      <c r="C83" s="310" t="str">
        <f>IF('Vehicle Request'!I66="", "", 'Vehicle Request'!I66)</f>
        <v/>
      </c>
      <c r="D83" s="310" t="str">
        <f>IF('Vehicle Request'!J66="", "", 'Vehicle Request'!J66)</f>
        <v/>
      </c>
      <c r="E83" s="310" t="str">
        <f>IF('Vehicle Request'!K66="", "", CONCATENATE('Vehicle Request'!P66," ", 'Vehicle Request'!L66))</f>
        <v/>
      </c>
      <c r="F83" s="311" t="str">
        <f>IF('Vehicle Request'!F66="", "", 'Vehicle Request'!G66)</f>
        <v/>
      </c>
      <c r="G83" s="310" t="str">
        <f>IF('Vehicle Request'!W66=0, "", 'Vehicle Request'!W66)</f>
        <v/>
      </c>
      <c r="H83" s="312" t="str">
        <f t="shared" si="5"/>
        <v/>
      </c>
      <c r="I83" s="313" t="str">
        <f>IF('Vehicle Request'!U66=0, "", 'Vehicle Request'!U66)</f>
        <v/>
      </c>
      <c r="J83" s="310" t="str">
        <f>IF('Vehicle Request'!V66=0, "", 'Vehicle Request'!V66)</f>
        <v/>
      </c>
      <c r="K83" s="305"/>
      <c r="L83" s="305"/>
      <c r="M83" s="305"/>
      <c r="N83" s="941"/>
      <c r="O83" s="942"/>
      <c r="P83" s="83" t="str">
        <f t="shared" si="3"/>
        <v/>
      </c>
      <c r="Q83" s="84" t="str">
        <f t="shared" si="4"/>
        <v/>
      </c>
      <c r="R83" s="10"/>
      <c r="S83" s="10"/>
      <c r="T83" s="10"/>
    </row>
    <row r="84" spans="1:20" s="99" customFormat="1" ht="15.95">
      <c r="A84" s="10"/>
      <c r="B84" s="309" t="str">
        <f>IF('Vehicle Request'!H67="", "", 'Vehicle Request'!H67)</f>
        <v/>
      </c>
      <c r="C84" s="310" t="str">
        <f>IF('Vehicle Request'!I67="", "", 'Vehicle Request'!I67)</f>
        <v/>
      </c>
      <c r="D84" s="310" t="str">
        <f>IF('Vehicle Request'!J67="", "", 'Vehicle Request'!J67)</f>
        <v/>
      </c>
      <c r="E84" s="310" t="str">
        <f>IF('Vehicle Request'!K67="", "", CONCATENATE('Vehicle Request'!P67," ", 'Vehicle Request'!L67))</f>
        <v/>
      </c>
      <c r="F84" s="311" t="str">
        <f>IF('Vehicle Request'!F67="", "", 'Vehicle Request'!G67)</f>
        <v/>
      </c>
      <c r="G84" s="310" t="str">
        <f>IF('Vehicle Request'!W67=0, "", 'Vehicle Request'!W67)</f>
        <v/>
      </c>
      <c r="H84" s="312" t="str">
        <f t="shared" si="5"/>
        <v/>
      </c>
      <c r="I84" s="313" t="str">
        <f>IF('Vehicle Request'!U67=0, "", 'Vehicle Request'!U67)</f>
        <v/>
      </c>
      <c r="J84" s="310" t="str">
        <f>IF('Vehicle Request'!V67=0, "", 'Vehicle Request'!V67)</f>
        <v/>
      </c>
      <c r="K84" s="305"/>
      <c r="L84" s="305"/>
      <c r="M84" s="305"/>
      <c r="N84" s="941"/>
      <c r="O84" s="942"/>
      <c r="P84" s="83" t="str">
        <f t="shared" si="3"/>
        <v/>
      </c>
      <c r="Q84" s="84" t="str">
        <f t="shared" si="4"/>
        <v/>
      </c>
      <c r="R84" s="10"/>
      <c r="S84" s="10"/>
      <c r="T84" s="10"/>
    </row>
    <row r="85" spans="1:20" s="99" customFormat="1" ht="15.95">
      <c r="A85" s="10"/>
      <c r="B85" s="309" t="str">
        <f>IF('Vehicle Request'!H68="", "", 'Vehicle Request'!H68)</f>
        <v/>
      </c>
      <c r="C85" s="310" t="str">
        <f>IF('Vehicle Request'!I68="", "", 'Vehicle Request'!I68)</f>
        <v/>
      </c>
      <c r="D85" s="310" t="str">
        <f>IF('Vehicle Request'!J68="", "", 'Vehicle Request'!J68)</f>
        <v/>
      </c>
      <c r="E85" s="310" t="str">
        <f>IF('Vehicle Request'!K68="", "", CONCATENATE('Vehicle Request'!P68," ", 'Vehicle Request'!L68))</f>
        <v/>
      </c>
      <c r="F85" s="311" t="str">
        <f>IF('Vehicle Request'!F68="", "", 'Vehicle Request'!G68)</f>
        <v/>
      </c>
      <c r="G85" s="310" t="str">
        <f>IF('Vehicle Request'!W68=0, "", 'Vehicle Request'!W68)</f>
        <v/>
      </c>
      <c r="H85" s="312" t="str">
        <f t="shared" si="5"/>
        <v/>
      </c>
      <c r="I85" s="313" t="str">
        <f>IF('Vehicle Request'!U68=0, "", 'Vehicle Request'!U68)</f>
        <v/>
      </c>
      <c r="J85" s="310" t="str">
        <f>IF('Vehicle Request'!V68=0, "", 'Vehicle Request'!V68)</f>
        <v/>
      </c>
      <c r="K85" s="305"/>
      <c r="L85" s="305"/>
      <c r="M85" s="305"/>
      <c r="N85" s="941"/>
      <c r="O85" s="942"/>
      <c r="P85" s="83" t="str">
        <f t="shared" ref="P85:P88" si="8">IF(F85="","",IF(OR(I85="CNG", M85="Dedicated", K85="Yes"),G85*2,IF(OR(AND(I85="E85",O85="Yes"),AND(M85="Bi-Fuel",O85="Yes"), AND(I85="Diesel", O85="Yes")), G85*1.5,IF(G85="N/A","",(G85)))))</f>
        <v/>
      </c>
      <c r="Q85" s="84" t="str">
        <f t="shared" ref="Q85:Q88" si="9">IF(P85="", "", (1/P85)*F85)</f>
        <v/>
      </c>
      <c r="R85" s="10"/>
      <c r="S85" s="10"/>
      <c r="T85" s="10"/>
    </row>
    <row r="86" spans="1:20" s="99" customFormat="1" ht="15.95">
      <c r="A86" s="10"/>
      <c r="B86" s="309" t="str">
        <f>IF('Vehicle Request'!H69="", "", 'Vehicle Request'!H69)</f>
        <v/>
      </c>
      <c r="C86" s="310" t="str">
        <f>IF('Vehicle Request'!I69="", "", 'Vehicle Request'!I69)</f>
        <v/>
      </c>
      <c r="D86" s="310" t="str">
        <f>IF('Vehicle Request'!J69="", "", 'Vehicle Request'!J69)</f>
        <v/>
      </c>
      <c r="E86" s="310" t="str">
        <f>IF('Vehicle Request'!K69="", "", CONCATENATE('Vehicle Request'!P69," ", 'Vehicle Request'!L69))</f>
        <v/>
      </c>
      <c r="F86" s="311" t="str">
        <f>IF('Vehicle Request'!F69="", "", 'Vehicle Request'!G69)</f>
        <v/>
      </c>
      <c r="G86" s="310" t="str">
        <f>IF('Vehicle Request'!W69=0, "", 'Vehicle Request'!W69)</f>
        <v/>
      </c>
      <c r="H86" s="312" t="str">
        <f t="shared" si="5"/>
        <v/>
      </c>
      <c r="I86" s="313" t="str">
        <f>IF('Vehicle Request'!U69=0, "", 'Vehicle Request'!U69)</f>
        <v/>
      </c>
      <c r="J86" s="310" t="str">
        <f>IF('Vehicle Request'!V69=0, "", 'Vehicle Request'!V69)</f>
        <v/>
      </c>
      <c r="K86" s="305"/>
      <c r="L86" s="305"/>
      <c r="M86" s="305"/>
      <c r="N86" s="941"/>
      <c r="O86" s="942"/>
      <c r="P86" s="83" t="str">
        <f t="shared" si="8"/>
        <v/>
      </c>
      <c r="Q86" s="84" t="str">
        <f t="shared" si="9"/>
        <v/>
      </c>
      <c r="R86" s="10"/>
      <c r="S86" s="10"/>
      <c r="T86" s="10"/>
    </row>
    <row r="87" spans="1:20" s="99" customFormat="1" ht="15.95">
      <c r="A87" s="10"/>
      <c r="B87" s="309" t="str">
        <f>IF('Vehicle Request'!H70="", "", 'Vehicle Request'!H70)</f>
        <v/>
      </c>
      <c r="C87" s="310" t="str">
        <f>IF('Vehicle Request'!I70="", "", 'Vehicle Request'!I70)</f>
        <v/>
      </c>
      <c r="D87" s="310" t="str">
        <f>IF('Vehicle Request'!J70="", "", 'Vehicle Request'!J70)</f>
        <v/>
      </c>
      <c r="E87" s="310" t="str">
        <f>IF('Vehicle Request'!K70="", "", CONCATENATE('Vehicle Request'!P70," ", 'Vehicle Request'!L70))</f>
        <v/>
      </c>
      <c r="F87" s="311">
        <f>IF('Vehicle Request'!F70="", "", 'Vehicle Request'!G70)</f>
        <v>0</v>
      </c>
      <c r="G87" s="310" t="str">
        <f>IF('Vehicle Request'!W70=0, "", 'Vehicle Request'!W70)</f>
        <v/>
      </c>
      <c r="H87" s="312" t="str">
        <f t="shared" si="5"/>
        <v/>
      </c>
      <c r="I87" s="313" t="str">
        <f>IF('Vehicle Request'!U70=0, "", 'Vehicle Request'!U70)</f>
        <v/>
      </c>
      <c r="J87" s="310" t="str">
        <f>IF('Vehicle Request'!V70=0, "", 'Vehicle Request'!V70)</f>
        <v/>
      </c>
      <c r="K87" s="305"/>
      <c r="L87" s="305"/>
      <c r="M87" s="305"/>
      <c r="N87" s="941"/>
      <c r="O87" s="942"/>
      <c r="P87" s="83" t="str">
        <f t="shared" si="8"/>
        <v/>
      </c>
      <c r="Q87" s="84" t="str">
        <f t="shared" si="9"/>
        <v/>
      </c>
      <c r="R87" s="10"/>
      <c r="S87" s="10"/>
      <c r="T87" s="10"/>
    </row>
    <row r="88" spans="1:20" s="99" customFormat="1" ht="17.100000000000001" thickBot="1">
      <c r="A88" s="10"/>
      <c r="B88" s="319" t="str">
        <f>IF('Vehicle Request'!H71="", "", 'Vehicle Request'!H71)</f>
        <v/>
      </c>
      <c r="C88" s="320" t="str">
        <f>IF('Vehicle Request'!I71="", "", 'Vehicle Request'!I71)</f>
        <v/>
      </c>
      <c r="D88" s="320" t="str">
        <f>IF('Vehicle Request'!J71="", "", 'Vehicle Request'!J71)</f>
        <v/>
      </c>
      <c r="E88" s="320" t="str">
        <f>IF('Vehicle Request'!K71="", "", CONCATENATE('Vehicle Request'!P71," ", 'Vehicle Request'!L71))</f>
        <v/>
      </c>
      <c r="F88" s="321">
        <f>IF('Vehicle Request'!F71="", "", 'Vehicle Request'!G71)</f>
        <v>0</v>
      </c>
      <c r="G88" s="320" t="str">
        <f>IF('Vehicle Request'!W71=0, "", 'Vehicle Request'!W71)</f>
        <v/>
      </c>
      <c r="H88" s="322" t="str">
        <f t="shared" si="5"/>
        <v/>
      </c>
      <c r="I88" s="323" t="str">
        <f>IF('Vehicle Request'!U71=0, "", 'Vehicle Request'!U71)</f>
        <v/>
      </c>
      <c r="J88" s="320" t="str">
        <f>IF('Vehicle Request'!V71=0, "", 'Vehicle Request'!V71)</f>
        <v/>
      </c>
      <c r="K88" s="307"/>
      <c r="L88" s="307"/>
      <c r="M88" s="307"/>
      <c r="N88" s="943"/>
      <c r="O88" s="944"/>
      <c r="P88" s="83" t="str">
        <f t="shared" si="8"/>
        <v/>
      </c>
      <c r="Q88" s="84" t="str">
        <f t="shared" si="9"/>
        <v/>
      </c>
      <c r="R88" s="10"/>
      <c r="S88" s="10"/>
      <c r="T88" s="10"/>
    </row>
    <row r="89" spans="1:20">
      <c r="B89" s="486"/>
      <c r="C89" s="486"/>
      <c r="D89" s="486"/>
      <c r="E89" s="486"/>
      <c r="F89" s="929" t="s">
        <v>6464</v>
      </c>
      <c r="G89" s="930"/>
      <c r="H89" s="439">
        <f>SUM(EstimatedFuelCost_CatII)</f>
        <v>0</v>
      </c>
      <c r="I89" s="486"/>
      <c r="J89" s="50"/>
      <c r="K89" s="486"/>
      <c r="L89" s="486"/>
      <c r="M89" s="486"/>
      <c r="N89" s="486"/>
      <c r="O89" s="486"/>
      <c r="P89" s="486"/>
      <c r="Q89" s="3"/>
    </row>
    <row r="90" spans="1:20" s="99" customFormat="1" ht="10.5" customHeight="1">
      <c r="A90" s="10"/>
      <c r="B90" s="486"/>
      <c r="C90" s="486"/>
      <c r="D90" s="486"/>
      <c r="E90" s="486"/>
      <c r="F90" s="486"/>
      <c r="G90" s="76"/>
      <c r="H90" s="50"/>
      <c r="I90" s="486"/>
      <c r="J90" s="50"/>
      <c r="K90" s="486"/>
      <c r="L90" s="486"/>
      <c r="M90" s="486"/>
      <c r="N90" s="486"/>
      <c r="O90" s="486"/>
      <c r="P90" s="486"/>
      <c r="Q90" s="3"/>
      <c r="R90" s="10"/>
      <c r="S90" s="10"/>
      <c r="T90" s="10"/>
    </row>
    <row r="91" spans="1:20" s="99" customFormat="1">
      <c r="A91" s="10"/>
      <c r="B91" s="745" t="s">
        <v>92</v>
      </c>
      <c r="C91" s="486"/>
      <c r="D91" s="486"/>
      <c r="E91" s="486"/>
      <c r="F91" s="486"/>
      <c r="G91" s="76"/>
      <c r="H91" s="50"/>
      <c r="I91" s="486"/>
      <c r="J91" s="50"/>
      <c r="K91" s="486"/>
      <c r="L91" s="486"/>
      <c r="M91" s="486"/>
      <c r="N91" s="486"/>
      <c r="O91" s="486"/>
      <c r="P91" s="486"/>
      <c r="Q91" s="3"/>
      <c r="R91" s="10"/>
      <c r="S91" s="10"/>
      <c r="T91" s="10"/>
    </row>
    <row r="92" spans="1:20">
      <c r="B92" s="22" t="s">
        <v>97</v>
      </c>
      <c r="C92" s="22"/>
      <c r="E92" s="16"/>
      <c r="F92" s="16"/>
      <c r="G92" s="16"/>
      <c r="I92" s="145"/>
      <c r="J92" s="145"/>
      <c r="K92" s="145"/>
      <c r="L92" s="486"/>
      <c r="M92" s="486"/>
      <c r="N92" s="486"/>
      <c r="O92" s="486"/>
      <c r="P92" s="486"/>
      <c r="Q92" s="3"/>
    </row>
    <row r="93" spans="1:20" ht="6" customHeight="1">
      <c r="E93" s="16"/>
      <c r="F93" s="16"/>
      <c r="G93" s="16"/>
      <c r="H93" s="145"/>
      <c r="I93" s="145"/>
      <c r="J93" s="145"/>
      <c r="K93" s="145"/>
      <c r="L93" s="486"/>
      <c r="M93" s="486"/>
      <c r="N93" s="486"/>
      <c r="O93" s="486"/>
      <c r="P93" s="486"/>
      <c r="Q93" s="3"/>
    </row>
    <row r="94" spans="1:20">
      <c r="B94" s="754"/>
      <c r="C94" s="656"/>
      <c r="D94" s="656"/>
      <c r="E94" s="656"/>
      <c r="F94" s="656"/>
      <c r="G94" s="656"/>
      <c r="H94" s="656"/>
      <c r="I94" s="656"/>
      <c r="N94" s="486"/>
    </row>
    <row r="95" spans="1:20" s="129" customFormat="1">
      <c r="A95" s="10"/>
      <c r="B95" s="10"/>
      <c r="C95" s="836" t="s">
        <v>6344</v>
      </c>
      <c r="D95" s="851"/>
      <c r="E95" s="851"/>
      <c r="F95" s="851"/>
      <c r="G95" s="851"/>
      <c r="H95" s="851"/>
      <c r="I95" s="729"/>
      <c r="J95" s="10"/>
      <c r="K95" s="10"/>
      <c r="L95" s="10"/>
      <c r="M95" s="10"/>
      <c r="N95" s="10"/>
      <c r="O95" s="10"/>
      <c r="P95" s="10"/>
      <c r="Q95" s="10"/>
      <c r="R95" s="10"/>
      <c r="S95" s="10"/>
      <c r="T95" s="10"/>
    </row>
    <row r="96" spans="1:20" s="129" customFormat="1">
      <c r="A96" s="10"/>
      <c r="B96" s="10"/>
      <c r="C96" s="851"/>
      <c r="D96" s="851"/>
      <c r="E96" s="851"/>
      <c r="F96" s="851"/>
      <c r="G96" s="851"/>
      <c r="H96" s="851"/>
      <c r="I96" s="729"/>
      <c r="J96" s="10"/>
      <c r="K96" s="10"/>
      <c r="L96" s="10"/>
      <c r="M96" s="10"/>
      <c r="N96" s="10"/>
      <c r="O96" s="10"/>
      <c r="P96" s="10"/>
      <c r="Q96" s="10"/>
      <c r="R96" s="10"/>
      <c r="S96" s="10"/>
      <c r="T96" s="10"/>
    </row>
    <row r="97" spans="1:20" s="129" customFormat="1">
      <c r="A97" s="10"/>
      <c r="B97" s="10"/>
      <c r="C97" s="851"/>
      <c r="D97" s="851"/>
      <c r="E97" s="851"/>
      <c r="F97" s="851"/>
      <c r="G97" s="851"/>
      <c r="H97" s="851"/>
      <c r="I97" s="729"/>
      <c r="J97" s="10"/>
      <c r="K97" s="10"/>
      <c r="L97" s="10"/>
      <c r="M97" s="10"/>
      <c r="N97" s="10"/>
      <c r="O97" s="10"/>
      <c r="P97" s="10"/>
      <c r="Q97" s="10"/>
      <c r="R97" s="10"/>
      <c r="S97" s="10"/>
      <c r="T97" s="10"/>
    </row>
    <row r="98" spans="1:20" s="129" customFormat="1">
      <c r="A98" s="10"/>
      <c r="B98" s="10"/>
      <c r="C98" s="851"/>
      <c r="D98" s="851"/>
      <c r="E98" s="851"/>
      <c r="F98" s="851"/>
      <c r="G98" s="851"/>
      <c r="H98" s="851"/>
      <c r="I98" s="729"/>
      <c r="J98" s="10"/>
      <c r="K98" s="10"/>
      <c r="L98" s="10"/>
      <c r="M98" s="10"/>
      <c r="N98" s="10"/>
      <c r="O98" s="10"/>
      <c r="P98" s="10"/>
      <c r="Q98" s="10"/>
      <c r="R98" s="10"/>
      <c r="S98" s="10"/>
      <c r="T98" s="10"/>
    </row>
    <row r="99" spans="1:20" s="129" customFormat="1">
      <c r="A99" s="10"/>
      <c r="B99" s="10"/>
      <c r="C99" s="851"/>
      <c r="D99" s="851"/>
      <c r="E99" s="851"/>
      <c r="F99" s="851"/>
      <c r="G99" s="851"/>
      <c r="H99" s="851"/>
      <c r="I99" s="729"/>
      <c r="J99" s="10"/>
      <c r="K99" s="10"/>
      <c r="L99" s="10"/>
      <c r="M99" s="10"/>
      <c r="N99" s="10"/>
      <c r="O99" s="10"/>
      <c r="P99" s="10"/>
      <c r="Q99" s="10"/>
      <c r="R99" s="10"/>
      <c r="S99" s="10"/>
      <c r="T99" s="10"/>
    </row>
    <row r="100" spans="1:20" s="129" customFormat="1">
      <c r="A100" s="10"/>
      <c r="B100" s="10"/>
      <c r="C100" s="851"/>
      <c r="D100" s="851"/>
      <c r="E100" s="851"/>
      <c r="F100" s="851"/>
      <c r="G100" s="851"/>
      <c r="H100" s="851"/>
      <c r="I100" s="10"/>
      <c r="J100" s="10"/>
      <c r="K100" s="10"/>
      <c r="L100" s="10"/>
      <c r="M100" s="10"/>
      <c r="N100" s="10"/>
      <c r="O100" s="10"/>
      <c r="P100" s="10"/>
      <c r="Q100" s="10"/>
      <c r="R100" s="10"/>
      <c r="S100" s="10"/>
      <c r="T100" s="10"/>
    </row>
    <row r="101" spans="1:20" s="99" customFormat="1">
      <c r="A101" s="10"/>
      <c r="B101" s="486"/>
      <c r="C101" s="656"/>
      <c r="D101" s="656"/>
      <c r="E101" s="656"/>
      <c r="F101" s="656"/>
      <c r="G101" s="656"/>
      <c r="H101" s="10"/>
      <c r="I101" s="656"/>
      <c r="J101" s="10"/>
      <c r="K101" s="10"/>
      <c r="L101" s="10"/>
      <c r="M101" s="10"/>
      <c r="N101" s="486"/>
      <c r="O101" s="10"/>
      <c r="P101" s="10"/>
      <c r="Q101" s="10"/>
      <c r="R101" s="10"/>
      <c r="S101" s="10"/>
      <c r="T101" s="10"/>
    </row>
    <row r="102" spans="1:20" s="99" customFormat="1">
      <c r="A102" s="10"/>
      <c r="B102" s="486"/>
      <c r="C102" s="656"/>
      <c r="D102" s="656"/>
      <c r="E102" s="656"/>
      <c r="F102" s="656"/>
      <c r="G102" s="656"/>
      <c r="H102" s="10"/>
      <c r="I102" s="656"/>
      <c r="J102" s="10"/>
      <c r="K102" s="10"/>
      <c r="L102" s="10"/>
      <c r="M102" s="10"/>
      <c r="N102" s="486"/>
      <c r="O102" s="10"/>
      <c r="P102" s="10"/>
      <c r="Q102" s="10"/>
      <c r="R102" s="10"/>
      <c r="S102" s="10"/>
      <c r="T102" s="10"/>
    </row>
    <row r="103" spans="1:20" s="99" customFormat="1">
      <c r="A103" s="10"/>
      <c r="B103" s="486"/>
      <c r="C103" s="656"/>
      <c r="D103" s="656"/>
      <c r="E103" s="656"/>
      <c r="F103" s="656"/>
      <c r="G103" s="656"/>
      <c r="H103" s="10"/>
      <c r="I103" s="656"/>
      <c r="J103" s="10"/>
      <c r="K103" s="10"/>
      <c r="L103" s="10"/>
      <c r="M103" s="10"/>
      <c r="N103" s="486"/>
      <c r="O103" s="10"/>
      <c r="P103" s="10"/>
      <c r="Q103" s="10"/>
      <c r="R103" s="10"/>
      <c r="S103" s="10"/>
      <c r="T103" s="10"/>
    </row>
    <row r="104" spans="1:20" s="99" customFormat="1">
      <c r="A104" s="10"/>
      <c r="B104" s="486"/>
      <c r="C104" s="656"/>
      <c r="D104" s="656"/>
      <c r="E104" s="656"/>
      <c r="F104" s="656"/>
      <c r="G104" s="656"/>
      <c r="H104" s="10"/>
      <c r="I104" s="656"/>
      <c r="J104" s="10"/>
      <c r="K104" s="10"/>
      <c r="L104" s="10"/>
      <c r="M104" s="10"/>
      <c r="N104" s="486"/>
      <c r="O104" s="10"/>
      <c r="P104" s="10"/>
      <c r="Q104" s="10"/>
      <c r="R104" s="10"/>
      <c r="S104" s="10"/>
      <c r="T104" s="10"/>
    </row>
    <row r="105" spans="1:20" s="99" customFormat="1">
      <c r="A105" s="10"/>
      <c r="B105" s="486"/>
      <c r="C105" s="656"/>
      <c r="D105" s="656"/>
      <c r="E105" s="656"/>
      <c r="F105" s="656"/>
      <c r="G105" s="656"/>
      <c r="H105" s="10"/>
      <c r="I105" s="656"/>
      <c r="J105" s="10"/>
      <c r="K105" s="10"/>
      <c r="L105" s="10"/>
      <c r="M105" s="10"/>
      <c r="N105" s="486"/>
      <c r="O105" s="10"/>
      <c r="P105" s="10"/>
      <c r="Q105" s="10"/>
      <c r="R105" s="10"/>
      <c r="S105" s="10"/>
      <c r="T105" s="10"/>
    </row>
    <row r="106" spans="1:20" s="99" customFormat="1">
      <c r="A106" s="10"/>
      <c r="B106" s="486"/>
      <c r="C106" s="656"/>
      <c r="D106" s="656"/>
      <c r="E106" s="656"/>
      <c r="F106" s="656"/>
      <c r="G106" s="656"/>
      <c r="H106" s="10"/>
      <c r="I106" s="656"/>
      <c r="J106" s="10"/>
      <c r="K106" s="10"/>
      <c r="L106" s="10"/>
      <c r="M106" s="10"/>
      <c r="N106" s="486"/>
      <c r="O106" s="10"/>
      <c r="P106" s="10"/>
      <c r="Q106" s="10"/>
      <c r="R106" s="10"/>
      <c r="S106" s="10"/>
      <c r="T106" s="10"/>
    </row>
    <row r="107" spans="1:20" s="99" customFormat="1">
      <c r="A107" s="10"/>
      <c r="B107" s="486"/>
      <c r="C107" s="656"/>
      <c r="D107" s="656"/>
      <c r="E107" s="656"/>
      <c r="F107" s="656"/>
      <c r="G107" s="656"/>
      <c r="H107" s="10"/>
      <c r="I107" s="656"/>
      <c r="J107" s="10"/>
      <c r="K107" s="10"/>
      <c r="L107" s="10"/>
      <c r="M107" s="10"/>
      <c r="N107" s="486"/>
      <c r="O107" s="10"/>
      <c r="P107" s="10"/>
      <c r="Q107" s="10"/>
      <c r="R107" s="10"/>
      <c r="S107" s="10"/>
      <c r="T107" s="10"/>
    </row>
    <row r="108" spans="1:20" s="99" customFormat="1">
      <c r="A108" s="10"/>
      <c r="B108" s="486"/>
      <c r="C108" s="656"/>
      <c r="D108" s="656"/>
      <c r="E108" s="656"/>
      <c r="F108" s="656"/>
      <c r="G108" s="656"/>
      <c r="H108" s="10"/>
      <c r="I108" s="656"/>
      <c r="J108" s="10"/>
      <c r="K108" s="10"/>
      <c r="L108" s="10"/>
      <c r="M108" s="10"/>
      <c r="N108" s="486"/>
      <c r="O108" s="10"/>
      <c r="P108" s="10"/>
      <c r="Q108" s="10"/>
      <c r="R108" s="10"/>
      <c r="S108" s="10"/>
      <c r="T108" s="10"/>
    </row>
    <row r="109" spans="1:20" s="99" customFormat="1">
      <c r="A109" s="10"/>
      <c r="B109" s="486"/>
      <c r="C109" s="656"/>
      <c r="D109" s="656"/>
      <c r="E109" s="656"/>
      <c r="F109" s="656"/>
      <c r="G109" s="656"/>
      <c r="H109" s="10"/>
      <c r="I109" s="656"/>
      <c r="J109" s="10"/>
      <c r="K109" s="10"/>
      <c r="L109" s="10"/>
      <c r="M109" s="10"/>
      <c r="N109" s="486"/>
      <c r="O109" s="10"/>
      <c r="P109" s="10"/>
      <c r="Q109" s="10"/>
      <c r="R109" s="10"/>
      <c r="S109" s="10"/>
      <c r="T109" s="10"/>
    </row>
    <row r="110" spans="1:20" s="99" customFormat="1">
      <c r="A110" s="10"/>
      <c r="B110" s="486"/>
      <c r="C110" s="656"/>
      <c r="D110" s="656"/>
      <c r="E110" s="656"/>
      <c r="F110" s="656"/>
      <c r="G110" s="656"/>
      <c r="H110" s="10"/>
      <c r="I110" s="656"/>
      <c r="J110" s="10"/>
      <c r="K110" s="10"/>
      <c r="L110" s="10"/>
      <c r="M110" s="10"/>
      <c r="N110" s="486"/>
      <c r="O110" s="10"/>
      <c r="P110" s="10"/>
      <c r="Q110" s="10"/>
      <c r="R110" s="10"/>
      <c r="S110" s="10"/>
      <c r="T110" s="10"/>
    </row>
    <row r="111" spans="1:20" s="99" customFormat="1">
      <c r="A111" s="10"/>
      <c r="B111" s="486"/>
      <c r="C111" s="656"/>
      <c r="D111" s="656"/>
      <c r="E111" s="656"/>
      <c r="F111" s="656"/>
      <c r="G111" s="656"/>
      <c r="H111" s="10"/>
      <c r="I111" s="656"/>
      <c r="J111" s="10"/>
      <c r="K111" s="10"/>
      <c r="L111" s="10"/>
      <c r="M111" s="10"/>
      <c r="N111" s="486"/>
      <c r="O111" s="10"/>
      <c r="P111" s="10"/>
      <c r="Q111" s="10"/>
      <c r="R111" s="10"/>
      <c r="S111" s="10"/>
      <c r="T111" s="10"/>
    </row>
    <row r="112" spans="1:20" s="99" customFormat="1">
      <c r="A112" s="10"/>
      <c r="B112" s="486"/>
      <c r="C112" s="656"/>
      <c r="D112" s="656"/>
      <c r="E112" s="656"/>
      <c r="F112" s="656"/>
      <c r="G112" s="656"/>
      <c r="H112" s="10"/>
      <c r="I112" s="656"/>
      <c r="J112" s="10"/>
      <c r="K112" s="10"/>
      <c r="L112" s="10"/>
      <c r="M112" s="10"/>
      <c r="N112" s="486"/>
      <c r="O112" s="10"/>
      <c r="P112" s="10"/>
      <c r="Q112" s="10"/>
      <c r="R112" s="10"/>
      <c r="S112" s="10"/>
      <c r="T112" s="10"/>
    </row>
    <row r="113" spans="1:20" s="99" customFormat="1">
      <c r="A113" s="10"/>
      <c r="B113" s="486"/>
      <c r="C113" s="656"/>
      <c r="D113" s="656"/>
      <c r="E113" s="656"/>
      <c r="F113" s="656"/>
      <c r="G113" s="656"/>
      <c r="H113" s="10"/>
      <c r="I113" s="656"/>
      <c r="J113" s="10"/>
      <c r="K113" s="10"/>
      <c r="L113" s="10"/>
      <c r="M113" s="10"/>
      <c r="N113" s="486"/>
      <c r="O113" s="10"/>
      <c r="P113" s="10"/>
      <c r="Q113" s="10"/>
      <c r="R113" s="10"/>
      <c r="S113" s="10"/>
      <c r="T113" s="10"/>
    </row>
    <row r="114" spans="1:20" s="99" customFormat="1">
      <c r="A114" s="10"/>
      <c r="B114" s="486"/>
      <c r="C114" s="656"/>
      <c r="D114" s="656"/>
      <c r="E114" s="656"/>
      <c r="F114" s="656"/>
      <c r="G114" s="656"/>
      <c r="H114" s="10"/>
      <c r="I114" s="656"/>
      <c r="J114" s="10"/>
      <c r="K114" s="10"/>
      <c r="L114" s="10"/>
      <c r="M114" s="10"/>
      <c r="N114" s="486"/>
      <c r="O114" s="10"/>
      <c r="P114" s="10"/>
      <c r="Q114" s="10"/>
      <c r="R114" s="10"/>
      <c r="S114" s="10"/>
      <c r="T114" s="10"/>
    </row>
    <row r="115" spans="1:20" s="99" customFormat="1">
      <c r="A115" s="10"/>
      <c r="B115" s="486"/>
      <c r="C115" s="656"/>
      <c r="D115" s="656"/>
      <c r="E115" s="656"/>
      <c r="F115" s="656"/>
      <c r="G115" s="656"/>
      <c r="H115" s="10"/>
      <c r="I115" s="656"/>
      <c r="J115" s="10"/>
      <c r="K115" s="10"/>
      <c r="L115" s="10"/>
      <c r="M115" s="10"/>
      <c r="N115" s="486"/>
      <c r="O115" s="10"/>
      <c r="P115" s="10"/>
      <c r="Q115" s="10"/>
      <c r="R115" s="10"/>
      <c r="S115" s="10"/>
      <c r="T115" s="10"/>
    </row>
    <row r="116" spans="1:20" s="99" customFormat="1">
      <c r="A116" s="10"/>
      <c r="B116" s="486"/>
      <c r="C116" s="656"/>
      <c r="D116" s="656"/>
      <c r="E116" s="656"/>
      <c r="F116" s="656"/>
      <c r="G116" s="656"/>
      <c r="H116" s="10"/>
      <c r="I116" s="656"/>
      <c r="J116" s="10"/>
      <c r="K116" s="10"/>
      <c r="L116" s="10"/>
      <c r="M116" s="10"/>
      <c r="N116" s="486"/>
      <c r="O116" s="10"/>
      <c r="P116" s="10"/>
      <c r="Q116" s="10"/>
      <c r="R116" s="10"/>
      <c r="S116" s="10"/>
      <c r="T116" s="10"/>
    </row>
    <row r="117" spans="1:20" s="99" customFormat="1">
      <c r="A117" s="10"/>
      <c r="B117" s="486"/>
      <c r="C117" s="656"/>
      <c r="D117" s="656"/>
      <c r="E117" s="656"/>
      <c r="F117" s="656"/>
      <c r="G117" s="656"/>
      <c r="H117" s="10"/>
      <c r="I117" s="656"/>
      <c r="J117" s="10"/>
      <c r="K117" s="10"/>
      <c r="L117" s="10"/>
      <c r="M117" s="10"/>
      <c r="N117" s="486"/>
      <c r="O117" s="10"/>
      <c r="P117" s="10"/>
      <c r="Q117" s="10"/>
      <c r="R117" s="10"/>
      <c r="S117" s="10"/>
      <c r="T117" s="10"/>
    </row>
    <row r="118" spans="1:20" s="99" customFormat="1">
      <c r="A118" s="10"/>
      <c r="B118" s="486"/>
      <c r="C118" s="656"/>
      <c r="D118" s="656"/>
      <c r="E118" s="656"/>
      <c r="F118" s="656"/>
      <c r="G118" s="656"/>
      <c r="H118" s="10"/>
      <c r="I118" s="656"/>
      <c r="J118" s="10"/>
      <c r="K118" s="10"/>
      <c r="L118" s="10"/>
      <c r="M118" s="10"/>
      <c r="N118" s="486"/>
      <c r="O118" s="10"/>
      <c r="P118" s="10"/>
      <c r="Q118" s="10"/>
      <c r="R118" s="10"/>
      <c r="S118" s="10"/>
      <c r="T118" s="10"/>
    </row>
    <row r="119" spans="1:20" s="99" customFormat="1">
      <c r="A119" s="10"/>
      <c r="B119" s="486"/>
      <c r="C119" s="656"/>
      <c r="D119" s="656"/>
      <c r="E119" s="656"/>
      <c r="F119" s="656"/>
      <c r="G119" s="656"/>
      <c r="H119" s="10"/>
      <c r="I119" s="656"/>
      <c r="J119" s="10"/>
      <c r="K119" s="10"/>
      <c r="L119" s="10"/>
      <c r="M119" s="10"/>
      <c r="N119" s="486"/>
      <c r="O119" s="10"/>
      <c r="P119" s="10"/>
      <c r="Q119" s="10"/>
      <c r="R119" s="10"/>
      <c r="S119" s="10"/>
      <c r="T119" s="10"/>
    </row>
    <row r="120" spans="1:20" s="99" customFormat="1">
      <c r="A120" s="10"/>
      <c r="B120" s="486"/>
      <c r="C120" s="656"/>
      <c r="D120" s="656"/>
      <c r="E120" s="656"/>
      <c r="F120" s="656"/>
      <c r="G120" s="656"/>
      <c r="H120" s="10"/>
      <c r="I120" s="656"/>
      <c r="J120" s="10"/>
      <c r="K120" s="10"/>
      <c r="L120" s="10"/>
      <c r="M120" s="10"/>
      <c r="N120" s="486"/>
      <c r="O120" s="10"/>
      <c r="P120" s="10"/>
      <c r="Q120" s="10"/>
      <c r="R120" s="10"/>
      <c r="S120" s="10"/>
      <c r="T120" s="10"/>
    </row>
    <row r="121" spans="1:20" s="99" customFormat="1">
      <c r="A121" s="10"/>
      <c r="B121" s="486"/>
      <c r="C121" s="656"/>
      <c r="D121" s="656"/>
      <c r="E121" s="656"/>
      <c r="F121" s="656"/>
      <c r="G121" s="656"/>
      <c r="H121" s="10"/>
      <c r="I121" s="656"/>
      <c r="J121" s="10"/>
      <c r="K121" s="10"/>
      <c r="L121" s="10"/>
      <c r="M121" s="10"/>
      <c r="N121" s="486"/>
      <c r="O121" s="10"/>
      <c r="P121" s="10"/>
      <c r="Q121" s="10"/>
      <c r="R121" s="10"/>
      <c r="S121" s="10"/>
      <c r="T121" s="10"/>
    </row>
    <row r="122" spans="1:20" s="99" customFormat="1">
      <c r="A122" s="10"/>
      <c r="B122" s="486"/>
      <c r="C122" s="656"/>
      <c r="D122" s="656"/>
      <c r="E122" s="656"/>
      <c r="F122" s="656"/>
      <c r="G122" s="656"/>
      <c r="H122" s="10"/>
      <c r="I122" s="656"/>
      <c r="J122" s="10"/>
      <c r="K122" s="10"/>
      <c r="L122" s="10"/>
      <c r="M122" s="10"/>
      <c r="N122" s="486"/>
      <c r="O122" s="10"/>
      <c r="P122" s="10"/>
      <c r="Q122" s="10"/>
      <c r="R122" s="10"/>
      <c r="S122" s="10"/>
      <c r="T122" s="10"/>
    </row>
    <row r="123" spans="1:20" s="99" customFormat="1">
      <c r="A123" s="10"/>
      <c r="B123" s="486"/>
      <c r="C123" s="656"/>
      <c r="D123" s="656"/>
      <c r="E123" s="656"/>
      <c r="F123" s="656"/>
      <c r="G123" s="656"/>
      <c r="H123" s="10"/>
      <c r="I123" s="656"/>
      <c r="J123" s="10"/>
      <c r="K123" s="10"/>
      <c r="L123" s="10"/>
      <c r="M123" s="10"/>
      <c r="N123" s="486"/>
      <c r="O123" s="10"/>
      <c r="P123" s="10"/>
      <c r="Q123" s="10"/>
      <c r="R123" s="10"/>
      <c r="S123" s="10"/>
      <c r="T123" s="10"/>
    </row>
    <row r="124" spans="1:20" s="99" customFormat="1">
      <c r="A124" s="10"/>
      <c r="B124" s="486"/>
      <c r="C124" s="656"/>
      <c r="D124" s="656"/>
      <c r="E124" s="656"/>
      <c r="F124" s="656"/>
      <c r="G124" s="656"/>
      <c r="H124" s="10"/>
      <c r="I124" s="656"/>
      <c r="J124" s="10"/>
      <c r="K124" s="10"/>
      <c r="L124" s="10"/>
      <c r="M124" s="10"/>
      <c r="N124" s="486"/>
      <c r="O124" s="10"/>
      <c r="P124" s="10"/>
      <c r="Q124" s="10"/>
      <c r="R124" s="10"/>
      <c r="S124" s="10"/>
      <c r="T124" s="10"/>
    </row>
    <row r="125" spans="1:20" s="99" customFormat="1">
      <c r="A125" s="10"/>
      <c r="B125" s="486"/>
      <c r="C125" s="656"/>
      <c r="D125" s="656"/>
      <c r="E125" s="656"/>
      <c r="F125" s="656"/>
      <c r="G125" s="656"/>
      <c r="H125" s="10"/>
      <c r="I125" s="656"/>
      <c r="J125" s="10"/>
      <c r="K125" s="10"/>
      <c r="L125" s="10"/>
      <c r="M125" s="10"/>
      <c r="N125" s="486"/>
      <c r="O125" s="10"/>
      <c r="P125" s="10"/>
      <c r="Q125" s="10"/>
      <c r="R125" s="10"/>
      <c r="S125" s="10"/>
      <c r="T125" s="10"/>
    </row>
    <row r="126" spans="1:20">
      <c r="B126" s="486"/>
      <c r="C126" s="486"/>
      <c r="D126" s="486"/>
      <c r="E126" s="486"/>
      <c r="F126" s="486"/>
      <c r="G126" s="76"/>
      <c r="H126" s="50"/>
      <c r="I126" s="486"/>
      <c r="J126" s="50"/>
      <c r="K126" s="486"/>
      <c r="L126" s="486"/>
      <c r="M126" s="486"/>
      <c r="N126" s="486"/>
      <c r="O126" s="486"/>
      <c r="P126" s="486"/>
      <c r="Q126" s="3"/>
    </row>
    <row r="127" spans="1:20">
      <c r="B127" s="486"/>
      <c r="C127" s="486"/>
      <c r="D127" s="486"/>
      <c r="E127" s="486"/>
      <c r="F127" s="486"/>
      <c r="G127" s="76"/>
      <c r="H127" s="50"/>
      <c r="I127" s="486"/>
      <c r="J127" s="50"/>
      <c r="K127" s="486"/>
      <c r="L127" s="486"/>
      <c r="M127" s="486"/>
      <c r="N127" s="486"/>
      <c r="O127" s="486"/>
      <c r="P127" s="486"/>
      <c r="Q127" s="3"/>
    </row>
    <row r="128" spans="1:20">
      <c r="B128" s="486"/>
      <c r="C128" s="486"/>
      <c r="D128" s="486"/>
      <c r="E128" s="486"/>
      <c r="F128" s="486"/>
      <c r="G128" s="76"/>
      <c r="H128" s="50"/>
      <c r="I128" s="486"/>
      <c r="J128" s="50"/>
      <c r="K128" s="486"/>
      <c r="L128" s="486"/>
      <c r="M128" s="486"/>
      <c r="N128" s="486"/>
      <c r="O128" s="486"/>
      <c r="P128" s="486"/>
      <c r="Q128" s="3"/>
    </row>
    <row r="129" spans="2:17">
      <c r="B129" s="486"/>
      <c r="C129" s="486"/>
      <c r="D129" s="486"/>
      <c r="E129" s="486"/>
      <c r="F129" s="486"/>
      <c r="G129" s="76"/>
      <c r="H129" s="50"/>
      <c r="I129" s="486"/>
      <c r="J129" s="50"/>
      <c r="K129" s="486"/>
      <c r="L129" s="486"/>
      <c r="M129" s="486"/>
      <c r="N129" s="486"/>
      <c r="O129" s="486"/>
      <c r="P129" s="486"/>
      <c r="Q129" s="3"/>
    </row>
    <row r="130" spans="2:17">
      <c r="B130" s="47"/>
      <c r="C130" s="47"/>
      <c r="D130" s="47"/>
      <c r="E130" s="47"/>
      <c r="F130" s="47"/>
      <c r="G130" s="45"/>
      <c r="H130" s="50"/>
      <c r="I130" s="47"/>
      <c r="J130" s="50"/>
      <c r="K130" s="486"/>
      <c r="L130" s="486"/>
      <c r="M130" s="486"/>
      <c r="N130" s="486"/>
      <c r="O130" s="486"/>
      <c r="P130" s="486"/>
      <c r="Q130" s="3"/>
    </row>
    <row r="131" spans="2:17">
      <c r="B131" s="47"/>
      <c r="C131" s="47"/>
      <c r="D131" s="47"/>
      <c r="E131" s="47"/>
      <c r="F131" s="47"/>
      <c r="G131" s="45"/>
      <c r="H131" s="50"/>
      <c r="I131" s="47"/>
      <c r="J131" s="50"/>
      <c r="K131" s="486"/>
      <c r="L131" s="486"/>
      <c r="M131" s="486"/>
      <c r="N131" s="486"/>
      <c r="O131" s="486"/>
      <c r="P131" s="486"/>
      <c r="Q131" s="3"/>
    </row>
    <row r="132" spans="2:17">
      <c r="B132" s="47"/>
      <c r="C132" s="47"/>
      <c r="D132" s="47"/>
      <c r="E132" s="47"/>
      <c r="F132" s="47"/>
      <c r="G132" s="45"/>
      <c r="H132" s="50"/>
      <c r="I132" s="47"/>
      <c r="J132" s="50"/>
      <c r="K132" s="486"/>
      <c r="L132" s="486"/>
      <c r="M132" s="486"/>
      <c r="N132" s="486"/>
      <c r="O132" s="486"/>
      <c r="P132" s="486"/>
      <c r="Q132" s="3"/>
    </row>
    <row r="133" spans="2:17">
      <c r="B133" s="47"/>
      <c r="C133" s="47"/>
      <c r="D133" s="47"/>
      <c r="E133" s="47"/>
      <c r="F133" s="47"/>
      <c r="G133" s="45"/>
      <c r="H133" s="50"/>
      <c r="I133" s="47"/>
      <c r="J133" s="50"/>
      <c r="K133" s="486"/>
      <c r="L133" s="486"/>
      <c r="M133" s="486"/>
      <c r="N133" s="486"/>
      <c r="O133" s="486"/>
      <c r="P133" s="486"/>
      <c r="Q133" s="3"/>
    </row>
    <row r="134" spans="2:17">
      <c r="B134" s="47"/>
      <c r="C134" s="47"/>
      <c r="D134" s="47"/>
      <c r="E134" s="47"/>
      <c r="F134" s="47"/>
      <c r="G134" s="45"/>
      <c r="H134" s="50"/>
      <c r="I134" s="47"/>
      <c r="J134" s="50"/>
      <c r="K134" s="486"/>
      <c r="L134" s="486"/>
      <c r="M134" s="486"/>
      <c r="N134" s="486"/>
      <c r="O134" s="486"/>
      <c r="P134" s="486"/>
      <c r="Q134" s="3"/>
    </row>
    <row r="135" spans="2:17">
      <c r="B135" s="47"/>
      <c r="C135" s="47"/>
      <c r="D135" s="47"/>
      <c r="E135" s="47"/>
      <c r="F135" s="47"/>
      <c r="G135" s="45"/>
      <c r="H135" s="50"/>
      <c r="I135" s="47"/>
      <c r="J135" s="50"/>
      <c r="K135" s="486"/>
      <c r="L135" s="486"/>
      <c r="M135" s="486"/>
      <c r="N135" s="486"/>
      <c r="O135" s="486"/>
      <c r="P135" s="486"/>
      <c r="Q135" s="3"/>
    </row>
    <row r="136" spans="2:17">
      <c r="B136" s="47"/>
      <c r="C136" s="47"/>
      <c r="D136" s="47"/>
      <c r="E136" s="47"/>
      <c r="F136" s="47"/>
      <c r="G136" s="45"/>
      <c r="H136" s="50"/>
      <c r="I136" s="47"/>
      <c r="J136" s="50"/>
      <c r="K136" s="486"/>
      <c r="L136" s="486"/>
      <c r="M136" s="486"/>
      <c r="N136" s="486"/>
      <c r="O136" s="486"/>
      <c r="P136" s="486"/>
      <c r="Q136" s="3"/>
    </row>
    <row r="137" spans="2:17">
      <c r="B137" s="47"/>
      <c r="C137" s="47"/>
      <c r="D137" s="47"/>
      <c r="E137" s="47"/>
      <c r="F137" s="47"/>
      <c r="G137" s="45"/>
      <c r="H137" s="50"/>
      <c r="I137" s="47"/>
      <c r="J137" s="50"/>
      <c r="K137" s="486"/>
      <c r="L137" s="486"/>
      <c r="M137" s="486"/>
      <c r="N137" s="486"/>
      <c r="O137" s="486"/>
      <c r="P137" s="486"/>
      <c r="Q137" s="3"/>
    </row>
    <row r="138" spans="2:17">
      <c r="B138" s="47"/>
      <c r="C138" s="47"/>
      <c r="D138" s="47"/>
      <c r="E138" s="47"/>
      <c r="F138" s="47"/>
      <c r="G138" s="45"/>
      <c r="H138" s="50"/>
      <c r="I138" s="47"/>
      <c r="J138" s="50"/>
      <c r="K138" s="486"/>
      <c r="L138" s="486"/>
      <c r="M138" s="486"/>
      <c r="N138" s="486"/>
      <c r="O138" s="486"/>
      <c r="P138" s="486"/>
      <c r="Q138" s="3"/>
    </row>
    <row r="139" spans="2:17">
      <c r="B139" s="47"/>
      <c r="C139" s="47"/>
      <c r="D139" s="47"/>
      <c r="E139" s="47"/>
      <c r="F139" s="47"/>
      <c r="G139" s="45"/>
      <c r="H139" s="50"/>
      <c r="I139" s="47"/>
      <c r="J139" s="50"/>
      <c r="K139" s="486"/>
      <c r="L139" s="486"/>
      <c r="M139" s="486"/>
      <c r="N139" s="486"/>
      <c r="O139" s="486"/>
      <c r="P139" s="486"/>
      <c r="Q139" s="3"/>
    </row>
    <row r="140" spans="2:17">
      <c r="B140" s="47"/>
      <c r="C140" s="47"/>
      <c r="D140" s="47"/>
      <c r="E140" s="47"/>
      <c r="F140" s="47"/>
      <c r="G140" s="45"/>
      <c r="H140" s="50"/>
      <c r="I140" s="47"/>
      <c r="J140" s="50"/>
      <c r="K140" s="486"/>
      <c r="L140" s="486"/>
      <c r="M140" s="486"/>
      <c r="N140" s="486"/>
      <c r="O140" s="486"/>
      <c r="P140" s="486"/>
      <c r="Q140" s="3"/>
    </row>
    <row r="141" spans="2:17">
      <c r="B141" s="47"/>
      <c r="C141" s="47"/>
      <c r="D141" s="47"/>
      <c r="E141" s="47"/>
      <c r="F141" s="47"/>
      <c r="G141" s="45"/>
      <c r="H141" s="50"/>
      <c r="I141" s="47"/>
      <c r="J141" s="50"/>
      <c r="K141" s="486"/>
      <c r="L141" s="486"/>
      <c r="M141" s="486"/>
      <c r="N141" s="486"/>
      <c r="O141" s="486"/>
      <c r="P141" s="486"/>
      <c r="Q141" s="3"/>
    </row>
    <row r="142" spans="2:17">
      <c r="B142" s="47"/>
      <c r="C142" s="47"/>
      <c r="D142" s="47"/>
      <c r="E142" s="47"/>
      <c r="F142" s="47"/>
      <c r="G142" s="45"/>
      <c r="H142" s="50"/>
      <c r="I142" s="47"/>
      <c r="J142" s="50"/>
      <c r="K142" s="486"/>
      <c r="L142" s="486"/>
      <c r="M142" s="486"/>
      <c r="N142" s="486"/>
      <c r="O142" s="486"/>
      <c r="P142" s="486"/>
      <c r="Q142" s="3"/>
    </row>
    <row r="143" spans="2:17">
      <c r="G143" s="145"/>
      <c r="H143" s="145"/>
      <c r="I143" s="145"/>
      <c r="J143" s="145"/>
      <c r="K143" s="145"/>
    </row>
    <row r="144" spans="2:17">
      <c r="I144" s="99"/>
      <c r="J144" s="99"/>
    </row>
    <row r="146" spans="4:16">
      <c r="D146" s="99"/>
      <c r="E146" s="99"/>
      <c r="F146" s="99"/>
      <c r="G146" s="99"/>
      <c r="H146" s="99"/>
      <c r="I146" s="99"/>
      <c r="J146" s="99"/>
      <c r="K146" s="99"/>
      <c r="L146" s="99"/>
      <c r="M146" s="99"/>
      <c r="N146" s="99"/>
      <c r="O146" s="99"/>
      <c r="P146" s="99"/>
    </row>
  </sheetData>
  <sheetProtection algorithmName="SHA-512" hashValue="nStQB6nar0w8xKBXbDy4tNHuPQMYeXqjLHin0Cm7g65h6JawUAyDfd071TrnOWs4bNz/77J37LFYBd+vkzRd9w==" saltValue="LeKmEjdAaMYOclNP214i8A==" spinCount="100000" sheet="1" formatColumns="0" formatRows="0"/>
  <mergeCells count="94">
    <mergeCell ref="G24:H24"/>
    <mergeCell ref="J12:L12"/>
    <mergeCell ref="B10:C10"/>
    <mergeCell ref="D10:E10"/>
    <mergeCell ref="D24:E24"/>
    <mergeCell ref="D18:E21"/>
    <mergeCell ref="G10:G11"/>
    <mergeCell ref="G14:G15"/>
    <mergeCell ref="J19:K19"/>
    <mergeCell ref="J10:M10"/>
    <mergeCell ref="J18:K18"/>
    <mergeCell ref="N65:O65"/>
    <mergeCell ref="D29:E30"/>
    <mergeCell ref="J29:L30"/>
    <mergeCell ref="J11:M11"/>
    <mergeCell ref="J16:K16"/>
    <mergeCell ref="N24:O26"/>
    <mergeCell ref="N27:O28"/>
    <mergeCell ref="N29:O30"/>
    <mergeCell ref="H10:H11"/>
    <mergeCell ref="H14:H15"/>
    <mergeCell ref="B11:E11"/>
    <mergeCell ref="B25:C29"/>
    <mergeCell ref="J17:K17"/>
    <mergeCell ref="J13:L14"/>
    <mergeCell ref="M13:M14"/>
    <mergeCell ref="J27:K27"/>
    <mergeCell ref="N81:O81"/>
    <mergeCell ref="N82:O82"/>
    <mergeCell ref="N83:O83"/>
    <mergeCell ref="N71:O71"/>
    <mergeCell ref="N72:O72"/>
    <mergeCell ref="N73:O73"/>
    <mergeCell ref="N74:O74"/>
    <mergeCell ref="C95:H100"/>
    <mergeCell ref="J28:K28"/>
    <mergeCell ref="L20:M20"/>
    <mergeCell ref="J21:K22"/>
    <mergeCell ref="L21:M22"/>
    <mergeCell ref="J20:K20"/>
    <mergeCell ref="J24:L24"/>
    <mergeCell ref="J25:K25"/>
    <mergeCell ref="J26:K26"/>
    <mergeCell ref="F89:G89"/>
    <mergeCell ref="G26:G28"/>
    <mergeCell ref="H26:H28"/>
    <mergeCell ref="B33:K33"/>
    <mergeCell ref="B55:B56"/>
    <mergeCell ref="C55:C56"/>
    <mergeCell ref="H55:H56"/>
    <mergeCell ref="N85:O85"/>
    <mergeCell ref="N86:O86"/>
    <mergeCell ref="N87:O87"/>
    <mergeCell ref="N88:O88"/>
    <mergeCell ref="N66:O66"/>
    <mergeCell ref="N67:O67"/>
    <mergeCell ref="N68:O68"/>
    <mergeCell ref="N69:O69"/>
    <mergeCell ref="N84:O84"/>
    <mergeCell ref="N70:O70"/>
    <mergeCell ref="N75:O75"/>
    <mergeCell ref="N76:O76"/>
    <mergeCell ref="N77:O77"/>
    <mergeCell ref="N78:O78"/>
    <mergeCell ref="N79:O79"/>
    <mergeCell ref="N80:O80"/>
    <mergeCell ref="N63:O63"/>
    <mergeCell ref="N64:O64"/>
    <mergeCell ref="N58:O58"/>
    <mergeCell ref="N59:O59"/>
    <mergeCell ref="N60:O60"/>
    <mergeCell ref="N61:O61"/>
    <mergeCell ref="N62:O62"/>
    <mergeCell ref="B1:J1"/>
    <mergeCell ref="B2:J2"/>
    <mergeCell ref="L2:N2"/>
    <mergeCell ref="D55:D56"/>
    <mergeCell ref="E55:E56"/>
    <mergeCell ref="F55:F56"/>
    <mergeCell ref="G55:G56"/>
    <mergeCell ref="I55:I56"/>
    <mergeCell ref="J55:J56"/>
    <mergeCell ref="F52:G52"/>
    <mergeCell ref="B54:O54"/>
    <mergeCell ref="J8:M8"/>
    <mergeCell ref="B6:M6"/>
    <mergeCell ref="B8:H8"/>
    <mergeCell ref="B22:C22"/>
    <mergeCell ref="B18:C21"/>
    <mergeCell ref="N31:O33"/>
    <mergeCell ref="N57:O57"/>
    <mergeCell ref="K55:O55"/>
    <mergeCell ref="N56:O56"/>
    <mergeCell ref="N34:O51"/>
  </mergeCells>
  <conditionalFormatting sqref="K35:K51">
    <cfRule type="containsBlanks" dxfId="101" priority="95">
      <formula>LEN(TRIM(K35))=0</formula>
    </cfRule>
  </conditionalFormatting>
  <conditionalFormatting sqref="K57:L57 N57">
    <cfRule type="containsBlanks" dxfId="100" priority="93">
      <formula>LEN(TRIM(K57))=0</formula>
    </cfRule>
  </conditionalFormatting>
  <conditionalFormatting sqref="E16 C16 N21 L21">
    <cfRule type="cellIs" dxfId="99" priority="82" operator="equal">
      <formula>"Pass"</formula>
    </cfRule>
    <cfRule type="cellIs" dxfId="98" priority="83" operator="equal">
      <formula>"Fail"</formula>
    </cfRule>
  </conditionalFormatting>
  <conditionalFormatting sqref="D22:D23">
    <cfRule type="cellIs" dxfId="97" priority="78" operator="lessThan">
      <formula>0</formula>
    </cfRule>
    <cfRule type="cellIs" dxfId="96" priority="79" operator="greaterThan">
      <formula>0</formula>
    </cfRule>
    <cfRule type="cellIs" dxfId="95" priority="80" operator="lessThan">
      <formula>0</formula>
    </cfRule>
    <cfRule type="cellIs" dxfId="94" priority="81" operator="greaterThan">
      <formula>0</formula>
    </cfRule>
  </conditionalFormatting>
  <conditionalFormatting sqref="G29 E25">
    <cfRule type="containsText" priority="69" stopIfTrue="1" operator="containsText" text="N/A">
      <formula>NOT(ISERROR(SEARCH("N/A",E25)))</formula>
    </cfRule>
    <cfRule type="cellIs" dxfId="93" priority="75" stopIfTrue="1" operator="greaterThan">
      <formula>9</formula>
    </cfRule>
    <cfRule type="cellIs" dxfId="92" priority="76" stopIfTrue="1" operator="greaterThan">
      <formula>6</formula>
    </cfRule>
    <cfRule type="cellIs" dxfId="91" priority="77" stopIfTrue="1" operator="greaterThan">
      <formula>3</formula>
    </cfRule>
    <cfRule type="cellIs" dxfId="90" priority="84" stopIfTrue="1" operator="greaterThan">
      <formula>0</formula>
    </cfRule>
  </conditionalFormatting>
  <conditionalFormatting sqref="D18">
    <cfRule type="cellIs" dxfId="89" priority="70" operator="equal">
      <formula>"Pass"</formula>
    </cfRule>
    <cfRule type="cellIs" dxfId="88" priority="71" operator="equal">
      <formula>"Fail"</formula>
    </cfRule>
  </conditionalFormatting>
  <conditionalFormatting sqref="L20:M20">
    <cfRule type="cellIs" dxfId="87" priority="127" operator="lessThan">
      <formula>$M$13</formula>
    </cfRule>
    <cfRule type="cellIs" dxfId="86" priority="128" operator="greaterThan">
      <formula>$M$13</formula>
    </cfRule>
  </conditionalFormatting>
  <conditionalFormatting sqref="L26">
    <cfRule type="containsBlanks" dxfId="85" priority="36">
      <formula>LEN(TRIM(L26))=0</formula>
    </cfRule>
  </conditionalFormatting>
  <conditionalFormatting sqref="E26">
    <cfRule type="containsBlanks" dxfId="84" priority="35">
      <formula>LEN(TRIM(E26))=0</formula>
    </cfRule>
  </conditionalFormatting>
  <conditionalFormatting sqref="E28">
    <cfRule type="cellIs" dxfId="83" priority="31" operator="equal">
      <formula>$E$25</formula>
    </cfRule>
    <cfRule type="cellIs" dxfId="82" priority="32" operator="lessThan">
      <formula>$E$25</formula>
    </cfRule>
    <cfRule type="cellIs" dxfId="81" priority="33" operator="greaterThan">
      <formula>$E$25</formula>
    </cfRule>
    <cfRule type="cellIs" dxfId="80" priority="34" stopIfTrue="1" operator="equal">
      <formula>0</formula>
    </cfRule>
  </conditionalFormatting>
  <conditionalFormatting sqref="L28">
    <cfRule type="cellIs" dxfId="79" priority="145" operator="equal">
      <formula>$L$25</formula>
    </cfRule>
    <cfRule type="cellIs" dxfId="78" priority="146" operator="lessThan">
      <formula>$L$25</formula>
    </cfRule>
    <cfRule type="cellIs" dxfId="77" priority="147" operator="greaterThan">
      <formula>$L$25</formula>
    </cfRule>
    <cfRule type="cellIs" dxfId="76" priority="148" operator="equal">
      <formula>0</formula>
    </cfRule>
  </conditionalFormatting>
  <conditionalFormatting sqref="L85:N88">
    <cfRule type="containsBlanks" dxfId="75" priority="17">
      <formula>LEN(TRIM(L85))=0</formula>
    </cfRule>
  </conditionalFormatting>
  <conditionalFormatting sqref="L79:M84 N80:N84">
    <cfRule type="containsBlanks" dxfId="74" priority="15">
      <formula>LEN(TRIM(L79))=0</formula>
    </cfRule>
  </conditionalFormatting>
  <conditionalFormatting sqref="L75:N78">
    <cfRule type="containsBlanks" dxfId="73" priority="14">
      <formula>LEN(TRIM(L75))=0</formula>
    </cfRule>
  </conditionalFormatting>
  <conditionalFormatting sqref="N79">
    <cfRule type="containsBlanks" dxfId="72" priority="13">
      <formula>LEN(TRIM(N79))=0</formula>
    </cfRule>
  </conditionalFormatting>
  <conditionalFormatting sqref="L69:M74 N70:N74">
    <cfRule type="containsBlanks" dxfId="71" priority="12">
      <formula>LEN(TRIM(L69))=0</formula>
    </cfRule>
  </conditionalFormatting>
  <conditionalFormatting sqref="K66:N66 L67:N68 K67:K88 K65:L65">
    <cfRule type="containsBlanks" dxfId="70" priority="11">
      <formula>LEN(TRIM(K65))=0</formula>
    </cfRule>
  </conditionalFormatting>
  <conditionalFormatting sqref="N69">
    <cfRule type="containsBlanks" dxfId="69" priority="10">
      <formula>LEN(TRIM(N69))=0</formula>
    </cfRule>
  </conditionalFormatting>
  <conditionalFormatting sqref="K62:L64">
    <cfRule type="containsBlanks" dxfId="68" priority="9">
      <formula>LEN(TRIM(K62))=0</formula>
    </cfRule>
  </conditionalFormatting>
  <conditionalFormatting sqref="K57:L65 N58">
    <cfRule type="containsBlanks" dxfId="67" priority="8">
      <formula>LEN(TRIM(K57))=0</formula>
    </cfRule>
  </conditionalFormatting>
  <conditionalFormatting sqref="G26:G28">
    <cfRule type="cellIs" dxfId="66" priority="5" operator="equal">
      <formula>"Fail"</formula>
    </cfRule>
    <cfRule type="cellIs" dxfId="65" priority="6" operator="equal">
      <formula>"Pass"</formula>
    </cfRule>
  </conditionalFormatting>
  <conditionalFormatting sqref="H26:H28">
    <cfRule type="cellIs" dxfId="64" priority="3" operator="equal">
      <formula>"Fail"</formula>
    </cfRule>
    <cfRule type="cellIs" dxfId="63" priority="4" operator="equal">
      <formula>"Pass"</formula>
    </cfRule>
  </conditionalFormatting>
  <conditionalFormatting sqref="M57:M65">
    <cfRule type="containsBlanks" dxfId="62" priority="2">
      <formula>LEN(TRIM(M57))=0</formula>
    </cfRule>
  </conditionalFormatting>
  <conditionalFormatting sqref="N59:N65">
    <cfRule type="containsBlanks" dxfId="61" priority="1">
      <formula>LEN(TRIM(N59))=0</formula>
    </cfRule>
  </conditionalFormatting>
  <dataValidations count="4">
    <dataValidation type="list" allowBlank="1" showInputMessage="1" showErrorMessage="1" sqref="O68:O74 O78:O84 K35:K51 O61:O64 K57:L88 O88 H126:H142" xr:uid="{00000000-0002-0000-0900-000000000000}">
      <formula1>"Yes, No, N/A"</formula1>
    </dataValidation>
    <dataValidation type="whole" allowBlank="1" showErrorMessage="1" error="You must enter a whole number." sqref="G101:G142 G53 G90:G91 F57:F88 F35:F51" xr:uid="{00000000-0002-0000-0900-000001000000}">
      <formula1>0</formula1>
      <formula2>1000</formula2>
    </dataValidation>
    <dataValidation type="list" allowBlank="1" showInputMessage="1" showErrorMessage="1" sqref="D89:D91 D52:D53" xr:uid="{00000000-0002-0000-0900-000002000000}">
      <formula1>"Chevrolet, Chrys./Dodge/Jeep, Ford, Honda, Hyundai, Nissan, Toyota"</formula1>
    </dataValidation>
    <dataValidation type="list" allowBlank="1" showInputMessage="1" showErrorMessage="1" sqref="M57:N88" xr:uid="{00000000-0002-0000-0900-000003000000}">
      <formula1>"Dedicated, Bi-Fuel, N/A"</formula1>
    </dataValidation>
  </dataValidations>
  <hyperlinks>
    <hyperlink ref="B4" location="'Review &amp; Instructions '!A40" display="Instructions" xr:uid="{00000000-0004-0000-0900-000000000000}"/>
    <hyperlink ref="B92" location="'Review &amp; Instructions '!A40" display="Instructions" xr:uid="{00000000-0004-0000-0900-000001000000}"/>
    <hyperlink ref="B91" location="'Fuel Efficiency Standard'!A1" display="Top" xr:uid="{00000000-0004-0000-0900-000002000000}"/>
  </hyperlinks>
  <pageMargins left="0.5" right="0.5" top="0.5" bottom="0.5" header="0.25" footer="0.25"/>
  <pageSetup paperSize="17" fitToHeight="0" orientation="landscape" r:id="rId1"/>
  <headerFooter>
    <oddHeader>&amp;F</oddHeader>
    <oddFooter>&amp;L&amp;A&amp;CPage &amp;P of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Z81"/>
  <sheetViews>
    <sheetView zoomScale="90" zoomScaleNormal="90" workbookViewId="0">
      <pane xSplit="1" ySplit="3" topLeftCell="B4" activePane="bottomRight" state="frozen"/>
      <selection pane="bottomRight"/>
      <selection pane="bottomLeft" activeCell="A4" sqref="A4"/>
      <selection pane="topRight" activeCell="B1" sqref="B1"/>
    </sheetView>
  </sheetViews>
  <sheetFormatPr defaultColWidth="0" defaultRowHeight="15"/>
  <cols>
    <col min="1" max="1" width="3.7109375" style="10" customWidth="1"/>
    <col min="2" max="2" width="3.42578125" style="10" customWidth="1"/>
    <col min="3" max="3" width="4" style="10" customWidth="1"/>
    <col min="4" max="4" width="3" style="10" customWidth="1"/>
    <col min="5" max="5" width="2" style="10" customWidth="1"/>
    <col min="6" max="6" width="6.7109375" style="10" customWidth="1"/>
    <col min="7" max="12" width="19.7109375" style="10" customWidth="1"/>
    <col min="13" max="13" width="3.85546875" style="10" customWidth="1"/>
    <col min="14" max="15" width="3.7109375" style="10" customWidth="1"/>
    <col min="16" max="16" width="7.7109375" style="10" hidden="1" customWidth="1"/>
    <col min="17" max="17" width="15.7109375" style="10" hidden="1" customWidth="1"/>
    <col min="18" max="18" width="9.42578125" style="10" hidden="1" customWidth="1"/>
    <col min="19" max="19" width="14.85546875" style="10" hidden="1" customWidth="1"/>
    <col min="20" max="20" width="20.85546875" style="10" hidden="1" customWidth="1"/>
    <col min="21" max="21" width="20.42578125" style="10" hidden="1" customWidth="1"/>
    <col min="22" max="22" width="7.42578125" style="10" hidden="1" customWidth="1"/>
    <col min="23" max="23" width="11.28515625" style="10" hidden="1" customWidth="1"/>
    <col min="24" max="24" width="10.7109375" style="10" customWidth="1"/>
    <col min="25" max="25" width="3.7109375" style="10" customWidth="1"/>
    <col min="26" max="45" width="0" style="10" hidden="1" customWidth="1"/>
    <col min="46" max="46" width="9.140625" style="10" customWidth="1"/>
    <col min="47" max="52" width="0" style="10" hidden="1" customWidth="1"/>
    <col min="53" max="16384" width="9.140625" style="10" hidden="1"/>
  </cols>
  <sheetData>
    <row r="1" spans="1:46" customFormat="1" ht="21">
      <c r="A1" s="10"/>
      <c r="B1" s="918" t="s">
        <v>94</v>
      </c>
      <c r="C1" s="918"/>
      <c r="D1" s="918"/>
      <c r="E1" s="918"/>
      <c r="F1" s="918"/>
      <c r="G1" s="918"/>
      <c r="H1" s="918"/>
      <c r="I1" s="918"/>
      <c r="J1" s="918"/>
      <c r="K1" s="10"/>
      <c r="L1" s="10"/>
      <c r="M1" s="10"/>
      <c r="N1" s="10"/>
      <c r="O1" s="10"/>
      <c r="P1" s="10"/>
      <c r="Q1" s="10"/>
      <c r="R1" s="10"/>
      <c r="S1" s="10"/>
      <c r="T1" s="10"/>
      <c r="U1" s="10"/>
      <c r="V1" s="10"/>
      <c r="W1" s="10"/>
      <c r="X1" s="10"/>
      <c r="Y1" s="10"/>
      <c r="Z1" s="99"/>
      <c r="AA1" s="99"/>
      <c r="AB1" s="99"/>
      <c r="AC1" s="99"/>
      <c r="AD1" s="99"/>
      <c r="AE1" s="99"/>
      <c r="AF1" s="99"/>
      <c r="AG1" s="99"/>
      <c r="AH1" s="99"/>
      <c r="AI1" s="99"/>
      <c r="AJ1" s="99"/>
      <c r="AK1" s="99"/>
      <c r="AL1" s="99"/>
      <c r="AM1" s="99"/>
      <c r="AN1" s="99"/>
      <c r="AO1" s="99"/>
      <c r="AP1" s="99"/>
      <c r="AQ1" s="99"/>
      <c r="AR1" s="99"/>
      <c r="AS1" s="99"/>
      <c r="AT1" s="10"/>
    </row>
    <row r="2" spans="1:46" customFormat="1">
      <c r="A2" s="10"/>
      <c r="B2" s="860" t="s">
        <v>6472</v>
      </c>
      <c r="C2" s="860"/>
      <c r="D2" s="860"/>
      <c r="E2" s="860"/>
      <c r="F2" s="860"/>
      <c r="G2" s="860"/>
      <c r="H2" s="860"/>
      <c r="I2" s="860"/>
      <c r="J2" s="860"/>
      <c r="K2" s="10"/>
      <c r="L2" s="10"/>
      <c r="M2" s="10"/>
      <c r="N2" s="10"/>
      <c r="O2" s="10"/>
      <c r="P2" s="10"/>
      <c r="Q2" s="415"/>
      <c r="R2" s="10"/>
      <c r="S2" s="10"/>
      <c r="T2" s="10"/>
      <c r="U2" s="10"/>
      <c r="V2" s="10"/>
      <c r="W2" s="10"/>
      <c r="X2" s="10"/>
      <c r="Y2" s="10"/>
      <c r="Z2" s="99"/>
      <c r="AA2" s="99"/>
      <c r="AB2" s="99"/>
      <c r="AC2" s="99"/>
      <c r="AD2" s="99"/>
      <c r="AE2" s="99"/>
      <c r="AF2" s="99"/>
      <c r="AG2" s="99"/>
      <c r="AH2" s="99"/>
      <c r="AI2" s="99"/>
      <c r="AJ2" s="99"/>
      <c r="AK2" s="99"/>
      <c r="AL2" s="99"/>
      <c r="AM2" s="99"/>
      <c r="AN2" s="99"/>
      <c r="AO2" s="99"/>
      <c r="AP2" s="99"/>
      <c r="AQ2" s="99"/>
      <c r="AR2" s="99"/>
      <c r="AS2" s="99"/>
      <c r="AT2" s="10"/>
    </row>
    <row r="3" spans="1:46" customFormat="1">
      <c r="A3" s="10"/>
      <c r="B3" s="860"/>
      <c r="C3" s="860"/>
      <c r="D3" s="860"/>
      <c r="E3" s="860"/>
      <c r="F3" s="860"/>
      <c r="G3" s="860"/>
      <c r="H3" s="860"/>
      <c r="I3" s="860"/>
      <c r="J3" s="860"/>
      <c r="K3" s="10"/>
      <c r="L3" s="10"/>
      <c r="M3" s="10"/>
      <c r="N3" s="10"/>
      <c r="O3" s="10"/>
      <c r="P3" s="10"/>
      <c r="Q3" s="10"/>
      <c r="R3" s="10"/>
      <c r="S3" s="10"/>
      <c r="T3" s="10"/>
      <c r="U3" s="10"/>
      <c r="V3" s="10"/>
      <c r="W3" s="10"/>
      <c r="X3" s="10"/>
      <c r="Y3" s="10"/>
      <c r="Z3" s="99"/>
      <c r="AA3" s="99"/>
      <c r="AB3" s="99"/>
      <c r="AC3" s="99"/>
      <c r="AD3" s="99"/>
      <c r="AE3" s="99"/>
      <c r="AF3" s="99"/>
      <c r="AG3" s="99"/>
      <c r="AH3" s="99"/>
      <c r="AI3" s="99"/>
      <c r="AJ3" s="99"/>
      <c r="AK3" s="99"/>
      <c r="AL3" s="99"/>
      <c r="AM3" s="99"/>
      <c r="AN3" s="99"/>
      <c r="AO3" s="99"/>
      <c r="AP3" s="99"/>
      <c r="AQ3" s="99"/>
      <c r="AR3" s="99"/>
      <c r="AS3" s="99"/>
      <c r="AT3" s="10"/>
    </row>
    <row r="4" spans="1:46" customFormat="1" ht="50.25" customHeight="1">
      <c r="A4" s="10"/>
      <c r="B4" s="1067" t="s">
        <v>6473</v>
      </c>
      <c r="C4" s="1068"/>
      <c r="D4" s="1068"/>
      <c r="E4" s="1068"/>
      <c r="F4" s="1068"/>
      <c r="G4" s="1068"/>
      <c r="H4" s="1068"/>
      <c r="I4" s="1068"/>
      <c r="J4" s="1068"/>
      <c r="K4" s="1069"/>
      <c r="L4" s="1069"/>
      <c r="M4" s="1070"/>
      <c r="N4" s="89"/>
      <c r="O4" s="89"/>
      <c r="P4" s="10"/>
      <c r="Q4" s="10"/>
      <c r="R4" s="10"/>
      <c r="S4" s="10"/>
      <c r="T4" s="10"/>
      <c r="U4" s="10"/>
      <c r="V4" s="10"/>
      <c r="W4" s="10"/>
      <c r="X4" s="10"/>
      <c r="Y4" s="10"/>
      <c r="Z4" s="99"/>
      <c r="AA4" s="99"/>
      <c r="AB4" s="99"/>
      <c r="AC4" s="99"/>
      <c r="AD4" s="99"/>
      <c r="AE4" s="99"/>
      <c r="AF4" s="99"/>
      <c r="AG4" s="99"/>
      <c r="AH4" s="99"/>
      <c r="AI4" s="99"/>
      <c r="AJ4" s="99"/>
      <c r="AK4" s="99"/>
      <c r="AL4" s="99"/>
      <c r="AM4" s="99"/>
      <c r="AN4" s="99"/>
      <c r="AO4" s="99"/>
      <c r="AP4" s="99"/>
      <c r="AQ4" s="99"/>
      <c r="AR4" s="99"/>
      <c r="AS4" s="99"/>
      <c r="AT4" s="10"/>
    </row>
    <row r="5" spans="1:46" customFormat="1">
      <c r="A5" s="10"/>
      <c r="B5" s="1065" t="s">
        <v>97</v>
      </c>
      <c r="C5" s="1065"/>
      <c r="D5" s="1065"/>
      <c r="E5" s="1065"/>
      <c r="F5" s="10"/>
      <c r="G5" s="10"/>
      <c r="H5" s="10"/>
      <c r="I5" s="10"/>
      <c r="J5" s="10"/>
      <c r="K5" s="10"/>
      <c r="L5" s="10"/>
      <c r="M5" s="10"/>
      <c r="N5" s="10"/>
      <c r="O5" s="10"/>
      <c r="P5" s="10"/>
      <c r="Q5" s="10"/>
      <c r="R5" s="10"/>
      <c r="S5" s="10"/>
      <c r="T5" s="10"/>
      <c r="U5" s="10"/>
      <c r="V5" s="10"/>
      <c r="W5" s="10"/>
      <c r="X5" s="10"/>
      <c r="Y5" s="10"/>
      <c r="Z5" s="99"/>
      <c r="AA5" s="99"/>
      <c r="AB5" s="99"/>
      <c r="AC5" s="99"/>
      <c r="AD5" s="99"/>
      <c r="AE5" s="99"/>
      <c r="AF5" s="99"/>
      <c r="AG5" s="99"/>
      <c r="AH5" s="99"/>
      <c r="AI5" s="99"/>
      <c r="AJ5" s="99"/>
      <c r="AK5" s="99"/>
      <c r="AL5" s="99"/>
      <c r="AM5" s="99"/>
      <c r="AN5" s="99"/>
      <c r="AO5" s="99"/>
      <c r="AP5" s="99"/>
      <c r="AQ5" s="99"/>
      <c r="AR5" s="99"/>
      <c r="AS5" s="99"/>
      <c r="AT5" s="10"/>
    </row>
    <row r="6" spans="1:46" customFormat="1">
      <c r="A6" s="10"/>
      <c r="B6" s="1066" t="s">
        <v>6424</v>
      </c>
      <c r="C6" s="1066"/>
      <c r="D6" s="3"/>
      <c r="E6" s="10"/>
      <c r="F6" s="10"/>
      <c r="G6" s="10"/>
      <c r="H6" s="10"/>
      <c r="I6" s="10"/>
      <c r="J6" s="10"/>
      <c r="K6" s="10"/>
      <c r="L6" s="10"/>
      <c r="M6" s="10"/>
      <c r="N6" s="10"/>
      <c r="O6" s="10"/>
      <c r="P6" s="10"/>
      <c r="Q6" s="10"/>
      <c r="R6" s="10"/>
      <c r="S6" s="10"/>
      <c r="T6" s="10"/>
      <c r="U6" s="10"/>
      <c r="V6" s="10"/>
      <c r="W6" s="10"/>
      <c r="X6" s="10"/>
      <c r="Y6" s="10"/>
      <c r="Z6" s="99"/>
      <c r="AA6" s="99"/>
      <c r="AB6" s="99"/>
      <c r="AC6" s="99"/>
      <c r="AD6" s="99"/>
      <c r="AE6" s="99"/>
      <c r="AF6" s="99"/>
      <c r="AG6" s="99"/>
      <c r="AH6" s="99"/>
      <c r="AI6" s="99"/>
      <c r="AJ6" s="99"/>
      <c r="AK6" s="99"/>
      <c r="AL6" s="99"/>
      <c r="AM6" s="99"/>
      <c r="AN6" s="99"/>
      <c r="AO6" s="99"/>
      <c r="AP6" s="99"/>
      <c r="AQ6" s="99"/>
      <c r="AR6" s="99"/>
      <c r="AS6" s="99"/>
      <c r="AT6" s="10"/>
    </row>
    <row r="7" spans="1:46" s="99" customFormat="1" ht="7.5" customHeight="1" thickBot="1">
      <c r="A7" s="10"/>
      <c r="B7" s="745"/>
      <c r="C7" s="745"/>
      <c r="D7" s="10"/>
      <c r="E7" s="10"/>
      <c r="F7" s="10"/>
      <c r="G7" s="10"/>
      <c r="H7" s="10"/>
      <c r="I7" s="10"/>
      <c r="J7" s="10"/>
      <c r="K7" s="10"/>
      <c r="L7" s="10"/>
      <c r="M7" s="10"/>
      <c r="N7" s="10"/>
      <c r="O7" s="10"/>
      <c r="P7" s="10"/>
      <c r="Q7" s="10"/>
      <c r="R7" s="10"/>
      <c r="S7" s="10"/>
      <c r="T7" s="10"/>
      <c r="U7" s="10"/>
      <c r="V7" s="10"/>
      <c r="W7" s="10"/>
      <c r="X7" s="10"/>
      <c r="Y7" s="10"/>
      <c r="AT7" s="10"/>
    </row>
    <row r="8" spans="1:46" customFormat="1" ht="7.5" customHeight="1">
      <c r="A8" s="10"/>
      <c r="B8" s="184"/>
      <c r="C8" s="185"/>
      <c r="D8" s="185"/>
      <c r="E8" s="185"/>
      <c r="F8" s="185"/>
      <c r="G8" s="185"/>
      <c r="H8" s="185"/>
      <c r="I8" s="444"/>
      <c r="J8" s="444"/>
      <c r="K8" s="444"/>
      <c r="L8" s="444"/>
      <c r="M8" s="445"/>
      <c r="N8" s="41"/>
      <c r="O8" s="41"/>
      <c r="P8" s="10"/>
      <c r="Q8" s="10"/>
      <c r="R8" s="10"/>
      <c r="S8" s="10"/>
      <c r="T8" s="10"/>
      <c r="U8" s="10"/>
      <c r="V8" s="10"/>
      <c r="W8" s="10"/>
      <c r="X8" s="10"/>
      <c r="Y8" s="10"/>
      <c r="Z8" s="99"/>
      <c r="AA8" s="99"/>
      <c r="AB8" s="99"/>
      <c r="AC8" s="99"/>
      <c r="AD8" s="99"/>
      <c r="AE8" s="99"/>
      <c r="AF8" s="99"/>
      <c r="AG8" s="99"/>
      <c r="AH8" s="99"/>
      <c r="AI8" s="99"/>
      <c r="AJ8" s="99"/>
      <c r="AK8" s="99"/>
      <c r="AL8" s="99"/>
      <c r="AM8" s="99"/>
      <c r="AN8" s="99"/>
      <c r="AO8" s="99"/>
      <c r="AP8" s="99"/>
      <c r="AQ8" s="99"/>
      <c r="AR8" s="99"/>
      <c r="AS8" s="99"/>
      <c r="AT8" s="10"/>
    </row>
    <row r="9" spans="1:46" customFormat="1">
      <c r="A9" s="10"/>
      <c r="B9" s="175"/>
      <c r="C9" s="1022" t="s">
        <v>6474</v>
      </c>
      <c r="D9" s="1022"/>
      <c r="E9" s="1022"/>
      <c r="F9" s="1023"/>
      <c r="G9" s="223"/>
      <c r="H9" s="746" t="s">
        <v>6475</v>
      </c>
      <c r="I9" s="223"/>
      <c r="J9" s="746" t="s">
        <v>6476</v>
      </c>
      <c r="K9" s="223"/>
      <c r="L9" s="174"/>
      <c r="M9" s="447"/>
      <c r="N9" s="41"/>
      <c r="O9" s="41"/>
      <c r="P9" s="10"/>
      <c r="Q9" s="10"/>
      <c r="R9" s="10"/>
      <c r="S9" s="10"/>
      <c r="T9" s="10"/>
      <c r="U9" s="10"/>
      <c r="V9" s="10"/>
      <c r="W9" s="10"/>
      <c r="X9" s="10"/>
      <c r="Y9" s="10"/>
      <c r="Z9" s="99"/>
      <c r="AA9" s="99"/>
      <c r="AB9" s="99"/>
      <c r="AC9" s="99"/>
      <c r="AD9" s="99"/>
      <c r="AE9" s="99"/>
      <c r="AF9" s="99"/>
      <c r="AG9" s="99"/>
      <c r="AH9" s="99"/>
      <c r="AI9" s="99"/>
      <c r="AJ9" s="99"/>
      <c r="AK9" s="99"/>
      <c r="AL9" s="99"/>
      <c r="AM9" s="99"/>
      <c r="AN9" s="99"/>
      <c r="AO9" s="99"/>
      <c r="AP9" s="99"/>
      <c r="AQ9" s="99"/>
      <c r="AR9" s="99"/>
      <c r="AS9" s="99"/>
      <c r="AT9" s="10"/>
    </row>
    <row r="10" spans="1:46" s="99" customFormat="1" ht="7.5" customHeight="1">
      <c r="A10" s="10"/>
      <c r="B10" s="175"/>
      <c r="C10" s="173"/>
      <c r="D10" s="173"/>
      <c r="E10" s="173"/>
      <c r="F10" s="173"/>
      <c r="G10" s="173"/>
      <c r="H10" s="173"/>
      <c r="I10" s="461"/>
      <c r="J10" s="173"/>
      <c r="K10" s="446"/>
      <c r="L10" s="174"/>
      <c r="M10" s="447"/>
      <c r="N10" s="41"/>
      <c r="O10" s="41"/>
      <c r="P10" s="10"/>
      <c r="Q10" s="10"/>
      <c r="R10" s="10"/>
      <c r="S10" s="10"/>
      <c r="T10" s="10"/>
      <c r="U10" s="10"/>
      <c r="V10" s="10"/>
      <c r="W10" s="10"/>
      <c r="X10" s="10"/>
      <c r="Y10" s="10"/>
      <c r="AT10" s="10"/>
    </row>
    <row r="11" spans="1:46" customFormat="1">
      <c r="A11" s="10"/>
      <c r="B11" s="175"/>
      <c r="C11" s="173" t="s">
        <v>6477</v>
      </c>
      <c r="D11" s="173"/>
      <c r="E11" s="173"/>
      <c r="F11" s="173"/>
      <c r="G11" s="173"/>
      <c r="H11" s="173"/>
      <c r="I11" s="174"/>
      <c r="J11" s="174"/>
      <c r="K11" s="456"/>
      <c r="L11" s="174"/>
      <c r="M11" s="447"/>
      <c r="N11" s="41"/>
      <c r="O11" s="41"/>
      <c r="P11" s="10"/>
      <c r="Q11" s="10"/>
      <c r="R11" s="10"/>
      <c r="S11" s="10"/>
      <c r="T11" s="10"/>
      <c r="U11" s="10"/>
      <c r="V11" s="10"/>
      <c r="W11" s="10"/>
      <c r="X11" s="10"/>
      <c r="Y11" s="10"/>
      <c r="Z11" s="99"/>
      <c r="AA11" s="99"/>
      <c r="AB11" s="99"/>
      <c r="AC11" s="99"/>
      <c r="AD11" s="99"/>
      <c r="AE11" s="99"/>
      <c r="AF11" s="99"/>
      <c r="AG11" s="99"/>
      <c r="AH11" s="99"/>
      <c r="AI11" s="99"/>
      <c r="AJ11" s="99"/>
      <c r="AK11" s="99"/>
      <c r="AL11" s="99"/>
      <c r="AM11" s="99"/>
      <c r="AN11" s="99"/>
      <c r="AO11" s="99"/>
      <c r="AP11" s="99"/>
      <c r="AQ11" s="99"/>
      <c r="AR11" s="99"/>
      <c r="AS11" s="99"/>
      <c r="AT11" s="10"/>
    </row>
    <row r="12" spans="1:46" s="99" customFormat="1" ht="7.5" customHeight="1">
      <c r="A12" s="10"/>
      <c r="B12" s="175"/>
      <c r="C12" s="173"/>
      <c r="D12" s="173"/>
      <c r="E12" s="173"/>
      <c r="F12" s="173"/>
      <c r="G12" s="173"/>
      <c r="H12" s="173"/>
      <c r="I12" s="174"/>
      <c r="J12" s="174"/>
      <c r="K12" s="456"/>
      <c r="L12" s="174"/>
      <c r="M12" s="447"/>
      <c r="N12" s="41"/>
      <c r="O12" s="41"/>
      <c r="P12" s="10"/>
      <c r="Q12" s="10"/>
      <c r="R12" s="10"/>
      <c r="S12" s="10"/>
      <c r="T12" s="10"/>
      <c r="U12" s="10"/>
      <c r="V12" s="10"/>
      <c r="W12" s="10"/>
      <c r="X12" s="10"/>
      <c r="Y12" s="10"/>
      <c r="AT12" s="10"/>
    </row>
    <row r="13" spans="1:46" s="99" customFormat="1" ht="30" customHeight="1">
      <c r="A13" s="10"/>
      <c r="B13" s="175"/>
      <c r="C13" s="115"/>
      <c r="D13" s="115"/>
      <c r="E13" s="1055" t="s">
        <v>6476</v>
      </c>
      <c r="F13" s="1056"/>
      <c r="G13" s="535" t="s">
        <v>6478</v>
      </c>
      <c r="H13" s="535" t="s">
        <v>6479</v>
      </c>
      <c r="I13" s="535" t="s">
        <v>6480</v>
      </c>
      <c r="J13" s="535" t="s">
        <v>6481</v>
      </c>
      <c r="K13" s="535" t="s">
        <v>6482</v>
      </c>
      <c r="L13" s="535" t="s">
        <v>6483</v>
      </c>
      <c r="M13" s="447"/>
      <c r="N13" s="41"/>
      <c r="O13" s="41"/>
      <c r="P13" s="10"/>
      <c r="Q13" s="10"/>
      <c r="R13" s="10"/>
      <c r="S13" s="10"/>
      <c r="T13" s="10"/>
      <c r="U13" s="10"/>
      <c r="V13" s="10"/>
      <c r="W13" s="10"/>
      <c r="X13" s="10"/>
      <c r="Y13" s="10"/>
      <c r="AT13" s="10"/>
    </row>
    <row r="14" spans="1:46" s="99" customFormat="1">
      <c r="A14" s="10"/>
      <c r="B14" s="175"/>
      <c r="C14" s="413"/>
      <c r="D14" s="413"/>
      <c r="E14" s="1063">
        <v>1</v>
      </c>
      <c r="F14" s="1064"/>
      <c r="G14" s="223"/>
      <c r="H14" s="223"/>
      <c r="I14" s="223"/>
      <c r="J14" s="223"/>
      <c r="K14" s="223"/>
      <c r="L14" s="223"/>
      <c r="M14" s="447"/>
      <c r="N14" s="41"/>
      <c r="O14" s="41"/>
      <c r="P14" s="10"/>
      <c r="Q14" s="10"/>
      <c r="R14" s="10"/>
      <c r="S14" s="10"/>
      <c r="T14" s="10"/>
      <c r="U14" s="10"/>
      <c r="V14" s="10"/>
      <c r="W14" s="10"/>
      <c r="X14" s="10"/>
      <c r="Y14" s="10"/>
      <c r="AT14" s="10"/>
    </row>
    <row r="15" spans="1:46" s="99" customFormat="1">
      <c r="A15" s="10"/>
      <c r="B15" s="175"/>
      <c r="C15" s="413"/>
      <c r="D15" s="413"/>
      <c r="E15" s="1063">
        <v>2</v>
      </c>
      <c r="F15" s="1064"/>
      <c r="G15" s="223"/>
      <c r="H15" s="223"/>
      <c r="I15" s="223"/>
      <c r="J15" s="223"/>
      <c r="K15" s="223"/>
      <c r="L15" s="223"/>
      <c r="M15" s="447"/>
      <c r="N15" s="41"/>
      <c r="O15" s="41"/>
      <c r="P15" s="10"/>
      <c r="Q15" s="10"/>
      <c r="R15" s="10"/>
      <c r="S15" s="10"/>
      <c r="T15" s="10"/>
      <c r="U15" s="10"/>
      <c r="V15" s="10"/>
      <c r="W15" s="10"/>
      <c r="X15" s="10"/>
      <c r="Y15" s="10"/>
      <c r="AT15" s="10"/>
    </row>
    <row r="16" spans="1:46" s="99" customFormat="1">
      <c r="A16" s="10"/>
      <c r="B16" s="175"/>
      <c r="C16" s="413"/>
      <c r="D16" s="413"/>
      <c r="E16" s="1063">
        <v>3</v>
      </c>
      <c r="F16" s="1064"/>
      <c r="G16" s="223"/>
      <c r="H16" s="223"/>
      <c r="I16" s="223"/>
      <c r="J16" s="223"/>
      <c r="K16" s="223"/>
      <c r="L16" s="223"/>
      <c r="M16" s="447"/>
      <c r="N16" s="41"/>
      <c r="O16" s="41"/>
      <c r="P16" s="10"/>
      <c r="Q16" s="10"/>
      <c r="R16" s="10"/>
      <c r="S16" s="10"/>
      <c r="T16" s="10"/>
      <c r="U16" s="10"/>
      <c r="V16" s="10"/>
      <c r="W16" s="10"/>
      <c r="X16" s="10"/>
      <c r="Y16" s="10"/>
      <c r="AT16" s="10"/>
    </row>
    <row r="17" spans="1:46" s="99" customFormat="1">
      <c r="A17" s="10"/>
      <c r="B17" s="175"/>
      <c r="C17" s="413"/>
      <c r="D17" s="413"/>
      <c r="E17" s="1063">
        <v>4</v>
      </c>
      <c r="F17" s="1064"/>
      <c r="G17" s="223"/>
      <c r="H17" s="223"/>
      <c r="I17" s="223"/>
      <c r="J17" s="223"/>
      <c r="K17" s="223"/>
      <c r="L17" s="223"/>
      <c r="M17" s="447"/>
      <c r="N17" s="41"/>
      <c r="O17" s="41"/>
      <c r="P17" s="10"/>
      <c r="Q17" s="10"/>
      <c r="R17" s="10"/>
      <c r="S17" s="10"/>
      <c r="T17" s="10"/>
      <c r="U17" s="10"/>
      <c r="V17" s="10"/>
      <c r="W17" s="10"/>
      <c r="X17" s="10"/>
      <c r="Y17" s="10"/>
      <c r="AT17" s="10"/>
    </row>
    <row r="18" spans="1:46" s="99" customFormat="1" ht="7.5" customHeight="1">
      <c r="A18" s="10"/>
      <c r="B18" s="175"/>
      <c r="C18" s="173"/>
      <c r="D18" s="173"/>
      <c r="E18" s="173"/>
      <c r="F18" s="173"/>
      <c r="G18" s="173"/>
      <c r="H18" s="173"/>
      <c r="I18" s="174"/>
      <c r="J18" s="174"/>
      <c r="K18" s="456"/>
      <c r="L18" s="174"/>
      <c r="M18" s="447"/>
      <c r="N18" s="41"/>
      <c r="O18" s="41"/>
      <c r="P18" s="10"/>
      <c r="Q18" s="10"/>
      <c r="R18" s="10"/>
      <c r="S18" s="10"/>
      <c r="T18" s="10"/>
      <c r="U18" s="10"/>
      <c r="V18" s="10"/>
      <c r="W18" s="10"/>
      <c r="X18" s="10"/>
      <c r="Y18" s="10"/>
      <c r="AT18" s="10"/>
    </row>
    <row r="19" spans="1:46" s="99" customFormat="1">
      <c r="A19" s="10"/>
      <c r="B19" s="175"/>
      <c r="C19" s="173"/>
      <c r="D19" s="173"/>
      <c r="E19" s="173"/>
      <c r="F19" s="173"/>
      <c r="G19" s="173"/>
      <c r="H19" s="173"/>
      <c r="I19" s="174"/>
      <c r="J19" s="174"/>
      <c r="K19" s="173"/>
      <c r="L19" s="413" t="s">
        <v>6484</v>
      </c>
      <c r="M19" s="447"/>
      <c r="N19" s="41"/>
      <c r="O19" s="41"/>
      <c r="P19" s="10"/>
      <c r="Q19" s="10"/>
      <c r="R19" s="10"/>
      <c r="S19" s="10"/>
      <c r="T19" s="10"/>
      <c r="U19" s="10"/>
      <c r="V19" s="10"/>
      <c r="W19" s="10"/>
      <c r="X19" s="10"/>
      <c r="Y19" s="10"/>
      <c r="AT19" s="10"/>
    </row>
    <row r="20" spans="1:46" customFormat="1">
      <c r="A20" s="10"/>
      <c r="B20" s="175"/>
      <c r="C20" s="462" t="s">
        <v>6485</v>
      </c>
      <c r="D20" s="173"/>
      <c r="E20" s="173"/>
      <c r="F20" s="173"/>
      <c r="G20" s="173"/>
      <c r="H20" s="173"/>
      <c r="I20" s="173"/>
      <c r="J20" s="173"/>
      <c r="K20" s="173"/>
      <c r="L20" s="224"/>
      <c r="M20" s="172"/>
      <c r="N20" s="3"/>
      <c r="O20" s="3"/>
      <c r="P20" s="10"/>
      <c r="Q20" s="10"/>
      <c r="R20" s="10"/>
      <c r="S20" s="10"/>
      <c r="T20" s="10"/>
      <c r="U20" s="10"/>
      <c r="V20" s="10"/>
      <c r="W20" s="10"/>
      <c r="X20" s="10"/>
      <c r="Y20" s="10"/>
      <c r="Z20" s="99"/>
      <c r="AA20" s="99"/>
      <c r="AB20" s="99"/>
      <c r="AC20" s="99"/>
      <c r="AD20" s="99"/>
      <c r="AE20" s="99"/>
      <c r="AF20" s="99"/>
      <c r="AG20" s="99"/>
      <c r="AH20" s="99"/>
      <c r="AI20" s="99"/>
      <c r="AJ20" s="99"/>
      <c r="AK20" s="99"/>
      <c r="AL20" s="99"/>
      <c r="AM20" s="99"/>
      <c r="AN20" s="99"/>
      <c r="AO20" s="99"/>
      <c r="AP20" s="99"/>
      <c r="AQ20" s="99"/>
      <c r="AR20" s="99"/>
      <c r="AS20" s="99"/>
      <c r="AT20" s="10"/>
    </row>
    <row r="21" spans="1:46" customFormat="1" ht="21" customHeight="1">
      <c r="A21" s="10"/>
      <c r="B21" s="175"/>
      <c r="C21" s="448" t="s">
        <v>6486</v>
      </c>
      <c r="D21" s="173"/>
      <c r="E21" s="173"/>
      <c r="F21" s="173"/>
      <c r="G21" s="173"/>
      <c r="H21" s="173"/>
      <c r="I21" s="173"/>
      <c r="J21" s="173"/>
      <c r="K21" s="173"/>
      <c r="L21" s="173"/>
      <c r="M21" s="172"/>
      <c r="N21" s="3"/>
      <c r="O21" s="3"/>
      <c r="P21" s="10"/>
      <c r="Q21" s="10"/>
      <c r="R21" s="10"/>
      <c r="S21" s="10"/>
      <c r="T21" s="10"/>
      <c r="U21" s="10"/>
      <c r="V21" s="10"/>
      <c r="W21" s="10"/>
      <c r="X21" s="10"/>
      <c r="Y21" s="10"/>
      <c r="Z21" s="99"/>
      <c r="AA21" s="99"/>
      <c r="AB21" s="99"/>
      <c r="AC21" s="99"/>
      <c r="AD21" s="99"/>
      <c r="AE21" s="99"/>
      <c r="AF21" s="99"/>
      <c r="AG21" s="99"/>
      <c r="AH21" s="99"/>
      <c r="AI21" s="99"/>
      <c r="AJ21" s="99"/>
      <c r="AK21" s="99"/>
      <c r="AL21" s="99"/>
      <c r="AM21" s="99"/>
      <c r="AN21" s="99"/>
      <c r="AO21" s="99"/>
      <c r="AP21" s="99"/>
      <c r="AQ21" s="99"/>
      <c r="AR21" s="99"/>
      <c r="AS21" s="99"/>
      <c r="AT21" s="10"/>
    </row>
    <row r="22" spans="1:46" customFormat="1">
      <c r="A22" s="10"/>
      <c r="B22" s="175"/>
      <c r="C22" s="448" t="s">
        <v>6487</v>
      </c>
      <c r="D22" s="173"/>
      <c r="E22" s="173"/>
      <c r="F22" s="173"/>
      <c r="G22" s="173"/>
      <c r="H22" s="173"/>
      <c r="I22" s="173"/>
      <c r="J22" s="173"/>
      <c r="K22" s="173"/>
      <c r="L22" s="173"/>
      <c r="M22" s="172"/>
      <c r="N22" s="3"/>
      <c r="O22" s="3"/>
      <c r="P22" s="10"/>
      <c r="Q22" s="10"/>
      <c r="R22" s="10"/>
      <c r="S22" s="10"/>
      <c r="T22" s="10"/>
      <c r="U22" s="10"/>
      <c r="V22" s="10"/>
      <c r="W22" s="10"/>
      <c r="X22" s="10"/>
      <c r="Y22" s="10"/>
      <c r="Z22" s="99"/>
      <c r="AA22" s="99"/>
      <c r="AB22" s="99"/>
      <c r="AC22" s="99"/>
      <c r="AD22" s="99"/>
      <c r="AE22" s="99"/>
      <c r="AF22" s="99"/>
      <c r="AG22" s="99"/>
      <c r="AH22" s="99"/>
      <c r="AI22" s="99"/>
      <c r="AJ22" s="99"/>
      <c r="AK22" s="99"/>
      <c r="AL22" s="99"/>
      <c r="AM22" s="99"/>
      <c r="AN22" s="99"/>
      <c r="AO22" s="99"/>
      <c r="AP22" s="99"/>
      <c r="AQ22" s="99"/>
      <c r="AR22" s="99"/>
      <c r="AS22" s="99"/>
      <c r="AT22" s="10"/>
    </row>
    <row r="23" spans="1:46" customFormat="1" ht="9" customHeight="1">
      <c r="A23" s="10"/>
      <c r="B23" s="175"/>
      <c r="C23" s="173"/>
      <c r="D23" s="173"/>
      <c r="E23" s="173"/>
      <c r="F23" s="173"/>
      <c r="G23" s="173"/>
      <c r="H23" s="173"/>
      <c r="I23" s="173"/>
      <c r="J23" s="173"/>
      <c r="K23" s="173"/>
      <c r="L23" s="173"/>
      <c r="M23" s="172"/>
      <c r="N23" s="3"/>
      <c r="O23" s="3"/>
      <c r="P23" s="10"/>
      <c r="Q23" s="10"/>
      <c r="R23" s="10"/>
      <c r="S23" s="10"/>
      <c r="T23" s="10"/>
      <c r="U23" s="10"/>
      <c r="V23" s="10"/>
      <c r="W23" s="10"/>
      <c r="X23" s="10"/>
      <c r="Y23" s="10"/>
      <c r="Z23" s="99"/>
      <c r="AA23" s="99"/>
      <c r="AB23" s="99"/>
      <c r="AC23" s="99"/>
      <c r="AD23" s="99"/>
      <c r="AE23" s="99"/>
      <c r="AF23" s="99"/>
      <c r="AG23" s="99"/>
      <c r="AH23" s="99"/>
      <c r="AI23" s="99"/>
      <c r="AJ23" s="99"/>
      <c r="AK23" s="99"/>
      <c r="AL23" s="99"/>
      <c r="AM23" s="99"/>
      <c r="AN23" s="99"/>
      <c r="AO23" s="99"/>
      <c r="AP23" s="99"/>
      <c r="AQ23" s="99"/>
      <c r="AR23" s="99"/>
      <c r="AS23" s="99"/>
      <c r="AT23" s="10"/>
    </row>
    <row r="24" spans="1:46" s="99" customFormat="1">
      <c r="A24" s="10"/>
      <c r="B24" s="175"/>
      <c r="C24" s="173"/>
      <c r="D24" s="223"/>
      <c r="E24" s="173"/>
      <c r="F24" s="449" t="s">
        <v>6488</v>
      </c>
      <c r="G24" s="173"/>
      <c r="H24" s="173"/>
      <c r="I24" s="173"/>
      <c r="J24" s="173"/>
      <c r="K24" s="173"/>
      <c r="L24" s="173"/>
      <c r="M24" s="172"/>
      <c r="N24" s="3"/>
      <c r="O24" s="3"/>
      <c r="P24" s="10"/>
      <c r="Q24" s="10"/>
      <c r="R24" s="10"/>
      <c r="S24" s="10"/>
      <c r="T24" s="10"/>
      <c r="U24" s="10"/>
      <c r="V24" s="10"/>
      <c r="W24" s="10"/>
      <c r="X24" s="10"/>
      <c r="Y24" s="10"/>
      <c r="AT24" s="10"/>
    </row>
    <row r="25" spans="1:46" customFormat="1" ht="7.5" customHeight="1">
      <c r="A25" s="10"/>
      <c r="B25" s="175"/>
      <c r="C25" s="173"/>
      <c r="D25" s="173"/>
      <c r="E25" s="173"/>
      <c r="F25" s="450"/>
      <c r="G25" s="173"/>
      <c r="H25" s="173"/>
      <c r="I25" s="173"/>
      <c r="J25" s="173"/>
      <c r="K25" s="173"/>
      <c r="L25" s="173"/>
      <c r="M25" s="172"/>
      <c r="N25" s="3"/>
      <c r="O25" s="3"/>
      <c r="P25" s="10"/>
      <c r="Q25" s="10"/>
      <c r="R25" s="10"/>
      <c r="S25" s="3"/>
      <c r="T25" s="3"/>
      <c r="U25" s="3"/>
      <c r="V25" s="10"/>
      <c r="W25" s="10"/>
      <c r="X25" s="10"/>
      <c r="Y25" s="10"/>
      <c r="Z25" s="99"/>
      <c r="AA25" s="99"/>
      <c r="AB25" s="99"/>
      <c r="AC25" s="99"/>
      <c r="AD25" s="99"/>
      <c r="AE25" s="99"/>
      <c r="AF25" s="99"/>
      <c r="AG25" s="99"/>
      <c r="AH25" s="99"/>
      <c r="AI25" s="99"/>
      <c r="AJ25" s="99"/>
      <c r="AK25" s="99"/>
      <c r="AL25" s="99"/>
      <c r="AM25" s="99"/>
      <c r="AN25" s="99"/>
      <c r="AO25" s="99"/>
      <c r="AP25" s="99"/>
      <c r="AQ25" s="99"/>
      <c r="AR25" s="99"/>
      <c r="AS25" s="99"/>
      <c r="AT25" s="10"/>
    </row>
    <row r="26" spans="1:46" customFormat="1" ht="15" customHeight="1">
      <c r="A26" s="10"/>
      <c r="B26" s="175"/>
      <c r="C26" s="173"/>
      <c r="D26" s="223"/>
      <c r="E26" s="173"/>
      <c r="F26" s="449" t="s">
        <v>6489</v>
      </c>
      <c r="G26" s="173"/>
      <c r="H26" s="173"/>
      <c r="I26" s="173"/>
      <c r="J26" s="173"/>
      <c r="K26" s="173"/>
      <c r="L26" s="173"/>
      <c r="M26" s="172"/>
      <c r="N26" s="3"/>
      <c r="O26" s="3"/>
      <c r="P26" s="10"/>
      <c r="Q26" s="10"/>
      <c r="R26" s="10"/>
      <c r="S26" s="3"/>
      <c r="T26" s="3"/>
      <c r="U26" s="3"/>
      <c r="V26" s="10"/>
      <c r="W26" s="10"/>
      <c r="X26" s="10"/>
      <c r="Y26" s="10"/>
      <c r="Z26" s="99"/>
      <c r="AA26" s="99"/>
      <c r="AB26" s="99"/>
      <c r="AC26" s="99"/>
      <c r="AD26" s="99"/>
      <c r="AE26" s="99"/>
      <c r="AF26" s="99"/>
      <c r="AG26" s="99"/>
      <c r="AH26" s="99"/>
      <c r="AI26" s="99"/>
      <c r="AJ26" s="99"/>
      <c r="AK26" s="99"/>
      <c r="AL26" s="99"/>
      <c r="AM26" s="99"/>
      <c r="AN26" s="99"/>
      <c r="AO26" s="99"/>
      <c r="AP26" s="99"/>
      <c r="AQ26" s="99"/>
      <c r="AR26" s="99"/>
      <c r="AS26" s="99"/>
      <c r="AT26" s="10"/>
    </row>
    <row r="27" spans="1:46" customFormat="1" ht="7.5" customHeight="1">
      <c r="A27" s="10"/>
      <c r="B27" s="175"/>
      <c r="C27" s="173"/>
      <c r="D27" s="173"/>
      <c r="E27" s="173"/>
      <c r="F27" s="173"/>
      <c r="G27" s="173"/>
      <c r="H27" s="173"/>
      <c r="I27" s="173"/>
      <c r="J27" s="173"/>
      <c r="K27" s="456"/>
      <c r="L27" s="456"/>
      <c r="M27" s="172"/>
      <c r="N27" s="3"/>
      <c r="O27" s="3"/>
      <c r="P27" s="10"/>
      <c r="Q27" s="10"/>
      <c r="R27" s="10"/>
      <c r="S27" s="3"/>
      <c r="T27" s="3"/>
      <c r="U27" s="3"/>
      <c r="V27" s="10"/>
      <c r="W27" s="10"/>
      <c r="X27" s="10"/>
      <c r="Y27" s="10"/>
      <c r="Z27" s="99"/>
      <c r="AA27" s="99"/>
      <c r="AB27" s="99"/>
      <c r="AC27" s="99"/>
      <c r="AD27" s="99"/>
      <c r="AE27" s="99"/>
      <c r="AF27" s="99"/>
      <c r="AG27" s="99"/>
      <c r="AH27" s="99"/>
      <c r="AI27" s="99"/>
      <c r="AJ27" s="99"/>
      <c r="AK27" s="99"/>
      <c r="AL27" s="99"/>
      <c r="AM27" s="99"/>
      <c r="AN27" s="99"/>
      <c r="AO27" s="99"/>
      <c r="AP27" s="99"/>
      <c r="AQ27" s="99"/>
      <c r="AR27" s="99"/>
      <c r="AS27" s="99"/>
      <c r="AT27" s="10"/>
    </row>
    <row r="28" spans="1:46" customFormat="1" ht="24.75" customHeight="1">
      <c r="A28" s="10"/>
      <c r="B28" s="175"/>
      <c r="C28" s="1053" t="s">
        <v>6490</v>
      </c>
      <c r="D28" s="1054"/>
      <c r="E28" s="1054"/>
      <c r="F28" s="1054"/>
      <c r="G28" s="1054"/>
      <c r="H28" s="1054"/>
      <c r="I28" s="1054"/>
      <c r="J28" s="1054"/>
      <c r="K28" s="173"/>
      <c r="L28" s="534" t="s">
        <v>6491</v>
      </c>
      <c r="M28" s="172"/>
      <c r="N28" s="3"/>
      <c r="O28" s="3"/>
      <c r="P28" s="10"/>
      <c r="Q28" s="10"/>
      <c r="R28" s="10"/>
      <c r="S28" s="3"/>
      <c r="T28" s="3"/>
      <c r="U28" s="3"/>
      <c r="V28" s="10"/>
      <c r="W28" s="10"/>
      <c r="X28" s="10"/>
      <c r="Y28" s="10"/>
      <c r="Z28" s="99"/>
      <c r="AA28" s="99"/>
      <c r="AB28" s="99"/>
      <c r="AC28" s="99"/>
      <c r="AD28" s="99"/>
      <c r="AE28" s="99"/>
      <c r="AF28" s="99"/>
      <c r="AG28" s="99"/>
      <c r="AH28" s="99"/>
      <c r="AI28" s="99"/>
      <c r="AJ28" s="99"/>
      <c r="AK28" s="99"/>
      <c r="AL28" s="99"/>
      <c r="AM28" s="99"/>
      <c r="AN28" s="99"/>
      <c r="AO28" s="99"/>
      <c r="AP28" s="99"/>
      <c r="AQ28" s="99"/>
      <c r="AR28" s="99"/>
      <c r="AS28" s="99"/>
      <c r="AT28" s="10"/>
    </row>
    <row r="29" spans="1:46" customFormat="1" ht="15.75" customHeight="1">
      <c r="A29" s="10"/>
      <c r="B29" s="175"/>
      <c r="C29" s="1054"/>
      <c r="D29" s="1054"/>
      <c r="E29" s="1054"/>
      <c r="F29" s="1054"/>
      <c r="G29" s="1054"/>
      <c r="H29" s="1054"/>
      <c r="I29" s="1054"/>
      <c r="J29" s="1054"/>
      <c r="K29" s="173"/>
      <c r="L29" s="224"/>
      <c r="M29" s="172"/>
      <c r="N29" s="3"/>
      <c r="O29" s="3"/>
      <c r="P29" s="10"/>
      <c r="Q29" s="10"/>
      <c r="R29" s="10"/>
      <c r="S29" s="3"/>
      <c r="T29" s="3"/>
      <c r="U29" s="3"/>
      <c r="V29" s="10"/>
      <c r="W29" s="10"/>
      <c r="X29" s="10"/>
      <c r="Y29" s="10"/>
      <c r="Z29" s="99"/>
      <c r="AA29" s="99"/>
      <c r="AB29" s="99"/>
      <c r="AC29" s="99"/>
      <c r="AD29" s="99"/>
      <c r="AE29" s="99"/>
      <c r="AF29" s="99"/>
      <c r="AG29" s="99"/>
      <c r="AH29" s="99"/>
      <c r="AI29" s="99"/>
      <c r="AJ29" s="99"/>
      <c r="AK29" s="99"/>
      <c r="AL29" s="99"/>
      <c r="AM29" s="99"/>
      <c r="AN29" s="99"/>
      <c r="AO29" s="99"/>
      <c r="AP29" s="99"/>
      <c r="AQ29" s="99"/>
      <c r="AR29" s="99"/>
      <c r="AS29" s="99"/>
      <c r="AT29" s="10"/>
    </row>
    <row r="30" spans="1:46" s="99" customFormat="1" ht="16.5" customHeight="1">
      <c r="A30" s="10"/>
      <c r="B30" s="175"/>
      <c r="C30" s="747"/>
      <c r="D30" s="747"/>
      <c r="E30" s="747"/>
      <c r="F30" s="747"/>
      <c r="G30" s="747"/>
      <c r="H30" s="747"/>
      <c r="I30" s="747"/>
      <c r="J30" s="213"/>
      <c r="K30" s="173"/>
      <c r="L30" s="173"/>
      <c r="M30" s="172"/>
      <c r="N30" s="3"/>
      <c r="O30" s="3"/>
      <c r="P30" s="10"/>
      <c r="Q30" s="10"/>
      <c r="R30" s="10"/>
      <c r="S30" s="3"/>
      <c r="T30" s="3"/>
      <c r="U30" s="3"/>
      <c r="V30" s="10"/>
      <c r="W30" s="10"/>
      <c r="X30" s="10"/>
      <c r="Y30" s="10"/>
      <c r="AT30" s="10"/>
    </row>
    <row r="31" spans="1:46" customFormat="1">
      <c r="A31" s="10"/>
      <c r="B31" s="175"/>
      <c r="C31" s="1052" t="s">
        <v>6492</v>
      </c>
      <c r="D31" s="851"/>
      <c r="E31" s="851"/>
      <c r="F31" s="851"/>
      <c r="G31" s="851"/>
      <c r="H31" s="851"/>
      <c r="I31" s="851"/>
      <c r="J31" s="851"/>
      <c r="K31" s="851"/>
      <c r="L31" s="851"/>
      <c r="M31" s="172"/>
      <c r="N31" s="3"/>
      <c r="O31" s="3"/>
      <c r="P31" s="10"/>
      <c r="Q31" s="10"/>
      <c r="R31" s="10"/>
      <c r="S31" s="3"/>
      <c r="T31" s="3"/>
      <c r="U31" s="3"/>
      <c r="V31" s="10"/>
      <c r="W31" s="10"/>
      <c r="X31" s="10"/>
      <c r="Y31" s="10"/>
      <c r="Z31" s="99"/>
      <c r="AA31" s="99"/>
      <c r="AB31" s="99"/>
      <c r="AC31" s="99"/>
      <c r="AD31" s="99"/>
      <c r="AE31" s="99"/>
      <c r="AF31" s="99"/>
      <c r="AG31" s="99"/>
      <c r="AH31" s="99"/>
      <c r="AI31" s="99"/>
      <c r="AJ31" s="99"/>
      <c r="AK31" s="99"/>
      <c r="AL31" s="99"/>
      <c r="AM31" s="99"/>
      <c r="AN31" s="99"/>
      <c r="AO31" s="99"/>
      <c r="AP31" s="99"/>
      <c r="AQ31" s="99"/>
      <c r="AR31" s="99"/>
      <c r="AS31" s="99"/>
      <c r="AT31" s="10"/>
    </row>
    <row r="32" spans="1:46" customFormat="1">
      <c r="A32" s="10"/>
      <c r="B32" s="175"/>
      <c r="C32" s="851"/>
      <c r="D32" s="851"/>
      <c r="E32" s="851"/>
      <c r="F32" s="851"/>
      <c r="G32" s="851"/>
      <c r="H32" s="851"/>
      <c r="I32" s="851"/>
      <c r="J32" s="851"/>
      <c r="K32" s="851"/>
      <c r="L32" s="851"/>
      <c r="M32" s="172"/>
      <c r="N32" s="3"/>
      <c r="O32" s="3"/>
      <c r="P32" s="10"/>
      <c r="Q32" s="10"/>
      <c r="R32" s="10"/>
      <c r="S32" s="3"/>
      <c r="T32" s="3"/>
      <c r="U32" s="3"/>
      <c r="V32" s="10"/>
      <c r="W32" s="10"/>
      <c r="X32" s="10"/>
      <c r="Y32" s="10"/>
      <c r="Z32" s="99"/>
      <c r="AA32" s="99"/>
      <c r="AB32" s="99"/>
      <c r="AC32" s="99"/>
      <c r="AD32" s="99"/>
      <c r="AE32" s="99"/>
      <c r="AF32" s="99"/>
      <c r="AG32" s="99"/>
      <c r="AH32" s="99"/>
      <c r="AI32" s="99"/>
      <c r="AJ32" s="99"/>
      <c r="AK32" s="99"/>
      <c r="AL32" s="99"/>
      <c r="AM32" s="99"/>
      <c r="AN32" s="99"/>
      <c r="AO32" s="99"/>
      <c r="AP32" s="99"/>
      <c r="AQ32" s="99"/>
      <c r="AR32" s="99"/>
      <c r="AS32" s="99"/>
      <c r="AT32" s="10"/>
    </row>
    <row r="33" spans="1:46" customFormat="1" ht="7.5" customHeight="1">
      <c r="A33" s="10"/>
      <c r="B33" s="175"/>
      <c r="C33" s="173"/>
      <c r="D33" s="173"/>
      <c r="E33" s="173"/>
      <c r="F33" s="173"/>
      <c r="G33" s="173"/>
      <c r="H33" s="173"/>
      <c r="I33" s="173"/>
      <c r="J33" s="173"/>
      <c r="K33" s="173"/>
      <c r="L33" s="173"/>
      <c r="M33" s="172"/>
      <c r="N33" s="3"/>
      <c r="O33" s="3"/>
      <c r="P33" s="10"/>
      <c r="Q33" s="10"/>
      <c r="R33" s="10"/>
      <c r="S33" s="3"/>
      <c r="T33" s="3"/>
      <c r="U33" s="3"/>
      <c r="V33" s="10"/>
      <c r="W33" s="10"/>
      <c r="X33" s="10"/>
      <c r="Y33" s="10"/>
      <c r="Z33" s="99"/>
      <c r="AA33" s="99"/>
      <c r="AB33" s="99"/>
      <c r="AC33" s="99"/>
      <c r="AD33" s="99"/>
      <c r="AE33" s="99"/>
      <c r="AF33" s="99"/>
      <c r="AG33" s="99"/>
      <c r="AH33" s="99"/>
      <c r="AI33" s="99"/>
      <c r="AJ33" s="99"/>
      <c r="AK33" s="99"/>
      <c r="AL33" s="99"/>
      <c r="AM33" s="99"/>
      <c r="AN33" s="99"/>
      <c r="AO33" s="99"/>
      <c r="AP33" s="99"/>
      <c r="AQ33" s="99"/>
      <c r="AR33" s="99"/>
      <c r="AS33" s="99"/>
      <c r="AT33" s="10"/>
    </row>
    <row r="34" spans="1:46" s="99" customFormat="1" ht="85.5" customHeight="1">
      <c r="A34" s="10"/>
      <c r="B34" s="175"/>
      <c r="C34" s="454" t="s">
        <v>6493</v>
      </c>
      <c r="D34" s="1057" t="s">
        <v>6494</v>
      </c>
      <c r="E34" s="1058"/>
      <c r="F34" s="1058"/>
      <c r="G34" s="1058"/>
      <c r="H34" s="1058"/>
      <c r="I34" s="1058"/>
      <c r="J34" s="1058"/>
      <c r="K34" s="1058"/>
      <c r="L34" s="1059"/>
      <c r="M34" s="172"/>
      <c r="N34" s="3"/>
      <c r="O34" s="3"/>
      <c r="P34" s="10"/>
      <c r="Q34" s="10"/>
      <c r="R34" s="10"/>
      <c r="S34" s="3"/>
      <c r="T34" s="3"/>
      <c r="U34" s="3"/>
      <c r="V34" s="10"/>
      <c r="W34" s="10"/>
      <c r="X34" s="10"/>
      <c r="Y34" s="10"/>
      <c r="AT34" s="10"/>
    </row>
    <row r="35" spans="1:46" s="99" customFormat="1" ht="5.25" customHeight="1">
      <c r="A35" s="10"/>
      <c r="B35" s="175"/>
      <c r="C35" s="173"/>
      <c r="D35" s="173"/>
      <c r="E35" s="173"/>
      <c r="F35" s="173"/>
      <c r="G35" s="173"/>
      <c r="H35" s="173"/>
      <c r="I35" s="173"/>
      <c r="J35" s="173"/>
      <c r="K35" s="173"/>
      <c r="L35" s="173"/>
      <c r="M35" s="172"/>
      <c r="N35" s="3"/>
      <c r="O35" s="3"/>
      <c r="P35" s="10"/>
      <c r="Q35" s="10"/>
      <c r="R35" s="10"/>
      <c r="S35" s="10"/>
      <c r="T35" s="10"/>
      <c r="U35" s="10"/>
      <c r="V35" s="10"/>
      <c r="W35" s="10"/>
      <c r="X35" s="10"/>
      <c r="Y35" s="10"/>
      <c r="AT35" s="10"/>
    </row>
    <row r="36" spans="1:46" s="99" customFormat="1" ht="15.75" customHeight="1">
      <c r="A36" s="10"/>
      <c r="B36" s="175"/>
      <c r="C36" s="456"/>
      <c r="D36" s="1024"/>
      <c r="E36" s="1025"/>
      <c r="F36" s="1025"/>
      <c r="G36" s="1025"/>
      <c r="H36" s="1025"/>
      <c r="I36" s="1025"/>
      <c r="J36" s="1025"/>
      <c r="K36" s="1025"/>
      <c r="L36" s="1026"/>
      <c r="M36" s="172"/>
      <c r="N36" s="3"/>
      <c r="O36" s="3"/>
      <c r="P36" s="10"/>
      <c r="Q36" s="10"/>
      <c r="R36" s="10"/>
      <c r="S36" s="10"/>
      <c r="T36" s="10"/>
      <c r="U36" s="10"/>
      <c r="V36" s="10"/>
      <c r="W36" s="10"/>
      <c r="X36" s="10"/>
      <c r="Y36" s="10"/>
      <c r="AT36" s="10"/>
    </row>
    <row r="37" spans="1:46" s="99" customFormat="1" ht="100.5" customHeight="1">
      <c r="A37" s="10"/>
      <c r="B37" s="175"/>
      <c r="C37" s="456"/>
      <c r="D37" s="1027"/>
      <c r="E37" s="1028"/>
      <c r="F37" s="1028"/>
      <c r="G37" s="1028"/>
      <c r="H37" s="1028"/>
      <c r="I37" s="1028"/>
      <c r="J37" s="1028"/>
      <c r="K37" s="1028"/>
      <c r="L37" s="1029"/>
      <c r="M37" s="172"/>
      <c r="N37" s="3"/>
      <c r="O37" s="3"/>
      <c r="P37" s="3"/>
      <c r="Q37" s="3"/>
      <c r="R37" s="3"/>
      <c r="S37" s="3"/>
      <c r="T37" s="3"/>
      <c r="U37" s="3"/>
      <c r="V37" s="3"/>
      <c r="W37" s="3"/>
      <c r="X37" s="3"/>
      <c r="Y37" s="10"/>
      <c r="AT37" s="10"/>
    </row>
    <row r="38" spans="1:46" customFormat="1" ht="7.5" customHeight="1">
      <c r="A38" s="10"/>
      <c r="B38" s="175"/>
      <c r="C38" s="173"/>
      <c r="D38" s="453"/>
      <c r="E38" s="453"/>
      <c r="F38" s="453"/>
      <c r="G38" s="453"/>
      <c r="H38" s="453"/>
      <c r="I38" s="453"/>
      <c r="J38" s="453"/>
      <c r="K38" s="453"/>
      <c r="L38" s="453"/>
      <c r="M38" s="172"/>
      <c r="N38" s="3"/>
      <c r="O38" s="3"/>
      <c r="P38" s="10"/>
      <c r="Q38" s="10"/>
      <c r="R38" s="10"/>
      <c r="S38" s="10"/>
      <c r="T38" s="10"/>
      <c r="U38" s="10"/>
      <c r="V38" s="10"/>
      <c r="W38" s="10"/>
      <c r="X38" s="10"/>
      <c r="Y38" s="3"/>
      <c r="Z38" s="99"/>
      <c r="AA38" s="99"/>
      <c r="AB38" s="99"/>
      <c r="AC38" s="99"/>
      <c r="AD38" s="99"/>
      <c r="AE38" s="99"/>
      <c r="AF38" s="99"/>
      <c r="AG38" s="99"/>
      <c r="AH38" s="99"/>
      <c r="AI38" s="99"/>
      <c r="AJ38" s="99"/>
      <c r="AK38" s="99"/>
      <c r="AL38" s="99"/>
      <c r="AM38" s="99"/>
      <c r="AN38" s="99"/>
      <c r="AO38" s="99"/>
      <c r="AP38" s="99"/>
      <c r="AQ38" s="99"/>
      <c r="AR38" s="99"/>
      <c r="AS38" s="99"/>
      <c r="AT38" s="10"/>
    </row>
    <row r="39" spans="1:46" customFormat="1" ht="18.95">
      <c r="A39" s="10"/>
      <c r="B39" s="175"/>
      <c r="C39" s="452" t="s">
        <v>6495</v>
      </c>
      <c r="D39" s="451"/>
      <c r="E39" s="451"/>
      <c r="F39" s="451"/>
      <c r="G39" s="451"/>
      <c r="H39" s="451"/>
      <c r="I39" s="451"/>
      <c r="J39" s="451"/>
      <c r="K39" s="173"/>
      <c r="L39" s="173"/>
      <c r="M39" s="172"/>
      <c r="N39" s="3"/>
      <c r="O39" s="3"/>
      <c r="P39" s="10"/>
      <c r="Q39" s="10"/>
      <c r="R39" s="10"/>
      <c r="S39" s="10"/>
      <c r="T39" s="10"/>
      <c r="U39" s="10"/>
      <c r="V39" s="10"/>
      <c r="W39" s="10"/>
      <c r="X39" s="10"/>
      <c r="Y39" s="3"/>
      <c r="Z39" s="99"/>
      <c r="AA39" s="99"/>
      <c r="AB39" s="99"/>
      <c r="AC39" s="99"/>
      <c r="AD39" s="99"/>
      <c r="AE39" s="99"/>
      <c r="AF39" s="99"/>
      <c r="AG39" s="99"/>
      <c r="AH39" s="99"/>
      <c r="AI39" s="99"/>
      <c r="AJ39" s="99"/>
      <c r="AK39" s="99"/>
      <c r="AL39" s="99"/>
      <c r="AM39" s="99"/>
      <c r="AN39" s="99"/>
      <c r="AO39" s="99"/>
      <c r="AP39" s="99"/>
      <c r="AQ39" s="99"/>
      <c r="AR39" s="99"/>
      <c r="AS39" s="99"/>
      <c r="AT39" s="10"/>
    </row>
    <row r="40" spans="1:46" customFormat="1" ht="15" customHeight="1">
      <c r="A40" s="10"/>
      <c r="B40" s="175"/>
      <c r="C40" s="1030" t="s">
        <v>6496</v>
      </c>
      <c r="D40" s="1030"/>
      <c r="E40" s="1030"/>
      <c r="F40" s="1030"/>
      <c r="G40" s="1030"/>
      <c r="H40" s="1030"/>
      <c r="I40" s="1030"/>
      <c r="J40" s="1030"/>
      <c r="K40" s="1030"/>
      <c r="L40" s="1030"/>
      <c r="M40" s="172"/>
      <c r="N40" s="3"/>
      <c r="O40" s="3"/>
      <c r="P40" s="10"/>
      <c r="Q40" s="10"/>
      <c r="R40" s="10"/>
      <c r="S40" s="10"/>
      <c r="T40" s="10"/>
      <c r="U40" s="10"/>
      <c r="V40" s="10"/>
      <c r="W40" s="10"/>
      <c r="X40" s="10"/>
      <c r="Y40" s="3"/>
      <c r="Z40" s="99"/>
      <c r="AA40" s="99"/>
      <c r="AB40" s="99"/>
      <c r="AC40" s="99"/>
      <c r="AD40" s="99"/>
      <c r="AE40" s="99"/>
      <c r="AF40" s="99"/>
      <c r="AG40" s="99"/>
      <c r="AH40" s="99"/>
      <c r="AI40" s="99"/>
      <c r="AJ40" s="99"/>
      <c r="AK40" s="99"/>
      <c r="AL40" s="99"/>
      <c r="AM40" s="99"/>
      <c r="AN40" s="99"/>
      <c r="AO40" s="99"/>
      <c r="AP40" s="99"/>
      <c r="AQ40" s="99"/>
      <c r="AR40" s="99"/>
      <c r="AS40" s="99"/>
      <c r="AT40" s="10"/>
    </row>
    <row r="41" spans="1:46" customFormat="1" ht="15" customHeight="1">
      <c r="A41" s="10"/>
      <c r="B41" s="175"/>
      <c r="C41" s="173"/>
      <c r="D41" s="173"/>
      <c r="E41" s="173"/>
      <c r="F41" s="173"/>
      <c r="G41" s="173"/>
      <c r="H41" s="173"/>
      <c r="I41" s="173"/>
      <c r="J41" s="173"/>
      <c r="K41" s="173"/>
      <c r="L41" s="173"/>
      <c r="M41" s="172"/>
      <c r="N41" s="3"/>
      <c r="O41" s="3"/>
      <c r="P41" s="10"/>
      <c r="Q41" s="10"/>
      <c r="R41" s="10"/>
      <c r="S41" s="10"/>
      <c r="T41" s="10"/>
      <c r="U41" s="10"/>
      <c r="V41" s="10"/>
      <c r="W41" s="10"/>
      <c r="X41" s="10"/>
      <c r="Y41" s="3"/>
      <c r="Z41" s="99"/>
      <c r="AA41" s="99"/>
      <c r="AB41" s="99"/>
      <c r="AC41" s="99"/>
      <c r="AD41" s="99"/>
      <c r="AE41" s="99"/>
      <c r="AF41" s="99"/>
      <c r="AG41" s="99"/>
      <c r="AH41" s="99"/>
      <c r="AI41" s="99"/>
      <c r="AJ41" s="99"/>
      <c r="AK41" s="99"/>
      <c r="AL41" s="99"/>
      <c r="AM41" s="99"/>
      <c r="AN41" s="99"/>
      <c r="AO41" s="99"/>
      <c r="AP41" s="99"/>
      <c r="AQ41" s="99"/>
      <c r="AR41" s="99"/>
      <c r="AS41" s="99"/>
      <c r="AT41" s="10"/>
    </row>
    <row r="42" spans="1:46" s="99" customFormat="1" ht="15" customHeight="1">
      <c r="A42" s="10"/>
      <c r="B42" s="175"/>
      <c r="C42" s="455" t="s">
        <v>6493</v>
      </c>
      <c r="D42" s="1043" t="s">
        <v>6497</v>
      </c>
      <c r="E42" s="1044"/>
      <c r="F42" s="1044"/>
      <c r="G42" s="1044"/>
      <c r="H42" s="1044"/>
      <c r="I42" s="1044"/>
      <c r="J42" s="1044"/>
      <c r="K42" s="1044"/>
      <c r="L42" s="1045"/>
      <c r="M42" s="172"/>
      <c r="N42" s="3"/>
      <c r="O42" s="3"/>
      <c r="P42" s="10"/>
      <c r="Q42" s="10"/>
      <c r="R42" s="10"/>
      <c r="S42" s="10"/>
      <c r="T42" s="10"/>
      <c r="U42" s="10"/>
      <c r="V42" s="10"/>
      <c r="W42" s="10"/>
      <c r="X42" s="10"/>
      <c r="Y42" s="3"/>
      <c r="AT42" s="10"/>
    </row>
    <row r="43" spans="1:46" s="99" customFormat="1" ht="3" customHeight="1">
      <c r="A43" s="10"/>
      <c r="B43" s="175"/>
      <c r="C43" s="173"/>
      <c r="D43" s="1046"/>
      <c r="E43" s="1047"/>
      <c r="F43" s="1047"/>
      <c r="G43" s="1047"/>
      <c r="H43" s="1047"/>
      <c r="I43" s="1047"/>
      <c r="J43" s="1047"/>
      <c r="K43" s="1047"/>
      <c r="L43" s="1048"/>
      <c r="M43" s="172"/>
      <c r="N43" s="3"/>
      <c r="O43" s="3"/>
      <c r="P43" s="10"/>
      <c r="Q43" s="10"/>
      <c r="R43" s="10"/>
      <c r="S43" s="10"/>
      <c r="T43" s="10"/>
      <c r="U43" s="10"/>
      <c r="V43" s="10"/>
      <c r="W43" s="10"/>
      <c r="X43" s="10"/>
      <c r="Y43" s="3"/>
      <c r="AT43" s="10"/>
    </row>
    <row r="44" spans="1:46" s="99" customFormat="1">
      <c r="A44" s="10"/>
      <c r="B44" s="175"/>
      <c r="C44" s="173"/>
      <c r="D44" s="1046"/>
      <c r="E44" s="1047"/>
      <c r="F44" s="1047"/>
      <c r="G44" s="1047"/>
      <c r="H44" s="1047"/>
      <c r="I44" s="1047"/>
      <c r="J44" s="1047"/>
      <c r="K44" s="1047"/>
      <c r="L44" s="1048"/>
      <c r="M44" s="172"/>
      <c r="N44" s="3"/>
      <c r="O44" s="3"/>
      <c r="P44" s="10"/>
      <c r="Q44" s="10"/>
      <c r="R44" s="10"/>
      <c r="S44" s="10"/>
      <c r="T44" s="10"/>
      <c r="U44" s="10"/>
      <c r="V44" s="10"/>
      <c r="W44" s="10"/>
      <c r="X44" s="10"/>
      <c r="Y44" s="10"/>
      <c r="AT44" s="10"/>
    </row>
    <row r="45" spans="1:46" s="99" customFormat="1" ht="17.25" customHeight="1">
      <c r="A45" s="10"/>
      <c r="B45" s="175"/>
      <c r="C45" s="173"/>
      <c r="D45" s="1046"/>
      <c r="E45" s="1047"/>
      <c r="F45" s="1047"/>
      <c r="G45" s="1047"/>
      <c r="H45" s="1047"/>
      <c r="I45" s="1047"/>
      <c r="J45" s="1047"/>
      <c r="K45" s="1047"/>
      <c r="L45" s="1048"/>
      <c r="M45" s="172"/>
      <c r="N45" s="3"/>
      <c r="O45" s="3"/>
      <c r="P45" s="10"/>
      <c r="Q45" s="10"/>
      <c r="R45" s="10"/>
      <c r="S45" s="10"/>
      <c r="T45" s="10"/>
      <c r="U45" s="10"/>
      <c r="V45" s="10"/>
      <c r="W45" s="10"/>
      <c r="X45" s="10"/>
      <c r="Y45" s="10"/>
      <c r="AT45" s="10"/>
    </row>
    <row r="46" spans="1:46" s="99" customFormat="1" ht="2.25" customHeight="1">
      <c r="A46" s="10"/>
      <c r="B46" s="175"/>
      <c r="C46" s="173"/>
      <c r="D46" s="1049"/>
      <c r="E46" s="1050"/>
      <c r="F46" s="1050"/>
      <c r="G46" s="1050"/>
      <c r="H46" s="1050"/>
      <c r="I46" s="1050"/>
      <c r="J46" s="1050"/>
      <c r="K46" s="1050"/>
      <c r="L46" s="1051"/>
      <c r="M46" s="172"/>
      <c r="N46" s="3"/>
      <c r="O46" s="3"/>
      <c r="P46" s="10"/>
      <c r="Q46" s="10"/>
      <c r="R46" s="10"/>
      <c r="S46" s="10"/>
      <c r="T46" s="10"/>
      <c r="U46" s="10"/>
      <c r="V46" s="10"/>
      <c r="W46" s="10"/>
      <c r="X46" s="10"/>
      <c r="Y46" s="10"/>
      <c r="AT46" s="10"/>
    </row>
    <row r="47" spans="1:46" s="99" customFormat="1" ht="5.25" customHeight="1">
      <c r="A47" s="10"/>
      <c r="B47" s="175"/>
      <c r="C47" s="173"/>
      <c r="D47" s="173"/>
      <c r="E47" s="173"/>
      <c r="F47" s="173"/>
      <c r="G47" s="173"/>
      <c r="H47" s="173"/>
      <c r="I47" s="173"/>
      <c r="J47" s="173"/>
      <c r="K47" s="173"/>
      <c r="L47" s="173"/>
      <c r="M47" s="172"/>
      <c r="N47" s="3"/>
      <c r="O47" s="3"/>
      <c r="P47" s="10"/>
      <c r="Q47" s="10"/>
      <c r="R47" s="10"/>
      <c r="S47" s="10"/>
      <c r="T47" s="10"/>
      <c r="U47" s="10"/>
      <c r="V47" s="10"/>
      <c r="W47" s="10"/>
      <c r="X47" s="10"/>
      <c r="Y47" s="10"/>
      <c r="AT47" s="10"/>
    </row>
    <row r="48" spans="1:46" s="99" customFormat="1" ht="15.75" customHeight="1">
      <c r="A48" s="10"/>
      <c r="B48" s="175"/>
      <c r="C48" s="456"/>
      <c r="D48" s="1024"/>
      <c r="E48" s="1025"/>
      <c r="F48" s="1025"/>
      <c r="G48" s="1025"/>
      <c r="H48" s="1025"/>
      <c r="I48" s="1025"/>
      <c r="J48" s="1025"/>
      <c r="K48" s="1025"/>
      <c r="L48" s="1026"/>
      <c r="M48" s="172"/>
      <c r="N48" s="3"/>
      <c r="O48" s="3"/>
      <c r="P48" s="10"/>
      <c r="Q48" s="10"/>
      <c r="R48" s="10"/>
      <c r="S48" s="10"/>
      <c r="T48" s="10"/>
      <c r="U48" s="10"/>
      <c r="V48" s="10"/>
      <c r="W48" s="10"/>
      <c r="X48" s="10"/>
      <c r="Y48" s="10"/>
      <c r="AT48" s="10"/>
    </row>
    <row r="49" spans="1:46" s="99" customFormat="1" ht="100.5" customHeight="1">
      <c r="A49" s="10"/>
      <c r="B49" s="175"/>
      <c r="C49" s="456"/>
      <c r="D49" s="1027"/>
      <c r="E49" s="1028"/>
      <c r="F49" s="1028"/>
      <c r="G49" s="1028"/>
      <c r="H49" s="1028"/>
      <c r="I49" s="1028"/>
      <c r="J49" s="1028"/>
      <c r="K49" s="1028"/>
      <c r="L49" s="1029"/>
      <c r="M49" s="172"/>
      <c r="N49" s="3"/>
      <c r="O49" s="3"/>
      <c r="P49" s="3"/>
      <c r="Q49" s="3"/>
      <c r="R49" s="3"/>
      <c r="S49" s="3"/>
      <c r="T49" s="3"/>
      <c r="U49" s="3"/>
      <c r="V49" s="3"/>
      <c r="W49" s="3"/>
      <c r="X49" s="3"/>
      <c r="Y49" s="10"/>
      <c r="AT49" s="10"/>
    </row>
    <row r="50" spans="1:46" customFormat="1">
      <c r="A50" s="10"/>
      <c r="B50" s="175"/>
      <c r="C50" s="1042" t="s">
        <v>6498</v>
      </c>
      <c r="D50" s="1042"/>
      <c r="E50" s="1042"/>
      <c r="F50" s="1042"/>
      <c r="G50" s="1042"/>
      <c r="H50" s="1042"/>
      <c r="I50" s="1042"/>
      <c r="J50" s="173"/>
      <c r="K50" s="173"/>
      <c r="L50" s="173"/>
      <c r="M50" s="172"/>
      <c r="N50" s="3"/>
      <c r="O50" s="3"/>
      <c r="P50" s="10"/>
      <c r="Q50" s="10"/>
      <c r="R50" s="10"/>
      <c r="S50" s="10"/>
      <c r="T50" s="10"/>
      <c r="U50" s="10"/>
      <c r="V50" s="10"/>
      <c r="W50" s="10"/>
      <c r="X50" s="10"/>
      <c r="Y50" s="10"/>
      <c r="Z50" s="99"/>
      <c r="AA50" s="99"/>
      <c r="AB50" s="99"/>
      <c r="AC50" s="99"/>
      <c r="AD50" s="99"/>
      <c r="AE50" s="99"/>
      <c r="AF50" s="99"/>
      <c r="AG50" s="99"/>
      <c r="AH50" s="99"/>
      <c r="AI50" s="99"/>
      <c r="AJ50" s="99"/>
      <c r="AK50" s="99"/>
      <c r="AL50" s="99"/>
      <c r="AM50" s="99"/>
      <c r="AN50" s="99"/>
      <c r="AO50" s="99"/>
      <c r="AP50" s="99"/>
      <c r="AQ50" s="99"/>
      <c r="AR50" s="99"/>
      <c r="AS50" s="99"/>
      <c r="AT50" s="10"/>
    </row>
    <row r="51" spans="1:46" customFormat="1">
      <c r="A51" s="10"/>
      <c r="B51" s="175"/>
      <c r="C51" s="1042"/>
      <c r="D51" s="1042"/>
      <c r="E51" s="1042"/>
      <c r="F51" s="1042"/>
      <c r="G51" s="1042"/>
      <c r="H51" s="1042"/>
      <c r="I51" s="1042"/>
      <c r="J51" s="456"/>
      <c r="K51" s="1062" t="s">
        <v>6484</v>
      </c>
      <c r="L51" s="456"/>
      <c r="M51" s="172"/>
      <c r="N51" s="3"/>
      <c r="O51" s="3"/>
      <c r="P51" s="10"/>
      <c r="Q51" s="10"/>
      <c r="R51" s="10"/>
      <c r="S51" s="10"/>
      <c r="T51" s="10"/>
      <c r="U51" s="10"/>
      <c r="V51" s="10"/>
      <c r="W51" s="10"/>
      <c r="X51" s="10"/>
      <c r="Y51" s="10"/>
      <c r="Z51" s="99"/>
      <c r="AA51" s="99"/>
      <c r="AB51" s="99"/>
      <c r="AC51" s="99"/>
      <c r="AD51" s="99"/>
      <c r="AE51" s="99"/>
      <c r="AF51" s="99"/>
      <c r="AG51" s="99"/>
      <c r="AH51" s="99"/>
      <c r="AI51" s="99"/>
      <c r="AJ51" s="99"/>
      <c r="AK51" s="99"/>
      <c r="AL51" s="99"/>
      <c r="AM51" s="99"/>
      <c r="AN51" s="99"/>
      <c r="AO51" s="99"/>
      <c r="AP51" s="99"/>
      <c r="AQ51" s="99"/>
      <c r="AR51" s="99"/>
      <c r="AS51" s="99"/>
      <c r="AT51" s="10"/>
    </row>
    <row r="52" spans="1:46" customFormat="1" ht="6.75" customHeight="1">
      <c r="A52" s="10"/>
      <c r="B52" s="175"/>
      <c r="C52" s="456"/>
      <c r="D52" s="456"/>
      <c r="E52" s="456"/>
      <c r="F52" s="456"/>
      <c r="G52" s="456"/>
      <c r="H52" s="456"/>
      <c r="I52" s="456"/>
      <c r="J52" s="456"/>
      <c r="K52" s="1062"/>
      <c r="L52" s="457"/>
      <c r="M52" s="172"/>
      <c r="N52" s="3"/>
      <c r="O52" s="3"/>
      <c r="P52" s="10"/>
      <c r="Q52" s="10"/>
      <c r="R52" s="10"/>
      <c r="S52" s="10"/>
      <c r="T52" s="10"/>
      <c r="U52" s="10"/>
      <c r="V52" s="10"/>
      <c r="W52" s="10"/>
      <c r="X52" s="10"/>
      <c r="Y52" s="10"/>
      <c r="Z52" s="99"/>
      <c r="AA52" s="99"/>
      <c r="AB52" s="99"/>
      <c r="AC52" s="99"/>
      <c r="AD52" s="99"/>
      <c r="AE52" s="99"/>
      <c r="AF52" s="99"/>
      <c r="AG52" s="99"/>
      <c r="AH52" s="99"/>
      <c r="AI52" s="99"/>
      <c r="AJ52" s="99"/>
      <c r="AK52" s="99"/>
      <c r="AL52" s="99"/>
      <c r="AM52" s="99"/>
      <c r="AN52" s="99"/>
      <c r="AO52" s="99"/>
      <c r="AP52" s="99"/>
      <c r="AQ52" s="99"/>
      <c r="AR52" s="99"/>
      <c r="AS52" s="99"/>
      <c r="AT52" s="10"/>
    </row>
    <row r="53" spans="1:46" customFormat="1" ht="17.25" customHeight="1">
      <c r="A53" s="10"/>
      <c r="B53" s="175"/>
      <c r="C53" s="457" t="s">
        <v>6499</v>
      </c>
      <c r="D53" s="457"/>
      <c r="E53" s="457"/>
      <c r="F53" s="457"/>
      <c r="G53" s="457"/>
      <c r="H53" s="457"/>
      <c r="I53" s="457"/>
      <c r="J53" s="457"/>
      <c r="K53" s="224"/>
      <c r="L53" s="456"/>
      <c r="M53" s="172"/>
      <c r="N53" s="3"/>
      <c r="O53" s="3"/>
      <c r="P53" s="10"/>
      <c r="Q53" s="10"/>
      <c r="R53" s="10"/>
      <c r="S53" s="10"/>
      <c r="T53" s="10"/>
      <c r="U53" s="10"/>
      <c r="V53" s="10"/>
      <c r="W53" s="10"/>
      <c r="X53" s="10"/>
      <c r="Y53" s="10"/>
      <c r="Z53" s="99"/>
      <c r="AA53" s="99"/>
      <c r="AB53" s="99"/>
      <c r="AC53" s="99"/>
      <c r="AD53" s="99"/>
      <c r="AE53" s="99"/>
      <c r="AF53" s="99"/>
      <c r="AG53" s="99"/>
      <c r="AH53" s="99"/>
      <c r="AI53" s="99"/>
      <c r="AJ53" s="99"/>
      <c r="AK53" s="99"/>
      <c r="AL53" s="99"/>
      <c r="AM53" s="99"/>
      <c r="AN53" s="99"/>
      <c r="AO53" s="99"/>
      <c r="AP53" s="99"/>
      <c r="AQ53" s="99"/>
      <c r="AR53" s="99"/>
      <c r="AS53" s="99"/>
      <c r="AT53" s="10"/>
    </row>
    <row r="54" spans="1:46" customFormat="1" ht="36" customHeight="1">
      <c r="A54" s="10"/>
      <c r="B54" s="175"/>
      <c r="C54" s="1031" t="s">
        <v>6500</v>
      </c>
      <c r="D54" s="1032"/>
      <c r="E54" s="1032"/>
      <c r="F54" s="1032"/>
      <c r="G54" s="1032"/>
      <c r="H54" s="1032"/>
      <c r="I54" s="1032"/>
      <c r="J54" s="1032"/>
      <c r="K54" s="1032"/>
      <c r="L54" s="1032"/>
      <c r="M54" s="172"/>
      <c r="N54" s="3"/>
      <c r="O54" s="3"/>
      <c r="P54" s="10"/>
      <c r="Q54" s="10"/>
      <c r="R54" s="10"/>
      <c r="S54" s="10"/>
      <c r="T54" s="10"/>
      <c r="U54" s="10"/>
      <c r="V54" s="10"/>
      <c r="W54" s="10"/>
      <c r="X54" s="10"/>
      <c r="Y54" s="10"/>
      <c r="Z54" s="99"/>
      <c r="AA54" s="99"/>
      <c r="AB54" s="99"/>
      <c r="AC54" s="99"/>
      <c r="AD54" s="99"/>
      <c r="AE54" s="99"/>
      <c r="AF54" s="99"/>
      <c r="AG54" s="99"/>
      <c r="AH54" s="99"/>
      <c r="AI54" s="99"/>
      <c r="AJ54" s="99"/>
      <c r="AK54" s="99"/>
      <c r="AL54" s="99"/>
      <c r="AM54" s="99"/>
      <c r="AN54" s="99"/>
      <c r="AO54" s="99"/>
      <c r="AP54" s="99"/>
      <c r="AQ54" s="99"/>
      <c r="AR54" s="99"/>
      <c r="AS54" s="99"/>
      <c r="AT54" s="10"/>
    </row>
    <row r="55" spans="1:46" s="99" customFormat="1">
      <c r="A55" s="10"/>
      <c r="B55" s="175"/>
      <c r="C55" s="1060" t="s">
        <v>6501</v>
      </c>
      <c r="D55" s="1061"/>
      <c r="E55" s="1061"/>
      <c r="F55" s="1061"/>
      <c r="G55" s="1061"/>
      <c r="H55" s="1061"/>
      <c r="I55" s="1061"/>
      <c r="J55" s="1061"/>
      <c r="K55" s="1061"/>
      <c r="L55" s="1061"/>
      <c r="M55" s="172"/>
      <c r="N55" s="3"/>
      <c r="O55" s="3"/>
      <c r="P55" s="10"/>
      <c r="Q55" s="10"/>
      <c r="R55" s="10"/>
      <c r="S55" s="10"/>
      <c r="T55" s="10"/>
      <c r="U55" s="10"/>
      <c r="V55" s="10"/>
      <c r="W55" s="10"/>
      <c r="X55" s="10"/>
      <c r="Y55" s="10"/>
      <c r="AT55" s="10"/>
    </row>
    <row r="56" spans="1:46" customFormat="1" ht="15" customHeight="1">
      <c r="A56" s="10"/>
      <c r="B56" s="175"/>
      <c r="C56" s="1061"/>
      <c r="D56" s="1061"/>
      <c r="E56" s="1061"/>
      <c r="F56" s="1061"/>
      <c r="G56" s="1061"/>
      <c r="H56" s="1061"/>
      <c r="I56" s="1061"/>
      <c r="J56" s="1061"/>
      <c r="K56" s="1061"/>
      <c r="L56" s="1061"/>
      <c r="M56" s="172"/>
      <c r="N56" s="3"/>
      <c r="O56" s="3"/>
      <c r="P56" s="10"/>
      <c r="Q56" s="10"/>
      <c r="R56" s="10"/>
      <c r="S56" s="10"/>
      <c r="T56" s="10"/>
      <c r="U56" s="10"/>
      <c r="V56" s="10"/>
      <c r="W56" s="10"/>
      <c r="X56" s="10"/>
      <c r="Y56" s="10"/>
      <c r="Z56" s="99"/>
      <c r="AA56" s="99"/>
      <c r="AB56" s="99"/>
      <c r="AC56" s="99"/>
      <c r="AD56" s="99"/>
      <c r="AE56" s="99"/>
      <c r="AF56" s="99"/>
      <c r="AG56" s="99"/>
      <c r="AH56" s="99"/>
      <c r="AI56" s="99"/>
      <c r="AJ56" s="99"/>
      <c r="AK56" s="99"/>
      <c r="AL56" s="99"/>
      <c r="AM56" s="99"/>
      <c r="AN56" s="99"/>
      <c r="AO56" s="99"/>
      <c r="AP56" s="99"/>
      <c r="AQ56" s="99"/>
      <c r="AR56" s="99"/>
      <c r="AS56" s="99"/>
      <c r="AT56" s="10"/>
    </row>
    <row r="57" spans="1:46" s="99" customFormat="1" ht="7.5" customHeight="1">
      <c r="A57" s="10"/>
      <c r="B57" s="175"/>
      <c r="C57" s="458"/>
      <c r="D57" s="458"/>
      <c r="E57" s="458"/>
      <c r="F57" s="458"/>
      <c r="G57" s="458"/>
      <c r="H57" s="458"/>
      <c r="I57" s="458"/>
      <c r="J57" s="458"/>
      <c r="K57" s="458"/>
      <c r="L57" s="458"/>
      <c r="M57" s="172"/>
      <c r="N57" s="3"/>
      <c r="O57" s="3"/>
      <c r="P57" s="10"/>
      <c r="Q57" s="10"/>
      <c r="R57" s="10"/>
      <c r="S57" s="10"/>
      <c r="T57" s="10"/>
      <c r="U57" s="10"/>
      <c r="V57" s="10"/>
      <c r="W57" s="10"/>
      <c r="X57" s="10"/>
      <c r="Y57" s="10"/>
      <c r="AT57" s="10"/>
    </row>
    <row r="58" spans="1:46" s="99" customFormat="1">
      <c r="A58" s="10"/>
      <c r="B58" s="175"/>
      <c r="C58" s="459" t="s">
        <v>6493</v>
      </c>
      <c r="D58" s="1033" t="s">
        <v>6502</v>
      </c>
      <c r="E58" s="1034"/>
      <c r="F58" s="1034"/>
      <c r="G58" s="1034"/>
      <c r="H58" s="1034"/>
      <c r="I58" s="1034"/>
      <c r="J58" s="1034"/>
      <c r="K58" s="1034"/>
      <c r="L58" s="1035"/>
      <c r="M58" s="172"/>
      <c r="N58" s="3"/>
      <c r="O58" s="3"/>
      <c r="P58" s="10"/>
      <c r="Q58" s="10"/>
      <c r="R58" s="10"/>
      <c r="S58" s="10"/>
      <c r="T58" s="10"/>
      <c r="U58" s="10"/>
      <c r="V58" s="10"/>
      <c r="W58" s="10"/>
      <c r="X58" s="10"/>
      <c r="Y58" s="10"/>
      <c r="AT58" s="10"/>
    </row>
    <row r="59" spans="1:46" s="99" customFormat="1">
      <c r="A59" s="10"/>
      <c r="B59" s="175"/>
      <c r="C59" s="460"/>
      <c r="D59" s="1036"/>
      <c r="E59" s="1037"/>
      <c r="F59" s="1037"/>
      <c r="G59" s="1037"/>
      <c r="H59" s="1037"/>
      <c r="I59" s="1037"/>
      <c r="J59" s="1037"/>
      <c r="K59" s="1037"/>
      <c r="L59" s="1038"/>
      <c r="M59" s="172"/>
      <c r="N59" s="3"/>
      <c r="O59" s="3"/>
      <c r="P59" s="10"/>
      <c r="Q59" s="10"/>
      <c r="R59" s="10"/>
      <c r="S59" s="10"/>
      <c r="T59" s="10"/>
      <c r="U59" s="10"/>
      <c r="V59" s="10"/>
      <c r="W59" s="10"/>
      <c r="X59" s="10"/>
      <c r="Y59" s="10"/>
      <c r="AT59" s="10"/>
    </row>
    <row r="60" spans="1:46" s="99" customFormat="1">
      <c r="A60" s="10"/>
      <c r="B60" s="175"/>
      <c r="C60" s="460"/>
      <c r="D60" s="1039"/>
      <c r="E60" s="1040"/>
      <c r="F60" s="1040"/>
      <c r="G60" s="1040"/>
      <c r="H60" s="1040"/>
      <c r="I60" s="1040"/>
      <c r="J60" s="1040"/>
      <c r="K60" s="1040"/>
      <c r="L60" s="1041"/>
      <c r="M60" s="172"/>
      <c r="N60" s="3"/>
      <c r="O60" s="3"/>
      <c r="P60" s="10"/>
      <c r="Q60" s="10"/>
      <c r="R60" s="10"/>
      <c r="S60" s="10"/>
      <c r="T60" s="10"/>
      <c r="U60" s="10"/>
      <c r="V60" s="10"/>
      <c r="W60" s="10"/>
      <c r="X60" s="10"/>
      <c r="Y60" s="10"/>
      <c r="AT60" s="10"/>
    </row>
    <row r="61" spans="1:46" s="99" customFormat="1" ht="5.25" customHeight="1">
      <c r="A61" s="10"/>
      <c r="B61" s="175"/>
      <c r="C61" s="456"/>
      <c r="D61" s="456"/>
      <c r="E61" s="456"/>
      <c r="F61" s="456"/>
      <c r="G61" s="456"/>
      <c r="H61" s="456"/>
      <c r="I61" s="456"/>
      <c r="J61" s="456"/>
      <c r="K61" s="456"/>
      <c r="L61" s="456"/>
      <c r="M61" s="172"/>
      <c r="N61" s="3"/>
      <c r="O61" s="3"/>
      <c r="P61" s="10"/>
      <c r="Q61" s="10"/>
      <c r="R61" s="10"/>
      <c r="S61" s="10"/>
      <c r="T61" s="10"/>
      <c r="U61" s="10"/>
      <c r="V61" s="10"/>
      <c r="W61" s="10"/>
      <c r="X61" s="10"/>
      <c r="Y61" s="10"/>
      <c r="AT61" s="10"/>
    </row>
    <row r="62" spans="1:46" customFormat="1" ht="15.75" customHeight="1">
      <c r="A62" s="10"/>
      <c r="B62" s="175"/>
      <c r="C62" s="456"/>
      <c r="D62" s="1024"/>
      <c r="E62" s="1025"/>
      <c r="F62" s="1025"/>
      <c r="G62" s="1025"/>
      <c r="H62" s="1025"/>
      <c r="I62" s="1025"/>
      <c r="J62" s="1025"/>
      <c r="K62" s="1025"/>
      <c r="L62" s="1026"/>
      <c r="M62" s="172"/>
      <c r="N62" s="3"/>
      <c r="O62" s="3"/>
      <c r="P62" s="10"/>
      <c r="Q62" s="10"/>
      <c r="R62" s="10"/>
      <c r="S62" s="10"/>
      <c r="T62" s="10"/>
      <c r="U62" s="10"/>
      <c r="V62" s="10"/>
      <c r="W62" s="10"/>
      <c r="X62" s="10"/>
      <c r="Y62" s="10"/>
      <c r="Z62" s="99"/>
      <c r="AA62" s="99"/>
      <c r="AB62" s="99"/>
      <c r="AC62" s="99"/>
      <c r="AD62" s="99"/>
      <c r="AE62" s="99"/>
      <c r="AF62" s="99"/>
      <c r="AG62" s="99"/>
      <c r="AH62" s="99"/>
      <c r="AI62" s="99"/>
      <c r="AJ62" s="99"/>
      <c r="AK62" s="99"/>
      <c r="AL62" s="99"/>
      <c r="AM62" s="99"/>
      <c r="AN62" s="99"/>
      <c r="AO62" s="99"/>
      <c r="AP62" s="99"/>
      <c r="AQ62" s="99"/>
      <c r="AR62" s="99"/>
      <c r="AS62" s="99"/>
      <c r="AT62" s="10"/>
    </row>
    <row r="63" spans="1:46" customFormat="1" ht="100.5" customHeight="1">
      <c r="A63" s="10"/>
      <c r="B63" s="175"/>
      <c r="C63" s="456"/>
      <c r="D63" s="1027"/>
      <c r="E63" s="1028"/>
      <c r="F63" s="1028"/>
      <c r="G63" s="1028"/>
      <c r="H63" s="1028"/>
      <c r="I63" s="1028"/>
      <c r="J63" s="1028"/>
      <c r="K63" s="1028"/>
      <c r="L63" s="1029"/>
      <c r="M63" s="172"/>
      <c r="N63" s="3"/>
      <c r="O63" s="3"/>
      <c r="P63" s="3"/>
      <c r="Q63" s="3"/>
      <c r="R63" s="3"/>
      <c r="S63" s="3"/>
      <c r="T63" s="3"/>
      <c r="U63" s="3"/>
      <c r="V63" s="3"/>
      <c r="W63" s="3"/>
      <c r="X63" s="3"/>
      <c r="Y63" s="10"/>
      <c r="Z63" s="99"/>
      <c r="AA63" s="99"/>
      <c r="AB63" s="99"/>
      <c r="AC63" s="99"/>
      <c r="AD63" s="99"/>
      <c r="AE63" s="99"/>
      <c r="AF63" s="99"/>
      <c r="AG63" s="99"/>
      <c r="AH63" s="99"/>
      <c r="AI63" s="99"/>
      <c r="AJ63" s="99"/>
      <c r="AK63" s="99"/>
      <c r="AL63" s="99"/>
      <c r="AM63" s="99"/>
      <c r="AN63" s="99"/>
      <c r="AO63" s="99"/>
      <c r="AP63" s="99"/>
      <c r="AQ63" s="99"/>
      <c r="AR63" s="99"/>
      <c r="AS63" s="99"/>
      <c r="AT63" s="10"/>
    </row>
    <row r="64" spans="1:46" customFormat="1" ht="15.95" thickBot="1">
      <c r="A64" s="10"/>
      <c r="B64" s="176"/>
      <c r="C64" s="177"/>
      <c r="D64" s="177"/>
      <c r="E64" s="177"/>
      <c r="F64" s="177"/>
      <c r="G64" s="177"/>
      <c r="H64" s="177"/>
      <c r="I64" s="177"/>
      <c r="J64" s="177"/>
      <c r="K64" s="177"/>
      <c r="L64" s="177"/>
      <c r="M64" s="178"/>
      <c r="N64" s="3"/>
      <c r="O64" s="3"/>
      <c r="P64" s="3"/>
      <c r="Q64" s="3"/>
      <c r="R64" s="3"/>
      <c r="S64" s="3"/>
      <c r="T64" s="3"/>
      <c r="U64" s="3"/>
      <c r="V64" s="3"/>
      <c r="W64" s="3"/>
      <c r="X64" s="3"/>
      <c r="Y64" s="10"/>
      <c r="Z64" s="99"/>
      <c r="AA64" s="99"/>
      <c r="AB64" s="99"/>
      <c r="AC64" s="99"/>
      <c r="AD64" s="99"/>
      <c r="AE64" s="99"/>
      <c r="AF64" s="99"/>
      <c r="AG64" s="99"/>
      <c r="AH64" s="99"/>
      <c r="AI64" s="99"/>
      <c r="AJ64" s="99"/>
      <c r="AK64" s="99"/>
      <c r="AL64" s="99"/>
      <c r="AM64" s="99"/>
      <c r="AN64" s="99"/>
      <c r="AO64" s="99"/>
      <c r="AP64" s="99"/>
      <c r="AQ64" s="99"/>
      <c r="AR64" s="99"/>
      <c r="AS64" s="99"/>
      <c r="AT64" s="10"/>
    </row>
    <row r="65" spans="1:46" customFormat="1" ht="24" customHeight="1">
      <c r="A65" s="10"/>
      <c r="B65" s="22" t="s">
        <v>92</v>
      </c>
      <c r="C65" s="10"/>
      <c r="D65" s="10"/>
      <c r="E65" s="10"/>
      <c r="F65" s="10"/>
      <c r="G65" s="10"/>
      <c r="H65" s="10"/>
      <c r="I65" s="10"/>
      <c r="J65" s="10"/>
      <c r="K65" s="10"/>
      <c r="L65" s="10"/>
      <c r="M65" s="10"/>
      <c r="N65" s="10"/>
      <c r="O65" s="10"/>
      <c r="P65" s="3"/>
      <c r="Q65" s="3"/>
      <c r="R65" s="3"/>
      <c r="S65" s="3"/>
      <c r="T65" s="3"/>
      <c r="U65" s="3"/>
      <c r="V65" s="3"/>
      <c r="W65" s="3"/>
      <c r="X65" s="3"/>
      <c r="Y65" s="10"/>
      <c r="Z65" s="99"/>
      <c r="AA65" s="99"/>
      <c r="AB65" s="99"/>
      <c r="AC65" s="99"/>
      <c r="AD65" s="99"/>
      <c r="AE65" s="99"/>
      <c r="AF65" s="99"/>
      <c r="AG65" s="99"/>
      <c r="AH65" s="99"/>
      <c r="AI65" s="99"/>
      <c r="AJ65" s="99"/>
      <c r="AK65" s="99"/>
      <c r="AL65" s="99"/>
      <c r="AM65" s="99"/>
      <c r="AN65" s="99"/>
      <c r="AO65" s="99"/>
      <c r="AP65" s="99"/>
      <c r="AQ65" s="99"/>
      <c r="AR65" s="99"/>
      <c r="AS65" s="99"/>
      <c r="AT65" s="10"/>
    </row>
    <row r="66" spans="1:46" customFormat="1">
      <c r="A66" s="10"/>
      <c r="B66" s="1065" t="s">
        <v>97</v>
      </c>
      <c r="C66" s="1065"/>
      <c r="D66" s="1065"/>
      <c r="E66" s="1065"/>
      <c r="F66" s="10"/>
      <c r="G66" s="10"/>
      <c r="H66" s="10"/>
      <c r="I66" s="10"/>
      <c r="J66" s="10"/>
      <c r="K66" s="10"/>
      <c r="L66" s="10"/>
      <c r="M66" s="10"/>
      <c r="N66" s="10"/>
      <c r="O66" s="10"/>
      <c r="P66" s="3"/>
      <c r="Q66" s="3"/>
      <c r="R66" s="3"/>
      <c r="S66" s="3"/>
      <c r="T66" s="3"/>
      <c r="U66" s="3"/>
      <c r="V66" s="3"/>
      <c r="W66" s="3"/>
      <c r="X66" s="3"/>
      <c r="Y66" s="10"/>
      <c r="Z66" s="99"/>
      <c r="AA66" s="99"/>
      <c r="AB66" s="99"/>
      <c r="AC66" s="99"/>
      <c r="AD66" s="99"/>
      <c r="AE66" s="99"/>
      <c r="AF66" s="99"/>
      <c r="AG66" s="99"/>
      <c r="AH66" s="99"/>
      <c r="AI66" s="99"/>
      <c r="AJ66" s="99"/>
      <c r="AK66" s="99"/>
      <c r="AL66" s="99"/>
      <c r="AM66" s="99"/>
      <c r="AN66" s="99"/>
      <c r="AO66" s="99"/>
      <c r="AP66" s="99"/>
      <c r="AQ66" s="99"/>
      <c r="AR66" s="99"/>
      <c r="AS66" s="99"/>
      <c r="AT66" s="10"/>
    </row>
    <row r="67" spans="1:46" customFormat="1" ht="15" customHeight="1">
      <c r="A67" s="10"/>
      <c r="B67" s="10"/>
      <c r="C67" s="10"/>
      <c r="D67" s="10"/>
      <c r="E67" s="10"/>
      <c r="F67" s="10"/>
      <c r="G67" s="729"/>
      <c r="H67" s="729"/>
      <c r="I67" s="729"/>
      <c r="J67" s="729"/>
      <c r="K67" s="729"/>
      <c r="L67" s="729"/>
      <c r="M67" s="729"/>
      <c r="N67" s="10"/>
      <c r="O67" s="10"/>
      <c r="P67" s="3"/>
      <c r="Q67" s="3"/>
      <c r="R67" s="3"/>
      <c r="S67" s="3"/>
      <c r="T67" s="3"/>
      <c r="U67" s="3"/>
      <c r="V67" s="3"/>
      <c r="W67" s="3"/>
      <c r="X67" s="3"/>
      <c r="Y67" s="10"/>
      <c r="Z67" s="99"/>
      <c r="AA67" s="99"/>
      <c r="AB67" s="99"/>
      <c r="AC67" s="99"/>
      <c r="AD67" s="99"/>
      <c r="AE67" s="99"/>
      <c r="AF67" s="99"/>
      <c r="AG67" s="99"/>
      <c r="AH67" s="99"/>
      <c r="AI67" s="99"/>
      <c r="AJ67" s="99"/>
      <c r="AK67" s="99"/>
      <c r="AL67" s="99"/>
      <c r="AM67" s="99"/>
      <c r="AN67" s="99"/>
      <c r="AO67" s="99"/>
      <c r="AP67" s="99"/>
      <c r="AQ67" s="99"/>
      <c r="AR67" s="99"/>
      <c r="AS67" s="99"/>
      <c r="AT67" s="10"/>
    </row>
    <row r="68" spans="1:46" customFormat="1">
      <c r="A68" s="10"/>
      <c r="B68" s="10"/>
      <c r="C68" s="10"/>
      <c r="D68" s="10"/>
      <c r="E68" s="10"/>
      <c r="F68" s="10"/>
      <c r="G68" s="836" t="s">
        <v>6344</v>
      </c>
      <c r="H68" s="844"/>
      <c r="I68" s="844"/>
      <c r="J68" s="844"/>
      <c r="K68" s="844"/>
      <c r="L68" s="729"/>
      <c r="M68" s="729"/>
      <c r="N68" s="10"/>
      <c r="O68" s="10"/>
      <c r="P68" s="3"/>
      <c r="Q68" s="3"/>
      <c r="R68" s="3"/>
      <c r="S68" s="3"/>
      <c r="T68" s="3"/>
      <c r="U68" s="3"/>
      <c r="V68" s="3"/>
      <c r="W68" s="3"/>
      <c r="X68" s="3"/>
      <c r="Y68" s="10"/>
      <c r="Z68" s="99"/>
      <c r="AA68" s="99"/>
      <c r="AB68" s="99"/>
      <c r="AC68" s="99"/>
      <c r="AD68" s="99"/>
      <c r="AE68" s="99"/>
      <c r="AF68" s="99"/>
      <c r="AG68" s="99"/>
      <c r="AH68" s="99"/>
      <c r="AI68" s="99"/>
      <c r="AJ68" s="99"/>
      <c r="AK68" s="99"/>
      <c r="AL68" s="99"/>
      <c r="AM68" s="99"/>
      <c r="AN68" s="99"/>
      <c r="AO68" s="99"/>
      <c r="AP68" s="99"/>
      <c r="AQ68" s="99"/>
      <c r="AR68" s="99"/>
      <c r="AS68" s="99"/>
      <c r="AT68" s="10"/>
    </row>
    <row r="69" spans="1:46" customFormat="1">
      <c r="A69" s="10"/>
      <c r="B69" s="10"/>
      <c r="C69" s="10"/>
      <c r="D69" s="10"/>
      <c r="E69" s="10"/>
      <c r="F69" s="10"/>
      <c r="G69" s="844"/>
      <c r="H69" s="844"/>
      <c r="I69" s="844"/>
      <c r="J69" s="844"/>
      <c r="K69" s="844"/>
      <c r="L69" s="729"/>
      <c r="M69" s="729"/>
      <c r="N69" s="10"/>
      <c r="O69" s="10"/>
      <c r="P69" s="3"/>
      <c r="Q69" s="3"/>
      <c r="R69" s="3"/>
      <c r="S69" s="3"/>
      <c r="T69" s="3"/>
      <c r="U69" s="3"/>
      <c r="V69" s="3"/>
      <c r="W69" s="3"/>
      <c r="X69" s="3"/>
      <c r="Y69" s="10"/>
      <c r="Z69" s="99"/>
      <c r="AA69" s="99"/>
      <c r="AB69" s="99"/>
      <c r="AC69" s="99"/>
      <c r="AD69" s="99"/>
      <c r="AE69" s="99"/>
      <c r="AF69" s="99"/>
      <c r="AG69" s="99"/>
      <c r="AH69" s="99"/>
      <c r="AI69" s="99"/>
      <c r="AJ69" s="99"/>
      <c r="AK69" s="99"/>
      <c r="AL69" s="99"/>
      <c r="AM69" s="99"/>
      <c r="AN69" s="99"/>
      <c r="AO69" s="99"/>
      <c r="AP69" s="99"/>
      <c r="AQ69" s="99"/>
      <c r="AR69" s="99"/>
      <c r="AS69" s="99"/>
      <c r="AT69" s="10"/>
    </row>
    <row r="70" spans="1:46" customFormat="1">
      <c r="A70" s="10"/>
      <c r="B70" s="10"/>
      <c r="C70" s="10"/>
      <c r="D70" s="10"/>
      <c r="E70" s="10"/>
      <c r="F70" s="10"/>
      <c r="G70" s="844"/>
      <c r="H70" s="844"/>
      <c r="I70" s="844"/>
      <c r="J70" s="844"/>
      <c r="K70" s="844"/>
      <c r="L70" s="729"/>
      <c r="M70" s="729"/>
      <c r="N70" s="10"/>
      <c r="O70" s="10"/>
      <c r="P70" s="3"/>
      <c r="Q70" s="3"/>
      <c r="R70" s="3"/>
      <c r="S70" s="3"/>
      <c r="T70" s="3"/>
      <c r="U70" s="3"/>
      <c r="V70" s="3"/>
      <c r="W70" s="3"/>
      <c r="X70" s="3"/>
      <c r="Y70" s="10"/>
      <c r="Z70" s="99"/>
      <c r="AA70" s="99"/>
      <c r="AB70" s="99"/>
      <c r="AC70" s="99"/>
      <c r="AD70" s="99"/>
      <c r="AE70" s="99"/>
      <c r="AF70" s="99"/>
      <c r="AG70" s="99"/>
      <c r="AH70" s="99"/>
      <c r="AI70" s="99"/>
      <c r="AJ70" s="99"/>
      <c r="AK70" s="99"/>
      <c r="AL70" s="99"/>
      <c r="AM70" s="99"/>
      <c r="AN70" s="99"/>
      <c r="AO70" s="99"/>
      <c r="AP70" s="99"/>
      <c r="AQ70" s="99"/>
      <c r="AR70" s="99"/>
      <c r="AS70" s="99"/>
      <c r="AT70" s="10"/>
    </row>
    <row r="71" spans="1:46" customFormat="1">
      <c r="A71" s="10"/>
      <c r="B71" s="10"/>
      <c r="C71" s="10"/>
      <c r="D71" s="10"/>
      <c r="E71" s="10"/>
      <c r="F71" s="10"/>
      <c r="G71" s="844"/>
      <c r="H71" s="844"/>
      <c r="I71" s="844"/>
      <c r="J71" s="844"/>
      <c r="K71" s="844"/>
      <c r="L71" s="729"/>
      <c r="M71" s="729"/>
      <c r="N71" s="10"/>
      <c r="O71" s="10"/>
      <c r="P71" s="3"/>
      <c r="Q71" s="3"/>
      <c r="R71" s="3"/>
      <c r="S71" s="3"/>
      <c r="T71" s="3"/>
      <c r="U71" s="3"/>
      <c r="V71" s="3"/>
      <c r="W71" s="3"/>
      <c r="X71" s="3"/>
      <c r="Y71" s="10"/>
      <c r="Z71" s="99"/>
      <c r="AA71" s="99"/>
      <c r="AB71" s="99"/>
      <c r="AC71" s="99"/>
      <c r="AD71" s="99"/>
      <c r="AE71" s="99"/>
      <c r="AF71" s="99"/>
      <c r="AG71" s="99"/>
      <c r="AH71" s="99"/>
      <c r="AI71" s="99"/>
      <c r="AJ71" s="99"/>
      <c r="AK71" s="99"/>
      <c r="AL71" s="99"/>
      <c r="AM71" s="99"/>
      <c r="AN71" s="99"/>
      <c r="AO71" s="99"/>
      <c r="AP71" s="99"/>
      <c r="AQ71" s="99"/>
      <c r="AR71" s="99"/>
      <c r="AS71" s="99"/>
      <c r="AT71" s="10"/>
    </row>
    <row r="72" spans="1:46" customFormat="1">
      <c r="A72" s="10"/>
      <c r="B72" s="10"/>
      <c r="C72" s="10"/>
      <c r="D72" s="10"/>
      <c r="E72" s="10"/>
      <c r="F72" s="10"/>
      <c r="G72" s="844"/>
      <c r="H72" s="844"/>
      <c r="I72" s="844"/>
      <c r="J72" s="844"/>
      <c r="K72" s="844"/>
      <c r="L72" s="729"/>
      <c r="M72" s="729"/>
      <c r="N72" s="10"/>
      <c r="O72" s="10"/>
      <c r="P72" s="3"/>
      <c r="Q72" s="3"/>
      <c r="R72" s="3"/>
      <c r="S72" s="3"/>
      <c r="T72" s="3"/>
      <c r="U72" s="3"/>
      <c r="V72" s="3"/>
      <c r="W72" s="3"/>
      <c r="X72" s="3"/>
      <c r="Y72" s="10"/>
      <c r="Z72" s="99"/>
      <c r="AA72" s="99"/>
      <c r="AB72" s="99"/>
      <c r="AC72" s="99"/>
      <c r="AD72" s="99"/>
      <c r="AE72" s="99"/>
      <c r="AF72" s="99"/>
      <c r="AG72" s="99"/>
      <c r="AH72" s="99"/>
      <c r="AI72" s="99"/>
      <c r="AJ72" s="99"/>
      <c r="AK72" s="99"/>
      <c r="AL72" s="99"/>
      <c r="AM72" s="99"/>
      <c r="AN72" s="99"/>
      <c r="AO72" s="99"/>
      <c r="AP72" s="99"/>
      <c r="AQ72" s="99"/>
      <c r="AR72" s="99"/>
      <c r="AS72" s="99"/>
      <c r="AT72" s="10"/>
    </row>
    <row r="73" spans="1:46" customFormat="1">
      <c r="A73" s="10"/>
      <c r="B73" s="10"/>
      <c r="C73" s="10"/>
      <c r="D73" s="10"/>
      <c r="E73" s="10"/>
      <c r="F73" s="10"/>
      <c r="G73" s="844"/>
      <c r="H73" s="844"/>
      <c r="I73" s="844"/>
      <c r="J73" s="844"/>
      <c r="K73" s="844"/>
      <c r="L73" s="729"/>
      <c r="M73" s="729"/>
      <c r="N73" s="10"/>
      <c r="O73" s="10"/>
      <c r="P73" s="3"/>
      <c r="Q73" s="3"/>
      <c r="R73" s="3"/>
      <c r="S73" s="3"/>
      <c r="T73" s="3"/>
      <c r="U73" s="3"/>
      <c r="V73" s="3"/>
      <c r="W73" s="3"/>
      <c r="X73" s="3"/>
      <c r="Y73" s="10"/>
      <c r="Z73" s="99"/>
      <c r="AA73" s="99"/>
      <c r="AB73" s="99"/>
      <c r="AC73" s="99"/>
      <c r="AD73" s="99"/>
      <c r="AE73" s="99"/>
      <c r="AF73" s="99"/>
      <c r="AG73" s="99"/>
      <c r="AH73" s="99"/>
      <c r="AI73" s="99"/>
      <c r="AJ73" s="99"/>
      <c r="AK73" s="99"/>
      <c r="AL73" s="99"/>
      <c r="AM73" s="99"/>
      <c r="AN73" s="99"/>
      <c r="AO73" s="99"/>
      <c r="AP73" s="99"/>
      <c r="AQ73" s="99"/>
      <c r="AR73" s="99"/>
      <c r="AS73" s="99"/>
      <c r="AT73" s="10"/>
    </row>
    <row r="74" spans="1:46" customFormat="1">
      <c r="A74" s="10"/>
      <c r="B74" s="10"/>
      <c r="C74" s="10"/>
      <c r="D74" s="10"/>
      <c r="E74" s="10"/>
      <c r="F74" s="10"/>
      <c r="G74" s="10"/>
      <c r="H74" s="10"/>
      <c r="I74" s="10"/>
      <c r="J74" s="10"/>
      <c r="K74" s="10"/>
      <c r="L74" s="10"/>
      <c r="M74" s="10"/>
      <c r="N74" s="10"/>
      <c r="O74" s="10"/>
      <c r="P74" s="3"/>
      <c r="Q74" s="3"/>
      <c r="R74" s="3"/>
      <c r="S74" s="3"/>
      <c r="T74" s="3"/>
      <c r="U74" s="3"/>
      <c r="V74" s="3"/>
      <c r="W74" s="3"/>
      <c r="X74" s="3"/>
      <c r="Y74" s="10"/>
      <c r="Z74" s="99"/>
      <c r="AA74" s="99"/>
      <c r="AB74" s="99"/>
      <c r="AC74" s="99"/>
      <c r="AD74" s="99"/>
      <c r="AE74" s="99"/>
      <c r="AF74" s="99"/>
      <c r="AG74" s="99"/>
      <c r="AH74" s="99"/>
      <c r="AI74" s="99"/>
      <c r="AJ74" s="99"/>
      <c r="AK74" s="99"/>
      <c r="AL74" s="99"/>
      <c r="AM74" s="99"/>
      <c r="AN74" s="99"/>
      <c r="AO74" s="99"/>
      <c r="AP74" s="99"/>
      <c r="AQ74" s="99"/>
      <c r="AR74" s="99"/>
      <c r="AS74" s="99"/>
      <c r="AT74" s="10"/>
    </row>
    <row r="80" spans="1:46">
      <c r="W80" s="99"/>
      <c r="X80" s="99"/>
    </row>
    <row r="81" spans="21:22">
      <c r="U81" s="99"/>
      <c r="V81" s="99"/>
    </row>
  </sheetData>
  <sheetProtection algorithmName="SHA-512" hashValue="5UNvCJBmrF0qpHl5uyUFLDx3SME3D6tkPIhscfVBRhXV/lqvLP0fwqPwLyRDJPlFFwa+/801iMe0ZotlwjMdWw==" saltValue="jdseGEA9NoU2N85plQt/xg==" spinCount="100000" sheet="1" objects="1" scenarios="1" formatColumns="0" formatRows="0"/>
  <mergeCells count="26">
    <mergeCell ref="E15:F15"/>
    <mergeCell ref="E16:F16"/>
    <mergeCell ref="E17:F17"/>
    <mergeCell ref="G68:K73"/>
    <mergeCell ref="B66:E66"/>
    <mergeCell ref="B1:J1"/>
    <mergeCell ref="B2:J3"/>
    <mergeCell ref="B5:E5"/>
    <mergeCell ref="B6:C6"/>
    <mergeCell ref="B4:M4"/>
    <mergeCell ref="C9:F9"/>
    <mergeCell ref="D62:L63"/>
    <mergeCell ref="C40:L40"/>
    <mergeCell ref="C54:L54"/>
    <mergeCell ref="D58:L60"/>
    <mergeCell ref="C50:I51"/>
    <mergeCell ref="D42:L46"/>
    <mergeCell ref="C31:L32"/>
    <mergeCell ref="C28:J29"/>
    <mergeCell ref="E13:F13"/>
    <mergeCell ref="D34:L34"/>
    <mergeCell ref="C55:L56"/>
    <mergeCell ref="K51:K52"/>
    <mergeCell ref="D48:L49"/>
    <mergeCell ref="D36:L37"/>
    <mergeCell ref="E14:F14"/>
  </mergeCells>
  <conditionalFormatting sqref="G9 D24 D26 D62:L63">
    <cfRule type="containsBlanks" dxfId="60" priority="36">
      <formula>LEN(TRIM(D9))=0</formula>
    </cfRule>
  </conditionalFormatting>
  <conditionalFormatting sqref="K9">
    <cfRule type="containsBlanks" dxfId="59" priority="15">
      <formula>LEN(TRIM(K9))=0</formula>
    </cfRule>
  </conditionalFormatting>
  <conditionalFormatting sqref="I9">
    <cfRule type="containsBlanks" dxfId="58" priority="16">
      <formula>LEN(TRIM(I9))=0</formula>
    </cfRule>
  </conditionalFormatting>
  <conditionalFormatting sqref="L29">
    <cfRule type="containsBlanks" dxfId="57" priority="13">
      <formula>LEN(TRIM(L29))=0</formula>
    </cfRule>
  </conditionalFormatting>
  <conditionalFormatting sqref="K14:K17">
    <cfRule type="containsBlanks" dxfId="56" priority="7">
      <formula>LEN(TRIM(K14))=0</formula>
    </cfRule>
  </conditionalFormatting>
  <conditionalFormatting sqref="L20">
    <cfRule type="containsBlanks" dxfId="55" priority="12">
      <formula>LEN(TRIM(L20))=0</formula>
    </cfRule>
  </conditionalFormatting>
  <conditionalFormatting sqref="L14:L17">
    <cfRule type="containsBlanks" dxfId="54" priority="6">
      <formula>LEN(TRIM(L14))=0</formula>
    </cfRule>
  </conditionalFormatting>
  <conditionalFormatting sqref="K53">
    <cfRule type="containsBlanks" dxfId="53" priority="5">
      <formula>LEN(TRIM(K53))=0</formula>
    </cfRule>
  </conditionalFormatting>
  <conditionalFormatting sqref="G14:G17">
    <cfRule type="containsBlanks" dxfId="52" priority="11">
      <formula>LEN(TRIM(G14))=0</formula>
    </cfRule>
  </conditionalFormatting>
  <conditionalFormatting sqref="H14:H17">
    <cfRule type="containsBlanks" dxfId="51" priority="10">
      <formula>LEN(TRIM(H14))=0</formula>
    </cfRule>
  </conditionalFormatting>
  <conditionalFormatting sqref="J14:J17">
    <cfRule type="containsBlanks" dxfId="50" priority="3">
      <formula>LEN(TRIM(J14))=0</formula>
    </cfRule>
  </conditionalFormatting>
  <conditionalFormatting sqref="I14:I17">
    <cfRule type="containsBlanks" dxfId="49" priority="4">
      <formula>LEN(TRIM(I14))=0</formula>
    </cfRule>
  </conditionalFormatting>
  <conditionalFormatting sqref="D48:L49">
    <cfRule type="containsBlanks" dxfId="48" priority="2">
      <formula>LEN(TRIM(D48))=0</formula>
    </cfRule>
  </conditionalFormatting>
  <conditionalFormatting sqref="D36:L37">
    <cfRule type="containsBlanks" dxfId="47" priority="1">
      <formula>LEN(TRIM(D36))=0</formula>
    </cfRule>
  </conditionalFormatting>
  <dataValidations count="4">
    <dataValidation type="list" allowBlank="1" showInputMessage="1" showErrorMessage="1" sqref="L20 K53" xr:uid="{00000000-0002-0000-0A00-000000000000}">
      <formula1>"Yes, No"</formula1>
    </dataValidation>
    <dataValidation type="list" allowBlank="1" showInputMessage="1" showErrorMessage="1" sqref="L29" xr:uid="{00000000-0002-0000-0A00-000001000000}">
      <formula1>"Yes-Changes Made, Unknown, No"</formula1>
    </dataValidation>
    <dataValidation type="list" allowBlank="1" showInputMessage="1" showErrorMessage="1" sqref="H14:I17" xr:uid="{00000000-0002-0000-0A00-000002000000}">
      <formula1>"Pass, Fail, N/A"</formula1>
    </dataValidation>
    <dataValidation type="list" allowBlank="1" showInputMessage="1" showErrorMessage="1" sqref="J14:J17" xr:uid="{00000000-0002-0000-0A00-000003000000}">
      <formula1>"Pass, Fail, N/A (too few ordered)"</formula1>
    </dataValidation>
  </dataValidations>
  <hyperlinks>
    <hyperlink ref="B5" location="'Standard - Review+Instructions'!A1" display="Instructions" xr:uid="{00000000-0004-0000-0A00-000000000000}"/>
    <hyperlink ref="B6" location="Scoring!A1" display="Score" xr:uid="{00000000-0004-0000-0A00-000001000000}"/>
    <hyperlink ref="B5:E5" location="'Review &amp; Instructions '!A52" display="Instructions" xr:uid="{00000000-0004-0000-0A00-000002000000}"/>
    <hyperlink ref="B65" location="'Exemption Justification'!A1" display="Top" xr:uid="{00000000-0004-0000-0A00-000003000000}"/>
    <hyperlink ref="B66" location="'Review &amp; Instructions '!A1" display="Instructions" xr:uid="{00000000-0004-0000-0A00-000004000000}"/>
    <hyperlink ref="B6:C6" location="'Fuel Efficiency Standard'!A6" display="Score" xr:uid="{00000000-0004-0000-0A00-000005000000}"/>
    <hyperlink ref="B66:E66" location="'Review &amp; Instructions '!A52" display="Instructions" xr:uid="{00000000-0004-0000-0A00-000006000000}"/>
  </hyperlinks>
  <printOptions horizontalCentered="1"/>
  <pageMargins left="0.5" right="0.5" top="0.5" bottom="0.5" header="0.25" footer="0.25"/>
  <pageSetup paperSize="17" scale="74" fitToWidth="2" fitToHeight="0" orientation="portrait" r:id="rId1"/>
  <headerFooter>
    <oddHeader>&amp;F</oddHeader>
    <oddFooter>&amp;L&amp;A&amp;CPage &amp;P of &amp;N</oddFooter>
  </headerFooter>
  <colBreaks count="1" manualBreakCount="1">
    <brk id="14" max="9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CFFCC"/>
    <pageSetUpPr fitToPage="1"/>
  </sheetPr>
  <dimension ref="A1:BC187"/>
  <sheetViews>
    <sheetView zoomScale="90" zoomScaleNormal="90" workbookViewId="0">
      <pane xSplit="1" ySplit="2" topLeftCell="B3" activePane="bottomRight" state="frozen"/>
      <selection pane="bottomRight"/>
      <selection pane="bottomLeft" activeCell="A3" sqref="A3"/>
      <selection pane="topRight" activeCell="B1" sqref="B1"/>
    </sheetView>
  </sheetViews>
  <sheetFormatPr defaultColWidth="0" defaultRowHeight="15"/>
  <cols>
    <col min="1" max="1" width="2.42578125" customWidth="1"/>
    <col min="2" max="2" width="2.7109375" customWidth="1"/>
    <col min="3" max="3" width="33" style="99" customWidth="1"/>
    <col min="4" max="4" width="17" customWidth="1"/>
    <col min="5" max="5" width="25.7109375" customWidth="1"/>
    <col min="6" max="7" width="17" customWidth="1"/>
    <col min="8" max="9" width="15.140625" style="394" hidden="1" customWidth="1"/>
    <col min="10" max="10" width="10.28515625" style="99" customWidth="1"/>
    <col min="11" max="11" width="15.28515625" customWidth="1"/>
    <col min="12" max="12" width="20.42578125" customWidth="1"/>
    <col min="13" max="13" width="15.42578125" bestFit="1" customWidth="1"/>
    <col min="14" max="14" width="2.42578125" customWidth="1"/>
    <col min="15" max="16" width="9.140625" hidden="1" customWidth="1"/>
    <col min="17" max="22" width="9.140625" style="10" customWidth="1"/>
    <col min="23" max="23" width="9.140625" hidden="1" customWidth="1"/>
    <col min="24" max="16384" width="9.140625" hidden="1"/>
  </cols>
  <sheetData>
    <row r="1" spans="1:22" ht="21">
      <c r="A1" s="3"/>
      <c r="B1" s="743" t="s">
        <v>94</v>
      </c>
      <c r="C1" s="743"/>
      <c r="D1" s="743"/>
      <c r="E1" s="743"/>
      <c r="F1" s="743"/>
      <c r="G1" s="743"/>
      <c r="H1" s="391"/>
      <c r="I1" s="391"/>
      <c r="J1" s="743"/>
      <c r="K1" s="743"/>
      <c r="L1" s="743"/>
      <c r="M1" s="743"/>
      <c r="N1" s="10"/>
      <c r="O1" s="3"/>
      <c r="P1" s="3"/>
    </row>
    <row r="2" spans="1:22" ht="30" customHeight="1">
      <c r="A2" s="3"/>
      <c r="B2" s="736" t="s">
        <v>6503</v>
      </c>
      <c r="C2" s="736"/>
      <c r="D2" s="736"/>
      <c r="E2" s="736"/>
      <c r="F2" s="736"/>
      <c r="G2" s="736"/>
      <c r="H2" s="392"/>
      <c r="I2" s="392"/>
      <c r="J2" s="736"/>
      <c r="K2" s="736"/>
      <c r="L2" s="736"/>
      <c r="M2" s="736"/>
      <c r="N2" s="10"/>
      <c r="O2" s="3"/>
      <c r="P2" s="3"/>
    </row>
    <row r="3" spans="1:22">
      <c r="A3" s="3"/>
      <c r="B3" s="744" t="s">
        <v>97</v>
      </c>
      <c r="C3" s="744"/>
      <c r="D3" s="148"/>
      <c r="E3" s="148"/>
      <c r="F3" s="148"/>
      <c r="G3" s="148"/>
      <c r="H3" s="393"/>
      <c r="I3" s="393"/>
      <c r="J3" s="148"/>
      <c r="K3" s="148"/>
      <c r="L3" s="148"/>
      <c r="M3" s="148"/>
      <c r="N3" s="10"/>
      <c r="O3" s="3"/>
      <c r="P3" s="3"/>
    </row>
    <row r="4" spans="1:22">
      <c r="A4" s="3"/>
      <c r="B4" s="745" t="s">
        <v>6424</v>
      </c>
      <c r="C4" s="745"/>
      <c r="D4" s="148"/>
      <c r="E4" s="148"/>
      <c r="F4" s="148"/>
      <c r="G4" s="148"/>
      <c r="H4" s="393"/>
      <c r="I4" s="393"/>
      <c r="J4" s="148"/>
      <c r="K4" s="148"/>
      <c r="L4" s="148"/>
      <c r="M4" s="148"/>
      <c r="N4" s="10"/>
      <c r="O4" s="3"/>
      <c r="P4" s="3"/>
    </row>
    <row r="5" spans="1:22" ht="7.5" customHeight="1">
      <c r="A5" s="3"/>
      <c r="B5" s="10"/>
      <c r="C5" s="10"/>
      <c r="D5" s="10"/>
      <c r="E5" s="10"/>
      <c r="F5" s="10"/>
      <c r="G5" s="10"/>
      <c r="J5" s="10"/>
      <c r="K5" s="10"/>
      <c r="L5" s="10"/>
      <c r="M5" s="10"/>
      <c r="N5" s="10"/>
      <c r="O5" s="3"/>
      <c r="P5" s="3"/>
    </row>
    <row r="6" spans="1:22" s="99" customFormat="1" ht="54.75" customHeight="1">
      <c r="A6" s="3"/>
      <c r="B6" s="1162" t="s">
        <v>6504</v>
      </c>
      <c r="C6" s="1162"/>
      <c r="D6" s="1162"/>
      <c r="E6" s="1162"/>
      <c r="F6" s="1162"/>
      <c r="G6" s="1162"/>
      <c r="H6" s="1162"/>
      <c r="I6" s="1162"/>
      <c r="J6" s="1162"/>
      <c r="K6" s="1162"/>
      <c r="L6" s="1162"/>
      <c r="M6" s="10"/>
      <c r="N6" s="10"/>
      <c r="O6" s="3"/>
      <c r="P6" s="3"/>
      <c r="Q6" s="10"/>
      <c r="R6" s="10"/>
      <c r="S6" s="10"/>
      <c r="T6" s="10"/>
      <c r="U6" s="10"/>
      <c r="V6" s="10"/>
    </row>
    <row r="7" spans="1:22" s="99" customFormat="1" ht="7.5" customHeight="1" thickBot="1">
      <c r="A7" s="3"/>
      <c r="B7" s="725"/>
      <c r="C7" s="725"/>
      <c r="D7" s="725"/>
      <c r="E7" s="725"/>
      <c r="F7" s="725"/>
      <c r="G7" s="725"/>
      <c r="H7" s="725"/>
      <c r="I7" s="725"/>
      <c r="J7" s="725"/>
      <c r="K7" s="725"/>
      <c r="L7" s="725"/>
      <c r="M7" s="10"/>
      <c r="N7" s="10"/>
      <c r="O7" s="3"/>
      <c r="P7" s="3"/>
      <c r="Q7" s="10"/>
      <c r="R7" s="10"/>
      <c r="S7" s="10"/>
      <c r="T7" s="10"/>
      <c r="U7" s="10"/>
      <c r="V7" s="10"/>
    </row>
    <row r="8" spans="1:22" s="99" customFormat="1" ht="24.95" thickBot="1">
      <c r="A8" s="3"/>
      <c r="B8" s="833" t="s">
        <v>6505</v>
      </c>
      <c r="C8" s="845"/>
      <c r="D8" s="845"/>
      <c r="E8" s="845"/>
      <c r="F8" s="845"/>
      <c r="G8" s="845"/>
      <c r="H8" s="845"/>
      <c r="I8" s="845"/>
      <c r="J8" s="845"/>
      <c r="K8" s="845"/>
      <c r="L8" s="845"/>
      <c r="M8" s="846"/>
      <c r="N8" s="10"/>
      <c r="O8" s="3"/>
      <c r="P8" s="3"/>
      <c r="Q8" s="10"/>
      <c r="R8" s="10"/>
      <c r="S8" s="10"/>
      <c r="T8" s="10"/>
      <c r="U8" s="10"/>
      <c r="V8" s="10"/>
    </row>
    <row r="9" spans="1:22" s="99" customFormat="1" ht="7.5" customHeight="1">
      <c r="A9" s="3"/>
      <c r="B9" s="10"/>
      <c r="C9" s="10"/>
      <c r="D9" s="10"/>
      <c r="E9" s="10"/>
      <c r="F9" s="10"/>
      <c r="G9" s="10"/>
      <c r="H9" s="394"/>
      <c r="I9" s="394"/>
      <c r="J9" s="10"/>
      <c r="K9" s="10"/>
      <c r="L9" s="10"/>
      <c r="M9" s="10"/>
      <c r="N9" s="10"/>
      <c r="O9" s="3"/>
      <c r="P9" s="3"/>
      <c r="Q9" s="10"/>
      <c r="R9" s="10"/>
      <c r="S9" s="10"/>
      <c r="T9" s="10"/>
      <c r="U9" s="10"/>
      <c r="V9" s="10"/>
    </row>
    <row r="10" spans="1:22" s="99" customFormat="1">
      <c r="A10" s="3"/>
      <c r="B10" s="7"/>
      <c r="C10" s="530"/>
      <c r="D10" s="501" t="s">
        <v>6506</v>
      </c>
      <c r="E10" s="501" t="s">
        <v>6507</v>
      </c>
      <c r="F10" s="10"/>
      <c r="G10" s="10"/>
      <c r="H10" s="394"/>
      <c r="I10" s="394"/>
      <c r="J10" s="10"/>
      <c r="K10" s="10"/>
      <c r="L10" s="10"/>
      <c r="M10" s="10"/>
      <c r="N10" s="10"/>
      <c r="O10" s="3"/>
      <c r="P10" s="3"/>
      <c r="Q10" s="10"/>
      <c r="R10" s="10"/>
      <c r="S10" s="10"/>
      <c r="T10" s="10"/>
      <c r="U10" s="10"/>
      <c r="V10" s="10"/>
    </row>
    <row r="11" spans="1:22" s="99" customFormat="1">
      <c r="A11" s="3"/>
      <c r="B11" s="1200" t="s">
        <v>6508</v>
      </c>
      <c r="C11" s="1201"/>
      <c r="D11" s="516">
        <f ca="1">SUM(E28+E49+E90+E112+E136+E146)</f>
        <v>0</v>
      </c>
      <c r="E11" s="517">
        <f>'Fuel Efficiency Standard'!E25</f>
        <v>0</v>
      </c>
      <c r="F11" s="10"/>
      <c r="G11" s="10"/>
      <c r="H11" s="394"/>
      <c r="I11" s="394"/>
      <c r="J11" s="10"/>
      <c r="K11" s="10"/>
      <c r="L11" s="10"/>
      <c r="M11" s="10"/>
      <c r="N11" s="10"/>
      <c r="O11" s="3"/>
      <c r="P11" s="3"/>
      <c r="Q11" s="10"/>
      <c r="R11" s="10"/>
      <c r="S11" s="10"/>
      <c r="T11" s="10"/>
      <c r="U11" s="10"/>
      <c r="V11" s="10"/>
    </row>
    <row r="12" spans="1:22" s="99" customFormat="1">
      <c r="A12" s="3"/>
      <c r="B12" s="1202" t="s">
        <v>6509</v>
      </c>
      <c r="C12" s="1203"/>
      <c r="D12" s="518">
        <f ca="1">SUM(E29+E50+E147)</f>
        <v>0</v>
      </c>
      <c r="E12" s="519">
        <f>'Fuel Efficiency Standard'!L25</f>
        <v>0</v>
      </c>
      <c r="F12" s="10"/>
      <c r="G12" s="10"/>
      <c r="H12" s="394"/>
      <c r="I12" s="394"/>
      <c r="J12" s="10"/>
      <c r="K12" s="10"/>
      <c r="L12" s="10"/>
      <c r="M12" s="10"/>
      <c r="N12" s="10"/>
      <c r="O12" s="3"/>
      <c r="P12" s="3"/>
      <c r="Q12" s="10"/>
      <c r="R12" s="10"/>
      <c r="S12" s="10"/>
      <c r="T12" s="10"/>
      <c r="U12" s="10"/>
      <c r="V12" s="10"/>
    </row>
    <row r="13" spans="1:22" s="99" customFormat="1" ht="15.95" thickBot="1">
      <c r="A13" s="3"/>
      <c r="B13" s="10"/>
      <c r="C13" s="10"/>
      <c r="D13" s="10"/>
      <c r="E13" s="10"/>
      <c r="F13" s="10"/>
      <c r="G13" s="10"/>
      <c r="H13" s="394"/>
      <c r="I13" s="394"/>
      <c r="J13" s="10"/>
      <c r="K13" s="10"/>
      <c r="L13" s="10"/>
      <c r="M13" s="10"/>
      <c r="N13" s="10"/>
      <c r="O13" s="3"/>
      <c r="P13" s="3"/>
      <c r="Q13" s="10"/>
      <c r="R13" s="10"/>
      <c r="S13" s="10"/>
      <c r="T13" s="10"/>
      <c r="U13" s="10"/>
      <c r="V13" s="10"/>
    </row>
    <row r="14" spans="1:22" s="99" customFormat="1" ht="24.95" thickBot="1">
      <c r="A14" s="3"/>
      <c r="B14" s="833" t="s">
        <v>6510</v>
      </c>
      <c r="C14" s="845"/>
      <c r="D14" s="845"/>
      <c r="E14" s="845"/>
      <c r="F14" s="845"/>
      <c r="G14" s="845"/>
      <c r="H14" s="845"/>
      <c r="I14" s="845"/>
      <c r="J14" s="845"/>
      <c r="K14" s="845"/>
      <c r="L14" s="845"/>
      <c r="M14" s="846"/>
      <c r="N14" s="10"/>
      <c r="O14" s="3"/>
      <c r="P14" s="3"/>
      <c r="Q14" s="10"/>
      <c r="R14" s="10"/>
      <c r="S14" s="10"/>
      <c r="T14" s="10"/>
      <c r="U14" s="10"/>
      <c r="V14" s="10"/>
    </row>
    <row r="15" spans="1:22" s="99" customFormat="1" ht="15.95" thickBot="1">
      <c r="A15" s="3"/>
      <c r="B15" s="10"/>
      <c r="C15" s="10"/>
      <c r="D15" s="10"/>
      <c r="E15" s="10"/>
      <c r="F15" s="10"/>
      <c r="G15" s="10"/>
      <c r="H15" s="394"/>
      <c r="I15" s="394"/>
      <c r="J15" s="10"/>
      <c r="K15" s="10"/>
      <c r="L15" s="10"/>
      <c r="M15" s="10"/>
      <c r="N15" s="10"/>
      <c r="O15" s="3"/>
      <c r="P15" s="3"/>
      <c r="Q15" s="10"/>
      <c r="R15" s="10"/>
      <c r="S15" s="10"/>
      <c r="T15" s="10"/>
      <c r="U15" s="10"/>
      <c r="V15" s="10"/>
    </row>
    <row r="16" spans="1:22" ht="24">
      <c r="A16" s="3"/>
      <c r="B16" s="1194" t="s">
        <v>6511</v>
      </c>
      <c r="C16" s="1195"/>
      <c r="D16" s="1196"/>
      <c r="E16" s="1196"/>
      <c r="F16" s="1196"/>
      <c r="G16" s="1196"/>
      <c r="H16" s="1196"/>
      <c r="I16" s="1196"/>
      <c r="J16" s="1196"/>
      <c r="K16" s="1196"/>
      <c r="L16" s="1196"/>
      <c r="M16" s="1197"/>
      <c r="N16" s="10"/>
      <c r="O16" s="3"/>
      <c r="P16" s="3"/>
    </row>
    <row r="17" spans="1:22" ht="132.75" customHeight="1">
      <c r="A17" s="3"/>
      <c r="B17" s="1198" t="s">
        <v>6512</v>
      </c>
      <c r="C17" s="1199"/>
      <c r="D17" s="1174"/>
      <c r="E17" s="1174"/>
      <c r="F17" s="1174"/>
      <c r="G17" s="1174"/>
      <c r="H17" s="1174"/>
      <c r="I17" s="1174"/>
      <c r="J17" s="1174"/>
      <c r="K17" s="1174"/>
      <c r="L17" s="1174"/>
      <c r="M17" s="1175"/>
      <c r="N17" s="10"/>
      <c r="O17" s="3"/>
      <c r="P17" s="3"/>
    </row>
    <row r="18" spans="1:22" ht="18" customHeight="1">
      <c r="A18" s="3"/>
      <c r="B18" s="1097" t="s">
        <v>6513</v>
      </c>
      <c r="C18" s="1098"/>
      <c r="D18" s="1174"/>
      <c r="E18" s="1174"/>
      <c r="F18" s="1174"/>
      <c r="G18" s="1174"/>
      <c r="H18" s="1174"/>
      <c r="I18" s="1174"/>
      <c r="J18" s="1174"/>
      <c r="K18" s="1174"/>
      <c r="L18" s="1174"/>
      <c r="M18" s="1175"/>
      <c r="N18" s="10"/>
      <c r="O18" s="3"/>
      <c r="P18" s="3"/>
    </row>
    <row r="19" spans="1:22" s="481" customFormat="1" ht="138" customHeight="1">
      <c r="A19" s="479"/>
      <c r="B19" s="1205" t="s">
        <v>6514</v>
      </c>
      <c r="C19" s="1206"/>
      <c r="D19" s="916"/>
      <c r="E19" s="916"/>
      <c r="F19" s="916"/>
      <c r="G19" s="916"/>
      <c r="H19" s="1207"/>
      <c r="I19" s="1207"/>
      <c r="J19" s="916"/>
      <c r="K19" s="916"/>
      <c r="L19" s="916"/>
      <c r="M19" s="1208"/>
      <c r="N19" s="480"/>
      <c r="O19" s="479"/>
      <c r="P19" s="479"/>
      <c r="Q19" s="480"/>
      <c r="R19" s="480"/>
      <c r="S19" s="480"/>
      <c r="T19" s="480"/>
      <c r="U19" s="480"/>
      <c r="V19" s="480"/>
    </row>
    <row r="20" spans="1:22" ht="7.5" customHeight="1" thickBot="1">
      <c r="A20" s="3"/>
      <c r="B20" s="483"/>
      <c r="C20" s="482"/>
      <c r="D20" s="482"/>
      <c r="E20" s="482"/>
      <c r="F20" s="482"/>
      <c r="G20" s="482"/>
      <c r="H20" s="395"/>
      <c r="I20" s="395"/>
      <c r="J20" s="482"/>
      <c r="K20" s="482"/>
      <c r="L20" s="482"/>
      <c r="M20" s="484"/>
      <c r="N20" s="10"/>
      <c r="O20" s="3"/>
      <c r="P20" s="3"/>
    </row>
    <row r="21" spans="1:22" s="99" customFormat="1" ht="30.75" customHeight="1">
      <c r="A21" s="3"/>
      <c r="B21" s="1209" t="s">
        <v>6515</v>
      </c>
      <c r="C21" s="1210"/>
      <c r="D21" s="1210"/>
      <c r="E21" s="1211"/>
      <c r="F21" s="469" t="s">
        <v>6516</v>
      </c>
      <c r="G21" s="470" t="s">
        <v>6517</v>
      </c>
      <c r="H21" s="471" t="s">
        <v>6518</v>
      </c>
      <c r="I21" s="472"/>
      <c r="J21" s="1167" t="s">
        <v>6519</v>
      </c>
      <c r="K21" s="1168"/>
      <c r="L21" s="469" t="s">
        <v>6520</v>
      </c>
      <c r="M21" s="473" t="s">
        <v>6521</v>
      </c>
      <c r="N21" s="3"/>
      <c r="O21" s="3"/>
      <c r="P21" s="3"/>
      <c r="Q21" s="10"/>
      <c r="R21" s="10"/>
      <c r="S21" s="10"/>
      <c r="T21" s="10"/>
      <c r="U21" s="10"/>
      <c r="V21" s="10"/>
    </row>
    <row r="22" spans="1:22" s="99" customFormat="1" ht="45" customHeight="1">
      <c r="A22" s="3"/>
      <c r="B22" s="1212" t="s">
        <v>6522</v>
      </c>
      <c r="C22" s="1213"/>
      <c r="D22" s="1214"/>
      <c r="E22" s="1215"/>
      <c r="F22" s="368"/>
      <c r="G22" s="368"/>
      <c r="H22" s="368"/>
      <c r="I22" s="395"/>
      <c r="J22" s="1169"/>
      <c r="K22" s="1170"/>
      <c r="L22" s="368"/>
      <c r="M22" s="474">
        <f>IF(G22&lt;450, 0, IF(L22="MPG Requirement", G22/450*2, ROUNDDOWN((G22/450),0)))</f>
        <v>0</v>
      </c>
      <c r="N22" s="3"/>
      <c r="O22" s="3"/>
      <c r="P22" s="3"/>
      <c r="Q22" s="10"/>
      <c r="R22" s="10"/>
      <c r="S22" s="10"/>
      <c r="T22" s="10"/>
      <c r="U22" s="10"/>
      <c r="V22" s="10"/>
    </row>
    <row r="23" spans="1:22" s="99" customFormat="1" ht="45" customHeight="1">
      <c r="A23" s="3"/>
      <c r="B23" s="1171" t="s">
        <v>6523</v>
      </c>
      <c r="C23" s="1172"/>
      <c r="D23" s="1172"/>
      <c r="E23" s="1173"/>
      <c r="F23" s="368"/>
      <c r="G23" s="368"/>
      <c r="H23" s="368"/>
      <c r="I23" s="395"/>
      <c r="J23" s="1169"/>
      <c r="K23" s="1170"/>
      <c r="L23" s="368"/>
      <c r="M23" s="474">
        <f>IF(L23="MPG Requirement", G23*5, G23)</f>
        <v>0</v>
      </c>
      <c r="N23" s="3"/>
      <c r="O23" s="3"/>
      <c r="P23" s="3"/>
      <c r="Q23" s="10"/>
      <c r="R23" s="10"/>
      <c r="S23" s="10"/>
      <c r="T23" s="10"/>
      <c r="U23" s="10"/>
      <c r="V23" s="10"/>
    </row>
    <row r="24" spans="1:22" s="99" customFormat="1" ht="45.75" customHeight="1">
      <c r="A24" s="3"/>
      <c r="B24" s="1171" t="s">
        <v>6524</v>
      </c>
      <c r="C24" s="1172"/>
      <c r="D24" s="1172"/>
      <c r="E24" s="1173"/>
      <c r="F24" s="368"/>
      <c r="G24" s="368"/>
      <c r="H24" s="368"/>
      <c r="I24" s="395"/>
      <c r="J24" s="368"/>
      <c r="K24" s="559">
        <f>IF(J24="B100", G24, IF(J24="B20", G24/5, IF(J24="B15", G24/6.6, )))</f>
        <v>0</v>
      </c>
      <c r="L24" s="368"/>
      <c r="M24" s="474">
        <f>IF(K24&lt;450, 0, IF(L24="MPG Requirement", K24/450*2, ROUNDDOWN((K24/450),0)))</f>
        <v>0</v>
      </c>
      <c r="N24" s="3"/>
      <c r="O24" s="3"/>
      <c r="P24" s="3"/>
      <c r="Q24" s="10"/>
      <c r="R24" s="10"/>
      <c r="S24" s="10"/>
      <c r="T24" s="10"/>
      <c r="U24" s="10"/>
      <c r="V24" s="10"/>
    </row>
    <row r="25" spans="1:22" s="99" customFormat="1" ht="30.75" customHeight="1">
      <c r="A25" s="3"/>
      <c r="B25" s="1183"/>
      <c r="C25" s="1184"/>
      <c r="D25" s="1184"/>
      <c r="E25" s="1185"/>
      <c r="F25" s="39" t="s">
        <v>6516</v>
      </c>
      <c r="G25" s="468" t="s">
        <v>6525</v>
      </c>
      <c r="H25" s="414"/>
      <c r="I25" s="395"/>
      <c r="J25" s="467" t="s">
        <v>6526</v>
      </c>
      <c r="K25" s="467" t="s">
        <v>6527</v>
      </c>
      <c r="L25" s="39" t="s">
        <v>6520</v>
      </c>
      <c r="M25" s="475" t="s">
        <v>6521</v>
      </c>
      <c r="N25" s="3"/>
      <c r="O25" s="3"/>
      <c r="P25" s="3"/>
      <c r="Q25" s="10"/>
      <c r="R25" s="10"/>
      <c r="S25" s="10"/>
      <c r="T25" s="10"/>
      <c r="U25" s="10"/>
      <c r="V25" s="10"/>
    </row>
    <row r="26" spans="1:22" ht="45.75" customHeight="1" thickBot="1">
      <c r="A26" s="3"/>
      <c r="B26" s="1180" t="s">
        <v>6528</v>
      </c>
      <c r="C26" s="1181"/>
      <c r="D26" s="1181"/>
      <c r="E26" s="1182"/>
      <c r="F26" s="369"/>
      <c r="G26" s="369"/>
      <c r="H26" s="476"/>
      <c r="I26" s="476"/>
      <c r="J26" s="477"/>
      <c r="K26" s="478">
        <f>IF(J26="B100", G26, IF(J26="B20", G26/5, IF(J26="B15", G26/6.6, )))</f>
        <v>0</v>
      </c>
      <c r="L26" s="369"/>
      <c r="M26" s="560">
        <f>IF(K26&lt;450, 0, IF(L26="MPG Requirement", K26/450*2, ROUNDDOWN((K26/450),0)))</f>
        <v>0</v>
      </c>
      <c r="N26" s="3"/>
      <c r="O26" s="3"/>
      <c r="P26" s="3"/>
      <c r="Q26" s="3"/>
    </row>
    <row r="27" spans="1:22" s="99" customFormat="1" ht="7.5" customHeight="1">
      <c r="A27" s="3"/>
      <c r="B27" s="2"/>
      <c r="C27" s="3"/>
      <c r="D27" s="3"/>
      <c r="E27" s="3"/>
      <c r="F27" s="3"/>
      <c r="G27" s="3"/>
      <c r="H27" s="395"/>
      <c r="I27" s="395"/>
      <c r="J27" s="3"/>
      <c r="K27" s="3"/>
      <c r="L27" s="3"/>
      <c r="M27" s="4"/>
      <c r="N27" s="3"/>
      <c r="O27" s="3"/>
      <c r="P27" s="3"/>
      <c r="Q27" s="10"/>
      <c r="R27" s="10"/>
      <c r="S27" s="10"/>
      <c r="T27" s="10"/>
      <c r="U27" s="10"/>
      <c r="V27" s="10"/>
    </row>
    <row r="28" spans="1:22" s="99" customFormat="1">
      <c r="A28" s="3"/>
      <c r="B28" s="1102" t="s">
        <v>6529</v>
      </c>
      <c r="C28" s="1103"/>
      <c r="D28" s="1103"/>
      <c r="E28" s="513">
        <f>SUMIF(L22:L26, "MPG Requirement", M22:M26)</f>
        <v>0</v>
      </c>
      <c r="F28" s="3"/>
      <c r="G28" s="3"/>
      <c r="H28" s="395"/>
      <c r="I28" s="395"/>
      <c r="J28" s="3"/>
      <c r="K28" s="3"/>
      <c r="L28" s="3"/>
      <c r="M28" s="4"/>
      <c r="N28" s="3"/>
      <c r="O28" s="3"/>
      <c r="P28" s="3"/>
      <c r="Q28" s="10"/>
      <c r="R28" s="10"/>
      <c r="S28" s="10"/>
      <c r="T28" s="10"/>
      <c r="U28" s="10"/>
      <c r="V28" s="10"/>
    </row>
    <row r="29" spans="1:22" s="99" customFormat="1">
      <c r="A29" s="3"/>
      <c r="B29" s="1102" t="s">
        <v>6530</v>
      </c>
      <c r="C29" s="1103"/>
      <c r="D29" s="1103"/>
      <c r="E29" s="515">
        <f>SUMIF(L22:L26, "AFV/EV Requirement", M22:M26)</f>
        <v>0</v>
      </c>
      <c r="F29" s="3"/>
      <c r="G29" s="3"/>
      <c r="H29" s="395"/>
      <c r="I29" s="395"/>
      <c r="J29" s="3"/>
      <c r="K29" s="3"/>
      <c r="L29" s="3"/>
      <c r="M29" s="4"/>
      <c r="N29" s="3"/>
      <c r="O29" s="3"/>
      <c r="P29" s="3"/>
      <c r="Q29" s="10"/>
      <c r="R29" s="10"/>
      <c r="S29" s="10"/>
      <c r="T29" s="10"/>
      <c r="U29" s="10"/>
      <c r="V29" s="10"/>
    </row>
    <row r="30" spans="1:22" s="99" customFormat="1" ht="7.5" customHeight="1">
      <c r="A30" s="3"/>
      <c r="B30" s="2"/>
      <c r="C30" s="3"/>
      <c r="D30" s="3"/>
      <c r="E30" s="3"/>
      <c r="F30" s="3"/>
      <c r="G30" s="3"/>
      <c r="H30" s="395"/>
      <c r="I30" s="395"/>
      <c r="J30" s="3"/>
      <c r="K30" s="3"/>
      <c r="L30" s="3"/>
      <c r="M30" s="4"/>
      <c r="N30" s="10"/>
      <c r="O30" s="3"/>
      <c r="P30" s="3"/>
      <c r="Q30" s="10"/>
      <c r="R30" s="10"/>
      <c r="S30" s="10"/>
      <c r="T30" s="10"/>
      <c r="U30" s="10"/>
      <c r="V30" s="10"/>
    </row>
    <row r="31" spans="1:22" ht="24">
      <c r="A31" s="3"/>
      <c r="B31" s="1186" t="s">
        <v>6531</v>
      </c>
      <c r="C31" s="1187"/>
      <c r="D31" s="1188"/>
      <c r="E31" s="1188"/>
      <c r="F31" s="1188"/>
      <c r="G31" s="1188"/>
      <c r="H31" s="1188"/>
      <c r="I31" s="1188"/>
      <c r="J31" s="1188"/>
      <c r="K31" s="1188"/>
      <c r="L31" s="1188"/>
      <c r="M31" s="1189"/>
      <c r="N31" s="10"/>
      <c r="O31" s="3"/>
      <c r="P31" s="3"/>
    </row>
    <row r="32" spans="1:22" ht="99" customHeight="1">
      <c r="A32" s="3"/>
      <c r="B32" s="1190" t="s">
        <v>6532</v>
      </c>
      <c r="C32" s="1191"/>
      <c r="D32" s="1192"/>
      <c r="E32" s="1192"/>
      <c r="F32" s="1192"/>
      <c r="G32" s="1192"/>
      <c r="H32" s="1192"/>
      <c r="I32" s="1192"/>
      <c r="J32" s="1192"/>
      <c r="K32" s="1192"/>
      <c r="L32" s="1192"/>
      <c r="M32" s="1193"/>
      <c r="N32" s="10"/>
      <c r="O32" s="3"/>
      <c r="P32" s="3"/>
    </row>
    <row r="33" spans="1:22" ht="15" customHeight="1">
      <c r="A33" s="3"/>
      <c r="B33" s="1176" t="s">
        <v>6513</v>
      </c>
      <c r="C33" s="1177"/>
      <c r="D33" s="1178"/>
      <c r="E33" s="1178"/>
      <c r="F33" s="1178"/>
      <c r="G33" s="1178"/>
      <c r="H33" s="1178"/>
      <c r="I33" s="1178"/>
      <c r="J33" s="1178"/>
      <c r="K33" s="1178"/>
      <c r="L33" s="1178"/>
      <c r="M33" s="1179"/>
      <c r="N33" s="10"/>
      <c r="O33" s="3"/>
      <c r="P33" s="3"/>
    </row>
    <row r="34" spans="1:22" ht="91.5" customHeight="1">
      <c r="A34" s="3"/>
      <c r="B34" s="1163" t="s">
        <v>6533</v>
      </c>
      <c r="C34" s="1164"/>
      <c r="D34" s="1174"/>
      <c r="E34" s="1174"/>
      <c r="F34" s="1174"/>
      <c r="G34" s="1174"/>
      <c r="H34" s="1174"/>
      <c r="I34" s="1174"/>
      <c r="J34" s="1174"/>
      <c r="K34" s="1174"/>
      <c r="L34" s="1174"/>
      <c r="M34" s="1175"/>
      <c r="N34" s="10"/>
      <c r="O34" s="3"/>
      <c r="P34" s="3"/>
    </row>
    <row r="35" spans="1:22" ht="7.5" customHeight="1">
      <c r="A35" s="3"/>
      <c r="B35" s="2"/>
      <c r="C35" s="3"/>
      <c r="D35" s="3"/>
      <c r="E35" s="3"/>
      <c r="F35" s="3"/>
      <c r="G35" s="3"/>
      <c r="H35" s="395"/>
      <c r="I35" s="395"/>
      <c r="J35" s="3"/>
      <c r="K35" s="3"/>
      <c r="L35" s="3"/>
      <c r="M35" s="4"/>
      <c r="N35" s="10"/>
      <c r="O35" s="3"/>
      <c r="P35" s="3"/>
    </row>
    <row r="36" spans="1:22" ht="29.25" customHeight="1">
      <c r="A36" s="3"/>
      <c r="B36" s="1137" t="s">
        <v>6534</v>
      </c>
      <c r="C36" s="1220"/>
      <c r="D36" s="13" t="s">
        <v>6535</v>
      </c>
      <c r="E36" s="370" t="s">
        <v>6536</v>
      </c>
      <c r="F36" s="1216" t="s">
        <v>6520</v>
      </c>
      <c r="G36" s="1217"/>
      <c r="H36" s="395"/>
      <c r="I36" s="219"/>
      <c r="J36" s="14" t="s">
        <v>6521</v>
      </c>
      <c r="K36" s="219"/>
      <c r="L36" s="364"/>
      <c r="M36" s="220"/>
      <c r="N36" s="221"/>
      <c r="O36" s="219"/>
      <c r="P36" s="219"/>
    </row>
    <row r="37" spans="1:22" ht="15" customHeight="1">
      <c r="A37" s="3"/>
      <c r="B37" s="1221"/>
      <c r="C37" s="1222"/>
      <c r="D37" s="367"/>
      <c r="E37" s="752"/>
      <c r="F37" s="1218"/>
      <c r="G37" s="1219"/>
      <c r="H37" s="395"/>
      <c r="I37" s="3"/>
      <c r="J37" s="331" t="str">
        <f t="shared" ref="J37:J46" si="0">IF(D37="","",IF(F37="AFV/EV Requirement",1,IF(D37="Hybrid",7,IF(D37="PHEV",10,IF(AND(D37="CNG",E37="Dedicated"),7,IF(AND(D37="Propane",E37="Dedicated"),7,5))))))</f>
        <v/>
      </c>
      <c r="K37" s="372"/>
      <c r="L37" s="496"/>
      <c r="M37" s="487"/>
      <c r="N37" s="373"/>
      <c r="O37" s="374"/>
      <c r="P37" s="3"/>
    </row>
    <row r="38" spans="1:22" ht="15.95">
      <c r="A38" s="3"/>
      <c r="B38" s="1119"/>
      <c r="C38" s="1204"/>
      <c r="D38" s="368"/>
      <c r="E38" s="748"/>
      <c r="F38" s="1169"/>
      <c r="G38" s="1170"/>
      <c r="H38" s="395"/>
      <c r="I38" s="3"/>
      <c r="J38" s="332" t="str">
        <f t="shared" si="0"/>
        <v/>
      </c>
      <c r="K38" s="372"/>
      <c r="L38" s="372"/>
      <c r="M38" s="487"/>
      <c r="N38" s="373"/>
      <c r="O38" s="374"/>
      <c r="P38" s="3"/>
    </row>
    <row r="39" spans="1:22" ht="15.95">
      <c r="A39" s="3"/>
      <c r="B39" s="1119"/>
      <c r="C39" s="1204"/>
      <c r="D39" s="368"/>
      <c r="E39" s="748"/>
      <c r="F39" s="1169"/>
      <c r="G39" s="1170"/>
      <c r="H39" s="395"/>
      <c r="I39" s="3"/>
      <c r="J39" s="332" t="str">
        <f t="shared" si="0"/>
        <v/>
      </c>
      <c r="K39" s="372"/>
      <c r="L39" s="372"/>
      <c r="M39" s="487"/>
      <c r="N39" s="373"/>
      <c r="O39" s="374"/>
      <c r="P39" s="3"/>
    </row>
    <row r="40" spans="1:22" ht="15.95">
      <c r="A40" s="3"/>
      <c r="B40" s="1119"/>
      <c r="C40" s="1204"/>
      <c r="D40" s="368"/>
      <c r="E40" s="748"/>
      <c r="F40" s="1169"/>
      <c r="G40" s="1170"/>
      <c r="H40" s="395"/>
      <c r="I40" s="3"/>
      <c r="J40" s="332" t="str">
        <f t="shared" si="0"/>
        <v/>
      </c>
      <c r="K40" s="372"/>
      <c r="L40" s="372"/>
      <c r="M40" s="487"/>
      <c r="N40" s="373"/>
      <c r="O40" s="374"/>
      <c r="P40" s="3"/>
    </row>
    <row r="41" spans="1:22" ht="15.95">
      <c r="A41" s="3"/>
      <c r="B41" s="1119"/>
      <c r="C41" s="1204"/>
      <c r="D41" s="368"/>
      <c r="E41" s="748"/>
      <c r="F41" s="1169"/>
      <c r="G41" s="1170"/>
      <c r="H41" s="395"/>
      <c r="I41" s="3"/>
      <c r="J41" s="332" t="str">
        <f t="shared" si="0"/>
        <v/>
      </c>
      <c r="K41" s="372"/>
      <c r="L41" s="372"/>
      <c r="M41" s="487"/>
      <c r="N41" s="373"/>
      <c r="O41" s="374"/>
      <c r="P41" s="3"/>
    </row>
    <row r="42" spans="1:22" ht="15.95">
      <c r="A42" s="3"/>
      <c r="B42" s="1119"/>
      <c r="C42" s="1204"/>
      <c r="D42" s="368"/>
      <c r="E42" s="748"/>
      <c r="F42" s="1169"/>
      <c r="G42" s="1170"/>
      <c r="H42" s="395"/>
      <c r="I42" s="3"/>
      <c r="J42" s="332" t="str">
        <f t="shared" si="0"/>
        <v/>
      </c>
      <c r="K42" s="372"/>
      <c r="L42" s="372"/>
      <c r="M42" s="487"/>
      <c r="N42" s="373"/>
      <c r="O42" s="374"/>
      <c r="P42" s="3"/>
    </row>
    <row r="43" spans="1:22" ht="15.95">
      <c r="A43" s="3"/>
      <c r="B43" s="1119"/>
      <c r="C43" s="1204"/>
      <c r="D43" s="368"/>
      <c r="E43" s="748"/>
      <c r="F43" s="1169"/>
      <c r="G43" s="1170"/>
      <c r="H43" s="395"/>
      <c r="I43" s="3"/>
      <c r="J43" s="332" t="str">
        <f t="shared" si="0"/>
        <v/>
      </c>
      <c r="K43" s="372"/>
      <c r="L43" s="372"/>
      <c r="M43" s="487"/>
      <c r="N43" s="373"/>
      <c r="O43" s="374"/>
      <c r="P43" s="3"/>
    </row>
    <row r="44" spans="1:22" ht="15.95">
      <c r="A44" s="3"/>
      <c r="B44" s="1119"/>
      <c r="C44" s="1204"/>
      <c r="D44" s="368"/>
      <c r="E44" s="748"/>
      <c r="F44" s="1169"/>
      <c r="G44" s="1170"/>
      <c r="H44" s="395"/>
      <c r="I44" s="3"/>
      <c r="J44" s="332" t="str">
        <f t="shared" si="0"/>
        <v/>
      </c>
      <c r="K44" s="372"/>
      <c r="L44" s="372"/>
      <c r="M44" s="487"/>
      <c r="N44" s="373"/>
      <c r="O44" s="374"/>
      <c r="P44" s="3"/>
    </row>
    <row r="45" spans="1:22" ht="15.95">
      <c r="A45" s="3"/>
      <c r="B45" s="1119"/>
      <c r="C45" s="1204"/>
      <c r="D45" s="368"/>
      <c r="E45" s="748"/>
      <c r="F45" s="1169"/>
      <c r="G45" s="1170"/>
      <c r="H45" s="395"/>
      <c r="I45" s="3"/>
      <c r="J45" s="332" t="str">
        <f t="shared" si="0"/>
        <v/>
      </c>
      <c r="K45" s="372"/>
      <c r="L45" s="372"/>
      <c r="M45" s="487"/>
      <c r="N45" s="373"/>
      <c r="O45" s="374"/>
      <c r="P45" s="3"/>
    </row>
    <row r="46" spans="1:22" ht="15.75" customHeight="1" thickBot="1">
      <c r="A46" s="3"/>
      <c r="B46" s="1120"/>
      <c r="C46" s="1223"/>
      <c r="D46" s="369"/>
      <c r="E46" s="753"/>
      <c r="F46" s="1165"/>
      <c r="G46" s="1166"/>
      <c r="H46" s="395"/>
      <c r="I46" s="3"/>
      <c r="J46" s="333" t="str">
        <f t="shared" si="0"/>
        <v/>
      </c>
      <c r="K46" s="372"/>
      <c r="L46" s="372"/>
      <c r="M46" s="487"/>
      <c r="N46" s="373"/>
      <c r="O46" s="374"/>
      <c r="P46" s="3"/>
    </row>
    <row r="47" spans="1:22">
      <c r="A47" s="25"/>
      <c r="B47" s="2"/>
      <c r="C47" s="3" t="s">
        <v>6537</v>
      </c>
      <c r="D47" s="3"/>
      <c r="E47" s="3"/>
      <c r="F47" s="3"/>
      <c r="G47" s="3"/>
      <c r="H47" s="395"/>
      <c r="I47" s="395"/>
      <c r="J47" s="3"/>
      <c r="K47" s="3"/>
      <c r="L47" s="3"/>
      <c r="M47" s="4"/>
      <c r="N47" s="10"/>
      <c r="O47" s="3"/>
      <c r="P47" s="3"/>
    </row>
    <row r="48" spans="1:22" s="99" customFormat="1" ht="7.5" customHeight="1">
      <c r="A48" s="41"/>
      <c r="B48" s="2"/>
      <c r="C48" s="3"/>
      <c r="D48" s="3"/>
      <c r="E48" s="3"/>
      <c r="F48" s="3"/>
      <c r="G48" s="3"/>
      <c r="H48" s="395"/>
      <c r="I48" s="395"/>
      <c r="J48" s="3"/>
      <c r="K48" s="3"/>
      <c r="L48" s="3"/>
      <c r="M48" s="4"/>
      <c r="N48" s="10"/>
      <c r="O48" s="3"/>
      <c r="P48" s="3"/>
      <c r="Q48" s="10"/>
      <c r="R48" s="10"/>
      <c r="S48" s="10"/>
      <c r="T48" s="10"/>
      <c r="U48" s="10"/>
      <c r="V48" s="10"/>
    </row>
    <row r="49" spans="1:22" s="99" customFormat="1">
      <c r="A49" s="41"/>
      <c r="B49" s="1102" t="s">
        <v>6529</v>
      </c>
      <c r="C49" s="1103"/>
      <c r="D49" s="1103"/>
      <c r="E49" s="514">
        <f ca="1">SUMIF(F37:G46, "MPG Requirement",J37:J46)</f>
        <v>0</v>
      </c>
      <c r="F49" s="3"/>
      <c r="G49" s="3"/>
      <c r="H49" s="395"/>
      <c r="I49" s="395"/>
      <c r="J49" s="3"/>
      <c r="K49" s="3"/>
      <c r="L49" s="3"/>
      <c r="M49" s="4"/>
      <c r="N49" s="10"/>
      <c r="O49" s="3"/>
      <c r="P49" s="3"/>
      <c r="Q49" s="10"/>
      <c r="R49" s="10"/>
      <c r="S49" s="10"/>
      <c r="T49" s="10"/>
      <c r="U49" s="10"/>
      <c r="V49" s="10"/>
    </row>
    <row r="50" spans="1:22" s="99" customFormat="1">
      <c r="A50" s="41"/>
      <c r="B50" s="1102" t="s">
        <v>6530</v>
      </c>
      <c r="C50" s="1103"/>
      <c r="D50" s="1103"/>
      <c r="E50" s="513">
        <f ca="1">SUMIF(F37:G46, "AFV/EV Requirement",J37:J46)</f>
        <v>0</v>
      </c>
      <c r="F50" s="3"/>
      <c r="G50" s="3"/>
      <c r="H50" s="395"/>
      <c r="I50" s="395"/>
      <c r="J50" s="3"/>
      <c r="K50" s="3"/>
      <c r="L50" s="3"/>
      <c r="M50" s="4"/>
      <c r="N50" s="10"/>
      <c r="O50" s="3"/>
      <c r="P50" s="3"/>
      <c r="Q50" s="10"/>
      <c r="R50" s="10"/>
      <c r="S50" s="10"/>
      <c r="T50" s="10"/>
      <c r="U50" s="10"/>
      <c r="V50" s="10"/>
    </row>
    <row r="51" spans="1:22" s="99" customFormat="1" ht="7.5" customHeight="1">
      <c r="A51" s="41"/>
      <c r="B51" s="2"/>
      <c r="C51" s="3"/>
      <c r="D51" s="3"/>
      <c r="E51" s="3"/>
      <c r="F51" s="3"/>
      <c r="G51" s="3"/>
      <c r="H51" s="395"/>
      <c r="I51" s="395"/>
      <c r="J51" s="3"/>
      <c r="K51" s="3"/>
      <c r="L51" s="3"/>
      <c r="M51" s="4"/>
      <c r="N51" s="10"/>
      <c r="O51" s="3"/>
      <c r="P51" s="3"/>
      <c r="Q51" s="10"/>
      <c r="R51" s="10"/>
      <c r="S51" s="10"/>
      <c r="T51" s="10"/>
      <c r="U51" s="10"/>
      <c r="V51" s="10"/>
    </row>
    <row r="52" spans="1:22" ht="24">
      <c r="A52" s="3"/>
      <c r="B52" s="1085" t="s">
        <v>6538</v>
      </c>
      <c r="C52" s="1086"/>
      <c r="D52" s="1087"/>
      <c r="E52" s="1087"/>
      <c r="F52" s="1087"/>
      <c r="G52" s="1087"/>
      <c r="H52" s="1087"/>
      <c r="I52" s="1087"/>
      <c r="J52" s="1087"/>
      <c r="K52" s="1087"/>
      <c r="L52" s="1087"/>
      <c r="M52" s="1088"/>
      <c r="N52" s="10"/>
      <c r="O52" s="3"/>
      <c r="P52" s="3"/>
    </row>
    <row r="53" spans="1:22" ht="128.25" customHeight="1">
      <c r="A53" s="3"/>
      <c r="B53" s="1163" t="s">
        <v>6539</v>
      </c>
      <c r="C53" s="1164"/>
      <c r="D53" s="1078"/>
      <c r="E53" s="1078"/>
      <c r="F53" s="1078"/>
      <c r="G53" s="1078"/>
      <c r="H53" s="1078"/>
      <c r="I53" s="1078"/>
      <c r="J53" s="1078"/>
      <c r="K53" s="1078"/>
      <c r="L53" s="1078"/>
      <c r="M53" s="1079"/>
      <c r="N53" s="10"/>
      <c r="O53" s="3"/>
      <c r="P53" s="3"/>
    </row>
    <row r="54" spans="1:22" ht="15" customHeight="1">
      <c r="A54" s="3"/>
      <c r="B54" s="1097" t="s">
        <v>6513</v>
      </c>
      <c r="C54" s="1098"/>
      <c r="D54" s="1078"/>
      <c r="E54" s="1078"/>
      <c r="F54" s="1078"/>
      <c r="G54" s="1078"/>
      <c r="H54" s="1078"/>
      <c r="I54" s="1078"/>
      <c r="J54" s="1078"/>
      <c r="K54" s="1078"/>
      <c r="L54" s="1078"/>
      <c r="M54" s="1079"/>
      <c r="N54" s="10"/>
      <c r="O54" s="3"/>
      <c r="P54" s="3"/>
    </row>
    <row r="55" spans="1:22" ht="114.75" customHeight="1">
      <c r="A55" s="3"/>
      <c r="B55" s="1139" t="s">
        <v>6540</v>
      </c>
      <c r="C55" s="1140"/>
      <c r="D55" s="1141"/>
      <c r="E55" s="1141"/>
      <c r="F55" s="1141"/>
      <c r="G55" s="1141"/>
      <c r="H55" s="1141"/>
      <c r="I55" s="1141"/>
      <c r="J55" s="1141"/>
      <c r="K55" s="1141"/>
      <c r="L55" s="1141"/>
      <c r="M55" s="1142"/>
      <c r="N55" s="10"/>
      <c r="O55" s="3"/>
      <c r="P55" s="3"/>
    </row>
    <row r="56" spans="1:22" ht="7.5" customHeight="1" thickBot="1">
      <c r="A56" s="3"/>
      <c r="B56" s="2"/>
      <c r="C56" s="3"/>
      <c r="D56" s="3"/>
      <c r="E56" s="3"/>
      <c r="F56" s="3"/>
      <c r="G56" s="3"/>
      <c r="H56" s="395"/>
      <c r="I56" s="395"/>
      <c r="J56" s="3"/>
      <c r="K56" s="3"/>
      <c r="L56" s="3"/>
      <c r="M56" s="4"/>
      <c r="N56" s="10"/>
      <c r="O56" s="3"/>
      <c r="P56" s="3"/>
    </row>
    <row r="57" spans="1:22" ht="24">
      <c r="A57" s="3"/>
      <c r="B57" s="1226" t="s">
        <v>6541</v>
      </c>
      <c r="C57" s="1227"/>
      <c r="D57" s="1108"/>
      <c r="E57" s="1108"/>
      <c r="F57" s="1109"/>
      <c r="G57" s="375"/>
      <c r="H57" s="396"/>
      <c r="I57" s="398"/>
      <c r="J57" s="364"/>
      <c r="K57" s="49"/>
      <c r="L57" s="3"/>
      <c r="M57" s="4"/>
      <c r="N57" s="10"/>
      <c r="O57" s="3"/>
      <c r="P57" s="3"/>
    </row>
    <row r="58" spans="1:22">
      <c r="A58" s="3"/>
      <c r="B58" s="11"/>
      <c r="C58" s="48"/>
      <c r="D58" s="48"/>
      <c r="E58" s="12"/>
      <c r="F58" s="29"/>
      <c r="G58" s="3"/>
      <c r="H58" s="395"/>
      <c r="I58" s="395"/>
      <c r="J58" s="3"/>
      <c r="K58" s="3"/>
      <c r="L58" s="3"/>
      <c r="M58" s="4"/>
      <c r="N58" s="10"/>
      <c r="O58" s="3"/>
      <c r="P58" s="3"/>
    </row>
    <row r="59" spans="1:22" s="99" customFormat="1" ht="15" customHeight="1">
      <c r="A59" s="3"/>
      <c r="B59" s="163"/>
      <c r="C59" s="12"/>
      <c r="D59" s="1115" t="s">
        <v>6542</v>
      </c>
      <c r="E59" s="1116"/>
      <c r="F59" s="565">
        <f>10-(COUNTBLANK(F62:F71))</f>
        <v>0</v>
      </c>
      <c r="G59" s="364"/>
      <c r="H59" s="399"/>
      <c r="I59" s="399"/>
      <c r="J59" s="222"/>
      <c r="K59" s="3"/>
      <c r="L59" s="3"/>
      <c r="M59" s="4"/>
      <c r="N59" s="10"/>
      <c r="O59" s="3"/>
      <c r="P59" s="3"/>
      <c r="Q59" s="10"/>
      <c r="R59" s="10"/>
      <c r="S59" s="10"/>
      <c r="T59" s="10"/>
      <c r="U59" s="10"/>
      <c r="V59" s="10"/>
    </row>
    <row r="60" spans="1:22" ht="7.5" customHeight="1">
      <c r="A60" s="3"/>
      <c r="B60" s="11"/>
      <c r="C60" s="48"/>
      <c r="D60" s="378"/>
      <c r="E60" s="12"/>
      <c r="F60" s="29"/>
      <c r="G60" s="3"/>
      <c r="H60" s="395"/>
      <c r="I60" s="395"/>
      <c r="J60" s="3"/>
      <c r="K60" s="3"/>
      <c r="L60" s="3"/>
      <c r="M60" s="4"/>
      <c r="N60" s="10"/>
      <c r="O60" s="3"/>
      <c r="P60" s="3"/>
    </row>
    <row r="61" spans="1:22" ht="43.5" customHeight="1">
      <c r="A61" s="3"/>
      <c r="B61" s="1224" t="s">
        <v>6543</v>
      </c>
      <c r="C61" s="1225"/>
      <c r="D61" s="39" t="s">
        <v>6544</v>
      </c>
      <c r="E61" s="485" t="s">
        <v>6545</v>
      </c>
      <c r="F61" s="14" t="s">
        <v>6521</v>
      </c>
      <c r="G61" s="221"/>
      <c r="H61" s="395"/>
      <c r="I61" s="400"/>
      <c r="J61" s="221"/>
      <c r="K61" s="221"/>
      <c r="L61" s="3"/>
      <c r="M61" s="4"/>
      <c r="N61" s="51"/>
      <c r="O61" s="3"/>
      <c r="P61" s="3"/>
    </row>
    <row r="62" spans="1:22" ht="15" customHeight="1">
      <c r="A62" s="3"/>
      <c r="B62" s="1221"/>
      <c r="C62" s="1129"/>
      <c r="D62" s="382"/>
      <c r="E62" s="379"/>
      <c r="F62" s="377" t="str">
        <f>IF(B62="", "", O62+P62)</f>
        <v/>
      </c>
      <c r="G62" s="376"/>
      <c r="H62" s="395"/>
      <c r="I62" s="401"/>
      <c r="J62" s="217"/>
      <c r="K62" s="3"/>
      <c r="L62" s="3"/>
      <c r="M62" s="4"/>
      <c r="N62" s="51"/>
      <c r="O62" s="3">
        <f>(IF(E62="Pass. Car - Small",1,IF(E62="Pass. Car - Large",2,IF(E62="Cat. II - Small",2,IF(E62="Cat. II - Medium",3,IF(E62="Cat. II - Large",4,0))))))</f>
        <v>0</v>
      </c>
      <c r="P62" s="3">
        <f>IF(D62&gt;=20,2,IF(D62&gt;=10,1,0))</f>
        <v>0</v>
      </c>
    </row>
    <row r="63" spans="1:22" ht="15.95">
      <c r="A63" s="3"/>
      <c r="B63" s="1119"/>
      <c r="C63" s="1084"/>
      <c r="D63" s="383"/>
      <c r="E63" s="380"/>
      <c r="F63" s="318" t="str">
        <f t="shared" ref="F63:F71" si="1">IF(B63="", "", O63+P63)</f>
        <v/>
      </c>
      <c r="G63" s="376"/>
      <c r="H63" s="395"/>
      <c r="I63" s="401"/>
      <c r="J63" s="217"/>
      <c r="K63" s="3"/>
      <c r="L63" s="3"/>
      <c r="M63" s="4"/>
      <c r="N63" s="51"/>
      <c r="O63" s="3">
        <f t="shared" ref="O63:O71" si="2">(IF(E63="Pass. Car - Small",1,IF(E63="Pass. Car - Large",2,IF(E63="Cat. II - Small",2,IF(E63="Cat. II - Medium",3,IF(E63="Cat. II - Large",4,0))))))</f>
        <v>0</v>
      </c>
      <c r="P63" s="3">
        <f t="shared" ref="P63:P71" si="3">IF(D63&gt;=20,2,IF(D63&gt;=10,1,0))</f>
        <v>0</v>
      </c>
    </row>
    <row r="64" spans="1:22" ht="15.95">
      <c r="A64" s="3"/>
      <c r="B64" s="1119"/>
      <c r="C64" s="1084"/>
      <c r="D64" s="383"/>
      <c r="E64" s="380"/>
      <c r="F64" s="318" t="str">
        <f t="shared" si="1"/>
        <v/>
      </c>
      <c r="G64" s="376"/>
      <c r="H64" s="395"/>
      <c r="I64" s="401"/>
      <c r="J64" s="217"/>
      <c r="K64" s="3"/>
      <c r="L64" s="3"/>
      <c r="M64" s="4"/>
      <c r="N64" s="51"/>
      <c r="O64" s="3">
        <f t="shared" si="2"/>
        <v>0</v>
      </c>
      <c r="P64" s="3">
        <f t="shared" si="3"/>
        <v>0</v>
      </c>
    </row>
    <row r="65" spans="1:22" ht="15.95">
      <c r="A65" s="3"/>
      <c r="B65" s="1119"/>
      <c r="C65" s="1084"/>
      <c r="D65" s="383"/>
      <c r="E65" s="380"/>
      <c r="F65" s="318" t="str">
        <f t="shared" si="1"/>
        <v/>
      </c>
      <c r="G65" s="376"/>
      <c r="H65" s="395"/>
      <c r="I65" s="401"/>
      <c r="J65" s="217"/>
      <c r="K65" s="3"/>
      <c r="L65" s="3"/>
      <c r="M65" s="4"/>
      <c r="N65" s="51"/>
      <c r="O65" s="3">
        <f t="shared" si="2"/>
        <v>0</v>
      </c>
      <c r="P65" s="3">
        <f t="shared" si="3"/>
        <v>0</v>
      </c>
    </row>
    <row r="66" spans="1:22" ht="15.95">
      <c r="A66" s="3"/>
      <c r="B66" s="1119"/>
      <c r="C66" s="1084"/>
      <c r="D66" s="383"/>
      <c r="E66" s="380"/>
      <c r="F66" s="318" t="str">
        <f t="shared" si="1"/>
        <v/>
      </c>
      <c r="G66" s="376"/>
      <c r="H66" s="395"/>
      <c r="I66" s="401"/>
      <c r="J66" s="217"/>
      <c r="K66" s="3"/>
      <c r="L66" s="3"/>
      <c r="M66" s="4"/>
      <c r="N66" s="51"/>
      <c r="O66" s="3">
        <f t="shared" si="2"/>
        <v>0</v>
      </c>
      <c r="P66" s="3">
        <f t="shared" si="3"/>
        <v>0</v>
      </c>
    </row>
    <row r="67" spans="1:22" ht="15.95">
      <c r="A67" s="3"/>
      <c r="B67" s="1119"/>
      <c r="C67" s="1084"/>
      <c r="D67" s="383"/>
      <c r="E67" s="380"/>
      <c r="F67" s="318" t="str">
        <f t="shared" si="1"/>
        <v/>
      </c>
      <c r="G67" s="376"/>
      <c r="H67" s="395"/>
      <c r="I67" s="401"/>
      <c r="J67" s="217"/>
      <c r="K67" s="3"/>
      <c r="L67" s="3"/>
      <c r="M67" s="4"/>
      <c r="N67" s="51"/>
      <c r="O67" s="3">
        <f t="shared" si="2"/>
        <v>0</v>
      </c>
      <c r="P67" s="3">
        <f t="shared" si="3"/>
        <v>0</v>
      </c>
    </row>
    <row r="68" spans="1:22" ht="15.95">
      <c r="A68" s="3"/>
      <c r="B68" s="1119"/>
      <c r="C68" s="1084"/>
      <c r="D68" s="383"/>
      <c r="E68" s="380"/>
      <c r="F68" s="318" t="str">
        <f t="shared" si="1"/>
        <v/>
      </c>
      <c r="G68" s="376"/>
      <c r="H68" s="395"/>
      <c r="I68" s="401"/>
      <c r="J68" s="217"/>
      <c r="K68" s="3"/>
      <c r="L68" s="3"/>
      <c r="M68" s="4"/>
      <c r="N68" s="51"/>
      <c r="O68" s="3">
        <f t="shared" si="2"/>
        <v>0</v>
      </c>
      <c r="P68" s="3">
        <f t="shared" si="3"/>
        <v>0</v>
      </c>
    </row>
    <row r="69" spans="1:22" ht="15.95">
      <c r="A69" s="3"/>
      <c r="B69" s="1119"/>
      <c r="C69" s="1084"/>
      <c r="D69" s="383"/>
      <c r="E69" s="380"/>
      <c r="F69" s="318" t="str">
        <f t="shared" si="1"/>
        <v/>
      </c>
      <c r="G69" s="376"/>
      <c r="H69" s="395"/>
      <c r="I69" s="401"/>
      <c r="J69" s="217"/>
      <c r="K69" s="3"/>
      <c r="L69" s="3"/>
      <c r="M69" s="4"/>
      <c r="N69" s="51"/>
      <c r="O69" s="3">
        <f t="shared" si="2"/>
        <v>0</v>
      </c>
      <c r="P69" s="3">
        <f t="shared" si="3"/>
        <v>0</v>
      </c>
    </row>
    <row r="70" spans="1:22" ht="15.95">
      <c r="A70" s="3"/>
      <c r="B70" s="1119"/>
      <c r="C70" s="1084"/>
      <c r="D70" s="383"/>
      <c r="E70" s="380"/>
      <c r="F70" s="318" t="str">
        <f t="shared" si="1"/>
        <v/>
      </c>
      <c r="G70" s="376"/>
      <c r="H70" s="395"/>
      <c r="I70" s="401"/>
      <c r="J70" s="217"/>
      <c r="K70" s="3"/>
      <c r="L70" s="3"/>
      <c r="M70" s="4"/>
      <c r="N70" s="10"/>
      <c r="O70" s="3">
        <f t="shared" si="2"/>
        <v>0</v>
      </c>
      <c r="P70" s="3">
        <f t="shared" si="3"/>
        <v>0</v>
      </c>
    </row>
    <row r="71" spans="1:22" ht="17.100000000000001" thickBot="1">
      <c r="A71" s="3"/>
      <c r="B71" s="1120"/>
      <c r="C71" s="1118"/>
      <c r="D71" s="384"/>
      <c r="E71" s="381"/>
      <c r="F71" s="324" t="str">
        <f t="shared" si="1"/>
        <v/>
      </c>
      <c r="G71" s="376"/>
      <c r="H71" s="395"/>
      <c r="I71" s="401"/>
      <c r="J71" s="217"/>
      <c r="K71" s="3"/>
      <c r="L71" s="3"/>
      <c r="M71" s="4"/>
      <c r="N71" s="10"/>
      <c r="O71" s="3">
        <f t="shared" si="2"/>
        <v>0</v>
      </c>
      <c r="P71" s="3">
        <f t="shared" si="3"/>
        <v>0</v>
      </c>
    </row>
    <row r="72" spans="1:22" s="99" customFormat="1" ht="7.5" customHeight="1" thickBot="1">
      <c r="A72" s="3"/>
      <c r="B72" s="218"/>
      <c r="C72" s="215"/>
      <c r="D72" s="216"/>
      <c r="E72" s="45"/>
      <c r="F72" s="486"/>
      <c r="G72" s="217"/>
      <c r="H72" s="401"/>
      <c r="I72" s="401"/>
      <c r="J72" s="217"/>
      <c r="K72" s="3"/>
      <c r="L72" s="3"/>
      <c r="M72" s="4"/>
      <c r="N72" s="10"/>
      <c r="O72" s="3" t="str">
        <f t="shared" ref="O72" si="4">(IF(E72="Pass. Car - Small",1,IF(E72="Pass. Car - Large",2,IF(E72="Cat. II - Small",2,IF(E72="Cat. II - Medium",3,IF(E72="Cat. II - Large",4,""))))))</f>
        <v/>
      </c>
      <c r="P72" s="3"/>
      <c r="Q72" s="10"/>
      <c r="R72" s="10"/>
      <c r="S72" s="10"/>
      <c r="T72" s="10"/>
      <c r="U72" s="10"/>
      <c r="V72" s="10"/>
    </row>
    <row r="73" spans="1:22" s="10" customFormat="1" ht="18.95">
      <c r="A73" s="3"/>
      <c r="B73" s="1107" t="s">
        <v>6546</v>
      </c>
      <c r="C73" s="1108"/>
      <c r="D73" s="1108"/>
      <c r="E73" s="1108"/>
      <c r="F73" s="1108"/>
      <c r="G73" s="1109"/>
      <c r="H73" s="402"/>
      <c r="I73" s="402"/>
      <c r="J73" s="3"/>
      <c r="K73" s="3"/>
      <c r="L73" s="41"/>
      <c r="M73" s="4"/>
      <c r="O73" s="3"/>
      <c r="P73" s="3"/>
    </row>
    <row r="74" spans="1:22" s="10" customFormat="1" ht="6.75" customHeight="1">
      <c r="A74" s="3"/>
      <c r="B74" s="11"/>
      <c r="C74" s="48"/>
      <c r="D74" s="48"/>
      <c r="E74" s="48"/>
      <c r="F74" s="12"/>
      <c r="G74" s="29"/>
      <c r="H74" s="395"/>
      <c r="I74" s="395"/>
      <c r="J74" s="1"/>
      <c r="K74" s="3"/>
      <c r="L74" s="41"/>
      <c r="M74" s="4"/>
      <c r="O74" s="3"/>
      <c r="P74" s="3"/>
    </row>
    <row r="75" spans="1:22" s="10" customFormat="1">
      <c r="A75" s="3"/>
      <c r="B75" s="27"/>
      <c r="C75" s="531"/>
      <c r="D75" s="1228" t="s">
        <v>6547</v>
      </c>
      <c r="E75" s="1229"/>
      <c r="F75" s="403">
        <f>10-(COUNTBLANK(G78:G87))</f>
        <v>0</v>
      </c>
      <c r="G75" s="29"/>
      <c r="H75" s="395"/>
      <c r="I75" s="395"/>
      <c r="J75" s="3"/>
      <c r="K75" s="3"/>
      <c r="L75" s="41"/>
      <c r="M75" s="4"/>
      <c r="O75" s="3"/>
      <c r="P75" s="3"/>
    </row>
    <row r="76" spans="1:22" s="10" customFormat="1" ht="6.75" customHeight="1">
      <c r="A76" s="3"/>
      <c r="B76" s="11"/>
      <c r="C76" s="48"/>
      <c r="D76" s="48"/>
      <c r="E76" s="363"/>
      <c r="F76" s="12"/>
      <c r="G76" s="29"/>
      <c r="H76" s="395"/>
      <c r="I76" s="395"/>
      <c r="J76" s="3"/>
      <c r="K76" s="3"/>
      <c r="L76" s="41"/>
      <c r="M76" s="4"/>
      <c r="O76" s="3"/>
      <c r="P76" s="3"/>
    </row>
    <row r="77" spans="1:22" s="10" customFormat="1" ht="42.75" customHeight="1">
      <c r="A77" s="3"/>
      <c r="B77" s="1224" t="s">
        <v>6548</v>
      </c>
      <c r="C77" s="1225"/>
      <c r="D77" s="39" t="s">
        <v>6545</v>
      </c>
      <c r="E77" s="39" t="s">
        <v>6549</v>
      </c>
      <c r="F77" s="39" t="s">
        <v>6550</v>
      </c>
      <c r="G77" s="405" t="s">
        <v>6521</v>
      </c>
      <c r="H77" s="400"/>
      <c r="I77" s="400"/>
      <c r="J77" s="3"/>
      <c r="K77" s="3"/>
      <c r="L77" s="221"/>
      <c r="M77" s="4"/>
      <c r="O77" s="3"/>
      <c r="P77" s="3"/>
    </row>
    <row r="78" spans="1:22" s="10" customFormat="1">
      <c r="A78" s="3"/>
      <c r="B78" s="1128"/>
      <c r="C78" s="1129"/>
      <c r="D78" s="385"/>
      <c r="E78" s="388"/>
      <c r="F78" s="388"/>
      <c r="G78" s="334" t="str">
        <f>IF(B78="", "",IF(H78-I78=0, "",IFERROR(H78-I78,"")))</f>
        <v/>
      </c>
      <c r="H78" s="397">
        <f t="shared" ref="H78:H87" si="5">IF(D78="Large", 5, IF(D78="Medium", 4, IF(D78="Small", 3, IF(D78="Compact", 2, 0))))</f>
        <v>0</v>
      </c>
      <c r="I78" s="397">
        <f t="shared" ref="I78:I87" si="6">IF(F78="Large", 5, IF(F78="Medium", 4, IF(F78="Small", 3, IF(F78="Compact", 2, IF(F78="Pass. Car", 1, 0)))))</f>
        <v>0</v>
      </c>
      <c r="J78" s="3"/>
      <c r="K78" s="364"/>
      <c r="L78" s="3"/>
      <c r="M78" s="4"/>
      <c r="O78" s="3"/>
      <c r="P78" s="3"/>
    </row>
    <row r="79" spans="1:22" s="10" customFormat="1">
      <c r="A79" s="3"/>
      <c r="B79" s="1083"/>
      <c r="C79" s="1084"/>
      <c r="D79" s="386"/>
      <c r="E79" s="389"/>
      <c r="F79" s="389"/>
      <c r="G79" s="302" t="str">
        <f t="shared" ref="G79:G87" si="7">IF(B79="", "",IF(H79-I79=0, "",IFERROR(H79-I79,"")))</f>
        <v/>
      </c>
      <c r="H79" s="397">
        <f t="shared" si="5"/>
        <v>0</v>
      </c>
      <c r="I79" s="397">
        <f t="shared" si="6"/>
        <v>0</v>
      </c>
      <c r="J79" s="3"/>
      <c r="K79" s="497"/>
      <c r="L79" s="3"/>
      <c r="M79" s="4"/>
      <c r="O79" s="3"/>
      <c r="P79" s="3"/>
    </row>
    <row r="80" spans="1:22" s="10" customFormat="1">
      <c r="A80" s="3"/>
      <c r="B80" s="1083"/>
      <c r="C80" s="1084"/>
      <c r="D80" s="386"/>
      <c r="E80" s="389"/>
      <c r="F80" s="389"/>
      <c r="G80" s="302" t="str">
        <f t="shared" si="7"/>
        <v/>
      </c>
      <c r="H80" s="397">
        <f t="shared" si="5"/>
        <v>0</v>
      </c>
      <c r="I80" s="397">
        <f t="shared" si="6"/>
        <v>0</v>
      </c>
      <c r="J80" s="1"/>
      <c r="K80" s="3"/>
      <c r="L80" s="3"/>
      <c r="M80" s="4"/>
      <c r="O80" s="3"/>
      <c r="P80" s="3"/>
    </row>
    <row r="81" spans="1:16" s="10" customFormat="1">
      <c r="A81" s="3"/>
      <c r="B81" s="1083"/>
      <c r="C81" s="1084"/>
      <c r="D81" s="386"/>
      <c r="E81" s="389"/>
      <c r="F81" s="389"/>
      <c r="G81" s="302" t="str">
        <f t="shared" si="7"/>
        <v/>
      </c>
      <c r="H81" s="397">
        <f t="shared" si="5"/>
        <v>0</v>
      </c>
      <c r="I81" s="397">
        <f t="shared" si="6"/>
        <v>0</v>
      </c>
      <c r="J81" s="404"/>
      <c r="K81" s="3"/>
      <c r="L81" s="3"/>
      <c r="M81" s="4"/>
      <c r="O81" s="3"/>
      <c r="P81" s="3"/>
    </row>
    <row r="82" spans="1:16" s="10" customFormat="1">
      <c r="A82" s="3"/>
      <c r="B82" s="1083"/>
      <c r="C82" s="1084"/>
      <c r="D82" s="386"/>
      <c r="E82" s="389"/>
      <c r="F82" s="389"/>
      <c r="G82" s="302" t="str">
        <f t="shared" si="7"/>
        <v/>
      </c>
      <c r="H82" s="397">
        <f t="shared" si="5"/>
        <v>0</v>
      </c>
      <c r="I82" s="397">
        <f t="shared" si="6"/>
        <v>0</v>
      </c>
      <c r="J82" s="3"/>
      <c r="K82" s="3"/>
      <c r="L82" s="3"/>
      <c r="M82" s="4"/>
      <c r="O82" s="3"/>
      <c r="P82" s="3"/>
    </row>
    <row r="83" spans="1:16" s="10" customFormat="1">
      <c r="A83" s="3"/>
      <c r="B83" s="1083"/>
      <c r="C83" s="1084"/>
      <c r="D83" s="386"/>
      <c r="E83" s="389"/>
      <c r="F83" s="389"/>
      <c r="G83" s="302" t="str">
        <f t="shared" si="7"/>
        <v/>
      </c>
      <c r="H83" s="397">
        <f t="shared" si="5"/>
        <v>0</v>
      </c>
      <c r="I83" s="397">
        <f t="shared" si="6"/>
        <v>0</v>
      </c>
      <c r="J83" s="3"/>
      <c r="K83" s="3"/>
      <c r="L83" s="3"/>
      <c r="M83" s="4"/>
      <c r="O83" s="3"/>
      <c r="P83" s="3"/>
    </row>
    <row r="84" spans="1:16" s="10" customFormat="1">
      <c r="A84" s="3"/>
      <c r="B84" s="1083"/>
      <c r="C84" s="1084"/>
      <c r="D84" s="386"/>
      <c r="E84" s="389"/>
      <c r="F84" s="389"/>
      <c r="G84" s="302" t="str">
        <f t="shared" si="7"/>
        <v/>
      </c>
      <c r="H84" s="397">
        <f t="shared" si="5"/>
        <v>0</v>
      </c>
      <c r="I84" s="397">
        <f t="shared" si="6"/>
        <v>0</v>
      </c>
      <c r="J84" s="3"/>
      <c r="K84" s="3"/>
      <c r="L84" s="3"/>
      <c r="M84" s="4"/>
      <c r="O84" s="3"/>
      <c r="P84" s="3"/>
    </row>
    <row r="85" spans="1:16" s="10" customFormat="1">
      <c r="A85" s="3"/>
      <c r="B85" s="1083"/>
      <c r="C85" s="1084"/>
      <c r="D85" s="386"/>
      <c r="E85" s="389"/>
      <c r="F85" s="389"/>
      <c r="G85" s="302" t="str">
        <f t="shared" si="7"/>
        <v/>
      </c>
      <c r="H85" s="397">
        <f t="shared" si="5"/>
        <v>0</v>
      </c>
      <c r="I85" s="397">
        <f t="shared" si="6"/>
        <v>0</v>
      </c>
      <c r="J85" s="3"/>
      <c r="K85" s="3"/>
      <c r="L85" s="3"/>
      <c r="M85" s="4"/>
      <c r="O85" s="3"/>
      <c r="P85" s="3"/>
    </row>
    <row r="86" spans="1:16" s="10" customFormat="1">
      <c r="A86" s="3"/>
      <c r="B86" s="1083"/>
      <c r="C86" s="1084"/>
      <c r="D86" s="386"/>
      <c r="E86" s="389"/>
      <c r="F86" s="389"/>
      <c r="G86" s="302" t="str">
        <f t="shared" si="7"/>
        <v/>
      </c>
      <c r="H86" s="397">
        <f t="shared" si="5"/>
        <v>0</v>
      </c>
      <c r="I86" s="397">
        <f t="shared" si="6"/>
        <v>0</v>
      </c>
      <c r="J86" s="3"/>
      <c r="K86" s="3"/>
      <c r="L86" s="3"/>
      <c r="M86" s="4"/>
      <c r="O86" s="3"/>
      <c r="P86" s="3"/>
    </row>
    <row r="87" spans="1:16" s="10" customFormat="1" ht="15.95" thickBot="1">
      <c r="A87" s="3"/>
      <c r="B87" s="1117"/>
      <c r="C87" s="1118"/>
      <c r="D87" s="387"/>
      <c r="E87" s="390"/>
      <c r="F87" s="390"/>
      <c r="G87" s="303" t="str">
        <f t="shared" si="7"/>
        <v/>
      </c>
      <c r="H87" s="397">
        <f t="shared" si="5"/>
        <v>0</v>
      </c>
      <c r="I87" s="397">
        <f t="shared" si="6"/>
        <v>0</v>
      </c>
      <c r="J87" s="3"/>
      <c r="K87" s="3"/>
      <c r="L87" s="3"/>
      <c r="M87" s="4"/>
      <c r="O87" s="3"/>
      <c r="P87" s="3"/>
    </row>
    <row r="88" spans="1:16" s="10" customFormat="1">
      <c r="A88" s="3"/>
      <c r="B88" s="563" t="s">
        <v>6551</v>
      </c>
      <c r="C88" s="3"/>
      <c r="D88" s="3"/>
      <c r="E88" s="3"/>
      <c r="F88" s="3"/>
      <c r="G88" s="486"/>
      <c r="H88" s="397"/>
      <c r="I88" s="397"/>
      <c r="J88" s="486"/>
      <c r="K88" s="3"/>
      <c r="L88" s="3"/>
      <c r="M88" s="4"/>
      <c r="O88" s="3"/>
      <c r="P88" s="3"/>
    </row>
    <row r="89" spans="1:16" s="10" customFormat="1" ht="7.5" customHeight="1">
      <c r="A89" s="3"/>
      <c r="B89" s="563"/>
      <c r="C89" s="3"/>
      <c r="D89" s="3"/>
      <c r="E89" s="3"/>
      <c r="F89" s="3"/>
      <c r="G89" s="486"/>
      <c r="H89" s="397"/>
      <c r="I89" s="397"/>
      <c r="J89" s="486"/>
      <c r="K89" s="3"/>
      <c r="L89" s="3"/>
      <c r="M89" s="4"/>
      <c r="O89" s="3"/>
      <c r="P89" s="3"/>
    </row>
    <row r="90" spans="1:16" s="10" customFormat="1">
      <c r="A90" s="3"/>
      <c r="B90" s="1150" t="s">
        <v>6529</v>
      </c>
      <c r="C90" s="1151"/>
      <c r="D90" s="1152"/>
      <c r="E90" s="513">
        <f>SUM(F62:F71) + SUM(G78:G87)</f>
        <v>0</v>
      </c>
      <c r="F90" s="3"/>
      <c r="G90" s="486"/>
      <c r="H90" s="397"/>
      <c r="I90" s="397"/>
      <c r="J90" s="486"/>
      <c r="K90" s="3"/>
      <c r="L90" s="3"/>
      <c r="M90" s="4"/>
      <c r="O90" s="3"/>
      <c r="P90" s="3"/>
    </row>
    <row r="91" spans="1:16" s="10" customFormat="1" ht="7.5" customHeight="1">
      <c r="A91" s="3"/>
      <c r="B91" s="2"/>
      <c r="C91" s="3"/>
      <c r="D91" s="3"/>
      <c r="E91" s="3"/>
      <c r="F91" s="3"/>
      <c r="G91" s="486"/>
      <c r="H91" s="397"/>
      <c r="I91" s="397"/>
      <c r="J91" s="486"/>
      <c r="K91" s="3"/>
      <c r="L91" s="3"/>
      <c r="M91" s="4"/>
      <c r="O91" s="3"/>
      <c r="P91" s="3"/>
    </row>
    <row r="92" spans="1:16" s="10" customFormat="1" ht="24">
      <c r="A92" s="3"/>
      <c r="B92" s="1135" t="s">
        <v>6552</v>
      </c>
      <c r="C92" s="1136"/>
      <c r="D92" s="1087"/>
      <c r="E92" s="1087"/>
      <c r="F92" s="1087"/>
      <c r="G92" s="1087"/>
      <c r="H92" s="1087"/>
      <c r="I92" s="1087"/>
      <c r="J92" s="1087"/>
      <c r="K92" s="1087"/>
      <c r="L92" s="1087"/>
      <c r="M92" s="1088"/>
      <c r="O92" s="3"/>
      <c r="P92" s="3"/>
    </row>
    <row r="93" spans="1:16" s="10" customFormat="1" ht="84" customHeight="1">
      <c r="A93" s="3"/>
      <c r="B93" s="1110" t="s">
        <v>6553</v>
      </c>
      <c r="C93" s="1111"/>
      <c r="D93" s="1112"/>
      <c r="E93" s="1112"/>
      <c r="F93" s="1112"/>
      <c r="G93" s="1112"/>
      <c r="H93" s="1112"/>
      <c r="I93" s="1112"/>
      <c r="J93" s="1112"/>
      <c r="K93" s="1112"/>
      <c r="L93" s="1112"/>
      <c r="M93" s="1113"/>
      <c r="O93" s="3"/>
      <c r="P93" s="3"/>
    </row>
    <row r="94" spans="1:16" s="10" customFormat="1">
      <c r="A94" s="3"/>
      <c r="B94" s="1097" t="s">
        <v>6513</v>
      </c>
      <c r="C94" s="1098"/>
      <c r="D94" s="1078"/>
      <c r="E94" s="1078"/>
      <c r="F94" s="1078"/>
      <c r="G94" s="1078"/>
      <c r="H94" s="1078"/>
      <c r="I94" s="1078"/>
      <c r="J94" s="1078"/>
      <c r="K94" s="1078"/>
      <c r="L94" s="1078"/>
      <c r="M94" s="1079"/>
      <c r="O94" s="3"/>
      <c r="P94" s="3"/>
    </row>
    <row r="95" spans="1:16" s="10" customFormat="1" ht="54" customHeight="1">
      <c r="A95" s="3"/>
      <c r="B95" s="1139" t="s">
        <v>6554</v>
      </c>
      <c r="C95" s="1140"/>
      <c r="D95" s="1141"/>
      <c r="E95" s="1141"/>
      <c r="F95" s="1141"/>
      <c r="G95" s="1141"/>
      <c r="H95" s="1141"/>
      <c r="I95" s="1141"/>
      <c r="J95" s="1141"/>
      <c r="K95" s="1141"/>
      <c r="L95" s="1141"/>
      <c r="M95" s="1142"/>
      <c r="O95" s="3"/>
      <c r="P95" s="3"/>
    </row>
    <row r="96" spans="1:16" s="10" customFormat="1" ht="7.5" customHeight="1" thickBot="1">
      <c r="A96" s="3"/>
      <c r="B96" s="2"/>
      <c r="C96" s="3"/>
      <c r="D96" s="3"/>
      <c r="E96" s="3"/>
      <c r="F96" s="3"/>
      <c r="G96" s="486"/>
      <c r="H96" s="397"/>
      <c r="I96" s="397"/>
      <c r="J96" s="486"/>
      <c r="K96" s="3"/>
      <c r="L96" s="3"/>
      <c r="M96" s="4"/>
      <c r="O96" s="3"/>
      <c r="P96" s="3"/>
    </row>
    <row r="97" spans="1:16" s="10" customFormat="1" ht="18.95">
      <c r="A97" s="3"/>
      <c r="B97" s="1107" t="s">
        <v>6555</v>
      </c>
      <c r="C97" s="1108"/>
      <c r="D97" s="1108"/>
      <c r="E97" s="1108"/>
      <c r="F97" s="1109"/>
      <c r="G97" s="375"/>
      <c r="H97" s="397"/>
      <c r="I97" s="397"/>
      <c r="J97" s="486"/>
      <c r="K97" s="3"/>
      <c r="L97" s="3"/>
      <c r="M97" s="4"/>
      <c r="O97" s="3"/>
      <c r="P97" s="3"/>
    </row>
    <row r="98" spans="1:16" s="10" customFormat="1">
      <c r="A98" s="3"/>
      <c r="B98" s="1137" t="s">
        <v>6556</v>
      </c>
      <c r="C98" s="1138"/>
      <c r="D98" s="1138"/>
      <c r="E98" s="755" t="s">
        <v>6518</v>
      </c>
      <c r="F98" s="371" t="s">
        <v>6557</v>
      </c>
      <c r="G98" s="486"/>
      <c r="H98" s="397"/>
      <c r="I98" s="397"/>
      <c r="J98" s="364"/>
      <c r="K98" s="3"/>
      <c r="L98" s="3"/>
      <c r="M98" s="4"/>
      <c r="O98" s="3"/>
      <c r="P98" s="3"/>
    </row>
    <row r="99" spans="1:16" s="10" customFormat="1" ht="15" customHeight="1">
      <c r="A99" s="3"/>
      <c r="B99" s="1080" t="s">
        <v>6558</v>
      </c>
      <c r="C99" s="1081"/>
      <c r="D99" s="1082"/>
      <c r="E99" s="408"/>
      <c r="F99" s="510" t="str">
        <f>IF(E99="", "", E99/2)</f>
        <v/>
      </c>
      <c r="G99" s="486"/>
      <c r="H99" s="397"/>
      <c r="I99" s="397"/>
      <c r="J99" s="497"/>
      <c r="K99" s="3"/>
      <c r="L99" s="3"/>
      <c r="M99" s="4"/>
      <c r="O99" s="3"/>
      <c r="P99" s="3"/>
    </row>
    <row r="100" spans="1:16" s="10" customFormat="1" ht="15" customHeight="1">
      <c r="A100" s="3"/>
      <c r="B100" s="1132" t="s">
        <v>6559</v>
      </c>
      <c r="C100" s="1133"/>
      <c r="D100" s="1134"/>
      <c r="E100" s="407"/>
      <c r="F100" s="406" t="str">
        <f>IF(E100="","", E100)</f>
        <v/>
      </c>
      <c r="G100" s="486"/>
      <c r="H100" s="397"/>
      <c r="I100" s="397"/>
      <c r="J100" s="486"/>
      <c r="K100" s="3"/>
      <c r="L100" s="3"/>
      <c r="M100" s="4"/>
      <c r="O100" s="3"/>
      <c r="P100" s="3"/>
    </row>
    <row r="101" spans="1:16" s="10" customFormat="1" ht="31.5" customHeight="1">
      <c r="A101" s="3"/>
      <c r="B101" s="1093" t="s">
        <v>6560</v>
      </c>
      <c r="C101" s="1094"/>
      <c r="D101" s="1096"/>
      <c r="E101" s="407"/>
      <c r="F101" s="406" t="str">
        <f>IF(E101="","", E101*2)</f>
        <v/>
      </c>
      <c r="G101" s="486"/>
      <c r="H101" s="397"/>
      <c r="I101" s="397"/>
      <c r="J101" s="1"/>
      <c r="K101" s="3"/>
      <c r="L101" s="3"/>
      <c r="M101" s="4"/>
      <c r="O101" s="3"/>
      <c r="P101" s="3"/>
    </row>
    <row r="102" spans="1:16" s="10" customFormat="1" ht="15" customHeight="1">
      <c r="A102" s="3"/>
      <c r="B102" s="1132" t="s">
        <v>6561</v>
      </c>
      <c r="C102" s="1133"/>
      <c r="D102" s="1134"/>
      <c r="E102" s="407"/>
      <c r="F102" s="406" t="str">
        <f>IF(E102="","", E102*2)</f>
        <v/>
      </c>
      <c r="G102" s="486"/>
      <c r="H102" s="397"/>
      <c r="I102" s="397"/>
      <c r="J102" s="486"/>
      <c r="K102" s="3"/>
      <c r="L102" s="3"/>
      <c r="M102" s="4"/>
      <c r="O102" s="3"/>
      <c r="P102" s="3"/>
    </row>
    <row r="103" spans="1:16" s="10" customFormat="1">
      <c r="A103" s="3"/>
      <c r="B103" s="1132" t="s">
        <v>6562</v>
      </c>
      <c r="C103" s="1133"/>
      <c r="D103" s="1134"/>
      <c r="E103" s="407"/>
      <c r="F103" s="302" t="s">
        <v>6563</v>
      </c>
      <c r="G103" s="486"/>
      <c r="H103" s="397"/>
      <c r="I103" s="397"/>
      <c r="J103" s="486"/>
      <c r="K103" s="3"/>
      <c r="L103" s="3"/>
      <c r="M103" s="4"/>
      <c r="O103" s="3"/>
      <c r="P103" s="3"/>
    </row>
    <row r="104" spans="1:16" s="10" customFormat="1">
      <c r="A104" s="3"/>
      <c r="B104" s="1143" t="s">
        <v>6564</v>
      </c>
      <c r="C104" s="1144"/>
      <c r="D104" s="1144"/>
      <c r="E104" s="756" t="s">
        <v>6565</v>
      </c>
      <c r="F104" s="409" t="s">
        <v>6557</v>
      </c>
      <c r="G104" s="486"/>
      <c r="H104" s="397"/>
      <c r="I104" s="397"/>
      <c r="J104" s="486"/>
      <c r="K104" s="3"/>
      <c r="L104" s="3"/>
      <c r="M104" s="4"/>
      <c r="O104" s="3"/>
      <c r="P104" s="3"/>
    </row>
    <row r="105" spans="1:16" s="10" customFormat="1">
      <c r="A105" s="3"/>
      <c r="B105" s="1080" t="s">
        <v>6566</v>
      </c>
      <c r="C105" s="1081"/>
      <c r="D105" s="1082"/>
      <c r="E105" s="564"/>
      <c r="F105" s="510" t="str">
        <f>IF(E105="", "", IF(E105=0, 0, IF(E105&gt;=90%, 5, IF(E105&gt;=60%, 4, IF(E105&gt;=30%, 3, IF(E105&lt;30%, 2, 0))))))</f>
        <v/>
      </c>
      <c r="G105" s="486"/>
      <c r="H105" s="397"/>
      <c r="I105" s="397"/>
      <c r="J105" s="486"/>
      <c r="K105" s="3"/>
      <c r="L105" s="3"/>
      <c r="M105" s="4"/>
      <c r="O105" s="3"/>
      <c r="P105" s="3"/>
    </row>
    <row r="106" spans="1:16" s="10" customFormat="1">
      <c r="A106" s="3"/>
      <c r="B106" s="1080" t="s">
        <v>6567</v>
      </c>
      <c r="C106" s="1081"/>
      <c r="D106" s="1082"/>
      <c r="E106" s="509"/>
      <c r="F106" s="511" t="str">
        <f t="shared" ref="F106:F109" si="8">IF(E106="", "", IF(E106=0, 0, IF(E106&gt;=90%, 5, IF(E106&gt;=60%, 4, IF(E106&gt;=30%, 3, IF(E106&lt;30%, 2, 0))))))</f>
        <v/>
      </c>
      <c r="G106" s="486"/>
      <c r="H106" s="397"/>
      <c r="I106" s="397"/>
      <c r="J106" s="486"/>
      <c r="K106" s="3"/>
      <c r="L106" s="3"/>
      <c r="M106" s="4"/>
      <c r="O106" s="3"/>
      <c r="P106" s="3"/>
    </row>
    <row r="107" spans="1:16" s="10" customFormat="1">
      <c r="A107" s="3"/>
      <c r="B107" s="1093" t="s">
        <v>6568</v>
      </c>
      <c r="C107" s="1094"/>
      <c r="D107" s="1096"/>
      <c r="E107" s="509"/>
      <c r="F107" s="511" t="str">
        <f t="shared" si="8"/>
        <v/>
      </c>
      <c r="G107" s="486"/>
      <c r="H107" s="397"/>
      <c r="I107" s="397"/>
      <c r="J107" s="486"/>
      <c r="K107" s="3"/>
      <c r="L107" s="3"/>
      <c r="M107" s="4"/>
      <c r="O107" s="3"/>
      <c r="P107" s="3"/>
    </row>
    <row r="108" spans="1:16" s="10" customFormat="1">
      <c r="A108" s="3"/>
      <c r="B108" s="1080" t="s">
        <v>6569</v>
      </c>
      <c r="C108" s="1081"/>
      <c r="D108" s="1082"/>
      <c r="E108" s="509"/>
      <c r="F108" s="511" t="str">
        <f t="shared" si="8"/>
        <v/>
      </c>
      <c r="G108" s="486"/>
      <c r="H108" s="397"/>
      <c r="I108" s="397"/>
      <c r="J108" s="486"/>
      <c r="K108" s="3"/>
      <c r="L108" s="3"/>
      <c r="M108" s="4"/>
      <c r="O108" s="3"/>
      <c r="P108" s="3"/>
    </row>
    <row r="109" spans="1:16" s="10" customFormat="1">
      <c r="A109" s="3"/>
      <c r="B109" s="1080" t="s">
        <v>6570</v>
      </c>
      <c r="C109" s="1081"/>
      <c r="D109" s="1082"/>
      <c r="E109" s="509"/>
      <c r="F109" s="511" t="str">
        <f t="shared" si="8"/>
        <v/>
      </c>
      <c r="G109" s="486"/>
      <c r="H109" s="397"/>
      <c r="I109" s="397"/>
      <c r="J109" s="486"/>
      <c r="K109" s="3"/>
      <c r="L109" s="3"/>
      <c r="M109" s="4"/>
      <c r="O109" s="3"/>
      <c r="P109" s="3"/>
    </row>
    <row r="110" spans="1:16" s="10" customFormat="1" ht="15.95" thickBot="1">
      <c r="A110" s="3"/>
      <c r="B110" s="1099" t="s">
        <v>6562</v>
      </c>
      <c r="C110" s="1100"/>
      <c r="D110" s="1101"/>
      <c r="E110" s="390"/>
      <c r="F110" s="303" t="s">
        <v>6563</v>
      </c>
      <c r="G110" s="486"/>
      <c r="H110" s="397"/>
      <c r="I110" s="397"/>
      <c r="J110" s="486"/>
      <c r="K110" s="3"/>
      <c r="L110" s="3"/>
      <c r="M110" s="4"/>
      <c r="O110" s="3"/>
      <c r="P110" s="3"/>
    </row>
    <row r="111" spans="1:16" s="10" customFormat="1" ht="7.5" customHeight="1">
      <c r="A111" s="3"/>
      <c r="B111" s="1102"/>
      <c r="C111" s="1103"/>
      <c r="D111" s="1103"/>
      <c r="E111" s="3"/>
      <c r="F111" s="3"/>
      <c r="G111" s="486"/>
      <c r="H111" s="397"/>
      <c r="I111" s="397"/>
      <c r="J111" s="486"/>
      <c r="K111" s="3"/>
      <c r="L111" s="3"/>
      <c r="M111" s="4"/>
      <c r="O111" s="3"/>
      <c r="P111" s="3"/>
    </row>
    <row r="112" spans="1:16" s="10" customFormat="1">
      <c r="A112" s="3"/>
      <c r="B112" s="1102" t="s">
        <v>6529</v>
      </c>
      <c r="C112" s="1103"/>
      <c r="D112" s="1103"/>
      <c r="E112" s="512">
        <f>SUM(F99:F103) + SUM(F105:F110)</f>
        <v>0</v>
      </c>
      <c r="F112" s="3"/>
      <c r="G112" s="486"/>
      <c r="H112" s="397"/>
      <c r="I112" s="397"/>
      <c r="J112" s="486"/>
      <c r="K112" s="3"/>
      <c r="L112" s="3"/>
      <c r="M112" s="4"/>
      <c r="O112" s="3"/>
      <c r="P112" s="3"/>
    </row>
    <row r="113" spans="1:16" s="10" customFormat="1" ht="7.5" customHeight="1">
      <c r="A113" s="3"/>
      <c r="B113" s="749"/>
      <c r="C113" s="750"/>
      <c r="D113" s="750"/>
      <c r="E113" s="3"/>
      <c r="F113" s="3"/>
      <c r="G113" s="486"/>
      <c r="H113" s="397"/>
      <c r="I113" s="397"/>
      <c r="J113" s="486"/>
      <c r="K113" s="3"/>
      <c r="L113" s="3"/>
      <c r="M113" s="4"/>
      <c r="O113" s="3"/>
      <c r="P113" s="3"/>
    </row>
    <row r="114" spans="1:16" s="10" customFormat="1" ht="24">
      <c r="A114" s="3"/>
      <c r="B114" s="1085" t="s">
        <v>6571</v>
      </c>
      <c r="C114" s="1086"/>
      <c r="D114" s="1087"/>
      <c r="E114" s="1087"/>
      <c r="F114" s="1087"/>
      <c r="G114" s="1087"/>
      <c r="H114" s="1087"/>
      <c r="I114" s="1087"/>
      <c r="J114" s="1087"/>
      <c r="K114" s="1087"/>
      <c r="L114" s="1087"/>
      <c r="M114" s="1088"/>
      <c r="O114" s="3"/>
      <c r="P114" s="3"/>
    </row>
    <row r="115" spans="1:16" s="10" customFormat="1" ht="99" customHeight="1">
      <c r="A115" s="3"/>
      <c r="B115" s="1089" t="s">
        <v>6572</v>
      </c>
      <c r="C115" s="1090"/>
      <c r="D115" s="1091"/>
      <c r="E115" s="1091"/>
      <c r="F115" s="1091"/>
      <c r="G115" s="1091"/>
      <c r="H115" s="1091"/>
      <c r="I115" s="1091"/>
      <c r="J115" s="1091"/>
      <c r="K115" s="1091"/>
      <c r="L115" s="1091"/>
      <c r="M115" s="1092"/>
      <c r="O115" s="3"/>
      <c r="P115" s="3"/>
    </row>
    <row r="116" spans="1:16" s="10" customFormat="1">
      <c r="A116" s="3"/>
      <c r="B116" s="1097" t="s">
        <v>6513</v>
      </c>
      <c r="C116" s="1098"/>
      <c r="D116" s="1078"/>
      <c r="E116" s="1078"/>
      <c r="F116" s="1078"/>
      <c r="G116" s="1078"/>
      <c r="H116" s="1078"/>
      <c r="I116" s="1078"/>
      <c r="J116" s="1078"/>
      <c r="K116" s="1078"/>
      <c r="L116" s="1078"/>
      <c r="M116" s="1079"/>
      <c r="O116" s="3"/>
      <c r="P116" s="3"/>
    </row>
    <row r="117" spans="1:16" s="10" customFormat="1" ht="67.5" customHeight="1">
      <c r="A117" s="3"/>
      <c r="B117" s="1076" t="s">
        <v>6573</v>
      </c>
      <c r="C117" s="1077"/>
      <c r="D117" s="1078"/>
      <c r="E117" s="1078"/>
      <c r="F117" s="1078"/>
      <c r="G117" s="1078"/>
      <c r="H117" s="1078"/>
      <c r="I117" s="1078"/>
      <c r="J117" s="1078"/>
      <c r="K117" s="1078"/>
      <c r="L117" s="1078"/>
      <c r="M117" s="1079"/>
      <c r="O117" s="3"/>
      <c r="P117" s="3"/>
    </row>
    <row r="118" spans="1:16" s="10" customFormat="1" ht="7.5" customHeight="1" thickBot="1">
      <c r="A118" s="3"/>
      <c r="B118" s="2"/>
      <c r="C118" s="3"/>
      <c r="D118" s="3"/>
      <c r="E118" s="3"/>
      <c r="F118" s="3"/>
      <c r="G118" s="486"/>
      <c r="H118" s="397"/>
      <c r="I118" s="397"/>
      <c r="J118" s="486"/>
      <c r="K118" s="3"/>
      <c r="L118" s="3"/>
      <c r="M118" s="4"/>
      <c r="O118" s="3"/>
      <c r="P118" s="3"/>
    </row>
    <row r="119" spans="1:16" s="10" customFormat="1" ht="18.95">
      <c r="A119" s="3"/>
      <c r="B119" s="1107" t="s">
        <v>6574</v>
      </c>
      <c r="C119" s="1108"/>
      <c r="D119" s="1108"/>
      <c r="E119" s="1108"/>
      <c r="F119" s="1108"/>
      <c r="G119" s="1109"/>
      <c r="H119" s="397"/>
      <c r="I119" s="397"/>
      <c r="J119" s="486"/>
      <c r="K119" s="3"/>
      <c r="L119" s="3"/>
      <c r="M119" s="4"/>
      <c r="O119" s="3"/>
      <c r="P119" s="3"/>
    </row>
    <row r="120" spans="1:16" s="10" customFormat="1">
      <c r="A120" s="3"/>
      <c r="B120" s="1124" t="s">
        <v>6575</v>
      </c>
      <c r="C120" s="1125"/>
      <c r="D120" s="1125"/>
      <c r="E120" s="1125"/>
      <c r="F120" s="757" t="s">
        <v>6516</v>
      </c>
      <c r="G120" s="494" t="s">
        <v>6557</v>
      </c>
      <c r="H120" s="397"/>
      <c r="I120" s="397"/>
      <c r="J120" s="486"/>
      <c r="K120" s="3"/>
      <c r="L120" s="3"/>
      <c r="M120" s="4"/>
      <c r="O120" s="3"/>
      <c r="P120" s="3"/>
    </row>
    <row r="121" spans="1:16" s="10" customFormat="1" ht="32.25" customHeight="1">
      <c r="A121" s="3"/>
      <c r="B121" s="1104" t="s">
        <v>6576</v>
      </c>
      <c r="C121" s="1105"/>
      <c r="D121" s="1105"/>
      <c r="E121" s="1105"/>
      <c r="F121" s="388"/>
      <c r="G121" s="502" t="str">
        <f>IF(F121="", "", IF(F121="Yes", 1, 0))</f>
        <v/>
      </c>
      <c r="H121" s="397"/>
      <c r="I121" s="397"/>
      <c r="J121" s="3"/>
      <c r="K121" s="364"/>
      <c r="L121" s="3"/>
      <c r="M121" s="4"/>
      <c r="O121" s="3"/>
      <c r="P121" s="3"/>
    </row>
    <row r="122" spans="1:16" s="10" customFormat="1" ht="35.25" customHeight="1">
      <c r="A122" s="3"/>
      <c r="B122" s="1093" t="s">
        <v>6577</v>
      </c>
      <c r="C122" s="1094"/>
      <c r="D122" s="1094"/>
      <c r="E122" s="1106"/>
      <c r="F122" s="389"/>
      <c r="G122" s="503" t="str">
        <f t="shared" ref="G122:G126" si="9">IF(F122="", "", IF(F122="Yes", 1, 0))</f>
        <v/>
      </c>
      <c r="H122" s="397"/>
      <c r="I122" s="397"/>
      <c r="J122" s="3"/>
      <c r="K122" s="497"/>
      <c r="L122" s="3"/>
      <c r="M122" s="4"/>
      <c r="O122" s="3"/>
      <c r="P122" s="3"/>
    </row>
    <row r="123" spans="1:16" s="10" customFormat="1">
      <c r="A123" s="3"/>
      <c r="B123" s="1093" t="s">
        <v>6578</v>
      </c>
      <c r="C123" s="1094"/>
      <c r="D123" s="1094"/>
      <c r="E123" s="1095"/>
      <c r="F123" s="389"/>
      <c r="G123" s="503" t="str">
        <f t="shared" si="9"/>
        <v/>
      </c>
      <c r="H123" s="397"/>
      <c r="I123" s="397"/>
      <c r="J123" s="486"/>
      <c r="K123" s="3"/>
      <c r="L123" s="3"/>
      <c r="M123" s="4"/>
      <c r="O123" s="3"/>
      <c r="P123" s="3"/>
    </row>
    <row r="124" spans="1:16" s="10" customFormat="1" ht="30" customHeight="1">
      <c r="A124" s="3"/>
      <c r="B124" s="1093" t="s">
        <v>6579</v>
      </c>
      <c r="C124" s="1094"/>
      <c r="D124" s="1094"/>
      <c r="E124" s="1095"/>
      <c r="F124" s="389"/>
      <c r="G124" s="503" t="str">
        <f t="shared" si="9"/>
        <v/>
      </c>
      <c r="H124" s="397"/>
      <c r="I124" s="397"/>
      <c r="J124" s="486"/>
      <c r="K124" s="3"/>
      <c r="L124" s="3"/>
      <c r="M124" s="4"/>
      <c r="O124" s="3"/>
      <c r="P124" s="3"/>
    </row>
    <row r="125" spans="1:16" s="10" customFormat="1" ht="30" customHeight="1">
      <c r="A125" s="3"/>
      <c r="B125" s="1093" t="s">
        <v>6580</v>
      </c>
      <c r="C125" s="1094"/>
      <c r="D125" s="1094"/>
      <c r="E125" s="1095"/>
      <c r="F125" s="389"/>
      <c r="G125" s="503" t="str">
        <f t="shared" si="9"/>
        <v/>
      </c>
      <c r="H125" s="397"/>
      <c r="I125" s="397"/>
      <c r="J125" s="486"/>
      <c r="K125" s="3" t="s">
        <v>6360</v>
      </c>
      <c r="L125" s="3"/>
      <c r="M125" s="4"/>
      <c r="O125" s="3"/>
      <c r="P125" s="3"/>
    </row>
    <row r="126" spans="1:16" s="10" customFormat="1" ht="30" customHeight="1">
      <c r="A126" s="3"/>
      <c r="B126" s="1093" t="s">
        <v>6581</v>
      </c>
      <c r="C126" s="1094"/>
      <c r="D126" s="1094"/>
      <c r="E126" s="1095"/>
      <c r="F126" s="389"/>
      <c r="G126" s="503" t="str">
        <f t="shared" si="9"/>
        <v/>
      </c>
      <c r="H126" s="397"/>
      <c r="I126" s="397"/>
      <c r="J126" s="486"/>
      <c r="K126" s="3"/>
      <c r="L126" s="3"/>
      <c r="M126" s="4"/>
      <c r="O126" s="3"/>
      <c r="P126" s="3"/>
    </row>
    <row r="127" spans="1:16" s="10" customFormat="1" ht="30" customHeight="1">
      <c r="A127" s="3"/>
      <c r="B127" s="1121" t="s">
        <v>6562</v>
      </c>
      <c r="C127" s="1122"/>
      <c r="D127" s="1122"/>
      <c r="E127" s="1123"/>
      <c r="F127" s="533"/>
      <c r="G127" s="504" t="s">
        <v>6563</v>
      </c>
      <c r="H127" s="397"/>
      <c r="I127" s="397"/>
      <c r="J127" s="486"/>
      <c r="K127" s="3"/>
      <c r="L127" s="3"/>
      <c r="M127" s="4"/>
      <c r="O127" s="3"/>
      <c r="P127" s="3"/>
    </row>
    <row r="128" spans="1:16" s="10" customFormat="1" ht="32.1">
      <c r="A128" s="3"/>
      <c r="B128" s="1126" t="s">
        <v>6582</v>
      </c>
      <c r="C128" s="1127"/>
      <c r="D128" s="1127"/>
      <c r="E128" s="1127"/>
      <c r="F128" s="567" t="s">
        <v>6583</v>
      </c>
      <c r="G128" s="505" t="s">
        <v>6557</v>
      </c>
      <c r="H128" s="397"/>
      <c r="I128" s="397"/>
      <c r="J128" s="486"/>
      <c r="K128" s="3"/>
      <c r="L128" s="3"/>
      <c r="M128" s="4"/>
      <c r="O128" s="3"/>
      <c r="P128" s="3"/>
    </row>
    <row r="129" spans="1:16" s="10" customFormat="1">
      <c r="A129" s="3"/>
      <c r="B129" s="1104" t="s">
        <v>6584</v>
      </c>
      <c r="C129" s="1105"/>
      <c r="D129" s="1105"/>
      <c r="E129" s="1114"/>
      <c r="F129" s="564"/>
      <c r="G129" s="502" t="str">
        <f>IF(F129="", "", IF(F129=0, 0, IF(F129&gt;=90%, 4, IF(F129&gt;=60%, 3, IF(F129&gt;=30%, 2, IF(F129&lt;30%, 1, 0))))))</f>
        <v/>
      </c>
      <c r="H129" s="397"/>
      <c r="I129" s="397"/>
      <c r="J129" s="486"/>
      <c r="K129" s="3"/>
      <c r="L129" s="3"/>
      <c r="M129" s="4"/>
      <c r="O129" s="3"/>
      <c r="P129" s="3"/>
    </row>
    <row r="130" spans="1:16" s="10" customFormat="1">
      <c r="A130" s="3"/>
      <c r="B130" s="1073" t="s">
        <v>6585</v>
      </c>
      <c r="C130" s="1074"/>
      <c r="D130" s="1074"/>
      <c r="E130" s="1075"/>
      <c r="F130" s="509"/>
      <c r="G130" s="503" t="str">
        <f t="shared" ref="G130:G132" si="10">IF(F130="", "", IF(F130=0, 0, IF(F130&gt;=90%, 4, IF(F130&gt;=60%, 3, IF(F130&gt;=30%, 2, IF(F130&lt;30%, 1, 0))))))</f>
        <v/>
      </c>
      <c r="H130" s="397"/>
      <c r="I130" s="397"/>
      <c r="J130" s="486"/>
      <c r="K130" s="3"/>
      <c r="L130" s="3"/>
      <c r="M130" s="4"/>
      <c r="O130" s="3"/>
      <c r="P130" s="3"/>
    </row>
    <row r="131" spans="1:16" s="10" customFormat="1" ht="15" customHeight="1">
      <c r="A131" s="3"/>
      <c r="B131" s="1093" t="s">
        <v>6586</v>
      </c>
      <c r="C131" s="1094"/>
      <c r="D131" s="1094"/>
      <c r="E131" s="1095"/>
      <c r="F131" s="509"/>
      <c r="G131" s="503" t="str">
        <f t="shared" si="10"/>
        <v/>
      </c>
      <c r="H131" s="397"/>
      <c r="I131" s="397"/>
      <c r="J131" s="486"/>
      <c r="K131" s="3"/>
      <c r="L131" s="3"/>
      <c r="M131" s="4"/>
      <c r="O131" s="3"/>
      <c r="P131" s="3"/>
    </row>
    <row r="132" spans="1:16" s="10" customFormat="1" ht="30.75" customHeight="1">
      <c r="A132" s="3"/>
      <c r="B132" s="1093" t="s">
        <v>6587</v>
      </c>
      <c r="C132" s="1094"/>
      <c r="D132" s="1094"/>
      <c r="E132" s="1095"/>
      <c r="F132" s="509"/>
      <c r="G132" s="503" t="str">
        <f t="shared" si="10"/>
        <v/>
      </c>
      <c r="H132" s="397"/>
      <c r="I132" s="397"/>
      <c r="J132" s="486"/>
      <c r="K132" s="3"/>
      <c r="L132" s="3"/>
      <c r="M132" s="4"/>
      <c r="O132" s="3"/>
      <c r="P132" s="3"/>
    </row>
    <row r="133" spans="1:16" s="10" customFormat="1" ht="30" customHeight="1" thickBot="1">
      <c r="A133" s="3"/>
      <c r="B133" s="1147" t="s">
        <v>6562</v>
      </c>
      <c r="C133" s="1148"/>
      <c r="D133" s="1148"/>
      <c r="E133" s="1149"/>
      <c r="F133" s="384"/>
      <c r="G133" s="506" t="s">
        <v>6563</v>
      </c>
      <c r="H133" s="397"/>
      <c r="I133" s="397"/>
      <c r="J133" s="486"/>
      <c r="K133" s="3"/>
      <c r="L133" s="3"/>
      <c r="M133" s="4"/>
      <c r="O133" s="3"/>
      <c r="P133" s="3"/>
    </row>
    <row r="134" spans="1:16" s="10" customFormat="1">
      <c r="A134" s="3"/>
      <c r="B134" s="566" t="s">
        <v>6588</v>
      </c>
      <c r="C134" s="3"/>
      <c r="D134" s="3"/>
      <c r="E134" s="3"/>
      <c r="F134" s="3"/>
      <c r="G134" s="486"/>
      <c r="H134" s="397"/>
      <c r="I134" s="397"/>
      <c r="J134" s="486"/>
      <c r="K134" s="3"/>
      <c r="L134" s="3"/>
      <c r="M134" s="4"/>
      <c r="O134" s="3"/>
      <c r="P134" s="3"/>
    </row>
    <row r="135" spans="1:16" s="10" customFormat="1">
      <c r="A135" s="3"/>
      <c r="B135" s="2"/>
      <c r="C135" s="3"/>
      <c r="D135" s="3"/>
      <c r="E135" s="3"/>
      <c r="F135" s="3"/>
      <c r="G135" s="486"/>
      <c r="H135" s="397"/>
      <c r="I135" s="397"/>
      <c r="J135" s="486"/>
      <c r="K135" s="3"/>
      <c r="L135" s="3"/>
      <c r="M135" s="4"/>
      <c r="O135" s="3"/>
      <c r="P135" s="3"/>
    </row>
    <row r="136" spans="1:16" s="10" customFormat="1">
      <c r="A136" s="3"/>
      <c r="B136" s="1102" t="s">
        <v>6529</v>
      </c>
      <c r="C136" s="1103"/>
      <c r="D136" s="1103"/>
      <c r="E136" s="512">
        <f>SUM(G121:G133)</f>
        <v>0</v>
      </c>
      <c r="F136" s="3"/>
      <c r="G136" s="486"/>
      <c r="H136" s="397"/>
      <c r="I136" s="397"/>
      <c r="J136" s="486"/>
      <c r="K136" s="3"/>
      <c r="L136" s="3"/>
      <c r="M136" s="4"/>
      <c r="O136" s="3"/>
      <c r="P136" s="3"/>
    </row>
    <row r="137" spans="1:16" s="10" customFormat="1">
      <c r="A137" s="3"/>
      <c r="B137" s="2"/>
      <c r="C137" s="3"/>
      <c r="D137" s="3"/>
      <c r="E137" s="3"/>
      <c r="F137" s="3"/>
      <c r="G137" s="486"/>
      <c r="H137" s="397"/>
      <c r="I137" s="397"/>
      <c r="J137" s="486"/>
      <c r="K137" s="3"/>
      <c r="L137" s="3"/>
      <c r="M137" s="4"/>
      <c r="O137" s="3"/>
      <c r="P137" s="3"/>
    </row>
    <row r="138" spans="1:16" s="10" customFormat="1" ht="24">
      <c r="A138" s="3"/>
      <c r="B138" s="1085" t="s">
        <v>6589</v>
      </c>
      <c r="C138" s="1086"/>
      <c r="D138" s="1087"/>
      <c r="E138" s="1087"/>
      <c r="F138" s="1087"/>
      <c r="G138" s="1087"/>
      <c r="H138" s="1087"/>
      <c r="I138" s="1087"/>
      <c r="J138" s="1087"/>
      <c r="K138" s="1087"/>
      <c r="L138" s="1087"/>
      <c r="M138" s="1088"/>
      <c r="O138" s="3"/>
      <c r="P138" s="3"/>
    </row>
    <row r="139" spans="1:16" s="10" customFormat="1" ht="39.75" customHeight="1" thickBot="1">
      <c r="A139" s="3"/>
      <c r="B139" s="1089" t="s">
        <v>6590</v>
      </c>
      <c r="C139" s="1090"/>
      <c r="D139" s="1091"/>
      <c r="E139" s="1091"/>
      <c r="F139" s="1091"/>
      <c r="G139" s="1091"/>
      <c r="H139" s="1091"/>
      <c r="I139" s="1091"/>
      <c r="J139" s="1091"/>
      <c r="K139" s="1091"/>
      <c r="L139" s="1091"/>
      <c r="M139" s="1092"/>
      <c r="O139" s="3"/>
      <c r="P139" s="3"/>
    </row>
    <row r="140" spans="1:16" s="10" customFormat="1" ht="32.25" customHeight="1">
      <c r="A140" s="3"/>
      <c r="B140" s="495"/>
      <c r="C140" s="1153"/>
      <c r="D140" s="1154"/>
      <c r="E140" s="1154"/>
      <c r="F140" s="1155"/>
      <c r="G140" s="751"/>
      <c r="H140" s="751"/>
      <c r="I140" s="751"/>
      <c r="J140" s="1130" t="s">
        <v>6520</v>
      </c>
      <c r="K140" s="1131"/>
      <c r="L140" s="499" t="s">
        <v>6506</v>
      </c>
      <c r="M140" s="500"/>
      <c r="O140" s="3"/>
      <c r="P140" s="3"/>
    </row>
    <row r="141" spans="1:16" s="10" customFormat="1" ht="15.95">
      <c r="A141" s="3"/>
      <c r="B141" s="25"/>
      <c r="C141" s="1156"/>
      <c r="D141" s="1157"/>
      <c r="E141" s="1157"/>
      <c r="F141" s="1158"/>
      <c r="G141" s="41"/>
      <c r="H141" s="41"/>
      <c r="I141" s="41"/>
      <c r="J141" s="1145"/>
      <c r="K141" s="1146"/>
      <c r="L141" s="498" t="s">
        <v>6563</v>
      </c>
      <c r="M141" s="4"/>
      <c r="O141" s="3"/>
      <c r="P141" s="3"/>
    </row>
    <row r="142" spans="1:16" s="10" customFormat="1">
      <c r="A142" s="3"/>
      <c r="B142" s="25"/>
      <c r="C142" s="1156"/>
      <c r="D142" s="1157"/>
      <c r="E142" s="1157"/>
      <c r="F142" s="1158"/>
      <c r="G142" s="41"/>
      <c r="H142" s="41"/>
      <c r="I142" s="41"/>
      <c r="J142" s="41"/>
      <c r="K142" s="41"/>
      <c r="L142" s="3"/>
      <c r="M142" s="4"/>
      <c r="O142" s="3"/>
      <c r="P142" s="3"/>
    </row>
    <row r="143" spans="1:16" s="10" customFormat="1">
      <c r="A143" s="3"/>
      <c r="B143" s="25"/>
      <c r="C143" s="1156"/>
      <c r="D143" s="1157"/>
      <c r="E143" s="1157"/>
      <c r="F143" s="1158"/>
      <c r="G143" s="41"/>
      <c r="H143" s="41"/>
      <c r="I143" s="41"/>
      <c r="J143" s="41"/>
      <c r="K143" s="41"/>
      <c r="L143" s="3"/>
      <c r="M143" s="4"/>
      <c r="O143" s="3"/>
      <c r="P143" s="3"/>
    </row>
    <row r="144" spans="1:16" s="10" customFormat="1" ht="15.95" thickBot="1">
      <c r="A144" s="3"/>
      <c r="B144" s="25"/>
      <c r="C144" s="1159"/>
      <c r="D144" s="1160"/>
      <c r="E144" s="1160"/>
      <c r="F144" s="1161"/>
      <c r="G144" s="41"/>
      <c r="H144" s="41"/>
      <c r="I144" s="41"/>
      <c r="J144" s="41"/>
      <c r="K144" s="41"/>
      <c r="L144" s="3"/>
      <c r="M144" s="4"/>
      <c r="O144" s="3"/>
      <c r="P144" s="3"/>
    </row>
    <row r="145" spans="1:55" s="10" customFormat="1">
      <c r="A145" s="3"/>
      <c r="B145" s="25"/>
      <c r="C145" s="41"/>
      <c r="D145" s="41"/>
      <c r="E145" s="41"/>
      <c r="F145" s="41"/>
      <c r="G145" s="41"/>
      <c r="H145" s="41"/>
      <c r="I145" s="41"/>
      <c r="J145" s="41"/>
      <c r="K145" s="41"/>
      <c r="L145" s="3"/>
      <c r="M145" s="4"/>
      <c r="O145" s="3"/>
      <c r="P145" s="3"/>
    </row>
    <row r="146" spans="1:55" s="10" customFormat="1">
      <c r="A146" s="3"/>
      <c r="B146" s="1102" t="s">
        <v>6529</v>
      </c>
      <c r="C146" s="1103"/>
      <c r="D146" s="1103"/>
      <c r="E146" s="514">
        <f>SUMIF(J141, "MPG Requirement", L141)</f>
        <v>0</v>
      </c>
      <c r="F146" s="41"/>
      <c r="G146" s="41"/>
      <c r="H146" s="41"/>
      <c r="I146" s="41"/>
      <c r="J146" s="41"/>
      <c r="K146" s="41"/>
      <c r="L146" s="3"/>
      <c r="M146" s="4"/>
      <c r="O146" s="3"/>
      <c r="P146" s="3"/>
    </row>
    <row r="147" spans="1:55" s="10" customFormat="1">
      <c r="A147" s="3"/>
      <c r="B147" s="1102" t="s">
        <v>6530</v>
      </c>
      <c r="C147" s="1103"/>
      <c r="D147" s="1103"/>
      <c r="E147" s="513">
        <f>SUMIF(J141, "AFV/EV Requirement",L141)</f>
        <v>0</v>
      </c>
      <c r="F147" s="41"/>
      <c r="G147" s="41"/>
      <c r="H147" s="41"/>
      <c r="I147" s="41"/>
      <c r="J147" s="41"/>
      <c r="K147" s="41"/>
      <c r="L147" s="3"/>
      <c r="M147" s="4"/>
      <c r="O147" s="3"/>
      <c r="P147" s="3"/>
    </row>
    <row r="148" spans="1:55" s="10" customFormat="1" ht="15.95" thickBot="1">
      <c r="A148" s="3"/>
      <c r="B148" s="488"/>
      <c r="C148" s="532"/>
      <c r="D148" s="489"/>
      <c r="E148" s="490"/>
      <c r="F148" s="491"/>
      <c r="G148" s="492"/>
      <c r="H148" s="493"/>
      <c r="I148" s="493"/>
      <c r="J148" s="492"/>
      <c r="K148" s="482"/>
      <c r="L148" s="482"/>
      <c r="M148" s="484"/>
      <c r="O148" s="3"/>
      <c r="P148" s="3"/>
    </row>
    <row r="149" spans="1:55" s="10" customFormat="1">
      <c r="A149" s="3"/>
      <c r="B149" s="215"/>
      <c r="C149" s="215"/>
      <c r="D149" s="216"/>
      <c r="E149" s="45"/>
      <c r="F149" s="486"/>
      <c r="G149" s="217"/>
      <c r="H149" s="401"/>
      <c r="I149" s="401"/>
      <c r="J149" s="217"/>
      <c r="K149" s="3"/>
      <c r="L149" s="3"/>
      <c r="M149" s="3"/>
      <c r="O149" s="3"/>
      <c r="P149" s="3"/>
    </row>
    <row r="150" spans="1:55" s="10" customFormat="1">
      <c r="A150" s="3"/>
      <c r="B150" s="28" t="s">
        <v>92</v>
      </c>
      <c r="C150" s="28"/>
      <c r="D150" s="3"/>
      <c r="E150" s="3"/>
      <c r="F150" s="3"/>
      <c r="G150" s="3"/>
      <c r="H150" s="395"/>
      <c r="I150" s="395"/>
      <c r="J150" s="3"/>
      <c r="K150" s="3"/>
      <c r="L150" s="3"/>
      <c r="M150" s="3"/>
    </row>
    <row r="151" spans="1:55" s="10" customFormat="1">
      <c r="A151" s="3"/>
      <c r="B151" s="22" t="s">
        <v>97</v>
      </c>
      <c r="C151" s="22"/>
      <c r="D151" s="3"/>
      <c r="E151" s="3"/>
      <c r="F151" s="3"/>
      <c r="G151" s="3"/>
      <c r="H151" s="395"/>
      <c r="I151" s="395"/>
      <c r="J151" s="3"/>
      <c r="K151" s="3"/>
      <c r="L151" s="3"/>
      <c r="M151" s="3"/>
    </row>
    <row r="152" spans="1:55" s="10" customFormat="1">
      <c r="A152" s="3"/>
      <c r="B152" s="22" t="s">
        <v>6424</v>
      </c>
      <c r="C152" s="22"/>
      <c r="D152" s="3"/>
      <c r="E152" s="3"/>
      <c r="F152" s="3"/>
      <c r="G152" s="3"/>
      <c r="H152" s="395"/>
      <c r="I152" s="395"/>
      <c r="J152" s="3"/>
      <c r="K152" s="3"/>
      <c r="L152" s="3"/>
      <c r="M152" s="3"/>
    </row>
    <row r="153" spans="1:55" s="10" customFormat="1">
      <c r="A153" s="3"/>
      <c r="B153" s="3"/>
      <c r="C153" s="3"/>
      <c r="D153" s="3"/>
      <c r="E153" s="3"/>
      <c r="F153" s="3"/>
      <c r="G153" s="3"/>
      <c r="H153" s="395"/>
      <c r="I153" s="395"/>
      <c r="J153" s="3"/>
      <c r="K153" s="3"/>
      <c r="L153" s="3"/>
      <c r="M153" s="3"/>
    </row>
    <row r="154" spans="1:55" s="647" customFormat="1" ht="15" customHeight="1">
      <c r="A154" s="726"/>
      <c r="B154" s="726"/>
      <c r="C154" s="1071" t="s">
        <v>6344</v>
      </c>
      <c r="D154" s="1072"/>
      <c r="E154" s="1072"/>
      <c r="F154" s="1072"/>
      <c r="G154" s="1072"/>
      <c r="H154" s="1072"/>
      <c r="I154" s="1072"/>
      <c r="J154" s="1072"/>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726"/>
      <c r="AJ154" s="726"/>
      <c r="AK154" s="726"/>
      <c r="AL154" s="147"/>
      <c r="AM154" s="147"/>
      <c r="AN154" s="147"/>
      <c r="AO154" s="147"/>
      <c r="AP154" s="147"/>
      <c r="AQ154" s="147"/>
      <c r="AR154" s="147"/>
      <c r="AS154" s="147"/>
      <c r="AT154" s="147"/>
      <c r="AU154" s="147"/>
      <c r="AV154" s="147"/>
      <c r="AW154" s="147"/>
      <c r="AX154" s="147"/>
      <c r="AY154" s="147"/>
      <c r="AZ154" s="147"/>
      <c r="BA154" s="147"/>
      <c r="BB154" s="147"/>
      <c r="BC154" s="147"/>
    </row>
    <row r="155" spans="1:55" s="647" customFormat="1">
      <c r="A155" s="726"/>
      <c r="B155" s="726"/>
      <c r="C155" s="1072"/>
      <c r="D155" s="1072"/>
      <c r="E155" s="1072"/>
      <c r="F155" s="1072"/>
      <c r="G155" s="1072"/>
      <c r="H155" s="1072"/>
      <c r="I155" s="1072"/>
      <c r="J155" s="1072"/>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726"/>
      <c r="AJ155" s="726"/>
      <c r="AK155" s="726"/>
      <c r="AL155" s="147"/>
      <c r="AM155" s="147"/>
      <c r="AN155" s="147"/>
      <c r="AO155" s="147"/>
      <c r="AP155" s="147"/>
      <c r="AQ155" s="147"/>
      <c r="AR155" s="147"/>
      <c r="AS155" s="147"/>
      <c r="AT155" s="147"/>
      <c r="AU155" s="147"/>
      <c r="AV155" s="147"/>
      <c r="AW155" s="147"/>
      <c r="AX155" s="147"/>
      <c r="AY155" s="147"/>
      <c r="AZ155" s="147"/>
      <c r="BA155" s="147"/>
      <c r="BB155" s="147"/>
      <c r="BC155" s="147"/>
    </row>
    <row r="156" spans="1:55" s="647" customFormat="1">
      <c r="A156" s="726"/>
      <c r="B156" s="726"/>
      <c r="C156" s="1072"/>
      <c r="D156" s="1072"/>
      <c r="E156" s="1072"/>
      <c r="F156" s="1072"/>
      <c r="G156" s="1072"/>
      <c r="H156" s="1072"/>
      <c r="I156" s="1072"/>
      <c r="J156" s="1072"/>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726"/>
      <c r="AJ156" s="726"/>
      <c r="AK156" s="726"/>
      <c r="AL156" s="147"/>
      <c r="AM156" s="147"/>
      <c r="AN156" s="147"/>
      <c r="AO156" s="147"/>
      <c r="AP156" s="147"/>
      <c r="AQ156" s="147"/>
      <c r="AR156" s="147"/>
      <c r="AS156" s="147"/>
      <c r="AT156" s="147"/>
      <c r="AU156" s="147"/>
      <c r="AV156" s="147"/>
      <c r="AW156" s="147"/>
      <c r="AX156" s="147"/>
      <c r="AY156" s="147"/>
      <c r="AZ156" s="147"/>
      <c r="BA156" s="147"/>
      <c r="BB156" s="147"/>
      <c r="BC156" s="147"/>
    </row>
    <row r="157" spans="1:55" s="647" customFormat="1">
      <c r="A157" s="726"/>
      <c r="B157" s="726"/>
      <c r="C157" s="1072"/>
      <c r="D157" s="1072"/>
      <c r="E157" s="1072"/>
      <c r="F157" s="1072"/>
      <c r="G157" s="1072"/>
      <c r="H157" s="1072"/>
      <c r="I157" s="1072"/>
      <c r="J157" s="1072"/>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726"/>
      <c r="AJ157" s="726"/>
      <c r="AK157" s="726"/>
      <c r="AL157" s="147"/>
      <c r="AM157" s="147"/>
      <c r="AN157" s="147"/>
      <c r="AO157" s="147"/>
      <c r="AP157" s="147"/>
      <c r="AQ157" s="147"/>
      <c r="AR157" s="147"/>
      <c r="AS157" s="147"/>
      <c r="AT157" s="147"/>
      <c r="AU157" s="147"/>
      <c r="AV157" s="147"/>
      <c r="AW157" s="147"/>
      <c r="AX157" s="147"/>
      <c r="AY157" s="147"/>
      <c r="AZ157" s="147"/>
      <c r="BA157" s="147"/>
      <c r="BB157" s="147"/>
      <c r="BC157" s="147"/>
    </row>
    <row r="158" spans="1:55" s="647" customFormat="1">
      <c r="A158" s="726"/>
      <c r="B158" s="726"/>
      <c r="C158" s="1072"/>
      <c r="D158" s="1072"/>
      <c r="E158" s="1072"/>
      <c r="F158" s="1072"/>
      <c r="G158" s="1072"/>
      <c r="H158" s="1072"/>
      <c r="I158" s="1072"/>
      <c r="J158" s="1072"/>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726"/>
      <c r="AJ158" s="726"/>
      <c r="AK158" s="726"/>
      <c r="AL158" s="147"/>
      <c r="AM158" s="147"/>
      <c r="AN158" s="147"/>
      <c r="AO158" s="147"/>
      <c r="AP158" s="147"/>
      <c r="AQ158" s="147"/>
      <c r="AR158" s="147"/>
      <c r="AS158" s="147"/>
      <c r="AT158" s="147"/>
      <c r="AU158" s="147"/>
      <c r="AV158" s="147"/>
      <c r="AW158" s="147"/>
      <c r="AX158" s="147"/>
      <c r="AY158" s="147"/>
      <c r="AZ158" s="147"/>
      <c r="BA158" s="147"/>
      <c r="BB158" s="147"/>
      <c r="BC158" s="147"/>
    </row>
    <row r="159" spans="1:55" s="647" customFormat="1">
      <c r="A159" s="726"/>
      <c r="B159" s="726"/>
      <c r="C159" s="1072"/>
      <c r="D159" s="1072"/>
      <c r="E159" s="1072"/>
      <c r="F159" s="1072"/>
      <c r="G159" s="1072"/>
      <c r="H159" s="1072"/>
      <c r="I159" s="1072"/>
      <c r="J159" s="1072"/>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726"/>
      <c r="AJ159" s="726"/>
      <c r="AK159" s="726"/>
      <c r="AL159" s="147"/>
      <c r="AM159" s="147"/>
      <c r="AN159" s="147"/>
      <c r="AO159" s="147"/>
      <c r="AP159" s="147"/>
      <c r="AQ159" s="147"/>
      <c r="AR159" s="147"/>
      <c r="AS159" s="147"/>
      <c r="AT159" s="147"/>
      <c r="AU159" s="147"/>
      <c r="AV159" s="147"/>
      <c r="AW159" s="147"/>
      <c r="AX159" s="147"/>
      <c r="AY159" s="147"/>
      <c r="AZ159" s="147"/>
      <c r="BA159" s="147"/>
      <c r="BB159" s="147"/>
      <c r="BC159" s="147"/>
    </row>
    <row r="160" spans="1:55" s="10" customFormat="1">
      <c r="A160" s="3"/>
      <c r="D160" s="656"/>
      <c r="E160" s="656"/>
      <c r="F160" s="656"/>
      <c r="G160" s="656"/>
      <c r="H160" s="656"/>
      <c r="I160" s="656"/>
      <c r="J160" s="656"/>
    </row>
    <row r="161" spans="8:9" s="10" customFormat="1">
      <c r="H161" s="394"/>
      <c r="I161" s="394"/>
    </row>
    <row r="162" spans="8:9" s="10" customFormat="1">
      <c r="H162" s="394"/>
      <c r="I162" s="394"/>
    </row>
    <row r="163" spans="8:9" s="10" customFormat="1">
      <c r="H163" s="394"/>
      <c r="I163" s="394"/>
    </row>
    <row r="164" spans="8:9" s="10" customFormat="1">
      <c r="H164" s="394"/>
      <c r="I164" s="394"/>
    </row>
    <row r="165" spans="8:9" s="10" customFormat="1">
      <c r="H165" s="394"/>
      <c r="I165" s="394"/>
    </row>
    <row r="166" spans="8:9" s="10" customFormat="1">
      <c r="H166" s="394"/>
      <c r="I166" s="394"/>
    </row>
    <row r="167" spans="8:9" s="10" customFormat="1">
      <c r="H167" s="394"/>
      <c r="I167" s="394"/>
    </row>
    <row r="168" spans="8:9" s="10" customFormat="1">
      <c r="H168" s="394"/>
      <c r="I168" s="394"/>
    </row>
    <row r="169" spans="8:9" s="10" customFormat="1">
      <c r="H169" s="394"/>
      <c r="I169" s="394"/>
    </row>
    <row r="170" spans="8:9" s="10" customFormat="1">
      <c r="H170" s="394"/>
      <c r="I170" s="394"/>
    </row>
    <row r="171" spans="8:9" s="10" customFormat="1">
      <c r="H171" s="394"/>
      <c r="I171" s="394"/>
    </row>
    <row r="172" spans="8:9" s="10" customFormat="1">
      <c r="H172" s="394"/>
      <c r="I172" s="394"/>
    </row>
    <row r="173" spans="8:9" s="10" customFormat="1">
      <c r="H173" s="394"/>
      <c r="I173" s="394"/>
    </row>
    <row r="174" spans="8:9" s="10" customFormat="1">
      <c r="H174" s="394"/>
      <c r="I174" s="394"/>
    </row>
    <row r="175" spans="8:9" s="10" customFormat="1">
      <c r="H175" s="394"/>
      <c r="I175" s="394"/>
    </row>
    <row r="176" spans="8:9" s="10" customFormat="1">
      <c r="H176" s="394"/>
      <c r="I176" s="394"/>
    </row>
    <row r="177" spans="8:9" s="10" customFormat="1">
      <c r="H177" s="394"/>
      <c r="I177" s="394"/>
    </row>
    <row r="178" spans="8:9" s="10" customFormat="1">
      <c r="H178" s="394"/>
      <c r="I178" s="394"/>
    </row>
    <row r="179" spans="8:9" s="10" customFormat="1">
      <c r="H179" s="394"/>
      <c r="I179" s="394"/>
    </row>
    <row r="180" spans="8:9" s="10" customFormat="1">
      <c r="H180" s="394"/>
      <c r="I180" s="394"/>
    </row>
    <row r="181" spans="8:9" s="10" customFormat="1">
      <c r="H181" s="394"/>
      <c r="I181" s="394"/>
    </row>
    <row r="182" spans="8:9" s="10" customFormat="1">
      <c r="H182" s="394"/>
      <c r="I182" s="394"/>
    </row>
    <row r="183" spans="8:9" s="10" customFormat="1">
      <c r="H183" s="394"/>
      <c r="I183" s="394"/>
    </row>
    <row r="184" spans="8:9" s="10" customFormat="1">
      <c r="H184" s="394"/>
      <c r="I184" s="394"/>
    </row>
    <row r="185" spans="8:9" s="10" customFormat="1">
      <c r="H185" s="394"/>
      <c r="I185" s="394"/>
    </row>
    <row r="186" spans="8:9" s="10" customFormat="1">
      <c r="H186" s="394"/>
      <c r="I186" s="394"/>
    </row>
    <row r="187" spans="8:9" s="10" customFormat="1">
      <c r="H187" s="394"/>
      <c r="I187" s="394"/>
    </row>
  </sheetData>
  <sheetProtection algorithmName="SHA-512" hashValue="rCiZmXoufjpndEXSoOZotzCR6hUkb/VqBl0sjEUmR05bBSHtV01QwTqF1EomXotDp5vpQSKPAB04AyCbJWQ7YA==" saltValue="ECiOdE9C/ZomTzP0CeKPVA==" spinCount="100000" sheet="1" formatColumns="0" formatRows="0"/>
  <mergeCells count="127">
    <mergeCell ref="B45:C45"/>
    <mergeCell ref="B46:C46"/>
    <mergeCell ref="B61:C61"/>
    <mergeCell ref="B77:C77"/>
    <mergeCell ref="B62:C62"/>
    <mergeCell ref="B63:C63"/>
    <mergeCell ref="B57:F57"/>
    <mergeCell ref="B54:M54"/>
    <mergeCell ref="B55:M55"/>
    <mergeCell ref="F45:G45"/>
    <mergeCell ref="B52:M52"/>
    <mergeCell ref="B73:G73"/>
    <mergeCell ref="D75:E75"/>
    <mergeCell ref="B49:D49"/>
    <mergeCell ref="B50:D50"/>
    <mergeCell ref="B42:C42"/>
    <mergeCell ref="B43:C43"/>
    <mergeCell ref="B44:C44"/>
    <mergeCell ref="B18:M18"/>
    <mergeCell ref="B19:M19"/>
    <mergeCell ref="B21:E21"/>
    <mergeCell ref="B22:E22"/>
    <mergeCell ref="F40:G40"/>
    <mergeCell ref="F36:G36"/>
    <mergeCell ref="F37:G37"/>
    <mergeCell ref="F38:G38"/>
    <mergeCell ref="F39:G39"/>
    <mergeCell ref="B28:D28"/>
    <mergeCell ref="B29:D29"/>
    <mergeCell ref="B36:C36"/>
    <mergeCell ref="B37:C37"/>
    <mergeCell ref="B38:C38"/>
    <mergeCell ref="B39:C39"/>
    <mergeCell ref="B40:C40"/>
    <mergeCell ref="B41:C41"/>
    <mergeCell ref="B6:L6"/>
    <mergeCell ref="B8:M8"/>
    <mergeCell ref="B14:M14"/>
    <mergeCell ref="B53:M53"/>
    <mergeCell ref="F46:G46"/>
    <mergeCell ref="J21:K21"/>
    <mergeCell ref="J22:K22"/>
    <mergeCell ref="B24:E24"/>
    <mergeCell ref="J23:K23"/>
    <mergeCell ref="B34:M34"/>
    <mergeCell ref="B33:M33"/>
    <mergeCell ref="B23:E23"/>
    <mergeCell ref="B26:E26"/>
    <mergeCell ref="B25:E25"/>
    <mergeCell ref="B31:M31"/>
    <mergeCell ref="B32:M32"/>
    <mergeCell ref="B16:M16"/>
    <mergeCell ref="B17:M17"/>
    <mergeCell ref="F41:G41"/>
    <mergeCell ref="F42:G42"/>
    <mergeCell ref="F43:G43"/>
    <mergeCell ref="F44:G44"/>
    <mergeCell ref="B11:C11"/>
    <mergeCell ref="B12:C12"/>
    <mergeCell ref="B146:D146"/>
    <mergeCell ref="B147:D147"/>
    <mergeCell ref="B78:C78"/>
    <mergeCell ref="J140:K140"/>
    <mergeCell ref="B112:D112"/>
    <mergeCell ref="B119:G119"/>
    <mergeCell ref="B109:D109"/>
    <mergeCell ref="B99:D99"/>
    <mergeCell ref="B100:D100"/>
    <mergeCell ref="B101:D101"/>
    <mergeCell ref="B92:M92"/>
    <mergeCell ref="B98:D98"/>
    <mergeCell ref="B95:M95"/>
    <mergeCell ref="B139:M139"/>
    <mergeCell ref="B102:D102"/>
    <mergeCell ref="B103:D103"/>
    <mergeCell ref="B104:D104"/>
    <mergeCell ref="J141:K141"/>
    <mergeCell ref="B131:E131"/>
    <mergeCell ref="B132:E132"/>
    <mergeCell ref="B133:E133"/>
    <mergeCell ref="B90:D90"/>
    <mergeCell ref="C140:F144"/>
    <mergeCell ref="B126:E126"/>
    <mergeCell ref="B129:E129"/>
    <mergeCell ref="D59:E59"/>
    <mergeCell ref="B81:C81"/>
    <mergeCell ref="B82:C82"/>
    <mergeCell ref="B83:C83"/>
    <mergeCell ref="B84:C84"/>
    <mergeCell ref="B85:C85"/>
    <mergeCell ref="B86:C86"/>
    <mergeCell ref="B87:C87"/>
    <mergeCell ref="B64:C64"/>
    <mergeCell ref="B65:C65"/>
    <mergeCell ref="B66:C66"/>
    <mergeCell ref="B67:C67"/>
    <mergeCell ref="B68:C68"/>
    <mergeCell ref="B69:C69"/>
    <mergeCell ref="B70:C70"/>
    <mergeCell ref="B71:C71"/>
    <mergeCell ref="B127:E127"/>
    <mergeCell ref="B120:E120"/>
    <mergeCell ref="B128:E128"/>
    <mergeCell ref="C154:J159"/>
    <mergeCell ref="B130:E130"/>
    <mergeCell ref="B117:M117"/>
    <mergeCell ref="B108:D108"/>
    <mergeCell ref="B79:C79"/>
    <mergeCell ref="B80:C80"/>
    <mergeCell ref="B114:M114"/>
    <mergeCell ref="B115:M115"/>
    <mergeCell ref="B138:M138"/>
    <mergeCell ref="B125:E125"/>
    <mergeCell ref="B107:D107"/>
    <mergeCell ref="B116:M116"/>
    <mergeCell ref="B110:D110"/>
    <mergeCell ref="B111:D111"/>
    <mergeCell ref="B121:E121"/>
    <mergeCell ref="B122:E122"/>
    <mergeCell ref="B123:E123"/>
    <mergeCell ref="B124:E124"/>
    <mergeCell ref="B105:D105"/>
    <mergeCell ref="B106:D106"/>
    <mergeCell ref="B97:F97"/>
    <mergeCell ref="B93:M93"/>
    <mergeCell ref="B136:D136"/>
    <mergeCell ref="B94:M94"/>
  </mergeCells>
  <conditionalFormatting sqref="G22 D37:F38 B37:B46 D39:E46 B62:B71 D62:E71 F23:H24 H25">
    <cfRule type="containsBlanks" dxfId="46" priority="56">
      <formula>LEN(TRIM(B22))=0</formula>
    </cfRule>
  </conditionalFormatting>
  <conditionalFormatting sqref="B78:B87 D78:D87">
    <cfRule type="containsBlanks" dxfId="45" priority="49">
      <formula>LEN(TRIM(B78))=0</formula>
    </cfRule>
  </conditionalFormatting>
  <conditionalFormatting sqref="E78:F87">
    <cfRule type="containsBlanks" dxfId="44" priority="48">
      <formula>LEN(TRIM(E78))=0</formula>
    </cfRule>
  </conditionalFormatting>
  <conditionalFormatting sqref="E99:E103">
    <cfRule type="containsBlanks" dxfId="43" priority="45">
      <formula>LEN(TRIM(E99))=0</formula>
    </cfRule>
  </conditionalFormatting>
  <conditionalFormatting sqref="E105:E109">
    <cfRule type="containsBlanks" dxfId="42" priority="44">
      <formula>LEN(TRIM(E105))=0</formula>
    </cfRule>
  </conditionalFormatting>
  <conditionalFormatting sqref="E110">
    <cfRule type="containsBlanks" dxfId="41" priority="43">
      <formula>LEN(TRIM(E110))=0</formula>
    </cfRule>
  </conditionalFormatting>
  <conditionalFormatting sqref="F121:F127">
    <cfRule type="containsBlanks" dxfId="40" priority="42">
      <formula>LEN(TRIM(F121))=0</formula>
    </cfRule>
  </conditionalFormatting>
  <conditionalFormatting sqref="F129:F132">
    <cfRule type="containsBlanks" dxfId="39" priority="41">
      <formula>LEN(TRIM(F129))=0</formula>
    </cfRule>
  </conditionalFormatting>
  <conditionalFormatting sqref="F133">
    <cfRule type="containsBlanks" dxfId="38" priority="2">
      <formula>LEN(TRIM(F133))=0</formula>
    </cfRule>
  </conditionalFormatting>
  <conditionalFormatting sqref="F22">
    <cfRule type="containsBlanks" dxfId="37" priority="37">
      <formula>LEN(TRIM(F22))=0</formula>
    </cfRule>
  </conditionalFormatting>
  <conditionalFormatting sqref="H22">
    <cfRule type="containsBlanks" dxfId="36" priority="36">
      <formula>LEN(TRIM(H22))=0</formula>
    </cfRule>
  </conditionalFormatting>
  <conditionalFormatting sqref="F26">
    <cfRule type="containsBlanks" dxfId="35" priority="32">
      <formula>LEN(TRIM(F26))=0</formula>
    </cfRule>
  </conditionalFormatting>
  <conditionalFormatting sqref="J26">
    <cfRule type="containsBlanks" dxfId="34" priority="28">
      <formula>LEN(TRIM(J26))=0</formula>
    </cfRule>
  </conditionalFormatting>
  <conditionalFormatting sqref="L24">
    <cfRule type="containsBlanks" dxfId="33" priority="27">
      <formula>LEN(TRIM(L24))=0</formula>
    </cfRule>
  </conditionalFormatting>
  <conditionalFormatting sqref="L23">
    <cfRule type="containsBlanks" dxfId="32" priority="26">
      <formula>LEN(TRIM(L23))=0</formula>
    </cfRule>
  </conditionalFormatting>
  <conditionalFormatting sqref="G26">
    <cfRule type="containsBlanks" dxfId="31" priority="29">
      <formula>LEN(TRIM(G26))=0</formula>
    </cfRule>
  </conditionalFormatting>
  <conditionalFormatting sqref="L26">
    <cfRule type="containsBlanks" dxfId="30" priority="25">
      <formula>LEN(TRIM(L26))=0</formula>
    </cfRule>
  </conditionalFormatting>
  <conditionalFormatting sqref="J22">
    <cfRule type="containsBlanks" dxfId="29" priority="24">
      <formula>LEN(TRIM(J22))=0</formula>
    </cfRule>
  </conditionalFormatting>
  <conditionalFormatting sqref="L22">
    <cfRule type="containsBlanks" dxfId="28" priority="23">
      <formula>LEN(TRIM(L22))=0</formula>
    </cfRule>
  </conditionalFormatting>
  <conditionalFormatting sqref="F46">
    <cfRule type="containsBlanks" dxfId="27" priority="15">
      <formula>LEN(TRIM(F46))=0</formula>
    </cfRule>
  </conditionalFormatting>
  <conditionalFormatting sqref="F39">
    <cfRule type="containsBlanks" dxfId="26" priority="22">
      <formula>LEN(TRIM(F39))=0</formula>
    </cfRule>
  </conditionalFormatting>
  <conditionalFormatting sqref="F40">
    <cfRule type="containsBlanks" dxfId="25" priority="21">
      <formula>LEN(TRIM(F40))=0</formula>
    </cfRule>
  </conditionalFormatting>
  <conditionalFormatting sqref="F41">
    <cfRule type="containsBlanks" dxfId="24" priority="20">
      <formula>LEN(TRIM(F41))=0</formula>
    </cfRule>
  </conditionalFormatting>
  <conditionalFormatting sqref="F42">
    <cfRule type="containsBlanks" dxfId="23" priority="19">
      <formula>LEN(TRIM(F42))=0</formula>
    </cfRule>
  </conditionalFormatting>
  <conditionalFormatting sqref="F43">
    <cfRule type="containsBlanks" dxfId="22" priority="18">
      <formula>LEN(TRIM(F43))=0</formula>
    </cfRule>
  </conditionalFormatting>
  <conditionalFormatting sqref="F44">
    <cfRule type="containsBlanks" dxfId="21" priority="17">
      <formula>LEN(TRIM(F44))=0</formula>
    </cfRule>
  </conditionalFormatting>
  <conditionalFormatting sqref="F45">
    <cfRule type="containsBlanks" dxfId="20" priority="16">
      <formula>LEN(TRIM(F45))=0</formula>
    </cfRule>
  </conditionalFormatting>
  <conditionalFormatting sqref="J141">
    <cfRule type="containsBlanks" dxfId="19" priority="14">
      <formula>LEN(TRIM(J141))=0</formula>
    </cfRule>
  </conditionalFormatting>
  <conditionalFormatting sqref="D11">
    <cfRule type="cellIs" dxfId="18" priority="7" operator="lessThan">
      <formula>$E$11</formula>
    </cfRule>
    <cfRule type="cellIs" dxfId="17" priority="11" operator="equal">
      <formula>$E$11</formula>
    </cfRule>
    <cfRule type="cellIs" dxfId="16" priority="12" operator="greaterThan">
      <formula>$E$11</formula>
    </cfRule>
  </conditionalFormatting>
  <conditionalFormatting sqref="D12">
    <cfRule type="cellIs" dxfId="15" priority="8" operator="lessThan">
      <formula>$E$12</formula>
    </cfRule>
    <cfRule type="cellIs" dxfId="14" priority="9" operator="equal">
      <formula>$E$12</formula>
    </cfRule>
    <cfRule type="cellIs" dxfId="13" priority="10" operator="greaterThan">
      <formula>$E$12</formula>
    </cfRule>
  </conditionalFormatting>
  <conditionalFormatting sqref="D11:D12">
    <cfRule type="cellIs" dxfId="12" priority="13" operator="equal">
      <formula>0</formula>
    </cfRule>
  </conditionalFormatting>
  <conditionalFormatting sqref="K24">
    <cfRule type="containsBlanks" dxfId="11" priority="4">
      <formula>LEN(TRIM(K24))=0</formula>
    </cfRule>
  </conditionalFormatting>
  <conditionalFormatting sqref="J24">
    <cfRule type="containsBlanks" dxfId="10" priority="5">
      <formula>LEN(TRIM(J24))=0</formula>
    </cfRule>
  </conditionalFormatting>
  <conditionalFormatting sqref="J23">
    <cfRule type="containsBlanks" dxfId="9" priority="3">
      <formula>LEN(TRIM(J23))=0</formula>
    </cfRule>
  </conditionalFormatting>
  <conditionalFormatting sqref="C140:F144">
    <cfRule type="containsBlanks" dxfId="8" priority="1">
      <formula>LEN(TRIM(C140))=0</formula>
    </cfRule>
  </conditionalFormatting>
  <dataValidations count="10">
    <dataValidation type="list" errorStyle="warning" showInputMessage="1" showErrorMessage="1" error="Please pick a value from the drop down menu." sqref="E148:E149 E72" xr:uid="{00000000-0002-0000-0B00-000000000000}">
      <formula1>"I, II"</formula1>
    </dataValidation>
    <dataValidation type="list" errorStyle="warning" allowBlank="1" showInputMessage="1" showErrorMessage="1" error="Please choose either &quot;Dedicated&quot; or &quot;BiFuel&quot; from the drop down menu." sqref="N37:N46" xr:uid="{00000000-0002-0000-0B00-000001000000}">
      <formula1>"Dedicated, BiFuel"</formula1>
    </dataValidation>
    <dataValidation type="list" allowBlank="1" showInputMessage="1" showErrorMessage="1" sqref="D78:D87" xr:uid="{00000000-0002-0000-0B00-000002000000}">
      <formula1>"Cat. II - Large, Cat. II - Medium, Cat. II - Small, Cat. II - Compact"</formula1>
    </dataValidation>
    <dataValidation type="list" allowBlank="1" showInputMessage="1" showErrorMessage="1" sqref="F78:F87" xr:uid="{00000000-0002-0000-0B00-000003000000}">
      <formula1>"Cat. II - Large, Cat. II - Medium, Cat. II - Small, Cat. II - Compact, Pass. Car"</formula1>
    </dataValidation>
    <dataValidation type="list" allowBlank="1" showInputMessage="1" showErrorMessage="1" sqref="J141:K141 L26:L29 F37:G46 L22:L24" xr:uid="{00000000-0002-0000-0B00-000004000000}">
      <formula1>"MPG Requirement, AFV/EV Requirement"</formula1>
    </dataValidation>
    <dataValidation type="list" allowBlank="1" showInputMessage="1" showErrorMessage="1" sqref="D37:D46" xr:uid="{00000000-0002-0000-0B00-000005000000}">
      <formula1>"Hybrid, PHEV, CNG, Propane"</formula1>
    </dataValidation>
    <dataValidation type="list" allowBlank="1" showInputMessage="1" showErrorMessage="1" sqref="F121:F126 F22:F24 F26:F29" xr:uid="{00000000-0002-0000-0B00-000006000000}">
      <formula1>"Yes, No"</formula1>
    </dataValidation>
    <dataValidation type="list" allowBlank="1" showInputMessage="1" showErrorMessage="1" sqref="J26:J29 J24" xr:uid="{00000000-0002-0000-0B00-000007000000}">
      <formula1>"B100, B20, B15"</formula1>
    </dataValidation>
    <dataValidation type="list" allowBlank="1" showInputMessage="1" showErrorMessage="1" sqref="E37:E46" xr:uid="{00000000-0002-0000-0B00-000008000000}">
      <formula1>"Dedicated, Bi-Fuel - with 50% use of alt. fuel, N/A"</formula1>
    </dataValidation>
    <dataValidation type="list" allowBlank="1" showInputMessage="1" showErrorMessage="1" sqref="E62:E71" xr:uid="{00000000-0002-0000-0B00-000009000000}">
      <formula1>"Pass. Car - Small, Pass. Car - Large, Cat. II - Small, Cat. II - Medium, Cat. II - Large"</formula1>
    </dataValidation>
  </dataValidations>
  <hyperlinks>
    <hyperlink ref="B3" location="'Review &amp; Instructions '!A61" display="Instructions" xr:uid="{00000000-0004-0000-0B00-000000000000}"/>
    <hyperlink ref="B4" location="'Fuel Efficiency Standard'!A6" display="Score" xr:uid="{00000000-0004-0000-0B00-000001000000}"/>
    <hyperlink ref="B151" location="'Review &amp; Instructions '!A61" display="Instructions" xr:uid="{00000000-0004-0000-0B00-000002000000}"/>
    <hyperlink ref="B152" location="'Fuel Efficiency Standard'!A6" display="Score" xr:uid="{00000000-0004-0000-0B00-000003000000}"/>
    <hyperlink ref="B150" location="Credits!A1" display="Top" xr:uid="{00000000-0004-0000-0B00-000004000000}"/>
  </hyperlinks>
  <pageMargins left="0.5" right="0.5" top="0.5" bottom="0.5" header="0.25" footer="0.25"/>
  <pageSetup paperSize="17" scale="81" fitToHeight="0" orientation="portrait" r:id="rId1"/>
  <headerFooter>
    <oddHeader>&amp;F</oddHeader>
    <oddFooter>&amp;L&amp;A&amp;CPage &amp;P of &amp;N</oddFooter>
  </headerFooter>
  <rowBreaks count="1" manualBreakCount="1">
    <brk id="72"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J37"/>
  <sheetViews>
    <sheetView topLeftCell="A4" zoomScaleNormal="100" workbookViewId="0">
      <selection activeCell="B34" sqref="B34"/>
    </sheetView>
  </sheetViews>
  <sheetFormatPr defaultColWidth="8.85546875" defaultRowHeight="15"/>
  <cols>
    <col min="1" max="1" width="3.28515625" style="10" customWidth="1"/>
    <col min="2" max="2" width="28.7109375" customWidth="1"/>
    <col min="3" max="3" width="21.42578125" bestFit="1" customWidth="1"/>
    <col min="4" max="4" width="20.140625" customWidth="1"/>
    <col min="5" max="5" width="25" customWidth="1"/>
    <col min="6" max="6" width="23.28515625" bestFit="1" customWidth="1"/>
    <col min="7" max="7" width="18" bestFit="1" customWidth="1"/>
    <col min="8" max="8" width="17.7109375" bestFit="1" customWidth="1"/>
    <col min="9" max="9" width="14.42578125" customWidth="1"/>
  </cols>
  <sheetData>
    <row r="1" spans="2:10">
      <c r="B1" s="10"/>
      <c r="C1" s="10"/>
      <c r="D1" s="10"/>
      <c r="E1" s="10"/>
      <c r="F1" s="10"/>
      <c r="G1" s="10"/>
      <c r="H1" s="10"/>
      <c r="I1" s="10"/>
      <c r="J1" s="10"/>
    </row>
    <row r="2" spans="2:10">
      <c r="B2" s="64" t="s">
        <v>6591</v>
      </c>
      <c r="C2" s="65" t="s">
        <v>6592</v>
      </c>
      <c r="D2" s="65" t="s">
        <v>6593</v>
      </c>
      <c r="E2" s="65" t="s">
        <v>6594</v>
      </c>
      <c r="F2" s="65" t="s">
        <v>6595</v>
      </c>
      <c r="G2" s="65" t="s">
        <v>6596</v>
      </c>
      <c r="H2" s="66" t="s">
        <v>6597</v>
      </c>
      <c r="I2" s="10"/>
      <c r="J2" s="10"/>
    </row>
    <row r="3" spans="2:10">
      <c r="B3" s="60" t="s">
        <v>153</v>
      </c>
      <c r="C3" s="486" t="s">
        <v>212</v>
      </c>
      <c r="D3" s="486" t="s">
        <v>6598</v>
      </c>
      <c r="E3" s="486" t="s">
        <v>6599</v>
      </c>
      <c r="F3" s="486" t="s">
        <v>584</v>
      </c>
      <c r="G3" s="486" t="s">
        <v>526</v>
      </c>
      <c r="H3" s="61" t="s">
        <v>6563</v>
      </c>
      <c r="I3" s="10"/>
      <c r="J3" s="10"/>
    </row>
    <row r="4" spans="2:10">
      <c r="B4" s="60" t="s">
        <v>271</v>
      </c>
      <c r="C4" s="486" t="s">
        <v>6600</v>
      </c>
      <c r="D4" s="486" t="s">
        <v>6601</v>
      </c>
      <c r="E4" s="486" t="s">
        <v>6602</v>
      </c>
      <c r="F4" s="486" t="s">
        <v>579</v>
      </c>
      <c r="G4" s="486" t="s">
        <v>6603</v>
      </c>
      <c r="H4" s="61"/>
      <c r="I4" s="10"/>
      <c r="J4" s="10"/>
    </row>
    <row r="5" spans="2:10">
      <c r="B5" s="60" t="s">
        <v>469</v>
      </c>
      <c r="C5" s="486" t="s">
        <v>173</v>
      </c>
      <c r="D5" s="486" t="s">
        <v>6604</v>
      </c>
      <c r="E5" s="486" t="s">
        <v>470</v>
      </c>
      <c r="F5" s="486" t="s">
        <v>6605</v>
      </c>
      <c r="G5" s="486" t="s">
        <v>6606</v>
      </c>
      <c r="H5" s="61"/>
      <c r="I5" s="10"/>
      <c r="J5" s="10"/>
    </row>
    <row r="6" spans="2:10">
      <c r="B6" s="60" t="s">
        <v>519</v>
      </c>
      <c r="C6" s="486" t="s">
        <v>220</v>
      </c>
      <c r="D6" s="486" t="s">
        <v>6607</v>
      </c>
      <c r="E6" s="486" t="s">
        <v>6608</v>
      </c>
      <c r="F6" s="486" t="s">
        <v>546</v>
      </c>
      <c r="G6" s="486"/>
      <c r="H6" s="61"/>
      <c r="I6" s="10"/>
      <c r="J6" s="10"/>
    </row>
    <row r="7" spans="2:10">
      <c r="B7" s="60" t="s">
        <v>545</v>
      </c>
      <c r="C7" s="486" t="s">
        <v>197</v>
      </c>
      <c r="D7" s="486" t="s">
        <v>350</v>
      </c>
      <c r="E7" s="486"/>
      <c r="F7" s="486"/>
      <c r="G7" s="486"/>
      <c r="H7" s="61"/>
      <c r="I7" s="10"/>
      <c r="J7" s="10"/>
    </row>
    <row r="8" spans="2:10">
      <c r="B8" s="59"/>
      <c r="C8" s="486" t="s">
        <v>188</v>
      </c>
      <c r="D8" s="486" t="s">
        <v>6609</v>
      </c>
      <c r="E8" s="486"/>
      <c r="F8" s="486"/>
      <c r="G8" s="486"/>
      <c r="H8" s="61"/>
      <c r="I8" s="10"/>
      <c r="J8" s="10"/>
    </row>
    <row r="9" spans="2:10">
      <c r="B9" s="60"/>
      <c r="C9" s="486"/>
      <c r="D9" s="486" t="s">
        <v>6610</v>
      </c>
      <c r="E9" s="486"/>
      <c r="F9" s="486"/>
      <c r="G9" s="486"/>
      <c r="H9" s="61"/>
      <c r="I9" s="10"/>
      <c r="J9" s="10"/>
    </row>
    <row r="10" spans="2:10">
      <c r="B10" s="62"/>
      <c r="C10" s="735"/>
      <c r="D10" s="735" t="s">
        <v>432</v>
      </c>
      <c r="E10" s="735"/>
      <c r="F10" s="735"/>
      <c r="G10" s="735"/>
      <c r="H10" s="63"/>
      <c r="I10" s="10"/>
      <c r="J10" s="10"/>
    </row>
    <row r="11" spans="2:10">
      <c r="B11" s="10"/>
      <c r="C11" s="10"/>
      <c r="D11" s="10"/>
      <c r="E11" s="10"/>
      <c r="F11" s="10"/>
      <c r="G11" s="10"/>
      <c r="H11" s="10"/>
      <c r="I11" s="10"/>
      <c r="J11" s="10"/>
    </row>
    <row r="12" spans="2:10">
      <c r="B12" s="70" t="s">
        <v>6611</v>
      </c>
      <c r="C12" s="71" t="s">
        <v>6612</v>
      </c>
      <c r="D12" s="71" t="s">
        <v>6613</v>
      </c>
      <c r="E12" s="71" t="s">
        <v>6614</v>
      </c>
      <c r="F12" s="71" t="s">
        <v>6615</v>
      </c>
      <c r="G12" s="72" t="s">
        <v>6616</v>
      </c>
      <c r="H12" s="10"/>
      <c r="I12" s="10"/>
      <c r="J12" s="10"/>
    </row>
    <row r="13" spans="2:10">
      <c r="B13" s="67" t="s">
        <v>6617</v>
      </c>
      <c r="C13" s="68" t="s">
        <v>156</v>
      </c>
      <c r="D13" s="68" t="s">
        <v>6618</v>
      </c>
      <c r="E13" s="68" t="s">
        <v>6619</v>
      </c>
      <c r="F13" s="68" t="s">
        <v>6620</v>
      </c>
      <c r="G13" s="69" t="s">
        <v>6620</v>
      </c>
      <c r="H13" s="10"/>
      <c r="I13" s="10"/>
      <c r="J13" s="10"/>
    </row>
    <row r="14" spans="2:10">
      <c r="B14" s="62"/>
      <c r="C14" s="735"/>
      <c r="D14" s="735" t="s">
        <v>6619</v>
      </c>
      <c r="E14" s="735"/>
      <c r="F14" s="735"/>
      <c r="G14" s="63"/>
      <c r="H14" s="10"/>
      <c r="I14" s="10"/>
      <c r="J14" s="10"/>
    </row>
    <row r="15" spans="2:10">
      <c r="B15" s="10"/>
      <c r="C15" s="10"/>
      <c r="D15" s="10"/>
      <c r="E15" s="10"/>
      <c r="F15" s="10"/>
      <c r="G15" s="10"/>
      <c r="H15" s="10"/>
      <c r="I15" s="10"/>
      <c r="J15" s="10"/>
    </row>
    <row r="16" spans="2:10">
      <c r="B16" s="64" t="s">
        <v>6621</v>
      </c>
      <c r="C16" s="65" t="s">
        <v>6622</v>
      </c>
      <c r="D16" s="65" t="s">
        <v>6623</v>
      </c>
      <c r="E16" s="65" t="s">
        <v>6624</v>
      </c>
      <c r="F16" s="65" t="s">
        <v>6625</v>
      </c>
      <c r="G16" s="65" t="s">
        <v>6626</v>
      </c>
      <c r="H16" s="65" t="s">
        <v>6627</v>
      </c>
      <c r="I16" s="66" t="s">
        <v>6628</v>
      </c>
      <c r="J16" s="10"/>
    </row>
    <row r="17" spans="2:10">
      <c r="B17" s="60" t="s">
        <v>6629</v>
      </c>
      <c r="C17" s="486" t="s">
        <v>6630</v>
      </c>
      <c r="D17" s="486" t="s">
        <v>6631</v>
      </c>
      <c r="E17" s="486" t="s">
        <v>6632</v>
      </c>
      <c r="F17" s="486" t="s">
        <v>6633</v>
      </c>
      <c r="G17" s="486" t="s">
        <v>6631</v>
      </c>
      <c r="H17" s="486" t="s">
        <v>6632</v>
      </c>
      <c r="I17" s="61" t="s">
        <v>6634</v>
      </c>
      <c r="J17" s="10"/>
    </row>
    <row r="18" spans="2:10">
      <c r="B18" s="62"/>
      <c r="C18" s="735"/>
      <c r="D18" s="735"/>
      <c r="E18" s="735"/>
      <c r="F18" s="735" t="s">
        <v>6635</v>
      </c>
      <c r="G18" s="735"/>
      <c r="H18" s="735"/>
      <c r="I18" s="63" t="s">
        <v>6636</v>
      </c>
      <c r="J18" s="10"/>
    </row>
    <row r="19" spans="2:10">
      <c r="B19" s="486"/>
      <c r="C19" s="486"/>
      <c r="D19" s="486"/>
      <c r="E19" s="486"/>
      <c r="F19" s="486"/>
      <c r="G19" s="486"/>
      <c r="H19" s="486"/>
      <c r="I19" s="1"/>
      <c r="J19" s="10"/>
    </row>
    <row r="20" spans="2:10">
      <c r="B20" s="64" t="s">
        <v>6637</v>
      </c>
      <c r="C20" s="65" t="s">
        <v>6638</v>
      </c>
      <c r="D20" s="65" t="s">
        <v>6639</v>
      </c>
      <c r="E20" s="66" t="s">
        <v>6640</v>
      </c>
      <c r="F20" s="10"/>
      <c r="G20" s="10"/>
      <c r="H20" s="10"/>
      <c r="I20" s="10"/>
      <c r="J20" s="10"/>
    </row>
    <row r="21" spans="2:10">
      <c r="B21" s="62" t="s">
        <v>6641</v>
      </c>
      <c r="C21" s="735" t="s">
        <v>6642</v>
      </c>
      <c r="D21" s="735" t="s">
        <v>6643</v>
      </c>
      <c r="E21" s="63" t="s">
        <v>6631</v>
      </c>
      <c r="F21" s="10"/>
      <c r="G21" s="10"/>
      <c r="H21" s="10"/>
      <c r="I21" s="10"/>
      <c r="J21" s="10"/>
    </row>
    <row r="22" spans="2:10">
      <c r="B22" s="23"/>
      <c r="C22" s="23"/>
      <c r="D22" s="23"/>
      <c r="E22" s="23"/>
      <c r="F22" s="10"/>
      <c r="G22" s="10"/>
      <c r="H22" s="10"/>
      <c r="I22" s="10"/>
      <c r="J22" s="10"/>
    </row>
    <row r="23" spans="2:10">
      <c r="B23" s="64" t="s">
        <v>6644</v>
      </c>
      <c r="C23" s="65" t="s">
        <v>6645</v>
      </c>
      <c r="D23" s="65" t="s">
        <v>6646</v>
      </c>
      <c r="E23" s="66" t="s">
        <v>6647</v>
      </c>
      <c r="F23" s="10"/>
      <c r="G23" s="10"/>
      <c r="H23" s="10"/>
      <c r="I23" s="10"/>
      <c r="J23" s="10"/>
    </row>
    <row r="24" spans="2:10">
      <c r="B24" s="60" t="s">
        <v>6648</v>
      </c>
      <c r="C24" s="486" t="s">
        <v>6641</v>
      </c>
      <c r="D24" s="486" t="s">
        <v>156</v>
      </c>
      <c r="E24" s="61" t="s">
        <v>6620</v>
      </c>
      <c r="F24" s="10"/>
      <c r="G24" s="10"/>
      <c r="H24" s="10"/>
      <c r="I24" s="10"/>
      <c r="J24" s="10"/>
    </row>
    <row r="25" spans="2:10">
      <c r="B25" s="62"/>
      <c r="C25" s="735" t="s">
        <v>6649</v>
      </c>
      <c r="D25" s="735"/>
      <c r="E25" s="63"/>
      <c r="F25" s="10"/>
      <c r="G25" s="10"/>
      <c r="H25" s="10"/>
      <c r="I25" s="10"/>
      <c r="J25" s="10"/>
    </row>
    <row r="26" spans="2:10">
      <c r="B26" s="23"/>
      <c r="C26" s="23"/>
      <c r="D26" s="23"/>
      <c r="E26" s="23"/>
      <c r="F26" s="10"/>
      <c r="G26" s="10"/>
      <c r="H26" s="10"/>
      <c r="I26" s="10"/>
      <c r="J26" s="10"/>
    </row>
    <row r="27" spans="2:10">
      <c r="B27" s="64" t="s">
        <v>6650</v>
      </c>
      <c r="C27" s="65" t="s">
        <v>6651</v>
      </c>
      <c r="D27" s="66" t="s">
        <v>6652</v>
      </c>
      <c r="E27" s="23"/>
      <c r="F27" s="10"/>
      <c r="G27" s="10"/>
      <c r="H27" s="10"/>
      <c r="I27" s="10"/>
      <c r="J27" s="10"/>
    </row>
    <row r="28" spans="2:10">
      <c r="B28" s="60" t="s">
        <v>6653</v>
      </c>
      <c r="C28" s="486" t="s">
        <v>6654</v>
      </c>
      <c r="D28" s="61" t="s">
        <v>6654</v>
      </c>
      <c r="E28" s="23"/>
      <c r="F28" s="10"/>
      <c r="G28" s="10"/>
      <c r="H28" s="10"/>
      <c r="I28" s="10"/>
      <c r="J28" s="10"/>
    </row>
    <row r="29" spans="2:10">
      <c r="B29" s="62" t="s">
        <v>6655</v>
      </c>
      <c r="C29" s="735"/>
      <c r="D29" s="63"/>
      <c r="E29" s="23"/>
      <c r="F29" s="10"/>
      <c r="G29" s="10"/>
      <c r="H29" s="10"/>
      <c r="I29" s="10"/>
      <c r="J29" s="10"/>
    </row>
    <row r="30" spans="2:10">
      <c r="B30" s="23"/>
      <c r="C30" s="23"/>
      <c r="D30" s="23"/>
      <c r="E30" s="23"/>
      <c r="F30" s="10"/>
      <c r="G30" s="10"/>
      <c r="H30" s="10"/>
      <c r="I30" s="10"/>
      <c r="J30" s="10"/>
    </row>
    <row r="31" spans="2:10">
      <c r="B31" s="78" t="s">
        <v>606</v>
      </c>
      <c r="C31" s="23"/>
      <c r="D31" s="23"/>
      <c r="E31" s="23"/>
      <c r="F31" s="10"/>
      <c r="G31" s="10"/>
      <c r="H31" s="10"/>
      <c r="I31" s="10"/>
      <c r="J31" s="10"/>
    </row>
    <row r="32" spans="2:10">
      <c r="B32" s="42" t="s">
        <v>6563</v>
      </c>
      <c r="C32" s="23"/>
      <c r="D32" s="23"/>
      <c r="E32" s="23"/>
      <c r="F32" s="10"/>
      <c r="G32" s="10"/>
      <c r="H32" s="10"/>
      <c r="I32" s="10"/>
      <c r="J32" s="10"/>
    </row>
    <row r="33" spans="2:10">
      <c r="B33" s="23"/>
      <c r="C33" s="23"/>
      <c r="D33" s="23"/>
      <c r="E33" s="23"/>
      <c r="F33" s="10"/>
      <c r="G33" s="10"/>
      <c r="H33" s="10"/>
      <c r="I33" s="10"/>
      <c r="J33" s="10"/>
    </row>
    <row r="34" spans="2:10">
      <c r="B34" s="10"/>
      <c r="C34" s="10"/>
      <c r="D34" s="10"/>
      <c r="E34" s="10"/>
      <c r="F34" s="10"/>
      <c r="G34" s="10"/>
      <c r="H34" s="10"/>
      <c r="I34" s="10"/>
      <c r="J34" s="10"/>
    </row>
    <row r="35" spans="2:10">
      <c r="B35" s="10"/>
      <c r="C35" s="10"/>
      <c r="D35" s="10"/>
      <c r="E35" s="10"/>
      <c r="F35" s="10"/>
      <c r="G35" s="10"/>
      <c r="H35" s="10"/>
      <c r="I35" s="10"/>
      <c r="J35" s="10"/>
    </row>
    <row r="36" spans="2:10">
      <c r="B36" s="10"/>
      <c r="C36" s="10"/>
      <c r="D36" s="10"/>
      <c r="E36" s="10"/>
      <c r="F36" s="10"/>
      <c r="G36" s="10"/>
      <c r="H36" s="10"/>
      <c r="I36" s="10"/>
      <c r="J36" s="10"/>
    </row>
    <row r="37" spans="2:10">
      <c r="B37" s="10"/>
      <c r="C37" s="10"/>
      <c r="D37" s="10"/>
      <c r="E37" s="10"/>
      <c r="F37" s="10"/>
      <c r="G37" s="10"/>
      <c r="H37" s="10"/>
      <c r="I37" s="10"/>
      <c r="J37" s="1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P48"/>
  <sheetViews>
    <sheetView zoomScale="90" zoomScaleNormal="90" workbookViewId="0">
      <selection activeCell="C13" sqref="C13"/>
    </sheetView>
  </sheetViews>
  <sheetFormatPr defaultColWidth="8.85546875" defaultRowHeight="15"/>
  <cols>
    <col min="1" max="1" width="3.85546875" customWidth="1"/>
    <col min="2" max="2" width="14" customWidth="1"/>
    <col min="3" max="3" width="13.42578125" bestFit="1" customWidth="1"/>
    <col min="4" max="4" width="28.28515625" customWidth="1"/>
    <col min="5" max="5" width="10.42578125" customWidth="1"/>
    <col min="6" max="7" width="10" bestFit="1" customWidth="1"/>
  </cols>
  <sheetData>
    <row r="1" spans="1:16">
      <c r="A1" s="10"/>
      <c r="B1" s="10"/>
      <c r="C1" s="10"/>
      <c r="D1" s="10"/>
      <c r="E1" s="10"/>
      <c r="F1" s="10"/>
      <c r="G1" s="10"/>
      <c r="H1" s="10"/>
      <c r="I1" s="10"/>
      <c r="J1" s="10"/>
      <c r="K1" s="10"/>
      <c r="L1" s="10"/>
      <c r="M1" s="10"/>
      <c r="N1" s="10"/>
      <c r="O1" s="10"/>
      <c r="P1" s="10"/>
    </row>
    <row r="2" spans="1:16" ht="32.1">
      <c r="A2" s="10"/>
      <c r="B2" s="75" t="s">
        <v>6656</v>
      </c>
      <c r="C2" s="75" t="s">
        <v>6657</v>
      </c>
      <c r="D2" s="75" t="s">
        <v>6658</v>
      </c>
      <c r="E2" s="75" t="s">
        <v>111</v>
      </c>
      <c r="F2" s="75" t="s">
        <v>6325</v>
      </c>
      <c r="G2" s="75" t="s">
        <v>6326</v>
      </c>
      <c r="H2" s="10"/>
      <c r="I2" s="10"/>
      <c r="J2" s="10"/>
      <c r="K2" s="10"/>
      <c r="L2" s="10"/>
      <c r="M2" s="10"/>
      <c r="N2" s="10"/>
      <c r="O2" s="10"/>
      <c r="P2" s="10"/>
    </row>
    <row r="3" spans="1:16">
      <c r="A3" s="10"/>
      <c r="B3" s="73" t="s">
        <v>153</v>
      </c>
      <c r="C3" s="73" t="s">
        <v>173</v>
      </c>
      <c r="D3" s="74" t="s">
        <v>6619</v>
      </c>
      <c r="E3" s="73">
        <v>30</v>
      </c>
      <c r="F3" s="73" t="s">
        <v>178</v>
      </c>
      <c r="G3" s="73" t="s">
        <v>6659</v>
      </c>
      <c r="H3" s="10"/>
      <c r="I3" s="10"/>
      <c r="J3" s="10"/>
      <c r="K3" s="10"/>
      <c r="L3" s="10"/>
      <c r="M3" s="10"/>
      <c r="N3" s="10"/>
      <c r="O3" s="10"/>
      <c r="P3" s="10"/>
    </row>
    <row r="4" spans="1:16">
      <c r="A4" s="10"/>
      <c r="B4" s="73" t="s">
        <v>153</v>
      </c>
      <c r="C4" s="73" t="s">
        <v>173</v>
      </c>
      <c r="D4" s="74" t="s">
        <v>6618</v>
      </c>
      <c r="E4" s="73">
        <v>31</v>
      </c>
      <c r="F4" s="73" t="s">
        <v>178</v>
      </c>
      <c r="G4" s="73" t="s">
        <v>6659</v>
      </c>
      <c r="H4" s="10"/>
      <c r="I4" s="10"/>
      <c r="J4" s="10"/>
      <c r="K4" s="10"/>
      <c r="L4" s="10"/>
      <c r="M4" s="10"/>
      <c r="N4" s="10"/>
      <c r="O4" s="10"/>
      <c r="P4" s="10"/>
    </row>
    <row r="5" spans="1:16">
      <c r="A5" s="10"/>
      <c r="B5" s="85" t="s">
        <v>153</v>
      </c>
      <c r="C5" s="85" t="s">
        <v>220</v>
      </c>
      <c r="D5" s="85" t="s">
        <v>6619</v>
      </c>
      <c r="E5" s="85">
        <v>98</v>
      </c>
      <c r="F5" s="73" t="s">
        <v>163</v>
      </c>
      <c r="G5" s="73" t="s">
        <v>178</v>
      </c>
      <c r="H5" s="10"/>
      <c r="I5" s="10"/>
      <c r="J5" s="10"/>
      <c r="K5" s="10"/>
      <c r="L5" s="10"/>
      <c r="M5" s="10"/>
      <c r="N5" s="10"/>
      <c r="O5" s="10"/>
      <c r="P5" s="10"/>
    </row>
    <row r="6" spans="1:16">
      <c r="A6" s="10"/>
      <c r="B6" s="86" t="s">
        <v>153</v>
      </c>
      <c r="C6" s="86" t="s">
        <v>6600</v>
      </c>
      <c r="D6" s="85" t="s">
        <v>156</v>
      </c>
      <c r="E6" s="86">
        <v>119</v>
      </c>
      <c r="F6" s="1249" t="s">
        <v>163</v>
      </c>
      <c r="G6" s="1249" t="s">
        <v>6659</v>
      </c>
      <c r="H6" s="10"/>
      <c r="I6" s="10"/>
      <c r="J6" s="10"/>
      <c r="K6" s="10"/>
      <c r="L6" s="10"/>
      <c r="M6" s="10"/>
      <c r="N6" s="10"/>
      <c r="O6" s="10"/>
      <c r="P6" s="10"/>
    </row>
    <row r="7" spans="1:16">
      <c r="A7" s="10"/>
      <c r="B7" s="73" t="s">
        <v>153</v>
      </c>
      <c r="C7" s="73" t="s">
        <v>197</v>
      </c>
      <c r="D7" s="74" t="s">
        <v>6620</v>
      </c>
      <c r="E7" s="73">
        <v>29</v>
      </c>
      <c r="F7" s="73" t="s">
        <v>178</v>
      </c>
      <c r="G7" s="73" t="s">
        <v>6659</v>
      </c>
      <c r="H7" s="10"/>
      <c r="I7" s="10"/>
      <c r="J7" s="10"/>
      <c r="K7" s="10"/>
      <c r="L7" s="10"/>
      <c r="M7" s="10"/>
      <c r="N7" s="10"/>
      <c r="O7" s="10"/>
      <c r="P7" s="10"/>
    </row>
    <row r="8" spans="1:16">
      <c r="A8" s="10"/>
      <c r="B8" s="74" t="s">
        <v>153</v>
      </c>
      <c r="C8" s="74" t="s">
        <v>188</v>
      </c>
      <c r="D8" s="74" t="s">
        <v>6620</v>
      </c>
      <c r="E8" s="74">
        <v>25</v>
      </c>
      <c r="F8" s="74" t="s">
        <v>178</v>
      </c>
      <c r="G8" s="74" t="s">
        <v>6659</v>
      </c>
      <c r="H8" s="10"/>
      <c r="I8" s="10"/>
      <c r="J8" s="10"/>
      <c r="K8" s="10"/>
      <c r="L8" s="10"/>
      <c r="M8" s="10"/>
      <c r="N8" s="10"/>
      <c r="O8" s="10"/>
      <c r="P8" s="10"/>
    </row>
    <row r="9" spans="1:16">
      <c r="A9" s="10"/>
      <c r="B9" s="85" t="s">
        <v>6660</v>
      </c>
      <c r="C9" s="85" t="s">
        <v>212</v>
      </c>
      <c r="D9" s="85" t="s">
        <v>6617</v>
      </c>
      <c r="E9" s="85">
        <v>34</v>
      </c>
      <c r="F9" s="73" t="s">
        <v>178</v>
      </c>
      <c r="G9" s="73" t="s">
        <v>178</v>
      </c>
      <c r="H9" s="10"/>
      <c r="I9" s="10"/>
      <c r="J9" s="10"/>
      <c r="K9" s="10"/>
      <c r="L9" s="10"/>
      <c r="M9" s="10"/>
      <c r="N9" s="10"/>
      <c r="O9" s="10"/>
      <c r="P9" s="10"/>
    </row>
    <row r="10" spans="1:16">
      <c r="A10" s="10"/>
      <c r="B10" s="73" t="s">
        <v>271</v>
      </c>
      <c r="C10" s="73" t="s">
        <v>6598</v>
      </c>
      <c r="D10" s="74" t="s">
        <v>6629</v>
      </c>
      <c r="E10" s="73">
        <v>31</v>
      </c>
      <c r="F10" s="73" t="s">
        <v>450</v>
      </c>
      <c r="G10" s="73" t="s">
        <v>178</v>
      </c>
      <c r="H10" s="10"/>
      <c r="I10" s="10"/>
      <c r="J10" s="10"/>
      <c r="K10" s="10"/>
      <c r="L10" s="10"/>
      <c r="M10" s="10"/>
      <c r="N10" s="10"/>
      <c r="O10" s="10"/>
      <c r="P10" s="10"/>
    </row>
    <row r="11" spans="1:16">
      <c r="A11" s="10"/>
      <c r="B11" s="85" t="s">
        <v>271</v>
      </c>
      <c r="C11" s="85" t="s">
        <v>6601</v>
      </c>
      <c r="D11" s="85" t="s">
        <v>6630</v>
      </c>
      <c r="E11" s="85">
        <v>105</v>
      </c>
      <c r="F11" s="73" t="s">
        <v>163</v>
      </c>
      <c r="G11" s="73" t="s">
        <v>6659</v>
      </c>
      <c r="H11" s="10"/>
      <c r="I11" s="10"/>
      <c r="J11" s="10"/>
      <c r="K11" s="10"/>
      <c r="L11" s="10"/>
      <c r="M11" s="10"/>
      <c r="N11" s="10"/>
      <c r="O11" s="10"/>
      <c r="P11" s="10"/>
    </row>
    <row r="12" spans="1:16">
      <c r="A12" s="10"/>
      <c r="B12" s="85" t="s">
        <v>271</v>
      </c>
      <c r="C12" s="85" t="s">
        <v>6604</v>
      </c>
      <c r="D12" s="85" t="s">
        <v>6631</v>
      </c>
      <c r="E12" s="85">
        <v>40</v>
      </c>
      <c r="F12" s="73" t="s">
        <v>178</v>
      </c>
      <c r="G12" s="73" t="s">
        <v>163</v>
      </c>
      <c r="H12" s="10"/>
      <c r="I12" s="10"/>
      <c r="J12" s="10"/>
      <c r="K12" s="10"/>
      <c r="L12" s="10"/>
      <c r="M12" s="10"/>
      <c r="N12" s="10"/>
      <c r="O12" s="10"/>
      <c r="P12" s="10"/>
    </row>
    <row r="13" spans="1:16">
      <c r="A13" s="10"/>
      <c r="B13" s="85" t="s">
        <v>271</v>
      </c>
      <c r="C13" s="85" t="s">
        <v>6607</v>
      </c>
      <c r="D13" s="85" t="s">
        <v>6632</v>
      </c>
      <c r="E13" s="85">
        <v>88</v>
      </c>
      <c r="F13" s="73" t="s">
        <v>163</v>
      </c>
      <c r="G13" s="73" t="s">
        <v>178</v>
      </c>
      <c r="H13" s="10"/>
      <c r="I13" s="10"/>
      <c r="J13" s="10"/>
      <c r="K13" s="10"/>
      <c r="L13" s="10"/>
      <c r="M13" s="10"/>
      <c r="N13" s="10"/>
      <c r="O13" s="10"/>
      <c r="P13" s="10"/>
    </row>
    <row r="14" spans="1:16">
      <c r="A14" s="10"/>
      <c r="B14" s="73" t="s">
        <v>271</v>
      </c>
      <c r="C14" s="73" t="s">
        <v>350</v>
      </c>
      <c r="D14" s="74" t="s">
        <v>6635</v>
      </c>
      <c r="E14" s="73">
        <v>25</v>
      </c>
      <c r="F14" s="73" t="s">
        <v>178</v>
      </c>
      <c r="G14" s="73" t="s">
        <v>6659</v>
      </c>
      <c r="H14" s="10"/>
      <c r="I14" s="10"/>
      <c r="J14" s="10"/>
      <c r="K14" s="10"/>
      <c r="L14" s="10"/>
      <c r="M14" s="10"/>
      <c r="N14" s="10"/>
      <c r="O14" s="10"/>
      <c r="P14" s="10"/>
    </row>
    <row r="15" spans="1:16">
      <c r="A15" s="10"/>
      <c r="B15" s="73" t="s">
        <v>271</v>
      </c>
      <c r="C15" s="73" t="s">
        <v>350</v>
      </c>
      <c r="D15" s="74" t="s">
        <v>6633</v>
      </c>
      <c r="E15" s="73">
        <v>29</v>
      </c>
      <c r="F15" s="73" t="s">
        <v>178</v>
      </c>
      <c r="G15" s="73" t="s">
        <v>6659</v>
      </c>
      <c r="H15" s="10"/>
      <c r="I15" s="10"/>
      <c r="J15" s="10"/>
      <c r="K15" s="10"/>
      <c r="L15" s="10"/>
      <c r="M15" s="10"/>
      <c r="N15" s="10"/>
      <c r="O15" s="10"/>
      <c r="P15" s="10"/>
    </row>
    <row r="16" spans="1:16">
      <c r="A16" s="10"/>
      <c r="B16" s="85" t="s">
        <v>271</v>
      </c>
      <c r="C16" s="85" t="s">
        <v>6609</v>
      </c>
      <c r="D16" s="85" t="s">
        <v>6631</v>
      </c>
      <c r="E16" s="85">
        <v>42</v>
      </c>
      <c r="F16" s="73" t="s">
        <v>178</v>
      </c>
      <c r="G16" s="73" t="s">
        <v>163</v>
      </c>
      <c r="H16" s="10"/>
      <c r="I16" s="10"/>
      <c r="J16" s="10"/>
      <c r="K16" s="10"/>
      <c r="L16" s="10"/>
      <c r="M16" s="10"/>
      <c r="N16" s="10"/>
      <c r="O16" s="10"/>
      <c r="P16" s="10"/>
    </row>
    <row r="17" spans="1:16">
      <c r="A17" s="10"/>
      <c r="B17" s="85" t="s">
        <v>271</v>
      </c>
      <c r="C17" s="85" t="s">
        <v>6610</v>
      </c>
      <c r="D17" s="85" t="s">
        <v>6632</v>
      </c>
      <c r="E17" s="85">
        <v>88</v>
      </c>
      <c r="F17" s="74" t="s">
        <v>163</v>
      </c>
      <c r="G17" s="74" t="s">
        <v>178</v>
      </c>
      <c r="H17" s="10"/>
      <c r="I17" s="10"/>
      <c r="J17" s="10"/>
      <c r="K17" s="10"/>
      <c r="L17" s="10"/>
      <c r="M17" s="10"/>
      <c r="N17" s="10"/>
      <c r="O17" s="10"/>
      <c r="P17" s="10"/>
    </row>
    <row r="18" spans="1:16">
      <c r="A18" s="10"/>
      <c r="B18" s="74" t="s">
        <v>271</v>
      </c>
      <c r="C18" s="74" t="s">
        <v>432</v>
      </c>
      <c r="D18" s="74" t="s">
        <v>6634</v>
      </c>
      <c r="E18" s="74">
        <v>26</v>
      </c>
      <c r="F18" s="74" t="s">
        <v>178</v>
      </c>
      <c r="G18" s="74" t="s">
        <v>6659</v>
      </c>
      <c r="H18" s="10"/>
      <c r="I18" s="10"/>
      <c r="J18" s="10"/>
      <c r="K18" s="10"/>
      <c r="L18" s="10"/>
      <c r="M18" s="10"/>
      <c r="N18" s="10"/>
      <c r="O18" s="10"/>
      <c r="P18" s="10"/>
    </row>
    <row r="19" spans="1:16">
      <c r="A19" s="10"/>
      <c r="B19" s="74" t="s">
        <v>271</v>
      </c>
      <c r="C19" s="74" t="s">
        <v>432</v>
      </c>
      <c r="D19" s="74" t="s">
        <v>6636</v>
      </c>
      <c r="E19" s="74">
        <v>21</v>
      </c>
      <c r="F19" s="74" t="s">
        <v>450</v>
      </c>
      <c r="G19" s="74" t="s">
        <v>178</v>
      </c>
      <c r="H19" s="10"/>
      <c r="I19" s="10"/>
      <c r="J19" s="10"/>
      <c r="K19" s="10"/>
      <c r="L19" s="10"/>
      <c r="M19" s="10"/>
      <c r="N19" s="10"/>
      <c r="O19" s="10"/>
      <c r="P19" s="10"/>
    </row>
    <row r="20" spans="1:16">
      <c r="A20" s="10"/>
      <c r="B20" s="86" t="s">
        <v>469</v>
      </c>
      <c r="C20" s="86" t="s">
        <v>6599</v>
      </c>
      <c r="D20" s="85" t="s">
        <v>6641</v>
      </c>
      <c r="E20" s="86">
        <v>33</v>
      </c>
      <c r="F20" s="1249" t="s">
        <v>178</v>
      </c>
      <c r="G20" s="1249" t="s">
        <v>6659</v>
      </c>
      <c r="H20" s="10"/>
      <c r="I20" s="10"/>
      <c r="J20" s="10"/>
      <c r="K20" s="10"/>
      <c r="L20" s="10"/>
      <c r="M20" s="10"/>
      <c r="N20" s="10"/>
      <c r="O20" s="10"/>
      <c r="P20" s="10"/>
    </row>
    <row r="21" spans="1:16">
      <c r="A21" s="10"/>
      <c r="B21" s="85" t="s">
        <v>469</v>
      </c>
      <c r="C21" s="85" t="s">
        <v>6602</v>
      </c>
      <c r="D21" s="85" t="s">
        <v>6642</v>
      </c>
      <c r="E21" s="85">
        <v>35</v>
      </c>
      <c r="F21" s="73" t="s">
        <v>178</v>
      </c>
      <c r="G21" s="73" t="s">
        <v>6659</v>
      </c>
      <c r="H21" s="10"/>
      <c r="I21" s="10"/>
      <c r="J21" s="10"/>
      <c r="K21" s="10"/>
      <c r="L21" s="10"/>
      <c r="M21" s="10"/>
      <c r="N21" s="10"/>
      <c r="O21" s="10"/>
      <c r="P21" s="10"/>
    </row>
    <row r="22" spans="1:16">
      <c r="A22" s="10"/>
      <c r="B22" s="74" t="s">
        <v>469</v>
      </c>
      <c r="C22" s="74" t="s">
        <v>470</v>
      </c>
      <c r="D22" s="74" t="s">
        <v>6643</v>
      </c>
      <c r="E22" s="74">
        <v>31</v>
      </c>
      <c r="F22" s="74" t="s">
        <v>178</v>
      </c>
      <c r="G22" s="74" t="s">
        <v>6659</v>
      </c>
      <c r="H22" s="10"/>
      <c r="I22" s="10"/>
      <c r="J22" s="10"/>
      <c r="K22" s="10"/>
      <c r="L22" s="10"/>
      <c r="M22" s="10"/>
      <c r="N22" s="10"/>
      <c r="O22" s="10"/>
      <c r="P22" s="10"/>
    </row>
    <row r="23" spans="1:16">
      <c r="A23" s="10"/>
      <c r="B23" s="85" t="s">
        <v>469</v>
      </c>
      <c r="C23" s="85" t="s">
        <v>6608</v>
      </c>
      <c r="D23" s="85" t="s">
        <v>6631</v>
      </c>
      <c r="E23" s="85">
        <v>47</v>
      </c>
      <c r="F23" s="74" t="s">
        <v>178</v>
      </c>
      <c r="G23" s="74" t="s">
        <v>163</v>
      </c>
      <c r="H23" s="10"/>
      <c r="I23" s="10"/>
      <c r="J23" s="10"/>
      <c r="K23" s="10"/>
      <c r="L23" s="10"/>
      <c r="M23" s="10"/>
      <c r="N23" s="10"/>
      <c r="O23" s="10"/>
      <c r="P23" s="10"/>
    </row>
    <row r="24" spans="1:16">
      <c r="A24" s="10"/>
      <c r="B24" s="74" t="s">
        <v>519</v>
      </c>
      <c r="C24" s="74" t="s">
        <v>526</v>
      </c>
      <c r="D24" s="74" t="s">
        <v>6653</v>
      </c>
      <c r="E24" s="74">
        <v>29</v>
      </c>
      <c r="F24" s="74" t="s">
        <v>178</v>
      </c>
      <c r="G24" s="74" t="s">
        <v>6659</v>
      </c>
      <c r="H24" s="10"/>
      <c r="I24" s="10"/>
      <c r="J24" s="10"/>
      <c r="K24" s="10"/>
      <c r="L24" s="10"/>
      <c r="M24" s="10"/>
      <c r="N24" s="10"/>
      <c r="O24" s="10"/>
      <c r="P24" s="10"/>
    </row>
    <row r="25" spans="1:16">
      <c r="A25" s="10"/>
      <c r="B25" s="85" t="s">
        <v>519</v>
      </c>
      <c r="C25" s="85" t="s">
        <v>526</v>
      </c>
      <c r="D25" s="85" t="s">
        <v>6655</v>
      </c>
      <c r="E25" s="85">
        <v>32</v>
      </c>
      <c r="F25" s="74" t="s">
        <v>178</v>
      </c>
      <c r="G25" s="74" t="s">
        <v>6659</v>
      </c>
      <c r="H25" s="10"/>
      <c r="I25" s="10"/>
      <c r="J25" s="10"/>
      <c r="K25" s="10"/>
      <c r="L25" s="10"/>
      <c r="M25" s="10"/>
      <c r="N25" s="10"/>
      <c r="O25" s="10"/>
      <c r="P25" s="10"/>
    </row>
    <row r="26" spans="1:16">
      <c r="A26" s="10"/>
      <c r="B26" s="85" t="s">
        <v>519</v>
      </c>
      <c r="C26" s="85" t="s">
        <v>6603</v>
      </c>
      <c r="D26" s="85" t="s">
        <v>6654</v>
      </c>
      <c r="E26" s="85">
        <v>42</v>
      </c>
      <c r="F26" s="74" t="s">
        <v>178</v>
      </c>
      <c r="G26" s="74" t="s">
        <v>163</v>
      </c>
      <c r="H26" s="10"/>
      <c r="I26" s="10"/>
      <c r="J26" s="10"/>
      <c r="K26" s="10"/>
      <c r="L26" s="10"/>
      <c r="M26" s="10"/>
      <c r="N26" s="10"/>
      <c r="O26" s="10"/>
      <c r="P26" s="10"/>
    </row>
    <row r="27" spans="1:16">
      <c r="A27" s="10"/>
      <c r="B27" s="85" t="s">
        <v>519</v>
      </c>
      <c r="C27" s="85" t="s">
        <v>6606</v>
      </c>
      <c r="D27" s="85" t="s">
        <v>6654</v>
      </c>
      <c r="E27" s="85">
        <v>93</v>
      </c>
      <c r="F27" s="74" t="s">
        <v>163</v>
      </c>
      <c r="G27" s="74" t="s">
        <v>178</v>
      </c>
      <c r="H27" s="10"/>
      <c r="I27" s="10"/>
      <c r="J27" s="10"/>
      <c r="K27" s="10"/>
      <c r="L27" s="10"/>
      <c r="M27" s="10"/>
      <c r="N27" s="10"/>
      <c r="O27" s="10"/>
      <c r="P27" s="10"/>
    </row>
    <row r="28" spans="1:16">
      <c r="A28" s="10"/>
      <c r="B28" s="85" t="s">
        <v>545</v>
      </c>
      <c r="C28" s="85" t="s">
        <v>584</v>
      </c>
      <c r="D28" s="85" t="s">
        <v>6648</v>
      </c>
      <c r="E28" s="85">
        <v>35</v>
      </c>
      <c r="F28" s="73" t="s">
        <v>178</v>
      </c>
      <c r="G28" s="73" t="s">
        <v>178</v>
      </c>
      <c r="H28" s="10"/>
      <c r="I28" s="10"/>
      <c r="J28" s="10"/>
      <c r="K28" s="10"/>
      <c r="L28" s="10"/>
      <c r="M28" s="10"/>
      <c r="N28" s="10"/>
      <c r="O28" s="10"/>
      <c r="P28" s="10"/>
    </row>
    <row r="29" spans="1:16">
      <c r="A29" s="10"/>
      <c r="B29" s="85" t="s">
        <v>545</v>
      </c>
      <c r="C29" s="85" t="s">
        <v>579</v>
      </c>
      <c r="D29" s="85" t="s">
        <v>6641</v>
      </c>
      <c r="E29" s="85">
        <v>33</v>
      </c>
      <c r="F29" s="73" t="s">
        <v>178</v>
      </c>
      <c r="G29" s="73" t="s">
        <v>6659</v>
      </c>
      <c r="H29" s="10"/>
      <c r="I29" s="10"/>
      <c r="J29" s="10"/>
      <c r="K29" s="10"/>
      <c r="L29" s="10"/>
      <c r="M29" s="10"/>
      <c r="N29" s="10"/>
      <c r="O29" s="10"/>
      <c r="P29" s="10"/>
    </row>
    <row r="30" spans="1:16">
      <c r="A30" s="10"/>
      <c r="B30" s="85" t="s">
        <v>545</v>
      </c>
      <c r="C30" s="85" t="s">
        <v>579</v>
      </c>
      <c r="D30" s="85" t="s">
        <v>6649</v>
      </c>
      <c r="E30" s="85">
        <v>34</v>
      </c>
      <c r="F30" s="73" t="s">
        <v>178</v>
      </c>
      <c r="G30" s="73" t="s">
        <v>6659</v>
      </c>
      <c r="H30" s="10"/>
      <c r="I30" s="10"/>
      <c r="J30" s="10"/>
      <c r="K30" s="10"/>
      <c r="L30" s="10"/>
      <c r="M30" s="10"/>
      <c r="N30" s="10"/>
      <c r="O30" s="10"/>
      <c r="P30" s="10"/>
    </row>
    <row r="31" spans="1:16">
      <c r="A31" s="10"/>
      <c r="B31" s="85" t="s">
        <v>545</v>
      </c>
      <c r="C31" s="85" t="s">
        <v>6605</v>
      </c>
      <c r="D31" s="85" t="s">
        <v>156</v>
      </c>
      <c r="E31" s="85">
        <v>114</v>
      </c>
      <c r="F31" s="73" t="s">
        <v>163</v>
      </c>
      <c r="G31" s="73" t="s">
        <v>6659</v>
      </c>
      <c r="H31" s="10"/>
      <c r="I31" s="10"/>
      <c r="J31" s="10"/>
      <c r="K31" s="10"/>
      <c r="L31" s="10"/>
      <c r="M31" s="10"/>
      <c r="N31" s="10"/>
      <c r="O31" s="10"/>
      <c r="P31" s="10"/>
    </row>
    <row r="32" spans="1:16">
      <c r="A32" s="10"/>
      <c r="B32" s="74" t="s">
        <v>545</v>
      </c>
      <c r="C32" s="74" t="s">
        <v>546</v>
      </c>
      <c r="D32" s="74" t="s">
        <v>6620</v>
      </c>
      <c r="E32" s="74">
        <v>31</v>
      </c>
      <c r="F32" s="74" t="s">
        <v>178</v>
      </c>
      <c r="G32" s="74" t="s">
        <v>6659</v>
      </c>
      <c r="H32" s="10"/>
      <c r="I32" s="10"/>
      <c r="J32" s="10"/>
      <c r="K32" s="10"/>
      <c r="L32" s="10"/>
      <c r="M32" s="10"/>
      <c r="N32" s="10"/>
      <c r="O32" s="10"/>
      <c r="P32" s="10"/>
    </row>
    <row r="33" spans="1:16">
      <c r="A33" s="10"/>
      <c r="B33" s="10"/>
      <c r="C33" s="10"/>
      <c r="D33" s="10"/>
      <c r="E33" s="10"/>
      <c r="F33" s="10"/>
      <c r="G33" s="10"/>
      <c r="H33" s="10"/>
      <c r="I33" s="10"/>
      <c r="J33" s="10"/>
      <c r="K33" s="10"/>
      <c r="L33" s="10"/>
      <c r="M33" s="10"/>
      <c r="N33" s="10"/>
      <c r="O33" s="10"/>
      <c r="P33" s="10"/>
    </row>
    <row r="34" spans="1:16">
      <c r="A34" s="10"/>
      <c r="B34" s="10"/>
      <c r="C34" s="10"/>
      <c r="D34" s="10"/>
      <c r="E34" s="10"/>
      <c r="F34" s="10"/>
      <c r="G34" s="10"/>
      <c r="H34" s="10"/>
      <c r="I34" s="10"/>
      <c r="J34" s="10"/>
      <c r="K34" s="10"/>
      <c r="L34" s="10"/>
      <c r="M34" s="10"/>
      <c r="N34" s="10"/>
      <c r="O34" s="10"/>
      <c r="P34" s="10"/>
    </row>
    <row r="35" spans="1:16">
      <c r="A35" s="10"/>
      <c r="B35" s="10"/>
      <c r="C35" s="10"/>
      <c r="D35" s="10"/>
      <c r="E35" s="10"/>
      <c r="F35" s="10"/>
      <c r="G35" s="10"/>
      <c r="H35" s="10"/>
      <c r="I35" s="10"/>
      <c r="J35" s="10"/>
      <c r="K35" s="10"/>
      <c r="L35" s="10"/>
      <c r="M35" s="10"/>
      <c r="N35" s="10"/>
      <c r="O35" s="10"/>
      <c r="P35" s="10"/>
    </row>
    <row r="36" spans="1:16">
      <c r="A36" s="10"/>
      <c r="B36" s="10"/>
      <c r="C36" s="10"/>
      <c r="D36" s="10"/>
      <c r="E36" s="10"/>
      <c r="F36" s="10"/>
      <c r="G36" s="10"/>
      <c r="H36" s="10"/>
      <c r="I36" s="10"/>
      <c r="J36" s="10"/>
      <c r="K36" s="10"/>
      <c r="L36" s="10"/>
      <c r="M36" s="10"/>
      <c r="N36" s="10"/>
      <c r="O36" s="10"/>
      <c r="P36" s="10"/>
    </row>
    <row r="37" spans="1:16">
      <c r="A37" s="10"/>
      <c r="B37" s="10"/>
      <c r="C37" s="10"/>
      <c r="D37" s="10"/>
      <c r="E37" s="10"/>
      <c r="F37" s="10"/>
      <c r="G37" s="10"/>
      <c r="H37" s="10"/>
      <c r="I37" s="10"/>
      <c r="J37" s="10"/>
      <c r="K37" s="10"/>
      <c r="L37" s="10"/>
      <c r="M37" s="10"/>
      <c r="N37" s="10"/>
      <c r="O37" s="10"/>
      <c r="P37" s="10"/>
    </row>
    <row r="38" spans="1:16">
      <c r="A38" s="10"/>
      <c r="B38" s="10"/>
      <c r="C38" s="10"/>
      <c r="D38" s="10"/>
      <c r="E38" s="10"/>
      <c r="F38" s="10"/>
      <c r="G38" s="10"/>
      <c r="H38" s="10"/>
      <c r="I38" s="10"/>
      <c r="J38" s="10"/>
      <c r="K38" s="10"/>
      <c r="L38" s="10"/>
      <c r="M38" s="10"/>
      <c r="N38" s="10"/>
      <c r="O38" s="10"/>
      <c r="P38" s="10"/>
    </row>
    <row r="39" spans="1:16">
      <c r="A39" s="10"/>
      <c r="B39" s="10"/>
      <c r="C39" s="10"/>
      <c r="D39" s="10"/>
      <c r="E39" s="10"/>
      <c r="F39" s="10"/>
      <c r="G39" s="10"/>
      <c r="H39" s="10"/>
      <c r="I39" s="10"/>
      <c r="J39" s="10"/>
      <c r="K39" s="10"/>
      <c r="L39" s="10"/>
      <c r="M39" s="10"/>
      <c r="N39" s="10"/>
      <c r="O39" s="10"/>
      <c r="P39" s="10"/>
    </row>
    <row r="40" spans="1:16">
      <c r="A40" s="10"/>
      <c r="B40" s="10"/>
      <c r="C40" s="10"/>
      <c r="D40" s="10"/>
      <c r="E40" s="10"/>
      <c r="F40" s="10"/>
      <c r="G40" s="10"/>
      <c r="H40" s="10"/>
      <c r="I40" s="10"/>
      <c r="J40" s="10"/>
      <c r="K40" s="10"/>
      <c r="L40" s="10"/>
      <c r="M40" s="10"/>
      <c r="N40" s="10"/>
      <c r="O40" s="10"/>
      <c r="P40" s="10"/>
    </row>
    <row r="41" spans="1:16">
      <c r="A41" s="10"/>
      <c r="B41" s="10"/>
      <c r="C41" s="10"/>
      <c r="D41" s="10"/>
      <c r="E41" s="10"/>
      <c r="F41" s="10"/>
      <c r="G41" s="10"/>
      <c r="H41" s="10"/>
      <c r="I41" s="10"/>
      <c r="J41" s="10"/>
      <c r="K41" s="10"/>
      <c r="L41" s="10"/>
      <c r="M41" s="10"/>
      <c r="N41" s="10"/>
      <c r="O41" s="10"/>
      <c r="P41" s="10"/>
    </row>
    <row r="42" spans="1:16">
      <c r="A42" s="10"/>
      <c r="B42" s="10"/>
      <c r="C42" s="10"/>
      <c r="D42" s="10"/>
      <c r="E42" s="10"/>
      <c r="F42" s="10"/>
      <c r="G42" s="10"/>
      <c r="H42" s="10"/>
      <c r="I42" s="10"/>
      <c r="J42" s="10"/>
      <c r="K42" s="10"/>
      <c r="L42" s="10"/>
      <c r="M42" s="10"/>
      <c r="N42" s="10"/>
      <c r="O42" s="10"/>
      <c r="P42" s="10"/>
    </row>
    <row r="43" spans="1:16">
      <c r="A43" s="10"/>
      <c r="B43" s="10"/>
      <c r="C43" s="10"/>
      <c r="D43" s="10"/>
      <c r="E43" s="10"/>
      <c r="F43" s="10"/>
      <c r="G43" s="10"/>
      <c r="H43" s="10"/>
      <c r="I43" s="10"/>
      <c r="J43" s="10"/>
      <c r="K43" s="10"/>
      <c r="L43" s="10"/>
      <c r="M43" s="10"/>
      <c r="N43" s="10"/>
      <c r="O43" s="10"/>
      <c r="P43" s="10"/>
    </row>
    <row r="44" spans="1:16">
      <c r="A44" s="10"/>
      <c r="B44" s="10"/>
      <c r="C44" s="10"/>
      <c r="D44" s="10"/>
      <c r="E44" s="10"/>
      <c r="F44" s="10"/>
      <c r="G44" s="10"/>
      <c r="H44" s="10"/>
      <c r="I44" s="10"/>
      <c r="J44" s="10"/>
      <c r="K44" s="10"/>
      <c r="L44" s="10"/>
      <c r="M44" s="10"/>
      <c r="N44" s="10"/>
      <c r="O44" s="10"/>
      <c r="P44" s="10"/>
    </row>
    <row r="45" spans="1:16">
      <c r="A45" s="10"/>
      <c r="B45" s="10"/>
      <c r="C45" s="10"/>
      <c r="D45" s="10"/>
      <c r="E45" s="10"/>
      <c r="F45" s="10"/>
      <c r="G45" s="10"/>
      <c r="H45" s="10"/>
      <c r="I45" s="10"/>
      <c r="J45" s="10"/>
      <c r="K45" s="10"/>
      <c r="L45" s="10"/>
      <c r="M45" s="10"/>
      <c r="N45" s="10"/>
      <c r="O45" s="10"/>
      <c r="P45" s="10"/>
    </row>
    <row r="46" spans="1:16">
      <c r="A46" s="10"/>
      <c r="B46" s="10"/>
      <c r="C46" s="10"/>
      <c r="D46" s="10"/>
      <c r="E46" s="10"/>
      <c r="F46" s="10"/>
      <c r="G46" s="10"/>
      <c r="H46" s="10"/>
      <c r="I46" s="10"/>
      <c r="J46" s="10"/>
      <c r="K46" s="10"/>
      <c r="L46" s="10"/>
      <c r="M46" s="10"/>
      <c r="N46" s="10"/>
      <c r="O46" s="10"/>
      <c r="P46" s="10"/>
    </row>
    <row r="47" spans="1:16">
      <c r="A47" s="10"/>
      <c r="B47" s="10"/>
      <c r="C47" s="10"/>
      <c r="D47" s="10"/>
      <c r="E47" s="10"/>
      <c r="F47" s="10"/>
      <c r="G47" s="10"/>
      <c r="H47" s="99"/>
      <c r="I47" s="99"/>
      <c r="J47" s="99"/>
      <c r="K47" s="99"/>
      <c r="L47" s="99"/>
      <c r="M47" s="99"/>
      <c r="N47" s="99"/>
      <c r="O47" s="99"/>
      <c r="P47" s="99"/>
    </row>
    <row r="48" spans="1:16">
      <c r="A48" s="10"/>
      <c r="B48" s="99"/>
      <c r="C48" s="99"/>
      <c r="D48" s="99"/>
      <c r="E48" s="99"/>
      <c r="F48" s="99"/>
      <c r="G48" s="99"/>
      <c r="H48" s="99"/>
      <c r="I48" s="99"/>
      <c r="J48" s="99"/>
      <c r="K48" s="99"/>
      <c r="L48" s="99"/>
      <c r="M48" s="99"/>
      <c r="N48" s="99"/>
      <c r="O48" s="99"/>
      <c r="P48" s="9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Q78"/>
  <sheetViews>
    <sheetView workbookViewId="0">
      <selection activeCell="G26" sqref="G26"/>
    </sheetView>
  </sheetViews>
  <sheetFormatPr defaultColWidth="8.85546875" defaultRowHeight="15"/>
  <cols>
    <col min="1" max="1" width="4" style="10" customWidth="1"/>
    <col min="2" max="2" width="27.42578125" customWidth="1"/>
    <col min="3" max="3" width="30" customWidth="1"/>
    <col min="4" max="4" width="29.140625" bestFit="1" customWidth="1"/>
    <col min="5" max="5" width="34.7109375" bestFit="1" customWidth="1"/>
    <col min="6" max="6" width="30" bestFit="1" customWidth="1"/>
    <col min="7" max="7" width="30.42578125" customWidth="1"/>
    <col min="8" max="8" width="31.28515625" customWidth="1"/>
    <col min="9" max="10" width="26" bestFit="1" customWidth="1"/>
    <col min="11" max="11" width="29.42578125" bestFit="1" customWidth="1"/>
    <col min="12" max="13" width="24.7109375" bestFit="1" customWidth="1"/>
    <col min="14" max="14" width="24.7109375" customWidth="1"/>
    <col min="15" max="15" width="26" customWidth="1"/>
    <col min="16" max="17" width="22.42578125" bestFit="1" customWidth="1"/>
  </cols>
  <sheetData>
    <row r="1" spans="2:17">
      <c r="B1" s="23"/>
      <c r="C1" s="23"/>
      <c r="D1" s="23"/>
      <c r="E1" s="23"/>
      <c r="F1" s="23"/>
      <c r="G1" s="23"/>
      <c r="H1" s="23"/>
      <c r="I1" s="23"/>
      <c r="J1" s="23"/>
      <c r="K1" s="23"/>
      <c r="L1" s="23"/>
      <c r="M1" s="23"/>
      <c r="N1" s="23"/>
      <c r="O1" s="23"/>
      <c r="P1" s="23"/>
      <c r="Q1" s="23"/>
    </row>
    <row r="2" spans="2:17">
      <c r="B2" s="64" t="s">
        <v>6661</v>
      </c>
      <c r="C2" s="65" t="s">
        <v>6662</v>
      </c>
      <c r="D2" s="65" t="s">
        <v>6663</v>
      </c>
      <c r="E2" s="65" t="s">
        <v>6664</v>
      </c>
      <c r="F2" s="65" t="s">
        <v>6665</v>
      </c>
      <c r="G2" s="65" t="s">
        <v>6666</v>
      </c>
      <c r="H2" s="65" t="s">
        <v>6667</v>
      </c>
      <c r="I2" s="64" t="s">
        <v>6668</v>
      </c>
      <c r="J2" s="78" t="s">
        <v>6669</v>
      </c>
      <c r="K2" s="23"/>
      <c r="L2" s="23"/>
      <c r="M2" s="23"/>
      <c r="N2" s="23"/>
      <c r="O2" s="23"/>
      <c r="P2" s="23"/>
      <c r="Q2" s="23"/>
    </row>
    <row r="3" spans="2:17">
      <c r="B3" s="60" t="s">
        <v>6662</v>
      </c>
      <c r="C3" s="486" t="s">
        <v>724</v>
      </c>
      <c r="D3" s="486" t="s">
        <v>1337</v>
      </c>
      <c r="E3" s="486" t="s">
        <v>1076</v>
      </c>
      <c r="F3" s="486" t="s">
        <v>6670</v>
      </c>
      <c r="G3" s="46" t="s">
        <v>1329</v>
      </c>
      <c r="H3" s="486" t="s">
        <v>1463</v>
      </c>
      <c r="I3" s="486" t="s">
        <v>6671</v>
      </c>
      <c r="J3" s="61" t="s">
        <v>6563</v>
      </c>
      <c r="K3" s="23"/>
      <c r="L3" s="23"/>
      <c r="M3" s="23"/>
      <c r="N3" s="23"/>
      <c r="O3" s="23"/>
      <c r="P3" s="23"/>
      <c r="Q3" s="23"/>
    </row>
    <row r="4" spans="2:17">
      <c r="B4" s="60" t="s">
        <v>6663</v>
      </c>
      <c r="C4" s="486" t="s">
        <v>6672</v>
      </c>
      <c r="D4" s="486" t="s">
        <v>1367</v>
      </c>
      <c r="E4" s="486" t="s">
        <v>1227</v>
      </c>
      <c r="F4" s="46" t="s">
        <v>3186</v>
      </c>
      <c r="G4" s="46" t="s">
        <v>1321</v>
      </c>
      <c r="H4" s="486" t="s">
        <v>1453</v>
      </c>
      <c r="I4" s="486" t="s">
        <v>6673</v>
      </c>
      <c r="J4" s="61"/>
      <c r="K4" s="23"/>
      <c r="L4" s="23"/>
      <c r="M4" s="23"/>
      <c r="N4" s="23"/>
      <c r="O4" s="23"/>
      <c r="P4" s="23"/>
      <c r="Q4" s="23"/>
    </row>
    <row r="5" spans="2:17">
      <c r="B5" s="60" t="s">
        <v>6664</v>
      </c>
      <c r="C5" s="486" t="s">
        <v>6674</v>
      </c>
      <c r="D5" s="486" t="s">
        <v>6675</v>
      </c>
      <c r="E5" s="486" t="s">
        <v>1123</v>
      </c>
      <c r="F5" s="486"/>
      <c r="G5" s="486"/>
      <c r="H5" s="486" t="s">
        <v>3192</v>
      </c>
      <c r="I5" s="486" t="s">
        <v>3266</v>
      </c>
      <c r="J5" s="61"/>
      <c r="K5" s="23"/>
      <c r="L5" s="23"/>
      <c r="M5" s="23"/>
      <c r="N5" s="23"/>
      <c r="O5" s="23"/>
      <c r="P5" s="23"/>
      <c r="Q5" s="23"/>
    </row>
    <row r="6" spans="2:17">
      <c r="B6" s="60" t="s">
        <v>6665</v>
      </c>
      <c r="C6" s="486" t="s">
        <v>6676</v>
      </c>
      <c r="D6" s="486"/>
      <c r="E6" s="486" t="s">
        <v>6677</v>
      </c>
      <c r="F6" s="486"/>
      <c r="G6" s="486"/>
      <c r="H6" s="486" t="s">
        <v>3200</v>
      </c>
      <c r="I6" s="486" t="s">
        <v>3282</v>
      </c>
      <c r="J6" s="61"/>
      <c r="K6" s="23"/>
      <c r="L6" s="23"/>
      <c r="M6" s="23"/>
      <c r="N6" s="23"/>
      <c r="O6" s="23"/>
      <c r="P6" s="23"/>
      <c r="Q6" s="23"/>
    </row>
    <row r="7" spans="2:17">
      <c r="B7" s="60" t="s">
        <v>6666</v>
      </c>
      <c r="C7" s="486" t="s">
        <v>6678</v>
      </c>
      <c r="D7" s="486"/>
      <c r="E7" s="486" t="s">
        <v>6679</v>
      </c>
      <c r="F7" s="486"/>
      <c r="G7" s="486"/>
      <c r="H7" s="486" t="s">
        <v>3229</v>
      </c>
      <c r="I7" s="486" t="s">
        <v>3308</v>
      </c>
      <c r="J7" s="61"/>
      <c r="K7" s="23"/>
      <c r="L7" s="23"/>
      <c r="M7" s="23"/>
      <c r="N7" s="23"/>
      <c r="O7" s="23"/>
      <c r="P7" s="23"/>
      <c r="Q7" s="23"/>
    </row>
    <row r="8" spans="2:17">
      <c r="B8" s="60" t="s">
        <v>6667</v>
      </c>
      <c r="C8" s="486" t="s">
        <v>6680</v>
      </c>
      <c r="D8" s="486"/>
      <c r="E8" s="486" t="s">
        <v>6681</v>
      </c>
      <c r="F8" s="486"/>
      <c r="G8" s="486"/>
      <c r="H8" s="486" t="s">
        <v>6682</v>
      </c>
      <c r="I8" s="486">
        <v>1500</v>
      </c>
      <c r="J8" s="61"/>
      <c r="K8" s="23"/>
      <c r="L8" s="23"/>
      <c r="M8" s="23"/>
      <c r="N8" s="23"/>
      <c r="O8" s="23"/>
      <c r="P8" s="23"/>
      <c r="Q8" s="23"/>
    </row>
    <row r="9" spans="2:17">
      <c r="B9" s="60" t="s">
        <v>6668</v>
      </c>
      <c r="C9" s="486" t="s">
        <v>6683</v>
      </c>
      <c r="D9" s="486"/>
      <c r="E9" s="486" t="s">
        <v>6684</v>
      </c>
      <c r="F9" s="486"/>
      <c r="G9" s="486"/>
      <c r="H9" s="486" t="s">
        <v>3256</v>
      </c>
      <c r="I9" s="486">
        <v>2500</v>
      </c>
      <c r="J9" s="61"/>
      <c r="K9" s="23"/>
      <c r="L9" s="23"/>
      <c r="M9" s="23"/>
      <c r="N9" s="23"/>
      <c r="O9" s="23"/>
      <c r="P9" s="23"/>
      <c r="Q9" s="23"/>
    </row>
    <row r="10" spans="2:17">
      <c r="B10" s="59"/>
      <c r="C10" s="486" t="s">
        <v>6685</v>
      </c>
      <c r="D10" s="486"/>
      <c r="E10" s="486" t="s">
        <v>6686</v>
      </c>
      <c r="F10" s="486"/>
      <c r="G10" s="486"/>
      <c r="H10" s="486" t="s">
        <v>6687</v>
      </c>
      <c r="I10" s="486"/>
      <c r="J10" s="61"/>
      <c r="K10" s="23"/>
      <c r="L10" s="23"/>
      <c r="M10" s="23"/>
      <c r="N10" s="23"/>
      <c r="O10" s="23"/>
      <c r="P10" s="23"/>
      <c r="Q10" s="23"/>
    </row>
    <row r="11" spans="2:17">
      <c r="B11" s="60"/>
      <c r="C11" s="486" t="s">
        <v>6688</v>
      </c>
      <c r="D11" s="486"/>
      <c r="E11" s="486" t="s">
        <v>6689</v>
      </c>
      <c r="F11" s="486"/>
      <c r="G11" s="486"/>
      <c r="H11" s="486" t="s">
        <v>6690</v>
      </c>
      <c r="I11" s="486"/>
      <c r="J11" s="61"/>
      <c r="K11" s="23"/>
      <c r="L11" s="23"/>
      <c r="M11" s="23"/>
      <c r="N11" s="23"/>
      <c r="O11" s="23"/>
      <c r="P11" s="23"/>
      <c r="Q11" s="23"/>
    </row>
    <row r="12" spans="2:17">
      <c r="B12" s="60"/>
      <c r="C12" s="486" t="s">
        <v>6691</v>
      </c>
      <c r="D12" s="486"/>
      <c r="E12" s="486" t="s">
        <v>6692</v>
      </c>
      <c r="F12" s="486"/>
      <c r="G12" s="486"/>
      <c r="H12" s="486" t="s">
        <v>5350</v>
      </c>
      <c r="I12" s="486"/>
      <c r="J12" s="61"/>
      <c r="K12" s="23"/>
      <c r="L12" s="23"/>
      <c r="M12" s="23"/>
      <c r="N12" s="23"/>
      <c r="O12" s="23"/>
      <c r="P12" s="23"/>
      <c r="Q12" s="23"/>
    </row>
    <row r="13" spans="2:17">
      <c r="B13" s="60"/>
      <c r="C13" s="486" t="s">
        <v>3375</v>
      </c>
      <c r="D13" s="486"/>
      <c r="E13" s="486" t="s">
        <v>3765</v>
      </c>
      <c r="F13" s="486"/>
      <c r="G13" s="486"/>
      <c r="H13" s="486"/>
      <c r="I13" s="486"/>
      <c r="J13" s="61"/>
      <c r="K13" s="23"/>
      <c r="L13" s="23"/>
      <c r="M13" s="23"/>
      <c r="N13" s="23"/>
      <c r="O13" s="23"/>
      <c r="P13" s="23"/>
      <c r="Q13" s="23"/>
    </row>
    <row r="14" spans="2:17">
      <c r="B14" s="60"/>
      <c r="C14" s="486" t="s">
        <v>3464</v>
      </c>
      <c r="D14" s="486"/>
      <c r="E14" s="486" t="s">
        <v>4229</v>
      </c>
      <c r="F14" s="486"/>
      <c r="G14" s="486"/>
      <c r="H14" s="486"/>
      <c r="I14" s="486"/>
      <c r="J14" s="61"/>
      <c r="K14" s="23"/>
      <c r="L14" s="23"/>
      <c r="M14" s="23"/>
      <c r="N14" s="23"/>
      <c r="O14" s="23"/>
      <c r="P14" s="23"/>
      <c r="Q14" s="23"/>
    </row>
    <row r="15" spans="2:17">
      <c r="B15" s="62"/>
      <c r="C15" s="735" t="s">
        <v>3594</v>
      </c>
      <c r="D15" s="735"/>
      <c r="E15" s="735"/>
      <c r="F15" s="735"/>
      <c r="G15" s="735"/>
      <c r="H15" s="735"/>
      <c r="I15" s="735"/>
      <c r="J15" s="63"/>
      <c r="K15" s="23"/>
      <c r="L15" s="23"/>
      <c r="M15" s="23"/>
      <c r="N15" s="23"/>
      <c r="O15" s="23"/>
      <c r="P15" s="23"/>
      <c r="Q15" s="23"/>
    </row>
    <row r="16" spans="2:17">
      <c r="B16" s="23"/>
      <c r="C16" s="23"/>
      <c r="D16" s="23"/>
      <c r="E16" s="23"/>
      <c r="F16" s="23"/>
      <c r="G16" s="23"/>
      <c r="H16" s="23"/>
      <c r="I16" s="23"/>
      <c r="J16" s="23"/>
      <c r="K16" s="23"/>
      <c r="L16" s="23"/>
      <c r="M16" s="23"/>
      <c r="N16" s="23"/>
      <c r="O16" s="23"/>
      <c r="P16" s="23"/>
      <c r="Q16" s="23"/>
    </row>
    <row r="17" spans="2:17">
      <c r="B17" s="64" t="s">
        <v>6693</v>
      </c>
      <c r="C17" s="65" t="s">
        <v>6694</v>
      </c>
      <c r="D17" s="65" t="s">
        <v>6695</v>
      </c>
      <c r="E17" s="65" t="s">
        <v>6696</v>
      </c>
      <c r="F17" s="65" t="s">
        <v>6697</v>
      </c>
      <c r="G17" s="65" t="s">
        <v>6698</v>
      </c>
      <c r="H17" s="65" t="s">
        <v>6699</v>
      </c>
      <c r="I17" s="65" t="s">
        <v>6700</v>
      </c>
      <c r="J17" s="65" t="s">
        <v>6701</v>
      </c>
      <c r="K17" s="65" t="s">
        <v>6702</v>
      </c>
      <c r="L17" s="65" t="s">
        <v>6703</v>
      </c>
      <c r="M17" s="65" t="s">
        <v>6704</v>
      </c>
      <c r="N17" s="66" t="s">
        <v>6705</v>
      </c>
      <c r="O17" s="10"/>
      <c r="P17" s="10"/>
      <c r="Q17" s="23"/>
    </row>
    <row r="18" spans="2:17">
      <c r="B18" s="60" t="s">
        <v>6706</v>
      </c>
      <c r="C18" s="486" t="s">
        <v>6707</v>
      </c>
      <c r="D18" s="486" t="s">
        <v>6708</v>
      </c>
      <c r="E18" s="486" t="s">
        <v>6707</v>
      </c>
      <c r="F18" s="486" t="s">
        <v>6708</v>
      </c>
      <c r="G18" s="486" t="s">
        <v>6709</v>
      </c>
      <c r="H18" s="486" t="s">
        <v>6709</v>
      </c>
      <c r="I18" s="486" t="s">
        <v>6654</v>
      </c>
      <c r="J18" s="486" t="s">
        <v>6710</v>
      </c>
      <c r="K18" s="486" t="s">
        <v>6710</v>
      </c>
      <c r="L18" s="486" t="s">
        <v>6711</v>
      </c>
      <c r="M18" s="486" t="s">
        <v>6712</v>
      </c>
      <c r="N18" s="61" t="s">
        <v>6713</v>
      </c>
      <c r="O18" s="10"/>
      <c r="P18" s="10"/>
      <c r="Q18" s="23"/>
    </row>
    <row r="19" spans="2:17">
      <c r="B19" s="60" t="s">
        <v>6714</v>
      </c>
      <c r="C19" s="486"/>
      <c r="D19" s="486"/>
      <c r="E19" s="486"/>
      <c r="F19" s="486"/>
      <c r="G19" s="486" t="s">
        <v>6715</v>
      </c>
      <c r="H19" s="486" t="s">
        <v>6715</v>
      </c>
      <c r="I19" s="486"/>
      <c r="J19" s="486"/>
      <c r="K19" s="486" t="s">
        <v>6716</v>
      </c>
      <c r="L19" s="486" t="s">
        <v>6717</v>
      </c>
      <c r="M19" s="486" t="s">
        <v>6718</v>
      </c>
      <c r="N19" s="61" t="s">
        <v>6719</v>
      </c>
      <c r="O19" s="10"/>
      <c r="P19" s="10"/>
      <c r="Q19" s="23"/>
    </row>
    <row r="20" spans="2:17">
      <c r="B20" s="60"/>
      <c r="C20" s="486"/>
      <c r="D20" s="486"/>
      <c r="E20" s="486"/>
      <c r="F20" s="486"/>
      <c r="G20" s="486" t="s">
        <v>6720</v>
      </c>
      <c r="H20" s="486" t="s">
        <v>6720</v>
      </c>
      <c r="I20" s="486"/>
      <c r="J20" s="486"/>
      <c r="K20" s="486"/>
      <c r="L20" s="486" t="s">
        <v>6721</v>
      </c>
      <c r="M20" s="486"/>
      <c r="N20" s="61"/>
      <c r="O20" s="23"/>
      <c r="P20" s="10"/>
      <c r="Q20" s="23"/>
    </row>
    <row r="21" spans="2:17">
      <c r="B21" s="62"/>
      <c r="C21" s="735"/>
      <c r="D21" s="735"/>
      <c r="E21" s="735"/>
      <c r="F21" s="735"/>
      <c r="G21" s="735" t="s">
        <v>6716</v>
      </c>
      <c r="H21" s="735" t="s">
        <v>6716</v>
      </c>
      <c r="I21" s="735"/>
      <c r="J21" s="735"/>
      <c r="K21" s="735"/>
      <c r="L21" s="735" t="s">
        <v>6722</v>
      </c>
      <c r="M21" s="735"/>
      <c r="N21" s="63"/>
      <c r="O21" s="23"/>
      <c r="P21" s="10"/>
      <c r="Q21" s="23"/>
    </row>
    <row r="22" spans="2:17">
      <c r="B22" s="23"/>
      <c r="C22" s="23"/>
      <c r="D22" s="23"/>
      <c r="E22" s="23"/>
      <c r="F22" s="23"/>
      <c r="G22" s="23"/>
      <c r="H22" s="23"/>
      <c r="I22" s="23"/>
      <c r="J22" s="23"/>
      <c r="K22" s="23"/>
      <c r="L22" s="23"/>
      <c r="M22" s="23"/>
      <c r="N22" s="23"/>
      <c r="O22" s="23"/>
      <c r="P22" s="23"/>
      <c r="Q22" s="23"/>
    </row>
    <row r="23" spans="2:17">
      <c r="B23" s="64" t="s">
        <v>6723</v>
      </c>
      <c r="C23" s="65" t="s">
        <v>6724</v>
      </c>
      <c r="D23" s="66" t="s">
        <v>6725</v>
      </c>
      <c r="E23" s="10"/>
      <c r="F23" s="10"/>
      <c r="G23" s="23"/>
      <c r="H23" s="23"/>
      <c r="I23" s="23"/>
      <c r="J23" s="23"/>
      <c r="K23" s="23"/>
      <c r="L23" s="23"/>
      <c r="M23" s="23"/>
      <c r="N23" s="23"/>
      <c r="O23" s="23"/>
      <c r="P23" s="23"/>
      <c r="Q23" s="99"/>
    </row>
    <row r="24" spans="2:17">
      <c r="B24" s="60" t="s">
        <v>6643</v>
      </c>
      <c r="C24" s="486" t="s">
        <v>6726</v>
      </c>
      <c r="D24" s="61" t="s">
        <v>6727</v>
      </c>
      <c r="E24" s="10"/>
      <c r="F24" s="10"/>
      <c r="G24" s="23"/>
      <c r="H24" s="23"/>
      <c r="I24" s="23"/>
      <c r="J24" s="23"/>
      <c r="K24" s="23"/>
      <c r="L24" s="23"/>
      <c r="M24" s="23"/>
      <c r="N24" s="23"/>
      <c r="O24" s="23"/>
      <c r="P24" s="23"/>
      <c r="Q24" s="99"/>
    </row>
    <row r="25" spans="2:17">
      <c r="B25" s="62" t="s">
        <v>6728</v>
      </c>
      <c r="C25" s="735" t="s">
        <v>6722</v>
      </c>
      <c r="D25" s="63"/>
      <c r="E25" s="10"/>
      <c r="F25" s="10"/>
      <c r="G25" s="23"/>
      <c r="H25" s="23"/>
      <c r="I25" s="23"/>
      <c r="J25" s="23"/>
      <c r="K25" s="23"/>
      <c r="L25" s="23"/>
      <c r="M25" s="23"/>
      <c r="N25" s="23"/>
      <c r="O25" s="23"/>
      <c r="P25" s="23"/>
      <c r="Q25" s="99"/>
    </row>
    <row r="26" spans="2:17">
      <c r="B26" s="23"/>
      <c r="C26" s="23"/>
      <c r="D26" s="23"/>
      <c r="E26" s="23"/>
      <c r="F26" s="23"/>
      <c r="G26" s="23"/>
      <c r="H26" s="23"/>
      <c r="I26" s="23"/>
      <c r="J26" s="23"/>
      <c r="K26" s="23"/>
      <c r="L26" s="23"/>
      <c r="M26" s="23"/>
      <c r="N26" s="23"/>
      <c r="O26" s="23"/>
      <c r="P26" s="23"/>
      <c r="Q26" s="23"/>
    </row>
    <row r="27" spans="2:17">
      <c r="B27" s="64" t="s">
        <v>6729</v>
      </c>
      <c r="C27" s="65" t="s">
        <v>6730</v>
      </c>
      <c r="D27" s="65" t="s">
        <v>6731</v>
      </c>
      <c r="E27" s="65" t="s">
        <v>6732</v>
      </c>
      <c r="F27" s="65" t="s">
        <v>6733</v>
      </c>
      <c r="G27" s="65" t="s">
        <v>6734</v>
      </c>
      <c r="H27" s="66" t="s">
        <v>6735</v>
      </c>
      <c r="I27" s="23"/>
      <c r="J27" s="23"/>
      <c r="K27" s="23"/>
      <c r="L27" s="23"/>
      <c r="M27" s="23"/>
      <c r="N27" s="23"/>
      <c r="O27" s="23"/>
      <c r="P27" s="23"/>
      <c r="Q27" s="23"/>
    </row>
    <row r="28" spans="2:17">
      <c r="B28" s="60" t="s">
        <v>6643</v>
      </c>
      <c r="C28" s="486" t="s">
        <v>6643</v>
      </c>
      <c r="D28" s="486" t="s">
        <v>6727</v>
      </c>
      <c r="E28" s="486" t="s">
        <v>6727</v>
      </c>
      <c r="F28" s="486" t="s">
        <v>6727</v>
      </c>
      <c r="G28" s="486" t="s">
        <v>6736</v>
      </c>
      <c r="H28" s="61" t="s">
        <v>6737</v>
      </c>
      <c r="I28" s="23"/>
      <c r="J28" s="23"/>
      <c r="K28" s="23"/>
      <c r="L28" s="23"/>
      <c r="M28" s="23"/>
      <c r="N28" s="23"/>
      <c r="O28" s="23"/>
      <c r="P28" s="23"/>
      <c r="Q28" s="23"/>
    </row>
    <row r="29" spans="2:17">
      <c r="B29" s="60" t="s">
        <v>6727</v>
      </c>
      <c r="C29" s="486"/>
      <c r="D29" s="486"/>
      <c r="E29" s="486"/>
      <c r="F29" s="486"/>
      <c r="G29" s="486" t="s">
        <v>6738</v>
      </c>
      <c r="H29" s="61" t="s">
        <v>6739</v>
      </c>
      <c r="I29" s="23"/>
      <c r="J29" s="23"/>
      <c r="K29" s="23"/>
      <c r="L29" s="23"/>
      <c r="M29" s="23"/>
      <c r="N29" s="23"/>
      <c r="O29" s="23"/>
      <c r="P29" s="23"/>
      <c r="Q29" s="23"/>
    </row>
    <row r="30" spans="2:17">
      <c r="B30" s="60"/>
      <c r="C30" s="486"/>
      <c r="D30" s="486"/>
      <c r="E30" s="486"/>
      <c r="F30" s="486"/>
      <c r="G30" s="486" t="s">
        <v>6740</v>
      </c>
      <c r="H30" s="61" t="s">
        <v>6741</v>
      </c>
      <c r="I30" s="23"/>
      <c r="J30" s="23"/>
      <c r="K30" s="23"/>
      <c r="L30" s="23"/>
      <c r="M30" s="23"/>
      <c r="N30" s="23"/>
      <c r="O30" s="23"/>
      <c r="P30" s="23"/>
      <c r="Q30" s="23"/>
    </row>
    <row r="31" spans="2:17">
      <c r="B31" s="60"/>
      <c r="C31" s="486"/>
      <c r="D31" s="486"/>
      <c r="E31" s="486"/>
      <c r="F31" s="486"/>
      <c r="G31" s="486" t="s">
        <v>6742</v>
      </c>
      <c r="H31" s="61" t="s">
        <v>6743</v>
      </c>
      <c r="I31" s="23"/>
      <c r="J31" s="23"/>
      <c r="K31" s="23"/>
      <c r="L31" s="23"/>
      <c r="M31" s="23"/>
      <c r="N31" s="23"/>
      <c r="O31" s="23"/>
      <c r="P31" s="23"/>
      <c r="Q31" s="23"/>
    </row>
    <row r="32" spans="2:17">
      <c r="B32" s="60"/>
      <c r="C32" s="486"/>
      <c r="D32" s="486"/>
      <c r="E32" s="486"/>
      <c r="F32" s="486"/>
      <c r="G32" s="486" t="s">
        <v>6744</v>
      </c>
      <c r="H32" s="61" t="s">
        <v>6745</v>
      </c>
      <c r="I32" s="23"/>
      <c r="J32" s="23"/>
      <c r="K32" s="23"/>
      <c r="L32" s="23"/>
      <c r="M32" s="23"/>
      <c r="N32" s="23"/>
      <c r="O32" s="23"/>
      <c r="P32" s="23"/>
      <c r="Q32" s="23"/>
    </row>
    <row r="33" spans="2:17">
      <c r="B33" s="60"/>
      <c r="C33" s="486"/>
      <c r="D33" s="486"/>
      <c r="E33" s="486"/>
      <c r="F33" s="486"/>
      <c r="G33" s="486" t="s">
        <v>6746</v>
      </c>
      <c r="H33" s="61" t="s">
        <v>6747</v>
      </c>
      <c r="I33" s="23"/>
      <c r="J33" s="23"/>
      <c r="K33" s="23"/>
      <c r="L33" s="23"/>
      <c r="M33" s="23"/>
      <c r="N33" s="23"/>
      <c r="O33" s="23"/>
      <c r="P33" s="23"/>
      <c r="Q33" s="23"/>
    </row>
    <row r="34" spans="2:17">
      <c r="B34" s="60"/>
      <c r="C34" s="486"/>
      <c r="D34" s="486"/>
      <c r="E34" s="486"/>
      <c r="F34" s="486"/>
      <c r="G34" s="486" t="s">
        <v>6748</v>
      </c>
      <c r="H34" s="61" t="s">
        <v>6749</v>
      </c>
      <c r="I34" s="23"/>
      <c r="J34" s="23"/>
      <c r="K34" s="23"/>
      <c r="L34" s="23"/>
      <c r="M34" s="23"/>
      <c r="N34" s="23"/>
      <c r="O34" s="23"/>
      <c r="P34" s="23"/>
      <c r="Q34" s="23"/>
    </row>
    <row r="35" spans="2:17">
      <c r="B35" s="60"/>
      <c r="C35" s="486"/>
      <c r="D35" s="486"/>
      <c r="E35" s="486"/>
      <c r="F35" s="486"/>
      <c r="G35" s="486" t="s">
        <v>6750</v>
      </c>
      <c r="H35" s="61"/>
      <c r="I35" s="23"/>
      <c r="J35" s="23"/>
      <c r="K35" s="23"/>
      <c r="L35" s="23"/>
      <c r="M35" s="23"/>
      <c r="N35" s="23"/>
      <c r="O35" s="23"/>
      <c r="P35" s="23"/>
      <c r="Q35" s="23"/>
    </row>
    <row r="36" spans="2:17">
      <c r="B36" s="62"/>
      <c r="C36" s="735"/>
      <c r="D36" s="735"/>
      <c r="E36" s="735"/>
      <c r="F36" s="735"/>
      <c r="G36" s="735" t="s">
        <v>6751</v>
      </c>
      <c r="H36" s="63"/>
      <c r="I36" s="23"/>
      <c r="J36" s="23"/>
      <c r="K36" s="23"/>
      <c r="L36" s="23"/>
      <c r="M36" s="23"/>
      <c r="N36" s="23"/>
      <c r="O36" s="23"/>
      <c r="P36" s="23"/>
      <c r="Q36" s="23"/>
    </row>
    <row r="37" spans="2:17">
      <c r="B37" s="23"/>
      <c r="C37" s="23"/>
      <c r="D37" s="23"/>
      <c r="E37" s="23"/>
      <c r="F37" s="23"/>
      <c r="G37" s="23"/>
      <c r="H37" s="23"/>
      <c r="I37" s="23"/>
      <c r="J37" s="23"/>
      <c r="K37" s="23"/>
      <c r="L37" s="23"/>
      <c r="M37" s="23"/>
      <c r="N37" s="23"/>
      <c r="O37" s="23"/>
      <c r="P37" s="23"/>
      <c r="Q37" s="23"/>
    </row>
    <row r="38" spans="2:17">
      <c r="B38" s="23"/>
      <c r="C38" s="23"/>
      <c r="D38" s="23"/>
      <c r="E38" s="23"/>
      <c r="F38" s="23"/>
      <c r="G38" s="23"/>
      <c r="H38" s="23"/>
      <c r="I38" s="23"/>
      <c r="J38" s="23"/>
      <c r="K38" s="23"/>
      <c r="L38" s="23"/>
      <c r="M38" s="23"/>
      <c r="N38" s="23"/>
      <c r="O38" s="23"/>
      <c r="P38" s="23"/>
      <c r="Q38" s="23"/>
    </row>
    <row r="39" spans="2:17">
      <c r="B39" s="23"/>
      <c r="C39" s="23"/>
      <c r="D39" s="23"/>
      <c r="E39" s="23"/>
      <c r="F39" s="23"/>
      <c r="G39" s="23"/>
      <c r="H39" s="23"/>
      <c r="I39" s="23"/>
      <c r="J39" s="23"/>
      <c r="K39" s="23"/>
      <c r="L39" s="23"/>
      <c r="M39" s="23"/>
      <c r="N39" s="23"/>
      <c r="O39" s="23"/>
      <c r="P39" s="23"/>
      <c r="Q39" s="23"/>
    </row>
    <row r="40" spans="2:17">
      <c r="B40" s="64" t="s">
        <v>6752</v>
      </c>
      <c r="C40" s="65" t="s">
        <v>6753</v>
      </c>
      <c r="D40" s="65" t="s">
        <v>6754</v>
      </c>
      <c r="E40" s="65" t="s">
        <v>6755</v>
      </c>
      <c r="F40" s="65" t="s">
        <v>6756</v>
      </c>
      <c r="G40" s="65" t="s">
        <v>6757</v>
      </c>
      <c r="H40" s="65" t="s">
        <v>6758</v>
      </c>
      <c r="I40" s="65" t="s">
        <v>6759</v>
      </c>
      <c r="J40" s="65" t="s">
        <v>6760</v>
      </c>
      <c r="K40" s="65" t="s">
        <v>6761</v>
      </c>
      <c r="L40" s="65" t="s">
        <v>6762</v>
      </c>
      <c r="M40" s="66" t="s">
        <v>6763</v>
      </c>
      <c r="N40" s="10"/>
      <c r="O40" s="23"/>
      <c r="P40" s="23"/>
      <c r="Q40" s="99"/>
    </row>
    <row r="41" spans="2:17">
      <c r="B41" s="60" t="s">
        <v>6764</v>
      </c>
      <c r="C41" s="486" t="s">
        <v>6765</v>
      </c>
      <c r="D41" s="486" t="s">
        <v>6766</v>
      </c>
      <c r="E41" s="486" t="s">
        <v>6767</v>
      </c>
      <c r="F41" s="486" t="s">
        <v>6767</v>
      </c>
      <c r="G41" s="486" t="s">
        <v>6767</v>
      </c>
      <c r="H41" s="486" t="s">
        <v>6768</v>
      </c>
      <c r="I41" s="486" t="s">
        <v>6769</v>
      </c>
      <c r="J41" s="486" t="s">
        <v>6768</v>
      </c>
      <c r="K41" s="486" t="s">
        <v>6767</v>
      </c>
      <c r="L41" s="486" t="s">
        <v>6770</v>
      </c>
      <c r="M41" s="61" t="s">
        <v>6771</v>
      </c>
      <c r="N41" s="10"/>
      <c r="O41" s="23"/>
      <c r="P41" s="23"/>
      <c r="Q41" s="99"/>
    </row>
    <row r="42" spans="2:17">
      <c r="B42" s="60" t="s">
        <v>6772</v>
      </c>
      <c r="C42" s="486" t="s">
        <v>6773</v>
      </c>
      <c r="D42" s="486" t="s">
        <v>6774</v>
      </c>
      <c r="E42" s="486" t="s">
        <v>6768</v>
      </c>
      <c r="F42" s="486" t="s">
        <v>6768</v>
      </c>
      <c r="G42" s="486" t="s">
        <v>6768</v>
      </c>
      <c r="H42" s="486" t="s">
        <v>6767</v>
      </c>
      <c r="I42" s="486"/>
      <c r="J42" s="486" t="s">
        <v>6775</v>
      </c>
      <c r="K42" s="486" t="s">
        <v>6768</v>
      </c>
      <c r="L42" s="486" t="s">
        <v>6776</v>
      </c>
      <c r="M42" s="61" t="s">
        <v>6777</v>
      </c>
      <c r="N42" s="10"/>
      <c r="O42" s="23"/>
      <c r="P42" s="23"/>
      <c r="Q42" s="99"/>
    </row>
    <row r="43" spans="2:17">
      <c r="B43" s="60"/>
      <c r="C43" s="486"/>
      <c r="D43" s="486"/>
      <c r="E43" s="486" t="s">
        <v>6775</v>
      </c>
      <c r="F43" s="486" t="s">
        <v>6775</v>
      </c>
      <c r="G43" s="486" t="s">
        <v>6775</v>
      </c>
      <c r="H43" s="486"/>
      <c r="I43" s="486"/>
      <c r="J43" s="486"/>
      <c r="K43" s="486" t="s">
        <v>6775</v>
      </c>
      <c r="L43" s="486" t="s">
        <v>6778</v>
      </c>
      <c r="M43" s="61" t="s">
        <v>6779</v>
      </c>
      <c r="N43" s="10"/>
      <c r="O43" s="23"/>
      <c r="P43" s="23"/>
      <c r="Q43" s="99"/>
    </row>
    <row r="44" spans="2:17">
      <c r="B44" s="60"/>
      <c r="C44" s="486"/>
      <c r="D44" s="486"/>
      <c r="E44" s="486"/>
      <c r="F44" s="486"/>
      <c r="G44" s="486"/>
      <c r="H44" s="486"/>
      <c r="I44" s="486"/>
      <c r="J44" s="486"/>
      <c r="K44" s="486"/>
      <c r="L44" s="486" t="s">
        <v>6780</v>
      </c>
      <c r="M44" s="61" t="s">
        <v>6781</v>
      </c>
      <c r="N44" s="10"/>
      <c r="O44" s="23"/>
      <c r="P44" s="23"/>
      <c r="Q44" s="99"/>
    </row>
    <row r="45" spans="2:17">
      <c r="B45" s="60"/>
      <c r="C45" s="486"/>
      <c r="D45" s="486"/>
      <c r="E45" s="486"/>
      <c r="F45" s="486"/>
      <c r="G45" s="486"/>
      <c r="H45" s="486"/>
      <c r="I45" s="486"/>
      <c r="J45" s="486"/>
      <c r="K45" s="486"/>
      <c r="L45" s="486" t="s">
        <v>6782</v>
      </c>
      <c r="M45" s="61" t="s">
        <v>6783</v>
      </c>
      <c r="N45" s="10"/>
      <c r="O45" s="23"/>
      <c r="P45" s="23"/>
      <c r="Q45" s="99"/>
    </row>
    <row r="46" spans="2:17">
      <c r="B46" s="60"/>
      <c r="C46" s="486"/>
      <c r="D46" s="486"/>
      <c r="E46" s="486"/>
      <c r="F46" s="486"/>
      <c r="G46" s="486"/>
      <c r="H46" s="486"/>
      <c r="I46" s="486"/>
      <c r="J46" s="486"/>
      <c r="K46" s="486"/>
      <c r="L46" s="486" t="s">
        <v>6784</v>
      </c>
      <c r="M46" s="61" t="s">
        <v>6785</v>
      </c>
      <c r="N46" s="10"/>
      <c r="O46" s="23"/>
      <c r="P46" s="23"/>
      <c r="Q46" s="99"/>
    </row>
    <row r="47" spans="2:17">
      <c r="B47" s="60"/>
      <c r="C47" s="486"/>
      <c r="D47" s="486"/>
      <c r="E47" s="486"/>
      <c r="F47" s="486"/>
      <c r="G47" s="486"/>
      <c r="H47" s="486"/>
      <c r="I47" s="486"/>
      <c r="J47" s="486"/>
      <c r="K47" s="486"/>
      <c r="L47" s="486" t="s">
        <v>6786</v>
      </c>
      <c r="M47" s="61"/>
      <c r="N47" s="10"/>
      <c r="O47" s="23"/>
      <c r="P47" s="23"/>
      <c r="Q47" s="99"/>
    </row>
    <row r="48" spans="2:17">
      <c r="B48" s="62"/>
      <c r="C48" s="735"/>
      <c r="D48" s="735"/>
      <c r="E48" s="735"/>
      <c r="F48" s="735"/>
      <c r="G48" s="735"/>
      <c r="H48" s="735"/>
      <c r="I48" s="735"/>
      <c r="J48" s="735"/>
      <c r="K48" s="735"/>
      <c r="L48" s="735" t="s">
        <v>6787</v>
      </c>
      <c r="M48" s="63"/>
      <c r="N48" s="10"/>
      <c r="O48" s="23"/>
      <c r="P48" s="23"/>
      <c r="Q48" s="99"/>
    </row>
    <row r="49" spans="2:17">
      <c r="B49" s="23"/>
      <c r="C49" s="23"/>
      <c r="D49" s="23"/>
      <c r="E49" s="23"/>
      <c r="F49" s="23"/>
      <c r="G49" s="23"/>
      <c r="H49" s="23"/>
      <c r="I49" s="23"/>
      <c r="J49" s="23"/>
      <c r="K49" s="23"/>
      <c r="L49" s="23"/>
      <c r="M49" s="23"/>
      <c r="N49" s="23"/>
      <c r="O49" s="10"/>
      <c r="P49" s="23"/>
      <c r="Q49" s="23"/>
    </row>
    <row r="50" spans="2:17">
      <c r="B50" s="64" t="s">
        <v>6788</v>
      </c>
      <c r="C50" s="66" t="s">
        <v>6789</v>
      </c>
      <c r="D50" s="23"/>
      <c r="E50" s="23"/>
      <c r="F50" s="23"/>
      <c r="G50" s="23"/>
      <c r="H50" s="23"/>
      <c r="I50" s="23"/>
      <c r="J50" s="23"/>
      <c r="K50" s="23"/>
      <c r="L50" s="99"/>
      <c r="M50" s="99"/>
      <c r="N50" s="23"/>
      <c r="O50" s="10"/>
      <c r="P50" s="23"/>
      <c r="Q50" s="23"/>
    </row>
    <row r="51" spans="2:17">
      <c r="B51" s="60" t="s">
        <v>6643</v>
      </c>
      <c r="C51" s="61" t="s">
        <v>6790</v>
      </c>
      <c r="D51" s="23"/>
      <c r="E51" s="23"/>
      <c r="F51" s="23"/>
      <c r="G51" s="23"/>
      <c r="H51" s="23"/>
      <c r="I51" s="23"/>
      <c r="J51" s="23"/>
      <c r="K51" s="23"/>
      <c r="L51" s="23"/>
      <c r="M51" s="23"/>
      <c r="N51" s="23"/>
      <c r="O51" s="23"/>
      <c r="P51" s="23"/>
      <c r="Q51" s="23"/>
    </row>
    <row r="52" spans="2:17">
      <c r="B52" s="62" t="s">
        <v>6791</v>
      </c>
      <c r="C52" s="63"/>
      <c r="D52" s="23"/>
      <c r="E52" s="23"/>
      <c r="F52" s="23"/>
      <c r="G52" s="23"/>
      <c r="H52" s="23"/>
      <c r="I52" s="23"/>
      <c r="J52" s="23"/>
      <c r="K52" s="23"/>
      <c r="L52" s="23"/>
      <c r="M52" s="23"/>
      <c r="N52" s="23"/>
      <c r="O52" s="23"/>
      <c r="P52" s="23"/>
      <c r="Q52" s="23"/>
    </row>
    <row r="53" spans="2:17">
      <c r="B53" s="23"/>
      <c r="C53" s="23"/>
      <c r="D53" s="23"/>
      <c r="E53" s="23"/>
      <c r="F53" s="23"/>
      <c r="G53" s="23"/>
      <c r="H53" s="23"/>
      <c r="I53" s="23"/>
      <c r="J53" s="23"/>
      <c r="K53" s="23"/>
      <c r="L53" s="23"/>
      <c r="M53" s="23"/>
      <c r="N53" s="23"/>
      <c r="O53" s="23"/>
      <c r="P53" s="23"/>
      <c r="Q53" s="23"/>
    </row>
    <row r="54" spans="2:17">
      <c r="B54" s="64" t="s">
        <v>6792</v>
      </c>
      <c r="C54" s="65" t="s">
        <v>6793</v>
      </c>
      <c r="D54" s="65" t="s">
        <v>6794</v>
      </c>
      <c r="E54" s="65" t="s">
        <v>6795</v>
      </c>
      <c r="F54" s="65" t="s">
        <v>6796</v>
      </c>
      <c r="G54" s="65" t="s">
        <v>6797</v>
      </c>
      <c r="H54" s="65" t="s">
        <v>6798</v>
      </c>
      <c r="I54" s="65" t="s">
        <v>6799</v>
      </c>
      <c r="J54" s="65" t="s">
        <v>6800</v>
      </c>
      <c r="K54" s="66" t="s">
        <v>6801</v>
      </c>
      <c r="L54" s="10"/>
      <c r="M54" s="23"/>
      <c r="N54" s="23"/>
      <c r="O54" s="23"/>
      <c r="P54" s="23"/>
      <c r="Q54" s="23"/>
    </row>
    <row r="55" spans="2:17">
      <c r="B55" s="60" t="s">
        <v>6620</v>
      </c>
      <c r="C55" s="486" t="s">
        <v>6790</v>
      </c>
      <c r="D55" s="486" t="s">
        <v>6802</v>
      </c>
      <c r="E55" s="486" t="s">
        <v>6802</v>
      </c>
      <c r="F55" s="486" t="s">
        <v>6803</v>
      </c>
      <c r="G55" s="486" t="s">
        <v>6654</v>
      </c>
      <c r="H55" s="486" t="s">
        <v>6802</v>
      </c>
      <c r="I55" s="486" t="s">
        <v>6790</v>
      </c>
      <c r="J55" s="486" t="s">
        <v>6711</v>
      </c>
      <c r="K55" s="69" t="s">
        <v>6804</v>
      </c>
      <c r="L55" s="10"/>
      <c r="M55" s="23"/>
      <c r="N55" s="23"/>
      <c r="O55" s="23"/>
      <c r="P55" s="23"/>
      <c r="Q55" s="23"/>
    </row>
    <row r="56" spans="2:17">
      <c r="B56" s="60" t="s">
        <v>6805</v>
      </c>
      <c r="C56" s="486" t="s">
        <v>6774</v>
      </c>
      <c r="D56" s="486"/>
      <c r="E56" s="486" t="s">
        <v>6803</v>
      </c>
      <c r="F56" s="486"/>
      <c r="G56" s="486"/>
      <c r="H56" s="486" t="s">
        <v>6803</v>
      </c>
      <c r="I56" s="486"/>
      <c r="J56" s="486" t="s">
        <v>6806</v>
      </c>
      <c r="K56" s="61" t="s">
        <v>6807</v>
      </c>
      <c r="L56" s="10"/>
      <c r="M56" s="23"/>
      <c r="N56" s="23"/>
      <c r="O56" s="23"/>
      <c r="P56" s="23"/>
      <c r="Q56" s="23"/>
    </row>
    <row r="57" spans="2:17">
      <c r="B57" s="62"/>
      <c r="C57" s="735"/>
      <c r="D57" s="735"/>
      <c r="E57" s="735"/>
      <c r="F57" s="735"/>
      <c r="G57" s="735"/>
      <c r="H57" s="735"/>
      <c r="I57" s="735"/>
      <c r="J57" s="735" t="s">
        <v>6808</v>
      </c>
      <c r="K57" s="63"/>
      <c r="L57" s="10"/>
      <c r="M57" s="23"/>
      <c r="N57" s="23"/>
      <c r="O57" s="23"/>
      <c r="P57" s="23"/>
      <c r="Q57" s="23"/>
    </row>
    <row r="58" spans="2:17">
      <c r="B58" s="486"/>
      <c r="C58" s="486"/>
      <c r="D58" s="486"/>
      <c r="E58" s="486"/>
      <c r="F58" s="486"/>
      <c r="G58" s="486"/>
      <c r="H58" s="486"/>
      <c r="I58" s="486"/>
      <c r="J58" s="486"/>
      <c r="K58" s="486"/>
      <c r="L58" s="10"/>
      <c r="M58" s="23"/>
      <c r="N58" s="23"/>
      <c r="O58" s="23"/>
      <c r="P58" s="23"/>
      <c r="Q58" s="23"/>
    </row>
    <row r="59" spans="2:17">
      <c r="B59" s="64" t="s">
        <v>6809</v>
      </c>
      <c r="C59" s="66" t="s">
        <v>6810</v>
      </c>
      <c r="D59" s="23"/>
      <c r="E59" s="23"/>
      <c r="F59" s="23"/>
      <c r="G59" s="23"/>
      <c r="H59" s="23"/>
      <c r="I59" s="23"/>
      <c r="J59" s="23"/>
      <c r="K59" s="23"/>
      <c r="L59" s="23"/>
      <c r="M59" s="23"/>
      <c r="N59" s="23"/>
      <c r="O59" s="23"/>
      <c r="P59" s="23"/>
      <c r="Q59" s="23"/>
    </row>
    <row r="60" spans="2:17">
      <c r="B60" s="60" t="s">
        <v>6654</v>
      </c>
      <c r="C60" s="61" t="s">
        <v>6811</v>
      </c>
      <c r="D60" s="23"/>
      <c r="E60" s="23"/>
      <c r="F60" s="23"/>
      <c r="G60" s="23"/>
      <c r="H60" s="23"/>
      <c r="I60" s="23"/>
      <c r="J60" s="23"/>
      <c r="K60" s="23"/>
      <c r="L60" s="23"/>
      <c r="M60" s="23"/>
      <c r="N60" s="23"/>
      <c r="O60" s="23"/>
      <c r="P60" s="23"/>
      <c r="Q60" s="23"/>
    </row>
    <row r="61" spans="2:17">
      <c r="B61" s="62" t="s">
        <v>6635</v>
      </c>
      <c r="C61" s="63" t="s">
        <v>6812</v>
      </c>
      <c r="D61" s="23"/>
      <c r="E61" s="23"/>
      <c r="F61" s="23"/>
      <c r="G61" s="23"/>
      <c r="H61" s="23"/>
      <c r="I61" s="23"/>
      <c r="J61" s="23"/>
      <c r="K61" s="23"/>
      <c r="L61" s="23"/>
      <c r="M61" s="23"/>
      <c r="N61" s="23"/>
      <c r="O61" s="23"/>
      <c r="P61" s="23"/>
      <c r="Q61" s="23"/>
    </row>
    <row r="62" spans="2:17">
      <c r="B62" s="23"/>
      <c r="C62" s="23"/>
      <c r="D62" s="23"/>
      <c r="E62" s="23"/>
      <c r="F62" s="23"/>
      <c r="G62" s="23"/>
      <c r="H62" s="23"/>
      <c r="I62" s="23"/>
      <c r="J62" s="23"/>
      <c r="K62" s="23"/>
      <c r="L62" s="23"/>
      <c r="M62" s="23"/>
      <c r="N62" s="23"/>
      <c r="O62" s="23"/>
      <c r="P62" s="23"/>
      <c r="Q62" s="23"/>
    </row>
    <row r="63" spans="2:17">
      <c r="B63" s="23" t="s">
        <v>606</v>
      </c>
      <c r="C63" s="23"/>
      <c r="D63" s="23"/>
      <c r="E63" s="23"/>
      <c r="F63" s="23"/>
      <c r="G63" s="23"/>
      <c r="H63" s="23"/>
      <c r="I63" s="23"/>
      <c r="J63" s="23"/>
      <c r="K63" s="23"/>
      <c r="L63" s="23"/>
      <c r="M63" s="23"/>
      <c r="N63" s="23"/>
      <c r="O63" s="23"/>
      <c r="P63" s="23"/>
      <c r="Q63" s="23"/>
    </row>
    <row r="64" spans="2:17">
      <c r="B64" s="23" t="s">
        <v>6563</v>
      </c>
      <c r="C64" s="23"/>
      <c r="D64" s="23"/>
      <c r="E64" s="23"/>
      <c r="F64" s="23"/>
      <c r="G64" s="23"/>
      <c r="H64" s="23"/>
      <c r="I64" s="23"/>
      <c r="J64" s="23"/>
      <c r="K64" s="23"/>
      <c r="L64" s="23"/>
      <c r="M64" s="23"/>
      <c r="N64" s="23"/>
      <c r="O64" s="23"/>
      <c r="P64" s="23"/>
      <c r="Q64" s="23"/>
    </row>
    <row r="65" spans="2:17">
      <c r="B65" s="23"/>
      <c r="C65" s="23"/>
      <c r="D65" s="23"/>
      <c r="E65" s="23"/>
      <c r="F65" s="23"/>
      <c r="G65" s="23"/>
      <c r="H65" s="23"/>
      <c r="I65" s="23"/>
      <c r="J65" s="23"/>
      <c r="K65" s="23"/>
      <c r="L65" s="23"/>
      <c r="M65" s="23"/>
      <c r="N65" s="23"/>
      <c r="O65" s="23"/>
      <c r="P65" s="23"/>
      <c r="Q65" s="23"/>
    </row>
    <row r="66" spans="2:17">
      <c r="B66" s="23"/>
      <c r="C66" s="23"/>
      <c r="D66" s="23"/>
      <c r="E66" s="23"/>
      <c r="F66" s="23"/>
      <c r="G66" s="23"/>
      <c r="H66" s="23"/>
      <c r="I66" s="23"/>
      <c r="J66" s="23"/>
      <c r="K66" s="23"/>
      <c r="L66" s="23"/>
      <c r="M66" s="23"/>
      <c r="N66" s="23"/>
      <c r="O66" s="23"/>
      <c r="P66" s="23"/>
      <c r="Q66" s="23"/>
    </row>
    <row r="67" spans="2:17">
      <c r="B67" s="23"/>
      <c r="C67" s="23"/>
      <c r="D67" s="23"/>
      <c r="E67" s="23"/>
      <c r="F67" s="23"/>
      <c r="G67" s="23"/>
      <c r="H67" s="23"/>
      <c r="I67" s="23"/>
      <c r="J67" s="23"/>
      <c r="K67" s="23"/>
      <c r="L67" s="23"/>
      <c r="M67" s="23"/>
      <c r="N67" s="23"/>
      <c r="O67" s="23"/>
      <c r="P67" s="23"/>
      <c r="Q67" s="23"/>
    </row>
    <row r="68" spans="2:17">
      <c r="B68" s="23"/>
      <c r="C68" s="23"/>
      <c r="D68" s="23"/>
      <c r="E68" s="23"/>
      <c r="F68" s="23"/>
      <c r="G68" s="23"/>
      <c r="H68" s="23"/>
      <c r="I68" s="23"/>
      <c r="J68" s="23"/>
      <c r="K68" s="23"/>
      <c r="L68" s="23"/>
      <c r="M68" s="23"/>
      <c r="N68" s="23"/>
      <c r="O68" s="23"/>
      <c r="P68" s="23"/>
      <c r="Q68" s="23"/>
    </row>
    <row r="69" spans="2:17">
      <c r="B69" s="23"/>
      <c r="C69" s="23"/>
      <c r="D69" s="23"/>
      <c r="E69" s="23"/>
      <c r="F69" s="23"/>
      <c r="G69" s="23"/>
      <c r="H69" s="23"/>
      <c r="I69" s="23"/>
      <c r="J69" s="23"/>
      <c r="K69" s="23"/>
      <c r="L69" s="23"/>
      <c r="M69" s="23"/>
      <c r="N69" s="23"/>
      <c r="O69" s="23"/>
      <c r="P69" s="23"/>
      <c r="Q69" s="23"/>
    </row>
    <row r="70" spans="2:17">
      <c r="B70" s="23"/>
      <c r="C70" s="23"/>
      <c r="D70" s="23"/>
      <c r="E70" s="23"/>
      <c r="F70" s="23"/>
      <c r="G70" s="23"/>
      <c r="H70" s="23"/>
      <c r="I70" s="23"/>
      <c r="J70" s="23"/>
      <c r="K70" s="23"/>
      <c r="L70" s="23"/>
      <c r="M70" s="23"/>
      <c r="N70" s="23"/>
      <c r="O70" s="23"/>
      <c r="P70" s="23"/>
      <c r="Q70" s="23"/>
    </row>
    <row r="71" spans="2:17">
      <c r="B71" s="23"/>
      <c r="C71" s="23"/>
      <c r="D71" s="23"/>
      <c r="E71" s="23"/>
      <c r="F71" s="23"/>
      <c r="G71" s="23"/>
      <c r="H71" s="23"/>
      <c r="I71" s="23"/>
      <c r="J71" s="23"/>
      <c r="K71" s="23"/>
      <c r="L71" s="23"/>
      <c r="M71" s="23"/>
      <c r="N71" s="23"/>
      <c r="O71" s="23"/>
      <c r="P71" s="23"/>
      <c r="Q71" s="23"/>
    </row>
    <row r="72" spans="2:17">
      <c r="B72" s="23"/>
      <c r="C72" s="23"/>
      <c r="D72" s="23"/>
      <c r="E72" s="23"/>
      <c r="F72" s="23"/>
      <c r="G72" s="23"/>
      <c r="H72" s="23"/>
      <c r="I72" s="23"/>
      <c r="J72" s="23"/>
      <c r="K72" s="23"/>
      <c r="L72" s="23"/>
      <c r="M72" s="23"/>
      <c r="N72" s="23"/>
      <c r="O72" s="23"/>
      <c r="P72" s="23"/>
      <c r="Q72" s="23"/>
    </row>
    <row r="73" spans="2:17">
      <c r="B73" s="23"/>
      <c r="C73" s="23"/>
      <c r="D73" s="23"/>
      <c r="E73" s="23"/>
      <c r="F73" s="23"/>
      <c r="G73" s="23"/>
      <c r="H73" s="23"/>
      <c r="I73" s="23"/>
      <c r="J73" s="23"/>
      <c r="K73" s="23"/>
      <c r="L73" s="23"/>
      <c r="M73" s="23"/>
      <c r="N73" s="23"/>
      <c r="O73" s="23"/>
      <c r="P73" s="23"/>
      <c r="Q73" s="23"/>
    </row>
    <row r="74" spans="2:17">
      <c r="B74" s="23"/>
      <c r="C74" s="23"/>
      <c r="D74" s="23"/>
      <c r="E74" s="23"/>
      <c r="F74" s="23"/>
      <c r="G74" s="23"/>
      <c r="H74" s="23"/>
      <c r="I74" s="23"/>
      <c r="J74" s="23"/>
      <c r="K74" s="23"/>
      <c r="L74" s="23"/>
      <c r="M74" s="23"/>
      <c r="N74" s="23"/>
      <c r="O74" s="23"/>
      <c r="P74" s="23"/>
      <c r="Q74" s="23"/>
    </row>
    <row r="75" spans="2:17">
      <c r="B75" s="23"/>
      <c r="C75" s="23"/>
      <c r="D75" s="23"/>
      <c r="E75" s="23"/>
      <c r="F75" s="23"/>
      <c r="G75" s="23"/>
      <c r="H75" s="23"/>
      <c r="I75" s="23"/>
      <c r="J75" s="23"/>
      <c r="K75" s="23"/>
      <c r="L75" s="23"/>
      <c r="M75" s="23"/>
      <c r="N75" s="23"/>
      <c r="O75" s="23"/>
      <c r="P75" s="23"/>
      <c r="Q75" s="23"/>
    </row>
    <row r="76" spans="2:17">
      <c r="B76" s="23"/>
      <c r="C76" s="23"/>
      <c r="D76" s="23"/>
      <c r="E76" s="23"/>
      <c r="F76" s="23"/>
      <c r="G76" s="23"/>
      <c r="H76" s="23"/>
      <c r="I76" s="23"/>
      <c r="J76" s="23"/>
      <c r="K76" s="23"/>
      <c r="L76" s="23"/>
      <c r="M76" s="23"/>
      <c r="N76" s="23"/>
      <c r="O76" s="23"/>
      <c r="P76" s="23"/>
      <c r="Q76" s="23"/>
    </row>
    <row r="77" spans="2:17">
      <c r="B77" s="23"/>
      <c r="C77" s="23"/>
      <c r="D77" s="23"/>
      <c r="E77" s="23"/>
      <c r="F77" s="23"/>
      <c r="G77" s="23"/>
      <c r="H77" s="23"/>
      <c r="I77" s="23"/>
      <c r="J77" s="23"/>
      <c r="K77" s="23"/>
      <c r="L77" s="23"/>
      <c r="M77" s="23"/>
      <c r="N77" s="23"/>
      <c r="O77" s="23"/>
      <c r="P77" s="23"/>
      <c r="Q77" s="23"/>
    </row>
    <row r="78" spans="2:17">
      <c r="B78" s="23"/>
      <c r="C78" s="23"/>
      <c r="D78" s="23"/>
      <c r="E78" s="23"/>
      <c r="F78" s="23"/>
      <c r="G78" s="23"/>
      <c r="H78" s="23"/>
      <c r="I78" s="23"/>
      <c r="J78" s="23"/>
      <c r="K78" s="23"/>
      <c r="L78" s="23"/>
      <c r="M78" s="23"/>
      <c r="N78" s="23"/>
      <c r="O78" s="23"/>
      <c r="P78" s="23"/>
      <c r="Q78" s="2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M131"/>
  <sheetViews>
    <sheetView zoomScale="90" zoomScaleNormal="90" workbookViewId="0">
      <selection activeCell="D49" sqref="D49"/>
    </sheetView>
  </sheetViews>
  <sheetFormatPr defaultColWidth="9.140625" defaultRowHeight="15"/>
  <cols>
    <col min="1" max="1" width="5.28515625" style="57" customWidth="1"/>
    <col min="2" max="2" width="18.28515625" style="57" customWidth="1"/>
    <col min="3" max="3" width="17.140625" style="57" customWidth="1"/>
    <col min="4" max="4" width="24" style="57" customWidth="1"/>
    <col min="5" max="5" width="33.42578125" style="57" customWidth="1"/>
    <col min="6" max="6" width="10.140625" style="57" customWidth="1"/>
    <col min="7" max="7" width="10.7109375" style="57" customWidth="1"/>
    <col min="8" max="8" width="10.28515625" style="57" customWidth="1"/>
    <col min="9" max="16384" width="9.140625" style="57"/>
  </cols>
  <sheetData>
    <row r="1" spans="1:13">
      <c r="A1" s="23"/>
      <c r="B1" s="23"/>
      <c r="C1" s="23"/>
      <c r="D1" s="23"/>
      <c r="E1" s="23"/>
      <c r="F1" s="23"/>
      <c r="G1" s="23"/>
      <c r="H1" s="23"/>
      <c r="I1" s="23"/>
      <c r="J1" s="23"/>
      <c r="K1" s="23"/>
      <c r="L1" s="23"/>
      <c r="M1" s="23"/>
    </row>
    <row r="2" spans="1:13" ht="32.1">
      <c r="B2" s="742" t="s">
        <v>116</v>
      </c>
      <c r="C2" s="742" t="s">
        <v>106</v>
      </c>
      <c r="D2" s="742" t="s">
        <v>6657</v>
      </c>
      <c r="E2" s="742" t="s">
        <v>6813</v>
      </c>
      <c r="F2" s="742" t="s">
        <v>111</v>
      </c>
      <c r="G2" s="742" t="s">
        <v>6325</v>
      </c>
      <c r="H2" s="742" t="s">
        <v>6326</v>
      </c>
      <c r="I2" s="23"/>
      <c r="J2" s="23"/>
      <c r="K2" s="23"/>
      <c r="L2" s="23"/>
      <c r="M2" s="23"/>
    </row>
    <row r="3" spans="1:13">
      <c r="A3" s="23"/>
      <c r="B3" s="85" t="s">
        <v>6814</v>
      </c>
      <c r="C3" s="85" t="s">
        <v>469</v>
      </c>
      <c r="D3" s="85" t="s">
        <v>6670</v>
      </c>
      <c r="E3" s="85" t="s">
        <v>6643</v>
      </c>
      <c r="F3" s="85">
        <v>29</v>
      </c>
      <c r="G3" s="85" t="s">
        <v>178</v>
      </c>
      <c r="H3" s="85" t="s">
        <v>6659</v>
      </c>
      <c r="I3" s="23"/>
      <c r="J3" s="23"/>
      <c r="K3" s="23"/>
      <c r="L3" s="23"/>
      <c r="M3" s="23"/>
    </row>
    <row r="4" spans="1:13">
      <c r="A4" s="23"/>
      <c r="B4" s="85" t="s">
        <v>6814</v>
      </c>
      <c r="C4" s="86" t="s">
        <v>469</v>
      </c>
      <c r="D4" s="86" t="s">
        <v>6670</v>
      </c>
      <c r="E4" s="86" t="s">
        <v>6791</v>
      </c>
      <c r="F4" s="86">
        <v>28</v>
      </c>
      <c r="G4" s="86" t="s">
        <v>178</v>
      </c>
      <c r="H4" s="85" t="s">
        <v>6659</v>
      </c>
      <c r="I4" s="23"/>
      <c r="J4" s="23"/>
      <c r="K4" s="23"/>
      <c r="L4" s="23"/>
      <c r="M4" s="23"/>
    </row>
    <row r="5" spans="1:13">
      <c r="A5" s="23"/>
      <c r="B5" s="85" t="s">
        <v>6814</v>
      </c>
      <c r="C5" s="85" t="s">
        <v>545</v>
      </c>
      <c r="D5" s="85" t="s">
        <v>1463</v>
      </c>
      <c r="E5" s="85" t="s">
        <v>6620</v>
      </c>
      <c r="F5" s="85">
        <v>28</v>
      </c>
      <c r="G5" s="85" t="s">
        <v>178</v>
      </c>
      <c r="H5" s="85" t="s">
        <v>6659</v>
      </c>
      <c r="I5" s="23"/>
      <c r="J5" s="23"/>
      <c r="K5" s="23"/>
      <c r="L5" s="23"/>
      <c r="M5" s="23"/>
    </row>
    <row r="6" spans="1:13">
      <c r="A6" s="23"/>
      <c r="B6" s="85" t="s">
        <v>6814</v>
      </c>
      <c r="C6" s="85" t="s">
        <v>545</v>
      </c>
      <c r="D6" s="85" t="s">
        <v>1463</v>
      </c>
      <c r="E6" s="85" t="s">
        <v>6805</v>
      </c>
      <c r="F6" s="85">
        <v>28</v>
      </c>
      <c r="G6" s="85" t="s">
        <v>178</v>
      </c>
      <c r="H6" s="85" t="s">
        <v>6659</v>
      </c>
      <c r="I6" s="23"/>
      <c r="J6" s="23"/>
      <c r="K6" s="23"/>
      <c r="L6" s="23"/>
      <c r="M6" s="23"/>
    </row>
    <row r="7" spans="1:13">
      <c r="A7" s="23"/>
      <c r="B7" s="85" t="s">
        <v>6814</v>
      </c>
      <c r="C7" s="85" t="s">
        <v>271</v>
      </c>
      <c r="D7" s="85" t="s">
        <v>1076</v>
      </c>
      <c r="E7" s="85" t="s">
        <v>6764</v>
      </c>
      <c r="F7" s="85">
        <v>26</v>
      </c>
      <c r="G7" s="85" t="s">
        <v>178</v>
      </c>
      <c r="H7" s="85" t="s">
        <v>6659</v>
      </c>
      <c r="I7" s="23"/>
      <c r="J7" s="23"/>
      <c r="K7" s="23"/>
      <c r="L7" s="23"/>
      <c r="M7" s="23"/>
    </row>
    <row r="8" spans="1:13" ht="14.25" customHeight="1">
      <c r="A8" s="23"/>
      <c r="B8" s="85" t="s">
        <v>6814</v>
      </c>
      <c r="C8" s="85" t="s">
        <v>271</v>
      </c>
      <c r="D8" s="85" t="s">
        <v>1076</v>
      </c>
      <c r="E8" s="85" t="s">
        <v>6772</v>
      </c>
      <c r="F8" s="85">
        <v>23</v>
      </c>
      <c r="G8" s="85" t="s">
        <v>178</v>
      </c>
      <c r="H8" s="85" t="s">
        <v>6659</v>
      </c>
      <c r="I8" s="23"/>
      <c r="J8" s="23"/>
      <c r="K8" s="23"/>
      <c r="L8" s="23"/>
      <c r="M8" s="23"/>
    </row>
    <row r="9" spans="1:13" s="58" customFormat="1">
      <c r="A9" s="23"/>
      <c r="B9" s="85" t="s">
        <v>6814</v>
      </c>
      <c r="C9" s="85" t="s">
        <v>153</v>
      </c>
      <c r="D9" s="85" t="s">
        <v>724</v>
      </c>
      <c r="E9" s="85" t="s">
        <v>6706</v>
      </c>
      <c r="F9" s="85">
        <v>26</v>
      </c>
      <c r="G9" s="85" t="s">
        <v>450</v>
      </c>
      <c r="H9" s="85" t="s">
        <v>178</v>
      </c>
      <c r="I9" s="23"/>
      <c r="J9" s="23"/>
      <c r="K9" s="23"/>
      <c r="L9" s="23"/>
      <c r="M9" s="23"/>
    </row>
    <row r="10" spans="1:13" s="58" customFormat="1">
      <c r="A10" s="23"/>
      <c r="B10" s="85" t="s">
        <v>6814</v>
      </c>
      <c r="C10" s="85" t="s">
        <v>153</v>
      </c>
      <c r="D10" s="85" t="s">
        <v>724</v>
      </c>
      <c r="E10" s="85" t="s">
        <v>6714</v>
      </c>
      <c r="F10" s="85">
        <v>23</v>
      </c>
      <c r="G10" s="85" t="s">
        <v>450</v>
      </c>
      <c r="H10" s="85" t="s">
        <v>178</v>
      </c>
      <c r="I10" s="23"/>
      <c r="J10" s="23"/>
      <c r="K10" s="23"/>
      <c r="L10" s="23"/>
      <c r="M10" s="23"/>
    </row>
    <row r="11" spans="1:13">
      <c r="A11" s="23"/>
      <c r="B11" s="85" t="s">
        <v>6814</v>
      </c>
      <c r="C11" s="85" t="s">
        <v>6815</v>
      </c>
      <c r="D11" s="85" t="s">
        <v>1337</v>
      </c>
      <c r="E11" s="85" t="s">
        <v>6643</v>
      </c>
      <c r="F11" s="85">
        <v>25</v>
      </c>
      <c r="G11" s="85" t="s">
        <v>178</v>
      </c>
      <c r="H11" s="85" t="s">
        <v>6659</v>
      </c>
      <c r="I11" s="23"/>
      <c r="J11" s="23"/>
      <c r="K11" s="23"/>
      <c r="L11" s="23"/>
      <c r="M11" s="23"/>
    </row>
    <row r="12" spans="1:13">
      <c r="A12" s="23"/>
      <c r="B12" s="85" t="s">
        <v>6814</v>
      </c>
      <c r="C12" s="85" t="s">
        <v>6815</v>
      </c>
      <c r="D12" s="85" t="s">
        <v>1337</v>
      </c>
      <c r="E12" s="85" t="s">
        <v>6728</v>
      </c>
      <c r="F12" s="85">
        <v>24</v>
      </c>
      <c r="G12" s="85" t="s">
        <v>178</v>
      </c>
      <c r="H12" s="85" t="s">
        <v>6659</v>
      </c>
      <c r="I12" s="23"/>
      <c r="J12" s="23"/>
      <c r="K12" s="23"/>
      <c r="L12" s="23"/>
      <c r="M12" s="23"/>
    </row>
    <row r="13" spans="1:13">
      <c r="A13" s="23"/>
      <c r="B13" s="85" t="s">
        <v>6814</v>
      </c>
      <c r="C13" s="85" t="s">
        <v>271</v>
      </c>
      <c r="D13" s="85" t="s">
        <v>1227</v>
      </c>
      <c r="E13" s="85" t="s">
        <v>6765</v>
      </c>
      <c r="F13" s="85">
        <v>22</v>
      </c>
      <c r="G13" s="85" t="s">
        <v>178</v>
      </c>
      <c r="H13" s="85" t="s">
        <v>6659</v>
      </c>
      <c r="I13" s="23"/>
      <c r="J13" s="23"/>
      <c r="K13" s="23"/>
      <c r="L13" s="23"/>
      <c r="M13" s="23"/>
    </row>
    <row r="14" spans="1:13" s="58" customFormat="1">
      <c r="A14" s="23"/>
      <c r="B14" s="74" t="s">
        <v>6814</v>
      </c>
      <c r="C14" s="73" t="s">
        <v>271</v>
      </c>
      <c r="D14" s="73" t="s">
        <v>1227</v>
      </c>
      <c r="E14" s="73" t="s">
        <v>6773</v>
      </c>
      <c r="F14" s="73">
        <v>19</v>
      </c>
      <c r="G14" s="73" t="s">
        <v>450</v>
      </c>
      <c r="H14" s="73" t="s">
        <v>178</v>
      </c>
      <c r="I14" s="23"/>
      <c r="J14" s="23"/>
      <c r="K14" s="23"/>
      <c r="L14" s="23"/>
      <c r="M14" s="23"/>
    </row>
    <row r="15" spans="1:13">
      <c r="A15" s="23"/>
      <c r="B15" s="74" t="s">
        <v>6814</v>
      </c>
      <c r="C15" s="73" t="s">
        <v>6815</v>
      </c>
      <c r="D15" s="73" t="s">
        <v>1367</v>
      </c>
      <c r="E15" s="73" t="s">
        <v>6726</v>
      </c>
      <c r="F15" s="73">
        <v>20</v>
      </c>
      <c r="G15" s="73" t="s">
        <v>178</v>
      </c>
      <c r="H15" s="73" t="s">
        <v>6659</v>
      </c>
      <c r="I15" s="23"/>
      <c r="J15" s="23"/>
      <c r="K15" s="23"/>
      <c r="L15" s="23"/>
      <c r="M15" s="23"/>
    </row>
    <row r="16" spans="1:13">
      <c r="A16" s="23"/>
      <c r="B16" s="74" t="s">
        <v>6814</v>
      </c>
      <c r="C16" s="73" t="s">
        <v>6815</v>
      </c>
      <c r="D16" s="73" t="s">
        <v>1367</v>
      </c>
      <c r="E16" s="73" t="s">
        <v>6722</v>
      </c>
      <c r="F16" s="73">
        <v>19</v>
      </c>
      <c r="G16" s="73" t="s">
        <v>178</v>
      </c>
      <c r="H16" s="73" t="s">
        <v>6659</v>
      </c>
      <c r="I16" s="23"/>
      <c r="J16" s="23"/>
      <c r="K16" s="23"/>
      <c r="L16" s="23"/>
      <c r="M16" s="23"/>
    </row>
    <row r="17" spans="1:13">
      <c r="A17" s="23"/>
      <c r="B17" s="85" t="s">
        <v>6814</v>
      </c>
      <c r="C17" s="85" t="s">
        <v>545</v>
      </c>
      <c r="D17" s="85" t="s">
        <v>1453</v>
      </c>
      <c r="E17" s="85" t="s">
        <v>6790</v>
      </c>
      <c r="F17" s="85">
        <v>23</v>
      </c>
      <c r="G17" s="73" t="s">
        <v>178</v>
      </c>
      <c r="H17" s="73" t="s">
        <v>6659</v>
      </c>
      <c r="I17" s="23"/>
      <c r="J17" s="23"/>
      <c r="K17" s="23"/>
      <c r="L17" s="23"/>
      <c r="M17" s="23"/>
    </row>
    <row r="18" spans="1:13">
      <c r="A18" s="23"/>
      <c r="B18" s="85" t="s">
        <v>6814</v>
      </c>
      <c r="C18" s="85" t="s">
        <v>545</v>
      </c>
      <c r="D18" s="85" t="s">
        <v>1453</v>
      </c>
      <c r="E18" s="85" t="s">
        <v>6774</v>
      </c>
      <c r="F18" s="85">
        <v>22</v>
      </c>
      <c r="G18" s="73" t="s">
        <v>178</v>
      </c>
      <c r="H18" s="73" t="s">
        <v>6659</v>
      </c>
      <c r="I18" s="23"/>
      <c r="J18" s="23"/>
      <c r="K18" s="23"/>
      <c r="L18" s="23"/>
      <c r="M18" s="23"/>
    </row>
    <row r="19" spans="1:13">
      <c r="A19" s="23"/>
      <c r="B19" s="74" t="s">
        <v>6814</v>
      </c>
      <c r="C19" s="73" t="s">
        <v>271</v>
      </c>
      <c r="D19" s="73" t="s">
        <v>1123</v>
      </c>
      <c r="E19" s="73" t="s">
        <v>6766</v>
      </c>
      <c r="F19" s="73">
        <v>18</v>
      </c>
      <c r="G19" s="73" t="s">
        <v>178</v>
      </c>
      <c r="H19" s="73" t="s">
        <v>6659</v>
      </c>
      <c r="I19" s="23"/>
      <c r="J19" s="23"/>
      <c r="K19" s="23"/>
      <c r="L19" s="23"/>
      <c r="M19" s="23"/>
    </row>
    <row r="20" spans="1:13">
      <c r="A20" s="23"/>
      <c r="B20" s="74" t="s">
        <v>6814</v>
      </c>
      <c r="C20" s="73" t="s">
        <v>271</v>
      </c>
      <c r="D20" s="73" t="s">
        <v>1123</v>
      </c>
      <c r="E20" s="73" t="s">
        <v>6774</v>
      </c>
      <c r="F20" s="73">
        <v>17</v>
      </c>
      <c r="G20" s="73" t="s">
        <v>178</v>
      </c>
      <c r="H20" s="73" t="s">
        <v>6659</v>
      </c>
      <c r="I20" s="23"/>
      <c r="J20" s="23"/>
      <c r="K20" s="23"/>
      <c r="L20" s="23"/>
      <c r="M20" s="23"/>
    </row>
    <row r="21" spans="1:13" s="58" customFormat="1">
      <c r="A21" s="23"/>
      <c r="B21" s="74" t="s">
        <v>6814</v>
      </c>
      <c r="C21" s="73" t="s">
        <v>153</v>
      </c>
      <c r="D21" s="73" t="s">
        <v>6672</v>
      </c>
      <c r="E21" s="73" t="s">
        <v>6707</v>
      </c>
      <c r="F21" s="73">
        <v>18</v>
      </c>
      <c r="G21" s="73" t="s">
        <v>450</v>
      </c>
      <c r="H21" s="73" t="s">
        <v>178</v>
      </c>
      <c r="I21" s="23"/>
      <c r="J21" s="23"/>
      <c r="K21" s="23"/>
      <c r="L21" s="23"/>
      <c r="M21" s="23"/>
    </row>
    <row r="22" spans="1:13" s="58" customFormat="1">
      <c r="A22" s="23"/>
      <c r="B22" s="74" t="s">
        <v>6814</v>
      </c>
      <c r="C22" s="73" t="s">
        <v>153</v>
      </c>
      <c r="D22" s="73" t="s">
        <v>6674</v>
      </c>
      <c r="E22" s="73" t="s">
        <v>6708</v>
      </c>
      <c r="F22" s="73">
        <v>18</v>
      </c>
      <c r="G22" s="73" t="s">
        <v>450</v>
      </c>
      <c r="H22" s="73" t="s">
        <v>178</v>
      </c>
      <c r="I22" s="23"/>
      <c r="J22" s="23"/>
      <c r="K22" s="23"/>
      <c r="L22" s="23"/>
      <c r="M22" s="23"/>
    </row>
    <row r="23" spans="1:13" s="58" customFormat="1">
      <c r="A23" s="23"/>
      <c r="B23" s="74" t="s">
        <v>6814</v>
      </c>
      <c r="C23" s="73" t="s">
        <v>153</v>
      </c>
      <c r="D23" s="73" t="s">
        <v>6676</v>
      </c>
      <c r="E23" s="73" t="s">
        <v>6707</v>
      </c>
      <c r="F23" s="73">
        <v>18</v>
      </c>
      <c r="G23" s="73" t="s">
        <v>450</v>
      </c>
      <c r="H23" s="73" t="s">
        <v>178</v>
      </c>
      <c r="I23" s="23"/>
      <c r="J23" s="23"/>
      <c r="K23" s="23"/>
      <c r="L23" s="23"/>
      <c r="M23" s="23"/>
    </row>
    <row r="24" spans="1:13" s="58" customFormat="1">
      <c r="A24" s="23"/>
      <c r="B24" s="74" t="s">
        <v>6814</v>
      </c>
      <c r="C24" s="73" t="s">
        <v>153</v>
      </c>
      <c r="D24" s="73" t="s">
        <v>6678</v>
      </c>
      <c r="E24" s="73" t="s">
        <v>6708</v>
      </c>
      <c r="F24" s="73">
        <v>18</v>
      </c>
      <c r="G24" s="73" t="s">
        <v>450</v>
      </c>
      <c r="H24" s="73" t="s">
        <v>178</v>
      </c>
      <c r="I24" s="23"/>
      <c r="J24" s="23"/>
      <c r="K24" s="23"/>
      <c r="L24" s="23"/>
      <c r="M24" s="23"/>
    </row>
    <row r="25" spans="1:13" s="58" customFormat="1">
      <c r="A25" s="23"/>
      <c r="B25" s="85" t="s">
        <v>6814</v>
      </c>
      <c r="C25" s="85" t="s">
        <v>519</v>
      </c>
      <c r="D25" s="85" t="s">
        <v>1329</v>
      </c>
      <c r="E25" s="85" t="s">
        <v>6654</v>
      </c>
      <c r="F25" s="85">
        <v>26</v>
      </c>
      <c r="G25" s="85" t="s">
        <v>178</v>
      </c>
      <c r="H25" s="85" t="s">
        <v>6659</v>
      </c>
      <c r="I25" s="23"/>
      <c r="J25" s="23"/>
      <c r="K25" s="23"/>
      <c r="L25" s="23"/>
      <c r="M25" s="23"/>
    </row>
    <row r="26" spans="1:13" s="58" customFormat="1">
      <c r="A26" s="23"/>
      <c r="B26" s="85" t="s">
        <v>6814</v>
      </c>
      <c r="C26" s="85" t="s">
        <v>519</v>
      </c>
      <c r="D26" s="85" t="s">
        <v>1329</v>
      </c>
      <c r="E26" s="85" t="s">
        <v>6635</v>
      </c>
      <c r="F26" s="85">
        <v>23</v>
      </c>
      <c r="G26" s="85" t="s">
        <v>178</v>
      </c>
      <c r="H26" s="85" t="s">
        <v>6659</v>
      </c>
      <c r="I26" s="23"/>
      <c r="J26" s="23"/>
      <c r="K26" s="23"/>
      <c r="L26" s="23"/>
      <c r="M26" s="23"/>
    </row>
    <row r="27" spans="1:13" s="58" customFormat="1">
      <c r="A27" s="23"/>
      <c r="B27" s="74" t="s">
        <v>6814</v>
      </c>
      <c r="C27" s="73" t="s">
        <v>519</v>
      </c>
      <c r="D27" s="73" t="s">
        <v>1321</v>
      </c>
      <c r="E27" s="73" t="s">
        <v>6811</v>
      </c>
      <c r="F27" s="73">
        <v>21</v>
      </c>
      <c r="G27" s="73" t="s">
        <v>178</v>
      </c>
      <c r="H27" s="85" t="s">
        <v>6659</v>
      </c>
      <c r="I27" s="23"/>
      <c r="J27" s="23"/>
      <c r="K27" s="23"/>
      <c r="L27" s="23"/>
      <c r="M27" s="23"/>
    </row>
    <row r="28" spans="1:13" s="58" customFormat="1">
      <c r="A28" s="23"/>
      <c r="B28" s="74" t="s">
        <v>6814</v>
      </c>
      <c r="C28" s="73" t="s">
        <v>519</v>
      </c>
      <c r="D28" s="73" t="s">
        <v>1321</v>
      </c>
      <c r="E28" s="73" t="s">
        <v>6812</v>
      </c>
      <c r="F28" s="73">
        <v>20</v>
      </c>
      <c r="G28" s="73" t="s">
        <v>178</v>
      </c>
      <c r="H28" s="85" t="s">
        <v>6659</v>
      </c>
      <c r="I28" s="23"/>
      <c r="J28" s="23"/>
      <c r="K28" s="23"/>
      <c r="L28" s="23"/>
      <c r="M28" s="23"/>
    </row>
    <row r="29" spans="1:13">
      <c r="A29" s="23"/>
      <c r="B29" s="73" t="s">
        <v>6816</v>
      </c>
      <c r="C29" s="79" t="s">
        <v>153</v>
      </c>
      <c r="D29" s="79" t="s">
        <v>6680</v>
      </c>
      <c r="E29" s="79" t="s">
        <v>6709</v>
      </c>
      <c r="F29" s="79">
        <v>13</v>
      </c>
      <c r="G29" s="79" t="s">
        <v>178</v>
      </c>
      <c r="H29" s="85" t="s">
        <v>6659</v>
      </c>
      <c r="I29" s="23"/>
      <c r="J29" s="23"/>
      <c r="K29" s="23"/>
      <c r="L29" s="23"/>
      <c r="M29" s="23"/>
    </row>
    <row r="30" spans="1:13" s="58" customFormat="1">
      <c r="A30" s="23"/>
      <c r="B30" s="73" t="s">
        <v>6816</v>
      </c>
      <c r="C30" s="79" t="s">
        <v>153</v>
      </c>
      <c r="D30" s="79" t="s">
        <v>6680</v>
      </c>
      <c r="E30" s="79" t="s">
        <v>6715</v>
      </c>
      <c r="F30" s="79">
        <v>13</v>
      </c>
      <c r="G30" s="79" t="s">
        <v>450</v>
      </c>
      <c r="H30" s="79" t="s">
        <v>178</v>
      </c>
      <c r="I30" s="23"/>
      <c r="J30" s="23"/>
      <c r="K30" s="23"/>
      <c r="L30" s="23"/>
      <c r="M30" s="23"/>
    </row>
    <row r="31" spans="1:13" s="58" customFormat="1">
      <c r="A31" s="23"/>
      <c r="B31" s="73" t="s">
        <v>6816</v>
      </c>
      <c r="C31" s="79" t="s">
        <v>153</v>
      </c>
      <c r="D31" s="79" t="s">
        <v>6680</v>
      </c>
      <c r="E31" s="79" t="s">
        <v>6720</v>
      </c>
      <c r="F31" s="80">
        <v>13</v>
      </c>
      <c r="G31" s="79" t="s">
        <v>1529</v>
      </c>
      <c r="H31" s="79" t="s">
        <v>6659</v>
      </c>
      <c r="I31" s="23"/>
      <c r="J31" s="23"/>
      <c r="K31" s="23"/>
      <c r="L31" s="23"/>
      <c r="M31" s="23"/>
    </row>
    <row r="32" spans="1:13" s="58" customFormat="1">
      <c r="A32" s="23"/>
      <c r="B32" s="73" t="s">
        <v>6816</v>
      </c>
      <c r="C32" s="79" t="s">
        <v>153</v>
      </c>
      <c r="D32" s="79" t="s">
        <v>6680</v>
      </c>
      <c r="E32" s="79" t="s">
        <v>6716</v>
      </c>
      <c r="F32" s="80">
        <v>13</v>
      </c>
      <c r="G32" s="79" t="s">
        <v>728</v>
      </c>
      <c r="H32" s="79" t="s">
        <v>6659</v>
      </c>
      <c r="I32" s="23"/>
      <c r="J32" s="23"/>
      <c r="K32" s="23"/>
      <c r="L32" s="23"/>
      <c r="M32" s="23"/>
    </row>
    <row r="33" spans="1:13">
      <c r="A33" s="23"/>
      <c r="B33" s="73" t="s">
        <v>6816</v>
      </c>
      <c r="C33" s="79" t="s">
        <v>153</v>
      </c>
      <c r="D33" s="79" t="s">
        <v>6683</v>
      </c>
      <c r="E33" s="79" t="s">
        <v>6817</v>
      </c>
      <c r="F33" s="79">
        <v>12</v>
      </c>
      <c r="G33" s="79" t="s">
        <v>178</v>
      </c>
      <c r="H33" s="79" t="s">
        <v>6659</v>
      </c>
      <c r="I33" s="23"/>
      <c r="J33" s="23"/>
      <c r="K33" s="23"/>
      <c r="L33" s="23"/>
      <c r="M33" s="23"/>
    </row>
    <row r="34" spans="1:13" s="58" customFormat="1">
      <c r="A34" s="23"/>
      <c r="B34" s="73" t="s">
        <v>6816</v>
      </c>
      <c r="C34" s="79" t="s">
        <v>153</v>
      </c>
      <c r="D34" s="79" t="s">
        <v>6683</v>
      </c>
      <c r="E34" s="79" t="s">
        <v>6715</v>
      </c>
      <c r="F34" s="79">
        <v>12</v>
      </c>
      <c r="G34" s="79" t="s">
        <v>450</v>
      </c>
      <c r="H34" s="79" t="s">
        <v>178</v>
      </c>
      <c r="I34" s="23"/>
      <c r="J34" s="23"/>
      <c r="K34" s="23"/>
      <c r="L34" s="23"/>
      <c r="M34" s="23"/>
    </row>
    <row r="35" spans="1:13" s="58" customFormat="1">
      <c r="A35" s="23"/>
      <c r="B35" s="73" t="s">
        <v>6816</v>
      </c>
      <c r="C35" s="79" t="s">
        <v>153</v>
      </c>
      <c r="D35" s="79" t="s">
        <v>6683</v>
      </c>
      <c r="E35" s="79" t="s">
        <v>6720</v>
      </c>
      <c r="F35" s="80">
        <v>12</v>
      </c>
      <c r="G35" s="79" t="s">
        <v>1529</v>
      </c>
      <c r="H35" s="79" t="s">
        <v>6659</v>
      </c>
      <c r="I35" s="23"/>
      <c r="J35" s="23"/>
      <c r="K35" s="23"/>
      <c r="L35" s="23"/>
      <c r="M35" s="23"/>
    </row>
    <row r="36" spans="1:13" s="58" customFormat="1">
      <c r="A36" s="23"/>
      <c r="B36" s="73" t="s">
        <v>6816</v>
      </c>
      <c r="C36" s="79" t="s">
        <v>153</v>
      </c>
      <c r="D36" s="79" t="s">
        <v>6683</v>
      </c>
      <c r="E36" s="79" t="s">
        <v>6716</v>
      </c>
      <c r="F36" s="80">
        <v>12</v>
      </c>
      <c r="G36" s="79" t="s">
        <v>728</v>
      </c>
      <c r="H36" s="79" t="s">
        <v>6659</v>
      </c>
      <c r="I36" s="23"/>
      <c r="J36" s="23"/>
      <c r="K36" s="23"/>
      <c r="L36" s="23"/>
      <c r="M36" s="23"/>
    </row>
    <row r="37" spans="1:13">
      <c r="A37" s="23"/>
      <c r="B37" s="85" t="s">
        <v>6818</v>
      </c>
      <c r="C37" s="87" t="s">
        <v>153</v>
      </c>
      <c r="D37" s="87" t="s">
        <v>6685</v>
      </c>
      <c r="E37" s="87" t="s">
        <v>6654</v>
      </c>
      <c r="F37" s="87">
        <v>25</v>
      </c>
      <c r="G37" s="87" t="s">
        <v>178</v>
      </c>
      <c r="H37" s="87" t="s">
        <v>6659</v>
      </c>
      <c r="I37" s="23"/>
      <c r="J37" s="23"/>
      <c r="K37" s="23"/>
      <c r="L37" s="23"/>
      <c r="M37" s="23"/>
    </row>
    <row r="38" spans="1:13" s="58" customFormat="1">
      <c r="A38" s="23"/>
      <c r="B38" s="73" t="s">
        <v>6819</v>
      </c>
      <c r="C38" s="79" t="s">
        <v>153</v>
      </c>
      <c r="D38" s="79" t="s">
        <v>6688</v>
      </c>
      <c r="E38" s="79" t="s">
        <v>6710</v>
      </c>
      <c r="F38" s="79">
        <v>13</v>
      </c>
      <c r="G38" s="73" t="s">
        <v>450</v>
      </c>
      <c r="H38" s="79" t="s">
        <v>178</v>
      </c>
      <c r="I38" s="23"/>
      <c r="J38" s="23"/>
      <c r="K38" s="23"/>
      <c r="L38" s="23"/>
      <c r="M38" s="23"/>
    </row>
    <row r="39" spans="1:13" s="58" customFormat="1">
      <c r="A39" s="23"/>
      <c r="B39" s="73" t="s">
        <v>6819</v>
      </c>
      <c r="C39" s="79" t="s">
        <v>153</v>
      </c>
      <c r="D39" s="79" t="s">
        <v>6691</v>
      </c>
      <c r="E39" s="79" t="s">
        <v>6716</v>
      </c>
      <c r="F39" s="80">
        <v>13</v>
      </c>
      <c r="G39" s="79" t="s">
        <v>728</v>
      </c>
      <c r="H39" s="79" t="s">
        <v>6659</v>
      </c>
      <c r="I39" s="23"/>
      <c r="J39" s="23"/>
      <c r="K39" s="23"/>
      <c r="L39" s="23"/>
      <c r="M39" s="23"/>
    </row>
    <row r="40" spans="1:13">
      <c r="A40" s="23"/>
      <c r="B40" s="74" t="s">
        <v>6819</v>
      </c>
      <c r="C40" s="74" t="s">
        <v>153</v>
      </c>
      <c r="D40" s="74" t="s">
        <v>6691</v>
      </c>
      <c r="E40" s="74" t="s">
        <v>6710</v>
      </c>
      <c r="F40" s="74">
        <v>13</v>
      </c>
      <c r="G40" s="74" t="s">
        <v>450</v>
      </c>
      <c r="H40" s="74" t="s">
        <v>178</v>
      </c>
      <c r="I40" s="23"/>
      <c r="J40" s="23"/>
      <c r="K40" s="23"/>
      <c r="L40" s="23"/>
      <c r="M40" s="23"/>
    </row>
    <row r="41" spans="1:13">
      <c r="A41" s="23"/>
      <c r="B41" s="74" t="s">
        <v>6820</v>
      </c>
      <c r="C41" s="74" t="s">
        <v>6815</v>
      </c>
      <c r="D41" s="56" t="s">
        <v>6675</v>
      </c>
      <c r="E41" s="74" t="s">
        <v>6727</v>
      </c>
      <c r="F41" s="74">
        <v>20</v>
      </c>
      <c r="G41" s="74" t="s">
        <v>178</v>
      </c>
      <c r="H41" s="74" t="s">
        <v>6659</v>
      </c>
      <c r="I41" s="23"/>
      <c r="J41" s="23"/>
      <c r="K41" s="23"/>
      <c r="L41" s="23"/>
      <c r="M41" s="23"/>
    </row>
    <row r="42" spans="1:13">
      <c r="A42" s="23"/>
      <c r="B42" s="74" t="s">
        <v>6816</v>
      </c>
      <c r="C42" s="74" t="s">
        <v>271</v>
      </c>
      <c r="D42" s="74" t="s">
        <v>6677</v>
      </c>
      <c r="E42" s="74" t="s">
        <v>6767</v>
      </c>
      <c r="F42" s="81">
        <v>13</v>
      </c>
      <c r="G42" s="74" t="s">
        <v>728</v>
      </c>
      <c r="H42" s="74" t="s">
        <v>6659</v>
      </c>
      <c r="I42" s="23"/>
      <c r="J42" s="23"/>
      <c r="K42" s="23"/>
      <c r="L42" s="23"/>
      <c r="M42" s="23"/>
    </row>
    <row r="43" spans="1:13">
      <c r="A43" s="23"/>
      <c r="B43" s="74" t="s">
        <v>6816</v>
      </c>
      <c r="C43" s="74" t="s">
        <v>271</v>
      </c>
      <c r="D43" s="74" t="s">
        <v>6677</v>
      </c>
      <c r="E43" s="74" t="s">
        <v>6768</v>
      </c>
      <c r="F43" s="81">
        <v>13</v>
      </c>
      <c r="G43" s="74" t="s">
        <v>178</v>
      </c>
      <c r="H43" s="74" t="s">
        <v>6659</v>
      </c>
      <c r="I43" s="23"/>
      <c r="J43" s="23"/>
      <c r="K43" s="23"/>
      <c r="L43" s="23"/>
      <c r="M43" s="23"/>
    </row>
    <row r="44" spans="1:13">
      <c r="A44" s="23"/>
      <c r="B44" s="74" t="s">
        <v>6816</v>
      </c>
      <c r="C44" s="74" t="s">
        <v>271</v>
      </c>
      <c r="D44" s="74" t="s">
        <v>6677</v>
      </c>
      <c r="E44" s="74" t="s">
        <v>6775</v>
      </c>
      <c r="F44" s="81">
        <v>13</v>
      </c>
      <c r="G44" s="74" t="s">
        <v>450</v>
      </c>
      <c r="H44" s="74" t="s">
        <v>178</v>
      </c>
      <c r="I44" s="23"/>
      <c r="J44" s="23"/>
      <c r="K44" s="23"/>
      <c r="L44" s="23"/>
      <c r="M44" s="23"/>
    </row>
    <row r="45" spans="1:13">
      <c r="A45" s="23"/>
      <c r="B45" s="74" t="s">
        <v>6816</v>
      </c>
      <c r="C45" s="74" t="s">
        <v>271</v>
      </c>
      <c r="D45" s="74" t="s">
        <v>6679</v>
      </c>
      <c r="E45" s="74" t="s">
        <v>6767</v>
      </c>
      <c r="F45" s="82">
        <v>12</v>
      </c>
      <c r="G45" s="74" t="s">
        <v>728</v>
      </c>
      <c r="H45" s="74" t="s">
        <v>6659</v>
      </c>
      <c r="I45" s="23"/>
      <c r="J45" s="23"/>
      <c r="K45" s="23"/>
      <c r="L45" s="23"/>
      <c r="M45" s="23"/>
    </row>
    <row r="46" spans="1:13">
      <c r="A46" s="23"/>
      <c r="B46" s="74" t="s">
        <v>6816</v>
      </c>
      <c r="C46" s="74" t="s">
        <v>271</v>
      </c>
      <c r="D46" s="74" t="s">
        <v>6679</v>
      </c>
      <c r="E46" s="74" t="s">
        <v>6768</v>
      </c>
      <c r="F46" s="82">
        <v>12</v>
      </c>
      <c r="G46" s="74" t="s">
        <v>178</v>
      </c>
      <c r="H46" s="74" t="s">
        <v>6659</v>
      </c>
      <c r="I46" s="23"/>
      <c r="J46" s="23"/>
      <c r="K46" s="23"/>
      <c r="L46" s="23"/>
      <c r="M46" s="23"/>
    </row>
    <row r="47" spans="1:13">
      <c r="A47" s="23"/>
      <c r="B47" s="74" t="s">
        <v>6816</v>
      </c>
      <c r="C47" s="74" t="s">
        <v>271</v>
      </c>
      <c r="D47" s="74" t="s">
        <v>6679</v>
      </c>
      <c r="E47" s="74" t="s">
        <v>6775</v>
      </c>
      <c r="F47" s="81">
        <v>11</v>
      </c>
      <c r="G47" s="74" t="s">
        <v>450</v>
      </c>
      <c r="H47" s="74" t="s">
        <v>178</v>
      </c>
      <c r="I47" s="23"/>
      <c r="J47" s="23"/>
      <c r="K47" s="23"/>
      <c r="L47" s="23"/>
      <c r="M47" s="23"/>
    </row>
    <row r="48" spans="1:13">
      <c r="A48" s="23"/>
      <c r="B48" s="74" t="s">
        <v>6816</v>
      </c>
      <c r="C48" s="74" t="s">
        <v>271</v>
      </c>
      <c r="D48" s="74" t="s">
        <v>6681</v>
      </c>
      <c r="E48" s="74" t="s">
        <v>6767</v>
      </c>
      <c r="F48" s="81">
        <v>11</v>
      </c>
      <c r="G48" s="74" t="s">
        <v>728</v>
      </c>
      <c r="H48" s="74" t="s">
        <v>6659</v>
      </c>
      <c r="I48" s="23"/>
      <c r="J48" s="23"/>
      <c r="K48" s="23"/>
      <c r="L48" s="23"/>
      <c r="M48" s="23"/>
    </row>
    <row r="49" spans="1:13">
      <c r="A49" s="23"/>
      <c r="B49" s="74" t="s">
        <v>6816</v>
      </c>
      <c r="C49" s="74" t="s">
        <v>271</v>
      </c>
      <c r="D49" s="74" t="s">
        <v>6681</v>
      </c>
      <c r="E49" s="74" t="s">
        <v>6768</v>
      </c>
      <c r="F49" s="81">
        <v>11</v>
      </c>
      <c r="G49" s="74" t="s">
        <v>178</v>
      </c>
      <c r="H49" s="74" t="s">
        <v>6659</v>
      </c>
      <c r="I49" s="23"/>
      <c r="J49" s="23"/>
      <c r="K49" s="23"/>
      <c r="L49" s="23"/>
      <c r="M49" s="23"/>
    </row>
    <row r="50" spans="1:13">
      <c r="A50" s="23"/>
      <c r="B50" s="74" t="s">
        <v>6816</v>
      </c>
      <c r="C50" s="74" t="s">
        <v>271</v>
      </c>
      <c r="D50" s="74" t="s">
        <v>6681</v>
      </c>
      <c r="E50" s="74" t="s">
        <v>6775</v>
      </c>
      <c r="F50" s="81">
        <v>11</v>
      </c>
      <c r="G50" s="74" t="s">
        <v>450</v>
      </c>
      <c r="H50" s="74" t="s">
        <v>178</v>
      </c>
      <c r="I50" s="23"/>
      <c r="J50" s="23"/>
      <c r="K50" s="23"/>
      <c r="L50" s="23"/>
      <c r="M50" s="23"/>
    </row>
    <row r="51" spans="1:13">
      <c r="A51" s="23"/>
      <c r="B51" s="74" t="s">
        <v>6816</v>
      </c>
      <c r="C51" s="74" t="s">
        <v>271</v>
      </c>
      <c r="D51" s="74" t="s">
        <v>6684</v>
      </c>
      <c r="E51" s="74" t="s">
        <v>6768</v>
      </c>
      <c r="F51" s="81">
        <v>11</v>
      </c>
      <c r="G51" s="74" t="s">
        <v>178</v>
      </c>
      <c r="H51" s="74" t="s">
        <v>6659</v>
      </c>
      <c r="I51" s="23"/>
      <c r="J51" s="23"/>
      <c r="K51" s="23"/>
      <c r="L51" s="23"/>
      <c r="M51" s="23"/>
    </row>
    <row r="52" spans="1:13">
      <c r="A52" s="23"/>
      <c r="B52" s="74" t="s">
        <v>6816</v>
      </c>
      <c r="C52" s="74" t="s">
        <v>271</v>
      </c>
      <c r="D52" s="74" t="s">
        <v>6684</v>
      </c>
      <c r="E52" s="74" t="s">
        <v>6767</v>
      </c>
      <c r="F52" s="81">
        <v>11</v>
      </c>
      <c r="G52" s="74" t="s">
        <v>728</v>
      </c>
      <c r="H52" s="74" t="s">
        <v>6659</v>
      </c>
      <c r="I52" s="23"/>
      <c r="J52" s="23"/>
      <c r="K52" s="23"/>
      <c r="L52" s="23"/>
      <c r="M52" s="23"/>
    </row>
    <row r="53" spans="1:13">
      <c r="A53" s="23"/>
      <c r="B53" s="85" t="s">
        <v>6816</v>
      </c>
      <c r="C53" s="85" t="s">
        <v>271</v>
      </c>
      <c r="D53" s="88" t="s">
        <v>6686</v>
      </c>
      <c r="E53" s="85" t="s">
        <v>6769</v>
      </c>
      <c r="F53" s="85">
        <v>23</v>
      </c>
      <c r="G53" s="85" t="s">
        <v>178</v>
      </c>
      <c r="H53" s="85" t="s">
        <v>6659</v>
      </c>
      <c r="I53" s="23"/>
      <c r="J53" s="23"/>
      <c r="K53" s="23"/>
      <c r="L53" s="23"/>
      <c r="M53" s="23"/>
    </row>
    <row r="54" spans="1:13">
      <c r="A54" s="23"/>
      <c r="B54" s="74" t="s">
        <v>6819</v>
      </c>
      <c r="C54" s="74" t="s">
        <v>271</v>
      </c>
      <c r="D54" s="74" t="s">
        <v>6689</v>
      </c>
      <c r="E54" s="74" t="s">
        <v>6768</v>
      </c>
      <c r="F54" s="74">
        <v>16</v>
      </c>
      <c r="G54" s="74" t="s">
        <v>178</v>
      </c>
      <c r="H54" s="74" t="s">
        <v>6659</v>
      </c>
      <c r="I54" s="23"/>
      <c r="J54" s="23"/>
      <c r="K54" s="23"/>
      <c r="L54" s="23"/>
      <c r="M54" s="23"/>
    </row>
    <row r="55" spans="1:13">
      <c r="A55" s="23"/>
      <c r="B55" s="74" t="s">
        <v>6819</v>
      </c>
      <c r="C55" s="74" t="s">
        <v>271</v>
      </c>
      <c r="D55" s="74" t="s">
        <v>6689</v>
      </c>
      <c r="E55" s="74" t="s">
        <v>6775</v>
      </c>
      <c r="F55" s="74">
        <v>16</v>
      </c>
      <c r="G55" s="74" t="s">
        <v>450</v>
      </c>
      <c r="H55" s="74" t="s">
        <v>178</v>
      </c>
      <c r="I55" s="23"/>
      <c r="J55" s="23"/>
      <c r="K55" s="23"/>
      <c r="L55" s="23"/>
      <c r="M55" s="23"/>
    </row>
    <row r="56" spans="1:13">
      <c r="A56" s="23"/>
      <c r="B56" s="74" t="s">
        <v>6819</v>
      </c>
      <c r="C56" s="74" t="s">
        <v>271</v>
      </c>
      <c r="D56" s="74" t="s">
        <v>6692</v>
      </c>
      <c r="E56" s="74" t="s">
        <v>6767</v>
      </c>
      <c r="F56" s="81">
        <v>11</v>
      </c>
      <c r="G56" s="74" t="s">
        <v>728</v>
      </c>
      <c r="H56" s="74" t="s">
        <v>6659</v>
      </c>
      <c r="I56" s="23"/>
      <c r="J56" s="23"/>
      <c r="K56" s="23"/>
      <c r="L56" s="23"/>
      <c r="M56" s="23"/>
    </row>
    <row r="57" spans="1:13">
      <c r="A57" s="23"/>
      <c r="B57" s="74" t="s">
        <v>6819</v>
      </c>
      <c r="C57" s="74" t="s">
        <v>271</v>
      </c>
      <c r="D57" s="74" t="s">
        <v>6692</v>
      </c>
      <c r="E57" s="74" t="s">
        <v>6768</v>
      </c>
      <c r="F57" s="81">
        <v>11</v>
      </c>
      <c r="G57" s="74" t="s">
        <v>178</v>
      </c>
      <c r="H57" s="74" t="s">
        <v>6659</v>
      </c>
      <c r="I57" s="23"/>
      <c r="J57" s="23"/>
      <c r="K57" s="23"/>
      <c r="L57" s="23"/>
      <c r="M57" s="23"/>
    </row>
    <row r="58" spans="1:13">
      <c r="A58" s="23"/>
      <c r="B58" s="74" t="s">
        <v>6819</v>
      </c>
      <c r="C58" s="74" t="s">
        <v>271</v>
      </c>
      <c r="D58" s="74" t="s">
        <v>6692</v>
      </c>
      <c r="E58" s="74" t="s">
        <v>6775</v>
      </c>
      <c r="F58" s="81">
        <v>11</v>
      </c>
      <c r="G58" s="74" t="s">
        <v>450</v>
      </c>
      <c r="H58" s="74" t="s">
        <v>178</v>
      </c>
      <c r="I58" s="23"/>
      <c r="J58" s="23"/>
      <c r="K58" s="23"/>
      <c r="L58" s="23"/>
      <c r="M58" s="23"/>
    </row>
    <row r="59" spans="1:13">
      <c r="A59" s="23"/>
      <c r="B59" s="85" t="s">
        <v>6820</v>
      </c>
      <c r="C59" s="85" t="s">
        <v>469</v>
      </c>
      <c r="D59" s="85" t="s">
        <v>3186</v>
      </c>
      <c r="E59" s="85" t="s">
        <v>6790</v>
      </c>
      <c r="F59" s="85">
        <v>22</v>
      </c>
      <c r="G59" s="85" t="s">
        <v>178</v>
      </c>
      <c r="H59" s="85" t="s">
        <v>6659</v>
      </c>
      <c r="I59" s="23"/>
      <c r="J59" s="23"/>
      <c r="K59" s="23"/>
      <c r="L59" s="23"/>
      <c r="M59" s="23"/>
    </row>
    <row r="60" spans="1:13">
      <c r="A60" s="23"/>
      <c r="B60" s="85" t="s">
        <v>6820</v>
      </c>
      <c r="C60" s="85" t="s">
        <v>6821</v>
      </c>
      <c r="D60" s="85" t="s">
        <v>6671</v>
      </c>
      <c r="E60" s="85" t="s">
        <v>6643</v>
      </c>
      <c r="F60" s="85">
        <v>24</v>
      </c>
      <c r="G60" s="85" t="s">
        <v>178</v>
      </c>
      <c r="H60" s="85" t="s">
        <v>6659</v>
      </c>
      <c r="I60" s="23"/>
      <c r="J60" s="23"/>
      <c r="K60" s="23"/>
      <c r="L60" s="23"/>
      <c r="M60" s="23"/>
    </row>
    <row r="61" spans="1:13">
      <c r="A61" s="23"/>
      <c r="B61" s="85" t="s">
        <v>6816</v>
      </c>
      <c r="C61" s="85" t="s">
        <v>6821</v>
      </c>
      <c r="D61" s="85" t="s">
        <v>6673</v>
      </c>
      <c r="E61" s="85" t="s">
        <v>6643</v>
      </c>
      <c r="F61" s="85">
        <v>24</v>
      </c>
      <c r="G61" s="85" t="s">
        <v>178</v>
      </c>
      <c r="H61" s="85" t="s">
        <v>6659</v>
      </c>
      <c r="I61" s="23"/>
      <c r="J61" s="23"/>
      <c r="K61" s="23"/>
      <c r="L61" s="23"/>
      <c r="M61" s="23"/>
    </row>
    <row r="62" spans="1:13">
      <c r="A62" s="23"/>
      <c r="B62" s="74" t="s">
        <v>6816</v>
      </c>
      <c r="C62" s="74" t="s">
        <v>6821</v>
      </c>
      <c r="D62" s="74" t="s">
        <v>6673</v>
      </c>
      <c r="E62" s="74" t="s">
        <v>6727</v>
      </c>
      <c r="F62" s="82">
        <v>24</v>
      </c>
      <c r="G62" s="74" t="s">
        <v>178</v>
      </c>
      <c r="H62" s="85" t="s">
        <v>6659</v>
      </c>
      <c r="I62" s="23"/>
      <c r="J62" s="23"/>
      <c r="K62" s="23"/>
      <c r="L62" s="23"/>
      <c r="M62" s="23"/>
    </row>
    <row r="63" spans="1:13">
      <c r="A63" s="23"/>
      <c r="B63" s="74" t="s">
        <v>6816</v>
      </c>
      <c r="C63" s="74" t="s">
        <v>6821</v>
      </c>
      <c r="D63" s="74" t="s">
        <v>3266</v>
      </c>
      <c r="E63" s="74" t="s">
        <v>6727</v>
      </c>
      <c r="F63" s="82">
        <v>13</v>
      </c>
      <c r="G63" s="74" t="s">
        <v>178</v>
      </c>
      <c r="H63" s="85" t="s">
        <v>6659</v>
      </c>
      <c r="I63" s="23"/>
      <c r="J63" s="23"/>
      <c r="K63" s="23"/>
      <c r="L63" s="23"/>
      <c r="M63" s="23"/>
    </row>
    <row r="64" spans="1:13">
      <c r="A64" s="23"/>
      <c r="B64" s="74" t="s">
        <v>6816</v>
      </c>
      <c r="C64" s="74" t="s">
        <v>6821</v>
      </c>
      <c r="D64" s="74" t="s">
        <v>3282</v>
      </c>
      <c r="E64" s="74" t="s">
        <v>6727</v>
      </c>
      <c r="F64" s="82">
        <v>12</v>
      </c>
      <c r="G64" s="74" t="s">
        <v>178</v>
      </c>
      <c r="H64" s="85" t="s">
        <v>6659</v>
      </c>
      <c r="I64" s="23"/>
      <c r="J64" s="23"/>
      <c r="K64" s="23"/>
      <c r="L64" s="23"/>
      <c r="M64" s="23"/>
    </row>
    <row r="65" spans="1:13">
      <c r="A65" s="23"/>
      <c r="B65" s="74" t="s">
        <v>6816</v>
      </c>
      <c r="C65" s="74" t="s">
        <v>6821</v>
      </c>
      <c r="D65" s="74" t="s">
        <v>3308</v>
      </c>
      <c r="E65" s="74" t="s">
        <v>6727</v>
      </c>
      <c r="F65" s="82">
        <v>11</v>
      </c>
      <c r="G65" s="74" t="s">
        <v>178</v>
      </c>
      <c r="H65" s="85" t="s">
        <v>6659</v>
      </c>
      <c r="I65" s="23"/>
      <c r="J65" s="23"/>
      <c r="K65" s="23"/>
      <c r="L65" s="23"/>
      <c r="M65" s="23"/>
    </row>
    <row r="66" spans="1:13">
      <c r="A66" s="23"/>
      <c r="B66" s="85" t="s">
        <v>6820</v>
      </c>
      <c r="C66" s="85" t="s">
        <v>545</v>
      </c>
      <c r="D66" s="85" t="s">
        <v>6687</v>
      </c>
      <c r="E66" s="85" t="s">
        <v>6790</v>
      </c>
      <c r="F66" s="85">
        <v>23</v>
      </c>
      <c r="G66" s="85" t="s">
        <v>178</v>
      </c>
      <c r="H66" s="85" t="s">
        <v>6659</v>
      </c>
      <c r="I66" s="23"/>
      <c r="J66" s="23"/>
      <c r="K66" s="23"/>
      <c r="L66" s="23"/>
      <c r="M66" s="23"/>
    </row>
    <row r="67" spans="1:13">
      <c r="A67" s="23"/>
      <c r="B67" s="74" t="s">
        <v>6816</v>
      </c>
      <c r="C67" s="74" t="s">
        <v>545</v>
      </c>
      <c r="D67" s="74" t="s">
        <v>3192</v>
      </c>
      <c r="E67" s="74" t="s">
        <v>6802</v>
      </c>
      <c r="F67" s="81">
        <v>13</v>
      </c>
      <c r="G67" s="74" t="s">
        <v>178</v>
      </c>
      <c r="H67" s="85" t="s">
        <v>6659</v>
      </c>
      <c r="I67" s="23"/>
      <c r="J67" s="23"/>
      <c r="K67" s="23"/>
      <c r="L67" s="23"/>
      <c r="M67" s="23"/>
    </row>
    <row r="68" spans="1:13">
      <c r="A68" s="23"/>
      <c r="B68" s="74" t="s">
        <v>6816</v>
      </c>
      <c r="C68" s="74" t="s">
        <v>545</v>
      </c>
      <c r="D68" s="74" t="s">
        <v>3200</v>
      </c>
      <c r="E68" s="74" t="s">
        <v>6802</v>
      </c>
      <c r="F68" s="81">
        <v>12</v>
      </c>
      <c r="G68" s="74" t="s">
        <v>178</v>
      </c>
      <c r="H68" s="85" t="s">
        <v>6659</v>
      </c>
      <c r="I68" s="23"/>
      <c r="J68" s="23"/>
      <c r="K68" s="23"/>
      <c r="L68" s="23"/>
      <c r="M68" s="23"/>
    </row>
    <row r="69" spans="1:13">
      <c r="A69" s="23"/>
      <c r="B69" s="74" t="s">
        <v>6816</v>
      </c>
      <c r="C69" s="74" t="s">
        <v>545</v>
      </c>
      <c r="D69" s="74" t="s">
        <v>3200</v>
      </c>
      <c r="E69" s="74" t="s">
        <v>6803</v>
      </c>
      <c r="F69" s="81">
        <v>12</v>
      </c>
      <c r="G69" s="74" t="s">
        <v>178</v>
      </c>
      <c r="H69" s="85" t="s">
        <v>6659</v>
      </c>
      <c r="I69" s="23"/>
      <c r="J69" s="23"/>
      <c r="K69" s="23"/>
      <c r="L69" s="23"/>
      <c r="M69" s="23"/>
    </row>
    <row r="70" spans="1:13">
      <c r="A70" s="23"/>
      <c r="B70" s="74" t="s">
        <v>6816</v>
      </c>
      <c r="C70" s="74" t="s">
        <v>545</v>
      </c>
      <c r="D70" s="74" t="s">
        <v>3229</v>
      </c>
      <c r="E70" s="74" t="s">
        <v>6803</v>
      </c>
      <c r="F70" s="81">
        <v>11</v>
      </c>
      <c r="G70" s="74" t="s">
        <v>178</v>
      </c>
      <c r="H70" s="85" t="s">
        <v>6659</v>
      </c>
      <c r="I70" s="23"/>
      <c r="J70" s="23"/>
      <c r="K70" s="23"/>
      <c r="L70" s="23"/>
      <c r="M70" s="23"/>
    </row>
    <row r="71" spans="1:13">
      <c r="A71" s="23"/>
      <c r="B71" s="85" t="s">
        <v>6816</v>
      </c>
      <c r="C71" s="85" t="s">
        <v>545</v>
      </c>
      <c r="D71" s="85" t="s">
        <v>6682</v>
      </c>
      <c r="E71" s="85" t="s">
        <v>6654</v>
      </c>
      <c r="F71" s="85">
        <v>25</v>
      </c>
      <c r="G71" s="85" t="s">
        <v>178</v>
      </c>
      <c r="H71" s="85" t="s">
        <v>6659</v>
      </c>
      <c r="I71" s="23"/>
      <c r="J71" s="23"/>
      <c r="K71" s="23"/>
      <c r="L71" s="23"/>
      <c r="M71" s="23"/>
    </row>
    <row r="72" spans="1:13">
      <c r="A72" s="23"/>
      <c r="B72" s="73" t="s">
        <v>6819</v>
      </c>
      <c r="C72" s="73" t="s">
        <v>545</v>
      </c>
      <c r="D72" s="73" t="s">
        <v>3256</v>
      </c>
      <c r="E72" s="73" t="s">
        <v>6802</v>
      </c>
      <c r="F72" s="82">
        <v>11</v>
      </c>
      <c r="G72" s="73" t="s">
        <v>178</v>
      </c>
      <c r="H72" s="85" t="s">
        <v>6659</v>
      </c>
      <c r="I72" s="23"/>
      <c r="J72" s="23"/>
      <c r="K72" s="23"/>
      <c r="L72" s="23"/>
      <c r="M72" s="23"/>
    </row>
    <row r="73" spans="1:13">
      <c r="A73" s="23"/>
      <c r="B73" s="74" t="s">
        <v>6819</v>
      </c>
      <c r="C73" s="74" t="s">
        <v>545</v>
      </c>
      <c r="D73" s="74" t="s">
        <v>3256</v>
      </c>
      <c r="E73" s="74" t="s">
        <v>6803</v>
      </c>
      <c r="F73" s="81">
        <v>11</v>
      </c>
      <c r="G73" s="74" t="s">
        <v>178</v>
      </c>
      <c r="H73" s="85" t="s">
        <v>6659</v>
      </c>
      <c r="I73" s="23"/>
      <c r="J73" s="23"/>
      <c r="K73" s="23"/>
      <c r="L73" s="23"/>
      <c r="M73" s="23"/>
    </row>
    <row r="74" spans="1:13">
      <c r="A74" s="23"/>
      <c r="B74" s="85" t="s">
        <v>6822</v>
      </c>
      <c r="C74" s="85" t="s">
        <v>153</v>
      </c>
      <c r="D74" s="85" t="s">
        <v>3375</v>
      </c>
      <c r="E74" s="85" t="s">
        <v>6711</v>
      </c>
      <c r="F74" s="85">
        <v>22</v>
      </c>
      <c r="G74" s="85" t="s">
        <v>178</v>
      </c>
      <c r="H74" s="85" t="s">
        <v>6659</v>
      </c>
      <c r="I74" s="23"/>
      <c r="J74" s="23"/>
      <c r="K74" s="23"/>
      <c r="L74" s="23"/>
      <c r="M74" s="23"/>
    </row>
    <row r="75" spans="1:13">
      <c r="A75" s="23"/>
      <c r="B75" s="74" t="s">
        <v>6822</v>
      </c>
      <c r="C75" s="74" t="s">
        <v>153</v>
      </c>
      <c r="D75" s="74" t="s">
        <v>3375</v>
      </c>
      <c r="E75" s="74" t="s">
        <v>6717</v>
      </c>
      <c r="F75" s="74">
        <v>21</v>
      </c>
      <c r="G75" s="74" t="s">
        <v>178</v>
      </c>
      <c r="H75" s="85" t="s">
        <v>6659</v>
      </c>
      <c r="I75" s="23"/>
      <c r="J75" s="23"/>
      <c r="K75" s="23"/>
      <c r="L75" s="23"/>
      <c r="M75" s="23"/>
    </row>
    <row r="76" spans="1:13">
      <c r="A76" s="23"/>
      <c r="B76" s="74" t="s">
        <v>6822</v>
      </c>
      <c r="C76" s="74" t="s">
        <v>153</v>
      </c>
      <c r="D76" s="74" t="s">
        <v>3375</v>
      </c>
      <c r="E76" s="74" t="s">
        <v>6721</v>
      </c>
      <c r="F76" s="74">
        <v>21</v>
      </c>
      <c r="G76" s="74" t="s">
        <v>178</v>
      </c>
      <c r="H76" s="85" t="s">
        <v>6659</v>
      </c>
      <c r="I76" s="23"/>
      <c r="J76" s="23"/>
      <c r="K76" s="23"/>
      <c r="L76" s="23"/>
      <c r="M76" s="23"/>
    </row>
    <row r="77" spans="1:13">
      <c r="A77" s="23"/>
      <c r="B77" s="74" t="s">
        <v>6822</v>
      </c>
      <c r="C77" s="74" t="s">
        <v>153</v>
      </c>
      <c r="D77" s="74" t="s">
        <v>3375</v>
      </c>
      <c r="E77" s="74" t="s">
        <v>6722</v>
      </c>
      <c r="F77" s="74">
        <v>20</v>
      </c>
      <c r="G77" s="74" t="s">
        <v>178</v>
      </c>
      <c r="H77" s="85" t="s">
        <v>6659</v>
      </c>
      <c r="I77" s="23"/>
      <c r="J77" s="23"/>
      <c r="K77" s="23"/>
      <c r="L77" s="23"/>
      <c r="M77" s="23"/>
    </row>
    <row r="78" spans="1:13">
      <c r="A78" s="23"/>
      <c r="B78" s="74" t="s">
        <v>6823</v>
      </c>
      <c r="C78" s="74" t="s">
        <v>153</v>
      </c>
      <c r="D78" s="74" t="s">
        <v>3464</v>
      </c>
      <c r="E78" s="74" t="s">
        <v>6712</v>
      </c>
      <c r="F78" s="74">
        <v>20</v>
      </c>
      <c r="G78" s="74" t="s">
        <v>450</v>
      </c>
      <c r="H78" s="74" t="s">
        <v>178</v>
      </c>
      <c r="I78" s="23"/>
      <c r="J78" s="23"/>
      <c r="K78" s="23"/>
      <c r="L78" s="23"/>
      <c r="M78" s="23"/>
    </row>
    <row r="79" spans="1:13">
      <c r="A79" s="23"/>
      <c r="B79" s="74" t="s">
        <v>6823</v>
      </c>
      <c r="C79" s="74" t="s">
        <v>153</v>
      </c>
      <c r="D79" s="74" t="s">
        <v>3464</v>
      </c>
      <c r="E79" s="74" t="s">
        <v>6718</v>
      </c>
      <c r="F79" s="74">
        <v>19</v>
      </c>
      <c r="G79" s="74" t="s">
        <v>450</v>
      </c>
      <c r="H79" s="74" t="s">
        <v>178</v>
      </c>
      <c r="I79" s="23"/>
      <c r="J79" s="23"/>
      <c r="K79" s="23"/>
      <c r="L79" s="23"/>
      <c r="M79" s="23"/>
    </row>
    <row r="80" spans="1:13">
      <c r="A80" s="23"/>
      <c r="B80" s="74" t="s">
        <v>6823</v>
      </c>
      <c r="C80" s="74" t="s">
        <v>153</v>
      </c>
      <c r="D80" s="74" t="s">
        <v>3594</v>
      </c>
      <c r="E80" s="74" t="s">
        <v>6713</v>
      </c>
      <c r="F80" s="81">
        <v>15.3</v>
      </c>
      <c r="G80" s="74" t="s">
        <v>450</v>
      </c>
      <c r="H80" s="74" t="s">
        <v>178</v>
      </c>
      <c r="I80" s="23"/>
      <c r="J80" s="23"/>
      <c r="K80" s="23"/>
      <c r="L80" s="23"/>
      <c r="M80" s="23"/>
    </row>
    <row r="81" spans="1:13">
      <c r="A81" s="23"/>
      <c r="B81" s="74" t="s">
        <v>6823</v>
      </c>
      <c r="C81" s="74" t="s">
        <v>153</v>
      </c>
      <c r="D81" s="74" t="s">
        <v>3594</v>
      </c>
      <c r="E81" s="74" t="s">
        <v>6719</v>
      </c>
      <c r="F81" s="81">
        <v>14.8</v>
      </c>
      <c r="G81" s="74" t="s">
        <v>450</v>
      </c>
      <c r="H81" s="74" t="s">
        <v>178</v>
      </c>
      <c r="I81" s="23"/>
      <c r="J81" s="23"/>
      <c r="K81" s="23"/>
      <c r="L81" s="23"/>
      <c r="M81" s="23"/>
    </row>
    <row r="82" spans="1:13">
      <c r="A82" s="23"/>
      <c r="B82" s="85" t="s">
        <v>6823</v>
      </c>
      <c r="C82" s="85" t="s">
        <v>6821</v>
      </c>
      <c r="D82" s="85">
        <v>1500</v>
      </c>
      <c r="E82" s="85" t="s">
        <v>6736</v>
      </c>
      <c r="F82" s="85">
        <v>23</v>
      </c>
      <c r="G82" s="85" t="s">
        <v>728</v>
      </c>
      <c r="H82" s="85" t="s">
        <v>6659</v>
      </c>
      <c r="I82" s="23"/>
      <c r="J82" s="23"/>
      <c r="K82" s="23"/>
      <c r="L82" s="23"/>
      <c r="M82" s="23"/>
    </row>
    <row r="83" spans="1:13">
      <c r="A83" s="23"/>
      <c r="B83" s="74" t="s">
        <v>6823</v>
      </c>
      <c r="C83" s="74" t="s">
        <v>6821</v>
      </c>
      <c r="D83" s="74">
        <v>1500</v>
      </c>
      <c r="E83" s="74" t="s">
        <v>6738</v>
      </c>
      <c r="F83" s="74">
        <v>20</v>
      </c>
      <c r="G83" s="74" t="s">
        <v>450</v>
      </c>
      <c r="H83" s="74" t="s">
        <v>178</v>
      </c>
      <c r="I83" s="23"/>
      <c r="J83" s="23"/>
      <c r="K83" s="23"/>
      <c r="L83" s="23"/>
      <c r="M83" s="23"/>
    </row>
    <row r="84" spans="1:13">
      <c r="A84" s="23"/>
      <c r="B84" s="74" t="s">
        <v>6823</v>
      </c>
      <c r="C84" s="74" t="s">
        <v>6821</v>
      </c>
      <c r="D84" s="74">
        <v>1500</v>
      </c>
      <c r="E84" s="74" t="s">
        <v>6740</v>
      </c>
      <c r="F84" s="74">
        <v>16</v>
      </c>
      <c r="G84" s="74" t="s">
        <v>178</v>
      </c>
      <c r="H84" s="74" t="s">
        <v>6659</v>
      </c>
      <c r="I84" s="23"/>
      <c r="J84" s="23"/>
      <c r="K84" s="23"/>
      <c r="L84" s="23"/>
      <c r="M84" s="23"/>
    </row>
    <row r="85" spans="1:13">
      <c r="A85" s="23"/>
      <c r="B85" s="74" t="s">
        <v>6823</v>
      </c>
      <c r="C85" s="74" t="s">
        <v>6821</v>
      </c>
      <c r="D85" s="74">
        <v>1500</v>
      </c>
      <c r="E85" s="74" t="s">
        <v>6742</v>
      </c>
      <c r="F85" s="74">
        <v>17</v>
      </c>
      <c r="G85" s="74" t="s">
        <v>178</v>
      </c>
      <c r="H85" s="74" t="s">
        <v>6659</v>
      </c>
      <c r="I85" s="23"/>
      <c r="J85" s="23"/>
      <c r="K85" s="23"/>
      <c r="L85" s="23"/>
      <c r="M85" s="23"/>
    </row>
    <row r="86" spans="1:13">
      <c r="A86" s="23"/>
      <c r="B86" s="85" t="s">
        <v>6823</v>
      </c>
      <c r="C86" s="85" t="s">
        <v>6821</v>
      </c>
      <c r="D86" s="85">
        <v>1500</v>
      </c>
      <c r="E86" s="85" t="s">
        <v>6744</v>
      </c>
      <c r="F86" s="85">
        <v>22</v>
      </c>
      <c r="G86" s="85" t="s">
        <v>728</v>
      </c>
      <c r="H86" s="85" t="s">
        <v>6659</v>
      </c>
      <c r="I86" s="23"/>
      <c r="J86" s="23"/>
      <c r="K86" s="23"/>
      <c r="L86" s="23"/>
      <c r="M86" s="23"/>
    </row>
    <row r="87" spans="1:13">
      <c r="A87" s="23"/>
      <c r="B87" s="74" t="s">
        <v>6823</v>
      </c>
      <c r="C87" s="74" t="s">
        <v>6821</v>
      </c>
      <c r="D87" s="74">
        <v>1500</v>
      </c>
      <c r="E87" s="74" t="s">
        <v>6746</v>
      </c>
      <c r="F87" s="74">
        <v>19</v>
      </c>
      <c r="G87" s="74" t="s">
        <v>450</v>
      </c>
      <c r="H87" s="74" t="s">
        <v>6659</v>
      </c>
      <c r="I87" s="23"/>
      <c r="J87" s="23"/>
      <c r="K87" s="23"/>
      <c r="L87" s="23"/>
      <c r="M87" s="23"/>
    </row>
    <row r="88" spans="1:13">
      <c r="A88" s="23"/>
      <c r="B88" s="74" t="s">
        <v>6823</v>
      </c>
      <c r="C88" s="74" t="s">
        <v>6821</v>
      </c>
      <c r="D88" s="74">
        <v>1500</v>
      </c>
      <c r="E88" s="74" t="s">
        <v>6748</v>
      </c>
      <c r="F88" s="74">
        <v>15</v>
      </c>
      <c r="G88" s="74" t="s">
        <v>178</v>
      </c>
      <c r="H88" s="74" t="s">
        <v>6659</v>
      </c>
      <c r="I88" s="23"/>
      <c r="J88" s="23"/>
      <c r="K88" s="23"/>
      <c r="L88" s="23"/>
      <c r="M88" s="23"/>
    </row>
    <row r="89" spans="1:13">
      <c r="A89" s="23"/>
      <c r="B89" s="74" t="s">
        <v>6823</v>
      </c>
      <c r="C89" s="74" t="s">
        <v>6821</v>
      </c>
      <c r="D89" s="74">
        <v>1500</v>
      </c>
      <c r="E89" s="74" t="s">
        <v>6750</v>
      </c>
      <c r="F89" s="74">
        <v>17</v>
      </c>
      <c r="G89" s="74" t="s">
        <v>178</v>
      </c>
      <c r="H89" s="74" t="s">
        <v>6659</v>
      </c>
      <c r="I89" s="23"/>
      <c r="J89" s="23"/>
      <c r="K89" s="23"/>
      <c r="L89" s="23"/>
      <c r="M89" s="23"/>
    </row>
    <row r="90" spans="1:13">
      <c r="A90" s="23"/>
      <c r="B90" s="74" t="s">
        <v>6823</v>
      </c>
      <c r="C90" s="74" t="s">
        <v>6821</v>
      </c>
      <c r="D90" s="74">
        <v>1500</v>
      </c>
      <c r="E90" s="74" t="s">
        <v>6751</v>
      </c>
      <c r="F90" s="81">
        <v>16</v>
      </c>
      <c r="G90" s="74" t="s">
        <v>178</v>
      </c>
      <c r="H90" s="74" t="s">
        <v>6659</v>
      </c>
      <c r="I90" s="23"/>
      <c r="J90" s="23"/>
      <c r="K90" s="23"/>
      <c r="L90" s="23"/>
      <c r="M90" s="23"/>
    </row>
    <row r="91" spans="1:13">
      <c r="A91" s="23"/>
      <c r="B91" s="74" t="s">
        <v>6823</v>
      </c>
      <c r="C91" s="74" t="s">
        <v>6821</v>
      </c>
      <c r="D91" s="74">
        <v>2500</v>
      </c>
      <c r="E91" s="74" t="s">
        <v>6737</v>
      </c>
      <c r="F91" s="81">
        <v>15.3</v>
      </c>
      <c r="G91" s="74" t="s">
        <v>178</v>
      </c>
      <c r="H91" s="74" t="s">
        <v>6659</v>
      </c>
      <c r="I91" s="23"/>
      <c r="J91" s="23"/>
      <c r="K91" s="23"/>
      <c r="L91" s="23"/>
      <c r="M91" s="23"/>
    </row>
    <row r="92" spans="1:13">
      <c r="A92" s="23"/>
      <c r="B92" s="74" t="s">
        <v>6823</v>
      </c>
      <c r="C92" s="74" t="s">
        <v>6821</v>
      </c>
      <c r="D92" s="74">
        <v>2500</v>
      </c>
      <c r="E92" s="74" t="s">
        <v>6739</v>
      </c>
      <c r="F92" s="81">
        <v>15.3</v>
      </c>
      <c r="G92" s="74" t="s">
        <v>178</v>
      </c>
      <c r="H92" s="74" t="s">
        <v>6659</v>
      </c>
      <c r="I92" s="23"/>
      <c r="J92" s="23"/>
      <c r="K92" s="23"/>
      <c r="L92" s="23"/>
      <c r="M92" s="23"/>
    </row>
    <row r="93" spans="1:13">
      <c r="A93" s="23"/>
      <c r="B93" s="74" t="s">
        <v>6823</v>
      </c>
      <c r="C93" s="74" t="s">
        <v>6821</v>
      </c>
      <c r="D93" s="74">
        <v>2500</v>
      </c>
      <c r="E93" s="74" t="s">
        <v>6741</v>
      </c>
      <c r="F93" s="81">
        <v>15.3</v>
      </c>
      <c r="G93" s="74" t="s">
        <v>728</v>
      </c>
      <c r="H93" s="74" t="s">
        <v>6659</v>
      </c>
      <c r="I93" s="23"/>
      <c r="J93" s="23"/>
      <c r="K93" s="23"/>
      <c r="L93" s="23"/>
      <c r="M93" s="23"/>
    </row>
    <row r="94" spans="1:13">
      <c r="A94" s="23"/>
      <c r="B94" s="74" t="s">
        <v>6823</v>
      </c>
      <c r="C94" s="74" t="s">
        <v>6821</v>
      </c>
      <c r="D94" s="74">
        <v>2500</v>
      </c>
      <c r="E94" s="74" t="s">
        <v>6743</v>
      </c>
      <c r="F94" s="81">
        <v>14.8</v>
      </c>
      <c r="G94" s="74" t="s">
        <v>1529</v>
      </c>
      <c r="H94" s="74" t="s">
        <v>6659</v>
      </c>
      <c r="I94" s="23"/>
      <c r="J94" s="23"/>
      <c r="K94" s="23"/>
      <c r="L94" s="23"/>
      <c r="M94" s="23"/>
    </row>
    <row r="95" spans="1:13">
      <c r="A95" s="23"/>
      <c r="B95" s="74" t="s">
        <v>6823</v>
      </c>
      <c r="C95" s="74" t="s">
        <v>6821</v>
      </c>
      <c r="D95" s="74">
        <v>2500</v>
      </c>
      <c r="E95" s="74" t="s">
        <v>6745</v>
      </c>
      <c r="F95" s="81">
        <v>14.8</v>
      </c>
      <c r="G95" s="74" t="s">
        <v>178</v>
      </c>
      <c r="H95" s="74" t="s">
        <v>6659</v>
      </c>
      <c r="I95" s="23"/>
      <c r="J95" s="23"/>
      <c r="K95" s="23"/>
      <c r="L95" s="23"/>
      <c r="M95" s="23"/>
    </row>
    <row r="96" spans="1:13">
      <c r="A96" s="23"/>
      <c r="B96" s="74" t="s">
        <v>6823</v>
      </c>
      <c r="C96" s="74" t="s">
        <v>6821</v>
      </c>
      <c r="D96" s="74">
        <v>2500</v>
      </c>
      <c r="E96" s="74" t="s">
        <v>6747</v>
      </c>
      <c r="F96" s="81">
        <v>14.8</v>
      </c>
      <c r="G96" s="74" t="s">
        <v>178</v>
      </c>
      <c r="H96" s="74" t="s">
        <v>6659</v>
      </c>
      <c r="I96" s="23"/>
      <c r="J96" s="23"/>
      <c r="K96" s="23"/>
      <c r="L96" s="23"/>
      <c r="M96" s="23"/>
    </row>
    <row r="97" spans="1:13">
      <c r="A97" s="23"/>
      <c r="B97" s="74" t="s">
        <v>6823</v>
      </c>
      <c r="C97" s="74" t="s">
        <v>6821</v>
      </c>
      <c r="D97" s="74">
        <v>2500</v>
      </c>
      <c r="E97" s="74" t="s">
        <v>6749</v>
      </c>
      <c r="F97" s="81">
        <v>14.8</v>
      </c>
      <c r="G97" s="74" t="s">
        <v>728</v>
      </c>
      <c r="H97" s="74" t="s">
        <v>6659</v>
      </c>
      <c r="I97" s="23"/>
      <c r="J97" s="23"/>
      <c r="K97" s="23"/>
      <c r="L97" s="23"/>
      <c r="M97" s="23"/>
    </row>
    <row r="98" spans="1:13">
      <c r="A98" s="23"/>
      <c r="B98" s="85" t="s">
        <v>6823</v>
      </c>
      <c r="C98" s="85" t="s">
        <v>271</v>
      </c>
      <c r="D98" s="85" t="s">
        <v>3765</v>
      </c>
      <c r="E98" s="85" t="s">
        <v>6770</v>
      </c>
      <c r="F98" s="85">
        <v>22</v>
      </c>
      <c r="G98" s="85" t="s">
        <v>178</v>
      </c>
      <c r="H98" s="85" t="s">
        <v>6659</v>
      </c>
      <c r="I98" s="23"/>
      <c r="J98" s="23"/>
      <c r="K98" s="23"/>
      <c r="L98" s="23"/>
      <c r="M98" s="23"/>
    </row>
    <row r="99" spans="1:13">
      <c r="A99" s="23"/>
      <c r="B99" s="74" t="s">
        <v>6823</v>
      </c>
      <c r="C99" s="74" t="s">
        <v>271</v>
      </c>
      <c r="D99" s="74" t="s">
        <v>3765</v>
      </c>
      <c r="E99" s="74" t="s">
        <v>6776</v>
      </c>
      <c r="F99" s="74">
        <v>20</v>
      </c>
      <c r="G99" s="74" t="s">
        <v>178</v>
      </c>
      <c r="H99" s="74" t="s">
        <v>6659</v>
      </c>
      <c r="I99" s="23"/>
      <c r="J99" s="23"/>
      <c r="K99" s="23"/>
      <c r="L99" s="23"/>
      <c r="M99" s="23"/>
    </row>
    <row r="100" spans="1:13">
      <c r="A100" s="23"/>
      <c r="B100" s="74" t="s">
        <v>6823</v>
      </c>
      <c r="C100" s="74" t="s">
        <v>271</v>
      </c>
      <c r="D100" s="74" t="s">
        <v>3765</v>
      </c>
      <c r="E100" s="74" t="s">
        <v>6778</v>
      </c>
      <c r="F100" s="74">
        <v>20</v>
      </c>
      <c r="G100" s="74" t="s">
        <v>450</v>
      </c>
      <c r="H100" s="74" t="s">
        <v>178</v>
      </c>
      <c r="I100" s="23"/>
      <c r="J100" s="23"/>
      <c r="K100" s="23"/>
      <c r="L100" s="23"/>
      <c r="M100" s="23"/>
    </row>
    <row r="101" spans="1:13">
      <c r="A101" s="23"/>
      <c r="B101" s="74" t="s">
        <v>6823</v>
      </c>
      <c r="C101" s="74" t="s">
        <v>271</v>
      </c>
      <c r="D101" s="74" t="s">
        <v>3765</v>
      </c>
      <c r="E101" s="74" t="s">
        <v>6780</v>
      </c>
      <c r="F101" s="74">
        <v>18</v>
      </c>
      <c r="G101" s="74" t="s">
        <v>450</v>
      </c>
      <c r="H101" s="74" t="s">
        <v>178</v>
      </c>
      <c r="I101" s="23"/>
      <c r="J101" s="23"/>
      <c r="K101" s="23"/>
      <c r="L101" s="23"/>
      <c r="M101" s="23"/>
    </row>
    <row r="102" spans="1:13">
      <c r="A102" s="23"/>
      <c r="B102" s="74" t="s">
        <v>6823</v>
      </c>
      <c r="C102" s="74" t="s">
        <v>271</v>
      </c>
      <c r="D102" s="74" t="s">
        <v>3765</v>
      </c>
      <c r="E102" s="74" t="s">
        <v>6782</v>
      </c>
      <c r="F102" s="74">
        <v>20</v>
      </c>
      <c r="G102" s="74" t="s">
        <v>178</v>
      </c>
      <c r="H102" s="74" t="s">
        <v>6659</v>
      </c>
      <c r="I102" s="23"/>
      <c r="J102" s="23"/>
      <c r="K102" s="23"/>
      <c r="L102" s="23"/>
      <c r="M102" s="23"/>
    </row>
    <row r="103" spans="1:13">
      <c r="A103" s="23"/>
      <c r="B103" s="74" t="s">
        <v>6823</v>
      </c>
      <c r="C103" s="74" t="s">
        <v>271</v>
      </c>
      <c r="D103" s="74" t="s">
        <v>3765</v>
      </c>
      <c r="E103" s="74" t="s">
        <v>6784</v>
      </c>
      <c r="F103" s="74">
        <v>19</v>
      </c>
      <c r="G103" s="74" t="s">
        <v>450</v>
      </c>
      <c r="H103" s="74" t="s">
        <v>178</v>
      </c>
      <c r="I103" s="23"/>
      <c r="J103" s="23"/>
      <c r="K103" s="23"/>
      <c r="L103" s="23"/>
      <c r="M103" s="23"/>
    </row>
    <row r="104" spans="1:13">
      <c r="A104" s="23"/>
      <c r="B104" s="74" t="s">
        <v>6823</v>
      </c>
      <c r="C104" s="74" t="s">
        <v>271</v>
      </c>
      <c r="D104" s="74" t="s">
        <v>3765</v>
      </c>
      <c r="E104" s="74" t="s">
        <v>6786</v>
      </c>
      <c r="F104" s="74">
        <v>19</v>
      </c>
      <c r="G104" s="74" t="s">
        <v>178</v>
      </c>
      <c r="H104" s="74" t="s">
        <v>6659</v>
      </c>
      <c r="I104" s="23"/>
      <c r="J104" s="23"/>
      <c r="K104" s="23"/>
      <c r="L104" s="23"/>
      <c r="M104" s="23"/>
    </row>
    <row r="105" spans="1:13">
      <c r="A105" s="23"/>
      <c r="B105" s="74" t="s">
        <v>6823</v>
      </c>
      <c r="C105" s="74" t="s">
        <v>271</v>
      </c>
      <c r="D105" s="74" t="s">
        <v>3765</v>
      </c>
      <c r="E105" s="74" t="s">
        <v>6787</v>
      </c>
      <c r="F105" s="74">
        <v>17</v>
      </c>
      <c r="G105" s="74" t="s">
        <v>450</v>
      </c>
      <c r="H105" s="74" t="s">
        <v>178</v>
      </c>
      <c r="I105" s="23"/>
      <c r="J105" s="23"/>
      <c r="K105" s="23"/>
      <c r="L105" s="23"/>
      <c r="M105" s="23"/>
    </row>
    <row r="106" spans="1:13">
      <c r="A106" s="23"/>
      <c r="B106" s="74" t="s">
        <v>6823</v>
      </c>
      <c r="C106" s="74" t="s">
        <v>271</v>
      </c>
      <c r="D106" s="74" t="s">
        <v>4229</v>
      </c>
      <c r="E106" s="74" t="s">
        <v>6771</v>
      </c>
      <c r="F106" s="82">
        <v>15.3</v>
      </c>
      <c r="G106" s="74" t="s">
        <v>450</v>
      </c>
      <c r="H106" s="74" t="s">
        <v>178</v>
      </c>
      <c r="I106" s="23"/>
      <c r="J106" s="23"/>
      <c r="K106" s="23"/>
      <c r="L106" s="23"/>
      <c r="M106" s="23"/>
    </row>
    <row r="107" spans="1:13">
      <c r="A107" s="23"/>
      <c r="B107" s="74" t="s">
        <v>6823</v>
      </c>
      <c r="C107" s="74" t="s">
        <v>271</v>
      </c>
      <c r="D107" s="74" t="s">
        <v>4229</v>
      </c>
      <c r="E107" s="74" t="s">
        <v>6777</v>
      </c>
      <c r="F107" s="82">
        <v>15.3</v>
      </c>
      <c r="G107" s="74" t="s">
        <v>450</v>
      </c>
      <c r="H107" s="74" t="s">
        <v>178</v>
      </c>
      <c r="I107" s="23"/>
      <c r="J107" s="23"/>
      <c r="K107" s="23"/>
      <c r="L107" s="23"/>
      <c r="M107" s="23"/>
    </row>
    <row r="108" spans="1:13">
      <c r="A108" s="23"/>
      <c r="B108" s="74" t="s">
        <v>6823</v>
      </c>
      <c r="C108" s="74" t="s">
        <v>271</v>
      </c>
      <c r="D108" s="74" t="s">
        <v>4229</v>
      </c>
      <c r="E108" s="74" t="s">
        <v>6779</v>
      </c>
      <c r="F108" s="82">
        <v>15.3</v>
      </c>
      <c r="G108" s="74" t="s">
        <v>728</v>
      </c>
      <c r="H108" s="74" t="s">
        <v>6659</v>
      </c>
      <c r="I108" s="23"/>
      <c r="J108" s="23"/>
      <c r="K108" s="23"/>
      <c r="L108" s="23"/>
      <c r="M108" s="23"/>
    </row>
    <row r="109" spans="1:13">
      <c r="A109" s="23"/>
      <c r="B109" s="74" t="s">
        <v>6823</v>
      </c>
      <c r="C109" s="74" t="s">
        <v>271</v>
      </c>
      <c r="D109" s="74" t="s">
        <v>4229</v>
      </c>
      <c r="E109" s="74" t="s">
        <v>6781</v>
      </c>
      <c r="F109" s="82">
        <v>14.8</v>
      </c>
      <c r="G109" s="74" t="s">
        <v>450</v>
      </c>
      <c r="H109" s="74" t="s">
        <v>178</v>
      </c>
      <c r="I109" s="23"/>
      <c r="J109" s="23"/>
      <c r="K109" s="23"/>
      <c r="L109" s="23"/>
      <c r="M109" s="23"/>
    </row>
    <row r="110" spans="1:13">
      <c r="A110" s="23"/>
      <c r="B110" s="74" t="s">
        <v>6823</v>
      </c>
      <c r="C110" s="74" t="s">
        <v>271</v>
      </c>
      <c r="D110" s="74" t="s">
        <v>4229</v>
      </c>
      <c r="E110" s="74" t="s">
        <v>6783</v>
      </c>
      <c r="F110" s="82">
        <v>14.8</v>
      </c>
      <c r="G110" s="74" t="s">
        <v>450</v>
      </c>
      <c r="H110" s="74" t="s">
        <v>178</v>
      </c>
      <c r="I110" s="23"/>
      <c r="J110" s="23"/>
      <c r="K110" s="23"/>
      <c r="L110" s="23"/>
      <c r="M110" s="23"/>
    </row>
    <row r="111" spans="1:13">
      <c r="A111" s="23"/>
      <c r="B111" s="74" t="s">
        <v>6823</v>
      </c>
      <c r="C111" s="74" t="s">
        <v>271</v>
      </c>
      <c r="D111" s="74" t="s">
        <v>4229</v>
      </c>
      <c r="E111" s="74" t="s">
        <v>6785</v>
      </c>
      <c r="F111" s="82">
        <v>14.8</v>
      </c>
      <c r="G111" s="74" t="s">
        <v>728</v>
      </c>
      <c r="H111" s="74" t="s">
        <v>6659</v>
      </c>
      <c r="I111" s="23"/>
      <c r="J111" s="23"/>
      <c r="K111" s="23"/>
      <c r="L111" s="23"/>
      <c r="M111" s="23"/>
    </row>
    <row r="112" spans="1:13">
      <c r="A112" s="23"/>
      <c r="B112" s="74" t="s">
        <v>6823</v>
      </c>
      <c r="C112" s="74" t="s">
        <v>545</v>
      </c>
      <c r="D112" s="79" t="s">
        <v>6690</v>
      </c>
      <c r="E112" s="56" t="s">
        <v>6711</v>
      </c>
      <c r="F112" s="74">
        <v>19</v>
      </c>
      <c r="G112" s="74" t="s">
        <v>666</v>
      </c>
      <c r="H112" s="74" t="s">
        <v>6659</v>
      </c>
      <c r="I112" s="23"/>
      <c r="J112" s="23"/>
      <c r="K112" s="23"/>
      <c r="L112" s="23"/>
      <c r="M112" s="23"/>
    </row>
    <row r="113" spans="1:13">
      <c r="A113" s="23"/>
      <c r="B113" s="74" t="s">
        <v>6823</v>
      </c>
      <c r="C113" s="74" t="s">
        <v>545</v>
      </c>
      <c r="D113" s="79" t="s">
        <v>6690</v>
      </c>
      <c r="E113" s="74" t="s">
        <v>6806</v>
      </c>
      <c r="F113" s="74">
        <v>18</v>
      </c>
      <c r="G113" s="74" t="s">
        <v>666</v>
      </c>
      <c r="H113" s="74" t="s">
        <v>6659</v>
      </c>
      <c r="I113" s="23"/>
      <c r="J113" s="23"/>
      <c r="K113" s="23"/>
      <c r="L113" s="23"/>
      <c r="M113" s="23"/>
    </row>
    <row r="114" spans="1:13">
      <c r="A114" s="23"/>
      <c r="B114" s="74" t="s">
        <v>6823</v>
      </c>
      <c r="C114" s="74" t="s">
        <v>545</v>
      </c>
      <c r="D114" s="56" t="s">
        <v>6690</v>
      </c>
      <c r="E114" s="74" t="s">
        <v>6808</v>
      </c>
      <c r="F114" s="74">
        <v>17</v>
      </c>
      <c r="G114" s="74" t="s">
        <v>666</v>
      </c>
      <c r="H114" s="74" t="s">
        <v>6659</v>
      </c>
      <c r="I114" s="23"/>
      <c r="J114" s="23"/>
      <c r="K114" s="23"/>
      <c r="L114" s="23"/>
      <c r="M114" s="23"/>
    </row>
    <row r="115" spans="1:13">
      <c r="A115" s="23"/>
      <c r="B115" s="74" t="s">
        <v>6823</v>
      </c>
      <c r="C115" s="74" t="s">
        <v>545</v>
      </c>
      <c r="D115" s="74" t="s">
        <v>5350</v>
      </c>
      <c r="E115" s="74" t="s">
        <v>6804</v>
      </c>
      <c r="F115" s="74">
        <v>15</v>
      </c>
      <c r="G115" s="74" t="s">
        <v>666</v>
      </c>
      <c r="H115" s="74" t="s">
        <v>6659</v>
      </c>
      <c r="I115" s="23"/>
      <c r="J115" s="23"/>
      <c r="K115" s="23"/>
      <c r="L115" s="23"/>
      <c r="M115" s="23"/>
    </row>
    <row r="116" spans="1:13">
      <c r="A116" s="23"/>
      <c r="B116" s="74" t="s">
        <v>6823</v>
      </c>
      <c r="C116" s="74" t="s">
        <v>545</v>
      </c>
      <c r="D116" s="74" t="s">
        <v>5350</v>
      </c>
      <c r="E116" s="74" t="s">
        <v>6807</v>
      </c>
      <c r="F116" s="74">
        <v>14</v>
      </c>
      <c r="G116" s="74" t="s">
        <v>666</v>
      </c>
      <c r="H116" s="74" t="s">
        <v>6659</v>
      </c>
      <c r="I116" s="23"/>
      <c r="J116" s="23"/>
      <c r="K116" s="23"/>
      <c r="L116" s="23"/>
      <c r="M116" s="23"/>
    </row>
    <row r="117" spans="1:13">
      <c r="A117" s="23"/>
      <c r="B117" s="23"/>
      <c r="C117" s="23"/>
      <c r="D117" s="23"/>
      <c r="E117" s="23"/>
      <c r="F117" s="23"/>
      <c r="G117" s="23"/>
      <c r="H117" s="23"/>
      <c r="I117" s="23"/>
      <c r="J117" s="23"/>
      <c r="K117" s="23"/>
      <c r="L117" s="23"/>
      <c r="M117" s="23"/>
    </row>
    <row r="118" spans="1:13">
      <c r="A118" s="23"/>
      <c r="B118" s="23"/>
      <c r="C118" s="23"/>
      <c r="D118" s="23"/>
      <c r="E118" s="23"/>
      <c r="F118" s="23"/>
      <c r="G118" s="23"/>
      <c r="H118" s="23"/>
      <c r="I118" s="23"/>
      <c r="J118" s="23"/>
      <c r="K118" s="23"/>
      <c r="L118" s="23"/>
      <c r="M118" s="23"/>
    </row>
    <row r="119" spans="1:13">
      <c r="A119" s="23"/>
      <c r="B119" s="23"/>
      <c r="C119" s="23"/>
      <c r="D119" s="23"/>
      <c r="E119" s="23"/>
      <c r="F119" s="23"/>
      <c r="G119" s="23"/>
      <c r="H119" s="23"/>
      <c r="I119" s="23"/>
      <c r="J119" s="23"/>
      <c r="K119" s="23"/>
      <c r="L119" s="23"/>
      <c r="M119" s="23"/>
    </row>
    <row r="120" spans="1:13">
      <c r="A120" s="23"/>
      <c r="B120" s="23"/>
      <c r="C120" s="23"/>
      <c r="D120" s="23"/>
      <c r="E120" s="23"/>
      <c r="F120" s="23"/>
      <c r="G120" s="23"/>
      <c r="H120" s="23"/>
      <c r="I120" s="23"/>
      <c r="J120" s="23"/>
      <c r="K120" s="23"/>
      <c r="L120" s="23"/>
      <c r="M120" s="23"/>
    </row>
    <row r="121" spans="1:13">
      <c r="A121" s="23"/>
      <c r="B121" s="23"/>
      <c r="C121" s="23"/>
      <c r="D121" s="23"/>
      <c r="E121" s="23"/>
      <c r="F121" s="23"/>
      <c r="G121" s="23"/>
      <c r="H121" s="23"/>
      <c r="I121" s="23"/>
      <c r="J121" s="23"/>
      <c r="K121" s="23"/>
      <c r="L121" s="23"/>
      <c r="M121" s="23"/>
    </row>
    <row r="122" spans="1:13">
      <c r="A122" s="23"/>
      <c r="B122" s="23"/>
      <c r="C122" s="23"/>
      <c r="D122" s="23"/>
      <c r="E122" s="23"/>
      <c r="F122" s="23"/>
      <c r="G122" s="23"/>
      <c r="H122" s="23"/>
      <c r="I122" s="23"/>
      <c r="J122" s="23"/>
      <c r="K122" s="23"/>
      <c r="L122" s="23"/>
      <c r="M122" s="23"/>
    </row>
    <row r="123" spans="1:13">
      <c r="A123" s="23"/>
      <c r="B123" s="23"/>
      <c r="C123" s="23"/>
      <c r="D123" s="23"/>
      <c r="E123" s="23"/>
      <c r="F123" s="23"/>
      <c r="G123" s="23"/>
      <c r="H123" s="23"/>
      <c r="I123" s="23"/>
      <c r="J123" s="23"/>
      <c r="K123" s="23"/>
      <c r="L123" s="23"/>
      <c r="M123" s="23"/>
    </row>
    <row r="124" spans="1:13">
      <c r="A124" s="23"/>
      <c r="B124" s="23"/>
      <c r="C124" s="23"/>
      <c r="D124" s="23"/>
      <c r="E124" s="23"/>
      <c r="F124" s="23"/>
      <c r="G124" s="23"/>
      <c r="H124" s="23"/>
      <c r="I124" s="23"/>
      <c r="J124" s="23"/>
      <c r="K124" s="23"/>
      <c r="L124" s="23"/>
      <c r="M124" s="23"/>
    </row>
    <row r="125" spans="1:13">
      <c r="A125" s="23"/>
      <c r="B125" s="23"/>
      <c r="C125" s="23"/>
      <c r="D125" s="23"/>
      <c r="E125" s="23"/>
      <c r="F125" s="23"/>
      <c r="G125" s="23"/>
      <c r="H125" s="23"/>
      <c r="I125" s="23"/>
      <c r="J125" s="23"/>
      <c r="K125" s="23"/>
      <c r="L125" s="23"/>
      <c r="M125" s="23"/>
    </row>
    <row r="126" spans="1:13">
      <c r="A126" s="23"/>
      <c r="B126" s="23"/>
      <c r="C126" s="23"/>
      <c r="D126" s="23"/>
      <c r="E126" s="23"/>
      <c r="F126" s="23"/>
      <c r="G126" s="23"/>
      <c r="H126" s="23"/>
      <c r="I126" s="23"/>
      <c r="J126" s="23"/>
      <c r="K126" s="23"/>
      <c r="L126" s="23"/>
      <c r="M126" s="23"/>
    </row>
    <row r="127" spans="1:13">
      <c r="A127" s="23"/>
      <c r="B127" s="23"/>
      <c r="C127" s="23"/>
      <c r="D127" s="23"/>
      <c r="E127" s="23"/>
      <c r="F127" s="23"/>
      <c r="G127" s="23"/>
      <c r="H127" s="23"/>
      <c r="I127" s="23"/>
      <c r="J127" s="23"/>
      <c r="K127" s="23"/>
      <c r="L127" s="23"/>
      <c r="M127" s="23"/>
    </row>
    <row r="128" spans="1:13">
      <c r="A128" s="23"/>
      <c r="B128" s="23"/>
      <c r="C128" s="23"/>
      <c r="D128" s="23"/>
      <c r="E128" s="23"/>
      <c r="F128" s="23"/>
      <c r="G128" s="23"/>
      <c r="H128" s="23"/>
      <c r="I128" s="23"/>
      <c r="J128" s="23"/>
      <c r="K128" s="23"/>
      <c r="L128" s="23"/>
      <c r="M128" s="23"/>
    </row>
    <row r="129" spans="1:13">
      <c r="A129" s="23"/>
      <c r="B129" s="23"/>
      <c r="C129" s="23"/>
      <c r="D129" s="23"/>
      <c r="E129" s="23"/>
      <c r="F129" s="23"/>
      <c r="G129" s="23"/>
      <c r="H129" s="23"/>
      <c r="I129" s="23"/>
      <c r="J129" s="23"/>
      <c r="K129" s="23"/>
      <c r="L129" s="23"/>
      <c r="M129" s="23"/>
    </row>
    <row r="130" spans="1:13">
      <c r="A130" s="23"/>
      <c r="B130" s="23"/>
      <c r="C130" s="23"/>
      <c r="D130" s="23"/>
      <c r="E130" s="23"/>
      <c r="F130" s="23"/>
      <c r="G130" s="23"/>
      <c r="H130" s="23"/>
      <c r="I130" s="23"/>
      <c r="J130" s="23"/>
      <c r="K130" s="23"/>
      <c r="L130" s="23"/>
      <c r="M130" s="23"/>
    </row>
    <row r="131" spans="1:13">
      <c r="A131" s="23"/>
      <c r="B131" s="23"/>
      <c r="C131" s="23"/>
      <c r="D131" s="23"/>
      <c r="E131" s="23"/>
      <c r="F131" s="23"/>
      <c r="G131" s="23"/>
      <c r="H131" s="23"/>
      <c r="I131" s="23"/>
      <c r="J131" s="23"/>
      <c r="K131" s="23"/>
      <c r="L131" s="23"/>
      <c r="M131" s="23"/>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I76"/>
  <sheetViews>
    <sheetView zoomScale="90" zoomScaleNormal="90" workbookViewId="0">
      <pane xSplit="1" ySplit="3" topLeftCell="B4" activePane="bottomRight" state="frozen"/>
      <selection pane="bottomRight"/>
      <selection pane="bottomLeft" activeCell="A4" sqref="A4"/>
      <selection pane="topRight" activeCell="B1" sqref="B1"/>
    </sheetView>
  </sheetViews>
  <sheetFormatPr defaultColWidth="0" defaultRowHeight="15" zeroHeight="1"/>
  <cols>
    <col min="1" max="1" width="3.7109375" customWidth="1"/>
    <col min="2" max="8" width="9.140625" customWidth="1"/>
    <col min="9" max="9" width="12" customWidth="1"/>
    <col min="10" max="14" width="9.140625" customWidth="1"/>
    <col min="15" max="15" width="3.7109375" customWidth="1"/>
    <col min="16" max="35" width="0" hidden="1" customWidth="1"/>
    <col min="36" max="16384" width="9.140625" hidden="1"/>
  </cols>
  <sheetData>
    <row r="1" spans="1:15" ht="21">
      <c r="A1" s="169"/>
      <c r="B1" s="918" t="s">
        <v>94</v>
      </c>
      <c r="C1" s="918"/>
      <c r="D1" s="918"/>
      <c r="E1" s="918"/>
      <c r="F1" s="918"/>
      <c r="G1" s="918"/>
      <c r="H1" s="918"/>
      <c r="I1" s="918"/>
      <c r="J1" s="918"/>
      <c r="K1" s="918"/>
      <c r="L1" s="918"/>
      <c r="M1" s="918"/>
      <c r="N1" s="99"/>
      <c r="O1" s="10"/>
    </row>
    <row r="2" spans="1:15">
      <c r="A2" s="10"/>
      <c r="B2" s="860" t="s">
        <v>6824</v>
      </c>
      <c r="C2" s="860"/>
      <c r="D2" s="860"/>
      <c r="E2" s="860"/>
      <c r="F2" s="860"/>
      <c r="G2" s="860"/>
      <c r="H2" s="860"/>
      <c r="I2" s="860"/>
      <c r="J2" s="860"/>
      <c r="K2" s="860"/>
      <c r="L2" s="860"/>
      <c r="M2" s="860"/>
      <c r="N2" s="10"/>
      <c r="O2" s="10"/>
    </row>
    <row r="3" spans="1:15">
      <c r="A3" s="10"/>
      <c r="B3" s="860"/>
      <c r="C3" s="860"/>
      <c r="D3" s="860"/>
      <c r="E3" s="860"/>
      <c r="F3" s="860"/>
      <c r="G3" s="860"/>
      <c r="H3" s="860"/>
      <c r="I3" s="860"/>
      <c r="J3" s="860"/>
      <c r="K3" s="860"/>
      <c r="L3" s="860"/>
      <c r="M3" s="860"/>
      <c r="N3" s="10"/>
      <c r="O3" s="10"/>
    </row>
    <row r="4" spans="1:15" s="99" customFormat="1">
      <c r="A4" s="10"/>
      <c r="B4" s="1239" t="s">
        <v>6825</v>
      </c>
      <c r="C4" s="1240"/>
      <c r="D4" s="1240"/>
      <c r="E4" s="1240"/>
      <c r="F4" s="1240"/>
      <c r="G4" s="1240"/>
      <c r="H4" s="1240"/>
      <c r="I4" s="1240"/>
      <c r="J4" s="1240"/>
      <c r="K4" s="1240"/>
      <c r="L4" s="1240"/>
      <c r="M4" s="1240"/>
      <c r="N4" s="1241"/>
      <c r="O4" s="10"/>
    </row>
    <row r="5" spans="1:15" ht="7.5" customHeight="1">
      <c r="A5" s="10"/>
      <c r="B5" s="164"/>
      <c r="C5" s="736"/>
      <c r="D5" s="736"/>
      <c r="E5" s="736"/>
      <c r="F5" s="736"/>
      <c r="G5" s="736"/>
      <c r="H5" s="736"/>
      <c r="I5" s="736"/>
      <c r="J5" s="736"/>
      <c r="K5" s="736"/>
      <c r="L5" s="736"/>
      <c r="M5" s="736"/>
      <c r="N5" s="10"/>
      <c r="O5" s="10"/>
    </row>
    <row r="6" spans="1:15" ht="15" customHeight="1">
      <c r="A6" s="10"/>
      <c r="B6" s="744" t="s">
        <v>97</v>
      </c>
      <c r="C6" s="736"/>
      <c r="D6" s="736"/>
      <c r="E6" s="736"/>
      <c r="F6" s="736"/>
      <c r="G6" s="736"/>
      <c r="H6" s="736"/>
      <c r="I6" s="736"/>
      <c r="J6" s="736"/>
      <c r="K6" s="736"/>
      <c r="L6" s="736"/>
      <c r="M6" s="736"/>
      <c r="N6" s="10"/>
      <c r="O6" s="10"/>
    </row>
    <row r="7" spans="1:15" s="99" customFormat="1" ht="7.5" customHeight="1">
      <c r="A7" s="10"/>
      <c r="B7" s="164"/>
      <c r="C7" s="736"/>
      <c r="D7" s="736"/>
      <c r="E7" s="736"/>
      <c r="F7" s="736"/>
      <c r="G7" s="736"/>
      <c r="H7" s="736"/>
      <c r="I7" s="736"/>
      <c r="J7" s="736"/>
      <c r="K7" s="736"/>
      <c r="L7" s="736"/>
      <c r="M7" s="736"/>
      <c r="N7" s="10"/>
      <c r="O7" s="10"/>
    </row>
    <row r="8" spans="1:15" ht="29.25" customHeight="1">
      <c r="A8" s="10"/>
      <c r="B8" s="1245" t="s">
        <v>6826</v>
      </c>
      <c r="C8" s="1246"/>
      <c r="D8" s="1246"/>
      <c r="E8" s="1246"/>
      <c r="F8" s="1246"/>
      <c r="G8" s="1246"/>
      <c r="H8" s="1246"/>
      <c r="I8" s="1246"/>
      <c r="J8" s="1246"/>
      <c r="K8" s="1246"/>
      <c r="L8" s="1246"/>
      <c r="M8" s="1246"/>
      <c r="N8" s="1247"/>
      <c r="O8" s="10"/>
    </row>
    <row r="9" spans="1:15" ht="15" customHeight="1">
      <c r="A9" s="10"/>
      <c r="B9" s="10"/>
      <c r="C9" s="10"/>
      <c r="D9" s="10"/>
      <c r="E9" s="10"/>
      <c r="F9" s="10"/>
      <c r="G9" s="10"/>
      <c r="H9" s="10"/>
      <c r="I9" s="10"/>
      <c r="J9" s="10"/>
      <c r="K9" s="10"/>
      <c r="L9" s="10"/>
      <c r="M9" s="10"/>
      <c r="N9" s="10"/>
      <c r="O9" s="10"/>
    </row>
    <row r="10" spans="1:15" ht="61.5" customHeight="1">
      <c r="A10" s="148"/>
      <c r="B10" s="1245" t="s">
        <v>6827</v>
      </c>
      <c r="C10" s="1246"/>
      <c r="D10" s="1246"/>
      <c r="E10" s="1246"/>
      <c r="F10" s="1246"/>
      <c r="G10" s="1246"/>
      <c r="H10" s="1246"/>
      <c r="I10" s="1246"/>
      <c r="J10" s="1246"/>
      <c r="K10" s="1246"/>
      <c r="L10" s="1246"/>
      <c r="M10" s="1246"/>
      <c r="N10" s="1247"/>
      <c r="O10" s="10"/>
    </row>
    <row r="11" spans="1:15" ht="15" customHeight="1">
      <c r="A11" s="10"/>
      <c r="B11" s="10"/>
      <c r="C11" s="10"/>
      <c r="D11" s="10"/>
      <c r="E11" s="10"/>
      <c r="F11" s="10"/>
      <c r="G11" s="10"/>
      <c r="H11" s="10"/>
      <c r="I11" s="10"/>
      <c r="J11" s="10"/>
      <c r="K11" s="10"/>
      <c r="L11" s="10"/>
      <c r="M11" s="10"/>
      <c r="N11" s="10"/>
      <c r="O11" s="10"/>
    </row>
    <row r="12" spans="1:15" ht="45" customHeight="1">
      <c r="A12" s="10"/>
      <c r="B12" s="1245" t="s">
        <v>6828</v>
      </c>
      <c r="C12" s="1248"/>
      <c r="D12" s="1248"/>
      <c r="E12" s="1248"/>
      <c r="F12" s="1248"/>
      <c r="G12" s="1248"/>
      <c r="H12" s="1248"/>
      <c r="I12" s="1248"/>
      <c r="J12" s="1248"/>
      <c r="K12" s="1248"/>
      <c r="L12" s="1248"/>
      <c r="M12" s="1248"/>
      <c r="N12" s="1064"/>
      <c r="O12" s="10"/>
    </row>
    <row r="13" spans="1:15" ht="15.95" thickBot="1">
      <c r="A13" s="10"/>
      <c r="B13" s="10"/>
      <c r="C13" s="10"/>
      <c r="D13" s="10"/>
      <c r="E13" s="10"/>
      <c r="F13" s="10"/>
      <c r="G13" s="10"/>
      <c r="H13" s="10"/>
      <c r="I13" s="10"/>
      <c r="J13" s="10"/>
      <c r="K13" s="10"/>
      <c r="L13" s="10"/>
      <c r="M13" s="10"/>
      <c r="N13" s="10"/>
      <c r="O13" s="10"/>
    </row>
    <row r="14" spans="1:15">
      <c r="A14" s="10"/>
      <c r="B14" s="110"/>
      <c r="C14" s="111"/>
      <c r="D14" s="111"/>
      <c r="E14" s="111"/>
      <c r="F14" s="111"/>
      <c r="G14" s="111"/>
      <c r="H14" s="111"/>
      <c r="I14" s="111"/>
      <c r="J14" s="111"/>
      <c r="K14" s="111"/>
      <c r="L14" s="111"/>
      <c r="M14" s="111"/>
      <c r="N14" s="112"/>
      <c r="O14" s="10"/>
    </row>
    <row r="15" spans="1:15" ht="15" customHeight="1">
      <c r="A15" s="10"/>
      <c r="B15" s="1237" t="s">
        <v>6297</v>
      </c>
      <c r="C15" s="1201"/>
      <c r="D15" s="828"/>
      <c r="E15" s="820"/>
      <c r="F15" s="820"/>
      <c r="G15" s="821"/>
      <c r="H15" s="1232" t="s">
        <v>6300</v>
      </c>
      <c r="I15" s="1233"/>
      <c r="J15" s="828"/>
      <c r="K15" s="820"/>
      <c r="L15" s="820"/>
      <c r="M15" s="821"/>
      <c r="N15" s="114"/>
      <c r="O15" s="10"/>
    </row>
    <row r="16" spans="1:15">
      <c r="A16" s="10"/>
      <c r="B16" s="759"/>
      <c r="C16" s="113"/>
      <c r="D16" s="113"/>
      <c r="E16" s="113"/>
      <c r="F16" s="113"/>
      <c r="G16" s="113"/>
      <c r="H16" s="758"/>
      <c r="I16" s="758"/>
      <c r="J16" s="113"/>
      <c r="K16" s="113"/>
      <c r="L16" s="113"/>
      <c r="M16" s="113"/>
      <c r="N16" s="114"/>
      <c r="O16" s="10"/>
    </row>
    <row r="17" spans="1:15">
      <c r="A17" s="10"/>
      <c r="B17" s="759"/>
      <c r="C17" s="1232" t="s">
        <v>6829</v>
      </c>
      <c r="D17" s="1238"/>
      <c r="E17" s="1238"/>
      <c r="F17" s="1238"/>
      <c r="G17" s="1238"/>
      <c r="H17" s="1238"/>
      <c r="I17" s="1238"/>
      <c r="J17" s="828"/>
      <c r="K17" s="820"/>
      <c r="L17" s="820"/>
      <c r="M17" s="821"/>
      <c r="N17" s="114"/>
      <c r="O17" s="10"/>
    </row>
    <row r="18" spans="1:15" ht="15.95" thickBot="1">
      <c r="A18" s="10"/>
      <c r="B18" s="116"/>
      <c r="C18" s="117"/>
      <c r="D18" s="117"/>
      <c r="E18" s="117"/>
      <c r="F18" s="117"/>
      <c r="G18" s="117"/>
      <c r="H18" s="117"/>
      <c r="I18" s="117"/>
      <c r="J18" s="117"/>
      <c r="K18" s="117"/>
      <c r="L18" s="117"/>
      <c r="M18" s="117"/>
      <c r="N18" s="118"/>
      <c r="O18" s="10"/>
    </row>
    <row r="19" spans="1:15" s="99" customFormat="1">
      <c r="A19" s="10"/>
      <c r="B19" s="89"/>
      <c r="C19" s="89"/>
      <c r="D19" s="89"/>
      <c r="E19" s="89"/>
      <c r="F19" s="89"/>
      <c r="G19" s="89"/>
      <c r="H19" s="89"/>
      <c r="I19" s="89"/>
      <c r="J19" s="89"/>
      <c r="K19" s="89"/>
      <c r="L19" s="89"/>
      <c r="M19" s="89"/>
      <c r="N19" s="89"/>
      <c r="O19" s="10"/>
    </row>
    <row r="20" spans="1:15" ht="15.95" thickBot="1">
      <c r="A20" s="10"/>
      <c r="B20" s="187" t="s">
        <v>6830</v>
      </c>
      <c r="C20" s="10"/>
      <c r="D20" s="10"/>
      <c r="E20" s="10"/>
      <c r="F20" s="10"/>
      <c r="G20" s="10"/>
      <c r="H20" s="10"/>
      <c r="I20" s="10"/>
      <c r="J20" s="10"/>
      <c r="K20" s="10"/>
      <c r="L20" s="10"/>
      <c r="M20" s="10"/>
      <c r="N20" s="10"/>
      <c r="O20" s="10"/>
    </row>
    <row r="21" spans="1:15" s="99" customFormat="1">
      <c r="A21" s="10"/>
      <c r="B21" s="184"/>
      <c r="C21" s="185"/>
      <c r="D21" s="185"/>
      <c r="E21" s="185"/>
      <c r="F21" s="185"/>
      <c r="G21" s="185"/>
      <c r="H21" s="185"/>
      <c r="I21" s="185"/>
      <c r="J21" s="185"/>
      <c r="K21" s="185"/>
      <c r="L21" s="185"/>
      <c r="M21" s="185"/>
      <c r="N21" s="186"/>
      <c r="O21" s="10"/>
    </row>
    <row r="22" spans="1:15" s="99" customFormat="1">
      <c r="A22" s="10"/>
      <c r="B22" s="175"/>
      <c r="C22" s="1022" t="s">
        <v>6831</v>
      </c>
      <c r="D22" s="1022"/>
      <c r="E22" s="1022"/>
      <c r="F22" s="1022"/>
      <c r="G22" s="1022"/>
      <c r="H22" s="1022"/>
      <c r="I22" s="1023"/>
      <c r="J22" s="1242"/>
      <c r="K22" s="1243"/>
      <c r="L22" s="1243"/>
      <c r="M22" s="1244"/>
      <c r="N22" s="172"/>
      <c r="O22" s="10"/>
    </row>
    <row r="23" spans="1:15" s="99" customFormat="1">
      <c r="A23" s="10"/>
      <c r="B23" s="175"/>
      <c r="C23" s="746"/>
      <c r="D23" s="746"/>
      <c r="E23" s="746"/>
      <c r="F23" s="746"/>
      <c r="G23" s="746"/>
      <c r="H23" s="746"/>
      <c r="I23" s="746"/>
      <c r="J23" s="746"/>
      <c r="K23" s="746"/>
      <c r="L23" s="746"/>
      <c r="M23" s="746"/>
      <c r="N23" s="172"/>
      <c r="O23" s="10"/>
    </row>
    <row r="24" spans="1:15" s="99" customFormat="1">
      <c r="A24" s="10"/>
      <c r="B24" s="175"/>
      <c r="C24" s="746"/>
      <c r="D24" s="746"/>
      <c r="E24" s="746"/>
      <c r="F24" s="746"/>
      <c r="G24" s="746"/>
      <c r="H24" s="1232" t="s">
        <v>6832</v>
      </c>
      <c r="I24" s="1233"/>
      <c r="J24" s="1234"/>
      <c r="K24" s="1235"/>
      <c r="L24" s="1235"/>
      <c r="M24" s="1236"/>
      <c r="N24" s="172"/>
      <c r="O24" s="10"/>
    </row>
    <row r="25" spans="1:15" s="99" customFormat="1" ht="15.95" thickBot="1">
      <c r="A25" s="10"/>
      <c r="B25" s="176"/>
      <c r="C25" s="177"/>
      <c r="D25" s="177"/>
      <c r="E25" s="177"/>
      <c r="F25" s="177"/>
      <c r="G25" s="177"/>
      <c r="H25" s="177"/>
      <c r="I25" s="177"/>
      <c r="J25" s="177"/>
      <c r="K25" s="177"/>
      <c r="L25" s="177"/>
      <c r="M25" s="177"/>
      <c r="N25" s="178"/>
      <c r="O25" s="10"/>
    </row>
    <row r="26" spans="1:15" s="99" customFormat="1">
      <c r="A26" s="10"/>
      <c r="B26" s="3"/>
      <c r="C26" s="3"/>
      <c r="D26" s="3"/>
      <c r="E26" s="3"/>
      <c r="F26" s="3"/>
      <c r="G26" s="3"/>
      <c r="H26" s="3"/>
      <c r="I26" s="3"/>
      <c r="J26" s="3"/>
      <c r="K26" s="3"/>
      <c r="L26" s="3"/>
      <c r="M26" s="3"/>
      <c r="N26" s="3"/>
      <c r="O26" s="10"/>
    </row>
    <row r="27" spans="1:15" ht="15" customHeight="1">
      <c r="A27" s="10"/>
      <c r="B27" s="10"/>
      <c r="C27" s="10"/>
      <c r="D27" s="729"/>
      <c r="E27" s="729"/>
      <c r="F27" s="729"/>
      <c r="G27" s="729"/>
      <c r="H27" s="729"/>
      <c r="I27" s="729"/>
      <c r="J27" s="729"/>
      <c r="K27" s="10"/>
      <c r="L27" s="10"/>
      <c r="M27" s="10"/>
      <c r="N27" s="10"/>
      <c r="O27" s="10"/>
    </row>
    <row r="28" spans="1:15" ht="15" customHeight="1">
      <c r="A28" s="10"/>
      <c r="B28" s="10"/>
      <c r="C28" s="1230" t="s">
        <v>6344</v>
      </c>
      <c r="D28" s="1231"/>
      <c r="E28" s="1231"/>
      <c r="F28" s="1231"/>
      <c r="G28" s="1231"/>
      <c r="H28" s="1231"/>
      <c r="I28" s="1231"/>
      <c r="J28" s="1231"/>
      <c r="K28" s="1231"/>
      <c r="L28" s="1231"/>
      <c r="M28" s="1231"/>
      <c r="N28" s="10"/>
      <c r="O28" s="10"/>
    </row>
    <row r="29" spans="1:15">
      <c r="A29" s="10"/>
      <c r="B29" s="10"/>
      <c r="C29" s="1231"/>
      <c r="D29" s="1231"/>
      <c r="E29" s="1231"/>
      <c r="F29" s="1231"/>
      <c r="G29" s="1231"/>
      <c r="H29" s="1231"/>
      <c r="I29" s="1231"/>
      <c r="J29" s="1231"/>
      <c r="K29" s="1231"/>
      <c r="L29" s="1231"/>
      <c r="M29" s="1231"/>
      <c r="N29" s="10"/>
      <c r="O29" s="10"/>
    </row>
    <row r="30" spans="1:15">
      <c r="A30" s="10"/>
      <c r="B30" s="10"/>
      <c r="C30" s="1231"/>
      <c r="D30" s="1231"/>
      <c r="E30" s="1231"/>
      <c r="F30" s="1231"/>
      <c r="G30" s="1231"/>
      <c r="H30" s="1231"/>
      <c r="I30" s="1231"/>
      <c r="J30" s="1231"/>
      <c r="K30" s="1231"/>
      <c r="L30" s="1231"/>
      <c r="M30" s="1231"/>
      <c r="N30" s="10"/>
      <c r="O30" s="10"/>
    </row>
    <row r="31" spans="1:15">
      <c r="A31" s="10"/>
      <c r="B31" s="10"/>
      <c r="C31" s="1231"/>
      <c r="D31" s="1231"/>
      <c r="E31" s="1231"/>
      <c r="F31" s="1231"/>
      <c r="G31" s="1231"/>
      <c r="H31" s="1231"/>
      <c r="I31" s="1231"/>
      <c r="J31" s="1231"/>
      <c r="K31" s="1231"/>
      <c r="L31" s="1231"/>
      <c r="M31" s="1231"/>
      <c r="N31" s="10"/>
      <c r="O31" s="10"/>
    </row>
    <row r="32" spans="1:15">
      <c r="A32" s="10"/>
      <c r="B32" s="10"/>
      <c r="C32" s="1231"/>
      <c r="D32" s="1231"/>
      <c r="E32" s="1231"/>
      <c r="F32" s="1231"/>
      <c r="G32" s="1231"/>
      <c r="H32" s="1231"/>
      <c r="I32" s="1231"/>
      <c r="J32" s="1231"/>
      <c r="K32" s="1231"/>
      <c r="L32" s="1231"/>
      <c r="M32" s="1231"/>
      <c r="N32" s="10"/>
      <c r="O32" s="10"/>
    </row>
    <row r="33" spans="1:15">
      <c r="A33" s="10"/>
      <c r="B33" s="10"/>
      <c r="C33" s="1231"/>
      <c r="D33" s="1231"/>
      <c r="E33" s="1231"/>
      <c r="F33" s="1231"/>
      <c r="G33" s="1231"/>
      <c r="H33" s="1231"/>
      <c r="I33" s="1231"/>
      <c r="J33" s="1231"/>
      <c r="K33" s="1231"/>
      <c r="L33" s="1231"/>
      <c r="M33" s="1231"/>
      <c r="N33" s="10"/>
      <c r="O33" s="10"/>
    </row>
    <row r="34" spans="1:15">
      <c r="A34" s="10"/>
      <c r="B34" s="10"/>
      <c r="C34" s="10"/>
      <c r="D34" s="10"/>
      <c r="E34" s="10"/>
      <c r="F34" s="10"/>
      <c r="G34" s="10"/>
      <c r="H34" s="10"/>
      <c r="I34" s="10"/>
      <c r="J34" s="10"/>
      <c r="K34" s="10"/>
      <c r="L34" s="10"/>
      <c r="M34" s="10"/>
      <c r="N34" s="10"/>
      <c r="O34" s="10"/>
    </row>
    <row r="35" spans="1:15">
      <c r="A35" s="10"/>
      <c r="B35" s="10"/>
      <c r="C35" s="10"/>
      <c r="D35" s="10"/>
      <c r="E35" s="10"/>
      <c r="F35" s="10"/>
      <c r="G35" s="10"/>
      <c r="H35" s="10"/>
      <c r="I35" s="10"/>
      <c r="J35" s="10"/>
      <c r="K35" s="10"/>
      <c r="L35" s="10"/>
      <c r="M35" s="10"/>
      <c r="N35" s="10"/>
      <c r="O35" s="10"/>
    </row>
    <row r="36" spans="1:15">
      <c r="A36" s="10"/>
      <c r="B36" s="10"/>
      <c r="C36" s="10"/>
      <c r="D36" s="10"/>
      <c r="E36" s="10"/>
      <c r="F36" s="10"/>
      <c r="G36" s="10"/>
      <c r="H36" s="10"/>
      <c r="I36" s="10"/>
      <c r="J36" s="10"/>
      <c r="K36" s="10"/>
      <c r="L36" s="10"/>
      <c r="M36" s="10"/>
      <c r="N36" s="10"/>
      <c r="O36" s="10"/>
    </row>
    <row r="37" spans="1:15">
      <c r="A37" s="10"/>
      <c r="B37" s="10"/>
      <c r="C37" s="10"/>
      <c r="D37" s="10"/>
      <c r="E37" s="10"/>
      <c r="F37" s="10"/>
      <c r="G37" s="10"/>
      <c r="H37" s="10"/>
      <c r="I37" s="10"/>
      <c r="J37" s="10"/>
      <c r="K37" s="10"/>
      <c r="L37" s="10"/>
      <c r="M37" s="10"/>
      <c r="N37" s="10"/>
      <c r="O37" s="10"/>
    </row>
    <row r="38" spans="1:15" hidden="1">
      <c r="A38" s="99"/>
      <c r="B38" s="99"/>
      <c r="C38" s="99"/>
      <c r="D38" s="99"/>
      <c r="E38" s="99"/>
      <c r="F38" s="99"/>
      <c r="G38" s="99"/>
      <c r="H38" s="99"/>
      <c r="I38" s="99"/>
      <c r="J38" s="99"/>
      <c r="K38" s="99"/>
      <c r="L38" s="99"/>
      <c r="M38" s="99"/>
      <c r="N38" s="99"/>
      <c r="O38" s="99"/>
    </row>
    <row r="39" spans="1:15" hidden="1">
      <c r="A39" s="99"/>
      <c r="B39" s="99"/>
      <c r="C39" s="99"/>
      <c r="D39" s="99"/>
      <c r="E39" s="99"/>
      <c r="F39" s="99"/>
      <c r="G39" s="99"/>
      <c r="H39" s="99"/>
      <c r="I39" s="99"/>
      <c r="J39" s="99"/>
      <c r="K39" s="99"/>
      <c r="L39" s="99"/>
      <c r="M39" s="99"/>
      <c r="N39" s="99"/>
      <c r="O39" s="99"/>
    </row>
    <row r="40" spans="1:15" hidden="1">
      <c r="A40" s="99"/>
      <c r="B40" s="99"/>
      <c r="C40" s="99"/>
      <c r="D40" s="99"/>
      <c r="E40" s="99"/>
      <c r="F40" s="99"/>
      <c r="G40" s="99"/>
      <c r="H40" s="99"/>
      <c r="I40" s="99"/>
      <c r="J40" s="99"/>
      <c r="K40" s="99"/>
      <c r="L40" s="99"/>
      <c r="M40" s="99"/>
      <c r="N40" s="99"/>
      <c r="O40" s="99"/>
    </row>
    <row r="41" spans="1:15" hidden="1">
      <c r="A41" s="99"/>
      <c r="B41" s="99"/>
      <c r="C41" s="99"/>
      <c r="D41" s="99"/>
      <c r="E41" s="99"/>
      <c r="F41" s="99"/>
      <c r="G41" s="99"/>
      <c r="H41" s="99"/>
      <c r="I41" s="99"/>
      <c r="J41" s="99"/>
      <c r="K41" s="99"/>
      <c r="L41" s="99"/>
      <c r="M41" s="99"/>
      <c r="N41" s="99"/>
      <c r="O41" s="99"/>
    </row>
    <row r="42" spans="1:15" hidden="1">
      <c r="A42" s="99"/>
      <c r="B42" s="99"/>
      <c r="C42" s="99"/>
      <c r="D42" s="99"/>
      <c r="E42" s="99"/>
      <c r="F42" s="99"/>
      <c r="G42" s="99"/>
      <c r="H42" s="99"/>
      <c r="I42" s="99"/>
      <c r="J42" s="99"/>
      <c r="K42" s="99"/>
      <c r="L42" s="99"/>
      <c r="M42" s="99"/>
      <c r="N42" s="99"/>
      <c r="O42" s="99"/>
    </row>
    <row r="43" spans="1:15" hidden="1">
      <c r="A43" s="99"/>
      <c r="B43" s="99"/>
      <c r="C43" s="99"/>
      <c r="D43" s="99"/>
      <c r="E43" s="99"/>
      <c r="F43" s="99"/>
      <c r="G43" s="99"/>
      <c r="H43" s="99"/>
      <c r="I43" s="99"/>
      <c r="J43" s="99"/>
      <c r="K43" s="99"/>
      <c r="L43" s="99"/>
      <c r="M43" s="99"/>
      <c r="N43" s="99"/>
      <c r="O43" s="99"/>
    </row>
    <row r="44" spans="1:15" hidden="1">
      <c r="A44" s="99"/>
      <c r="B44" s="99"/>
      <c r="C44" s="99"/>
      <c r="D44" s="99"/>
      <c r="E44" s="99"/>
      <c r="F44" s="99"/>
      <c r="G44" s="99"/>
      <c r="H44" s="99"/>
      <c r="I44" s="99"/>
      <c r="J44" s="99"/>
      <c r="K44" s="99"/>
      <c r="L44" s="99"/>
      <c r="M44" s="99"/>
      <c r="N44" s="99"/>
      <c r="O44" s="99"/>
    </row>
    <row r="45" spans="1:15" hidden="1">
      <c r="A45" s="99"/>
      <c r="B45" s="99"/>
      <c r="C45" s="99"/>
      <c r="D45" s="99"/>
      <c r="E45" s="99"/>
      <c r="F45" s="99"/>
      <c r="G45" s="99"/>
      <c r="H45" s="99"/>
      <c r="I45" s="99"/>
      <c r="J45" s="99"/>
      <c r="K45" s="99"/>
      <c r="L45" s="99"/>
      <c r="M45" s="99"/>
      <c r="N45" s="99"/>
      <c r="O45" s="99"/>
    </row>
    <row r="46" spans="1:15" hidden="1">
      <c r="A46" s="99"/>
      <c r="B46" s="99"/>
      <c r="C46" s="99"/>
      <c r="D46" s="99"/>
      <c r="E46" s="99"/>
      <c r="F46" s="99"/>
      <c r="G46" s="99"/>
      <c r="H46" s="99"/>
      <c r="I46" s="99"/>
      <c r="J46" s="99"/>
      <c r="K46" s="99"/>
      <c r="L46" s="99"/>
      <c r="M46" s="99"/>
      <c r="N46" s="99"/>
      <c r="O46" s="99"/>
    </row>
    <row r="47" spans="1:15" hidden="1">
      <c r="A47" s="99"/>
      <c r="B47" s="99"/>
      <c r="C47" s="99"/>
      <c r="D47" s="99"/>
      <c r="E47" s="99"/>
      <c r="F47" s="99"/>
      <c r="G47" s="99"/>
      <c r="H47" s="99"/>
      <c r="I47" s="99"/>
      <c r="J47" s="99"/>
      <c r="K47" s="99"/>
      <c r="L47" s="99"/>
      <c r="M47" s="99"/>
      <c r="N47" s="99"/>
      <c r="O47" s="99"/>
    </row>
    <row r="48" spans="1:15" hidden="1">
      <c r="A48" s="99"/>
      <c r="B48" s="99"/>
      <c r="C48" s="99"/>
      <c r="D48" s="99"/>
      <c r="E48" s="99"/>
      <c r="F48" s="99"/>
      <c r="G48" s="99"/>
      <c r="H48" s="99"/>
      <c r="I48" s="99"/>
      <c r="J48" s="99"/>
      <c r="K48" s="99"/>
      <c r="L48" s="99"/>
      <c r="M48" s="99"/>
      <c r="N48" s="99"/>
      <c r="O48" s="99"/>
    </row>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algorithmName="SHA-512" hashValue="78GOnI/O4zY4+f5d33umAlJ1P21OFbmYWNrTKaaSdsqAb5x5MokcDw2cEZkix11E6gN7RUlw9snQo+zQzV8S4A==" saltValue="0K5DJaF/oeMf/8OIMkG7ow==" spinCount="100000" sheet="1" objects="1" scenarios="1" formatColumns="0" formatRows="0"/>
  <mergeCells count="17">
    <mergeCell ref="B1:M1"/>
    <mergeCell ref="B2:M3"/>
    <mergeCell ref="B4:N4"/>
    <mergeCell ref="C22:I22"/>
    <mergeCell ref="J22:M22"/>
    <mergeCell ref="B8:N8"/>
    <mergeCell ref="B10:N10"/>
    <mergeCell ref="B12:N12"/>
    <mergeCell ref="C28:M33"/>
    <mergeCell ref="H24:I24"/>
    <mergeCell ref="J24:M24"/>
    <mergeCell ref="B15:C15"/>
    <mergeCell ref="J17:M17"/>
    <mergeCell ref="D15:G15"/>
    <mergeCell ref="J15:M15"/>
    <mergeCell ref="H15:I15"/>
    <mergeCell ref="C17:I17"/>
  </mergeCells>
  <conditionalFormatting sqref="J17:M17">
    <cfRule type="containsBlanks" dxfId="7" priority="7">
      <formula>LEN(TRIM(J17))=0</formula>
    </cfRule>
  </conditionalFormatting>
  <conditionalFormatting sqref="D15:G15 J15:M15">
    <cfRule type="containsBlanks" dxfId="6" priority="8">
      <formula>LEN(TRIM(D15))=0</formula>
    </cfRule>
  </conditionalFormatting>
  <conditionalFormatting sqref="J24:M24">
    <cfRule type="containsBlanks" dxfId="5" priority="1">
      <formula>LEN(TRIM(J24))=0</formula>
    </cfRule>
  </conditionalFormatting>
  <conditionalFormatting sqref="J22:M22">
    <cfRule type="containsBlanks" dxfId="4" priority="2">
      <formula>LEN(TRIM(J22))=0</formula>
    </cfRule>
  </conditionalFormatting>
  <hyperlinks>
    <hyperlink ref="B6" location="'Review &amp; Instructions '!A70" display="Instructions" xr:uid="{00000000-0004-0000-1000-000000000000}"/>
  </hyperlinks>
  <pageMargins left="0.5" right="0.5" top="0.5" bottom="0.5" header="0.25" footer="0.25"/>
  <pageSetup scale="98" fitToHeight="0" orientation="landscape" r:id="rId1"/>
  <headerFooter>
    <oddHeader>&amp;F</oddHeader>
    <oddFooter>&amp;L&amp;A&amp;CPage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CC"/>
  </sheetPr>
  <dimension ref="A1:AE3507"/>
  <sheetViews>
    <sheetView zoomScale="87" zoomScaleNormal="87" workbookViewId="0">
      <pane xSplit="2" ySplit="1" topLeftCell="C2" activePane="bottomRight" state="frozen"/>
      <selection pane="bottomRight" activeCell="AC24" sqref="AC24"/>
      <selection pane="bottomLeft" activeCell="A2" sqref="A2"/>
      <selection pane="topRight" activeCell="C1" sqref="C1"/>
    </sheetView>
  </sheetViews>
  <sheetFormatPr defaultColWidth="9.140625" defaultRowHeight="15"/>
  <cols>
    <col min="1" max="1" width="26.7109375" style="193" customWidth="1"/>
    <col min="2" max="2" width="28.42578125" style="194" customWidth="1"/>
    <col min="3" max="3" width="8.7109375" style="194" bestFit="1" customWidth="1"/>
    <col min="4" max="4" width="20" style="194" bestFit="1" customWidth="1"/>
    <col min="5" max="5" width="19.28515625" style="195" customWidth="1"/>
    <col min="6" max="6" width="12.42578125" style="195" customWidth="1"/>
    <col min="7" max="7" width="6.85546875" style="195" bestFit="1" customWidth="1"/>
    <col min="8" max="8" width="25.140625" style="196" customWidth="1"/>
    <col min="9" max="9" width="21" style="196" customWidth="1"/>
    <col min="10" max="10" width="9.42578125" style="196" customWidth="1"/>
    <col min="11" max="11" width="8.7109375" style="196" bestFit="1" customWidth="1"/>
    <col min="12" max="12" width="10" style="196" bestFit="1" customWidth="1"/>
    <col min="13" max="13" width="10.140625" style="197" customWidth="1"/>
    <col min="14" max="14" width="5.7109375" style="196" customWidth="1"/>
    <col min="15" max="15" width="9.42578125" style="196" customWidth="1"/>
    <col min="16" max="16" width="9.28515625" style="198" customWidth="1"/>
    <col min="17" max="17" width="18.85546875" style="583" customWidth="1"/>
    <col min="18" max="18" width="9.42578125" style="196" customWidth="1"/>
    <col min="19" max="19" width="8" style="196" customWidth="1"/>
    <col min="20" max="20" width="8.7109375" style="199" customWidth="1"/>
    <col min="21" max="21" width="7.42578125" style="199" bestFit="1" customWidth="1"/>
    <col min="22" max="22" width="8.42578125" style="196" customWidth="1"/>
    <col min="23" max="23" width="8.7109375" style="624" bestFit="1" customWidth="1"/>
    <col min="24" max="24" width="8.140625" style="625" customWidth="1"/>
    <col min="25" max="26" width="10.28515625" style="625" bestFit="1" customWidth="1"/>
    <col min="27" max="27" width="12.28515625" style="194" bestFit="1" customWidth="1"/>
    <col min="28" max="28" width="8.42578125" style="194" customWidth="1"/>
    <col min="29" max="29" width="11" style="194" bestFit="1" customWidth="1"/>
    <col min="30" max="30" width="11.85546875" style="194" bestFit="1" customWidth="1"/>
    <col min="31" max="31" width="18.7109375" style="194" bestFit="1" customWidth="1"/>
    <col min="32" max="16384" width="9.140625" style="193"/>
  </cols>
  <sheetData>
    <row r="1" spans="1:31" s="192" customFormat="1" ht="60">
      <c r="A1" s="687" t="s">
        <v>112</v>
      </c>
      <c r="B1" s="687" t="s">
        <v>114</v>
      </c>
      <c r="C1" s="687" t="s">
        <v>115</v>
      </c>
      <c r="D1" s="687" t="s">
        <v>116</v>
      </c>
      <c r="E1" s="687" t="s">
        <v>117</v>
      </c>
      <c r="F1" s="687" t="s">
        <v>118</v>
      </c>
      <c r="G1" s="687" t="s">
        <v>119</v>
      </c>
      <c r="H1" s="687" t="s">
        <v>107</v>
      </c>
      <c r="I1" s="687" t="s">
        <v>108</v>
      </c>
      <c r="J1" s="687" t="s">
        <v>109</v>
      </c>
      <c r="K1" s="687" t="s">
        <v>120</v>
      </c>
      <c r="L1" s="687" t="s">
        <v>121</v>
      </c>
      <c r="M1" s="687" t="s">
        <v>122</v>
      </c>
      <c r="N1" s="687" t="s">
        <v>123</v>
      </c>
      <c r="O1" s="687" t="s">
        <v>124</v>
      </c>
      <c r="P1" s="687" t="s">
        <v>125</v>
      </c>
      <c r="Q1" s="687" t="s">
        <v>126</v>
      </c>
      <c r="R1" s="687" t="s">
        <v>127</v>
      </c>
      <c r="S1" s="687" t="s">
        <v>128</v>
      </c>
      <c r="T1" s="687" t="s">
        <v>129</v>
      </c>
      <c r="U1" s="687" t="s">
        <v>130</v>
      </c>
      <c r="V1" s="687" t="s">
        <v>131</v>
      </c>
      <c r="W1" s="688" t="s">
        <v>132</v>
      </c>
      <c r="X1" s="689" t="s">
        <v>111</v>
      </c>
      <c r="Y1" s="687" t="s">
        <v>133</v>
      </c>
      <c r="Z1" s="687" t="s">
        <v>134</v>
      </c>
      <c r="AA1" s="690" t="s">
        <v>135</v>
      </c>
      <c r="AB1" s="690" t="s">
        <v>136</v>
      </c>
      <c r="AC1" s="690" t="s">
        <v>137</v>
      </c>
      <c r="AD1" s="687" t="s">
        <v>138</v>
      </c>
      <c r="AE1" s="687" t="s">
        <v>113</v>
      </c>
    </row>
    <row r="2" spans="1:31" s="572" customFormat="1" ht="30">
      <c r="A2" s="570" t="s">
        <v>148</v>
      </c>
      <c r="B2" s="573" t="s">
        <v>150</v>
      </c>
      <c r="C2" s="578">
        <v>13</v>
      </c>
      <c r="D2" s="573" t="s">
        <v>151</v>
      </c>
      <c r="E2" s="573" t="s">
        <v>152</v>
      </c>
      <c r="F2" s="573" t="s">
        <v>153</v>
      </c>
      <c r="G2" s="573">
        <v>2019</v>
      </c>
      <c r="H2" s="573" t="s">
        <v>154</v>
      </c>
      <c r="I2" s="573" t="s">
        <v>155</v>
      </c>
      <c r="J2" s="573" t="s">
        <v>156</v>
      </c>
      <c r="K2" s="573">
        <v>5</v>
      </c>
      <c r="L2" s="573">
        <v>0</v>
      </c>
      <c r="M2" s="573" t="s">
        <v>157</v>
      </c>
      <c r="N2" s="573">
        <v>2</v>
      </c>
      <c r="O2" s="573" t="s">
        <v>157</v>
      </c>
      <c r="P2" s="571" t="s">
        <v>157</v>
      </c>
      <c r="Q2" s="573" t="s">
        <v>158</v>
      </c>
      <c r="R2" s="573" t="s">
        <v>159</v>
      </c>
      <c r="S2" s="582" t="s">
        <v>160</v>
      </c>
      <c r="T2" s="573" t="s">
        <v>161</v>
      </c>
      <c r="U2" s="573">
        <v>102.4</v>
      </c>
      <c r="V2" s="573" t="s">
        <v>162</v>
      </c>
      <c r="W2" s="616">
        <v>3563</v>
      </c>
      <c r="X2" s="617" t="s">
        <v>6833</v>
      </c>
      <c r="Y2" s="617" t="s">
        <v>163</v>
      </c>
      <c r="Z2" s="617" t="s">
        <v>163</v>
      </c>
      <c r="AA2" s="618">
        <v>37495</v>
      </c>
      <c r="AB2" s="618" t="s">
        <v>164</v>
      </c>
      <c r="AC2" s="618">
        <v>35731</v>
      </c>
      <c r="AD2" s="619">
        <v>0.03</v>
      </c>
      <c r="AE2" s="617" t="s">
        <v>149</v>
      </c>
    </row>
    <row r="3" spans="1:31" s="572" customFormat="1" ht="30">
      <c r="A3" s="570" t="s">
        <v>165</v>
      </c>
      <c r="B3" s="569" t="s">
        <v>166</v>
      </c>
      <c r="C3" s="580">
        <v>17</v>
      </c>
      <c r="D3" s="569" t="s">
        <v>151</v>
      </c>
      <c r="E3" s="569" t="s">
        <v>152</v>
      </c>
      <c r="F3" s="569" t="s">
        <v>153</v>
      </c>
      <c r="G3" s="569">
        <v>2019</v>
      </c>
      <c r="H3" s="569" t="s">
        <v>154</v>
      </c>
      <c r="I3" s="569" t="s">
        <v>155</v>
      </c>
      <c r="J3" s="569" t="s">
        <v>156</v>
      </c>
      <c r="K3" s="569">
        <v>5</v>
      </c>
      <c r="L3" s="569">
        <v>0</v>
      </c>
      <c r="M3" s="569" t="s">
        <v>157</v>
      </c>
      <c r="N3" s="569">
        <v>2</v>
      </c>
      <c r="O3" s="569" t="s">
        <v>157</v>
      </c>
      <c r="P3" s="568" t="s">
        <v>157</v>
      </c>
      <c r="Q3" s="569" t="s">
        <v>158</v>
      </c>
      <c r="R3" s="569" t="s">
        <v>159</v>
      </c>
      <c r="S3" s="569" t="s">
        <v>160</v>
      </c>
      <c r="T3" s="569" t="s">
        <v>161</v>
      </c>
      <c r="U3" s="569">
        <v>102.4</v>
      </c>
      <c r="V3" s="569" t="s">
        <v>162</v>
      </c>
      <c r="W3" s="620">
        <v>3563</v>
      </c>
      <c r="X3" s="621" t="s">
        <v>6833</v>
      </c>
      <c r="Y3" s="621" t="s">
        <v>163</v>
      </c>
      <c r="Z3" s="621" t="s">
        <v>163</v>
      </c>
      <c r="AA3" s="622">
        <v>37495</v>
      </c>
      <c r="AB3" s="622" t="s">
        <v>164</v>
      </c>
      <c r="AC3" s="622">
        <v>34883.43</v>
      </c>
      <c r="AD3" s="623">
        <v>7.1999999999999995E-2</v>
      </c>
      <c r="AE3" s="621" t="s">
        <v>149</v>
      </c>
    </row>
    <row r="4" spans="1:31" s="572" customFormat="1" ht="30">
      <c r="A4" s="570" t="s">
        <v>167</v>
      </c>
      <c r="B4" s="573" t="s">
        <v>169</v>
      </c>
      <c r="C4" s="578">
        <v>11</v>
      </c>
      <c r="D4" s="573" t="s">
        <v>151</v>
      </c>
      <c r="E4" s="573" t="s">
        <v>152</v>
      </c>
      <c r="F4" s="573" t="s">
        <v>153</v>
      </c>
      <c r="G4" s="573">
        <v>2019</v>
      </c>
      <c r="H4" s="573" t="s">
        <v>154</v>
      </c>
      <c r="I4" s="573" t="s">
        <v>170</v>
      </c>
      <c r="J4" s="573" t="s">
        <v>156</v>
      </c>
      <c r="K4" s="573">
        <v>5</v>
      </c>
      <c r="L4" s="573">
        <v>0</v>
      </c>
      <c r="M4" s="573" t="s">
        <v>157</v>
      </c>
      <c r="N4" s="573">
        <v>2</v>
      </c>
      <c r="O4" s="573" t="s">
        <v>157</v>
      </c>
      <c r="P4" s="571" t="s">
        <v>157</v>
      </c>
      <c r="Q4" s="573" t="s">
        <v>158</v>
      </c>
      <c r="R4" s="573" t="s">
        <v>159</v>
      </c>
      <c r="S4" s="582" t="s">
        <v>160</v>
      </c>
      <c r="T4" s="573" t="s">
        <v>161</v>
      </c>
      <c r="U4" s="573">
        <v>102.4</v>
      </c>
      <c r="V4" s="573" t="s">
        <v>162</v>
      </c>
      <c r="W4" s="616">
        <v>3563</v>
      </c>
      <c r="X4" s="617" t="s">
        <v>6833</v>
      </c>
      <c r="Y4" s="617" t="s">
        <v>163</v>
      </c>
      <c r="Z4" s="617" t="s">
        <v>163</v>
      </c>
      <c r="AA4" s="618">
        <v>38245</v>
      </c>
      <c r="AB4" s="618" t="s">
        <v>164</v>
      </c>
      <c r="AC4" s="618">
        <v>34336.291666666664</v>
      </c>
      <c r="AD4" s="619">
        <v>0.05</v>
      </c>
      <c r="AE4" s="617" t="s">
        <v>168</v>
      </c>
    </row>
    <row r="5" spans="1:31" s="572" customFormat="1" ht="30">
      <c r="A5" s="570" t="s">
        <v>167</v>
      </c>
      <c r="B5" s="569" t="s">
        <v>169</v>
      </c>
      <c r="C5" s="580">
        <v>11</v>
      </c>
      <c r="D5" s="569" t="s">
        <v>151</v>
      </c>
      <c r="E5" s="569" t="s">
        <v>152</v>
      </c>
      <c r="F5" s="569" t="s">
        <v>153</v>
      </c>
      <c r="G5" s="569">
        <v>2019</v>
      </c>
      <c r="H5" s="569" t="s">
        <v>154</v>
      </c>
      <c r="I5" s="569" t="s">
        <v>170</v>
      </c>
      <c r="J5" s="569" t="s">
        <v>156</v>
      </c>
      <c r="K5" s="569">
        <v>5</v>
      </c>
      <c r="L5" s="569">
        <v>0</v>
      </c>
      <c r="M5" s="569" t="s">
        <v>157</v>
      </c>
      <c r="N5" s="569">
        <v>2</v>
      </c>
      <c r="O5" s="569" t="s">
        <v>157</v>
      </c>
      <c r="P5" s="568" t="s">
        <v>157</v>
      </c>
      <c r="Q5" s="569" t="s">
        <v>158</v>
      </c>
      <c r="R5" s="569" t="s">
        <v>159</v>
      </c>
      <c r="S5" s="569" t="s">
        <v>160</v>
      </c>
      <c r="T5" s="569" t="s">
        <v>161</v>
      </c>
      <c r="U5" s="569">
        <v>102.4</v>
      </c>
      <c r="V5" s="569" t="s">
        <v>162</v>
      </c>
      <c r="W5" s="620">
        <v>3563</v>
      </c>
      <c r="X5" s="621" t="s">
        <v>6833</v>
      </c>
      <c r="Y5" s="621" t="s">
        <v>163</v>
      </c>
      <c r="Z5" s="621" t="s">
        <v>163</v>
      </c>
      <c r="AA5" s="622">
        <v>38245</v>
      </c>
      <c r="AB5" s="622" t="s">
        <v>164</v>
      </c>
      <c r="AC5" s="622">
        <v>34336.291666666664</v>
      </c>
      <c r="AD5" s="623">
        <v>0.05</v>
      </c>
      <c r="AE5" s="621" t="s">
        <v>168</v>
      </c>
    </row>
    <row r="6" spans="1:31" s="572" customFormat="1">
      <c r="A6" s="570" t="s">
        <v>171</v>
      </c>
      <c r="B6" s="573" t="s">
        <v>150</v>
      </c>
      <c r="C6" s="578">
        <v>13</v>
      </c>
      <c r="D6" s="573" t="s">
        <v>151</v>
      </c>
      <c r="E6" s="573" t="s">
        <v>152</v>
      </c>
      <c r="F6" s="573" t="s">
        <v>153</v>
      </c>
      <c r="G6" s="573">
        <v>2019</v>
      </c>
      <c r="H6" s="573" t="s">
        <v>173</v>
      </c>
      <c r="I6" s="573" t="s">
        <v>174</v>
      </c>
      <c r="J6" s="573" t="s">
        <v>156</v>
      </c>
      <c r="K6" s="573">
        <v>5</v>
      </c>
      <c r="L6" s="573">
        <v>0</v>
      </c>
      <c r="M6" s="573" t="s">
        <v>157</v>
      </c>
      <c r="N6" s="573">
        <v>2</v>
      </c>
      <c r="O6" s="573" t="s">
        <v>157</v>
      </c>
      <c r="P6" s="571" t="s">
        <v>157</v>
      </c>
      <c r="Q6" s="573" t="s">
        <v>175</v>
      </c>
      <c r="R6" s="573">
        <v>4</v>
      </c>
      <c r="S6" s="582" t="s">
        <v>176</v>
      </c>
      <c r="T6" s="573" t="s">
        <v>177</v>
      </c>
      <c r="U6" s="573">
        <v>106.3</v>
      </c>
      <c r="V6" s="573">
        <v>13.7</v>
      </c>
      <c r="W6" s="616">
        <v>3840</v>
      </c>
      <c r="X6" s="617">
        <v>33</v>
      </c>
      <c r="Y6" s="617" t="s">
        <v>178</v>
      </c>
      <c r="Z6" s="617" t="s">
        <v>178</v>
      </c>
      <c r="AA6" s="618">
        <v>20400</v>
      </c>
      <c r="AB6" s="618" t="s">
        <v>164</v>
      </c>
      <c r="AC6" s="618">
        <v>17983</v>
      </c>
      <c r="AD6" s="619">
        <v>0.03</v>
      </c>
      <c r="AE6" s="617" t="s">
        <v>172</v>
      </c>
    </row>
    <row r="7" spans="1:31" s="572" customFormat="1">
      <c r="A7" s="570" t="s">
        <v>179</v>
      </c>
      <c r="B7" s="569" t="s">
        <v>166</v>
      </c>
      <c r="C7" s="580">
        <v>17</v>
      </c>
      <c r="D7" s="569" t="s">
        <v>151</v>
      </c>
      <c r="E7" s="569" t="s">
        <v>152</v>
      </c>
      <c r="F7" s="569" t="s">
        <v>153</v>
      </c>
      <c r="G7" s="569">
        <v>2019</v>
      </c>
      <c r="H7" s="569" t="s">
        <v>173</v>
      </c>
      <c r="I7" s="569" t="s">
        <v>174</v>
      </c>
      <c r="J7" s="569" t="s">
        <v>156</v>
      </c>
      <c r="K7" s="569">
        <v>5</v>
      </c>
      <c r="L7" s="569">
        <v>0</v>
      </c>
      <c r="M7" s="569" t="s">
        <v>157</v>
      </c>
      <c r="N7" s="569">
        <v>2</v>
      </c>
      <c r="O7" s="569" t="s">
        <v>157</v>
      </c>
      <c r="P7" s="568" t="s">
        <v>157</v>
      </c>
      <c r="Q7" s="569" t="s">
        <v>175</v>
      </c>
      <c r="R7" s="569">
        <v>4</v>
      </c>
      <c r="S7" s="569" t="s">
        <v>176</v>
      </c>
      <c r="T7" s="569" t="s">
        <v>177</v>
      </c>
      <c r="U7" s="569">
        <v>106.3</v>
      </c>
      <c r="V7" s="569">
        <v>13.7</v>
      </c>
      <c r="W7" s="620">
        <v>3840</v>
      </c>
      <c r="X7" s="621">
        <v>33</v>
      </c>
      <c r="Y7" s="621" t="s">
        <v>178</v>
      </c>
      <c r="Z7" s="621" t="s">
        <v>178</v>
      </c>
      <c r="AA7" s="622">
        <v>19995</v>
      </c>
      <c r="AB7" s="622" t="s">
        <v>164</v>
      </c>
      <c r="AC7" s="622">
        <v>16855</v>
      </c>
      <c r="AD7" s="623">
        <v>7.1999999999999995E-2</v>
      </c>
      <c r="AE7" s="621" t="s">
        <v>172</v>
      </c>
    </row>
    <row r="8" spans="1:31" s="572" customFormat="1">
      <c r="A8" s="570" t="s">
        <v>180</v>
      </c>
      <c r="B8" s="573" t="s">
        <v>169</v>
      </c>
      <c r="C8" s="578">
        <v>11</v>
      </c>
      <c r="D8" s="573" t="s">
        <v>151</v>
      </c>
      <c r="E8" s="573" t="s">
        <v>152</v>
      </c>
      <c r="F8" s="573" t="s">
        <v>153</v>
      </c>
      <c r="G8" s="573">
        <v>2019</v>
      </c>
      <c r="H8" s="573" t="s">
        <v>173</v>
      </c>
      <c r="I8" s="573" t="s">
        <v>155</v>
      </c>
      <c r="J8" s="573" t="s">
        <v>156</v>
      </c>
      <c r="K8" s="573">
        <v>5</v>
      </c>
      <c r="L8" s="573">
        <v>0</v>
      </c>
      <c r="M8" s="573" t="s">
        <v>157</v>
      </c>
      <c r="N8" s="573">
        <v>2</v>
      </c>
      <c r="O8" s="573" t="s">
        <v>157</v>
      </c>
      <c r="P8" s="571" t="s">
        <v>157</v>
      </c>
      <c r="Q8" s="573" t="s">
        <v>175</v>
      </c>
      <c r="R8" s="573">
        <v>4</v>
      </c>
      <c r="S8" s="582" t="s">
        <v>182</v>
      </c>
      <c r="T8" s="573" t="s">
        <v>183</v>
      </c>
      <c r="U8" s="573">
        <v>106.3</v>
      </c>
      <c r="V8" s="573">
        <v>13.7</v>
      </c>
      <c r="W8" s="616">
        <v>3118</v>
      </c>
      <c r="X8" s="617">
        <v>33</v>
      </c>
      <c r="Y8" s="617" t="s">
        <v>178</v>
      </c>
      <c r="Z8" s="617" t="s">
        <v>178</v>
      </c>
      <c r="AA8" s="618">
        <v>22595</v>
      </c>
      <c r="AB8" s="618" t="s">
        <v>164</v>
      </c>
      <c r="AC8" s="618">
        <v>20447.916666666668</v>
      </c>
      <c r="AD8" s="619">
        <v>0.05</v>
      </c>
      <c r="AE8" s="617" t="s">
        <v>181</v>
      </c>
    </row>
    <row r="9" spans="1:31" s="572" customFormat="1">
      <c r="A9" s="570" t="s">
        <v>184</v>
      </c>
      <c r="B9" s="569" t="s">
        <v>166</v>
      </c>
      <c r="C9" s="580">
        <v>17</v>
      </c>
      <c r="D9" s="569" t="s">
        <v>151</v>
      </c>
      <c r="E9" s="569" t="s">
        <v>152</v>
      </c>
      <c r="F9" s="569" t="s">
        <v>153</v>
      </c>
      <c r="G9" s="569">
        <v>2019</v>
      </c>
      <c r="H9" s="569" t="s">
        <v>173</v>
      </c>
      <c r="I9" s="569" t="s">
        <v>155</v>
      </c>
      <c r="J9" s="569" t="s">
        <v>156</v>
      </c>
      <c r="K9" s="569">
        <v>5</v>
      </c>
      <c r="L9" s="569">
        <v>0</v>
      </c>
      <c r="M9" s="569" t="s">
        <v>157</v>
      </c>
      <c r="N9" s="569">
        <v>2</v>
      </c>
      <c r="O9" s="569" t="s">
        <v>157</v>
      </c>
      <c r="P9" s="568" t="s">
        <v>157</v>
      </c>
      <c r="Q9" s="569" t="s">
        <v>175</v>
      </c>
      <c r="R9" s="569">
        <v>4</v>
      </c>
      <c r="S9" s="569" t="s">
        <v>182</v>
      </c>
      <c r="T9" s="569" t="s">
        <v>183</v>
      </c>
      <c r="U9" s="569">
        <v>106.3</v>
      </c>
      <c r="V9" s="569">
        <v>13.7</v>
      </c>
      <c r="W9" s="620">
        <v>3118</v>
      </c>
      <c r="X9" s="621">
        <v>33</v>
      </c>
      <c r="Y9" s="621" t="s">
        <v>178</v>
      </c>
      <c r="Z9" s="621" t="s">
        <v>178</v>
      </c>
      <c r="AA9" s="622">
        <v>22595</v>
      </c>
      <c r="AB9" s="622" t="s">
        <v>164</v>
      </c>
      <c r="AC9" s="622">
        <v>19625</v>
      </c>
      <c r="AD9" s="623">
        <v>7.1999999999999995E-2</v>
      </c>
      <c r="AE9" s="621" t="s">
        <v>181</v>
      </c>
    </row>
    <row r="10" spans="1:31" s="572" customFormat="1">
      <c r="A10" s="570" t="s">
        <v>185</v>
      </c>
      <c r="B10" s="573" t="s">
        <v>169</v>
      </c>
      <c r="C10" s="578">
        <v>11</v>
      </c>
      <c r="D10" s="573" t="s">
        <v>151</v>
      </c>
      <c r="E10" s="573" t="s">
        <v>187</v>
      </c>
      <c r="F10" s="573" t="s">
        <v>153</v>
      </c>
      <c r="G10" s="573">
        <v>2019</v>
      </c>
      <c r="H10" s="573" t="s">
        <v>188</v>
      </c>
      <c r="I10" s="573" t="s">
        <v>174</v>
      </c>
      <c r="J10" s="573" t="s">
        <v>156</v>
      </c>
      <c r="K10" s="573">
        <v>5</v>
      </c>
      <c r="L10" s="573">
        <v>0</v>
      </c>
      <c r="M10" s="573" t="s">
        <v>157</v>
      </c>
      <c r="N10" s="573">
        <v>2</v>
      </c>
      <c r="O10" s="573" t="s">
        <v>157</v>
      </c>
      <c r="P10" s="571" t="s">
        <v>157</v>
      </c>
      <c r="Q10" s="573" t="s">
        <v>189</v>
      </c>
      <c r="R10" s="573">
        <v>4</v>
      </c>
      <c r="S10" s="582" t="s">
        <v>190</v>
      </c>
      <c r="T10" s="573" t="s">
        <v>191</v>
      </c>
      <c r="U10" s="573">
        <v>111.7</v>
      </c>
      <c r="V10" s="573">
        <v>18.5</v>
      </c>
      <c r="W10" s="616">
        <v>3730</v>
      </c>
      <c r="X10" s="617">
        <v>25</v>
      </c>
      <c r="Y10" s="617" t="s">
        <v>178</v>
      </c>
      <c r="Z10" s="617" t="s">
        <v>178</v>
      </c>
      <c r="AA10" s="618">
        <v>28895</v>
      </c>
      <c r="AB10" s="618" t="s">
        <v>164</v>
      </c>
      <c r="AC10" s="618">
        <v>22999.625</v>
      </c>
      <c r="AD10" s="619">
        <v>0.05</v>
      </c>
      <c r="AE10" s="617" t="s">
        <v>186</v>
      </c>
    </row>
    <row r="11" spans="1:31" s="572" customFormat="1">
      <c r="A11" s="570" t="s">
        <v>192</v>
      </c>
      <c r="B11" s="569" t="s">
        <v>150</v>
      </c>
      <c r="C11" s="580">
        <v>13</v>
      </c>
      <c r="D11" s="569" t="s">
        <v>151</v>
      </c>
      <c r="E11" s="569" t="s">
        <v>187</v>
      </c>
      <c r="F11" s="569" t="s">
        <v>153</v>
      </c>
      <c r="G11" s="569">
        <v>2019</v>
      </c>
      <c r="H11" s="569" t="s">
        <v>188</v>
      </c>
      <c r="I11" s="569" t="s">
        <v>174</v>
      </c>
      <c r="J11" s="569" t="s">
        <v>156</v>
      </c>
      <c r="K11" s="569">
        <v>5</v>
      </c>
      <c r="L11" s="569">
        <v>0</v>
      </c>
      <c r="M11" s="569" t="s">
        <v>157</v>
      </c>
      <c r="N11" s="569">
        <v>2</v>
      </c>
      <c r="O11" s="569" t="s">
        <v>157</v>
      </c>
      <c r="P11" s="568" t="s">
        <v>157</v>
      </c>
      <c r="Q11" s="569" t="s">
        <v>189</v>
      </c>
      <c r="R11" s="569">
        <v>4</v>
      </c>
      <c r="S11" s="569" t="s">
        <v>190</v>
      </c>
      <c r="T11" s="569" t="s">
        <v>191</v>
      </c>
      <c r="U11" s="569">
        <v>111.7</v>
      </c>
      <c r="V11" s="569">
        <v>18.5</v>
      </c>
      <c r="W11" s="620">
        <v>3730</v>
      </c>
      <c r="X11" s="621">
        <v>25</v>
      </c>
      <c r="Y11" s="621" t="s">
        <v>178</v>
      </c>
      <c r="Z11" s="621" t="s">
        <v>178</v>
      </c>
      <c r="AA11" s="622">
        <v>28895</v>
      </c>
      <c r="AB11" s="622" t="s">
        <v>164</v>
      </c>
      <c r="AC11" s="622">
        <v>23967</v>
      </c>
      <c r="AD11" s="623">
        <v>0.03</v>
      </c>
      <c r="AE11" s="621" t="s">
        <v>186</v>
      </c>
    </row>
    <row r="12" spans="1:31" s="572" customFormat="1">
      <c r="A12" s="570" t="s">
        <v>193</v>
      </c>
      <c r="B12" s="573" t="s">
        <v>166</v>
      </c>
      <c r="C12" s="578">
        <v>17</v>
      </c>
      <c r="D12" s="573" t="s">
        <v>151</v>
      </c>
      <c r="E12" s="573" t="s">
        <v>187</v>
      </c>
      <c r="F12" s="573" t="s">
        <v>153</v>
      </c>
      <c r="G12" s="573">
        <v>2019</v>
      </c>
      <c r="H12" s="573" t="s">
        <v>188</v>
      </c>
      <c r="I12" s="573" t="s">
        <v>174</v>
      </c>
      <c r="J12" s="573" t="s">
        <v>156</v>
      </c>
      <c r="K12" s="573">
        <v>5</v>
      </c>
      <c r="L12" s="573">
        <v>0</v>
      </c>
      <c r="M12" s="573" t="s">
        <v>157</v>
      </c>
      <c r="N12" s="573">
        <v>2</v>
      </c>
      <c r="O12" s="573" t="s">
        <v>157</v>
      </c>
      <c r="P12" s="571" t="s">
        <v>157</v>
      </c>
      <c r="Q12" s="573" t="s">
        <v>189</v>
      </c>
      <c r="R12" s="573">
        <v>4</v>
      </c>
      <c r="S12" s="582" t="s">
        <v>190</v>
      </c>
      <c r="T12" s="573" t="s">
        <v>191</v>
      </c>
      <c r="U12" s="573">
        <v>111.7</v>
      </c>
      <c r="V12" s="573">
        <v>18.5</v>
      </c>
      <c r="W12" s="616">
        <v>3730</v>
      </c>
      <c r="X12" s="617">
        <v>25</v>
      </c>
      <c r="Y12" s="617" t="s">
        <v>178</v>
      </c>
      <c r="Z12" s="617" t="s">
        <v>178</v>
      </c>
      <c r="AA12" s="618">
        <v>28895</v>
      </c>
      <c r="AB12" s="618" t="s">
        <v>164</v>
      </c>
      <c r="AC12" s="618">
        <v>23995</v>
      </c>
      <c r="AD12" s="619">
        <v>7.1999999999999995E-2</v>
      </c>
      <c r="AE12" s="617" t="s">
        <v>186</v>
      </c>
    </row>
    <row r="13" spans="1:31" s="572" customFormat="1">
      <c r="A13" s="570" t="s">
        <v>193</v>
      </c>
      <c r="B13" s="569" t="s">
        <v>166</v>
      </c>
      <c r="C13" s="580">
        <v>17</v>
      </c>
      <c r="D13" s="569" t="s">
        <v>151</v>
      </c>
      <c r="E13" s="569" t="s">
        <v>187</v>
      </c>
      <c r="F13" s="569" t="s">
        <v>153</v>
      </c>
      <c r="G13" s="569">
        <v>2019</v>
      </c>
      <c r="H13" s="569" t="s">
        <v>188</v>
      </c>
      <c r="I13" s="569" t="s">
        <v>174</v>
      </c>
      <c r="J13" s="569" t="s">
        <v>156</v>
      </c>
      <c r="K13" s="569">
        <v>5</v>
      </c>
      <c r="L13" s="569">
        <v>0</v>
      </c>
      <c r="M13" s="569" t="s">
        <v>157</v>
      </c>
      <c r="N13" s="569">
        <v>2</v>
      </c>
      <c r="O13" s="569" t="s">
        <v>157</v>
      </c>
      <c r="P13" s="568" t="s">
        <v>157</v>
      </c>
      <c r="Q13" s="569" t="s">
        <v>189</v>
      </c>
      <c r="R13" s="569">
        <v>4</v>
      </c>
      <c r="S13" s="569" t="s">
        <v>190</v>
      </c>
      <c r="T13" s="569" t="s">
        <v>191</v>
      </c>
      <c r="U13" s="569">
        <v>111.7</v>
      </c>
      <c r="V13" s="569">
        <v>18.5</v>
      </c>
      <c r="W13" s="620">
        <v>3730</v>
      </c>
      <c r="X13" s="621">
        <v>25</v>
      </c>
      <c r="Y13" s="621" t="s">
        <v>178</v>
      </c>
      <c r="Z13" s="621" t="s">
        <v>178</v>
      </c>
      <c r="AA13" s="622">
        <v>28895</v>
      </c>
      <c r="AB13" s="622" t="s">
        <v>164</v>
      </c>
      <c r="AC13" s="622">
        <v>23894</v>
      </c>
      <c r="AD13" s="623">
        <v>7.1999999999999995E-2</v>
      </c>
      <c r="AE13" s="621" t="s">
        <v>186</v>
      </c>
    </row>
    <row r="14" spans="1:31" s="572" customFormat="1">
      <c r="A14" s="570" t="s">
        <v>194</v>
      </c>
      <c r="B14" s="573" t="s">
        <v>169</v>
      </c>
      <c r="C14" s="578">
        <v>11</v>
      </c>
      <c r="D14" s="573" t="s">
        <v>151</v>
      </c>
      <c r="E14" s="573" t="s">
        <v>196</v>
      </c>
      <c r="F14" s="573" t="s">
        <v>153</v>
      </c>
      <c r="G14" s="573">
        <v>2019</v>
      </c>
      <c r="H14" s="573" t="s">
        <v>197</v>
      </c>
      <c r="I14" s="573" t="s">
        <v>198</v>
      </c>
      <c r="J14" s="573" t="s">
        <v>156</v>
      </c>
      <c r="K14" s="573">
        <v>5</v>
      </c>
      <c r="L14" s="573">
        <v>0</v>
      </c>
      <c r="M14" s="573" t="s">
        <v>157</v>
      </c>
      <c r="N14" s="573">
        <v>2</v>
      </c>
      <c r="O14" s="573" t="s">
        <v>157</v>
      </c>
      <c r="P14" s="571" t="s">
        <v>157</v>
      </c>
      <c r="Q14" s="573" t="s">
        <v>199</v>
      </c>
      <c r="R14" s="573">
        <v>4</v>
      </c>
      <c r="S14" s="582" t="s">
        <v>200</v>
      </c>
      <c r="T14" s="573" t="s">
        <v>201</v>
      </c>
      <c r="U14" s="573">
        <v>111.4</v>
      </c>
      <c r="V14" s="573">
        <v>13</v>
      </c>
      <c r="W14" s="616">
        <v>3366</v>
      </c>
      <c r="X14" s="617">
        <v>46</v>
      </c>
      <c r="Y14" s="617" t="s">
        <v>178</v>
      </c>
      <c r="Z14" s="617" t="s">
        <v>163</v>
      </c>
      <c r="AA14" s="618">
        <v>28945</v>
      </c>
      <c r="AB14" s="618" t="s">
        <v>164</v>
      </c>
      <c r="AC14" s="618">
        <v>26511.831578947371</v>
      </c>
      <c r="AD14" s="619">
        <v>0.05</v>
      </c>
      <c r="AE14" s="617" t="s">
        <v>195</v>
      </c>
    </row>
    <row r="15" spans="1:31" s="572" customFormat="1">
      <c r="A15" s="570" t="s">
        <v>202</v>
      </c>
      <c r="B15" s="569" t="s">
        <v>166</v>
      </c>
      <c r="C15" s="580">
        <v>17</v>
      </c>
      <c r="D15" s="569" t="s">
        <v>151</v>
      </c>
      <c r="E15" s="569" t="s">
        <v>196</v>
      </c>
      <c r="F15" s="569" t="s">
        <v>153</v>
      </c>
      <c r="G15" s="569">
        <v>2019</v>
      </c>
      <c r="H15" s="569" t="s">
        <v>197</v>
      </c>
      <c r="I15" s="569" t="s">
        <v>198</v>
      </c>
      <c r="J15" s="569" t="s">
        <v>156</v>
      </c>
      <c r="K15" s="569">
        <v>5</v>
      </c>
      <c r="L15" s="569">
        <v>0</v>
      </c>
      <c r="M15" s="569" t="s">
        <v>157</v>
      </c>
      <c r="N15" s="569">
        <v>2</v>
      </c>
      <c r="O15" s="569" t="s">
        <v>157</v>
      </c>
      <c r="P15" s="568" t="s">
        <v>157</v>
      </c>
      <c r="Q15" s="569" t="s">
        <v>199</v>
      </c>
      <c r="R15" s="569">
        <v>4</v>
      </c>
      <c r="S15" s="569" t="s">
        <v>200</v>
      </c>
      <c r="T15" s="569" t="s">
        <v>201</v>
      </c>
      <c r="U15" s="569">
        <v>111.4</v>
      </c>
      <c r="V15" s="569">
        <v>13</v>
      </c>
      <c r="W15" s="620">
        <v>3366</v>
      </c>
      <c r="X15" s="621">
        <v>46</v>
      </c>
      <c r="Y15" s="621" t="s">
        <v>178</v>
      </c>
      <c r="Z15" s="621" t="s">
        <v>163</v>
      </c>
      <c r="AA15" s="622">
        <v>28945</v>
      </c>
      <c r="AB15" s="622" t="s">
        <v>164</v>
      </c>
      <c r="AC15" s="622">
        <v>26855</v>
      </c>
      <c r="AD15" s="623">
        <v>7.1999999999999995E-2</v>
      </c>
      <c r="AE15" s="621" t="s">
        <v>195</v>
      </c>
    </row>
    <row r="16" spans="1:31" s="572" customFormat="1">
      <c r="A16" s="570" t="s">
        <v>203</v>
      </c>
      <c r="B16" s="573" t="s">
        <v>169</v>
      </c>
      <c r="C16" s="578">
        <v>11</v>
      </c>
      <c r="D16" s="573" t="s">
        <v>151</v>
      </c>
      <c r="E16" s="573" t="s">
        <v>196</v>
      </c>
      <c r="F16" s="573" t="s">
        <v>153</v>
      </c>
      <c r="G16" s="573">
        <v>2019</v>
      </c>
      <c r="H16" s="573" t="s">
        <v>197</v>
      </c>
      <c r="I16" s="573" t="s">
        <v>174</v>
      </c>
      <c r="J16" s="573" t="s">
        <v>156</v>
      </c>
      <c r="K16" s="573">
        <v>5</v>
      </c>
      <c r="L16" s="573">
        <v>0</v>
      </c>
      <c r="M16" s="573" t="s">
        <v>157</v>
      </c>
      <c r="N16" s="573">
        <v>2</v>
      </c>
      <c r="O16" s="573" t="s">
        <v>157</v>
      </c>
      <c r="P16" s="571" t="s">
        <v>157</v>
      </c>
      <c r="Q16" s="573" t="s">
        <v>205</v>
      </c>
      <c r="R16" s="573">
        <v>4</v>
      </c>
      <c r="S16" s="582" t="s">
        <v>206</v>
      </c>
      <c r="T16" s="573" t="s">
        <v>174</v>
      </c>
      <c r="U16" s="573">
        <v>111.4</v>
      </c>
      <c r="V16" s="573">
        <v>15.8</v>
      </c>
      <c r="W16" s="616">
        <v>3393</v>
      </c>
      <c r="X16" s="617">
        <v>32</v>
      </c>
      <c r="Y16" s="617" t="s">
        <v>178</v>
      </c>
      <c r="Z16" s="617" t="s">
        <v>178</v>
      </c>
      <c r="AA16" s="618">
        <v>23995</v>
      </c>
      <c r="AB16" s="618" t="s">
        <v>164</v>
      </c>
      <c r="AC16" s="618">
        <v>18800.893617021276</v>
      </c>
      <c r="AD16" s="619">
        <v>0.05</v>
      </c>
      <c r="AE16" s="617" t="s">
        <v>204</v>
      </c>
    </row>
    <row r="17" spans="1:31" s="572" customFormat="1">
      <c r="A17" s="570" t="s">
        <v>207</v>
      </c>
      <c r="B17" s="569" t="s">
        <v>150</v>
      </c>
      <c r="C17" s="580">
        <v>13</v>
      </c>
      <c r="D17" s="569" t="s">
        <v>151</v>
      </c>
      <c r="E17" s="569" t="s">
        <v>196</v>
      </c>
      <c r="F17" s="569" t="s">
        <v>153</v>
      </c>
      <c r="G17" s="569">
        <v>2019</v>
      </c>
      <c r="H17" s="569" t="s">
        <v>197</v>
      </c>
      <c r="I17" s="569" t="s">
        <v>174</v>
      </c>
      <c r="J17" s="569" t="s">
        <v>156</v>
      </c>
      <c r="K17" s="569">
        <v>5</v>
      </c>
      <c r="L17" s="569">
        <v>0</v>
      </c>
      <c r="M17" s="569" t="s">
        <v>157</v>
      </c>
      <c r="N17" s="569">
        <v>2</v>
      </c>
      <c r="O17" s="569" t="s">
        <v>157</v>
      </c>
      <c r="P17" s="568" t="s">
        <v>157</v>
      </c>
      <c r="Q17" s="569" t="s">
        <v>205</v>
      </c>
      <c r="R17" s="569">
        <v>4</v>
      </c>
      <c r="S17" s="569" t="s">
        <v>206</v>
      </c>
      <c r="T17" s="569" t="s">
        <v>191</v>
      </c>
      <c r="U17" s="569">
        <v>111.4</v>
      </c>
      <c r="V17" s="569">
        <v>15.8</v>
      </c>
      <c r="W17" s="620">
        <v>3393</v>
      </c>
      <c r="X17" s="621">
        <v>30</v>
      </c>
      <c r="Y17" s="621" t="s">
        <v>178</v>
      </c>
      <c r="Z17" s="621" t="s">
        <v>178</v>
      </c>
      <c r="AA17" s="622">
        <v>24100</v>
      </c>
      <c r="AB17" s="622" t="s">
        <v>164</v>
      </c>
      <c r="AC17" s="622">
        <v>20024</v>
      </c>
      <c r="AD17" s="623">
        <v>0.03</v>
      </c>
      <c r="AE17" s="621" t="s">
        <v>204</v>
      </c>
    </row>
    <row r="18" spans="1:31" s="572" customFormat="1">
      <c r="A18" s="570" t="s">
        <v>208</v>
      </c>
      <c r="B18" s="573" t="s">
        <v>166</v>
      </c>
      <c r="C18" s="578">
        <v>17</v>
      </c>
      <c r="D18" s="573" t="s">
        <v>151</v>
      </c>
      <c r="E18" s="573" t="s">
        <v>196</v>
      </c>
      <c r="F18" s="573" t="s">
        <v>153</v>
      </c>
      <c r="G18" s="573">
        <v>2019</v>
      </c>
      <c r="H18" s="573" t="s">
        <v>197</v>
      </c>
      <c r="I18" s="573" t="s">
        <v>174</v>
      </c>
      <c r="J18" s="573" t="s">
        <v>156</v>
      </c>
      <c r="K18" s="573">
        <v>5</v>
      </c>
      <c r="L18" s="573">
        <v>0</v>
      </c>
      <c r="M18" s="573" t="s">
        <v>157</v>
      </c>
      <c r="N18" s="573">
        <v>2</v>
      </c>
      <c r="O18" s="573" t="s">
        <v>157</v>
      </c>
      <c r="P18" s="571" t="s">
        <v>157</v>
      </c>
      <c r="Q18" s="573" t="s">
        <v>205</v>
      </c>
      <c r="R18" s="573">
        <v>4</v>
      </c>
      <c r="S18" s="582" t="s">
        <v>206</v>
      </c>
      <c r="T18" s="573" t="s">
        <v>191</v>
      </c>
      <c r="U18" s="573">
        <v>111.4</v>
      </c>
      <c r="V18" s="573">
        <v>15.8</v>
      </c>
      <c r="W18" s="616">
        <v>3393</v>
      </c>
      <c r="X18" s="617">
        <v>30</v>
      </c>
      <c r="Y18" s="617" t="s">
        <v>178</v>
      </c>
      <c r="Z18" s="617" t="s">
        <v>178</v>
      </c>
      <c r="AA18" s="618">
        <v>23995</v>
      </c>
      <c r="AB18" s="618" t="s">
        <v>164</v>
      </c>
      <c r="AC18" s="618">
        <v>19522</v>
      </c>
      <c r="AD18" s="619">
        <v>7.1999999999999995E-2</v>
      </c>
      <c r="AE18" s="617" t="s">
        <v>204</v>
      </c>
    </row>
    <row r="19" spans="1:31" s="572" customFormat="1">
      <c r="A19" s="570" t="s">
        <v>208</v>
      </c>
      <c r="B19" s="569" t="s">
        <v>166</v>
      </c>
      <c r="C19" s="580">
        <v>17</v>
      </c>
      <c r="D19" s="569" t="s">
        <v>151</v>
      </c>
      <c r="E19" s="569" t="s">
        <v>196</v>
      </c>
      <c r="F19" s="569" t="s">
        <v>153</v>
      </c>
      <c r="G19" s="569">
        <v>2019</v>
      </c>
      <c r="H19" s="569" t="s">
        <v>197</v>
      </c>
      <c r="I19" s="569" t="s">
        <v>174</v>
      </c>
      <c r="J19" s="569" t="s">
        <v>156</v>
      </c>
      <c r="K19" s="569">
        <v>5</v>
      </c>
      <c r="L19" s="569">
        <v>0</v>
      </c>
      <c r="M19" s="569" t="s">
        <v>157</v>
      </c>
      <c r="N19" s="569">
        <v>2</v>
      </c>
      <c r="O19" s="569" t="s">
        <v>157</v>
      </c>
      <c r="P19" s="568" t="s">
        <v>157</v>
      </c>
      <c r="Q19" s="569" t="s">
        <v>205</v>
      </c>
      <c r="R19" s="569">
        <v>4</v>
      </c>
      <c r="S19" s="569" t="s">
        <v>206</v>
      </c>
      <c r="T19" s="569" t="s">
        <v>191</v>
      </c>
      <c r="U19" s="569">
        <v>111.4</v>
      </c>
      <c r="V19" s="569">
        <v>15.8</v>
      </c>
      <c r="W19" s="620">
        <v>3393</v>
      </c>
      <c r="X19" s="621">
        <v>31</v>
      </c>
      <c r="Y19" s="621" t="s">
        <v>178</v>
      </c>
      <c r="Z19" s="621" t="s">
        <v>178</v>
      </c>
      <c r="AA19" s="622">
        <v>23995</v>
      </c>
      <c r="AB19" s="622" t="s">
        <v>164</v>
      </c>
      <c r="AC19" s="622">
        <v>19522</v>
      </c>
      <c r="AD19" s="623">
        <v>7.1999999999999995E-2</v>
      </c>
      <c r="AE19" s="621" t="s">
        <v>204</v>
      </c>
    </row>
    <row r="20" spans="1:31" s="572" customFormat="1">
      <c r="A20" s="570" t="s">
        <v>208</v>
      </c>
      <c r="B20" s="573" t="s">
        <v>166</v>
      </c>
      <c r="C20" s="578">
        <v>17</v>
      </c>
      <c r="D20" s="573" t="s">
        <v>151</v>
      </c>
      <c r="E20" s="573" t="s">
        <v>196</v>
      </c>
      <c r="F20" s="573" t="s">
        <v>153</v>
      </c>
      <c r="G20" s="573">
        <v>2019</v>
      </c>
      <c r="H20" s="573" t="s">
        <v>197</v>
      </c>
      <c r="I20" s="573" t="s">
        <v>174</v>
      </c>
      <c r="J20" s="573" t="s">
        <v>156</v>
      </c>
      <c r="K20" s="573">
        <v>5</v>
      </c>
      <c r="L20" s="573">
        <v>0</v>
      </c>
      <c r="M20" s="573" t="s">
        <v>157</v>
      </c>
      <c r="N20" s="573">
        <v>2</v>
      </c>
      <c r="O20" s="573" t="s">
        <v>157</v>
      </c>
      <c r="P20" s="571" t="s">
        <v>157</v>
      </c>
      <c r="Q20" s="573" t="s">
        <v>205</v>
      </c>
      <c r="R20" s="573">
        <v>4</v>
      </c>
      <c r="S20" s="582" t="s">
        <v>206</v>
      </c>
      <c r="T20" s="573" t="s">
        <v>191</v>
      </c>
      <c r="U20" s="573">
        <v>111.4</v>
      </c>
      <c r="V20" s="573">
        <v>15.8</v>
      </c>
      <c r="W20" s="616">
        <v>3393</v>
      </c>
      <c r="X20" s="617">
        <v>32</v>
      </c>
      <c r="Y20" s="617" t="s">
        <v>178</v>
      </c>
      <c r="Z20" s="617" t="s">
        <v>178</v>
      </c>
      <c r="AA20" s="618">
        <v>23995</v>
      </c>
      <c r="AB20" s="618" t="s">
        <v>164</v>
      </c>
      <c r="AC20" s="618">
        <v>19522</v>
      </c>
      <c r="AD20" s="619">
        <v>7.1999999999999995E-2</v>
      </c>
      <c r="AE20" s="617" t="s">
        <v>204</v>
      </c>
    </row>
    <row r="21" spans="1:31" s="572" customFormat="1">
      <c r="A21" s="570" t="s">
        <v>209</v>
      </c>
      <c r="B21" s="569" t="s">
        <v>169</v>
      </c>
      <c r="C21" s="580">
        <v>11</v>
      </c>
      <c r="D21" s="569" t="s">
        <v>151</v>
      </c>
      <c r="E21" s="569" t="s">
        <v>211</v>
      </c>
      <c r="F21" s="569" t="s">
        <v>153</v>
      </c>
      <c r="G21" s="569">
        <v>2019</v>
      </c>
      <c r="H21" s="569" t="s">
        <v>212</v>
      </c>
      <c r="I21" s="569" t="s">
        <v>213</v>
      </c>
      <c r="J21" s="569" t="s">
        <v>156</v>
      </c>
      <c r="K21" s="569">
        <v>4</v>
      </c>
      <c r="L21" s="569">
        <v>0</v>
      </c>
      <c r="M21" s="569" t="s">
        <v>157</v>
      </c>
      <c r="N21" s="569">
        <v>2</v>
      </c>
      <c r="O21" s="569" t="s">
        <v>157</v>
      </c>
      <c r="P21" s="568" t="s">
        <v>157</v>
      </c>
      <c r="Q21" s="569" t="s">
        <v>175</v>
      </c>
      <c r="R21" s="569">
        <v>4</v>
      </c>
      <c r="S21" s="569" t="s">
        <v>214</v>
      </c>
      <c r="T21" s="569" t="s">
        <v>183</v>
      </c>
      <c r="U21" s="569">
        <v>93.5</v>
      </c>
      <c r="V21" s="569">
        <v>9.1999999999999993</v>
      </c>
      <c r="W21" s="620">
        <v>2312</v>
      </c>
      <c r="X21" s="621">
        <v>33</v>
      </c>
      <c r="Y21" s="621" t="s">
        <v>178</v>
      </c>
      <c r="Z21" s="621" t="s">
        <v>178</v>
      </c>
      <c r="AA21" s="622">
        <v>17095</v>
      </c>
      <c r="AB21" s="622" t="s">
        <v>164</v>
      </c>
      <c r="AC21" s="622">
        <v>16314.129032258063</v>
      </c>
      <c r="AD21" s="623">
        <v>0.05</v>
      </c>
      <c r="AE21" s="621" t="s">
        <v>210</v>
      </c>
    </row>
    <row r="22" spans="1:31" s="572" customFormat="1">
      <c r="A22" s="570" t="s">
        <v>215</v>
      </c>
      <c r="B22" s="573" t="s">
        <v>166</v>
      </c>
      <c r="C22" s="578">
        <v>17</v>
      </c>
      <c r="D22" s="573" t="s">
        <v>151</v>
      </c>
      <c r="E22" s="573" t="s">
        <v>211</v>
      </c>
      <c r="F22" s="573" t="s">
        <v>153</v>
      </c>
      <c r="G22" s="573">
        <v>2019</v>
      </c>
      <c r="H22" s="573" t="s">
        <v>212</v>
      </c>
      <c r="I22" s="573" t="s">
        <v>213</v>
      </c>
      <c r="J22" s="573" t="s">
        <v>156</v>
      </c>
      <c r="K22" s="573">
        <v>4</v>
      </c>
      <c r="L22" s="573">
        <v>0</v>
      </c>
      <c r="M22" s="573" t="s">
        <v>157</v>
      </c>
      <c r="N22" s="573">
        <v>2</v>
      </c>
      <c r="O22" s="573" t="s">
        <v>157</v>
      </c>
      <c r="P22" s="571" t="s">
        <v>157</v>
      </c>
      <c r="Q22" s="573" t="s">
        <v>175</v>
      </c>
      <c r="R22" s="573">
        <v>4</v>
      </c>
      <c r="S22" s="582" t="s">
        <v>214</v>
      </c>
      <c r="T22" s="573" t="s">
        <v>183</v>
      </c>
      <c r="U22" s="573">
        <v>93.5</v>
      </c>
      <c r="V22" s="573">
        <v>9.1999999999999993</v>
      </c>
      <c r="W22" s="616">
        <v>2312</v>
      </c>
      <c r="X22" s="617">
        <v>34</v>
      </c>
      <c r="Y22" s="617" t="s">
        <v>178</v>
      </c>
      <c r="Z22" s="617" t="s">
        <v>178</v>
      </c>
      <c r="AA22" s="618">
        <v>17095</v>
      </c>
      <c r="AB22" s="618" t="s">
        <v>164</v>
      </c>
      <c r="AC22" s="618">
        <v>15920.96</v>
      </c>
      <c r="AD22" s="619">
        <v>7.1999999999999995E-2</v>
      </c>
      <c r="AE22" s="617" t="s">
        <v>210</v>
      </c>
    </row>
    <row r="23" spans="1:31" s="572" customFormat="1">
      <c r="A23" s="570" t="s">
        <v>216</v>
      </c>
      <c r="B23" s="569" t="s">
        <v>166</v>
      </c>
      <c r="C23" s="580">
        <v>17</v>
      </c>
      <c r="D23" s="569" t="s">
        <v>151</v>
      </c>
      <c r="E23" s="569" t="s">
        <v>211</v>
      </c>
      <c r="F23" s="569" t="s">
        <v>153</v>
      </c>
      <c r="G23" s="569">
        <v>2019</v>
      </c>
      <c r="H23" s="569" t="s">
        <v>212</v>
      </c>
      <c r="I23" s="569" t="s">
        <v>213</v>
      </c>
      <c r="J23" s="569" t="s">
        <v>156</v>
      </c>
      <c r="K23" s="569">
        <v>4</v>
      </c>
      <c r="L23" s="569">
        <v>0</v>
      </c>
      <c r="M23" s="569" t="s">
        <v>157</v>
      </c>
      <c r="N23" s="569">
        <v>2</v>
      </c>
      <c r="O23" s="569" t="s">
        <v>157</v>
      </c>
      <c r="P23" s="568" t="s">
        <v>157</v>
      </c>
      <c r="Q23" s="569" t="s">
        <v>175</v>
      </c>
      <c r="R23" s="569">
        <v>4</v>
      </c>
      <c r="S23" s="569" t="s">
        <v>214</v>
      </c>
      <c r="T23" s="569" t="s">
        <v>183</v>
      </c>
      <c r="U23" s="569">
        <v>93.9</v>
      </c>
      <c r="V23" s="569">
        <v>9.1999999999999993</v>
      </c>
      <c r="W23" s="620">
        <v>2368</v>
      </c>
      <c r="X23" s="621">
        <v>34</v>
      </c>
      <c r="Y23" s="621" t="s">
        <v>178</v>
      </c>
      <c r="Z23" s="621" t="s">
        <v>178</v>
      </c>
      <c r="AA23" s="622">
        <v>17095</v>
      </c>
      <c r="AB23" s="622" t="s">
        <v>164</v>
      </c>
      <c r="AC23" s="622">
        <v>15920.96</v>
      </c>
      <c r="AD23" s="623">
        <v>7.1999999999999995E-2</v>
      </c>
      <c r="AE23" s="621" t="s">
        <v>217</v>
      </c>
    </row>
    <row r="24" spans="1:31" s="572" customFormat="1">
      <c r="A24" s="570" t="s">
        <v>218</v>
      </c>
      <c r="B24" s="573" t="s">
        <v>169</v>
      </c>
      <c r="C24" s="578">
        <v>11</v>
      </c>
      <c r="D24" s="573" t="s">
        <v>151</v>
      </c>
      <c r="E24" s="573" t="s">
        <v>152</v>
      </c>
      <c r="F24" s="573" t="s">
        <v>153</v>
      </c>
      <c r="G24" s="573">
        <v>2019</v>
      </c>
      <c r="H24" s="573" t="s">
        <v>220</v>
      </c>
      <c r="I24" s="573" t="s">
        <v>155</v>
      </c>
      <c r="J24" s="573" t="s">
        <v>156</v>
      </c>
      <c r="K24" s="573">
        <v>5</v>
      </c>
      <c r="L24" s="573">
        <v>0</v>
      </c>
      <c r="M24" s="573" t="s">
        <v>157</v>
      </c>
      <c r="N24" s="573">
        <v>2</v>
      </c>
      <c r="O24" s="573" t="s">
        <v>157</v>
      </c>
      <c r="P24" s="571" t="s">
        <v>157</v>
      </c>
      <c r="Q24" s="573" t="s">
        <v>205</v>
      </c>
      <c r="R24" s="573">
        <v>4</v>
      </c>
      <c r="S24" s="582" t="s">
        <v>221</v>
      </c>
      <c r="T24" s="573" t="s">
        <v>161</v>
      </c>
      <c r="U24" s="573">
        <v>106.1</v>
      </c>
      <c r="V24" s="573">
        <v>8.9</v>
      </c>
      <c r="W24" s="616">
        <v>3543</v>
      </c>
      <c r="X24" s="617">
        <v>106</v>
      </c>
      <c r="Y24" s="617" t="s">
        <v>163</v>
      </c>
      <c r="Z24" s="617" t="s">
        <v>178</v>
      </c>
      <c r="AA24" s="618">
        <v>34395</v>
      </c>
      <c r="AB24" s="618" t="s">
        <v>164</v>
      </c>
      <c r="AC24" s="618">
        <v>31172.541666666668</v>
      </c>
      <c r="AD24" s="619">
        <v>0.05</v>
      </c>
      <c r="AE24" s="617" t="s">
        <v>219</v>
      </c>
    </row>
    <row r="25" spans="1:31" s="572" customFormat="1">
      <c r="A25" s="570" t="s">
        <v>222</v>
      </c>
      <c r="B25" s="569" t="s">
        <v>150</v>
      </c>
      <c r="C25" s="580">
        <v>13</v>
      </c>
      <c r="D25" s="569" t="s">
        <v>151</v>
      </c>
      <c r="E25" s="569" t="s">
        <v>152</v>
      </c>
      <c r="F25" s="569" t="s">
        <v>153</v>
      </c>
      <c r="G25" s="569">
        <v>2019</v>
      </c>
      <c r="H25" s="569" t="s">
        <v>220</v>
      </c>
      <c r="I25" s="569" t="s">
        <v>155</v>
      </c>
      <c r="J25" s="569" t="s">
        <v>156</v>
      </c>
      <c r="K25" s="569">
        <v>5</v>
      </c>
      <c r="L25" s="569">
        <v>0</v>
      </c>
      <c r="M25" s="569" t="s">
        <v>157</v>
      </c>
      <c r="N25" s="569">
        <v>2</v>
      </c>
      <c r="O25" s="569" t="s">
        <v>157</v>
      </c>
      <c r="P25" s="568" t="s">
        <v>157</v>
      </c>
      <c r="Q25" s="569" t="s">
        <v>205</v>
      </c>
      <c r="R25" s="569">
        <v>4</v>
      </c>
      <c r="S25" s="569" t="s">
        <v>221</v>
      </c>
      <c r="T25" s="569" t="s">
        <v>161</v>
      </c>
      <c r="U25" s="569">
        <v>106.1</v>
      </c>
      <c r="V25" s="569">
        <v>8.9</v>
      </c>
      <c r="W25" s="620">
        <v>3543</v>
      </c>
      <c r="X25" s="621">
        <v>106</v>
      </c>
      <c r="Y25" s="621" t="s">
        <v>163</v>
      </c>
      <c r="Z25" s="621" t="s">
        <v>178</v>
      </c>
      <c r="AA25" s="622">
        <v>34395</v>
      </c>
      <c r="AB25" s="622" t="s">
        <v>164</v>
      </c>
      <c r="AC25" s="622">
        <v>32770</v>
      </c>
      <c r="AD25" s="623">
        <v>0.03</v>
      </c>
      <c r="AE25" s="621" t="s">
        <v>219</v>
      </c>
    </row>
    <row r="26" spans="1:31" s="572" customFormat="1">
      <c r="A26" s="570" t="s">
        <v>223</v>
      </c>
      <c r="B26" s="573" t="s">
        <v>166</v>
      </c>
      <c r="C26" s="578">
        <v>17</v>
      </c>
      <c r="D26" s="573" t="s">
        <v>151</v>
      </c>
      <c r="E26" s="573" t="s">
        <v>152</v>
      </c>
      <c r="F26" s="573" t="s">
        <v>153</v>
      </c>
      <c r="G26" s="573">
        <v>2019</v>
      </c>
      <c r="H26" s="573" t="s">
        <v>220</v>
      </c>
      <c r="I26" s="573" t="s">
        <v>155</v>
      </c>
      <c r="J26" s="573" t="s">
        <v>156</v>
      </c>
      <c r="K26" s="573">
        <v>5</v>
      </c>
      <c r="L26" s="573">
        <v>0</v>
      </c>
      <c r="M26" s="573" t="s">
        <v>157</v>
      </c>
      <c r="N26" s="573">
        <v>2</v>
      </c>
      <c r="O26" s="573" t="s">
        <v>157</v>
      </c>
      <c r="P26" s="571" t="s">
        <v>157</v>
      </c>
      <c r="Q26" s="573" t="s">
        <v>205</v>
      </c>
      <c r="R26" s="573">
        <v>4</v>
      </c>
      <c r="S26" s="582" t="s">
        <v>221</v>
      </c>
      <c r="T26" s="573" t="s">
        <v>161</v>
      </c>
      <c r="U26" s="573">
        <v>106.1</v>
      </c>
      <c r="V26" s="573">
        <v>8.9</v>
      </c>
      <c r="W26" s="616">
        <v>3543</v>
      </c>
      <c r="X26" s="617">
        <v>106</v>
      </c>
      <c r="Y26" s="617" t="s">
        <v>163</v>
      </c>
      <c r="Z26" s="617" t="s">
        <v>178</v>
      </c>
      <c r="AA26" s="618">
        <v>34395</v>
      </c>
      <c r="AB26" s="618" t="s">
        <v>164</v>
      </c>
      <c r="AC26" s="618">
        <v>32800</v>
      </c>
      <c r="AD26" s="619">
        <v>7.1999999999999995E-2</v>
      </c>
      <c r="AE26" s="617" t="s">
        <v>219</v>
      </c>
    </row>
    <row r="27" spans="1:31" s="572" customFormat="1">
      <c r="A27" s="570" t="s">
        <v>224</v>
      </c>
      <c r="B27" s="569" t="s">
        <v>226</v>
      </c>
      <c r="C27" s="580" t="s">
        <v>227</v>
      </c>
      <c r="D27" s="569" t="s">
        <v>151</v>
      </c>
      <c r="E27" s="569" t="s">
        <v>187</v>
      </c>
      <c r="F27" s="569" t="s">
        <v>228</v>
      </c>
      <c r="G27" s="569">
        <v>2019</v>
      </c>
      <c r="H27" s="569">
        <v>300</v>
      </c>
      <c r="I27" s="569" t="s">
        <v>229</v>
      </c>
      <c r="J27" s="569" t="s">
        <v>230</v>
      </c>
      <c r="K27" s="569">
        <v>5</v>
      </c>
      <c r="L27" s="569">
        <v>0</v>
      </c>
      <c r="M27" s="569" t="s">
        <v>157</v>
      </c>
      <c r="N27" s="569">
        <v>2</v>
      </c>
      <c r="O27" s="569" t="s">
        <v>157</v>
      </c>
      <c r="P27" s="568" t="s">
        <v>157</v>
      </c>
      <c r="Q27" s="569" t="s">
        <v>231</v>
      </c>
      <c r="R27" s="569">
        <v>6</v>
      </c>
      <c r="S27" s="569" t="s">
        <v>232</v>
      </c>
      <c r="T27" s="569" t="s">
        <v>233</v>
      </c>
      <c r="U27" s="569">
        <v>120.2</v>
      </c>
      <c r="V27" s="569">
        <v>18.5</v>
      </c>
      <c r="W27" s="620">
        <v>5350</v>
      </c>
      <c r="X27" s="621">
        <v>23</v>
      </c>
      <c r="Y27" s="621" t="s">
        <v>178</v>
      </c>
      <c r="Z27" s="621" t="s">
        <v>178</v>
      </c>
      <c r="AA27" s="622">
        <v>32840</v>
      </c>
      <c r="AB27" s="622" t="s">
        <v>164</v>
      </c>
      <c r="AC27" s="622">
        <v>27708</v>
      </c>
      <c r="AD27" s="623">
        <v>6.25E-2</v>
      </c>
      <c r="AE27" s="621" t="s">
        <v>225</v>
      </c>
    </row>
    <row r="28" spans="1:31" s="572" customFormat="1">
      <c r="A28" s="570" t="s">
        <v>234</v>
      </c>
      <c r="B28" s="573" t="s">
        <v>226</v>
      </c>
      <c r="C28" s="578" t="s">
        <v>227</v>
      </c>
      <c r="D28" s="573" t="s">
        <v>151</v>
      </c>
      <c r="E28" s="573" t="s">
        <v>187</v>
      </c>
      <c r="F28" s="573" t="s">
        <v>228</v>
      </c>
      <c r="G28" s="573">
        <v>2019</v>
      </c>
      <c r="H28" s="573">
        <v>300</v>
      </c>
      <c r="I28" s="573" t="s">
        <v>229</v>
      </c>
      <c r="J28" s="573" t="s">
        <v>236</v>
      </c>
      <c r="K28" s="573">
        <v>5</v>
      </c>
      <c r="L28" s="573">
        <v>0</v>
      </c>
      <c r="M28" s="573" t="s">
        <v>157</v>
      </c>
      <c r="N28" s="573">
        <v>2</v>
      </c>
      <c r="O28" s="573" t="s">
        <v>157</v>
      </c>
      <c r="P28" s="571" t="s">
        <v>157</v>
      </c>
      <c r="Q28" s="573" t="s">
        <v>231</v>
      </c>
      <c r="R28" s="573">
        <v>6</v>
      </c>
      <c r="S28" s="582" t="s">
        <v>237</v>
      </c>
      <c r="T28" s="573" t="s">
        <v>233</v>
      </c>
      <c r="U28" s="573">
        <v>120.2</v>
      </c>
      <c r="V28" s="573">
        <v>18.5</v>
      </c>
      <c r="W28" s="616">
        <v>5100</v>
      </c>
      <c r="X28" s="617">
        <v>23</v>
      </c>
      <c r="Y28" s="617" t="s">
        <v>178</v>
      </c>
      <c r="Z28" s="617" t="s">
        <v>178</v>
      </c>
      <c r="AA28" s="618">
        <v>30340</v>
      </c>
      <c r="AB28" s="618" t="s">
        <v>164</v>
      </c>
      <c r="AC28" s="618">
        <v>25436</v>
      </c>
      <c r="AD28" s="619">
        <v>6.25E-2</v>
      </c>
      <c r="AE28" s="617" t="s">
        <v>235</v>
      </c>
    </row>
    <row r="29" spans="1:31" s="572" customFormat="1">
      <c r="A29" s="570" t="s">
        <v>238</v>
      </c>
      <c r="B29" s="569" t="s">
        <v>240</v>
      </c>
      <c r="C29" s="580" t="s">
        <v>241</v>
      </c>
      <c r="D29" s="569" t="s">
        <v>151</v>
      </c>
      <c r="E29" s="569" t="s">
        <v>187</v>
      </c>
      <c r="F29" s="569" t="s">
        <v>228</v>
      </c>
      <c r="G29" s="569">
        <v>2019</v>
      </c>
      <c r="H29" s="569">
        <v>300</v>
      </c>
      <c r="I29" s="569" t="s">
        <v>242</v>
      </c>
      <c r="J29" s="569" t="s">
        <v>230</v>
      </c>
      <c r="K29" s="569">
        <v>5</v>
      </c>
      <c r="L29" s="569">
        <v>0</v>
      </c>
      <c r="M29" s="569" t="s">
        <v>157</v>
      </c>
      <c r="N29" s="569">
        <v>2</v>
      </c>
      <c r="O29" s="569" t="s">
        <v>157</v>
      </c>
      <c r="P29" s="568" t="s">
        <v>157</v>
      </c>
      <c r="Q29" s="569" t="s">
        <v>231</v>
      </c>
      <c r="R29" s="569">
        <v>6</v>
      </c>
      <c r="S29" s="569" t="s">
        <v>232</v>
      </c>
      <c r="T29" s="569" t="s">
        <v>243</v>
      </c>
      <c r="U29" s="569">
        <v>120.2</v>
      </c>
      <c r="V29" s="569">
        <v>18.5</v>
      </c>
      <c r="W29" s="620">
        <v>5350</v>
      </c>
      <c r="X29" s="621">
        <v>21</v>
      </c>
      <c r="Y29" s="621" t="s">
        <v>178</v>
      </c>
      <c r="Z29" s="621" t="s">
        <v>178</v>
      </c>
      <c r="AA29" s="622">
        <v>36485</v>
      </c>
      <c r="AB29" s="622" t="s">
        <v>164</v>
      </c>
      <c r="AC29" s="622">
        <v>30858.333333333299</v>
      </c>
      <c r="AD29" s="623">
        <v>0.05</v>
      </c>
      <c r="AE29" s="621" t="s">
        <v>239</v>
      </c>
    </row>
    <row r="30" spans="1:31" s="572" customFormat="1">
      <c r="A30" s="570" t="s">
        <v>244</v>
      </c>
      <c r="B30" s="573" t="s">
        <v>240</v>
      </c>
      <c r="C30" s="578" t="s">
        <v>241</v>
      </c>
      <c r="D30" s="573" t="s">
        <v>151</v>
      </c>
      <c r="E30" s="573" t="s">
        <v>187</v>
      </c>
      <c r="F30" s="573" t="s">
        <v>228</v>
      </c>
      <c r="G30" s="573">
        <v>2019</v>
      </c>
      <c r="H30" s="573">
        <v>300</v>
      </c>
      <c r="I30" s="573" t="s">
        <v>242</v>
      </c>
      <c r="J30" s="573" t="s">
        <v>236</v>
      </c>
      <c r="K30" s="573">
        <v>5</v>
      </c>
      <c r="L30" s="573">
        <v>0</v>
      </c>
      <c r="M30" s="573" t="s">
        <v>157</v>
      </c>
      <c r="N30" s="573">
        <v>2</v>
      </c>
      <c r="O30" s="573" t="s">
        <v>157</v>
      </c>
      <c r="P30" s="571" t="s">
        <v>157</v>
      </c>
      <c r="Q30" s="573" t="s">
        <v>231</v>
      </c>
      <c r="R30" s="573">
        <v>6</v>
      </c>
      <c r="S30" s="582" t="s">
        <v>237</v>
      </c>
      <c r="T30" s="573" t="s">
        <v>243</v>
      </c>
      <c r="U30" s="573">
        <v>120.2</v>
      </c>
      <c r="V30" s="573">
        <v>18.5</v>
      </c>
      <c r="W30" s="616">
        <v>5100</v>
      </c>
      <c r="X30" s="617">
        <v>23</v>
      </c>
      <c r="Y30" s="617" t="s">
        <v>178</v>
      </c>
      <c r="Z30" s="617" t="s">
        <v>178</v>
      </c>
      <c r="AA30" s="618">
        <v>33985</v>
      </c>
      <c r="AB30" s="618" t="s">
        <v>164</v>
      </c>
      <c r="AC30" s="618">
        <v>28514.583333333336</v>
      </c>
      <c r="AD30" s="619">
        <v>0.05</v>
      </c>
      <c r="AE30" s="617" t="s">
        <v>245</v>
      </c>
    </row>
    <row r="31" spans="1:31" s="572" customFormat="1">
      <c r="A31" s="570" t="s">
        <v>246</v>
      </c>
      <c r="B31" s="569" t="s">
        <v>226</v>
      </c>
      <c r="C31" s="580" t="s">
        <v>227</v>
      </c>
      <c r="D31" s="569" t="s">
        <v>151</v>
      </c>
      <c r="E31" s="569" t="s">
        <v>196</v>
      </c>
      <c r="F31" s="569" t="s">
        <v>248</v>
      </c>
      <c r="G31" s="569">
        <v>2019</v>
      </c>
      <c r="H31" s="569" t="s">
        <v>249</v>
      </c>
      <c r="I31" s="569" t="s">
        <v>250</v>
      </c>
      <c r="J31" s="569" t="s">
        <v>236</v>
      </c>
      <c r="K31" s="569">
        <v>5</v>
      </c>
      <c r="L31" s="569">
        <v>0</v>
      </c>
      <c r="M31" s="569" t="s">
        <v>157</v>
      </c>
      <c r="N31" s="569">
        <v>2</v>
      </c>
      <c r="O31" s="569" t="s">
        <v>157</v>
      </c>
      <c r="P31" s="568" t="s">
        <v>157</v>
      </c>
      <c r="Q31" s="569" t="s">
        <v>231</v>
      </c>
      <c r="R31" s="569">
        <v>6</v>
      </c>
      <c r="S31" s="569" t="s">
        <v>251</v>
      </c>
      <c r="T31" s="569" t="s">
        <v>252</v>
      </c>
      <c r="U31" s="569">
        <v>116.2</v>
      </c>
      <c r="V31" s="569">
        <v>18.5</v>
      </c>
      <c r="W31" s="620">
        <v>4950</v>
      </c>
      <c r="X31" s="621">
        <v>23</v>
      </c>
      <c r="Y31" s="621" t="s">
        <v>178</v>
      </c>
      <c r="Z31" s="621" t="s">
        <v>178</v>
      </c>
      <c r="AA31" s="622">
        <v>28640</v>
      </c>
      <c r="AB31" s="622" t="s">
        <v>164</v>
      </c>
      <c r="AC31" s="622">
        <v>27178</v>
      </c>
      <c r="AD31" s="623">
        <v>6.25E-2</v>
      </c>
      <c r="AE31" s="621" t="s">
        <v>247</v>
      </c>
    </row>
    <row r="32" spans="1:31" s="572" customFormat="1">
      <c r="A32" s="570" t="s">
        <v>253</v>
      </c>
      <c r="B32" s="573" t="s">
        <v>240</v>
      </c>
      <c r="C32" s="578" t="s">
        <v>241</v>
      </c>
      <c r="D32" s="573" t="s">
        <v>151</v>
      </c>
      <c r="E32" s="573" t="s">
        <v>196</v>
      </c>
      <c r="F32" s="573" t="s">
        <v>248</v>
      </c>
      <c r="G32" s="573">
        <v>2019</v>
      </c>
      <c r="H32" s="573" t="s">
        <v>249</v>
      </c>
      <c r="I32" s="573" t="s">
        <v>250</v>
      </c>
      <c r="J32" s="573" t="s">
        <v>236</v>
      </c>
      <c r="K32" s="573">
        <v>5</v>
      </c>
      <c r="L32" s="573">
        <v>0</v>
      </c>
      <c r="M32" s="573" t="s">
        <v>157</v>
      </c>
      <c r="N32" s="573">
        <v>2</v>
      </c>
      <c r="O32" s="573" t="s">
        <v>157</v>
      </c>
      <c r="P32" s="571" t="s">
        <v>157</v>
      </c>
      <c r="Q32" s="573" t="s">
        <v>231</v>
      </c>
      <c r="R32" s="573">
        <v>6</v>
      </c>
      <c r="S32" s="582" t="s">
        <v>251</v>
      </c>
      <c r="T32" s="573" t="s">
        <v>252</v>
      </c>
      <c r="U32" s="573">
        <v>116.2</v>
      </c>
      <c r="V32" s="573">
        <v>18.5</v>
      </c>
      <c r="W32" s="616">
        <v>3894</v>
      </c>
      <c r="X32" s="617">
        <v>23</v>
      </c>
      <c r="Y32" s="617" t="s">
        <v>178</v>
      </c>
      <c r="Z32" s="617" t="s">
        <v>178</v>
      </c>
      <c r="AA32" s="618">
        <v>28640</v>
      </c>
      <c r="AB32" s="618" t="s">
        <v>164</v>
      </c>
      <c r="AC32" s="618">
        <v>27045.833333333336</v>
      </c>
      <c r="AD32" s="619">
        <v>0.05</v>
      </c>
      <c r="AE32" s="617" t="s">
        <v>247</v>
      </c>
    </row>
    <row r="33" spans="1:31" s="572" customFormat="1">
      <c r="A33" s="570" t="s">
        <v>254</v>
      </c>
      <c r="B33" s="569" t="s">
        <v>240</v>
      </c>
      <c r="C33" s="580" t="s">
        <v>241</v>
      </c>
      <c r="D33" s="569" t="s">
        <v>151</v>
      </c>
      <c r="E33" s="569" t="s">
        <v>187</v>
      </c>
      <c r="F33" s="569" t="s">
        <v>248</v>
      </c>
      <c r="G33" s="569">
        <v>2019</v>
      </c>
      <c r="H33" s="569" t="s">
        <v>256</v>
      </c>
      <c r="I33" s="569" t="s">
        <v>257</v>
      </c>
      <c r="J33" s="569" t="s">
        <v>230</v>
      </c>
      <c r="K33" s="569">
        <v>5</v>
      </c>
      <c r="L33" s="569">
        <v>0</v>
      </c>
      <c r="M33" s="569" t="s">
        <v>157</v>
      </c>
      <c r="N33" s="569">
        <v>2</v>
      </c>
      <c r="O33" s="569" t="s">
        <v>157</v>
      </c>
      <c r="P33" s="568" t="s">
        <v>157</v>
      </c>
      <c r="Q33" s="569" t="s">
        <v>231</v>
      </c>
      <c r="R33" s="569">
        <v>6</v>
      </c>
      <c r="S33" s="569" t="s">
        <v>258</v>
      </c>
      <c r="T33" s="569" t="s">
        <v>259</v>
      </c>
      <c r="U33" s="569">
        <v>120.2</v>
      </c>
      <c r="V33" s="569">
        <v>18.5</v>
      </c>
      <c r="W33" s="620">
        <v>5350</v>
      </c>
      <c r="X33" s="621">
        <v>21</v>
      </c>
      <c r="Y33" s="621" t="s">
        <v>178</v>
      </c>
      <c r="Z33" s="621" t="s">
        <v>178</v>
      </c>
      <c r="AA33" s="622">
        <v>34340</v>
      </c>
      <c r="AB33" s="622" t="s">
        <v>164</v>
      </c>
      <c r="AC33" s="622">
        <v>24847.916666666668</v>
      </c>
      <c r="AD33" s="623">
        <v>0.05</v>
      </c>
      <c r="AE33" s="621" t="s">
        <v>255</v>
      </c>
    </row>
    <row r="34" spans="1:31" s="572" customFormat="1">
      <c r="A34" s="570" t="s">
        <v>260</v>
      </c>
      <c r="B34" s="573" t="s">
        <v>226</v>
      </c>
      <c r="C34" s="578" t="s">
        <v>227</v>
      </c>
      <c r="D34" s="573" t="s">
        <v>151</v>
      </c>
      <c r="E34" s="573" t="s">
        <v>187</v>
      </c>
      <c r="F34" s="573" t="s">
        <v>248</v>
      </c>
      <c r="G34" s="573">
        <v>2019</v>
      </c>
      <c r="H34" s="573" t="s">
        <v>256</v>
      </c>
      <c r="I34" s="573" t="s">
        <v>250</v>
      </c>
      <c r="J34" s="573" t="s">
        <v>230</v>
      </c>
      <c r="K34" s="573">
        <v>5</v>
      </c>
      <c r="L34" s="573">
        <v>0</v>
      </c>
      <c r="M34" s="573" t="s">
        <v>157</v>
      </c>
      <c r="N34" s="573">
        <v>2</v>
      </c>
      <c r="O34" s="573" t="s">
        <v>157</v>
      </c>
      <c r="P34" s="571" t="s">
        <v>157</v>
      </c>
      <c r="Q34" s="573" t="s">
        <v>231</v>
      </c>
      <c r="R34" s="573">
        <v>6</v>
      </c>
      <c r="S34" s="582" t="s">
        <v>258</v>
      </c>
      <c r="T34" s="573" t="s">
        <v>259</v>
      </c>
      <c r="U34" s="573">
        <v>120.2</v>
      </c>
      <c r="V34" s="573">
        <v>18.5</v>
      </c>
      <c r="W34" s="616">
        <v>5350</v>
      </c>
      <c r="X34" s="617">
        <v>21</v>
      </c>
      <c r="Y34" s="617" t="s">
        <v>178</v>
      </c>
      <c r="Z34" s="617" t="s">
        <v>178</v>
      </c>
      <c r="AA34" s="618">
        <v>34340</v>
      </c>
      <c r="AB34" s="618" t="s">
        <v>164</v>
      </c>
      <c r="AC34" s="618">
        <v>25047</v>
      </c>
      <c r="AD34" s="619">
        <v>6.25E-2</v>
      </c>
      <c r="AE34" s="617" t="s">
        <v>261</v>
      </c>
    </row>
    <row r="35" spans="1:31" s="572" customFormat="1">
      <c r="A35" s="570" t="s">
        <v>262</v>
      </c>
      <c r="B35" s="569" t="s">
        <v>226</v>
      </c>
      <c r="C35" s="580" t="s">
        <v>227</v>
      </c>
      <c r="D35" s="569" t="s">
        <v>151</v>
      </c>
      <c r="E35" s="569" t="s">
        <v>187</v>
      </c>
      <c r="F35" s="569" t="s">
        <v>248</v>
      </c>
      <c r="G35" s="569">
        <v>2019</v>
      </c>
      <c r="H35" s="569" t="s">
        <v>256</v>
      </c>
      <c r="I35" s="569" t="s">
        <v>250</v>
      </c>
      <c r="J35" s="569" t="s">
        <v>236</v>
      </c>
      <c r="K35" s="569">
        <v>5</v>
      </c>
      <c r="L35" s="569">
        <v>0</v>
      </c>
      <c r="M35" s="569" t="s">
        <v>157</v>
      </c>
      <c r="N35" s="569">
        <v>2</v>
      </c>
      <c r="O35" s="569" t="s">
        <v>157</v>
      </c>
      <c r="P35" s="568" t="s">
        <v>157</v>
      </c>
      <c r="Q35" s="569" t="s">
        <v>231</v>
      </c>
      <c r="R35" s="569">
        <v>6</v>
      </c>
      <c r="S35" s="569" t="s">
        <v>264</v>
      </c>
      <c r="T35" s="569" t="s">
        <v>265</v>
      </c>
      <c r="U35" s="569">
        <v>120.2</v>
      </c>
      <c r="V35" s="569">
        <v>18.5</v>
      </c>
      <c r="W35" s="620">
        <v>5100</v>
      </c>
      <c r="X35" s="621">
        <v>23</v>
      </c>
      <c r="Y35" s="621" t="s">
        <v>178</v>
      </c>
      <c r="Z35" s="621" t="s">
        <v>178</v>
      </c>
      <c r="AA35" s="622">
        <v>30340</v>
      </c>
      <c r="AB35" s="622" t="s">
        <v>164</v>
      </c>
      <c r="AC35" s="622">
        <v>22386</v>
      </c>
      <c r="AD35" s="623">
        <v>6.25E-2</v>
      </c>
      <c r="AE35" s="621" t="s">
        <v>263</v>
      </c>
    </row>
    <row r="36" spans="1:31" s="572" customFormat="1">
      <c r="A36" s="570" t="s">
        <v>266</v>
      </c>
      <c r="B36" s="573" t="s">
        <v>240</v>
      </c>
      <c r="C36" s="578" t="s">
        <v>241</v>
      </c>
      <c r="D36" s="573" t="s">
        <v>151</v>
      </c>
      <c r="E36" s="573" t="s">
        <v>187</v>
      </c>
      <c r="F36" s="573" t="s">
        <v>248</v>
      </c>
      <c r="G36" s="573">
        <v>2019</v>
      </c>
      <c r="H36" s="573" t="s">
        <v>256</v>
      </c>
      <c r="I36" s="573" t="s">
        <v>250</v>
      </c>
      <c r="J36" s="573" t="s">
        <v>236</v>
      </c>
      <c r="K36" s="573">
        <v>5</v>
      </c>
      <c r="L36" s="573">
        <v>0</v>
      </c>
      <c r="M36" s="573" t="s">
        <v>157</v>
      </c>
      <c r="N36" s="573">
        <v>2</v>
      </c>
      <c r="O36" s="573" t="s">
        <v>157</v>
      </c>
      <c r="P36" s="571" t="s">
        <v>157</v>
      </c>
      <c r="Q36" s="573" t="s">
        <v>231</v>
      </c>
      <c r="R36" s="573">
        <v>6</v>
      </c>
      <c r="S36" s="582" t="s">
        <v>264</v>
      </c>
      <c r="T36" s="573" t="s">
        <v>265</v>
      </c>
      <c r="U36" s="573">
        <v>120.2</v>
      </c>
      <c r="V36" s="573">
        <v>18.5</v>
      </c>
      <c r="W36" s="616">
        <v>5100</v>
      </c>
      <c r="X36" s="617">
        <v>23</v>
      </c>
      <c r="Y36" s="617" t="s">
        <v>178</v>
      </c>
      <c r="Z36" s="617" t="s">
        <v>178</v>
      </c>
      <c r="AA36" s="618">
        <v>30340</v>
      </c>
      <c r="AB36" s="618" t="s">
        <v>164</v>
      </c>
      <c r="AC36" s="618">
        <v>22399</v>
      </c>
      <c r="AD36" s="619">
        <v>0.05</v>
      </c>
      <c r="AE36" s="617" t="s">
        <v>263</v>
      </c>
    </row>
    <row r="37" spans="1:31" s="572" customFormat="1">
      <c r="A37" s="570" t="s">
        <v>267</v>
      </c>
      <c r="B37" s="569" t="s">
        <v>269</v>
      </c>
      <c r="C37" s="580" t="s">
        <v>270</v>
      </c>
      <c r="D37" s="569" t="s">
        <v>151</v>
      </c>
      <c r="E37" s="569" t="s">
        <v>211</v>
      </c>
      <c r="F37" s="569" t="s">
        <v>271</v>
      </c>
      <c r="G37" s="569">
        <v>2019</v>
      </c>
      <c r="H37" s="569" t="s">
        <v>272</v>
      </c>
      <c r="I37" s="569" t="s">
        <v>273</v>
      </c>
      <c r="J37" s="569" t="s">
        <v>156</v>
      </c>
      <c r="K37" s="569">
        <v>5</v>
      </c>
      <c r="L37" s="569">
        <v>0</v>
      </c>
      <c r="M37" s="569" t="s">
        <v>157</v>
      </c>
      <c r="N37" s="569">
        <v>2</v>
      </c>
      <c r="O37" s="569" t="s">
        <v>157</v>
      </c>
      <c r="P37" s="568" t="s">
        <v>157</v>
      </c>
      <c r="Q37" s="569" t="s">
        <v>274</v>
      </c>
      <c r="R37" s="569">
        <v>4</v>
      </c>
      <c r="S37" s="569" t="s">
        <v>275</v>
      </c>
      <c r="T37" s="569" t="s">
        <v>276</v>
      </c>
      <c r="U37" s="569">
        <v>98</v>
      </c>
      <c r="V37" s="569">
        <v>12.4</v>
      </c>
      <c r="W37" s="620">
        <v>2578</v>
      </c>
      <c r="X37" s="621">
        <v>30</v>
      </c>
      <c r="Y37" s="621" t="s">
        <v>178</v>
      </c>
      <c r="Z37" s="621" t="s">
        <v>178</v>
      </c>
      <c r="AA37" s="622">
        <v>16230</v>
      </c>
      <c r="AB37" s="622" t="s">
        <v>164</v>
      </c>
      <c r="AC37" s="622">
        <v>14934.375</v>
      </c>
      <c r="AD37" s="623">
        <v>0.03</v>
      </c>
      <c r="AE37" s="621" t="s">
        <v>268</v>
      </c>
    </row>
    <row r="38" spans="1:31" s="572" customFormat="1">
      <c r="A38" s="570" t="s">
        <v>277</v>
      </c>
      <c r="B38" s="573" t="s">
        <v>278</v>
      </c>
      <c r="C38" s="578">
        <v>15</v>
      </c>
      <c r="D38" s="573" t="s">
        <v>151</v>
      </c>
      <c r="E38" s="573" t="s">
        <v>211</v>
      </c>
      <c r="F38" s="573" t="s">
        <v>271</v>
      </c>
      <c r="G38" s="573">
        <v>2019</v>
      </c>
      <c r="H38" s="573" t="s">
        <v>272</v>
      </c>
      <c r="I38" s="573" t="s">
        <v>273</v>
      </c>
      <c r="J38" s="573" t="s">
        <v>156</v>
      </c>
      <c r="K38" s="573">
        <v>5</v>
      </c>
      <c r="L38" s="573">
        <v>0</v>
      </c>
      <c r="M38" s="573" t="s">
        <v>157</v>
      </c>
      <c r="N38" s="573">
        <v>2</v>
      </c>
      <c r="O38" s="573" t="s">
        <v>157</v>
      </c>
      <c r="P38" s="571" t="s">
        <v>157</v>
      </c>
      <c r="Q38" s="573" t="s">
        <v>274</v>
      </c>
      <c r="R38" s="573">
        <v>4</v>
      </c>
      <c r="S38" s="582" t="s">
        <v>275</v>
      </c>
      <c r="T38" s="573" t="s">
        <v>276</v>
      </c>
      <c r="U38" s="573">
        <v>98</v>
      </c>
      <c r="V38" s="573">
        <v>12.4</v>
      </c>
      <c r="W38" s="616">
        <v>2578</v>
      </c>
      <c r="X38" s="617">
        <v>30</v>
      </c>
      <c r="Y38" s="617" t="s">
        <v>178</v>
      </c>
      <c r="Z38" s="617" t="s">
        <v>178</v>
      </c>
      <c r="AA38" s="618">
        <v>16230</v>
      </c>
      <c r="AB38" s="618" t="s">
        <v>164</v>
      </c>
      <c r="AC38" s="618">
        <v>14984</v>
      </c>
      <c r="AD38" s="619">
        <v>0.01</v>
      </c>
      <c r="AE38" s="617" t="s">
        <v>268</v>
      </c>
    </row>
    <row r="39" spans="1:31" s="572" customFormat="1">
      <c r="A39" s="570" t="s">
        <v>279</v>
      </c>
      <c r="B39" s="569" t="s">
        <v>280</v>
      </c>
      <c r="C39" s="580">
        <v>27</v>
      </c>
      <c r="D39" s="569" t="s">
        <v>151</v>
      </c>
      <c r="E39" s="569" t="s">
        <v>211</v>
      </c>
      <c r="F39" s="569" t="s">
        <v>271</v>
      </c>
      <c r="G39" s="569">
        <v>2019</v>
      </c>
      <c r="H39" s="569" t="s">
        <v>272</v>
      </c>
      <c r="I39" s="569" t="s">
        <v>273</v>
      </c>
      <c r="J39" s="569" t="s">
        <v>156</v>
      </c>
      <c r="K39" s="569">
        <v>5</v>
      </c>
      <c r="L39" s="569">
        <v>0</v>
      </c>
      <c r="M39" s="569" t="s">
        <v>157</v>
      </c>
      <c r="N39" s="569">
        <v>2</v>
      </c>
      <c r="O39" s="569" t="s">
        <v>157</v>
      </c>
      <c r="P39" s="568" t="s">
        <v>157</v>
      </c>
      <c r="Q39" s="569" t="s">
        <v>274</v>
      </c>
      <c r="R39" s="569">
        <v>4</v>
      </c>
      <c r="S39" s="569" t="s">
        <v>275</v>
      </c>
      <c r="T39" s="569" t="s">
        <v>276</v>
      </c>
      <c r="U39" s="569">
        <v>98</v>
      </c>
      <c r="V39" s="569">
        <v>12.4</v>
      </c>
      <c r="W39" s="620">
        <v>2578</v>
      </c>
      <c r="X39" s="621">
        <v>30</v>
      </c>
      <c r="Y39" s="621" t="s">
        <v>178</v>
      </c>
      <c r="Z39" s="621" t="s">
        <v>178</v>
      </c>
      <c r="AA39" s="622">
        <v>16230</v>
      </c>
      <c r="AB39" s="622" t="s">
        <v>164</v>
      </c>
      <c r="AC39" s="622">
        <v>14934.375</v>
      </c>
      <c r="AD39" s="623">
        <v>0.03</v>
      </c>
      <c r="AE39" s="621" t="s">
        <v>268</v>
      </c>
    </row>
    <row r="40" spans="1:31" s="572" customFormat="1">
      <c r="A40" s="570" t="s">
        <v>281</v>
      </c>
      <c r="B40" s="573" t="s">
        <v>269</v>
      </c>
      <c r="C40" s="578" t="s">
        <v>270</v>
      </c>
      <c r="D40" s="573" t="s">
        <v>151</v>
      </c>
      <c r="E40" s="573" t="s">
        <v>211</v>
      </c>
      <c r="F40" s="573" t="s">
        <v>271</v>
      </c>
      <c r="G40" s="573">
        <v>2019</v>
      </c>
      <c r="H40" s="573" t="s">
        <v>272</v>
      </c>
      <c r="I40" s="573" t="s">
        <v>283</v>
      </c>
      <c r="J40" s="573" t="s">
        <v>156</v>
      </c>
      <c r="K40" s="573">
        <v>5</v>
      </c>
      <c r="L40" s="573">
        <v>0</v>
      </c>
      <c r="M40" s="573" t="s">
        <v>157</v>
      </c>
      <c r="N40" s="573">
        <v>2</v>
      </c>
      <c r="O40" s="573" t="s">
        <v>157</v>
      </c>
      <c r="P40" s="571" t="s">
        <v>157</v>
      </c>
      <c r="Q40" s="573" t="s">
        <v>274</v>
      </c>
      <c r="R40" s="573">
        <v>4</v>
      </c>
      <c r="S40" s="582" t="s">
        <v>284</v>
      </c>
      <c r="T40" s="573" t="s">
        <v>276</v>
      </c>
      <c r="U40" s="573">
        <v>98</v>
      </c>
      <c r="V40" s="573">
        <v>12.4</v>
      </c>
      <c r="W40" s="616">
        <v>2578</v>
      </c>
      <c r="X40" s="617">
        <v>30</v>
      </c>
      <c r="Y40" s="617" t="s">
        <v>178</v>
      </c>
      <c r="Z40" s="617" t="s">
        <v>178</v>
      </c>
      <c r="AA40" s="618">
        <v>16530</v>
      </c>
      <c r="AB40" s="618" t="s">
        <v>164</v>
      </c>
      <c r="AC40" s="618">
        <v>15221.1875</v>
      </c>
      <c r="AD40" s="619">
        <v>0.03</v>
      </c>
      <c r="AE40" s="617" t="s">
        <v>282</v>
      </c>
    </row>
    <row r="41" spans="1:31" s="572" customFormat="1">
      <c r="A41" s="570" t="s">
        <v>285</v>
      </c>
      <c r="B41" s="569" t="s">
        <v>278</v>
      </c>
      <c r="C41" s="580">
        <v>15</v>
      </c>
      <c r="D41" s="569" t="s">
        <v>151</v>
      </c>
      <c r="E41" s="569" t="s">
        <v>211</v>
      </c>
      <c r="F41" s="569" t="s">
        <v>271</v>
      </c>
      <c r="G41" s="569">
        <v>2019</v>
      </c>
      <c r="H41" s="569" t="s">
        <v>272</v>
      </c>
      <c r="I41" s="569" t="s">
        <v>283</v>
      </c>
      <c r="J41" s="569" t="s">
        <v>156</v>
      </c>
      <c r="K41" s="569">
        <v>5</v>
      </c>
      <c r="L41" s="569">
        <v>0</v>
      </c>
      <c r="M41" s="569" t="s">
        <v>157</v>
      </c>
      <c r="N41" s="569">
        <v>2</v>
      </c>
      <c r="O41" s="569" t="s">
        <v>157</v>
      </c>
      <c r="P41" s="568" t="s">
        <v>157</v>
      </c>
      <c r="Q41" s="569" t="s">
        <v>274</v>
      </c>
      <c r="R41" s="569">
        <v>4</v>
      </c>
      <c r="S41" s="569" t="s">
        <v>284</v>
      </c>
      <c r="T41" s="569" t="s">
        <v>276</v>
      </c>
      <c r="U41" s="569">
        <v>98</v>
      </c>
      <c r="V41" s="569">
        <v>12.4</v>
      </c>
      <c r="W41" s="620">
        <v>2578</v>
      </c>
      <c r="X41" s="621">
        <v>30</v>
      </c>
      <c r="Y41" s="621" t="s">
        <v>178</v>
      </c>
      <c r="Z41" s="621" t="s">
        <v>178</v>
      </c>
      <c r="AA41" s="622">
        <v>16530</v>
      </c>
      <c r="AB41" s="622" t="s">
        <v>164</v>
      </c>
      <c r="AC41" s="622">
        <v>15277</v>
      </c>
      <c r="AD41" s="623">
        <v>0.01</v>
      </c>
      <c r="AE41" s="621" t="s">
        <v>282</v>
      </c>
    </row>
    <row r="42" spans="1:31" s="572" customFormat="1">
      <c r="A42" s="570" t="s">
        <v>286</v>
      </c>
      <c r="B42" s="573" t="s">
        <v>287</v>
      </c>
      <c r="C42" s="578">
        <v>26</v>
      </c>
      <c r="D42" s="573" t="s">
        <v>151</v>
      </c>
      <c r="E42" s="573" t="s">
        <v>211</v>
      </c>
      <c r="F42" s="573" t="s">
        <v>271</v>
      </c>
      <c r="G42" s="573">
        <v>2019</v>
      </c>
      <c r="H42" s="573" t="s">
        <v>272</v>
      </c>
      <c r="I42" s="573" t="s">
        <v>283</v>
      </c>
      <c r="J42" s="573" t="s">
        <v>156</v>
      </c>
      <c r="K42" s="573">
        <v>5</v>
      </c>
      <c r="L42" s="573">
        <v>0</v>
      </c>
      <c r="M42" s="573" t="s">
        <v>157</v>
      </c>
      <c r="N42" s="573">
        <v>2</v>
      </c>
      <c r="O42" s="573" t="s">
        <v>157</v>
      </c>
      <c r="P42" s="571" t="s">
        <v>157</v>
      </c>
      <c r="Q42" s="573" t="s">
        <v>274</v>
      </c>
      <c r="R42" s="573">
        <v>4</v>
      </c>
      <c r="S42" s="582" t="s">
        <v>284</v>
      </c>
      <c r="T42" s="573" t="s">
        <v>276</v>
      </c>
      <c r="U42" s="573">
        <v>98</v>
      </c>
      <c r="V42" s="573">
        <v>12.4</v>
      </c>
      <c r="W42" s="616">
        <v>2578</v>
      </c>
      <c r="X42" s="617">
        <v>30</v>
      </c>
      <c r="Y42" s="617" t="s">
        <v>178</v>
      </c>
      <c r="Z42" s="617" t="s">
        <v>178</v>
      </c>
      <c r="AA42" s="618">
        <v>16530</v>
      </c>
      <c r="AB42" s="618" t="s">
        <v>164</v>
      </c>
      <c r="AC42" s="618">
        <v>15691</v>
      </c>
      <c r="AD42" s="619">
        <v>0.05</v>
      </c>
      <c r="AE42" s="617" t="s">
        <v>282</v>
      </c>
    </row>
    <row r="43" spans="1:31" s="572" customFormat="1">
      <c r="A43" s="570" t="s">
        <v>288</v>
      </c>
      <c r="B43" s="569" t="s">
        <v>280</v>
      </c>
      <c r="C43" s="580">
        <v>27</v>
      </c>
      <c r="D43" s="569" t="s">
        <v>151</v>
      </c>
      <c r="E43" s="569" t="s">
        <v>211</v>
      </c>
      <c r="F43" s="569" t="s">
        <v>271</v>
      </c>
      <c r="G43" s="569">
        <v>2019</v>
      </c>
      <c r="H43" s="569" t="s">
        <v>272</v>
      </c>
      <c r="I43" s="569" t="s">
        <v>283</v>
      </c>
      <c r="J43" s="569" t="s">
        <v>156</v>
      </c>
      <c r="K43" s="569">
        <v>5</v>
      </c>
      <c r="L43" s="569">
        <v>0</v>
      </c>
      <c r="M43" s="569" t="s">
        <v>157</v>
      </c>
      <c r="N43" s="569">
        <v>2</v>
      </c>
      <c r="O43" s="569" t="s">
        <v>157</v>
      </c>
      <c r="P43" s="568" t="s">
        <v>157</v>
      </c>
      <c r="Q43" s="569" t="s">
        <v>274</v>
      </c>
      <c r="R43" s="569">
        <v>4</v>
      </c>
      <c r="S43" s="569" t="s">
        <v>284</v>
      </c>
      <c r="T43" s="569" t="s">
        <v>276</v>
      </c>
      <c r="U43" s="569">
        <v>98</v>
      </c>
      <c r="V43" s="569">
        <v>12.4</v>
      </c>
      <c r="W43" s="620">
        <v>2578</v>
      </c>
      <c r="X43" s="621">
        <v>30</v>
      </c>
      <c r="Y43" s="621" t="s">
        <v>178</v>
      </c>
      <c r="Z43" s="621" t="s">
        <v>178</v>
      </c>
      <c r="AA43" s="622">
        <v>16530</v>
      </c>
      <c r="AB43" s="622" t="s">
        <v>164</v>
      </c>
      <c r="AC43" s="622">
        <v>15221.1875</v>
      </c>
      <c r="AD43" s="623">
        <v>0.03</v>
      </c>
      <c r="AE43" s="621" t="s">
        <v>282</v>
      </c>
    </row>
    <row r="44" spans="1:31" s="572" customFormat="1">
      <c r="A44" s="570" t="s">
        <v>267</v>
      </c>
      <c r="B44" s="573" t="s">
        <v>269</v>
      </c>
      <c r="C44" s="578" t="s">
        <v>270</v>
      </c>
      <c r="D44" s="573" t="s">
        <v>151</v>
      </c>
      <c r="E44" s="573" t="s">
        <v>211</v>
      </c>
      <c r="F44" s="573" t="s">
        <v>271</v>
      </c>
      <c r="G44" s="573">
        <v>2019</v>
      </c>
      <c r="H44" s="573" t="s">
        <v>272</v>
      </c>
      <c r="I44" s="573" t="s">
        <v>289</v>
      </c>
      <c r="J44" s="573" t="s">
        <v>156</v>
      </c>
      <c r="K44" s="573">
        <v>5</v>
      </c>
      <c r="L44" s="573">
        <v>0</v>
      </c>
      <c r="M44" s="573" t="s">
        <v>157</v>
      </c>
      <c r="N44" s="573">
        <v>2</v>
      </c>
      <c r="O44" s="573" t="s">
        <v>157</v>
      </c>
      <c r="P44" s="571" t="s">
        <v>157</v>
      </c>
      <c r="Q44" s="573" t="s">
        <v>274</v>
      </c>
      <c r="R44" s="573">
        <v>4</v>
      </c>
      <c r="S44" s="582" t="s">
        <v>275</v>
      </c>
      <c r="T44" s="573" t="s">
        <v>276</v>
      </c>
      <c r="U44" s="573">
        <v>98</v>
      </c>
      <c r="V44" s="573">
        <v>12.4</v>
      </c>
      <c r="W44" s="616">
        <v>2578</v>
      </c>
      <c r="X44" s="617">
        <v>30</v>
      </c>
      <c r="Y44" s="617" t="s">
        <v>178</v>
      </c>
      <c r="Z44" s="617" t="s">
        <v>178</v>
      </c>
      <c r="AA44" s="618">
        <v>16230</v>
      </c>
      <c r="AB44" s="618" t="s">
        <v>164</v>
      </c>
      <c r="AC44" s="618">
        <v>14934.729166666668</v>
      </c>
      <c r="AD44" s="619">
        <v>0.03</v>
      </c>
      <c r="AE44" s="617" t="s">
        <v>268</v>
      </c>
    </row>
    <row r="45" spans="1:31" s="572" customFormat="1">
      <c r="A45" s="570" t="s">
        <v>277</v>
      </c>
      <c r="B45" s="569" t="s">
        <v>278</v>
      </c>
      <c r="C45" s="580">
        <v>15</v>
      </c>
      <c r="D45" s="569" t="s">
        <v>151</v>
      </c>
      <c r="E45" s="569" t="s">
        <v>211</v>
      </c>
      <c r="F45" s="569" t="s">
        <v>271</v>
      </c>
      <c r="G45" s="569">
        <v>2019</v>
      </c>
      <c r="H45" s="569" t="s">
        <v>272</v>
      </c>
      <c r="I45" s="569" t="s">
        <v>289</v>
      </c>
      <c r="J45" s="569" t="s">
        <v>156</v>
      </c>
      <c r="K45" s="569">
        <v>5</v>
      </c>
      <c r="L45" s="569">
        <v>0</v>
      </c>
      <c r="M45" s="569" t="s">
        <v>157</v>
      </c>
      <c r="N45" s="569">
        <v>2</v>
      </c>
      <c r="O45" s="569" t="s">
        <v>157</v>
      </c>
      <c r="P45" s="568" t="s">
        <v>157</v>
      </c>
      <c r="Q45" s="569" t="s">
        <v>274</v>
      </c>
      <c r="R45" s="569">
        <v>4</v>
      </c>
      <c r="S45" s="569" t="s">
        <v>275</v>
      </c>
      <c r="T45" s="569" t="s">
        <v>276</v>
      </c>
      <c r="U45" s="569">
        <v>98</v>
      </c>
      <c r="V45" s="569">
        <v>12.4</v>
      </c>
      <c r="W45" s="620">
        <v>2578</v>
      </c>
      <c r="X45" s="621">
        <v>30</v>
      </c>
      <c r="Y45" s="621" t="s">
        <v>178</v>
      </c>
      <c r="Z45" s="621" t="s">
        <v>178</v>
      </c>
      <c r="AA45" s="622">
        <v>16230</v>
      </c>
      <c r="AB45" s="622" t="s">
        <v>164</v>
      </c>
      <c r="AC45" s="622">
        <v>14984</v>
      </c>
      <c r="AD45" s="623">
        <v>0.01</v>
      </c>
      <c r="AE45" s="621" t="s">
        <v>268</v>
      </c>
    </row>
    <row r="46" spans="1:31" s="572" customFormat="1">
      <c r="A46" s="570" t="s">
        <v>290</v>
      </c>
      <c r="B46" s="573" t="s">
        <v>287</v>
      </c>
      <c r="C46" s="578">
        <v>26</v>
      </c>
      <c r="D46" s="573" t="s">
        <v>151</v>
      </c>
      <c r="E46" s="573" t="s">
        <v>211</v>
      </c>
      <c r="F46" s="573" t="s">
        <v>271</v>
      </c>
      <c r="G46" s="573">
        <v>2019</v>
      </c>
      <c r="H46" s="573" t="s">
        <v>272</v>
      </c>
      <c r="I46" s="573" t="s">
        <v>289</v>
      </c>
      <c r="J46" s="573" t="s">
        <v>156</v>
      </c>
      <c r="K46" s="573">
        <v>5</v>
      </c>
      <c r="L46" s="573">
        <v>0</v>
      </c>
      <c r="M46" s="573" t="s">
        <v>157</v>
      </c>
      <c r="N46" s="573">
        <v>2</v>
      </c>
      <c r="O46" s="573" t="s">
        <v>157</v>
      </c>
      <c r="P46" s="571" t="s">
        <v>157</v>
      </c>
      <c r="Q46" s="573" t="s">
        <v>274</v>
      </c>
      <c r="R46" s="573">
        <v>4</v>
      </c>
      <c r="S46" s="582" t="s">
        <v>275</v>
      </c>
      <c r="T46" s="573" t="s">
        <v>276</v>
      </c>
      <c r="U46" s="573">
        <v>98</v>
      </c>
      <c r="V46" s="573">
        <v>12.4</v>
      </c>
      <c r="W46" s="616">
        <v>2578</v>
      </c>
      <c r="X46" s="617">
        <v>30</v>
      </c>
      <c r="Y46" s="617" t="s">
        <v>178</v>
      </c>
      <c r="Z46" s="617" t="s">
        <v>178</v>
      </c>
      <c r="AA46" s="618">
        <v>16230</v>
      </c>
      <c r="AB46" s="618" t="s">
        <v>164</v>
      </c>
      <c r="AC46" s="618">
        <v>15478</v>
      </c>
      <c r="AD46" s="619">
        <v>0.05</v>
      </c>
      <c r="AE46" s="617" t="s">
        <v>268</v>
      </c>
    </row>
    <row r="47" spans="1:31" s="572" customFormat="1">
      <c r="A47" s="570" t="s">
        <v>279</v>
      </c>
      <c r="B47" s="569" t="s">
        <v>280</v>
      </c>
      <c r="C47" s="580">
        <v>27</v>
      </c>
      <c r="D47" s="569" t="s">
        <v>151</v>
      </c>
      <c r="E47" s="569" t="s">
        <v>211</v>
      </c>
      <c r="F47" s="569" t="s">
        <v>271</v>
      </c>
      <c r="G47" s="569">
        <v>2019</v>
      </c>
      <c r="H47" s="569" t="s">
        <v>272</v>
      </c>
      <c r="I47" s="569" t="s">
        <v>289</v>
      </c>
      <c r="J47" s="569" t="s">
        <v>156</v>
      </c>
      <c r="K47" s="569">
        <v>5</v>
      </c>
      <c r="L47" s="569">
        <v>0</v>
      </c>
      <c r="M47" s="569" t="s">
        <v>157</v>
      </c>
      <c r="N47" s="569">
        <v>2</v>
      </c>
      <c r="O47" s="569" t="s">
        <v>157</v>
      </c>
      <c r="P47" s="568" t="s">
        <v>157</v>
      </c>
      <c r="Q47" s="569" t="s">
        <v>274</v>
      </c>
      <c r="R47" s="569">
        <v>4</v>
      </c>
      <c r="S47" s="569" t="s">
        <v>275</v>
      </c>
      <c r="T47" s="569" t="s">
        <v>276</v>
      </c>
      <c r="U47" s="569">
        <v>98</v>
      </c>
      <c r="V47" s="569">
        <v>12.4</v>
      </c>
      <c r="W47" s="620">
        <v>2578</v>
      </c>
      <c r="X47" s="621">
        <v>30</v>
      </c>
      <c r="Y47" s="621" t="s">
        <v>178</v>
      </c>
      <c r="Z47" s="621" t="s">
        <v>178</v>
      </c>
      <c r="AA47" s="622">
        <v>16230</v>
      </c>
      <c r="AB47" s="622" t="s">
        <v>164</v>
      </c>
      <c r="AC47" s="622">
        <v>14934.729166666668</v>
      </c>
      <c r="AD47" s="623">
        <v>0.03</v>
      </c>
      <c r="AE47" s="621" t="s">
        <v>268</v>
      </c>
    </row>
    <row r="48" spans="1:31" s="572" customFormat="1">
      <c r="A48" s="570" t="s">
        <v>291</v>
      </c>
      <c r="B48" s="573" t="s">
        <v>269</v>
      </c>
      <c r="C48" s="578" t="s">
        <v>270</v>
      </c>
      <c r="D48" s="573" t="s">
        <v>151</v>
      </c>
      <c r="E48" s="573" t="s">
        <v>211</v>
      </c>
      <c r="F48" s="573" t="s">
        <v>271</v>
      </c>
      <c r="G48" s="573">
        <v>2019</v>
      </c>
      <c r="H48" s="573" t="s">
        <v>272</v>
      </c>
      <c r="I48" s="573" t="s">
        <v>293</v>
      </c>
      <c r="J48" s="573" t="s">
        <v>156</v>
      </c>
      <c r="K48" s="573">
        <v>5</v>
      </c>
      <c r="L48" s="573">
        <v>0</v>
      </c>
      <c r="M48" s="573" t="s">
        <v>157</v>
      </c>
      <c r="N48" s="573">
        <v>2</v>
      </c>
      <c r="O48" s="573" t="s">
        <v>157</v>
      </c>
      <c r="P48" s="571" t="s">
        <v>157</v>
      </c>
      <c r="Q48" s="573" t="s">
        <v>274</v>
      </c>
      <c r="R48" s="573">
        <v>4</v>
      </c>
      <c r="S48" s="582" t="s">
        <v>294</v>
      </c>
      <c r="T48" s="573" t="s">
        <v>295</v>
      </c>
      <c r="U48" s="573">
        <v>98</v>
      </c>
      <c r="V48" s="573">
        <v>12.4</v>
      </c>
      <c r="W48" s="616">
        <v>2578</v>
      </c>
      <c r="X48" s="617">
        <v>30</v>
      </c>
      <c r="Y48" s="617" t="s">
        <v>178</v>
      </c>
      <c r="Z48" s="617" t="s">
        <v>178</v>
      </c>
      <c r="AA48" s="618">
        <v>17760</v>
      </c>
      <c r="AB48" s="618" t="s">
        <v>164</v>
      </c>
      <c r="AC48" s="618">
        <v>16397.229166666668</v>
      </c>
      <c r="AD48" s="619">
        <v>0.03</v>
      </c>
      <c r="AE48" s="617" t="s">
        <v>292</v>
      </c>
    </row>
    <row r="49" spans="1:31" s="572" customFormat="1">
      <c r="A49" s="570" t="s">
        <v>296</v>
      </c>
      <c r="B49" s="569" t="s">
        <v>278</v>
      </c>
      <c r="C49" s="580">
        <v>15</v>
      </c>
      <c r="D49" s="569" t="s">
        <v>151</v>
      </c>
      <c r="E49" s="569" t="s">
        <v>211</v>
      </c>
      <c r="F49" s="569" t="s">
        <v>271</v>
      </c>
      <c r="G49" s="569">
        <v>2019</v>
      </c>
      <c r="H49" s="569" t="s">
        <v>272</v>
      </c>
      <c r="I49" s="569" t="s">
        <v>293</v>
      </c>
      <c r="J49" s="569" t="s">
        <v>156</v>
      </c>
      <c r="K49" s="569">
        <v>5</v>
      </c>
      <c r="L49" s="569">
        <v>0</v>
      </c>
      <c r="M49" s="569" t="s">
        <v>157</v>
      </c>
      <c r="N49" s="569">
        <v>2</v>
      </c>
      <c r="O49" s="569" t="s">
        <v>157</v>
      </c>
      <c r="P49" s="568" t="s">
        <v>157</v>
      </c>
      <c r="Q49" s="569" t="s">
        <v>274</v>
      </c>
      <c r="R49" s="569">
        <v>4</v>
      </c>
      <c r="S49" s="569" t="s">
        <v>294</v>
      </c>
      <c r="T49" s="569" t="s">
        <v>295</v>
      </c>
      <c r="U49" s="569">
        <v>98</v>
      </c>
      <c r="V49" s="569">
        <v>12.4</v>
      </c>
      <c r="W49" s="620">
        <v>2578</v>
      </c>
      <c r="X49" s="621">
        <v>30</v>
      </c>
      <c r="Y49" s="621" t="s">
        <v>178</v>
      </c>
      <c r="Z49" s="621" t="s">
        <v>178</v>
      </c>
      <c r="AA49" s="622">
        <v>17760</v>
      </c>
      <c r="AB49" s="622" t="s">
        <v>164</v>
      </c>
      <c r="AC49" s="622">
        <v>16480</v>
      </c>
      <c r="AD49" s="623">
        <v>0.01</v>
      </c>
      <c r="AE49" s="621" t="s">
        <v>292</v>
      </c>
    </row>
    <row r="50" spans="1:31" s="572" customFormat="1">
      <c r="A50" s="570" t="s">
        <v>297</v>
      </c>
      <c r="B50" s="573" t="s">
        <v>287</v>
      </c>
      <c r="C50" s="578">
        <v>26</v>
      </c>
      <c r="D50" s="573" t="s">
        <v>151</v>
      </c>
      <c r="E50" s="573" t="s">
        <v>211</v>
      </c>
      <c r="F50" s="573" t="s">
        <v>271</v>
      </c>
      <c r="G50" s="573">
        <v>2019</v>
      </c>
      <c r="H50" s="573" t="s">
        <v>272</v>
      </c>
      <c r="I50" s="573" t="s">
        <v>293</v>
      </c>
      <c r="J50" s="573" t="s">
        <v>156</v>
      </c>
      <c r="K50" s="573">
        <v>5</v>
      </c>
      <c r="L50" s="573">
        <v>0</v>
      </c>
      <c r="M50" s="573" t="s">
        <v>157</v>
      </c>
      <c r="N50" s="573">
        <v>2</v>
      </c>
      <c r="O50" s="573" t="s">
        <v>157</v>
      </c>
      <c r="P50" s="571" t="s">
        <v>157</v>
      </c>
      <c r="Q50" s="573" t="s">
        <v>274</v>
      </c>
      <c r="R50" s="573">
        <v>4</v>
      </c>
      <c r="S50" s="582" t="s">
        <v>294</v>
      </c>
      <c r="T50" s="573" t="s">
        <v>295</v>
      </c>
      <c r="U50" s="573">
        <v>98</v>
      </c>
      <c r="V50" s="573">
        <v>12.4</v>
      </c>
      <c r="W50" s="616">
        <v>2578</v>
      </c>
      <c r="X50" s="617">
        <v>30</v>
      </c>
      <c r="Y50" s="617" t="s">
        <v>178</v>
      </c>
      <c r="Z50" s="617" t="s">
        <v>178</v>
      </c>
      <c r="AA50" s="618">
        <v>17760</v>
      </c>
      <c r="AB50" s="618" t="s">
        <v>164</v>
      </c>
      <c r="AC50" s="618">
        <v>16891</v>
      </c>
      <c r="AD50" s="619">
        <v>0.05</v>
      </c>
      <c r="AE50" s="617" t="s">
        <v>292</v>
      </c>
    </row>
    <row r="51" spans="1:31" s="572" customFormat="1">
      <c r="A51" s="570" t="s">
        <v>298</v>
      </c>
      <c r="B51" s="569" t="s">
        <v>280</v>
      </c>
      <c r="C51" s="580">
        <v>27</v>
      </c>
      <c r="D51" s="569" t="s">
        <v>151</v>
      </c>
      <c r="E51" s="569" t="s">
        <v>211</v>
      </c>
      <c r="F51" s="569" t="s">
        <v>271</v>
      </c>
      <c r="G51" s="569">
        <v>2019</v>
      </c>
      <c r="H51" s="569" t="s">
        <v>272</v>
      </c>
      <c r="I51" s="569" t="s">
        <v>293</v>
      </c>
      <c r="J51" s="569" t="s">
        <v>156</v>
      </c>
      <c r="K51" s="569">
        <v>5</v>
      </c>
      <c r="L51" s="569">
        <v>0</v>
      </c>
      <c r="M51" s="569" t="s">
        <v>157</v>
      </c>
      <c r="N51" s="569">
        <v>2</v>
      </c>
      <c r="O51" s="569" t="s">
        <v>157</v>
      </c>
      <c r="P51" s="568" t="s">
        <v>157</v>
      </c>
      <c r="Q51" s="569" t="s">
        <v>274</v>
      </c>
      <c r="R51" s="569">
        <v>4</v>
      </c>
      <c r="S51" s="569" t="s">
        <v>294</v>
      </c>
      <c r="T51" s="569" t="s">
        <v>295</v>
      </c>
      <c r="U51" s="569">
        <v>98</v>
      </c>
      <c r="V51" s="569">
        <v>12.4</v>
      </c>
      <c r="W51" s="620">
        <v>2578</v>
      </c>
      <c r="X51" s="621">
        <v>30</v>
      </c>
      <c r="Y51" s="621" t="s">
        <v>178</v>
      </c>
      <c r="Z51" s="621" t="s">
        <v>178</v>
      </c>
      <c r="AA51" s="622">
        <v>17760</v>
      </c>
      <c r="AB51" s="622" t="s">
        <v>164</v>
      </c>
      <c r="AC51" s="622">
        <v>16397.229166666668</v>
      </c>
      <c r="AD51" s="623">
        <v>0.03</v>
      </c>
      <c r="AE51" s="621" t="s">
        <v>292</v>
      </c>
    </row>
    <row r="52" spans="1:31" s="572" customFormat="1">
      <c r="A52" s="570" t="s">
        <v>299</v>
      </c>
      <c r="B52" s="573" t="s">
        <v>269</v>
      </c>
      <c r="C52" s="578" t="s">
        <v>270</v>
      </c>
      <c r="D52" s="573" t="s">
        <v>151</v>
      </c>
      <c r="E52" s="573" t="s">
        <v>211</v>
      </c>
      <c r="F52" s="573" t="s">
        <v>271</v>
      </c>
      <c r="G52" s="573">
        <v>2019</v>
      </c>
      <c r="H52" s="573" t="s">
        <v>272</v>
      </c>
      <c r="I52" s="573" t="s">
        <v>301</v>
      </c>
      <c r="J52" s="573" t="s">
        <v>156</v>
      </c>
      <c r="K52" s="573">
        <v>5</v>
      </c>
      <c r="L52" s="573">
        <v>0</v>
      </c>
      <c r="M52" s="573" t="s">
        <v>157</v>
      </c>
      <c r="N52" s="573">
        <v>2</v>
      </c>
      <c r="O52" s="573" t="s">
        <v>157</v>
      </c>
      <c r="P52" s="571" t="s">
        <v>157</v>
      </c>
      <c r="Q52" s="573" t="s">
        <v>274</v>
      </c>
      <c r="R52" s="573">
        <v>4</v>
      </c>
      <c r="S52" s="582" t="s">
        <v>302</v>
      </c>
      <c r="T52" s="573" t="s">
        <v>295</v>
      </c>
      <c r="U52" s="573">
        <v>98</v>
      </c>
      <c r="V52" s="573">
        <v>12.4</v>
      </c>
      <c r="W52" s="616">
        <v>2578</v>
      </c>
      <c r="X52" s="617">
        <v>30</v>
      </c>
      <c r="Y52" s="617" t="s">
        <v>178</v>
      </c>
      <c r="Z52" s="617" t="s">
        <v>178</v>
      </c>
      <c r="AA52" s="618">
        <v>17460</v>
      </c>
      <c r="AB52" s="618" t="s">
        <v>164</v>
      </c>
      <c r="AC52" s="618">
        <v>16109.729166666668</v>
      </c>
      <c r="AD52" s="619">
        <v>0.03</v>
      </c>
      <c r="AE52" s="617" t="s">
        <v>300</v>
      </c>
    </row>
    <row r="53" spans="1:31" s="572" customFormat="1">
      <c r="A53" s="570" t="s">
        <v>303</v>
      </c>
      <c r="B53" s="569" t="s">
        <v>278</v>
      </c>
      <c r="C53" s="580">
        <v>15</v>
      </c>
      <c r="D53" s="569" t="s">
        <v>151</v>
      </c>
      <c r="E53" s="569" t="s">
        <v>211</v>
      </c>
      <c r="F53" s="569" t="s">
        <v>271</v>
      </c>
      <c r="G53" s="569">
        <v>2019</v>
      </c>
      <c r="H53" s="569" t="s">
        <v>272</v>
      </c>
      <c r="I53" s="569" t="s">
        <v>301</v>
      </c>
      <c r="J53" s="569" t="s">
        <v>156</v>
      </c>
      <c r="K53" s="569">
        <v>5</v>
      </c>
      <c r="L53" s="569">
        <v>0</v>
      </c>
      <c r="M53" s="569" t="s">
        <v>157</v>
      </c>
      <c r="N53" s="569">
        <v>2</v>
      </c>
      <c r="O53" s="569" t="s">
        <v>157</v>
      </c>
      <c r="P53" s="568" t="s">
        <v>157</v>
      </c>
      <c r="Q53" s="569" t="s">
        <v>274</v>
      </c>
      <c r="R53" s="569">
        <v>4</v>
      </c>
      <c r="S53" s="569" t="s">
        <v>302</v>
      </c>
      <c r="T53" s="569" t="s">
        <v>295</v>
      </c>
      <c r="U53" s="569">
        <v>98</v>
      </c>
      <c r="V53" s="569">
        <v>12.4</v>
      </c>
      <c r="W53" s="620">
        <v>2578</v>
      </c>
      <c r="X53" s="621">
        <v>30</v>
      </c>
      <c r="Y53" s="621" t="s">
        <v>178</v>
      </c>
      <c r="Z53" s="621" t="s">
        <v>178</v>
      </c>
      <c r="AA53" s="622">
        <v>17460</v>
      </c>
      <c r="AB53" s="622" t="s">
        <v>164</v>
      </c>
      <c r="AC53" s="622">
        <v>16186</v>
      </c>
      <c r="AD53" s="623">
        <v>0.01</v>
      </c>
      <c r="AE53" s="621" t="s">
        <v>300</v>
      </c>
    </row>
    <row r="54" spans="1:31" s="572" customFormat="1">
      <c r="A54" s="570" t="s">
        <v>304</v>
      </c>
      <c r="B54" s="573" t="s">
        <v>287</v>
      </c>
      <c r="C54" s="578">
        <v>26</v>
      </c>
      <c r="D54" s="573" t="s">
        <v>151</v>
      </c>
      <c r="E54" s="573" t="s">
        <v>211</v>
      </c>
      <c r="F54" s="573" t="s">
        <v>271</v>
      </c>
      <c r="G54" s="573">
        <v>2019</v>
      </c>
      <c r="H54" s="573" t="s">
        <v>272</v>
      </c>
      <c r="I54" s="573" t="s">
        <v>301</v>
      </c>
      <c r="J54" s="573" t="s">
        <v>156</v>
      </c>
      <c r="K54" s="573">
        <v>5</v>
      </c>
      <c r="L54" s="573">
        <v>0</v>
      </c>
      <c r="M54" s="573" t="s">
        <v>157</v>
      </c>
      <c r="N54" s="573">
        <v>2</v>
      </c>
      <c r="O54" s="573" t="s">
        <v>157</v>
      </c>
      <c r="P54" s="571" t="s">
        <v>157</v>
      </c>
      <c r="Q54" s="573" t="s">
        <v>274</v>
      </c>
      <c r="R54" s="573">
        <v>4</v>
      </c>
      <c r="S54" s="582" t="s">
        <v>302</v>
      </c>
      <c r="T54" s="573" t="s">
        <v>295</v>
      </c>
      <c r="U54" s="573">
        <v>98</v>
      </c>
      <c r="V54" s="573">
        <v>12.4</v>
      </c>
      <c r="W54" s="616">
        <v>2578</v>
      </c>
      <c r="X54" s="617">
        <v>30</v>
      </c>
      <c r="Y54" s="617" t="s">
        <v>178</v>
      </c>
      <c r="Z54" s="617" t="s">
        <v>178</v>
      </c>
      <c r="AA54" s="618">
        <v>17460</v>
      </c>
      <c r="AB54" s="618" t="s">
        <v>164</v>
      </c>
      <c r="AC54" s="618">
        <v>16598</v>
      </c>
      <c r="AD54" s="619">
        <v>0.05</v>
      </c>
      <c r="AE54" s="617" t="s">
        <v>300</v>
      </c>
    </row>
    <row r="55" spans="1:31" s="572" customFormat="1">
      <c r="A55" s="570" t="s">
        <v>305</v>
      </c>
      <c r="B55" s="569" t="s">
        <v>280</v>
      </c>
      <c r="C55" s="580">
        <v>27</v>
      </c>
      <c r="D55" s="569" t="s">
        <v>151</v>
      </c>
      <c r="E55" s="569" t="s">
        <v>211</v>
      </c>
      <c r="F55" s="569" t="s">
        <v>271</v>
      </c>
      <c r="G55" s="569">
        <v>2019</v>
      </c>
      <c r="H55" s="569" t="s">
        <v>272</v>
      </c>
      <c r="I55" s="569" t="s">
        <v>301</v>
      </c>
      <c r="J55" s="569" t="s">
        <v>156</v>
      </c>
      <c r="K55" s="569">
        <v>5</v>
      </c>
      <c r="L55" s="569">
        <v>0</v>
      </c>
      <c r="M55" s="569" t="s">
        <v>157</v>
      </c>
      <c r="N55" s="569">
        <v>2</v>
      </c>
      <c r="O55" s="569" t="s">
        <v>157</v>
      </c>
      <c r="P55" s="568" t="s">
        <v>157</v>
      </c>
      <c r="Q55" s="569" t="s">
        <v>274</v>
      </c>
      <c r="R55" s="569">
        <v>4</v>
      </c>
      <c r="S55" s="569" t="s">
        <v>302</v>
      </c>
      <c r="T55" s="569" t="s">
        <v>295</v>
      </c>
      <c r="U55" s="569">
        <v>98</v>
      </c>
      <c r="V55" s="569">
        <v>12.4</v>
      </c>
      <c r="W55" s="620">
        <v>2578</v>
      </c>
      <c r="X55" s="621">
        <v>30</v>
      </c>
      <c r="Y55" s="621" t="s">
        <v>178</v>
      </c>
      <c r="Z55" s="621" t="s">
        <v>178</v>
      </c>
      <c r="AA55" s="622">
        <v>17460</v>
      </c>
      <c r="AB55" s="622" t="s">
        <v>164</v>
      </c>
      <c r="AC55" s="622">
        <v>16109.729166666668</v>
      </c>
      <c r="AD55" s="623">
        <v>0.03</v>
      </c>
      <c r="AE55" s="621" t="s">
        <v>300</v>
      </c>
    </row>
    <row r="56" spans="1:31" s="572" customFormat="1">
      <c r="A56" s="570" t="s">
        <v>306</v>
      </c>
      <c r="B56" s="573" t="s">
        <v>278</v>
      </c>
      <c r="C56" s="578">
        <v>15</v>
      </c>
      <c r="D56" s="573" t="s">
        <v>151</v>
      </c>
      <c r="E56" s="573" t="s">
        <v>211</v>
      </c>
      <c r="F56" s="573" t="s">
        <v>271</v>
      </c>
      <c r="G56" s="573">
        <v>2019</v>
      </c>
      <c r="H56" s="573" t="s">
        <v>272</v>
      </c>
      <c r="I56" s="573" t="s">
        <v>308</v>
      </c>
      <c r="J56" s="573" t="s">
        <v>156</v>
      </c>
      <c r="K56" s="573">
        <v>5</v>
      </c>
      <c r="L56" s="573">
        <v>0</v>
      </c>
      <c r="M56" s="573" t="s">
        <v>157</v>
      </c>
      <c r="N56" s="573">
        <v>2</v>
      </c>
      <c r="O56" s="573" t="s">
        <v>157</v>
      </c>
      <c r="P56" s="571" t="s">
        <v>157</v>
      </c>
      <c r="Q56" s="573" t="s">
        <v>274</v>
      </c>
      <c r="R56" s="573">
        <v>4</v>
      </c>
      <c r="S56" s="582" t="s">
        <v>309</v>
      </c>
      <c r="T56" s="573" t="s">
        <v>310</v>
      </c>
      <c r="U56" s="573">
        <v>98</v>
      </c>
      <c r="V56" s="573">
        <v>12.4</v>
      </c>
      <c r="W56" s="616">
        <v>2578</v>
      </c>
      <c r="X56" s="617">
        <v>30</v>
      </c>
      <c r="Y56" s="617" t="s">
        <v>178</v>
      </c>
      <c r="Z56" s="617" t="s">
        <v>178</v>
      </c>
      <c r="AA56" s="618">
        <v>22215</v>
      </c>
      <c r="AB56" s="618" t="s">
        <v>164</v>
      </c>
      <c r="AC56" s="618">
        <v>20868</v>
      </c>
      <c r="AD56" s="619">
        <v>0.01</v>
      </c>
      <c r="AE56" s="617" t="s">
        <v>307</v>
      </c>
    </row>
    <row r="57" spans="1:31" s="572" customFormat="1">
      <c r="A57" s="570" t="s">
        <v>311</v>
      </c>
      <c r="B57" s="569" t="s">
        <v>287</v>
      </c>
      <c r="C57" s="580">
        <v>26</v>
      </c>
      <c r="D57" s="569" t="s">
        <v>151</v>
      </c>
      <c r="E57" s="569" t="s">
        <v>211</v>
      </c>
      <c r="F57" s="569" t="s">
        <v>271</v>
      </c>
      <c r="G57" s="569">
        <v>2019</v>
      </c>
      <c r="H57" s="569" t="s">
        <v>272</v>
      </c>
      <c r="I57" s="569" t="s">
        <v>308</v>
      </c>
      <c r="J57" s="569" t="s">
        <v>156</v>
      </c>
      <c r="K57" s="569">
        <v>5</v>
      </c>
      <c r="L57" s="569">
        <v>0</v>
      </c>
      <c r="M57" s="569" t="s">
        <v>157</v>
      </c>
      <c r="N57" s="569">
        <v>2</v>
      </c>
      <c r="O57" s="569" t="s">
        <v>157</v>
      </c>
      <c r="P57" s="568" t="s">
        <v>157</v>
      </c>
      <c r="Q57" s="569" t="s">
        <v>274</v>
      </c>
      <c r="R57" s="569">
        <v>4</v>
      </c>
      <c r="S57" s="569" t="s">
        <v>309</v>
      </c>
      <c r="T57" s="569" t="s">
        <v>310</v>
      </c>
      <c r="U57" s="569">
        <v>98</v>
      </c>
      <c r="V57" s="569">
        <v>12.4</v>
      </c>
      <c r="W57" s="620">
        <v>2578</v>
      </c>
      <c r="X57" s="621">
        <v>30</v>
      </c>
      <c r="Y57" s="621" t="s">
        <v>178</v>
      </c>
      <c r="Z57" s="621" t="s">
        <v>178</v>
      </c>
      <c r="AA57" s="622">
        <v>23310</v>
      </c>
      <c r="AB57" s="622" t="s">
        <v>164</v>
      </c>
      <c r="AC57" s="622">
        <v>22305</v>
      </c>
      <c r="AD57" s="623">
        <v>0.05</v>
      </c>
      <c r="AE57" s="621" t="s">
        <v>307</v>
      </c>
    </row>
    <row r="58" spans="1:31" s="572" customFormat="1">
      <c r="A58" s="570" t="s">
        <v>312</v>
      </c>
      <c r="B58" s="573" t="s">
        <v>269</v>
      </c>
      <c r="C58" s="578" t="s">
        <v>270</v>
      </c>
      <c r="D58" s="573" t="s">
        <v>151</v>
      </c>
      <c r="E58" s="573" t="s">
        <v>187</v>
      </c>
      <c r="F58" s="573" t="s">
        <v>271</v>
      </c>
      <c r="G58" s="573">
        <v>2019</v>
      </c>
      <c r="H58" s="573" t="s">
        <v>314</v>
      </c>
      <c r="I58" s="573" t="s">
        <v>315</v>
      </c>
      <c r="J58" s="573" t="s">
        <v>230</v>
      </c>
      <c r="K58" s="573">
        <v>7</v>
      </c>
      <c r="L58" s="573">
        <v>0</v>
      </c>
      <c r="M58" s="573" t="s">
        <v>157</v>
      </c>
      <c r="N58" s="573">
        <v>3</v>
      </c>
      <c r="O58" s="573" t="s">
        <v>157</v>
      </c>
      <c r="P58" s="571" t="s">
        <v>157</v>
      </c>
      <c r="Q58" s="573" t="s">
        <v>316</v>
      </c>
      <c r="R58" s="573">
        <v>6</v>
      </c>
      <c r="S58" s="582" t="s">
        <v>317</v>
      </c>
      <c r="T58" s="573" t="s">
        <v>318</v>
      </c>
      <c r="U58" s="573">
        <v>117.9</v>
      </c>
      <c r="V58" s="573">
        <v>18.600000000000001</v>
      </c>
      <c r="W58" s="616">
        <v>5970</v>
      </c>
      <c r="X58" s="617">
        <v>18</v>
      </c>
      <c r="Y58" s="617" t="s">
        <v>178</v>
      </c>
      <c r="Z58" s="617" t="s">
        <v>178</v>
      </c>
      <c r="AA58" s="618">
        <v>41735</v>
      </c>
      <c r="AB58" s="618" t="s">
        <v>164</v>
      </c>
      <c r="AC58" s="618">
        <v>37254.25</v>
      </c>
      <c r="AD58" s="619">
        <v>0.03</v>
      </c>
      <c r="AE58" s="617" t="s">
        <v>313</v>
      </c>
    </row>
    <row r="59" spans="1:31" s="572" customFormat="1">
      <c r="A59" s="570" t="s">
        <v>319</v>
      </c>
      <c r="B59" s="569" t="s">
        <v>278</v>
      </c>
      <c r="C59" s="580">
        <v>15</v>
      </c>
      <c r="D59" s="569" t="s">
        <v>151</v>
      </c>
      <c r="E59" s="569" t="s">
        <v>187</v>
      </c>
      <c r="F59" s="569" t="s">
        <v>271</v>
      </c>
      <c r="G59" s="569">
        <v>2019</v>
      </c>
      <c r="H59" s="569" t="s">
        <v>314</v>
      </c>
      <c r="I59" s="569" t="s">
        <v>315</v>
      </c>
      <c r="J59" s="569" t="s">
        <v>230</v>
      </c>
      <c r="K59" s="569">
        <v>7</v>
      </c>
      <c r="L59" s="569">
        <v>0</v>
      </c>
      <c r="M59" s="569" t="s">
        <v>157</v>
      </c>
      <c r="N59" s="569">
        <v>3</v>
      </c>
      <c r="O59" s="569" t="s">
        <v>157</v>
      </c>
      <c r="P59" s="568" t="s">
        <v>157</v>
      </c>
      <c r="Q59" s="569" t="s">
        <v>316</v>
      </c>
      <c r="R59" s="569">
        <v>6</v>
      </c>
      <c r="S59" s="569" t="s">
        <v>317</v>
      </c>
      <c r="T59" s="569" t="s">
        <v>318</v>
      </c>
      <c r="U59" s="569">
        <v>117.9</v>
      </c>
      <c r="V59" s="569">
        <v>18.600000000000001</v>
      </c>
      <c r="W59" s="620">
        <v>5970</v>
      </c>
      <c r="X59" s="621">
        <v>18</v>
      </c>
      <c r="Y59" s="621" t="s">
        <v>178</v>
      </c>
      <c r="Z59" s="621" t="s">
        <v>178</v>
      </c>
      <c r="AA59" s="622">
        <v>41735</v>
      </c>
      <c r="AB59" s="622" t="s">
        <v>164</v>
      </c>
      <c r="AC59" s="622">
        <v>39700</v>
      </c>
      <c r="AD59" s="623">
        <v>0.01</v>
      </c>
      <c r="AE59" s="621" t="s">
        <v>313</v>
      </c>
    </row>
    <row r="60" spans="1:31" s="572" customFormat="1">
      <c r="A60" s="570" t="s">
        <v>320</v>
      </c>
      <c r="B60" s="573" t="s">
        <v>287</v>
      </c>
      <c r="C60" s="578">
        <v>26</v>
      </c>
      <c r="D60" s="573" t="s">
        <v>151</v>
      </c>
      <c r="E60" s="573" t="s">
        <v>187</v>
      </c>
      <c r="F60" s="573" t="s">
        <v>271</v>
      </c>
      <c r="G60" s="573">
        <v>2019</v>
      </c>
      <c r="H60" s="573" t="s">
        <v>314</v>
      </c>
      <c r="I60" s="573" t="s">
        <v>315</v>
      </c>
      <c r="J60" s="573" t="s">
        <v>230</v>
      </c>
      <c r="K60" s="573">
        <v>7</v>
      </c>
      <c r="L60" s="573">
        <v>0</v>
      </c>
      <c r="M60" s="573" t="s">
        <v>157</v>
      </c>
      <c r="N60" s="573">
        <v>3</v>
      </c>
      <c r="O60" s="573" t="s">
        <v>157</v>
      </c>
      <c r="P60" s="571" t="s">
        <v>157</v>
      </c>
      <c r="Q60" s="573" t="s">
        <v>316</v>
      </c>
      <c r="R60" s="573">
        <v>6</v>
      </c>
      <c r="S60" s="582" t="s">
        <v>317</v>
      </c>
      <c r="T60" s="573" t="s">
        <v>318</v>
      </c>
      <c r="U60" s="573">
        <v>117.9</v>
      </c>
      <c r="V60" s="573">
        <v>18.600000000000001</v>
      </c>
      <c r="W60" s="616">
        <v>5970</v>
      </c>
      <c r="X60" s="617">
        <v>18</v>
      </c>
      <c r="Y60" s="617" t="s">
        <v>178</v>
      </c>
      <c r="Z60" s="617" t="s">
        <v>178</v>
      </c>
      <c r="AA60" s="618">
        <v>41735</v>
      </c>
      <c r="AB60" s="618" t="s">
        <v>164</v>
      </c>
      <c r="AC60" s="618">
        <v>38307</v>
      </c>
      <c r="AD60" s="619">
        <v>0.05</v>
      </c>
      <c r="AE60" s="617" t="s">
        <v>313</v>
      </c>
    </row>
    <row r="61" spans="1:31" s="572" customFormat="1">
      <c r="A61" s="570" t="s">
        <v>321</v>
      </c>
      <c r="B61" s="569" t="s">
        <v>280</v>
      </c>
      <c r="C61" s="580">
        <v>27</v>
      </c>
      <c r="D61" s="569" t="s">
        <v>151</v>
      </c>
      <c r="E61" s="569" t="s">
        <v>187</v>
      </c>
      <c r="F61" s="569" t="s">
        <v>271</v>
      </c>
      <c r="G61" s="569">
        <v>2019</v>
      </c>
      <c r="H61" s="569" t="s">
        <v>314</v>
      </c>
      <c r="I61" s="569" t="s">
        <v>315</v>
      </c>
      <c r="J61" s="569" t="s">
        <v>230</v>
      </c>
      <c r="K61" s="569">
        <v>7</v>
      </c>
      <c r="L61" s="569">
        <v>0</v>
      </c>
      <c r="M61" s="569" t="s">
        <v>157</v>
      </c>
      <c r="N61" s="569">
        <v>3</v>
      </c>
      <c r="O61" s="569" t="s">
        <v>157</v>
      </c>
      <c r="P61" s="568" t="s">
        <v>157</v>
      </c>
      <c r="Q61" s="569" t="s">
        <v>316</v>
      </c>
      <c r="R61" s="569">
        <v>6</v>
      </c>
      <c r="S61" s="569" t="s">
        <v>317</v>
      </c>
      <c r="T61" s="569" t="s">
        <v>318</v>
      </c>
      <c r="U61" s="569">
        <v>117.9</v>
      </c>
      <c r="V61" s="569">
        <v>18.600000000000001</v>
      </c>
      <c r="W61" s="620">
        <v>5970</v>
      </c>
      <c r="X61" s="621">
        <v>18</v>
      </c>
      <c r="Y61" s="621" t="s">
        <v>178</v>
      </c>
      <c r="Z61" s="621" t="s">
        <v>178</v>
      </c>
      <c r="AA61" s="622">
        <v>41735</v>
      </c>
      <c r="AB61" s="622" t="s">
        <v>164</v>
      </c>
      <c r="AC61" s="622">
        <v>37254.25</v>
      </c>
      <c r="AD61" s="623">
        <v>0.03</v>
      </c>
      <c r="AE61" s="621" t="s">
        <v>313</v>
      </c>
    </row>
    <row r="62" spans="1:31" s="572" customFormat="1">
      <c r="A62" s="570" t="s">
        <v>322</v>
      </c>
      <c r="B62" s="573" t="s">
        <v>269</v>
      </c>
      <c r="C62" s="578" t="s">
        <v>270</v>
      </c>
      <c r="D62" s="573" t="s">
        <v>151</v>
      </c>
      <c r="E62" s="573" t="s">
        <v>187</v>
      </c>
      <c r="F62" s="573" t="s">
        <v>271</v>
      </c>
      <c r="G62" s="573">
        <v>2019</v>
      </c>
      <c r="H62" s="573" t="s">
        <v>314</v>
      </c>
      <c r="I62" s="573" t="s">
        <v>315</v>
      </c>
      <c r="J62" s="573" t="s">
        <v>156</v>
      </c>
      <c r="K62" s="573">
        <v>7</v>
      </c>
      <c r="L62" s="573">
        <v>0</v>
      </c>
      <c r="M62" s="573" t="s">
        <v>157</v>
      </c>
      <c r="N62" s="573">
        <v>3</v>
      </c>
      <c r="O62" s="573" t="s">
        <v>157</v>
      </c>
      <c r="P62" s="571" t="s">
        <v>157</v>
      </c>
      <c r="Q62" s="573" t="s">
        <v>316</v>
      </c>
      <c r="R62" s="573">
        <v>6</v>
      </c>
      <c r="S62" s="582" t="s">
        <v>324</v>
      </c>
      <c r="T62" s="573" t="s">
        <v>318</v>
      </c>
      <c r="U62" s="573">
        <v>117.9</v>
      </c>
      <c r="V62" s="573">
        <v>18.600000000000001</v>
      </c>
      <c r="W62" s="616">
        <v>5970</v>
      </c>
      <c r="X62" s="617">
        <v>19</v>
      </c>
      <c r="Y62" s="617" t="s">
        <v>178</v>
      </c>
      <c r="Z62" s="617" t="s">
        <v>178</v>
      </c>
      <c r="AA62" s="618">
        <v>39785</v>
      </c>
      <c r="AB62" s="618" t="s">
        <v>164</v>
      </c>
      <c r="AC62" s="618">
        <v>35451.125</v>
      </c>
      <c r="AD62" s="619">
        <v>0.03</v>
      </c>
      <c r="AE62" s="617" t="s">
        <v>323</v>
      </c>
    </row>
    <row r="63" spans="1:31" s="572" customFormat="1">
      <c r="A63" s="570" t="s">
        <v>325</v>
      </c>
      <c r="B63" s="569" t="s">
        <v>278</v>
      </c>
      <c r="C63" s="580">
        <v>15</v>
      </c>
      <c r="D63" s="569" t="s">
        <v>151</v>
      </c>
      <c r="E63" s="569" t="s">
        <v>187</v>
      </c>
      <c r="F63" s="569" t="s">
        <v>271</v>
      </c>
      <c r="G63" s="569">
        <v>2019</v>
      </c>
      <c r="H63" s="569" t="s">
        <v>314</v>
      </c>
      <c r="I63" s="569" t="s">
        <v>315</v>
      </c>
      <c r="J63" s="569" t="s">
        <v>156</v>
      </c>
      <c r="K63" s="569">
        <v>7</v>
      </c>
      <c r="L63" s="569">
        <v>0</v>
      </c>
      <c r="M63" s="569" t="s">
        <v>157</v>
      </c>
      <c r="N63" s="569">
        <v>3</v>
      </c>
      <c r="O63" s="569" t="s">
        <v>157</v>
      </c>
      <c r="P63" s="568" t="s">
        <v>157</v>
      </c>
      <c r="Q63" s="569" t="s">
        <v>316</v>
      </c>
      <c r="R63" s="569">
        <v>6</v>
      </c>
      <c r="S63" s="569" t="s">
        <v>324</v>
      </c>
      <c r="T63" s="569" t="s">
        <v>318</v>
      </c>
      <c r="U63" s="569">
        <v>117.9</v>
      </c>
      <c r="V63" s="569">
        <v>18.600000000000001</v>
      </c>
      <c r="W63" s="620">
        <v>5970</v>
      </c>
      <c r="X63" s="621">
        <v>19</v>
      </c>
      <c r="Y63" s="621" t="s">
        <v>178</v>
      </c>
      <c r="Z63" s="621" t="s">
        <v>178</v>
      </c>
      <c r="AA63" s="622">
        <v>39785</v>
      </c>
      <c r="AB63" s="622" t="s">
        <v>164</v>
      </c>
      <c r="AC63" s="622">
        <v>37850</v>
      </c>
      <c r="AD63" s="623">
        <v>0.01</v>
      </c>
      <c r="AE63" s="621" t="s">
        <v>323</v>
      </c>
    </row>
    <row r="64" spans="1:31" s="572" customFormat="1">
      <c r="A64" s="570" t="s">
        <v>326</v>
      </c>
      <c r="B64" s="573" t="s">
        <v>287</v>
      </c>
      <c r="C64" s="578">
        <v>26</v>
      </c>
      <c r="D64" s="573" t="s">
        <v>151</v>
      </c>
      <c r="E64" s="573" t="s">
        <v>187</v>
      </c>
      <c r="F64" s="573" t="s">
        <v>271</v>
      </c>
      <c r="G64" s="573">
        <v>2019</v>
      </c>
      <c r="H64" s="573" t="s">
        <v>314</v>
      </c>
      <c r="I64" s="573" t="s">
        <v>315</v>
      </c>
      <c r="J64" s="573" t="s">
        <v>156</v>
      </c>
      <c r="K64" s="573">
        <v>7</v>
      </c>
      <c r="L64" s="573">
        <v>0</v>
      </c>
      <c r="M64" s="573" t="s">
        <v>157</v>
      </c>
      <c r="N64" s="573">
        <v>3</v>
      </c>
      <c r="O64" s="573" t="s">
        <v>157</v>
      </c>
      <c r="P64" s="571" t="s">
        <v>157</v>
      </c>
      <c r="Q64" s="573" t="s">
        <v>316</v>
      </c>
      <c r="R64" s="573">
        <v>6</v>
      </c>
      <c r="S64" s="582" t="s">
        <v>324</v>
      </c>
      <c r="T64" s="573" t="s">
        <v>318</v>
      </c>
      <c r="U64" s="573">
        <v>117.9</v>
      </c>
      <c r="V64" s="573">
        <v>18.600000000000001</v>
      </c>
      <c r="W64" s="616">
        <v>5970</v>
      </c>
      <c r="X64" s="617">
        <v>19</v>
      </c>
      <c r="Y64" s="617" t="s">
        <v>178</v>
      </c>
      <c r="Z64" s="617" t="s">
        <v>178</v>
      </c>
      <c r="AA64" s="618">
        <v>39785</v>
      </c>
      <c r="AB64" s="618" t="s">
        <v>164</v>
      </c>
      <c r="AC64" s="618">
        <v>36460</v>
      </c>
      <c r="AD64" s="619">
        <v>0.05</v>
      </c>
      <c r="AE64" s="617" t="s">
        <v>323</v>
      </c>
    </row>
    <row r="65" spans="1:31" s="572" customFormat="1">
      <c r="A65" s="570" t="s">
        <v>327</v>
      </c>
      <c r="B65" s="569" t="s">
        <v>280</v>
      </c>
      <c r="C65" s="580">
        <v>27</v>
      </c>
      <c r="D65" s="569" t="s">
        <v>151</v>
      </c>
      <c r="E65" s="569" t="s">
        <v>187</v>
      </c>
      <c r="F65" s="569" t="s">
        <v>271</v>
      </c>
      <c r="G65" s="569">
        <v>2019</v>
      </c>
      <c r="H65" s="569" t="s">
        <v>314</v>
      </c>
      <c r="I65" s="569" t="s">
        <v>315</v>
      </c>
      <c r="J65" s="569" t="s">
        <v>156</v>
      </c>
      <c r="K65" s="569">
        <v>7</v>
      </c>
      <c r="L65" s="569">
        <v>0</v>
      </c>
      <c r="M65" s="569" t="s">
        <v>157</v>
      </c>
      <c r="N65" s="569">
        <v>3</v>
      </c>
      <c r="O65" s="569" t="s">
        <v>157</v>
      </c>
      <c r="P65" s="568" t="s">
        <v>157</v>
      </c>
      <c r="Q65" s="569" t="s">
        <v>316</v>
      </c>
      <c r="R65" s="569">
        <v>6</v>
      </c>
      <c r="S65" s="569" t="s">
        <v>324</v>
      </c>
      <c r="T65" s="569" t="s">
        <v>318</v>
      </c>
      <c r="U65" s="569">
        <v>117.9</v>
      </c>
      <c r="V65" s="569">
        <v>18.600000000000001</v>
      </c>
      <c r="W65" s="620">
        <v>5970</v>
      </c>
      <c r="X65" s="621">
        <v>19</v>
      </c>
      <c r="Y65" s="621" t="s">
        <v>178</v>
      </c>
      <c r="Z65" s="621" t="s">
        <v>178</v>
      </c>
      <c r="AA65" s="622">
        <v>39785</v>
      </c>
      <c r="AB65" s="622" t="s">
        <v>164</v>
      </c>
      <c r="AC65" s="622">
        <v>35451.125</v>
      </c>
      <c r="AD65" s="623">
        <v>0.03</v>
      </c>
      <c r="AE65" s="621" t="s">
        <v>323</v>
      </c>
    </row>
    <row r="66" spans="1:31" s="572" customFormat="1">
      <c r="A66" s="570" t="s">
        <v>328</v>
      </c>
      <c r="B66" s="573" t="s">
        <v>269</v>
      </c>
      <c r="C66" s="578" t="s">
        <v>270</v>
      </c>
      <c r="D66" s="573" t="s">
        <v>151</v>
      </c>
      <c r="E66" s="573" t="s">
        <v>187</v>
      </c>
      <c r="F66" s="573" t="s">
        <v>271</v>
      </c>
      <c r="G66" s="573">
        <v>2019</v>
      </c>
      <c r="H66" s="573" t="s">
        <v>314</v>
      </c>
      <c r="I66" s="573" t="s">
        <v>330</v>
      </c>
      <c r="J66" s="573" t="s">
        <v>156</v>
      </c>
      <c r="K66" s="573">
        <v>7</v>
      </c>
      <c r="L66" s="573">
        <v>0</v>
      </c>
      <c r="M66" s="573" t="s">
        <v>157</v>
      </c>
      <c r="N66" s="573">
        <v>3</v>
      </c>
      <c r="O66" s="573" t="s">
        <v>157</v>
      </c>
      <c r="P66" s="571" t="s">
        <v>157</v>
      </c>
      <c r="Q66" s="573" t="s">
        <v>316</v>
      </c>
      <c r="R66" s="573">
        <v>6</v>
      </c>
      <c r="S66" s="582" t="s">
        <v>331</v>
      </c>
      <c r="T66" s="573" t="s">
        <v>276</v>
      </c>
      <c r="U66" s="573">
        <v>117.9</v>
      </c>
      <c r="V66" s="573">
        <v>18.600000000000001</v>
      </c>
      <c r="W66" s="616">
        <v>5970</v>
      </c>
      <c r="X66" s="617">
        <v>19</v>
      </c>
      <c r="Y66" s="617" t="s">
        <v>178</v>
      </c>
      <c r="Z66" s="617" t="s">
        <v>178</v>
      </c>
      <c r="AA66" s="618">
        <v>31570</v>
      </c>
      <c r="AB66" s="618" t="s">
        <v>164</v>
      </c>
      <c r="AC66" s="618">
        <v>28175.083333333336</v>
      </c>
      <c r="AD66" s="619">
        <v>0.03</v>
      </c>
      <c r="AE66" s="617" t="s">
        <v>329</v>
      </c>
    </row>
    <row r="67" spans="1:31" s="572" customFormat="1">
      <c r="A67" s="570" t="s">
        <v>332</v>
      </c>
      <c r="B67" s="569" t="s">
        <v>278</v>
      </c>
      <c r="C67" s="580">
        <v>15</v>
      </c>
      <c r="D67" s="569" t="s">
        <v>151</v>
      </c>
      <c r="E67" s="569" t="s">
        <v>187</v>
      </c>
      <c r="F67" s="569" t="s">
        <v>271</v>
      </c>
      <c r="G67" s="569">
        <v>2019</v>
      </c>
      <c r="H67" s="569" t="s">
        <v>314</v>
      </c>
      <c r="I67" s="569" t="s">
        <v>330</v>
      </c>
      <c r="J67" s="569" t="s">
        <v>156</v>
      </c>
      <c r="K67" s="569">
        <v>7</v>
      </c>
      <c r="L67" s="569">
        <v>0</v>
      </c>
      <c r="M67" s="569" t="s">
        <v>157</v>
      </c>
      <c r="N67" s="569">
        <v>3</v>
      </c>
      <c r="O67" s="569" t="s">
        <v>157</v>
      </c>
      <c r="P67" s="568" t="s">
        <v>157</v>
      </c>
      <c r="Q67" s="569" t="s">
        <v>316</v>
      </c>
      <c r="R67" s="569">
        <v>6</v>
      </c>
      <c r="S67" s="569" t="s">
        <v>331</v>
      </c>
      <c r="T67" s="569" t="s">
        <v>276</v>
      </c>
      <c r="U67" s="569">
        <v>117.9</v>
      </c>
      <c r="V67" s="569">
        <v>18.600000000000001</v>
      </c>
      <c r="W67" s="620">
        <v>5970</v>
      </c>
      <c r="X67" s="621">
        <v>19</v>
      </c>
      <c r="Y67" s="621" t="s">
        <v>178</v>
      </c>
      <c r="Z67" s="621" t="s">
        <v>178</v>
      </c>
      <c r="AA67" s="622">
        <v>31570</v>
      </c>
      <c r="AB67" s="622" t="s">
        <v>164</v>
      </c>
      <c r="AC67" s="622">
        <v>30450</v>
      </c>
      <c r="AD67" s="623">
        <v>0.01</v>
      </c>
      <c r="AE67" s="621" t="s">
        <v>329</v>
      </c>
    </row>
    <row r="68" spans="1:31" s="572" customFormat="1">
      <c r="A68" s="570" t="s">
        <v>333</v>
      </c>
      <c r="B68" s="573" t="s">
        <v>287</v>
      </c>
      <c r="C68" s="578">
        <v>26</v>
      </c>
      <c r="D68" s="573" t="s">
        <v>151</v>
      </c>
      <c r="E68" s="573" t="s">
        <v>187</v>
      </c>
      <c r="F68" s="573" t="s">
        <v>271</v>
      </c>
      <c r="G68" s="573">
        <v>2019</v>
      </c>
      <c r="H68" s="573" t="s">
        <v>314</v>
      </c>
      <c r="I68" s="573" t="s">
        <v>330</v>
      </c>
      <c r="J68" s="573" t="s">
        <v>156</v>
      </c>
      <c r="K68" s="573">
        <v>7</v>
      </c>
      <c r="L68" s="573">
        <v>0</v>
      </c>
      <c r="M68" s="573" t="s">
        <v>157</v>
      </c>
      <c r="N68" s="573">
        <v>3</v>
      </c>
      <c r="O68" s="573" t="s">
        <v>157</v>
      </c>
      <c r="P68" s="571" t="s">
        <v>157</v>
      </c>
      <c r="Q68" s="573" t="s">
        <v>316</v>
      </c>
      <c r="R68" s="573">
        <v>6</v>
      </c>
      <c r="S68" s="582" t="s">
        <v>331</v>
      </c>
      <c r="T68" s="573" t="s">
        <v>276</v>
      </c>
      <c r="U68" s="573">
        <v>117.9</v>
      </c>
      <c r="V68" s="573">
        <v>18.600000000000001</v>
      </c>
      <c r="W68" s="616">
        <v>5970</v>
      </c>
      <c r="X68" s="617">
        <v>19</v>
      </c>
      <c r="Y68" s="617" t="s">
        <v>178</v>
      </c>
      <c r="Z68" s="617" t="s">
        <v>178</v>
      </c>
      <c r="AA68" s="618">
        <v>31570</v>
      </c>
      <c r="AB68" s="618" t="s">
        <v>164</v>
      </c>
      <c r="AC68" s="618">
        <v>28995</v>
      </c>
      <c r="AD68" s="619">
        <v>0.05</v>
      </c>
      <c r="AE68" s="617" t="s">
        <v>329</v>
      </c>
    </row>
    <row r="69" spans="1:31" s="572" customFormat="1">
      <c r="A69" s="570" t="s">
        <v>334</v>
      </c>
      <c r="B69" s="569" t="s">
        <v>280</v>
      </c>
      <c r="C69" s="580">
        <v>27</v>
      </c>
      <c r="D69" s="569" t="s">
        <v>151</v>
      </c>
      <c r="E69" s="569" t="s">
        <v>187</v>
      </c>
      <c r="F69" s="569" t="s">
        <v>271</v>
      </c>
      <c r="G69" s="569">
        <v>2019</v>
      </c>
      <c r="H69" s="569" t="s">
        <v>314</v>
      </c>
      <c r="I69" s="569" t="s">
        <v>330</v>
      </c>
      <c r="J69" s="569" t="s">
        <v>156</v>
      </c>
      <c r="K69" s="569">
        <v>7</v>
      </c>
      <c r="L69" s="569">
        <v>0</v>
      </c>
      <c r="M69" s="569" t="s">
        <v>157</v>
      </c>
      <c r="N69" s="569">
        <v>3</v>
      </c>
      <c r="O69" s="569" t="s">
        <v>157</v>
      </c>
      <c r="P69" s="568" t="s">
        <v>157</v>
      </c>
      <c r="Q69" s="569" t="s">
        <v>316</v>
      </c>
      <c r="R69" s="569">
        <v>6</v>
      </c>
      <c r="S69" s="569" t="s">
        <v>331</v>
      </c>
      <c r="T69" s="569" t="s">
        <v>276</v>
      </c>
      <c r="U69" s="569">
        <v>117.9</v>
      </c>
      <c r="V69" s="569">
        <v>18.600000000000001</v>
      </c>
      <c r="W69" s="620">
        <v>5970</v>
      </c>
      <c r="X69" s="621">
        <v>19</v>
      </c>
      <c r="Y69" s="621" t="s">
        <v>178</v>
      </c>
      <c r="Z69" s="621" t="s">
        <v>178</v>
      </c>
      <c r="AA69" s="622">
        <v>31570</v>
      </c>
      <c r="AB69" s="622" t="s">
        <v>164</v>
      </c>
      <c r="AC69" s="622">
        <v>28175.083333333336</v>
      </c>
      <c r="AD69" s="623">
        <v>0.03</v>
      </c>
      <c r="AE69" s="621" t="s">
        <v>329</v>
      </c>
    </row>
    <row r="70" spans="1:31" s="572" customFormat="1">
      <c r="A70" s="570" t="s">
        <v>335</v>
      </c>
      <c r="B70" s="573" t="s">
        <v>269</v>
      </c>
      <c r="C70" s="578" t="s">
        <v>270</v>
      </c>
      <c r="D70" s="573" t="s">
        <v>151</v>
      </c>
      <c r="E70" s="573" t="s">
        <v>187</v>
      </c>
      <c r="F70" s="573" t="s">
        <v>271</v>
      </c>
      <c r="G70" s="573">
        <v>2019</v>
      </c>
      <c r="H70" s="573" t="s">
        <v>314</v>
      </c>
      <c r="I70" s="573" t="s">
        <v>337</v>
      </c>
      <c r="J70" s="573" t="s">
        <v>230</v>
      </c>
      <c r="K70" s="573">
        <v>7</v>
      </c>
      <c r="L70" s="573">
        <v>0</v>
      </c>
      <c r="M70" s="573" t="s">
        <v>157</v>
      </c>
      <c r="N70" s="573">
        <v>3</v>
      </c>
      <c r="O70" s="573" t="s">
        <v>157</v>
      </c>
      <c r="P70" s="571" t="s">
        <v>157</v>
      </c>
      <c r="Q70" s="573" t="s">
        <v>316</v>
      </c>
      <c r="R70" s="573">
        <v>6</v>
      </c>
      <c r="S70" s="582" t="s">
        <v>338</v>
      </c>
      <c r="T70" s="573" t="s">
        <v>295</v>
      </c>
      <c r="U70" s="573">
        <v>117.9</v>
      </c>
      <c r="V70" s="573">
        <v>18.600000000000001</v>
      </c>
      <c r="W70" s="616">
        <v>5970</v>
      </c>
      <c r="X70" s="617">
        <v>18</v>
      </c>
      <c r="Y70" s="617" t="s">
        <v>178</v>
      </c>
      <c r="Z70" s="617" t="s">
        <v>178</v>
      </c>
      <c r="AA70" s="618">
        <v>36235</v>
      </c>
      <c r="AB70" s="618" t="s">
        <v>164</v>
      </c>
      <c r="AC70" s="618">
        <v>32169.875000000004</v>
      </c>
      <c r="AD70" s="619">
        <v>0.03</v>
      </c>
      <c r="AE70" s="617" t="s">
        <v>336</v>
      </c>
    </row>
    <row r="71" spans="1:31" s="572" customFormat="1">
      <c r="A71" s="570" t="s">
        <v>339</v>
      </c>
      <c r="B71" s="569" t="s">
        <v>278</v>
      </c>
      <c r="C71" s="580">
        <v>15</v>
      </c>
      <c r="D71" s="569" t="s">
        <v>151</v>
      </c>
      <c r="E71" s="569" t="s">
        <v>187</v>
      </c>
      <c r="F71" s="569" t="s">
        <v>271</v>
      </c>
      <c r="G71" s="569">
        <v>2019</v>
      </c>
      <c r="H71" s="569" t="s">
        <v>314</v>
      </c>
      <c r="I71" s="569" t="s">
        <v>337</v>
      </c>
      <c r="J71" s="569" t="s">
        <v>230</v>
      </c>
      <c r="K71" s="569">
        <v>7</v>
      </c>
      <c r="L71" s="569">
        <v>0</v>
      </c>
      <c r="M71" s="569" t="s">
        <v>157</v>
      </c>
      <c r="N71" s="569">
        <v>3</v>
      </c>
      <c r="O71" s="569" t="s">
        <v>157</v>
      </c>
      <c r="P71" s="568" t="s">
        <v>157</v>
      </c>
      <c r="Q71" s="569" t="s">
        <v>316</v>
      </c>
      <c r="R71" s="569">
        <v>6</v>
      </c>
      <c r="S71" s="569" t="s">
        <v>338</v>
      </c>
      <c r="T71" s="569" t="s">
        <v>295</v>
      </c>
      <c r="U71" s="569">
        <v>117.9</v>
      </c>
      <c r="V71" s="569">
        <v>18.600000000000001</v>
      </c>
      <c r="W71" s="620">
        <v>5970</v>
      </c>
      <c r="X71" s="621">
        <v>18</v>
      </c>
      <c r="Y71" s="621" t="s">
        <v>178</v>
      </c>
      <c r="Z71" s="621" t="s">
        <v>178</v>
      </c>
      <c r="AA71" s="622">
        <v>36235</v>
      </c>
      <c r="AB71" s="622" t="s">
        <v>164</v>
      </c>
      <c r="AC71" s="622">
        <v>34500</v>
      </c>
      <c r="AD71" s="623">
        <v>0.01</v>
      </c>
      <c r="AE71" s="621" t="s">
        <v>336</v>
      </c>
    </row>
    <row r="72" spans="1:31" s="572" customFormat="1">
      <c r="A72" s="570" t="s">
        <v>340</v>
      </c>
      <c r="B72" s="573" t="s">
        <v>287</v>
      </c>
      <c r="C72" s="578">
        <v>26</v>
      </c>
      <c r="D72" s="573" t="s">
        <v>151</v>
      </c>
      <c r="E72" s="573" t="s">
        <v>187</v>
      </c>
      <c r="F72" s="573" t="s">
        <v>271</v>
      </c>
      <c r="G72" s="573">
        <v>2019</v>
      </c>
      <c r="H72" s="573" t="s">
        <v>314</v>
      </c>
      <c r="I72" s="573" t="s">
        <v>337</v>
      </c>
      <c r="J72" s="573" t="s">
        <v>230</v>
      </c>
      <c r="K72" s="573">
        <v>7</v>
      </c>
      <c r="L72" s="573">
        <v>0</v>
      </c>
      <c r="M72" s="573" t="s">
        <v>157</v>
      </c>
      <c r="N72" s="573">
        <v>3</v>
      </c>
      <c r="O72" s="573" t="s">
        <v>157</v>
      </c>
      <c r="P72" s="571" t="s">
        <v>157</v>
      </c>
      <c r="Q72" s="573" t="s">
        <v>316</v>
      </c>
      <c r="R72" s="573">
        <v>6</v>
      </c>
      <c r="S72" s="582" t="s">
        <v>338</v>
      </c>
      <c r="T72" s="573" t="s">
        <v>295</v>
      </c>
      <c r="U72" s="573">
        <v>117.9</v>
      </c>
      <c r="V72" s="573">
        <v>18.600000000000001</v>
      </c>
      <c r="W72" s="616">
        <v>5970</v>
      </c>
      <c r="X72" s="617">
        <v>18</v>
      </c>
      <c r="Y72" s="617" t="s">
        <v>178</v>
      </c>
      <c r="Z72" s="617" t="s">
        <v>178</v>
      </c>
      <c r="AA72" s="618">
        <v>36235</v>
      </c>
      <c r="AB72" s="618" t="s">
        <v>164</v>
      </c>
      <c r="AC72" s="618">
        <v>33092</v>
      </c>
      <c r="AD72" s="619">
        <v>0.05</v>
      </c>
      <c r="AE72" s="617" t="s">
        <v>336</v>
      </c>
    </row>
    <row r="73" spans="1:31" s="572" customFormat="1">
      <c r="A73" s="570" t="s">
        <v>341</v>
      </c>
      <c r="B73" s="569" t="s">
        <v>280</v>
      </c>
      <c r="C73" s="580">
        <v>27</v>
      </c>
      <c r="D73" s="569" t="s">
        <v>151</v>
      </c>
      <c r="E73" s="569" t="s">
        <v>187</v>
      </c>
      <c r="F73" s="569" t="s">
        <v>271</v>
      </c>
      <c r="G73" s="569">
        <v>2019</v>
      </c>
      <c r="H73" s="569" t="s">
        <v>314</v>
      </c>
      <c r="I73" s="569" t="s">
        <v>337</v>
      </c>
      <c r="J73" s="569" t="s">
        <v>230</v>
      </c>
      <c r="K73" s="569">
        <v>7</v>
      </c>
      <c r="L73" s="569">
        <v>0</v>
      </c>
      <c r="M73" s="569" t="s">
        <v>157</v>
      </c>
      <c r="N73" s="569">
        <v>3</v>
      </c>
      <c r="O73" s="569" t="s">
        <v>157</v>
      </c>
      <c r="P73" s="568" t="s">
        <v>157</v>
      </c>
      <c r="Q73" s="569" t="s">
        <v>316</v>
      </c>
      <c r="R73" s="569">
        <v>6</v>
      </c>
      <c r="S73" s="569" t="s">
        <v>338</v>
      </c>
      <c r="T73" s="569" t="s">
        <v>295</v>
      </c>
      <c r="U73" s="569">
        <v>117.9</v>
      </c>
      <c r="V73" s="569">
        <v>18.600000000000001</v>
      </c>
      <c r="W73" s="620">
        <v>5970</v>
      </c>
      <c r="X73" s="621">
        <v>18</v>
      </c>
      <c r="Y73" s="621" t="s">
        <v>178</v>
      </c>
      <c r="Z73" s="621" t="s">
        <v>178</v>
      </c>
      <c r="AA73" s="622">
        <v>36235</v>
      </c>
      <c r="AB73" s="622" t="s">
        <v>164</v>
      </c>
      <c r="AC73" s="622">
        <v>32169.875000000004</v>
      </c>
      <c r="AD73" s="623">
        <v>0.03</v>
      </c>
      <c r="AE73" s="621" t="s">
        <v>336</v>
      </c>
    </row>
    <row r="74" spans="1:31" s="572" customFormat="1">
      <c r="A74" s="570" t="s">
        <v>342</v>
      </c>
      <c r="B74" s="573" t="s">
        <v>269</v>
      </c>
      <c r="C74" s="578" t="s">
        <v>270</v>
      </c>
      <c r="D74" s="573" t="s">
        <v>151</v>
      </c>
      <c r="E74" s="573" t="s">
        <v>187</v>
      </c>
      <c r="F74" s="573" t="s">
        <v>271</v>
      </c>
      <c r="G74" s="573">
        <v>2019</v>
      </c>
      <c r="H74" s="573" t="s">
        <v>314</v>
      </c>
      <c r="I74" s="573" t="s">
        <v>337</v>
      </c>
      <c r="J74" s="573" t="s">
        <v>156</v>
      </c>
      <c r="K74" s="573">
        <v>7</v>
      </c>
      <c r="L74" s="573">
        <v>0</v>
      </c>
      <c r="M74" s="573" t="s">
        <v>157</v>
      </c>
      <c r="N74" s="573">
        <v>3</v>
      </c>
      <c r="O74" s="573" t="s">
        <v>157</v>
      </c>
      <c r="P74" s="571" t="s">
        <v>157</v>
      </c>
      <c r="Q74" s="573" t="s">
        <v>316</v>
      </c>
      <c r="R74" s="573">
        <v>6</v>
      </c>
      <c r="S74" s="582" t="s">
        <v>344</v>
      </c>
      <c r="T74" s="573" t="s">
        <v>295</v>
      </c>
      <c r="U74" s="573">
        <v>117.9</v>
      </c>
      <c r="V74" s="573">
        <v>18.600000000000001</v>
      </c>
      <c r="W74" s="616">
        <v>5970</v>
      </c>
      <c r="X74" s="617">
        <v>19</v>
      </c>
      <c r="Y74" s="617" t="s">
        <v>178</v>
      </c>
      <c r="Z74" s="617" t="s">
        <v>178</v>
      </c>
      <c r="AA74" s="618">
        <v>34285</v>
      </c>
      <c r="AB74" s="618" t="s">
        <v>164</v>
      </c>
      <c r="AC74" s="618">
        <v>30366.750000000004</v>
      </c>
      <c r="AD74" s="619">
        <v>0.03</v>
      </c>
      <c r="AE74" s="617" t="s">
        <v>343</v>
      </c>
    </row>
    <row r="75" spans="1:31" s="572" customFormat="1">
      <c r="A75" s="570" t="s">
        <v>345</v>
      </c>
      <c r="B75" s="569" t="s">
        <v>278</v>
      </c>
      <c r="C75" s="580">
        <v>15</v>
      </c>
      <c r="D75" s="569" t="s">
        <v>151</v>
      </c>
      <c r="E75" s="569" t="s">
        <v>187</v>
      </c>
      <c r="F75" s="569" t="s">
        <v>271</v>
      </c>
      <c r="G75" s="569">
        <v>2019</v>
      </c>
      <c r="H75" s="569" t="s">
        <v>314</v>
      </c>
      <c r="I75" s="569" t="s">
        <v>337</v>
      </c>
      <c r="J75" s="569" t="s">
        <v>156</v>
      </c>
      <c r="K75" s="569">
        <v>7</v>
      </c>
      <c r="L75" s="569">
        <v>0</v>
      </c>
      <c r="M75" s="569" t="s">
        <v>157</v>
      </c>
      <c r="N75" s="569">
        <v>3</v>
      </c>
      <c r="O75" s="569" t="s">
        <v>157</v>
      </c>
      <c r="P75" s="568" t="s">
        <v>157</v>
      </c>
      <c r="Q75" s="569" t="s">
        <v>316</v>
      </c>
      <c r="R75" s="569">
        <v>6</v>
      </c>
      <c r="S75" s="569" t="s">
        <v>344</v>
      </c>
      <c r="T75" s="569" t="s">
        <v>295</v>
      </c>
      <c r="U75" s="569">
        <v>117.9</v>
      </c>
      <c r="V75" s="569">
        <v>18.600000000000001</v>
      </c>
      <c r="W75" s="620">
        <v>5970</v>
      </c>
      <c r="X75" s="621">
        <v>19</v>
      </c>
      <c r="Y75" s="621" t="s">
        <v>178</v>
      </c>
      <c r="Z75" s="621" t="s">
        <v>178</v>
      </c>
      <c r="AA75" s="622">
        <v>34285</v>
      </c>
      <c r="AB75" s="622" t="s">
        <v>164</v>
      </c>
      <c r="AC75" s="622">
        <v>32700</v>
      </c>
      <c r="AD75" s="623">
        <v>0.01</v>
      </c>
      <c r="AE75" s="621" t="s">
        <v>343</v>
      </c>
    </row>
    <row r="76" spans="1:31" s="572" customFormat="1">
      <c r="A76" s="570" t="s">
        <v>346</v>
      </c>
      <c r="B76" s="573" t="s">
        <v>287</v>
      </c>
      <c r="C76" s="578">
        <v>26</v>
      </c>
      <c r="D76" s="573" t="s">
        <v>151</v>
      </c>
      <c r="E76" s="573" t="s">
        <v>187</v>
      </c>
      <c r="F76" s="573" t="s">
        <v>271</v>
      </c>
      <c r="G76" s="573">
        <v>2019</v>
      </c>
      <c r="H76" s="573" t="s">
        <v>314</v>
      </c>
      <c r="I76" s="573" t="s">
        <v>337</v>
      </c>
      <c r="J76" s="573" t="s">
        <v>156</v>
      </c>
      <c r="K76" s="573">
        <v>7</v>
      </c>
      <c r="L76" s="573">
        <v>0</v>
      </c>
      <c r="M76" s="573" t="s">
        <v>157</v>
      </c>
      <c r="N76" s="573">
        <v>3</v>
      </c>
      <c r="O76" s="573" t="s">
        <v>157</v>
      </c>
      <c r="P76" s="571" t="s">
        <v>157</v>
      </c>
      <c r="Q76" s="573" t="s">
        <v>316</v>
      </c>
      <c r="R76" s="573">
        <v>6</v>
      </c>
      <c r="S76" s="582" t="s">
        <v>344</v>
      </c>
      <c r="T76" s="573" t="s">
        <v>295</v>
      </c>
      <c r="U76" s="573">
        <v>117.9</v>
      </c>
      <c r="V76" s="573">
        <v>18.600000000000001</v>
      </c>
      <c r="W76" s="616">
        <v>5970</v>
      </c>
      <c r="X76" s="617">
        <v>19</v>
      </c>
      <c r="Y76" s="617" t="s">
        <v>178</v>
      </c>
      <c r="Z76" s="617" t="s">
        <v>178</v>
      </c>
      <c r="AA76" s="618">
        <v>34285</v>
      </c>
      <c r="AB76" s="618" t="s">
        <v>164</v>
      </c>
      <c r="AC76" s="618">
        <v>31243</v>
      </c>
      <c r="AD76" s="619">
        <v>0.05</v>
      </c>
      <c r="AE76" s="617" t="s">
        <v>343</v>
      </c>
    </row>
    <row r="77" spans="1:31" s="572" customFormat="1">
      <c r="A77" s="570" t="s">
        <v>347</v>
      </c>
      <c r="B77" s="569" t="s">
        <v>280</v>
      </c>
      <c r="C77" s="580">
        <v>27</v>
      </c>
      <c r="D77" s="569" t="s">
        <v>151</v>
      </c>
      <c r="E77" s="569" t="s">
        <v>187</v>
      </c>
      <c r="F77" s="569" t="s">
        <v>271</v>
      </c>
      <c r="G77" s="569">
        <v>2019</v>
      </c>
      <c r="H77" s="569" t="s">
        <v>314</v>
      </c>
      <c r="I77" s="569" t="s">
        <v>337</v>
      </c>
      <c r="J77" s="569" t="s">
        <v>156</v>
      </c>
      <c r="K77" s="569">
        <v>7</v>
      </c>
      <c r="L77" s="569">
        <v>0</v>
      </c>
      <c r="M77" s="569" t="s">
        <v>157</v>
      </c>
      <c r="N77" s="569">
        <v>3</v>
      </c>
      <c r="O77" s="569" t="s">
        <v>157</v>
      </c>
      <c r="P77" s="568" t="s">
        <v>157</v>
      </c>
      <c r="Q77" s="569" t="s">
        <v>316</v>
      </c>
      <c r="R77" s="569">
        <v>6</v>
      </c>
      <c r="S77" s="569" t="s">
        <v>344</v>
      </c>
      <c r="T77" s="569" t="s">
        <v>295</v>
      </c>
      <c r="U77" s="569">
        <v>117.9</v>
      </c>
      <c r="V77" s="569">
        <v>18.600000000000001</v>
      </c>
      <c r="W77" s="620">
        <v>5970</v>
      </c>
      <c r="X77" s="621">
        <v>19</v>
      </c>
      <c r="Y77" s="621" t="s">
        <v>178</v>
      </c>
      <c r="Z77" s="621" t="s">
        <v>178</v>
      </c>
      <c r="AA77" s="622">
        <v>34285</v>
      </c>
      <c r="AB77" s="622" t="s">
        <v>164</v>
      </c>
      <c r="AC77" s="622">
        <v>30366.750000000004</v>
      </c>
      <c r="AD77" s="623">
        <v>0.03</v>
      </c>
      <c r="AE77" s="621" t="s">
        <v>343</v>
      </c>
    </row>
    <row r="78" spans="1:31" s="572" customFormat="1">
      <c r="A78" s="570" t="s">
        <v>348</v>
      </c>
      <c r="B78" s="573" t="s">
        <v>269</v>
      </c>
      <c r="C78" s="578" t="s">
        <v>270</v>
      </c>
      <c r="D78" s="573" t="s">
        <v>151</v>
      </c>
      <c r="E78" s="573" t="s">
        <v>196</v>
      </c>
      <c r="F78" s="573" t="s">
        <v>271</v>
      </c>
      <c r="G78" s="573">
        <v>2019</v>
      </c>
      <c r="H78" s="573" t="s">
        <v>350</v>
      </c>
      <c r="I78" s="573" t="s">
        <v>351</v>
      </c>
      <c r="J78" s="573" t="s">
        <v>156</v>
      </c>
      <c r="K78" s="573">
        <v>5</v>
      </c>
      <c r="L78" s="573">
        <v>0</v>
      </c>
      <c r="M78" s="573" t="s">
        <v>157</v>
      </c>
      <c r="N78" s="573">
        <v>2</v>
      </c>
      <c r="O78" s="573" t="s">
        <v>157</v>
      </c>
      <c r="P78" s="571" t="s">
        <v>157</v>
      </c>
      <c r="Q78" s="573" t="s">
        <v>352</v>
      </c>
      <c r="R78" s="573">
        <v>4</v>
      </c>
      <c r="S78" s="582" t="s">
        <v>353</v>
      </c>
      <c r="T78" s="573" t="s">
        <v>354</v>
      </c>
      <c r="U78" s="573">
        <v>112.2</v>
      </c>
      <c r="V78" s="573">
        <v>14</v>
      </c>
      <c r="W78" s="616">
        <v>3639</v>
      </c>
      <c r="X78" s="617">
        <v>97</v>
      </c>
      <c r="Y78" s="617" t="s">
        <v>163</v>
      </c>
      <c r="Z78" s="617" t="s">
        <v>178</v>
      </c>
      <c r="AA78" s="618">
        <v>35490</v>
      </c>
      <c r="AB78" s="618" t="s">
        <v>164</v>
      </c>
      <c r="AC78" s="618">
        <v>30889.770833333336</v>
      </c>
      <c r="AD78" s="619">
        <v>0.03</v>
      </c>
      <c r="AE78" s="617" t="s">
        <v>349</v>
      </c>
    </row>
    <row r="79" spans="1:31" s="572" customFormat="1">
      <c r="A79" s="570" t="s">
        <v>355</v>
      </c>
      <c r="B79" s="569" t="s">
        <v>278</v>
      </c>
      <c r="C79" s="580">
        <v>15</v>
      </c>
      <c r="D79" s="569" t="s">
        <v>151</v>
      </c>
      <c r="E79" s="569" t="s">
        <v>196</v>
      </c>
      <c r="F79" s="569" t="s">
        <v>271</v>
      </c>
      <c r="G79" s="569">
        <v>2019</v>
      </c>
      <c r="H79" s="569" t="s">
        <v>350</v>
      </c>
      <c r="I79" s="569" t="s">
        <v>351</v>
      </c>
      <c r="J79" s="569" t="s">
        <v>156</v>
      </c>
      <c r="K79" s="569">
        <v>5</v>
      </c>
      <c r="L79" s="569">
        <v>0</v>
      </c>
      <c r="M79" s="569" t="s">
        <v>157</v>
      </c>
      <c r="N79" s="569">
        <v>2</v>
      </c>
      <c r="O79" s="569" t="s">
        <v>157</v>
      </c>
      <c r="P79" s="568" t="s">
        <v>157</v>
      </c>
      <c r="Q79" s="569" t="s">
        <v>352</v>
      </c>
      <c r="R79" s="569">
        <v>4</v>
      </c>
      <c r="S79" s="569" t="s">
        <v>353</v>
      </c>
      <c r="T79" s="569" t="s">
        <v>357</v>
      </c>
      <c r="U79" s="569">
        <v>112.2</v>
      </c>
      <c r="V79" s="569">
        <v>14</v>
      </c>
      <c r="W79" s="620">
        <v>3639</v>
      </c>
      <c r="X79" s="621">
        <v>97</v>
      </c>
      <c r="Y79" s="621" t="s">
        <v>163</v>
      </c>
      <c r="Z79" s="621" t="s">
        <v>178</v>
      </c>
      <c r="AA79" s="622">
        <v>35490</v>
      </c>
      <c r="AB79" s="622" t="s">
        <v>164</v>
      </c>
      <c r="AC79" s="622">
        <v>32255</v>
      </c>
      <c r="AD79" s="623">
        <v>0.01</v>
      </c>
      <c r="AE79" s="621" t="s">
        <v>356</v>
      </c>
    </row>
    <row r="80" spans="1:31" s="572" customFormat="1">
      <c r="A80" s="570" t="s">
        <v>358</v>
      </c>
      <c r="B80" s="573" t="s">
        <v>287</v>
      </c>
      <c r="C80" s="578">
        <v>26</v>
      </c>
      <c r="D80" s="573" t="s">
        <v>151</v>
      </c>
      <c r="E80" s="573" t="s">
        <v>196</v>
      </c>
      <c r="F80" s="573" t="s">
        <v>271</v>
      </c>
      <c r="G80" s="573">
        <v>2019</v>
      </c>
      <c r="H80" s="573" t="s">
        <v>350</v>
      </c>
      <c r="I80" s="573" t="s">
        <v>351</v>
      </c>
      <c r="J80" s="573" t="s">
        <v>156</v>
      </c>
      <c r="K80" s="573">
        <v>5</v>
      </c>
      <c r="L80" s="573">
        <v>0</v>
      </c>
      <c r="M80" s="573" t="s">
        <v>157</v>
      </c>
      <c r="N80" s="573">
        <v>2</v>
      </c>
      <c r="O80" s="573" t="s">
        <v>157</v>
      </c>
      <c r="P80" s="571" t="s">
        <v>157</v>
      </c>
      <c r="Q80" s="573" t="s">
        <v>352</v>
      </c>
      <c r="R80" s="573">
        <v>4</v>
      </c>
      <c r="S80" s="582" t="s">
        <v>353</v>
      </c>
      <c r="T80" s="573" t="s">
        <v>357</v>
      </c>
      <c r="U80" s="573">
        <v>112.2</v>
      </c>
      <c r="V80" s="573">
        <v>14</v>
      </c>
      <c r="W80" s="616">
        <v>3639</v>
      </c>
      <c r="X80" s="617">
        <v>97</v>
      </c>
      <c r="Y80" s="617" t="s">
        <v>163</v>
      </c>
      <c r="Z80" s="617" t="s">
        <v>178</v>
      </c>
      <c r="AA80" s="618">
        <v>37490</v>
      </c>
      <c r="AB80" s="618" t="s">
        <v>164</v>
      </c>
      <c r="AC80" s="618">
        <v>33904</v>
      </c>
      <c r="AD80" s="619">
        <v>0.05</v>
      </c>
      <c r="AE80" s="617" t="s">
        <v>356</v>
      </c>
    </row>
    <row r="81" spans="1:31" s="572" customFormat="1">
      <c r="A81" s="570" t="s">
        <v>359</v>
      </c>
      <c r="B81" s="569" t="s">
        <v>280</v>
      </c>
      <c r="C81" s="580">
        <v>27</v>
      </c>
      <c r="D81" s="569" t="s">
        <v>151</v>
      </c>
      <c r="E81" s="569" t="s">
        <v>196</v>
      </c>
      <c r="F81" s="569" t="s">
        <v>271</v>
      </c>
      <c r="G81" s="569">
        <v>2019</v>
      </c>
      <c r="H81" s="569" t="s">
        <v>350</v>
      </c>
      <c r="I81" s="569" t="s">
        <v>351</v>
      </c>
      <c r="J81" s="569" t="s">
        <v>156</v>
      </c>
      <c r="K81" s="569">
        <v>5</v>
      </c>
      <c r="L81" s="569">
        <v>0</v>
      </c>
      <c r="M81" s="569" t="s">
        <v>157</v>
      </c>
      <c r="N81" s="569">
        <v>2</v>
      </c>
      <c r="O81" s="569" t="s">
        <v>157</v>
      </c>
      <c r="P81" s="568" t="s">
        <v>157</v>
      </c>
      <c r="Q81" s="569" t="s">
        <v>352</v>
      </c>
      <c r="R81" s="569">
        <v>4</v>
      </c>
      <c r="S81" s="569" t="s">
        <v>353</v>
      </c>
      <c r="T81" s="569" t="s">
        <v>354</v>
      </c>
      <c r="U81" s="569">
        <v>112.2</v>
      </c>
      <c r="V81" s="569">
        <v>14</v>
      </c>
      <c r="W81" s="620">
        <v>3639</v>
      </c>
      <c r="X81" s="621">
        <v>97</v>
      </c>
      <c r="Y81" s="621" t="s">
        <v>163</v>
      </c>
      <c r="Z81" s="621" t="s">
        <v>178</v>
      </c>
      <c r="AA81" s="622">
        <v>35490</v>
      </c>
      <c r="AB81" s="622" t="s">
        <v>164</v>
      </c>
      <c r="AC81" s="622">
        <v>30889.770833333336</v>
      </c>
      <c r="AD81" s="623">
        <v>0.03</v>
      </c>
      <c r="AE81" s="621" t="s">
        <v>349</v>
      </c>
    </row>
    <row r="82" spans="1:31" s="572" customFormat="1">
      <c r="A82" s="570" t="s">
        <v>360</v>
      </c>
      <c r="B82" s="573" t="s">
        <v>269</v>
      </c>
      <c r="C82" s="578" t="s">
        <v>270</v>
      </c>
      <c r="D82" s="573" t="s">
        <v>151</v>
      </c>
      <c r="E82" s="573" t="s">
        <v>196</v>
      </c>
      <c r="F82" s="573" t="s">
        <v>271</v>
      </c>
      <c r="G82" s="573">
        <v>2019</v>
      </c>
      <c r="H82" s="573" t="s">
        <v>350</v>
      </c>
      <c r="I82" s="573" t="s">
        <v>362</v>
      </c>
      <c r="J82" s="573" t="s">
        <v>156</v>
      </c>
      <c r="K82" s="573">
        <v>5</v>
      </c>
      <c r="L82" s="573">
        <v>0</v>
      </c>
      <c r="M82" s="573" t="s">
        <v>157</v>
      </c>
      <c r="N82" s="573">
        <v>2</v>
      </c>
      <c r="O82" s="573" t="s">
        <v>157</v>
      </c>
      <c r="P82" s="571" t="s">
        <v>157</v>
      </c>
      <c r="Q82" s="573" t="s">
        <v>352</v>
      </c>
      <c r="R82" s="573">
        <v>4</v>
      </c>
      <c r="S82" s="582" t="s">
        <v>363</v>
      </c>
      <c r="T82" s="573" t="s">
        <v>364</v>
      </c>
      <c r="U82" s="573">
        <v>112.2</v>
      </c>
      <c r="V82" s="573">
        <v>14</v>
      </c>
      <c r="W82" s="616">
        <v>3639</v>
      </c>
      <c r="X82" s="617">
        <v>42</v>
      </c>
      <c r="Y82" s="617" t="s">
        <v>178</v>
      </c>
      <c r="Z82" s="617" t="s">
        <v>163</v>
      </c>
      <c r="AA82" s="618">
        <v>28450</v>
      </c>
      <c r="AB82" s="618" t="s">
        <v>164</v>
      </c>
      <c r="AC82" s="618">
        <v>25506.4375</v>
      </c>
      <c r="AD82" s="619">
        <v>0.03</v>
      </c>
      <c r="AE82" s="617" t="s">
        <v>361</v>
      </c>
    </row>
    <row r="83" spans="1:31" s="572" customFormat="1">
      <c r="A83" s="570" t="s">
        <v>365</v>
      </c>
      <c r="B83" s="569" t="s">
        <v>278</v>
      </c>
      <c r="C83" s="580">
        <v>15</v>
      </c>
      <c r="D83" s="569" t="s">
        <v>151</v>
      </c>
      <c r="E83" s="569" t="s">
        <v>196</v>
      </c>
      <c r="F83" s="569" t="s">
        <v>271</v>
      </c>
      <c r="G83" s="569">
        <v>2019</v>
      </c>
      <c r="H83" s="569" t="s">
        <v>350</v>
      </c>
      <c r="I83" s="569" t="s">
        <v>362</v>
      </c>
      <c r="J83" s="569" t="s">
        <v>156</v>
      </c>
      <c r="K83" s="569">
        <v>5</v>
      </c>
      <c r="L83" s="569">
        <v>0</v>
      </c>
      <c r="M83" s="569" t="s">
        <v>157</v>
      </c>
      <c r="N83" s="569">
        <v>2</v>
      </c>
      <c r="O83" s="569" t="s">
        <v>157</v>
      </c>
      <c r="P83" s="568" t="s">
        <v>157</v>
      </c>
      <c r="Q83" s="569" t="s">
        <v>352</v>
      </c>
      <c r="R83" s="569">
        <v>4</v>
      </c>
      <c r="S83" s="569" t="s">
        <v>363</v>
      </c>
      <c r="T83" s="569" t="s">
        <v>366</v>
      </c>
      <c r="U83" s="569">
        <v>112.2</v>
      </c>
      <c r="V83" s="569">
        <v>14</v>
      </c>
      <c r="W83" s="620">
        <v>3639</v>
      </c>
      <c r="X83" s="621">
        <v>42</v>
      </c>
      <c r="Y83" s="621" t="s">
        <v>178</v>
      </c>
      <c r="Z83" s="621" t="s">
        <v>163</v>
      </c>
      <c r="AA83" s="622">
        <v>28450</v>
      </c>
      <c r="AB83" s="622" t="s">
        <v>164</v>
      </c>
      <c r="AC83" s="622">
        <v>25780</v>
      </c>
      <c r="AD83" s="623">
        <v>0.01</v>
      </c>
      <c r="AE83" s="621" t="s">
        <v>361</v>
      </c>
    </row>
    <row r="84" spans="1:31" s="572" customFormat="1">
      <c r="A84" s="570" t="s">
        <v>367</v>
      </c>
      <c r="B84" s="573" t="s">
        <v>287</v>
      </c>
      <c r="C84" s="578">
        <v>26</v>
      </c>
      <c r="D84" s="573" t="s">
        <v>151</v>
      </c>
      <c r="E84" s="573" t="s">
        <v>196</v>
      </c>
      <c r="F84" s="573" t="s">
        <v>271</v>
      </c>
      <c r="G84" s="573">
        <v>2019</v>
      </c>
      <c r="H84" s="573" t="s">
        <v>350</v>
      </c>
      <c r="I84" s="573" t="s">
        <v>362</v>
      </c>
      <c r="J84" s="573" t="s">
        <v>156</v>
      </c>
      <c r="K84" s="573">
        <v>5</v>
      </c>
      <c r="L84" s="573">
        <v>0</v>
      </c>
      <c r="M84" s="573" t="s">
        <v>157</v>
      </c>
      <c r="N84" s="573">
        <v>2</v>
      </c>
      <c r="O84" s="573" t="s">
        <v>157</v>
      </c>
      <c r="P84" s="571" t="s">
        <v>157</v>
      </c>
      <c r="Q84" s="573" t="s">
        <v>352</v>
      </c>
      <c r="R84" s="573">
        <v>4</v>
      </c>
      <c r="S84" s="582" t="s">
        <v>363</v>
      </c>
      <c r="T84" s="573" t="s">
        <v>366</v>
      </c>
      <c r="U84" s="573">
        <v>112.2</v>
      </c>
      <c r="V84" s="573">
        <v>14</v>
      </c>
      <c r="W84" s="616">
        <v>3639</v>
      </c>
      <c r="X84" s="617">
        <v>42</v>
      </c>
      <c r="Y84" s="617" t="s">
        <v>178</v>
      </c>
      <c r="Z84" s="617" t="s">
        <v>163</v>
      </c>
      <c r="AA84" s="618">
        <v>28450</v>
      </c>
      <c r="AB84" s="618" t="s">
        <v>164</v>
      </c>
      <c r="AC84" s="618">
        <v>26445</v>
      </c>
      <c r="AD84" s="619">
        <v>0.05</v>
      </c>
      <c r="AE84" s="617" t="s">
        <v>361</v>
      </c>
    </row>
    <row r="85" spans="1:31" s="572" customFormat="1">
      <c r="A85" s="570" t="s">
        <v>368</v>
      </c>
      <c r="B85" s="569" t="s">
        <v>280</v>
      </c>
      <c r="C85" s="580">
        <v>27</v>
      </c>
      <c r="D85" s="569" t="s">
        <v>151</v>
      </c>
      <c r="E85" s="569" t="s">
        <v>196</v>
      </c>
      <c r="F85" s="569" t="s">
        <v>271</v>
      </c>
      <c r="G85" s="569">
        <v>2019</v>
      </c>
      <c r="H85" s="569" t="s">
        <v>350</v>
      </c>
      <c r="I85" s="569" t="s">
        <v>362</v>
      </c>
      <c r="J85" s="569" t="s">
        <v>156</v>
      </c>
      <c r="K85" s="569">
        <v>5</v>
      </c>
      <c r="L85" s="569">
        <v>0</v>
      </c>
      <c r="M85" s="569" t="s">
        <v>157</v>
      </c>
      <c r="N85" s="569">
        <v>2</v>
      </c>
      <c r="O85" s="569" t="s">
        <v>157</v>
      </c>
      <c r="P85" s="568" t="s">
        <v>157</v>
      </c>
      <c r="Q85" s="569" t="s">
        <v>352</v>
      </c>
      <c r="R85" s="569">
        <v>4</v>
      </c>
      <c r="S85" s="569" t="s">
        <v>363</v>
      </c>
      <c r="T85" s="569" t="s">
        <v>364</v>
      </c>
      <c r="U85" s="569">
        <v>112.2</v>
      </c>
      <c r="V85" s="569">
        <v>14</v>
      </c>
      <c r="W85" s="620">
        <v>3639</v>
      </c>
      <c r="X85" s="621">
        <v>42</v>
      </c>
      <c r="Y85" s="621" t="s">
        <v>178</v>
      </c>
      <c r="Z85" s="621" t="s">
        <v>163</v>
      </c>
      <c r="AA85" s="622">
        <v>28450</v>
      </c>
      <c r="AB85" s="622" t="s">
        <v>164</v>
      </c>
      <c r="AC85" s="622">
        <v>25506.4375</v>
      </c>
      <c r="AD85" s="623">
        <v>0.03</v>
      </c>
      <c r="AE85" s="621" t="s">
        <v>361</v>
      </c>
    </row>
    <row r="86" spans="1:31" s="572" customFormat="1">
      <c r="A86" s="570" t="s">
        <v>369</v>
      </c>
      <c r="B86" s="573" t="s">
        <v>269</v>
      </c>
      <c r="C86" s="578" t="s">
        <v>270</v>
      </c>
      <c r="D86" s="573" t="s">
        <v>151</v>
      </c>
      <c r="E86" s="573" t="s">
        <v>196</v>
      </c>
      <c r="F86" s="573" t="s">
        <v>271</v>
      </c>
      <c r="G86" s="573">
        <v>2019</v>
      </c>
      <c r="H86" s="573" t="s">
        <v>350</v>
      </c>
      <c r="I86" s="573" t="s">
        <v>371</v>
      </c>
      <c r="J86" s="573" t="s">
        <v>156</v>
      </c>
      <c r="K86" s="573">
        <v>5</v>
      </c>
      <c r="L86" s="573">
        <v>0</v>
      </c>
      <c r="M86" s="573" t="s">
        <v>157</v>
      </c>
      <c r="N86" s="573">
        <v>2</v>
      </c>
      <c r="O86" s="573">
        <v>72.8</v>
      </c>
      <c r="P86" s="571" t="s">
        <v>157</v>
      </c>
      <c r="Q86" s="573" t="s">
        <v>352</v>
      </c>
      <c r="R86" s="573">
        <v>4</v>
      </c>
      <c r="S86" s="582" t="s">
        <v>372</v>
      </c>
      <c r="T86" s="573" t="s">
        <v>366</v>
      </c>
      <c r="U86" s="573">
        <v>112.2</v>
      </c>
      <c r="V86" s="573">
        <v>14</v>
      </c>
      <c r="W86" s="616">
        <v>3639</v>
      </c>
      <c r="X86" s="617">
        <v>43</v>
      </c>
      <c r="Y86" s="617" t="s">
        <v>178</v>
      </c>
      <c r="Z86" s="617" t="s">
        <v>163</v>
      </c>
      <c r="AA86" s="618">
        <v>32415</v>
      </c>
      <c r="AB86" s="618" t="s">
        <v>164</v>
      </c>
      <c r="AC86" s="618">
        <v>29131.604166666668</v>
      </c>
      <c r="AD86" s="619">
        <v>0.03</v>
      </c>
      <c r="AE86" s="617" t="s">
        <v>370</v>
      </c>
    </row>
    <row r="87" spans="1:31" s="572" customFormat="1">
      <c r="A87" s="570" t="s">
        <v>373</v>
      </c>
      <c r="B87" s="569" t="s">
        <v>280</v>
      </c>
      <c r="C87" s="580">
        <v>27</v>
      </c>
      <c r="D87" s="569" t="s">
        <v>151</v>
      </c>
      <c r="E87" s="569" t="s">
        <v>196</v>
      </c>
      <c r="F87" s="569" t="s">
        <v>271</v>
      </c>
      <c r="G87" s="569">
        <v>2019</v>
      </c>
      <c r="H87" s="569" t="s">
        <v>350</v>
      </c>
      <c r="I87" s="569" t="s">
        <v>371</v>
      </c>
      <c r="J87" s="569" t="s">
        <v>156</v>
      </c>
      <c r="K87" s="569">
        <v>5</v>
      </c>
      <c r="L87" s="569">
        <v>0</v>
      </c>
      <c r="M87" s="569" t="s">
        <v>157</v>
      </c>
      <c r="N87" s="569">
        <v>2</v>
      </c>
      <c r="O87" s="569">
        <v>72.8</v>
      </c>
      <c r="P87" s="568" t="s">
        <v>157</v>
      </c>
      <c r="Q87" s="569" t="s">
        <v>352</v>
      </c>
      <c r="R87" s="569">
        <v>4</v>
      </c>
      <c r="S87" s="569" t="s">
        <v>372</v>
      </c>
      <c r="T87" s="569" t="s">
        <v>366</v>
      </c>
      <c r="U87" s="569">
        <v>112.2</v>
      </c>
      <c r="V87" s="569">
        <v>14</v>
      </c>
      <c r="W87" s="620">
        <v>3639</v>
      </c>
      <c r="X87" s="621">
        <v>43</v>
      </c>
      <c r="Y87" s="621" t="s">
        <v>178</v>
      </c>
      <c r="Z87" s="621" t="s">
        <v>163</v>
      </c>
      <c r="AA87" s="622">
        <v>32415</v>
      </c>
      <c r="AB87" s="622" t="s">
        <v>164</v>
      </c>
      <c r="AC87" s="622">
        <v>29131.604166666668</v>
      </c>
      <c r="AD87" s="623">
        <v>0.03</v>
      </c>
      <c r="AE87" s="621" t="s">
        <v>370</v>
      </c>
    </row>
    <row r="88" spans="1:31" s="572" customFormat="1">
      <c r="A88" s="570" t="s">
        <v>374</v>
      </c>
      <c r="B88" s="573" t="s">
        <v>269</v>
      </c>
      <c r="C88" s="578" t="s">
        <v>270</v>
      </c>
      <c r="D88" s="573" t="s">
        <v>151</v>
      </c>
      <c r="E88" s="573" t="s">
        <v>196</v>
      </c>
      <c r="F88" s="573" t="s">
        <v>271</v>
      </c>
      <c r="G88" s="573">
        <v>2019</v>
      </c>
      <c r="H88" s="573" t="s">
        <v>350</v>
      </c>
      <c r="I88" s="573" t="s">
        <v>376</v>
      </c>
      <c r="J88" s="573" t="s">
        <v>156</v>
      </c>
      <c r="K88" s="573">
        <v>5</v>
      </c>
      <c r="L88" s="573">
        <v>0</v>
      </c>
      <c r="M88" s="573" t="s">
        <v>157</v>
      </c>
      <c r="N88" s="573">
        <v>2</v>
      </c>
      <c r="O88" s="573" t="s">
        <v>157</v>
      </c>
      <c r="P88" s="571" t="s">
        <v>157</v>
      </c>
      <c r="Q88" s="573" t="s">
        <v>352</v>
      </c>
      <c r="R88" s="573">
        <v>4</v>
      </c>
      <c r="S88" s="582" t="s">
        <v>377</v>
      </c>
      <c r="T88" s="573" t="s">
        <v>378</v>
      </c>
      <c r="U88" s="573">
        <v>112.2</v>
      </c>
      <c r="V88" s="573">
        <v>14</v>
      </c>
      <c r="W88" s="616">
        <v>3639</v>
      </c>
      <c r="X88" s="617">
        <v>42</v>
      </c>
      <c r="Y88" s="617" t="s">
        <v>178</v>
      </c>
      <c r="Z88" s="617" t="s">
        <v>163</v>
      </c>
      <c r="AA88" s="618">
        <v>35380</v>
      </c>
      <c r="AB88" s="618" t="s">
        <v>164</v>
      </c>
      <c r="AC88" s="618">
        <v>31841.854166666668</v>
      </c>
      <c r="AD88" s="619">
        <v>0.03</v>
      </c>
      <c r="AE88" s="617" t="s">
        <v>375</v>
      </c>
    </row>
    <row r="89" spans="1:31" s="572" customFormat="1">
      <c r="A89" s="570" t="s">
        <v>379</v>
      </c>
      <c r="B89" s="569" t="s">
        <v>278</v>
      </c>
      <c r="C89" s="580">
        <v>15</v>
      </c>
      <c r="D89" s="569" t="s">
        <v>151</v>
      </c>
      <c r="E89" s="569" t="s">
        <v>196</v>
      </c>
      <c r="F89" s="569" t="s">
        <v>271</v>
      </c>
      <c r="G89" s="569">
        <v>2019</v>
      </c>
      <c r="H89" s="569" t="s">
        <v>350</v>
      </c>
      <c r="I89" s="569" t="s">
        <v>376</v>
      </c>
      <c r="J89" s="569" t="s">
        <v>156</v>
      </c>
      <c r="K89" s="569">
        <v>5</v>
      </c>
      <c r="L89" s="569">
        <v>0</v>
      </c>
      <c r="M89" s="569" t="s">
        <v>157</v>
      </c>
      <c r="N89" s="569">
        <v>2</v>
      </c>
      <c r="O89" s="569" t="s">
        <v>157</v>
      </c>
      <c r="P89" s="568" t="s">
        <v>157</v>
      </c>
      <c r="Q89" s="569" t="s">
        <v>352</v>
      </c>
      <c r="R89" s="569">
        <v>4</v>
      </c>
      <c r="S89" s="569" t="s">
        <v>377</v>
      </c>
      <c r="T89" s="569" t="s">
        <v>380</v>
      </c>
      <c r="U89" s="569">
        <v>112.2</v>
      </c>
      <c r="V89" s="569">
        <v>14</v>
      </c>
      <c r="W89" s="620">
        <v>3639</v>
      </c>
      <c r="X89" s="621">
        <v>42</v>
      </c>
      <c r="Y89" s="621" t="s">
        <v>178</v>
      </c>
      <c r="Z89" s="621" t="s">
        <v>163</v>
      </c>
      <c r="AA89" s="622">
        <v>35380</v>
      </c>
      <c r="AB89" s="622" t="s">
        <v>164</v>
      </c>
      <c r="AC89" s="622">
        <v>32250</v>
      </c>
      <c r="AD89" s="623">
        <v>0.01</v>
      </c>
      <c r="AE89" s="621" t="s">
        <v>375</v>
      </c>
    </row>
    <row r="90" spans="1:31" s="572" customFormat="1">
      <c r="A90" s="570" t="s">
        <v>381</v>
      </c>
      <c r="B90" s="573" t="s">
        <v>287</v>
      </c>
      <c r="C90" s="578">
        <v>26</v>
      </c>
      <c r="D90" s="573" t="s">
        <v>151</v>
      </c>
      <c r="E90" s="573" t="s">
        <v>196</v>
      </c>
      <c r="F90" s="573" t="s">
        <v>271</v>
      </c>
      <c r="G90" s="573">
        <v>2019</v>
      </c>
      <c r="H90" s="573" t="s">
        <v>350</v>
      </c>
      <c r="I90" s="573" t="s">
        <v>376</v>
      </c>
      <c r="J90" s="573" t="s">
        <v>156</v>
      </c>
      <c r="K90" s="573">
        <v>5</v>
      </c>
      <c r="L90" s="573">
        <v>0</v>
      </c>
      <c r="M90" s="573" t="s">
        <v>157</v>
      </c>
      <c r="N90" s="573">
        <v>2</v>
      </c>
      <c r="O90" s="573" t="s">
        <v>157</v>
      </c>
      <c r="P90" s="571" t="s">
        <v>157</v>
      </c>
      <c r="Q90" s="573" t="s">
        <v>352</v>
      </c>
      <c r="R90" s="573">
        <v>4</v>
      </c>
      <c r="S90" s="582" t="s">
        <v>377</v>
      </c>
      <c r="T90" s="573" t="s">
        <v>380</v>
      </c>
      <c r="U90" s="573">
        <v>112.2</v>
      </c>
      <c r="V90" s="573">
        <v>14</v>
      </c>
      <c r="W90" s="616">
        <v>3639</v>
      </c>
      <c r="X90" s="617">
        <v>42</v>
      </c>
      <c r="Y90" s="617" t="s">
        <v>178</v>
      </c>
      <c r="Z90" s="617" t="s">
        <v>163</v>
      </c>
      <c r="AA90" s="618">
        <v>35380</v>
      </c>
      <c r="AB90" s="618" t="s">
        <v>164</v>
      </c>
      <c r="AC90" s="618">
        <v>32989</v>
      </c>
      <c r="AD90" s="619">
        <v>0.05</v>
      </c>
      <c r="AE90" s="617" t="s">
        <v>375</v>
      </c>
    </row>
    <row r="91" spans="1:31" s="572" customFormat="1">
      <c r="A91" s="570" t="s">
        <v>382</v>
      </c>
      <c r="B91" s="569" t="s">
        <v>280</v>
      </c>
      <c r="C91" s="580">
        <v>27</v>
      </c>
      <c r="D91" s="569" t="s">
        <v>151</v>
      </c>
      <c r="E91" s="569" t="s">
        <v>196</v>
      </c>
      <c r="F91" s="569" t="s">
        <v>271</v>
      </c>
      <c r="G91" s="569">
        <v>2019</v>
      </c>
      <c r="H91" s="569" t="s">
        <v>350</v>
      </c>
      <c r="I91" s="569" t="s">
        <v>376</v>
      </c>
      <c r="J91" s="569" t="s">
        <v>156</v>
      </c>
      <c r="K91" s="569">
        <v>5</v>
      </c>
      <c r="L91" s="569">
        <v>0</v>
      </c>
      <c r="M91" s="569" t="s">
        <v>157</v>
      </c>
      <c r="N91" s="569">
        <v>2</v>
      </c>
      <c r="O91" s="569" t="s">
        <v>157</v>
      </c>
      <c r="P91" s="568" t="s">
        <v>157</v>
      </c>
      <c r="Q91" s="569" t="s">
        <v>352</v>
      </c>
      <c r="R91" s="569">
        <v>4</v>
      </c>
      <c r="S91" s="569" t="s">
        <v>377</v>
      </c>
      <c r="T91" s="569" t="s">
        <v>378</v>
      </c>
      <c r="U91" s="569">
        <v>112.2</v>
      </c>
      <c r="V91" s="569">
        <v>14</v>
      </c>
      <c r="W91" s="620">
        <v>3639</v>
      </c>
      <c r="X91" s="621">
        <v>42</v>
      </c>
      <c r="Y91" s="621" t="s">
        <v>178</v>
      </c>
      <c r="Z91" s="621" t="s">
        <v>163</v>
      </c>
      <c r="AA91" s="622">
        <v>35380</v>
      </c>
      <c r="AB91" s="622" t="s">
        <v>164</v>
      </c>
      <c r="AC91" s="622">
        <v>31841.854166666668</v>
      </c>
      <c r="AD91" s="623">
        <v>0.03</v>
      </c>
      <c r="AE91" s="621" t="s">
        <v>375</v>
      </c>
    </row>
    <row r="92" spans="1:31" s="572" customFormat="1">
      <c r="A92" s="570" t="s">
        <v>383</v>
      </c>
      <c r="B92" s="573" t="s">
        <v>269</v>
      </c>
      <c r="C92" s="578" t="s">
        <v>270</v>
      </c>
      <c r="D92" s="573" t="s">
        <v>151</v>
      </c>
      <c r="E92" s="573" t="s">
        <v>196</v>
      </c>
      <c r="F92" s="573" t="s">
        <v>271</v>
      </c>
      <c r="G92" s="573">
        <v>2019</v>
      </c>
      <c r="H92" s="573" t="s">
        <v>350</v>
      </c>
      <c r="I92" s="573" t="s">
        <v>273</v>
      </c>
      <c r="J92" s="573" t="s">
        <v>156</v>
      </c>
      <c r="K92" s="573">
        <v>5</v>
      </c>
      <c r="L92" s="573">
        <v>0</v>
      </c>
      <c r="M92" s="573" t="s">
        <v>157</v>
      </c>
      <c r="N92" s="573">
        <v>2</v>
      </c>
      <c r="O92" s="573" t="s">
        <v>157</v>
      </c>
      <c r="P92" s="571" t="s">
        <v>157</v>
      </c>
      <c r="Q92" s="573" t="s">
        <v>189</v>
      </c>
      <c r="R92" s="573">
        <v>4</v>
      </c>
      <c r="S92" s="582" t="s">
        <v>385</v>
      </c>
      <c r="T92" s="573" t="s">
        <v>276</v>
      </c>
      <c r="U92" s="573">
        <v>112.2</v>
      </c>
      <c r="V92" s="573">
        <v>16.5</v>
      </c>
      <c r="W92" s="616">
        <v>3431</v>
      </c>
      <c r="X92" s="617">
        <v>25</v>
      </c>
      <c r="Y92" s="617" t="s">
        <v>178</v>
      </c>
      <c r="Z92" s="617" t="s">
        <v>178</v>
      </c>
      <c r="AA92" s="618">
        <v>23735</v>
      </c>
      <c r="AB92" s="618" t="s">
        <v>164</v>
      </c>
      <c r="AC92" s="618">
        <v>18518.9375</v>
      </c>
      <c r="AD92" s="619">
        <v>0.03</v>
      </c>
      <c r="AE92" s="617" t="s">
        <v>384</v>
      </c>
    </row>
    <row r="93" spans="1:31" s="572" customFormat="1">
      <c r="A93" s="570" t="s">
        <v>386</v>
      </c>
      <c r="B93" s="569" t="s">
        <v>278</v>
      </c>
      <c r="C93" s="580">
        <v>15</v>
      </c>
      <c r="D93" s="569" t="s">
        <v>151</v>
      </c>
      <c r="E93" s="569" t="s">
        <v>196</v>
      </c>
      <c r="F93" s="569" t="s">
        <v>271</v>
      </c>
      <c r="G93" s="569">
        <v>2019</v>
      </c>
      <c r="H93" s="569" t="s">
        <v>350</v>
      </c>
      <c r="I93" s="569" t="s">
        <v>273</v>
      </c>
      <c r="J93" s="569" t="s">
        <v>156</v>
      </c>
      <c r="K93" s="569">
        <v>5</v>
      </c>
      <c r="L93" s="569">
        <v>0</v>
      </c>
      <c r="M93" s="569" t="s">
        <v>157</v>
      </c>
      <c r="N93" s="569">
        <v>2</v>
      </c>
      <c r="O93" s="569" t="s">
        <v>157</v>
      </c>
      <c r="P93" s="568" t="s">
        <v>157</v>
      </c>
      <c r="Q93" s="569" t="s">
        <v>352</v>
      </c>
      <c r="R93" s="569">
        <v>4</v>
      </c>
      <c r="S93" s="569" t="s">
        <v>385</v>
      </c>
      <c r="T93" s="569" t="s">
        <v>276</v>
      </c>
      <c r="U93" s="569">
        <v>112.2</v>
      </c>
      <c r="V93" s="569">
        <v>17.5</v>
      </c>
      <c r="W93" s="620">
        <v>3431</v>
      </c>
      <c r="X93" s="621">
        <v>27</v>
      </c>
      <c r="Y93" s="621" t="s">
        <v>178</v>
      </c>
      <c r="Z93" s="621" t="s">
        <v>178</v>
      </c>
      <c r="AA93" s="622">
        <v>23735</v>
      </c>
      <c r="AB93" s="622" t="s">
        <v>164</v>
      </c>
      <c r="AC93" s="622">
        <v>18645</v>
      </c>
      <c r="AD93" s="623">
        <v>0.01</v>
      </c>
      <c r="AE93" s="621" t="s">
        <v>384</v>
      </c>
    </row>
    <row r="94" spans="1:31" s="572" customFormat="1">
      <c r="A94" s="570" t="s">
        <v>387</v>
      </c>
      <c r="B94" s="573" t="s">
        <v>287</v>
      </c>
      <c r="C94" s="578">
        <v>26</v>
      </c>
      <c r="D94" s="573" t="s">
        <v>151</v>
      </c>
      <c r="E94" s="573" t="s">
        <v>196</v>
      </c>
      <c r="F94" s="573" t="s">
        <v>271</v>
      </c>
      <c r="G94" s="573">
        <v>2019</v>
      </c>
      <c r="H94" s="573" t="s">
        <v>350</v>
      </c>
      <c r="I94" s="573" t="s">
        <v>273</v>
      </c>
      <c r="J94" s="573" t="s">
        <v>156</v>
      </c>
      <c r="K94" s="573">
        <v>5</v>
      </c>
      <c r="L94" s="573">
        <v>0</v>
      </c>
      <c r="M94" s="573" t="s">
        <v>157</v>
      </c>
      <c r="N94" s="573">
        <v>2</v>
      </c>
      <c r="O94" s="573" t="s">
        <v>157</v>
      </c>
      <c r="P94" s="571" t="s">
        <v>157</v>
      </c>
      <c r="Q94" s="573" t="s">
        <v>352</v>
      </c>
      <c r="R94" s="573">
        <v>4</v>
      </c>
      <c r="S94" s="582" t="s">
        <v>385</v>
      </c>
      <c r="T94" s="573" t="s">
        <v>276</v>
      </c>
      <c r="U94" s="573">
        <v>112.2</v>
      </c>
      <c r="V94" s="573">
        <v>17.5</v>
      </c>
      <c r="W94" s="616">
        <v>3431</v>
      </c>
      <c r="X94" s="617">
        <v>27</v>
      </c>
      <c r="Y94" s="617" t="s">
        <v>178</v>
      </c>
      <c r="Z94" s="617" t="s">
        <v>178</v>
      </c>
      <c r="AA94" s="618">
        <v>23735</v>
      </c>
      <c r="AB94" s="618" t="s">
        <v>164</v>
      </c>
      <c r="AC94" s="618">
        <v>19089</v>
      </c>
      <c r="AD94" s="619">
        <v>0.05</v>
      </c>
      <c r="AE94" s="617" t="s">
        <v>384</v>
      </c>
    </row>
    <row r="95" spans="1:31" s="572" customFormat="1">
      <c r="A95" s="570" t="s">
        <v>388</v>
      </c>
      <c r="B95" s="569" t="s">
        <v>280</v>
      </c>
      <c r="C95" s="580">
        <v>27</v>
      </c>
      <c r="D95" s="569" t="s">
        <v>151</v>
      </c>
      <c r="E95" s="569" t="s">
        <v>196</v>
      </c>
      <c r="F95" s="569" t="s">
        <v>271</v>
      </c>
      <c r="G95" s="569">
        <v>2019</v>
      </c>
      <c r="H95" s="569" t="s">
        <v>350</v>
      </c>
      <c r="I95" s="569" t="s">
        <v>273</v>
      </c>
      <c r="J95" s="569" t="s">
        <v>156</v>
      </c>
      <c r="K95" s="569">
        <v>5</v>
      </c>
      <c r="L95" s="569">
        <v>0</v>
      </c>
      <c r="M95" s="569" t="s">
        <v>157</v>
      </c>
      <c r="N95" s="569">
        <v>2</v>
      </c>
      <c r="O95" s="569" t="s">
        <v>157</v>
      </c>
      <c r="P95" s="568" t="s">
        <v>157</v>
      </c>
      <c r="Q95" s="569" t="s">
        <v>189</v>
      </c>
      <c r="R95" s="569">
        <v>4</v>
      </c>
      <c r="S95" s="569" t="s">
        <v>385</v>
      </c>
      <c r="T95" s="569" t="s">
        <v>276</v>
      </c>
      <c r="U95" s="569">
        <v>112.2</v>
      </c>
      <c r="V95" s="569">
        <v>16.5</v>
      </c>
      <c r="W95" s="620">
        <v>3431</v>
      </c>
      <c r="X95" s="621">
        <v>25</v>
      </c>
      <c r="Y95" s="621" t="s">
        <v>178</v>
      </c>
      <c r="Z95" s="621" t="s">
        <v>178</v>
      </c>
      <c r="AA95" s="622">
        <v>23735</v>
      </c>
      <c r="AB95" s="622" t="s">
        <v>164</v>
      </c>
      <c r="AC95" s="622">
        <v>18518.9375</v>
      </c>
      <c r="AD95" s="623">
        <v>0.03</v>
      </c>
      <c r="AE95" s="621" t="s">
        <v>384</v>
      </c>
    </row>
    <row r="96" spans="1:31" s="572" customFormat="1">
      <c r="A96" s="570" t="s">
        <v>389</v>
      </c>
      <c r="B96" s="573" t="s">
        <v>269</v>
      </c>
      <c r="C96" s="578" t="s">
        <v>270</v>
      </c>
      <c r="D96" s="573" t="s">
        <v>151</v>
      </c>
      <c r="E96" s="573" t="s">
        <v>196</v>
      </c>
      <c r="F96" s="573" t="s">
        <v>271</v>
      </c>
      <c r="G96" s="573">
        <v>2019</v>
      </c>
      <c r="H96" s="573" t="s">
        <v>350</v>
      </c>
      <c r="I96" s="573" t="s">
        <v>330</v>
      </c>
      <c r="J96" s="573" t="s">
        <v>230</v>
      </c>
      <c r="K96" s="573">
        <v>5</v>
      </c>
      <c r="L96" s="573">
        <v>0</v>
      </c>
      <c r="M96" s="573" t="s">
        <v>157</v>
      </c>
      <c r="N96" s="573">
        <v>2</v>
      </c>
      <c r="O96" s="573" t="s">
        <v>157</v>
      </c>
      <c r="P96" s="571" t="s">
        <v>157</v>
      </c>
      <c r="Q96" s="573" t="s">
        <v>352</v>
      </c>
      <c r="R96" s="573">
        <v>4</v>
      </c>
      <c r="S96" s="582" t="s">
        <v>391</v>
      </c>
      <c r="T96" s="573" t="s">
        <v>392</v>
      </c>
      <c r="U96" s="573">
        <v>112.2</v>
      </c>
      <c r="V96" s="573">
        <v>18</v>
      </c>
      <c r="W96" s="616">
        <v>3681</v>
      </c>
      <c r="X96" s="617">
        <v>23</v>
      </c>
      <c r="Y96" s="617" t="s">
        <v>178</v>
      </c>
      <c r="Z96" s="617" t="s">
        <v>178</v>
      </c>
      <c r="AA96" s="618">
        <v>27875</v>
      </c>
      <c r="AB96" s="618" t="s">
        <v>164</v>
      </c>
      <c r="AC96" s="618">
        <v>22893.9375</v>
      </c>
      <c r="AD96" s="619">
        <v>0.03</v>
      </c>
      <c r="AE96" s="617" t="s">
        <v>390</v>
      </c>
    </row>
    <row r="97" spans="1:31" s="572" customFormat="1">
      <c r="A97" s="570" t="s">
        <v>393</v>
      </c>
      <c r="B97" s="569" t="s">
        <v>278</v>
      </c>
      <c r="C97" s="580">
        <v>15</v>
      </c>
      <c r="D97" s="569" t="s">
        <v>151</v>
      </c>
      <c r="E97" s="569" t="s">
        <v>196</v>
      </c>
      <c r="F97" s="569" t="s">
        <v>271</v>
      </c>
      <c r="G97" s="569">
        <v>2019</v>
      </c>
      <c r="H97" s="569" t="s">
        <v>350</v>
      </c>
      <c r="I97" s="569" t="s">
        <v>330</v>
      </c>
      <c r="J97" s="569" t="s">
        <v>230</v>
      </c>
      <c r="K97" s="569">
        <v>5</v>
      </c>
      <c r="L97" s="569">
        <v>0</v>
      </c>
      <c r="M97" s="569" t="s">
        <v>157</v>
      </c>
      <c r="N97" s="569">
        <v>2</v>
      </c>
      <c r="O97" s="569" t="s">
        <v>157</v>
      </c>
      <c r="P97" s="568" t="s">
        <v>157</v>
      </c>
      <c r="Q97" s="569" t="s">
        <v>352</v>
      </c>
      <c r="R97" s="569">
        <v>4</v>
      </c>
      <c r="S97" s="569" t="s">
        <v>391</v>
      </c>
      <c r="T97" s="569" t="s">
        <v>394</v>
      </c>
      <c r="U97" s="569">
        <v>112.2</v>
      </c>
      <c r="V97" s="569">
        <v>17.5</v>
      </c>
      <c r="W97" s="620">
        <v>3681</v>
      </c>
      <c r="X97" s="621">
        <v>23</v>
      </c>
      <c r="Y97" s="621" t="s">
        <v>178</v>
      </c>
      <c r="Z97" s="621" t="s">
        <v>178</v>
      </c>
      <c r="AA97" s="622">
        <v>27875</v>
      </c>
      <c r="AB97" s="622" t="s">
        <v>164</v>
      </c>
      <c r="AC97" s="622">
        <v>23112</v>
      </c>
      <c r="AD97" s="623">
        <v>0.01</v>
      </c>
      <c r="AE97" s="621" t="s">
        <v>390</v>
      </c>
    </row>
    <row r="98" spans="1:31" s="572" customFormat="1">
      <c r="A98" s="570" t="s">
        <v>395</v>
      </c>
      <c r="B98" s="573" t="s">
        <v>287</v>
      </c>
      <c r="C98" s="578">
        <v>26</v>
      </c>
      <c r="D98" s="573" t="s">
        <v>151</v>
      </c>
      <c r="E98" s="573" t="s">
        <v>196</v>
      </c>
      <c r="F98" s="573" t="s">
        <v>271</v>
      </c>
      <c r="G98" s="573">
        <v>2019</v>
      </c>
      <c r="H98" s="573" t="s">
        <v>350</v>
      </c>
      <c r="I98" s="573" t="s">
        <v>330</v>
      </c>
      <c r="J98" s="573" t="s">
        <v>230</v>
      </c>
      <c r="K98" s="573">
        <v>5</v>
      </c>
      <c r="L98" s="573">
        <v>0</v>
      </c>
      <c r="M98" s="573" t="s">
        <v>157</v>
      </c>
      <c r="N98" s="573">
        <v>2</v>
      </c>
      <c r="O98" s="573" t="s">
        <v>157</v>
      </c>
      <c r="P98" s="571" t="s">
        <v>157</v>
      </c>
      <c r="Q98" s="573" t="s">
        <v>352</v>
      </c>
      <c r="R98" s="573">
        <v>4</v>
      </c>
      <c r="S98" s="582" t="s">
        <v>391</v>
      </c>
      <c r="T98" s="573" t="s">
        <v>394</v>
      </c>
      <c r="U98" s="573">
        <v>112.2</v>
      </c>
      <c r="V98" s="573">
        <v>17.5</v>
      </c>
      <c r="W98" s="616">
        <v>3681</v>
      </c>
      <c r="X98" s="617">
        <v>23</v>
      </c>
      <c r="Y98" s="617" t="s">
        <v>178</v>
      </c>
      <c r="Z98" s="617" t="s">
        <v>178</v>
      </c>
      <c r="AA98" s="618">
        <v>28670</v>
      </c>
      <c r="AB98" s="618" t="s">
        <v>164</v>
      </c>
      <c r="AC98" s="618">
        <v>24327</v>
      </c>
      <c r="AD98" s="619">
        <v>0.05</v>
      </c>
      <c r="AE98" s="617" t="s">
        <v>390</v>
      </c>
    </row>
    <row r="99" spans="1:31" s="572" customFormat="1">
      <c r="A99" s="570" t="s">
        <v>396</v>
      </c>
      <c r="B99" s="569" t="s">
        <v>280</v>
      </c>
      <c r="C99" s="580">
        <v>27</v>
      </c>
      <c r="D99" s="569" t="s">
        <v>151</v>
      </c>
      <c r="E99" s="569" t="s">
        <v>196</v>
      </c>
      <c r="F99" s="569" t="s">
        <v>271</v>
      </c>
      <c r="G99" s="569">
        <v>2019</v>
      </c>
      <c r="H99" s="569" t="s">
        <v>350</v>
      </c>
      <c r="I99" s="569" t="s">
        <v>330</v>
      </c>
      <c r="J99" s="569" t="s">
        <v>230</v>
      </c>
      <c r="K99" s="569">
        <v>5</v>
      </c>
      <c r="L99" s="569">
        <v>0</v>
      </c>
      <c r="M99" s="569" t="s">
        <v>157</v>
      </c>
      <c r="N99" s="569">
        <v>2</v>
      </c>
      <c r="O99" s="569" t="s">
        <v>157</v>
      </c>
      <c r="P99" s="568" t="s">
        <v>157</v>
      </c>
      <c r="Q99" s="569" t="s">
        <v>352</v>
      </c>
      <c r="R99" s="569">
        <v>4</v>
      </c>
      <c r="S99" s="569" t="s">
        <v>391</v>
      </c>
      <c r="T99" s="569" t="s">
        <v>392</v>
      </c>
      <c r="U99" s="569">
        <v>112.2</v>
      </c>
      <c r="V99" s="569">
        <v>18</v>
      </c>
      <c r="W99" s="620">
        <v>3681</v>
      </c>
      <c r="X99" s="621">
        <v>23</v>
      </c>
      <c r="Y99" s="621" t="s">
        <v>178</v>
      </c>
      <c r="Z99" s="621" t="s">
        <v>178</v>
      </c>
      <c r="AA99" s="622">
        <v>27875</v>
      </c>
      <c r="AB99" s="622" t="s">
        <v>164</v>
      </c>
      <c r="AC99" s="622">
        <v>22893.9375</v>
      </c>
      <c r="AD99" s="623">
        <v>0.03</v>
      </c>
      <c r="AE99" s="621" t="s">
        <v>390</v>
      </c>
    </row>
    <row r="100" spans="1:31" s="572" customFormat="1">
      <c r="A100" s="570" t="s">
        <v>397</v>
      </c>
      <c r="B100" s="573" t="s">
        <v>269</v>
      </c>
      <c r="C100" s="578" t="s">
        <v>270</v>
      </c>
      <c r="D100" s="573" t="s">
        <v>151</v>
      </c>
      <c r="E100" s="573" t="s">
        <v>196</v>
      </c>
      <c r="F100" s="573" t="s">
        <v>271</v>
      </c>
      <c r="G100" s="573">
        <v>2019</v>
      </c>
      <c r="H100" s="573" t="s">
        <v>350</v>
      </c>
      <c r="I100" s="573" t="s">
        <v>330</v>
      </c>
      <c r="J100" s="573" t="s">
        <v>156</v>
      </c>
      <c r="K100" s="573">
        <v>5</v>
      </c>
      <c r="L100" s="573">
        <v>0</v>
      </c>
      <c r="M100" s="573" t="s">
        <v>157</v>
      </c>
      <c r="N100" s="573">
        <v>2</v>
      </c>
      <c r="O100" s="573" t="s">
        <v>157</v>
      </c>
      <c r="P100" s="571" t="s">
        <v>157</v>
      </c>
      <c r="Q100" s="573" t="s">
        <v>399</v>
      </c>
      <c r="R100" s="573">
        <v>4</v>
      </c>
      <c r="S100" s="582" t="s">
        <v>400</v>
      </c>
      <c r="T100" s="573" t="s">
        <v>392</v>
      </c>
      <c r="U100" s="573">
        <v>112.2</v>
      </c>
      <c r="V100" s="573">
        <v>16.5</v>
      </c>
      <c r="W100" s="616">
        <v>3431</v>
      </c>
      <c r="X100" s="617">
        <v>27</v>
      </c>
      <c r="Y100" s="617" t="s">
        <v>178</v>
      </c>
      <c r="Z100" s="617" t="s">
        <v>178</v>
      </c>
      <c r="AA100" s="618">
        <v>25015</v>
      </c>
      <c r="AB100" s="618" t="s">
        <v>164</v>
      </c>
      <c r="AC100" s="618">
        <v>19659.729166666668</v>
      </c>
      <c r="AD100" s="619">
        <v>0.03</v>
      </c>
      <c r="AE100" s="617" t="s">
        <v>398</v>
      </c>
    </row>
    <row r="101" spans="1:31" s="572" customFormat="1">
      <c r="A101" s="570" t="s">
        <v>401</v>
      </c>
      <c r="B101" s="569" t="s">
        <v>269</v>
      </c>
      <c r="C101" s="580" t="s">
        <v>270</v>
      </c>
      <c r="D101" s="569" t="s">
        <v>151</v>
      </c>
      <c r="E101" s="569" t="s">
        <v>196</v>
      </c>
      <c r="F101" s="569" t="s">
        <v>271</v>
      </c>
      <c r="G101" s="569">
        <v>2019</v>
      </c>
      <c r="H101" s="569" t="s">
        <v>350</v>
      </c>
      <c r="I101" s="569" t="s">
        <v>330</v>
      </c>
      <c r="J101" s="569" t="s">
        <v>156</v>
      </c>
      <c r="K101" s="569">
        <v>5</v>
      </c>
      <c r="L101" s="569">
        <v>0</v>
      </c>
      <c r="M101" s="569" t="s">
        <v>157</v>
      </c>
      <c r="N101" s="569">
        <v>2</v>
      </c>
      <c r="O101" s="569" t="s">
        <v>157</v>
      </c>
      <c r="P101" s="568" t="s">
        <v>157</v>
      </c>
      <c r="Q101" s="569" t="s">
        <v>189</v>
      </c>
      <c r="R101" s="569">
        <v>4</v>
      </c>
      <c r="S101" s="569" t="s">
        <v>400</v>
      </c>
      <c r="T101" s="569" t="s">
        <v>392</v>
      </c>
      <c r="U101" s="569">
        <v>112.2</v>
      </c>
      <c r="V101" s="569">
        <v>16.5</v>
      </c>
      <c r="W101" s="620">
        <v>3431</v>
      </c>
      <c r="X101" s="621">
        <v>25</v>
      </c>
      <c r="Y101" s="621" t="s">
        <v>178</v>
      </c>
      <c r="Z101" s="621" t="s">
        <v>178</v>
      </c>
      <c r="AA101" s="622">
        <v>25015</v>
      </c>
      <c r="AB101" s="622" t="s">
        <v>164</v>
      </c>
      <c r="AC101" s="622">
        <v>19659.729166666668</v>
      </c>
      <c r="AD101" s="623">
        <v>0.03</v>
      </c>
      <c r="AE101" s="621" t="s">
        <v>402</v>
      </c>
    </row>
    <row r="102" spans="1:31" s="572" customFormat="1">
      <c r="A102" s="570" t="s">
        <v>403</v>
      </c>
      <c r="B102" s="573" t="s">
        <v>278</v>
      </c>
      <c r="C102" s="578">
        <v>15</v>
      </c>
      <c r="D102" s="573" t="s">
        <v>151</v>
      </c>
      <c r="E102" s="573" t="s">
        <v>196</v>
      </c>
      <c r="F102" s="573" t="s">
        <v>271</v>
      </c>
      <c r="G102" s="573">
        <v>2019</v>
      </c>
      <c r="H102" s="573" t="s">
        <v>350</v>
      </c>
      <c r="I102" s="573" t="s">
        <v>330</v>
      </c>
      <c r="J102" s="573" t="s">
        <v>156</v>
      </c>
      <c r="K102" s="573">
        <v>5</v>
      </c>
      <c r="L102" s="573">
        <v>0</v>
      </c>
      <c r="M102" s="573" t="s">
        <v>157</v>
      </c>
      <c r="N102" s="573">
        <v>2</v>
      </c>
      <c r="O102" s="573" t="s">
        <v>157</v>
      </c>
      <c r="P102" s="571" t="s">
        <v>157</v>
      </c>
      <c r="Q102" s="573" t="s">
        <v>399</v>
      </c>
      <c r="R102" s="573">
        <v>4</v>
      </c>
      <c r="S102" s="582" t="s">
        <v>400</v>
      </c>
      <c r="T102" s="573" t="s">
        <v>295</v>
      </c>
      <c r="U102" s="573">
        <v>112.2</v>
      </c>
      <c r="V102" s="573">
        <v>16.5</v>
      </c>
      <c r="W102" s="616">
        <v>3431</v>
      </c>
      <c r="X102" s="617">
        <v>27</v>
      </c>
      <c r="Y102" s="617" t="s">
        <v>178</v>
      </c>
      <c r="Z102" s="617" t="s">
        <v>178</v>
      </c>
      <c r="AA102" s="618">
        <v>25015</v>
      </c>
      <c r="AB102" s="618" t="s">
        <v>164</v>
      </c>
      <c r="AC102" s="618">
        <v>19800</v>
      </c>
      <c r="AD102" s="619">
        <v>0.01</v>
      </c>
      <c r="AE102" s="617" t="s">
        <v>398</v>
      </c>
    </row>
    <row r="103" spans="1:31" s="572" customFormat="1">
      <c r="A103" s="570" t="s">
        <v>404</v>
      </c>
      <c r="B103" s="569" t="s">
        <v>287</v>
      </c>
      <c r="C103" s="580">
        <v>26</v>
      </c>
      <c r="D103" s="569" t="s">
        <v>151</v>
      </c>
      <c r="E103" s="569" t="s">
        <v>196</v>
      </c>
      <c r="F103" s="569" t="s">
        <v>271</v>
      </c>
      <c r="G103" s="569">
        <v>2019</v>
      </c>
      <c r="H103" s="569" t="s">
        <v>350</v>
      </c>
      <c r="I103" s="569" t="s">
        <v>330</v>
      </c>
      <c r="J103" s="569" t="s">
        <v>156</v>
      </c>
      <c r="K103" s="569">
        <v>5</v>
      </c>
      <c r="L103" s="569">
        <v>0</v>
      </c>
      <c r="M103" s="569" t="s">
        <v>157</v>
      </c>
      <c r="N103" s="569">
        <v>2</v>
      </c>
      <c r="O103" s="569" t="s">
        <v>157</v>
      </c>
      <c r="P103" s="568" t="s">
        <v>157</v>
      </c>
      <c r="Q103" s="569" t="s">
        <v>399</v>
      </c>
      <c r="R103" s="569">
        <v>4</v>
      </c>
      <c r="S103" s="569" t="s">
        <v>400</v>
      </c>
      <c r="T103" s="569" t="s">
        <v>295</v>
      </c>
      <c r="U103" s="569">
        <v>112.2</v>
      </c>
      <c r="V103" s="569">
        <v>16.5</v>
      </c>
      <c r="W103" s="620">
        <v>3431</v>
      </c>
      <c r="X103" s="621">
        <v>27</v>
      </c>
      <c r="Y103" s="621" t="s">
        <v>178</v>
      </c>
      <c r="Z103" s="621" t="s">
        <v>178</v>
      </c>
      <c r="AA103" s="622">
        <v>25015</v>
      </c>
      <c r="AB103" s="622" t="s">
        <v>164</v>
      </c>
      <c r="AC103" s="622">
        <v>20260</v>
      </c>
      <c r="AD103" s="623">
        <v>0.05</v>
      </c>
      <c r="AE103" s="621" t="s">
        <v>398</v>
      </c>
    </row>
    <row r="104" spans="1:31" s="572" customFormat="1">
      <c r="A104" s="570" t="s">
        <v>405</v>
      </c>
      <c r="B104" s="573" t="s">
        <v>280</v>
      </c>
      <c r="C104" s="578">
        <v>27</v>
      </c>
      <c r="D104" s="573" t="s">
        <v>151</v>
      </c>
      <c r="E104" s="573" t="s">
        <v>196</v>
      </c>
      <c r="F104" s="573" t="s">
        <v>271</v>
      </c>
      <c r="G104" s="573">
        <v>2019</v>
      </c>
      <c r="H104" s="573" t="s">
        <v>350</v>
      </c>
      <c r="I104" s="573" t="s">
        <v>330</v>
      </c>
      <c r="J104" s="573" t="s">
        <v>156</v>
      </c>
      <c r="K104" s="573">
        <v>5</v>
      </c>
      <c r="L104" s="573">
        <v>0</v>
      </c>
      <c r="M104" s="573" t="s">
        <v>157</v>
      </c>
      <c r="N104" s="573">
        <v>2</v>
      </c>
      <c r="O104" s="573" t="s">
        <v>157</v>
      </c>
      <c r="P104" s="571" t="s">
        <v>157</v>
      </c>
      <c r="Q104" s="573" t="s">
        <v>399</v>
      </c>
      <c r="R104" s="573">
        <v>4</v>
      </c>
      <c r="S104" s="582" t="s">
        <v>400</v>
      </c>
      <c r="T104" s="573" t="s">
        <v>392</v>
      </c>
      <c r="U104" s="573">
        <v>112.2</v>
      </c>
      <c r="V104" s="573">
        <v>16.5</v>
      </c>
      <c r="W104" s="616">
        <v>3431</v>
      </c>
      <c r="X104" s="617">
        <v>27</v>
      </c>
      <c r="Y104" s="617" t="s">
        <v>178</v>
      </c>
      <c r="Z104" s="617" t="s">
        <v>178</v>
      </c>
      <c r="AA104" s="618">
        <v>25015</v>
      </c>
      <c r="AB104" s="618" t="s">
        <v>164</v>
      </c>
      <c r="AC104" s="618">
        <v>19659.729166666668</v>
      </c>
      <c r="AD104" s="619">
        <v>0.03</v>
      </c>
      <c r="AE104" s="617" t="s">
        <v>398</v>
      </c>
    </row>
    <row r="105" spans="1:31" s="572" customFormat="1">
      <c r="A105" s="570" t="s">
        <v>406</v>
      </c>
      <c r="B105" s="569" t="s">
        <v>280</v>
      </c>
      <c r="C105" s="580">
        <v>27</v>
      </c>
      <c r="D105" s="569" t="s">
        <v>151</v>
      </c>
      <c r="E105" s="569" t="s">
        <v>196</v>
      </c>
      <c r="F105" s="569" t="s">
        <v>271</v>
      </c>
      <c r="G105" s="569">
        <v>2019</v>
      </c>
      <c r="H105" s="569" t="s">
        <v>350</v>
      </c>
      <c r="I105" s="569" t="s">
        <v>330</v>
      </c>
      <c r="J105" s="569" t="s">
        <v>156</v>
      </c>
      <c r="K105" s="569">
        <v>5</v>
      </c>
      <c r="L105" s="569">
        <v>0</v>
      </c>
      <c r="M105" s="569" t="s">
        <v>157</v>
      </c>
      <c r="N105" s="569">
        <v>2</v>
      </c>
      <c r="O105" s="569" t="s">
        <v>157</v>
      </c>
      <c r="P105" s="568" t="s">
        <v>157</v>
      </c>
      <c r="Q105" s="569" t="s">
        <v>189</v>
      </c>
      <c r="R105" s="569">
        <v>4</v>
      </c>
      <c r="S105" s="569" t="s">
        <v>400</v>
      </c>
      <c r="T105" s="569" t="s">
        <v>392</v>
      </c>
      <c r="U105" s="569">
        <v>112.2</v>
      </c>
      <c r="V105" s="569">
        <v>16.5</v>
      </c>
      <c r="W105" s="620">
        <v>3431</v>
      </c>
      <c r="X105" s="621">
        <v>25</v>
      </c>
      <c r="Y105" s="621" t="s">
        <v>178</v>
      </c>
      <c r="Z105" s="621" t="s">
        <v>178</v>
      </c>
      <c r="AA105" s="622">
        <v>25015</v>
      </c>
      <c r="AB105" s="622" t="s">
        <v>164</v>
      </c>
      <c r="AC105" s="622">
        <v>19659.729166666668</v>
      </c>
      <c r="AD105" s="623">
        <v>0.03</v>
      </c>
      <c r="AE105" s="621" t="s">
        <v>402</v>
      </c>
    </row>
    <row r="106" spans="1:31" s="572" customFormat="1">
      <c r="A106" s="570" t="s">
        <v>407</v>
      </c>
      <c r="B106" s="573" t="s">
        <v>269</v>
      </c>
      <c r="C106" s="578" t="s">
        <v>270</v>
      </c>
      <c r="D106" s="573" t="s">
        <v>151</v>
      </c>
      <c r="E106" s="573" t="s">
        <v>196</v>
      </c>
      <c r="F106" s="573" t="s">
        <v>271</v>
      </c>
      <c r="G106" s="573">
        <v>2019</v>
      </c>
      <c r="H106" s="573" t="s">
        <v>350</v>
      </c>
      <c r="I106" s="573" t="s">
        <v>409</v>
      </c>
      <c r="J106" s="573" t="s">
        <v>156</v>
      </c>
      <c r="K106" s="573">
        <v>5</v>
      </c>
      <c r="L106" s="573">
        <v>0</v>
      </c>
      <c r="M106" s="573" t="s">
        <v>157</v>
      </c>
      <c r="N106" s="573">
        <v>2</v>
      </c>
      <c r="O106" s="573" t="s">
        <v>157</v>
      </c>
      <c r="P106" s="571" t="s">
        <v>157</v>
      </c>
      <c r="Q106" s="573" t="s">
        <v>410</v>
      </c>
      <c r="R106" s="573">
        <v>4</v>
      </c>
      <c r="S106" s="582" t="s">
        <v>411</v>
      </c>
      <c r="T106" s="573" t="s">
        <v>310</v>
      </c>
      <c r="U106" s="573">
        <v>112.2</v>
      </c>
      <c r="V106" s="573">
        <v>17.5</v>
      </c>
      <c r="W106" s="616">
        <v>3431</v>
      </c>
      <c r="X106" s="617">
        <v>27</v>
      </c>
      <c r="Y106" s="617" t="s">
        <v>178</v>
      </c>
      <c r="Z106" s="617" t="s">
        <v>178</v>
      </c>
      <c r="AA106" s="618">
        <v>40910</v>
      </c>
      <c r="AB106" s="618" t="s">
        <v>164</v>
      </c>
      <c r="AC106" s="618">
        <v>34813.895833333328</v>
      </c>
      <c r="AD106" s="619">
        <v>0.03</v>
      </c>
      <c r="AE106" s="617" t="s">
        <v>408</v>
      </c>
    </row>
    <row r="107" spans="1:31" s="572" customFormat="1">
      <c r="A107" s="570" t="s">
        <v>412</v>
      </c>
      <c r="B107" s="569" t="s">
        <v>278</v>
      </c>
      <c r="C107" s="580">
        <v>15</v>
      </c>
      <c r="D107" s="569" t="s">
        <v>151</v>
      </c>
      <c r="E107" s="569" t="s">
        <v>196</v>
      </c>
      <c r="F107" s="569" t="s">
        <v>271</v>
      </c>
      <c r="G107" s="569">
        <v>2019</v>
      </c>
      <c r="H107" s="569" t="s">
        <v>350</v>
      </c>
      <c r="I107" s="569" t="s">
        <v>409</v>
      </c>
      <c r="J107" s="569" t="s">
        <v>156</v>
      </c>
      <c r="K107" s="569">
        <v>5</v>
      </c>
      <c r="L107" s="569">
        <v>0</v>
      </c>
      <c r="M107" s="569" t="s">
        <v>157</v>
      </c>
      <c r="N107" s="569">
        <v>2</v>
      </c>
      <c r="O107" s="569" t="s">
        <v>157</v>
      </c>
      <c r="P107" s="568" t="s">
        <v>157</v>
      </c>
      <c r="Q107" s="569" t="s">
        <v>352</v>
      </c>
      <c r="R107" s="569">
        <v>4</v>
      </c>
      <c r="S107" s="569" t="s">
        <v>411</v>
      </c>
      <c r="T107" s="569" t="s">
        <v>310</v>
      </c>
      <c r="U107" s="569">
        <v>112.2</v>
      </c>
      <c r="V107" s="569">
        <v>17.5</v>
      </c>
      <c r="W107" s="620">
        <v>3431</v>
      </c>
      <c r="X107" s="621">
        <v>27</v>
      </c>
      <c r="Y107" s="621" t="s">
        <v>178</v>
      </c>
      <c r="Z107" s="621" t="s">
        <v>178</v>
      </c>
      <c r="AA107" s="622">
        <v>40910</v>
      </c>
      <c r="AB107" s="622" t="s">
        <v>164</v>
      </c>
      <c r="AC107" s="622">
        <v>35288</v>
      </c>
      <c r="AD107" s="623">
        <v>0.01</v>
      </c>
      <c r="AE107" s="621" t="s">
        <v>413</v>
      </c>
    </row>
    <row r="108" spans="1:31" s="572" customFormat="1">
      <c r="A108" s="570" t="s">
        <v>414</v>
      </c>
      <c r="B108" s="573" t="s">
        <v>287</v>
      </c>
      <c r="C108" s="578">
        <v>26</v>
      </c>
      <c r="D108" s="573" t="s">
        <v>151</v>
      </c>
      <c r="E108" s="573" t="s">
        <v>196</v>
      </c>
      <c r="F108" s="573" t="s">
        <v>271</v>
      </c>
      <c r="G108" s="573">
        <v>2019</v>
      </c>
      <c r="H108" s="573" t="s">
        <v>350</v>
      </c>
      <c r="I108" s="573" t="s">
        <v>409</v>
      </c>
      <c r="J108" s="573" t="s">
        <v>156</v>
      </c>
      <c r="K108" s="573">
        <v>5</v>
      </c>
      <c r="L108" s="573">
        <v>0</v>
      </c>
      <c r="M108" s="573" t="s">
        <v>157</v>
      </c>
      <c r="N108" s="573">
        <v>2</v>
      </c>
      <c r="O108" s="573" t="s">
        <v>157</v>
      </c>
      <c r="P108" s="571" t="s">
        <v>157</v>
      </c>
      <c r="Q108" s="573" t="s">
        <v>352</v>
      </c>
      <c r="R108" s="573">
        <v>4</v>
      </c>
      <c r="S108" s="582" t="s">
        <v>411</v>
      </c>
      <c r="T108" s="573" t="s">
        <v>310</v>
      </c>
      <c r="U108" s="573">
        <v>112.2</v>
      </c>
      <c r="V108" s="573">
        <v>17.5</v>
      </c>
      <c r="W108" s="616">
        <v>3431</v>
      </c>
      <c r="X108" s="617">
        <v>27</v>
      </c>
      <c r="Y108" s="617" t="s">
        <v>178</v>
      </c>
      <c r="Z108" s="617" t="s">
        <v>178</v>
      </c>
      <c r="AA108" s="618">
        <v>40910</v>
      </c>
      <c r="AB108" s="618" t="s">
        <v>164</v>
      </c>
      <c r="AC108" s="618">
        <v>35804</v>
      </c>
      <c r="AD108" s="619">
        <v>0.05</v>
      </c>
      <c r="AE108" s="617" t="s">
        <v>413</v>
      </c>
    </row>
    <row r="109" spans="1:31" s="572" customFormat="1">
      <c r="A109" s="570" t="s">
        <v>415</v>
      </c>
      <c r="B109" s="569" t="s">
        <v>280</v>
      </c>
      <c r="C109" s="580">
        <v>27</v>
      </c>
      <c r="D109" s="569" t="s">
        <v>151</v>
      </c>
      <c r="E109" s="569" t="s">
        <v>196</v>
      </c>
      <c r="F109" s="569" t="s">
        <v>271</v>
      </c>
      <c r="G109" s="569">
        <v>2019</v>
      </c>
      <c r="H109" s="569" t="s">
        <v>350</v>
      </c>
      <c r="I109" s="569" t="s">
        <v>409</v>
      </c>
      <c r="J109" s="569" t="s">
        <v>156</v>
      </c>
      <c r="K109" s="569">
        <v>5</v>
      </c>
      <c r="L109" s="569">
        <v>0</v>
      </c>
      <c r="M109" s="569" t="s">
        <v>157</v>
      </c>
      <c r="N109" s="569">
        <v>2</v>
      </c>
      <c r="O109" s="569" t="s">
        <v>157</v>
      </c>
      <c r="P109" s="568" t="s">
        <v>157</v>
      </c>
      <c r="Q109" s="569" t="s">
        <v>410</v>
      </c>
      <c r="R109" s="569">
        <v>4</v>
      </c>
      <c r="S109" s="569" t="s">
        <v>411</v>
      </c>
      <c r="T109" s="569" t="s">
        <v>310</v>
      </c>
      <c r="U109" s="569">
        <v>112.2</v>
      </c>
      <c r="V109" s="569">
        <v>17.5</v>
      </c>
      <c r="W109" s="620">
        <v>3431</v>
      </c>
      <c r="X109" s="621">
        <v>27</v>
      </c>
      <c r="Y109" s="621" t="s">
        <v>178</v>
      </c>
      <c r="Z109" s="621" t="s">
        <v>178</v>
      </c>
      <c r="AA109" s="622">
        <v>40910</v>
      </c>
      <c r="AB109" s="622" t="s">
        <v>164</v>
      </c>
      <c r="AC109" s="622">
        <v>34813.895833333328</v>
      </c>
      <c r="AD109" s="623">
        <v>0.03</v>
      </c>
      <c r="AE109" s="621" t="s">
        <v>408</v>
      </c>
    </row>
    <row r="110" spans="1:31" s="572" customFormat="1">
      <c r="A110" s="570" t="s">
        <v>416</v>
      </c>
      <c r="B110" s="573" t="s">
        <v>269</v>
      </c>
      <c r="C110" s="578" t="s">
        <v>270</v>
      </c>
      <c r="D110" s="573" t="s">
        <v>151</v>
      </c>
      <c r="E110" s="573" t="s">
        <v>196</v>
      </c>
      <c r="F110" s="573" t="s">
        <v>271</v>
      </c>
      <c r="G110" s="573">
        <v>2019</v>
      </c>
      <c r="H110" s="573" t="s">
        <v>350</v>
      </c>
      <c r="I110" s="573" t="s">
        <v>418</v>
      </c>
      <c r="J110" s="573" t="s">
        <v>230</v>
      </c>
      <c r="K110" s="573">
        <v>5</v>
      </c>
      <c r="L110" s="573">
        <v>0</v>
      </c>
      <c r="M110" s="573" t="s">
        <v>157</v>
      </c>
      <c r="N110" s="573">
        <v>2</v>
      </c>
      <c r="O110" s="573" t="s">
        <v>157</v>
      </c>
      <c r="P110" s="571" t="s">
        <v>157</v>
      </c>
      <c r="Q110" s="573" t="s">
        <v>352</v>
      </c>
      <c r="R110" s="573">
        <v>4</v>
      </c>
      <c r="S110" s="582" t="s">
        <v>419</v>
      </c>
      <c r="T110" s="573" t="s">
        <v>420</v>
      </c>
      <c r="U110" s="573">
        <v>112.2</v>
      </c>
      <c r="V110" s="573">
        <v>16.5</v>
      </c>
      <c r="W110" s="616">
        <v>3681</v>
      </c>
      <c r="X110" s="617">
        <v>23</v>
      </c>
      <c r="Y110" s="617" t="s">
        <v>178</v>
      </c>
      <c r="Z110" s="617" t="s">
        <v>178</v>
      </c>
      <c r="AA110" s="618">
        <v>37235</v>
      </c>
      <c r="AB110" s="618" t="s">
        <v>164</v>
      </c>
      <c r="AC110" s="618">
        <v>31246.187499999996</v>
      </c>
      <c r="AD110" s="619">
        <v>0.03</v>
      </c>
      <c r="AE110" s="617" t="s">
        <v>417</v>
      </c>
    </row>
    <row r="111" spans="1:31" s="572" customFormat="1">
      <c r="A111" s="570" t="s">
        <v>421</v>
      </c>
      <c r="B111" s="569" t="s">
        <v>278</v>
      </c>
      <c r="C111" s="580">
        <v>15</v>
      </c>
      <c r="D111" s="569" t="s">
        <v>151</v>
      </c>
      <c r="E111" s="569" t="s">
        <v>196</v>
      </c>
      <c r="F111" s="569" t="s">
        <v>271</v>
      </c>
      <c r="G111" s="569">
        <v>2019</v>
      </c>
      <c r="H111" s="569" t="s">
        <v>350</v>
      </c>
      <c r="I111" s="569" t="s">
        <v>418</v>
      </c>
      <c r="J111" s="569" t="s">
        <v>230</v>
      </c>
      <c r="K111" s="569">
        <v>5</v>
      </c>
      <c r="L111" s="569">
        <v>0</v>
      </c>
      <c r="M111" s="569" t="s">
        <v>157</v>
      </c>
      <c r="N111" s="569">
        <v>2</v>
      </c>
      <c r="O111" s="569" t="s">
        <v>157</v>
      </c>
      <c r="P111" s="568" t="s">
        <v>157</v>
      </c>
      <c r="Q111" s="569" t="s">
        <v>352</v>
      </c>
      <c r="R111" s="569">
        <v>4</v>
      </c>
      <c r="S111" s="569" t="s">
        <v>419</v>
      </c>
      <c r="T111" s="569" t="s">
        <v>318</v>
      </c>
      <c r="U111" s="569">
        <v>112.2</v>
      </c>
      <c r="V111" s="569">
        <v>16.5</v>
      </c>
      <c r="W111" s="620">
        <v>3681</v>
      </c>
      <c r="X111" s="621">
        <v>23</v>
      </c>
      <c r="Y111" s="621" t="s">
        <v>178</v>
      </c>
      <c r="Z111" s="621" t="s">
        <v>178</v>
      </c>
      <c r="AA111" s="622">
        <v>37235</v>
      </c>
      <c r="AB111" s="622" t="s">
        <v>164</v>
      </c>
      <c r="AC111" s="622">
        <v>31645</v>
      </c>
      <c r="AD111" s="623">
        <v>0.01</v>
      </c>
      <c r="AE111" s="621" t="s">
        <v>417</v>
      </c>
    </row>
    <row r="112" spans="1:31" s="572" customFormat="1">
      <c r="A112" s="570" t="s">
        <v>422</v>
      </c>
      <c r="B112" s="573" t="s">
        <v>287</v>
      </c>
      <c r="C112" s="578">
        <v>26</v>
      </c>
      <c r="D112" s="573" t="s">
        <v>151</v>
      </c>
      <c r="E112" s="573" t="s">
        <v>196</v>
      </c>
      <c r="F112" s="573" t="s">
        <v>271</v>
      </c>
      <c r="G112" s="573">
        <v>2019</v>
      </c>
      <c r="H112" s="573" t="s">
        <v>350</v>
      </c>
      <c r="I112" s="573" t="s">
        <v>418</v>
      </c>
      <c r="J112" s="573" t="s">
        <v>230</v>
      </c>
      <c r="K112" s="573">
        <v>5</v>
      </c>
      <c r="L112" s="573">
        <v>0</v>
      </c>
      <c r="M112" s="573" t="s">
        <v>157</v>
      </c>
      <c r="N112" s="573">
        <v>2</v>
      </c>
      <c r="O112" s="573" t="s">
        <v>157</v>
      </c>
      <c r="P112" s="571" t="s">
        <v>157</v>
      </c>
      <c r="Q112" s="573" t="s">
        <v>352</v>
      </c>
      <c r="R112" s="573">
        <v>4</v>
      </c>
      <c r="S112" s="582" t="s">
        <v>419</v>
      </c>
      <c r="T112" s="573" t="s">
        <v>318</v>
      </c>
      <c r="U112" s="573">
        <v>112.2</v>
      </c>
      <c r="V112" s="573">
        <v>16.5</v>
      </c>
      <c r="W112" s="616">
        <v>3681</v>
      </c>
      <c r="X112" s="617">
        <v>23</v>
      </c>
      <c r="Y112" s="617" t="s">
        <v>178</v>
      </c>
      <c r="Z112" s="617" t="s">
        <v>178</v>
      </c>
      <c r="AA112" s="618">
        <v>37235</v>
      </c>
      <c r="AB112" s="618" t="s">
        <v>164</v>
      </c>
      <c r="AC112" s="618">
        <v>32144</v>
      </c>
      <c r="AD112" s="619">
        <v>0.05</v>
      </c>
      <c r="AE112" s="617" t="s">
        <v>417</v>
      </c>
    </row>
    <row r="113" spans="1:31" s="572" customFormat="1">
      <c r="A113" s="570" t="s">
        <v>423</v>
      </c>
      <c r="B113" s="569" t="s">
        <v>280</v>
      </c>
      <c r="C113" s="580">
        <v>27</v>
      </c>
      <c r="D113" s="569" t="s">
        <v>151</v>
      </c>
      <c r="E113" s="569" t="s">
        <v>196</v>
      </c>
      <c r="F113" s="569" t="s">
        <v>271</v>
      </c>
      <c r="G113" s="569">
        <v>2019</v>
      </c>
      <c r="H113" s="569" t="s">
        <v>350</v>
      </c>
      <c r="I113" s="569" t="s">
        <v>418</v>
      </c>
      <c r="J113" s="569" t="s">
        <v>230</v>
      </c>
      <c r="K113" s="569">
        <v>5</v>
      </c>
      <c r="L113" s="569">
        <v>0</v>
      </c>
      <c r="M113" s="569" t="s">
        <v>157</v>
      </c>
      <c r="N113" s="569">
        <v>2</v>
      </c>
      <c r="O113" s="569" t="s">
        <v>157</v>
      </c>
      <c r="P113" s="568" t="s">
        <v>157</v>
      </c>
      <c r="Q113" s="569" t="s">
        <v>352</v>
      </c>
      <c r="R113" s="569">
        <v>4</v>
      </c>
      <c r="S113" s="569" t="s">
        <v>419</v>
      </c>
      <c r="T113" s="569" t="s">
        <v>420</v>
      </c>
      <c r="U113" s="569">
        <v>112.2</v>
      </c>
      <c r="V113" s="569">
        <v>16.5</v>
      </c>
      <c r="W113" s="620">
        <v>3681</v>
      </c>
      <c r="X113" s="621">
        <v>23</v>
      </c>
      <c r="Y113" s="621" t="s">
        <v>178</v>
      </c>
      <c r="Z113" s="621" t="s">
        <v>178</v>
      </c>
      <c r="AA113" s="622">
        <v>37235</v>
      </c>
      <c r="AB113" s="622" t="s">
        <v>164</v>
      </c>
      <c r="AC113" s="622">
        <v>31246.187499999996</v>
      </c>
      <c r="AD113" s="623">
        <v>0.03</v>
      </c>
      <c r="AE113" s="621" t="s">
        <v>417</v>
      </c>
    </row>
    <row r="114" spans="1:31" s="572" customFormat="1">
      <c r="A114" s="570" t="s">
        <v>424</v>
      </c>
      <c r="B114" s="573" t="s">
        <v>269</v>
      </c>
      <c r="C114" s="578" t="s">
        <v>270</v>
      </c>
      <c r="D114" s="573" t="s">
        <v>151</v>
      </c>
      <c r="E114" s="573" t="s">
        <v>196</v>
      </c>
      <c r="F114" s="573" t="s">
        <v>271</v>
      </c>
      <c r="G114" s="573">
        <v>2019</v>
      </c>
      <c r="H114" s="573" t="s">
        <v>350</v>
      </c>
      <c r="I114" s="573" t="s">
        <v>418</v>
      </c>
      <c r="J114" s="573" t="s">
        <v>156</v>
      </c>
      <c r="K114" s="573">
        <v>5</v>
      </c>
      <c r="L114" s="573">
        <v>0</v>
      </c>
      <c r="M114" s="573" t="s">
        <v>157</v>
      </c>
      <c r="N114" s="573">
        <v>2</v>
      </c>
      <c r="O114" s="573" t="s">
        <v>157</v>
      </c>
      <c r="P114" s="571" t="s">
        <v>157</v>
      </c>
      <c r="Q114" s="573" t="s">
        <v>352</v>
      </c>
      <c r="R114" s="573">
        <v>4</v>
      </c>
      <c r="S114" s="582" t="s">
        <v>426</v>
      </c>
      <c r="T114" s="573" t="s">
        <v>420</v>
      </c>
      <c r="U114" s="573">
        <v>112.2</v>
      </c>
      <c r="V114" s="573">
        <v>16.5</v>
      </c>
      <c r="W114" s="616">
        <v>3431</v>
      </c>
      <c r="X114" s="617">
        <v>25</v>
      </c>
      <c r="Y114" s="617" t="s">
        <v>178</v>
      </c>
      <c r="Z114" s="617" t="s">
        <v>178</v>
      </c>
      <c r="AA114" s="618">
        <v>35235</v>
      </c>
      <c r="AB114" s="618" t="s">
        <v>164</v>
      </c>
      <c r="AC114" s="618">
        <v>29626.229166666668</v>
      </c>
      <c r="AD114" s="619">
        <v>0.03</v>
      </c>
      <c r="AE114" s="617" t="s">
        <v>425</v>
      </c>
    </row>
    <row r="115" spans="1:31" s="572" customFormat="1">
      <c r="A115" s="570" t="s">
        <v>427</v>
      </c>
      <c r="B115" s="569" t="s">
        <v>278</v>
      </c>
      <c r="C115" s="580">
        <v>15</v>
      </c>
      <c r="D115" s="569" t="s">
        <v>151</v>
      </c>
      <c r="E115" s="569" t="s">
        <v>196</v>
      </c>
      <c r="F115" s="569" t="s">
        <v>271</v>
      </c>
      <c r="G115" s="569">
        <v>2019</v>
      </c>
      <c r="H115" s="569" t="s">
        <v>350</v>
      </c>
      <c r="I115" s="569" t="s">
        <v>418</v>
      </c>
      <c r="J115" s="569" t="s">
        <v>156</v>
      </c>
      <c r="K115" s="569">
        <v>5</v>
      </c>
      <c r="L115" s="569">
        <v>0</v>
      </c>
      <c r="M115" s="569" t="s">
        <v>157</v>
      </c>
      <c r="N115" s="569">
        <v>2</v>
      </c>
      <c r="O115" s="569" t="s">
        <v>157</v>
      </c>
      <c r="P115" s="568" t="s">
        <v>157</v>
      </c>
      <c r="Q115" s="569" t="s">
        <v>352</v>
      </c>
      <c r="R115" s="569">
        <v>4</v>
      </c>
      <c r="S115" s="569" t="s">
        <v>426</v>
      </c>
      <c r="T115" s="569" t="s">
        <v>318</v>
      </c>
      <c r="U115" s="569">
        <v>112.2</v>
      </c>
      <c r="V115" s="569">
        <v>17.5</v>
      </c>
      <c r="W115" s="620">
        <v>3431</v>
      </c>
      <c r="X115" s="621">
        <v>27</v>
      </c>
      <c r="Y115" s="621" t="s">
        <v>178</v>
      </c>
      <c r="Z115" s="621" t="s">
        <v>178</v>
      </c>
      <c r="AA115" s="622">
        <v>35235</v>
      </c>
      <c r="AB115" s="622" t="s">
        <v>164</v>
      </c>
      <c r="AC115" s="622">
        <v>29990</v>
      </c>
      <c r="AD115" s="623">
        <v>0.01</v>
      </c>
      <c r="AE115" s="621" t="s">
        <v>425</v>
      </c>
    </row>
    <row r="116" spans="1:31" s="572" customFormat="1">
      <c r="A116" s="570" t="s">
        <v>428</v>
      </c>
      <c r="B116" s="573" t="s">
        <v>287</v>
      </c>
      <c r="C116" s="578">
        <v>26</v>
      </c>
      <c r="D116" s="573" t="s">
        <v>151</v>
      </c>
      <c r="E116" s="573" t="s">
        <v>196</v>
      </c>
      <c r="F116" s="573" t="s">
        <v>271</v>
      </c>
      <c r="G116" s="573">
        <v>2019</v>
      </c>
      <c r="H116" s="573" t="s">
        <v>350</v>
      </c>
      <c r="I116" s="573" t="s">
        <v>418</v>
      </c>
      <c r="J116" s="573" t="s">
        <v>156</v>
      </c>
      <c r="K116" s="573">
        <v>5</v>
      </c>
      <c r="L116" s="573">
        <v>0</v>
      </c>
      <c r="M116" s="573" t="s">
        <v>157</v>
      </c>
      <c r="N116" s="573">
        <v>2</v>
      </c>
      <c r="O116" s="573" t="s">
        <v>157</v>
      </c>
      <c r="P116" s="571" t="s">
        <v>157</v>
      </c>
      <c r="Q116" s="573" t="s">
        <v>352</v>
      </c>
      <c r="R116" s="573">
        <v>4</v>
      </c>
      <c r="S116" s="582" t="s">
        <v>426</v>
      </c>
      <c r="T116" s="573" t="s">
        <v>318</v>
      </c>
      <c r="U116" s="573">
        <v>112.2</v>
      </c>
      <c r="V116" s="573">
        <v>17.5</v>
      </c>
      <c r="W116" s="616">
        <v>3431</v>
      </c>
      <c r="X116" s="617">
        <v>27</v>
      </c>
      <c r="Y116" s="617" t="s">
        <v>178</v>
      </c>
      <c r="Z116" s="617" t="s">
        <v>178</v>
      </c>
      <c r="AA116" s="618">
        <v>35235</v>
      </c>
      <c r="AB116" s="618" t="s">
        <v>164</v>
      </c>
      <c r="AC116" s="618">
        <v>30483</v>
      </c>
      <c r="AD116" s="619">
        <v>0.05</v>
      </c>
      <c r="AE116" s="617" t="s">
        <v>425</v>
      </c>
    </row>
    <row r="117" spans="1:31" s="572" customFormat="1">
      <c r="A117" s="570" t="s">
        <v>429</v>
      </c>
      <c r="B117" s="569" t="s">
        <v>280</v>
      </c>
      <c r="C117" s="580">
        <v>27</v>
      </c>
      <c r="D117" s="569" t="s">
        <v>151</v>
      </c>
      <c r="E117" s="569" t="s">
        <v>196</v>
      </c>
      <c r="F117" s="569" t="s">
        <v>271</v>
      </c>
      <c r="G117" s="569">
        <v>2019</v>
      </c>
      <c r="H117" s="569" t="s">
        <v>350</v>
      </c>
      <c r="I117" s="569" t="s">
        <v>418</v>
      </c>
      <c r="J117" s="569" t="s">
        <v>156</v>
      </c>
      <c r="K117" s="569">
        <v>5</v>
      </c>
      <c r="L117" s="569">
        <v>0</v>
      </c>
      <c r="M117" s="569" t="s">
        <v>157</v>
      </c>
      <c r="N117" s="569">
        <v>2</v>
      </c>
      <c r="O117" s="569" t="s">
        <v>157</v>
      </c>
      <c r="P117" s="568" t="s">
        <v>157</v>
      </c>
      <c r="Q117" s="569" t="s">
        <v>352</v>
      </c>
      <c r="R117" s="569">
        <v>4</v>
      </c>
      <c r="S117" s="569" t="s">
        <v>426</v>
      </c>
      <c r="T117" s="569" t="s">
        <v>420</v>
      </c>
      <c r="U117" s="569">
        <v>112.2</v>
      </c>
      <c r="V117" s="569">
        <v>16.5</v>
      </c>
      <c r="W117" s="620">
        <v>3431</v>
      </c>
      <c r="X117" s="621">
        <v>25</v>
      </c>
      <c r="Y117" s="621" t="s">
        <v>178</v>
      </c>
      <c r="Z117" s="621" t="s">
        <v>178</v>
      </c>
      <c r="AA117" s="622">
        <v>35235</v>
      </c>
      <c r="AB117" s="622" t="s">
        <v>164</v>
      </c>
      <c r="AC117" s="622">
        <v>29626.229166666668</v>
      </c>
      <c r="AD117" s="623">
        <v>0.03</v>
      </c>
      <c r="AE117" s="621" t="s">
        <v>425</v>
      </c>
    </row>
    <row r="118" spans="1:31" s="572" customFormat="1">
      <c r="A118" s="570" t="s">
        <v>430</v>
      </c>
      <c r="B118" s="573" t="s">
        <v>269</v>
      </c>
      <c r="C118" s="578" t="s">
        <v>270</v>
      </c>
      <c r="D118" s="573" t="s">
        <v>151</v>
      </c>
      <c r="E118" s="573" t="s">
        <v>187</v>
      </c>
      <c r="F118" s="573" t="s">
        <v>271</v>
      </c>
      <c r="G118" s="573">
        <v>2019</v>
      </c>
      <c r="H118" s="573" t="s">
        <v>432</v>
      </c>
      <c r="I118" s="573" t="s">
        <v>315</v>
      </c>
      <c r="J118" s="573" t="s">
        <v>230</v>
      </c>
      <c r="K118" s="573">
        <v>5</v>
      </c>
      <c r="L118" s="573">
        <v>0</v>
      </c>
      <c r="M118" s="573" t="s">
        <v>157</v>
      </c>
      <c r="N118" s="573">
        <v>2</v>
      </c>
      <c r="O118" s="573" t="s">
        <v>157</v>
      </c>
      <c r="P118" s="571" t="s">
        <v>157</v>
      </c>
      <c r="Q118" s="573" t="s">
        <v>316</v>
      </c>
      <c r="R118" s="573">
        <v>6</v>
      </c>
      <c r="S118" s="582" t="s">
        <v>433</v>
      </c>
      <c r="T118" s="573" t="s">
        <v>434</v>
      </c>
      <c r="U118" s="573">
        <v>113</v>
      </c>
      <c r="V118" s="573">
        <v>19</v>
      </c>
      <c r="W118" s="616">
        <v>4140</v>
      </c>
      <c r="X118" s="617">
        <v>19</v>
      </c>
      <c r="Y118" s="617" t="s">
        <v>178</v>
      </c>
      <c r="Z118" s="617" t="s">
        <v>178</v>
      </c>
      <c r="AA118" s="618">
        <v>40155</v>
      </c>
      <c r="AB118" s="618" t="s">
        <v>164</v>
      </c>
      <c r="AC118" s="618">
        <v>37260.604166666672</v>
      </c>
      <c r="AD118" s="619">
        <v>0.03</v>
      </c>
      <c r="AE118" s="617" t="s">
        <v>431</v>
      </c>
    </row>
    <row r="119" spans="1:31" s="572" customFormat="1">
      <c r="A119" s="570" t="s">
        <v>435</v>
      </c>
      <c r="B119" s="569" t="s">
        <v>287</v>
      </c>
      <c r="C119" s="580">
        <v>26</v>
      </c>
      <c r="D119" s="569" t="s">
        <v>151</v>
      </c>
      <c r="E119" s="569" t="s">
        <v>187</v>
      </c>
      <c r="F119" s="569" t="s">
        <v>271</v>
      </c>
      <c r="G119" s="569">
        <v>2019</v>
      </c>
      <c r="H119" s="569" t="s">
        <v>432</v>
      </c>
      <c r="I119" s="569" t="s">
        <v>315</v>
      </c>
      <c r="J119" s="569" t="s">
        <v>230</v>
      </c>
      <c r="K119" s="569">
        <v>5</v>
      </c>
      <c r="L119" s="569">
        <v>0</v>
      </c>
      <c r="M119" s="569" t="s">
        <v>157</v>
      </c>
      <c r="N119" s="569">
        <v>2</v>
      </c>
      <c r="O119" s="569" t="s">
        <v>157</v>
      </c>
      <c r="P119" s="568" t="s">
        <v>157</v>
      </c>
      <c r="Q119" s="569" t="s">
        <v>316</v>
      </c>
      <c r="R119" s="569">
        <v>6</v>
      </c>
      <c r="S119" s="569" t="s">
        <v>433</v>
      </c>
      <c r="T119" s="569" t="s">
        <v>434</v>
      </c>
      <c r="U119" s="569">
        <v>113</v>
      </c>
      <c r="V119" s="569">
        <v>19</v>
      </c>
      <c r="W119" s="620">
        <v>4140</v>
      </c>
      <c r="X119" s="621">
        <v>19</v>
      </c>
      <c r="Y119" s="621" t="s">
        <v>178</v>
      </c>
      <c r="Z119" s="621" t="s">
        <v>178</v>
      </c>
      <c r="AA119" s="622">
        <v>40155</v>
      </c>
      <c r="AB119" s="622" t="s">
        <v>164</v>
      </c>
      <c r="AC119" s="622">
        <v>38174</v>
      </c>
      <c r="AD119" s="623">
        <v>0.05</v>
      </c>
      <c r="AE119" s="621" t="s">
        <v>431</v>
      </c>
    </row>
    <row r="120" spans="1:31" s="572" customFormat="1">
      <c r="A120" s="570" t="s">
        <v>436</v>
      </c>
      <c r="B120" s="573" t="s">
        <v>280</v>
      </c>
      <c r="C120" s="578">
        <v>27</v>
      </c>
      <c r="D120" s="573" t="s">
        <v>151</v>
      </c>
      <c r="E120" s="573" t="s">
        <v>187</v>
      </c>
      <c r="F120" s="573" t="s">
        <v>271</v>
      </c>
      <c r="G120" s="573">
        <v>2019</v>
      </c>
      <c r="H120" s="573" t="s">
        <v>432</v>
      </c>
      <c r="I120" s="573" t="s">
        <v>315</v>
      </c>
      <c r="J120" s="573" t="s">
        <v>230</v>
      </c>
      <c r="K120" s="573">
        <v>5</v>
      </c>
      <c r="L120" s="573">
        <v>0</v>
      </c>
      <c r="M120" s="573" t="s">
        <v>157</v>
      </c>
      <c r="N120" s="573">
        <v>2</v>
      </c>
      <c r="O120" s="573" t="s">
        <v>157</v>
      </c>
      <c r="P120" s="571" t="s">
        <v>157</v>
      </c>
      <c r="Q120" s="573" t="s">
        <v>316</v>
      </c>
      <c r="R120" s="573">
        <v>6</v>
      </c>
      <c r="S120" s="582" t="s">
        <v>433</v>
      </c>
      <c r="T120" s="573" t="s">
        <v>434</v>
      </c>
      <c r="U120" s="573">
        <v>113</v>
      </c>
      <c r="V120" s="573">
        <v>19</v>
      </c>
      <c r="W120" s="616">
        <v>4140</v>
      </c>
      <c r="X120" s="617">
        <v>19</v>
      </c>
      <c r="Y120" s="617" t="s">
        <v>178</v>
      </c>
      <c r="Z120" s="617" t="s">
        <v>178</v>
      </c>
      <c r="AA120" s="618">
        <v>40155</v>
      </c>
      <c r="AB120" s="618" t="s">
        <v>164</v>
      </c>
      <c r="AC120" s="618">
        <v>37260.604166666672</v>
      </c>
      <c r="AD120" s="619">
        <v>0.03</v>
      </c>
      <c r="AE120" s="617" t="s">
        <v>431</v>
      </c>
    </row>
    <row r="121" spans="1:31" s="572" customFormat="1">
      <c r="A121" s="570" t="s">
        <v>437</v>
      </c>
      <c r="B121" s="569" t="s">
        <v>269</v>
      </c>
      <c r="C121" s="580" t="s">
        <v>270</v>
      </c>
      <c r="D121" s="569" t="s">
        <v>151</v>
      </c>
      <c r="E121" s="569" t="s">
        <v>187</v>
      </c>
      <c r="F121" s="569" t="s">
        <v>271</v>
      </c>
      <c r="G121" s="569">
        <v>2019</v>
      </c>
      <c r="H121" s="569" t="s">
        <v>432</v>
      </c>
      <c r="I121" s="569" t="s">
        <v>315</v>
      </c>
      <c r="J121" s="569" t="s">
        <v>156</v>
      </c>
      <c r="K121" s="569">
        <v>5</v>
      </c>
      <c r="L121" s="569">
        <v>0</v>
      </c>
      <c r="M121" s="569" t="s">
        <v>157</v>
      </c>
      <c r="N121" s="569">
        <v>2</v>
      </c>
      <c r="O121" s="569" t="s">
        <v>157</v>
      </c>
      <c r="P121" s="568" t="s">
        <v>157</v>
      </c>
      <c r="Q121" s="569" t="s">
        <v>316</v>
      </c>
      <c r="R121" s="569">
        <v>6</v>
      </c>
      <c r="S121" s="569" t="s">
        <v>439</v>
      </c>
      <c r="T121" s="569" t="s">
        <v>434</v>
      </c>
      <c r="U121" s="569">
        <v>113</v>
      </c>
      <c r="V121" s="569">
        <v>19</v>
      </c>
      <c r="W121" s="620">
        <v>3858</v>
      </c>
      <c r="X121" s="621">
        <v>21</v>
      </c>
      <c r="Y121" s="621" t="s">
        <v>178</v>
      </c>
      <c r="Z121" s="621" t="s">
        <v>178</v>
      </c>
      <c r="AA121" s="622">
        <v>38305</v>
      </c>
      <c r="AB121" s="622" t="s">
        <v>164</v>
      </c>
      <c r="AC121" s="622">
        <v>35569.979166666672</v>
      </c>
      <c r="AD121" s="623">
        <v>0.03</v>
      </c>
      <c r="AE121" s="621" t="s">
        <v>438</v>
      </c>
    </row>
    <row r="122" spans="1:31" s="572" customFormat="1">
      <c r="A122" s="570" t="s">
        <v>440</v>
      </c>
      <c r="B122" s="573" t="s">
        <v>287</v>
      </c>
      <c r="C122" s="578">
        <v>26</v>
      </c>
      <c r="D122" s="573" t="s">
        <v>151</v>
      </c>
      <c r="E122" s="573" t="s">
        <v>187</v>
      </c>
      <c r="F122" s="573" t="s">
        <v>271</v>
      </c>
      <c r="G122" s="573">
        <v>2019</v>
      </c>
      <c r="H122" s="573" t="s">
        <v>432</v>
      </c>
      <c r="I122" s="573" t="s">
        <v>315</v>
      </c>
      <c r="J122" s="573" t="s">
        <v>156</v>
      </c>
      <c r="K122" s="573">
        <v>5</v>
      </c>
      <c r="L122" s="573">
        <v>0</v>
      </c>
      <c r="M122" s="573" t="s">
        <v>157</v>
      </c>
      <c r="N122" s="573">
        <v>2</v>
      </c>
      <c r="O122" s="573" t="s">
        <v>157</v>
      </c>
      <c r="P122" s="571" t="s">
        <v>157</v>
      </c>
      <c r="Q122" s="573" t="s">
        <v>316</v>
      </c>
      <c r="R122" s="573">
        <v>6</v>
      </c>
      <c r="S122" s="582" t="s">
        <v>439</v>
      </c>
      <c r="T122" s="573" t="s">
        <v>434</v>
      </c>
      <c r="U122" s="573">
        <v>113</v>
      </c>
      <c r="V122" s="573">
        <v>19</v>
      </c>
      <c r="W122" s="616">
        <v>3858</v>
      </c>
      <c r="X122" s="617">
        <v>21</v>
      </c>
      <c r="Y122" s="617" t="s">
        <v>178</v>
      </c>
      <c r="Z122" s="617" t="s">
        <v>178</v>
      </c>
      <c r="AA122" s="618">
        <v>38305</v>
      </c>
      <c r="AB122" s="618" t="s">
        <v>164</v>
      </c>
      <c r="AC122" s="618">
        <v>36431</v>
      </c>
      <c r="AD122" s="619">
        <v>0.05</v>
      </c>
      <c r="AE122" s="617" t="s">
        <v>438</v>
      </c>
    </row>
    <row r="123" spans="1:31" s="572" customFormat="1">
      <c r="A123" s="570" t="s">
        <v>441</v>
      </c>
      <c r="B123" s="569" t="s">
        <v>280</v>
      </c>
      <c r="C123" s="580">
        <v>27</v>
      </c>
      <c r="D123" s="569" t="s">
        <v>151</v>
      </c>
      <c r="E123" s="569" t="s">
        <v>187</v>
      </c>
      <c r="F123" s="569" t="s">
        <v>271</v>
      </c>
      <c r="G123" s="569">
        <v>2019</v>
      </c>
      <c r="H123" s="569" t="s">
        <v>432</v>
      </c>
      <c r="I123" s="569" t="s">
        <v>315</v>
      </c>
      <c r="J123" s="569" t="s">
        <v>156</v>
      </c>
      <c r="K123" s="569">
        <v>5</v>
      </c>
      <c r="L123" s="569">
        <v>0</v>
      </c>
      <c r="M123" s="569" t="s">
        <v>157</v>
      </c>
      <c r="N123" s="569">
        <v>2</v>
      </c>
      <c r="O123" s="569" t="s">
        <v>157</v>
      </c>
      <c r="P123" s="568" t="s">
        <v>157</v>
      </c>
      <c r="Q123" s="569" t="s">
        <v>316</v>
      </c>
      <c r="R123" s="569">
        <v>6</v>
      </c>
      <c r="S123" s="569" t="s">
        <v>439</v>
      </c>
      <c r="T123" s="569" t="s">
        <v>434</v>
      </c>
      <c r="U123" s="569">
        <v>113</v>
      </c>
      <c r="V123" s="569">
        <v>19</v>
      </c>
      <c r="W123" s="620">
        <v>3858</v>
      </c>
      <c r="X123" s="621">
        <v>21</v>
      </c>
      <c r="Y123" s="621" t="s">
        <v>178</v>
      </c>
      <c r="Z123" s="621" t="s">
        <v>178</v>
      </c>
      <c r="AA123" s="622">
        <v>38305</v>
      </c>
      <c r="AB123" s="622" t="s">
        <v>164</v>
      </c>
      <c r="AC123" s="622">
        <v>35569.979166666672</v>
      </c>
      <c r="AD123" s="623">
        <v>0.03</v>
      </c>
      <c r="AE123" s="621" t="s">
        <v>438</v>
      </c>
    </row>
    <row r="124" spans="1:31" s="572" customFormat="1">
      <c r="A124" s="570" t="s">
        <v>442</v>
      </c>
      <c r="B124" s="573" t="s">
        <v>269</v>
      </c>
      <c r="C124" s="578" t="s">
        <v>270</v>
      </c>
      <c r="D124" s="573" t="s">
        <v>151</v>
      </c>
      <c r="E124" s="573" t="s">
        <v>187</v>
      </c>
      <c r="F124" s="573" t="s">
        <v>271</v>
      </c>
      <c r="G124" s="573">
        <v>2019</v>
      </c>
      <c r="H124" s="573" t="s">
        <v>432</v>
      </c>
      <c r="I124" s="573" t="s">
        <v>330</v>
      </c>
      <c r="J124" s="573" t="s">
        <v>156</v>
      </c>
      <c r="K124" s="573">
        <v>5</v>
      </c>
      <c r="L124" s="573">
        <v>0</v>
      </c>
      <c r="M124" s="573" t="s">
        <v>157</v>
      </c>
      <c r="N124" s="573">
        <v>2</v>
      </c>
      <c r="O124" s="573" t="s">
        <v>157</v>
      </c>
      <c r="P124" s="571" t="s">
        <v>157</v>
      </c>
      <c r="Q124" s="573" t="s">
        <v>316</v>
      </c>
      <c r="R124" s="573">
        <v>6</v>
      </c>
      <c r="S124" s="582" t="s">
        <v>444</v>
      </c>
      <c r="T124" s="573" t="s">
        <v>276</v>
      </c>
      <c r="U124" s="573">
        <v>112.9</v>
      </c>
      <c r="V124" s="573">
        <v>19</v>
      </c>
      <c r="W124" s="616">
        <v>3858</v>
      </c>
      <c r="X124" s="617">
        <v>21</v>
      </c>
      <c r="Y124" s="617" t="s">
        <v>178</v>
      </c>
      <c r="Z124" s="617" t="s">
        <v>178</v>
      </c>
      <c r="AA124" s="618">
        <v>28795</v>
      </c>
      <c r="AB124" s="618" t="s">
        <v>164</v>
      </c>
      <c r="AC124" s="618">
        <v>26876.229166666668</v>
      </c>
      <c r="AD124" s="619">
        <v>0.03</v>
      </c>
      <c r="AE124" s="617" t="s">
        <v>443</v>
      </c>
    </row>
    <row r="125" spans="1:31" s="572" customFormat="1">
      <c r="A125" s="570" t="s">
        <v>445</v>
      </c>
      <c r="B125" s="569" t="s">
        <v>287</v>
      </c>
      <c r="C125" s="580">
        <v>26</v>
      </c>
      <c r="D125" s="569" t="s">
        <v>151</v>
      </c>
      <c r="E125" s="569" t="s">
        <v>187</v>
      </c>
      <c r="F125" s="569" t="s">
        <v>271</v>
      </c>
      <c r="G125" s="569">
        <v>2019</v>
      </c>
      <c r="H125" s="569" t="s">
        <v>432</v>
      </c>
      <c r="I125" s="569" t="s">
        <v>330</v>
      </c>
      <c r="J125" s="569" t="s">
        <v>156</v>
      </c>
      <c r="K125" s="569">
        <v>5</v>
      </c>
      <c r="L125" s="569">
        <v>0</v>
      </c>
      <c r="M125" s="569" t="s">
        <v>157</v>
      </c>
      <c r="N125" s="569">
        <v>2</v>
      </c>
      <c r="O125" s="569" t="s">
        <v>157</v>
      </c>
      <c r="P125" s="568" t="s">
        <v>157</v>
      </c>
      <c r="Q125" s="569" t="s">
        <v>316</v>
      </c>
      <c r="R125" s="569">
        <v>6</v>
      </c>
      <c r="S125" s="569" t="s">
        <v>444</v>
      </c>
      <c r="T125" s="569" t="s">
        <v>276</v>
      </c>
      <c r="U125" s="569">
        <v>112.9</v>
      </c>
      <c r="V125" s="569">
        <v>19</v>
      </c>
      <c r="W125" s="620">
        <v>3858</v>
      </c>
      <c r="X125" s="621">
        <v>21</v>
      </c>
      <c r="Y125" s="621" t="s">
        <v>178</v>
      </c>
      <c r="Z125" s="621" t="s">
        <v>178</v>
      </c>
      <c r="AA125" s="622">
        <v>28795</v>
      </c>
      <c r="AB125" s="622" t="s">
        <v>164</v>
      </c>
      <c r="AC125" s="622">
        <v>27472</v>
      </c>
      <c r="AD125" s="623">
        <v>0.05</v>
      </c>
      <c r="AE125" s="621" t="s">
        <v>443</v>
      </c>
    </row>
    <row r="126" spans="1:31" s="572" customFormat="1">
      <c r="A126" s="570" t="s">
        <v>446</v>
      </c>
      <c r="B126" s="573" t="s">
        <v>280</v>
      </c>
      <c r="C126" s="578">
        <v>27</v>
      </c>
      <c r="D126" s="573" t="s">
        <v>151</v>
      </c>
      <c r="E126" s="573" t="s">
        <v>187</v>
      </c>
      <c r="F126" s="573" t="s">
        <v>271</v>
      </c>
      <c r="G126" s="573">
        <v>2019</v>
      </c>
      <c r="H126" s="573" t="s">
        <v>432</v>
      </c>
      <c r="I126" s="573" t="s">
        <v>330</v>
      </c>
      <c r="J126" s="573" t="s">
        <v>156</v>
      </c>
      <c r="K126" s="573">
        <v>5</v>
      </c>
      <c r="L126" s="573">
        <v>0</v>
      </c>
      <c r="M126" s="573" t="s">
        <v>157</v>
      </c>
      <c r="N126" s="573">
        <v>2</v>
      </c>
      <c r="O126" s="573" t="s">
        <v>157</v>
      </c>
      <c r="P126" s="571" t="s">
        <v>157</v>
      </c>
      <c r="Q126" s="573" t="s">
        <v>316</v>
      </c>
      <c r="R126" s="573">
        <v>6</v>
      </c>
      <c r="S126" s="582" t="s">
        <v>444</v>
      </c>
      <c r="T126" s="573" t="s">
        <v>276</v>
      </c>
      <c r="U126" s="573">
        <v>112.9</v>
      </c>
      <c r="V126" s="573">
        <v>19</v>
      </c>
      <c r="W126" s="616">
        <v>3858</v>
      </c>
      <c r="X126" s="617">
        <v>21</v>
      </c>
      <c r="Y126" s="617" t="s">
        <v>178</v>
      </c>
      <c r="Z126" s="617" t="s">
        <v>178</v>
      </c>
      <c r="AA126" s="618">
        <v>28795</v>
      </c>
      <c r="AB126" s="618" t="s">
        <v>164</v>
      </c>
      <c r="AC126" s="618">
        <v>26876.229166666668</v>
      </c>
      <c r="AD126" s="619">
        <v>0.03</v>
      </c>
      <c r="AE126" s="617" t="s">
        <v>443</v>
      </c>
    </row>
    <row r="127" spans="1:31" s="572" customFormat="1">
      <c r="A127" s="570" t="s">
        <v>447</v>
      </c>
      <c r="B127" s="569" t="s">
        <v>269</v>
      </c>
      <c r="C127" s="580" t="s">
        <v>270</v>
      </c>
      <c r="D127" s="569" t="s">
        <v>151</v>
      </c>
      <c r="E127" s="569" t="s">
        <v>187</v>
      </c>
      <c r="F127" s="569" t="s">
        <v>271</v>
      </c>
      <c r="G127" s="569">
        <v>2019</v>
      </c>
      <c r="H127" s="569" t="s">
        <v>432</v>
      </c>
      <c r="I127" s="569" t="s">
        <v>337</v>
      </c>
      <c r="J127" s="569" t="s">
        <v>230</v>
      </c>
      <c r="K127" s="569">
        <v>5</v>
      </c>
      <c r="L127" s="569">
        <v>0</v>
      </c>
      <c r="M127" s="569" t="s">
        <v>157</v>
      </c>
      <c r="N127" s="569">
        <v>2</v>
      </c>
      <c r="O127" s="569" t="s">
        <v>157</v>
      </c>
      <c r="P127" s="568" t="s">
        <v>157</v>
      </c>
      <c r="Q127" s="569" t="s">
        <v>316</v>
      </c>
      <c r="R127" s="569">
        <v>6</v>
      </c>
      <c r="S127" s="569" t="s">
        <v>449</v>
      </c>
      <c r="T127" s="569" t="s">
        <v>295</v>
      </c>
      <c r="U127" s="569">
        <v>112.9</v>
      </c>
      <c r="V127" s="569">
        <v>19</v>
      </c>
      <c r="W127" s="620">
        <v>4140</v>
      </c>
      <c r="X127" s="621">
        <v>19</v>
      </c>
      <c r="Y127" s="621" t="s">
        <v>450</v>
      </c>
      <c r="Z127" s="621" t="s">
        <v>178</v>
      </c>
      <c r="AA127" s="622">
        <v>33075</v>
      </c>
      <c r="AB127" s="622" t="s">
        <v>164</v>
      </c>
      <c r="AC127" s="622">
        <v>30788.729166666668</v>
      </c>
      <c r="AD127" s="623">
        <v>0.03</v>
      </c>
      <c r="AE127" s="621" t="s">
        <v>448</v>
      </c>
    </row>
    <row r="128" spans="1:31" s="572" customFormat="1">
      <c r="A128" s="570" t="s">
        <v>451</v>
      </c>
      <c r="B128" s="573" t="s">
        <v>287</v>
      </c>
      <c r="C128" s="578">
        <v>26</v>
      </c>
      <c r="D128" s="573" t="s">
        <v>151</v>
      </c>
      <c r="E128" s="573" t="s">
        <v>187</v>
      </c>
      <c r="F128" s="573" t="s">
        <v>271</v>
      </c>
      <c r="G128" s="573">
        <v>2019</v>
      </c>
      <c r="H128" s="573" t="s">
        <v>432</v>
      </c>
      <c r="I128" s="573" t="s">
        <v>337</v>
      </c>
      <c r="J128" s="573" t="s">
        <v>230</v>
      </c>
      <c r="K128" s="573">
        <v>5</v>
      </c>
      <c r="L128" s="573">
        <v>0</v>
      </c>
      <c r="M128" s="573" t="s">
        <v>157</v>
      </c>
      <c r="N128" s="573">
        <v>2</v>
      </c>
      <c r="O128" s="573" t="s">
        <v>157</v>
      </c>
      <c r="P128" s="571" t="s">
        <v>157</v>
      </c>
      <c r="Q128" s="573" t="s">
        <v>316</v>
      </c>
      <c r="R128" s="573">
        <v>6</v>
      </c>
      <c r="S128" s="582" t="s">
        <v>449</v>
      </c>
      <c r="T128" s="573" t="s">
        <v>295</v>
      </c>
      <c r="U128" s="573">
        <v>112.9</v>
      </c>
      <c r="V128" s="573">
        <v>19</v>
      </c>
      <c r="W128" s="616">
        <v>4140</v>
      </c>
      <c r="X128" s="617">
        <v>19</v>
      </c>
      <c r="Y128" s="617" t="s">
        <v>450</v>
      </c>
      <c r="Z128" s="617" t="s">
        <v>178</v>
      </c>
      <c r="AA128" s="618">
        <v>33075</v>
      </c>
      <c r="AB128" s="618" t="s">
        <v>164</v>
      </c>
      <c r="AC128" s="618">
        <v>31504</v>
      </c>
      <c r="AD128" s="619">
        <v>0.05</v>
      </c>
      <c r="AE128" s="617" t="s">
        <v>448</v>
      </c>
    </row>
    <row r="129" spans="1:31" s="572" customFormat="1">
      <c r="A129" s="570" t="s">
        <v>452</v>
      </c>
      <c r="B129" s="569" t="s">
        <v>280</v>
      </c>
      <c r="C129" s="580">
        <v>27</v>
      </c>
      <c r="D129" s="569" t="s">
        <v>151</v>
      </c>
      <c r="E129" s="569" t="s">
        <v>187</v>
      </c>
      <c r="F129" s="569" t="s">
        <v>271</v>
      </c>
      <c r="G129" s="569">
        <v>2019</v>
      </c>
      <c r="H129" s="569" t="s">
        <v>432</v>
      </c>
      <c r="I129" s="569" t="s">
        <v>337</v>
      </c>
      <c r="J129" s="569" t="s">
        <v>230</v>
      </c>
      <c r="K129" s="569">
        <v>5</v>
      </c>
      <c r="L129" s="569">
        <v>0</v>
      </c>
      <c r="M129" s="569" t="s">
        <v>157</v>
      </c>
      <c r="N129" s="569">
        <v>2</v>
      </c>
      <c r="O129" s="569" t="s">
        <v>157</v>
      </c>
      <c r="P129" s="568" t="s">
        <v>157</v>
      </c>
      <c r="Q129" s="569" t="s">
        <v>316</v>
      </c>
      <c r="R129" s="569">
        <v>6</v>
      </c>
      <c r="S129" s="569" t="s">
        <v>449</v>
      </c>
      <c r="T129" s="569" t="s">
        <v>295</v>
      </c>
      <c r="U129" s="569">
        <v>112.9</v>
      </c>
      <c r="V129" s="569">
        <v>19</v>
      </c>
      <c r="W129" s="620">
        <v>4140</v>
      </c>
      <c r="X129" s="621">
        <v>19</v>
      </c>
      <c r="Y129" s="621" t="s">
        <v>450</v>
      </c>
      <c r="Z129" s="621" t="s">
        <v>178</v>
      </c>
      <c r="AA129" s="622">
        <v>33075</v>
      </c>
      <c r="AB129" s="622" t="s">
        <v>164</v>
      </c>
      <c r="AC129" s="622">
        <v>30788.729166666668</v>
      </c>
      <c r="AD129" s="623">
        <v>0.03</v>
      </c>
      <c r="AE129" s="621" t="s">
        <v>448</v>
      </c>
    </row>
    <row r="130" spans="1:31" s="572" customFormat="1">
      <c r="A130" s="570" t="s">
        <v>453</v>
      </c>
      <c r="B130" s="573" t="s">
        <v>269</v>
      </c>
      <c r="C130" s="578" t="s">
        <v>270</v>
      </c>
      <c r="D130" s="573" t="s">
        <v>151</v>
      </c>
      <c r="E130" s="573" t="s">
        <v>187</v>
      </c>
      <c r="F130" s="573" t="s">
        <v>271</v>
      </c>
      <c r="G130" s="573">
        <v>2019</v>
      </c>
      <c r="H130" s="573" t="s">
        <v>432</v>
      </c>
      <c r="I130" s="573" t="s">
        <v>337</v>
      </c>
      <c r="J130" s="573" t="s">
        <v>156</v>
      </c>
      <c r="K130" s="573">
        <v>5</v>
      </c>
      <c r="L130" s="573">
        <v>0</v>
      </c>
      <c r="M130" s="573" t="s">
        <v>157</v>
      </c>
      <c r="N130" s="573">
        <v>2</v>
      </c>
      <c r="O130" s="573" t="s">
        <v>157</v>
      </c>
      <c r="P130" s="571" t="s">
        <v>157</v>
      </c>
      <c r="Q130" s="573" t="s">
        <v>316</v>
      </c>
      <c r="R130" s="573">
        <v>6</v>
      </c>
      <c r="S130" s="582" t="s">
        <v>455</v>
      </c>
      <c r="T130" s="573" t="s">
        <v>295</v>
      </c>
      <c r="U130" s="573">
        <v>112.9</v>
      </c>
      <c r="V130" s="573">
        <v>19</v>
      </c>
      <c r="W130" s="616">
        <v>3858</v>
      </c>
      <c r="X130" s="617">
        <v>21</v>
      </c>
      <c r="Y130" s="617" t="s">
        <v>178</v>
      </c>
      <c r="Z130" s="617" t="s">
        <v>178</v>
      </c>
      <c r="AA130" s="618">
        <v>31225</v>
      </c>
      <c r="AB130" s="618" t="s">
        <v>164</v>
      </c>
      <c r="AC130" s="618">
        <v>29098.104166666668</v>
      </c>
      <c r="AD130" s="619">
        <v>0.03</v>
      </c>
      <c r="AE130" s="617" t="s">
        <v>454</v>
      </c>
    </row>
    <row r="131" spans="1:31" s="572" customFormat="1">
      <c r="A131" s="570" t="s">
        <v>456</v>
      </c>
      <c r="B131" s="569" t="s">
        <v>287</v>
      </c>
      <c r="C131" s="580">
        <v>26</v>
      </c>
      <c r="D131" s="569" t="s">
        <v>151</v>
      </c>
      <c r="E131" s="569" t="s">
        <v>187</v>
      </c>
      <c r="F131" s="569" t="s">
        <v>271</v>
      </c>
      <c r="G131" s="569">
        <v>2019</v>
      </c>
      <c r="H131" s="569" t="s">
        <v>432</v>
      </c>
      <c r="I131" s="569" t="s">
        <v>337</v>
      </c>
      <c r="J131" s="569" t="s">
        <v>156</v>
      </c>
      <c r="K131" s="569">
        <v>5</v>
      </c>
      <c r="L131" s="569">
        <v>0</v>
      </c>
      <c r="M131" s="569" t="s">
        <v>157</v>
      </c>
      <c r="N131" s="569">
        <v>2</v>
      </c>
      <c r="O131" s="569" t="s">
        <v>157</v>
      </c>
      <c r="P131" s="568" t="s">
        <v>157</v>
      </c>
      <c r="Q131" s="569" t="s">
        <v>316</v>
      </c>
      <c r="R131" s="569">
        <v>6</v>
      </c>
      <c r="S131" s="569" t="s">
        <v>455</v>
      </c>
      <c r="T131" s="569" t="s">
        <v>295</v>
      </c>
      <c r="U131" s="569">
        <v>112.9</v>
      </c>
      <c r="V131" s="569">
        <v>19</v>
      </c>
      <c r="W131" s="620">
        <v>3858</v>
      </c>
      <c r="X131" s="621">
        <v>21</v>
      </c>
      <c r="Y131" s="621" t="s">
        <v>178</v>
      </c>
      <c r="Z131" s="621" t="s">
        <v>178</v>
      </c>
      <c r="AA131" s="622">
        <v>31225</v>
      </c>
      <c r="AB131" s="622" t="s">
        <v>164</v>
      </c>
      <c r="AC131" s="622">
        <v>29762</v>
      </c>
      <c r="AD131" s="623">
        <v>0.05</v>
      </c>
      <c r="AE131" s="621" t="s">
        <v>454</v>
      </c>
    </row>
    <row r="132" spans="1:31" s="572" customFormat="1">
      <c r="A132" s="570" t="s">
        <v>457</v>
      </c>
      <c r="B132" s="573" t="s">
        <v>280</v>
      </c>
      <c r="C132" s="578">
        <v>27</v>
      </c>
      <c r="D132" s="573" t="s">
        <v>151</v>
      </c>
      <c r="E132" s="573" t="s">
        <v>187</v>
      </c>
      <c r="F132" s="573" t="s">
        <v>271</v>
      </c>
      <c r="G132" s="573">
        <v>2019</v>
      </c>
      <c r="H132" s="573" t="s">
        <v>432</v>
      </c>
      <c r="I132" s="573" t="s">
        <v>337</v>
      </c>
      <c r="J132" s="573" t="s">
        <v>156</v>
      </c>
      <c r="K132" s="573">
        <v>5</v>
      </c>
      <c r="L132" s="573">
        <v>0</v>
      </c>
      <c r="M132" s="573" t="s">
        <v>157</v>
      </c>
      <c r="N132" s="573">
        <v>2</v>
      </c>
      <c r="O132" s="573" t="s">
        <v>157</v>
      </c>
      <c r="P132" s="571" t="s">
        <v>157</v>
      </c>
      <c r="Q132" s="573" t="s">
        <v>316</v>
      </c>
      <c r="R132" s="573">
        <v>6</v>
      </c>
      <c r="S132" s="582" t="s">
        <v>455</v>
      </c>
      <c r="T132" s="573" t="s">
        <v>295</v>
      </c>
      <c r="U132" s="573">
        <v>112.9</v>
      </c>
      <c r="V132" s="573">
        <v>19</v>
      </c>
      <c r="W132" s="616">
        <v>3858</v>
      </c>
      <c r="X132" s="617">
        <v>21</v>
      </c>
      <c r="Y132" s="617" t="s">
        <v>178</v>
      </c>
      <c r="Z132" s="617" t="s">
        <v>178</v>
      </c>
      <c r="AA132" s="618">
        <v>31225</v>
      </c>
      <c r="AB132" s="618" t="s">
        <v>164</v>
      </c>
      <c r="AC132" s="618">
        <v>29098.104166666668</v>
      </c>
      <c r="AD132" s="619">
        <v>0.03</v>
      </c>
      <c r="AE132" s="617" t="s">
        <v>454</v>
      </c>
    </row>
    <row r="133" spans="1:31" s="572" customFormat="1">
      <c r="A133" s="570" t="s">
        <v>458</v>
      </c>
      <c r="B133" s="569" t="s">
        <v>269</v>
      </c>
      <c r="C133" s="580" t="s">
        <v>270</v>
      </c>
      <c r="D133" s="569" t="s">
        <v>151</v>
      </c>
      <c r="E133" s="569" t="s">
        <v>187</v>
      </c>
      <c r="F133" s="569" t="s">
        <v>271</v>
      </c>
      <c r="G133" s="569">
        <v>2019</v>
      </c>
      <c r="H133" s="569" t="s">
        <v>432</v>
      </c>
      <c r="I133" s="569" t="s">
        <v>460</v>
      </c>
      <c r="J133" s="569" t="s">
        <v>230</v>
      </c>
      <c r="K133" s="569">
        <v>5</v>
      </c>
      <c r="L133" s="569">
        <v>0</v>
      </c>
      <c r="M133" s="569" t="s">
        <v>157</v>
      </c>
      <c r="N133" s="569">
        <v>2</v>
      </c>
      <c r="O133" s="569" t="s">
        <v>157</v>
      </c>
      <c r="P133" s="568" t="s">
        <v>157</v>
      </c>
      <c r="Q133" s="569" t="s">
        <v>316</v>
      </c>
      <c r="R133" s="569">
        <v>6</v>
      </c>
      <c r="S133" s="569" t="s">
        <v>461</v>
      </c>
      <c r="T133" s="569" t="s">
        <v>462</v>
      </c>
      <c r="U133" s="569">
        <v>113</v>
      </c>
      <c r="V133" s="569">
        <v>19</v>
      </c>
      <c r="W133" s="620">
        <v>4140</v>
      </c>
      <c r="X133" s="621">
        <v>19</v>
      </c>
      <c r="Y133" s="621" t="s">
        <v>178</v>
      </c>
      <c r="Z133" s="621" t="s">
        <v>178</v>
      </c>
      <c r="AA133" s="622">
        <v>43970</v>
      </c>
      <c r="AB133" s="622" t="s">
        <v>164</v>
      </c>
      <c r="AC133" s="622">
        <v>40747.0625</v>
      </c>
      <c r="AD133" s="623">
        <v>0.03</v>
      </c>
      <c r="AE133" s="621" t="s">
        <v>459</v>
      </c>
    </row>
    <row r="134" spans="1:31" s="572" customFormat="1">
      <c r="A134" s="570" t="s">
        <v>463</v>
      </c>
      <c r="B134" s="573" t="s">
        <v>287</v>
      </c>
      <c r="C134" s="578">
        <v>26</v>
      </c>
      <c r="D134" s="573" t="s">
        <v>151</v>
      </c>
      <c r="E134" s="573" t="s">
        <v>187</v>
      </c>
      <c r="F134" s="573" t="s">
        <v>271</v>
      </c>
      <c r="G134" s="573">
        <v>2019</v>
      </c>
      <c r="H134" s="573" t="s">
        <v>432</v>
      </c>
      <c r="I134" s="573" t="s">
        <v>460</v>
      </c>
      <c r="J134" s="573" t="s">
        <v>230</v>
      </c>
      <c r="K134" s="573">
        <v>5</v>
      </c>
      <c r="L134" s="573">
        <v>0</v>
      </c>
      <c r="M134" s="573" t="s">
        <v>157</v>
      </c>
      <c r="N134" s="573">
        <v>2</v>
      </c>
      <c r="O134" s="573" t="s">
        <v>157</v>
      </c>
      <c r="P134" s="571" t="s">
        <v>157</v>
      </c>
      <c r="Q134" s="573" t="s">
        <v>316</v>
      </c>
      <c r="R134" s="573">
        <v>6</v>
      </c>
      <c r="S134" s="582" t="s">
        <v>461</v>
      </c>
      <c r="T134" s="573" t="s">
        <v>462</v>
      </c>
      <c r="U134" s="573">
        <v>113</v>
      </c>
      <c r="V134" s="573">
        <v>19</v>
      </c>
      <c r="W134" s="616">
        <v>3917</v>
      </c>
      <c r="X134" s="617">
        <v>19</v>
      </c>
      <c r="Y134" s="617" t="s">
        <v>178</v>
      </c>
      <c r="Z134" s="617" t="s">
        <v>178</v>
      </c>
      <c r="AA134" s="618">
        <v>43970</v>
      </c>
      <c r="AB134" s="618" t="s">
        <v>164</v>
      </c>
      <c r="AC134" s="618">
        <v>41768</v>
      </c>
      <c r="AD134" s="619">
        <v>0.05</v>
      </c>
      <c r="AE134" s="617" t="s">
        <v>459</v>
      </c>
    </row>
    <row r="135" spans="1:31" s="572" customFormat="1">
      <c r="A135" s="570" t="s">
        <v>464</v>
      </c>
      <c r="B135" s="569" t="s">
        <v>280</v>
      </c>
      <c r="C135" s="580">
        <v>27</v>
      </c>
      <c r="D135" s="569" t="s">
        <v>151</v>
      </c>
      <c r="E135" s="569" t="s">
        <v>187</v>
      </c>
      <c r="F135" s="569" t="s">
        <v>271</v>
      </c>
      <c r="G135" s="569">
        <v>2019</v>
      </c>
      <c r="H135" s="569" t="s">
        <v>432</v>
      </c>
      <c r="I135" s="569" t="s">
        <v>460</v>
      </c>
      <c r="J135" s="569" t="s">
        <v>230</v>
      </c>
      <c r="K135" s="569">
        <v>5</v>
      </c>
      <c r="L135" s="569">
        <v>0</v>
      </c>
      <c r="M135" s="569" t="s">
        <v>157</v>
      </c>
      <c r="N135" s="569">
        <v>2</v>
      </c>
      <c r="O135" s="569" t="s">
        <v>157</v>
      </c>
      <c r="P135" s="568" t="s">
        <v>157</v>
      </c>
      <c r="Q135" s="569" t="s">
        <v>316</v>
      </c>
      <c r="R135" s="569">
        <v>6</v>
      </c>
      <c r="S135" s="569" t="s">
        <v>461</v>
      </c>
      <c r="T135" s="569" t="s">
        <v>462</v>
      </c>
      <c r="U135" s="569">
        <v>113</v>
      </c>
      <c r="V135" s="569">
        <v>19</v>
      </c>
      <c r="W135" s="620">
        <v>4140</v>
      </c>
      <c r="X135" s="621">
        <v>19</v>
      </c>
      <c r="Y135" s="621" t="s">
        <v>178</v>
      </c>
      <c r="Z135" s="621" t="s">
        <v>178</v>
      </c>
      <c r="AA135" s="622">
        <v>43970</v>
      </c>
      <c r="AB135" s="622" t="s">
        <v>164</v>
      </c>
      <c r="AC135" s="622">
        <v>40747.0625</v>
      </c>
      <c r="AD135" s="623">
        <v>0.03</v>
      </c>
      <c r="AE135" s="621" t="s">
        <v>459</v>
      </c>
    </row>
    <row r="136" spans="1:31" s="572" customFormat="1" ht="30">
      <c r="A136" s="570" t="s">
        <v>465</v>
      </c>
      <c r="B136" s="573" t="s">
        <v>467</v>
      </c>
      <c r="C136" s="578" t="s">
        <v>468</v>
      </c>
      <c r="D136" s="573" t="s">
        <v>151</v>
      </c>
      <c r="E136" s="573" t="s">
        <v>196</v>
      </c>
      <c r="F136" s="573" t="s">
        <v>469</v>
      </c>
      <c r="G136" s="573">
        <v>2019</v>
      </c>
      <c r="H136" s="573" t="s">
        <v>470</v>
      </c>
      <c r="I136" s="573" t="s">
        <v>198</v>
      </c>
      <c r="J136" s="573" t="s">
        <v>156</v>
      </c>
      <c r="K136" s="573">
        <v>5</v>
      </c>
      <c r="L136" s="573">
        <v>0</v>
      </c>
      <c r="M136" s="573" t="s">
        <v>157</v>
      </c>
      <c r="N136" s="573">
        <v>2</v>
      </c>
      <c r="O136" s="573" t="s">
        <v>157</v>
      </c>
      <c r="P136" s="571" t="s">
        <v>157</v>
      </c>
      <c r="Q136" s="573" t="s">
        <v>352</v>
      </c>
      <c r="R136" s="573">
        <v>4</v>
      </c>
      <c r="S136" s="582" t="s">
        <v>471</v>
      </c>
      <c r="T136" s="573" t="s">
        <v>157</v>
      </c>
      <c r="U136" s="573">
        <v>111.4</v>
      </c>
      <c r="V136" s="573">
        <v>12.8</v>
      </c>
      <c r="W136" s="616">
        <v>3327</v>
      </c>
      <c r="X136" s="617">
        <v>48</v>
      </c>
      <c r="Y136" s="617" t="s">
        <v>178</v>
      </c>
      <c r="Z136" s="617" t="s">
        <v>163</v>
      </c>
      <c r="AA136" s="618">
        <v>26215</v>
      </c>
      <c r="AB136" s="618" t="s">
        <v>164</v>
      </c>
      <c r="AC136" s="618">
        <v>25828.55</v>
      </c>
      <c r="AD136" s="619">
        <v>0.03</v>
      </c>
      <c r="AE136" s="617" t="s">
        <v>466</v>
      </c>
    </row>
    <row r="137" spans="1:31" s="572" customFormat="1" ht="30">
      <c r="A137" s="570" t="s">
        <v>472</v>
      </c>
      <c r="B137" s="569" t="s">
        <v>473</v>
      </c>
      <c r="C137" s="580">
        <v>14</v>
      </c>
      <c r="D137" s="569" t="s">
        <v>151</v>
      </c>
      <c r="E137" s="569" t="s">
        <v>196</v>
      </c>
      <c r="F137" s="569" t="s">
        <v>469</v>
      </c>
      <c r="G137" s="569">
        <v>2019</v>
      </c>
      <c r="H137" s="569" t="s">
        <v>470</v>
      </c>
      <c r="I137" s="569" t="s">
        <v>198</v>
      </c>
      <c r="J137" s="569" t="s">
        <v>156</v>
      </c>
      <c r="K137" s="569">
        <v>5</v>
      </c>
      <c r="L137" s="569">
        <v>0</v>
      </c>
      <c r="M137" s="569" t="s">
        <v>157</v>
      </c>
      <c r="N137" s="569">
        <v>2</v>
      </c>
      <c r="O137" s="569" t="s">
        <v>157</v>
      </c>
      <c r="P137" s="568" t="s">
        <v>157</v>
      </c>
      <c r="Q137" s="569" t="s">
        <v>352</v>
      </c>
      <c r="R137" s="569">
        <v>4</v>
      </c>
      <c r="S137" s="569" t="s">
        <v>471</v>
      </c>
      <c r="T137" s="569" t="s">
        <v>157</v>
      </c>
      <c r="U137" s="569">
        <v>111.4</v>
      </c>
      <c r="V137" s="569">
        <v>12.8</v>
      </c>
      <c r="W137" s="620">
        <v>3327</v>
      </c>
      <c r="X137" s="621">
        <v>48</v>
      </c>
      <c r="Y137" s="621" t="s">
        <v>178</v>
      </c>
      <c r="Z137" s="621" t="s">
        <v>163</v>
      </c>
      <c r="AA137" s="622">
        <v>26215</v>
      </c>
      <c r="AB137" s="622" t="s">
        <v>164</v>
      </c>
      <c r="AC137" s="622">
        <v>24875</v>
      </c>
      <c r="AD137" s="623">
        <v>0.1</v>
      </c>
      <c r="AE137" s="621" t="s">
        <v>466</v>
      </c>
    </row>
    <row r="138" spans="1:31" s="572" customFormat="1" ht="30">
      <c r="A138" s="570" t="s">
        <v>474</v>
      </c>
      <c r="B138" s="573" t="s">
        <v>467</v>
      </c>
      <c r="C138" s="578" t="s">
        <v>468</v>
      </c>
      <c r="D138" s="573" t="s">
        <v>151</v>
      </c>
      <c r="E138" s="573" t="s">
        <v>196</v>
      </c>
      <c r="F138" s="573" t="s">
        <v>469</v>
      </c>
      <c r="G138" s="573">
        <v>2019</v>
      </c>
      <c r="H138" s="573" t="s">
        <v>470</v>
      </c>
      <c r="I138" s="573" t="s">
        <v>476</v>
      </c>
      <c r="J138" s="573" t="s">
        <v>156</v>
      </c>
      <c r="K138" s="573">
        <v>5</v>
      </c>
      <c r="L138" s="573">
        <v>0</v>
      </c>
      <c r="M138" s="573" t="s">
        <v>157</v>
      </c>
      <c r="N138" s="573">
        <v>2</v>
      </c>
      <c r="O138" s="573" t="s">
        <v>157</v>
      </c>
      <c r="P138" s="571" t="s">
        <v>157</v>
      </c>
      <c r="Q138" s="573" t="s">
        <v>205</v>
      </c>
      <c r="R138" s="573">
        <v>4</v>
      </c>
      <c r="S138" s="582" t="s">
        <v>477</v>
      </c>
      <c r="T138" s="573" t="s">
        <v>157</v>
      </c>
      <c r="U138" s="573">
        <v>111.4</v>
      </c>
      <c r="V138" s="573">
        <v>14.8</v>
      </c>
      <c r="W138" s="616">
        <v>3131</v>
      </c>
      <c r="X138" s="617">
        <v>33</v>
      </c>
      <c r="Y138" s="617" t="s">
        <v>178</v>
      </c>
      <c r="Z138" s="617" t="s">
        <v>178</v>
      </c>
      <c r="AA138" s="618">
        <v>24615</v>
      </c>
      <c r="AB138" s="618" t="s">
        <v>164</v>
      </c>
      <c r="AC138" s="618">
        <v>24276.55</v>
      </c>
      <c r="AD138" s="619">
        <v>0.03</v>
      </c>
      <c r="AE138" s="617" t="s">
        <v>475</v>
      </c>
    </row>
    <row r="139" spans="1:31" s="572" customFormat="1" ht="30">
      <c r="A139" s="570" t="s">
        <v>478</v>
      </c>
      <c r="B139" s="569" t="s">
        <v>473</v>
      </c>
      <c r="C139" s="580">
        <v>14</v>
      </c>
      <c r="D139" s="569" t="s">
        <v>151</v>
      </c>
      <c r="E139" s="569" t="s">
        <v>196</v>
      </c>
      <c r="F139" s="569" t="s">
        <v>469</v>
      </c>
      <c r="G139" s="569">
        <v>2019</v>
      </c>
      <c r="H139" s="569" t="s">
        <v>470</v>
      </c>
      <c r="I139" s="569" t="s">
        <v>476</v>
      </c>
      <c r="J139" s="569" t="s">
        <v>156</v>
      </c>
      <c r="K139" s="569">
        <v>5</v>
      </c>
      <c r="L139" s="569">
        <v>0</v>
      </c>
      <c r="M139" s="569" t="s">
        <v>157</v>
      </c>
      <c r="N139" s="569">
        <v>2</v>
      </c>
      <c r="O139" s="569" t="s">
        <v>157</v>
      </c>
      <c r="P139" s="568" t="s">
        <v>157</v>
      </c>
      <c r="Q139" s="569" t="s">
        <v>205</v>
      </c>
      <c r="R139" s="569">
        <v>4</v>
      </c>
      <c r="S139" s="569" t="s">
        <v>477</v>
      </c>
      <c r="T139" s="569" t="s">
        <v>157</v>
      </c>
      <c r="U139" s="569">
        <v>111.4</v>
      </c>
      <c r="V139" s="569">
        <v>14.8</v>
      </c>
      <c r="W139" s="620">
        <v>3131</v>
      </c>
      <c r="X139" s="621">
        <v>33</v>
      </c>
      <c r="Y139" s="621" t="s">
        <v>178</v>
      </c>
      <c r="Z139" s="621" t="s">
        <v>178</v>
      </c>
      <c r="AA139" s="622">
        <v>24615</v>
      </c>
      <c r="AB139" s="622" t="s">
        <v>164</v>
      </c>
      <c r="AC139" s="622">
        <v>23085</v>
      </c>
      <c r="AD139" s="623">
        <v>0.1</v>
      </c>
      <c r="AE139" s="621" t="s">
        <v>475</v>
      </c>
    </row>
    <row r="140" spans="1:31" s="572" customFormat="1" ht="30">
      <c r="A140" s="570" t="s">
        <v>479</v>
      </c>
      <c r="B140" s="573" t="s">
        <v>467</v>
      </c>
      <c r="C140" s="578" t="s">
        <v>468</v>
      </c>
      <c r="D140" s="573" t="s">
        <v>151</v>
      </c>
      <c r="E140" s="573" t="s">
        <v>152</v>
      </c>
      <c r="F140" s="573" t="s">
        <v>469</v>
      </c>
      <c r="G140" s="573">
        <v>2019</v>
      </c>
      <c r="H140" s="573" t="s">
        <v>481</v>
      </c>
      <c r="I140" s="573" t="s">
        <v>476</v>
      </c>
      <c r="J140" s="573" t="s">
        <v>156</v>
      </c>
      <c r="K140" s="573">
        <v>5</v>
      </c>
      <c r="L140" s="573">
        <v>0</v>
      </c>
      <c r="M140" s="573" t="s">
        <v>157</v>
      </c>
      <c r="N140" s="573">
        <v>2</v>
      </c>
      <c r="O140" s="573" t="s">
        <v>157</v>
      </c>
      <c r="P140" s="571" t="s">
        <v>157</v>
      </c>
      <c r="Q140" s="573" t="s">
        <v>205</v>
      </c>
      <c r="R140" s="573">
        <v>4</v>
      </c>
      <c r="S140" s="582" t="s">
        <v>482</v>
      </c>
      <c r="T140" s="573" t="s">
        <v>157</v>
      </c>
      <c r="U140" s="573">
        <v>106.3</v>
      </c>
      <c r="V140" s="573">
        <v>12.4</v>
      </c>
      <c r="W140" s="616">
        <v>2751</v>
      </c>
      <c r="X140" s="617">
        <v>34</v>
      </c>
      <c r="Y140" s="617" t="s">
        <v>178</v>
      </c>
      <c r="Z140" s="617" t="s">
        <v>178</v>
      </c>
      <c r="AA140" s="618">
        <v>22345</v>
      </c>
      <c r="AB140" s="618" t="s">
        <v>164</v>
      </c>
      <c r="AC140" s="618">
        <v>22074.65</v>
      </c>
      <c r="AD140" s="619">
        <v>0.03</v>
      </c>
      <c r="AE140" s="617" t="s">
        <v>480</v>
      </c>
    </row>
    <row r="141" spans="1:31" s="572" customFormat="1" ht="30">
      <c r="A141" s="570" t="s">
        <v>483</v>
      </c>
      <c r="B141" s="569" t="s">
        <v>473</v>
      </c>
      <c r="C141" s="580">
        <v>14</v>
      </c>
      <c r="D141" s="569" t="s">
        <v>151</v>
      </c>
      <c r="E141" s="569" t="s">
        <v>152</v>
      </c>
      <c r="F141" s="569" t="s">
        <v>469</v>
      </c>
      <c r="G141" s="569">
        <v>2019</v>
      </c>
      <c r="H141" s="569" t="s">
        <v>481</v>
      </c>
      <c r="I141" s="569" t="s">
        <v>476</v>
      </c>
      <c r="J141" s="569" t="s">
        <v>156</v>
      </c>
      <c r="K141" s="569">
        <v>5</v>
      </c>
      <c r="L141" s="569">
        <v>0</v>
      </c>
      <c r="M141" s="569" t="s">
        <v>157</v>
      </c>
      <c r="N141" s="569">
        <v>2</v>
      </c>
      <c r="O141" s="569" t="s">
        <v>157</v>
      </c>
      <c r="P141" s="568" t="s">
        <v>157</v>
      </c>
      <c r="Q141" s="569" t="s">
        <v>205</v>
      </c>
      <c r="R141" s="569">
        <v>4</v>
      </c>
      <c r="S141" s="569" t="s">
        <v>482</v>
      </c>
      <c r="T141" s="569" t="s">
        <v>157</v>
      </c>
      <c r="U141" s="569">
        <v>106.3</v>
      </c>
      <c r="V141" s="569">
        <v>12.4</v>
      </c>
      <c r="W141" s="620">
        <v>2751</v>
      </c>
      <c r="X141" s="621">
        <v>34</v>
      </c>
      <c r="Y141" s="621" t="s">
        <v>178</v>
      </c>
      <c r="Z141" s="621" t="s">
        <v>178</v>
      </c>
      <c r="AA141" s="622">
        <v>22345</v>
      </c>
      <c r="AB141" s="622" t="s">
        <v>164</v>
      </c>
      <c r="AC141" s="622">
        <v>21220</v>
      </c>
      <c r="AD141" s="623">
        <v>0.1</v>
      </c>
      <c r="AE141" s="621" t="s">
        <v>480</v>
      </c>
    </row>
    <row r="142" spans="1:31" s="572" customFormat="1" ht="30">
      <c r="A142" s="570" t="s">
        <v>484</v>
      </c>
      <c r="B142" s="573" t="s">
        <v>467</v>
      </c>
      <c r="C142" s="578" t="s">
        <v>468</v>
      </c>
      <c r="D142" s="573" t="s">
        <v>151</v>
      </c>
      <c r="E142" s="573" t="s">
        <v>152</v>
      </c>
      <c r="F142" s="573" t="s">
        <v>469</v>
      </c>
      <c r="G142" s="573">
        <v>2019</v>
      </c>
      <c r="H142" s="573" t="s">
        <v>486</v>
      </c>
      <c r="I142" s="573" t="s">
        <v>476</v>
      </c>
      <c r="J142" s="573" t="s">
        <v>156</v>
      </c>
      <c r="K142" s="573">
        <v>5</v>
      </c>
      <c r="L142" s="573">
        <v>0</v>
      </c>
      <c r="M142" s="573" t="s">
        <v>157</v>
      </c>
      <c r="N142" s="573">
        <v>2</v>
      </c>
      <c r="O142" s="573" t="s">
        <v>157</v>
      </c>
      <c r="P142" s="571" t="s">
        <v>157</v>
      </c>
      <c r="Q142" s="573" t="s">
        <v>352</v>
      </c>
      <c r="R142" s="573">
        <v>4</v>
      </c>
      <c r="S142" s="582" t="s">
        <v>487</v>
      </c>
      <c r="T142" s="573" t="s">
        <v>157</v>
      </c>
      <c r="U142" s="573">
        <v>106.3</v>
      </c>
      <c r="V142" s="573">
        <v>12.4</v>
      </c>
      <c r="W142" s="616">
        <v>2754</v>
      </c>
      <c r="X142" s="617">
        <v>34</v>
      </c>
      <c r="Y142" s="617" t="s">
        <v>178</v>
      </c>
      <c r="Z142" s="617" t="s">
        <v>178</v>
      </c>
      <c r="AA142" s="618">
        <v>21145</v>
      </c>
      <c r="AB142" s="618" t="s">
        <v>164</v>
      </c>
      <c r="AC142" s="618">
        <v>20910.650000000001</v>
      </c>
      <c r="AD142" s="619">
        <v>0.03</v>
      </c>
      <c r="AE142" s="617" t="s">
        <v>485</v>
      </c>
    </row>
    <row r="143" spans="1:31" s="572" customFormat="1" ht="30">
      <c r="A143" s="570" t="s">
        <v>488</v>
      </c>
      <c r="B143" s="569" t="s">
        <v>473</v>
      </c>
      <c r="C143" s="580">
        <v>14</v>
      </c>
      <c r="D143" s="569" t="s">
        <v>151</v>
      </c>
      <c r="E143" s="569" t="s">
        <v>152</v>
      </c>
      <c r="F143" s="569" t="s">
        <v>469</v>
      </c>
      <c r="G143" s="569">
        <v>2019</v>
      </c>
      <c r="H143" s="569" t="s">
        <v>486</v>
      </c>
      <c r="I143" s="569" t="s">
        <v>476</v>
      </c>
      <c r="J143" s="569" t="s">
        <v>156</v>
      </c>
      <c r="K143" s="569">
        <v>5</v>
      </c>
      <c r="L143" s="569">
        <v>0</v>
      </c>
      <c r="M143" s="569" t="s">
        <v>157</v>
      </c>
      <c r="N143" s="569">
        <v>2</v>
      </c>
      <c r="O143" s="569" t="s">
        <v>157</v>
      </c>
      <c r="P143" s="568" t="s">
        <v>157</v>
      </c>
      <c r="Q143" s="569" t="s">
        <v>352</v>
      </c>
      <c r="R143" s="569">
        <v>4</v>
      </c>
      <c r="S143" s="569" t="s">
        <v>487</v>
      </c>
      <c r="T143" s="569" t="s">
        <v>157</v>
      </c>
      <c r="U143" s="569">
        <v>106.3</v>
      </c>
      <c r="V143" s="569">
        <v>12.4</v>
      </c>
      <c r="W143" s="620">
        <v>2754</v>
      </c>
      <c r="X143" s="621">
        <v>34</v>
      </c>
      <c r="Y143" s="621" t="s">
        <v>178</v>
      </c>
      <c r="Z143" s="621" t="s">
        <v>178</v>
      </c>
      <c r="AA143" s="622">
        <v>21145</v>
      </c>
      <c r="AB143" s="622" t="s">
        <v>164</v>
      </c>
      <c r="AC143" s="622">
        <v>20135</v>
      </c>
      <c r="AD143" s="623">
        <v>0.1</v>
      </c>
      <c r="AE143" s="621" t="s">
        <v>485</v>
      </c>
    </row>
    <row r="144" spans="1:31" s="572" customFormat="1" ht="30">
      <c r="A144" s="570" t="s">
        <v>489</v>
      </c>
      <c r="B144" s="573" t="s">
        <v>467</v>
      </c>
      <c r="C144" s="578" t="s">
        <v>468</v>
      </c>
      <c r="D144" s="573" t="s">
        <v>151</v>
      </c>
      <c r="E144" s="573" t="s">
        <v>196</v>
      </c>
      <c r="F144" s="573" t="s">
        <v>469</v>
      </c>
      <c r="G144" s="573">
        <v>2018</v>
      </c>
      <c r="H144" s="573" t="s">
        <v>491</v>
      </c>
      <c r="I144" s="573" t="s">
        <v>492</v>
      </c>
      <c r="J144" s="573" t="s">
        <v>156</v>
      </c>
      <c r="K144" s="573">
        <v>5</v>
      </c>
      <c r="L144" s="573">
        <v>0</v>
      </c>
      <c r="M144" s="573" t="s">
        <v>157</v>
      </c>
      <c r="N144" s="573">
        <v>2</v>
      </c>
      <c r="O144" s="573" t="s">
        <v>157</v>
      </c>
      <c r="P144" s="571" t="s">
        <v>157</v>
      </c>
      <c r="Q144" s="573" t="s">
        <v>205</v>
      </c>
      <c r="R144" s="573">
        <v>4</v>
      </c>
      <c r="S144" s="582" t="s">
        <v>493</v>
      </c>
      <c r="T144" s="573" t="s">
        <v>157</v>
      </c>
      <c r="U144" s="573">
        <v>108.3</v>
      </c>
      <c r="V144" s="573">
        <v>7</v>
      </c>
      <c r="W144" s="616">
        <v>4052</v>
      </c>
      <c r="X144" s="617">
        <v>110</v>
      </c>
      <c r="Y144" s="617" t="s">
        <v>163</v>
      </c>
      <c r="Z144" s="617" t="s">
        <v>178</v>
      </c>
      <c r="AA144" s="618">
        <v>34295</v>
      </c>
      <c r="AB144" s="618" t="s">
        <v>164</v>
      </c>
      <c r="AC144" s="618">
        <v>34199</v>
      </c>
      <c r="AD144" s="619">
        <v>0.03</v>
      </c>
      <c r="AE144" s="617" t="s">
        <v>490</v>
      </c>
    </row>
    <row r="145" spans="1:31" s="572" customFormat="1" ht="30">
      <c r="A145" s="570" t="s">
        <v>494</v>
      </c>
      <c r="B145" s="569" t="s">
        <v>473</v>
      </c>
      <c r="C145" s="580">
        <v>14</v>
      </c>
      <c r="D145" s="569" t="s">
        <v>151</v>
      </c>
      <c r="E145" s="569" t="s">
        <v>196</v>
      </c>
      <c r="F145" s="569" t="s">
        <v>469</v>
      </c>
      <c r="G145" s="569">
        <v>2018</v>
      </c>
      <c r="H145" s="569" t="s">
        <v>491</v>
      </c>
      <c r="I145" s="569" t="s">
        <v>492</v>
      </c>
      <c r="J145" s="569" t="s">
        <v>156</v>
      </c>
      <c r="K145" s="569">
        <v>5</v>
      </c>
      <c r="L145" s="569">
        <v>0</v>
      </c>
      <c r="M145" s="569" t="s">
        <v>157</v>
      </c>
      <c r="N145" s="569">
        <v>2</v>
      </c>
      <c r="O145" s="569" t="s">
        <v>157</v>
      </c>
      <c r="P145" s="568" t="s">
        <v>157</v>
      </c>
      <c r="Q145" s="569" t="s">
        <v>205</v>
      </c>
      <c r="R145" s="569">
        <v>4</v>
      </c>
      <c r="S145" s="569" t="s">
        <v>493</v>
      </c>
      <c r="T145" s="569" t="s">
        <v>157</v>
      </c>
      <c r="U145" s="569">
        <v>108.3</v>
      </c>
      <c r="V145" s="569">
        <v>7</v>
      </c>
      <c r="W145" s="620">
        <v>4052</v>
      </c>
      <c r="X145" s="621">
        <v>110</v>
      </c>
      <c r="Y145" s="621" t="s">
        <v>163</v>
      </c>
      <c r="Z145" s="621" t="s">
        <v>178</v>
      </c>
      <c r="AA145" s="622">
        <v>34295</v>
      </c>
      <c r="AB145" s="622" t="s">
        <v>164</v>
      </c>
      <c r="AC145" s="622">
        <v>33270</v>
      </c>
      <c r="AD145" s="623">
        <v>0.1</v>
      </c>
      <c r="AE145" s="621" t="s">
        <v>490</v>
      </c>
    </row>
    <row r="146" spans="1:31" s="572" customFormat="1" ht="30">
      <c r="A146" s="570" t="s">
        <v>495</v>
      </c>
      <c r="B146" s="573" t="s">
        <v>467</v>
      </c>
      <c r="C146" s="578" t="s">
        <v>468</v>
      </c>
      <c r="D146" s="573" t="s">
        <v>151</v>
      </c>
      <c r="E146" s="573" t="s">
        <v>196</v>
      </c>
      <c r="F146" s="573" t="s">
        <v>469</v>
      </c>
      <c r="G146" s="573">
        <v>2018</v>
      </c>
      <c r="H146" s="573" t="s">
        <v>491</v>
      </c>
      <c r="I146" s="573" t="s">
        <v>497</v>
      </c>
      <c r="J146" s="573" t="s">
        <v>156</v>
      </c>
      <c r="K146" s="573">
        <v>5</v>
      </c>
      <c r="L146" s="573">
        <v>0</v>
      </c>
      <c r="M146" s="573" t="s">
        <v>157</v>
      </c>
      <c r="N146" s="573">
        <v>2</v>
      </c>
      <c r="O146" s="573" t="s">
        <v>157</v>
      </c>
      <c r="P146" s="571" t="s">
        <v>157</v>
      </c>
      <c r="Q146" s="573" t="s">
        <v>205</v>
      </c>
      <c r="R146" s="573">
        <v>4</v>
      </c>
      <c r="S146" s="582" t="s">
        <v>498</v>
      </c>
      <c r="T146" s="573" t="s">
        <v>157</v>
      </c>
      <c r="U146" s="573">
        <v>108.3</v>
      </c>
      <c r="V146" s="573">
        <v>7</v>
      </c>
      <c r="W146" s="616">
        <v>4057</v>
      </c>
      <c r="X146" s="617">
        <v>110</v>
      </c>
      <c r="Y146" s="617" t="s">
        <v>163</v>
      </c>
      <c r="Z146" s="617" t="s">
        <v>178</v>
      </c>
      <c r="AA146" s="618">
        <v>37495</v>
      </c>
      <c r="AB146" s="618" t="s">
        <v>164</v>
      </c>
      <c r="AC146" s="618">
        <v>37399</v>
      </c>
      <c r="AD146" s="619">
        <v>0.03</v>
      </c>
      <c r="AE146" s="617" t="s">
        <v>496</v>
      </c>
    </row>
    <row r="147" spans="1:31" s="572" customFormat="1" ht="30">
      <c r="A147" s="570" t="s">
        <v>499</v>
      </c>
      <c r="B147" s="569" t="s">
        <v>473</v>
      </c>
      <c r="C147" s="580">
        <v>14</v>
      </c>
      <c r="D147" s="569" t="s">
        <v>151</v>
      </c>
      <c r="E147" s="569" t="s">
        <v>196</v>
      </c>
      <c r="F147" s="569" t="s">
        <v>469</v>
      </c>
      <c r="G147" s="569">
        <v>2018</v>
      </c>
      <c r="H147" s="569" t="s">
        <v>491</v>
      </c>
      <c r="I147" s="569" t="s">
        <v>497</v>
      </c>
      <c r="J147" s="569" t="s">
        <v>156</v>
      </c>
      <c r="K147" s="569">
        <v>5</v>
      </c>
      <c r="L147" s="569">
        <v>0</v>
      </c>
      <c r="M147" s="569" t="s">
        <v>157</v>
      </c>
      <c r="N147" s="569">
        <v>2</v>
      </c>
      <c r="O147" s="569" t="s">
        <v>157</v>
      </c>
      <c r="P147" s="568" t="s">
        <v>157</v>
      </c>
      <c r="Q147" s="569" t="s">
        <v>205</v>
      </c>
      <c r="R147" s="569">
        <v>4</v>
      </c>
      <c r="S147" s="569" t="s">
        <v>498</v>
      </c>
      <c r="T147" s="569" t="s">
        <v>157</v>
      </c>
      <c r="U147" s="569">
        <v>108.3</v>
      </c>
      <c r="V147" s="569">
        <v>7</v>
      </c>
      <c r="W147" s="620">
        <v>4057</v>
      </c>
      <c r="X147" s="621">
        <v>110</v>
      </c>
      <c r="Y147" s="621" t="s">
        <v>163</v>
      </c>
      <c r="Z147" s="621" t="s">
        <v>178</v>
      </c>
      <c r="AA147" s="622">
        <v>37495</v>
      </c>
      <c r="AB147" s="622" t="s">
        <v>164</v>
      </c>
      <c r="AC147" s="622">
        <v>36330</v>
      </c>
      <c r="AD147" s="623">
        <v>0.1</v>
      </c>
      <c r="AE147" s="621" t="s">
        <v>496</v>
      </c>
    </row>
    <row r="148" spans="1:31" s="572" customFormat="1" ht="30">
      <c r="A148" s="570" t="s">
        <v>500</v>
      </c>
      <c r="B148" s="573" t="s">
        <v>467</v>
      </c>
      <c r="C148" s="578" t="s">
        <v>468</v>
      </c>
      <c r="D148" s="573" t="s">
        <v>151</v>
      </c>
      <c r="E148" s="573" t="s">
        <v>211</v>
      </c>
      <c r="F148" s="573" t="s">
        <v>469</v>
      </c>
      <c r="G148" s="573">
        <v>2019</v>
      </c>
      <c r="H148" s="573" t="s">
        <v>502</v>
      </c>
      <c r="I148" s="573" t="s">
        <v>503</v>
      </c>
      <c r="J148" s="573" t="s">
        <v>156</v>
      </c>
      <c r="K148" s="573">
        <v>5</v>
      </c>
      <c r="L148" s="573">
        <v>0</v>
      </c>
      <c r="M148" s="573" t="s">
        <v>157</v>
      </c>
      <c r="N148" s="573">
        <v>2</v>
      </c>
      <c r="O148" s="573" t="s">
        <v>157</v>
      </c>
      <c r="P148" s="571" t="s">
        <v>157</v>
      </c>
      <c r="Q148" s="573" t="s">
        <v>205</v>
      </c>
      <c r="R148" s="573">
        <v>4</v>
      </c>
      <c r="S148" s="582" t="s">
        <v>504</v>
      </c>
      <c r="T148" s="573" t="s">
        <v>157</v>
      </c>
      <c r="U148" s="573">
        <v>99.6</v>
      </c>
      <c r="V148" s="573">
        <v>10.6</v>
      </c>
      <c r="W148" s="616">
        <v>2568</v>
      </c>
      <c r="X148" s="617">
        <v>36</v>
      </c>
      <c r="Y148" s="617" t="s">
        <v>178</v>
      </c>
      <c r="Z148" s="617" t="s">
        <v>178</v>
      </c>
      <c r="AA148" s="618">
        <v>17885</v>
      </c>
      <c r="AB148" s="618" t="s">
        <v>164</v>
      </c>
      <c r="AC148" s="618">
        <v>17809</v>
      </c>
      <c r="AD148" s="619">
        <v>0.03</v>
      </c>
      <c r="AE148" s="617" t="s">
        <v>501</v>
      </c>
    </row>
    <row r="149" spans="1:31" s="572" customFormat="1" ht="30">
      <c r="A149" s="570" t="s">
        <v>505</v>
      </c>
      <c r="B149" s="569" t="s">
        <v>473</v>
      </c>
      <c r="C149" s="580">
        <v>14</v>
      </c>
      <c r="D149" s="569" t="s">
        <v>151</v>
      </c>
      <c r="E149" s="569" t="s">
        <v>211</v>
      </c>
      <c r="F149" s="569" t="s">
        <v>469</v>
      </c>
      <c r="G149" s="569">
        <v>2019</v>
      </c>
      <c r="H149" s="569" t="s">
        <v>502</v>
      </c>
      <c r="I149" s="569" t="s">
        <v>503</v>
      </c>
      <c r="J149" s="569" t="s">
        <v>156</v>
      </c>
      <c r="K149" s="569">
        <v>5</v>
      </c>
      <c r="L149" s="569">
        <v>0</v>
      </c>
      <c r="M149" s="569" t="s">
        <v>157</v>
      </c>
      <c r="N149" s="569">
        <v>2</v>
      </c>
      <c r="O149" s="569" t="s">
        <v>157</v>
      </c>
      <c r="P149" s="568" t="s">
        <v>157</v>
      </c>
      <c r="Q149" s="569" t="s">
        <v>205</v>
      </c>
      <c r="R149" s="569">
        <v>4</v>
      </c>
      <c r="S149" s="569" t="s">
        <v>504</v>
      </c>
      <c r="T149" s="569" t="s">
        <v>157</v>
      </c>
      <c r="U149" s="569">
        <v>99.6</v>
      </c>
      <c r="V149" s="569">
        <v>10.6</v>
      </c>
      <c r="W149" s="620">
        <v>2568</v>
      </c>
      <c r="X149" s="621">
        <v>36</v>
      </c>
      <c r="Y149" s="621" t="s">
        <v>178</v>
      </c>
      <c r="Z149" s="621" t="s">
        <v>178</v>
      </c>
      <c r="AA149" s="622">
        <v>17885</v>
      </c>
      <c r="AB149" s="622" t="s">
        <v>164</v>
      </c>
      <c r="AC149" s="622">
        <v>17585</v>
      </c>
      <c r="AD149" s="623">
        <v>0.1</v>
      </c>
      <c r="AE149" s="621" t="s">
        <v>501</v>
      </c>
    </row>
    <row r="150" spans="1:31" s="572" customFormat="1" ht="30">
      <c r="A150" s="570" t="s">
        <v>506</v>
      </c>
      <c r="B150" s="573" t="s">
        <v>467</v>
      </c>
      <c r="C150" s="578" t="s">
        <v>468</v>
      </c>
      <c r="D150" s="573" t="s">
        <v>151</v>
      </c>
      <c r="E150" s="573" t="s">
        <v>152</v>
      </c>
      <c r="F150" s="573" t="s">
        <v>469</v>
      </c>
      <c r="G150" s="573">
        <v>2019</v>
      </c>
      <c r="H150" s="573" t="s">
        <v>508</v>
      </c>
      <c r="I150" s="573" t="s">
        <v>509</v>
      </c>
      <c r="J150" s="573" t="s">
        <v>156</v>
      </c>
      <c r="K150" s="573">
        <v>5</v>
      </c>
      <c r="L150" s="573">
        <v>0</v>
      </c>
      <c r="M150" s="573" t="s">
        <v>157</v>
      </c>
      <c r="N150" s="573">
        <v>2</v>
      </c>
      <c r="O150" s="573" t="s">
        <v>157</v>
      </c>
      <c r="P150" s="571" t="s">
        <v>157</v>
      </c>
      <c r="Q150" s="573" t="s">
        <v>205</v>
      </c>
      <c r="R150" s="573">
        <v>4</v>
      </c>
      <c r="S150" s="582" t="s">
        <v>510</v>
      </c>
      <c r="T150" s="573" t="s">
        <v>157</v>
      </c>
      <c r="U150" s="573">
        <v>106.3</v>
      </c>
      <c r="V150" s="573">
        <v>10.6</v>
      </c>
      <c r="W150" s="616">
        <v>3000</v>
      </c>
      <c r="X150" s="617">
        <v>52</v>
      </c>
      <c r="Y150" s="617" t="s">
        <v>178</v>
      </c>
      <c r="Z150" s="617" t="s">
        <v>163</v>
      </c>
      <c r="AA150" s="618">
        <v>24955</v>
      </c>
      <c r="AB150" s="618" t="s">
        <v>164</v>
      </c>
      <c r="AC150" s="618">
        <v>24606.35</v>
      </c>
      <c r="AD150" s="619">
        <v>0.03</v>
      </c>
      <c r="AE150" s="617" t="s">
        <v>507</v>
      </c>
    </row>
    <row r="151" spans="1:31" s="572" customFormat="1" ht="30">
      <c r="A151" s="570" t="s">
        <v>511</v>
      </c>
      <c r="B151" s="569" t="s">
        <v>473</v>
      </c>
      <c r="C151" s="580">
        <v>14</v>
      </c>
      <c r="D151" s="569" t="s">
        <v>151</v>
      </c>
      <c r="E151" s="569" t="s">
        <v>152</v>
      </c>
      <c r="F151" s="569" t="s">
        <v>469</v>
      </c>
      <c r="G151" s="569">
        <v>2019</v>
      </c>
      <c r="H151" s="569" t="s">
        <v>508</v>
      </c>
      <c r="I151" s="569" t="s">
        <v>509</v>
      </c>
      <c r="J151" s="569" t="s">
        <v>156</v>
      </c>
      <c r="K151" s="569">
        <v>5</v>
      </c>
      <c r="L151" s="569">
        <v>0</v>
      </c>
      <c r="M151" s="569" t="s">
        <v>157</v>
      </c>
      <c r="N151" s="569">
        <v>2</v>
      </c>
      <c r="O151" s="569" t="s">
        <v>157</v>
      </c>
      <c r="P151" s="568" t="s">
        <v>157</v>
      </c>
      <c r="Q151" s="569" t="s">
        <v>205</v>
      </c>
      <c r="R151" s="569">
        <v>4</v>
      </c>
      <c r="S151" s="569" t="s">
        <v>510</v>
      </c>
      <c r="T151" s="569" t="s">
        <v>157</v>
      </c>
      <c r="U151" s="569">
        <v>106.3</v>
      </c>
      <c r="V151" s="569">
        <v>10.6</v>
      </c>
      <c r="W151" s="620">
        <v>3000</v>
      </c>
      <c r="X151" s="621">
        <v>52</v>
      </c>
      <c r="Y151" s="621" t="s">
        <v>178</v>
      </c>
      <c r="Z151" s="621" t="s">
        <v>163</v>
      </c>
      <c r="AA151" s="622">
        <v>24955</v>
      </c>
      <c r="AB151" s="622" t="s">
        <v>164</v>
      </c>
      <c r="AC151" s="622">
        <v>23745</v>
      </c>
      <c r="AD151" s="623">
        <v>0.1</v>
      </c>
      <c r="AE151" s="621" t="s">
        <v>507</v>
      </c>
    </row>
    <row r="152" spans="1:31" s="572" customFormat="1" ht="30">
      <c r="A152" s="570" t="s">
        <v>512</v>
      </c>
      <c r="B152" s="573" t="s">
        <v>467</v>
      </c>
      <c r="C152" s="578" t="s">
        <v>468</v>
      </c>
      <c r="D152" s="573" t="s">
        <v>151</v>
      </c>
      <c r="E152" s="573" t="s">
        <v>152</v>
      </c>
      <c r="F152" s="573" t="s">
        <v>469</v>
      </c>
      <c r="G152" s="573">
        <v>2019</v>
      </c>
      <c r="H152" s="573" t="s">
        <v>508</v>
      </c>
      <c r="I152" s="573" t="s">
        <v>514</v>
      </c>
      <c r="J152" s="573" t="s">
        <v>156</v>
      </c>
      <c r="K152" s="573">
        <v>5</v>
      </c>
      <c r="L152" s="573">
        <v>0</v>
      </c>
      <c r="M152" s="573" t="s">
        <v>157</v>
      </c>
      <c r="N152" s="573">
        <v>2</v>
      </c>
      <c r="O152" s="573" t="s">
        <v>157</v>
      </c>
      <c r="P152" s="571" t="s">
        <v>157</v>
      </c>
      <c r="Q152" s="573" t="s">
        <v>205</v>
      </c>
      <c r="R152" s="573">
        <v>4</v>
      </c>
      <c r="S152" s="582" t="s">
        <v>515</v>
      </c>
      <c r="T152" s="573" t="s">
        <v>157</v>
      </c>
      <c r="U152" s="573">
        <v>106.3</v>
      </c>
      <c r="V152" s="573">
        <v>10.6</v>
      </c>
      <c r="W152" s="616">
        <v>2987</v>
      </c>
      <c r="X152" s="617">
        <v>52</v>
      </c>
      <c r="Y152" s="617" t="s">
        <v>178</v>
      </c>
      <c r="Z152" s="617" t="s">
        <v>163</v>
      </c>
      <c r="AA152" s="618">
        <v>23725</v>
      </c>
      <c r="AB152" s="618" t="s">
        <v>164</v>
      </c>
      <c r="AC152" s="618">
        <v>23413.25</v>
      </c>
      <c r="AD152" s="619">
        <v>0.03</v>
      </c>
      <c r="AE152" s="617" t="s">
        <v>513</v>
      </c>
    </row>
    <row r="153" spans="1:31" s="572" customFormat="1" ht="30">
      <c r="A153" s="570" t="s">
        <v>516</v>
      </c>
      <c r="B153" s="569" t="s">
        <v>473</v>
      </c>
      <c r="C153" s="580">
        <v>14</v>
      </c>
      <c r="D153" s="569" t="s">
        <v>151</v>
      </c>
      <c r="E153" s="569" t="s">
        <v>152</v>
      </c>
      <c r="F153" s="569" t="s">
        <v>469</v>
      </c>
      <c r="G153" s="569">
        <v>2019</v>
      </c>
      <c r="H153" s="569" t="s">
        <v>508</v>
      </c>
      <c r="I153" s="569" t="s">
        <v>514</v>
      </c>
      <c r="J153" s="569" t="s">
        <v>156</v>
      </c>
      <c r="K153" s="569">
        <v>5</v>
      </c>
      <c r="L153" s="569">
        <v>0</v>
      </c>
      <c r="M153" s="569" t="s">
        <v>157</v>
      </c>
      <c r="N153" s="569">
        <v>2</v>
      </c>
      <c r="O153" s="569" t="s">
        <v>157</v>
      </c>
      <c r="P153" s="568" t="s">
        <v>157</v>
      </c>
      <c r="Q153" s="569" t="s">
        <v>205</v>
      </c>
      <c r="R153" s="569">
        <v>4</v>
      </c>
      <c r="S153" s="569" t="s">
        <v>515</v>
      </c>
      <c r="T153" s="569" t="s">
        <v>157</v>
      </c>
      <c r="U153" s="569">
        <v>106.3</v>
      </c>
      <c r="V153" s="569">
        <v>10.6</v>
      </c>
      <c r="W153" s="620">
        <v>2987</v>
      </c>
      <c r="X153" s="621">
        <v>52</v>
      </c>
      <c r="Y153" s="621" t="s">
        <v>178</v>
      </c>
      <c r="Z153" s="621" t="s">
        <v>163</v>
      </c>
      <c r="AA153" s="622">
        <v>23725</v>
      </c>
      <c r="AB153" s="622" t="s">
        <v>164</v>
      </c>
      <c r="AC153" s="622">
        <v>22600</v>
      </c>
      <c r="AD153" s="623">
        <v>0.1</v>
      </c>
      <c r="AE153" s="621" t="s">
        <v>513</v>
      </c>
    </row>
    <row r="154" spans="1:31" s="572" customFormat="1">
      <c r="A154" s="570" t="s">
        <v>517</v>
      </c>
      <c r="B154" s="573" t="s">
        <v>166</v>
      </c>
      <c r="C154" s="578">
        <v>17</v>
      </c>
      <c r="D154" s="573" t="s">
        <v>151</v>
      </c>
      <c r="E154" s="573" t="s">
        <v>152</v>
      </c>
      <c r="F154" s="573" t="s">
        <v>519</v>
      </c>
      <c r="G154" s="573">
        <v>2019</v>
      </c>
      <c r="H154" s="573" t="s">
        <v>520</v>
      </c>
      <c r="I154" s="573" t="s">
        <v>521</v>
      </c>
      <c r="J154" s="573" t="s">
        <v>156</v>
      </c>
      <c r="K154" s="573">
        <v>5</v>
      </c>
      <c r="L154" s="573">
        <v>0</v>
      </c>
      <c r="M154" s="573" t="s">
        <v>157</v>
      </c>
      <c r="N154" s="573">
        <v>2</v>
      </c>
      <c r="O154" s="573" t="s">
        <v>157</v>
      </c>
      <c r="P154" s="571" t="s">
        <v>157</v>
      </c>
      <c r="Q154" s="573" t="s">
        <v>352</v>
      </c>
      <c r="R154" s="573">
        <v>4</v>
      </c>
      <c r="S154" s="582" t="s">
        <v>522</v>
      </c>
      <c r="T154" s="573" t="s">
        <v>523</v>
      </c>
      <c r="U154" s="573">
        <v>106.3</v>
      </c>
      <c r="V154" s="573">
        <v>14</v>
      </c>
      <c r="W154" s="616">
        <v>3880</v>
      </c>
      <c r="X154" s="617">
        <v>33</v>
      </c>
      <c r="Y154" s="617" t="s">
        <v>178</v>
      </c>
      <c r="Z154" s="617" t="s">
        <v>178</v>
      </c>
      <c r="AA154" s="618">
        <v>18362</v>
      </c>
      <c r="AB154" s="618" t="s">
        <v>164</v>
      </c>
      <c r="AC154" s="618">
        <v>17992</v>
      </c>
      <c r="AD154" s="619">
        <v>4.4999999999999998E-2</v>
      </c>
      <c r="AE154" s="617" t="s">
        <v>518</v>
      </c>
    </row>
    <row r="155" spans="1:31" s="572" customFormat="1">
      <c r="A155" s="570" t="s">
        <v>524</v>
      </c>
      <c r="B155" s="569" t="s">
        <v>166</v>
      </c>
      <c r="C155" s="580">
        <v>17</v>
      </c>
      <c r="D155" s="569" t="s">
        <v>151</v>
      </c>
      <c r="E155" s="569" t="s">
        <v>196</v>
      </c>
      <c r="F155" s="569" t="s">
        <v>519</v>
      </c>
      <c r="G155" s="569">
        <v>2019</v>
      </c>
      <c r="H155" s="569" t="s">
        <v>526</v>
      </c>
      <c r="I155" s="569" t="s">
        <v>527</v>
      </c>
      <c r="J155" s="569" t="s">
        <v>156</v>
      </c>
      <c r="K155" s="569">
        <v>5</v>
      </c>
      <c r="L155" s="569">
        <v>0</v>
      </c>
      <c r="M155" s="569" t="s">
        <v>157</v>
      </c>
      <c r="N155" s="569">
        <v>2</v>
      </c>
      <c r="O155" s="569" t="s">
        <v>157</v>
      </c>
      <c r="P155" s="568" t="s">
        <v>157</v>
      </c>
      <c r="Q155" s="569" t="s">
        <v>274</v>
      </c>
      <c r="R155" s="569">
        <v>4</v>
      </c>
      <c r="S155" s="569" t="s">
        <v>528</v>
      </c>
      <c r="T155" s="569" t="s">
        <v>523</v>
      </c>
      <c r="U155" s="569">
        <v>110.4</v>
      </c>
      <c r="V155" s="569">
        <v>18.5</v>
      </c>
      <c r="W155" s="620">
        <v>3250</v>
      </c>
      <c r="X155" s="621">
        <v>32</v>
      </c>
      <c r="Y155" s="621" t="s">
        <v>178</v>
      </c>
      <c r="Z155" s="621" t="s">
        <v>178</v>
      </c>
      <c r="AA155" s="622">
        <v>23975</v>
      </c>
      <c r="AB155" s="622" t="s">
        <v>164</v>
      </c>
      <c r="AC155" s="622">
        <v>23199.9</v>
      </c>
      <c r="AD155" s="623">
        <v>4.4999999999999998E-2</v>
      </c>
      <c r="AE155" s="621" t="s">
        <v>525</v>
      </c>
    </row>
    <row r="156" spans="1:31" s="572" customFormat="1">
      <c r="A156" s="570" t="s">
        <v>529</v>
      </c>
      <c r="B156" s="573" t="s">
        <v>166</v>
      </c>
      <c r="C156" s="578">
        <v>17</v>
      </c>
      <c r="D156" s="573" t="s">
        <v>151</v>
      </c>
      <c r="E156" s="573" t="s">
        <v>196</v>
      </c>
      <c r="F156" s="573" t="s">
        <v>519</v>
      </c>
      <c r="G156" s="573">
        <v>2019</v>
      </c>
      <c r="H156" s="573" t="s">
        <v>526</v>
      </c>
      <c r="I156" s="573" t="s">
        <v>531</v>
      </c>
      <c r="J156" s="573" t="s">
        <v>156</v>
      </c>
      <c r="K156" s="573">
        <v>5</v>
      </c>
      <c r="L156" s="573">
        <v>0</v>
      </c>
      <c r="M156" s="573" t="s">
        <v>157</v>
      </c>
      <c r="N156" s="573">
        <v>2</v>
      </c>
      <c r="O156" s="573" t="s">
        <v>157</v>
      </c>
      <c r="P156" s="571" t="s">
        <v>157</v>
      </c>
      <c r="Q156" s="573" t="s">
        <v>352</v>
      </c>
      <c r="R156" s="573">
        <v>4</v>
      </c>
      <c r="S156" s="582" t="s">
        <v>532</v>
      </c>
      <c r="T156" s="573" t="s">
        <v>523</v>
      </c>
      <c r="U156" s="573">
        <v>110.4</v>
      </c>
      <c r="V156" s="573">
        <v>15.85</v>
      </c>
      <c r="W156" s="616">
        <v>3497</v>
      </c>
      <c r="X156" s="617">
        <v>42</v>
      </c>
      <c r="Y156" s="617" t="s">
        <v>178</v>
      </c>
      <c r="Z156" s="617" t="s">
        <v>163</v>
      </c>
      <c r="AA156" s="618">
        <v>26705</v>
      </c>
      <c r="AB156" s="618" t="s">
        <v>164</v>
      </c>
      <c r="AC156" s="618">
        <v>21378.18</v>
      </c>
      <c r="AD156" s="619">
        <v>4.4999999999999998E-2</v>
      </c>
      <c r="AE156" s="617" t="s">
        <v>530</v>
      </c>
    </row>
    <row r="157" spans="1:31" s="572" customFormat="1">
      <c r="A157" s="570" t="s">
        <v>533</v>
      </c>
      <c r="B157" s="569" t="s">
        <v>166</v>
      </c>
      <c r="C157" s="580">
        <v>17</v>
      </c>
      <c r="D157" s="569" t="s">
        <v>151</v>
      </c>
      <c r="E157" s="569" t="s">
        <v>196</v>
      </c>
      <c r="F157" s="569" t="s">
        <v>519</v>
      </c>
      <c r="G157" s="569">
        <v>2019</v>
      </c>
      <c r="H157" s="569" t="s">
        <v>526</v>
      </c>
      <c r="I157" s="569" t="s">
        <v>535</v>
      </c>
      <c r="J157" s="569" t="s">
        <v>156</v>
      </c>
      <c r="K157" s="569">
        <v>5</v>
      </c>
      <c r="L157" s="569">
        <v>0</v>
      </c>
      <c r="M157" s="569" t="s">
        <v>157</v>
      </c>
      <c r="N157" s="569">
        <v>2</v>
      </c>
      <c r="O157" s="569" t="s">
        <v>157</v>
      </c>
      <c r="P157" s="568" t="s">
        <v>157</v>
      </c>
      <c r="Q157" s="569" t="s">
        <v>352</v>
      </c>
      <c r="R157" s="569">
        <v>4</v>
      </c>
      <c r="S157" s="569" t="s">
        <v>536</v>
      </c>
      <c r="T157" s="569" t="s">
        <v>523</v>
      </c>
      <c r="U157" s="569">
        <v>110.4</v>
      </c>
      <c r="V157" s="569">
        <v>14.53</v>
      </c>
      <c r="W157" s="620">
        <v>3787</v>
      </c>
      <c r="X157" s="621">
        <v>93</v>
      </c>
      <c r="Y157" s="621" t="s">
        <v>163</v>
      </c>
      <c r="Z157" s="621" t="s">
        <v>178</v>
      </c>
      <c r="AA157" s="622">
        <v>34405</v>
      </c>
      <c r="AB157" s="622" t="s">
        <v>164</v>
      </c>
      <c r="AC157" s="622">
        <v>34550.46</v>
      </c>
      <c r="AD157" s="623">
        <v>4.4999999999999998E-2</v>
      </c>
      <c r="AE157" s="621" t="s">
        <v>534</v>
      </c>
    </row>
    <row r="158" spans="1:31" s="572" customFormat="1">
      <c r="A158" s="570" t="s">
        <v>537</v>
      </c>
      <c r="B158" s="573" t="s">
        <v>166</v>
      </c>
      <c r="C158" s="578">
        <v>17</v>
      </c>
      <c r="D158" s="573" t="s">
        <v>151</v>
      </c>
      <c r="E158" s="573" t="s">
        <v>196</v>
      </c>
      <c r="F158" s="573" t="s">
        <v>519</v>
      </c>
      <c r="G158" s="573">
        <v>2019</v>
      </c>
      <c r="H158" s="573" t="s">
        <v>526</v>
      </c>
      <c r="I158" s="573" t="s">
        <v>330</v>
      </c>
      <c r="J158" s="573" t="s">
        <v>156</v>
      </c>
      <c r="K158" s="573">
        <v>5</v>
      </c>
      <c r="L158" s="573">
        <v>0</v>
      </c>
      <c r="M158" s="573" t="s">
        <v>157</v>
      </c>
      <c r="N158" s="573">
        <v>2</v>
      </c>
      <c r="O158" s="573" t="s">
        <v>157</v>
      </c>
      <c r="P158" s="571" t="s">
        <v>157</v>
      </c>
      <c r="Q158" s="573" t="s">
        <v>539</v>
      </c>
      <c r="R158" s="573">
        <v>4</v>
      </c>
      <c r="S158" s="582" t="s">
        <v>540</v>
      </c>
      <c r="T158" s="573" t="s">
        <v>523</v>
      </c>
      <c r="U158" s="573">
        <v>110.4</v>
      </c>
      <c r="V158" s="573">
        <v>18.5</v>
      </c>
      <c r="W158" s="616">
        <v>3252</v>
      </c>
      <c r="X158" s="617">
        <v>29</v>
      </c>
      <c r="Y158" s="617" t="s">
        <v>178</v>
      </c>
      <c r="Z158" s="617" t="s">
        <v>178</v>
      </c>
      <c r="AA158" s="618">
        <v>23185</v>
      </c>
      <c r="AB158" s="618" t="s">
        <v>164</v>
      </c>
      <c r="AC158" s="618">
        <v>22536.9</v>
      </c>
      <c r="AD158" s="619">
        <v>4.4999999999999998E-2</v>
      </c>
      <c r="AE158" s="617" t="s">
        <v>538</v>
      </c>
    </row>
    <row r="159" spans="1:31" s="572" customFormat="1">
      <c r="A159" s="570" t="s">
        <v>541</v>
      </c>
      <c r="B159" s="569" t="s">
        <v>543</v>
      </c>
      <c r="C159" s="580" t="s">
        <v>544</v>
      </c>
      <c r="D159" s="569" t="s">
        <v>151</v>
      </c>
      <c r="E159" s="569" t="s">
        <v>196</v>
      </c>
      <c r="F159" s="569" t="s">
        <v>545</v>
      </c>
      <c r="G159" s="569">
        <v>2019</v>
      </c>
      <c r="H159" s="569" t="s">
        <v>546</v>
      </c>
      <c r="I159" s="569" t="s">
        <v>547</v>
      </c>
      <c r="J159" s="569" t="s">
        <v>156</v>
      </c>
      <c r="K159" s="569">
        <v>5</v>
      </c>
      <c r="L159" s="569">
        <v>0</v>
      </c>
      <c r="M159" s="569" t="s">
        <v>157</v>
      </c>
      <c r="N159" s="569">
        <v>2</v>
      </c>
      <c r="O159" s="569" t="s">
        <v>157</v>
      </c>
      <c r="P159" s="568" t="s">
        <v>157</v>
      </c>
      <c r="Q159" s="569" t="s">
        <v>189</v>
      </c>
      <c r="R159" s="569">
        <v>4</v>
      </c>
      <c r="S159" s="569">
        <v>13119</v>
      </c>
      <c r="T159" s="569" t="s">
        <v>157</v>
      </c>
      <c r="U159" s="569">
        <v>109.3</v>
      </c>
      <c r="V159" s="569">
        <v>18</v>
      </c>
      <c r="W159" s="620">
        <v>3212</v>
      </c>
      <c r="X159" s="621">
        <v>32</v>
      </c>
      <c r="Y159" s="621" t="s">
        <v>178</v>
      </c>
      <c r="Z159" s="621" t="s">
        <v>178</v>
      </c>
      <c r="AA159" s="622">
        <v>24645</v>
      </c>
      <c r="AB159" s="622" t="s">
        <v>164</v>
      </c>
      <c r="AC159" s="622">
        <v>20870</v>
      </c>
      <c r="AD159" s="623">
        <v>0.03</v>
      </c>
      <c r="AE159" s="621" t="s">
        <v>542</v>
      </c>
    </row>
    <row r="160" spans="1:31" s="572" customFormat="1">
      <c r="A160" s="570" t="s">
        <v>548</v>
      </c>
      <c r="B160" s="573" t="s">
        <v>549</v>
      </c>
      <c r="C160" s="578">
        <v>16</v>
      </c>
      <c r="D160" s="573" t="s">
        <v>151</v>
      </c>
      <c r="E160" s="573" t="s">
        <v>196</v>
      </c>
      <c r="F160" s="573" t="s">
        <v>545</v>
      </c>
      <c r="G160" s="573">
        <v>2019</v>
      </c>
      <c r="H160" s="573" t="s">
        <v>546</v>
      </c>
      <c r="I160" s="573" t="s">
        <v>547</v>
      </c>
      <c r="J160" s="573" t="s">
        <v>156</v>
      </c>
      <c r="K160" s="573">
        <v>5</v>
      </c>
      <c r="L160" s="573">
        <v>0</v>
      </c>
      <c r="M160" s="573" t="s">
        <v>157</v>
      </c>
      <c r="N160" s="573">
        <v>2</v>
      </c>
      <c r="O160" s="573" t="s">
        <v>157</v>
      </c>
      <c r="P160" s="571" t="s">
        <v>157</v>
      </c>
      <c r="Q160" s="573" t="s">
        <v>189</v>
      </c>
      <c r="R160" s="573">
        <v>4</v>
      </c>
      <c r="S160" s="582">
        <v>13119</v>
      </c>
      <c r="T160" s="573" t="s">
        <v>157</v>
      </c>
      <c r="U160" s="573">
        <v>109.3</v>
      </c>
      <c r="V160" s="573">
        <v>18</v>
      </c>
      <c r="W160" s="616">
        <v>3212</v>
      </c>
      <c r="X160" s="617">
        <v>31</v>
      </c>
      <c r="Y160" s="617" t="s">
        <v>178</v>
      </c>
      <c r="Z160" s="617" t="s">
        <v>178</v>
      </c>
      <c r="AA160" s="618">
        <v>24645</v>
      </c>
      <c r="AB160" s="618" t="s">
        <v>164</v>
      </c>
      <c r="AC160" s="618">
        <v>20495</v>
      </c>
      <c r="AD160" s="619">
        <v>0.05</v>
      </c>
      <c r="AE160" s="617" t="s">
        <v>542</v>
      </c>
    </row>
    <row r="161" spans="1:31" s="572" customFormat="1">
      <c r="A161" s="570" t="s">
        <v>550</v>
      </c>
      <c r="B161" s="569" t="s">
        <v>549</v>
      </c>
      <c r="C161" s="580">
        <v>16</v>
      </c>
      <c r="D161" s="569" t="s">
        <v>151</v>
      </c>
      <c r="E161" s="569" t="s">
        <v>196</v>
      </c>
      <c r="F161" s="569" t="s">
        <v>545</v>
      </c>
      <c r="G161" s="569">
        <v>2019</v>
      </c>
      <c r="H161" s="569" t="s">
        <v>546</v>
      </c>
      <c r="I161" s="569" t="s">
        <v>552</v>
      </c>
      <c r="J161" s="569" t="s">
        <v>230</v>
      </c>
      <c r="K161" s="569">
        <v>5</v>
      </c>
      <c r="L161" s="569">
        <v>0</v>
      </c>
      <c r="M161" s="569" t="s">
        <v>157</v>
      </c>
      <c r="N161" s="569">
        <v>2</v>
      </c>
      <c r="O161" s="569" t="s">
        <v>157</v>
      </c>
      <c r="P161" s="568" t="s">
        <v>157</v>
      </c>
      <c r="Q161" s="569" t="s">
        <v>189</v>
      </c>
      <c r="R161" s="569">
        <v>4</v>
      </c>
      <c r="S161" s="569">
        <v>13019</v>
      </c>
      <c r="T161" s="569" t="s">
        <v>157</v>
      </c>
      <c r="U161" s="569">
        <v>111.2</v>
      </c>
      <c r="V161" s="569">
        <v>16</v>
      </c>
      <c r="W161" s="620">
        <v>3344</v>
      </c>
      <c r="X161" s="621">
        <v>30</v>
      </c>
      <c r="Y161" s="621" t="s">
        <v>178</v>
      </c>
      <c r="Z161" s="621" t="s">
        <v>178</v>
      </c>
      <c r="AA161" s="622">
        <v>25995</v>
      </c>
      <c r="AB161" s="622" t="s">
        <v>164</v>
      </c>
      <c r="AC161" s="622">
        <v>21990</v>
      </c>
      <c r="AD161" s="623">
        <v>0.05</v>
      </c>
      <c r="AE161" s="621" t="s">
        <v>551</v>
      </c>
    </row>
    <row r="162" spans="1:31" s="572" customFormat="1">
      <c r="A162" s="570" t="s">
        <v>553</v>
      </c>
      <c r="B162" s="573" t="s">
        <v>543</v>
      </c>
      <c r="C162" s="578" t="s">
        <v>544</v>
      </c>
      <c r="D162" s="573" t="s">
        <v>151</v>
      </c>
      <c r="E162" s="573" t="s">
        <v>196</v>
      </c>
      <c r="F162" s="573" t="s">
        <v>545</v>
      </c>
      <c r="G162" s="573">
        <v>2019</v>
      </c>
      <c r="H162" s="573" t="s">
        <v>546</v>
      </c>
      <c r="I162" s="573" t="s">
        <v>552</v>
      </c>
      <c r="J162" s="573" t="s">
        <v>156</v>
      </c>
      <c r="K162" s="573">
        <v>5</v>
      </c>
      <c r="L162" s="573">
        <v>0</v>
      </c>
      <c r="M162" s="573" t="s">
        <v>157</v>
      </c>
      <c r="N162" s="573">
        <v>2</v>
      </c>
      <c r="O162" s="573" t="s">
        <v>157</v>
      </c>
      <c r="P162" s="571" t="s">
        <v>157</v>
      </c>
      <c r="Q162" s="573" t="s">
        <v>189</v>
      </c>
      <c r="R162" s="573">
        <v>4</v>
      </c>
      <c r="S162" s="582">
        <v>13119</v>
      </c>
      <c r="T162" s="573" t="s">
        <v>157</v>
      </c>
      <c r="U162" s="573">
        <v>109.3</v>
      </c>
      <c r="V162" s="573">
        <v>18</v>
      </c>
      <c r="W162" s="616">
        <v>3212</v>
      </c>
      <c r="X162" s="617">
        <v>32</v>
      </c>
      <c r="Y162" s="617" t="s">
        <v>178</v>
      </c>
      <c r="Z162" s="617" t="s">
        <v>178</v>
      </c>
      <c r="AA162" s="618">
        <v>24645</v>
      </c>
      <c r="AB162" s="618" t="s">
        <v>164</v>
      </c>
      <c r="AC162" s="618">
        <v>20870</v>
      </c>
      <c r="AD162" s="619">
        <v>0.03</v>
      </c>
      <c r="AE162" s="617" t="s">
        <v>554</v>
      </c>
    </row>
    <row r="163" spans="1:31" s="572" customFormat="1">
      <c r="A163" s="570" t="s">
        <v>555</v>
      </c>
      <c r="B163" s="569" t="s">
        <v>543</v>
      </c>
      <c r="C163" s="580" t="s">
        <v>544</v>
      </c>
      <c r="D163" s="569" t="s">
        <v>151</v>
      </c>
      <c r="E163" s="569" t="s">
        <v>196</v>
      </c>
      <c r="F163" s="569" t="s">
        <v>545</v>
      </c>
      <c r="G163" s="569">
        <v>2019</v>
      </c>
      <c r="H163" s="569" t="s">
        <v>546</v>
      </c>
      <c r="I163" s="569" t="s">
        <v>557</v>
      </c>
      <c r="J163" s="569" t="s">
        <v>230</v>
      </c>
      <c r="K163" s="569">
        <v>5</v>
      </c>
      <c r="L163" s="569">
        <v>0</v>
      </c>
      <c r="M163" s="569" t="s">
        <v>157</v>
      </c>
      <c r="N163" s="569">
        <v>2</v>
      </c>
      <c r="O163" s="569" t="s">
        <v>157</v>
      </c>
      <c r="P163" s="568" t="s">
        <v>157</v>
      </c>
      <c r="Q163" s="569" t="s">
        <v>189</v>
      </c>
      <c r="R163" s="569">
        <v>4</v>
      </c>
      <c r="S163" s="569">
        <v>13419</v>
      </c>
      <c r="T163" s="569" t="s">
        <v>157</v>
      </c>
      <c r="U163" s="569">
        <v>109.3</v>
      </c>
      <c r="V163" s="569">
        <v>18</v>
      </c>
      <c r="W163" s="620">
        <v>3233</v>
      </c>
      <c r="X163" s="621">
        <v>30</v>
      </c>
      <c r="Y163" s="621" t="s">
        <v>178</v>
      </c>
      <c r="Z163" s="621" t="s">
        <v>178</v>
      </c>
      <c r="AA163" s="622">
        <v>30175</v>
      </c>
      <c r="AB163" s="622" t="s">
        <v>164</v>
      </c>
      <c r="AC163" s="622">
        <v>26109</v>
      </c>
      <c r="AD163" s="623">
        <v>0.03</v>
      </c>
      <c r="AE163" s="621" t="s">
        <v>556</v>
      </c>
    </row>
    <row r="164" spans="1:31" s="572" customFormat="1">
      <c r="A164" s="570" t="s">
        <v>558</v>
      </c>
      <c r="B164" s="573" t="s">
        <v>549</v>
      </c>
      <c r="C164" s="578">
        <v>16</v>
      </c>
      <c r="D164" s="573" t="s">
        <v>151</v>
      </c>
      <c r="E164" s="573" t="s">
        <v>196</v>
      </c>
      <c r="F164" s="573" t="s">
        <v>545</v>
      </c>
      <c r="G164" s="573">
        <v>2019</v>
      </c>
      <c r="H164" s="573" t="s">
        <v>546</v>
      </c>
      <c r="I164" s="573" t="s">
        <v>557</v>
      </c>
      <c r="J164" s="573" t="s">
        <v>230</v>
      </c>
      <c r="K164" s="573">
        <v>5</v>
      </c>
      <c r="L164" s="573">
        <v>0</v>
      </c>
      <c r="M164" s="573" t="s">
        <v>157</v>
      </c>
      <c r="N164" s="573">
        <v>2</v>
      </c>
      <c r="O164" s="573" t="s">
        <v>157</v>
      </c>
      <c r="P164" s="571" t="s">
        <v>157</v>
      </c>
      <c r="Q164" s="573" t="s">
        <v>560</v>
      </c>
      <c r="R164" s="573">
        <v>4</v>
      </c>
      <c r="S164" s="582">
        <v>13419</v>
      </c>
      <c r="T164" s="573" t="s">
        <v>157</v>
      </c>
      <c r="U164" s="573">
        <v>111.2</v>
      </c>
      <c r="V164" s="573">
        <v>16</v>
      </c>
      <c r="W164" s="616">
        <v>3344</v>
      </c>
      <c r="X164" s="617">
        <v>30</v>
      </c>
      <c r="Y164" s="617" t="s">
        <v>178</v>
      </c>
      <c r="Z164" s="617" t="s">
        <v>178</v>
      </c>
      <c r="AA164" s="618">
        <v>30175</v>
      </c>
      <c r="AB164" s="618" t="s">
        <v>164</v>
      </c>
      <c r="AC164" s="618">
        <v>25990</v>
      </c>
      <c r="AD164" s="619">
        <v>0.05</v>
      </c>
      <c r="AE164" s="617" t="s">
        <v>559</v>
      </c>
    </row>
    <row r="165" spans="1:31" s="572" customFormat="1">
      <c r="A165" s="570" t="s">
        <v>561</v>
      </c>
      <c r="B165" s="569" t="s">
        <v>543</v>
      </c>
      <c r="C165" s="580" t="s">
        <v>544</v>
      </c>
      <c r="D165" s="569" t="s">
        <v>151</v>
      </c>
      <c r="E165" s="569" t="s">
        <v>196</v>
      </c>
      <c r="F165" s="569" t="s">
        <v>545</v>
      </c>
      <c r="G165" s="569">
        <v>2019</v>
      </c>
      <c r="H165" s="569" t="s">
        <v>546</v>
      </c>
      <c r="I165" s="569" t="s">
        <v>557</v>
      </c>
      <c r="J165" s="569" t="s">
        <v>156</v>
      </c>
      <c r="K165" s="569">
        <v>5</v>
      </c>
      <c r="L165" s="569">
        <v>0</v>
      </c>
      <c r="M165" s="569" t="s">
        <v>157</v>
      </c>
      <c r="N165" s="569">
        <v>2</v>
      </c>
      <c r="O165" s="569" t="s">
        <v>157</v>
      </c>
      <c r="P165" s="568" t="s">
        <v>157</v>
      </c>
      <c r="Q165" s="569" t="s">
        <v>189</v>
      </c>
      <c r="R165" s="569">
        <v>4</v>
      </c>
      <c r="S165" s="569">
        <v>13519</v>
      </c>
      <c r="T165" s="569" t="s">
        <v>157</v>
      </c>
      <c r="U165" s="569">
        <v>109.3</v>
      </c>
      <c r="V165" s="569">
        <v>18</v>
      </c>
      <c r="W165" s="620">
        <v>3233</v>
      </c>
      <c r="X165" s="621">
        <v>32</v>
      </c>
      <c r="Y165" s="621" t="s">
        <v>178</v>
      </c>
      <c r="Z165" s="621" t="s">
        <v>178</v>
      </c>
      <c r="AA165" s="622">
        <v>28825</v>
      </c>
      <c r="AB165" s="622" t="s">
        <v>164</v>
      </c>
      <c r="AC165" s="622">
        <v>24966.400000000001</v>
      </c>
      <c r="AD165" s="623">
        <v>0.03</v>
      </c>
      <c r="AE165" s="621" t="s">
        <v>562</v>
      </c>
    </row>
    <row r="166" spans="1:31" s="572" customFormat="1">
      <c r="A166" s="570" t="s">
        <v>563</v>
      </c>
      <c r="B166" s="573" t="s">
        <v>549</v>
      </c>
      <c r="C166" s="578">
        <v>16</v>
      </c>
      <c r="D166" s="573" t="s">
        <v>151</v>
      </c>
      <c r="E166" s="573" t="s">
        <v>196</v>
      </c>
      <c r="F166" s="573" t="s">
        <v>545</v>
      </c>
      <c r="G166" s="573">
        <v>2019</v>
      </c>
      <c r="H166" s="573" t="s">
        <v>546</v>
      </c>
      <c r="I166" s="573" t="s">
        <v>557</v>
      </c>
      <c r="J166" s="573" t="s">
        <v>156</v>
      </c>
      <c r="K166" s="573">
        <v>5</v>
      </c>
      <c r="L166" s="573">
        <v>0</v>
      </c>
      <c r="M166" s="573" t="s">
        <v>157</v>
      </c>
      <c r="N166" s="573">
        <v>2</v>
      </c>
      <c r="O166" s="573" t="s">
        <v>157</v>
      </c>
      <c r="P166" s="571" t="s">
        <v>157</v>
      </c>
      <c r="Q166" s="573" t="s">
        <v>189</v>
      </c>
      <c r="R166" s="573">
        <v>4</v>
      </c>
      <c r="S166" s="582">
        <v>13519</v>
      </c>
      <c r="T166" s="573" t="s">
        <v>157</v>
      </c>
      <c r="U166" s="573">
        <v>109.3</v>
      </c>
      <c r="V166" s="573">
        <v>18</v>
      </c>
      <c r="W166" s="616">
        <v>3233</v>
      </c>
      <c r="X166" s="617">
        <v>31</v>
      </c>
      <c r="Y166" s="617" t="s">
        <v>178</v>
      </c>
      <c r="Z166" s="617" t="s">
        <v>178</v>
      </c>
      <c r="AA166" s="618">
        <v>28825</v>
      </c>
      <c r="AB166" s="618" t="s">
        <v>164</v>
      </c>
      <c r="AC166" s="618">
        <v>24625</v>
      </c>
      <c r="AD166" s="619">
        <v>0.05</v>
      </c>
      <c r="AE166" s="617" t="s">
        <v>562</v>
      </c>
    </row>
    <row r="167" spans="1:31" s="572" customFormat="1" ht="30">
      <c r="A167" s="570" t="s">
        <v>564</v>
      </c>
      <c r="B167" s="569" t="s">
        <v>543</v>
      </c>
      <c r="C167" s="580" t="s">
        <v>544</v>
      </c>
      <c r="D167" s="569" t="s">
        <v>151</v>
      </c>
      <c r="E167" s="569" t="s">
        <v>152</v>
      </c>
      <c r="F167" s="569" t="s">
        <v>545</v>
      </c>
      <c r="G167" s="569">
        <v>2019</v>
      </c>
      <c r="H167" s="569" t="s">
        <v>566</v>
      </c>
      <c r="I167" s="569" t="s">
        <v>273</v>
      </c>
      <c r="J167" s="569" t="s">
        <v>156</v>
      </c>
      <c r="K167" s="569">
        <v>5</v>
      </c>
      <c r="L167" s="569">
        <v>0</v>
      </c>
      <c r="M167" s="569" t="s">
        <v>157</v>
      </c>
      <c r="N167" s="569">
        <v>2</v>
      </c>
      <c r="O167" s="569" t="s">
        <v>157</v>
      </c>
      <c r="P167" s="568" t="s">
        <v>157</v>
      </c>
      <c r="Q167" s="569" t="s">
        <v>567</v>
      </c>
      <c r="R167" s="569" t="s">
        <v>568</v>
      </c>
      <c r="S167" s="569">
        <v>17019</v>
      </c>
      <c r="T167" s="569" t="s">
        <v>157</v>
      </c>
      <c r="U167" s="569">
        <v>106.3</v>
      </c>
      <c r="V167" s="569" t="s">
        <v>569</v>
      </c>
      <c r="W167" s="620">
        <v>3433</v>
      </c>
      <c r="X167" s="621" t="s">
        <v>6834</v>
      </c>
      <c r="Y167" s="621" t="s">
        <v>163</v>
      </c>
      <c r="Z167" s="621" t="s">
        <v>163</v>
      </c>
      <c r="AA167" s="622">
        <v>30885</v>
      </c>
      <c r="AB167" s="622">
        <v>32475</v>
      </c>
      <c r="AC167" s="622">
        <v>28209</v>
      </c>
      <c r="AD167" s="623">
        <v>0.03</v>
      </c>
      <c r="AE167" s="621" t="s">
        <v>565</v>
      </c>
    </row>
    <row r="168" spans="1:31" s="572" customFormat="1" ht="30">
      <c r="A168" s="570" t="s">
        <v>570</v>
      </c>
      <c r="B168" s="573" t="s">
        <v>549</v>
      </c>
      <c r="C168" s="578">
        <v>16</v>
      </c>
      <c r="D168" s="573" t="s">
        <v>151</v>
      </c>
      <c r="E168" s="573" t="s">
        <v>152</v>
      </c>
      <c r="F168" s="573" t="s">
        <v>545</v>
      </c>
      <c r="G168" s="573">
        <v>2019</v>
      </c>
      <c r="H168" s="573" t="s">
        <v>566</v>
      </c>
      <c r="I168" s="573" t="s">
        <v>273</v>
      </c>
      <c r="J168" s="573" t="s">
        <v>156</v>
      </c>
      <c r="K168" s="573">
        <v>5</v>
      </c>
      <c r="L168" s="573">
        <v>0</v>
      </c>
      <c r="M168" s="573" t="s">
        <v>157</v>
      </c>
      <c r="N168" s="573">
        <v>2</v>
      </c>
      <c r="O168" s="573" t="s">
        <v>157</v>
      </c>
      <c r="P168" s="571" t="s">
        <v>157</v>
      </c>
      <c r="Q168" s="573" t="s">
        <v>567</v>
      </c>
      <c r="R168" s="573" t="s">
        <v>568</v>
      </c>
      <c r="S168" s="582">
        <v>17019</v>
      </c>
      <c r="T168" s="573" t="s">
        <v>157</v>
      </c>
      <c r="U168" s="573">
        <v>106.3</v>
      </c>
      <c r="V168" s="573" t="s">
        <v>569</v>
      </c>
      <c r="W168" s="616">
        <v>3433</v>
      </c>
      <c r="X168" s="617" t="s">
        <v>6834</v>
      </c>
      <c r="Y168" s="617" t="s">
        <v>163</v>
      </c>
      <c r="Z168" s="617" t="s">
        <v>163</v>
      </c>
      <c r="AA168" s="618">
        <v>30885</v>
      </c>
      <c r="AB168" s="618">
        <v>32475</v>
      </c>
      <c r="AC168" s="618">
        <v>26490</v>
      </c>
      <c r="AD168" s="619">
        <v>0.05</v>
      </c>
      <c r="AE168" s="617" t="s">
        <v>571</v>
      </c>
    </row>
    <row r="169" spans="1:31" s="572" customFormat="1" ht="30">
      <c r="A169" s="570" t="s">
        <v>572</v>
      </c>
      <c r="B169" s="569" t="s">
        <v>543</v>
      </c>
      <c r="C169" s="580" t="s">
        <v>544</v>
      </c>
      <c r="D169" s="569" t="s">
        <v>151</v>
      </c>
      <c r="E169" s="569" t="s">
        <v>152</v>
      </c>
      <c r="F169" s="569" t="s">
        <v>545</v>
      </c>
      <c r="G169" s="569">
        <v>2019</v>
      </c>
      <c r="H169" s="569" t="s">
        <v>566</v>
      </c>
      <c r="I169" s="569" t="s">
        <v>574</v>
      </c>
      <c r="J169" s="569" t="s">
        <v>156</v>
      </c>
      <c r="K169" s="569">
        <v>5</v>
      </c>
      <c r="L169" s="569">
        <v>0</v>
      </c>
      <c r="M169" s="569" t="s">
        <v>157</v>
      </c>
      <c r="N169" s="569">
        <v>2</v>
      </c>
      <c r="O169" s="569" t="s">
        <v>157</v>
      </c>
      <c r="P169" s="568" t="s">
        <v>157</v>
      </c>
      <c r="Q169" s="569" t="s">
        <v>567</v>
      </c>
      <c r="R169" s="569" t="s">
        <v>568</v>
      </c>
      <c r="S169" s="569">
        <v>17219</v>
      </c>
      <c r="T169" s="569" t="s">
        <v>157</v>
      </c>
      <c r="U169" s="569">
        <v>106.3</v>
      </c>
      <c r="V169" s="569" t="s">
        <v>569</v>
      </c>
      <c r="W169" s="620">
        <v>3468</v>
      </c>
      <c r="X169" s="621" t="s">
        <v>6834</v>
      </c>
      <c r="Y169" s="621" t="s">
        <v>163</v>
      </c>
      <c r="Z169" s="621" t="s">
        <v>163</v>
      </c>
      <c r="AA169" s="622">
        <v>37095</v>
      </c>
      <c r="AB169" s="622" t="s">
        <v>164</v>
      </c>
      <c r="AC169" s="622">
        <v>32771</v>
      </c>
      <c r="AD169" s="623">
        <v>0.03</v>
      </c>
      <c r="AE169" s="621" t="s">
        <v>573</v>
      </c>
    </row>
    <row r="170" spans="1:31" s="572" customFormat="1" ht="30">
      <c r="A170" s="570" t="s">
        <v>564</v>
      </c>
      <c r="B170" s="573" t="s">
        <v>543</v>
      </c>
      <c r="C170" s="578" t="s">
        <v>544</v>
      </c>
      <c r="D170" s="573" t="s">
        <v>151</v>
      </c>
      <c r="E170" s="573" t="s">
        <v>152</v>
      </c>
      <c r="F170" s="573" t="s">
        <v>545</v>
      </c>
      <c r="G170" s="573">
        <v>2019</v>
      </c>
      <c r="H170" s="573" t="s">
        <v>566</v>
      </c>
      <c r="I170" s="573" t="s">
        <v>575</v>
      </c>
      <c r="J170" s="573" t="s">
        <v>156</v>
      </c>
      <c r="K170" s="573">
        <v>5</v>
      </c>
      <c r="L170" s="573">
        <v>0</v>
      </c>
      <c r="M170" s="573" t="s">
        <v>157</v>
      </c>
      <c r="N170" s="573">
        <v>2</v>
      </c>
      <c r="O170" s="573" t="s">
        <v>157</v>
      </c>
      <c r="P170" s="571" t="s">
        <v>157</v>
      </c>
      <c r="Q170" s="573" t="s">
        <v>567</v>
      </c>
      <c r="R170" s="573" t="s">
        <v>568</v>
      </c>
      <c r="S170" s="582">
        <v>17119</v>
      </c>
      <c r="T170" s="573" t="s">
        <v>157</v>
      </c>
      <c r="U170" s="573">
        <v>106.3</v>
      </c>
      <c r="V170" s="573" t="s">
        <v>569</v>
      </c>
      <c r="W170" s="616">
        <v>3468</v>
      </c>
      <c r="X170" s="617" t="s">
        <v>6834</v>
      </c>
      <c r="Y170" s="617" t="s">
        <v>163</v>
      </c>
      <c r="Z170" s="617" t="s">
        <v>163</v>
      </c>
      <c r="AA170" s="618">
        <v>33385</v>
      </c>
      <c r="AB170" s="618" t="s">
        <v>164</v>
      </c>
      <c r="AC170" s="618">
        <v>29269</v>
      </c>
      <c r="AD170" s="619">
        <v>0.03</v>
      </c>
      <c r="AE170" s="617" t="s">
        <v>565</v>
      </c>
    </row>
    <row r="171" spans="1:31" s="572" customFormat="1" ht="30">
      <c r="A171" s="570" t="s">
        <v>576</v>
      </c>
      <c r="B171" s="569" t="s">
        <v>549</v>
      </c>
      <c r="C171" s="580">
        <v>16</v>
      </c>
      <c r="D171" s="569" t="s">
        <v>151</v>
      </c>
      <c r="E171" s="569" t="s">
        <v>152</v>
      </c>
      <c r="F171" s="569" t="s">
        <v>545</v>
      </c>
      <c r="G171" s="569">
        <v>2019</v>
      </c>
      <c r="H171" s="569" t="s">
        <v>566</v>
      </c>
      <c r="I171" s="569" t="s">
        <v>575</v>
      </c>
      <c r="J171" s="569" t="s">
        <v>156</v>
      </c>
      <c r="K171" s="569">
        <v>5</v>
      </c>
      <c r="L171" s="569">
        <v>0</v>
      </c>
      <c r="M171" s="569" t="s">
        <v>157</v>
      </c>
      <c r="N171" s="569">
        <v>2</v>
      </c>
      <c r="O171" s="569" t="s">
        <v>157</v>
      </c>
      <c r="P171" s="568" t="s">
        <v>157</v>
      </c>
      <c r="Q171" s="569" t="s">
        <v>567</v>
      </c>
      <c r="R171" s="569" t="s">
        <v>568</v>
      </c>
      <c r="S171" s="569">
        <v>17119</v>
      </c>
      <c r="T171" s="569" t="s">
        <v>157</v>
      </c>
      <c r="U171" s="569">
        <v>106.3</v>
      </c>
      <c r="V171" s="569" t="s">
        <v>569</v>
      </c>
      <c r="W171" s="620">
        <v>3468</v>
      </c>
      <c r="X171" s="621" t="s">
        <v>6834</v>
      </c>
      <c r="Y171" s="621" t="s">
        <v>163</v>
      </c>
      <c r="Z171" s="621" t="s">
        <v>163</v>
      </c>
      <c r="AA171" s="622">
        <v>33385</v>
      </c>
      <c r="AB171" s="622" t="s">
        <v>164</v>
      </c>
      <c r="AC171" s="622">
        <v>27990</v>
      </c>
      <c r="AD171" s="623">
        <v>0.05</v>
      </c>
      <c r="AE171" s="621" t="s">
        <v>565</v>
      </c>
    </row>
    <row r="172" spans="1:31" s="572" customFormat="1">
      <c r="A172" s="570" t="s">
        <v>577</v>
      </c>
      <c r="B172" s="573" t="s">
        <v>543</v>
      </c>
      <c r="C172" s="578" t="s">
        <v>544</v>
      </c>
      <c r="D172" s="573" t="s">
        <v>151</v>
      </c>
      <c r="E172" s="573" t="s">
        <v>152</v>
      </c>
      <c r="F172" s="573" t="s">
        <v>545</v>
      </c>
      <c r="G172" s="573">
        <v>2019</v>
      </c>
      <c r="H172" s="573" t="s">
        <v>579</v>
      </c>
      <c r="I172" s="573" t="s">
        <v>580</v>
      </c>
      <c r="J172" s="573" t="s">
        <v>156</v>
      </c>
      <c r="K172" s="573">
        <v>5</v>
      </c>
      <c r="L172" s="573">
        <v>0</v>
      </c>
      <c r="M172" s="573" t="s">
        <v>157</v>
      </c>
      <c r="N172" s="573">
        <v>2</v>
      </c>
      <c r="O172" s="573" t="s">
        <v>157</v>
      </c>
      <c r="P172" s="571" t="s">
        <v>157</v>
      </c>
      <c r="Q172" s="573" t="s">
        <v>199</v>
      </c>
      <c r="R172" s="573">
        <v>4</v>
      </c>
      <c r="S172" s="582">
        <v>12019</v>
      </c>
      <c r="T172" s="573" t="s">
        <v>157</v>
      </c>
      <c r="U172" s="573">
        <v>106.3</v>
      </c>
      <c r="V172" s="573">
        <v>13.2</v>
      </c>
      <c r="W172" s="616">
        <v>2859</v>
      </c>
      <c r="X172" s="617">
        <v>32</v>
      </c>
      <c r="Y172" s="617" t="s">
        <v>178</v>
      </c>
      <c r="Z172" s="617" t="s">
        <v>178</v>
      </c>
      <c r="AA172" s="618">
        <v>19375</v>
      </c>
      <c r="AB172" s="618" t="s">
        <v>164</v>
      </c>
      <c r="AC172" s="618">
        <v>16889</v>
      </c>
      <c r="AD172" s="619">
        <v>0.03</v>
      </c>
      <c r="AE172" s="617" t="s">
        <v>578</v>
      </c>
    </row>
    <row r="173" spans="1:31" s="572" customFormat="1">
      <c r="A173" s="570" t="s">
        <v>581</v>
      </c>
      <c r="B173" s="569" t="s">
        <v>549</v>
      </c>
      <c r="C173" s="580">
        <v>16</v>
      </c>
      <c r="D173" s="569" t="s">
        <v>151</v>
      </c>
      <c r="E173" s="569" t="s">
        <v>152</v>
      </c>
      <c r="F173" s="569" t="s">
        <v>545</v>
      </c>
      <c r="G173" s="569">
        <v>2019</v>
      </c>
      <c r="H173" s="569" t="s">
        <v>579</v>
      </c>
      <c r="I173" s="569" t="s">
        <v>580</v>
      </c>
      <c r="J173" s="569" t="s">
        <v>156</v>
      </c>
      <c r="K173" s="569">
        <v>5</v>
      </c>
      <c r="L173" s="569">
        <v>0</v>
      </c>
      <c r="M173" s="569" t="s">
        <v>157</v>
      </c>
      <c r="N173" s="569">
        <v>2</v>
      </c>
      <c r="O173" s="569" t="s">
        <v>157</v>
      </c>
      <c r="P173" s="568" t="s">
        <v>157</v>
      </c>
      <c r="Q173" s="569" t="s">
        <v>199</v>
      </c>
      <c r="R173" s="569">
        <v>4</v>
      </c>
      <c r="S173" s="569">
        <v>12019</v>
      </c>
      <c r="T173" s="569" t="s">
        <v>157</v>
      </c>
      <c r="U173" s="569">
        <v>106.3</v>
      </c>
      <c r="V173" s="569">
        <v>13.2</v>
      </c>
      <c r="W173" s="620">
        <v>2859</v>
      </c>
      <c r="X173" s="621">
        <v>32</v>
      </c>
      <c r="Y173" s="621" t="s">
        <v>178</v>
      </c>
      <c r="Z173" s="621" t="s">
        <v>178</v>
      </c>
      <c r="AA173" s="622">
        <v>19375</v>
      </c>
      <c r="AB173" s="622" t="s">
        <v>164</v>
      </c>
      <c r="AC173" s="622">
        <v>15875</v>
      </c>
      <c r="AD173" s="623">
        <v>0.05</v>
      </c>
      <c r="AE173" s="621" t="s">
        <v>578</v>
      </c>
    </row>
    <row r="174" spans="1:31" s="572" customFormat="1">
      <c r="A174" s="570" t="s">
        <v>582</v>
      </c>
      <c r="B174" s="573" t="s">
        <v>543</v>
      </c>
      <c r="C174" s="578" t="s">
        <v>544</v>
      </c>
      <c r="D174" s="573" t="s">
        <v>151</v>
      </c>
      <c r="E174" s="573" t="s">
        <v>211</v>
      </c>
      <c r="F174" s="573" t="s">
        <v>545</v>
      </c>
      <c r="G174" s="573">
        <v>2019</v>
      </c>
      <c r="H174" s="573" t="s">
        <v>584</v>
      </c>
      <c r="I174" s="573" t="s">
        <v>585</v>
      </c>
      <c r="J174" s="573" t="s">
        <v>156</v>
      </c>
      <c r="K174" s="573">
        <v>5</v>
      </c>
      <c r="L174" s="573">
        <v>0</v>
      </c>
      <c r="M174" s="573" t="s">
        <v>157</v>
      </c>
      <c r="N174" s="573">
        <v>2</v>
      </c>
      <c r="O174" s="573" t="s">
        <v>157</v>
      </c>
      <c r="P174" s="571" t="s">
        <v>157</v>
      </c>
      <c r="Q174" s="573" t="s">
        <v>274</v>
      </c>
      <c r="R174" s="573">
        <v>4</v>
      </c>
      <c r="S174" s="582">
        <v>10019</v>
      </c>
      <c r="T174" s="573" t="s">
        <v>157</v>
      </c>
      <c r="U174" s="573">
        <v>102.4</v>
      </c>
      <c r="V174" s="573">
        <v>10.8</v>
      </c>
      <c r="W174" s="616">
        <v>2475</v>
      </c>
      <c r="X174" s="617">
        <v>34</v>
      </c>
      <c r="Y174" s="617" t="s">
        <v>178</v>
      </c>
      <c r="Z174" s="617" t="s">
        <v>178</v>
      </c>
      <c r="AA174" s="618">
        <v>15395</v>
      </c>
      <c r="AB174" s="618" t="s">
        <v>164</v>
      </c>
      <c r="AC174" s="618">
        <v>12999</v>
      </c>
      <c r="AD174" s="619">
        <v>0.03</v>
      </c>
      <c r="AE174" s="617" t="s">
        <v>583</v>
      </c>
    </row>
    <row r="175" spans="1:31" s="572" customFormat="1">
      <c r="A175" s="570" t="s">
        <v>586</v>
      </c>
      <c r="B175" s="569" t="s">
        <v>549</v>
      </c>
      <c r="C175" s="580">
        <v>16</v>
      </c>
      <c r="D175" s="569" t="s">
        <v>151</v>
      </c>
      <c r="E175" s="569" t="s">
        <v>211</v>
      </c>
      <c r="F175" s="569" t="s">
        <v>545</v>
      </c>
      <c r="G175" s="569">
        <v>2019</v>
      </c>
      <c r="H175" s="569" t="s">
        <v>584</v>
      </c>
      <c r="I175" s="569" t="s">
        <v>585</v>
      </c>
      <c r="J175" s="569" t="s">
        <v>156</v>
      </c>
      <c r="K175" s="569">
        <v>5</v>
      </c>
      <c r="L175" s="569">
        <v>0</v>
      </c>
      <c r="M175" s="569" t="s">
        <v>157</v>
      </c>
      <c r="N175" s="569">
        <v>2</v>
      </c>
      <c r="O175" s="569" t="s">
        <v>157</v>
      </c>
      <c r="P175" s="568" t="s">
        <v>157</v>
      </c>
      <c r="Q175" s="569" t="s">
        <v>274</v>
      </c>
      <c r="R175" s="569">
        <v>4</v>
      </c>
      <c r="S175" s="569">
        <v>11119</v>
      </c>
      <c r="T175" s="569" t="s">
        <v>157</v>
      </c>
      <c r="U175" s="569">
        <v>102.4</v>
      </c>
      <c r="V175" s="569">
        <v>10.8</v>
      </c>
      <c r="W175" s="620">
        <v>2475</v>
      </c>
      <c r="X175" s="621">
        <v>34</v>
      </c>
      <c r="Y175" s="621" t="s">
        <v>178</v>
      </c>
      <c r="Z175" s="621" t="s">
        <v>178</v>
      </c>
      <c r="AA175" s="622">
        <v>15135</v>
      </c>
      <c r="AB175" s="622" t="s">
        <v>164</v>
      </c>
      <c r="AC175" s="622">
        <v>12200</v>
      </c>
      <c r="AD175" s="623">
        <v>0.05</v>
      </c>
      <c r="AE175" s="621" t="s">
        <v>583</v>
      </c>
    </row>
    <row r="176" spans="1:31" s="572" customFormat="1" ht="30">
      <c r="A176" s="570" t="s">
        <v>587</v>
      </c>
      <c r="B176" s="573" t="s">
        <v>589</v>
      </c>
      <c r="C176" s="578">
        <v>10</v>
      </c>
      <c r="D176" s="573" t="s">
        <v>151</v>
      </c>
      <c r="E176" s="573" t="s">
        <v>211</v>
      </c>
      <c r="F176" s="573" t="s">
        <v>590</v>
      </c>
      <c r="G176" s="573">
        <v>2018</v>
      </c>
      <c r="H176" s="573" t="s">
        <v>591</v>
      </c>
      <c r="I176" s="573" t="s">
        <v>592</v>
      </c>
      <c r="J176" s="573" t="s">
        <v>236</v>
      </c>
      <c r="K176" s="573">
        <v>2</v>
      </c>
      <c r="L176" s="573">
        <v>0</v>
      </c>
      <c r="M176" s="573" t="s">
        <v>157</v>
      </c>
      <c r="N176" s="573">
        <v>1</v>
      </c>
      <c r="O176" s="573" t="s">
        <v>157</v>
      </c>
      <c r="P176" s="571" t="s">
        <v>157</v>
      </c>
      <c r="Q176" s="573" t="s">
        <v>163</v>
      </c>
      <c r="R176" s="573" t="s">
        <v>157</v>
      </c>
      <c r="S176" s="582" t="s">
        <v>593</v>
      </c>
      <c r="T176" s="573" t="s">
        <v>594</v>
      </c>
      <c r="U176" s="573">
        <v>73.5</v>
      </c>
      <c r="V176" s="573" t="s">
        <v>595</v>
      </c>
      <c r="W176" s="616">
        <v>2932</v>
      </c>
      <c r="X176" s="617">
        <v>108</v>
      </c>
      <c r="Y176" s="617" t="s">
        <v>163</v>
      </c>
      <c r="Z176" s="617" t="s">
        <v>163</v>
      </c>
      <c r="AA176" s="618">
        <v>26140</v>
      </c>
      <c r="AB176" s="618" t="s">
        <v>164</v>
      </c>
      <c r="AC176" s="618">
        <v>24833</v>
      </c>
      <c r="AD176" s="619">
        <v>0.05</v>
      </c>
      <c r="AE176" s="617" t="s">
        <v>588</v>
      </c>
    </row>
    <row r="177" spans="1:31" s="572" customFormat="1" ht="30">
      <c r="A177" s="570" t="s">
        <v>596</v>
      </c>
      <c r="B177" s="569" t="s">
        <v>589</v>
      </c>
      <c r="C177" s="580">
        <v>10</v>
      </c>
      <c r="D177" s="569" t="s">
        <v>151</v>
      </c>
      <c r="E177" s="569" t="s">
        <v>211</v>
      </c>
      <c r="F177" s="569" t="s">
        <v>590</v>
      </c>
      <c r="G177" s="569">
        <v>2018</v>
      </c>
      <c r="H177" s="569" t="s">
        <v>591</v>
      </c>
      <c r="I177" s="569" t="s">
        <v>598</v>
      </c>
      <c r="J177" s="569" t="s">
        <v>236</v>
      </c>
      <c r="K177" s="569">
        <v>2</v>
      </c>
      <c r="L177" s="569">
        <v>0</v>
      </c>
      <c r="M177" s="569" t="s">
        <v>157</v>
      </c>
      <c r="N177" s="569">
        <v>1</v>
      </c>
      <c r="O177" s="569" t="s">
        <v>157</v>
      </c>
      <c r="P177" s="568" t="s">
        <v>157</v>
      </c>
      <c r="Q177" s="569" t="s">
        <v>163</v>
      </c>
      <c r="R177" s="569" t="s">
        <v>157</v>
      </c>
      <c r="S177" s="569" t="s">
        <v>593</v>
      </c>
      <c r="T177" s="569" t="s">
        <v>599</v>
      </c>
      <c r="U177" s="569">
        <v>73.5</v>
      </c>
      <c r="V177" s="569" t="s">
        <v>595</v>
      </c>
      <c r="W177" s="620">
        <v>2932</v>
      </c>
      <c r="X177" s="621">
        <v>108</v>
      </c>
      <c r="Y177" s="621" t="s">
        <v>163</v>
      </c>
      <c r="Z177" s="621" t="s">
        <v>163</v>
      </c>
      <c r="AA177" s="622">
        <v>27490</v>
      </c>
      <c r="AB177" s="622" t="s">
        <v>164</v>
      </c>
      <c r="AC177" s="622">
        <v>26115.5</v>
      </c>
      <c r="AD177" s="623">
        <v>0.05</v>
      </c>
      <c r="AE177" s="621" t="s">
        <v>597</v>
      </c>
    </row>
    <row r="178" spans="1:31" s="572" customFormat="1" ht="30">
      <c r="A178" s="570" t="s">
        <v>600</v>
      </c>
      <c r="B178" s="573" t="s">
        <v>589</v>
      </c>
      <c r="C178" s="578">
        <v>10</v>
      </c>
      <c r="D178" s="573" t="s">
        <v>151</v>
      </c>
      <c r="E178" s="573" t="s">
        <v>211</v>
      </c>
      <c r="F178" s="573" t="s">
        <v>590</v>
      </c>
      <c r="G178" s="573">
        <v>2018</v>
      </c>
      <c r="H178" s="573" t="s">
        <v>591</v>
      </c>
      <c r="I178" s="573" t="s">
        <v>602</v>
      </c>
      <c r="J178" s="573" t="s">
        <v>236</v>
      </c>
      <c r="K178" s="573">
        <v>2</v>
      </c>
      <c r="L178" s="573">
        <v>0</v>
      </c>
      <c r="M178" s="573" t="s">
        <v>157</v>
      </c>
      <c r="N178" s="573">
        <v>1</v>
      </c>
      <c r="O178" s="573" t="s">
        <v>157</v>
      </c>
      <c r="P178" s="571" t="s">
        <v>157</v>
      </c>
      <c r="Q178" s="573" t="s">
        <v>163</v>
      </c>
      <c r="R178" s="573" t="s">
        <v>157</v>
      </c>
      <c r="S178" s="582" t="s">
        <v>593</v>
      </c>
      <c r="T178" s="573" t="s">
        <v>157</v>
      </c>
      <c r="U178" s="573">
        <v>73.5</v>
      </c>
      <c r="V178" s="573" t="s">
        <v>595</v>
      </c>
      <c r="W178" s="616">
        <v>2932</v>
      </c>
      <c r="X178" s="617">
        <v>108</v>
      </c>
      <c r="Y178" s="617" t="s">
        <v>163</v>
      </c>
      <c r="Z178" s="617" t="s">
        <v>163</v>
      </c>
      <c r="AA178" s="618">
        <v>24650</v>
      </c>
      <c r="AB178" s="618" t="s">
        <v>164</v>
      </c>
      <c r="AC178" s="618">
        <v>23417.5</v>
      </c>
      <c r="AD178" s="619">
        <v>0.05</v>
      </c>
      <c r="AE178" s="617" t="s">
        <v>601</v>
      </c>
    </row>
    <row r="179" spans="1:31" s="572" customFormat="1">
      <c r="A179" s="570" t="s">
        <v>603</v>
      </c>
      <c r="B179" s="569" t="s">
        <v>605</v>
      </c>
      <c r="C179" s="580">
        <v>12</v>
      </c>
      <c r="D179" s="569" t="s">
        <v>151</v>
      </c>
      <c r="E179" s="569" t="s">
        <v>196</v>
      </c>
      <c r="F179" s="569" t="s">
        <v>606</v>
      </c>
      <c r="G179" s="569">
        <v>2019</v>
      </c>
      <c r="H179" s="569" t="s">
        <v>607</v>
      </c>
      <c r="I179" s="569" t="s">
        <v>608</v>
      </c>
      <c r="J179" s="569" t="s">
        <v>156</v>
      </c>
      <c r="K179" s="569">
        <v>5</v>
      </c>
      <c r="L179" s="569">
        <v>0</v>
      </c>
      <c r="M179" s="569" t="s">
        <v>157</v>
      </c>
      <c r="N179" s="569">
        <v>2</v>
      </c>
      <c r="O179" s="569" t="s">
        <v>157</v>
      </c>
      <c r="P179" s="568" t="s">
        <v>157</v>
      </c>
      <c r="Q179" s="569" t="s">
        <v>189</v>
      </c>
      <c r="R179" s="569">
        <v>4</v>
      </c>
      <c r="S179" s="569">
        <v>2559</v>
      </c>
      <c r="T179" s="569" t="s">
        <v>609</v>
      </c>
      <c r="U179" s="569">
        <v>111.2</v>
      </c>
      <c r="V179" s="569">
        <v>13</v>
      </c>
      <c r="W179" s="620">
        <v>3472</v>
      </c>
      <c r="X179" s="621">
        <v>52</v>
      </c>
      <c r="Y179" s="621" t="s">
        <v>178</v>
      </c>
      <c r="Z179" s="621" t="s">
        <v>163</v>
      </c>
      <c r="AA179" s="622">
        <v>29080</v>
      </c>
      <c r="AB179" s="622" t="s">
        <v>164</v>
      </c>
      <c r="AC179" s="622">
        <v>26850</v>
      </c>
      <c r="AD179" s="623">
        <v>0.05</v>
      </c>
      <c r="AE179" s="621" t="s">
        <v>604</v>
      </c>
    </row>
    <row r="180" spans="1:31" s="572" customFormat="1">
      <c r="A180" s="570" t="s">
        <v>610</v>
      </c>
      <c r="B180" s="573" t="s">
        <v>605</v>
      </c>
      <c r="C180" s="578">
        <v>12</v>
      </c>
      <c r="D180" s="573" t="s">
        <v>151</v>
      </c>
      <c r="E180" s="573" t="s">
        <v>196</v>
      </c>
      <c r="F180" s="573" t="s">
        <v>606</v>
      </c>
      <c r="G180" s="573">
        <v>2019</v>
      </c>
      <c r="H180" s="573" t="s">
        <v>607</v>
      </c>
      <c r="I180" s="573" t="s">
        <v>612</v>
      </c>
      <c r="J180" s="573" t="s">
        <v>156</v>
      </c>
      <c r="K180" s="573">
        <v>5</v>
      </c>
      <c r="L180" s="573">
        <v>0</v>
      </c>
      <c r="M180" s="573" t="s">
        <v>157</v>
      </c>
      <c r="N180" s="573">
        <v>2</v>
      </c>
      <c r="O180" s="573" t="s">
        <v>157</v>
      </c>
      <c r="P180" s="571" t="s">
        <v>157</v>
      </c>
      <c r="Q180" s="573" t="s">
        <v>189</v>
      </c>
      <c r="R180" s="573">
        <v>4</v>
      </c>
      <c r="S180" s="582">
        <v>2514</v>
      </c>
      <c r="T180" s="573" t="s">
        <v>609</v>
      </c>
      <c r="U180" s="573">
        <v>111.2</v>
      </c>
      <c r="V180" s="573">
        <v>14.5</v>
      </c>
      <c r="W180" s="616">
        <v>3241</v>
      </c>
      <c r="X180" s="617">
        <v>34</v>
      </c>
      <c r="Y180" s="617" t="s">
        <v>178</v>
      </c>
      <c r="Z180" s="617" t="s">
        <v>178</v>
      </c>
      <c r="AA180" s="618">
        <v>24775</v>
      </c>
      <c r="AB180" s="618" t="s">
        <v>164</v>
      </c>
      <c r="AC180" s="618">
        <v>22650</v>
      </c>
      <c r="AD180" s="619">
        <v>0.05</v>
      </c>
      <c r="AE180" s="617" t="s">
        <v>611</v>
      </c>
    </row>
    <row r="181" spans="1:31" s="572" customFormat="1">
      <c r="A181" s="570" t="s">
        <v>613</v>
      </c>
      <c r="B181" s="569" t="s">
        <v>605</v>
      </c>
      <c r="C181" s="580">
        <v>12</v>
      </c>
      <c r="D181" s="569" t="s">
        <v>151</v>
      </c>
      <c r="E181" s="569" t="s">
        <v>196</v>
      </c>
      <c r="F181" s="569" t="s">
        <v>606</v>
      </c>
      <c r="G181" s="569">
        <v>2019</v>
      </c>
      <c r="H181" s="569" t="s">
        <v>607</v>
      </c>
      <c r="I181" s="569" t="s">
        <v>615</v>
      </c>
      <c r="J181" s="569" t="s">
        <v>156</v>
      </c>
      <c r="K181" s="569">
        <v>5</v>
      </c>
      <c r="L181" s="569">
        <v>0</v>
      </c>
      <c r="M181" s="569" t="s">
        <v>157</v>
      </c>
      <c r="N181" s="569">
        <v>2</v>
      </c>
      <c r="O181" s="569" t="s">
        <v>157</v>
      </c>
      <c r="P181" s="568" t="s">
        <v>157</v>
      </c>
      <c r="Q181" s="569" t="s">
        <v>189</v>
      </c>
      <c r="R181" s="569">
        <v>4</v>
      </c>
      <c r="S181" s="569">
        <v>2532</v>
      </c>
      <c r="T181" s="569" t="s">
        <v>609</v>
      </c>
      <c r="U181" s="569">
        <v>111.2</v>
      </c>
      <c r="V181" s="569">
        <v>16</v>
      </c>
      <c r="W181" s="620">
        <v>3296</v>
      </c>
      <c r="X181" s="621">
        <v>32</v>
      </c>
      <c r="Y181" s="621" t="s">
        <v>178</v>
      </c>
      <c r="Z181" s="621" t="s">
        <v>178</v>
      </c>
      <c r="AA181" s="622">
        <v>25280</v>
      </c>
      <c r="AB181" s="622" t="s">
        <v>164</v>
      </c>
      <c r="AC181" s="622">
        <v>23150</v>
      </c>
      <c r="AD181" s="623">
        <v>0.05</v>
      </c>
      <c r="AE181" s="621" t="s">
        <v>614</v>
      </c>
    </row>
    <row r="182" spans="1:31" s="572" customFormat="1">
      <c r="A182" s="570" t="s">
        <v>616</v>
      </c>
      <c r="B182" s="573" t="s">
        <v>605</v>
      </c>
      <c r="C182" s="578">
        <v>12</v>
      </c>
      <c r="D182" s="573" t="s">
        <v>151</v>
      </c>
      <c r="E182" s="573" t="s">
        <v>152</v>
      </c>
      <c r="F182" s="573" t="s">
        <v>606</v>
      </c>
      <c r="G182" s="573">
        <v>2019</v>
      </c>
      <c r="H182" s="573" t="s">
        <v>618</v>
      </c>
      <c r="I182" s="573" t="s">
        <v>612</v>
      </c>
      <c r="J182" s="573" t="s">
        <v>156</v>
      </c>
      <c r="K182" s="573">
        <v>5</v>
      </c>
      <c r="L182" s="573">
        <v>0</v>
      </c>
      <c r="M182" s="573" t="s">
        <v>157</v>
      </c>
      <c r="N182" s="573">
        <v>2</v>
      </c>
      <c r="O182" s="573" t="s">
        <v>157</v>
      </c>
      <c r="P182" s="571" t="s">
        <v>157</v>
      </c>
      <c r="Q182" s="573" t="s">
        <v>199</v>
      </c>
      <c r="R182" s="573">
        <v>4</v>
      </c>
      <c r="S182" s="582">
        <v>1832</v>
      </c>
      <c r="T182" s="573" t="s">
        <v>609</v>
      </c>
      <c r="U182" s="573">
        <v>106.3</v>
      </c>
      <c r="V182" s="573">
        <v>13.2</v>
      </c>
      <c r="W182" s="616">
        <v>2840</v>
      </c>
      <c r="X182" s="617">
        <v>32</v>
      </c>
      <c r="Y182" s="617" t="s">
        <v>178</v>
      </c>
      <c r="Z182" s="617" t="s">
        <v>178</v>
      </c>
      <c r="AA182" s="618">
        <v>19620</v>
      </c>
      <c r="AB182" s="618" t="s">
        <v>164</v>
      </c>
      <c r="AC182" s="618">
        <v>18100</v>
      </c>
      <c r="AD182" s="619">
        <v>0.05</v>
      </c>
      <c r="AE182" s="617" t="s">
        <v>617</v>
      </c>
    </row>
    <row r="183" spans="1:31" s="572" customFormat="1">
      <c r="A183" s="570" t="s">
        <v>619</v>
      </c>
      <c r="B183" s="569" t="s">
        <v>605</v>
      </c>
      <c r="C183" s="580">
        <v>12</v>
      </c>
      <c r="D183" s="569" t="s">
        <v>151</v>
      </c>
      <c r="E183" s="569" t="s">
        <v>152</v>
      </c>
      <c r="F183" s="569" t="s">
        <v>606</v>
      </c>
      <c r="G183" s="569">
        <v>2019</v>
      </c>
      <c r="H183" s="569" t="s">
        <v>618</v>
      </c>
      <c r="I183" s="569" t="s">
        <v>615</v>
      </c>
      <c r="J183" s="569" t="s">
        <v>156</v>
      </c>
      <c r="K183" s="569">
        <v>5</v>
      </c>
      <c r="L183" s="569">
        <v>0</v>
      </c>
      <c r="M183" s="569" t="s">
        <v>157</v>
      </c>
      <c r="N183" s="569">
        <v>2</v>
      </c>
      <c r="O183" s="569" t="s">
        <v>157</v>
      </c>
      <c r="P183" s="568" t="s">
        <v>157</v>
      </c>
      <c r="Q183" s="569" t="s">
        <v>199</v>
      </c>
      <c r="R183" s="569">
        <v>4</v>
      </c>
      <c r="S183" s="569">
        <v>1852</v>
      </c>
      <c r="T183" s="569" t="s">
        <v>609</v>
      </c>
      <c r="U183" s="569">
        <v>106.3</v>
      </c>
      <c r="V183" s="569">
        <v>13.2</v>
      </c>
      <c r="W183" s="620">
        <v>2870</v>
      </c>
      <c r="X183" s="621">
        <v>32</v>
      </c>
      <c r="Y183" s="621" t="s">
        <v>178</v>
      </c>
      <c r="Z183" s="621" t="s">
        <v>178</v>
      </c>
      <c r="AA183" s="622">
        <v>20055</v>
      </c>
      <c r="AB183" s="622" t="s">
        <v>164</v>
      </c>
      <c r="AC183" s="622">
        <v>18250</v>
      </c>
      <c r="AD183" s="623">
        <v>0.05</v>
      </c>
      <c r="AE183" s="621" t="s">
        <v>620</v>
      </c>
    </row>
    <row r="184" spans="1:31" s="572" customFormat="1">
      <c r="A184" s="570" t="s">
        <v>621</v>
      </c>
      <c r="B184" s="573" t="s">
        <v>605</v>
      </c>
      <c r="C184" s="578">
        <v>12</v>
      </c>
      <c r="D184" s="573" t="s">
        <v>151</v>
      </c>
      <c r="E184" s="573" t="s">
        <v>152</v>
      </c>
      <c r="F184" s="573" t="s">
        <v>606</v>
      </c>
      <c r="G184" s="573">
        <v>2019</v>
      </c>
      <c r="H184" s="573" t="s">
        <v>618</v>
      </c>
      <c r="I184" s="573" t="s">
        <v>623</v>
      </c>
      <c r="J184" s="573" t="s">
        <v>156</v>
      </c>
      <c r="K184" s="573">
        <v>5</v>
      </c>
      <c r="L184" s="573">
        <v>0</v>
      </c>
      <c r="M184" s="573" t="s">
        <v>157</v>
      </c>
      <c r="N184" s="573">
        <v>2</v>
      </c>
      <c r="O184" s="573" t="s">
        <v>157</v>
      </c>
      <c r="P184" s="571" t="s">
        <v>157</v>
      </c>
      <c r="Q184" s="573" t="s">
        <v>199</v>
      </c>
      <c r="R184" s="573">
        <v>4</v>
      </c>
      <c r="S184" s="582">
        <v>1872</v>
      </c>
      <c r="T184" s="573" t="s">
        <v>609</v>
      </c>
      <c r="U184" s="573">
        <v>106.3</v>
      </c>
      <c r="V184" s="573">
        <v>13.2</v>
      </c>
      <c r="W184" s="616">
        <v>2850</v>
      </c>
      <c r="X184" s="617">
        <v>34</v>
      </c>
      <c r="Y184" s="617" t="s">
        <v>178</v>
      </c>
      <c r="Z184" s="617" t="s">
        <v>178</v>
      </c>
      <c r="AA184" s="618">
        <v>20455</v>
      </c>
      <c r="AB184" s="618" t="s">
        <v>164</v>
      </c>
      <c r="AC184" s="618">
        <v>18750</v>
      </c>
      <c r="AD184" s="619">
        <v>0.05</v>
      </c>
      <c r="AE184" s="617" t="s">
        <v>622</v>
      </c>
    </row>
    <row r="185" spans="1:31" s="572" customFormat="1">
      <c r="A185" s="570" t="s">
        <v>624</v>
      </c>
      <c r="B185" s="569" t="s">
        <v>605</v>
      </c>
      <c r="C185" s="580">
        <v>12</v>
      </c>
      <c r="D185" s="569" t="s">
        <v>151</v>
      </c>
      <c r="E185" s="569" t="s">
        <v>152</v>
      </c>
      <c r="F185" s="569" t="s">
        <v>606</v>
      </c>
      <c r="G185" s="569">
        <v>2019</v>
      </c>
      <c r="H185" s="569" t="s">
        <v>626</v>
      </c>
      <c r="I185" s="569" t="s">
        <v>627</v>
      </c>
      <c r="J185" s="569" t="s">
        <v>156</v>
      </c>
      <c r="K185" s="569">
        <v>5</v>
      </c>
      <c r="L185" s="569">
        <v>0</v>
      </c>
      <c r="M185" s="569" t="s">
        <v>157</v>
      </c>
      <c r="N185" s="569">
        <v>2</v>
      </c>
      <c r="O185" s="569" t="s">
        <v>157</v>
      </c>
      <c r="P185" s="568" t="s">
        <v>157</v>
      </c>
      <c r="Q185" s="569" t="s">
        <v>199</v>
      </c>
      <c r="R185" s="569">
        <v>4</v>
      </c>
      <c r="S185" s="569">
        <v>1221</v>
      </c>
      <c r="T185" s="569" t="s">
        <v>609</v>
      </c>
      <c r="U185" s="569">
        <v>106.3</v>
      </c>
      <c r="V185" s="569">
        <v>11.3</v>
      </c>
      <c r="W185" s="620">
        <v>3075</v>
      </c>
      <c r="X185" s="621">
        <v>52</v>
      </c>
      <c r="Y185" s="621" t="s">
        <v>178</v>
      </c>
      <c r="Z185" s="621" t="s">
        <v>163</v>
      </c>
      <c r="AA185" s="622">
        <v>24700</v>
      </c>
      <c r="AB185" s="622" t="s">
        <v>164</v>
      </c>
      <c r="AC185" s="622">
        <v>23550</v>
      </c>
      <c r="AD185" s="623">
        <v>0.05</v>
      </c>
      <c r="AE185" s="621" t="s">
        <v>625</v>
      </c>
    </row>
    <row r="186" spans="1:31" s="572" customFormat="1">
      <c r="A186" s="570" t="s">
        <v>628</v>
      </c>
      <c r="B186" s="573" t="s">
        <v>605</v>
      </c>
      <c r="C186" s="578">
        <v>12</v>
      </c>
      <c r="D186" s="573" t="s">
        <v>151</v>
      </c>
      <c r="E186" s="573" t="s">
        <v>152</v>
      </c>
      <c r="F186" s="573" t="s">
        <v>606</v>
      </c>
      <c r="G186" s="573">
        <v>2019</v>
      </c>
      <c r="H186" s="573" t="s">
        <v>626</v>
      </c>
      <c r="I186" s="573" t="s">
        <v>630</v>
      </c>
      <c r="J186" s="573" t="s">
        <v>156</v>
      </c>
      <c r="K186" s="573">
        <v>5</v>
      </c>
      <c r="L186" s="573">
        <v>0</v>
      </c>
      <c r="M186" s="573" t="s">
        <v>157</v>
      </c>
      <c r="N186" s="573">
        <v>2</v>
      </c>
      <c r="O186" s="573" t="s">
        <v>157</v>
      </c>
      <c r="P186" s="571" t="s">
        <v>157</v>
      </c>
      <c r="Q186" s="573" t="s">
        <v>199</v>
      </c>
      <c r="R186" s="573">
        <v>4</v>
      </c>
      <c r="S186" s="582">
        <v>1223</v>
      </c>
      <c r="T186" s="573" t="s">
        <v>609</v>
      </c>
      <c r="U186" s="573">
        <v>106.3</v>
      </c>
      <c r="V186" s="573">
        <v>11.3</v>
      </c>
      <c r="W186" s="616">
        <v>3075</v>
      </c>
      <c r="X186" s="617">
        <v>56</v>
      </c>
      <c r="Y186" s="617" t="s">
        <v>178</v>
      </c>
      <c r="Z186" s="617" t="s">
        <v>163</v>
      </c>
      <c r="AA186" s="618">
        <v>25910</v>
      </c>
      <c r="AB186" s="618" t="s">
        <v>164</v>
      </c>
      <c r="AC186" s="618">
        <v>24580</v>
      </c>
      <c r="AD186" s="619">
        <v>0.05</v>
      </c>
      <c r="AE186" s="617" t="s">
        <v>629</v>
      </c>
    </row>
    <row r="187" spans="1:31" s="572" customFormat="1">
      <c r="A187" s="570" t="s">
        <v>631</v>
      </c>
      <c r="B187" s="569" t="s">
        <v>605</v>
      </c>
      <c r="C187" s="580">
        <v>12</v>
      </c>
      <c r="D187" s="569" t="s">
        <v>151</v>
      </c>
      <c r="E187" s="569" t="s">
        <v>152</v>
      </c>
      <c r="F187" s="569" t="s">
        <v>606</v>
      </c>
      <c r="G187" s="569">
        <v>2019</v>
      </c>
      <c r="H187" s="569" t="s">
        <v>633</v>
      </c>
      <c r="I187" s="569" t="s">
        <v>615</v>
      </c>
      <c r="J187" s="569" t="s">
        <v>156</v>
      </c>
      <c r="K187" s="569">
        <v>5</v>
      </c>
      <c r="L187" s="569">
        <v>0</v>
      </c>
      <c r="M187" s="569" t="s">
        <v>157</v>
      </c>
      <c r="N187" s="569">
        <v>2</v>
      </c>
      <c r="O187" s="569" t="s">
        <v>157</v>
      </c>
      <c r="P187" s="568" t="s">
        <v>157</v>
      </c>
      <c r="Q187" s="569" t="s">
        <v>205</v>
      </c>
      <c r="R187" s="569">
        <v>4</v>
      </c>
      <c r="S187" s="569">
        <v>1263</v>
      </c>
      <c r="T187" s="569" t="s">
        <v>609</v>
      </c>
      <c r="U187" s="569">
        <v>100.4</v>
      </c>
      <c r="V187" s="569">
        <v>9.5</v>
      </c>
      <c r="W187" s="620">
        <v>2530</v>
      </c>
      <c r="X187" s="621">
        <v>46</v>
      </c>
      <c r="Y187" s="621" t="s">
        <v>178</v>
      </c>
      <c r="Z187" s="621" t="s">
        <v>163</v>
      </c>
      <c r="AA187" s="622">
        <v>27310</v>
      </c>
      <c r="AB187" s="622" t="s">
        <v>164</v>
      </c>
      <c r="AC187" s="622">
        <v>25800</v>
      </c>
      <c r="AD187" s="623">
        <v>0.05</v>
      </c>
      <c r="AE187" s="621" t="s">
        <v>632</v>
      </c>
    </row>
    <row r="188" spans="1:31" s="572" customFormat="1">
      <c r="A188" s="570" t="s">
        <v>634</v>
      </c>
      <c r="B188" s="573" t="s">
        <v>605</v>
      </c>
      <c r="C188" s="578">
        <v>12</v>
      </c>
      <c r="D188" s="573" t="s">
        <v>151</v>
      </c>
      <c r="E188" s="573" t="s">
        <v>152</v>
      </c>
      <c r="F188" s="573" t="s">
        <v>606</v>
      </c>
      <c r="G188" s="573">
        <v>2019</v>
      </c>
      <c r="H188" s="573" t="s">
        <v>636</v>
      </c>
      <c r="I188" s="573" t="s">
        <v>637</v>
      </c>
      <c r="J188" s="573" t="s">
        <v>156</v>
      </c>
      <c r="K188" s="573">
        <v>5</v>
      </c>
      <c r="L188" s="573">
        <v>0</v>
      </c>
      <c r="M188" s="573" t="s">
        <v>157</v>
      </c>
      <c r="N188" s="573">
        <v>2</v>
      </c>
      <c r="O188" s="573" t="s">
        <v>157</v>
      </c>
      <c r="P188" s="571" t="s">
        <v>157</v>
      </c>
      <c r="Q188" s="573" t="s">
        <v>199</v>
      </c>
      <c r="R188" s="573">
        <v>4</v>
      </c>
      <c r="S188" s="582">
        <v>1235</v>
      </c>
      <c r="T188" s="573" t="s">
        <v>609</v>
      </c>
      <c r="U188" s="573">
        <v>106.3</v>
      </c>
      <c r="V188" s="573">
        <v>11.3</v>
      </c>
      <c r="W188" s="616">
        <v>3365</v>
      </c>
      <c r="X188" s="617">
        <v>95</v>
      </c>
      <c r="Y188" s="617" t="s">
        <v>163</v>
      </c>
      <c r="Z188" s="617" t="s">
        <v>178</v>
      </c>
      <c r="AA188" s="618">
        <v>28575</v>
      </c>
      <c r="AB188" s="618" t="s">
        <v>164</v>
      </c>
      <c r="AC188" s="618">
        <v>25850</v>
      </c>
      <c r="AD188" s="619">
        <v>0.05</v>
      </c>
      <c r="AE188" s="617" t="s">
        <v>635</v>
      </c>
    </row>
    <row r="189" spans="1:31" s="572" customFormat="1">
      <c r="A189" s="570" t="s">
        <v>638</v>
      </c>
      <c r="B189" s="569" t="s">
        <v>605</v>
      </c>
      <c r="C189" s="580">
        <v>12</v>
      </c>
      <c r="D189" s="569" t="s">
        <v>151</v>
      </c>
      <c r="E189" s="569" t="s">
        <v>211</v>
      </c>
      <c r="F189" s="569" t="s">
        <v>606</v>
      </c>
      <c r="G189" s="569">
        <v>2019</v>
      </c>
      <c r="H189" s="569" t="s">
        <v>640</v>
      </c>
      <c r="I189" s="569" t="s">
        <v>612</v>
      </c>
      <c r="J189" s="569" t="s">
        <v>156</v>
      </c>
      <c r="K189" s="569">
        <v>5</v>
      </c>
      <c r="L189" s="569">
        <v>0</v>
      </c>
      <c r="M189" s="569" t="s">
        <v>157</v>
      </c>
      <c r="N189" s="569">
        <v>2</v>
      </c>
      <c r="O189" s="569" t="s">
        <v>157</v>
      </c>
      <c r="P189" s="568" t="s">
        <v>157</v>
      </c>
      <c r="Q189" s="569" t="s">
        <v>205</v>
      </c>
      <c r="R189" s="569">
        <v>4</v>
      </c>
      <c r="S189" s="569">
        <v>6266</v>
      </c>
      <c r="T189" s="569" t="s">
        <v>609</v>
      </c>
      <c r="U189" s="569">
        <v>98.8</v>
      </c>
      <c r="V189" s="569">
        <v>11.1</v>
      </c>
      <c r="W189" s="620">
        <v>2335</v>
      </c>
      <c r="X189" s="621">
        <v>32</v>
      </c>
      <c r="Y189" s="621" t="s">
        <v>178</v>
      </c>
      <c r="Z189" s="621" t="s">
        <v>178</v>
      </c>
      <c r="AA189" s="622">
        <v>17480</v>
      </c>
      <c r="AB189" s="622" t="s">
        <v>164</v>
      </c>
      <c r="AC189" s="622">
        <v>16850</v>
      </c>
      <c r="AD189" s="623">
        <v>0.05</v>
      </c>
      <c r="AE189" s="621" t="s">
        <v>639</v>
      </c>
    </row>
    <row r="190" spans="1:31" s="572" customFormat="1">
      <c r="A190" s="570" t="s">
        <v>697</v>
      </c>
      <c r="B190" s="573" t="s">
        <v>169</v>
      </c>
      <c r="C190" s="578">
        <v>11</v>
      </c>
      <c r="D190" s="573" t="s">
        <v>699</v>
      </c>
      <c r="E190" s="573" t="s">
        <v>196</v>
      </c>
      <c r="F190" s="573" t="s">
        <v>153</v>
      </c>
      <c r="G190" s="573">
        <v>2019</v>
      </c>
      <c r="H190" s="573" t="s">
        <v>700</v>
      </c>
      <c r="I190" s="573" t="s">
        <v>161</v>
      </c>
      <c r="J190" s="573" t="s">
        <v>230</v>
      </c>
      <c r="K190" s="573">
        <v>5</v>
      </c>
      <c r="L190" s="573">
        <v>0</v>
      </c>
      <c r="M190" s="573" t="s">
        <v>157</v>
      </c>
      <c r="N190" s="573">
        <v>2</v>
      </c>
      <c r="O190" s="573" t="s">
        <v>157</v>
      </c>
      <c r="P190" s="571" t="s">
        <v>157</v>
      </c>
      <c r="Q190" s="573" t="s">
        <v>231</v>
      </c>
      <c r="R190" s="573">
        <v>6</v>
      </c>
      <c r="S190" s="582" t="s">
        <v>701</v>
      </c>
      <c r="T190" s="573" t="s">
        <v>161</v>
      </c>
      <c r="U190" s="573">
        <v>112.7</v>
      </c>
      <c r="V190" s="573">
        <v>21.7</v>
      </c>
      <c r="W190" s="616">
        <v>4210</v>
      </c>
      <c r="X190" s="617">
        <v>21</v>
      </c>
      <c r="Y190" s="617" t="s">
        <v>178</v>
      </c>
      <c r="Z190" s="617" t="s">
        <v>178</v>
      </c>
      <c r="AA190" s="618">
        <v>37195</v>
      </c>
      <c r="AB190" s="618" t="s">
        <v>164</v>
      </c>
      <c r="AC190" s="618">
        <v>36479.15</v>
      </c>
      <c r="AD190" s="619">
        <v>0.05</v>
      </c>
      <c r="AE190" s="617" t="s">
        <v>698</v>
      </c>
    </row>
    <row r="191" spans="1:31" s="572" customFormat="1">
      <c r="A191" s="570" t="s">
        <v>702</v>
      </c>
      <c r="B191" s="569" t="s">
        <v>169</v>
      </c>
      <c r="C191" s="580">
        <v>11</v>
      </c>
      <c r="D191" s="569" t="s">
        <v>699</v>
      </c>
      <c r="E191" s="569" t="s">
        <v>196</v>
      </c>
      <c r="F191" s="569" t="s">
        <v>153</v>
      </c>
      <c r="G191" s="569">
        <v>2019</v>
      </c>
      <c r="H191" s="569" t="s">
        <v>700</v>
      </c>
      <c r="I191" s="569" t="s">
        <v>612</v>
      </c>
      <c r="J191" s="569" t="s">
        <v>156</v>
      </c>
      <c r="K191" s="569">
        <v>5</v>
      </c>
      <c r="L191" s="569">
        <v>0</v>
      </c>
      <c r="M191" s="569" t="s">
        <v>157</v>
      </c>
      <c r="N191" s="569">
        <v>2</v>
      </c>
      <c r="O191" s="569" t="s">
        <v>157</v>
      </c>
      <c r="P191" s="568" t="s">
        <v>157</v>
      </c>
      <c r="Q191" s="569" t="s">
        <v>189</v>
      </c>
      <c r="R191" s="569">
        <v>4</v>
      </c>
      <c r="S191" s="569" t="s">
        <v>704</v>
      </c>
      <c r="T191" s="569" t="s">
        <v>612</v>
      </c>
      <c r="U191" s="569">
        <v>112.7</v>
      </c>
      <c r="V191" s="569">
        <v>21.7</v>
      </c>
      <c r="W191" s="620">
        <v>3782</v>
      </c>
      <c r="X191" s="621">
        <v>24</v>
      </c>
      <c r="Y191" s="621" t="s">
        <v>178</v>
      </c>
      <c r="Z191" s="621" t="s">
        <v>178</v>
      </c>
      <c r="AA191" s="622">
        <v>29995</v>
      </c>
      <c r="AB191" s="622" t="s">
        <v>164</v>
      </c>
      <c r="AC191" s="622">
        <v>29899</v>
      </c>
      <c r="AD191" s="623">
        <v>0.05</v>
      </c>
      <c r="AE191" s="621" t="s">
        <v>703</v>
      </c>
    </row>
    <row r="192" spans="1:31" s="572" customFormat="1">
      <c r="A192" s="570" t="s">
        <v>705</v>
      </c>
      <c r="B192" s="573" t="s">
        <v>169</v>
      </c>
      <c r="C192" s="578">
        <v>11</v>
      </c>
      <c r="D192" s="573" t="s">
        <v>699</v>
      </c>
      <c r="E192" s="573" t="s">
        <v>196</v>
      </c>
      <c r="F192" s="573" t="s">
        <v>153</v>
      </c>
      <c r="G192" s="573">
        <v>2019</v>
      </c>
      <c r="H192" s="573" t="s">
        <v>700</v>
      </c>
      <c r="I192" s="573" t="s">
        <v>155</v>
      </c>
      <c r="J192" s="573" t="s">
        <v>156</v>
      </c>
      <c r="K192" s="573">
        <v>5</v>
      </c>
      <c r="L192" s="573">
        <v>0</v>
      </c>
      <c r="M192" s="573" t="s">
        <v>157</v>
      </c>
      <c r="N192" s="573">
        <v>2</v>
      </c>
      <c r="O192" s="573" t="s">
        <v>157</v>
      </c>
      <c r="P192" s="571" t="s">
        <v>157</v>
      </c>
      <c r="Q192" s="573" t="s">
        <v>189</v>
      </c>
      <c r="R192" s="573">
        <v>4</v>
      </c>
      <c r="S192" s="582" t="s">
        <v>707</v>
      </c>
      <c r="T192" s="573" t="s">
        <v>155</v>
      </c>
      <c r="U192" s="573">
        <v>112.7</v>
      </c>
      <c r="V192" s="573">
        <v>21.7</v>
      </c>
      <c r="W192" s="616">
        <v>3782</v>
      </c>
      <c r="X192" s="617">
        <v>24</v>
      </c>
      <c r="Y192" s="617" t="s">
        <v>178</v>
      </c>
      <c r="Z192" s="617" t="s">
        <v>178</v>
      </c>
      <c r="AA192" s="618">
        <v>33495</v>
      </c>
      <c r="AB192" s="618" t="s">
        <v>164</v>
      </c>
      <c r="AC192" s="618">
        <v>32890.15</v>
      </c>
      <c r="AD192" s="619">
        <v>0.05</v>
      </c>
      <c r="AE192" s="617" t="s">
        <v>706</v>
      </c>
    </row>
    <row r="193" spans="1:31" s="572" customFormat="1">
      <c r="A193" s="570" t="s">
        <v>708</v>
      </c>
      <c r="B193" s="569" t="s">
        <v>169</v>
      </c>
      <c r="C193" s="580">
        <v>11</v>
      </c>
      <c r="D193" s="569" t="s">
        <v>699</v>
      </c>
      <c r="E193" s="569" t="s">
        <v>196</v>
      </c>
      <c r="F193" s="569" t="s">
        <v>153</v>
      </c>
      <c r="G193" s="569">
        <v>2019</v>
      </c>
      <c r="H193" s="569" t="s">
        <v>700</v>
      </c>
      <c r="I193" s="569" t="s">
        <v>710</v>
      </c>
      <c r="J193" s="569" t="s">
        <v>230</v>
      </c>
      <c r="K193" s="569">
        <v>5</v>
      </c>
      <c r="L193" s="569">
        <v>0</v>
      </c>
      <c r="M193" s="569" t="s">
        <v>157</v>
      </c>
      <c r="N193" s="569">
        <v>2</v>
      </c>
      <c r="O193" s="569" t="s">
        <v>157</v>
      </c>
      <c r="P193" s="568" t="s">
        <v>157</v>
      </c>
      <c r="Q193" s="569" t="s">
        <v>231</v>
      </c>
      <c r="R193" s="569">
        <v>6</v>
      </c>
      <c r="S193" s="569" t="s">
        <v>711</v>
      </c>
      <c r="T193" s="569" t="s">
        <v>710</v>
      </c>
      <c r="U193" s="569">
        <v>112.7</v>
      </c>
      <c r="V193" s="569">
        <v>21.7</v>
      </c>
      <c r="W193" s="620">
        <v>4210</v>
      </c>
      <c r="X193" s="621">
        <v>21</v>
      </c>
      <c r="Y193" s="621" t="s">
        <v>178</v>
      </c>
      <c r="Z193" s="621" t="s">
        <v>178</v>
      </c>
      <c r="AA193" s="622">
        <v>46795</v>
      </c>
      <c r="AB193" s="622" t="s">
        <v>164</v>
      </c>
      <c r="AC193" s="622">
        <v>45791.15</v>
      </c>
      <c r="AD193" s="623">
        <v>0.05</v>
      </c>
      <c r="AE193" s="621" t="s">
        <v>709</v>
      </c>
    </row>
    <row r="194" spans="1:31" s="572" customFormat="1">
      <c r="A194" s="570" t="s">
        <v>712</v>
      </c>
      <c r="B194" s="573" t="s">
        <v>169</v>
      </c>
      <c r="C194" s="578">
        <v>11</v>
      </c>
      <c r="D194" s="573" t="s">
        <v>699</v>
      </c>
      <c r="E194" s="573" t="s">
        <v>196</v>
      </c>
      <c r="F194" s="573" t="s">
        <v>153</v>
      </c>
      <c r="G194" s="573">
        <v>2019</v>
      </c>
      <c r="H194" s="573" t="s">
        <v>700</v>
      </c>
      <c r="I194" s="573" t="s">
        <v>710</v>
      </c>
      <c r="J194" s="573" t="s">
        <v>156</v>
      </c>
      <c r="K194" s="573">
        <v>5</v>
      </c>
      <c r="L194" s="573">
        <v>0</v>
      </c>
      <c r="M194" s="573" t="s">
        <v>157</v>
      </c>
      <c r="N194" s="573">
        <v>2</v>
      </c>
      <c r="O194" s="573" t="s">
        <v>157</v>
      </c>
      <c r="P194" s="571" t="s">
        <v>157</v>
      </c>
      <c r="Q194" s="573" t="s">
        <v>231</v>
      </c>
      <c r="R194" s="573">
        <v>6</v>
      </c>
      <c r="S194" s="582" t="s">
        <v>714</v>
      </c>
      <c r="T194" s="573" t="s">
        <v>710</v>
      </c>
      <c r="U194" s="573">
        <v>112.7</v>
      </c>
      <c r="V194" s="573">
        <v>21.7</v>
      </c>
      <c r="W194" s="616">
        <v>3782</v>
      </c>
      <c r="X194" s="617">
        <v>24</v>
      </c>
      <c r="Y194" s="617" t="s">
        <v>178</v>
      </c>
      <c r="Z194" s="617" t="s">
        <v>178</v>
      </c>
      <c r="AA194" s="618">
        <v>43895</v>
      </c>
      <c r="AB194" s="618" t="s">
        <v>164</v>
      </c>
      <c r="AC194" s="618">
        <v>42978.15</v>
      </c>
      <c r="AD194" s="619">
        <v>0.05</v>
      </c>
      <c r="AE194" s="617" t="s">
        <v>713</v>
      </c>
    </row>
    <row r="195" spans="1:31" s="572" customFormat="1">
      <c r="A195" s="570" t="s">
        <v>715</v>
      </c>
      <c r="B195" s="569" t="s">
        <v>169</v>
      </c>
      <c r="C195" s="580">
        <v>11</v>
      </c>
      <c r="D195" s="569" t="s">
        <v>699</v>
      </c>
      <c r="E195" s="569" t="s">
        <v>196</v>
      </c>
      <c r="F195" s="569" t="s">
        <v>153</v>
      </c>
      <c r="G195" s="569">
        <v>2019</v>
      </c>
      <c r="H195" s="569" t="s">
        <v>700</v>
      </c>
      <c r="I195" s="569" t="s">
        <v>717</v>
      </c>
      <c r="J195" s="569" t="s">
        <v>230</v>
      </c>
      <c r="K195" s="569">
        <v>5</v>
      </c>
      <c r="L195" s="569">
        <v>0</v>
      </c>
      <c r="M195" s="569" t="s">
        <v>157</v>
      </c>
      <c r="N195" s="569">
        <v>2</v>
      </c>
      <c r="O195" s="569" t="s">
        <v>157</v>
      </c>
      <c r="P195" s="568" t="s">
        <v>157</v>
      </c>
      <c r="Q195" s="569" t="s">
        <v>231</v>
      </c>
      <c r="R195" s="569">
        <v>6</v>
      </c>
      <c r="S195" s="569" t="s">
        <v>718</v>
      </c>
      <c r="T195" s="569" t="s">
        <v>717</v>
      </c>
      <c r="U195" s="569">
        <v>112.7</v>
      </c>
      <c r="V195" s="569">
        <v>21.7</v>
      </c>
      <c r="W195" s="620">
        <v>4210</v>
      </c>
      <c r="X195" s="621">
        <v>21</v>
      </c>
      <c r="Y195" s="621" t="s">
        <v>178</v>
      </c>
      <c r="Z195" s="621" t="s">
        <v>178</v>
      </c>
      <c r="AA195" s="622">
        <v>44695</v>
      </c>
      <c r="AB195" s="622" t="s">
        <v>164</v>
      </c>
      <c r="AC195" s="622">
        <v>43754.15</v>
      </c>
      <c r="AD195" s="623">
        <v>0.05</v>
      </c>
      <c r="AE195" s="621" t="s">
        <v>716</v>
      </c>
    </row>
    <row r="196" spans="1:31" s="572" customFormat="1">
      <c r="A196" s="570" t="s">
        <v>719</v>
      </c>
      <c r="B196" s="573" t="s">
        <v>169</v>
      </c>
      <c r="C196" s="578">
        <v>11</v>
      </c>
      <c r="D196" s="573" t="s">
        <v>699</v>
      </c>
      <c r="E196" s="573" t="s">
        <v>196</v>
      </c>
      <c r="F196" s="573" t="s">
        <v>153</v>
      </c>
      <c r="G196" s="573">
        <v>2019</v>
      </c>
      <c r="H196" s="573" t="s">
        <v>700</v>
      </c>
      <c r="I196" s="573" t="s">
        <v>717</v>
      </c>
      <c r="J196" s="573" t="s">
        <v>156</v>
      </c>
      <c r="K196" s="573">
        <v>5</v>
      </c>
      <c r="L196" s="573">
        <v>0</v>
      </c>
      <c r="M196" s="573" t="s">
        <v>157</v>
      </c>
      <c r="N196" s="573">
        <v>2</v>
      </c>
      <c r="O196" s="573" t="s">
        <v>157</v>
      </c>
      <c r="P196" s="571" t="s">
        <v>157</v>
      </c>
      <c r="Q196" s="573" t="s">
        <v>231</v>
      </c>
      <c r="R196" s="573">
        <v>6</v>
      </c>
      <c r="S196" s="582" t="s">
        <v>721</v>
      </c>
      <c r="T196" s="573" t="s">
        <v>717</v>
      </c>
      <c r="U196" s="573">
        <v>112.7</v>
      </c>
      <c r="V196" s="573">
        <v>21.7</v>
      </c>
      <c r="W196" s="616">
        <v>3782</v>
      </c>
      <c r="X196" s="617">
        <v>24</v>
      </c>
      <c r="Y196" s="617" t="s">
        <v>178</v>
      </c>
      <c r="Z196" s="617" t="s">
        <v>178</v>
      </c>
      <c r="AA196" s="618">
        <v>41795</v>
      </c>
      <c r="AB196" s="618" t="s">
        <v>164</v>
      </c>
      <c r="AC196" s="618">
        <v>40941.15</v>
      </c>
      <c r="AD196" s="619">
        <v>0.05</v>
      </c>
      <c r="AE196" s="617" t="s">
        <v>720</v>
      </c>
    </row>
    <row r="197" spans="1:31" s="572" customFormat="1">
      <c r="A197" s="570" t="s">
        <v>722</v>
      </c>
      <c r="B197" s="569" t="s">
        <v>169</v>
      </c>
      <c r="C197" s="580">
        <v>11</v>
      </c>
      <c r="D197" s="569" t="s">
        <v>699</v>
      </c>
      <c r="E197" s="569" t="s">
        <v>152</v>
      </c>
      <c r="F197" s="569" t="s">
        <v>153</v>
      </c>
      <c r="G197" s="569">
        <v>2019</v>
      </c>
      <c r="H197" s="569" t="s">
        <v>724</v>
      </c>
      <c r="I197" s="569" t="s">
        <v>725</v>
      </c>
      <c r="J197" s="569" t="s">
        <v>230</v>
      </c>
      <c r="K197" s="569">
        <v>5</v>
      </c>
      <c r="L197" s="569">
        <v>0</v>
      </c>
      <c r="M197" s="569" t="s">
        <v>157</v>
      </c>
      <c r="N197" s="569">
        <v>2</v>
      </c>
      <c r="O197" s="569" t="s">
        <v>157</v>
      </c>
      <c r="P197" s="568" t="s">
        <v>157</v>
      </c>
      <c r="Q197" s="569" t="s">
        <v>726</v>
      </c>
      <c r="R197" s="569">
        <v>4</v>
      </c>
      <c r="S197" s="569" t="s">
        <v>727</v>
      </c>
      <c r="T197" s="569" t="s">
        <v>725</v>
      </c>
      <c r="U197" s="569">
        <v>107.3</v>
      </c>
      <c r="V197" s="569">
        <v>14.9</v>
      </c>
      <c r="W197" s="620">
        <v>4850</v>
      </c>
      <c r="X197" s="621">
        <v>32</v>
      </c>
      <c r="Y197" s="621" t="s">
        <v>728</v>
      </c>
      <c r="Z197" s="621" t="s">
        <v>728</v>
      </c>
      <c r="AA197" s="622">
        <v>32395</v>
      </c>
      <c r="AB197" s="622" t="s">
        <v>164</v>
      </c>
      <c r="AC197" s="622">
        <v>26675.416666666668</v>
      </c>
      <c r="AD197" s="623">
        <v>0.05</v>
      </c>
      <c r="AE197" s="621" t="s">
        <v>723</v>
      </c>
    </row>
    <row r="198" spans="1:31" s="572" customFormat="1">
      <c r="A198" s="570" t="s">
        <v>729</v>
      </c>
      <c r="B198" s="573" t="s">
        <v>169</v>
      </c>
      <c r="C198" s="578">
        <v>11</v>
      </c>
      <c r="D198" s="573" t="s">
        <v>699</v>
      </c>
      <c r="E198" s="573" t="s">
        <v>152</v>
      </c>
      <c r="F198" s="573" t="s">
        <v>153</v>
      </c>
      <c r="G198" s="573">
        <v>2019</v>
      </c>
      <c r="H198" s="573" t="s">
        <v>724</v>
      </c>
      <c r="I198" s="573" t="s">
        <v>174</v>
      </c>
      <c r="J198" s="573" t="s">
        <v>230</v>
      </c>
      <c r="K198" s="573">
        <v>5</v>
      </c>
      <c r="L198" s="573">
        <v>0</v>
      </c>
      <c r="M198" s="573" t="s">
        <v>157</v>
      </c>
      <c r="N198" s="573">
        <v>2</v>
      </c>
      <c r="O198" s="573" t="s">
        <v>157</v>
      </c>
      <c r="P198" s="571" t="s">
        <v>157</v>
      </c>
      <c r="Q198" s="573" t="s">
        <v>205</v>
      </c>
      <c r="R198" s="573">
        <v>4</v>
      </c>
      <c r="S198" s="582" t="s">
        <v>731</v>
      </c>
      <c r="T198" s="573" t="s">
        <v>732</v>
      </c>
      <c r="U198" s="573">
        <v>107.3</v>
      </c>
      <c r="V198" s="573">
        <v>14.9</v>
      </c>
      <c r="W198" s="616">
        <v>4630</v>
      </c>
      <c r="X198" s="617">
        <v>26</v>
      </c>
      <c r="Y198" s="617" t="s">
        <v>178</v>
      </c>
      <c r="Z198" s="617" t="s">
        <v>178</v>
      </c>
      <c r="AA198" s="618">
        <v>28695</v>
      </c>
      <c r="AB198" s="618" t="s">
        <v>164</v>
      </c>
      <c r="AC198" s="618">
        <v>23365.263157894737</v>
      </c>
      <c r="AD198" s="619">
        <v>0.05</v>
      </c>
      <c r="AE198" s="617" t="s">
        <v>730</v>
      </c>
    </row>
    <row r="199" spans="1:31" s="572" customFormat="1">
      <c r="A199" s="570" t="s">
        <v>733</v>
      </c>
      <c r="B199" s="569" t="s">
        <v>150</v>
      </c>
      <c r="C199" s="580">
        <v>13</v>
      </c>
      <c r="D199" s="569" t="s">
        <v>699</v>
      </c>
      <c r="E199" s="569" t="s">
        <v>152</v>
      </c>
      <c r="F199" s="569" t="s">
        <v>153</v>
      </c>
      <c r="G199" s="569">
        <v>2019</v>
      </c>
      <c r="H199" s="569" t="s">
        <v>724</v>
      </c>
      <c r="I199" s="569" t="s">
        <v>174</v>
      </c>
      <c r="J199" s="569" t="s">
        <v>230</v>
      </c>
      <c r="K199" s="569">
        <v>5</v>
      </c>
      <c r="L199" s="569">
        <v>0</v>
      </c>
      <c r="M199" s="569" t="s">
        <v>157</v>
      </c>
      <c r="N199" s="569">
        <v>2</v>
      </c>
      <c r="O199" s="569" t="s">
        <v>157</v>
      </c>
      <c r="P199" s="568" t="s">
        <v>157</v>
      </c>
      <c r="Q199" s="569" t="s">
        <v>205</v>
      </c>
      <c r="R199" s="569">
        <v>4</v>
      </c>
      <c r="S199" s="569" t="s">
        <v>731</v>
      </c>
      <c r="T199" s="569" t="s">
        <v>732</v>
      </c>
      <c r="U199" s="569">
        <v>107.3</v>
      </c>
      <c r="V199" s="569">
        <v>14.9</v>
      </c>
      <c r="W199" s="620">
        <v>4630</v>
      </c>
      <c r="X199" s="621">
        <v>26</v>
      </c>
      <c r="Y199" s="621" t="s">
        <v>178</v>
      </c>
      <c r="Z199" s="621" t="s">
        <v>178</v>
      </c>
      <c r="AA199" s="622">
        <v>28495</v>
      </c>
      <c r="AB199" s="622" t="s">
        <v>164</v>
      </c>
      <c r="AC199" s="622">
        <v>24374</v>
      </c>
      <c r="AD199" s="623">
        <v>0.03</v>
      </c>
      <c r="AE199" s="621" t="s">
        <v>730</v>
      </c>
    </row>
    <row r="200" spans="1:31" s="572" customFormat="1">
      <c r="A200" s="570" t="s">
        <v>734</v>
      </c>
      <c r="B200" s="573" t="s">
        <v>166</v>
      </c>
      <c r="C200" s="578">
        <v>17</v>
      </c>
      <c r="D200" s="573" t="s">
        <v>699</v>
      </c>
      <c r="E200" s="573" t="s">
        <v>152</v>
      </c>
      <c r="F200" s="573" t="s">
        <v>153</v>
      </c>
      <c r="G200" s="573">
        <v>2019</v>
      </c>
      <c r="H200" s="573" t="s">
        <v>724</v>
      </c>
      <c r="I200" s="573" t="s">
        <v>174</v>
      </c>
      <c r="J200" s="573" t="s">
        <v>230</v>
      </c>
      <c r="K200" s="573">
        <v>5</v>
      </c>
      <c r="L200" s="573">
        <v>0</v>
      </c>
      <c r="M200" s="573" t="s">
        <v>157</v>
      </c>
      <c r="N200" s="573">
        <v>2</v>
      </c>
      <c r="O200" s="573" t="s">
        <v>157</v>
      </c>
      <c r="P200" s="571" t="s">
        <v>157</v>
      </c>
      <c r="Q200" s="573" t="s">
        <v>205</v>
      </c>
      <c r="R200" s="573">
        <v>4</v>
      </c>
      <c r="S200" s="582" t="s">
        <v>731</v>
      </c>
      <c r="T200" s="573" t="s">
        <v>732</v>
      </c>
      <c r="U200" s="573">
        <v>107.3</v>
      </c>
      <c r="V200" s="573">
        <v>14.9</v>
      </c>
      <c r="W200" s="616">
        <v>4630</v>
      </c>
      <c r="X200" s="617">
        <v>26</v>
      </c>
      <c r="Y200" s="617" t="s">
        <v>178</v>
      </c>
      <c r="Z200" s="617" t="s">
        <v>178</v>
      </c>
      <c r="AA200" s="618">
        <v>28495</v>
      </c>
      <c r="AB200" s="618" t="s">
        <v>164</v>
      </c>
      <c r="AC200" s="618">
        <v>23269.33</v>
      </c>
      <c r="AD200" s="619">
        <v>7.1999999999999995E-2</v>
      </c>
      <c r="AE200" s="617" t="s">
        <v>730</v>
      </c>
    </row>
    <row r="201" spans="1:31" s="572" customFormat="1">
      <c r="A201" s="570" t="s">
        <v>735</v>
      </c>
      <c r="B201" s="569" t="s">
        <v>169</v>
      </c>
      <c r="C201" s="580">
        <v>11</v>
      </c>
      <c r="D201" s="569" t="s">
        <v>699</v>
      </c>
      <c r="E201" s="569" t="s">
        <v>152</v>
      </c>
      <c r="F201" s="569" t="s">
        <v>153</v>
      </c>
      <c r="G201" s="569">
        <v>2019</v>
      </c>
      <c r="H201" s="569" t="s">
        <v>724</v>
      </c>
      <c r="I201" s="569" t="s">
        <v>174</v>
      </c>
      <c r="J201" s="569" t="s">
        <v>156</v>
      </c>
      <c r="K201" s="569">
        <v>5</v>
      </c>
      <c r="L201" s="569">
        <v>0</v>
      </c>
      <c r="M201" s="569" t="s">
        <v>157</v>
      </c>
      <c r="N201" s="569">
        <v>2</v>
      </c>
      <c r="O201" s="569" t="s">
        <v>157</v>
      </c>
      <c r="P201" s="568" t="s">
        <v>157</v>
      </c>
      <c r="Q201" s="569" t="s">
        <v>205</v>
      </c>
      <c r="R201" s="569">
        <v>4</v>
      </c>
      <c r="S201" s="569" t="s">
        <v>737</v>
      </c>
      <c r="T201" s="569" t="s">
        <v>732</v>
      </c>
      <c r="U201" s="569">
        <v>107.3</v>
      </c>
      <c r="V201" s="569">
        <v>14.9</v>
      </c>
      <c r="W201" s="620">
        <v>4464</v>
      </c>
      <c r="X201" s="621">
        <v>28</v>
      </c>
      <c r="Y201" s="621" t="s">
        <v>178</v>
      </c>
      <c r="Z201" s="621" t="s">
        <v>178</v>
      </c>
      <c r="AA201" s="622">
        <v>26995</v>
      </c>
      <c r="AB201" s="622" t="s">
        <v>164</v>
      </c>
      <c r="AC201" s="622">
        <v>21715.36842105263</v>
      </c>
      <c r="AD201" s="623">
        <v>0.05</v>
      </c>
      <c r="AE201" s="621" t="s">
        <v>736</v>
      </c>
    </row>
    <row r="202" spans="1:31" s="572" customFormat="1">
      <c r="A202" s="570" t="s">
        <v>738</v>
      </c>
      <c r="B202" s="573" t="s">
        <v>150</v>
      </c>
      <c r="C202" s="578">
        <v>13</v>
      </c>
      <c r="D202" s="573" t="s">
        <v>699</v>
      </c>
      <c r="E202" s="573" t="s">
        <v>152</v>
      </c>
      <c r="F202" s="573" t="s">
        <v>153</v>
      </c>
      <c r="G202" s="573">
        <v>2019</v>
      </c>
      <c r="H202" s="573" t="s">
        <v>724</v>
      </c>
      <c r="I202" s="573" t="s">
        <v>174</v>
      </c>
      <c r="J202" s="573" t="s">
        <v>156</v>
      </c>
      <c r="K202" s="573">
        <v>5</v>
      </c>
      <c r="L202" s="573">
        <v>0</v>
      </c>
      <c r="M202" s="573" t="s">
        <v>157</v>
      </c>
      <c r="N202" s="573">
        <v>2</v>
      </c>
      <c r="O202" s="573" t="s">
        <v>157</v>
      </c>
      <c r="P202" s="571" t="s">
        <v>157</v>
      </c>
      <c r="Q202" s="573" t="s">
        <v>205</v>
      </c>
      <c r="R202" s="573">
        <v>4</v>
      </c>
      <c r="S202" s="582" t="s">
        <v>737</v>
      </c>
      <c r="T202" s="573" t="s">
        <v>732</v>
      </c>
      <c r="U202" s="573">
        <v>107.3</v>
      </c>
      <c r="V202" s="573">
        <v>14.9</v>
      </c>
      <c r="W202" s="616">
        <v>4464</v>
      </c>
      <c r="X202" s="617">
        <v>28</v>
      </c>
      <c r="Y202" s="617" t="s">
        <v>178</v>
      </c>
      <c r="Z202" s="617" t="s">
        <v>178</v>
      </c>
      <c r="AA202" s="618">
        <v>26795</v>
      </c>
      <c r="AB202" s="618" t="s">
        <v>164</v>
      </c>
      <c r="AC202" s="618">
        <v>22764</v>
      </c>
      <c r="AD202" s="619">
        <v>0.03</v>
      </c>
      <c r="AE202" s="617" t="s">
        <v>736</v>
      </c>
    </row>
    <row r="203" spans="1:31" s="572" customFormat="1">
      <c r="A203" s="570" t="s">
        <v>739</v>
      </c>
      <c r="B203" s="569" t="s">
        <v>166</v>
      </c>
      <c r="C203" s="580">
        <v>17</v>
      </c>
      <c r="D203" s="569" t="s">
        <v>699</v>
      </c>
      <c r="E203" s="569" t="s">
        <v>152</v>
      </c>
      <c r="F203" s="569" t="s">
        <v>153</v>
      </c>
      <c r="G203" s="569">
        <v>2019</v>
      </c>
      <c r="H203" s="569" t="s">
        <v>724</v>
      </c>
      <c r="I203" s="569" t="s">
        <v>174</v>
      </c>
      <c r="J203" s="569" t="s">
        <v>156</v>
      </c>
      <c r="K203" s="569">
        <v>5</v>
      </c>
      <c r="L203" s="569">
        <v>0</v>
      </c>
      <c r="M203" s="569" t="s">
        <v>157</v>
      </c>
      <c r="N203" s="569">
        <v>2</v>
      </c>
      <c r="O203" s="569" t="s">
        <v>157</v>
      </c>
      <c r="P203" s="568" t="s">
        <v>157</v>
      </c>
      <c r="Q203" s="569" t="s">
        <v>205</v>
      </c>
      <c r="R203" s="569">
        <v>4</v>
      </c>
      <c r="S203" s="569" t="s">
        <v>737</v>
      </c>
      <c r="T203" s="569" t="s">
        <v>732</v>
      </c>
      <c r="U203" s="569">
        <v>107.3</v>
      </c>
      <c r="V203" s="569">
        <v>14.9</v>
      </c>
      <c r="W203" s="620">
        <v>4464</v>
      </c>
      <c r="X203" s="621">
        <v>28</v>
      </c>
      <c r="Y203" s="621" t="s">
        <v>178</v>
      </c>
      <c r="Z203" s="621" t="s">
        <v>178</v>
      </c>
      <c r="AA203" s="622">
        <v>26795</v>
      </c>
      <c r="AB203" s="622" t="s">
        <v>164</v>
      </c>
      <c r="AC203" s="622">
        <v>21309.65</v>
      </c>
      <c r="AD203" s="623">
        <v>7.1999999999999995E-2</v>
      </c>
      <c r="AE203" s="621" t="s">
        <v>736</v>
      </c>
    </row>
    <row r="204" spans="1:31" s="572" customFormat="1">
      <c r="A204" s="570" t="s">
        <v>740</v>
      </c>
      <c r="B204" s="573" t="s">
        <v>169</v>
      </c>
      <c r="C204" s="578">
        <v>11</v>
      </c>
      <c r="D204" s="573" t="s">
        <v>699</v>
      </c>
      <c r="E204" s="573" t="s">
        <v>152</v>
      </c>
      <c r="F204" s="573" t="s">
        <v>153</v>
      </c>
      <c r="G204" s="573">
        <v>2019</v>
      </c>
      <c r="H204" s="573" t="s">
        <v>724</v>
      </c>
      <c r="I204" s="573" t="s">
        <v>155</v>
      </c>
      <c r="J204" s="573" t="s">
        <v>230</v>
      </c>
      <c r="K204" s="573">
        <v>5</v>
      </c>
      <c r="L204" s="573">
        <v>0</v>
      </c>
      <c r="M204" s="573" t="s">
        <v>157</v>
      </c>
      <c r="N204" s="573">
        <v>2</v>
      </c>
      <c r="O204" s="573" t="s">
        <v>157</v>
      </c>
      <c r="P204" s="571" t="s">
        <v>157</v>
      </c>
      <c r="Q204" s="573" t="s">
        <v>205</v>
      </c>
      <c r="R204" s="573">
        <v>4</v>
      </c>
      <c r="S204" s="582" t="s">
        <v>727</v>
      </c>
      <c r="T204" s="573" t="s">
        <v>213</v>
      </c>
      <c r="U204" s="573">
        <v>107.3</v>
      </c>
      <c r="V204" s="573">
        <v>14.9</v>
      </c>
      <c r="W204" s="616">
        <v>4630</v>
      </c>
      <c r="X204" s="617">
        <v>26</v>
      </c>
      <c r="Y204" s="617" t="s">
        <v>178</v>
      </c>
      <c r="Z204" s="617" t="s">
        <v>178</v>
      </c>
      <c r="AA204" s="618">
        <v>29995</v>
      </c>
      <c r="AB204" s="618" t="s">
        <v>164</v>
      </c>
      <c r="AC204" s="618">
        <v>24623.78947368421</v>
      </c>
      <c r="AD204" s="619">
        <v>0.05</v>
      </c>
      <c r="AE204" s="617" t="s">
        <v>741</v>
      </c>
    </row>
    <row r="205" spans="1:31" s="572" customFormat="1">
      <c r="A205" s="570" t="s">
        <v>742</v>
      </c>
      <c r="B205" s="569" t="s">
        <v>166</v>
      </c>
      <c r="C205" s="580">
        <v>17</v>
      </c>
      <c r="D205" s="569" t="s">
        <v>699</v>
      </c>
      <c r="E205" s="569" t="s">
        <v>152</v>
      </c>
      <c r="F205" s="569" t="s">
        <v>153</v>
      </c>
      <c r="G205" s="569">
        <v>2019</v>
      </c>
      <c r="H205" s="569" t="s">
        <v>724</v>
      </c>
      <c r="I205" s="569" t="s">
        <v>155</v>
      </c>
      <c r="J205" s="569" t="s">
        <v>230</v>
      </c>
      <c r="K205" s="569">
        <v>5</v>
      </c>
      <c r="L205" s="569">
        <v>0</v>
      </c>
      <c r="M205" s="569" t="s">
        <v>157</v>
      </c>
      <c r="N205" s="569">
        <v>2</v>
      </c>
      <c r="O205" s="569" t="s">
        <v>157</v>
      </c>
      <c r="P205" s="568" t="s">
        <v>157</v>
      </c>
      <c r="Q205" s="569" t="s">
        <v>205</v>
      </c>
      <c r="R205" s="569">
        <v>4</v>
      </c>
      <c r="S205" s="569" t="s">
        <v>727</v>
      </c>
      <c r="T205" s="569" t="s">
        <v>213</v>
      </c>
      <c r="U205" s="569">
        <v>107.3</v>
      </c>
      <c r="V205" s="569">
        <v>14.9</v>
      </c>
      <c r="W205" s="620">
        <v>4630</v>
      </c>
      <c r="X205" s="621">
        <v>26</v>
      </c>
      <c r="Y205" s="621" t="s">
        <v>178</v>
      </c>
      <c r="Z205" s="621" t="s">
        <v>178</v>
      </c>
      <c r="AA205" s="622">
        <v>29795</v>
      </c>
      <c r="AB205" s="622" t="s">
        <v>164</v>
      </c>
      <c r="AC205" s="622">
        <v>24501</v>
      </c>
      <c r="AD205" s="623">
        <v>7.1999999999999995E-2</v>
      </c>
      <c r="AE205" s="621" t="s">
        <v>741</v>
      </c>
    </row>
    <row r="206" spans="1:31" s="572" customFormat="1">
      <c r="A206" s="570" t="s">
        <v>743</v>
      </c>
      <c r="B206" s="573" t="s">
        <v>169</v>
      </c>
      <c r="C206" s="578">
        <v>11</v>
      </c>
      <c r="D206" s="573" t="s">
        <v>699</v>
      </c>
      <c r="E206" s="573" t="s">
        <v>152</v>
      </c>
      <c r="F206" s="573" t="s">
        <v>153</v>
      </c>
      <c r="G206" s="573">
        <v>2019</v>
      </c>
      <c r="H206" s="573" t="s">
        <v>724</v>
      </c>
      <c r="I206" s="573" t="s">
        <v>155</v>
      </c>
      <c r="J206" s="573" t="s">
        <v>156</v>
      </c>
      <c r="K206" s="573">
        <v>5</v>
      </c>
      <c r="L206" s="573">
        <v>0</v>
      </c>
      <c r="M206" s="573" t="s">
        <v>157</v>
      </c>
      <c r="N206" s="573">
        <v>2</v>
      </c>
      <c r="O206" s="573" t="s">
        <v>157</v>
      </c>
      <c r="P206" s="571" t="s">
        <v>157</v>
      </c>
      <c r="Q206" s="573" t="s">
        <v>205</v>
      </c>
      <c r="R206" s="573">
        <v>4</v>
      </c>
      <c r="S206" s="582" t="s">
        <v>745</v>
      </c>
      <c r="T206" s="573" t="s">
        <v>213</v>
      </c>
      <c r="U206" s="573">
        <v>107.3</v>
      </c>
      <c r="V206" s="573">
        <v>14.9</v>
      </c>
      <c r="W206" s="616">
        <v>4464</v>
      </c>
      <c r="X206" s="617">
        <v>28</v>
      </c>
      <c r="Y206" s="617" t="s">
        <v>178</v>
      </c>
      <c r="Z206" s="617" t="s">
        <v>178</v>
      </c>
      <c r="AA206" s="618">
        <v>28295</v>
      </c>
      <c r="AB206" s="618" t="s">
        <v>164</v>
      </c>
      <c r="AC206" s="618">
        <v>22977.05263157895</v>
      </c>
      <c r="AD206" s="619">
        <v>0.05</v>
      </c>
      <c r="AE206" s="617" t="s">
        <v>744</v>
      </c>
    </row>
    <row r="207" spans="1:31" s="572" customFormat="1">
      <c r="A207" s="570" t="s">
        <v>746</v>
      </c>
      <c r="B207" s="569" t="s">
        <v>166</v>
      </c>
      <c r="C207" s="580">
        <v>17</v>
      </c>
      <c r="D207" s="569" t="s">
        <v>699</v>
      </c>
      <c r="E207" s="569" t="s">
        <v>152</v>
      </c>
      <c r="F207" s="569" t="s">
        <v>153</v>
      </c>
      <c r="G207" s="569">
        <v>2019</v>
      </c>
      <c r="H207" s="569" t="s">
        <v>724</v>
      </c>
      <c r="I207" s="569" t="s">
        <v>155</v>
      </c>
      <c r="J207" s="569" t="s">
        <v>156</v>
      </c>
      <c r="K207" s="569">
        <v>5</v>
      </c>
      <c r="L207" s="569">
        <v>0</v>
      </c>
      <c r="M207" s="569" t="s">
        <v>157</v>
      </c>
      <c r="N207" s="569">
        <v>2</v>
      </c>
      <c r="O207" s="569" t="s">
        <v>157</v>
      </c>
      <c r="P207" s="568" t="s">
        <v>157</v>
      </c>
      <c r="Q207" s="569" t="s">
        <v>205</v>
      </c>
      <c r="R207" s="569">
        <v>4</v>
      </c>
      <c r="S207" s="569" t="s">
        <v>745</v>
      </c>
      <c r="T207" s="569" t="s">
        <v>213</v>
      </c>
      <c r="U207" s="569">
        <v>107.3</v>
      </c>
      <c r="V207" s="569">
        <v>14.9</v>
      </c>
      <c r="W207" s="620">
        <v>4464</v>
      </c>
      <c r="X207" s="621">
        <v>28</v>
      </c>
      <c r="Y207" s="621" t="s">
        <v>178</v>
      </c>
      <c r="Z207" s="621" t="s">
        <v>178</v>
      </c>
      <c r="AA207" s="622">
        <v>28095</v>
      </c>
      <c r="AB207" s="622" t="s">
        <v>164</v>
      </c>
      <c r="AC207" s="622">
        <v>23455</v>
      </c>
      <c r="AD207" s="623">
        <v>7.1999999999999995E-2</v>
      </c>
      <c r="AE207" s="621" t="s">
        <v>744</v>
      </c>
    </row>
    <row r="208" spans="1:31" s="572" customFormat="1">
      <c r="A208" s="570" t="s">
        <v>748</v>
      </c>
      <c r="B208" s="573" t="s">
        <v>169</v>
      </c>
      <c r="C208" s="578">
        <v>11</v>
      </c>
      <c r="D208" s="573" t="s">
        <v>699</v>
      </c>
      <c r="E208" s="573" t="s">
        <v>187</v>
      </c>
      <c r="F208" s="573" t="s">
        <v>153</v>
      </c>
      <c r="G208" s="573">
        <v>2019</v>
      </c>
      <c r="H208" s="573" t="s">
        <v>750</v>
      </c>
      <c r="I208" s="573" t="s">
        <v>751</v>
      </c>
      <c r="J208" s="573" t="s">
        <v>752</v>
      </c>
      <c r="K208" s="573">
        <v>8</v>
      </c>
      <c r="L208" s="573">
        <v>0</v>
      </c>
      <c r="M208" s="573" t="s">
        <v>157</v>
      </c>
      <c r="N208" s="573">
        <v>3</v>
      </c>
      <c r="O208" s="573" t="s">
        <v>157</v>
      </c>
      <c r="P208" s="571">
        <v>5000</v>
      </c>
      <c r="Q208" s="573" t="s">
        <v>753</v>
      </c>
      <c r="R208" s="573">
        <v>8</v>
      </c>
      <c r="S208" s="582" t="s">
        <v>754</v>
      </c>
      <c r="T208" s="573" t="s">
        <v>191</v>
      </c>
      <c r="U208" s="573">
        <v>130</v>
      </c>
      <c r="V208" s="573">
        <v>31</v>
      </c>
      <c r="W208" s="616">
        <v>7500</v>
      </c>
      <c r="X208" s="617">
        <v>18</v>
      </c>
      <c r="Y208" s="617" t="s">
        <v>450</v>
      </c>
      <c r="Z208" s="617" t="s">
        <v>178</v>
      </c>
      <c r="AA208" s="618">
        <v>53795</v>
      </c>
      <c r="AB208" s="618" t="s">
        <v>164</v>
      </c>
      <c r="AC208" s="618">
        <v>42812.5</v>
      </c>
      <c r="AD208" s="619">
        <v>0.05</v>
      </c>
      <c r="AE208" s="617" t="s">
        <v>749</v>
      </c>
    </row>
    <row r="209" spans="1:31" s="572" customFormat="1">
      <c r="A209" s="570" t="s">
        <v>756</v>
      </c>
      <c r="B209" s="569" t="s">
        <v>150</v>
      </c>
      <c r="C209" s="580">
        <v>13</v>
      </c>
      <c r="D209" s="569" t="s">
        <v>699</v>
      </c>
      <c r="E209" s="569" t="s">
        <v>187</v>
      </c>
      <c r="F209" s="569" t="s">
        <v>153</v>
      </c>
      <c r="G209" s="569">
        <v>2019</v>
      </c>
      <c r="H209" s="569" t="s">
        <v>750</v>
      </c>
      <c r="I209" s="569" t="s">
        <v>751</v>
      </c>
      <c r="J209" s="569" t="s">
        <v>752</v>
      </c>
      <c r="K209" s="569">
        <v>8</v>
      </c>
      <c r="L209" s="569">
        <v>0</v>
      </c>
      <c r="M209" s="569" t="s">
        <v>157</v>
      </c>
      <c r="N209" s="569">
        <v>3</v>
      </c>
      <c r="O209" s="569" t="s">
        <v>157</v>
      </c>
      <c r="P209" s="568">
        <v>5000</v>
      </c>
      <c r="Q209" s="569" t="s">
        <v>753</v>
      </c>
      <c r="R209" s="569">
        <v>8</v>
      </c>
      <c r="S209" s="569" t="s">
        <v>754</v>
      </c>
      <c r="T209" s="569" t="s">
        <v>191</v>
      </c>
      <c r="U209" s="569">
        <v>130</v>
      </c>
      <c r="V209" s="569">
        <v>31</v>
      </c>
      <c r="W209" s="620">
        <v>7500</v>
      </c>
      <c r="X209" s="621">
        <v>18</v>
      </c>
      <c r="Y209" s="621" t="s">
        <v>450</v>
      </c>
      <c r="Z209" s="621" t="s">
        <v>178</v>
      </c>
      <c r="AA209" s="622">
        <v>53795</v>
      </c>
      <c r="AB209" s="622" t="s">
        <v>164</v>
      </c>
      <c r="AC209" s="622">
        <v>44787</v>
      </c>
      <c r="AD209" s="623">
        <v>0.03</v>
      </c>
      <c r="AE209" s="621" t="s">
        <v>749</v>
      </c>
    </row>
    <row r="210" spans="1:31" s="572" customFormat="1">
      <c r="A210" s="570" t="s">
        <v>758</v>
      </c>
      <c r="B210" s="573" t="s">
        <v>166</v>
      </c>
      <c r="C210" s="578">
        <v>17</v>
      </c>
      <c r="D210" s="573" t="s">
        <v>699</v>
      </c>
      <c r="E210" s="573" t="s">
        <v>187</v>
      </c>
      <c r="F210" s="573" t="s">
        <v>153</v>
      </c>
      <c r="G210" s="573">
        <v>2019</v>
      </c>
      <c r="H210" s="573" t="s">
        <v>750</v>
      </c>
      <c r="I210" s="573" t="s">
        <v>751</v>
      </c>
      <c r="J210" s="573" t="s">
        <v>752</v>
      </c>
      <c r="K210" s="573">
        <v>8</v>
      </c>
      <c r="L210" s="573">
        <v>0</v>
      </c>
      <c r="M210" s="573" t="s">
        <v>157</v>
      </c>
      <c r="N210" s="573">
        <v>3</v>
      </c>
      <c r="O210" s="573" t="s">
        <v>157</v>
      </c>
      <c r="P210" s="571">
        <v>5000</v>
      </c>
      <c r="Q210" s="573" t="s">
        <v>753</v>
      </c>
      <c r="R210" s="573">
        <v>8</v>
      </c>
      <c r="S210" s="582" t="s">
        <v>754</v>
      </c>
      <c r="T210" s="573" t="s">
        <v>191</v>
      </c>
      <c r="U210" s="573">
        <v>130</v>
      </c>
      <c r="V210" s="573">
        <v>31</v>
      </c>
      <c r="W210" s="616">
        <v>7500</v>
      </c>
      <c r="X210" s="617">
        <v>18</v>
      </c>
      <c r="Y210" s="617" t="s">
        <v>450</v>
      </c>
      <c r="Z210" s="617" t="s">
        <v>178</v>
      </c>
      <c r="AA210" s="618">
        <v>53795</v>
      </c>
      <c r="AB210" s="618" t="s">
        <v>164</v>
      </c>
      <c r="AC210" s="618">
        <v>43979.78</v>
      </c>
      <c r="AD210" s="619">
        <v>7.1999999999999995E-2</v>
      </c>
      <c r="AE210" s="617" t="s">
        <v>749</v>
      </c>
    </row>
    <row r="211" spans="1:31" s="572" customFormat="1">
      <c r="A211" s="570" t="s">
        <v>760</v>
      </c>
      <c r="B211" s="569" t="s">
        <v>169</v>
      </c>
      <c r="C211" s="580">
        <v>11</v>
      </c>
      <c r="D211" s="569" t="s">
        <v>699</v>
      </c>
      <c r="E211" s="569" t="s">
        <v>187</v>
      </c>
      <c r="F211" s="569" t="s">
        <v>153</v>
      </c>
      <c r="G211" s="569">
        <v>2019</v>
      </c>
      <c r="H211" s="569" t="s">
        <v>750</v>
      </c>
      <c r="I211" s="569" t="s">
        <v>751</v>
      </c>
      <c r="J211" s="569" t="s">
        <v>236</v>
      </c>
      <c r="K211" s="569">
        <v>8</v>
      </c>
      <c r="L211" s="569">
        <v>0</v>
      </c>
      <c r="M211" s="569" t="s">
        <v>157</v>
      </c>
      <c r="N211" s="569">
        <v>3</v>
      </c>
      <c r="O211" s="569" t="s">
        <v>157</v>
      </c>
      <c r="P211" s="568">
        <v>5000</v>
      </c>
      <c r="Q211" s="569" t="s">
        <v>753</v>
      </c>
      <c r="R211" s="569">
        <v>8</v>
      </c>
      <c r="S211" s="569" t="s">
        <v>762</v>
      </c>
      <c r="T211" s="569" t="s">
        <v>191</v>
      </c>
      <c r="U211" s="569">
        <v>130</v>
      </c>
      <c r="V211" s="569">
        <v>31</v>
      </c>
      <c r="W211" s="620">
        <v>7300</v>
      </c>
      <c r="X211" s="621">
        <v>19</v>
      </c>
      <c r="Y211" s="621" t="s">
        <v>450</v>
      </c>
      <c r="Z211" s="621" t="s">
        <v>178</v>
      </c>
      <c r="AA211" s="622">
        <v>50795</v>
      </c>
      <c r="AB211" s="622" t="s">
        <v>164</v>
      </c>
      <c r="AC211" s="622">
        <v>39962.5</v>
      </c>
      <c r="AD211" s="623">
        <v>0.05</v>
      </c>
      <c r="AE211" s="621" t="s">
        <v>761</v>
      </c>
    </row>
    <row r="212" spans="1:31" s="572" customFormat="1">
      <c r="A212" s="570" t="s">
        <v>764</v>
      </c>
      <c r="B212" s="573" t="s">
        <v>166</v>
      </c>
      <c r="C212" s="578">
        <v>17</v>
      </c>
      <c r="D212" s="573" t="s">
        <v>699</v>
      </c>
      <c r="E212" s="573" t="s">
        <v>187</v>
      </c>
      <c r="F212" s="573" t="s">
        <v>153</v>
      </c>
      <c r="G212" s="573">
        <v>2019</v>
      </c>
      <c r="H212" s="573" t="s">
        <v>750</v>
      </c>
      <c r="I212" s="573" t="s">
        <v>751</v>
      </c>
      <c r="J212" s="573" t="s">
        <v>236</v>
      </c>
      <c r="K212" s="573">
        <v>8</v>
      </c>
      <c r="L212" s="573">
        <v>0</v>
      </c>
      <c r="M212" s="573" t="s">
        <v>157</v>
      </c>
      <c r="N212" s="573">
        <v>3</v>
      </c>
      <c r="O212" s="573" t="s">
        <v>157</v>
      </c>
      <c r="P212" s="571">
        <v>5000</v>
      </c>
      <c r="Q212" s="573" t="s">
        <v>753</v>
      </c>
      <c r="R212" s="573">
        <v>8</v>
      </c>
      <c r="S212" s="582" t="s">
        <v>762</v>
      </c>
      <c r="T212" s="573" t="s">
        <v>191</v>
      </c>
      <c r="U212" s="573">
        <v>130</v>
      </c>
      <c r="V212" s="573">
        <v>31</v>
      </c>
      <c r="W212" s="616">
        <v>7300</v>
      </c>
      <c r="X212" s="617">
        <v>19</v>
      </c>
      <c r="Y212" s="617" t="s">
        <v>450</v>
      </c>
      <c r="Z212" s="617" t="s">
        <v>178</v>
      </c>
      <c r="AA212" s="618">
        <v>50795</v>
      </c>
      <c r="AB212" s="618" t="s">
        <v>164</v>
      </c>
      <c r="AC212" s="618">
        <v>41226.89</v>
      </c>
      <c r="AD212" s="619">
        <v>7.1999999999999995E-2</v>
      </c>
      <c r="AE212" s="617" t="s">
        <v>761</v>
      </c>
    </row>
    <row r="213" spans="1:31" s="572" customFormat="1">
      <c r="A213" s="570" t="s">
        <v>766</v>
      </c>
      <c r="B213" s="569" t="s">
        <v>169</v>
      </c>
      <c r="C213" s="580">
        <v>11</v>
      </c>
      <c r="D213" s="569" t="s">
        <v>699</v>
      </c>
      <c r="E213" s="569" t="s">
        <v>187</v>
      </c>
      <c r="F213" s="569" t="s">
        <v>153</v>
      </c>
      <c r="G213" s="569">
        <v>2019</v>
      </c>
      <c r="H213" s="569" t="s">
        <v>750</v>
      </c>
      <c r="I213" s="569" t="s">
        <v>174</v>
      </c>
      <c r="J213" s="569" t="s">
        <v>752</v>
      </c>
      <c r="K213" s="569">
        <v>8</v>
      </c>
      <c r="L213" s="569">
        <v>0</v>
      </c>
      <c r="M213" s="569" t="s">
        <v>157</v>
      </c>
      <c r="N213" s="569">
        <v>3</v>
      </c>
      <c r="O213" s="569" t="s">
        <v>157</v>
      </c>
      <c r="P213" s="568">
        <v>5000</v>
      </c>
      <c r="Q213" s="569" t="s">
        <v>753</v>
      </c>
      <c r="R213" s="569">
        <v>8</v>
      </c>
      <c r="S213" s="569" t="s">
        <v>754</v>
      </c>
      <c r="T213" s="569" t="s">
        <v>732</v>
      </c>
      <c r="U213" s="569">
        <v>130</v>
      </c>
      <c r="V213" s="569">
        <v>31</v>
      </c>
      <c r="W213" s="620">
        <v>7500</v>
      </c>
      <c r="X213" s="621">
        <v>18</v>
      </c>
      <c r="Y213" s="621" t="s">
        <v>450</v>
      </c>
      <c r="Z213" s="621" t="s">
        <v>178</v>
      </c>
      <c r="AA213" s="622">
        <v>54895</v>
      </c>
      <c r="AB213" s="622" t="s">
        <v>164</v>
      </c>
      <c r="AC213" s="622">
        <v>43857.5</v>
      </c>
      <c r="AD213" s="623">
        <v>0.05</v>
      </c>
      <c r="AE213" s="621" t="s">
        <v>767</v>
      </c>
    </row>
    <row r="214" spans="1:31" s="572" customFormat="1">
      <c r="A214" s="570" t="s">
        <v>769</v>
      </c>
      <c r="B214" s="573" t="s">
        <v>150</v>
      </c>
      <c r="C214" s="578">
        <v>13</v>
      </c>
      <c r="D214" s="573" t="s">
        <v>699</v>
      </c>
      <c r="E214" s="573" t="s">
        <v>187</v>
      </c>
      <c r="F214" s="573" t="s">
        <v>153</v>
      </c>
      <c r="G214" s="573">
        <v>2019</v>
      </c>
      <c r="H214" s="573" t="s">
        <v>750</v>
      </c>
      <c r="I214" s="573" t="s">
        <v>174</v>
      </c>
      <c r="J214" s="573" t="s">
        <v>752</v>
      </c>
      <c r="K214" s="573">
        <v>8</v>
      </c>
      <c r="L214" s="573">
        <v>0</v>
      </c>
      <c r="M214" s="573" t="s">
        <v>157</v>
      </c>
      <c r="N214" s="573">
        <v>3</v>
      </c>
      <c r="O214" s="573" t="s">
        <v>157</v>
      </c>
      <c r="P214" s="571">
        <v>5000</v>
      </c>
      <c r="Q214" s="573" t="s">
        <v>753</v>
      </c>
      <c r="R214" s="573">
        <v>8</v>
      </c>
      <c r="S214" s="582" t="s">
        <v>754</v>
      </c>
      <c r="T214" s="573" t="s">
        <v>732</v>
      </c>
      <c r="U214" s="573">
        <v>130</v>
      </c>
      <c r="V214" s="573">
        <v>31</v>
      </c>
      <c r="W214" s="616">
        <v>7500</v>
      </c>
      <c r="X214" s="617">
        <v>18</v>
      </c>
      <c r="Y214" s="617" t="s">
        <v>450</v>
      </c>
      <c r="Z214" s="617" t="s">
        <v>178</v>
      </c>
      <c r="AA214" s="618">
        <v>54895</v>
      </c>
      <c r="AB214" s="618" t="s">
        <v>164</v>
      </c>
      <c r="AC214" s="618">
        <v>47061</v>
      </c>
      <c r="AD214" s="619">
        <v>0.03</v>
      </c>
      <c r="AE214" s="617" t="s">
        <v>767</v>
      </c>
    </row>
    <row r="215" spans="1:31" s="572" customFormat="1">
      <c r="A215" s="570" t="s">
        <v>771</v>
      </c>
      <c r="B215" s="569" t="s">
        <v>166</v>
      </c>
      <c r="C215" s="580">
        <v>17</v>
      </c>
      <c r="D215" s="569" t="s">
        <v>699</v>
      </c>
      <c r="E215" s="569" t="s">
        <v>187</v>
      </c>
      <c r="F215" s="569" t="s">
        <v>153</v>
      </c>
      <c r="G215" s="569">
        <v>2019</v>
      </c>
      <c r="H215" s="569" t="s">
        <v>750</v>
      </c>
      <c r="I215" s="569" t="s">
        <v>174</v>
      </c>
      <c r="J215" s="569" t="s">
        <v>752</v>
      </c>
      <c r="K215" s="569">
        <v>8</v>
      </c>
      <c r="L215" s="569">
        <v>0</v>
      </c>
      <c r="M215" s="569" t="s">
        <v>157</v>
      </c>
      <c r="N215" s="569">
        <v>3</v>
      </c>
      <c r="O215" s="569" t="s">
        <v>157</v>
      </c>
      <c r="P215" s="568">
        <v>5000</v>
      </c>
      <c r="Q215" s="569" t="s">
        <v>753</v>
      </c>
      <c r="R215" s="569">
        <v>8</v>
      </c>
      <c r="S215" s="569" t="s">
        <v>754</v>
      </c>
      <c r="T215" s="569" t="s">
        <v>732</v>
      </c>
      <c r="U215" s="569">
        <v>130</v>
      </c>
      <c r="V215" s="569">
        <v>31</v>
      </c>
      <c r="W215" s="620">
        <v>7500</v>
      </c>
      <c r="X215" s="621">
        <v>18</v>
      </c>
      <c r="Y215" s="621" t="s">
        <v>450</v>
      </c>
      <c r="Z215" s="621" t="s">
        <v>178</v>
      </c>
      <c r="AA215" s="622">
        <v>54895</v>
      </c>
      <c r="AB215" s="622" t="s">
        <v>164</v>
      </c>
      <c r="AC215" s="622">
        <v>44655</v>
      </c>
      <c r="AD215" s="623">
        <v>7.1999999999999995E-2</v>
      </c>
      <c r="AE215" s="621" t="s">
        <v>767</v>
      </c>
    </row>
    <row r="216" spans="1:31" s="572" customFormat="1">
      <c r="A216" s="570" t="s">
        <v>773</v>
      </c>
      <c r="B216" s="573" t="s">
        <v>169</v>
      </c>
      <c r="C216" s="578">
        <v>11</v>
      </c>
      <c r="D216" s="573" t="s">
        <v>699</v>
      </c>
      <c r="E216" s="573" t="s">
        <v>187</v>
      </c>
      <c r="F216" s="573" t="s">
        <v>153</v>
      </c>
      <c r="G216" s="573">
        <v>2019</v>
      </c>
      <c r="H216" s="573" t="s">
        <v>750</v>
      </c>
      <c r="I216" s="573" t="s">
        <v>174</v>
      </c>
      <c r="J216" s="573" t="s">
        <v>236</v>
      </c>
      <c r="K216" s="573">
        <v>8</v>
      </c>
      <c r="L216" s="573">
        <v>0</v>
      </c>
      <c r="M216" s="573" t="s">
        <v>157</v>
      </c>
      <c r="N216" s="573">
        <v>3</v>
      </c>
      <c r="O216" s="573" t="s">
        <v>157</v>
      </c>
      <c r="P216" s="571">
        <v>5000</v>
      </c>
      <c r="Q216" s="573" t="s">
        <v>753</v>
      </c>
      <c r="R216" s="573">
        <v>8</v>
      </c>
      <c r="S216" s="582" t="s">
        <v>762</v>
      </c>
      <c r="T216" s="573" t="s">
        <v>732</v>
      </c>
      <c r="U216" s="573">
        <v>130</v>
      </c>
      <c r="V216" s="573">
        <v>31</v>
      </c>
      <c r="W216" s="616">
        <v>7300</v>
      </c>
      <c r="X216" s="617">
        <v>19</v>
      </c>
      <c r="Y216" s="617" t="s">
        <v>450</v>
      </c>
      <c r="Z216" s="617" t="s">
        <v>178</v>
      </c>
      <c r="AA216" s="618">
        <v>51895</v>
      </c>
      <c r="AB216" s="618" t="s">
        <v>164</v>
      </c>
      <c r="AC216" s="618">
        <v>41007.5</v>
      </c>
      <c r="AD216" s="619">
        <v>0.05</v>
      </c>
      <c r="AE216" s="617" t="s">
        <v>774</v>
      </c>
    </row>
    <row r="217" spans="1:31" s="572" customFormat="1">
      <c r="A217" s="570" t="s">
        <v>776</v>
      </c>
      <c r="B217" s="569" t="s">
        <v>150</v>
      </c>
      <c r="C217" s="580">
        <v>13</v>
      </c>
      <c r="D217" s="569" t="s">
        <v>699</v>
      </c>
      <c r="E217" s="569" t="s">
        <v>187</v>
      </c>
      <c r="F217" s="569" t="s">
        <v>153</v>
      </c>
      <c r="G217" s="569">
        <v>2019</v>
      </c>
      <c r="H217" s="569" t="s">
        <v>750</v>
      </c>
      <c r="I217" s="569" t="s">
        <v>174</v>
      </c>
      <c r="J217" s="569" t="s">
        <v>236</v>
      </c>
      <c r="K217" s="569">
        <v>8</v>
      </c>
      <c r="L217" s="569">
        <v>0</v>
      </c>
      <c r="M217" s="569" t="s">
        <v>157</v>
      </c>
      <c r="N217" s="569">
        <v>3</v>
      </c>
      <c r="O217" s="569" t="s">
        <v>157</v>
      </c>
      <c r="P217" s="568">
        <v>5000</v>
      </c>
      <c r="Q217" s="569" t="s">
        <v>753</v>
      </c>
      <c r="R217" s="569">
        <v>8</v>
      </c>
      <c r="S217" s="569" t="s">
        <v>762</v>
      </c>
      <c r="T217" s="569" t="s">
        <v>732</v>
      </c>
      <c r="U217" s="569">
        <v>130</v>
      </c>
      <c r="V217" s="569">
        <v>31</v>
      </c>
      <c r="W217" s="620">
        <v>7300</v>
      </c>
      <c r="X217" s="621">
        <v>19</v>
      </c>
      <c r="Y217" s="621" t="s">
        <v>450</v>
      </c>
      <c r="Z217" s="621" t="s">
        <v>178</v>
      </c>
      <c r="AA217" s="622">
        <v>51895</v>
      </c>
      <c r="AB217" s="622" t="s">
        <v>164</v>
      </c>
      <c r="AC217" s="622">
        <v>40474</v>
      </c>
      <c r="AD217" s="623">
        <v>0.03</v>
      </c>
      <c r="AE217" s="621" t="s">
        <v>774</v>
      </c>
    </row>
    <row r="218" spans="1:31" s="572" customFormat="1">
      <c r="A218" s="570" t="s">
        <v>778</v>
      </c>
      <c r="B218" s="573" t="s">
        <v>166</v>
      </c>
      <c r="C218" s="578">
        <v>17</v>
      </c>
      <c r="D218" s="573" t="s">
        <v>699</v>
      </c>
      <c r="E218" s="573" t="s">
        <v>187</v>
      </c>
      <c r="F218" s="573" t="s">
        <v>153</v>
      </c>
      <c r="G218" s="573">
        <v>2019</v>
      </c>
      <c r="H218" s="573" t="s">
        <v>750</v>
      </c>
      <c r="I218" s="573" t="s">
        <v>174</v>
      </c>
      <c r="J218" s="573" t="s">
        <v>236</v>
      </c>
      <c r="K218" s="573">
        <v>8</v>
      </c>
      <c r="L218" s="573">
        <v>0</v>
      </c>
      <c r="M218" s="573" t="s">
        <v>157</v>
      </c>
      <c r="N218" s="573">
        <v>3</v>
      </c>
      <c r="O218" s="573" t="s">
        <v>157</v>
      </c>
      <c r="P218" s="571">
        <v>5000</v>
      </c>
      <c r="Q218" s="573" t="s">
        <v>753</v>
      </c>
      <c r="R218" s="573">
        <v>8</v>
      </c>
      <c r="S218" s="582" t="s">
        <v>762</v>
      </c>
      <c r="T218" s="573" t="s">
        <v>732</v>
      </c>
      <c r="U218" s="573">
        <v>130</v>
      </c>
      <c r="V218" s="573">
        <v>31</v>
      </c>
      <c r="W218" s="616">
        <v>7300</v>
      </c>
      <c r="X218" s="617">
        <v>19</v>
      </c>
      <c r="Y218" s="617" t="s">
        <v>450</v>
      </c>
      <c r="Z218" s="617" t="s">
        <v>178</v>
      </c>
      <c r="AA218" s="618">
        <v>51895</v>
      </c>
      <c r="AB218" s="618" t="s">
        <v>164</v>
      </c>
      <c r="AC218" s="618">
        <v>41300</v>
      </c>
      <c r="AD218" s="619">
        <v>7.1999999999999995E-2</v>
      </c>
      <c r="AE218" s="617" t="s">
        <v>774</v>
      </c>
    </row>
    <row r="219" spans="1:31" s="572" customFormat="1">
      <c r="A219" s="570" t="s">
        <v>780</v>
      </c>
      <c r="B219" s="569" t="s">
        <v>169</v>
      </c>
      <c r="C219" s="580">
        <v>11</v>
      </c>
      <c r="D219" s="569" t="s">
        <v>699</v>
      </c>
      <c r="E219" s="569" t="s">
        <v>187</v>
      </c>
      <c r="F219" s="569" t="s">
        <v>153</v>
      </c>
      <c r="G219" s="569">
        <v>2019</v>
      </c>
      <c r="H219" s="569" t="s">
        <v>750</v>
      </c>
      <c r="I219" s="569" t="s">
        <v>155</v>
      </c>
      <c r="J219" s="569" t="s">
        <v>752</v>
      </c>
      <c r="K219" s="569">
        <v>8</v>
      </c>
      <c r="L219" s="569">
        <v>0</v>
      </c>
      <c r="M219" s="569" t="s">
        <v>157</v>
      </c>
      <c r="N219" s="569">
        <v>3</v>
      </c>
      <c r="O219" s="569" t="s">
        <v>157</v>
      </c>
      <c r="P219" s="568">
        <v>5000</v>
      </c>
      <c r="Q219" s="569" t="s">
        <v>753</v>
      </c>
      <c r="R219" s="569">
        <v>8</v>
      </c>
      <c r="S219" s="569" t="s">
        <v>754</v>
      </c>
      <c r="T219" s="569" t="s">
        <v>213</v>
      </c>
      <c r="U219" s="569">
        <v>130</v>
      </c>
      <c r="V219" s="569">
        <v>31</v>
      </c>
      <c r="W219" s="620">
        <v>7500</v>
      </c>
      <c r="X219" s="621">
        <v>18</v>
      </c>
      <c r="Y219" s="621" t="s">
        <v>450</v>
      </c>
      <c r="Z219" s="621" t="s">
        <v>178</v>
      </c>
      <c r="AA219" s="622">
        <v>59895</v>
      </c>
      <c r="AB219" s="622" t="s">
        <v>164</v>
      </c>
      <c r="AC219" s="622">
        <v>48607.5</v>
      </c>
      <c r="AD219" s="623">
        <v>0.05</v>
      </c>
      <c r="AE219" s="621" t="s">
        <v>781</v>
      </c>
    </row>
    <row r="220" spans="1:31" s="572" customFormat="1">
      <c r="A220" s="570" t="s">
        <v>783</v>
      </c>
      <c r="B220" s="573" t="s">
        <v>150</v>
      </c>
      <c r="C220" s="578">
        <v>13</v>
      </c>
      <c r="D220" s="573" t="s">
        <v>699</v>
      </c>
      <c r="E220" s="573" t="s">
        <v>187</v>
      </c>
      <c r="F220" s="573" t="s">
        <v>153</v>
      </c>
      <c r="G220" s="573">
        <v>2019</v>
      </c>
      <c r="H220" s="573" t="s">
        <v>750</v>
      </c>
      <c r="I220" s="573" t="s">
        <v>155</v>
      </c>
      <c r="J220" s="573" t="s">
        <v>752</v>
      </c>
      <c r="K220" s="573">
        <v>8</v>
      </c>
      <c r="L220" s="573">
        <v>0</v>
      </c>
      <c r="M220" s="573" t="s">
        <v>157</v>
      </c>
      <c r="N220" s="573">
        <v>3</v>
      </c>
      <c r="O220" s="573" t="s">
        <v>157</v>
      </c>
      <c r="P220" s="571">
        <v>5000</v>
      </c>
      <c r="Q220" s="573" t="s">
        <v>753</v>
      </c>
      <c r="R220" s="573">
        <v>8</v>
      </c>
      <c r="S220" s="582" t="s">
        <v>754</v>
      </c>
      <c r="T220" s="573" t="s">
        <v>213</v>
      </c>
      <c r="U220" s="573">
        <v>130</v>
      </c>
      <c r="V220" s="573">
        <v>31</v>
      </c>
      <c r="W220" s="616">
        <v>7500</v>
      </c>
      <c r="X220" s="617">
        <v>18</v>
      </c>
      <c r="Y220" s="617" t="s">
        <v>450</v>
      </c>
      <c r="Z220" s="617" t="s">
        <v>178</v>
      </c>
      <c r="AA220" s="618">
        <v>59895</v>
      </c>
      <c r="AB220" s="618" t="s">
        <v>164</v>
      </c>
      <c r="AC220" s="618">
        <v>50329</v>
      </c>
      <c r="AD220" s="619">
        <v>0.03</v>
      </c>
      <c r="AE220" s="617" t="s">
        <v>781</v>
      </c>
    </row>
    <row r="221" spans="1:31" s="572" customFormat="1">
      <c r="A221" s="570" t="s">
        <v>785</v>
      </c>
      <c r="B221" s="569" t="s">
        <v>166</v>
      </c>
      <c r="C221" s="580">
        <v>17</v>
      </c>
      <c r="D221" s="569" t="s">
        <v>699</v>
      </c>
      <c r="E221" s="569" t="s">
        <v>187</v>
      </c>
      <c r="F221" s="569" t="s">
        <v>153</v>
      </c>
      <c r="G221" s="569">
        <v>2019</v>
      </c>
      <c r="H221" s="569" t="s">
        <v>750</v>
      </c>
      <c r="I221" s="569" t="s">
        <v>155</v>
      </c>
      <c r="J221" s="569" t="s">
        <v>752</v>
      </c>
      <c r="K221" s="569">
        <v>8</v>
      </c>
      <c r="L221" s="569">
        <v>0</v>
      </c>
      <c r="M221" s="569" t="s">
        <v>157</v>
      </c>
      <c r="N221" s="569">
        <v>3</v>
      </c>
      <c r="O221" s="569" t="s">
        <v>157</v>
      </c>
      <c r="P221" s="568">
        <v>5000</v>
      </c>
      <c r="Q221" s="569" t="s">
        <v>753</v>
      </c>
      <c r="R221" s="569">
        <v>8</v>
      </c>
      <c r="S221" s="569" t="s">
        <v>754</v>
      </c>
      <c r="T221" s="569" t="s">
        <v>213</v>
      </c>
      <c r="U221" s="569">
        <v>130</v>
      </c>
      <c r="V221" s="569">
        <v>31</v>
      </c>
      <c r="W221" s="620">
        <v>7500</v>
      </c>
      <c r="X221" s="621">
        <v>18</v>
      </c>
      <c r="Y221" s="621" t="s">
        <v>450</v>
      </c>
      <c r="Z221" s="621" t="s">
        <v>178</v>
      </c>
      <c r="AA221" s="622">
        <v>59895</v>
      </c>
      <c r="AB221" s="622" t="s">
        <v>164</v>
      </c>
      <c r="AC221" s="622">
        <v>49896.46</v>
      </c>
      <c r="AD221" s="623">
        <v>7.1999999999999995E-2</v>
      </c>
      <c r="AE221" s="621" t="s">
        <v>781</v>
      </c>
    </row>
    <row r="222" spans="1:31" s="572" customFormat="1">
      <c r="A222" s="570" t="s">
        <v>787</v>
      </c>
      <c r="B222" s="573" t="s">
        <v>169</v>
      </c>
      <c r="C222" s="578">
        <v>11</v>
      </c>
      <c r="D222" s="573" t="s">
        <v>699</v>
      </c>
      <c r="E222" s="573" t="s">
        <v>187</v>
      </c>
      <c r="F222" s="573" t="s">
        <v>153</v>
      </c>
      <c r="G222" s="573">
        <v>2019</v>
      </c>
      <c r="H222" s="573" t="s">
        <v>750</v>
      </c>
      <c r="I222" s="573" t="s">
        <v>155</v>
      </c>
      <c r="J222" s="573" t="s">
        <v>236</v>
      </c>
      <c r="K222" s="573">
        <v>8</v>
      </c>
      <c r="L222" s="573">
        <v>0</v>
      </c>
      <c r="M222" s="573" t="s">
        <v>157</v>
      </c>
      <c r="N222" s="573">
        <v>3</v>
      </c>
      <c r="O222" s="573" t="s">
        <v>157</v>
      </c>
      <c r="P222" s="571">
        <v>5000</v>
      </c>
      <c r="Q222" s="573" t="s">
        <v>753</v>
      </c>
      <c r="R222" s="573">
        <v>8</v>
      </c>
      <c r="S222" s="582" t="s">
        <v>762</v>
      </c>
      <c r="T222" s="573" t="s">
        <v>213</v>
      </c>
      <c r="U222" s="573">
        <v>130</v>
      </c>
      <c r="V222" s="573">
        <v>31</v>
      </c>
      <c r="W222" s="616">
        <v>7300</v>
      </c>
      <c r="X222" s="617">
        <v>19</v>
      </c>
      <c r="Y222" s="617" t="s">
        <v>450</v>
      </c>
      <c r="Z222" s="617" t="s">
        <v>178</v>
      </c>
      <c r="AA222" s="618">
        <v>56895</v>
      </c>
      <c r="AB222" s="618" t="s">
        <v>164</v>
      </c>
      <c r="AC222" s="618">
        <v>45757.5</v>
      </c>
      <c r="AD222" s="619">
        <v>0.05</v>
      </c>
      <c r="AE222" s="617" t="s">
        <v>788</v>
      </c>
    </row>
    <row r="223" spans="1:31" s="572" customFormat="1">
      <c r="A223" s="570" t="s">
        <v>790</v>
      </c>
      <c r="B223" s="569" t="s">
        <v>150</v>
      </c>
      <c r="C223" s="580">
        <v>13</v>
      </c>
      <c r="D223" s="569" t="s">
        <v>699</v>
      </c>
      <c r="E223" s="569" t="s">
        <v>187</v>
      </c>
      <c r="F223" s="569" t="s">
        <v>153</v>
      </c>
      <c r="G223" s="569">
        <v>2019</v>
      </c>
      <c r="H223" s="569" t="s">
        <v>750</v>
      </c>
      <c r="I223" s="569" t="s">
        <v>155</v>
      </c>
      <c r="J223" s="569" t="s">
        <v>236</v>
      </c>
      <c r="K223" s="569">
        <v>8</v>
      </c>
      <c r="L223" s="569">
        <v>0</v>
      </c>
      <c r="M223" s="569" t="s">
        <v>157</v>
      </c>
      <c r="N223" s="569">
        <v>3</v>
      </c>
      <c r="O223" s="569" t="s">
        <v>157</v>
      </c>
      <c r="P223" s="568">
        <v>5000</v>
      </c>
      <c r="Q223" s="569" t="s">
        <v>753</v>
      </c>
      <c r="R223" s="569">
        <v>8</v>
      </c>
      <c r="S223" s="569" t="s">
        <v>762</v>
      </c>
      <c r="T223" s="569" t="s">
        <v>213</v>
      </c>
      <c r="U223" s="569">
        <v>130</v>
      </c>
      <c r="V223" s="569">
        <v>31</v>
      </c>
      <c r="W223" s="620">
        <v>7300</v>
      </c>
      <c r="X223" s="621">
        <v>19</v>
      </c>
      <c r="Y223" s="621" t="s">
        <v>450</v>
      </c>
      <c r="Z223" s="621" t="s">
        <v>178</v>
      </c>
      <c r="AA223" s="622">
        <v>56895</v>
      </c>
      <c r="AB223" s="622" t="s">
        <v>164</v>
      </c>
      <c r="AC223" s="622">
        <v>47599</v>
      </c>
      <c r="AD223" s="623">
        <v>0.03</v>
      </c>
      <c r="AE223" s="621" t="s">
        <v>788</v>
      </c>
    </row>
    <row r="224" spans="1:31" s="572" customFormat="1">
      <c r="A224" s="570" t="s">
        <v>792</v>
      </c>
      <c r="B224" s="573" t="s">
        <v>166</v>
      </c>
      <c r="C224" s="578">
        <v>17</v>
      </c>
      <c r="D224" s="573" t="s">
        <v>699</v>
      </c>
      <c r="E224" s="573" t="s">
        <v>187</v>
      </c>
      <c r="F224" s="573" t="s">
        <v>153</v>
      </c>
      <c r="G224" s="573">
        <v>2019</v>
      </c>
      <c r="H224" s="573" t="s">
        <v>750</v>
      </c>
      <c r="I224" s="573" t="s">
        <v>155</v>
      </c>
      <c r="J224" s="573" t="s">
        <v>236</v>
      </c>
      <c r="K224" s="573">
        <v>8</v>
      </c>
      <c r="L224" s="573">
        <v>0</v>
      </c>
      <c r="M224" s="573" t="s">
        <v>157</v>
      </c>
      <c r="N224" s="573">
        <v>3</v>
      </c>
      <c r="O224" s="573" t="s">
        <v>157</v>
      </c>
      <c r="P224" s="571">
        <v>5000</v>
      </c>
      <c r="Q224" s="573" t="s">
        <v>753</v>
      </c>
      <c r="R224" s="573">
        <v>8</v>
      </c>
      <c r="S224" s="582" t="s">
        <v>762</v>
      </c>
      <c r="T224" s="573" t="s">
        <v>213</v>
      </c>
      <c r="U224" s="573">
        <v>130</v>
      </c>
      <c r="V224" s="573">
        <v>31</v>
      </c>
      <c r="W224" s="616">
        <v>7300</v>
      </c>
      <c r="X224" s="617">
        <v>19</v>
      </c>
      <c r="Y224" s="617" t="s">
        <v>450</v>
      </c>
      <c r="Z224" s="617" t="s">
        <v>178</v>
      </c>
      <c r="AA224" s="618">
        <v>56895</v>
      </c>
      <c r="AB224" s="618" t="s">
        <v>164</v>
      </c>
      <c r="AC224" s="618">
        <v>46816.02</v>
      </c>
      <c r="AD224" s="619">
        <v>7.1999999999999995E-2</v>
      </c>
      <c r="AE224" s="617" t="s">
        <v>788</v>
      </c>
    </row>
    <row r="225" spans="1:31" s="572" customFormat="1">
      <c r="A225" s="570" t="s">
        <v>794</v>
      </c>
      <c r="B225" s="569" t="s">
        <v>169</v>
      </c>
      <c r="C225" s="580">
        <v>11</v>
      </c>
      <c r="D225" s="569" t="s">
        <v>699</v>
      </c>
      <c r="E225" s="569" t="s">
        <v>796</v>
      </c>
      <c r="F225" s="569" t="s">
        <v>153</v>
      </c>
      <c r="G225" s="569">
        <v>2019</v>
      </c>
      <c r="H225" s="569" t="s">
        <v>797</v>
      </c>
      <c r="I225" s="569" t="s">
        <v>174</v>
      </c>
      <c r="J225" s="569" t="s">
        <v>752</v>
      </c>
      <c r="K225" s="569">
        <v>8</v>
      </c>
      <c r="L225" s="569">
        <v>0</v>
      </c>
      <c r="M225" s="569" t="s">
        <v>157</v>
      </c>
      <c r="N225" s="569">
        <v>3</v>
      </c>
      <c r="O225" s="569" t="s">
        <v>157</v>
      </c>
      <c r="P225" s="568">
        <v>6000</v>
      </c>
      <c r="Q225" s="569" t="s">
        <v>798</v>
      </c>
      <c r="R225" s="569">
        <v>8</v>
      </c>
      <c r="S225" s="569" t="s">
        <v>799</v>
      </c>
      <c r="T225" s="569" t="s">
        <v>732</v>
      </c>
      <c r="U225" s="569">
        <v>130</v>
      </c>
      <c r="V225" s="569">
        <v>39</v>
      </c>
      <c r="W225" s="620">
        <v>11000</v>
      </c>
      <c r="X225" s="621" t="s">
        <v>157</v>
      </c>
      <c r="Y225" s="621" t="s">
        <v>178</v>
      </c>
      <c r="Z225" s="621" t="s">
        <v>178</v>
      </c>
      <c r="AA225" s="622">
        <v>81895</v>
      </c>
      <c r="AB225" s="622" t="s">
        <v>164</v>
      </c>
      <c r="AC225" s="622">
        <v>70734.375</v>
      </c>
      <c r="AD225" s="623">
        <v>0.05</v>
      </c>
      <c r="AE225" s="621" t="s">
        <v>795</v>
      </c>
    </row>
    <row r="226" spans="1:31" s="572" customFormat="1">
      <c r="A226" s="570" t="s">
        <v>801</v>
      </c>
      <c r="B226" s="573" t="s">
        <v>166</v>
      </c>
      <c r="C226" s="578">
        <v>17</v>
      </c>
      <c r="D226" s="573" t="s">
        <v>699</v>
      </c>
      <c r="E226" s="573" t="s">
        <v>796</v>
      </c>
      <c r="F226" s="573" t="s">
        <v>153</v>
      </c>
      <c r="G226" s="573">
        <v>2019</v>
      </c>
      <c r="H226" s="573" t="s">
        <v>797</v>
      </c>
      <c r="I226" s="573" t="s">
        <v>174</v>
      </c>
      <c r="J226" s="573" t="s">
        <v>752</v>
      </c>
      <c r="K226" s="573">
        <v>8</v>
      </c>
      <c r="L226" s="573">
        <v>0</v>
      </c>
      <c r="M226" s="573" t="s">
        <v>157</v>
      </c>
      <c r="N226" s="573">
        <v>3</v>
      </c>
      <c r="O226" s="573" t="s">
        <v>157</v>
      </c>
      <c r="P226" s="571">
        <v>6000</v>
      </c>
      <c r="Q226" s="573" t="s">
        <v>798</v>
      </c>
      <c r="R226" s="573">
        <v>8</v>
      </c>
      <c r="S226" s="582" t="s">
        <v>799</v>
      </c>
      <c r="T226" s="573" t="s">
        <v>732</v>
      </c>
      <c r="U226" s="573">
        <v>130</v>
      </c>
      <c r="V226" s="573">
        <v>39</v>
      </c>
      <c r="W226" s="616">
        <v>11000</v>
      </c>
      <c r="X226" s="617" t="s">
        <v>157</v>
      </c>
      <c r="Y226" s="617" t="s">
        <v>178</v>
      </c>
      <c r="Z226" s="617" t="s">
        <v>178</v>
      </c>
      <c r="AA226" s="618">
        <v>81895</v>
      </c>
      <c r="AB226" s="618" t="s">
        <v>164</v>
      </c>
      <c r="AC226" s="618">
        <v>77425</v>
      </c>
      <c r="AD226" s="619">
        <v>7.1999999999999995E-2</v>
      </c>
      <c r="AE226" s="617" t="s">
        <v>795</v>
      </c>
    </row>
    <row r="227" spans="1:31" s="572" customFormat="1">
      <c r="A227" s="570" t="s">
        <v>803</v>
      </c>
      <c r="B227" s="569" t="s">
        <v>169</v>
      </c>
      <c r="C227" s="580">
        <v>11</v>
      </c>
      <c r="D227" s="569" t="s">
        <v>699</v>
      </c>
      <c r="E227" s="569" t="s">
        <v>796</v>
      </c>
      <c r="F227" s="569" t="s">
        <v>153</v>
      </c>
      <c r="G227" s="569">
        <v>2019</v>
      </c>
      <c r="H227" s="569" t="s">
        <v>797</v>
      </c>
      <c r="I227" s="569" t="s">
        <v>155</v>
      </c>
      <c r="J227" s="569" t="s">
        <v>752</v>
      </c>
      <c r="K227" s="569">
        <v>8</v>
      </c>
      <c r="L227" s="569">
        <v>0</v>
      </c>
      <c r="M227" s="569" t="s">
        <v>157</v>
      </c>
      <c r="N227" s="569">
        <v>3</v>
      </c>
      <c r="O227" s="569" t="s">
        <v>157</v>
      </c>
      <c r="P227" s="568">
        <v>6000</v>
      </c>
      <c r="Q227" s="569" t="s">
        <v>798</v>
      </c>
      <c r="R227" s="569">
        <v>8</v>
      </c>
      <c r="S227" s="569" t="s">
        <v>799</v>
      </c>
      <c r="T227" s="569" t="s">
        <v>213</v>
      </c>
      <c r="U227" s="569">
        <v>130</v>
      </c>
      <c r="V227" s="569">
        <v>39</v>
      </c>
      <c r="W227" s="620">
        <v>11000</v>
      </c>
      <c r="X227" s="621" t="s">
        <v>157</v>
      </c>
      <c r="Y227" s="621" t="s">
        <v>178</v>
      </c>
      <c r="Z227" s="621" t="s">
        <v>178</v>
      </c>
      <c r="AA227" s="622">
        <v>86995</v>
      </c>
      <c r="AB227" s="622" t="s">
        <v>164</v>
      </c>
      <c r="AC227" s="622">
        <v>75606.145833333328</v>
      </c>
      <c r="AD227" s="623">
        <v>0.05</v>
      </c>
      <c r="AE227" s="621" t="s">
        <v>804</v>
      </c>
    </row>
    <row r="228" spans="1:31" s="572" customFormat="1">
      <c r="A228" s="570" t="s">
        <v>806</v>
      </c>
      <c r="B228" s="573" t="s">
        <v>166</v>
      </c>
      <c r="C228" s="578">
        <v>17</v>
      </c>
      <c r="D228" s="573" t="s">
        <v>699</v>
      </c>
      <c r="E228" s="573" t="s">
        <v>796</v>
      </c>
      <c r="F228" s="573" t="s">
        <v>153</v>
      </c>
      <c r="G228" s="573">
        <v>2019</v>
      </c>
      <c r="H228" s="573" t="s">
        <v>797</v>
      </c>
      <c r="I228" s="573" t="s">
        <v>155</v>
      </c>
      <c r="J228" s="573" t="s">
        <v>752</v>
      </c>
      <c r="K228" s="573">
        <v>8</v>
      </c>
      <c r="L228" s="573">
        <v>0</v>
      </c>
      <c r="M228" s="573" t="s">
        <v>157</v>
      </c>
      <c r="N228" s="573">
        <v>3</v>
      </c>
      <c r="O228" s="573" t="s">
        <v>157</v>
      </c>
      <c r="P228" s="571">
        <v>6000</v>
      </c>
      <c r="Q228" s="573" t="s">
        <v>798</v>
      </c>
      <c r="R228" s="573">
        <v>8</v>
      </c>
      <c r="S228" s="582" t="s">
        <v>799</v>
      </c>
      <c r="T228" s="573" t="s">
        <v>213</v>
      </c>
      <c r="U228" s="573">
        <v>130</v>
      </c>
      <c r="V228" s="573">
        <v>39</v>
      </c>
      <c r="W228" s="616">
        <v>11000</v>
      </c>
      <c r="X228" s="617" t="s">
        <v>157</v>
      </c>
      <c r="Y228" s="617" t="s">
        <v>178</v>
      </c>
      <c r="Z228" s="617" t="s">
        <v>178</v>
      </c>
      <c r="AA228" s="618">
        <v>86995</v>
      </c>
      <c r="AB228" s="618" t="s">
        <v>164</v>
      </c>
      <c r="AC228" s="618">
        <v>82100</v>
      </c>
      <c r="AD228" s="619">
        <v>7.1999999999999995E-2</v>
      </c>
      <c r="AE228" s="617" t="s">
        <v>804</v>
      </c>
    </row>
    <row r="229" spans="1:31" s="572" customFormat="1">
      <c r="A229" s="570" t="s">
        <v>808</v>
      </c>
      <c r="B229" s="569" t="s">
        <v>169</v>
      </c>
      <c r="C229" s="580">
        <v>11</v>
      </c>
      <c r="D229" s="569" t="s">
        <v>699</v>
      </c>
      <c r="E229" s="569" t="s">
        <v>187</v>
      </c>
      <c r="F229" s="569" t="s">
        <v>153</v>
      </c>
      <c r="G229" s="569">
        <v>2019</v>
      </c>
      <c r="H229" s="569" t="s">
        <v>810</v>
      </c>
      <c r="I229" s="569" t="s">
        <v>751</v>
      </c>
      <c r="J229" s="569" t="s">
        <v>752</v>
      </c>
      <c r="K229" s="569">
        <v>8</v>
      </c>
      <c r="L229" s="569">
        <v>0</v>
      </c>
      <c r="M229" s="569" t="s">
        <v>157</v>
      </c>
      <c r="N229" s="569">
        <v>3</v>
      </c>
      <c r="O229" s="569" t="s">
        <v>157</v>
      </c>
      <c r="P229" s="568">
        <v>6400</v>
      </c>
      <c r="Q229" s="569" t="s">
        <v>753</v>
      </c>
      <c r="R229" s="569">
        <v>8</v>
      </c>
      <c r="S229" s="569" t="s">
        <v>811</v>
      </c>
      <c r="T229" s="569" t="s">
        <v>191</v>
      </c>
      <c r="U229" s="569">
        <v>116</v>
      </c>
      <c r="V229" s="569">
        <v>26</v>
      </c>
      <c r="W229" s="620">
        <v>7300</v>
      </c>
      <c r="X229" s="621">
        <v>18</v>
      </c>
      <c r="Y229" s="621" t="s">
        <v>450</v>
      </c>
      <c r="Z229" s="621" t="s">
        <v>178</v>
      </c>
      <c r="AA229" s="622">
        <v>50995</v>
      </c>
      <c r="AB229" s="622" t="s">
        <v>164</v>
      </c>
      <c r="AC229" s="622">
        <v>40167.083333333336</v>
      </c>
      <c r="AD229" s="623">
        <v>0.05</v>
      </c>
      <c r="AE229" s="621" t="s">
        <v>809</v>
      </c>
    </row>
    <row r="230" spans="1:31" s="572" customFormat="1">
      <c r="A230" s="570" t="s">
        <v>813</v>
      </c>
      <c r="B230" s="573" t="s">
        <v>150</v>
      </c>
      <c r="C230" s="578">
        <v>13</v>
      </c>
      <c r="D230" s="573" t="s">
        <v>699</v>
      </c>
      <c r="E230" s="573" t="s">
        <v>187</v>
      </c>
      <c r="F230" s="573" t="s">
        <v>153</v>
      </c>
      <c r="G230" s="573">
        <v>2019</v>
      </c>
      <c r="H230" s="573" t="s">
        <v>810</v>
      </c>
      <c r="I230" s="573" t="s">
        <v>751</v>
      </c>
      <c r="J230" s="573" t="s">
        <v>752</v>
      </c>
      <c r="K230" s="573">
        <v>8</v>
      </c>
      <c r="L230" s="573">
        <v>0</v>
      </c>
      <c r="M230" s="573" t="s">
        <v>157</v>
      </c>
      <c r="N230" s="573">
        <v>3</v>
      </c>
      <c r="O230" s="573" t="s">
        <v>157</v>
      </c>
      <c r="P230" s="571">
        <v>6400</v>
      </c>
      <c r="Q230" s="573" t="s">
        <v>753</v>
      </c>
      <c r="R230" s="573">
        <v>8</v>
      </c>
      <c r="S230" s="582" t="s">
        <v>811</v>
      </c>
      <c r="T230" s="573" t="s">
        <v>191</v>
      </c>
      <c r="U230" s="573">
        <v>116</v>
      </c>
      <c r="V230" s="573">
        <v>26</v>
      </c>
      <c r="W230" s="616">
        <v>7300</v>
      </c>
      <c r="X230" s="617">
        <v>18</v>
      </c>
      <c r="Y230" s="617" t="s">
        <v>450</v>
      </c>
      <c r="Z230" s="617" t="s">
        <v>178</v>
      </c>
      <c r="AA230" s="618">
        <v>50995</v>
      </c>
      <c r="AB230" s="618" t="s">
        <v>164</v>
      </c>
      <c r="AC230" s="618">
        <v>42194</v>
      </c>
      <c r="AD230" s="619">
        <v>0.03</v>
      </c>
      <c r="AE230" s="617" t="s">
        <v>809</v>
      </c>
    </row>
    <row r="231" spans="1:31" s="572" customFormat="1">
      <c r="A231" s="570" t="s">
        <v>815</v>
      </c>
      <c r="B231" s="569" t="s">
        <v>166</v>
      </c>
      <c r="C231" s="580">
        <v>17</v>
      </c>
      <c r="D231" s="569" t="s">
        <v>699</v>
      </c>
      <c r="E231" s="569" t="s">
        <v>187</v>
      </c>
      <c r="F231" s="569" t="s">
        <v>153</v>
      </c>
      <c r="G231" s="569">
        <v>2019</v>
      </c>
      <c r="H231" s="569" t="s">
        <v>810</v>
      </c>
      <c r="I231" s="569" t="s">
        <v>751</v>
      </c>
      <c r="J231" s="569" t="s">
        <v>752</v>
      </c>
      <c r="K231" s="569">
        <v>8</v>
      </c>
      <c r="L231" s="569">
        <v>0</v>
      </c>
      <c r="M231" s="569" t="s">
        <v>157</v>
      </c>
      <c r="N231" s="569">
        <v>3</v>
      </c>
      <c r="O231" s="569" t="s">
        <v>157</v>
      </c>
      <c r="P231" s="568">
        <v>6400</v>
      </c>
      <c r="Q231" s="569" t="s">
        <v>753</v>
      </c>
      <c r="R231" s="569">
        <v>8</v>
      </c>
      <c r="S231" s="569" t="s">
        <v>811</v>
      </c>
      <c r="T231" s="569" t="s">
        <v>191</v>
      </c>
      <c r="U231" s="569">
        <v>116</v>
      </c>
      <c r="V231" s="569">
        <v>26</v>
      </c>
      <c r="W231" s="620">
        <v>7300</v>
      </c>
      <c r="X231" s="621">
        <v>18</v>
      </c>
      <c r="Y231" s="621" t="s">
        <v>450</v>
      </c>
      <c r="Z231" s="621" t="s">
        <v>178</v>
      </c>
      <c r="AA231" s="622">
        <v>50995</v>
      </c>
      <c r="AB231" s="622" t="s">
        <v>164</v>
      </c>
      <c r="AC231" s="622">
        <v>41106.9</v>
      </c>
      <c r="AD231" s="623">
        <v>7.1999999999999995E-2</v>
      </c>
      <c r="AE231" s="621" t="s">
        <v>809</v>
      </c>
    </row>
    <row r="232" spans="1:31" s="572" customFormat="1">
      <c r="A232" s="570" t="s">
        <v>815</v>
      </c>
      <c r="B232" s="573" t="s">
        <v>166</v>
      </c>
      <c r="C232" s="578">
        <v>17</v>
      </c>
      <c r="D232" s="573" t="s">
        <v>699</v>
      </c>
      <c r="E232" s="573" t="s">
        <v>187</v>
      </c>
      <c r="F232" s="573" t="s">
        <v>153</v>
      </c>
      <c r="G232" s="573">
        <v>2019</v>
      </c>
      <c r="H232" s="573" t="s">
        <v>810</v>
      </c>
      <c r="I232" s="573" t="s">
        <v>751</v>
      </c>
      <c r="J232" s="573" t="s">
        <v>752</v>
      </c>
      <c r="K232" s="573">
        <v>8</v>
      </c>
      <c r="L232" s="573">
        <v>0</v>
      </c>
      <c r="M232" s="573" t="s">
        <v>157</v>
      </c>
      <c r="N232" s="573">
        <v>3</v>
      </c>
      <c r="O232" s="573" t="s">
        <v>157</v>
      </c>
      <c r="P232" s="571">
        <v>6400</v>
      </c>
      <c r="Q232" s="573" t="s">
        <v>753</v>
      </c>
      <c r="R232" s="573">
        <v>8</v>
      </c>
      <c r="S232" s="582" t="s">
        <v>811</v>
      </c>
      <c r="T232" s="573" t="s">
        <v>191</v>
      </c>
      <c r="U232" s="573">
        <v>116</v>
      </c>
      <c r="V232" s="573">
        <v>26</v>
      </c>
      <c r="W232" s="616">
        <v>7300</v>
      </c>
      <c r="X232" s="617">
        <v>18</v>
      </c>
      <c r="Y232" s="617" t="s">
        <v>450</v>
      </c>
      <c r="Z232" s="617" t="s">
        <v>178</v>
      </c>
      <c r="AA232" s="618">
        <v>50995</v>
      </c>
      <c r="AB232" s="618" t="s">
        <v>164</v>
      </c>
      <c r="AC232" s="618">
        <v>40855</v>
      </c>
      <c r="AD232" s="619">
        <v>7.1999999999999995E-2</v>
      </c>
      <c r="AE232" s="617" t="s">
        <v>809</v>
      </c>
    </row>
    <row r="233" spans="1:31" s="572" customFormat="1">
      <c r="A233" s="570" t="s">
        <v>818</v>
      </c>
      <c r="B233" s="569" t="s">
        <v>169</v>
      </c>
      <c r="C233" s="580">
        <v>11</v>
      </c>
      <c r="D233" s="569" t="s">
        <v>699</v>
      </c>
      <c r="E233" s="569" t="s">
        <v>187</v>
      </c>
      <c r="F233" s="569" t="s">
        <v>153</v>
      </c>
      <c r="G233" s="569">
        <v>2019</v>
      </c>
      <c r="H233" s="569" t="s">
        <v>810</v>
      </c>
      <c r="I233" s="569" t="s">
        <v>751</v>
      </c>
      <c r="J233" s="569" t="s">
        <v>236</v>
      </c>
      <c r="K233" s="569">
        <v>8</v>
      </c>
      <c r="L233" s="569">
        <v>0</v>
      </c>
      <c r="M233" s="569" t="s">
        <v>157</v>
      </c>
      <c r="N233" s="569">
        <v>3</v>
      </c>
      <c r="O233" s="569" t="s">
        <v>157</v>
      </c>
      <c r="P233" s="568">
        <v>5000</v>
      </c>
      <c r="Q233" s="569" t="s">
        <v>753</v>
      </c>
      <c r="R233" s="569">
        <v>8</v>
      </c>
      <c r="S233" s="569" t="s">
        <v>820</v>
      </c>
      <c r="T233" s="569" t="s">
        <v>191</v>
      </c>
      <c r="U233" s="569">
        <v>116</v>
      </c>
      <c r="V233" s="569">
        <v>26</v>
      </c>
      <c r="W233" s="620">
        <v>7100</v>
      </c>
      <c r="X233" s="621">
        <v>19</v>
      </c>
      <c r="Y233" s="621" t="s">
        <v>450</v>
      </c>
      <c r="Z233" s="621" t="s">
        <v>178</v>
      </c>
      <c r="AA233" s="622">
        <v>47995</v>
      </c>
      <c r="AB233" s="622" t="s">
        <v>164</v>
      </c>
      <c r="AC233" s="622">
        <v>37317.083333333336</v>
      </c>
      <c r="AD233" s="623">
        <v>0.05</v>
      </c>
      <c r="AE233" s="621" t="s">
        <v>819</v>
      </c>
    </row>
    <row r="234" spans="1:31" s="572" customFormat="1">
      <c r="A234" s="570" t="s">
        <v>822</v>
      </c>
      <c r="B234" s="573" t="s">
        <v>166</v>
      </c>
      <c r="C234" s="578">
        <v>17</v>
      </c>
      <c r="D234" s="573" t="s">
        <v>699</v>
      </c>
      <c r="E234" s="573" t="s">
        <v>187</v>
      </c>
      <c r="F234" s="573" t="s">
        <v>153</v>
      </c>
      <c r="G234" s="573">
        <v>2019</v>
      </c>
      <c r="H234" s="573" t="s">
        <v>810</v>
      </c>
      <c r="I234" s="573" t="s">
        <v>751</v>
      </c>
      <c r="J234" s="573" t="s">
        <v>236</v>
      </c>
      <c r="K234" s="573">
        <v>8</v>
      </c>
      <c r="L234" s="573">
        <v>0</v>
      </c>
      <c r="M234" s="573" t="s">
        <v>157</v>
      </c>
      <c r="N234" s="573">
        <v>3</v>
      </c>
      <c r="O234" s="573" t="s">
        <v>157</v>
      </c>
      <c r="P234" s="571">
        <v>5000</v>
      </c>
      <c r="Q234" s="573" t="s">
        <v>753</v>
      </c>
      <c r="R234" s="573">
        <v>8</v>
      </c>
      <c r="S234" s="582" t="s">
        <v>820</v>
      </c>
      <c r="T234" s="573" t="s">
        <v>191</v>
      </c>
      <c r="U234" s="573">
        <v>116</v>
      </c>
      <c r="V234" s="573">
        <v>26</v>
      </c>
      <c r="W234" s="616">
        <v>7100</v>
      </c>
      <c r="X234" s="617">
        <v>19</v>
      </c>
      <c r="Y234" s="617" t="s">
        <v>450</v>
      </c>
      <c r="Z234" s="617" t="s">
        <v>178</v>
      </c>
      <c r="AA234" s="618">
        <v>47995</v>
      </c>
      <c r="AB234" s="618" t="s">
        <v>164</v>
      </c>
      <c r="AC234" s="618">
        <v>38345.21</v>
      </c>
      <c r="AD234" s="619">
        <v>7.1999999999999995E-2</v>
      </c>
      <c r="AE234" s="617" t="s">
        <v>819</v>
      </c>
    </row>
    <row r="235" spans="1:31" s="572" customFormat="1">
      <c r="A235" s="570" t="s">
        <v>824</v>
      </c>
      <c r="B235" s="569" t="s">
        <v>169</v>
      </c>
      <c r="C235" s="580">
        <v>11</v>
      </c>
      <c r="D235" s="569" t="s">
        <v>699</v>
      </c>
      <c r="E235" s="569" t="s">
        <v>187</v>
      </c>
      <c r="F235" s="569" t="s">
        <v>153</v>
      </c>
      <c r="G235" s="569">
        <v>2019</v>
      </c>
      <c r="H235" s="683" t="s">
        <v>810</v>
      </c>
      <c r="I235" s="569" t="s">
        <v>174</v>
      </c>
      <c r="J235" s="569" t="s">
        <v>752</v>
      </c>
      <c r="K235" s="569">
        <v>8</v>
      </c>
      <c r="L235" s="569">
        <v>0</v>
      </c>
      <c r="M235" s="569" t="s">
        <v>157</v>
      </c>
      <c r="N235" s="569">
        <v>3</v>
      </c>
      <c r="O235" s="569" t="s">
        <v>157</v>
      </c>
      <c r="P235" s="568">
        <v>6400</v>
      </c>
      <c r="Q235" s="569" t="s">
        <v>753</v>
      </c>
      <c r="R235" s="569">
        <v>8</v>
      </c>
      <c r="S235" s="569" t="s">
        <v>811</v>
      </c>
      <c r="T235" s="569" t="s">
        <v>732</v>
      </c>
      <c r="U235" s="569">
        <v>116</v>
      </c>
      <c r="V235" s="569">
        <v>26</v>
      </c>
      <c r="W235" s="620">
        <v>7300</v>
      </c>
      <c r="X235" s="621">
        <v>18</v>
      </c>
      <c r="Y235" s="621" t="s">
        <v>450</v>
      </c>
      <c r="Z235" s="621" t="s">
        <v>178</v>
      </c>
      <c r="AA235" s="622">
        <v>52195</v>
      </c>
      <c r="AB235" s="622" t="s">
        <v>164</v>
      </c>
      <c r="AC235" s="622">
        <v>41307.083333333336</v>
      </c>
      <c r="AD235" s="623">
        <v>0.05</v>
      </c>
      <c r="AE235" s="621" t="s">
        <v>825</v>
      </c>
    </row>
    <row r="236" spans="1:31" s="572" customFormat="1">
      <c r="A236" s="570" t="s">
        <v>827</v>
      </c>
      <c r="B236" s="573" t="s">
        <v>150</v>
      </c>
      <c r="C236" s="578">
        <v>13</v>
      </c>
      <c r="D236" s="573" t="s">
        <v>699</v>
      </c>
      <c r="E236" s="573" t="s">
        <v>187</v>
      </c>
      <c r="F236" s="573" t="s">
        <v>153</v>
      </c>
      <c r="G236" s="573">
        <v>2019</v>
      </c>
      <c r="H236" s="686" t="s">
        <v>810</v>
      </c>
      <c r="I236" s="573" t="s">
        <v>174</v>
      </c>
      <c r="J236" s="573" t="s">
        <v>752</v>
      </c>
      <c r="K236" s="573">
        <v>8</v>
      </c>
      <c r="L236" s="573">
        <v>0</v>
      </c>
      <c r="M236" s="573" t="s">
        <v>157</v>
      </c>
      <c r="N236" s="573">
        <v>3</v>
      </c>
      <c r="O236" s="573" t="s">
        <v>157</v>
      </c>
      <c r="P236" s="571">
        <v>6400</v>
      </c>
      <c r="Q236" s="573" t="s">
        <v>753</v>
      </c>
      <c r="R236" s="573">
        <v>8</v>
      </c>
      <c r="S236" s="582" t="s">
        <v>811</v>
      </c>
      <c r="T236" s="573" t="s">
        <v>732</v>
      </c>
      <c r="U236" s="573">
        <v>116</v>
      </c>
      <c r="V236" s="573">
        <v>26</v>
      </c>
      <c r="W236" s="616">
        <v>7300</v>
      </c>
      <c r="X236" s="617">
        <v>18</v>
      </c>
      <c r="Y236" s="617" t="s">
        <v>450</v>
      </c>
      <c r="Z236" s="617" t="s">
        <v>178</v>
      </c>
      <c r="AA236" s="618">
        <v>52195</v>
      </c>
      <c r="AB236" s="618" t="s">
        <v>164</v>
      </c>
      <c r="AC236" s="618">
        <v>43204</v>
      </c>
      <c r="AD236" s="619">
        <v>0.03</v>
      </c>
      <c r="AE236" s="617" t="s">
        <v>825</v>
      </c>
    </row>
    <row r="237" spans="1:31" s="572" customFormat="1">
      <c r="A237" s="570" t="s">
        <v>829</v>
      </c>
      <c r="B237" s="569" t="s">
        <v>166</v>
      </c>
      <c r="C237" s="580">
        <v>17</v>
      </c>
      <c r="D237" s="569" t="s">
        <v>699</v>
      </c>
      <c r="E237" s="569" t="s">
        <v>187</v>
      </c>
      <c r="F237" s="569" t="s">
        <v>153</v>
      </c>
      <c r="G237" s="569">
        <v>2019</v>
      </c>
      <c r="H237" s="683" t="s">
        <v>810</v>
      </c>
      <c r="I237" s="569" t="s">
        <v>174</v>
      </c>
      <c r="J237" s="569" t="s">
        <v>752</v>
      </c>
      <c r="K237" s="569">
        <v>8</v>
      </c>
      <c r="L237" s="569">
        <v>0</v>
      </c>
      <c r="M237" s="569" t="s">
        <v>157</v>
      </c>
      <c r="N237" s="569">
        <v>3</v>
      </c>
      <c r="O237" s="569" t="s">
        <v>157</v>
      </c>
      <c r="P237" s="568">
        <v>6400</v>
      </c>
      <c r="Q237" s="569" t="s">
        <v>753</v>
      </c>
      <c r="R237" s="569">
        <v>8</v>
      </c>
      <c r="S237" s="569" t="s">
        <v>811</v>
      </c>
      <c r="T237" s="569" t="s">
        <v>732</v>
      </c>
      <c r="U237" s="569">
        <v>116</v>
      </c>
      <c r="V237" s="569">
        <v>26</v>
      </c>
      <c r="W237" s="620">
        <v>7300</v>
      </c>
      <c r="X237" s="621">
        <v>18</v>
      </c>
      <c r="Y237" s="621" t="s">
        <v>450</v>
      </c>
      <c r="Z237" s="621" t="s">
        <v>178</v>
      </c>
      <c r="AA237" s="622">
        <v>52195</v>
      </c>
      <c r="AB237" s="622" t="s">
        <v>164</v>
      </c>
      <c r="AC237" s="622">
        <v>40998</v>
      </c>
      <c r="AD237" s="623">
        <v>7.1999999999999995E-2</v>
      </c>
      <c r="AE237" s="621" t="s">
        <v>825</v>
      </c>
    </row>
    <row r="238" spans="1:31" s="572" customFormat="1">
      <c r="A238" s="570" t="s">
        <v>831</v>
      </c>
      <c r="B238" s="573" t="s">
        <v>169</v>
      </c>
      <c r="C238" s="578">
        <v>11</v>
      </c>
      <c r="D238" s="573" t="s">
        <v>699</v>
      </c>
      <c r="E238" s="573" t="s">
        <v>187</v>
      </c>
      <c r="F238" s="573" t="s">
        <v>153</v>
      </c>
      <c r="G238" s="573">
        <v>2019</v>
      </c>
      <c r="H238" s="573" t="s">
        <v>810</v>
      </c>
      <c r="I238" s="573" t="s">
        <v>174</v>
      </c>
      <c r="J238" s="573" t="s">
        <v>236</v>
      </c>
      <c r="K238" s="573">
        <v>8</v>
      </c>
      <c r="L238" s="573">
        <v>0</v>
      </c>
      <c r="M238" s="573" t="s">
        <v>157</v>
      </c>
      <c r="N238" s="573">
        <v>3</v>
      </c>
      <c r="O238" s="573" t="s">
        <v>157</v>
      </c>
      <c r="P238" s="571">
        <v>5000</v>
      </c>
      <c r="Q238" s="573" t="s">
        <v>753</v>
      </c>
      <c r="R238" s="573">
        <v>8</v>
      </c>
      <c r="S238" s="582" t="s">
        <v>820</v>
      </c>
      <c r="T238" s="573" t="s">
        <v>732</v>
      </c>
      <c r="U238" s="573">
        <v>116</v>
      </c>
      <c r="V238" s="573">
        <v>26</v>
      </c>
      <c r="W238" s="616">
        <v>7100</v>
      </c>
      <c r="X238" s="617">
        <v>19</v>
      </c>
      <c r="Y238" s="617" t="s">
        <v>450</v>
      </c>
      <c r="Z238" s="617" t="s">
        <v>178</v>
      </c>
      <c r="AA238" s="618">
        <v>49195</v>
      </c>
      <c r="AB238" s="618" t="s">
        <v>164</v>
      </c>
      <c r="AC238" s="618">
        <v>38457.083333333336</v>
      </c>
      <c r="AD238" s="619">
        <v>0.05</v>
      </c>
      <c r="AE238" s="617" t="s">
        <v>832</v>
      </c>
    </row>
    <row r="239" spans="1:31" s="572" customFormat="1">
      <c r="A239" s="570" t="s">
        <v>834</v>
      </c>
      <c r="B239" s="569" t="s">
        <v>150</v>
      </c>
      <c r="C239" s="580">
        <v>13</v>
      </c>
      <c r="D239" s="569" t="s">
        <v>699</v>
      </c>
      <c r="E239" s="569" t="s">
        <v>187</v>
      </c>
      <c r="F239" s="569" t="s">
        <v>153</v>
      </c>
      <c r="G239" s="569">
        <v>2019</v>
      </c>
      <c r="H239" s="569" t="s">
        <v>810</v>
      </c>
      <c r="I239" s="569" t="s">
        <v>174</v>
      </c>
      <c r="J239" s="569" t="s">
        <v>236</v>
      </c>
      <c r="K239" s="569">
        <v>8</v>
      </c>
      <c r="L239" s="569">
        <v>0</v>
      </c>
      <c r="M239" s="569" t="s">
        <v>157</v>
      </c>
      <c r="N239" s="569">
        <v>3</v>
      </c>
      <c r="O239" s="569" t="s">
        <v>157</v>
      </c>
      <c r="P239" s="568">
        <v>5000</v>
      </c>
      <c r="Q239" s="569" t="s">
        <v>753</v>
      </c>
      <c r="R239" s="569">
        <v>8</v>
      </c>
      <c r="S239" s="569" t="s">
        <v>820</v>
      </c>
      <c r="T239" s="569" t="s">
        <v>732</v>
      </c>
      <c r="U239" s="569">
        <v>116</v>
      </c>
      <c r="V239" s="569">
        <v>26</v>
      </c>
      <c r="W239" s="620">
        <v>7100</v>
      </c>
      <c r="X239" s="621">
        <v>19</v>
      </c>
      <c r="Y239" s="621" t="s">
        <v>450</v>
      </c>
      <c r="Z239" s="621" t="s">
        <v>178</v>
      </c>
      <c r="AA239" s="622">
        <v>49195</v>
      </c>
      <c r="AB239" s="622" t="s">
        <v>164</v>
      </c>
      <c r="AC239" s="622">
        <v>47872</v>
      </c>
      <c r="AD239" s="623">
        <v>0.03</v>
      </c>
      <c r="AE239" s="621" t="s">
        <v>832</v>
      </c>
    </row>
    <row r="240" spans="1:31" s="572" customFormat="1">
      <c r="A240" s="570" t="s">
        <v>836</v>
      </c>
      <c r="B240" s="573" t="s">
        <v>166</v>
      </c>
      <c r="C240" s="578">
        <v>17</v>
      </c>
      <c r="D240" s="573" t="s">
        <v>699</v>
      </c>
      <c r="E240" s="573" t="s">
        <v>187</v>
      </c>
      <c r="F240" s="573" t="s">
        <v>153</v>
      </c>
      <c r="G240" s="573">
        <v>2019</v>
      </c>
      <c r="H240" s="573" t="s">
        <v>810</v>
      </c>
      <c r="I240" s="573" t="s">
        <v>174</v>
      </c>
      <c r="J240" s="573" t="s">
        <v>236</v>
      </c>
      <c r="K240" s="573">
        <v>8</v>
      </c>
      <c r="L240" s="573">
        <v>0</v>
      </c>
      <c r="M240" s="573" t="s">
        <v>157</v>
      </c>
      <c r="N240" s="573">
        <v>3</v>
      </c>
      <c r="O240" s="573" t="s">
        <v>157</v>
      </c>
      <c r="P240" s="571">
        <v>5000</v>
      </c>
      <c r="Q240" s="573" t="s">
        <v>753</v>
      </c>
      <c r="R240" s="573">
        <v>8</v>
      </c>
      <c r="S240" s="582" t="s">
        <v>820</v>
      </c>
      <c r="T240" s="573" t="s">
        <v>732</v>
      </c>
      <c r="U240" s="573">
        <v>116</v>
      </c>
      <c r="V240" s="573">
        <v>26</v>
      </c>
      <c r="W240" s="616">
        <v>7100</v>
      </c>
      <c r="X240" s="617">
        <v>19</v>
      </c>
      <c r="Y240" s="617" t="s">
        <v>450</v>
      </c>
      <c r="Z240" s="617" t="s">
        <v>178</v>
      </c>
      <c r="AA240" s="618">
        <v>49195</v>
      </c>
      <c r="AB240" s="618" t="s">
        <v>164</v>
      </c>
      <c r="AC240" s="618">
        <v>38255</v>
      </c>
      <c r="AD240" s="619">
        <v>7.1999999999999995E-2</v>
      </c>
      <c r="AE240" s="617" t="s">
        <v>832</v>
      </c>
    </row>
    <row r="241" spans="1:31" s="572" customFormat="1">
      <c r="A241" s="570" t="s">
        <v>838</v>
      </c>
      <c r="B241" s="569" t="s">
        <v>169</v>
      </c>
      <c r="C241" s="580">
        <v>11</v>
      </c>
      <c r="D241" s="569" t="s">
        <v>699</v>
      </c>
      <c r="E241" s="569" t="s">
        <v>187</v>
      </c>
      <c r="F241" s="569" t="s">
        <v>153</v>
      </c>
      <c r="G241" s="569">
        <v>2019</v>
      </c>
      <c r="H241" s="569" t="s">
        <v>810</v>
      </c>
      <c r="I241" s="569" t="s">
        <v>155</v>
      </c>
      <c r="J241" s="569" t="s">
        <v>752</v>
      </c>
      <c r="K241" s="569">
        <v>8</v>
      </c>
      <c r="L241" s="569">
        <v>0</v>
      </c>
      <c r="M241" s="569" t="s">
        <v>157</v>
      </c>
      <c r="N241" s="569">
        <v>3</v>
      </c>
      <c r="O241" s="569" t="s">
        <v>157</v>
      </c>
      <c r="P241" s="568">
        <v>6400</v>
      </c>
      <c r="Q241" s="569" t="s">
        <v>753</v>
      </c>
      <c r="R241" s="569">
        <v>8</v>
      </c>
      <c r="S241" s="569" t="s">
        <v>811</v>
      </c>
      <c r="T241" s="569" t="s">
        <v>213</v>
      </c>
      <c r="U241" s="569">
        <v>116</v>
      </c>
      <c r="V241" s="569">
        <v>26</v>
      </c>
      <c r="W241" s="620">
        <v>7300</v>
      </c>
      <c r="X241" s="621">
        <v>18</v>
      </c>
      <c r="Y241" s="621" t="s">
        <v>450</v>
      </c>
      <c r="Z241" s="621" t="s">
        <v>178</v>
      </c>
      <c r="AA241" s="622">
        <v>57195</v>
      </c>
      <c r="AB241" s="622" t="s">
        <v>164</v>
      </c>
      <c r="AC241" s="622">
        <v>46057.083333333336</v>
      </c>
      <c r="AD241" s="623">
        <v>0.05</v>
      </c>
      <c r="AE241" s="621" t="s">
        <v>839</v>
      </c>
    </row>
    <row r="242" spans="1:31" s="572" customFormat="1">
      <c r="A242" s="570" t="s">
        <v>841</v>
      </c>
      <c r="B242" s="573" t="s">
        <v>150</v>
      </c>
      <c r="C242" s="578">
        <v>13</v>
      </c>
      <c r="D242" s="573" t="s">
        <v>699</v>
      </c>
      <c r="E242" s="573" t="s">
        <v>187</v>
      </c>
      <c r="F242" s="573" t="s">
        <v>153</v>
      </c>
      <c r="G242" s="573">
        <v>2019</v>
      </c>
      <c r="H242" s="573" t="s">
        <v>810</v>
      </c>
      <c r="I242" s="573" t="s">
        <v>155</v>
      </c>
      <c r="J242" s="573" t="s">
        <v>752</v>
      </c>
      <c r="K242" s="573">
        <v>8</v>
      </c>
      <c r="L242" s="573">
        <v>0</v>
      </c>
      <c r="M242" s="573" t="s">
        <v>157</v>
      </c>
      <c r="N242" s="573">
        <v>3</v>
      </c>
      <c r="O242" s="573" t="s">
        <v>157</v>
      </c>
      <c r="P242" s="571">
        <v>6400</v>
      </c>
      <c r="Q242" s="573" t="s">
        <v>753</v>
      </c>
      <c r="R242" s="573">
        <v>8</v>
      </c>
      <c r="S242" s="582" t="s">
        <v>811</v>
      </c>
      <c r="T242" s="573" t="s">
        <v>213</v>
      </c>
      <c r="U242" s="573">
        <v>116</v>
      </c>
      <c r="V242" s="573">
        <v>26</v>
      </c>
      <c r="W242" s="616">
        <v>7300</v>
      </c>
      <c r="X242" s="617">
        <v>18</v>
      </c>
      <c r="Y242" s="617" t="s">
        <v>450</v>
      </c>
      <c r="Z242" s="617" t="s">
        <v>178</v>
      </c>
      <c r="AA242" s="618">
        <v>57195</v>
      </c>
      <c r="AB242" s="618" t="s">
        <v>164</v>
      </c>
      <c r="AC242" s="618">
        <v>47872</v>
      </c>
      <c r="AD242" s="619">
        <v>0.03</v>
      </c>
      <c r="AE242" s="617" t="s">
        <v>839</v>
      </c>
    </row>
    <row r="243" spans="1:31" s="572" customFormat="1">
      <c r="A243" s="570" t="s">
        <v>843</v>
      </c>
      <c r="B243" s="569" t="s">
        <v>166</v>
      </c>
      <c r="C243" s="580">
        <v>17</v>
      </c>
      <c r="D243" s="569" t="s">
        <v>699</v>
      </c>
      <c r="E243" s="569" t="s">
        <v>187</v>
      </c>
      <c r="F243" s="569" t="s">
        <v>153</v>
      </c>
      <c r="G243" s="569">
        <v>2019</v>
      </c>
      <c r="H243" s="569" t="s">
        <v>810</v>
      </c>
      <c r="I243" s="569" t="s">
        <v>155</v>
      </c>
      <c r="J243" s="569" t="s">
        <v>752</v>
      </c>
      <c r="K243" s="569">
        <v>8</v>
      </c>
      <c r="L243" s="569">
        <v>0</v>
      </c>
      <c r="M243" s="569" t="s">
        <v>157</v>
      </c>
      <c r="N243" s="569">
        <v>3</v>
      </c>
      <c r="O243" s="569" t="s">
        <v>157</v>
      </c>
      <c r="P243" s="568">
        <v>6400</v>
      </c>
      <c r="Q243" s="569" t="s">
        <v>753</v>
      </c>
      <c r="R243" s="569">
        <v>8</v>
      </c>
      <c r="S243" s="569" t="s">
        <v>811</v>
      </c>
      <c r="T243" s="569" t="s">
        <v>213</v>
      </c>
      <c r="U243" s="569">
        <v>116</v>
      </c>
      <c r="V243" s="569">
        <v>26</v>
      </c>
      <c r="W243" s="620">
        <v>7300</v>
      </c>
      <c r="X243" s="621">
        <v>18</v>
      </c>
      <c r="Y243" s="621" t="s">
        <v>450</v>
      </c>
      <c r="Z243" s="621" t="s">
        <v>178</v>
      </c>
      <c r="AA243" s="622">
        <v>57195</v>
      </c>
      <c r="AB243" s="622" t="s">
        <v>164</v>
      </c>
      <c r="AC243" s="622">
        <v>47684.68</v>
      </c>
      <c r="AD243" s="623">
        <v>7.1999999999999995E-2</v>
      </c>
      <c r="AE243" s="621" t="s">
        <v>839</v>
      </c>
    </row>
    <row r="244" spans="1:31" s="572" customFormat="1">
      <c r="A244" s="570" t="s">
        <v>845</v>
      </c>
      <c r="B244" s="573" t="s">
        <v>169</v>
      </c>
      <c r="C244" s="578">
        <v>11</v>
      </c>
      <c r="D244" s="573" t="s">
        <v>699</v>
      </c>
      <c r="E244" s="573" t="s">
        <v>187</v>
      </c>
      <c r="F244" s="573" t="s">
        <v>153</v>
      </c>
      <c r="G244" s="573">
        <v>2019</v>
      </c>
      <c r="H244" s="573" t="s">
        <v>810</v>
      </c>
      <c r="I244" s="573" t="s">
        <v>155</v>
      </c>
      <c r="J244" s="573" t="s">
        <v>236</v>
      </c>
      <c r="K244" s="573">
        <v>8</v>
      </c>
      <c r="L244" s="573">
        <v>0</v>
      </c>
      <c r="M244" s="573" t="s">
        <v>157</v>
      </c>
      <c r="N244" s="573">
        <v>3</v>
      </c>
      <c r="O244" s="573" t="s">
        <v>157</v>
      </c>
      <c r="P244" s="571">
        <v>5000</v>
      </c>
      <c r="Q244" s="573" t="s">
        <v>753</v>
      </c>
      <c r="R244" s="573">
        <v>8</v>
      </c>
      <c r="S244" s="582" t="s">
        <v>820</v>
      </c>
      <c r="T244" s="573" t="s">
        <v>213</v>
      </c>
      <c r="U244" s="573">
        <v>116</v>
      </c>
      <c r="V244" s="573">
        <v>26</v>
      </c>
      <c r="W244" s="616">
        <v>7100</v>
      </c>
      <c r="X244" s="617">
        <v>19</v>
      </c>
      <c r="Y244" s="617" t="s">
        <v>450</v>
      </c>
      <c r="Z244" s="617" t="s">
        <v>178</v>
      </c>
      <c r="AA244" s="618">
        <v>54195</v>
      </c>
      <c r="AB244" s="618" t="s">
        <v>164</v>
      </c>
      <c r="AC244" s="618">
        <v>43207.083333333336</v>
      </c>
      <c r="AD244" s="619">
        <v>0.05</v>
      </c>
      <c r="AE244" s="617" t="s">
        <v>846</v>
      </c>
    </row>
    <row r="245" spans="1:31" s="572" customFormat="1">
      <c r="A245" s="570" t="s">
        <v>848</v>
      </c>
      <c r="B245" s="569" t="s">
        <v>150</v>
      </c>
      <c r="C245" s="580">
        <v>13</v>
      </c>
      <c r="D245" s="569" t="s">
        <v>699</v>
      </c>
      <c r="E245" s="569" t="s">
        <v>187</v>
      </c>
      <c r="F245" s="569" t="s">
        <v>153</v>
      </c>
      <c r="G245" s="569">
        <v>2019</v>
      </c>
      <c r="H245" s="569" t="s">
        <v>810</v>
      </c>
      <c r="I245" s="569" t="s">
        <v>155</v>
      </c>
      <c r="J245" s="569" t="s">
        <v>236</v>
      </c>
      <c r="K245" s="569">
        <v>8</v>
      </c>
      <c r="L245" s="569">
        <v>0</v>
      </c>
      <c r="M245" s="569" t="s">
        <v>157</v>
      </c>
      <c r="N245" s="569">
        <v>3</v>
      </c>
      <c r="O245" s="569" t="s">
        <v>157</v>
      </c>
      <c r="P245" s="568">
        <v>5000</v>
      </c>
      <c r="Q245" s="569" t="s">
        <v>753</v>
      </c>
      <c r="R245" s="569">
        <v>8</v>
      </c>
      <c r="S245" s="569" t="s">
        <v>820</v>
      </c>
      <c r="T245" s="569" t="s">
        <v>213</v>
      </c>
      <c r="U245" s="569">
        <v>116</v>
      </c>
      <c r="V245" s="569">
        <v>26</v>
      </c>
      <c r="W245" s="620">
        <v>7100</v>
      </c>
      <c r="X245" s="621">
        <v>19</v>
      </c>
      <c r="Y245" s="621" t="s">
        <v>450</v>
      </c>
      <c r="Z245" s="621" t="s">
        <v>178</v>
      </c>
      <c r="AA245" s="622">
        <v>54195</v>
      </c>
      <c r="AB245" s="622" t="s">
        <v>164</v>
      </c>
      <c r="AC245" s="622">
        <v>45142</v>
      </c>
      <c r="AD245" s="623">
        <v>0.03</v>
      </c>
      <c r="AE245" s="621" t="s">
        <v>846</v>
      </c>
    </row>
    <row r="246" spans="1:31" s="572" customFormat="1">
      <c r="A246" s="570" t="s">
        <v>850</v>
      </c>
      <c r="B246" s="573" t="s">
        <v>166</v>
      </c>
      <c r="C246" s="578">
        <v>17</v>
      </c>
      <c r="D246" s="573" t="s">
        <v>699</v>
      </c>
      <c r="E246" s="573" t="s">
        <v>187</v>
      </c>
      <c r="F246" s="573" t="s">
        <v>153</v>
      </c>
      <c r="G246" s="573">
        <v>2019</v>
      </c>
      <c r="H246" s="573" t="s">
        <v>810</v>
      </c>
      <c r="I246" s="573" t="s">
        <v>155</v>
      </c>
      <c r="J246" s="573" t="s">
        <v>236</v>
      </c>
      <c r="K246" s="573">
        <v>8</v>
      </c>
      <c r="L246" s="573">
        <v>0</v>
      </c>
      <c r="M246" s="573" t="s">
        <v>157</v>
      </c>
      <c r="N246" s="573">
        <v>3</v>
      </c>
      <c r="O246" s="573" t="s">
        <v>157</v>
      </c>
      <c r="P246" s="571">
        <v>5000</v>
      </c>
      <c r="Q246" s="573" t="s">
        <v>753</v>
      </c>
      <c r="R246" s="573">
        <v>8</v>
      </c>
      <c r="S246" s="582" t="s">
        <v>820</v>
      </c>
      <c r="T246" s="573" t="s">
        <v>213</v>
      </c>
      <c r="U246" s="573">
        <v>116</v>
      </c>
      <c r="V246" s="573">
        <v>26</v>
      </c>
      <c r="W246" s="616">
        <v>7100</v>
      </c>
      <c r="X246" s="617">
        <v>19</v>
      </c>
      <c r="Y246" s="617" t="s">
        <v>450</v>
      </c>
      <c r="Z246" s="617" t="s">
        <v>178</v>
      </c>
      <c r="AA246" s="618">
        <v>54195</v>
      </c>
      <c r="AB246" s="618" t="s">
        <v>164</v>
      </c>
      <c r="AC246" s="618">
        <v>42437</v>
      </c>
      <c r="AD246" s="619">
        <v>7.1999999999999995E-2</v>
      </c>
      <c r="AE246" s="617" t="s">
        <v>846</v>
      </c>
    </row>
    <row r="247" spans="1:31" s="572" customFormat="1">
      <c r="A247" s="570" t="s">
        <v>852</v>
      </c>
      <c r="B247" s="569" t="s">
        <v>169</v>
      </c>
      <c r="C247" s="580">
        <v>11</v>
      </c>
      <c r="D247" s="569" t="s">
        <v>699</v>
      </c>
      <c r="E247" s="569" t="s">
        <v>196</v>
      </c>
      <c r="F247" s="569" t="s">
        <v>153</v>
      </c>
      <c r="G247" s="569">
        <v>2019</v>
      </c>
      <c r="H247" s="569" t="s">
        <v>854</v>
      </c>
      <c r="I247" s="569" t="s">
        <v>174</v>
      </c>
      <c r="J247" s="569" t="s">
        <v>230</v>
      </c>
      <c r="K247" s="569">
        <v>8</v>
      </c>
      <c r="L247" s="569">
        <v>0</v>
      </c>
      <c r="M247" s="569" t="s">
        <v>157</v>
      </c>
      <c r="N247" s="569">
        <v>3</v>
      </c>
      <c r="O247" s="569" t="s">
        <v>157</v>
      </c>
      <c r="P247" s="568" t="s">
        <v>157</v>
      </c>
      <c r="Q247" s="569" t="s">
        <v>231</v>
      </c>
      <c r="R247" s="569">
        <v>6</v>
      </c>
      <c r="S247" s="569" t="s">
        <v>855</v>
      </c>
      <c r="T247" s="569" t="s">
        <v>191</v>
      </c>
      <c r="U247" s="569">
        <v>120.9</v>
      </c>
      <c r="V247" s="569">
        <v>21.7</v>
      </c>
      <c r="W247" s="620">
        <v>6160</v>
      </c>
      <c r="X247" s="621">
        <v>20</v>
      </c>
      <c r="Y247" s="621" t="s">
        <v>178</v>
      </c>
      <c r="Z247" s="621" t="s">
        <v>178</v>
      </c>
      <c r="AA247" s="622">
        <v>35995</v>
      </c>
      <c r="AB247" s="622" t="s">
        <v>164</v>
      </c>
      <c r="AC247" s="622">
        <v>28068.333333333332</v>
      </c>
      <c r="AD247" s="623">
        <v>0.05</v>
      </c>
      <c r="AE247" s="621" t="s">
        <v>853</v>
      </c>
    </row>
    <row r="248" spans="1:31" s="572" customFormat="1">
      <c r="A248" s="570" t="s">
        <v>857</v>
      </c>
      <c r="B248" s="573" t="s">
        <v>169</v>
      </c>
      <c r="C248" s="578">
        <v>11</v>
      </c>
      <c r="D248" s="573" t="s">
        <v>699</v>
      </c>
      <c r="E248" s="573" t="s">
        <v>196</v>
      </c>
      <c r="F248" s="573" t="s">
        <v>153</v>
      </c>
      <c r="G248" s="573">
        <v>2019</v>
      </c>
      <c r="H248" s="573" t="s">
        <v>854</v>
      </c>
      <c r="I248" s="573" t="s">
        <v>174</v>
      </c>
      <c r="J248" s="573" t="s">
        <v>230</v>
      </c>
      <c r="K248" s="573">
        <v>8</v>
      </c>
      <c r="L248" s="573">
        <v>0</v>
      </c>
      <c r="M248" s="573" t="s">
        <v>157</v>
      </c>
      <c r="N248" s="573">
        <v>3</v>
      </c>
      <c r="O248" s="573" t="s">
        <v>157</v>
      </c>
      <c r="P248" s="571" t="s">
        <v>157</v>
      </c>
      <c r="Q248" s="573" t="s">
        <v>231</v>
      </c>
      <c r="R248" s="573">
        <v>6</v>
      </c>
      <c r="S248" s="582" t="s">
        <v>855</v>
      </c>
      <c r="T248" s="573" t="s">
        <v>732</v>
      </c>
      <c r="U248" s="573">
        <v>120.9</v>
      </c>
      <c r="V248" s="573">
        <v>21.7</v>
      </c>
      <c r="W248" s="616">
        <v>6160</v>
      </c>
      <c r="X248" s="617">
        <v>20</v>
      </c>
      <c r="Y248" s="617" t="s">
        <v>178</v>
      </c>
      <c r="Z248" s="617" t="s">
        <v>178</v>
      </c>
      <c r="AA248" s="618">
        <v>35995</v>
      </c>
      <c r="AB248" s="618" t="s">
        <v>164</v>
      </c>
      <c r="AC248" s="618">
        <v>28068.333333333332</v>
      </c>
      <c r="AD248" s="619">
        <v>0.05</v>
      </c>
      <c r="AE248" s="617" t="s">
        <v>858</v>
      </c>
    </row>
    <row r="249" spans="1:31" s="572" customFormat="1">
      <c r="A249" s="570" t="s">
        <v>860</v>
      </c>
      <c r="B249" s="569" t="s">
        <v>150</v>
      </c>
      <c r="C249" s="580">
        <v>13</v>
      </c>
      <c r="D249" s="569" t="s">
        <v>699</v>
      </c>
      <c r="E249" s="569" t="s">
        <v>196</v>
      </c>
      <c r="F249" s="569" t="s">
        <v>153</v>
      </c>
      <c r="G249" s="569">
        <v>2019</v>
      </c>
      <c r="H249" s="569" t="s">
        <v>854</v>
      </c>
      <c r="I249" s="569" t="s">
        <v>174</v>
      </c>
      <c r="J249" s="569" t="s">
        <v>230</v>
      </c>
      <c r="K249" s="569">
        <v>8</v>
      </c>
      <c r="L249" s="569">
        <v>0</v>
      </c>
      <c r="M249" s="569" t="s">
        <v>157</v>
      </c>
      <c r="N249" s="569">
        <v>3</v>
      </c>
      <c r="O249" s="569" t="s">
        <v>157</v>
      </c>
      <c r="P249" s="568" t="s">
        <v>157</v>
      </c>
      <c r="Q249" s="569" t="s">
        <v>231</v>
      </c>
      <c r="R249" s="569">
        <v>6</v>
      </c>
      <c r="S249" s="569" t="s">
        <v>855</v>
      </c>
      <c r="T249" s="569" t="s">
        <v>191</v>
      </c>
      <c r="U249" s="569">
        <v>120.9</v>
      </c>
      <c r="V249" s="569">
        <v>21.7</v>
      </c>
      <c r="W249" s="620">
        <v>6160</v>
      </c>
      <c r="X249" s="621">
        <v>20</v>
      </c>
      <c r="Y249" s="621" t="s">
        <v>178</v>
      </c>
      <c r="Z249" s="621" t="s">
        <v>178</v>
      </c>
      <c r="AA249" s="622">
        <v>36695</v>
      </c>
      <c r="AB249" s="622" t="s">
        <v>164</v>
      </c>
      <c r="AC249" s="622">
        <v>30271</v>
      </c>
      <c r="AD249" s="623">
        <v>0.03</v>
      </c>
      <c r="AE249" s="621" t="s">
        <v>853</v>
      </c>
    </row>
    <row r="250" spans="1:31" s="572" customFormat="1">
      <c r="A250" s="570" t="s">
        <v>862</v>
      </c>
      <c r="B250" s="573" t="s">
        <v>166</v>
      </c>
      <c r="C250" s="578">
        <v>17</v>
      </c>
      <c r="D250" s="573" t="s">
        <v>699</v>
      </c>
      <c r="E250" s="573" t="s">
        <v>196</v>
      </c>
      <c r="F250" s="573" t="s">
        <v>153</v>
      </c>
      <c r="G250" s="573">
        <v>2019</v>
      </c>
      <c r="H250" s="573" t="s">
        <v>854</v>
      </c>
      <c r="I250" s="573" t="s">
        <v>174</v>
      </c>
      <c r="J250" s="573" t="s">
        <v>230</v>
      </c>
      <c r="K250" s="573">
        <v>8</v>
      </c>
      <c r="L250" s="573">
        <v>0</v>
      </c>
      <c r="M250" s="573" t="s">
        <v>157</v>
      </c>
      <c r="N250" s="573">
        <v>3</v>
      </c>
      <c r="O250" s="573" t="s">
        <v>157</v>
      </c>
      <c r="P250" s="571" t="s">
        <v>157</v>
      </c>
      <c r="Q250" s="573" t="s">
        <v>231</v>
      </c>
      <c r="R250" s="573">
        <v>6</v>
      </c>
      <c r="S250" s="582" t="s">
        <v>855</v>
      </c>
      <c r="T250" s="573" t="s">
        <v>191</v>
      </c>
      <c r="U250" s="573">
        <v>120.9</v>
      </c>
      <c r="V250" s="573">
        <v>21.7</v>
      </c>
      <c r="W250" s="616">
        <v>6160</v>
      </c>
      <c r="X250" s="617">
        <v>20</v>
      </c>
      <c r="Y250" s="617" t="s">
        <v>178</v>
      </c>
      <c r="Z250" s="617" t="s">
        <v>178</v>
      </c>
      <c r="AA250" s="618">
        <v>35795</v>
      </c>
      <c r="AB250" s="618" t="s">
        <v>164</v>
      </c>
      <c r="AC250" s="618">
        <v>28335</v>
      </c>
      <c r="AD250" s="619">
        <v>7.1999999999999995E-2</v>
      </c>
      <c r="AE250" s="617" t="s">
        <v>853</v>
      </c>
    </row>
    <row r="251" spans="1:31" s="572" customFormat="1">
      <c r="A251" s="570" t="s">
        <v>864</v>
      </c>
      <c r="B251" s="569" t="s">
        <v>166</v>
      </c>
      <c r="C251" s="580">
        <v>17</v>
      </c>
      <c r="D251" s="569" t="s">
        <v>699</v>
      </c>
      <c r="E251" s="569" t="s">
        <v>196</v>
      </c>
      <c r="F251" s="569" t="s">
        <v>153</v>
      </c>
      <c r="G251" s="569">
        <v>2019</v>
      </c>
      <c r="H251" s="569" t="s">
        <v>854</v>
      </c>
      <c r="I251" s="569" t="s">
        <v>174</v>
      </c>
      <c r="J251" s="569" t="s">
        <v>230</v>
      </c>
      <c r="K251" s="569">
        <v>8</v>
      </c>
      <c r="L251" s="569">
        <v>0</v>
      </c>
      <c r="M251" s="569" t="s">
        <v>157</v>
      </c>
      <c r="N251" s="569">
        <v>3</v>
      </c>
      <c r="O251" s="569" t="s">
        <v>157</v>
      </c>
      <c r="P251" s="568" t="s">
        <v>157</v>
      </c>
      <c r="Q251" s="569" t="s">
        <v>231</v>
      </c>
      <c r="R251" s="569">
        <v>6</v>
      </c>
      <c r="S251" s="569" t="s">
        <v>855</v>
      </c>
      <c r="T251" s="569" t="s">
        <v>732</v>
      </c>
      <c r="U251" s="569">
        <v>120.9</v>
      </c>
      <c r="V251" s="569">
        <v>21.7</v>
      </c>
      <c r="W251" s="620">
        <v>6160</v>
      </c>
      <c r="X251" s="621">
        <v>20</v>
      </c>
      <c r="Y251" s="621" t="s">
        <v>178</v>
      </c>
      <c r="Z251" s="621" t="s">
        <v>178</v>
      </c>
      <c r="AA251" s="622">
        <v>35795</v>
      </c>
      <c r="AB251" s="622" t="s">
        <v>164</v>
      </c>
      <c r="AC251" s="622">
        <v>27455</v>
      </c>
      <c r="AD251" s="623">
        <v>7.1999999999999995E-2</v>
      </c>
      <c r="AE251" s="621" t="s">
        <v>858</v>
      </c>
    </row>
    <row r="252" spans="1:31" s="572" customFormat="1">
      <c r="A252" s="570" t="s">
        <v>866</v>
      </c>
      <c r="B252" s="573" t="s">
        <v>169</v>
      </c>
      <c r="C252" s="578">
        <v>11</v>
      </c>
      <c r="D252" s="573" t="s">
        <v>699</v>
      </c>
      <c r="E252" s="573" t="s">
        <v>196</v>
      </c>
      <c r="F252" s="573" t="s">
        <v>153</v>
      </c>
      <c r="G252" s="573">
        <v>2019</v>
      </c>
      <c r="H252" s="573" t="s">
        <v>854</v>
      </c>
      <c r="I252" s="573" t="s">
        <v>174</v>
      </c>
      <c r="J252" s="573" t="s">
        <v>156</v>
      </c>
      <c r="K252" s="573">
        <v>8</v>
      </c>
      <c r="L252" s="573">
        <v>0</v>
      </c>
      <c r="M252" s="573" t="s">
        <v>157</v>
      </c>
      <c r="N252" s="573">
        <v>3</v>
      </c>
      <c r="O252" s="573" t="s">
        <v>157</v>
      </c>
      <c r="P252" s="571" t="s">
        <v>157</v>
      </c>
      <c r="Q252" s="573" t="s">
        <v>231</v>
      </c>
      <c r="R252" s="573">
        <v>6</v>
      </c>
      <c r="S252" s="582" t="s">
        <v>868</v>
      </c>
      <c r="T252" s="573" t="s">
        <v>732</v>
      </c>
      <c r="U252" s="573">
        <v>120.9</v>
      </c>
      <c r="V252" s="573">
        <v>21.7</v>
      </c>
      <c r="W252" s="616">
        <v>6160</v>
      </c>
      <c r="X252" s="617">
        <v>21</v>
      </c>
      <c r="Y252" s="617" t="s">
        <v>178</v>
      </c>
      <c r="Z252" s="617" t="s">
        <v>178</v>
      </c>
      <c r="AA252" s="618">
        <v>33995</v>
      </c>
      <c r="AB252" s="618" t="s">
        <v>164</v>
      </c>
      <c r="AC252" s="618">
        <v>26147.5</v>
      </c>
      <c r="AD252" s="619">
        <v>0.05</v>
      </c>
      <c r="AE252" s="617" t="s">
        <v>867</v>
      </c>
    </row>
    <row r="253" spans="1:31" s="572" customFormat="1">
      <c r="A253" s="570" t="s">
        <v>870</v>
      </c>
      <c r="B253" s="569" t="s">
        <v>166</v>
      </c>
      <c r="C253" s="580">
        <v>17</v>
      </c>
      <c r="D253" s="569" t="s">
        <v>699</v>
      </c>
      <c r="E253" s="569" t="s">
        <v>196</v>
      </c>
      <c r="F253" s="569" t="s">
        <v>153</v>
      </c>
      <c r="G253" s="569">
        <v>2019</v>
      </c>
      <c r="H253" s="569" t="s">
        <v>854</v>
      </c>
      <c r="I253" s="569" t="s">
        <v>174</v>
      </c>
      <c r="J253" s="569" t="s">
        <v>156</v>
      </c>
      <c r="K253" s="569">
        <v>8</v>
      </c>
      <c r="L253" s="569">
        <v>0</v>
      </c>
      <c r="M253" s="569" t="s">
        <v>157</v>
      </c>
      <c r="N253" s="569">
        <v>3</v>
      </c>
      <c r="O253" s="569" t="s">
        <v>157</v>
      </c>
      <c r="P253" s="568" t="s">
        <v>157</v>
      </c>
      <c r="Q253" s="569" t="s">
        <v>231</v>
      </c>
      <c r="R253" s="569">
        <v>6</v>
      </c>
      <c r="S253" s="569" t="s">
        <v>868</v>
      </c>
      <c r="T253" s="569" t="s">
        <v>732</v>
      </c>
      <c r="U253" s="569">
        <v>120.9</v>
      </c>
      <c r="V253" s="569">
        <v>19.399999999999999</v>
      </c>
      <c r="W253" s="620">
        <v>6160</v>
      </c>
      <c r="X253" s="621">
        <v>21</v>
      </c>
      <c r="Y253" s="621" t="s">
        <v>178</v>
      </c>
      <c r="Z253" s="621" t="s">
        <v>178</v>
      </c>
      <c r="AA253" s="622">
        <v>33795</v>
      </c>
      <c r="AB253" s="622" t="s">
        <v>164</v>
      </c>
      <c r="AC253" s="622">
        <v>25985</v>
      </c>
      <c r="AD253" s="623">
        <v>7.1999999999999995E-2</v>
      </c>
      <c r="AE253" s="621" t="s">
        <v>867</v>
      </c>
    </row>
    <row r="254" spans="1:31" s="572" customFormat="1">
      <c r="A254" s="570" t="s">
        <v>872</v>
      </c>
      <c r="B254" s="573" t="s">
        <v>169</v>
      </c>
      <c r="C254" s="578">
        <v>11</v>
      </c>
      <c r="D254" s="573" t="s">
        <v>699</v>
      </c>
      <c r="E254" s="573" t="s">
        <v>196</v>
      </c>
      <c r="F254" s="573" t="s">
        <v>153</v>
      </c>
      <c r="G254" s="573">
        <v>2019</v>
      </c>
      <c r="H254" s="573" t="s">
        <v>854</v>
      </c>
      <c r="I254" s="573" t="s">
        <v>155</v>
      </c>
      <c r="J254" s="573" t="s">
        <v>230</v>
      </c>
      <c r="K254" s="573">
        <v>8</v>
      </c>
      <c r="L254" s="573">
        <v>0</v>
      </c>
      <c r="M254" s="573" t="s">
        <v>157</v>
      </c>
      <c r="N254" s="573">
        <v>3</v>
      </c>
      <c r="O254" s="573" t="s">
        <v>157</v>
      </c>
      <c r="P254" s="571" t="s">
        <v>157</v>
      </c>
      <c r="Q254" s="573" t="s">
        <v>231</v>
      </c>
      <c r="R254" s="573">
        <v>6</v>
      </c>
      <c r="S254" s="582" t="s">
        <v>874</v>
      </c>
      <c r="T254" s="573" t="s">
        <v>213</v>
      </c>
      <c r="U254" s="573">
        <v>120.9</v>
      </c>
      <c r="V254" s="573">
        <v>21.7</v>
      </c>
      <c r="W254" s="616">
        <v>6160</v>
      </c>
      <c r="X254" s="617">
        <v>20</v>
      </c>
      <c r="Y254" s="617" t="s">
        <v>178</v>
      </c>
      <c r="Z254" s="617" t="s">
        <v>178</v>
      </c>
      <c r="AA254" s="618">
        <v>40295</v>
      </c>
      <c r="AB254" s="618" t="s">
        <v>164</v>
      </c>
      <c r="AC254" s="618">
        <v>32198.124999999996</v>
      </c>
      <c r="AD254" s="619">
        <v>0.05</v>
      </c>
      <c r="AE254" s="617" t="s">
        <v>873</v>
      </c>
    </row>
    <row r="255" spans="1:31" s="572" customFormat="1">
      <c r="A255" s="570" t="s">
        <v>876</v>
      </c>
      <c r="B255" s="569" t="s">
        <v>166</v>
      </c>
      <c r="C255" s="580">
        <v>17</v>
      </c>
      <c r="D255" s="569" t="s">
        <v>699</v>
      </c>
      <c r="E255" s="569" t="s">
        <v>196</v>
      </c>
      <c r="F255" s="569" t="s">
        <v>153</v>
      </c>
      <c r="G255" s="569">
        <v>2019</v>
      </c>
      <c r="H255" s="569" t="s">
        <v>854</v>
      </c>
      <c r="I255" s="569" t="s">
        <v>155</v>
      </c>
      <c r="J255" s="569" t="s">
        <v>230</v>
      </c>
      <c r="K255" s="569">
        <v>8</v>
      </c>
      <c r="L255" s="569">
        <v>0</v>
      </c>
      <c r="M255" s="569" t="s">
        <v>157</v>
      </c>
      <c r="N255" s="569">
        <v>3</v>
      </c>
      <c r="O255" s="569" t="s">
        <v>157</v>
      </c>
      <c r="P255" s="568" t="s">
        <v>157</v>
      </c>
      <c r="Q255" s="569" t="s">
        <v>231</v>
      </c>
      <c r="R255" s="569">
        <v>6</v>
      </c>
      <c r="S255" s="569" t="s">
        <v>874</v>
      </c>
      <c r="T255" s="569" t="s">
        <v>213</v>
      </c>
      <c r="U255" s="569">
        <v>120.9</v>
      </c>
      <c r="V255" s="569">
        <v>21.7</v>
      </c>
      <c r="W255" s="620">
        <v>6160</v>
      </c>
      <c r="X255" s="621">
        <v>20</v>
      </c>
      <c r="Y255" s="621" t="s">
        <v>178</v>
      </c>
      <c r="Z255" s="621" t="s">
        <v>178</v>
      </c>
      <c r="AA255" s="622">
        <v>40095</v>
      </c>
      <c r="AB255" s="622" t="s">
        <v>164</v>
      </c>
      <c r="AC255" s="622">
        <v>31455</v>
      </c>
      <c r="AD255" s="623">
        <v>7.1999999999999995E-2</v>
      </c>
      <c r="AE255" s="621" t="s">
        <v>873</v>
      </c>
    </row>
    <row r="256" spans="1:31" s="572" customFormat="1">
      <c r="A256" s="570" t="s">
        <v>878</v>
      </c>
      <c r="B256" s="573" t="s">
        <v>169</v>
      </c>
      <c r="C256" s="578">
        <v>11</v>
      </c>
      <c r="D256" s="573" t="s">
        <v>699</v>
      </c>
      <c r="E256" s="573" t="s">
        <v>211</v>
      </c>
      <c r="F256" s="573" t="s">
        <v>153</v>
      </c>
      <c r="G256" s="573">
        <v>2019</v>
      </c>
      <c r="H256" s="573" t="s">
        <v>880</v>
      </c>
      <c r="I256" s="573" t="s">
        <v>174</v>
      </c>
      <c r="J256" s="573" t="s">
        <v>230</v>
      </c>
      <c r="K256" s="573">
        <v>5</v>
      </c>
      <c r="L256" s="573">
        <v>0</v>
      </c>
      <c r="M256" s="573" t="s">
        <v>157</v>
      </c>
      <c r="N256" s="573">
        <v>2</v>
      </c>
      <c r="O256" s="573" t="s">
        <v>157</v>
      </c>
      <c r="P256" s="571" t="s">
        <v>157</v>
      </c>
      <c r="Q256" s="573" t="s">
        <v>175</v>
      </c>
      <c r="R256" s="573">
        <v>4</v>
      </c>
      <c r="S256" s="582" t="s">
        <v>881</v>
      </c>
      <c r="T256" s="573" t="s">
        <v>732</v>
      </c>
      <c r="U256" s="573">
        <v>100.6</v>
      </c>
      <c r="V256" s="573">
        <v>14</v>
      </c>
      <c r="W256" s="616">
        <v>3267</v>
      </c>
      <c r="X256" s="617">
        <v>27</v>
      </c>
      <c r="Y256" s="617" t="s">
        <v>178</v>
      </c>
      <c r="Z256" s="617" t="s">
        <v>178</v>
      </c>
      <c r="AA256" s="618">
        <v>23795</v>
      </c>
      <c r="AB256" s="618" t="s">
        <v>164</v>
      </c>
      <c r="AC256" s="618">
        <v>21082.916666666664</v>
      </c>
      <c r="AD256" s="619">
        <v>0.05</v>
      </c>
      <c r="AE256" s="617" t="s">
        <v>879</v>
      </c>
    </row>
    <row r="257" spans="1:31" s="572" customFormat="1">
      <c r="A257" s="570" t="s">
        <v>883</v>
      </c>
      <c r="B257" s="569" t="s">
        <v>150</v>
      </c>
      <c r="C257" s="580">
        <v>13</v>
      </c>
      <c r="D257" s="569" t="s">
        <v>699</v>
      </c>
      <c r="E257" s="569" t="s">
        <v>211</v>
      </c>
      <c r="F257" s="569" t="s">
        <v>153</v>
      </c>
      <c r="G257" s="569">
        <v>2019</v>
      </c>
      <c r="H257" s="569" t="s">
        <v>880</v>
      </c>
      <c r="I257" s="569" t="s">
        <v>174</v>
      </c>
      <c r="J257" s="569" t="s">
        <v>230</v>
      </c>
      <c r="K257" s="569">
        <v>5</v>
      </c>
      <c r="L257" s="569">
        <v>0</v>
      </c>
      <c r="M257" s="569" t="s">
        <v>157</v>
      </c>
      <c r="N257" s="569">
        <v>2</v>
      </c>
      <c r="O257" s="569" t="s">
        <v>157</v>
      </c>
      <c r="P257" s="568" t="s">
        <v>157</v>
      </c>
      <c r="Q257" s="569" t="s">
        <v>175</v>
      </c>
      <c r="R257" s="569">
        <v>4</v>
      </c>
      <c r="S257" s="569" t="s">
        <v>881</v>
      </c>
      <c r="T257" s="569" t="s">
        <v>732</v>
      </c>
      <c r="U257" s="569">
        <v>100.6</v>
      </c>
      <c r="V257" s="569">
        <v>14</v>
      </c>
      <c r="W257" s="620">
        <v>3267</v>
      </c>
      <c r="X257" s="621">
        <v>27</v>
      </c>
      <c r="Y257" s="621" t="s">
        <v>178</v>
      </c>
      <c r="Z257" s="621" t="s">
        <v>178</v>
      </c>
      <c r="AA257" s="622">
        <v>23795</v>
      </c>
      <c r="AB257" s="622" t="s">
        <v>164</v>
      </c>
      <c r="AC257" s="622">
        <v>22620</v>
      </c>
      <c r="AD257" s="623">
        <v>0.03</v>
      </c>
      <c r="AE257" s="621" t="s">
        <v>879</v>
      </c>
    </row>
    <row r="258" spans="1:31" s="572" customFormat="1">
      <c r="A258" s="570" t="s">
        <v>885</v>
      </c>
      <c r="B258" s="573" t="s">
        <v>166</v>
      </c>
      <c r="C258" s="578">
        <v>17</v>
      </c>
      <c r="D258" s="573" t="s">
        <v>699</v>
      </c>
      <c r="E258" s="573" t="s">
        <v>211</v>
      </c>
      <c r="F258" s="573" t="s">
        <v>153</v>
      </c>
      <c r="G258" s="573">
        <v>2019</v>
      </c>
      <c r="H258" s="573" t="s">
        <v>880</v>
      </c>
      <c r="I258" s="573" t="s">
        <v>174</v>
      </c>
      <c r="J258" s="573" t="s">
        <v>230</v>
      </c>
      <c r="K258" s="573">
        <v>5</v>
      </c>
      <c r="L258" s="573">
        <v>0</v>
      </c>
      <c r="M258" s="573" t="s">
        <v>157</v>
      </c>
      <c r="N258" s="573">
        <v>2</v>
      </c>
      <c r="O258" s="573" t="s">
        <v>157</v>
      </c>
      <c r="P258" s="571" t="s">
        <v>157</v>
      </c>
      <c r="Q258" s="573" t="s">
        <v>175</v>
      </c>
      <c r="R258" s="573">
        <v>4</v>
      </c>
      <c r="S258" s="582" t="s">
        <v>881</v>
      </c>
      <c r="T258" s="573" t="s">
        <v>732</v>
      </c>
      <c r="U258" s="573">
        <v>100.6</v>
      </c>
      <c r="V258" s="573">
        <v>14</v>
      </c>
      <c r="W258" s="616">
        <v>3267</v>
      </c>
      <c r="X258" s="617">
        <v>27</v>
      </c>
      <c r="Y258" s="617" t="s">
        <v>178</v>
      </c>
      <c r="Z258" s="617" t="s">
        <v>178</v>
      </c>
      <c r="AA258" s="618">
        <v>23795</v>
      </c>
      <c r="AB258" s="618" t="s">
        <v>164</v>
      </c>
      <c r="AC258" s="618">
        <v>21855</v>
      </c>
      <c r="AD258" s="619">
        <v>7.1999999999999995E-2</v>
      </c>
      <c r="AE258" s="617" t="s">
        <v>879</v>
      </c>
    </row>
    <row r="259" spans="1:31" s="572" customFormat="1">
      <c r="A259" s="570" t="s">
        <v>887</v>
      </c>
      <c r="B259" s="569" t="s">
        <v>169</v>
      </c>
      <c r="C259" s="580">
        <v>11</v>
      </c>
      <c r="D259" s="569" t="s">
        <v>699</v>
      </c>
      <c r="E259" s="569" t="s">
        <v>211</v>
      </c>
      <c r="F259" s="569" t="s">
        <v>153</v>
      </c>
      <c r="G259" s="569">
        <v>2019</v>
      </c>
      <c r="H259" s="569" t="s">
        <v>880</v>
      </c>
      <c r="I259" s="569" t="s">
        <v>174</v>
      </c>
      <c r="J259" s="569" t="s">
        <v>156</v>
      </c>
      <c r="K259" s="569">
        <v>5</v>
      </c>
      <c r="L259" s="569">
        <v>0</v>
      </c>
      <c r="M259" s="569" t="s">
        <v>157</v>
      </c>
      <c r="N259" s="569">
        <v>2</v>
      </c>
      <c r="O259" s="569" t="s">
        <v>157</v>
      </c>
      <c r="P259" s="568" t="s">
        <v>157</v>
      </c>
      <c r="Q259" s="569" t="s">
        <v>175</v>
      </c>
      <c r="R259" s="569">
        <v>4</v>
      </c>
      <c r="S259" s="569" t="s">
        <v>889</v>
      </c>
      <c r="T259" s="569" t="s">
        <v>732</v>
      </c>
      <c r="U259" s="569">
        <v>100.6</v>
      </c>
      <c r="V259" s="569">
        <v>14</v>
      </c>
      <c r="W259" s="620">
        <v>3201</v>
      </c>
      <c r="X259" s="621">
        <v>28</v>
      </c>
      <c r="Y259" s="621" t="s">
        <v>178</v>
      </c>
      <c r="Z259" s="621" t="s">
        <v>178</v>
      </c>
      <c r="AA259" s="622">
        <v>22295</v>
      </c>
      <c r="AB259" s="622" t="s">
        <v>164</v>
      </c>
      <c r="AC259" s="622">
        <v>19626.666666666664</v>
      </c>
      <c r="AD259" s="623">
        <v>0.05</v>
      </c>
      <c r="AE259" s="621" t="s">
        <v>888</v>
      </c>
    </row>
    <row r="260" spans="1:31" s="572" customFormat="1">
      <c r="A260" s="570" t="s">
        <v>891</v>
      </c>
      <c r="B260" s="573" t="s">
        <v>166</v>
      </c>
      <c r="C260" s="578">
        <v>17</v>
      </c>
      <c r="D260" s="573" t="s">
        <v>699</v>
      </c>
      <c r="E260" s="573" t="s">
        <v>211</v>
      </c>
      <c r="F260" s="573" t="s">
        <v>153</v>
      </c>
      <c r="G260" s="573">
        <v>2019</v>
      </c>
      <c r="H260" s="573" t="s">
        <v>880</v>
      </c>
      <c r="I260" s="573" t="s">
        <v>174</v>
      </c>
      <c r="J260" s="573" t="s">
        <v>156</v>
      </c>
      <c r="K260" s="573">
        <v>5</v>
      </c>
      <c r="L260" s="573">
        <v>0</v>
      </c>
      <c r="M260" s="573" t="s">
        <v>157</v>
      </c>
      <c r="N260" s="573">
        <v>2</v>
      </c>
      <c r="O260" s="573" t="s">
        <v>157</v>
      </c>
      <c r="P260" s="571" t="s">
        <v>157</v>
      </c>
      <c r="Q260" s="573" t="s">
        <v>175</v>
      </c>
      <c r="R260" s="573">
        <v>4</v>
      </c>
      <c r="S260" s="582" t="s">
        <v>889</v>
      </c>
      <c r="T260" s="573" t="s">
        <v>732</v>
      </c>
      <c r="U260" s="573">
        <v>100.6</v>
      </c>
      <c r="V260" s="573">
        <v>14</v>
      </c>
      <c r="W260" s="616">
        <v>3201</v>
      </c>
      <c r="X260" s="617">
        <v>28</v>
      </c>
      <c r="Y260" s="617" t="s">
        <v>178</v>
      </c>
      <c r="Z260" s="617" t="s">
        <v>178</v>
      </c>
      <c r="AA260" s="618">
        <v>22295</v>
      </c>
      <c r="AB260" s="618" t="s">
        <v>164</v>
      </c>
      <c r="AC260" s="618">
        <v>21655</v>
      </c>
      <c r="AD260" s="619">
        <v>7.1999999999999995E-2</v>
      </c>
      <c r="AE260" s="617" t="s">
        <v>888</v>
      </c>
    </row>
    <row r="261" spans="1:31" s="572" customFormat="1">
      <c r="A261" s="570" t="s">
        <v>893</v>
      </c>
      <c r="B261" s="569" t="s">
        <v>226</v>
      </c>
      <c r="C261" s="580" t="s">
        <v>227</v>
      </c>
      <c r="D261" s="569" t="s">
        <v>699</v>
      </c>
      <c r="E261" s="569" t="s">
        <v>196</v>
      </c>
      <c r="F261" s="569" t="s">
        <v>248</v>
      </c>
      <c r="G261" s="569">
        <v>2019</v>
      </c>
      <c r="H261" s="569" t="s">
        <v>895</v>
      </c>
      <c r="I261" s="569" t="s">
        <v>257</v>
      </c>
      <c r="J261" s="569" t="s">
        <v>230</v>
      </c>
      <c r="K261" s="569">
        <v>5</v>
      </c>
      <c r="L261" s="569">
        <v>0</v>
      </c>
      <c r="M261" s="569" t="s">
        <v>157</v>
      </c>
      <c r="N261" s="569">
        <v>2</v>
      </c>
      <c r="O261" s="569" t="s">
        <v>157</v>
      </c>
      <c r="P261" s="568">
        <v>6000</v>
      </c>
      <c r="Q261" s="569" t="s">
        <v>231</v>
      </c>
      <c r="R261" s="569">
        <v>6</v>
      </c>
      <c r="S261" s="569" t="s">
        <v>896</v>
      </c>
      <c r="T261" s="569" t="s">
        <v>897</v>
      </c>
      <c r="U261" s="569">
        <v>119.8</v>
      </c>
      <c r="V261" s="569">
        <v>24.6</v>
      </c>
      <c r="W261" s="620">
        <v>6500</v>
      </c>
      <c r="X261" s="621">
        <v>21</v>
      </c>
      <c r="Y261" s="621" t="s">
        <v>178</v>
      </c>
      <c r="Z261" s="621" t="s">
        <v>178</v>
      </c>
      <c r="AA261" s="622">
        <v>38440</v>
      </c>
      <c r="AB261" s="622" t="s">
        <v>164</v>
      </c>
      <c r="AC261" s="622">
        <v>29943</v>
      </c>
      <c r="AD261" s="623">
        <v>6.25E-2</v>
      </c>
      <c r="AE261" s="621" t="s">
        <v>894</v>
      </c>
    </row>
    <row r="262" spans="1:31" s="572" customFormat="1">
      <c r="A262" s="570" t="s">
        <v>899</v>
      </c>
      <c r="B262" s="573" t="s">
        <v>226</v>
      </c>
      <c r="C262" s="578" t="s">
        <v>227</v>
      </c>
      <c r="D262" s="573" t="s">
        <v>699</v>
      </c>
      <c r="E262" s="573" t="s">
        <v>196</v>
      </c>
      <c r="F262" s="573" t="s">
        <v>248</v>
      </c>
      <c r="G262" s="573">
        <v>2019</v>
      </c>
      <c r="H262" s="573" t="s">
        <v>895</v>
      </c>
      <c r="I262" s="573" t="s">
        <v>250</v>
      </c>
      <c r="J262" s="573" t="s">
        <v>230</v>
      </c>
      <c r="K262" s="573">
        <v>5</v>
      </c>
      <c r="L262" s="573">
        <v>0</v>
      </c>
      <c r="M262" s="573" t="s">
        <v>157</v>
      </c>
      <c r="N262" s="573">
        <v>2</v>
      </c>
      <c r="O262" s="573" t="s">
        <v>157</v>
      </c>
      <c r="P262" s="571">
        <v>6000</v>
      </c>
      <c r="Q262" s="573" t="s">
        <v>231</v>
      </c>
      <c r="R262" s="573">
        <v>6</v>
      </c>
      <c r="S262" s="582" t="s">
        <v>901</v>
      </c>
      <c r="T262" s="573" t="s">
        <v>902</v>
      </c>
      <c r="U262" s="573">
        <v>119.8</v>
      </c>
      <c r="V262" s="573">
        <v>24.6</v>
      </c>
      <c r="W262" s="616">
        <v>6500</v>
      </c>
      <c r="X262" s="617">
        <v>21</v>
      </c>
      <c r="Y262" s="617" t="s">
        <v>178</v>
      </c>
      <c r="Z262" s="617" t="s">
        <v>178</v>
      </c>
      <c r="AA262" s="618">
        <v>33990</v>
      </c>
      <c r="AB262" s="618" t="s">
        <v>164</v>
      </c>
      <c r="AC262" s="618">
        <v>26602</v>
      </c>
      <c r="AD262" s="619">
        <v>6.25E-2</v>
      </c>
      <c r="AE262" s="617" t="s">
        <v>900</v>
      </c>
    </row>
    <row r="263" spans="1:31" s="572" customFormat="1">
      <c r="A263" s="570" t="s">
        <v>904</v>
      </c>
      <c r="B263" s="569" t="s">
        <v>240</v>
      </c>
      <c r="C263" s="580" t="s">
        <v>241</v>
      </c>
      <c r="D263" s="569" t="s">
        <v>699</v>
      </c>
      <c r="E263" s="569" t="s">
        <v>196</v>
      </c>
      <c r="F263" s="569" t="s">
        <v>248</v>
      </c>
      <c r="G263" s="569">
        <v>2019</v>
      </c>
      <c r="H263" s="569" t="s">
        <v>895</v>
      </c>
      <c r="I263" s="569" t="s">
        <v>250</v>
      </c>
      <c r="J263" s="569" t="s">
        <v>230</v>
      </c>
      <c r="K263" s="569">
        <v>5</v>
      </c>
      <c r="L263" s="569">
        <v>0</v>
      </c>
      <c r="M263" s="569" t="s">
        <v>157</v>
      </c>
      <c r="N263" s="569">
        <v>2</v>
      </c>
      <c r="O263" s="569" t="s">
        <v>157</v>
      </c>
      <c r="P263" s="568">
        <v>6000</v>
      </c>
      <c r="Q263" s="569" t="s">
        <v>231</v>
      </c>
      <c r="R263" s="569">
        <v>6</v>
      </c>
      <c r="S263" s="569" t="s">
        <v>901</v>
      </c>
      <c r="T263" s="569" t="s">
        <v>902</v>
      </c>
      <c r="U263" s="569">
        <v>119.8</v>
      </c>
      <c r="V263" s="569">
        <v>24.6</v>
      </c>
      <c r="W263" s="620">
        <v>6500</v>
      </c>
      <c r="X263" s="621">
        <v>21</v>
      </c>
      <c r="Y263" s="621" t="s">
        <v>178</v>
      </c>
      <c r="Z263" s="621" t="s">
        <v>178</v>
      </c>
      <c r="AA263" s="622">
        <v>33990</v>
      </c>
      <c r="AB263" s="622" t="s">
        <v>164</v>
      </c>
      <c r="AC263" s="622">
        <v>26452.083333333336</v>
      </c>
      <c r="AD263" s="623">
        <v>0.05</v>
      </c>
      <c r="AE263" s="621" t="s">
        <v>900</v>
      </c>
    </row>
    <row r="264" spans="1:31" s="572" customFormat="1">
      <c r="A264" s="570" t="s">
        <v>906</v>
      </c>
      <c r="B264" s="573" t="s">
        <v>226</v>
      </c>
      <c r="C264" s="578" t="s">
        <v>227</v>
      </c>
      <c r="D264" s="573" t="s">
        <v>699</v>
      </c>
      <c r="E264" s="573" t="s">
        <v>196</v>
      </c>
      <c r="F264" s="573" t="s">
        <v>248</v>
      </c>
      <c r="G264" s="573">
        <v>2019</v>
      </c>
      <c r="H264" s="573" t="s">
        <v>895</v>
      </c>
      <c r="I264" s="573" t="s">
        <v>250</v>
      </c>
      <c r="J264" s="573" t="s">
        <v>236</v>
      </c>
      <c r="K264" s="573">
        <v>5</v>
      </c>
      <c r="L264" s="573">
        <v>0</v>
      </c>
      <c r="M264" s="573" t="s">
        <v>157</v>
      </c>
      <c r="N264" s="573">
        <v>2</v>
      </c>
      <c r="O264" s="573" t="s">
        <v>157</v>
      </c>
      <c r="P264" s="571">
        <v>6000</v>
      </c>
      <c r="Q264" s="573" t="s">
        <v>231</v>
      </c>
      <c r="R264" s="573">
        <v>6</v>
      </c>
      <c r="S264" s="582" t="s">
        <v>908</v>
      </c>
      <c r="T264" s="573" t="s">
        <v>902</v>
      </c>
      <c r="U264" s="573">
        <v>119.8</v>
      </c>
      <c r="V264" s="573">
        <v>24.6</v>
      </c>
      <c r="W264" s="616">
        <v>6500</v>
      </c>
      <c r="X264" s="617">
        <v>21</v>
      </c>
      <c r="Y264" s="617" t="s">
        <v>178</v>
      </c>
      <c r="Z264" s="617" t="s">
        <v>178</v>
      </c>
      <c r="AA264" s="618">
        <v>31390</v>
      </c>
      <c r="AB264" s="618" t="s">
        <v>164</v>
      </c>
      <c r="AC264" s="618">
        <v>25728</v>
      </c>
      <c r="AD264" s="619">
        <v>6.25E-2</v>
      </c>
      <c r="AE264" s="617" t="s">
        <v>907</v>
      </c>
    </row>
    <row r="265" spans="1:31" s="572" customFormat="1" ht="30">
      <c r="A265" s="570" t="s">
        <v>910</v>
      </c>
      <c r="B265" s="569" t="s">
        <v>226</v>
      </c>
      <c r="C265" s="580" t="s">
        <v>227</v>
      </c>
      <c r="D265" s="569" t="s">
        <v>699</v>
      </c>
      <c r="E265" s="569" t="s">
        <v>196</v>
      </c>
      <c r="F265" s="569" t="s">
        <v>248</v>
      </c>
      <c r="G265" s="569">
        <v>2019</v>
      </c>
      <c r="H265" s="569" t="s">
        <v>895</v>
      </c>
      <c r="I265" s="569" t="s">
        <v>250</v>
      </c>
      <c r="J265" s="569" t="s">
        <v>236</v>
      </c>
      <c r="K265" s="569">
        <v>7</v>
      </c>
      <c r="L265" s="569">
        <v>0</v>
      </c>
      <c r="M265" s="569" t="s">
        <v>157</v>
      </c>
      <c r="N265" s="569">
        <v>3</v>
      </c>
      <c r="O265" s="569" t="s">
        <v>157</v>
      </c>
      <c r="P265" s="568">
        <v>6000</v>
      </c>
      <c r="Q265" s="569" t="s">
        <v>231</v>
      </c>
      <c r="R265" s="569">
        <v>6</v>
      </c>
      <c r="S265" s="569" t="s">
        <v>908</v>
      </c>
      <c r="T265" s="569" t="s">
        <v>912</v>
      </c>
      <c r="U265" s="569">
        <v>119.8</v>
      </c>
      <c r="V265" s="569">
        <v>24.6</v>
      </c>
      <c r="W265" s="620">
        <v>6500</v>
      </c>
      <c r="X265" s="621">
        <v>21</v>
      </c>
      <c r="Y265" s="621" t="s">
        <v>178</v>
      </c>
      <c r="Z265" s="621" t="s">
        <v>178</v>
      </c>
      <c r="AA265" s="622">
        <v>34885</v>
      </c>
      <c r="AB265" s="622" t="s">
        <v>164</v>
      </c>
      <c r="AC265" s="622">
        <v>28764</v>
      </c>
      <c r="AD265" s="623">
        <v>6.25E-2</v>
      </c>
      <c r="AE265" s="621" t="s">
        <v>911</v>
      </c>
    </row>
    <row r="266" spans="1:31" s="572" customFormat="1">
      <c r="A266" s="570" t="s">
        <v>914</v>
      </c>
      <c r="B266" s="573" t="s">
        <v>240</v>
      </c>
      <c r="C266" s="578" t="s">
        <v>241</v>
      </c>
      <c r="D266" s="573" t="s">
        <v>699</v>
      </c>
      <c r="E266" s="573" t="s">
        <v>196</v>
      </c>
      <c r="F266" s="573" t="s">
        <v>248</v>
      </c>
      <c r="G266" s="573">
        <v>2019</v>
      </c>
      <c r="H266" s="573" t="s">
        <v>895</v>
      </c>
      <c r="I266" s="573" t="s">
        <v>250</v>
      </c>
      <c r="J266" s="573" t="s">
        <v>236</v>
      </c>
      <c r="K266" s="573">
        <v>5</v>
      </c>
      <c r="L266" s="573">
        <v>0</v>
      </c>
      <c r="M266" s="573" t="s">
        <v>157</v>
      </c>
      <c r="N266" s="573">
        <v>2</v>
      </c>
      <c r="O266" s="573" t="s">
        <v>157</v>
      </c>
      <c r="P266" s="571">
        <v>6000</v>
      </c>
      <c r="Q266" s="573" t="s">
        <v>231</v>
      </c>
      <c r="R266" s="573">
        <v>6</v>
      </c>
      <c r="S266" s="582" t="s">
        <v>908</v>
      </c>
      <c r="T266" s="573" t="s">
        <v>902</v>
      </c>
      <c r="U266" s="573">
        <v>119.8</v>
      </c>
      <c r="V266" s="573">
        <v>24.6</v>
      </c>
      <c r="W266" s="616">
        <v>6500</v>
      </c>
      <c r="X266" s="617">
        <v>21</v>
      </c>
      <c r="Y266" s="617" t="s">
        <v>178</v>
      </c>
      <c r="Z266" s="617" t="s">
        <v>178</v>
      </c>
      <c r="AA266" s="618">
        <v>31390</v>
      </c>
      <c r="AB266" s="618" t="s">
        <v>164</v>
      </c>
      <c r="AC266" s="618">
        <v>25550</v>
      </c>
      <c r="AD266" s="619">
        <v>0.05</v>
      </c>
      <c r="AE266" s="617" t="s">
        <v>907</v>
      </c>
    </row>
    <row r="267" spans="1:31" s="572" customFormat="1" ht="30">
      <c r="A267" s="570" t="s">
        <v>916</v>
      </c>
      <c r="B267" s="569" t="s">
        <v>240</v>
      </c>
      <c r="C267" s="580" t="s">
        <v>241</v>
      </c>
      <c r="D267" s="569" t="s">
        <v>699</v>
      </c>
      <c r="E267" s="569" t="s">
        <v>196</v>
      </c>
      <c r="F267" s="569" t="s">
        <v>248</v>
      </c>
      <c r="G267" s="569">
        <v>2019</v>
      </c>
      <c r="H267" s="569" t="s">
        <v>895</v>
      </c>
      <c r="I267" s="569" t="s">
        <v>250</v>
      </c>
      <c r="J267" s="569" t="s">
        <v>236</v>
      </c>
      <c r="K267" s="569">
        <v>7</v>
      </c>
      <c r="L267" s="569">
        <v>0</v>
      </c>
      <c r="M267" s="569" t="s">
        <v>157</v>
      </c>
      <c r="N267" s="569">
        <v>3</v>
      </c>
      <c r="O267" s="569" t="s">
        <v>157</v>
      </c>
      <c r="P267" s="568">
        <v>6000</v>
      </c>
      <c r="Q267" s="569" t="s">
        <v>231</v>
      </c>
      <c r="R267" s="569">
        <v>6</v>
      </c>
      <c r="S267" s="569" t="s">
        <v>908</v>
      </c>
      <c r="T267" s="569" t="s">
        <v>912</v>
      </c>
      <c r="U267" s="569">
        <v>119.8</v>
      </c>
      <c r="V267" s="569">
        <v>24.6</v>
      </c>
      <c r="W267" s="620">
        <v>6500</v>
      </c>
      <c r="X267" s="621">
        <v>21</v>
      </c>
      <c r="Y267" s="621" t="s">
        <v>178</v>
      </c>
      <c r="Z267" s="621" t="s">
        <v>178</v>
      </c>
      <c r="AA267" s="622">
        <v>34885</v>
      </c>
      <c r="AB267" s="622" t="s">
        <v>164</v>
      </c>
      <c r="AC267" s="622">
        <v>28681.25</v>
      </c>
      <c r="AD267" s="623">
        <v>0.05</v>
      </c>
      <c r="AE267" s="621" t="s">
        <v>911</v>
      </c>
    </row>
    <row r="268" spans="1:31" s="572" customFormat="1">
      <c r="A268" s="570" t="s">
        <v>918</v>
      </c>
      <c r="B268" s="573" t="s">
        <v>226</v>
      </c>
      <c r="C268" s="578" t="s">
        <v>227</v>
      </c>
      <c r="D268" s="573" t="s">
        <v>699</v>
      </c>
      <c r="E268" s="573" t="s">
        <v>196</v>
      </c>
      <c r="F268" s="573" t="s">
        <v>248</v>
      </c>
      <c r="G268" s="573">
        <v>2019</v>
      </c>
      <c r="H268" s="573" t="s">
        <v>920</v>
      </c>
      <c r="I268" s="573" t="s">
        <v>330</v>
      </c>
      <c r="J268" s="573" t="s">
        <v>230</v>
      </c>
      <c r="K268" s="573">
        <v>7</v>
      </c>
      <c r="L268" s="573">
        <v>0</v>
      </c>
      <c r="M268" s="573" t="s">
        <v>157</v>
      </c>
      <c r="N268" s="573">
        <v>3</v>
      </c>
      <c r="O268" s="573" t="s">
        <v>157</v>
      </c>
      <c r="P268" s="571">
        <v>2500</v>
      </c>
      <c r="Q268" s="573" t="s">
        <v>231</v>
      </c>
      <c r="R268" s="573">
        <v>6</v>
      </c>
      <c r="S268" s="582" t="s">
        <v>921</v>
      </c>
      <c r="T268" s="573" t="s">
        <v>922</v>
      </c>
      <c r="U268" s="573">
        <v>113.8</v>
      </c>
      <c r="V268" s="573">
        <v>20.5</v>
      </c>
      <c r="W268" s="616">
        <v>5600</v>
      </c>
      <c r="X268" s="617">
        <v>19</v>
      </c>
      <c r="Y268" s="617" t="s">
        <v>178</v>
      </c>
      <c r="Z268" s="617" t="s">
        <v>178</v>
      </c>
      <c r="AA268" s="618">
        <v>29290</v>
      </c>
      <c r="AB268" s="618" t="s">
        <v>164</v>
      </c>
      <c r="AC268" s="618">
        <v>25071</v>
      </c>
      <c r="AD268" s="619">
        <v>6.25E-2</v>
      </c>
      <c r="AE268" s="617" t="s">
        <v>919</v>
      </c>
    </row>
    <row r="269" spans="1:31" s="572" customFormat="1">
      <c r="A269" s="570" t="s">
        <v>924</v>
      </c>
      <c r="B269" s="569" t="s">
        <v>240</v>
      </c>
      <c r="C269" s="580" t="s">
        <v>241</v>
      </c>
      <c r="D269" s="569" t="s">
        <v>699</v>
      </c>
      <c r="E269" s="569" t="s">
        <v>196</v>
      </c>
      <c r="F269" s="569" t="s">
        <v>248</v>
      </c>
      <c r="G269" s="569">
        <v>2019</v>
      </c>
      <c r="H269" s="569" t="s">
        <v>920</v>
      </c>
      <c r="I269" s="569" t="s">
        <v>330</v>
      </c>
      <c r="J269" s="569" t="s">
        <v>230</v>
      </c>
      <c r="K269" s="569">
        <v>7</v>
      </c>
      <c r="L269" s="569">
        <v>0</v>
      </c>
      <c r="M269" s="569" t="s">
        <v>157</v>
      </c>
      <c r="N269" s="569">
        <v>3</v>
      </c>
      <c r="O269" s="569" t="s">
        <v>157</v>
      </c>
      <c r="P269" s="568">
        <v>1000</v>
      </c>
      <c r="Q269" s="569" t="s">
        <v>231</v>
      </c>
      <c r="R269" s="569">
        <v>6</v>
      </c>
      <c r="S269" s="569" t="s">
        <v>921</v>
      </c>
      <c r="T269" s="569" t="s">
        <v>922</v>
      </c>
      <c r="U269" s="569">
        <v>113.8</v>
      </c>
      <c r="V269" s="569">
        <v>20.5</v>
      </c>
      <c r="W269" s="620">
        <v>5250</v>
      </c>
      <c r="X269" s="621">
        <v>21</v>
      </c>
      <c r="Y269" s="621" t="s">
        <v>178</v>
      </c>
      <c r="Z269" s="621" t="s">
        <v>178</v>
      </c>
      <c r="AA269" s="622">
        <v>29290</v>
      </c>
      <c r="AB269" s="622" t="s">
        <v>164</v>
      </c>
      <c r="AC269" s="622">
        <v>24872.916666666668</v>
      </c>
      <c r="AD269" s="623">
        <v>0.05</v>
      </c>
      <c r="AE269" s="621" t="s">
        <v>919</v>
      </c>
    </row>
    <row r="270" spans="1:31" s="572" customFormat="1">
      <c r="A270" s="570" t="s">
        <v>926</v>
      </c>
      <c r="B270" s="573" t="s">
        <v>226</v>
      </c>
      <c r="C270" s="578" t="s">
        <v>227</v>
      </c>
      <c r="D270" s="573" t="s">
        <v>699</v>
      </c>
      <c r="E270" s="573" t="s">
        <v>196</v>
      </c>
      <c r="F270" s="573" t="s">
        <v>248</v>
      </c>
      <c r="G270" s="573">
        <v>2019</v>
      </c>
      <c r="H270" s="573" t="s">
        <v>920</v>
      </c>
      <c r="I270" s="573" t="s">
        <v>330</v>
      </c>
      <c r="J270" s="573" t="s">
        <v>156</v>
      </c>
      <c r="K270" s="573">
        <v>7</v>
      </c>
      <c r="L270" s="573">
        <v>0</v>
      </c>
      <c r="M270" s="573" t="s">
        <v>157</v>
      </c>
      <c r="N270" s="573">
        <v>3</v>
      </c>
      <c r="O270" s="573" t="s">
        <v>157</v>
      </c>
      <c r="P270" s="571">
        <v>1000</v>
      </c>
      <c r="Q270" s="573" t="s">
        <v>231</v>
      </c>
      <c r="R270" s="573">
        <v>6</v>
      </c>
      <c r="S270" s="582" t="s">
        <v>928</v>
      </c>
      <c r="T270" s="573" t="s">
        <v>922</v>
      </c>
      <c r="U270" s="573">
        <v>113.8</v>
      </c>
      <c r="V270" s="573">
        <v>20.5</v>
      </c>
      <c r="W270" s="616">
        <v>5250</v>
      </c>
      <c r="X270" s="617">
        <v>19</v>
      </c>
      <c r="Y270" s="617" t="s">
        <v>178</v>
      </c>
      <c r="Z270" s="617" t="s">
        <v>178</v>
      </c>
      <c r="AA270" s="618">
        <v>26590</v>
      </c>
      <c r="AB270" s="618" t="s">
        <v>164</v>
      </c>
      <c r="AC270" s="618">
        <v>23022</v>
      </c>
      <c r="AD270" s="619">
        <v>6.25E-2</v>
      </c>
      <c r="AE270" s="617" t="s">
        <v>927</v>
      </c>
    </row>
    <row r="271" spans="1:31" s="572" customFormat="1">
      <c r="A271" s="570" t="s">
        <v>930</v>
      </c>
      <c r="B271" s="569" t="s">
        <v>240</v>
      </c>
      <c r="C271" s="580" t="s">
        <v>241</v>
      </c>
      <c r="D271" s="569" t="s">
        <v>699</v>
      </c>
      <c r="E271" s="569" t="s">
        <v>196</v>
      </c>
      <c r="F271" s="569" t="s">
        <v>248</v>
      </c>
      <c r="G271" s="569">
        <v>2019</v>
      </c>
      <c r="H271" s="569" t="s">
        <v>920</v>
      </c>
      <c r="I271" s="569" t="s">
        <v>330</v>
      </c>
      <c r="J271" s="569" t="s">
        <v>156</v>
      </c>
      <c r="K271" s="569">
        <v>7</v>
      </c>
      <c r="L271" s="569">
        <v>0</v>
      </c>
      <c r="M271" s="569" t="s">
        <v>157</v>
      </c>
      <c r="N271" s="569">
        <v>3</v>
      </c>
      <c r="O271" s="569" t="s">
        <v>157</v>
      </c>
      <c r="P271" s="568">
        <v>1000</v>
      </c>
      <c r="Q271" s="569" t="s">
        <v>231</v>
      </c>
      <c r="R271" s="569">
        <v>4</v>
      </c>
      <c r="S271" s="569" t="s">
        <v>928</v>
      </c>
      <c r="T271" s="569" t="s">
        <v>931</v>
      </c>
      <c r="U271" s="569">
        <v>113.8</v>
      </c>
      <c r="V271" s="569">
        <v>20.5</v>
      </c>
      <c r="W271" s="620">
        <v>5250</v>
      </c>
      <c r="X271" s="621">
        <v>21</v>
      </c>
      <c r="Y271" s="621" t="s">
        <v>178</v>
      </c>
      <c r="Z271" s="621" t="s">
        <v>178</v>
      </c>
      <c r="AA271" s="622">
        <v>24890</v>
      </c>
      <c r="AB271" s="622" t="s">
        <v>164</v>
      </c>
      <c r="AC271" s="622">
        <v>21236.458333333336</v>
      </c>
      <c r="AD271" s="623">
        <v>0.05</v>
      </c>
      <c r="AE271" s="621" t="s">
        <v>927</v>
      </c>
    </row>
    <row r="272" spans="1:31" s="572" customFormat="1">
      <c r="A272" s="570" t="s">
        <v>933</v>
      </c>
      <c r="B272" s="573" t="s">
        <v>269</v>
      </c>
      <c r="C272" s="578" t="s">
        <v>270</v>
      </c>
      <c r="D272" s="573" t="s">
        <v>699</v>
      </c>
      <c r="E272" s="573" t="s">
        <v>211</v>
      </c>
      <c r="F272" s="573" t="s">
        <v>271</v>
      </c>
      <c r="G272" s="573">
        <v>2019</v>
      </c>
      <c r="H272" s="573" t="s">
        <v>935</v>
      </c>
      <c r="I272" s="573" t="s">
        <v>273</v>
      </c>
      <c r="J272" s="573" t="s">
        <v>752</v>
      </c>
      <c r="K272" s="573">
        <v>5</v>
      </c>
      <c r="L272" s="573">
        <v>0</v>
      </c>
      <c r="M272" s="573" t="s">
        <v>157</v>
      </c>
      <c r="N272" s="573">
        <v>2</v>
      </c>
      <c r="O272" s="573" t="s">
        <v>157</v>
      </c>
      <c r="P272" s="571" t="s">
        <v>157</v>
      </c>
      <c r="Q272" s="573" t="s">
        <v>352</v>
      </c>
      <c r="R272" s="573">
        <v>4</v>
      </c>
      <c r="S272" s="582" t="s">
        <v>936</v>
      </c>
      <c r="T272" s="573" t="s">
        <v>276</v>
      </c>
      <c r="U272" s="573">
        <v>99.2</v>
      </c>
      <c r="V272" s="573">
        <v>13.6</v>
      </c>
      <c r="W272" s="616">
        <v>4375</v>
      </c>
      <c r="X272" s="617">
        <v>25</v>
      </c>
      <c r="Y272" s="617" t="s">
        <v>178</v>
      </c>
      <c r="Z272" s="617" t="s">
        <v>178</v>
      </c>
      <c r="AA272" s="618">
        <v>22585</v>
      </c>
      <c r="AB272" s="618" t="s">
        <v>164</v>
      </c>
      <c r="AC272" s="618">
        <v>20834.041666666668</v>
      </c>
      <c r="AD272" s="619">
        <v>0.03</v>
      </c>
      <c r="AE272" s="617" t="s">
        <v>934</v>
      </c>
    </row>
    <row r="273" spans="1:31" s="572" customFormat="1">
      <c r="A273" s="570" t="s">
        <v>938</v>
      </c>
      <c r="B273" s="569" t="s">
        <v>280</v>
      </c>
      <c r="C273" s="580">
        <v>27</v>
      </c>
      <c r="D273" s="569" t="s">
        <v>699</v>
      </c>
      <c r="E273" s="569" t="s">
        <v>211</v>
      </c>
      <c r="F273" s="569" t="s">
        <v>271</v>
      </c>
      <c r="G273" s="569">
        <v>2019</v>
      </c>
      <c r="H273" s="569" t="s">
        <v>935</v>
      </c>
      <c r="I273" s="569" t="s">
        <v>273</v>
      </c>
      <c r="J273" s="569" t="s">
        <v>752</v>
      </c>
      <c r="K273" s="569">
        <v>5</v>
      </c>
      <c r="L273" s="569">
        <v>0</v>
      </c>
      <c r="M273" s="569" t="s">
        <v>157</v>
      </c>
      <c r="N273" s="569">
        <v>2</v>
      </c>
      <c r="O273" s="569" t="s">
        <v>157</v>
      </c>
      <c r="P273" s="568" t="s">
        <v>157</v>
      </c>
      <c r="Q273" s="569" t="s">
        <v>352</v>
      </c>
      <c r="R273" s="569">
        <v>4</v>
      </c>
      <c r="S273" s="569" t="s">
        <v>936</v>
      </c>
      <c r="T273" s="569" t="s">
        <v>276</v>
      </c>
      <c r="U273" s="569">
        <v>99.2</v>
      </c>
      <c r="V273" s="569">
        <v>13.6</v>
      </c>
      <c r="W273" s="620">
        <v>4375</v>
      </c>
      <c r="X273" s="621">
        <v>25</v>
      </c>
      <c r="Y273" s="621" t="s">
        <v>178</v>
      </c>
      <c r="Z273" s="621" t="s">
        <v>178</v>
      </c>
      <c r="AA273" s="622">
        <v>22585</v>
      </c>
      <c r="AB273" s="622" t="s">
        <v>164</v>
      </c>
      <c r="AC273" s="622">
        <v>20834.041666666668</v>
      </c>
      <c r="AD273" s="623">
        <v>0.03</v>
      </c>
      <c r="AE273" s="621" t="s">
        <v>934</v>
      </c>
    </row>
    <row r="274" spans="1:31" s="572" customFormat="1">
      <c r="A274" s="570" t="s">
        <v>940</v>
      </c>
      <c r="B274" s="573" t="s">
        <v>278</v>
      </c>
      <c r="C274" s="578">
        <v>15</v>
      </c>
      <c r="D274" s="573" t="s">
        <v>699</v>
      </c>
      <c r="E274" s="573" t="s">
        <v>211</v>
      </c>
      <c r="F274" s="573" t="s">
        <v>271</v>
      </c>
      <c r="G274" s="573">
        <v>2019</v>
      </c>
      <c r="H274" s="573" t="s">
        <v>935</v>
      </c>
      <c r="I274" s="573" t="s">
        <v>273</v>
      </c>
      <c r="J274" s="573" t="s">
        <v>230</v>
      </c>
      <c r="K274" s="573">
        <v>5</v>
      </c>
      <c r="L274" s="573">
        <v>0</v>
      </c>
      <c r="M274" s="573" t="s">
        <v>157</v>
      </c>
      <c r="N274" s="573">
        <v>2</v>
      </c>
      <c r="O274" s="573" t="s">
        <v>157</v>
      </c>
      <c r="P274" s="571" t="s">
        <v>157</v>
      </c>
      <c r="Q274" s="573" t="s">
        <v>352</v>
      </c>
      <c r="R274" s="573">
        <v>4</v>
      </c>
      <c r="S274" s="582" t="s">
        <v>942</v>
      </c>
      <c r="T274" s="573" t="s">
        <v>276</v>
      </c>
      <c r="U274" s="573">
        <v>99.2</v>
      </c>
      <c r="V274" s="573">
        <v>13.6</v>
      </c>
      <c r="W274" s="616">
        <v>4375</v>
      </c>
      <c r="X274" s="617">
        <v>25</v>
      </c>
      <c r="Y274" s="617" t="s">
        <v>178</v>
      </c>
      <c r="Z274" s="617" t="s">
        <v>178</v>
      </c>
      <c r="AA274" s="618">
        <v>22585</v>
      </c>
      <c r="AB274" s="618" t="s">
        <v>164</v>
      </c>
      <c r="AC274" s="618">
        <v>21050</v>
      </c>
      <c r="AD274" s="619">
        <v>0.01</v>
      </c>
      <c r="AE274" s="617" t="s">
        <v>941</v>
      </c>
    </row>
    <row r="275" spans="1:31" s="572" customFormat="1">
      <c r="A275" s="570" t="s">
        <v>944</v>
      </c>
      <c r="B275" s="569" t="s">
        <v>287</v>
      </c>
      <c r="C275" s="580">
        <v>26</v>
      </c>
      <c r="D275" s="569" t="s">
        <v>699</v>
      </c>
      <c r="E275" s="569" t="s">
        <v>211</v>
      </c>
      <c r="F275" s="569" t="s">
        <v>271</v>
      </c>
      <c r="G275" s="569">
        <v>2019</v>
      </c>
      <c r="H275" s="569" t="s">
        <v>935</v>
      </c>
      <c r="I275" s="569" t="s">
        <v>273</v>
      </c>
      <c r="J275" s="569" t="s">
        <v>230</v>
      </c>
      <c r="K275" s="569">
        <v>5</v>
      </c>
      <c r="L275" s="569">
        <v>0</v>
      </c>
      <c r="M275" s="569" t="s">
        <v>157</v>
      </c>
      <c r="N275" s="569">
        <v>2</v>
      </c>
      <c r="O275" s="569" t="s">
        <v>157</v>
      </c>
      <c r="P275" s="568" t="s">
        <v>157</v>
      </c>
      <c r="Q275" s="569" t="s">
        <v>352</v>
      </c>
      <c r="R275" s="569">
        <v>4</v>
      </c>
      <c r="S275" s="569" t="s">
        <v>936</v>
      </c>
      <c r="T275" s="569" t="s">
        <v>276</v>
      </c>
      <c r="U275" s="569">
        <v>99.2</v>
      </c>
      <c r="V275" s="569">
        <v>13.6</v>
      </c>
      <c r="W275" s="620">
        <v>4375</v>
      </c>
      <c r="X275" s="621">
        <v>25</v>
      </c>
      <c r="Y275" s="621" t="s">
        <v>178</v>
      </c>
      <c r="Z275" s="621" t="s">
        <v>178</v>
      </c>
      <c r="AA275" s="622">
        <v>22585</v>
      </c>
      <c r="AB275" s="622" t="s">
        <v>164</v>
      </c>
      <c r="AC275" s="622">
        <v>21567</v>
      </c>
      <c r="AD275" s="623">
        <v>0.05</v>
      </c>
      <c r="AE275" s="621" t="s">
        <v>945</v>
      </c>
    </row>
    <row r="276" spans="1:31" s="572" customFormat="1">
      <c r="A276" s="570" t="s">
        <v>947</v>
      </c>
      <c r="B276" s="573" t="s">
        <v>269</v>
      </c>
      <c r="C276" s="578" t="s">
        <v>270</v>
      </c>
      <c r="D276" s="573" t="s">
        <v>699</v>
      </c>
      <c r="E276" s="573" t="s">
        <v>211</v>
      </c>
      <c r="F276" s="573" t="s">
        <v>271</v>
      </c>
      <c r="G276" s="573">
        <v>2019</v>
      </c>
      <c r="H276" s="573" t="s">
        <v>935</v>
      </c>
      <c r="I276" s="573" t="s">
        <v>273</v>
      </c>
      <c r="J276" s="573" t="s">
        <v>156</v>
      </c>
      <c r="K276" s="573">
        <v>5</v>
      </c>
      <c r="L276" s="573">
        <v>0</v>
      </c>
      <c r="M276" s="573" t="s">
        <v>157</v>
      </c>
      <c r="N276" s="573">
        <v>2</v>
      </c>
      <c r="O276" s="573" t="s">
        <v>157</v>
      </c>
      <c r="P276" s="571" t="s">
        <v>157</v>
      </c>
      <c r="Q276" s="573" t="s">
        <v>949</v>
      </c>
      <c r="R276" s="573">
        <v>3</v>
      </c>
      <c r="S276" s="582" t="s">
        <v>950</v>
      </c>
      <c r="T276" s="573" t="s">
        <v>276</v>
      </c>
      <c r="U276" s="573">
        <v>99.2</v>
      </c>
      <c r="V276" s="573">
        <v>13.6</v>
      </c>
      <c r="W276" s="616">
        <v>4095</v>
      </c>
      <c r="X276" s="617">
        <v>28</v>
      </c>
      <c r="Y276" s="617" t="s">
        <v>178</v>
      </c>
      <c r="Z276" s="617" t="s">
        <v>178</v>
      </c>
      <c r="AA276" s="618">
        <v>20990</v>
      </c>
      <c r="AB276" s="618" t="s">
        <v>164</v>
      </c>
      <c r="AC276" s="618">
        <v>19325.708333333336</v>
      </c>
      <c r="AD276" s="619">
        <v>0.03</v>
      </c>
      <c r="AE276" s="617" t="s">
        <v>948</v>
      </c>
    </row>
    <row r="277" spans="1:31" s="572" customFormat="1">
      <c r="A277" s="570" t="s">
        <v>952</v>
      </c>
      <c r="B277" s="569" t="s">
        <v>278</v>
      </c>
      <c r="C277" s="580">
        <v>15</v>
      </c>
      <c r="D277" s="569" t="s">
        <v>699</v>
      </c>
      <c r="E277" s="569" t="s">
        <v>211</v>
      </c>
      <c r="F277" s="569" t="s">
        <v>271</v>
      </c>
      <c r="G277" s="569">
        <v>2019</v>
      </c>
      <c r="H277" s="569" t="s">
        <v>935</v>
      </c>
      <c r="I277" s="569" t="s">
        <v>273</v>
      </c>
      <c r="J277" s="569" t="s">
        <v>156</v>
      </c>
      <c r="K277" s="569">
        <v>5</v>
      </c>
      <c r="L277" s="569">
        <v>0</v>
      </c>
      <c r="M277" s="569" t="s">
        <v>157</v>
      </c>
      <c r="N277" s="569">
        <v>2</v>
      </c>
      <c r="O277" s="569" t="s">
        <v>157</v>
      </c>
      <c r="P277" s="568" t="s">
        <v>157</v>
      </c>
      <c r="Q277" s="569" t="s">
        <v>949</v>
      </c>
      <c r="R277" s="569">
        <v>3</v>
      </c>
      <c r="S277" s="569" t="s">
        <v>954</v>
      </c>
      <c r="T277" s="569" t="s">
        <v>276</v>
      </c>
      <c r="U277" s="569">
        <v>99.2</v>
      </c>
      <c r="V277" s="569">
        <v>13.6</v>
      </c>
      <c r="W277" s="620">
        <v>4095</v>
      </c>
      <c r="X277" s="621">
        <v>28</v>
      </c>
      <c r="Y277" s="621" t="s">
        <v>178</v>
      </c>
      <c r="Z277" s="621" t="s">
        <v>178</v>
      </c>
      <c r="AA277" s="622">
        <v>20990</v>
      </c>
      <c r="AB277" s="622" t="s">
        <v>164</v>
      </c>
      <c r="AC277" s="622">
        <v>19500</v>
      </c>
      <c r="AD277" s="623">
        <v>0.01</v>
      </c>
      <c r="AE277" s="621" t="s">
        <v>953</v>
      </c>
    </row>
    <row r="278" spans="1:31" s="572" customFormat="1">
      <c r="A278" s="570" t="s">
        <v>956</v>
      </c>
      <c r="B278" s="573" t="s">
        <v>287</v>
      </c>
      <c r="C278" s="578">
        <v>26</v>
      </c>
      <c r="D278" s="573" t="s">
        <v>699</v>
      </c>
      <c r="E278" s="573" t="s">
        <v>211</v>
      </c>
      <c r="F278" s="573" t="s">
        <v>271</v>
      </c>
      <c r="G278" s="573">
        <v>2019</v>
      </c>
      <c r="H278" s="573" t="s">
        <v>935</v>
      </c>
      <c r="I278" s="573" t="s">
        <v>273</v>
      </c>
      <c r="J278" s="573" t="s">
        <v>156</v>
      </c>
      <c r="K278" s="573">
        <v>5</v>
      </c>
      <c r="L278" s="573">
        <v>0</v>
      </c>
      <c r="M278" s="573" t="s">
        <v>157</v>
      </c>
      <c r="N278" s="573">
        <v>2</v>
      </c>
      <c r="O278" s="573" t="s">
        <v>157</v>
      </c>
      <c r="P278" s="571" t="s">
        <v>157</v>
      </c>
      <c r="Q278" s="573" t="s">
        <v>949</v>
      </c>
      <c r="R278" s="573">
        <v>3</v>
      </c>
      <c r="S278" s="582" t="s">
        <v>950</v>
      </c>
      <c r="T278" s="573" t="s">
        <v>276</v>
      </c>
      <c r="U278" s="573">
        <v>99.2</v>
      </c>
      <c r="V278" s="573">
        <v>13.6</v>
      </c>
      <c r="W278" s="616">
        <v>4095</v>
      </c>
      <c r="X278" s="617">
        <v>28</v>
      </c>
      <c r="Y278" s="617" t="s">
        <v>178</v>
      </c>
      <c r="Z278" s="617" t="s">
        <v>178</v>
      </c>
      <c r="AA278" s="618">
        <v>20990</v>
      </c>
      <c r="AB278" s="618" t="s">
        <v>164</v>
      </c>
      <c r="AC278" s="618">
        <v>20012</v>
      </c>
      <c r="AD278" s="619">
        <v>0.05</v>
      </c>
      <c r="AE278" s="617" t="s">
        <v>948</v>
      </c>
    </row>
    <row r="279" spans="1:31" s="572" customFormat="1">
      <c r="A279" s="570" t="s">
        <v>958</v>
      </c>
      <c r="B279" s="569" t="s">
        <v>280</v>
      </c>
      <c r="C279" s="580">
        <v>27</v>
      </c>
      <c r="D279" s="569" t="s">
        <v>699</v>
      </c>
      <c r="E279" s="569" t="s">
        <v>211</v>
      </c>
      <c r="F279" s="569" t="s">
        <v>271</v>
      </c>
      <c r="G279" s="569">
        <v>2019</v>
      </c>
      <c r="H279" s="569" t="s">
        <v>935</v>
      </c>
      <c r="I279" s="569" t="s">
        <v>273</v>
      </c>
      <c r="J279" s="569" t="s">
        <v>156</v>
      </c>
      <c r="K279" s="569">
        <v>5</v>
      </c>
      <c r="L279" s="569">
        <v>0</v>
      </c>
      <c r="M279" s="569" t="s">
        <v>157</v>
      </c>
      <c r="N279" s="569">
        <v>2</v>
      </c>
      <c r="O279" s="569" t="s">
        <v>157</v>
      </c>
      <c r="P279" s="568" t="s">
        <v>157</v>
      </c>
      <c r="Q279" s="569" t="s">
        <v>949</v>
      </c>
      <c r="R279" s="569">
        <v>3</v>
      </c>
      <c r="S279" s="569" t="s">
        <v>950</v>
      </c>
      <c r="T279" s="569" t="s">
        <v>276</v>
      </c>
      <c r="U279" s="569">
        <v>99.2</v>
      </c>
      <c r="V279" s="569">
        <v>13.6</v>
      </c>
      <c r="W279" s="620">
        <v>4095</v>
      </c>
      <c r="X279" s="621">
        <v>28</v>
      </c>
      <c r="Y279" s="621" t="s">
        <v>178</v>
      </c>
      <c r="Z279" s="621" t="s">
        <v>178</v>
      </c>
      <c r="AA279" s="622">
        <v>20990</v>
      </c>
      <c r="AB279" s="622" t="s">
        <v>164</v>
      </c>
      <c r="AC279" s="622">
        <v>19325.708333333336</v>
      </c>
      <c r="AD279" s="623">
        <v>0.03</v>
      </c>
      <c r="AE279" s="621" t="s">
        <v>948</v>
      </c>
    </row>
    <row r="280" spans="1:31" s="572" customFormat="1">
      <c r="A280" s="570" t="s">
        <v>960</v>
      </c>
      <c r="B280" s="573" t="s">
        <v>269</v>
      </c>
      <c r="C280" s="578" t="s">
        <v>270</v>
      </c>
      <c r="D280" s="573" t="s">
        <v>699</v>
      </c>
      <c r="E280" s="573" t="s">
        <v>211</v>
      </c>
      <c r="F280" s="573" t="s">
        <v>271</v>
      </c>
      <c r="G280" s="573">
        <v>2019</v>
      </c>
      <c r="H280" s="573" t="s">
        <v>935</v>
      </c>
      <c r="I280" s="573" t="s">
        <v>330</v>
      </c>
      <c r="J280" s="573" t="s">
        <v>752</v>
      </c>
      <c r="K280" s="573">
        <v>5</v>
      </c>
      <c r="L280" s="573">
        <v>0</v>
      </c>
      <c r="M280" s="573" t="s">
        <v>157</v>
      </c>
      <c r="N280" s="573">
        <v>2</v>
      </c>
      <c r="O280" s="573" t="s">
        <v>157</v>
      </c>
      <c r="P280" s="571" t="s">
        <v>157</v>
      </c>
      <c r="Q280" s="573" t="s">
        <v>352</v>
      </c>
      <c r="R280" s="573">
        <v>4</v>
      </c>
      <c r="S280" s="582" t="s">
        <v>962</v>
      </c>
      <c r="T280" s="573" t="s">
        <v>295</v>
      </c>
      <c r="U280" s="573">
        <v>99.2</v>
      </c>
      <c r="V280" s="573">
        <v>13.6</v>
      </c>
      <c r="W280" s="616">
        <v>4408</v>
      </c>
      <c r="X280" s="617">
        <v>25</v>
      </c>
      <c r="Y280" s="617" t="s">
        <v>178</v>
      </c>
      <c r="Z280" s="617" t="s">
        <v>178</v>
      </c>
      <c r="AA280" s="618">
        <v>25645</v>
      </c>
      <c r="AB280" s="618" t="s">
        <v>164</v>
      </c>
      <c r="AC280" s="618">
        <v>23726.75</v>
      </c>
      <c r="AD280" s="619">
        <v>0.03</v>
      </c>
      <c r="AE280" s="617" t="s">
        <v>961</v>
      </c>
    </row>
    <row r="281" spans="1:31" s="572" customFormat="1">
      <c r="A281" s="570" t="s">
        <v>964</v>
      </c>
      <c r="B281" s="569" t="s">
        <v>280</v>
      </c>
      <c r="C281" s="580">
        <v>27</v>
      </c>
      <c r="D281" s="569" t="s">
        <v>699</v>
      </c>
      <c r="E281" s="569" t="s">
        <v>211</v>
      </c>
      <c r="F281" s="569" t="s">
        <v>271</v>
      </c>
      <c r="G281" s="569">
        <v>2019</v>
      </c>
      <c r="H281" s="569" t="s">
        <v>935</v>
      </c>
      <c r="I281" s="569" t="s">
        <v>330</v>
      </c>
      <c r="J281" s="569" t="s">
        <v>752</v>
      </c>
      <c r="K281" s="569">
        <v>5</v>
      </c>
      <c r="L281" s="569">
        <v>0</v>
      </c>
      <c r="M281" s="569" t="s">
        <v>157</v>
      </c>
      <c r="N281" s="569">
        <v>2</v>
      </c>
      <c r="O281" s="569" t="s">
        <v>157</v>
      </c>
      <c r="P281" s="568" t="s">
        <v>157</v>
      </c>
      <c r="Q281" s="569" t="s">
        <v>352</v>
      </c>
      <c r="R281" s="569">
        <v>4</v>
      </c>
      <c r="S281" s="569" t="s">
        <v>962</v>
      </c>
      <c r="T281" s="569" t="s">
        <v>295</v>
      </c>
      <c r="U281" s="569">
        <v>99.2</v>
      </c>
      <c r="V281" s="569">
        <v>13.6</v>
      </c>
      <c r="W281" s="620">
        <v>4408</v>
      </c>
      <c r="X281" s="621">
        <v>25</v>
      </c>
      <c r="Y281" s="621" t="s">
        <v>178</v>
      </c>
      <c r="Z281" s="621" t="s">
        <v>178</v>
      </c>
      <c r="AA281" s="622">
        <v>25645</v>
      </c>
      <c r="AB281" s="622" t="s">
        <v>164</v>
      </c>
      <c r="AC281" s="622">
        <v>23726.75</v>
      </c>
      <c r="AD281" s="623">
        <v>0.03</v>
      </c>
      <c r="AE281" s="621" t="s">
        <v>961</v>
      </c>
    </row>
    <row r="282" spans="1:31" s="572" customFormat="1">
      <c r="A282" s="570" t="s">
        <v>966</v>
      </c>
      <c r="B282" s="573" t="s">
        <v>278</v>
      </c>
      <c r="C282" s="578">
        <v>15</v>
      </c>
      <c r="D282" s="573" t="s">
        <v>699</v>
      </c>
      <c r="E282" s="573" t="s">
        <v>211</v>
      </c>
      <c r="F282" s="573" t="s">
        <v>271</v>
      </c>
      <c r="G282" s="573">
        <v>2019</v>
      </c>
      <c r="H282" s="573" t="s">
        <v>935</v>
      </c>
      <c r="I282" s="573" t="s">
        <v>330</v>
      </c>
      <c r="J282" s="573" t="s">
        <v>230</v>
      </c>
      <c r="K282" s="573">
        <v>5</v>
      </c>
      <c r="L282" s="573">
        <v>0</v>
      </c>
      <c r="M282" s="573" t="s">
        <v>157</v>
      </c>
      <c r="N282" s="573">
        <v>2</v>
      </c>
      <c r="O282" s="573" t="s">
        <v>157</v>
      </c>
      <c r="P282" s="571" t="s">
        <v>157</v>
      </c>
      <c r="Q282" s="573" t="s">
        <v>352</v>
      </c>
      <c r="R282" s="573">
        <v>4</v>
      </c>
      <c r="S282" s="582" t="s">
        <v>968</v>
      </c>
      <c r="T282" s="573" t="s">
        <v>295</v>
      </c>
      <c r="U282" s="573">
        <v>99.2</v>
      </c>
      <c r="V282" s="573">
        <v>13.6</v>
      </c>
      <c r="W282" s="616">
        <v>4408</v>
      </c>
      <c r="X282" s="617">
        <v>25</v>
      </c>
      <c r="Y282" s="617" t="s">
        <v>178</v>
      </c>
      <c r="Z282" s="617" t="s">
        <v>178</v>
      </c>
      <c r="AA282" s="618">
        <v>25645</v>
      </c>
      <c r="AB282" s="618" t="s">
        <v>164</v>
      </c>
      <c r="AC282" s="618">
        <v>23995</v>
      </c>
      <c r="AD282" s="619">
        <v>0.01</v>
      </c>
      <c r="AE282" s="617" t="s">
        <v>967</v>
      </c>
    </row>
    <row r="283" spans="1:31" s="572" customFormat="1">
      <c r="A283" s="570" t="s">
        <v>970</v>
      </c>
      <c r="B283" s="569" t="s">
        <v>287</v>
      </c>
      <c r="C283" s="580">
        <v>26</v>
      </c>
      <c r="D283" s="569" t="s">
        <v>699</v>
      </c>
      <c r="E283" s="569" t="s">
        <v>211</v>
      </c>
      <c r="F283" s="569" t="s">
        <v>271</v>
      </c>
      <c r="G283" s="569">
        <v>2019</v>
      </c>
      <c r="H283" s="569" t="s">
        <v>935</v>
      </c>
      <c r="I283" s="569" t="s">
        <v>330</v>
      </c>
      <c r="J283" s="569" t="s">
        <v>230</v>
      </c>
      <c r="K283" s="569">
        <v>5</v>
      </c>
      <c r="L283" s="569">
        <v>0</v>
      </c>
      <c r="M283" s="569" t="s">
        <v>157</v>
      </c>
      <c r="N283" s="569">
        <v>2</v>
      </c>
      <c r="O283" s="569" t="s">
        <v>157</v>
      </c>
      <c r="P283" s="568" t="s">
        <v>157</v>
      </c>
      <c r="Q283" s="569" t="s">
        <v>352</v>
      </c>
      <c r="R283" s="569">
        <v>4</v>
      </c>
      <c r="S283" s="569" t="s">
        <v>962</v>
      </c>
      <c r="T283" s="569" t="s">
        <v>295</v>
      </c>
      <c r="U283" s="569">
        <v>99.2</v>
      </c>
      <c r="V283" s="569">
        <v>13.6</v>
      </c>
      <c r="W283" s="620">
        <v>4408</v>
      </c>
      <c r="X283" s="621">
        <v>25</v>
      </c>
      <c r="Y283" s="621" t="s">
        <v>178</v>
      </c>
      <c r="Z283" s="621" t="s">
        <v>178</v>
      </c>
      <c r="AA283" s="622">
        <v>25645</v>
      </c>
      <c r="AB283" s="622" t="s">
        <v>164</v>
      </c>
      <c r="AC283" s="622">
        <v>24548</v>
      </c>
      <c r="AD283" s="623">
        <v>0.05</v>
      </c>
      <c r="AE283" s="621" t="s">
        <v>971</v>
      </c>
    </row>
    <row r="284" spans="1:31" s="572" customFormat="1">
      <c r="A284" s="570" t="s">
        <v>973</v>
      </c>
      <c r="B284" s="573" t="s">
        <v>269</v>
      </c>
      <c r="C284" s="578" t="s">
        <v>270</v>
      </c>
      <c r="D284" s="573" t="s">
        <v>699</v>
      </c>
      <c r="E284" s="573" t="s">
        <v>211</v>
      </c>
      <c r="F284" s="573" t="s">
        <v>271</v>
      </c>
      <c r="G284" s="573">
        <v>2019</v>
      </c>
      <c r="H284" s="573" t="s">
        <v>935</v>
      </c>
      <c r="I284" s="573" t="s">
        <v>330</v>
      </c>
      <c r="J284" s="573" t="s">
        <v>156</v>
      </c>
      <c r="K284" s="573">
        <v>5</v>
      </c>
      <c r="L284" s="573">
        <v>0</v>
      </c>
      <c r="M284" s="573" t="s">
        <v>157</v>
      </c>
      <c r="N284" s="573">
        <v>2</v>
      </c>
      <c r="O284" s="573" t="s">
        <v>157</v>
      </c>
      <c r="P284" s="571" t="s">
        <v>157</v>
      </c>
      <c r="Q284" s="573" t="s">
        <v>949</v>
      </c>
      <c r="R284" s="573">
        <v>3</v>
      </c>
      <c r="S284" s="582" t="s">
        <v>975</v>
      </c>
      <c r="T284" s="573" t="s">
        <v>295</v>
      </c>
      <c r="U284" s="573">
        <v>99.2</v>
      </c>
      <c r="V284" s="573">
        <v>13.6</v>
      </c>
      <c r="W284" s="616">
        <v>4155</v>
      </c>
      <c r="X284" s="617">
        <v>28</v>
      </c>
      <c r="Y284" s="617" t="s">
        <v>178</v>
      </c>
      <c r="Z284" s="617" t="s">
        <v>178</v>
      </c>
      <c r="AA284" s="618">
        <v>24145</v>
      </c>
      <c r="AB284" s="618" t="s">
        <v>164</v>
      </c>
      <c r="AC284" s="618">
        <v>22308</v>
      </c>
      <c r="AD284" s="619">
        <v>0.03</v>
      </c>
      <c r="AE284" s="617" t="s">
        <v>974</v>
      </c>
    </row>
    <row r="285" spans="1:31" s="572" customFormat="1">
      <c r="A285" s="570" t="s">
        <v>977</v>
      </c>
      <c r="B285" s="569" t="s">
        <v>278</v>
      </c>
      <c r="C285" s="580">
        <v>15</v>
      </c>
      <c r="D285" s="569" t="s">
        <v>699</v>
      </c>
      <c r="E285" s="569" t="s">
        <v>211</v>
      </c>
      <c r="F285" s="569" t="s">
        <v>271</v>
      </c>
      <c r="G285" s="569">
        <v>2019</v>
      </c>
      <c r="H285" s="569" t="s">
        <v>935</v>
      </c>
      <c r="I285" s="569" t="s">
        <v>330</v>
      </c>
      <c r="J285" s="569" t="s">
        <v>156</v>
      </c>
      <c r="K285" s="569">
        <v>5</v>
      </c>
      <c r="L285" s="569">
        <v>0</v>
      </c>
      <c r="M285" s="569" t="s">
        <v>157</v>
      </c>
      <c r="N285" s="569">
        <v>2</v>
      </c>
      <c r="O285" s="569" t="s">
        <v>157</v>
      </c>
      <c r="P285" s="568" t="s">
        <v>157</v>
      </c>
      <c r="Q285" s="569" t="s">
        <v>949</v>
      </c>
      <c r="R285" s="569">
        <v>3</v>
      </c>
      <c r="S285" s="569" t="s">
        <v>979</v>
      </c>
      <c r="T285" s="569" t="s">
        <v>295</v>
      </c>
      <c r="U285" s="569">
        <v>99.2</v>
      </c>
      <c r="V285" s="569">
        <v>13.6</v>
      </c>
      <c r="W285" s="620">
        <v>4155</v>
      </c>
      <c r="X285" s="621">
        <v>28</v>
      </c>
      <c r="Y285" s="621" t="s">
        <v>178</v>
      </c>
      <c r="Z285" s="621" t="s">
        <v>178</v>
      </c>
      <c r="AA285" s="622">
        <v>24145</v>
      </c>
      <c r="AB285" s="622" t="s">
        <v>164</v>
      </c>
      <c r="AC285" s="622">
        <v>22500</v>
      </c>
      <c r="AD285" s="623">
        <v>0.01</v>
      </c>
      <c r="AE285" s="621" t="s">
        <v>978</v>
      </c>
    </row>
    <row r="286" spans="1:31" s="572" customFormat="1">
      <c r="A286" s="570" t="s">
        <v>981</v>
      </c>
      <c r="B286" s="573" t="s">
        <v>287</v>
      </c>
      <c r="C286" s="578">
        <v>26</v>
      </c>
      <c r="D286" s="573" t="s">
        <v>699</v>
      </c>
      <c r="E286" s="573" t="s">
        <v>211</v>
      </c>
      <c r="F286" s="573" t="s">
        <v>271</v>
      </c>
      <c r="G286" s="573">
        <v>2019</v>
      </c>
      <c r="H286" s="573" t="s">
        <v>935</v>
      </c>
      <c r="I286" s="573" t="s">
        <v>330</v>
      </c>
      <c r="J286" s="573" t="s">
        <v>156</v>
      </c>
      <c r="K286" s="573">
        <v>5</v>
      </c>
      <c r="L286" s="573">
        <v>0</v>
      </c>
      <c r="M286" s="573" t="s">
        <v>157</v>
      </c>
      <c r="N286" s="573">
        <v>2</v>
      </c>
      <c r="O286" s="573" t="s">
        <v>157</v>
      </c>
      <c r="P286" s="571" t="s">
        <v>157</v>
      </c>
      <c r="Q286" s="573" t="s">
        <v>949</v>
      </c>
      <c r="R286" s="573">
        <v>3</v>
      </c>
      <c r="S286" s="582" t="s">
        <v>975</v>
      </c>
      <c r="T286" s="573" t="s">
        <v>295</v>
      </c>
      <c r="U286" s="573">
        <v>99.2</v>
      </c>
      <c r="V286" s="573">
        <v>13.6</v>
      </c>
      <c r="W286" s="616">
        <v>4155</v>
      </c>
      <c r="X286" s="617">
        <v>28</v>
      </c>
      <c r="Y286" s="617" t="s">
        <v>178</v>
      </c>
      <c r="Z286" s="617" t="s">
        <v>178</v>
      </c>
      <c r="AA286" s="618">
        <v>24145</v>
      </c>
      <c r="AB286" s="618" t="s">
        <v>164</v>
      </c>
      <c r="AC286" s="618">
        <v>23086</v>
      </c>
      <c r="AD286" s="619">
        <v>0.05</v>
      </c>
      <c r="AE286" s="617" t="s">
        <v>974</v>
      </c>
    </row>
    <row r="287" spans="1:31" s="572" customFormat="1">
      <c r="A287" s="570" t="s">
        <v>983</v>
      </c>
      <c r="B287" s="569" t="s">
        <v>280</v>
      </c>
      <c r="C287" s="580">
        <v>27</v>
      </c>
      <c r="D287" s="569" t="s">
        <v>699</v>
      </c>
      <c r="E287" s="569" t="s">
        <v>211</v>
      </c>
      <c r="F287" s="569" t="s">
        <v>271</v>
      </c>
      <c r="G287" s="569">
        <v>2019</v>
      </c>
      <c r="H287" s="569" t="s">
        <v>935</v>
      </c>
      <c r="I287" s="569" t="s">
        <v>330</v>
      </c>
      <c r="J287" s="569" t="s">
        <v>156</v>
      </c>
      <c r="K287" s="569">
        <v>5</v>
      </c>
      <c r="L287" s="569">
        <v>0</v>
      </c>
      <c r="M287" s="569" t="s">
        <v>157</v>
      </c>
      <c r="N287" s="569">
        <v>2</v>
      </c>
      <c r="O287" s="569" t="s">
        <v>157</v>
      </c>
      <c r="P287" s="568" t="s">
        <v>157</v>
      </c>
      <c r="Q287" s="569" t="s">
        <v>949</v>
      </c>
      <c r="R287" s="569">
        <v>3</v>
      </c>
      <c r="S287" s="569" t="s">
        <v>975</v>
      </c>
      <c r="T287" s="569" t="s">
        <v>295</v>
      </c>
      <c r="U287" s="569">
        <v>99.2</v>
      </c>
      <c r="V287" s="569">
        <v>13.6</v>
      </c>
      <c r="W287" s="620">
        <v>4155</v>
      </c>
      <c r="X287" s="621">
        <v>28</v>
      </c>
      <c r="Y287" s="621" t="s">
        <v>178</v>
      </c>
      <c r="Z287" s="621" t="s">
        <v>178</v>
      </c>
      <c r="AA287" s="622">
        <v>24145</v>
      </c>
      <c r="AB287" s="622" t="s">
        <v>164</v>
      </c>
      <c r="AC287" s="622">
        <v>22308</v>
      </c>
      <c r="AD287" s="623">
        <v>0.03</v>
      </c>
      <c r="AE287" s="621" t="s">
        <v>974</v>
      </c>
    </row>
    <row r="288" spans="1:31" s="572" customFormat="1">
      <c r="A288" s="570" t="s">
        <v>985</v>
      </c>
      <c r="B288" s="573" t="s">
        <v>269</v>
      </c>
      <c r="C288" s="578" t="s">
        <v>270</v>
      </c>
      <c r="D288" s="573" t="s">
        <v>699</v>
      </c>
      <c r="E288" s="573" t="s">
        <v>211</v>
      </c>
      <c r="F288" s="573" t="s">
        <v>271</v>
      </c>
      <c r="G288" s="573">
        <v>2019</v>
      </c>
      <c r="H288" s="573" t="s">
        <v>935</v>
      </c>
      <c r="I288" s="573" t="s">
        <v>987</v>
      </c>
      <c r="J288" s="573" t="s">
        <v>752</v>
      </c>
      <c r="K288" s="573">
        <v>5</v>
      </c>
      <c r="L288" s="573">
        <v>0</v>
      </c>
      <c r="M288" s="573" t="s">
        <v>157</v>
      </c>
      <c r="N288" s="573">
        <v>2</v>
      </c>
      <c r="O288" s="573" t="s">
        <v>157</v>
      </c>
      <c r="P288" s="571" t="s">
        <v>157</v>
      </c>
      <c r="Q288" s="573" t="s">
        <v>352</v>
      </c>
      <c r="R288" s="573">
        <v>4</v>
      </c>
      <c r="S288" s="582" t="s">
        <v>988</v>
      </c>
      <c r="T288" s="573" t="s">
        <v>318</v>
      </c>
      <c r="U288" s="573">
        <v>99.2</v>
      </c>
      <c r="V288" s="573">
        <v>13.6</v>
      </c>
      <c r="W288" s="616">
        <v>4408</v>
      </c>
      <c r="X288" s="617">
        <v>25</v>
      </c>
      <c r="Y288" s="617" t="s">
        <v>178</v>
      </c>
      <c r="Z288" s="617" t="s">
        <v>178</v>
      </c>
      <c r="AA288" s="618">
        <v>28270</v>
      </c>
      <c r="AB288" s="618" t="s">
        <v>164</v>
      </c>
      <c r="AC288" s="618">
        <v>26207.645833333336</v>
      </c>
      <c r="AD288" s="619">
        <v>0.03</v>
      </c>
      <c r="AE288" s="617" t="s">
        <v>986</v>
      </c>
    </row>
    <row r="289" spans="1:31" s="572" customFormat="1">
      <c r="A289" s="570" t="s">
        <v>990</v>
      </c>
      <c r="B289" s="569" t="s">
        <v>280</v>
      </c>
      <c r="C289" s="580">
        <v>27</v>
      </c>
      <c r="D289" s="569" t="s">
        <v>699</v>
      </c>
      <c r="E289" s="569" t="s">
        <v>211</v>
      </c>
      <c r="F289" s="569" t="s">
        <v>271</v>
      </c>
      <c r="G289" s="569">
        <v>2019</v>
      </c>
      <c r="H289" s="569" t="s">
        <v>935</v>
      </c>
      <c r="I289" s="569" t="s">
        <v>987</v>
      </c>
      <c r="J289" s="569" t="s">
        <v>752</v>
      </c>
      <c r="K289" s="569">
        <v>5</v>
      </c>
      <c r="L289" s="569">
        <v>0</v>
      </c>
      <c r="M289" s="569" t="s">
        <v>157</v>
      </c>
      <c r="N289" s="569">
        <v>2</v>
      </c>
      <c r="O289" s="569" t="s">
        <v>157</v>
      </c>
      <c r="P289" s="568" t="s">
        <v>157</v>
      </c>
      <c r="Q289" s="569" t="s">
        <v>352</v>
      </c>
      <c r="R289" s="569">
        <v>4</v>
      </c>
      <c r="S289" s="569" t="s">
        <v>988</v>
      </c>
      <c r="T289" s="569" t="s">
        <v>318</v>
      </c>
      <c r="U289" s="569">
        <v>99.2</v>
      </c>
      <c r="V289" s="569">
        <v>13.6</v>
      </c>
      <c r="W289" s="620">
        <v>4408</v>
      </c>
      <c r="X289" s="621">
        <v>25</v>
      </c>
      <c r="Y289" s="621" t="s">
        <v>178</v>
      </c>
      <c r="Z289" s="621" t="s">
        <v>178</v>
      </c>
      <c r="AA289" s="622">
        <v>28270</v>
      </c>
      <c r="AB289" s="622" t="s">
        <v>164</v>
      </c>
      <c r="AC289" s="622">
        <v>26207.645833333336</v>
      </c>
      <c r="AD289" s="623">
        <v>0.03</v>
      </c>
      <c r="AE289" s="621" t="s">
        <v>986</v>
      </c>
    </row>
    <row r="290" spans="1:31" s="572" customFormat="1">
      <c r="A290" s="570" t="s">
        <v>992</v>
      </c>
      <c r="B290" s="573" t="s">
        <v>278</v>
      </c>
      <c r="C290" s="578">
        <v>15</v>
      </c>
      <c r="D290" s="573" t="s">
        <v>699</v>
      </c>
      <c r="E290" s="573" t="s">
        <v>211</v>
      </c>
      <c r="F290" s="573" t="s">
        <v>271</v>
      </c>
      <c r="G290" s="573">
        <v>2019</v>
      </c>
      <c r="H290" s="573" t="s">
        <v>935</v>
      </c>
      <c r="I290" s="573" t="s">
        <v>987</v>
      </c>
      <c r="J290" s="573" t="s">
        <v>230</v>
      </c>
      <c r="K290" s="573">
        <v>5</v>
      </c>
      <c r="L290" s="573">
        <v>0</v>
      </c>
      <c r="M290" s="573" t="s">
        <v>157</v>
      </c>
      <c r="N290" s="573">
        <v>2</v>
      </c>
      <c r="O290" s="573" t="s">
        <v>157</v>
      </c>
      <c r="P290" s="571" t="s">
        <v>157</v>
      </c>
      <c r="Q290" s="573" t="s">
        <v>352</v>
      </c>
      <c r="R290" s="573">
        <v>4</v>
      </c>
      <c r="S290" s="582" t="s">
        <v>994</v>
      </c>
      <c r="T290" s="573" t="s">
        <v>318</v>
      </c>
      <c r="U290" s="573">
        <v>99.2</v>
      </c>
      <c r="V290" s="573">
        <v>13.6</v>
      </c>
      <c r="W290" s="616">
        <v>4408</v>
      </c>
      <c r="X290" s="617">
        <v>25</v>
      </c>
      <c r="Y290" s="617" t="s">
        <v>178</v>
      </c>
      <c r="Z290" s="617" t="s">
        <v>178</v>
      </c>
      <c r="AA290" s="618">
        <v>27275</v>
      </c>
      <c r="AB290" s="618" t="s">
        <v>164</v>
      </c>
      <c r="AC290" s="618">
        <v>26500</v>
      </c>
      <c r="AD290" s="619">
        <v>0.01</v>
      </c>
      <c r="AE290" s="617" t="s">
        <v>993</v>
      </c>
    </row>
    <row r="291" spans="1:31" s="572" customFormat="1">
      <c r="A291" s="570" t="s">
        <v>996</v>
      </c>
      <c r="B291" s="569" t="s">
        <v>287</v>
      </c>
      <c r="C291" s="580">
        <v>26</v>
      </c>
      <c r="D291" s="569" t="s">
        <v>699</v>
      </c>
      <c r="E291" s="569" t="s">
        <v>211</v>
      </c>
      <c r="F291" s="569" t="s">
        <v>271</v>
      </c>
      <c r="G291" s="569">
        <v>2019</v>
      </c>
      <c r="H291" s="569" t="s">
        <v>935</v>
      </c>
      <c r="I291" s="569" t="s">
        <v>987</v>
      </c>
      <c r="J291" s="569" t="s">
        <v>230</v>
      </c>
      <c r="K291" s="569">
        <v>5</v>
      </c>
      <c r="L291" s="569">
        <v>0</v>
      </c>
      <c r="M291" s="569" t="s">
        <v>157</v>
      </c>
      <c r="N291" s="569">
        <v>2</v>
      </c>
      <c r="O291" s="569" t="s">
        <v>157</v>
      </c>
      <c r="P291" s="568" t="s">
        <v>157</v>
      </c>
      <c r="Q291" s="569" t="s">
        <v>352</v>
      </c>
      <c r="R291" s="569">
        <v>4</v>
      </c>
      <c r="S291" s="569" t="s">
        <v>988</v>
      </c>
      <c r="T291" s="569" t="s">
        <v>318</v>
      </c>
      <c r="U291" s="569">
        <v>99.2</v>
      </c>
      <c r="V291" s="569">
        <v>13.6</v>
      </c>
      <c r="W291" s="620">
        <v>4408</v>
      </c>
      <c r="X291" s="621">
        <v>25</v>
      </c>
      <c r="Y291" s="621" t="s">
        <v>178</v>
      </c>
      <c r="Z291" s="621" t="s">
        <v>178</v>
      </c>
      <c r="AA291" s="622">
        <v>28270</v>
      </c>
      <c r="AB291" s="622" t="s">
        <v>164</v>
      </c>
      <c r="AC291" s="622">
        <v>27275</v>
      </c>
      <c r="AD291" s="623">
        <v>0.05</v>
      </c>
      <c r="AE291" s="621" t="s">
        <v>997</v>
      </c>
    </row>
    <row r="292" spans="1:31" s="572" customFormat="1">
      <c r="A292" s="570" t="s">
        <v>999</v>
      </c>
      <c r="B292" s="573" t="s">
        <v>269</v>
      </c>
      <c r="C292" s="578" t="s">
        <v>270</v>
      </c>
      <c r="D292" s="573" t="s">
        <v>699</v>
      </c>
      <c r="E292" s="573" t="s">
        <v>211</v>
      </c>
      <c r="F292" s="573" t="s">
        <v>271</v>
      </c>
      <c r="G292" s="573">
        <v>2019</v>
      </c>
      <c r="H292" s="573" t="s">
        <v>935</v>
      </c>
      <c r="I292" s="573" t="s">
        <v>418</v>
      </c>
      <c r="J292" s="573" t="s">
        <v>752</v>
      </c>
      <c r="K292" s="573">
        <v>5</v>
      </c>
      <c r="L292" s="573">
        <v>0</v>
      </c>
      <c r="M292" s="573" t="s">
        <v>157</v>
      </c>
      <c r="N292" s="573">
        <v>2</v>
      </c>
      <c r="O292" s="573" t="s">
        <v>157</v>
      </c>
      <c r="P292" s="571" t="s">
        <v>157</v>
      </c>
      <c r="Q292" s="573" t="s">
        <v>352</v>
      </c>
      <c r="R292" s="573">
        <v>4</v>
      </c>
      <c r="S292" s="582" t="s">
        <v>1001</v>
      </c>
      <c r="T292" s="573" t="s">
        <v>310</v>
      </c>
      <c r="U292" s="573">
        <v>99.2</v>
      </c>
      <c r="V292" s="573">
        <v>13.6</v>
      </c>
      <c r="W292" s="616">
        <v>4408</v>
      </c>
      <c r="X292" s="617">
        <v>28</v>
      </c>
      <c r="Y292" s="617" t="s">
        <v>178</v>
      </c>
      <c r="Z292" s="617" t="s">
        <v>178</v>
      </c>
      <c r="AA292" s="618">
        <v>28605</v>
      </c>
      <c r="AB292" s="618" t="s">
        <v>164</v>
      </c>
      <c r="AC292" s="618">
        <v>26524.666666666668</v>
      </c>
      <c r="AD292" s="619">
        <v>0.03</v>
      </c>
      <c r="AE292" s="617" t="s">
        <v>1000</v>
      </c>
    </row>
    <row r="293" spans="1:31" s="572" customFormat="1">
      <c r="A293" s="570" t="s">
        <v>1003</v>
      </c>
      <c r="B293" s="569" t="s">
        <v>280</v>
      </c>
      <c r="C293" s="580">
        <v>27</v>
      </c>
      <c r="D293" s="569" t="s">
        <v>699</v>
      </c>
      <c r="E293" s="569" t="s">
        <v>211</v>
      </c>
      <c r="F293" s="569" t="s">
        <v>271</v>
      </c>
      <c r="G293" s="569">
        <v>2019</v>
      </c>
      <c r="H293" s="569" t="s">
        <v>935</v>
      </c>
      <c r="I293" s="569" t="s">
        <v>418</v>
      </c>
      <c r="J293" s="569" t="s">
        <v>752</v>
      </c>
      <c r="K293" s="569">
        <v>5</v>
      </c>
      <c r="L293" s="569">
        <v>0</v>
      </c>
      <c r="M293" s="569" t="s">
        <v>157</v>
      </c>
      <c r="N293" s="569">
        <v>2</v>
      </c>
      <c r="O293" s="569" t="s">
        <v>157</v>
      </c>
      <c r="P293" s="568" t="s">
        <v>157</v>
      </c>
      <c r="Q293" s="569" t="s">
        <v>352</v>
      </c>
      <c r="R293" s="569">
        <v>4</v>
      </c>
      <c r="S293" s="569" t="s">
        <v>1001</v>
      </c>
      <c r="T293" s="569" t="s">
        <v>310</v>
      </c>
      <c r="U293" s="569">
        <v>99.2</v>
      </c>
      <c r="V293" s="569">
        <v>13.6</v>
      </c>
      <c r="W293" s="620">
        <v>4408</v>
      </c>
      <c r="X293" s="621">
        <v>28</v>
      </c>
      <c r="Y293" s="621" t="s">
        <v>178</v>
      </c>
      <c r="Z293" s="621" t="s">
        <v>178</v>
      </c>
      <c r="AA293" s="622">
        <v>28605</v>
      </c>
      <c r="AB293" s="622" t="s">
        <v>164</v>
      </c>
      <c r="AC293" s="622">
        <v>26524.666666666668</v>
      </c>
      <c r="AD293" s="623">
        <v>0.03</v>
      </c>
      <c r="AE293" s="621" t="s">
        <v>1000</v>
      </c>
    </row>
    <row r="294" spans="1:31" s="572" customFormat="1">
      <c r="A294" s="570" t="s">
        <v>1005</v>
      </c>
      <c r="B294" s="573" t="s">
        <v>278</v>
      </c>
      <c r="C294" s="578">
        <v>15</v>
      </c>
      <c r="D294" s="573" t="s">
        <v>699</v>
      </c>
      <c r="E294" s="573" t="s">
        <v>211</v>
      </c>
      <c r="F294" s="573" t="s">
        <v>271</v>
      </c>
      <c r="G294" s="573">
        <v>2019</v>
      </c>
      <c r="H294" s="573" t="s">
        <v>935</v>
      </c>
      <c r="I294" s="573" t="s">
        <v>418</v>
      </c>
      <c r="J294" s="573" t="s">
        <v>230</v>
      </c>
      <c r="K294" s="573">
        <v>5</v>
      </c>
      <c r="L294" s="573">
        <v>0</v>
      </c>
      <c r="M294" s="573" t="s">
        <v>157</v>
      </c>
      <c r="N294" s="573">
        <v>2</v>
      </c>
      <c r="O294" s="573" t="s">
        <v>157</v>
      </c>
      <c r="P294" s="571" t="s">
        <v>157</v>
      </c>
      <c r="Q294" s="573" t="s">
        <v>352</v>
      </c>
      <c r="R294" s="573">
        <v>4</v>
      </c>
      <c r="S294" s="582" t="s">
        <v>1007</v>
      </c>
      <c r="T294" s="573" t="s">
        <v>310</v>
      </c>
      <c r="U294" s="573">
        <v>99.2</v>
      </c>
      <c r="V294" s="573">
        <v>13.6</v>
      </c>
      <c r="W294" s="616">
        <v>4408</v>
      </c>
      <c r="X294" s="617">
        <v>25</v>
      </c>
      <c r="Y294" s="617" t="s">
        <v>178</v>
      </c>
      <c r="Z294" s="617" t="s">
        <v>178</v>
      </c>
      <c r="AA294" s="618">
        <v>28605</v>
      </c>
      <c r="AB294" s="618" t="s">
        <v>164</v>
      </c>
      <c r="AC294" s="618">
        <v>26850</v>
      </c>
      <c r="AD294" s="619">
        <v>0.01</v>
      </c>
      <c r="AE294" s="617" t="s">
        <v>1006</v>
      </c>
    </row>
    <row r="295" spans="1:31" s="572" customFormat="1">
      <c r="A295" s="570" t="s">
        <v>1009</v>
      </c>
      <c r="B295" s="569" t="s">
        <v>287</v>
      </c>
      <c r="C295" s="580">
        <v>26</v>
      </c>
      <c r="D295" s="569" t="s">
        <v>699</v>
      </c>
      <c r="E295" s="569" t="s">
        <v>211</v>
      </c>
      <c r="F295" s="569" t="s">
        <v>271</v>
      </c>
      <c r="G295" s="569">
        <v>2019</v>
      </c>
      <c r="H295" s="569" t="s">
        <v>935</v>
      </c>
      <c r="I295" s="569" t="s">
        <v>418</v>
      </c>
      <c r="J295" s="569" t="s">
        <v>230</v>
      </c>
      <c r="K295" s="569">
        <v>5</v>
      </c>
      <c r="L295" s="569">
        <v>0</v>
      </c>
      <c r="M295" s="569" t="s">
        <v>157</v>
      </c>
      <c r="N295" s="569">
        <v>2</v>
      </c>
      <c r="O295" s="569" t="s">
        <v>157</v>
      </c>
      <c r="P295" s="568" t="s">
        <v>157</v>
      </c>
      <c r="Q295" s="569" t="s">
        <v>352</v>
      </c>
      <c r="R295" s="569">
        <v>4</v>
      </c>
      <c r="S295" s="569" t="s">
        <v>1001</v>
      </c>
      <c r="T295" s="569" t="s">
        <v>310</v>
      </c>
      <c r="U295" s="569">
        <v>99.2</v>
      </c>
      <c r="V295" s="569">
        <v>13.6</v>
      </c>
      <c r="W295" s="620">
        <v>4408</v>
      </c>
      <c r="X295" s="621">
        <v>25</v>
      </c>
      <c r="Y295" s="621" t="s">
        <v>178</v>
      </c>
      <c r="Z295" s="621" t="s">
        <v>178</v>
      </c>
      <c r="AA295" s="622">
        <v>28605</v>
      </c>
      <c r="AB295" s="622" t="s">
        <v>164</v>
      </c>
      <c r="AC295" s="622">
        <v>27430</v>
      </c>
      <c r="AD295" s="623">
        <v>0.05</v>
      </c>
      <c r="AE295" s="621" t="s">
        <v>1010</v>
      </c>
    </row>
    <row r="296" spans="1:31" s="572" customFormat="1">
      <c r="A296" s="570" t="s">
        <v>1012</v>
      </c>
      <c r="B296" s="573" t="s">
        <v>269</v>
      </c>
      <c r="C296" s="578" t="s">
        <v>270</v>
      </c>
      <c r="D296" s="573" t="s">
        <v>699</v>
      </c>
      <c r="E296" s="573" t="s">
        <v>211</v>
      </c>
      <c r="F296" s="573" t="s">
        <v>271</v>
      </c>
      <c r="G296" s="573">
        <v>2019</v>
      </c>
      <c r="H296" s="573" t="s">
        <v>935</v>
      </c>
      <c r="I296" s="573" t="s">
        <v>418</v>
      </c>
      <c r="J296" s="573" t="s">
        <v>156</v>
      </c>
      <c r="K296" s="573">
        <v>5</v>
      </c>
      <c r="L296" s="573">
        <v>0</v>
      </c>
      <c r="M296" s="573" t="s">
        <v>157</v>
      </c>
      <c r="N296" s="573">
        <v>2</v>
      </c>
      <c r="O296" s="573" t="s">
        <v>157</v>
      </c>
      <c r="P296" s="571" t="s">
        <v>157</v>
      </c>
      <c r="Q296" s="573" t="s">
        <v>949</v>
      </c>
      <c r="R296" s="573">
        <v>3</v>
      </c>
      <c r="S296" s="582" t="s">
        <v>1014</v>
      </c>
      <c r="T296" s="573" t="s">
        <v>310</v>
      </c>
      <c r="U296" s="573">
        <v>99.2</v>
      </c>
      <c r="V296" s="573">
        <v>13.6</v>
      </c>
      <c r="W296" s="616">
        <v>4155</v>
      </c>
      <c r="X296" s="617">
        <v>28</v>
      </c>
      <c r="Y296" s="617" t="s">
        <v>178</v>
      </c>
      <c r="Z296" s="617" t="s">
        <v>178</v>
      </c>
      <c r="AA296" s="618">
        <v>27155</v>
      </c>
      <c r="AB296" s="618" t="s">
        <v>164</v>
      </c>
      <c r="AC296" s="618">
        <v>25154.875</v>
      </c>
      <c r="AD296" s="619">
        <v>0.03</v>
      </c>
      <c r="AE296" s="617" t="s">
        <v>1013</v>
      </c>
    </row>
    <row r="297" spans="1:31" s="572" customFormat="1">
      <c r="A297" s="570" t="s">
        <v>1016</v>
      </c>
      <c r="B297" s="569" t="s">
        <v>278</v>
      </c>
      <c r="C297" s="580">
        <v>15</v>
      </c>
      <c r="D297" s="569" t="s">
        <v>699</v>
      </c>
      <c r="E297" s="569" t="s">
        <v>211</v>
      </c>
      <c r="F297" s="569" t="s">
        <v>271</v>
      </c>
      <c r="G297" s="569">
        <v>2019</v>
      </c>
      <c r="H297" s="569" t="s">
        <v>935</v>
      </c>
      <c r="I297" s="569" t="s">
        <v>418</v>
      </c>
      <c r="J297" s="569" t="s">
        <v>156</v>
      </c>
      <c r="K297" s="569">
        <v>5</v>
      </c>
      <c r="L297" s="569">
        <v>0</v>
      </c>
      <c r="M297" s="569" t="s">
        <v>157</v>
      </c>
      <c r="N297" s="569">
        <v>2</v>
      </c>
      <c r="O297" s="569" t="s">
        <v>157</v>
      </c>
      <c r="P297" s="568" t="s">
        <v>157</v>
      </c>
      <c r="Q297" s="569" t="s">
        <v>949</v>
      </c>
      <c r="R297" s="569">
        <v>3</v>
      </c>
      <c r="S297" s="569" t="s">
        <v>1018</v>
      </c>
      <c r="T297" s="569" t="s">
        <v>310</v>
      </c>
      <c r="U297" s="569">
        <v>99.2</v>
      </c>
      <c r="V297" s="569">
        <v>13.6</v>
      </c>
      <c r="W297" s="620">
        <v>4155</v>
      </c>
      <c r="X297" s="621">
        <v>28</v>
      </c>
      <c r="Y297" s="621" t="s">
        <v>178</v>
      </c>
      <c r="Z297" s="621" t="s">
        <v>178</v>
      </c>
      <c r="AA297" s="622">
        <v>27155</v>
      </c>
      <c r="AB297" s="622" t="s">
        <v>164</v>
      </c>
      <c r="AC297" s="622">
        <v>25450</v>
      </c>
      <c r="AD297" s="623">
        <v>0.01</v>
      </c>
      <c r="AE297" s="621" t="s">
        <v>1017</v>
      </c>
    </row>
    <row r="298" spans="1:31" s="572" customFormat="1">
      <c r="A298" s="570" t="s">
        <v>1020</v>
      </c>
      <c r="B298" s="573" t="s">
        <v>287</v>
      </c>
      <c r="C298" s="578">
        <v>26</v>
      </c>
      <c r="D298" s="573" t="s">
        <v>699</v>
      </c>
      <c r="E298" s="573" t="s">
        <v>211</v>
      </c>
      <c r="F298" s="573" t="s">
        <v>271</v>
      </c>
      <c r="G298" s="573">
        <v>2019</v>
      </c>
      <c r="H298" s="573" t="s">
        <v>935</v>
      </c>
      <c r="I298" s="573" t="s">
        <v>418</v>
      </c>
      <c r="J298" s="573" t="s">
        <v>156</v>
      </c>
      <c r="K298" s="573">
        <v>5</v>
      </c>
      <c r="L298" s="573">
        <v>0</v>
      </c>
      <c r="M298" s="573" t="s">
        <v>157</v>
      </c>
      <c r="N298" s="573">
        <v>2</v>
      </c>
      <c r="O298" s="573" t="s">
        <v>157</v>
      </c>
      <c r="P298" s="571" t="s">
        <v>157</v>
      </c>
      <c r="Q298" s="573" t="s">
        <v>949</v>
      </c>
      <c r="R298" s="573">
        <v>3</v>
      </c>
      <c r="S298" s="582" t="s">
        <v>1014</v>
      </c>
      <c r="T298" s="573" t="s">
        <v>310</v>
      </c>
      <c r="U298" s="573">
        <v>99.2</v>
      </c>
      <c r="V298" s="573">
        <v>13.6</v>
      </c>
      <c r="W298" s="616">
        <v>4155</v>
      </c>
      <c r="X298" s="617">
        <v>28</v>
      </c>
      <c r="Y298" s="617" t="s">
        <v>178</v>
      </c>
      <c r="Z298" s="617" t="s">
        <v>178</v>
      </c>
      <c r="AA298" s="618">
        <v>27155</v>
      </c>
      <c r="AB298" s="618" t="s">
        <v>164</v>
      </c>
      <c r="AC298" s="618">
        <v>26019</v>
      </c>
      <c r="AD298" s="619">
        <v>0.05</v>
      </c>
      <c r="AE298" s="617" t="s">
        <v>1013</v>
      </c>
    </row>
    <row r="299" spans="1:31" s="572" customFormat="1">
      <c r="A299" s="570" t="s">
        <v>1022</v>
      </c>
      <c r="B299" s="569" t="s">
        <v>280</v>
      </c>
      <c r="C299" s="580">
        <v>27</v>
      </c>
      <c r="D299" s="569" t="s">
        <v>699</v>
      </c>
      <c r="E299" s="569" t="s">
        <v>211</v>
      </c>
      <c r="F299" s="569" t="s">
        <v>271</v>
      </c>
      <c r="G299" s="569">
        <v>2019</v>
      </c>
      <c r="H299" s="569" t="s">
        <v>935</v>
      </c>
      <c r="I299" s="569" t="s">
        <v>418</v>
      </c>
      <c r="J299" s="569" t="s">
        <v>156</v>
      </c>
      <c r="K299" s="569">
        <v>5</v>
      </c>
      <c r="L299" s="569">
        <v>0</v>
      </c>
      <c r="M299" s="569" t="s">
        <v>157</v>
      </c>
      <c r="N299" s="569">
        <v>2</v>
      </c>
      <c r="O299" s="569" t="s">
        <v>157</v>
      </c>
      <c r="P299" s="568" t="s">
        <v>157</v>
      </c>
      <c r="Q299" s="569" t="s">
        <v>949</v>
      </c>
      <c r="R299" s="569">
        <v>3</v>
      </c>
      <c r="S299" s="569" t="s">
        <v>1014</v>
      </c>
      <c r="T299" s="569" t="s">
        <v>310</v>
      </c>
      <c r="U299" s="569">
        <v>99.2</v>
      </c>
      <c r="V299" s="569">
        <v>13.6</v>
      </c>
      <c r="W299" s="620">
        <v>4155</v>
      </c>
      <c r="X299" s="621">
        <v>28</v>
      </c>
      <c r="Y299" s="621" t="s">
        <v>178</v>
      </c>
      <c r="Z299" s="621" t="s">
        <v>178</v>
      </c>
      <c r="AA299" s="622">
        <v>27155</v>
      </c>
      <c r="AB299" s="622" t="s">
        <v>164</v>
      </c>
      <c r="AC299" s="622">
        <v>25154.875</v>
      </c>
      <c r="AD299" s="623">
        <v>0.03</v>
      </c>
      <c r="AE299" s="621" t="s">
        <v>1013</v>
      </c>
    </row>
    <row r="300" spans="1:31" s="572" customFormat="1">
      <c r="A300" s="570" t="s">
        <v>1024</v>
      </c>
      <c r="B300" s="573" t="s">
        <v>269</v>
      </c>
      <c r="C300" s="578" t="s">
        <v>270</v>
      </c>
      <c r="D300" s="573" t="s">
        <v>699</v>
      </c>
      <c r="E300" s="573" t="s">
        <v>196</v>
      </c>
      <c r="F300" s="573" t="s">
        <v>271</v>
      </c>
      <c r="G300" s="573">
        <v>2019</v>
      </c>
      <c r="H300" s="573" t="s">
        <v>1026</v>
      </c>
      <c r="I300" s="573" t="s">
        <v>330</v>
      </c>
      <c r="J300" s="573" t="s">
        <v>230</v>
      </c>
      <c r="K300" s="573">
        <v>5</v>
      </c>
      <c r="L300" s="573">
        <v>0</v>
      </c>
      <c r="M300" s="573" t="s">
        <v>157</v>
      </c>
      <c r="N300" s="573">
        <v>2</v>
      </c>
      <c r="O300" s="573" t="s">
        <v>157</v>
      </c>
      <c r="P300" s="571" t="s">
        <v>157</v>
      </c>
      <c r="Q300" s="573" t="s">
        <v>1027</v>
      </c>
      <c r="R300" s="573">
        <v>4</v>
      </c>
      <c r="S300" s="582" t="s">
        <v>1028</v>
      </c>
      <c r="T300" s="573" t="s">
        <v>276</v>
      </c>
      <c r="U300" s="573">
        <v>112.2</v>
      </c>
      <c r="V300" s="573">
        <v>18</v>
      </c>
      <c r="W300" s="616">
        <v>5340</v>
      </c>
      <c r="X300" s="617">
        <v>23</v>
      </c>
      <c r="Y300" s="617" t="s">
        <v>178</v>
      </c>
      <c r="Z300" s="617" t="s">
        <v>178</v>
      </c>
      <c r="AA300" s="618">
        <v>32985</v>
      </c>
      <c r="AB300" s="618" t="s">
        <v>164</v>
      </c>
      <c r="AC300" s="618">
        <v>29288.208333333336</v>
      </c>
      <c r="AD300" s="619">
        <v>0.03</v>
      </c>
      <c r="AE300" s="617" t="s">
        <v>1025</v>
      </c>
    </row>
    <row r="301" spans="1:31" s="572" customFormat="1">
      <c r="A301" s="570" t="s">
        <v>1030</v>
      </c>
      <c r="B301" s="569" t="s">
        <v>278</v>
      </c>
      <c r="C301" s="580">
        <v>15</v>
      </c>
      <c r="D301" s="569" t="s">
        <v>699</v>
      </c>
      <c r="E301" s="569" t="s">
        <v>196</v>
      </c>
      <c r="F301" s="569" t="s">
        <v>271</v>
      </c>
      <c r="G301" s="569">
        <v>2019</v>
      </c>
      <c r="H301" s="569" t="s">
        <v>1026</v>
      </c>
      <c r="I301" s="569" t="s">
        <v>330</v>
      </c>
      <c r="J301" s="569" t="s">
        <v>230</v>
      </c>
      <c r="K301" s="569">
        <v>5</v>
      </c>
      <c r="L301" s="569">
        <v>0</v>
      </c>
      <c r="M301" s="569" t="s">
        <v>157</v>
      </c>
      <c r="N301" s="569">
        <v>2</v>
      </c>
      <c r="O301" s="569" t="s">
        <v>157</v>
      </c>
      <c r="P301" s="568" t="s">
        <v>157</v>
      </c>
      <c r="Q301" s="569" t="s">
        <v>1027</v>
      </c>
      <c r="R301" s="569">
        <v>4</v>
      </c>
      <c r="S301" s="569" t="s">
        <v>1028</v>
      </c>
      <c r="T301" s="569" t="s">
        <v>276</v>
      </c>
      <c r="U301" s="569">
        <v>112.2</v>
      </c>
      <c r="V301" s="569">
        <v>18</v>
      </c>
      <c r="W301" s="620">
        <v>5340</v>
      </c>
      <c r="X301" s="621">
        <v>23</v>
      </c>
      <c r="Y301" s="621" t="s">
        <v>178</v>
      </c>
      <c r="Z301" s="621" t="s">
        <v>178</v>
      </c>
      <c r="AA301" s="622">
        <v>32985</v>
      </c>
      <c r="AB301" s="622" t="s">
        <v>164</v>
      </c>
      <c r="AC301" s="622">
        <v>29750</v>
      </c>
      <c r="AD301" s="623">
        <v>0.01</v>
      </c>
      <c r="AE301" s="621" t="s">
        <v>1025</v>
      </c>
    </row>
    <row r="302" spans="1:31" s="572" customFormat="1">
      <c r="A302" s="570" t="s">
        <v>1032</v>
      </c>
      <c r="B302" s="573" t="s">
        <v>287</v>
      </c>
      <c r="C302" s="578">
        <v>26</v>
      </c>
      <c r="D302" s="573" t="s">
        <v>699</v>
      </c>
      <c r="E302" s="573" t="s">
        <v>196</v>
      </c>
      <c r="F302" s="573" t="s">
        <v>271</v>
      </c>
      <c r="G302" s="573">
        <v>2019</v>
      </c>
      <c r="H302" s="573" t="s">
        <v>1026</v>
      </c>
      <c r="I302" s="573" t="s">
        <v>330</v>
      </c>
      <c r="J302" s="573" t="s">
        <v>230</v>
      </c>
      <c r="K302" s="573">
        <v>5</v>
      </c>
      <c r="L302" s="573">
        <v>0</v>
      </c>
      <c r="M302" s="573" t="s">
        <v>157</v>
      </c>
      <c r="N302" s="573">
        <v>2</v>
      </c>
      <c r="O302" s="573" t="s">
        <v>157</v>
      </c>
      <c r="P302" s="571" t="s">
        <v>157</v>
      </c>
      <c r="Q302" s="573" t="s">
        <v>1027</v>
      </c>
      <c r="R302" s="573">
        <v>4</v>
      </c>
      <c r="S302" s="582" t="s">
        <v>1028</v>
      </c>
      <c r="T302" s="573" t="s">
        <v>276</v>
      </c>
      <c r="U302" s="573">
        <v>112.2</v>
      </c>
      <c r="V302" s="573">
        <v>18</v>
      </c>
      <c r="W302" s="616">
        <v>5340</v>
      </c>
      <c r="X302" s="617">
        <v>23</v>
      </c>
      <c r="Y302" s="617" t="s">
        <v>178</v>
      </c>
      <c r="Z302" s="617" t="s">
        <v>178</v>
      </c>
      <c r="AA302" s="618">
        <v>32985</v>
      </c>
      <c r="AB302" s="618" t="s">
        <v>164</v>
      </c>
      <c r="AC302" s="618">
        <v>30280</v>
      </c>
      <c r="AD302" s="619">
        <v>0.05</v>
      </c>
      <c r="AE302" s="617" t="s">
        <v>1025</v>
      </c>
    </row>
    <row r="303" spans="1:31" s="572" customFormat="1">
      <c r="A303" s="570" t="s">
        <v>1034</v>
      </c>
      <c r="B303" s="569" t="s">
        <v>280</v>
      </c>
      <c r="C303" s="580">
        <v>27</v>
      </c>
      <c r="D303" s="569" t="s">
        <v>699</v>
      </c>
      <c r="E303" s="569" t="s">
        <v>196</v>
      </c>
      <c r="F303" s="569" t="s">
        <v>271</v>
      </c>
      <c r="G303" s="569">
        <v>2019</v>
      </c>
      <c r="H303" s="569" t="s">
        <v>1026</v>
      </c>
      <c r="I303" s="569" t="s">
        <v>330</v>
      </c>
      <c r="J303" s="569" t="s">
        <v>230</v>
      </c>
      <c r="K303" s="569">
        <v>5</v>
      </c>
      <c r="L303" s="569">
        <v>0</v>
      </c>
      <c r="M303" s="569" t="s">
        <v>157</v>
      </c>
      <c r="N303" s="569">
        <v>2</v>
      </c>
      <c r="O303" s="569" t="s">
        <v>157</v>
      </c>
      <c r="P303" s="568" t="s">
        <v>157</v>
      </c>
      <c r="Q303" s="569" t="s">
        <v>1027</v>
      </c>
      <c r="R303" s="569">
        <v>4</v>
      </c>
      <c r="S303" s="569" t="s">
        <v>1028</v>
      </c>
      <c r="T303" s="569" t="s">
        <v>276</v>
      </c>
      <c r="U303" s="569">
        <v>112.2</v>
      </c>
      <c r="V303" s="569">
        <v>18</v>
      </c>
      <c r="W303" s="620">
        <v>5340</v>
      </c>
      <c r="X303" s="621">
        <v>23</v>
      </c>
      <c r="Y303" s="621" t="s">
        <v>178</v>
      </c>
      <c r="Z303" s="621" t="s">
        <v>178</v>
      </c>
      <c r="AA303" s="622">
        <v>32985</v>
      </c>
      <c r="AB303" s="622" t="s">
        <v>164</v>
      </c>
      <c r="AC303" s="622">
        <v>29288.208333333336</v>
      </c>
      <c r="AD303" s="623">
        <v>0.03</v>
      </c>
      <c r="AE303" s="621" t="s">
        <v>1025</v>
      </c>
    </row>
    <row r="304" spans="1:31" s="572" customFormat="1">
      <c r="A304" s="570" t="s">
        <v>1035</v>
      </c>
      <c r="B304" s="573" t="s">
        <v>269</v>
      </c>
      <c r="C304" s="578" t="s">
        <v>270</v>
      </c>
      <c r="D304" s="573" t="s">
        <v>699</v>
      </c>
      <c r="E304" s="573" t="s">
        <v>196</v>
      </c>
      <c r="F304" s="573" t="s">
        <v>271</v>
      </c>
      <c r="G304" s="573">
        <v>2019</v>
      </c>
      <c r="H304" s="573" t="s">
        <v>1026</v>
      </c>
      <c r="I304" s="573" t="s">
        <v>330</v>
      </c>
      <c r="J304" s="573" t="s">
        <v>156</v>
      </c>
      <c r="K304" s="573">
        <v>5</v>
      </c>
      <c r="L304" s="573">
        <v>0</v>
      </c>
      <c r="M304" s="573" t="s">
        <v>157</v>
      </c>
      <c r="N304" s="573">
        <v>2</v>
      </c>
      <c r="O304" s="573" t="s">
        <v>157</v>
      </c>
      <c r="P304" s="571" t="s">
        <v>157</v>
      </c>
      <c r="Q304" s="573" t="s">
        <v>1027</v>
      </c>
      <c r="R304" s="573">
        <v>4</v>
      </c>
      <c r="S304" s="582" t="s">
        <v>1037</v>
      </c>
      <c r="T304" s="573" t="s">
        <v>276</v>
      </c>
      <c r="U304" s="573">
        <v>112.2</v>
      </c>
      <c r="V304" s="573">
        <v>18</v>
      </c>
      <c r="W304" s="616">
        <v>5320</v>
      </c>
      <c r="X304" s="617">
        <v>24</v>
      </c>
      <c r="Y304" s="617" t="s">
        <v>178</v>
      </c>
      <c r="Z304" s="617" t="s">
        <v>178</v>
      </c>
      <c r="AA304" s="618">
        <v>30990</v>
      </c>
      <c r="AB304" s="618" t="s">
        <v>164</v>
      </c>
      <c r="AC304" s="618">
        <v>27423.625</v>
      </c>
      <c r="AD304" s="619">
        <v>0.03</v>
      </c>
      <c r="AE304" s="617" t="s">
        <v>1036</v>
      </c>
    </row>
    <row r="305" spans="1:31" s="572" customFormat="1">
      <c r="A305" s="570" t="s">
        <v>1038</v>
      </c>
      <c r="B305" s="569" t="s">
        <v>278</v>
      </c>
      <c r="C305" s="580">
        <v>15</v>
      </c>
      <c r="D305" s="569" t="s">
        <v>699</v>
      </c>
      <c r="E305" s="569" t="s">
        <v>196</v>
      </c>
      <c r="F305" s="569" t="s">
        <v>271</v>
      </c>
      <c r="G305" s="569">
        <v>2019</v>
      </c>
      <c r="H305" s="569" t="s">
        <v>1026</v>
      </c>
      <c r="I305" s="569" t="s">
        <v>330</v>
      </c>
      <c r="J305" s="569" t="s">
        <v>156</v>
      </c>
      <c r="K305" s="569">
        <v>5</v>
      </c>
      <c r="L305" s="569">
        <v>0</v>
      </c>
      <c r="M305" s="569" t="s">
        <v>157</v>
      </c>
      <c r="N305" s="569">
        <v>2</v>
      </c>
      <c r="O305" s="569" t="s">
        <v>157</v>
      </c>
      <c r="P305" s="568" t="s">
        <v>157</v>
      </c>
      <c r="Q305" s="569" t="s">
        <v>1027</v>
      </c>
      <c r="R305" s="569">
        <v>4</v>
      </c>
      <c r="S305" s="569" t="s">
        <v>1037</v>
      </c>
      <c r="T305" s="569" t="s">
        <v>276</v>
      </c>
      <c r="U305" s="569">
        <v>112.2</v>
      </c>
      <c r="V305" s="569">
        <v>18</v>
      </c>
      <c r="W305" s="620">
        <v>5320</v>
      </c>
      <c r="X305" s="621">
        <v>24</v>
      </c>
      <c r="Y305" s="621" t="s">
        <v>178</v>
      </c>
      <c r="Z305" s="621" t="s">
        <v>178</v>
      </c>
      <c r="AA305" s="622">
        <v>30990</v>
      </c>
      <c r="AB305" s="622" t="s">
        <v>164</v>
      </c>
      <c r="AC305" s="622">
        <v>27750</v>
      </c>
      <c r="AD305" s="623">
        <v>0.01</v>
      </c>
      <c r="AE305" s="621" t="s">
        <v>1036</v>
      </c>
    </row>
    <row r="306" spans="1:31" s="572" customFormat="1">
      <c r="A306" s="570" t="s">
        <v>1039</v>
      </c>
      <c r="B306" s="573" t="s">
        <v>287</v>
      </c>
      <c r="C306" s="578">
        <v>26</v>
      </c>
      <c r="D306" s="573" t="s">
        <v>699</v>
      </c>
      <c r="E306" s="573" t="s">
        <v>196</v>
      </c>
      <c r="F306" s="573" t="s">
        <v>271</v>
      </c>
      <c r="G306" s="573">
        <v>2019</v>
      </c>
      <c r="H306" s="573" t="s">
        <v>1026</v>
      </c>
      <c r="I306" s="573" t="s">
        <v>330</v>
      </c>
      <c r="J306" s="573" t="s">
        <v>156</v>
      </c>
      <c r="K306" s="573">
        <v>5</v>
      </c>
      <c r="L306" s="573">
        <v>0</v>
      </c>
      <c r="M306" s="573" t="s">
        <v>157</v>
      </c>
      <c r="N306" s="573">
        <v>2</v>
      </c>
      <c r="O306" s="573" t="s">
        <v>157</v>
      </c>
      <c r="P306" s="571" t="s">
        <v>157</v>
      </c>
      <c r="Q306" s="573" t="s">
        <v>1027</v>
      </c>
      <c r="R306" s="573">
        <v>4</v>
      </c>
      <c r="S306" s="582" t="s">
        <v>1037</v>
      </c>
      <c r="T306" s="573" t="s">
        <v>276</v>
      </c>
      <c r="U306" s="573">
        <v>112.2</v>
      </c>
      <c r="V306" s="573">
        <v>18</v>
      </c>
      <c r="W306" s="616">
        <v>5320</v>
      </c>
      <c r="X306" s="617">
        <v>24</v>
      </c>
      <c r="Y306" s="617" t="s">
        <v>178</v>
      </c>
      <c r="Z306" s="617" t="s">
        <v>178</v>
      </c>
      <c r="AA306" s="618">
        <v>30990</v>
      </c>
      <c r="AB306" s="618" t="s">
        <v>164</v>
      </c>
      <c r="AC306" s="618">
        <v>28358</v>
      </c>
      <c r="AD306" s="619">
        <v>0.05</v>
      </c>
      <c r="AE306" s="617" t="s">
        <v>1036</v>
      </c>
    </row>
    <row r="307" spans="1:31" s="572" customFormat="1">
      <c r="A307" s="570" t="s">
        <v>1040</v>
      </c>
      <c r="B307" s="569" t="s">
        <v>280</v>
      </c>
      <c r="C307" s="580">
        <v>27</v>
      </c>
      <c r="D307" s="569" t="s">
        <v>699</v>
      </c>
      <c r="E307" s="569" t="s">
        <v>196</v>
      </c>
      <c r="F307" s="569" t="s">
        <v>271</v>
      </c>
      <c r="G307" s="569">
        <v>2019</v>
      </c>
      <c r="H307" s="569" t="s">
        <v>1026</v>
      </c>
      <c r="I307" s="569" t="s">
        <v>330</v>
      </c>
      <c r="J307" s="569" t="s">
        <v>156</v>
      </c>
      <c r="K307" s="569">
        <v>5</v>
      </c>
      <c r="L307" s="569">
        <v>0</v>
      </c>
      <c r="M307" s="569" t="s">
        <v>157</v>
      </c>
      <c r="N307" s="569">
        <v>2</v>
      </c>
      <c r="O307" s="569" t="s">
        <v>157</v>
      </c>
      <c r="P307" s="568" t="s">
        <v>157</v>
      </c>
      <c r="Q307" s="569" t="s">
        <v>1027</v>
      </c>
      <c r="R307" s="569">
        <v>4</v>
      </c>
      <c r="S307" s="569" t="s">
        <v>1037</v>
      </c>
      <c r="T307" s="569" t="s">
        <v>276</v>
      </c>
      <c r="U307" s="569">
        <v>112.2</v>
      </c>
      <c r="V307" s="569">
        <v>18</v>
      </c>
      <c r="W307" s="620">
        <v>5320</v>
      </c>
      <c r="X307" s="621">
        <v>24</v>
      </c>
      <c r="Y307" s="621" t="s">
        <v>178</v>
      </c>
      <c r="Z307" s="621" t="s">
        <v>178</v>
      </c>
      <c r="AA307" s="622">
        <v>30990</v>
      </c>
      <c r="AB307" s="622" t="s">
        <v>164</v>
      </c>
      <c r="AC307" s="622">
        <v>27423.625</v>
      </c>
      <c r="AD307" s="623">
        <v>0.03</v>
      </c>
      <c r="AE307" s="621" t="s">
        <v>1036</v>
      </c>
    </row>
    <row r="308" spans="1:31" s="572" customFormat="1">
      <c r="A308" s="570" t="s">
        <v>1041</v>
      </c>
      <c r="B308" s="573" t="s">
        <v>269</v>
      </c>
      <c r="C308" s="578" t="s">
        <v>270</v>
      </c>
      <c r="D308" s="573" t="s">
        <v>699</v>
      </c>
      <c r="E308" s="573" t="s">
        <v>196</v>
      </c>
      <c r="F308" s="573" t="s">
        <v>271</v>
      </c>
      <c r="G308" s="573">
        <v>2019</v>
      </c>
      <c r="H308" s="573" t="s">
        <v>1026</v>
      </c>
      <c r="I308" s="573" t="s">
        <v>337</v>
      </c>
      <c r="J308" s="573" t="s">
        <v>230</v>
      </c>
      <c r="K308" s="573">
        <v>5</v>
      </c>
      <c r="L308" s="573">
        <v>0</v>
      </c>
      <c r="M308" s="573" t="s">
        <v>157</v>
      </c>
      <c r="N308" s="573">
        <v>2</v>
      </c>
      <c r="O308" s="573" t="s">
        <v>157</v>
      </c>
      <c r="P308" s="571" t="s">
        <v>157</v>
      </c>
      <c r="Q308" s="573" t="s">
        <v>1043</v>
      </c>
      <c r="R308" s="573">
        <v>4</v>
      </c>
      <c r="S308" s="582" t="s">
        <v>1044</v>
      </c>
      <c r="T308" s="573" t="s">
        <v>295</v>
      </c>
      <c r="U308" s="573">
        <v>112.2</v>
      </c>
      <c r="V308" s="573">
        <v>18</v>
      </c>
      <c r="W308" s="616">
        <v>5340</v>
      </c>
      <c r="X308" s="617">
        <v>23</v>
      </c>
      <c r="Y308" s="617" t="s">
        <v>178</v>
      </c>
      <c r="Z308" s="617" t="s">
        <v>178</v>
      </c>
      <c r="AA308" s="618">
        <v>36080</v>
      </c>
      <c r="AB308" s="618" t="s">
        <v>164</v>
      </c>
      <c r="AC308" s="618">
        <v>31820.145833333336</v>
      </c>
      <c r="AD308" s="619">
        <v>0.03</v>
      </c>
      <c r="AE308" s="617" t="s">
        <v>1042</v>
      </c>
    </row>
    <row r="309" spans="1:31" s="572" customFormat="1">
      <c r="A309" s="570" t="s">
        <v>1045</v>
      </c>
      <c r="B309" s="569" t="s">
        <v>278</v>
      </c>
      <c r="C309" s="580">
        <v>15</v>
      </c>
      <c r="D309" s="569" t="s">
        <v>699</v>
      </c>
      <c r="E309" s="569" t="s">
        <v>196</v>
      </c>
      <c r="F309" s="569" t="s">
        <v>271</v>
      </c>
      <c r="G309" s="569">
        <v>2019</v>
      </c>
      <c r="H309" s="569" t="s">
        <v>1026</v>
      </c>
      <c r="I309" s="569" t="s">
        <v>337</v>
      </c>
      <c r="J309" s="569" t="s">
        <v>230</v>
      </c>
      <c r="K309" s="569">
        <v>5</v>
      </c>
      <c r="L309" s="569">
        <v>0</v>
      </c>
      <c r="M309" s="569" t="s">
        <v>157</v>
      </c>
      <c r="N309" s="569">
        <v>2</v>
      </c>
      <c r="O309" s="569" t="s">
        <v>157</v>
      </c>
      <c r="P309" s="568" t="s">
        <v>157</v>
      </c>
      <c r="Q309" s="569" t="s">
        <v>1043</v>
      </c>
      <c r="R309" s="569">
        <v>4</v>
      </c>
      <c r="S309" s="569" t="s">
        <v>1044</v>
      </c>
      <c r="T309" s="569" t="s">
        <v>295</v>
      </c>
      <c r="U309" s="569">
        <v>112.2</v>
      </c>
      <c r="V309" s="569">
        <v>18</v>
      </c>
      <c r="W309" s="620">
        <v>5340</v>
      </c>
      <c r="X309" s="621">
        <v>23</v>
      </c>
      <c r="Y309" s="621" t="s">
        <v>178</v>
      </c>
      <c r="Z309" s="621" t="s">
        <v>178</v>
      </c>
      <c r="AA309" s="622">
        <v>36080</v>
      </c>
      <c r="AB309" s="622" t="s">
        <v>164</v>
      </c>
      <c r="AC309" s="622">
        <v>32250</v>
      </c>
      <c r="AD309" s="623">
        <v>0.01</v>
      </c>
      <c r="AE309" s="621" t="s">
        <v>1042</v>
      </c>
    </row>
    <row r="310" spans="1:31" s="572" customFormat="1">
      <c r="A310" s="570" t="s">
        <v>1046</v>
      </c>
      <c r="B310" s="573" t="s">
        <v>287</v>
      </c>
      <c r="C310" s="578">
        <v>26</v>
      </c>
      <c r="D310" s="573" t="s">
        <v>699</v>
      </c>
      <c r="E310" s="573" t="s">
        <v>196</v>
      </c>
      <c r="F310" s="573" t="s">
        <v>271</v>
      </c>
      <c r="G310" s="573">
        <v>2019</v>
      </c>
      <c r="H310" s="573" t="s">
        <v>1026</v>
      </c>
      <c r="I310" s="573" t="s">
        <v>337</v>
      </c>
      <c r="J310" s="573" t="s">
        <v>230</v>
      </c>
      <c r="K310" s="573">
        <v>5</v>
      </c>
      <c r="L310" s="573">
        <v>0</v>
      </c>
      <c r="M310" s="573" t="s">
        <v>157</v>
      </c>
      <c r="N310" s="573">
        <v>2</v>
      </c>
      <c r="O310" s="573" t="s">
        <v>157</v>
      </c>
      <c r="P310" s="571" t="s">
        <v>157</v>
      </c>
      <c r="Q310" s="573" t="s">
        <v>1043</v>
      </c>
      <c r="R310" s="573">
        <v>4</v>
      </c>
      <c r="S310" s="582" t="s">
        <v>1044</v>
      </c>
      <c r="T310" s="573" t="s">
        <v>295</v>
      </c>
      <c r="U310" s="573">
        <v>112.2</v>
      </c>
      <c r="V310" s="573">
        <v>18</v>
      </c>
      <c r="W310" s="616">
        <v>5340</v>
      </c>
      <c r="X310" s="617">
        <v>23</v>
      </c>
      <c r="Y310" s="617" t="s">
        <v>178</v>
      </c>
      <c r="Z310" s="617" t="s">
        <v>178</v>
      </c>
      <c r="AA310" s="618">
        <v>36080</v>
      </c>
      <c r="AB310" s="618" t="s">
        <v>164</v>
      </c>
      <c r="AC310" s="618">
        <v>32775</v>
      </c>
      <c r="AD310" s="619">
        <v>0.05</v>
      </c>
      <c r="AE310" s="617" t="s">
        <v>1042</v>
      </c>
    </row>
    <row r="311" spans="1:31" s="572" customFormat="1">
      <c r="A311" s="570" t="s">
        <v>1047</v>
      </c>
      <c r="B311" s="569" t="s">
        <v>280</v>
      </c>
      <c r="C311" s="580">
        <v>27</v>
      </c>
      <c r="D311" s="569" t="s">
        <v>699</v>
      </c>
      <c r="E311" s="569" t="s">
        <v>196</v>
      </c>
      <c r="F311" s="569" t="s">
        <v>271</v>
      </c>
      <c r="G311" s="569">
        <v>2019</v>
      </c>
      <c r="H311" s="569" t="s">
        <v>1026</v>
      </c>
      <c r="I311" s="569" t="s">
        <v>337</v>
      </c>
      <c r="J311" s="569" t="s">
        <v>230</v>
      </c>
      <c r="K311" s="569">
        <v>5</v>
      </c>
      <c r="L311" s="569">
        <v>0</v>
      </c>
      <c r="M311" s="569" t="s">
        <v>157</v>
      </c>
      <c r="N311" s="569">
        <v>2</v>
      </c>
      <c r="O311" s="569" t="s">
        <v>157</v>
      </c>
      <c r="P311" s="568" t="s">
        <v>157</v>
      </c>
      <c r="Q311" s="569" t="s">
        <v>1043</v>
      </c>
      <c r="R311" s="569">
        <v>4</v>
      </c>
      <c r="S311" s="569" t="s">
        <v>1044</v>
      </c>
      <c r="T311" s="569" t="s">
        <v>295</v>
      </c>
      <c r="U311" s="569">
        <v>112.2</v>
      </c>
      <c r="V311" s="569">
        <v>18</v>
      </c>
      <c r="W311" s="620">
        <v>5340</v>
      </c>
      <c r="X311" s="621">
        <v>23</v>
      </c>
      <c r="Y311" s="621" t="s">
        <v>178</v>
      </c>
      <c r="Z311" s="621" t="s">
        <v>178</v>
      </c>
      <c r="AA311" s="622">
        <v>36080</v>
      </c>
      <c r="AB311" s="622" t="s">
        <v>164</v>
      </c>
      <c r="AC311" s="622">
        <v>31820.145833333336</v>
      </c>
      <c r="AD311" s="623">
        <v>0.03</v>
      </c>
      <c r="AE311" s="621" t="s">
        <v>1042</v>
      </c>
    </row>
    <row r="312" spans="1:31" s="572" customFormat="1">
      <c r="A312" s="570" t="s">
        <v>1048</v>
      </c>
      <c r="B312" s="573" t="s">
        <v>269</v>
      </c>
      <c r="C312" s="578" t="s">
        <v>270</v>
      </c>
      <c r="D312" s="573" t="s">
        <v>699</v>
      </c>
      <c r="E312" s="573" t="s">
        <v>196</v>
      </c>
      <c r="F312" s="573" t="s">
        <v>271</v>
      </c>
      <c r="G312" s="573">
        <v>2019</v>
      </c>
      <c r="H312" s="573" t="s">
        <v>1026</v>
      </c>
      <c r="I312" s="573" t="s">
        <v>337</v>
      </c>
      <c r="J312" s="573" t="s">
        <v>156</v>
      </c>
      <c r="K312" s="573">
        <v>5</v>
      </c>
      <c r="L312" s="573">
        <v>0</v>
      </c>
      <c r="M312" s="573" t="s">
        <v>157</v>
      </c>
      <c r="N312" s="573">
        <v>2</v>
      </c>
      <c r="O312" s="573" t="s">
        <v>157</v>
      </c>
      <c r="P312" s="571" t="s">
        <v>157</v>
      </c>
      <c r="Q312" s="573" t="s">
        <v>1043</v>
      </c>
      <c r="R312" s="573">
        <v>4</v>
      </c>
      <c r="S312" s="582" t="s">
        <v>1050</v>
      </c>
      <c r="T312" s="573" t="s">
        <v>295</v>
      </c>
      <c r="U312" s="573">
        <v>112.2</v>
      </c>
      <c r="V312" s="573">
        <v>18</v>
      </c>
      <c r="W312" s="616">
        <v>5320</v>
      </c>
      <c r="X312" s="617">
        <v>24</v>
      </c>
      <c r="Y312" s="617" t="s">
        <v>178</v>
      </c>
      <c r="Z312" s="617" t="s">
        <v>178</v>
      </c>
      <c r="AA312" s="618">
        <v>34085</v>
      </c>
      <c r="AB312" s="618" t="s">
        <v>164</v>
      </c>
      <c r="AC312" s="618">
        <v>29975.354166666668</v>
      </c>
      <c r="AD312" s="619">
        <v>0.03</v>
      </c>
      <c r="AE312" s="617" t="s">
        <v>1049</v>
      </c>
    </row>
    <row r="313" spans="1:31" s="572" customFormat="1">
      <c r="A313" s="570" t="s">
        <v>1051</v>
      </c>
      <c r="B313" s="569" t="s">
        <v>278</v>
      </c>
      <c r="C313" s="580">
        <v>15</v>
      </c>
      <c r="D313" s="569" t="s">
        <v>699</v>
      </c>
      <c r="E313" s="569" t="s">
        <v>196</v>
      </c>
      <c r="F313" s="569" t="s">
        <v>271</v>
      </c>
      <c r="G313" s="569">
        <v>2019</v>
      </c>
      <c r="H313" s="569" t="s">
        <v>1026</v>
      </c>
      <c r="I313" s="569" t="s">
        <v>337</v>
      </c>
      <c r="J313" s="569" t="s">
        <v>156</v>
      </c>
      <c r="K313" s="569">
        <v>5</v>
      </c>
      <c r="L313" s="569">
        <v>0</v>
      </c>
      <c r="M313" s="569" t="s">
        <v>157</v>
      </c>
      <c r="N313" s="569">
        <v>2</v>
      </c>
      <c r="O313" s="569" t="s">
        <v>157</v>
      </c>
      <c r="P313" s="568" t="s">
        <v>157</v>
      </c>
      <c r="Q313" s="569" t="s">
        <v>1043</v>
      </c>
      <c r="R313" s="569">
        <v>4</v>
      </c>
      <c r="S313" s="569" t="s">
        <v>1050</v>
      </c>
      <c r="T313" s="569" t="s">
        <v>295</v>
      </c>
      <c r="U313" s="569">
        <v>112.2</v>
      </c>
      <c r="V313" s="569">
        <v>18</v>
      </c>
      <c r="W313" s="620">
        <v>5320</v>
      </c>
      <c r="X313" s="621">
        <v>24</v>
      </c>
      <c r="Y313" s="621" t="s">
        <v>178</v>
      </c>
      <c r="Z313" s="621" t="s">
        <v>178</v>
      </c>
      <c r="AA313" s="622">
        <v>34085</v>
      </c>
      <c r="AB313" s="622" t="s">
        <v>164</v>
      </c>
      <c r="AC313" s="622">
        <v>30350</v>
      </c>
      <c r="AD313" s="623">
        <v>0.01</v>
      </c>
      <c r="AE313" s="621" t="s">
        <v>1049</v>
      </c>
    </row>
    <row r="314" spans="1:31" s="572" customFormat="1">
      <c r="A314" s="570" t="s">
        <v>1052</v>
      </c>
      <c r="B314" s="573" t="s">
        <v>287</v>
      </c>
      <c r="C314" s="578">
        <v>26</v>
      </c>
      <c r="D314" s="573" t="s">
        <v>699</v>
      </c>
      <c r="E314" s="573" t="s">
        <v>196</v>
      </c>
      <c r="F314" s="573" t="s">
        <v>271</v>
      </c>
      <c r="G314" s="573">
        <v>2019</v>
      </c>
      <c r="H314" s="573" t="s">
        <v>1026</v>
      </c>
      <c r="I314" s="573" t="s">
        <v>337</v>
      </c>
      <c r="J314" s="573" t="s">
        <v>156</v>
      </c>
      <c r="K314" s="573">
        <v>5</v>
      </c>
      <c r="L314" s="573">
        <v>0</v>
      </c>
      <c r="M314" s="573" t="s">
        <v>157</v>
      </c>
      <c r="N314" s="573">
        <v>2</v>
      </c>
      <c r="O314" s="573" t="s">
        <v>157</v>
      </c>
      <c r="P314" s="571" t="s">
        <v>157</v>
      </c>
      <c r="Q314" s="573" t="s">
        <v>1043</v>
      </c>
      <c r="R314" s="573">
        <v>4</v>
      </c>
      <c r="S314" s="582" t="s">
        <v>1050</v>
      </c>
      <c r="T314" s="573" t="s">
        <v>295</v>
      </c>
      <c r="U314" s="573">
        <v>112.2</v>
      </c>
      <c r="V314" s="573">
        <v>18</v>
      </c>
      <c r="W314" s="616">
        <v>5320</v>
      </c>
      <c r="X314" s="617">
        <v>24</v>
      </c>
      <c r="Y314" s="617" t="s">
        <v>178</v>
      </c>
      <c r="Z314" s="617" t="s">
        <v>178</v>
      </c>
      <c r="AA314" s="618">
        <v>34085</v>
      </c>
      <c r="AB314" s="618" t="s">
        <v>164</v>
      </c>
      <c r="AC314" s="618">
        <v>30873</v>
      </c>
      <c r="AD314" s="619">
        <v>0.05</v>
      </c>
      <c r="AE314" s="617" t="s">
        <v>1049</v>
      </c>
    </row>
    <row r="315" spans="1:31" s="572" customFormat="1">
      <c r="A315" s="570" t="s">
        <v>1053</v>
      </c>
      <c r="B315" s="569" t="s">
        <v>280</v>
      </c>
      <c r="C315" s="580">
        <v>27</v>
      </c>
      <c r="D315" s="569" t="s">
        <v>699</v>
      </c>
      <c r="E315" s="569" t="s">
        <v>196</v>
      </c>
      <c r="F315" s="569" t="s">
        <v>271</v>
      </c>
      <c r="G315" s="569">
        <v>2019</v>
      </c>
      <c r="H315" s="569" t="s">
        <v>1026</v>
      </c>
      <c r="I315" s="569" t="s">
        <v>337</v>
      </c>
      <c r="J315" s="569" t="s">
        <v>156</v>
      </c>
      <c r="K315" s="569">
        <v>5</v>
      </c>
      <c r="L315" s="569">
        <v>0</v>
      </c>
      <c r="M315" s="569" t="s">
        <v>157</v>
      </c>
      <c r="N315" s="569">
        <v>2</v>
      </c>
      <c r="O315" s="569" t="s">
        <v>157</v>
      </c>
      <c r="P315" s="568" t="s">
        <v>157</v>
      </c>
      <c r="Q315" s="569" t="s">
        <v>1043</v>
      </c>
      <c r="R315" s="569">
        <v>4</v>
      </c>
      <c r="S315" s="569" t="s">
        <v>1050</v>
      </c>
      <c r="T315" s="569" t="s">
        <v>295</v>
      </c>
      <c r="U315" s="569">
        <v>112.2</v>
      </c>
      <c r="V315" s="569">
        <v>18</v>
      </c>
      <c r="W315" s="620">
        <v>5320</v>
      </c>
      <c r="X315" s="621">
        <v>24</v>
      </c>
      <c r="Y315" s="621" t="s">
        <v>178</v>
      </c>
      <c r="Z315" s="621" t="s">
        <v>178</v>
      </c>
      <c r="AA315" s="622">
        <v>34085</v>
      </c>
      <c r="AB315" s="622" t="s">
        <v>164</v>
      </c>
      <c r="AC315" s="622">
        <v>29975.354166666668</v>
      </c>
      <c r="AD315" s="623">
        <v>0.03</v>
      </c>
      <c r="AE315" s="621" t="s">
        <v>1049</v>
      </c>
    </row>
    <row r="316" spans="1:31" s="572" customFormat="1">
      <c r="A316" s="570" t="s">
        <v>1054</v>
      </c>
      <c r="B316" s="573" t="s">
        <v>278</v>
      </c>
      <c r="C316" s="578">
        <v>15</v>
      </c>
      <c r="D316" s="573" t="s">
        <v>699</v>
      </c>
      <c r="E316" s="573" t="s">
        <v>196</v>
      </c>
      <c r="F316" s="573" t="s">
        <v>271</v>
      </c>
      <c r="G316" s="573">
        <v>2019</v>
      </c>
      <c r="H316" s="573" t="s">
        <v>1026</v>
      </c>
      <c r="I316" s="573" t="s">
        <v>409</v>
      </c>
      <c r="J316" s="573" t="s">
        <v>230</v>
      </c>
      <c r="K316" s="573">
        <v>5</v>
      </c>
      <c r="L316" s="573">
        <v>0</v>
      </c>
      <c r="M316" s="573" t="s">
        <v>157</v>
      </c>
      <c r="N316" s="573">
        <v>2</v>
      </c>
      <c r="O316" s="573" t="s">
        <v>157</v>
      </c>
      <c r="P316" s="571" t="s">
        <v>157</v>
      </c>
      <c r="Q316" s="573" t="s">
        <v>1043</v>
      </c>
      <c r="R316" s="573">
        <v>4</v>
      </c>
      <c r="S316" s="582" t="s">
        <v>1056</v>
      </c>
      <c r="T316" s="573" t="s">
        <v>310</v>
      </c>
      <c r="U316" s="573">
        <v>112.2</v>
      </c>
      <c r="V316" s="573">
        <v>18</v>
      </c>
      <c r="W316" s="616">
        <v>5340</v>
      </c>
      <c r="X316" s="617">
        <v>23</v>
      </c>
      <c r="Y316" s="617" t="s">
        <v>178</v>
      </c>
      <c r="Z316" s="617" t="s">
        <v>178</v>
      </c>
      <c r="AA316" s="618">
        <v>43350</v>
      </c>
      <c r="AB316" s="618" t="s">
        <v>164</v>
      </c>
      <c r="AC316" s="618">
        <v>39150</v>
      </c>
      <c r="AD316" s="619">
        <v>0.01</v>
      </c>
      <c r="AE316" s="617" t="s">
        <v>1055</v>
      </c>
    </row>
    <row r="317" spans="1:31" s="572" customFormat="1">
      <c r="A317" s="570" t="s">
        <v>1057</v>
      </c>
      <c r="B317" s="569" t="s">
        <v>287</v>
      </c>
      <c r="C317" s="580">
        <v>26</v>
      </c>
      <c r="D317" s="569" t="s">
        <v>699</v>
      </c>
      <c r="E317" s="569" t="s">
        <v>196</v>
      </c>
      <c r="F317" s="569" t="s">
        <v>271</v>
      </c>
      <c r="G317" s="569">
        <v>2019</v>
      </c>
      <c r="H317" s="569" t="s">
        <v>1026</v>
      </c>
      <c r="I317" s="569" t="s">
        <v>409</v>
      </c>
      <c r="J317" s="569" t="s">
        <v>230</v>
      </c>
      <c r="K317" s="569">
        <v>5</v>
      </c>
      <c r="L317" s="569">
        <v>0</v>
      </c>
      <c r="M317" s="569" t="s">
        <v>157</v>
      </c>
      <c r="N317" s="569">
        <v>2</v>
      </c>
      <c r="O317" s="569" t="s">
        <v>157</v>
      </c>
      <c r="P317" s="568" t="s">
        <v>157</v>
      </c>
      <c r="Q317" s="569" t="s">
        <v>410</v>
      </c>
      <c r="R317" s="569">
        <v>4</v>
      </c>
      <c r="S317" s="569" t="s">
        <v>1056</v>
      </c>
      <c r="T317" s="569" t="s">
        <v>310</v>
      </c>
      <c r="U317" s="569">
        <v>112.2</v>
      </c>
      <c r="V317" s="569">
        <v>18</v>
      </c>
      <c r="W317" s="620">
        <v>5340</v>
      </c>
      <c r="X317" s="621">
        <v>23</v>
      </c>
      <c r="Y317" s="621" t="s">
        <v>178</v>
      </c>
      <c r="Z317" s="621" t="s">
        <v>178</v>
      </c>
      <c r="AA317" s="622">
        <v>43850</v>
      </c>
      <c r="AB317" s="622" t="s">
        <v>164</v>
      </c>
      <c r="AC317" s="622">
        <v>39779</v>
      </c>
      <c r="AD317" s="623">
        <v>0.05</v>
      </c>
      <c r="AE317" s="621" t="s">
        <v>1058</v>
      </c>
    </row>
    <row r="318" spans="1:31" s="572" customFormat="1">
      <c r="A318" s="570" t="s">
        <v>1059</v>
      </c>
      <c r="B318" s="573" t="s">
        <v>269</v>
      </c>
      <c r="C318" s="578" t="s">
        <v>270</v>
      </c>
      <c r="D318" s="573" t="s">
        <v>699</v>
      </c>
      <c r="E318" s="573" t="s">
        <v>196</v>
      </c>
      <c r="F318" s="573" t="s">
        <v>271</v>
      </c>
      <c r="G318" s="573">
        <v>2019</v>
      </c>
      <c r="H318" s="573" t="s">
        <v>1026</v>
      </c>
      <c r="I318" s="573" t="s">
        <v>1060</v>
      </c>
      <c r="J318" s="573" t="s">
        <v>230</v>
      </c>
      <c r="K318" s="573">
        <v>5</v>
      </c>
      <c r="L318" s="573">
        <v>0</v>
      </c>
      <c r="M318" s="573" t="s">
        <v>157</v>
      </c>
      <c r="N318" s="573">
        <v>2</v>
      </c>
      <c r="O318" s="573" t="s">
        <v>157</v>
      </c>
      <c r="P318" s="571" t="s">
        <v>157</v>
      </c>
      <c r="Q318" s="573" t="s">
        <v>410</v>
      </c>
      <c r="R318" s="573">
        <v>4</v>
      </c>
      <c r="S318" s="582" t="s">
        <v>1056</v>
      </c>
      <c r="T318" s="573" t="s">
        <v>310</v>
      </c>
      <c r="U318" s="573">
        <v>112.2</v>
      </c>
      <c r="V318" s="573">
        <v>18</v>
      </c>
      <c r="W318" s="616">
        <v>5340</v>
      </c>
      <c r="X318" s="617">
        <v>21</v>
      </c>
      <c r="Y318" s="617" t="s">
        <v>178</v>
      </c>
      <c r="Z318" s="617" t="s">
        <v>178</v>
      </c>
      <c r="AA318" s="618">
        <v>43350</v>
      </c>
      <c r="AB318" s="618" t="s">
        <v>164</v>
      </c>
      <c r="AC318" s="618">
        <v>38540.291666666672</v>
      </c>
      <c r="AD318" s="619">
        <v>0.03</v>
      </c>
      <c r="AE318" s="617" t="s">
        <v>1058</v>
      </c>
    </row>
    <row r="319" spans="1:31" s="572" customFormat="1">
      <c r="A319" s="570" t="s">
        <v>1061</v>
      </c>
      <c r="B319" s="569" t="s">
        <v>280</v>
      </c>
      <c r="C319" s="580">
        <v>27</v>
      </c>
      <c r="D319" s="569" t="s">
        <v>699</v>
      </c>
      <c r="E319" s="569" t="s">
        <v>196</v>
      </c>
      <c r="F319" s="569" t="s">
        <v>271</v>
      </c>
      <c r="G319" s="569">
        <v>2019</v>
      </c>
      <c r="H319" s="569" t="s">
        <v>1026</v>
      </c>
      <c r="I319" s="569" t="s">
        <v>1060</v>
      </c>
      <c r="J319" s="569" t="s">
        <v>230</v>
      </c>
      <c r="K319" s="569">
        <v>5</v>
      </c>
      <c r="L319" s="569">
        <v>0</v>
      </c>
      <c r="M319" s="569" t="s">
        <v>157</v>
      </c>
      <c r="N319" s="569">
        <v>2</v>
      </c>
      <c r="O319" s="569" t="s">
        <v>157</v>
      </c>
      <c r="P319" s="568" t="s">
        <v>157</v>
      </c>
      <c r="Q319" s="569" t="s">
        <v>410</v>
      </c>
      <c r="R319" s="569">
        <v>4</v>
      </c>
      <c r="S319" s="569" t="s">
        <v>1056</v>
      </c>
      <c r="T319" s="569" t="s">
        <v>310</v>
      </c>
      <c r="U319" s="569">
        <v>112.2</v>
      </c>
      <c r="V319" s="569">
        <v>18</v>
      </c>
      <c r="W319" s="620">
        <v>5340</v>
      </c>
      <c r="X319" s="621">
        <v>21</v>
      </c>
      <c r="Y319" s="621" t="s">
        <v>178</v>
      </c>
      <c r="Z319" s="621" t="s">
        <v>178</v>
      </c>
      <c r="AA319" s="622">
        <v>43350</v>
      </c>
      <c r="AB319" s="622" t="s">
        <v>164</v>
      </c>
      <c r="AC319" s="622">
        <v>38540.291666666672</v>
      </c>
      <c r="AD319" s="623">
        <v>0.03</v>
      </c>
      <c r="AE319" s="621" t="s">
        <v>1058</v>
      </c>
    </row>
    <row r="320" spans="1:31" s="572" customFormat="1">
      <c r="A320" s="570" t="s">
        <v>1062</v>
      </c>
      <c r="B320" s="573" t="s">
        <v>269</v>
      </c>
      <c r="C320" s="578" t="s">
        <v>270</v>
      </c>
      <c r="D320" s="573" t="s">
        <v>699</v>
      </c>
      <c r="E320" s="573" t="s">
        <v>196</v>
      </c>
      <c r="F320" s="573" t="s">
        <v>271</v>
      </c>
      <c r="G320" s="573">
        <v>2019</v>
      </c>
      <c r="H320" s="573" t="s">
        <v>1026</v>
      </c>
      <c r="I320" s="573" t="s">
        <v>418</v>
      </c>
      <c r="J320" s="573" t="s">
        <v>230</v>
      </c>
      <c r="K320" s="573">
        <v>5</v>
      </c>
      <c r="L320" s="573">
        <v>0</v>
      </c>
      <c r="M320" s="573" t="s">
        <v>157</v>
      </c>
      <c r="N320" s="573">
        <v>2</v>
      </c>
      <c r="O320" s="573" t="s">
        <v>157</v>
      </c>
      <c r="P320" s="571" t="s">
        <v>157</v>
      </c>
      <c r="Q320" s="573" t="s">
        <v>1043</v>
      </c>
      <c r="R320" s="573">
        <v>4</v>
      </c>
      <c r="S320" s="582" t="s">
        <v>1064</v>
      </c>
      <c r="T320" s="573" t="s">
        <v>318</v>
      </c>
      <c r="U320" s="573">
        <v>112.2</v>
      </c>
      <c r="V320" s="573">
        <v>18</v>
      </c>
      <c r="W320" s="616">
        <v>5340</v>
      </c>
      <c r="X320" s="617">
        <v>23</v>
      </c>
      <c r="Y320" s="617" t="s">
        <v>178</v>
      </c>
      <c r="Z320" s="617" t="s">
        <v>178</v>
      </c>
      <c r="AA320" s="618">
        <v>41540</v>
      </c>
      <c r="AB320" s="618" t="s">
        <v>164</v>
      </c>
      <c r="AC320" s="618">
        <v>36867.375</v>
      </c>
      <c r="AD320" s="619">
        <v>0.03</v>
      </c>
      <c r="AE320" s="617" t="s">
        <v>1063</v>
      </c>
    </row>
    <row r="321" spans="1:31" s="572" customFormat="1">
      <c r="A321" s="570" t="s">
        <v>1065</v>
      </c>
      <c r="B321" s="569" t="s">
        <v>278</v>
      </c>
      <c r="C321" s="580">
        <v>15</v>
      </c>
      <c r="D321" s="569" t="s">
        <v>699</v>
      </c>
      <c r="E321" s="569" t="s">
        <v>196</v>
      </c>
      <c r="F321" s="569" t="s">
        <v>271</v>
      </c>
      <c r="G321" s="569">
        <v>2019</v>
      </c>
      <c r="H321" s="569" t="s">
        <v>1026</v>
      </c>
      <c r="I321" s="569" t="s">
        <v>418</v>
      </c>
      <c r="J321" s="569" t="s">
        <v>230</v>
      </c>
      <c r="K321" s="569">
        <v>5</v>
      </c>
      <c r="L321" s="569">
        <v>0</v>
      </c>
      <c r="M321" s="569" t="s">
        <v>157</v>
      </c>
      <c r="N321" s="569">
        <v>2</v>
      </c>
      <c r="O321" s="569" t="s">
        <v>157</v>
      </c>
      <c r="P321" s="568" t="s">
        <v>157</v>
      </c>
      <c r="Q321" s="569" t="s">
        <v>1043</v>
      </c>
      <c r="R321" s="569">
        <v>4</v>
      </c>
      <c r="S321" s="569" t="s">
        <v>1064</v>
      </c>
      <c r="T321" s="569" t="s">
        <v>318</v>
      </c>
      <c r="U321" s="569">
        <v>112.2</v>
      </c>
      <c r="V321" s="569">
        <v>18</v>
      </c>
      <c r="W321" s="620">
        <v>5340</v>
      </c>
      <c r="X321" s="621">
        <v>23</v>
      </c>
      <c r="Y321" s="621" t="s">
        <v>178</v>
      </c>
      <c r="Z321" s="621" t="s">
        <v>178</v>
      </c>
      <c r="AA321" s="622">
        <v>41540</v>
      </c>
      <c r="AB321" s="622" t="s">
        <v>164</v>
      </c>
      <c r="AC321" s="622">
        <v>37400</v>
      </c>
      <c r="AD321" s="623">
        <v>0.01</v>
      </c>
      <c r="AE321" s="621" t="s">
        <v>1063</v>
      </c>
    </row>
    <row r="322" spans="1:31" s="572" customFormat="1">
      <c r="A322" s="570" t="s">
        <v>1066</v>
      </c>
      <c r="B322" s="573" t="s">
        <v>287</v>
      </c>
      <c r="C322" s="578">
        <v>26</v>
      </c>
      <c r="D322" s="573" t="s">
        <v>699</v>
      </c>
      <c r="E322" s="573" t="s">
        <v>196</v>
      </c>
      <c r="F322" s="573" t="s">
        <v>271</v>
      </c>
      <c r="G322" s="573">
        <v>2019</v>
      </c>
      <c r="H322" s="573" t="s">
        <v>1026</v>
      </c>
      <c r="I322" s="573" t="s">
        <v>418</v>
      </c>
      <c r="J322" s="573" t="s">
        <v>230</v>
      </c>
      <c r="K322" s="573">
        <v>5</v>
      </c>
      <c r="L322" s="573">
        <v>0</v>
      </c>
      <c r="M322" s="573" t="s">
        <v>157</v>
      </c>
      <c r="N322" s="573">
        <v>2</v>
      </c>
      <c r="O322" s="573" t="s">
        <v>157</v>
      </c>
      <c r="P322" s="571" t="s">
        <v>157</v>
      </c>
      <c r="Q322" s="573" t="s">
        <v>1043</v>
      </c>
      <c r="R322" s="573">
        <v>4</v>
      </c>
      <c r="S322" s="582" t="s">
        <v>1064</v>
      </c>
      <c r="T322" s="573" t="s">
        <v>318</v>
      </c>
      <c r="U322" s="573">
        <v>112.2</v>
      </c>
      <c r="V322" s="573">
        <v>18</v>
      </c>
      <c r="W322" s="616">
        <v>5340</v>
      </c>
      <c r="X322" s="617">
        <v>23</v>
      </c>
      <c r="Y322" s="617" t="s">
        <v>178</v>
      </c>
      <c r="Z322" s="617" t="s">
        <v>178</v>
      </c>
      <c r="AA322" s="618">
        <v>41540</v>
      </c>
      <c r="AB322" s="618" t="s">
        <v>164</v>
      </c>
      <c r="AC322" s="618">
        <v>38089</v>
      </c>
      <c r="AD322" s="619">
        <v>0.05</v>
      </c>
      <c r="AE322" s="617" t="s">
        <v>1063</v>
      </c>
    </row>
    <row r="323" spans="1:31" s="572" customFormat="1">
      <c r="A323" s="570" t="s">
        <v>1067</v>
      </c>
      <c r="B323" s="569" t="s">
        <v>280</v>
      </c>
      <c r="C323" s="580">
        <v>27</v>
      </c>
      <c r="D323" s="569" t="s">
        <v>699</v>
      </c>
      <c r="E323" s="569" t="s">
        <v>196</v>
      </c>
      <c r="F323" s="569" t="s">
        <v>271</v>
      </c>
      <c r="G323" s="569">
        <v>2019</v>
      </c>
      <c r="H323" s="569" t="s">
        <v>1026</v>
      </c>
      <c r="I323" s="569" t="s">
        <v>418</v>
      </c>
      <c r="J323" s="569" t="s">
        <v>230</v>
      </c>
      <c r="K323" s="569">
        <v>5</v>
      </c>
      <c r="L323" s="569">
        <v>0</v>
      </c>
      <c r="M323" s="569" t="s">
        <v>157</v>
      </c>
      <c r="N323" s="569">
        <v>2</v>
      </c>
      <c r="O323" s="569" t="s">
        <v>157</v>
      </c>
      <c r="P323" s="568" t="s">
        <v>157</v>
      </c>
      <c r="Q323" s="569" t="s">
        <v>1043</v>
      </c>
      <c r="R323" s="569">
        <v>4</v>
      </c>
      <c r="S323" s="569" t="s">
        <v>1064</v>
      </c>
      <c r="T323" s="569" t="s">
        <v>318</v>
      </c>
      <c r="U323" s="569">
        <v>112.2</v>
      </c>
      <c r="V323" s="569">
        <v>18</v>
      </c>
      <c r="W323" s="620">
        <v>5340</v>
      </c>
      <c r="X323" s="621">
        <v>23</v>
      </c>
      <c r="Y323" s="621" t="s">
        <v>178</v>
      </c>
      <c r="Z323" s="621" t="s">
        <v>178</v>
      </c>
      <c r="AA323" s="622">
        <v>41540</v>
      </c>
      <c r="AB323" s="622" t="s">
        <v>164</v>
      </c>
      <c r="AC323" s="622">
        <v>36867.375</v>
      </c>
      <c r="AD323" s="623">
        <v>0.03</v>
      </c>
      <c r="AE323" s="621" t="s">
        <v>1063</v>
      </c>
    </row>
    <row r="324" spans="1:31" s="572" customFormat="1">
      <c r="A324" s="570" t="s">
        <v>1068</v>
      </c>
      <c r="B324" s="573" t="s">
        <v>269</v>
      </c>
      <c r="C324" s="578" t="s">
        <v>270</v>
      </c>
      <c r="D324" s="573" t="s">
        <v>699</v>
      </c>
      <c r="E324" s="573" t="s">
        <v>196</v>
      </c>
      <c r="F324" s="573" t="s">
        <v>271</v>
      </c>
      <c r="G324" s="573">
        <v>2019</v>
      </c>
      <c r="H324" s="573" t="s">
        <v>1026</v>
      </c>
      <c r="I324" s="573" t="s">
        <v>418</v>
      </c>
      <c r="J324" s="573" t="s">
        <v>156</v>
      </c>
      <c r="K324" s="573">
        <v>5</v>
      </c>
      <c r="L324" s="573">
        <v>0</v>
      </c>
      <c r="M324" s="573" t="s">
        <v>157</v>
      </c>
      <c r="N324" s="573">
        <v>2</v>
      </c>
      <c r="O324" s="573" t="s">
        <v>157</v>
      </c>
      <c r="P324" s="571" t="s">
        <v>157</v>
      </c>
      <c r="Q324" s="573" t="s">
        <v>1043</v>
      </c>
      <c r="R324" s="573">
        <v>4</v>
      </c>
      <c r="S324" s="582" t="s">
        <v>1070</v>
      </c>
      <c r="T324" s="573" t="s">
        <v>318</v>
      </c>
      <c r="U324" s="573">
        <v>112.2</v>
      </c>
      <c r="V324" s="573">
        <v>18</v>
      </c>
      <c r="W324" s="616">
        <v>5320</v>
      </c>
      <c r="X324" s="617">
        <v>24</v>
      </c>
      <c r="Y324" s="617" t="s">
        <v>178</v>
      </c>
      <c r="Z324" s="617" t="s">
        <v>178</v>
      </c>
      <c r="AA324" s="618">
        <v>39545</v>
      </c>
      <c r="AB324" s="618" t="s">
        <v>164</v>
      </c>
      <c r="AC324" s="618">
        <v>35023.625</v>
      </c>
      <c r="AD324" s="619">
        <v>0.03</v>
      </c>
      <c r="AE324" s="617" t="s">
        <v>1069</v>
      </c>
    </row>
    <row r="325" spans="1:31" s="572" customFormat="1">
      <c r="A325" s="570" t="s">
        <v>1071</v>
      </c>
      <c r="B325" s="569" t="s">
        <v>278</v>
      </c>
      <c r="C325" s="580">
        <v>15</v>
      </c>
      <c r="D325" s="569" t="s">
        <v>699</v>
      </c>
      <c r="E325" s="569" t="s">
        <v>196</v>
      </c>
      <c r="F325" s="569" t="s">
        <v>271</v>
      </c>
      <c r="G325" s="569">
        <v>2019</v>
      </c>
      <c r="H325" s="569" t="s">
        <v>1026</v>
      </c>
      <c r="I325" s="569" t="s">
        <v>418</v>
      </c>
      <c r="J325" s="569" t="s">
        <v>156</v>
      </c>
      <c r="K325" s="569">
        <v>5</v>
      </c>
      <c r="L325" s="569">
        <v>0</v>
      </c>
      <c r="M325" s="569" t="s">
        <v>157</v>
      </c>
      <c r="N325" s="569">
        <v>2</v>
      </c>
      <c r="O325" s="569" t="s">
        <v>157</v>
      </c>
      <c r="P325" s="568" t="s">
        <v>157</v>
      </c>
      <c r="Q325" s="569" t="s">
        <v>1043</v>
      </c>
      <c r="R325" s="569">
        <v>4</v>
      </c>
      <c r="S325" s="569" t="s">
        <v>1070</v>
      </c>
      <c r="T325" s="569" t="s">
        <v>318</v>
      </c>
      <c r="U325" s="569">
        <v>112.2</v>
      </c>
      <c r="V325" s="569">
        <v>18</v>
      </c>
      <c r="W325" s="620">
        <v>5320</v>
      </c>
      <c r="X325" s="621">
        <v>24</v>
      </c>
      <c r="Y325" s="621" t="s">
        <v>178</v>
      </c>
      <c r="Z325" s="621" t="s">
        <v>178</v>
      </c>
      <c r="AA325" s="622">
        <v>39545</v>
      </c>
      <c r="AB325" s="622" t="s">
        <v>164</v>
      </c>
      <c r="AC325" s="622">
        <v>35550</v>
      </c>
      <c r="AD325" s="623">
        <v>0.01</v>
      </c>
      <c r="AE325" s="621" t="s">
        <v>1069</v>
      </c>
    </row>
    <row r="326" spans="1:31" s="572" customFormat="1">
      <c r="A326" s="570" t="s">
        <v>1072</v>
      </c>
      <c r="B326" s="573" t="s">
        <v>287</v>
      </c>
      <c r="C326" s="578">
        <v>26</v>
      </c>
      <c r="D326" s="573" t="s">
        <v>699</v>
      </c>
      <c r="E326" s="573" t="s">
        <v>196</v>
      </c>
      <c r="F326" s="573" t="s">
        <v>271</v>
      </c>
      <c r="G326" s="573">
        <v>2019</v>
      </c>
      <c r="H326" s="573" t="s">
        <v>1026</v>
      </c>
      <c r="I326" s="573" t="s">
        <v>418</v>
      </c>
      <c r="J326" s="573" t="s">
        <v>156</v>
      </c>
      <c r="K326" s="573">
        <v>5</v>
      </c>
      <c r="L326" s="573">
        <v>0</v>
      </c>
      <c r="M326" s="573" t="s">
        <v>157</v>
      </c>
      <c r="N326" s="573">
        <v>2</v>
      </c>
      <c r="O326" s="573" t="s">
        <v>157</v>
      </c>
      <c r="P326" s="571" t="s">
        <v>157</v>
      </c>
      <c r="Q326" s="573" t="s">
        <v>1043</v>
      </c>
      <c r="R326" s="573">
        <v>4</v>
      </c>
      <c r="S326" s="582" t="s">
        <v>1070</v>
      </c>
      <c r="T326" s="573" t="s">
        <v>318</v>
      </c>
      <c r="U326" s="573">
        <v>112.2</v>
      </c>
      <c r="V326" s="573">
        <v>18</v>
      </c>
      <c r="W326" s="616">
        <v>5320</v>
      </c>
      <c r="X326" s="617">
        <v>24</v>
      </c>
      <c r="Y326" s="617" t="s">
        <v>178</v>
      </c>
      <c r="Z326" s="617" t="s">
        <v>178</v>
      </c>
      <c r="AA326" s="618">
        <v>39545</v>
      </c>
      <c r="AB326" s="618" t="s">
        <v>164</v>
      </c>
      <c r="AC326" s="618">
        <v>36191</v>
      </c>
      <c r="AD326" s="619">
        <v>0.05</v>
      </c>
      <c r="AE326" s="617" t="s">
        <v>1069</v>
      </c>
    </row>
    <row r="327" spans="1:31" s="572" customFormat="1">
      <c r="A327" s="570" t="s">
        <v>1073</v>
      </c>
      <c r="B327" s="569" t="s">
        <v>280</v>
      </c>
      <c r="C327" s="580">
        <v>27</v>
      </c>
      <c r="D327" s="569" t="s">
        <v>699</v>
      </c>
      <c r="E327" s="569" t="s">
        <v>196</v>
      </c>
      <c r="F327" s="569" t="s">
        <v>271</v>
      </c>
      <c r="G327" s="569">
        <v>2019</v>
      </c>
      <c r="H327" s="569" t="s">
        <v>1026</v>
      </c>
      <c r="I327" s="569" t="s">
        <v>418</v>
      </c>
      <c r="J327" s="569" t="s">
        <v>156</v>
      </c>
      <c r="K327" s="569">
        <v>5</v>
      </c>
      <c r="L327" s="569">
        <v>0</v>
      </c>
      <c r="M327" s="569" t="s">
        <v>157</v>
      </c>
      <c r="N327" s="569">
        <v>2</v>
      </c>
      <c r="O327" s="569" t="s">
        <v>157</v>
      </c>
      <c r="P327" s="568" t="s">
        <v>157</v>
      </c>
      <c r="Q327" s="569" t="s">
        <v>1043</v>
      </c>
      <c r="R327" s="569">
        <v>4</v>
      </c>
      <c r="S327" s="569" t="s">
        <v>1070</v>
      </c>
      <c r="T327" s="569" t="s">
        <v>318</v>
      </c>
      <c r="U327" s="569">
        <v>112.2</v>
      </c>
      <c r="V327" s="569">
        <v>18</v>
      </c>
      <c r="W327" s="620">
        <v>5320</v>
      </c>
      <c r="X327" s="621">
        <v>24</v>
      </c>
      <c r="Y327" s="621" t="s">
        <v>178</v>
      </c>
      <c r="Z327" s="621" t="s">
        <v>178</v>
      </c>
      <c r="AA327" s="622">
        <v>39545</v>
      </c>
      <c r="AB327" s="622" t="s">
        <v>164</v>
      </c>
      <c r="AC327" s="622">
        <v>35023.625</v>
      </c>
      <c r="AD327" s="623">
        <v>0.03</v>
      </c>
      <c r="AE327" s="621" t="s">
        <v>1069</v>
      </c>
    </row>
    <row r="328" spans="1:31" s="572" customFormat="1">
      <c r="A328" s="570" t="s">
        <v>1074</v>
      </c>
      <c r="B328" s="573" t="s">
        <v>269</v>
      </c>
      <c r="C328" s="578" t="s">
        <v>270</v>
      </c>
      <c r="D328" s="573" t="s">
        <v>699</v>
      </c>
      <c r="E328" s="573" t="s">
        <v>152</v>
      </c>
      <c r="F328" s="573" t="s">
        <v>271</v>
      </c>
      <c r="G328" s="573">
        <v>2019</v>
      </c>
      <c r="H328" s="573" t="s">
        <v>1076</v>
      </c>
      <c r="I328" s="573" t="s">
        <v>273</v>
      </c>
      <c r="J328" s="573" t="s">
        <v>156</v>
      </c>
      <c r="K328" s="573">
        <v>5</v>
      </c>
      <c r="L328" s="573">
        <v>0</v>
      </c>
      <c r="M328" s="573" t="s">
        <v>157</v>
      </c>
      <c r="N328" s="573">
        <v>2</v>
      </c>
      <c r="O328" s="573" t="s">
        <v>157</v>
      </c>
      <c r="P328" s="571" t="s">
        <v>157</v>
      </c>
      <c r="Q328" s="573" t="s">
        <v>189</v>
      </c>
      <c r="R328" s="573">
        <v>4</v>
      </c>
      <c r="S328" s="582" t="s">
        <v>1077</v>
      </c>
      <c r="T328" s="573" t="s">
        <v>276</v>
      </c>
      <c r="U328" s="573">
        <v>105.9</v>
      </c>
      <c r="V328" s="573">
        <v>15.7</v>
      </c>
      <c r="W328" s="616">
        <v>4620</v>
      </c>
      <c r="X328" s="617">
        <v>24</v>
      </c>
      <c r="Y328" s="617" t="s">
        <v>178</v>
      </c>
      <c r="Z328" s="617" t="s">
        <v>178</v>
      </c>
      <c r="AA328" s="618">
        <v>25100</v>
      </c>
      <c r="AB328" s="618" t="s">
        <v>164</v>
      </c>
      <c r="AC328" s="618">
        <v>19835.083333333336</v>
      </c>
      <c r="AD328" s="619">
        <v>0.03</v>
      </c>
      <c r="AE328" s="617" t="s">
        <v>1075</v>
      </c>
    </row>
    <row r="329" spans="1:31" s="572" customFormat="1">
      <c r="A329" s="570" t="s">
        <v>1078</v>
      </c>
      <c r="B329" s="569" t="s">
        <v>278</v>
      </c>
      <c r="C329" s="580">
        <v>15</v>
      </c>
      <c r="D329" s="569" t="s">
        <v>699</v>
      </c>
      <c r="E329" s="569" t="s">
        <v>152</v>
      </c>
      <c r="F329" s="569" t="s">
        <v>271</v>
      </c>
      <c r="G329" s="569">
        <v>2019</v>
      </c>
      <c r="H329" s="569" t="s">
        <v>1076</v>
      </c>
      <c r="I329" s="569" t="s">
        <v>273</v>
      </c>
      <c r="J329" s="569" t="s">
        <v>156</v>
      </c>
      <c r="K329" s="569">
        <v>5</v>
      </c>
      <c r="L329" s="569">
        <v>0</v>
      </c>
      <c r="M329" s="569" t="s">
        <v>157</v>
      </c>
      <c r="N329" s="569">
        <v>2</v>
      </c>
      <c r="O329" s="569" t="s">
        <v>157</v>
      </c>
      <c r="P329" s="568" t="s">
        <v>157</v>
      </c>
      <c r="Q329" s="569" t="s">
        <v>189</v>
      </c>
      <c r="R329" s="569">
        <v>4</v>
      </c>
      <c r="S329" s="569" t="s">
        <v>1077</v>
      </c>
      <c r="T329" s="569" t="s">
        <v>276</v>
      </c>
      <c r="U329" s="569">
        <v>105.9</v>
      </c>
      <c r="V329" s="569">
        <v>15.7</v>
      </c>
      <c r="W329" s="620">
        <v>4620</v>
      </c>
      <c r="X329" s="621">
        <v>24</v>
      </c>
      <c r="Y329" s="621" t="s">
        <v>178</v>
      </c>
      <c r="Z329" s="621" t="s">
        <v>178</v>
      </c>
      <c r="AA329" s="622">
        <v>25100</v>
      </c>
      <c r="AB329" s="622" t="s">
        <v>164</v>
      </c>
      <c r="AC329" s="622">
        <v>19995</v>
      </c>
      <c r="AD329" s="623">
        <v>0.01</v>
      </c>
      <c r="AE329" s="621" t="s">
        <v>1075</v>
      </c>
    </row>
    <row r="330" spans="1:31" s="572" customFormat="1">
      <c r="A330" s="570" t="s">
        <v>1079</v>
      </c>
      <c r="B330" s="573" t="s">
        <v>287</v>
      </c>
      <c r="C330" s="578">
        <v>26</v>
      </c>
      <c r="D330" s="573" t="s">
        <v>699</v>
      </c>
      <c r="E330" s="573" t="s">
        <v>152</v>
      </c>
      <c r="F330" s="573" t="s">
        <v>271</v>
      </c>
      <c r="G330" s="573">
        <v>2019</v>
      </c>
      <c r="H330" s="573" t="s">
        <v>1076</v>
      </c>
      <c r="I330" s="573" t="s">
        <v>273</v>
      </c>
      <c r="J330" s="573" t="s">
        <v>156</v>
      </c>
      <c r="K330" s="573">
        <v>5</v>
      </c>
      <c r="L330" s="573">
        <v>0</v>
      </c>
      <c r="M330" s="573" t="s">
        <v>157</v>
      </c>
      <c r="N330" s="573">
        <v>2</v>
      </c>
      <c r="O330" s="573" t="s">
        <v>157</v>
      </c>
      <c r="P330" s="571" t="s">
        <v>157</v>
      </c>
      <c r="Q330" s="573" t="s">
        <v>189</v>
      </c>
      <c r="R330" s="573">
        <v>4</v>
      </c>
      <c r="S330" s="582" t="s">
        <v>1077</v>
      </c>
      <c r="T330" s="573" t="s">
        <v>276</v>
      </c>
      <c r="U330" s="573">
        <v>105.9</v>
      </c>
      <c r="V330" s="573">
        <v>15.7</v>
      </c>
      <c r="W330" s="616">
        <v>4620</v>
      </c>
      <c r="X330" s="617">
        <v>24</v>
      </c>
      <c r="Y330" s="617" t="s">
        <v>178</v>
      </c>
      <c r="Z330" s="617" t="s">
        <v>178</v>
      </c>
      <c r="AA330" s="618">
        <v>25100</v>
      </c>
      <c r="AB330" s="618" t="s">
        <v>164</v>
      </c>
      <c r="AC330" s="618">
        <v>20729</v>
      </c>
      <c r="AD330" s="619">
        <v>0.05</v>
      </c>
      <c r="AE330" s="617" t="s">
        <v>1075</v>
      </c>
    </row>
    <row r="331" spans="1:31" s="572" customFormat="1">
      <c r="A331" s="570" t="s">
        <v>1080</v>
      </c>
      <c r="B331" s="569" t="s">
        <v>280</v>
      </c>
      <c r="C331" s="580">
        <v>27</v>
      </c>
      <c r="D331" s="569" t="s">
        <v>699</v>
      </c>
      <c r="E331" s="569" t="s">
        <v>152</v>
      </c>
      <c r="F331" s="569" t="s">
        <v>271</v>
      </c>
      <c r="G331" s="569">
        <v>2019</v>
      </c>
      <c r="H331" s="569" t="s">
        <v>1076</v>
      </c>
      <c r="I331" s="569" t="s">
        <v>273</v>
      </c>
      <c r="J331" s="569" t="s">
        <v>156</v>
      </c>
      <c r="K331" s="569">
        <v>5</v>
      </c>
      <c r="L331" s="569">
        <v>0</v>
      </c>
      <c r="M331" s="569" t="s">
        <v>157</v>
      </c>
      <c r="N331" s="569">
        <v>2</v>
      </c>
      <c r="O331" s="569" t="s">
        <v>157</v>
      </c>
      <c r="P331" s="568" t="s">
        <v>157</v>
      </c>
      <c r="Q331" s="569" t="s">
        <v>189</v>
      </c>
      <c r="R331" s="569">
        <v>4</v>
      </c>
      <c r="S331" s="569" t="s">
        <v>1077</v>
      </c>
      <c r="T331" s="569" t="s">
        <v>276</v>
      </c>
      <c r="U331" s="569">
        <v>105.9</v>
      </c>
      <c r="V331" s="569">
        <v>15.7</v>
      </c>
      <c r="W331" s="620">
        <v>4620</v>
      </c>
      <c r="X331" s="621">
        <v>24</v>
      </c>
      <c r="Y331" s="621" t="s">
        <v>178</v>
      </c>
      <c r="Z331" s="621" t="s">
        <v>178</v>
      </c>
      <c r="AA331" s="622">
        <v>25100</v>
      </c>
      <c r="AB331" s="622" t="s">
        <v>164</v>
      </c>
      <c r="AC331" s="622">
        <v>19835.083333333336</v>
      </c>
      <c r="AD331" s="623">
        <v>0.03</v>
      </c>
      <c r="AE331" s="621" t="s">
        <v>1075</v>
      </c>
    </row>
    <row r="332" spans="1:31" s="572" customFormat="1">
      <c r="A332" s="570" t="s">
        <v>1081</v>
      </c>
      <c r="B332" s="573" t="s">
        <v>269</v>
      </c>
      <c r="C332" s="578" t="s">
        <v>270</v>
      </c>
      <c r="D332" s="573" t="s">
        <v>699</v>
      </c>
      <c r="E332" s="573" t="s">
        <v>152</v>
      </c>
      <c r="F332" s="573" t="s">
        <v>271</v>
      </c>
      <c r="G332" s="573">
        <v>2019</v>
      </c>
      <c r="H332" s="573" t="s">
        <v>1076</v>
      </c>
      <c r="I332" s="573" t="s">
        <v>330</v>
      </c>
      <c r="J332" s="573" t="s">
        <v>752</v>
      </c>
      <c r="K332" s="573">
        <v>5</v>
      </c>
      <c r="L332" s="573">
        <v>0</v>
      </c>
      <c r="M332" s="573" t="s">
        <v>157</v>
      </c>
      <c r="N332" s="573">
        <v>2</v>
      </c>
      <c r="O332" s="573" t="s">
        <v>157</v>
      </c>
      <c r="P332" s="571" t="s">
        <v>157</v>
      </c>
      <c r="Q332" s="573" t="s">
        <v>205</v>
      </c>
      <c r="R332" s="573">
        <v>4</v>
      </c>
      <c r="S332" s="582" t="s">
        <v>1083</v>
      </c>
      <c r="T332" s="573" t="s">
        <v>295</v>
      </c>
      <c r="U332" s="573">
        <v>105.9</v>
      </c>
      <c r="V332" s="573">
        <v>15.7</v>
      </c>
      <c r="W332" s="616">
        <v>4840</v>
      </c>
      <c r="X332" s="617">
        <v>24</v>
      </c>
      <c r="Y332" s="617" t="s">
        <v>178</v>
      </c>
      <c r="Z332" s="617" t="s">
        <v>178</v>
      </c>
      <c r="AA332" s="618">
        <v>28995</v>
      </c>
      <c r="AB332" s="618" t="s">
        <v>164</v>
      </c>
      <c r="AC332" s="618">
        <v>23185.083333333336</v>
      </c>
      <c r="AD332" s="619">
        <v>0.03</v>
      </c>
      <c r="AE332" s="617" t="s">
        <v>1082</v>
      </c>
    </row>
    <row r="333" spans="1:31" s="572" customFormat="1">
      <c r="A333" s="570" t="s">
        <v>1084</v>
      </c>
      <c r="B333" s="569" t="s">
        <v>278</v>
      </c>
      <c r="C333" s="580">
        <v>15</v>
      </c>
      <c r="D333" s="569" t="s">
        <v>699</v>
      </c>
      <c r="E333" s="569" t="s">
        <v>152</v>
      </c>
      <c r="F333" s="569" t="s">
        <v>271</v>
      </c>
      <c r="G333" s="569">
        <v>2019</v>
      </c>
      <c r="H333" s="569" t="s">
        <v>1076</v>
      </c>
      <c r="I333" s="569" t="s">
        <v>330</v>
      </c>
      <c r="J333" s="569" t="s">
        <v>752</v>
      </c>
      <c r="K333" s="569">
        <v>5</v>
      </c>
      <c r="L333" s="569">
        <v>0</v>
      </c>
      <c r="M333" s="569" t="s">
        <v>157</v>
      </c>
      <c r="N333" s="569">
        <v>2</v>
      </c>
      <c r="O333" s="569" t="s">
        <v>157</v>
      </c>
      <c r="P333" s="568" t="s">
        <v>157</v>
      </c>
      <c r="Q333" s="569" t="s">
        <v>205</v>
      </c>
      <c r="R333" s="569">
        <v>4</v>
      </c>
      <c r="S333" s="569" t="s">
        <v>1083</v>
      </c>
      <c r="T333" s="569" t="s">
        <v>295</v>
      </c>
      <c r="U333" s="569">
        <v>105.9</v>
      </c>
      <c r="V333" s="569">
        <v>15.7</v>
      </c>
      <c r="W333" s="620">
        <v>4840</v>
      </c>
      <c r="X333" s="621">
        <v>24</v>
      </c>
      <c r="Y333" s="621" t="s">
        <v>178</v>
      </c>
      <c r="Z333" s="621" t="s">
        <v>178</v>
      </c>
      <c r="AA333" s="622">
        <v>28995</v>
      </c>
      <c r="AB333" s="622" t="s">
        <v>164</v>
      </c>
      <c r="AC333" s="622">
        <v>23995</v>
      </c>
      <c r="AD333" s="623">
        <v>0.01</v>
      </c>
      <c r="AE333" s="621" t="s">
        <v>1082</v>
      </c>
    </row>
    <row r="334" spans="1:31" s="572" customFormat="1">
      <c r="A334" s="570" t="s">
        <v>1085</v>
      </c>
      <c r="B334" s="573" t="s">
        <v>287</v>
      </c>
      <c r="C334" s="578">
        <v>26</v>
      </c>
      <c r="D334" s="573" t="s">
        <v>699</v>
      </c>
      <c r="E334" s="573" t="s">
        <v>152</v>
      </c>
      <c r="F334" s="573" t="s">
        <v>271</v>
      </c>
      <c r="G334" s="573">
        <v>2019</v>
      </c>
      <c r="H334" s="573" t="s">
        <v>1076</v>
      </c>
      <c r="I334" s="573" t="s">
        <v>330</v>
      </c>
      <c r="J334" s="573" t="s">
        <v>752</v>
      </c>
      <c r="K334" s="573">
        <v>5</v>
      </c>
      <c r="L334" s="573">
        <v>0</v>
      </c>
      <c r="M334" s="573" t="s">
        <v>157</v>
      </c>
      <c r="N334" s="573">
        <v>2</v>
      </c>
      <c r="O334" s="573" t="s">
        <v>157</v>
      </c>
      <c r="P334" s="571" t="s">
        <v>157</v>
      </c>
      <c r="Q334" s="573" t="s">
        <v>205</v>
      </c>
      <c r="R334" s="573">
        <v>4</v>
      </c>
      <c r="S334" s="582" t="s">
        <v>1083</v>
      </c>
      <c r="T334" s="573" t="s">
        <v>295</v>
      </c>
      <c r="U334" s="573">
        <v>105.9</v>
      </c>
      <c r="V334" s="573">
        <v>15.7</v>
      </c>
      <c r="W334" s="616">
        <v>4840</v>
      </c>
      <c r="X334" s="617">
        <v>24</v>
      </c>
      <c r="Y334" s="617" t="s">
        <v>178</v>
      </c>
      <c r="Z334" s="617" t="s">
        <v>178</v>
      </c>
      <c r="AA334" s="618">
        <v>28995</v>
      </c>
      <c r="AB334" s="618" t="s">
        <v>164</v>
      </c>
      <c r="AC334" s="618">
        <v>24215</v>
      </c>
      <c r="AD334" s="619">
        <v>0.05</v>
      </c>
      <c r="AE334" s="617" t="s">
        <v>1082</v>
      </c>
    </row>
    <row r="335" spans="1:31" s="572" customFormat="1">
      <c r="A335" s="570" t="s">
        <v>1086</v>
      </c>
      <c r="B335" s="569" t="s">
        <v>280</v>
      </c>
      <c r="C335" s="580">
        <v>27</v>
      </c>
      <c r="D335" s="569" t="s">
        <v>699</v>
      </c>
      <c r="E335" s="569" t="s">
        <v>152</v>
      </c>
      <c r="F335" s="569" t="s">
        <v>271</v>
      </c>
      <c r="G335" s="569">
        <v>2019</v>
      </c>
      <c r="H335" s="569" t="s">
        <v>1076</v>
      </c>
      <c r="I335" s="569" t="s">
        <v>330</v>
      </c>
      <c r="J335" s="569" t="s">
        <v>752</v>
      </c>
      <c r="K335" s="569">
        <v>5</v>
      </c>
      <c r="L335" s="569">
        <v>0</v>
      </c>
      <c r="M335" s="569" t="s">
        <v>157</v>
      </c>
      <c r="N335" s="569">
        <v>2</v>
      </c>
      <c r="O335" s="569" t="s">
        <v>157</v>
      </c>
      <c r="P335" s="568" t="s">
        <v>157</v>
      </c>
      <c r="Q335" s="569" t="s">
        <v>205</v>
      </c>
      <c r="R335" s="569">
        <v>4</v>
      </c>
      <c r="S335" s="569" t="s">
        <v>1083</v>
      </c>
      <c r="T335" s="569" t="s">
        <v>295</v>
      </c>
      <c r="U335" s="569">
        <v>105.9</v>
      </c>
      <c r="V335" s="569">
        <v>15.7</v>
      </c>
      <c r="W335" s="620">
        <v>4840</v>
      </c>
      <c r="X335" s="621">
        <v>24</v>
      </c>
      <c r="Y335" s="621" t="s">
        <v>178</v>
      </c>
      <c r="Z335" s="621" t="s">
        <v>178</v>
      </c>
      <c r="AA335" s="622">
        <v>28995</v>
      </c>
      <c r="AB335" s="622" t="s">
        <v>164</v>
      </c>
      <c r="AC335" s="622">
        <v>23185.083333333336</v>
      </c>
      <c r="AD335" s="623">
        <v>0.03</v>
      </c>
      <c r="AE335" s="621" t="s">
        <v>1082</v>
      </c>
    </row>
    <row r="336" spans="1:31" s="572" customFormat="1">
      <c r="A336" s="570" t="s">
        <v>1087</v>
      </c>
      <c r="B336" s="573" t="s">
        <v>269</v>
      </c>
      <c r="C336" s="578" t="s">
        <v>270</v>
      </c>
      <c r="D336" s="573" t="s">
        <v>699</v>
      </c>
      <c r="E336" s="573" t="s">
        <v>152</v>
      </c>
      <c r="F336" s="573" t="s">
        <v>271</v>
      </c>
      <c r="G336" s="573">
        <v>2019</v>
      </c>
      <c r="H336" s="573" t="s">
        <v>1076</v>
      </c>
      <c r="I336" s="573" t="s">
        <v>330</v>
      </c>
      <c r="J336" s="573" t="s">
        <v>156</v>
      </c>
      <c r="K336" s="573">
        <v>5</v>
      </c>
      <c r="L336" s="573">
        <v>0</v>
      </c>
      <c r="M336" s="573" t="s">
        <v>157</v>
      </c>
      <c r="N336" s="573">
        <v>2</v>
      </c>
      <c r="O336" s="573" t="s">
        <v>157</v>
      </c>
      <c r="P336" s="571" t="s">
        <v>157</v>
      </c>
      <c r="Q336" s="573" t="s">
        <v>205</v>
      </c>
      <c r="R336" s="573">
        <v>4</v>
      </c>
      <c r="S336" s="582" t="s">
        <v>1089</v>
      </c>
      <c r="T336" s="573" t="s">
        <v>295</v>
      </c>
      <c r="U336" s="573">
        <v>105.9</v>
      </c>
      <c r="V336" s="573">
        <v>15.7</v>
      </c>
      <c r="W336" s="616">
        <v>4520</v>
      </c>
      <c r="X336" s="617">
        <v>26</v>
      </c>
      <c r="Y336" s="617" t="s">
        <v>178</v>
      </c>
      <c r="Z336" s="617" t="s">
        <v>178</v>
      </c>
      <c r="AA336" s="618">
        <v>27495</v>
      </c>
      <c r="AB336" s="618" t="s">
        <v>164</v>
      </c>
      <c r="AC336" s="618">
        <v>23673.625</v>
      </c>
      <c r="AD336" s="619">
        <v>0.03</v>
      </c>
      <c r="AE336" s="617" t="s">
        <v>1088</v>
      </c>
    </row>
    <row r="337" spans="1:31" s="572" customFormat="1">
      <c r="A337" s="570" t="s">
        <v>1090</v>
      </c>
      <c r="B337" s="569" t="s">
        <v>278</v>
      </c>
      <c r="C337" s="580">
        <v>15</v>
      </c>
      <c r="D337" s="569" t="s">
        <v>699</v>
      </c>
      <c r="E337" s="569" t="s">
        <v>152</v>
      </c>
      <c r="F337" s="569" t="s">
        <v>271</v>
      </c>
      <c r="G337" s="569">
        <v>2019</v>
      </c>
      <c r="H337" s="569" t="s">
        <v>1076</v>
      </c>
      <c r="I337" s="569" t="s">
        <v>330</v>
      </c>
      <c r="J337" s="569" t="s">
        <v>156</v>
      </c>
      <c r="K337" s="569">
        <v>5</v>
      </c>
      <c r="L337" s="569">
        <v>0</v>
      </c>
      <c r="M337" s="569" t="s">
        <v>157</v>
      </c>
      <c r="N337" s="569">
        <v>2</v>
      </c>
      <c r="O337" s="569" t="s">
        <v>157</v>
      </c>
      <c r="P337" s="568" t="s">
        <v>157</v>
      </c>
      <c r="Q337" s="569" t="s">
        <v>205</v>
      </c>
      <c r="R337" s="569">
        <v>4</v>
      </c>
      <c r="S337" s="569" t="s">
        <v>1089</v>
      </c>
      <c r="T337" s="569" t="s">
        <v>295</v>
      </c>
      <c r="U337" s="569">
        <v>105.9</v>
      </c>
      <c r="V337" s="569">
        <v>15.7</v>
      </c>
      <c r="W337" s="620">
        <v>4520</v>
      </c>
      <c r="X337" s="621">
        <v>26</v>
      </c>
      <c r="Y337" s="621" t="s">
        <v>178</v>
      </c>
      <c r="Z337" s="621" t="s">
        <v>178</v>
      </c>
      <c r="AA337" s="622">
        <v>27495</v>
      </c>
      <c r="AB337" s="622" t="s">
        <v>164</v>
      </c>
      <c r="AC337" s="622">
        <v>23950</v>
      </c>
      <c r="AD337" s="623">
        <v>0.01</v>
      </c>
      <c r="AE337" s="621" t="s">
        <v>1088</v>
      </c>
    </row>
    <row r="338" spans="1:31" s="572" customFormat="1">
      <c r="A338" s="570" t="s">
        <v>1091</v>
      </c>
      <c r="B338" s="573" t="s">
        <v>287</v>
      </c>
      <c r="C338" s="578">
        <v>26</v>
      </c>
      <c r="D338" s="573" t="s">
        <v>699</v>
      </c>
      <c r="E338" s="573" t="s">
        <v>152</v>
      </c>
      <c r="F338" s="573" t="s">
        <v>271</v>
      </c>
      <c r="G338" s="573">
        <v>2019</v>
      </c>
      <c r="H338" s="573" t="s">
        <v>1076</v>
      </c>
      <c r="I338" s="573" t="s">
        <v>330</v>
      </c>
      <c r="J338" s="573" t="s">
        <v>156</v>
      </c>
      <c r="K338" s="573">
        <v>5</v>
      </c>
      <c r="L338" s="573">
        <v>0</v>
      </c>
      <c r="M338" s="573" t="s">
        <v>157</v>
      </c>
      <c r="N338" s="573">
        <v>2</v>
      </c>
      <c r="O338" s="573" t="s">
        <v>157</v>
      </c>
      <c r="P338" s="571" t="s">
        <v>157</v>
      </c>
      <c r="Q338" s="573" t="s">
        <v>205</v>
      </c>
      <c r="R338" s="573">
        <v>4</v>
      </c>
      <c r="S338" s="582" t="s">
        <v>1089</v>
      </c>
      <c r="T338" s="573" t="s">
        <v>295</v>
      </c>
      <c r="U338" s="573">
        <v>105.9</v>
      </c>
      <c r="V338" s="573">
        <v>15.7</v>
      </c>
      <c r="W338" s="616">
        <v>4520</v>
      </c>
      <c r="X338" s="617">
        <v>26</v>
      </c>
      <c r="Y338" s="617" t="s">
        <v>178</v>
      </c>
      <c r="Z338" s="617" t="s">
        <v>178</v>
      </c>
      <c r="AA338" s="618">
        <v>27495</v>
      </c>
      <c r="AB338" s="618" t="s">
        <v>164</v>
      </c>
      <c r="AC338" s="618">
        <v>24723</v>
      </c>
      <c r="AD338" s="619">
        <v>0.05</v>
      </c>
      <c r="AE338" s="617" t="s">
        <v>1088</v>
      </c>
    </row>
    <row r="339" spans="1:31" s="572" customFormat="1">
      <c r="A339" s="570" t="s">
        <v>1092</v>
      </c>
      <c r="B339" s="569" t="s">
        <v>280</v>
      </c>
      <c r="C339" s="580">
        <v>27</v>
      </c>
      <c r="D339" s="569" t="s">
        <v>699</v>
      </c>
      <c r="E339" s="569" t="s">
        <v>152</v>
      </c>
      <c r="F339" s="569" t="s">
        <v>271</v>
      </c>
      <c r="G339" s="569">
        <v>2019</v>
      </c>
      <c r="H339" s="569" t="s">
        <v>1076</v>
      </c>
      <c r="I339" s="569" t="s">
        <v>330</v>
      </c>
      <c r="J339" s="569" t="s">
        <v>156</v>
      </c>
      <c r="K339" s="569">
        <v>5</v>
      </c>
      <c r="L339" s="569">
        <v>0</v>
      </c>
      <c r="M339" s="569" t="s">
        <v>157</v>
      </c>
      <c r="N339" s="569">
        <v>2</v>
      </c>
      <c r="O339" s="569" t="s">
        <v>157</v>
      </c>
      <c r="P339" s="568" t="s">
        <v>157</v>
      </c>
      <c r="Q339" s="569" t="s">
        <v>205</v>
      </c>
      <c r="R339" s="569">
        <v>4</v>
      </c>
      <c r="S339" s="569" t="s">
        <v>1089</v>
      </c>
      <c r="T339" s="569" t="s">
        <v>295</v>
      </c>
      <c r="U339" s="569">
        <v>105.9</v>
      </c>
      <c r="V339" s="569">
        <v>15.7</v>
      </c>
      <c r="W339" s="620">
        <v>4520</v>
      </c>
      <c r="X339" s="621">
        <v>26</v>
      </c>
      <c r="Y339" s="621" t="s">
        <v>178</v>
      </c>
      <c r="Z339" s="621" t="s">
        <v>178</v>
      </c>
      <c r="AA339" s="622">
        <v>27495</v>
      </c>
      <c r="AB339" s="622" t="s">
        <v>164</v>
      </c>
      <c r="AC339" s="622">
        <v>23673.625</v>
      </c>
      <c r="AD339" s="623">
        <v>0.03</v>
      </c>
      <c r="AE339" s="621" t="s">
        <v>1088</v>
      </c>
    </row>
    <row r="340" spans="1:31" s="572" customFormat="1">
      <c r="A340" s="570" t="s">
        <v>1093</v>
      </c>
      <c r="B340" s="573" t="s">
        <v>269</v>
      </c>
      <c r="C340" s="578" t="s">
        <v>270</v>
      </c>
      <c r="D340" s="573" t="s">
        <v>699</v>
      </c>
      <c r="E340" s="573" t="s">
        <v>152</v>
      </c>
      <c r="F340" s="573" t="s">
        <v>271</v>
      </c>
      <c r="G340" s="573">
        <v>2019</v>
      </c>
      <c r="H340" s="573" t="s">
        <v>1076</v>
      </c>
      <c r="I340" s="573" t="s">
        <v>337</v>
      </c>
      <c r="J340" s="573" t="s">
        <v>752</v>
      </c>
      <c r="K340" s="573">
        <v>5</v>
      </c>
      <c r="L340" s="573">
        <v>0</v>
      </c>
      <c r="M340" s="573" t="s">
        <v>157</v>
      </c>
      <c r="N340" s="573">
        <v>2</v>
      </c>
      <c r="O340" s="573" t="s">
        <v>157</v>
      </c>
      <c r="P340" s="571" t="s">
        <v>157</v>
      </c>
      <c r="Q340" s="573" t="s">
        <v>205</v>
      </c>
      <c r="R340" s="573">
        <v>4</v>
      </c>
      <c r="S340" s="582" t="s">
        <v>1095</v>
      </c>
      <c r="T340" s="573" t="s">
        <v>318</v>
      </c>
      <c r="U340" s="573">
        <v>105.9</v>
      </c>
      <c r="V340" s="573">
        <v>15.7</v>
      </c>
      <c r="W340" s="616">
        <v>4840</v>
      </c>
      <c r="X340" s="617">
        <v>24</v>
      </c>
      <c r="Y340" s="617" t="s">
        <v>178</v>
      </c>
      <c r="Z340" s="617" t="s">
        <v>178</v>
      </c>
      <c r="AA340" s="618">
        <v>30940</v>
      </c>
      <c r="AB340" s="618" t="s">
        <v>164</v>
      </c>
      <c r="AC340" s="618">
        <v>26858.6875</v>
      </c>
      <c r="AD340" s="619">
        <v>0.03</v>
      </c>
      <c r="AE340" s="617" t="s">
        <v>1094</v>
      </c>
    </row>
    <row r="341" spans="1:31" s="572" customFormat="1">
      <c r="A341" s="570" t="s">
        <v>1096</v>
      </c>
      <c r="B341" s="569" t="s">
        <v>269</v>
      </c>
      <c r="C341" s="580" t="s">
        <v>270</v>
      </c>
      <c r="D341" s="569" t="s">
        <v>699</v>
      </c>
      <c r="E341" s="569" t="s">
        <v>152</v>
      </c>
      <c r="F341" s="569" t="s">
        <v>271</v>
      </c>
      <c r="G341" s="569">
        <v>2019</v>
      </c>
      <c r="H341" s="569" t="s">
        <v>1076</v>
      </c>
      <c r="I341" s="569" t="s">
        <v>337</v>
      </c>
      <c r="J341" s="569" t="s">
        <v>752</v>
      </c>
      <c r="K341" s="569">
        <v>5</v>
      </c>
      <c r="L341" s="569">
        <v>0</v>
      </c>
      <c r="M341" s="569" t="s">
        <v>157</v>
      </c>
      <c r="N341" s="569">
        <v>2</v>
      </c>
      <c r="O341" s="569" t="s">
        <v>157</v>
      </c>
      <c r="P341" s="568" t="s">
        <v>157</v>
      </c>
      <c r="Q341" s="569" t="s">
        <v>352</v>
      </c>
      <c r="R341" s="569">
        <v>4</v>
      </c>
      <c r="S341" s="569" t="s">
        <v>1095</v>
      </c>
      <c r="T341" s="569" t="s">
        <v>318</v>
      </c>
      <c r="U341" s="569">
        <v>105.9</v>
      </c>
      <c r="V341" s="569">
        <v>15.7</v>
      </c>
      <c r="W341" s="620">
        <v>4840</v>
      </c>
      <c r="X341" s="621">
        <v>23</v>
      </c>
      <c r="Y341" s="621" t="s">
        <v>178</v>
      </c>
      <c r="Z341" s="621" t="s">
        <v>178</v>
      </c>
      <c r="AA341" s="622">
        <v>32435</v>
      </c>
      <c r="AB341" s="622" t="s">
        <v>164</v>
      </c>
      <c r="AC341" s="622">
        <v>28232.645833333336</v>
      </c>
      <c r="AD341" s="623">
        <v>0.03</v>
      </c>
      <c r="AE341" s="621" t="s">
        <v>1097</v>
      </c>
    </row>
    <row r="342" spans="1:31" s="572" customFormat="1">
      <c r="A342" s="570" t="s">
        <v>1098</v>
      </c>
      <c r="B342" s="573" t="s">
        <v>278</v>
      </c>
      <c r="C342" s="578">
        <v>15</v>
      </c>
      <c r="D342" s="573" t="s">
        <v>699</v>
      </c>
      <c r="E342" s="573" t="s">
        <v>152</v>
      </c>
      <c r="F342" s="573" t="s">
        <v>271</v>
      </c>
      <c r="G342" s="573">
        <v>2019</v>
      </c>
      <c r="H342" s="573" t="s">
        <v>1076</v>
      </c>
      <c r="I342" s="573" t="s">
        <v>337</v>
      </c>
      <c r="J342" s="573" t="s">
        <v>752</v>
      </c>
      <c r="K342" s="573">
        <v>5</v>
      </c>
      <c r="L342" s="573">
        <v>0</v>
      </c>
      <c r="M342" s="573" t="s">
        <v>157</v>
      </c>
      <c r="N342" s="573">
        <v>2</v>
      </c>
      <c r="O342" s="573" t="s">
        <v>157</v>
      </c>
      <c r="P342" s="571" t="s">
        <v>157</v>
      </c>
      <c r="Q342" s="573" t="s">
        <v>205</v>
      </c>
      <c r="R342" s="573">
        <v>4</v>
      </c>
      <c r="S342" s="582" t="s">
        <v>1095</v>
      </c>
      <c r="T342" s="573" t="s">
        <v>318</v>
      </c>
      <c r="U342" s="573">
        <v>105.9</v>
      </c>
      <c r="V342" s="573">
        <v>15.7</v>
      </c>
      <c r="W342" s="616">
        <v>4840</v>
      </c>
      <c r="X342" s="617">
        <v>24</v>
      </c>
      <c r="Y342" s="617" t="s">
        <v>178</v>
      </c>
      <c r="Z342" s="617" t="s">
        <v>178</v>
      </c>
      <c r="AA342" s="618">
        <v>30940</v>
      </c>
      <c r="AB342" s="618" t="s">
        <v>164</v>
      </c>
      <c r="AC342" s="618">
        <v>27250</v>
      </c>
      <c r="AD342" s="619">
        <v>0.01</v>
      </c>
      <c r="AE342" s="617" t="s">
        <v>1094</v>
      </c>
    </row>
    <row r="343" spans="1:31" s="572" customFormat="1">
      <c r="A343" s="570" t="s">
        <v>1099</v>
      </c>
      <c r="B343" s="569" t="s">
        <v>287</v>
      </c>
      <c r="C343" s="580">
        <v>26</v>
      </c>
      <c r="D343" s="569" t="s">
        <v>699</v>
      </c>
      <c r="E343" s="569" t="s">
        <v>152</v>
      </c>
      <c r="F343" s="569" t="s">
        <v>271</v>
      </c>
      <c r="G343" s="569">
        <v>2019</v>
      </c>
      <c r="H343" s="569" t="s">
        <v>1076</v>
      </c>
      <c r="I343" s="569" t="s">
        <v>337</v>
      </c>
      <c r="J343" s="569" t="s">
        <v>752</v>
      </c>
      <c r="K343" s="569">
        <v>5</v>
      </c>
      <c r="L343" s="569">
        <v>0</v>
      </c>
      <c r="M343" s="569" t="s">
        <v>157</v>
      </c>
      <c r="N343" s="569">
        <v>2</v>
      </c>
      <c r="O343" s="569" t="s">
        <v>157</v>
      </c>
      <c r="P343" s="568" t="s">
        <v>157</v>
      </c>
      <c r="Q343" s="569" t="s">
        <v>205</v>
      </c>
      <c r="R343" s="569">
        <v>4</v>
      </c>
      <c r="S343" s="569" t="s">
        <v>1095</v>
      </c>
      <c r="T343" s="569" t="s">
        <v>318</v>
      </c>
      <c r="U343" s="569">
        <v>105.9</v>
      </c>
      <c r="V343" s="569">
        <v>15.7</v>
      </c>
      <c r="W343" s="620">
        <v>4840</v>
      </c>
      <c r="X343" s="621">
        <v>24</v>
      </c>
      <c r="Y343" s="621" t="s">
        <v>178</v>
      </c>
      <c r="Z343" s="621" t="s">
        <v>178</v>
      </c>
      <c r="AA343" s="622">
        <v>30940</v>
      </c>
      <c r="AB343" s="622" t="s">
        <v>164</v>
      </c>
      <c r="AC343" s="622">
        <v>28035</v>
      </c>
      <c r="AD343" s="623">
        <v>0.05</v>
      </c>
      <c r="AE343" s="621" t="s">
        <v>1094</v>
      </c>
    </row>
    <row r="344" spans="1:31" s="572" customFormat="1">
      <c r="A344" s="570" t="s">
        <v>1100</v>
      </c>
      <c r="B344" s="573" t="s">
        <v>280</v>
      </c>
      <c r="C344" s="578">
        <v>27</v>
      </c>
      <c r="D344" s="573" t="s">
        <v>699</v>
      </c>
      <c r="E344" s="573" t="s">
        <v>152</v>
      </c>
      <c r="F344" s="573" t="s">
        <v>271</v>
      </c>
      <c r="G344" s="573">
        <v>2019</v>
      </c>
      <c r="H344" s="573" t="s">
        <v>1076</v>
      </c>
      <c r="I344" s="573" t="s">
        <v>337</v>
      </c>
      <c r="J344" s="573" t="s">
        <v>752</v>
      </c>
      <c r="K344" s="573">
        <v>5</v>
      </c>
      <c r="L344" s="573">
        <v>0</v>
      </c>
      <c r="M344" s="573" t="s">
        <v>157</v>
      </c>
      <c r="N344" s="573">
        <v>2</v>
      </c>
      <c r="O344" s="573" t="s">
        <v>157</v>
      </c>
      <c r="P344" s="571" t="s">
        <v>157</v>
      </c>
      <c r="Q344" s="573" t="s">
        <v>205</v>
      </c>
      <c r="R344" s="573">
        <v>4</v>
      </c>
      <c r="S344" s="582" t="s">
        <v>1095</v>
      </c>
      <c r="T344" s="573" t="s">
        <v>318</v>
      </c>
      <c r="U344" s="573">
        <v>105.9</v>
      </c>
      <c r="V344" s="573">
        <v>15.7</v>
      </c>
      <c r="W344" s="616">
        <v>4840</v>
      </c>
      <c r="X344" s="617">
        <v>24</v>
      </c>
      <c r="Y344" s="617" t="s">
        <v>178</v>
      </c>
      <c r="Z344" s="617" t="s">
        <v>178</v>
      </c>
      <c r="AA344" s="618">
        <v>30940</v>
      </c>
      <c r="AB344" s="618" t="s">
        <v>164</v>
      </c>
      <c r="AC344" s="618">
        <v>26858.6875</v>
      </c>
      <c r="AD344" s="619">
        <v>0.03</v>
      </c>
      <c r="AE344" s="617" t="s">
        <v>1094</v>
      </c>
    </row>
    <row r="345" spans="1:31" s="572" customFormat="1">
      <c r="A345" s="570" t="s">
        <v>1101</v>
      </c>
      <c r="B345" s="569" t="s">
        <v>280</v>
      </c>
      <c r="C345" s="580">
        <v>27</v>
      </c>
      <c r="D345" s="569" t="s">
        <v>699</v>
      </c>
      <c r="E345" s="569" t="s">
        <v>152</v>
      </c>
      <c r="F345" s="569" t="s">
        <v>271</v>
      </c>
      <c r="G345" s="569">
        <v>2019</v>
      </c>
      <c r="H345" s="569" t="s">
        <v>1076</v>
      </c>
      <c r="I345" s="569" t="s">
        <v>337</v>
      </c>
      <c r="J345" s="569" t="s">
        <v>752</v>
      </c>
      <c r="K345" s="569">
        <v>5</v>
      </c>
      <c r="L345" s="569">
        <v>0</v>
      </c>
      <c r="M345" s="569" t="s">
        <v>157</v>
      </c>
      <c r="N345" s="569">
        <v>2</v>
      </c>
      <c r="O345" s="569" t="s">
        <v>157</v>
      </c>
      <c r="P345" s="568" t="s">
        <v>157</v>
      </c>
      <c r="Q345" s="569" t="s">
        <v>352</v>
      </c>
      <c r="R345" s="569">
        <v>4</v>
      </c>
      <c r="S345" s="569" t="s">
        <v>1095</v>
      </c>
      <c r="T345" s="569" t="s">
        <v>318</v>
      </c>
      <c r="U345" s="569">
        <v>105.9</v>
      </c>
      <c r="V345" s="569">
        <v>15.7</v>
      </c>
      <c r="W345" s="620">
        <v>4840</v>
      </c>
      <c r="X345" s="621">
        <v>23</v>
      </c>
      <c r="Y345" s="621" t="s">
        <v>178</v>
      </c>
      <c r="Z345" s="621" t="s">
        <v>178</v>
      </c>
      <c r="AA345" s="622">
        <v>32435</v>
      </c>
      <c r="AB345" s="622" t="s">
        <v>164</v>
      </c>
      <c r="AC345" s="622">
        <v>28232.645833333336</v>
      </c>
      <c r="AD345" s="623">
        <v>0.03</v>
      </c>
      <c r="AE345" s="621" t="s">
        <v>1097</v>
      </c>
    </row>
    <row r="346" spans="1:31" s="572" customFormat="1">
      <c r="A346" s="570" t="s">
        <v>1102</v>
      </c>
      <c r="B346" s="573" t="s">
        <v>287</v>
      </c>
      <c r="C346" s="578">
        <v>26</v>
      </c>
      <c r="D346" s="573" t="s">
        <v>699</v>
      </c>
      <c r="E346" s="573" t="s">
        <v>152</v>
      </c>
      <c r="F346" s="573" t="s">
        <v>271</v>
      </c>
      <c r="G346" s="573">
        <v>2019</v>
      </c>
      <c r="H346" s="573" t="s">
        <v>1076</v>
      </c>
      <c r="I346" s="573" t="s">
        <v>337</v>
      </c>
      <c r="J346" s="573" t="s">
        <v>156</v>
      </c>
      <c r="K346" s="573">
        <v>5</v>
      </c>
      <c r="L346" s="573">
        <v>0</v>
      </c>
      <c r="M346" s="573" t="s">
        <v>157</v>
      </c>
      <c r="N346" s="573">
        <v>2</v>
      </c>
      <c r="O346" s="573" t="s">
        <v>157</v>
      </c>
      <c r="P346" s="571" t="s">
        <v>157</v>
      </c>
      <c r="Q346" s="573" t="s">
        <v>205</v>
      </c>
      <c r="R346" s="573">
        <v>4</v>
      </c>
      <c r="S346" s="582" t="s">
        <v>1104</v>
      </c>
      <c r="T346" s="573" t="s">
        <v>318</v>
      </c>
      <c r="U346" s="573">
        <v>105.9</v>
      </c>
      <c r="V346" s="573">
        <v>15.7</v>
      </c>
      <c r="W346" s="616">
        <v>4620</v>
      </c>
      <c r="X346" s="617">
        <v>26</v>
      </c>
      <c r="Y346" s="617" t="s">
        <v>178</v>
      </c>
      <c r="Z346" s="617" t="s">
        <v>178</v>
      </c>
      <c r="AA346" s="618">
        <v>29440</v>
      </c>
      <c r="AB346" s="618" t="s">
        <v>164</v>
      </c>
      <c r="AC346" s="618">
        <v>26592</v>
      </c>
      <c r="AD346" s="619">
        <v>0.05</v>
      </c>
      <c r="AE346" s="617" t="s">
        <v>1103</v>
      </c>
    </row>
    <row r="347" spans="1:31" s="572" customFormat="1">
      <c r="A347" s="570" t="s">
        <v>1105</v>
      </c>
      <c r="B347" s="569" t="s">
        <v>269</v>
      </c>
      <c r="C347" s="580" t="s">
        <v>270</v>
      </c>
      <c r="D347" s="569" t="s">
        <v>699</v>
      </c>
      <c r="E347" s="569" t="s">
        <v>152</v>
      </c>
      <c r="F347" s="569" t="s">
        <v>271</v>
      </c>
      <c r="G347" s="569">
        <v>2019</v>
      </c>
      <c r="H347" s="569" t="s">
        <v>1076</v>
      </c>
      <c r="I347" s="569" t="s">
        <v>418</v>
      </c>
      <c r="J347" s="569" t="s">
        <v>752</v>
      </c>
      <c r="K347" s="569">
        <v>5</v>
      </c>
      <c r="L347" s="569">
        <v>0</v>
      </c>
      <c r="M347" s="569" t="s">
        <v>157</v>
      </c>
      <c r="N347" s="569">
        <v>2</v>
      </c>
      <c r="O347" s="569" t="s">
        <v>157</v>
      </c>
      <c r="P347" s="568" t="s">
        <v>157</v>
      </c>
      <c r="Q347" s="569" t="s">
        <v>1027</v>
      </c>
      <c r="R347" s="569">
        <v>4</v>
      </c>
      <c r="S347" s="569" t="s">
        <v>1107</v>
      </c>
      <c r="T347" s="569" t="s">
        <v>310</v>
      </c>
      <c r="U347" s="569">
        <v>105.9</v>
      </c>
      <c r="V347" s="569">
        <v>15.7</v>
      </c>
      <c r="W347" s="620">
        <v>4840</v>
      </c>
      <c r="X347" s="621">
        <v>23</v>
      </c>
      <c r="Y347" s="621" t="s">
        <v>178</v>
      </c>
      <c r="Z347" s="621" t="s">
        <v>178</v>
      </c>
      <c r="AA347" s="622">
        <v>35115</v>
      </c>
      <c r="AB347" s="622" t="s">
        <v>164</v>
      </c>
      <c r="AC347" s="622">
        <v>30718.416666666668</v>
      </c>
      <c r="AD347" s="623">
        <v>0.03</v>
      </c>
      <c r="AE347" s="621" t="s">
        <v>1106</v>
      </c>
    </row>
    <row r="348" spans="1:31" s="572" customFormat="1">
      <c r="A348" s="570" t="s">
        <v>1108</v>
      </c>
      <c r="B348" s="573" t="s">
        <v>278</v>
      </c>
      <c r="C348" s="578">
        <v>15</v>
      </c>
      <c r="D348" s="573" t="s">
        <v>699</v>
      </c>
      <c r="E348" s="573" t="s">
        <v>152</v>
      </c>
      <c r="F348" s="573" t="s">
        <v>271</v>
      </c>
      <c r="G348" s="573">
        <v>2019</v>
      </c>
      <c r="H348" s="573" t="s">
        <v>1076</v>
      </c>
      <c r="I348" s="573" t="s">
        <v>418</v>
      </c>
      <c r="J348" s="573" t="s">
        <v>752</v>
      </c>
      <c r="K348" s="573">
        <v>5</v>
      </c>
      <c r="L348" s="573">
        <v>0</v>
      </c>
      <c r="M348" s="573" t="s">
        <v>157</v>
      </c>
      <c r="N348" s="573">
        <v>2</v>
      </c>
      <c r="O348" s="573" t="s">
        <v>157</v>
      </c>
      <c r="P348" s="571" t="s">
        <v>157</v>
      </c>
      <c r="Q348" s="573" t="s">
        <v>189</v>
      </c>
      <c r="R348" s="573">
        <v>4</v>
      </c>
      <c r="S348" s="582" t="s">
        <v>1107</v>
      </c>
      <c r="T348" s="573" t="s">
        <v>310</v>
      </c>
      <c r="U348" s="573">
        <v>105.9</v>
      </c>
      <c r="V348" s="573">
        <v>15.7</v>
      </c>
      <c r="W348" s="616">
        <v>4840</v>
      </c>
      <c r="X348" s="617">
        <v>24</v>
      </c>
      <c r="Y348" s="617" t="s">
        <v>178</v>
      </c>
      <c r="Z348" s="617" t="s">
        <v>178</v>
      </c>
      <c r="AA348" s="618">
        <v>35115</v>
      </c>
      <c r="AB348" s="618" t="s">
        <v>164</v>
      </c>
      <c r="AC348" s="618">
        <v>31150</v>
      </c>
      <c r="AD348" s="619">
        <v>0.01</v>
      </c>
      <c r="AE348" s="617" t="s">
        <v>1109</v>
      </c>
    </row>
    <row r="349" spans="1:31" s="572" customFormat="1">
      <c r="A349" s="570" t="s">
        <v>1110</v>
      </c>
      <c r="B349" s="569" t="s">
        <v>287</v>
      </c>
      <c r="C349" s="580">
        <v>26</v>
      </c>
      <c r="D349" s="569" t="s">
        <v>699</v>
      </c>
      <c r="E349" s="569" t="s">
        <v>152</v>
      </c>
      <c r="F349" s="569" t="s">
        <v>271</v>
      </c>
      <c r="G349" s="569">
        <v>2019</v>
      </c>
      <c r="H349" s="569" t="s">
        <v>1076</v>
      </c>
      <c r="I349" s="569" t="s">
        <v>418</v>
      </c>
      <c r="J349" s="569" t="s">
        <v>752</v>
      </c>
      <c r="K349" s="569">
        <v>5</v>
      </c>
      <c r="L349" s="569">
        <v>0</v>
      </c>
      <c r="M349" s="569" t="s">
        <v>157</v>
      </c>
      <c r="N349" s="569">
        <v>2</v>
      </c>
      <c r="O349" s="569" t="s">
        <v>157</v>
      </c>
      <c r="P349" s="568" t="s">
        <v>157</v>
      </c>
      <c r="Q349" s="569" t="s">
        <v>205</v>
      </c>
      <c r="R349" s="569">
        <v>4</v>
      </c>
      <c r="S349" s="569" t="s">
        <v>1107</v>
      </c>
      <c r="T349" s="569" t="s">
        <v>310</v>
      </c>
      <c r="U349" s="569">
        <v>105.9</v>
      </c>
      <c r="V349" s="569">
        <v>15.7</v>
      </c>
      <c r="W349" s="620">
        <v>4840</v>
      </c>
      <c r="X349" s="621">
        <v>24</v>
      </c>
      <c r="Y349" s="621" t="s">
        <v>178</v>
      </c>
      <c r="Z349" s="621" t="s">
        <v>178</v>
      </c>
      <c r="AA349" s="622">
        <v>35115</v>
      </c>
      <c r="AB349" s="622" t="s">
        <v>164</v>
      </c>
      <c r="AC349" s="622">
        <v>32052</v>
      </c>
      <c r="AD349" s="623">
        <v>0.05</v>
      </c>
      <c r="AE349" s="621" t="s">
        <v>1111</v>
      </c>
    </row>
    <row r="350" spans="1:31" s="572" customFormat="1">
      <c r="A350" s="570" t="s">
        <v>1112</v>
      </c>
      <c r="B350" s="573" t="s">
        <v>280</v>
      </c>
      <c r="C350" s="578">
        <v>27</v>
      </c>
      <c r="D350" s="573" t="s">
        <v>699</v>
      </c>
      <c r="E350" s="573" t="s">
        <v>152</v>
      </c>
      <c r="F350" s="573" t="s">
        <v>271</v>
      </c>
      <c r="G350" s="573">
        <v>2019</v>
      </c>
      <c r="H350" s="573" t="s">
        <v>1076</v>
      </c>
      <c r="I350" s="573" t="s">
        <v>418</v>
      </c>
      <c r="J350" s="573" t="s">
        <v>752</v>
      </c>
      <c r="K350" s="573">
        <v>5</v>
      </c>
      <c r="L350" s="573">
        <v>0</v>
      </c>
      <c r="M350" s="573" t="s">
        <v>157</v>
      </c>
      <c r="N350" s="573">
        <v>2</v>
      </c>
      <c r="O350" s="573" t="s">
        <v>157</v>
      </c>
      <c r="P350" s="571" t="s">
        <v>157</v>
      </c>
      <c r="Q350" s="573" t="s">
        <v>1027</v>
      </c>
      <c r="R350" s="573">
        <v>4</v>
      </c>
      <c r="S350" s="582" t="s">
        <v>1107</v>
      </c>
      <c r="T350" s="573" t="s">
        <v>310</v>
      </c>
      <c r="U350" s="573">
        <v>105.9</v>
      </c>
      <c r="V350" s="573">
        <v>15.7</v>
      </c>
      <c r="W350" s="616">
        <v>4840</v>
      </c>
      <c r="X350" s="617">
        <v>23</v>
      </c>
      <c r="Y350" s="617" t="s">
        <v>178</v>
      </c>
      <c r="Z350" s="617" t="s">
        <v>178</v>
      </c>
      <c r="AA350" s="618">
        <v>35115</v>
      </c>
      <c r="AB350" s="618" t="s">
        <v>164</v>
      </c>
      <c r="AC350" s="618">
        <v>30718.416666666668</v>
      </c>
      <c r="AD350" s="619">
        <v>0.03</v>
      </c>
      <c r="AE350" s="617" t="s">
        <v>1106</v>
      </c>
    </row>
    <row r="351" spans="1:31" s="572" customFormat="1">
      <c r="A351" s="570" t="s">
        <v>1113</v>
      </c>
      <c r="B351" s="569" t="s">
        <v>269</v>
      </c>
      <c r="C351" s="580" t="s">
        <v>270</v>
      </c>
      <c r="D351" s="569" t="s">
        <v>699</v>
      </c>
      <c r="E351" s="569" t="s">
        <v>152</v>
      </c>
      <c r="F351" s="569" t="s">
        <v>271</v>
      </c>
      <c r="G351" s="569">
        <v>2019</v>
      </c>
      <c r="H351" s="569" t="s">
        <v>1076</v>
      </c>
      <c r="I351" s="569" t="s">
        <v>418</v>
      </c>
      <c r="J351" s="569" t="s">
        <v>156</v>
      </c>
      <c r="K351" s="569">
        <v>5</v>
      </c>
      <c r="L351" s="569">
        <v>0</v>
      </c>
      <c r="M351" s="569" t="s">
        <v>157</v>
      </c>
      <c r="N351" s="569">
        <v>2</v>
      </c>
      <c r="O351" s="569" t="s">
        <v>157</v>
      </c>
      <c r="P351" s="568" t="s">
        <v>157</v>
      </c>
      <c r="Q351" s="569" t="s">
        <v>1027</v>
      </c>
      <c r="R351" s="569">
        <v>4</v>
      </c>
      <c r="S351" s="569" t="s">
        <v>1115</v>
      </c>
      <c r="T351" s="569" t="s">
        <v>310</v>
      </c>
      <c r="U351" s="569">
        <v>105.9</v>
      </c>
      <c r="V351" s="569">
        <v>15.7</v>
      </c>
      <c r="W351" s="620">
        <v>4620</v>
      </c>
      <c r="X351" s="621">
        <v>25</v>
      </c>
      <c r="Y351" s="621" t="s">
        <v>178</v>
      </c>
      <c r="Z351" s="621" t="s">
        <v>178</v>
      </c>
      <c r="AA351" s="622">
        <v>33615</v>
      </c>
      <c r="AB351" s="622" t="s">
        <v>164</v>
      </c>
      <c r="AC351" s="622">
        <v>29330.916666666668</v>
      </c>
      <c r="AD351" s="623">
        <v>0.03</v>
      </c>
      <c r="AE351" s="621" t="s">
        <v>1114</v>
      </c>
    </row>
    <row r="352" spans="1:31" s="572" customFormat="1">
      <c r="A352" s="570" t="s">
        <v>1116</v>
      </c>
      <c r="B352" s="573" t="s">
        <v>278</v>
      </c>
      <c r="C352" s="578">
        <v>15</v>
      </c>
      <c r="D352" s="573" t="s">
        <v>699</v>
      </c>
      <c r="E352" s="573" t="s">
        <v>152</v>
      </c>
      <c r="F352" s="573" t="s">
        <v>271</v>
      </c>
      <c r="G352" s="573">
        <v>2019</v>
      </c>
      <c r="H352" s="573" t="s">
        <v>1076</v>
      </c>
      <c r="I352" s="573" t="s">
        <v>418</v>
      </c>
      <c r="J352" s="573" t="s">
        <v>156</v>
      </c>
      <c r="K352" s="573">
        <v>5</v>
      </c>
      <c r="L352" s="573">
        <v>0</v>
      </c>
      <c r="M352" s="573" t="s">
        <v>157</v>
      </c>
      <c r="N352" s="573">
        <v>2</v>
      </c>
      <c r="O352" s="573" t="s">
        <v>157</v>
      </c>
      <c r="P352" s="571" t="s">
        <v>157</v>
      </c>
      <c r="Q352" s="573" t="s">
        <v>189</v>
      </c>
      <c r="R352" s="573">
        <v>4</v>
      </c>
      <c r="S352" s="582" t="s">
        <v>1115</v>
      </c>
      <c r="T352" s="573" t="s">
        <v>310</v>
      </c>
      <c r="U352" s="573">
        <v>105.9</v>
      </c>
      <c r="V352" s="573">
        <v>15.7</v>
      </c>
      <c r="W352" s="616">
        <v>4620</v>
      </c>
      <c r="X352" s="617">
        <v>26</v>
      </c>
      <c r="Y352" s="617" t="s">
        <v>178</v>
      </c>
      <c r="Z352" s="617" t="s">
        <v>178</v>
      </c>
      <c r="AA352" s="618">
        <v>33615</v>
      </c>
      <c r="AB352" s="618" t="s">
        <v>164</v>
      </c>
      <c r="AC352" s="618">
        <v>29750</v>
      </c>
      <c r="AD352" s="619">
        <v>0.01</v>
      </c>
      <c r="AE352" s="617" t="s">
        <v>1117</v>
      </c>
    </row>
    <row r="353" spans="1:31" s="572" customFormat="1">
      <c r="A353" s="570" t="s">
        <v>1118</v>
      </c>
      <c r="B353" s="569" t="s">
        <v>287</v>
      </c>
      <c r="C353" s="580">
        <v>26</v>
      </c>
      <c r="D353" s="569" t="s">
        <v>699</v>
      </c>
      <c r="E353" s="569" t="s">
        <v>152</v>
      </c>
      <c r="F353" s="569" t="s">
        <v>271</v>
      </c>
      <c r="G353" s="569">
        <v>2019</v>
      </c>
      <c r="H353" s="569" t="s">
        <v>1076</v>
      </c>
      <c r="I353" s="569" t="s">
        <v>418</v>
      </c>
      <c r="J353" s="569" t="s">
        <v>156</v>
      </c>
      <c r="K353" s="569">
        <v>5</v>
      </c>
      <c r="L353" s="569">
        <v>0</v>
      </c>
      <c r="M353" s="569" t="s">
        <v>157</v>
      </c>
      <c r="N353" s="569">
        <v>2</v>
      </c>
      <c r="O353" s="569" t="s">
        <v>157</v>
      </c>
      <c r="P353" s="568" t="s">
        <v>157</v>
      </c>
      <c r="Q353" s="569" t="s">
        <v>205</v>
      </c>
      <c r="R353" s="569">
        <v>4</v>
      </c>
      <c r="S353" s="569" t="s">
        <v>1115</v>
      </c>
      <c r="T353" s="569" t="s">
        <v>310</v>
      </c>
      <c r="U353" s="569">
        <v>105.9</v>
      </c>
      <c r="V353" s="569">
        <v>15.7</v>
      </c>
      <c r="W353" s="620">
        <v>4620</v>
      </c>
      <c r="X353" s="621">
        <v>26</v>
      </c>
      <c r="Y353" s="621" t="s">
        <v>178</v>
      </c>
      <c r="Z353" s="621" t="s">
        <v>178</v>
      </c>
      <c r="AA353" s="622">
        <v>33615</v>
      </c>
      <c r="AB353" s="622" t="s">
        <v>164</v>
      </c>
      <c r="AC353" s="622">
        <v>30608</v>
      </c>
      <c r="AD353" s="623">
        <v>0.05</v>
      </c>
      <c r="AE353" s="621" t="s">
        <v>1119</v>
      </c>
    </row>
    <row r="354" spans="1:31" s="572" customFormat="1">
      <c r="A354" s="570" t="s">
        <v>1120</v>
      </c>
      <c r="B354" s="573" t="s">
        <v>280</v>
      </c>
      <c r="C354" s="578">
        <v>27</v>
      </c>
      <c r="D354" s="573" t="s">
        <v>699</v>
      </c>
      <c r="E354" s="573" t="s">
        <v>152</v>
      </c>
      <c r="F354" s="573" t="s">
        <v>271</v>
      </c>
      <c r="G354" s="573">
        <v>2019</v>
      </c>
      <c r="H354" s="573" t="s">
        <v>1076</v>
      </c>
      <c r="I354" s="573" t="s">
        <v>418</v>
      </c>
      <c r="J354" s="573" t="s">
        <v>156</v>
      </c>
      <c r="K354" s="573">
        <v>5</v>
      </c>
      <c r="L354" s="573">
        <v>0</v>
      </c>
      <c r="M354" s="573" t="s">
        <v>157</v>
      </c>
      <c r="N354" s="573">
        <v>2</v>
      </c>
      <c r="O354" s="573" t="s">
        <v>157</v>
      </c>
      <c r="P354" s="571" t="s">
        <v>157</v>
      </c>
      <c r="Q354" s="573" t="s">
        <v>1027</v>
      </c>
      <c r="R354" s="573">
        <v>4</v>
      </c>
      <c r="S354" s="582" t="s">
        <v>1115</v>
      </c>
      <c r="T354" s="573" t="s">
        <v>310</v>
      </c>
      <c r="U354" s="573">
        <v>105.9</v>
      </c>
      <c r="V354" s="573">
        <v>15.7</v>
      </c>
      <c r="W354" s="616">
        <v>4620</v>
      </c>
      <c r="X354" s="617">
        <v>25</v>
      </c>
      <c r="Y354" s="617" t="s">
        <v>178</v>
      </c>
      <c r="Z354" s="617" t="s">
        <v>178</v>
      </c>
      <c r="AA354" s="618">
        <v>33615</v>
      </c>
      <c r="AB354" s="618" t="s">
        <v>164</v>
      </c>
      <c r="AC354" s="618">
        <v>29330.916666666668</v>
      </c>
      <c r="AD354" s="619">
        <v>0.03</v>
      </c>
      <c r="AE354" s="617" t="s">
        <v>1114</v>
      </c>
    </row>
    <row r="355" spans="1:31" s="572" customFormat="1">
      <c r="A355" s="570" t="s">
        <v>1121</v>
      </c>
      <c r="B355" s="569" t="s">
        <v>269</v>
      </c>
      <c r="C355" s="580" t="s">
        <v>270</v>
      </c>
      <c r="D355" s="569" t="s">
        <v>699</v>
      </c>
      <c r="E355" s="569" t="s">
        <v>187</v>
      </c>
      <c r="F355" s="569" t="s">
        <v>271</v>
      </c>
      <c r="G355" s="569">
        <v>2019</v>
      </c>
      <c r="H355" s="569" t="s">
        <v>1123</v>
      </c>
      <c r="I355" s="569" t="s">
        <v>315</v>
      </c>
      <c r="J355" s="569" t="s">
        <v>752</v>
      </c>
      <c r="K355" s="569">
        <v>8</v>
      </c>
      <c r="L355" s="569">
        <v>0</v>
      </c>
      <c r="M355" s="569" t="s">
        <v>157</v>
      </c>
      <c r="N355" s="569">
        <v>3</v>
      </c>
      <c r="O355" s="569" t="s">
        <v>157</v>
      </c>
      <c r="P355" s="568" t="s">
        <v>157</v>
      </c>
      <c r="Q355" s="569" t="s">
        <v>316</v>
      </c>
      <c r="R355" s="569">
        <v>6</v>
      </c>
      <c r="S355" s="569" t="s">
        <v>1124</v>
      </c>
      <c r="T355" s="569" t="s">
        <v>318</v>
      </c>
      <c r="U355" s="569">
        <v>122.5</v>
      </c>
      <c r="V355" s="569">
        <v>23.3</v>
      </c>
      <c r="W355" s="620">
        <v>7450</v>
      </c>
      <c r="X355" s="621">
        <v>19</v>
      </c>
      <c r="Y355" s="621" t="s">
        <v>178</v>
      </c>
      <c r="Z355" s="621" t="s">
        <v>178</v>
      </c>
      <c r="AA355" s="622">
        <v>67435</v>
      </c>
      <c r="AB355" s="622" t="s">
        <v>164</v>
      </c>
      <c r="AC355" s="622">
        <v>57095.5</v>
      </c>
      <c r="AD355" s="623">
        <v>0.03</v>
      </c>
      <c r="AE355" s="621" t="s">
        <v>1122</v>
      </c>
    </row>
    <row r="356" spans="1:31" s="572" customFormat="1">
      <c r="A356" s="570" t="s">
        <v>1125</v>
      </c>
      <c r="B356" s="573" t="s">
        <v>278</v>
      </c>
      <c r="C356" s="578">
        <v>15</v>
      </c>
      <c r="D356" s="573" t="s">
        <v>699</v>
      </c>
      <c r="E356" s="573" t="s">
        <v>187</v>
      </c>
      <c r="F356" s="573" t="s">
        <v>271</v>
      </c>
      <c r="G356" s="573">
        <v>2019</v>
      </c>
      <c r="H356" s="573" t="s">
        <v>1123</v>
      </c>
      <c r="I356" s="573" t="s">
        <v>315</v>
      </c>
      <c r="J356" s="573" t="s">
        <v>752</v>
      </c>
      <c r="K356" s="573">
        <v>8</v>
      </c>
      <c r="L356" s="573">
        <v>0</v>
      </c>
      <c r="M356" s="573" t="s">
        <v>157</v>
      </c>
      <c r="N356" s="573">
        <v>3</v>
      </c>
      <c r="O356" s="573" t="s">
        <v>157</v>
      </c>
      <c r="P356" s="571" t="s">
        <v>157</v>
      </c>
      <c r="Q356" s="573" t="s">
        <v>316</v>
      </c>
      <c r="R356" s="573">
        <v>6</v>
      </c>
      <c r="S356" s="582" t="s">
        <v>1124</v>
      </c>
      <c r="T356" s="573" t="s">
        <v>318</v>
      </c>
      <c r="U356" s="573">
        <v>122.5</v>
      </c>
      <c r="V356" s="573">
        <v>23.3</v>
      </c>
      <c r="W356" s="616">
        <v>7450</v>
      </c>
      <c r="X356" s="617">
        <v>19</v>
      </c>
      <c r="Y356" s="617" t="s">
        <v>178</v>
      </c>
      <c r="Z356" s="617" t="s">
        <v>178</v>
      </c>
      <c r="AA356" s="618">
        <v>67435</v>
      </c>
      <c r="AB356" s="618" t="s">
        <v>164</v>
      </c>
      <c r="AC356" s="618">
        <v>58100</v>
      </c>
      <c r="AD356" s="619">
        <v>0.01</v>
      </c>
      <c r="AE356" s="617" t="s">
        <v>1122</v>
      </c>
    </row>
    <row r="357" spans="1:31" s="572" customFormat="1">
      <c r="A357" s="570" t="s">
        <v>1126</v>
      </c>
      <c r="B357" s="569" t="s">
        <v>287</v>
      </c>
      <c r="C357" s="580">
        <v>26</v>
      </c>
      <c r="D357" s="569" t="s">
        <v>699</v>
      </c>
      <c r="E357" s="569" t="s">
        <v>187</v>
      </c>
      <c r="F357" s="569" t="s">
        <v>271</v>
      </c>
      <c r="G357" s="569">
        <v>2019</v>
      </c>
      <c r="H357" s="569" t="s">
        <v>1123</v>
      </c>
      <c r="I357" s="569" t="s">
        <v>315</v>
      </c>
      <c r="J357" s="569" t="s">
        <v>752</v>
      </c>
      <c r="K357" s="569">
        <v>8</v>
      </c>
      <c r="L357" s="569">
        <v>0</v>
      </c>
      <c r="M357" s="569" t="s">
        <v>157</v>
      </c>
      <c r="N357" s="569">
        <v>3</v>
      </c>
      <c r="O357" s="569" t="s">
        <v>157</v>
      </c>
      <c r="P357" s="568" t="s">
        <v>157</v>
      </c>
      <c r="Q357" s="569" t="s">
        <v>316</v>
      </c>
      <c r="R357" s="569">
        <v>6</v>
      </c>
      <c r="S357" s="569" t="s">
        <v>1124</v>
      </c>
      <c r="T357" s="569" t="s">
        <v>318</v>
      </c>
      <c r="U357" s="569">
        <v>122.5</v>
      </c>
      <c r="V357" s="569">
        <v>23.3</v>
      </c>
      <c r="W357" s="620">
        <v>7450</v>
      </c>
      <c r="X357" s="621">
        <v>19</v>
      </c>
      <c r="Y357" s="621" t="s">
        <v>178</v>
      </c>
      <c r="Z357" s="621" t="s">
        <v>178</v>
      </c>
      <c r="AA357" s="622">
        <v>67335</v>
      </c>
      <c r="AB357" s="622" t="s">
        <v>164</v>
      </c>
      <c r="AC357" s="622">
        <v>58825</v>
      </c>
      <c r="AD357" s="623">
        <v>0.05</v>
      </c>
      <c r="AE357" s="621" t="s">
        <v>1122</v>
      </c>
    </row>
    <row r="358" spans="1:31" s="572" customFormat="1">
      <c r="A358" s="570" t="s">
        <v>1127</v>
      </c>
      <c r="B358" s="573" t="s">
        <v>280</v>
      </c>
      <c r="C358" s="578">
        <v>27</v>
      </c>
      <c r="D358" s="573" t="s">
        <v>699</v>
      </c>
      <c r="E358" s="573" t="s">
        <v>187</v>
      </c>
      <c r="F358" s="573" t="s">
        <v>271</v>
      </c>
      <c r="G358" s="573">
        <v>2019</v>
      </c>
      <c r="H358" s="573" t="s">
        <v>1123</v>
      </c>
      <c r="I358" s="573" t="s">
        <v>315</v>
      </c>
      <c r="J358" s="573" t="s">
        <v>752</v>
      </c>
      <c r="K358" s="573">
        <v>8</v>
      </c>
      <c r="L358" s="573">
        <v>0</v>
      </c>
      <c r="M358" s="573" t="s">
        <v>157</v>
      </c>
      <c r="N358" s="573">
        <v>3</v>
      </c>
      <c r="O358" s="573" t="s">
        <v>157</v>
      </c>
      <c r="P358" s="571" t="s">
        <v>157</v>
      </c>
      <c r="Q358" s="573" t="s">
        <v>316</v>
      </c>
      <c r="R358" s="573">
        <v>6</v>
      </c>
      <c r="S358" s="582" t="s">
        <v>1124</v>
      </c>
      <c r="T358" s="573" t="s">
        <v>318</v>
      </c>
      <c r="U358" s="573">
        <v>122.5</v>
      </c>
      <c r="V358" s="573">
        <v>23.3</v>
      </c>
      <c r="W358" s="616">
        <v>7450</v>
      </c>
      <c r="X358" s="617">
        <v>19</v>
      </c>
      <c r="Y358" s="617" t="s">
        <v>178</v>
      </c>
      <c r="Z358" s="617" t="s">
        <v>178</v>
      </c>
      <c r="AA358" s="618">
        <v>67435</v>
      </c>
      <c r="AB358" s="618" t="s">
        <v>164</v>
      </c>
      <c r="AC358" s="618">
        <v>57095.5</v>
      </c>
      <c r="AD358" s="619">
        <v>0.03</v>
      </c>
      <c r="AE358" s="617" t="s">
        <v>1122</v>
      </c>
    </row>
    <row r="359" spans="1:31" s="572" customFormat="1">
      <c r="A359" s="570" t="s">
        <v>1128</v>
      </c>
      <c r="B359" s="569" t="s">
        <v>269</v>
      </c>
      <c r="C359" s="580" t="s">
        <v>270</v>
      </c>
      <c r="D359" s="569" t="s">
        <v>699</v>
      </c>
      <c r="E359" s="569" t="s">
        <v>187</v>
      </c>
      <c r="F359" s="569" t="s">
        <v>271</v>
      </c>
      <c r="G359" s="569">
        <v>2019</v>
      </c>
      <c r="H359" s="569" t="s">
        <v>1123</v>
      </c>
      <c r="I359" s="569" t="s">
        <v>315</v>
      </c>
      <c r="J359" s="569" t="s">
        <v>236</v>
      </c>
      <c r="K359" s="569">
        <v>8</v>
      </c>
      <c r="L359" s="569">
        <v>0</v>
      </c>
      <c r="M359" s="569" t="s">
        <v>157</v>
      </c>
      <c r="N359" s="569">
        <v>3</v>
      </c>
      <c r="O359" s="569" t="s">
        <v>157</v>
      </c>
      <c r="P359" s="568" t="s">
        <v>157</v>
      </c>
      <c r="Q359" s="569" t="s">
        <v>316</v>
      </c>
      <c r="R359" s="569">
        <v>6</v>
      </c>
      <c r="S359" s="569" t="s">
        <v>1130</v>
      </c>
      <c r="T359" s="569" t="s">
        <v>318</v>
      </c>
      <c r="U359" s="569">
        <v>122.5</v>
      </c>
      <c r="V359" s="569">
        <v>23.3</v>
      </c>
      <c r="W359" s="620">
        <v>7200</v>
      </c>
      <c r="X359" s="621">
        <v>20</v>
      </c>
      <c r="Y359" s="621" t="s">
        <v>178</v>
      </c>
      <c r="Z359" s="621" t="s">
        <v>178</v>
      </c>
      <c r="AA359" s="622">
        <v>64310</v>
      </c>
      <c r="AB359" s="622" t="s">
        <v>164</v>
      </c>
      <c r="AC359" s="622">
        <v>54207.666666666672</v>
      </c>
      <c r="AD359" s="623">
        <v>0.03</v>
      </c>
      <c r="AE359" s="621" t="s">
        <v>1129</v>
      </c>
    </row>
    <row r="360" spans="1:31" s="572" customFormat="1">
      <c r="A360" s="570" t="s">
        <v>1131</v>
      </c>
      <c r="B360" s="573" t="s">
        <v>278</v>
      </c>
      <c r="C360" s="578">
        <v>15</v>
      </c>
      <c r="D360" s="573" t="s">
        <v>699</v>
      </c>
      <c r="E360" s="573" t="s">
        <v>187</v>
      </c>
      <c r="F360" s="573" t="s">
        <v>271</v>
      </c>
      <c r="G360" s="573">
        <v>2019</v>
      </c>
      <c r="H360" s="573" t="s">
        <v>1123</v>
      </c>
      <c r="I360" s="573" t="s">
        <v>315</v>
      </c>
      <c r="J360" s="573" t="s">
        <v>236</v>
      </c>
      <c r="K360" s="573">
        <v>8</v>
      </c>
      <c r="L360" s="573">
        <v>0</v>
      </c>
      <c r="M360" s="573" t="s">
        <v>157</v>
      </c>
      <c r="N360" s="573">
        <v>3</v>
      </c>
      <c r="O360" s="573" t="s">
        <v>157</v>
      </c>
      <c r="P360" s="571" t="s">
        <v>157</v>
      </c>
      <c r="Q360" s="573" t="s">
        <v>316</v>
      </c>
      <c r="R360" s="573">
        <v>6</v>
      </c>
      <c r="S360" s="582" t="s">
        <v>1130</v>
      </c>
      <c r="T360" s="573" t="s">
        <v>318</v>
      </c>
      <c r="U360" s="573">
        <v>122.5</v>
      </c>
      <c r="V360" s="573">
        <v>23.3</v>
      </c>
      <c r="W360" s="616">
        <v>7200</v>
      </c>
      <c r="X360" s="617">
        <v>20</v>
      </c>
      <c r="Y360" s="617" t="s">
        <v>178</v>
      </c>
      <c r="Z360" s="617" t="s">
        <v>178</v>
      </c>
      <c r="AA360" s="618">
        <v>64310</v>
      </c>
      <c r="AB360" s="618" t="s">
        <v>164</v>
      </c>
      <c r="AC360" s="618">
        <v>55100</v>
      </c>
      <c r="AD360" s="619">
        <v>0.01</v>
      </c>
      <c r="AE360" s="617" t="s">
        <v>1129</v>
      </c>
    </row>
    <row r="361" spans="1:31" s="572" customFormat="1">
      <c r="A361" s="570" t="s">
        <v>1132</v>
      </c>
      <c r="B361" s="569" t="s">
        <v>287</v>
      </c>
      <c r="C361" s="580">
        <v>26</v>
      </c>
      <c r="D361" s="569" t="s">
        <v>699</v>
      </c>
      <c r="E361" s="569" t="s">
        <v>187</v>
      </c>
      <c r="F361" s="569" t="s">
        <v>271</v>
      </c>
      <c r="G361" s="569">
        <v>2019</v>
      </c>
      <c r="H361" s="569" t="s">
        <v>1123</v>
      </c>
      <c r="I361" s="569" t="s">
        <v>315</v>
      </c>
      <c r="J361" s="569" t="s">
        <v>236</v>
      </c>
      <c r="K361" s="569">
        <v>8</v>
      </c>
      <c r="L361" s="569">
        <v>0</v>
      </c>
      <c r="M361" s="569" t="s">
        <v>157</v>
      </c>
      <c r="N361" s="569">
        <v>3</v>
      </c>
      <c r="O361" s="569" t="s">
        <v>157</v>
      </c>
      <c r="P361" s="568" t="s">
        <v>157</v>
      </c>
      <c r="Q361" s="569" t="s">
        <v>316</v>
      </c>
      <c r="R361" s="569">
        <v>6</v>
      </c>
      <c r="S361" s="569" t="s">
        <v>1130</v>
      </c>
      <c r="T361" s="569" t="s">
        <v>318</v>
      </c>
      <c r="U361" s="569">
        <v>122.5</v>
      </c>
      <c r="V361" s="569">
        <v>23.3</v>
      </c>
      <c r="W361" s="620">
        <v>7200</v>
      </c>
      <c r="X361" s="621">
        <v>20</v>
      </c>
      <c r="Y361" s="621" t="s">
        <v>178</v>
      </c>
      <c r="Z361" s="621" t="s">
        <v>178</v>
      </c>
      <c r="AA361" s="622">
        <v>64310</v>
      </c>
      <c r="AB361" s="622" t="s">
        <v>164</v>
      </c>
      <c r="AC361" s="622">
        <v>55848</v>
      </c>
      <c r="AD361" s="623">
        <v>0.05</v>
      </c>
      <c r="AE361" s="621" t="s">
        <v>1129</v>
      </c>
    </row>
    <row r="362" spans="1:31" s="572" customFormat="1">
      <c r="A362" s="570" t="s">
        <v>1133</v>
      </c>
      <c r="B362" s="573" t="s">
        <v>280</v>
      </c>
      <c r="C362" s="578">
        <v>27</v>
      </c>
      <c r="D362" s="573" t="s">
        <v>699</v>
      </c>
      <c r="E362" s="573" t="s">
        <v>187</v>
      </c>
      <c r="F362" s="573" t="s">
        <v>271</v>
      </c>
      <c r="G362" s="573">
        <v>2019</v>
      </c>
      <c r="H362" s="573" t="s">
        <v>1123</v>
      </c>
      <c r="I362" s="573" t="s">
        <v>315</v>
      </c>
      <c r="J362" s="573" t="s">
        <v>236</v>
      </c>
      <c r="K362" s="573">
        <v>8</v>
      </c>
      <c r="L362" s="573">
        <v>0</v>
      </c>
      <c r="M362" s="573" t="s">
        <v>157</v>
      </c>
      <c r="N362" s="573">
        <v>3</v>
      </c>
      <c r="O362" s="573" t="s">
        <v>157</v>
      </c>
      <c r="P362" s="571" t="s">
        <v>157</v>
      </c>
      <c r="Q362" s="573" t="s">
        <v>316</v>
      </c>
      <c r="R362" s="573">
        <v>6</v>
      </c>
      <c r="S362" s="582" t="s">
        <v>1130</v>
      </c>
      <c r="T362" s="573" t="s">
        <v>318</v>
      </c>
      <c r="U362" s="573">
        <v>122.5</v>
      </c>
      <c r="V362" s="573">
        <v>23.3</v>
      </c>
      <c r="W362" s="616">
        <v>7200</v>
      </c>
      <c r="X362" s="617">
        <v>20</v>
      </c>
      <c r="Y362" s="617" t="s">
        <v>178</v>
      </c>
      <c r="Z362" s="617" t="s">
        <v>178</v>
      </c>
      <c r="AA362" s="618">
        <v>64310</v>
      </c>
      <c r="AB362" s="618" t="s">
        <v>164</v>
      </c>
      <c r="AC362" s="618">
        <v>54207.666666666672</v>
      </c>
      <c r="AD362" s="619">
        <v>0.03</v>
      </c>
      <c r="AE362" s="617" t="s">
        <v>1129</v>
      </c>
    </row>
    <row r="363" spans="1:31" s="572" customFormat="1">
      <c r="A363" s="570" t="s">
        <v>1134</v>
      </c>
      <c r="B363" s="569" t="s">
        <v>269</v>
      </c>
      <c r="C363" s="580" t="s">
        <v>270</v>
      </c>
      <c r="D363" s="569" t="s">
        <v>699</v>
      </c>
      <c r="E363" s="569" t="s">
        <v>187</v>
      </c>
      <c r="F363" s="569" t="s">
        <v>271</v>
      </c>
      <c r="G363" s="569">
        <v>2019</v>
      </c>
      <c r="H363" s="569" t="s">
        <v>1123</v>
      </c>
      <c r="I363" s="569" t="s">
        <v>1136</v>
      </c>
      <c r="J363" s="569" t="s">
        <v>752</v>
      </c>
      <c r="K363" s="569">
        <v>8</v>
      </c>
      <c r="L363" s="569">
        <v>0</v>
      </c>
      <c r="M363" s="569" t="s">
        <v>157</v>
      </c>
      <c r="N363" s="569">
        <v>3</v>
      </c>
      <c r="O363" s="569" t="s">
        <v>157</v>
      </c>
      <c r="P363" s="568" t="s">
        <v>157</v>
      </c>
      <c r="Q363" s="569" t="s">
        <v>316</v>
      </c>
      <c r="R363" s="569">
        <v>6</v>
      </c>
      <c r="S363" s="569" t="s">
        <v>1137</v>
      </c>
      <c r="T363" s="569" t="s">
        <v>318</v>
      </c>
      <c r="U363" s="569">
        <v>132</v>
      </c>
      <c r="V363" s="569">
        <v>28.3</v>
      </c>
      <c r="W363" s="620">
        <v>7550</v>
      </c>
      <c r="X363" s="621">
        <v>18</v>
      </c>
      <c r="Y363" s="621" t="s">
        <v>178</v>
      </c>
      <c r="Z363" s="621" t="s">
        <v>178</v>
      </c>
      <c r="AA363" s="622">
        <v>70120</v>
      </c>
      <c r="AB363" s="622" t="s">
        <v>164</v>
      </c>
      <c r="AC363" s="622">
        <v>59578.5</v>
      </c>
      <c r="AD363" s="623">
        <v>0.03</v>
      </c>
      <c r="AE363" s="621" t="s">
        <v>1135</v>
      </c>
    </row>
    <row r="364" spans="1:31" s="572" customFormat="1">
      <c r="A364" s="570" t="s">
        <v>1138</v>
      </c>
      <c r="B364" s="573" t="s">
        <v>278</v>
      </c>
      <c r="C364" s="578">
        <v>15</v>
      </c>
      <c r="D364" s="573" t="s">
        <v>699</v>
      </c>
      <c r="E364" s="573" t="s">
        <v>187</v>
      </c>
      <c r="F364" s="573" t="s">
        <v>271</v>
      </c>
      <c r="G364" s="573">
        <v>2019</v>
      </c>
      <c r="H364" s="573" t="s">
        <v>1123</v>
      </c>
      <c r="I364" s="573" t="s">
        <v>1136</v>
      </c>
      <c r="J364" s="573" t="s">
        <v>752</v>
      </c>
      <c r="K364" s="573">
        <v>8</v>
      </c>
      <c r="L364" s="573">
        <v>0</v>
      </c>
      <c r="M364" s="573" t="s">
        <v>157</v>
      </c>
      <c r="N364" s="573">
        <v>3</v>
      </c>
      <c r="O364" s="573" t="s">
        <v>157</v>
      </c>
      <c r="P364" s="571" t="s">
        <v>157</v>
      </c>
      <c r="Q364" s="573" t="s">
        <v>316</v>
      </c>
      <c r="R364" s="573">
        <v>6</v>
      </c>
      <c r="S364" s="582" t="s">
        <v>1137</v>
      </c>
      <c r="T364" s="573" t="s">
        <v>318</v>
      </c>
      <c r="U364" s="573">
        <v>132</v>
      </c>
      <c r="V364" s="573">
        <v>28.3</v>
      </c>
      <c r="W364" s="616">
        <v>9300</v>
      </c>
      <c r="X364" s="617">
        <v>19</v>
      </c>
      <c r="Y364" s="617" t="s">
        <v>178</v>
      </c>
      <c r="Z364" s="617" t="s">
        <v>178</v>
      </c>
      <c r="AA364" s="618">
        <v>70120</v>
      </c>
      <c r="AB364" s="618" t="s">
        <v>164</v>
      </c>
      <c r="AC364" s="618">
        <v>60650</v>
      </c>
      <c r="AD364" s="619">
        <v>0.01</v>
      </c>
      <c r="AE364" s="617" t="s">
        <v>1135</v>
      </c>
    </row>
    <row r="365" spans="1:31" s="572" customFormat="1">
      <c r="A365" s="570" t="s">
        <v>1139</v>
      </c>
      <c r="B365" s="569" t="s">
        <v>287</v>
      </c>
      <c r="C365" s="580">
        <v>26</v>
      </c>
      <c r="D365" s="569" t="s">
        <v>699</v>
      </c>
      <c r="E365" s="569" t="s">
        <v>187</v>
      </c>
      <c r="F365" s="569" t="s">
        <v>271</v>
      </c>
      <c r="G365" s="569">
        <v>2019</v>
      </c>
      <c r="H365" s="569" t="s">
        <v>1123</v>
      </c>
      <c r="I365" s="569" t="s">
        <v>1136</v>
      </c>
      <c r="J365" s="569" t="s">
        <v>752</v>
      </c>
      <c r="K365" s="569">
        <v>8</v>
      </c>
      <c r="L365" s="569">
        <v>0</v>
      </c>
      <c r="M365" s="569" t="s">
        <v>157</v>
      </c>
      <c r="N365" s="569">
        <v>3</v>
      </c>
      <c r="O365" s="569" t="s">
        <v>157</v>
      </c>
      <c r="P365" s="568" t="s">
        <v>157</v>
      </c>
      <c r="Q365" s="569" t="s">
        <v>316</v>
      </c>
      <c r="R365" s="569">
        <v>6</v>
      </c>
      <c r="S365" s="569" t="s">
        <v>1137</v>
      </c>
      <c r="T365" s="569" t="s">
        <v>318</v>
      </c>
      <c r="U365" s="569">
        <v>132</v>
      </c>
      <c r="V365" s="569">
        <v>28.3</v>
      </c>
      <c r="W365" s="620">
        <v>7550</v>
      </c>
      <c r="X365" s="621">
        <v>19</v>
      </c>
      <c r="Y365" s="621" t="s">
        <v>178</v>
      </c>
      <c r="Z365" s="621" t="s">
        <v>178</v>
      </c>
      <c r="AA365" s="622">
        <v>70120</v>
      </c>
      <c r="AB365" s="622" t="s">
        <v>164</v>
      </c>
      <c r="AC365" s="622">
        <v>61384</v>
      </c>
      <c r="AD365" s="623">
        <v>0.05</v>
      </c>
      <c r="AE365" s="621" t="s">
        <v>1135</v>
      </c>
    </row>
    <row r="366" spans="1:31" s="572" customFormat="1">
      <c r="A366" s="570" t="s">
        <v>1140</v>
      </c>
      <c r="B366" s="573" t="s">
        <v>280</v>
      </c>
      <c r="C366" s="578">
        <v>27</v>
      </c>
      <c r="D366" s="573" t="s">
        <v>699</v>
      </c>
      <c r="E366" s="573" t="s">
        <v>187</v>
      </c>
      <c r="F366" s="573" t="s">
        <v>271</v>
      </c>
      <c r="G366" s="573">
        <v>2019</v>
      </c>
      <c r="H366" s="573" t="s">
        <v>1123</v>
      </c>
      <c r="I366" s="573" t="s">
        <v>1136</v>
      </c>
      <c r="J366" s="573" t="s">
        <v>752</v>
      </c>
      <c r="K366" s="573">
        <v>8</v>
      </c>
      <c r="L366" s="573">
        <v>0</v>
      </c>
      <c r="M366" s="573" t="s">
        <v>157</v>
      </c>
      <c r="N366" s="573">
        <v>3</v>
      </c>
      <c r="O366" s="573" t="s">
        <v>157</v>
      </c>
      <c r="P366" s="571" t="s">
        <v>157</v>
      </c>
      <c r="Q366" s="573" t="s">
        <v>316</v>
      </c>
      <c r="R366" s="573">
        <v>6</v>
      </c>
      <c r="S366" s="582" t="s">
        <v>1137</v>
      </c>
      <c r="T366" s="573" t="s">
        <v>318</v>
      </c>
      <c r="U366" s="573">
        <v>132</v>
      </c>
      <c r="V366" s="573">
        <v>28.3</v>
      </c>
      <c r="W366" s="616">
        <v>7550</v>
      </c>
      <c r="X366" s="617">
        <v>18</v>
      </c>
      <c r="Y366" s="617" t="s">
        <v>178</v>
      </c>
      <c r="Z366" s="617" t="s">
        <v>178</v>
      </c>
      <c r="AA366" s="618">
        <v>70120</v>
      </c>
      <c r="AB366" s="618" t="s">
        <v>164</v>
      </c>
      <c r="AC366" s="618">
        <v>59578.5</v>
      </c>
      <c r="AD366" s="619">
        <v>0.03</v>
      </c>
      <c r="AE366" s="617" t="s">
        <v>1135</v>
      </c>
    </row>
    <row r="367" spans="1:31" s="572" customFormat="1">
      <c r="A367" s="570" t="s">
        <v>1141</v>
      </c>
      <c r="B367" s="569" t="s">
        <v>269</v>
      </c>
      <c r="C367" s="580" t="s">
        <v>270</v>
      </c>
      <c r="D367" s="569" t="s">
        <v>699</v>
      </c>
      <c r="E367" s="569" t="s">
        <v>187</v>
      </c>
      <c r="F367" s="569" t="s">
        <v>271</v>
      </c>
      <c r="G367" s="569">
        <v>2019</v>
      </c>
      <c r="H367" s="569" t="s">
        <v>1123</v>
      </c>
      <c r="I367" s="569" t="s">
        <v>1136</v>
      </c>
      <c r="J367" s="569" t="s">
        <v>236</v>
      </c>
      <c r="K367" s="569">
        <v>8</v>
      </c>
      <c r="L367" s="569">
        <v>0</v>
      </c>
      <c r="M367" s="569" t="s">
        <v>157</v>
      </c>
      <c r="N367" s="569">
        <v>3</v>
      </c>
      <c r="O367" s="569" t="s">
        <v>157</v>
      </c>
      <c r="P367" s="568" t="s">
        <v>157</v>
      </c>
      <c r="Q367" s="569" t="s">
        <v>316</v>
      </c>
      <c r="R367" s="569">
        <v>6</v>
      </c>
      <c r="S367" s="569" t="s">
        <v>1143</v>
      </c>
      <c r="T367" s="569" t="s">
        <v>318</v>
      </c>
      <c r="U367" s="569">
        <v>132</v>
      </c>
      <c r="V367" s="569">
        <v>28.3</v>
      </c>
      <c r="W367" s="620">
        <v>7300</v>
      </c>
      <c r="X367" s="621">
        <v>19</v>
      </c>
      <c r="Y367" s="621" t="s">
        <v>178</v>
      </c>
      <c r="Z367" s="621" t="s">
        <v>178</v>
      </c>
      <c r="AA367" s="622">
        <v>67000</v>
      </c>
      <c r="AB367" s="622" t="s">
        <v>164</v>
      </c>
      <c r="AC367" s="622">
        <v>56694.125</v>
      </c>
      <c r="AD367" s="623">
        <v>0.03</v>
      </c>
      <c r="AE367" s="621" t="s">
        <v>1142</v>
      </c>
    </row>
    <row r="368" spans="1:31" s="572" customFormat="1">
      <c r="A368" s="570" t="s">
        <v>1144</v>
      </c>
      <c r="B368" s="573" t="s">
        <v>278</v>
      </c>
      <c r="C368" s="578">
        <v>15</v>
      </c>
      <c r="D368" s="573" t="s">
        <v>699</v>
      </c>
      <c r="E368" s="573" t="s">
        <v>187</v>
      </c>
      <c r="F368" s="573" t="s">
        <v>271</v>
      </c>
      <c r="G368" s="573">
        <v>2019</v>
      </c>
      <c r="H368" s="573" t="s">
        <v>1123</v>
      </c>
      <c r="I368" s="573" t="s">
        <v>1136</v>
      </c>
      <c r="J368" s="573" t="s">
        <v>236</v>
      </c>
      <c r="K368" s="573">
        <v>8</v>
      </c>
      <c r="L368" s="573">
        <v>0</v>
      </c>
      <c r="M368" s="573" t="s">
        <v>157</v>
      </c>
      <c r="N368" s="573">
        <v>3</v>
      </c>
      <c r="O368" s="573" t="s">
        <v>157</v>
      </c>
      <c r="P368" s="571" t="s">
        <v>157</v>
      </c>
      <c r="Q368" s="573" t="s">
        <v>316</v>
      </c>
      <c r="R368" s="573">
        <v>6</v>
      </c>
      <c r="S368" s="582" t="s">
        <v>1143</v>
      </c>
      <c r="T368" s="573" t="s">
        <v>318</v>
      </c>
      <c r="U368" s="573">
        <v>132</v>
      </c>
      <c r="V368" s="573">
        <v>28.3</v>
      </c>
      <c r="W368" s="616">
        <v>9300</v>
      </c>
      <c r="X368" s="617">
        <v>20</v>
      </c>
      <c r="Y368" s="617" t="s">
        <v>178</v>
      </c>
      <c r="Z368" s="617" t="s">
        <v>178</v>
      </c>
      <c r="AA368" s="618">
        <v>67000</v>
      </c>
      <c r="AB368" s="618" t="s">
        <v>164</v>
      </c>
      <c r="AC368" s="618">
        <v>57675</v>
      </c>
      <c r="AD368" s="619">
        <v>0.01</v>
      </c>
      <c r="AE368" s="617" t="s">
        <v>1142</v>
      </c>
    </row>
    <row r="369" spans="1:31" s="572" customFormat="1">
      <c r="A369" s="570" t="s">
        <v>1145</v>
      </c>
      <c r="B369" s="569" t="s">
        <v>287</v>
      </c>
      <c r="C369" s="580">
        <v>26</v>
      </c>
      <c r="D369" s="569" t="s">
        <v>699</v>
      </c>
      <c r="E369" s="569" t="s">
        <v>187</v>
      </c>
      <c r="F369" s="569" t="s">
        <v>271</v>
      </c>
      <c r="G369" s="569">
        <v>2019</v>
      </c>
      <c r="H369" s="569" t="s">
        <v>1123</v>
      </c>
      <c r="I369" s="569" t="s">
        <v>1136</v>
      </c>
      <c r="J369" s="569" t="s">
        <v>236</v>
      </c>
      <c r="K369" s="569">
        <v>8</v>
      </c>
      <c r="L369" s="569">
        <v>0</v>
      </c>
      <c r="M369" s="569" t="s">
        <v>157</v>
      </c>
      <c r="N369" s="569">
        <v>3</v>
      </c>
      <c r="O369" s="569" t="s">
        <v>157</v>
      </c>
      <c r="P369" s="568" t="s">
        <v>157</v>
      </c>
      <c r="Q369" s="569" t="s">
        <v>316</v>
      </c>
      <c r="R369" s="569">
        <v>6</v>
      </c>
      <c r="S369" s="569" t="s">
        <v>1143</v>
      </c>
      <c r="T369" s="569" t="s">
        <v>318</v>
      </c>
      <c r="U369" s="569">
        <v>132</v>
      </c>
      <c r="V369" s="569">
        <v>28.3</v>
      </c>
      <c r="W369" s="620">
        <v>7550</v>
      </c>
      <c r="X369" s="621">
        <v>20</v>
      </c>
      <c r="Y369" s="621" t="s">
        <v>178</v>
      </c>
      <c r="Z369" s="621" t="s">
        <v>178</v>
      </c>
      <c r="AA369" s="622">
        <v>66900</v>
      </c>
      <c r="AB369" s="622" t="s">
        <v>164</v>
      </c>
      <c r="AC369" s="622">
        <v>58411</v>
      </c>
      <c r="AD369" s="623">
        <v>0.05</v>
      </c>
      <c r="AE369" s="621" t="s">
        <v>1142</v>
      </c>
    </row>
    <row r="370" spans="1:31" s="572" customFormat="1">
      <c r="A370" s="570" t="s">
        <v>1146</v>
      </c>
      <c r="B370" s="573" t="s">
        <v>280</v>
      </c>
      <c r="C370" s="578">
        <v>27</v>
      </c>
      <c r="D370" s="573" t="s">
        <v>699</v>
      </c>
      <c r="E370" s="573" t="s">
        <v>187</v>
      </c>
      <c r="F370" s="573" t="s">
        <v>271</v>
      </c>
      <c r="G370" s="573">
        <v>2019</v>
      </c>
      <c r="H370" s="573" t="s">
        <v>1123</v>
      </c>
      <c r="I370" s="573" t="s">
        <v>1136</v>
      </c>
      <c r="J370" s="573" t="s">
        <v>236</v>
      </c>
      <c r="K370" s="573">
        <v>8</v>
      </c>
      <c r="L370" s="573">
        <v>0</v>
      </c>
      <c r="M370" s="573" t="s">
        <v>157</v>
      </c>
      <c r="N370" s="573">
        <v>3</v>
      </c>
      <c r="O370" s="573" t="s">
        <v>157</v>
      </c>
      <c r="P370" s="571" t="s">
        <v>157</v>
      </c>
      <c r="Q370" s="573" t="s">
        <v>316</v>
      </c>
      <c r="R370" s="573">
        <v>6</v>
      </c>
      <c r="S370" s="582" t="s">
        <v>1143</v>
      </c>
      <c r="T370" s="573" t="s">
        <v>318</v>
      </c>
      <c r="U370" s="573">
        <v>132</v>
      </c>
      <c r="V370" s="573">
        <v>28.3</v>
      </c>
      <c r="W370" s="616">
        <v>7300</v>
      </c>
      <c r="X370" s="617">
        <v>19</v>
      </c>
      <c r="Y370" s="617" t="s">
        <v>178</v>
      </c>
      <c r="Z370" s="617" t="s">
        <v>178</v>
      </c>
      <c r="AA370" s="618">
        <v>67000</v>
      </c>
      <c r="AB370" s="618" t="s">
        <v>164</v>
      </c>
      <c r="AC370" s="618">
        <v>56694.125</v>
      </c>
      <c r="AD370" s="619">
        <v>0.03</v>
      </c>
      <c r="AE370" s="617" t="s">
        <v>1142</v>
      </c>
    </row>
    <row r="371" spans="1:31" s="572" customFormat="1">
      <c r="A371" s="570" t="s">
        <v>1147</v>
      </c>
      <c r="B371" s="569" t="s">
        <v>269</v>
      </c>
      <c r="C371" s="580" t="s">
        <v>270</v>
      </c>
      <c r="D371" s="569" t="s">
        <v>699</v>
      </c>
      <c r="E371" s="569" t="s">
        <v>187</v>
      </c>
      <c r="F371" s="569" t="s">
        <v>271</v>
      </c>
      <c r="G371" s="569">
        <v>2019</v>
      </c>
      <c r="H371" s="569" t="s">
        <v>1123</v>
      </c>
      <c r="I371" s="569" t="s">
        <v>1149</v>
      </c>
      <c r="J371" s="569" t="s">
        <v>752</v>
      </c>
      <c r="K371" s="569">
        <v>8</v>
      </c>
      <c r="L371" s="569">
        <v>0</v>
      </c>
      <c r="M371" s="569" t="s">
        <v>157</v>
      </c>
      <c r="N371" s="569">
        <v>3</v>
      </c>
      <c r="O371" s="569" t="s">
        <v>157</v>
      </c>
      <c r="P371" s="568" t="s">
        <v>157</v>
      </c>
      <c r="Q371" s="569" t="s">
        <v>316</v>
      </c>
      <c r="R371" s="569">
        <v>6</v>
      </c>
      <c r="S371" s="569" t="s">
        <v>1150</v>
      </c>
      <c r="T371" s="569" t="s">
        <v>366</v>
      </c>
      <c r="U371" s="569">
        <v>132</v>
      </c>
      <c r="V371" s="569">
        <v>28.3</v>
      </c>
      <c r="W371" s="620">
        <v>7550</v>
      </c>
      <c r="X371" s="621">
        <v>18</v>
      </c>
      <c r="Y371" s="621" t="s">
        <v>178</v>
      </c>
      <c r="Z371" s="621" t="s">
        <v>178</v>
      </c>
      <c r="AA371" s="622">
        <v>80495</v>
      </c>
      <c r="AB371" s="622" t="s">
        <v>164</v>
      </c>
      <c r="AC371" s="622">
        <v>68889</v>
      </c>
      <c r="AD371" s="623">
        <v>0.03</v>
      </c>
      <c r="AE371" s="621" t="s">
        <v>1148</v>
      </c>
    </row>
    <row r="372" spans="1:31" s="572" customFormat="1">
      <c r="A372" s="570" t="s">
        <v>1151</v>
      </c>
      <c r="B372" s="573" t="s">
        <v>278</v>
      </c>
      <c r="C372" s="578">
        <v>15</v>
      </c>
      <c r="D372" s="573" t="s">
        <v>699</v>
      </c>
      <c r="E372" s="573" t="s">
        <v>187</v>
      </c>
      <c r="F372" s="573" t="s">
        <v>271</v>
      </c>
      <c r="G372" s="573">
        <v>2019</v>
      </c>
      <c r="H372" s="573" t="s">
        <v>1123</v>
      </c>
      <c r="I372" s="573" t="s">
        <v>1149</v>
      </c>
      <c r="J372" s="573" t="s">
        <v>752</v>
      </c>
      <c r="K372" s="573">
        <v>8</v>
      </c>
      <c r="L372" s="573">
        <v>0</v>
      </c>
      <c r="M372" s="573" t="s">
        <v>157</v>
      </c>
      <c r="N372" s="573">
        <v>3</v>
      </c>
      <c r="O372" s="573" t="s">
        <v>157</v>
      </c>
      <c r="P372" s="571" t="s">
        <v>157</v>
      </c>
      <c r="Q372" s="573" t="s">
        <v>316</v>
      </c>
      <c r="R372" s="573">
        <v>6</v>
      </c>
      <c r="S372" s="582" t="s">
        <v>1150</v>
      </c>
      <c r="T372" s="573" t="s">
        <v>366</v>
      </c>
      <c r="U372" s="573">
        <v>132</v>
      </c>
      <c r="V372" s="573">
        <v>28.3</v>
      </c>
      <c r="W372" s="616">
        <v>9300</v>
      </c>
      <c r="X372" s="617">
        <v>19</v>
      </c>
      <c r="Y372" s="617" t="s">
        <v>178</v>
      </c>
      <c r="Z372" s="617" t="s">
        <v>178</v>
      </c>
      <c r="AA372" s="618">
        <v>80495</v>
      </c>
      <c r="AB372" s="618" t="s">
        <v>164</v>
      </c>
      <c r="AC372" s="618">
        <v>70450</v>
      </c>
      <c r="AD372" s="619">
        <v>0.01</v>
      </c>
      <c r="AE372" s="617" t="s">
        <v>1148</v>
      </c>
    </row>
    <row r="373" spans="1:31" s="572" customFormat="1">
      <c r="A373" s="570" t="s">
        <v>1152</v>
      </c>
      <c r="B373" s="569" t="s">
        <v>287</v>
      </c>
      <c r="C373" s="580">
        <v>26</v>
      </c>
      <c r="D373" s="569" t="s">
        <v>699</v>
      </c>
      <c r="E373" s="569" t="s">
        <v>187</v>
      </c>
      <c r="F373" s="569" t="s">
        <v>271</v>
      </c>
      <c r="G373" s="569">
        <v>2019</v>
      </c>
      <c r="H373" s="569" t="s">
        <v>1123</v>
      </c>
      <c r="I373" s="569" t="s">
        <v>1149</v>
      </c>
      <c r="J373" s="569" t="s">
        <v>752</v>
      </c>
      <c r="K373" s="569">
        <v>8</v>
      </c>
      <c r="L373" s="569">
        <v>0</v>
      </c>
      <c r="M373" s="569" t="s">
        <v>157</v>
      </c>
      <c r="N373" s="569">
        <v>3</v>
      </c>
      <c r="O373" s="569" t="s">
        <v>157</v>
      </c>
      <c r="P373" s="568" t="s">
        <v>157</v>
      </c>
      <c r="Q373" s="569" t="s">
        <v>316</v>
      </c>
      <c r="R373" s="569">
        <v>6</v>
      </c>
      <c r="S373" s="569" t="s">
        <v>1150</v>
      </c>
      <c r="T373" s="569" t="s">
        <v>366</v>
      </c>
      <c r="U373" s="569">
        <v>132</v>
      </c>
      <c r="V373" s="569">
        <v>28.3</v>
      </c>
      <c r="W373" s="620">
        <v>7550</v>
      </c>
      <c r="X373" s="621">
        <v>19</v>
      </c>
      <c r="Y373" s="621" t="s">
        <v>178</v>
      </c>
      <c r="Z373" s="621" t="s">
        <v>178</v>
      </c>
      <c r="AA373" s="622">
        <v>80395</v>
      </c>
      <c r="AB373" s="622" t="s">
        <v>164</v>
      </c>
      <c r="AC373" s="622">
        <v>71269</v>
      </c>
      <c r="AD373" s="623">
        <v>0.05</v>
      </c>
      <c r="AE373" s="621" t="s">
        <v>1148</v>
      </c>
    </row>
    <row r="374" spans="1:31" s="572" customFormat="1">
      <c r="A374" s="570" t="s">
        <v>1153</v>
      </c>
      <c r="B374" s="573" t="s">
        <v>280</v>
      </c>
      <c r="C374" s="578">
        <v>27</v>
      </c>
      <c r="D374" s="573" t="s">
        <v>699</v>
      </c>
      <c r="E374" s="573" t="s">
        <v>187</v>
      </c>
      <c r="F374" s="573" t="s">
        <v>271</v>
      </c>
      <c r="G374" s="573">
        <v>2019</v>
      </c>
      <c r="H374" s="573" t="s">
        <v>1123</v>
      </c>
      <c r="I374" s="573" t="s">
        <v>1149</v>
      </c>
      <c r="J374" s="573" t="s">
        <v>752</v>
      </c>
      <c r="K374" s="573">
        <v>8</v>
      </c>
      <c r="L374" s="573">
        <v>0</v>
      </c>
      <c r="M374" s="573" t="s">
        <v>157</v>
      </c>
      <c r="N374" s="573">
        <v>3</v>
      </c>
      <c r="O374" s="573" t="s">
        <v>157</v>
      </c>
      <c r="P374" s="571" t="s">
        <v>157</v>
      </c>
      <c r="Q374" s="573" t="s">
        <v>316</v>
      </c>
      <c r="R374" s="573">
        <v>6</v>
      </c>
      <c r="S374" s="582" t="s">
        <v>1150</v>
      </c>
      <c r="T374" s="573" t="s">
        <v>366</v>
      </c>
      <c r="U374" s="573">
        <v>132</v>
      </c>
      <c r="V374" s="573">
        <v>28.3</v>
      </c>
      <c r="W374" s="616">
        <v>7550</v>
      </c>
      <c r="X374" s="617">
        <v>18</v>
      </c>
      <c r="Y374" s="617" t="s">
        <v>178</v>
      </c>
      <c r="Z374" s="617" t="s">
        <v>178</v>
      </c>
      <c r="AA374" s="618">
        <v>80495</v>
      </c>
      <c r="AB374" s="618" t="s">
        <v>164</v>
      </c>
      <c r="AC374" s="618">
        <v>68889</v>
      </c>
      <c r="AD374" s="619">
        <v>0.03</v>
      </c>
      <c r="AE374" s="617" t="s">
        <v>1148</v>
      </c>
    </row>
    <row r="375" spans="1:31" s="572" customFormat="1">
      <c r="A375" s="570" t="s">
        <v>1154</v>
      </c>
      <c r="B375" s="569" t="s">
        <v>269</v>
      </c>
      <c r="C375" s="580" t="s">
        <v>270</v>
      </c>
      <c r="D375" s="569" t="s">
        <v>699</v>
      </c>
      <c r="E375" s="569" t="s">
        <v>187</v>
      </c>
      <c r="F375" s="569" t="s">
        <v>271</v>
      </c>
      <c r="G375" s="569">
        <v>2019</v>
      </c>
      <c r="H375" s="569" t="s">
        <v>1123</v>
      </c>
      <c r="I375" s="569" t="s">
        <v>1149</v>
      </c>
      <c r="J375" s="569" t="s">
        <v>236</v>
      </c>
      <c r="K375" s="569">
        <v>8</v>
      </c>
      <c r="L375" s="569">
        <v>0</v>
      </c>
      <c r="M375" s="569" t="s">
        <v>157</v>
      </c>
      <c r="N375" s="569">
        <v>3</v>
      </c>
      <c r="O375" s="569" t="s">
        <v>157</v>
      </c>
      <c r="P375" s="568" t="s">
        <v>157</v>
      </c>
      <c r="Q375" s="569" t="s">
        <v>316</v>
      </c>
      <c r="R375" s="569">
        <v>6</v>
      </c>
      <c r="S375" s="569" t="s">
        <v>1156</v>
      </c>
      <c r="T375" s="569" t="s">
        <v>366</v>
      </c>
      <c r="U375" s="569">
        <v>132</v>
      </c>
      <c r="V375" s="569">
        <v>28.3</v>
      </c>
      <c r="W375" s="620">
        <v>7300</v>
      </c>
      <c r="X375" s="621">
        <v>19</v>
      </c>
      <c r="Y375" s="621" t="s">
        <v>178</v>
      </c>
      <c r="Z375" s="621" t="s">
        <v>178</v>
      </c>
      <c r="AA375" s="622">
        <v>77355</v>
      </c>
      <c r="AB375" s="622" t="s">
        <v>164</v>
      </c>
      <c r="AC375" s="622">
        <v>65999</v>
      </c>
      <c r="AD375" s="623">
        <v>0.03</v>
      </c>
      <c r="AE375" s="621" t="s">
        <v>1155</v>
      </c>
    </row>
    <row r="376" spans="1:31" s="572" customFormat="1">
      <c r="A376" s="570" t="s">
        <v>1157</v>
      </c>
      <c r="B376" s="573" t="s">
        <v>278</v>
      </c>
      <c r="C376" s="578">
        <v>15</v>
      </c>
      <c r="D376" s="573" t="s">
        <v>699</v>
      </c>
      <c r="E376" s="573" t="s">
        <v>187</v>
      </c>
      <c r="F376" s="573" t="s">
        <v>271</v>
      </c>
      <c r="G376" s="573">
        <v>2019</v>
      </c>
      <c r="H376" s="573" t="s">
        <v>1123</v>
      </c>
      <c r="I376" s="573" t="s">
        <v>1149</v>
      </c>
      <c r="J376" s="573" t="s">
        <v>236</v>
      </c>
      <c r="K376" s="573">
        <v>8</v>
      </c>
      <c r="L376" s="573">
        <v>0</v>
      </c>
      <c r="M376" s="573" t="s">
        <v>157</v>
      </c>
      <c r="N376" s="573">
        <v>3</v>
      </c>
      <c r="O376" s="573" t="s">
        <v>157</v>
      </c>
      <c r="P376" s="571" t="s">
        <v>157</v>
      </c>
      <c r="Q376" s="573" t="s">
        <v>316</v>
      </c>
      <c r="R376" s="573">
        <v>6</v>
      </c>
      <c r="S376" s="582" t="s">
        <v>1156</v>
      </c>
      <c r="T376" s="573" t="s">
        <v>366</v>
      </c>
      <c r="U376" s="573">
        <v>132</v>
      </c>
      <c r="V376" s="573">
        <v>28.3</v>
      </c>
      <c r="W376" s="616">
        <v>9300</v>
      </c>
      <c r="X376" s="617">
        <v>20</v>
      </c>
      <c r="Y376" s="617" t="s">
        <v>178</v>
      </c>
      <c r="Z376" s="617" t="s">
        <v>178</v>
      </c>
      <c r="AA376" s="618">
        <v>77355</v>
      </c>
      <c r="AB376" s="618" t="s">
        <v>164</v>
      </c>
      <c r="AC376" s="618">
        <v>67500</v>
      </c>
      <c r="AD376" s="619">
        <v>0.01</v>
      </c>
      <c r="AE376" s="617" t="s">
        <v>1155</v>
      </c>
    </row>
    <row r="377" spans="1:31" s="572" customFormat="1">
      <c r="A377" s="570" t="s">
        <v>1158</v>
      </c>
      <c r="B377" s="569" t="s">
        <v>287</v>
      </c>
      <c r="C377" s="580">
        <v>26</v>
      </c>
      <c r="D377" s="569" t="s">
        <v>699</v>
      </c>
      <c r="E377" s="569" t="s">
        <v>187</v>
      </c>
      <c r="F377" s="569" t="s">
        <v>271</v>
      </c>
      <c r="G377" s="569">
        <v>2019</v>
      </c>
      <c r="H377" s="569" t="s">
        <v>1123</v>
      </c>
      <c r="I377" s="569" t="s">
        <v>1149</v>
      </c>
      <c r="J377" s="569" t="s">
        <v>236</v>
      </c>
      <c r="K377" s="569">
        <v>8</v>
      </c>
      <c r="L377" s="569">
        <v>0</v>
      </c>
      <c r="M377" s="569" t="s">
        <v>157</v>
      </c>
      <c r="N377" s="569">
        <v>3</v>
      </c>
      <c r="O377" s="569" t="s">
        <v>157</v>
      </c>
      <c r="P377" s="568" t="s">
        <v>157</v>
      </c>
      <c r="Q377" s="569" t="s">
        <v>316</v>
      </c>
      <c r="R377" s="569">
        <v>6</v>
      </c>
      <c r="S377" s="569" t="s">
        <v>1156</v>
      </c>
      <c r="T377" s="569" t="s">
        <v>366</v>
      </c>
      <c r="U377" s="569">
        <v>132</v>
      </c>
      <c r="V377" s="569">
        <v>28.3</v>
      </c>
      <c r="W377" s="620">
        <v>7550</v>
      </c>
      <c r="X377" s="621">
        <v>20</v>
      </c>
      <c r="Y377" s="621" t="s">
        <v>178</v>
      </c>
      <c r="Z377" s="621" t="s">
        <v>178</v>
      </c>
      <c r="AA377" s="622">
        <v>77255</v>
      </c>
      <c r="AB377" s="622" t="s">
        <v>164</v>
      </c>
      <c r="AC377" s="622">
        <v>68278</v>
      </c>
      <c r="AD377" s="623">
        <v>0.05</v>
      </c>
      <c r="AE377" s="621" t="s">
        <v>1155</v>
      </c>
    </row>
    <row r="378" spans="1:31" s="572" customFormat="1">
      <c r="A378" s="570" t="s">
        <v>1159</v>
      </c>
      <c r="B378" s="573" t="s">
        <v>280</v>
      </c>
      <c r="C378" s="578">
        <v>27</v>
      </c>
      <c r="D378" s="573" t="s">
        <v>699</v>
      </c>
      <c r="E378" s="573" t="s">
        <v>187</v>
      </c>
      <c r="F378" s="573" t="s">
        <v>271</v>
      </c>
      <c r="G378" s="573">
        <v>2019</v>
      </c>
      <c r="H378" s="573" t="s">
        <v>1123</v>
      </c>
      <c r="I378" s="573" t="s">
        <v>1149</v>
      </c>
      <c r="J378" s="573" t="s">
        <v>236</v>
      </c>
      <c r="K378" s="573">
        <v>8</v>
      </c>
      <c r="L378" s="573">
        <v>0</v>
      </c>
      <c r="M378" s="573" t="s">
        <v>157</v>
      </c>
      <c r="N378" s="573">
        <v>3</v>
      </c>
      <c r="O378" s="573" t="s">
        <v>157</v>
      </c>
      <c r="P378" s="571" t="s">
        <v>157</v>
      </c>
      <c r="Q378" s="573" t="s">
        <v>316</v>
      </c>
      <c r="R378" s="573">
        <v>6</v>
      </c>
      <c r="S378" s="582" t="s">
        <v>1156</v>
      </c>
      <c r="T378" s="573" t="s">
        <v>366</v>
      </c>
      <c r="U378" s="573">
        <v>132</v>
      </c>
      <c r="V378" s="573">
        <v>28.3</v>
      </c>
      <c r="W378" s="616">
        <v>7300</v>
      </c>
      <c r="X378" s="617">
        <v>19</v>
      </c>
      <c r="Y378" s="617" t="s">
        <v>178</v>
      </c>
      <c r="Z378" s="617" t="s">
        <v>178</v>
      </c>
      <c r="AA378" s="618">
        <v>77355</v>
      </c>
      <c r="AB378" s="618" t="s">
        <v>164</v>
      </c>
      <c r="AC378" s="618">
        <v>65999</v>
      </c>
      <c r="AD378" s="619">
        <v>0.03</v>
      </c>
      <c r="AE378" s="617" t="s">
        <v>1155</v>
      </c>
    </row>
    <row r="379" spans="1:31" s="572" customFormat="1">
      <c r="A379" s="570" t="s">
        <v>1160</v>
      </c>
      <c r="B379" s="569" t="s">
        <v>269</v>
      </c>
      <c r="C379" s="580" t="s">
        <v>270</v>
      </c>
      <c r="D379" s="569" t="s">
        <v>699</v>
      </c>
      <c r="E379" s="569" t="s">
        <v>187</v>
      </c>
      <c r="F379" s="569" t="s">
        <v>271</v>
      </c>
      <c r="G379" s="569">
        <v>2019</v>
      </c>
      <c r="H379" s="569" t="s">
        <v>1123</v>
      </c>
      <c r="I379" s="569" t="s">
        <v>1162</v>
      </c>
      <c r="J379" s="569" t="s">
        <v>752</v>
      </c>
      <c r="K379" s="569">
        <v>5</v>
      </c>
      <c r="L379" s="569">
        <v>0</v>
      </c>
      <c r="M379" s="569" t="s">
        <v>157</v>
      </c>
      <c r="N379" s="569">
        <v>2</v>
      </c>
      <c r="O379" s="569" t="s">
        <v>157</v>
      </c>
      <c r="P379" s="568" t="s">
        <v>157</v>
      </c>
      <c r="Q379" s="569" t="s">
        <v>316</v>
      </c>
      <c r="R379" s="569">
        <v>6</v>
      </c>
      <c r="S379" s="569" t="s">
        <v>1163</v>
      </c>
      <c r="T379" s="569" t="s">
        <v>276</v>
      </c>
      <c r="U379" s="569">
        <v>132</v>
      </c>
      <c r="V379" s="569">
        <v>28.3</v>
      </c>
      <c r="W379" s="620">
        <v>7550</v>
      </c>
      <c r="X379" s="621">
        <v>18</v>
      </c>
      <c r="Y379" s="621" t="s">
        <v>178</v>
      </c>
      <c r="Z379" s="621" t="s">
        <v>178</v>
      </c>
      <c r="AA379" s="622">
        <v>56530</v>
      </c>
      <c r="AB379" s="622" t="s">
        <v>164</v>
      </c>
      <c r="AC379" s="622">
        <v>43473.291666666672</v>
      </c>
      <c r="AD379" s="623">
        <v>0.03</v>
      </c>
      <c r="AE379" s="621" t="s">
        <v>1161</v>
      </c>
    </row>
    <row r="380" spans="1:31" s="572" customFormat="1">
      <c r="A380" s="570" t="s">
        <v>1164</v>
      </c>
      <c r="B380" s="573" t="s">
        <v>278</v>
      </c>
      <c r="C380" s="578">
        <v>15</v>
      </c>
      <c r="D380" s="573" t="s">
        <v>699</v>
      </c>
      <c r="E380" s="573" t="s">
        <v>187</v>
      </c>
      <c r="F380" s="573" t="s">
        <v>271</v>
      </c>
      <c r="G380" s="573">
        <v>2019</v>
      </c>
      <c r="H380" s="573" t="s">
        <v>1123</v>
      </c>
      <c r="I380" s="573" t="s">
        <v>1162</v>
      </c>
      <c r="J380" s="573" t="s">
        <v>752</v>
      </c>
      <c r="K380" s="573">
        <v>5</v>
      </c>
      <c r="L380" s="573">
        <v>0</v>
      </c>
      <c r="M380" s="573" t="s">
        <v>157</v>
      </c>
      <c r="N380" s="573">
        <v>2</v>
      </c>
      <c r="O380" s="573" t="s">
        <v>157</v>
      </c>
      <c r="P380" s="571" t="s">
        <v>157</v>
      </c>
      <c r="Q380" s="573" t="s">
        <v>316</v>
      </c>
      <c r="R380" s="573">
        <v>6</v>
      </c>
      <c r="S380" s="582" t="s">
        <v>1163</v>
      </c>
      <c r="T380" s="573" t="s">
        <v>276</v>
      </c>
      <c r="U380" s="573">
        <v>132</v>
      </c>
      <c r="V380" s="573">
        <v>28.3</v>
      </c>
      <c r="W380" s="616">
        <v>9300</v>
      </c>
      <c r="X380" s="617">
        <v>19</v>
      </c>
      <c r="Y380" s="617" t="s">
        <v>178</v>
      </c>
      <c r="Z380" s="617" t="s">
        <v>178</v>
      </c>
      <c r="AA380" s="618">
        <v>56530</v>
      </c>
      <c r="AB380" s="618" t="s">
        <v>164</v>
      </c>
      <c r="AC380" s="618">
        <v>44200</v>
      </c>
      <c r="AD380" s="619">
        <v>0.01</v>
      </c>
      <c r="AE380" s="617" t="s">
        <v>1161</v>
      </c>
    </row>
    <row r="381" spans="1:31" s="572" customFormat="1">
      <c r="A381" s="570" t="s">
        <v>1165</v>
      </c>
      <c r="B381" s="569" t="s">
        <v>287</v>
      </c>
      <c r="C381" s="580">
        <v>26</v>
      </c>
      <c r="D381" s="569" t="s">
        <v>699</v>
      </c>
      <c r="E381" s="569" t="s">
        <v>187</v>
      </c>
      <c r="F381" s="569" t="s">
        <v>271</v>
      </c>
      <c r="G381" s="569">
        <v>2019</v>
      </c>
      <c r="H381" s="569" t="s">
        <v>1123</v>
      </c>
      <c r="I381" s="569" t="s">
        <v>1162</v>
      </c>
      <c r="J381" s="569" t="s">
        <v>752</v>
      </c>
      <c r="K381" s="569">
        <v>5</v>
      </c>
      <c r="L381" s="569">
        <v>0</v>
      </c>
      <c r="M381" s="569" t="s">
        <v>157</v>
      </c>
      <c r="N381" s="569">
        <v>2</v>
      </c>
      <c r="O381" s="569" t="s">
        <v>157</v>
      </c>
      <c r="P381" s="568" t="s">
        <v>157</v>
      </c>
      <c r="Q381" s="569" t="s">
        <v>316</v>
      </c>
      <c r="R381" s="569">
        <v>6</v>
      </c>
      <c r="S381" s="569" t="s">
        <v>1163</v>
      </c>
      <c r="T381" s="569" t="s">
        <v>276</v>
      </c>
      <c r="U381" s="569">
        <v>132</v>
      </c>
      <c r="V381" s="569">
        <v>28.3</v>
      </c>
      <c r="W381" s="620">
        <v>7550</v>
      </c>
      <c r="X381" s="621">
        <v>19</v>
      </c>
      <c r="Y381" s="621" t="s">
        <v>178</v>
      </c>
      <c r="Z381" s="621" t="s">
        <v>178</v>
      </c>
      <c r="AA381" s="622">
        <v>56430</v>
      </c>
      <c r="AB381" s="622" t="s">
        <v>164</v>
      </c>
      <c r="AC381" s="622">
        <v>44785</v>
      </c>
      <c r="AD381" s="623">
        <v>0.05</v>
      </c>
      <c r="AE381" s="621" t="s">
        <v>1161</v>
      </c>
    </row>
    <row r="382" spans="1:31" s="572" customFormat="1">
      <c r="A382" s="570" t="s">
        <v>1166</v>
      </c>
      <c r="B382" s="573" t="s">
        <v>280</v>
      </c>
      <c r="C382" s="578">
        <v>27</v>
      </c>
      <c r="D382" s="573" t="s">
        <v>699</v>
      </c>
      <c r="E382" s="573" t="s">
        <v>187</v>
      </c>
      <c r="F382" s="573" t="s">
        <v>271</v>
      </c>
      <c r="G382" s="573">
        <v>2019</v>
      </c>
      <c r="H382" s="573" t="s">
        <v>1123</v>
      </c>
      <c r="I382" s="573" t="s">
        <v>1162</v>
      </c>
      <c r="J382" s="573" t="s">
        <v>752</v>
      </c>
      <c r="K382" s="573">
        <v>5</v>
      </c>
      <c r="L382" s="573">
        <v>0</v>
      </c>
      <c r="M382" s="573" t="s">
        <v>157</v>
      </c>
      <c r="N382" s="573">
        <v>2</v>
      </c>
      <c r="O382" s="573" t="s">
        <v>157</v>
      </c>
      <c r="P382" s="571" t="s">
        <v>157</v>
      </c>
      <c r="Q382" s="573" t="s">
        <v>316</v>
      </c>
      <c r="R382" s="573">
        <v>6</v>
      </c>
      <c r="S382" s="582" t="s">
        <v>1163</v>
      </c>
      <c r="T382" s="573" t="s">
        <v>276</v>
      </c>
      <c r="U382" s="573">
        <v>132</v>
      </c>
      <c r="V382" s="573">
        <v>28.3</v>
      </c>
      <c r="W382" s="616">
        <v>7550</v>
      </c>
      <c r="X382" s="617">
        <v>18</v>
      </c>
      <c r="Y382" s="617" t="s">
        <v>178</v>
      </c>
      <c r="Z382" s="617" t="s">
        <v>178</v>
      </c>
      <c r="AA382" s="618">
        <v>56530</v>
      </c>
      <c r="AB382" s="618" t="s">
        <v>164</v>
      </c>
      <c r="AC382" s="618">
        <v>43473.291666666672</v>
      </c>
      <c r="AD382" s="619">
        <v>0.03</v>
      </c>
      <c r="AE382" s="617" t="s">
        <v>1161</v>
      </c>
    </row>
    <row r="383" spans="1:31" s="572" customFormat="1">
      <c r="A383" s="570" t="s">
        <v>1167</v>
      </c>
      <c r="B383" s="569" t="s">
        <v>269</v>
      </c>
      <c r="C383" s="580" t="s">
        <v>270</v>
      </c>
      <c r="D383" s="569" t="s">
        <v>699</v>
      </c>
      <c r="E383" s="569" t="s">
        <v>187</v>
      </c>
      <c r="F383" s="569" t="s">
        <v>271</v>
      </c>
      <c r="G383" s="569">
        <v>2019</v>
      </c>
      <c r="H383" s="569" t="s">
        <v>1123</v>
      </c>
      <c r="I383" s="569" t="s">
        <v>1162</v>
      </c>
      <c r="J383" s="569" t="s">
        <v>236</v>
      </c>
      <c r="K383" s="569">
        <v>5</v>
      </c>
      <c r="L383" s="569">
        <v>0</v>
      </c>
      <c r="M383" s="569" t="s">
        <v>157</v>
      </c>
      <c r="N383" s="569">
        <v>2</v>
      </c>
      <c r="O383" s="569" t="s">
        <v>157</v>
      </c>
      <c r="P383" s="568" t="s">
        <v>157</v>
      </c>
      <c r="Q383" s="569" t="s">
        <v>316</v>
      </c>
      <c r="R383" s="569">
        <v>6</v>
      </c>
      <c r="S383" s="569" t="s">
        <v>1169</v>
      </c>
      <c r="T383" s="569" t="s">
        <v>276</v>
      </c>
      <c r="U383" s="569">
        <v>132</v>
      </c>
      <c r="V383" s="569">
        <v>28.3</v>
      </c>
      <c r="W383" s="620">
        <v>7300</v>
      </c>
      <c r="X383" s="621">
        <v>20</v>
      </c>
      <c r="Y383" s="621" t="s">
        <v>178</v>
      </c>
      <c r="Z383" s="621" t="s">
        <v>178</v>
      </c>
      <c r="AA383" s="622">
        <v>53520</v>
      </c>
      <c r="AB383" s="622" t="s">
        <v>164</v>
      </c>
      <c r="AC383" s="622">
        <v>40690.291666666672</v>
      </c>
      <c r="AD383" s="623">
        <v>0.03</v>
      </c>
      <c r="AE383" s="621" t="s">
        <v>1168</v>
      </c>
    </row>
    <row r="384" spans="1:31" s="572" customFormat="1">
      <c r="A384" s="570" t="s">
        <v>1170</v>
      </c>
      <c r="B384" s="573" t="s">
        <v>278</v>
      </c>
      <c r="C384" s="578">
        <v>15</v>
      </c>
      <c r="D384" s="573" t="s">
        <v>699</v>
      </c>
      <c r="E384" s="573" t="s">
        <v>187</v>
      </c>
      <c r="F384" s="573" t="s">
        <v>271</v>
      </c>
      <c r="G384" s="573">
        <v>2019</v>
      </c>
      <c r="H384" s="573" t="s">
        <v>1123</v>
      </c>
      <c r="I384" s="573" t="s">
        <v>1162</v>
      </c>
      <c r="J384" s="573" t="s">
        <v>236</v>
      </c>
      <c r="K384" s="573">
        <v>5</v>
      </c>
      <c r="L384" s="573">
        <v>0</v>
      </c>
      <c r="M384" s="573" t="s">
        <v>157</v>
      </c>
      <c r="N384" s="573">
        <v>2</v>
      </c>
      <c r="O384" s="573" t="s">
        <v>157</v>
      </c>
      <c r="P384" s="571" t="s">
        <v>157</v>
      </c>
      <c r="Q384" s="573" t="s">
        <v>316</v>
      </c>
      <c r="R384" s="573">
        <v>6</v>
      </c>
      <c r="S384" s="582" t="s">
        <v>1169</v>
      </c>
      <c r="T384" s="573" t="s">
        <v>276</v>
      </c>
      <c r="U384" s="573">
        <v>132</v>
      </c>
      <c r="V384" s="573">
        <v>28.3</v>
      </c>
      <c r="W384" s="616">
        <v>9300</v>
      </c>
      <c r="X384" s="617">
        <v>20</v>
      </c>
      <c r="Y384" s="617" t="s">
        <v>178</v>
      </c>
      <c r="Z384" s="617" t="s">
        <v>178</v>
      </c>
      <c r="AA384" s="618">
        <v>53520</v>
      </c>
      <c r="AB384" s="618" t="s">
        <v>164</v>
      </c>
      <c r="AC384" s="618">
        <v>41350</v>
      </c>
      <c r="AD384" s="619">
        <v>0.01</v>
      </c>
      <c r="AE384" s="617" t="s">
        <v>1168</v>
      </c>
    </row>
    <row r="385" spans="1:31" s="572" customFormat="1">
      <c r="A385" s="570" t="s">
        <v>1171</v>
      </c>
      <c r="B385" s="569" t="s">
        <v>287</v>
      </c>
      <c r="C385" s="580">
        <v>26</v>
      </c>
      <c r="D385" s="569" t="s">
        <v>699</v>
      </c>
      <c r="E385" s="569" t="s">
        <v>187</v>
      </c>
      <c r="F385" s="569" t="s">
        <v>271</v>
      </c>
      <c r="G385" s="569">
        <v>2019</v>
      </c>
      <c r="H385" s="569" t="s">
        <v>1123</v>
      </c>
      <c r="I385" s="569" t="s">
        <v>1162</v>
      </c>
      <c r="J385" s="569" t="s">
        <v>236</v>
      </c>
      <c r="K385" s="569">
        <v>5</v>
      </c>
      <c r="L385" s="569">
        <v>0</v>
      </c>
      <c r="M385" s="569" t="s">
        <v>157</v>
      </c>
      <c r="N385" s="569">
        <v>2</v>
      </c>
      <c r="O385" s="569" t="s">
        <v>157</v>
      </c>
      <c r="P385" s="568" t="s">
        <v>157</v>
      </c>
      <c r="Q385" s="569" t="s">
        <v>316</v>
      </c>
      <c r="R385" s="569">
        <v>6</v>
      </c>
      <c r="S385" s="569" t="s">
        <v>1169</v>
      </c>
      <c r="T385" s="569" t="s">
        <v>276</v>
      </c>
      <c r="U385" s="569">
        <v>132</v>
      </c>
      <c r="V385" s="569">
        <v>28.3</v>
      </c>
      <c r="W385" s="620">
        <v>7550</v>
      </c>
      <c r="X385" s="621">
        <v>20</v>
      </c>
      <c r="Y385" s="621" t="s">
        <v>178</v>
      </c>
      <c r="Z385" s="621" t="s">
        <v>178</v>
      </c>
      <c r="AA385" s="622">
        <v>53420</v>
      </c>
      <c r="AB385" s="622" t="s">
        <v>164</v>
      </c>
      <c r="AC385" s="622">
        <v>41917</v>
      </c>
      <c r="AD385" s="623">
        <v>0.05</v>
      </c>
      <c r="AE385" s="621" t="s">
        <v>1168</v>
      </c>
    </row>
    <row r="386" spans="1:31" s="572" customFormat="1">
      <c r="A386" s="570" t="s">
        <v>1172</v>
      </c>
      <c r="B386" s="573" t="s">
        <v>280</v>
      </c>
      <c r="C386" s="578">
        <v>27</v>
      </c>
      <c r="D386" s="573" t="s">
        <v>699</v>
      </c>
      <c r="E386" s="573" t="s">
        <v>187</v>
      </c>
      <c r="F386" s="573" t="s">
        <v>271</v>
      </c>
      <c r="G386" s="573">
        <v>2019</v>
      </c>
      <c r="H386" s="573" t="s">
        <v>1123</v>
      </c>
      <c r="I386" s="573" t="s">
        <v>1162</v>
      </c>
      <c r="J386" s="573" t="s">
        <v>236</v>
      </c>
      <c r="K386" s="573">
        <v>5</v>
      </c>
      <c r="L386" s="573">
        <v>0</v>
      </c>
      <c r="M386" s="573" t="s">
        <v>157</v>
      </c>
      <c r="N386" s="573">
        <v>2</v>
      </c>
      <c r="O386" s="573" t="s">
        <v>157</v>
      </c>
      <c r="P386" s="571" t="s">
        <v>157</v>
      </c>
      <c r="Q386" s="573" t="s">
        <v>316</v>
      </c>
      <c r="R386" s="573">
        <v>6</v>
      </c>
      <c r="S386" s="582" t="s">
        <v>1169</v>
      </c>
      <c r="T386" s="573" t="s">
        <v>276</v>
      </c>
      <c r="U386" s="573">
        <v>132</v>
      </c>
      <c r="V386" s="573">
        <v>28.3</v>
      </c>
      <c r="W386" s="616">
        <v>7300</v>
      </c>
      <c r="X386" s="617">
        <v>20</v>
      </c>
      <c r="Y386" s="617" t="s">
        <v>178</v>
      </c>
      <c r="Z386" s="617" t="s">
        <v>178</v>
      </c>
      <c r="AA386" s="618">
        <v>53520</v>
      </c>
      <c r="AB386" s="618" t="s">
        <v>164</v>
      </c>
      <c r="AC386" s="618">
        <v>40690.291666666672</v>
      </c>
      <c r="AD386" s="619">
        <v>0.03</v>
      </c>
      <c r="AE386" s="617" t="s">
        <v>1168</v>
      </c>
    </row>
    <row r="387" spans="1:31" s="572" customFormat="1">
      <c r="A387" s="570" t="s">
        <v>1173</v>
      </c>
      <c r="B387" s="569" t="s">
        <v>269</v>
      </c>
      <c r="C387" s="580" t="s">
        <v>270</v>
      </c>
      <c r="D387" s="569" t="s">
        <v>699</v>
      </c>
      <c r="E387" s="569" t="s">
        <v>187</v>
      </c>
      <c r="F387" s="569" t="s">
        <v>271</v>
      </c>
      <c r="G387" s="569">
        <v>2019</v>
      </c>
      <c r="H387" s="569" t="s">
        <v>1123</v>
      </c>
      <c r="I387" s="569" t="s">
        <v>1175</v>
      </c>
      <c r="J387" s="569" t="s">
        <v>752</v>
      </c>
      <c r="K387" s="569">
        <v>8</v>
      </c>
      <c r="L387" s="569">
        <v>0</v>
      </c>
      <c r="M387" s="569" t="s">
        <v>157</v>
      </c>
      <c r="N387" s="569">
        <v>3</v>
      </c>
      <c r="O387" s="569" t="s">
        <v>157</v>
      </c>
      <c r="P387" s="568" t="s">
        <v>157</v>
      </c>
      <c r="Q387" s="569" t="s">
        <v>316</v>
      </c>
      <c r="R387" s="569">
        <v>6</v>
      </c>
      <c r="S387" s="569" t="s">
        <v>1176</v>
      </c>
      <c r="T387" s="569" t="s">
        <v>295</v>
      </c>
      <c r="U387" s="569">
        <v>132</v>
      </c>
      <c r="V387" s="569">
        <v>28.3</v>
      </c>
      <c r="W387" s="620">
        <v>7550</v>
      </c>
      <c r="X387" s="621">
        <v>18</v>
      </c>
      <c r="Y387" s="621" t="s">
        <v>178</v>
      </c>
      <c r="Z387" s="621" t="s">
        <v>178</v>
      </c>
      <c r="AA387" s="622">
        <v>59120</v>
      </c>
      <c r="AB387" s="622" t="s">
        <v>164</v>
      </c>
      <c r="AC387" s="622">
        <v>49409.75</v>
      </c>
      <c r="AD387" s="623">
        <v>0.03</v>
      </c>
      <c r="AE387" s="621" t="s">
        <v>1174</v>
      </c>
    </row>
    <row r="388" spans="1:31" s="572" customFormat="1">
      <c r="A388" s="570" t="s">
        <v>1177</v>
      </c>
      <c r="B388" s="573" t="s">
        <v>278</v>
      </c>
      <c r="C388" s="578">
        <v>15</v>
      </c>
      <c r="D388" s="573" t="s">
        <v>699</v>
      </c>
      <c r="E388" s="573" t="s">
        <v>187</v>
      </c>
      <c r="F388" s="573" t="s">
        <v>271</v>
      </c>
      <c r="G388" s="573">
        <v>2019</v>
      </c>
      <c r="H388" s="573" t="s">
        <v>1123</v>
      </c>
      <c r="I388" s="573" t="s">
        <v>1175</v>
      </c>
      <c r="J388" s="573" t="s">
        <v>752</v>
      </c>
      <c r="K388" s="573">
        <v>8</v>
      </c>
      <c r="L388" s="573">
        <v>0</v>
      </c>
      <c r="M388" s="573" t="s">
        <v>157</v>
      </c>
      <c r="N388" s="573">
        <v>3</v>
      </c>
      <c r="O388" s="573" t="s">
        <v>157</v>
      </c>
      <c r="P388" s="571" t="s">
        <v>157</v>
      </c>
      <c r="Q388" s="573" t="s">
        <v>316</v>
      </c>
      <c r="R388" s="573">
        <v>6</v>
      </c>
      <c r="S388" s="582" t="s">
        <v>1176</v>
      </c>
      <c r="T388" s="573" t="s">
        <v>295</v>
      </c>
      <c r="U388" s="573">
        <v>132</v>
      </c>
      <c r="V388" s="573">
        <v>28.3</v>
      </c>
      <c r="W388" s="616">
        <v>9300</v>
      </c>
      <c r="X388" s="617">
        <v>19</v>
      </c>
      <c r="Y388" s="617" t="s">
        <v>178</v>
      </c>
      <c r="Z388" s="617" t="s">
        <v>178</v>
      </c>
      <c r="AA388" s="618">
        <v>59120</v>
      </c>
      <c r="AB388" s="618" t="s">
        <v>164</v>
      </c>
      <c r="AC388" s="618">
        <v>50250</v>
      </c>
      <c r="AD388" s="619">
        <v>0.01</v>
      </c>
      <c r="AE388" s="617" t="s">
        <v>1174</v>
      </c>
    </row>
    <row r="389" spans="1:31" s="572" customFormat="1">
      <c r="A389" s="570" t="s">
        <v>1178</v>
      </c>
      <c r="B389" s="569" t="s">
        <v>287</v>
      </c>
      <c r="C389" s="580">
        <v>26</v>
      </c>
      <c r="D389" s="569" t="s">
        <v>699</v>
      </c>
      <c r="E389" s="569" t="s">
        <v>187</v>
      </c>
      <c r="F389" s="569" t="s">
        <v>271</v>
      </c>
      <c r="G389" s="569">
        <v>2019</v>
      </c>
      <c r="H389" s="569" t="s">
        <v>1123</v>
      </c>
      <c r="I389" s="569" t="s">
        <v>1175</v>
      </c>
      <c r="J389" s="569" t="s">
        <v>752</v>
      </c>
      <c r="K389" s="569">
        <v>8</v>
      </c>
      <c r="L389" s="569">
        <v>0</v>
      </c>
      <c r="M389" s="569" t="s">
        <v>157</v>
      </c>
      <c r="N389" s="569">
        <v>3</v>
      </c>
      <c r="O389" s="569" t="s">
        <v>157</v>
      </c>
      <c r="P389" s="568" t="s">
        <v>157</v>
      </c>
      <c r="Q389" s="569" t="s">
        <v>316</v>
      </c>
      <c r="R389" s="569">
        <v>6</v>
      </c>
      <c r="S389" s="569" t="s">
        <v>1176</v>
      </c>
      <c r="T389" s="569" t="s">
        <v>295</v>
      </c>
      <c r="U389" s="569">
        <v>132</v>
      </c>
      <c r="V389" s="569">
        <v>28.3</v>
      </c>
      <c r="W389" s="620">
        <v>7550</v>
      </c>
      <c r="X389" s="621">
        <v>19</v>
      </c>
      <c r="Y389" s="621" t="s">
        <v>178</v>
      </c>
      <c r="Z389" s="621" t="s">
        <v>178</v>
      </c>
      <c r="AA389" s="622">
        <v>59020</v>
      </c>
      <c r="AB389" s="622" t="s">
        <v>164</v>
      </c>
      <c r="AC389" s="622">
        <v>50903</v>
      </c>
      <c r="AD389" s="623">
        <v>0.05</v>
      </c>
      <c r="AE389" s="621" t="s">
        <v>1174</v>
      </c>
    </row>
    <row r="390" spans="1:31" s="572" customFormat="1">
      <c r="A390" s="570" t="s">
        <v>1179</v>
      </c>
      <c r="B390" s="573" t="s">
        <v>280</v>
      </c>
      <c r="C390" s="578">
        <v>27</v>
      </c>
      <c r="D390" s="573" t="s">
        <v>699</v>
      </c>
      <c r="E390" s="573" t="s">
        <v>187</v>
      </c>
      <c r="F390" s="573" t="s">
        <v>271</v>
      </c>
      <c r="G390" s="573">
        <v>2019</v>
      </c>
      <c r="H390" s="573" t="s">
        <v>1123</v>
      </c>
      <c r="I390" s="573" t="s">
        <v>1175</v>
      </c>
      <c r="J390" s="573" t="s">
        <v>752</v>
      </c>
      <c r="K390" s="573">
        <v>8</v>
      </c>
      <c r="L390" s="573">
        <v>0</v>
      </c>
      <c r="M390" s="573" t="s">
        <v>157</v>
      </c>
      <c r="N390" s="573">
        <v>3</v>
      </c>
      <c r="O390" s="573" t="s">
        <v>157</v>
      </c>
      <c r="P390" s="571" t="s">
        <v>157</v>
      </c>
      <c r="Q390" s="573" t="s">
        <v>316</v>
      </c>
      <c r="R390" s="573">
        <v>6</v>
      </c>
      <c r="S390" s="582" t="s">
        <v>1176</v>
      </c>
      <c r="T390" s="573" t="s">
        <v>295</v>
      </c>
      <c r="U390" s="573">
        <v>132</v>
      </c>
      <c r="V390" s="573">
        <v>28.3</v>
      </c>
      <c r="W390" s="616">
        <v>7550</v>
      </c>
      <c r="X390" s="617">
        <v>18</v>
      </c>
      <c r="Y390" s="617" t="s">
        <v>178</v>
      </c>
      <c r="Z390" s="617" t="s">
        <v>178</v>
      </c>
      <c r="AA390" s="618">
        <v>59120</v>
      </c>
      <c r="AB390" s="618" t="s">
        <v>164</v>
      </c>
      <c r="AC390" s="618">
        <v>49409.75</v>
      </c>
      <c r="AD390" s="619">
        <v>0.03</v>
      </c>
      <c r="AE390" s="617" t="s">
        <v>1174</v>
      </c>
    </row>
    <row r="391" spans="1:31" s="572" customFormat="1">
      <c r="A391" s="570" t="s">
        <v>1180</v>
      </c>
      <c r="B391" s="569" t="s">
        <v>269</v>
      </c>
      <c r="C391" s="580" t="s">
        <v>270</v>
      </c>
      <c r="D391" s="569" t="s">
        <v>699</v>
      </c>
      <c r="E391" s="569" t="s">
        <v>187</v>
      </c>
      <c r="F391" s="569" t="s">
        <v>271</v>
      </c>
      <c r="G391" s="569">
        <v>2019</v>
      </c>
      <c r="H391" s="569" t="s">
        <v>1123</v>
      </c>
      <c r="I391" s="569" t="s">
        <v>1175</v>
      </c>
      <c r="J391" s="569" t="s">
        <v>236</v>
      </c>
      <c r="K391" s="569">
        <v>8</v>
      </c>
      <c r="L391" s="569">
        <v>0</v>
      </c>
      <c r="M391" s="569" t="s">
        <v>157</v>
      </c>
      <c r="N391" s="569">
        <v>3</v>
      </c>
      <c r="O391" s="569" t="s">
        <v>157</v>
      </c>
      <c r="P391" s="568" t="s">
        <v>157</v>
      </c>
      <c r="Q391" s="569" t="s">
        <v>316</v>
      </c>
      <c r="R391" s="569">
        <v>6</v>
      </c>
      <c r="S391" s="569" t="s">
        <v>1182</v>
      </c>
      <c r="T391" s="569" t="s">
        <v>295</v>
      </c>
      <c r="U391" s="569">
        <v>132</v>
      </c>
      <c r="V391" s="569">
        <v>28.3</v>
      </c>
      <c r="W391" s="620">
        <v>7300</v>
      </c>
      <c r="X391" s="621">
        <v>19</v>
      </c>
      <c r="Y391" s="621" t="s">
        <v>178</v>
      </c>
      <c r="Z391" s="621" t="s">
        <v>178</v>
      </c>
      <c r="AA391" s="622">
        <v>56110</v>
      </c>
      <c r="AB391" s="622" t="s">
        <v>164</v>
      </c>
      <c r="AC391" s="622">
        <v>46627.458333333336</v>
      </c>
      <c r="AD391" s="623">
        <v>0.03</v>
      </c>
      <c r="AE391" s="621" t="s">
        <v>1181</v>
      </c>
    </row>
    <row r="392" spans="1:31" s="572" customFormat="1">
      <c r="A392" s="570" t="s">
        <v>1183</v>
      </c>
      <c r="B392" s="573" t="s">
        <v>278</v>
      </c>
      <c r="C392" s="578">
        <v>15</v>
      </c>
      <c r="D392" s="573" t="s">
        <v>699</v>
      </c>
      <c r="E392" s="573" t="s">
        <v>187</v>
      </c>
      <c r="F392" s="573" t="s">
        <v>271</v>
      </c>
      <c r="G392" s="573">
        <v>2019</v>
      </c>
      <c r="H392" s="573" t="s">
        <v>1123</v>
      </c>
      <c r="I392" s="573" t="s">
        <v>1175</v>
      </c>
      <c r="J392" s="573" t="s">
        <v>236</v>
      </c>
      <c r="K392" s="573">
        <v>8</v>
      </c>
      <c r="L392" s="573">
        <v>0</v>
      </c>
      <c r="M392" s="573" t="s">
        <v>157</v>
      </c>
      <c r="N392" s="573">
        <v>3</v>
      </c>
      <c r="O392" s="573" t="s">
        <v>157</v>
      </c>
      <c r="P392" s="571" t="s">
        <v>157</v>
      </c>
      <c r="Q392" s="573" t="s">
        <v>316</v>
      </c>
      <c r="R392" s="573">
        <v>6</v>
      </c>
      <c r="S392" s="582" t="s">
        <v>1182</v>
      </c>
      <c r="T392" s="573" t="s">
        <v>295</v>
      </c>
      <c r="U392" s="573">
        <v>132</v>
      </c>
      <c r="V392" s="573">
        <v>28.3</v>
      </c>
      <c r="W392" s="616">
        <v>9300</v>
      </c>
      <c r="X392" s="617">
        <v>20</v>
      </c>
      <c r="Y392" s="617" t="s">
        <v>178</v>
      </c>
      <c r="Z392" s="617" t="s">
        <v>178</v>
      </c>
      <c r="AA392" s="618">
        <v>56110</v>
      </c>
      <c r="AB392" s="618" t="s">
        <v>164</v>
      </c>
      <c r="AC392" s="618">
        <v>43800</v>
      </c>
      <c r="AD392" s="619">
        <v>0.01</v>
      </c>
      <c r="AE392" s="617" t="s">
        <v>1181</v>
      </c>
    </row>
    <row r="393" spans="1:31" s="572" customFormat="1">
      <c r="A393" s="570" t="s">
        <v>1184</v>
      </c>
      <c r="B393" s="569" t="s">
        <v>287</v>
      </c>
      <c r="C393" s="580">
        <v>26</v>
      </c>
      <c r="D393" s="569" t="s">
        <v>699</v>
      </c>
      <c r="E393" s="569" t="s">
        <v>187</v>
      </c>
      <c r="F393" s="569" t="s">
        <v>271</v>
      </c>
      <c r="G393" s="569">
        <v>2019</v>
      </c>
      <c r="H393" s="569" t="s">
        <v>1123</v>
      </c>
      <c r="I393" s="569" t="s">
        <v>1175</v>
      </c>
      <c r="J393" s="569" t="s">
        <v>236</v>
      </c>
      <c r="K393" s="569">
        <v>8</v>
      </c>
      <c r="L393" s="569">
        <v>0</v>
      </c>
      <c r="M393" s="569" t="s">
        <v>157</v>
      </c>
      <c r="N393" s="569">
        <v>3</v>
      </c>
      <c r="O393" s="569" t="s">
        <v>157</v>
      </c>
      <c r="P393" s="568" t="s">
        <v>157</v>
      </c>
      <c r="Q393" s="569" t="s">
        <v>316</v>
      </c>
      <c r="R393" s="569">
        <v>6</v>
      </c>
      <c r="S393" s="569" t="s">
        <v>1182</v>
      </c>
      <c r="T393" s="569" t="s">
        <v>295</v>
      </c>
      <c r="U393" s="569">
        <v>132</v>
      </c>
      <c r="V393" s="569">
        <v>28.3</v>
      </c>
      <c r="W393" s="620">
        <v>7550</v>
      </c>
      <c r="X393" s="621">
        <v>20</v>
      </c>
      <c r="Y393" s="621" t="s">
        <v>178</v>
      </c>
      <c r="Z393" s="621" t="s">
        <v>178</v>
      </c>
      <c r="AA393" s="622">
        <v>56010</v>
      </c>
      <c r="AB393" s="622" t="s">
        <v>164</v>
      </c>
      <c r="AC393" s="622">
        <v>48035</v>
      </c>
      <c r="AD393" s="623">
        <v>0.05</v>
      </c>
      <c r="AE393" s="621" t="s">
        <v>1181</v>
      </c>
    </row>
    <row r="394" spans="1:31" s="572" customFormat="1">
      <c r="A394" s="570" t="s">
        <v>1185</v>
      </c>
      <c r="B394" s="573" t="s">
        <v>280</v>
      </c>
      <c r="C394" s="578">
        <v>27</v>
      </c>
      <c r="D394" s="573" t="s">
        <v>699</v>
      </c>
      <c r="E394" s="573" t="s">
        <v>187</v>
      </c>
      <c r="F394" s="573" t="s">
        <v>271</v>
      </c>
      <c r="G394" s="573">
        <v>2019</v>
      </c>
      <c r="H394" s="573" t="s">
        <v>1123</v>
      </c>
      <c r="I394" s="573" t="s">
        <v>1175</v>
      </c>
      <c r="J394" s="573" t="s">
        <v>236</v>
      </c>
      <c r="K394" s="573">
        <v>8</v>
      </c>
      <c r="L394" s="573">
        <v>0</v>
      </c>
      <c r="M394" s="573" t="s">
        <v>157</v>
      </c>
      <c r="N394" s="573">
        <v>3</v>
      </c>
      <c r="O394" s="573" t="s">
        <v>157</v>
      </c>
      <c r="P394" s="571" t="s">
        <v>157</v>
      </c>
      <c r="Q394" s="573" t="s">
        <v>316</v>
      </c>
      <c r="R394" s="573">
        <v>6</v>
      </c>
      <c r="S394" s="582" t="s">
        <v>1182</v>
      </c>
      <c r="T394" s="573" t="s">
        <v>295</v>
      </c>
      <c r="U394" s="573">
        <v>132</v>
      </c>
      <c r="V394" s="573">
        <v>28.3</v>
      </c>
      <c r="W394" s="616">
        <v>7300</v>
      </c>
      <c r="X394" s="617">
        <v>19</v>
      </c>
      <c r="Y394" s="617" t="s">
        <v>178</v>
      </c>
      <c r="Z394" s="617" t="s">
        <v>178</v>
      </c>
      <c r="AA394" s="618">
        <v>56110</v>
      </c>
      <c r="AB394" s="618" t="s">
        <v>164</v>
      </c>
      <c r="AC394" s="618">
        <v>46627.458333333336</v>
      </c>
      <c r="AD394" s="619">
        <v>0.03</v>
      </c>
      <c r="AE394" s="617" t="s">
        <v>1181</v>
      </c>
    </row>
    <row r="395" spans="1:31" s="572" customFormat="1">
      <c r="A395" s="570" t="s">
        <v>1186</v>
      </c>
      <c r="B395" s="569" t="s">
        <v>269</v>
      </c>
      <c r="C395" s="580" t="s">
        <v>270</v>
      </c>
      <c r="D395" s="569" t="s">
        <v>699</v>
      </c>
      <c r="E395" s="569" t="s">
        <v>187</v>
      </c>
      <c r="F395" s="569" t="s">
        <v>271</v>
      </c>
      <c r="G395" s="569">
        <v>2019</v>
      </c>
      <c r="H395" s="569" t="s">
        <v>1123</v>
      </c>
      <c r="I395" s="569" t="s">
        <v>1188</v>
      </c>
      <c r="J395" s="569" t="s">
        <v>752</v>
      </c>
      <c r="K395" s="569">
        <v>8</v>
      </c>
      <c r="L395" s="569">
        <v>0</v>
      </c>
      <c r="M395" s="569" t="s">
        <v>157</v>
      </c>
      <c r="N395" s="569">
        <v>3</v>
      </c>
      <c r="O395" s="569" t="s">
        <v>157</v>
      </c>
      <c r="P395" s="568" t="s">
        <v>157</v>
      </c>
      <c r="Q395" s="569" t="s">
        <v>316</v>
      </c>
      <c r="R395" s="569">
        <v>6</v>
      </c>
      <c r="S395" s="569" t="s">
        <v>1189</v>
      </c>
      <c r="T395" s="569" t="s">
        <v>366</v>
      </c>
      <c r="U395" s="569">
        <v>122.5</v>
      </c>
      <c r="V395" s="569">
        <v>23.3</v>
      </c>
      <c r="W395" s="620">
        <v>7450</v>
      </c>
      <c r="X395" s="621">
        <v>19</v>
      </c>
      <c r="Y395" s="621" t="s">
        <v>178</v>
      </c>
      <c r="Z395" s="621" t="s">
        <v>178</v>
      </c>
      <c r="AA395" s="622">
        <v>77810</v>
      </c>
      <c r="AB395" s="622" t="s">
        <v>164</v>
      </c>
      <c r="AC395" s="622">
        <v>66469</v>
      </c>
      <c r="AD395" s="623">
        <v>0.03</v>
      </c>
      <c r="AE395" s="621" t="s">
        <v>1187</v>
      </c>
    </row>
    <row r="396" spans="1:31" s="572" customFormat="1">
      <c r="A396" s="570" t="s">
        <v>1190</v>
      </c>
      <c r="B396" s="573" t="s">
        <v>278</v>
      </c>
      <c r="C396" s="578">
        <v>15</v>
      </c>
      <c r="D396" s="573" t="s">
        <v>699</v>
      </c>
      <c r="E396" s="573" t="s">
        <v>187</v>
      </c>
      <c r="F396" s="573" t="s">
        <v>271</v>
      </c>
      <c r="G396" s="573">
        <v>2019</v>
      </c>
      <c r="H396" s="573" t="s">
        <v>1123</v>
      </c>
      <c r="I396" s="573" t="s">
        <v>1188</v>
      </c>
      <c r="J396" s="573" t="s">
        <v>752</v>
      </c>
      <c r="K396" s="573">
        <v>8</v>
      </c>
      <c r="L396" s="573">
        <v>0</v>
      </c>
      <c r="M396" s="573" t="s">
        <v>157</v>
      </c>
      <c r="N396" s="573">
        <v>3</v>
      </c>
      <c r="O396" s="573" t="s">
        <v>157</v>
      </c>
      <c r="P396" s="571" t="s">
        <v>157</v>
      </c>
      <c r="Q396" s="573" t="s">
        <v>316</v>
      </c>
      <c r="R396" s="573">
        <v>6</v>
      </c>
      <c r="S396" s="582" t="s">
        <v>1189</v>
      </c>
      <c r="T396" s="573" t="s">
        <v>366</v>
      </c>
      <c r="U396" s="573">
        <v>122.5</v>
      </c>
      <c r="V396" s="573">
        <v>23.3</v>
      </c>
      <c r="W396" s="616">
        <v>7450</v>
      </c>
      <c r="X396" s="617">
        <v>19</v>
      </c>
      <c r="Y396" s="617" t="s">
        <v>178</v>
      </c>
      <c r="Z396" s="617" t="s">
        <v>178</v>
      </c>
      <c r="AA396" s="618">
        <v>77810</v>
      </c>
      <c r="AB396" s="618" t="s">
        <v>164</v>
      </c>
      <c r="AC396" s="618">
        <v>67900</v>
      </c>
      <c r="AD396" s="619">
        <v>0.01</v>
      </c>
      <c r="AE396" s="617" t="s">
        <v>1187</v>
      </c>
    </row>
    <row r="397" spans="1:31" s="572" customFormat="1">
      <c r="A397" s="570" t="s">
        <v>1191</v>
      </c>
      <c r="B397" s="569" t="s">
        <v>287</v>
      </c>
      <c r="C397" s="580">
        <v>26</v>
      </c>
      <c r="D397" s="569" t="s">
        <v>699</v>
      </c>
      <c r="E397" s="569" t="s">
        <v>187</v>
      </c>
      <c r="F397" s="569" t="s">
        <v>271</v>
      </c>
      <c r="G397" s="569">
        <v>2019</v>
      </c>
      <c r="H397" s="569" t="s">
        <v>1123</v>
      </c>
      <c r="I397" s="569" t="s">
        <v>1188</v>
      </c>
      <c r="J397" s="569" t="s">
        <v>752</v>
      </c>
      <c r="K397" s="569">
        <v>8</v>
      </c>
      <c r="L397" s="569">
        <v>0</v>
      </c>
      <c r="M397" s="569" t="s">
        <v>157</v>
      </c>
      <c r="N397" s="569">
        <v>3</v>
      </c>
      <c r="O397" s="569" t="s">
        <v>157</v>
      </c>
      <c r="P397" s="568" t="s">
        <v>157</v>
      </c>
      <c r="Q397" s="569" t="s">
        <v>316</v>
      </c>
      <c r="R397" s="569">
        <v>6</v>
      </c>
      <c r="S397" s="569" t="s">
        <v>1189</v>
      </c>
      <c r="T397" s="569" t="s">
        <v>366</v>
      </c>
      <c r="U397" s="569">
        <v>122.5</v>
      </c>
      <c r="V397" s="569">
        <v>23.3</v>
      </c>
      <c r="W397" s="620">
        <v>7450</v>
      </c>
      <c r="X397" s="621">
        <v>19</v>
      </c>
      <c r="Y397" s="621" t="s">
        <v>178</v>
      </c>
      <c r="Z397" s="621" t="s">
        <v>178</v>
      </c>
      <c r="AA397" s="622">
        <v>77810</v>
      </c>
      <c r="AB397" s="622" t="s">
        <v>164</v>
      </c>
      <c r="AC397" s="622">
        <v>68710</v>
      </c>
      <c r="AD397" s="623">
        <v>0.05</v>
      </c>
      <c r="AE397" s="621" t="s">
        <v>1187</v>
      </c>
    </row>
    <row r="398" spans="1:31" s="572" customFormat="1">
      <c r="A398" s="570" t="s">
        <v>1192</v>
      </c>
      <c r="B398" s="573" t="s">
        <v>280</v>
      </c>
      <c r="C398" s="578">
        <v>27</v>
      </c>
      <c r="D398" s="573" t="s">
        <v>699</v>
      </c>
      <c r="E398" s="573" t="s">
        <v>187</v>
      </c>
      <c r="F398" s="573" t="s">
        <v>271</v>
      </c>
      <c r="G398" s="573">
        <v>2019</v>
      </c>
      <c r="H398" s="573" t="s">
        <v>1123</v>
      </c>
      <c r="I398" s="573" t="s">
        <v>1188</v>
      </c>
      <c r="J398" s="573" t="s">
        <v>752</v>
      </c>
      <c r="K398" s="573">
        <v>8</v>
      </c>
      <c r="L398" s="573">
        <v>0</v>
      </c>
      <c r="M398" s="573" t="s">
        <v>157</v>
      </c>
      <c r="N398" s="573">
        <v>3</v>
      </c>
      <c r="O398" s="573" t="s">
        <v>157</v>
      </c>
      <c r="P398" s="571" t="s">
        <v>157</v>
      </c>
      <c r="Q398" s="573" t="s">
        <v>316</v>
      </c>
      <c r="R398" s="573">
        <v>6</v>
      </c>
      <c r="S398" s="582" t="s">
        <v>1189</v>
      </c>
      <c r="T398" s="573" t="s">
        <v>366</v>
      </c>
      <c r="U398" s="573">
        <v>122.5</v>
      </c>
      <c r="V398" s="573">
        <v>23.3</v>
      </c>
      <c r="W398" s="616">
        <v>7450</v>
      </c>
      <c r="X398" s="617">
        <v>19</v>
      </c>
      <c r="Y398" s="617" t="s">
        <v>178</v>
      </c>
      <c r="Z398" s="617" t="s">
        <v>178</v>
      </c>
      <c r="AA398" s="618">
        <v>77810</v>
      </c>
      <c r="AB398" s="618" t="s">
        <v>164</v>
      </c>
      <c r="AC398" s="618">
        <v>66469</v>
      </c>
      <c r="AD398" s="619">
        <v>0.03</v>
      </c>
      <c r="AE398" s="617" t="s">
        <v>1187</v>
      </c>
    </row>
    <row r="399" spans="1:31" s="572" customFormat="1">
      <c r="A399" s="570" t="s">
        <v>1193</v>
      </c>
      <c r="B399" s="569" t="s">
        <v>269</v>
      </c>
      <c r="C399" s="580" t="s">
        <v>270</v>
      </c>
      <c r="D399" s="569" t="s">
        <v>699</v>
      </c>
      <c r="E399" s="569" t="s">
        <v>187</v>
      </c>
      <c r="F399" s="569" t="s">
        <v>271</v>
      </c>
      <c r="G399" s="569">
        <v>2019</v>
      </c>
      <c r="H399" s="569" t="s">
        <v>1123</v>
      </c>
      <c r="I399" s="569" t="s">
        <v>1188</v>
      </c>
      <c r="J399" s="569" t="s">
        <v>236</v>
      </c>
      <c r="K399" s="569">
        <v>8</v>
      </c>
      <c r="L399" s="569">
        <v>0</v>
      </c>
      <c r="M399" s="569" t="s">
        <v>157</v>
      </c>
      <c r="N399" s="569">
        <v>3</v>
      </c>
      <c r="O399" s="569" t="s">
        <v>157</v>
      </c>
      <c r="P399" s="568" t="s">
        <v>157</v>
      </c>
      <c r="Q399" s="569" t="s">
        <v>316</v>
      </c>
      <c r="R399" s="569">
        <v>6</v>
      </c>
      <c r="S399" s="569" t="s">
        <v>1195</v>
      </c>
      <c r="T399" s="569" t="s">
        <v>366</v>
      </c>
      <c r="U399" s="569">
        <v>122.5</v>
      </c>
      <c r="V399" s="569">
        <v>23.3</v>
      </c>
      <c r="W399" s="620">
        <v>7200</v>
      </c>
      <c r="X399" s="621">
        <v>20</v>
      </c>
      <c r="Y399" s="621" t="s">
        <v>178</v>
      </c>
      <c r="Z399" s="621" t="s">
        <v>178</v>
      </c>
      <c r="AA399" s="622">
        <v>74660</v>
      </c>
      <c r="AB399" s="622" t="s">
        <v>164</v>
      </c>
      <c r="AC399" s="622">
        <v>63569</v>
      </c>
      <c r="AD399" s="623">
        <v>0.03</v>
      </c>
      <c r="AE399" s="621" t="s">
        <v>1194</v>
      </c>
    </row>
    <row r="400" spans="1:31" s="572" customFormat="1">
      <c r="A400" s="570" t="s">
        <v>1196</v>
      </c>
      <c r="B400" s="573" t="s">
        <v>278</v>
      </c>
      <c r="C400" s="578">
        <v>15</v>
      </c>
      <c r="D400" s="573" t="s">
        <v>699</v>
      </c>
      <c r="E400" s="573" t="s">
        <v>187</v>
      </c>
      <c r="F400" s="573" t="s">
        <v>271</v>
      </c>
      <c r="G400" s="573">
        <v>2019</v>
      </c>
      <c r="H400" s="573" t="s">
        <v>1123</v>
      </c>
      <c r="I400" s="573" t="s">
        <v>1188</v>
      </c>
      <c r="J400" s="573" t="s">
        <v>236</v>
      </c>
      <c r="K400" s="573">
        <v>8</v>
      </c>
      <c r="L400" s="573">
        <v>0</v>
      </c>
      <c r="M400" s="573" t="s">
        <v>157</v>
      </c>
      <c r="N400" s="573">
        <v>3</v>
      </c>
      <c r="O400" s="573" t="s">
        <v>157</v>
      </c>
      <c r="P400" s="571" t="s">
        <v>157</v>
      </c>
      <c r="Q400" s="573" t="s">
        <v>316</v>
      </c>
      <c r="R400" s="573">
        <v>6</v>
      </c>
      <c r="S400" s="582" t="s">
        <v>1195</v>
      </c>
      <c r="T400" s="573" t="s">
        <v>366</v>
      </c>
      <c r="U400" s="573">
        <v>122.5</v>
      </c>
      <c r="V400" s="573">
        <v>23.3</v>
      </c>
      <c r="W400" s="616">
        <v>7200</v>
      </c>
      <c r="X400" s="617">
        <v>20</v>
      </c>
      <c r="Y400" s="617" t="s">
        <v>178</v>
      </c>
      <c r="Z400" s="617" t="s">
        <v>178</v>
      </c>
      <c r="AA400" s="618">
        <v>74660</v>
      </c>
      <c r="AB400" s="618" t="s">
        <v>164</v>
      </c>
      <c r="AC400" s="618">
        <v>64995</v>
      </c>
      <c r="AD400" s="619">
        <v>0.01</v>
      </c>
      <c r="AE400" s="617" t="s">
        <v>1194</v>
      </c>
    </row>
    <row r="401" spans="1:31" s="572" customFormat="1">
      <c r="A401" s="570" t="s">
        <v>1197</v>
      </c>
      <c r="B401" s="569" t="s">
        <v>287</v>
      </c>
      <c r="C401" s="580">
        <v>26</v>
      </c>
      <c r="D401" s="569" t="s">
        <v>699</v>
      </c>
      <c r="E401" s="569" t="s">
        <v>187</v>
      </c>
      <c r="F401" s="569" t="s">
        <v>271</v>
      </c>
      <c r="G401" s="569">
        <v>2019</v>
      </c>
      <c r="H401" s="569" t="s">
        <v>1123</v>
      </c>
      <c r="I401" s="569" t="s">
        <v>1188</v>
      </c>
      <c r="J401" s="569" t="s">
        <v>236</v>
      </c>
      <c r="K401" s="569">
        <v>8</v>
      </c>
      <c r="L401" s="569">
        <v>0</v>
      </c>
      <c r="M401" s="569" t="s">
        <v>157</v>
      </c>
      <c r="N401" s="569">
        <v>3</v>
      </c>
      <c r="O401" s="569" t="s">
        <v>157</v>
      </c>
      <c r="P401" s="568" t="s">
        <v>157</v>
      </c>
      <c r="Q401" s="569" t="s">
        <v>316</v>
      </c>
      <c r="R401" s="569">
        <v>6</v>
      </c>
      <c r="S401" s="569" t="s">
        <v>1195</v>
      </c>
      <c r="T401" s="569" t="s">
        <v>366</v>
      </c>
      <c r="U401" s="569">
        <v>122.5</v>
      </c>
      <c r="V401" s="569">
        <v>23.3</v>
      </c>
      <c r="W401" s="620">
        <v>7200</v>
      </c>
      <c r="X401" s="621">
        <v>20</v>
      </c>
      <c r="Y401" s="621" t="s">
        <v>178</v>
      </c>
      <c r="Z401" s="621" t="s">
        <v>178</v>
      </c>
      <c r="AA401" s="622">
        <v>74660</v>
      </c>
      <c r="AB401" s="622" t="s">
        <v>164</v>
      </c>
      <c r="AC401" s="622">
        <v>65710</v>
      </c>
      <c r="AD401" s="623">
        <v>0.05</v>
      </c>
      <c r="AE401" s="621" t="s">
        <v>1194</v>
      </c>
    </row>
    <row r="402" spans="1:31" s="572" customFormat="1">
      <c r="A402" s="570" t="s">
        <v>1198</v>
      </c>
      <c r="B402" s="573" t="s">
        <v>280</v>
      </c>
      <c r="C402" s="578">
        <v>27</v>
      </c>
      <c r="D402" s="573" t="s">
        <v>699</v>
      </c>
      <c r="E402" s="573" t="s">
        <v>187</v>
      </c>
      <c r="F402" s="573" t="s">
        <v>271</v>
      </c>
      <c r="G402" s="573">
        <v>2019</v>
      </c>
      <c r="H402" s="573" t="s">
        <v>1123</v>
      </c>
      <c r="I402" s="573" t="s">
        <v>1188</v>
      </c>
      <c r="J402" s="573" t="s">
        <v>236</v>
      </c>
      <c r="K402" s="573">
        <v>8</v>
      </c>
      <c r="L402" s="573">
        <v>0</v>
      </c>
      <c r="M402" s="573" t="s">
        <v>157</v>
      </c>
      <c r="N402" s="573">
        <v>3</v>
      </c>
      <c r="O402" s="573" t="s">
        <v>157</v>
      </c>
      <c r="P402" s="571" t="s">
        <v>157</v>
      </c>
      <c r="Q402" s="573" t="s">
        <v>316</v>
      </c>
      <c r="R402" s="573">
        <v>6</v>
      </c>
      <c r="S402" s="582" t="s">
        <v>1195</v>
      </c>
      <c r="T402" s="573" t="s">
        <v>366</v>
      </c>
      <c r="U402" s="573">
        <v>122.5</v>
      </c>
      <c r="V402" s="573">
        <v>23.3</v>
      </c>
      <c r="W402" s="616">
        <v>7200</v>
      </c>
      <c r="X402" s="617">
        <v>20</v>
      </c>
      <c r="Y402" s="617" t="s">
        <v>178</v>
      </c>
      <c r="Z402" s="617" t="s">
        <v>178</v>
      </c>
      <c r="AA402" s="618">
        <v>74660</v>
      </c>
      <c r="AB402" s="618" t="s">
        <v>164</v>
      </c>
      <c r="AC402" s="618">
        <v>63569</v>
      </c>
      <c r="AD402" s="619">
        <v>0.03</v>
      </c>
      <c r="AE402" s="617" t="s">
        <v>1194</v>
      </c>
    </row>
    <row r="403" spans="1:31" s="572" customFormat="1">
      <c r="A403" s="570" t="s">
        <v>1199</v>
      </c>
      <c r="B403" s="569" t="s">
        <v>269</v>
      </c>
      <c r="C403" s="580" t="s">
        <v>270</v>
      </c>
      <c r="D403" s="569" t="s">
        <v>699</v>
      </c>
      <c r="E403" s="569" t="s">
        <v>187</v>
      </c>
      <c r="F403" s="569" t="s">
        <v>271</v>
      </c>
      <c r="G403" s="569">
        <v>2019</v>
      </c>
      <c r="H403" s="683" t="s">
        <v>1123</v>
      </c>
      <c r="I403" s="569" t="s">
        <v>1201</v>
      </c>
      <c r="J403" s="569" t="s">
        <v>752</v>
      </c>
      <c r="K403" s="569">
        <v>5</v>
      </c>
      <c r="L403" s="569">
        <v>0</v>
      </c>
      <c r="M403" s="569" t="s">
        <v>157</v>
      </c>
      <c r="N403" s="569">
        <v>2</v>
      </c>
      <c r="O403" s="569" t="s">
        <v>157</v>
      </c>
      <c r="P403" s="568" t="s">
        <v>157</v>
      </c>
      <c r="Q403" s="569" t="s">
        <v>316</v>
      </c>
      <c r="R403" s="569">
        <v>6</v>
      </c>
      <c r="S403" s="569" t="s">
        <v>1202</v>
      </c>
      <c r="T403" s="569" t="s">
        <v>276</v>
      </c>
      <c r="U403" s="569">
        <v>122.5</v>
      </c>
      <c r="V403" s="569">
        <v>23.3</v>
      </c>
      <c r="W403" s="620">
        <v>7450</v>
      </c>
      <c r="X403" s="681">
        <v>19</v>
      </c>
      <c r="Y403" s="621" t="s">
        <v>178</v>
      </c>
      <c r="Z403" s="621" t="s">
        <v>178</v>
      </c>
      <c r="AA403" s="622">
        <v>52825</v>
      </c>
      <c r="AB403" s="622" t="s">
        <v>164</v>
      </c>
      <c r="AC403" s="622">
        <v>40047.583333333336</v>
      </c>
      <c r="AD403" s="623">
        <v>0.03</v>
      </c>
      <c r="AE403" s="621" t="s">
        <v>1200</v>
      </c>
    </row>
    <row r="404" spans="1:31" s="572" customFormat="1">
      <c r="A404" s="570" t="s">
        <v>1203</v>
      </c>
      <c r="B404" s="573" t="s">
        <v>278</v>
      </c>
      <c r="C404" s="578">
        <v>15</v>
      </c>
      <c r="D404" s="573" t="s">
        <v>699</v>
      </c>
      <c r="E404" s="573" t="s">
        <v>187</v>
      </c>
      <c r="F404" s="573" t="s">
        <v>271</v>
      </c>
      <c r="G404" s="573">
        <v>2019</v>
      </c>
      <c r="H404" s="686" t="s">
        <v>1123</v>
      </c>
      <c r="I404" s="573" t="s">
        <v>1201</v>
      </c>
      <c r="J404" s="573" t="s">
        <v>752</v>
      </c>
      <c r="K404" s="573">
        <v>5</v>
      </c>
      <c r="L404" s="573">
        <v>0</v>
      </c>
      <c r="M404" s="573" t="s">
        <v>157</v>
      </c>
      <c r="N404" s="573">
        <v>2</v>
      </c>
      <c r="O404" s="573" t="s">
        <v>157</v>
      </c>
      <c r="P404" s="571" t="s">
        <v>157</v>
      </c>
      <c r="Q404" s="573" t="s">
        <v>316</v>
      </c>
      <c r="R404" s="573">
        <v>6</v>
      </c>
      <c r="S404" s="582" t="s">
        <v>1202</v>
      </c>
      <c r="T404" s="573" t="s">
        <v>276</v>
      </c>
      <c r="U404" s="573">
        <v>122.5</v>
      </c>
      <c r="V404" s="573">
        <v>23.3</v>
      </c>
      <c r="W404" s="616">
        <v>7450</v>
      </c>
      <c r="X404" s="682">
        <v>19</v>
      </c>
      <c r="Y404" s="617" t="s">
        <v>178</v>
      </c>
      <c r="Z404" s="617" t="s">
        <v>178</v>
      </c>
      <c r="AA404" s="618">
        <v>52825</v>
      </c>
      <c r="AB404" s="618" t="s">
        <v>164</v>
      </c>
      <c r="AC404" s="618">
        <v>40750</v>
      </c>
      <c r="AD404" s="619">
        <v>0.01</v>
      </c>
      <c r="AE404" s="617" t="s">
        <v>1200</v>
      </c>
    </row>
    <row r="405" spans="1:31" s="572" customFormat="1">
      <c r="A405" s="570" t="s">
        <v>1204</v>
      </c>
      <c r="B405" s="683" t="s">
        <v>287</v>
      </c>
      <c r="C405" s="580">
        <v>26</v>
      </c>
      <c r="D405" s="569" t="s">
        <v>699</v>
      </c>
      <c r="E405" s="569" t="s">
        <v>187</v>
      </c>
      <c r="F405" s="569" t="s">
        <v>271</v>
      </c>
      <c r="G405" s="569">
        <v>2019</v>
      </c>
      <c r="H405" s="683" t="s">
        <v>1123</v>
      </c>
      <c r="I405" s="569" t="s">
        <v>1201</v>
      </c>
      <c r="J405" s="569" t="s">
        <v>752</v>
      </c>
      <c r="K405" s="569">
        <v>5</v>
      </c>
      <c r="L405" s="569">
        <v>0</v>
      </c>
      <c r="M405" s="569" t="s">
        <v>157</v>
      </c>
      <c r="N405" s="569">
        <v>2</v>
      </c>
      <c r="O405" s="569" t="s">
        <v>157</v>
      </c>
      <c r="P405" s="568" t="s">
        <v>157</v>
      </c>
      <c r="Q405" s="569" t="s">
        <v>316</v>
      </c>
      <c r="R405" s="569">
        <v>6</v>
      </c>
      <c r="S405" s="569" t="s">
        <v>1202</v>
      </c>
      <c r="T405" s="569" t="s">
        <v>276</v>
      </c>
      <c r="U405" s="569">
        <v>122.5</v>
      </c>
      <c r="V405" s="569">
        <v>23.3</v>
      </c>
      <c r="W405" s="620">
        <v>7450</v>
      </c>
      <c r="X405" s="681">
        <v>19</v>
      </c>
      <c r="Y405" s="621" t="s">
        <v>178</v>
      </c>
      <c r="Z405" s="621" t="s">
        <v>178</v>
      </c>
      <c r="AA405" s="622">
        <v>52825</v>
      </c>
      <c r="AB405" s="622" t="s">
        <v>164</v>
      </c>
      <c r="AC405" s="684">
        <v>41255</v>
      </c>
      <c r="AD405" s="685">
        <v>0.05</v>
      </c>
      <c r="AE405" s="621" t="s">
        <v>1200</v>
      </c>
    </row>
    <row r="406" spans="1:31" s="572" customFormat="1">
      <c r="A406" s="570" t="s">
        <v>1205</v>
      </c>
      <c r="B406" s="573" t="s">
        <v>280</v>
      </c>
      <c r="C406" s="578">
        <v>27</v>
      </c>
      <c r="D406" s="573" t="s">
        <v>699</v>
      </c>
      <c r="E406" s="573" t="s">
        <v>187</v>
      </c>
      <c r="F406" s="573" t="s">
        <v>271</v>
      </c>
      <c r="G406" s="573">
        <v>2019</v>
      </c>
      <c r="H406" s="686" t="s">
        <v>1123</v>
      </c>
      <c r="I406" s="573" t="s">
        <v>1201</v>
      </c>
      <c r="J406" s="573" t="s">
        <v>752</v>
      </c>
      <c r="K406" s="573">
        <v>5</v>
      </c>
      <c r="L406" s="573">
        <v>0</v>
      </c>
      <c r="M406" s="573" t="s">
        <v>157</v>
      </c>
      <c r="N406" s="573">
        <v>2</v>
      </c>
      <c r="O406" s="573" t="s">
        <v>157</v>
      </c>
      <c r="P406" s="571" t="s">
        <v>157</v>
      </c>
      <c r="Q406" s="573" t="s">
        <v>316</v>
      </c>
      <c r="R406" s="573">
        <v>6</v>
      </c>
      <c r="S406" s="582" t="s">
        <v>1202</v>
      </c>
      <c r="T406" s="573" t="s">
        <v>276</v>
      </c>
      <c r="U406" s="573">
        <v>122.5</v>
      </c>
      <c r="V406" s="573">
        <v>23.3</v>
      </c>
      <c r="W406" s="616">
        <v>7450</v>
      </c>
      <c r="X406" s="682">
        <v>19</v>
      </c>
      <c r="Y406" s="617" t="s">
        <v>178</v>
      </c>
      <c r="Z406" s="617" t="s">
        <v>178</v>
      </c>
      <c r="AA406" s="618">
        <v>52825</v>
      </c>
      <c r="AB406" s="618" t="s">
        <v>164</v>
      </c>
      <c r="AC406" s="618">
        <v>40047.583333333336</v>
      </c>
      <c r="AD406" s="619">
        <v>0.03</v>
      </c>
      <c r="AE406" s="617" t="s">
        <v>1200</v>
      </c>
    </row>
    <row r="407" spans="1:31" s="572" customFormat="1">
      <c r="A407" s="570" t="s">
        <v>1206</v>
      </c>
      <c r="B407" s="569" t="s">
        <v>269</v>
      </c>
      <c r="C407" s="580" t="s">
        <v>270</v>
      </c>
      <c r="D407" s="569" t="s">
        <v>699</v>
      </c>
      <c r="E407" s="569" t="s">
        <v>187</v>
      </c>
      <c r="F407" s="569" t="s">
        <v>271</v>
      </c>
      <c r="G407" s="569">
        <v>2019</v>
      </c>
      <c r="H407" s="569" t="s">
        <v>1123</v>
      </c>
      <c r="I407" s="569" t="s">
        <v>1201</v>
      </c>
      <c r="J407" s="569" t="s">
        <v>236</v>
      </c>
      <c r="K407" s="569">
        <v>5</v>
      </c>
      <c r="L407" s="569">
        <v>0</v>
      </c>
      <c r="M407" s="569" t="s">
        <v>157</v>
      </c>
      <c r="N407" s="569">
        <v>2</v>
      </c>
      <c r="O407" s="569" t="s">
        <v>157</v>
      </c>
      <c r="P407" s="568" t="s">
        <v>157</v>
      </c>
      <c r="Q407" s="569" t="s">
        <v>316</v>
      </c>
      <c r="R407" s="569">
        <v>6</v>
      </c>
      <c r="S407" s="569" t="s">
        <v>1208</v>
      </c>
      <c r="T407" s="569" t="s">
        <v>276</v>
      </c>
      <c r="U407" s="569">
        <v>122.5</v>
      </c>
      <c r="V407" s="569">
        <v>23.3</v>
      </c>
      <c r="W407" s="620">
        <v>7200</v>
      </c>
      <c r="X407" s="621">
        <v>20</v>
      </c>
      <c r="Y407" s="621" t="s">
        <v>178</v>
      </c>
      <c r="Z407" s="621" t="s">
        <v>178</v>
      </c>
      <c r="AA407" s="622">
        <v>49825</v>
      </c>
      <c r="AB407" s="622" t="s">
        <v>164</v>
      </c>
      <c r="AC407" s="622">
        <v>37273.625</v>
      </c>
      <c r="AD407" s="623">
        <v>0.03</v>
      </c>
      <c r="AE407" s="621" t="s">
        <v>1207</v>
      </c>
    </row>
    <row r="408" spans="1:31" s="572" customFormat="1">
      <c r="A408" s="570" t="s">
        <v>1209</v>
      </c>
      <c r="B408" s="573" t="s">
        <v>278</v>
      </c>
      <c r="C408" s="578">
        <v>15</v>
      </c>
      <c r="D408" s="573" t="s">
        <v>699</v>
      </c>
      <c r="E408" s="573" t="s">
        <v>187</v>
      </c>
      <c r="F408" s="573" t="s">
        <v>271</v>
      </c>
      <c r="G408" s="573">
        <v>2019</v>
      </c>
      <c r="H408" s="573" t="s">
        <v>1123</v>
      </c>
      <c r="I408" s="573" t="s">
        <v>1201</v>
      </c>
      <c r="J408" s="573" t="s">
        <v>236</v>
      </c>
      <c r="K408" s="573">
        <v>5</v>
      </c>
      <c r="L408" s="573">
        <v>0</v>
      </c>
      <c r="M408" s="573" t="s">
        <v>157</v>
      </c>
      <c r="N408" s="573">
        <v>2</v>
      </c>
      <c r="O408" s="573" t="s">
        <v>157</v>
      </c>
      <c r="P408" s="571" t="s">
        <v>157</v>
      </c>
      <c r="Q408" s="573" t="s">
        <v>316</v>
      </c>
      <c r="R408" s="573">
        <v>6</v>
      </c>
      <c r="S408" s="582" t="s">
        <v>1208</v>
      </c>
      <c r="T408" s="573" t="s">
        <v>276</v>
      </c>
      <c r="U408" s="573">
        <v>122.5</v>
      </c>
      <c r="V408" s="573">
        <v>23.3</v>
      </c>
      <c r="W408" s="616">
        <v>7200</v>
      </c>
      <c r="X408" s="617">
        <v>20</v>
      </c>
      <c r="Y408" s="617" t="s">
        <v>178</v>
      </c>
      <c r="Z408" s="617" t="s">
        <v>178</v>
      </c>
      <c r="AA408" s="618">
        <v>49825</v>
      </c>
      <c r="AB408" s="618" t="s">
        <v>164</v>
      </c>
      <c r="AC408" s="618">
        <v>37850</v>
      </c>
      <c r="AD408" s="619">
        <v>0.01</v>
      </c>
      <c r="AE408" s="617" t="s">
        <v>1207</v>
      </c>
    </row>
    <row r="409" spans="1:31" s="572" customFormat="1">
      <c r="A409" s="570" t="s">
        <v>1210</v>
      </c>
      <c r="B409" s="569" t="s">
        <v>287</v>
      </c>
      <c r="C409" s="580">
        <v>26</v>
      </c>
      <c r="D409" s="569" t="s">
        <v>699</v>
      </c>
      <c r="E409" s="569" t="s">
        <v>187</v>
      </c>
      <c r="F409" s="569" t="s">
        <v>271</v>
      </c>
      <c r="G409" s="569">
        <v>2019</v>
      </c>
      <c r="H409" s="569" t="s">
        <v>1123</v>
      </c>
      <c r="I409" s="569" t="s">
        <v>1201</v>
      </c>
      <c r="J409" s="569" t="s">
        <v>236</v>
      </c>
      <c r="K409" s="569">
        <v>5</v>
      </c>
      <c r="L409" s="569">
        <v>0</v>
      </c>
      <c r="M409" s="569" t="s">
        <v>157</v>
      </c>
      <c r="N409" s="569">
        <v>2</v>
      </c>
      <c r="O409" s="569" t="s">
        <v>157</v>
      </c>
      <c r="P409" s="568" t="s">
        <v>157</v>
      </c>
      <c r="Q409" s="569" t="s">
        <v>316</v>
      </c>
      <c r="R409" s="569">
        <v>6</v>
      </c>
      <c r="S409" s="569" t="s">
        <v>1208</v>
      </c>
      <c r="T409" s="569" t="s">
        <v>276</v>
      </c>
      <c r="U409" s="569">
        <v>122.5</v>
      </c>
      <c r="V409" s="569">
        <v>23.3</v>
      </c>
      <c r="W409" s="620">
        <v>7200</v>
      </c>
      <c r="X409" s="621">
        <v>20</v>
      </c>
      <c r="Y409" s="621" t="s">
        <v>178</v>
      </c>
      <c r="Z409" s="621" t="s">
        <v>178</v>
      </c>
      <c r="AA409" s="622">
        <v>49825</v>
      </c>
      <c r="AB409" s="622" t="s">
        <v>164</v>
      </c>
      <c r="AC409" s="622">
        <v>38396</v>
      </c>
      <c r="AD409" s="623">
        <v>0.05</v>
      </c>
      <c r="AE409" s="621" t="s">
        <v>1207</v>
      </c>
    </row>
    <row r="410" spans="1:31" s="572" customFormat="1">
      <c r="A410" s="570" t="s">
        <v>1211</v>
      </c>
      <c r="B410" s="573" t="s">
        <v>280</v>
      </c>
      <c r="C410" s="578">
        <v>27</v>
      </c>
      <c r="D410" s="573" t="s">
        <v>699</v>
      </c>
      <c r="E410" s="573" t="s">
        <v>187</v>
      </c>
      <c r="F410" s="573" t="s">
        <v>271</v>
      </c>
      <c r="G410" s="573">
        <v>2019</v>
      </c>
      <c r="H410" s="573" t="s">
        <v>1123</v>
      </c>
      <c r="I410" s="573" t="s">
        <v>1201</v>
      </c>
      <c r="J410" s="573" t="s">
        <v>236</v>
      </c>
      <c r="K410" s="573">
        <v>5</v>
      </c>
      <c r="L410" s="573">
        <v>0</v>
      </c>
      <c r="M410" s="573" t="s">
        <v>157</v>
      </c>
      <c r="N410" s="573">
        <v>2</v>
      </c>
      <c r="O410" s="573" t="s">
        <v>157</v>
      </c>
      <c r="P410" s="571" t="s">
        <v>157</v>
      </c>
      <c r="Q410" s="573" t="s">
        <v>316</v>
      </c>
      <c r="R410" s="573">
        <v>6</v>
      </c>
      <c r="S410" s="582" t="s">
        <v>1208</v>
      </c>
      <c r="T410" s="573" t="s">
        <v>276</v>
      </c>
      <c r="U410" s="573">
        <v>122.5</v>
      </c>
      <c r="V410" s="573">
        <v>23.3</v>
      </c>
      <c r="W410" s="616">
        <v>7200</v>
      </c>
      <c r="X410" s="617">
        <v>20</v>
      </c>
      <c r="Y410" s="617" t="s">
        <v>178</v>
      </c>
      <c r="Z410" s="617" t="s">
        <v>178</v>
      </c>
      <c r="AA410" s="618">
        <v>49825</v>
      </c>
      <c r="AB410" s="618" t="s">
        <v>164</v>
      </c>
      <c r="AC410" s="618">
        <v>37273.625</v>
      </c>
      <c r="AD410" s="619">
        <v>0.03</v>
      </c>
      <c r="AE410" s="617" t="s">
        <v>1207</v>
      </c>
    </row>
    <row r="411" spans="1:31" s="572" customFormat="1">
      <c r="A411" s="570" t="s">
        <v>1212</v>
      </c>
      <c r="B411" s="569" t="s">
        <v>269</v>
      </c>
      <c r="C411" s="580" t="s">
        <v>270</v>
      </c>
      <c r="D411" s="569" t="s">
        <v>699</v>
      </c>
      <c r="E411" s="569" t="s">
        <v>187</v>
      </c>
      <c r="F411" s="569" t="s">
        <v>271</v>
      </c>
      <c r="G411" s="569">
        <v>2019</v>
      </c>
      <c r="H411" s="569" t="s">
        <v>1123</v>
      </c>
      <c r="I411" s="569" t="s">
        <v>1214</v>
      </c>
      <c r="J411" s="569" t="s">
        <v>752</v>
      </c>
      <c r="K411" s="569">
        <v>8</v>
      </c>
      <c r="L411" s="569">
        <v>0</v>
      </c>
      <c r="M411" s="569" t="s">
        <v>157</v>
      </c>
      <c r="N411" s="569">
        <v>3</v>
      </c>
      <c r="O411" s="569" t="s">
        <v>157</v>
      </c>
      <c r="P411" s="568" t="s">
        <v>157</v>
      </c>
      <c r="Q411" s="569" t="s">
        <v>316</v>
      </c>
      <c r="R411" s="569">
        <v>6</v>
      </c>
      <c r="S411" s="569" t="s">
        <v>1215</v>
      </c>
      <c r="T411" s="569" t="s">
        <v>295</v>
      </c>
      <c r="U411" s="569">
        <v>122.5</v>
      </c>
      <c r="V411" s="569">
        <v>23.3</v>
      </c>
      <c r="W411" s="620">
        <v>7450</v>
      </c>
      <c r="X411" s="621">
        <v>19</v>
      </c>
      <c r="Y411" s="621" t="s">
        <v>178</v>
      </c>
      <c r="Z411" s="621" t="s">
        <v>178</v>
      </c>
      <c r="AA411" s="622">
        <v>56435</v>
      </c>
      <c r="AB411" s="622" t="s">
        <v>164</v>
      </c>
      <c r="AC411" s="622">
        <v>46926.75</v>
      </c>
      <c r="AD411" s="623">
        <v>0.03</v>
      </c>
      <c r="AE411" s="621" t="s">
        <v>1213</v>
      </c>
    </row>
    <row r="412" spans="1:31" s="572" customFormat="1">
      <c r="A412" s="570" t="s">
        <v>1216</v>
      </c>
      <c r="B412" s="573" t="s">
        <v>278</v>
      </c>
      <c r="C412" s="578">
        <v>15</v>
      </c>
      <c r="D412" s="573" t="s">
        <v>699</v>
      </c>
      <c r="E412" s="573" t="s">
        <v>187</v>
      </c>
      <c r="F412" s="573" t="s">
        <v>271</v>
      </c>
      <c r="G412" s="573">
        <v>2019</v>
      </c>
      <c r="H412" s="573" t="s">
        <v>1123</v>
      </c>
      <c r="I412" s="573" t="s">
        <v>1214</v>
      </c>
      <c r="J412" s="573" t="s">
        <v>752</v>
      </c>
      <c r="K412" s="573">
        <v>8</v>
      </c>
      <c r="L412" s="573">
        <v>0</v>
      </c>
      <c r="M412" s="573" t="s">
        <v>157</v>
      </c>
      <c r="N412" s="573">
        <v>3</v>
      </c>
      <c r="O412" s="573" t="s">
        <v>157</v>
      </c>
      <c r="P412" s="571" t="s">
        <v>157</v>
      </c>
      <c r="Q412" s="573" t="s">
        <v>316</v>
      </c>
      <c r="R412" s="573">
        <v>6</v>
      </c>
      <c r="S412" s="582" t="s">
        <v>1215</v>
      </c>
      <c r="T412" s="573" t="s">
        <v>295</v>
      </c>
      <c r="U412" s="573">
        <v>122.5</v>
      </c>
      <c r="V412" s="573">
        <v>23.3</v>
      </c>
      <c r="W412" s="616">
        <v>7450</v>
      </c>
      <c r="X412" s="617">
        <v>19</v>
      </c>
      <c r="Y412" s="617" t="s">
        <v>178</v>
      </c>
      <c r="Z412" s="617" t="s">
        <v>178</v>
      </c>
      <c r="AA412" s="618">
        <v>56435</v>
      </c>
      <c r="AB412" s="618" t="s">
        <v>164</v>
      </c>
      <c r="AC412" s="618">
        <v>47750</v>
      </c>
      <c r="AD412" s="619">
        <v>0.01</v>
      </c>
      <c r="AE412" s="617" t="s">
        <v>1213</v>
      </c>
    </row>
    <row r="413" spans="1:31" s="572" customFormat="1">
      <c r="A413" s="570" t="s">
        <v>1217</v>
      </c>
      <c r="B413" s="569" t="s">
        <v>287</v>
      </c>
      <c r="C413" s="580">
        <v>26</v>
      </c>
      <c r="D413" s="569" t="s">
        <v>699</v>
      </c>
      <c r="E413" s="569" t="s">
        <v>187</v>
      </c>
      <c r="F413" s="569" t="s">
        <v>271</v>
      </c>
      <c r="G413" s="569">
        <v>2019</v>
      </c>
      <c r="H413" s="569" t="s">
        <v>1123</v>
      </c>
      <c r="I413" s="569" t="s">
        <v>1214</v>
      </c>
      <c r="J413" s="569" t="s">
        <v>752</v>
      </c>
      <c r="K413" s="569">
        <v>8</v>
      </c>
      <c r="L413" s="569">
        <v>0</v>
      </c>
      <c r="M413" s="569" t="s">
        <v>157</v>
      </c>
      <c r="N413" s="569">
        <v>3</v>
      </c>
      <c r="O413" s="569" t="s">
        <v>157</v>
      </c>
      <c r="P413" s="568" t="s">
        <v>157</v>
      </c>
      <c r="Q413" s="569" t="s">
        <v>316</v>
      </c>
      <c r="R413" s="569">
        <v>6</v>
      </c>
      <c r="S413" s="569" t="s">
        <v>1215</v>
      </c>
      <c r="T413" s="569" t="s">
        <v>295</v>
      </c>
      <c r="U413" s="569">
        <v>122.5</v>
      </c>
      <c r="V413" s="569">
        <v>23.3</v>
      </c>
      <c r="W413" s="620">
        <v>7450</v>
      </c>
      <c r="X413" s="621">
        <v>19</v>
      </c>
      <c r="Y413" s="621" t="s">
        <v>178</v>
      </c>
      <c r="Z413" s="621" t="s">
        <v>178</v>
      </c>
      <c r="AA413" s="622">
        <v>56435</v>
      </c>
      <c r="AB413" s="622" t="s">
        <v>164</v>
      </c>
      <c r="AC413" s="622">
        <v>50903</v>
      </c>
      <c r="AD413" s="623">
        <v>0.05</v>
      </c>
      <c r="AE413" s="621" t="s">
        <v>1213</v>
      </c>
    </row>
    <row r="414" spans="1:31" s="572" customFormat="1">
      <c r="A414" s="570" t="s">
        <v>1218</v>
      </c>
      <c r="B414" s="573" t="s">
        <v>280</v>
      </c>
      <c r="C414" s="578">
        <v>27</v>
      </c>
      <c r="D414" s="573" t="s">
        <v>699</v>
      </c>
      <c r="E414" s="573" t="s">
        <v>187</v>
      </c>
      <c r="F414" s="573" t="s">
        <v>271</v>
      </c>
      <c r="G414" s="573">
        <v>2019</v>
      </c>
      <c r="H414" s="573" t="s">
        <v>1123</v>
      </c>
      <c r="I414" s="573" t="s">
        <v>1214</v>
      </c>
      <c r="J414" s="573" t="s">
        <v>752</v>
      </c>
      <c r="K414" s="573">
        <v>8</v>
      </c>
      <c r="L414" s="573">
        <v>0</v>
      </c>
      <c r="M414" s="573" t="s">
        <v>157</v>
      </c>
      <c r="N414" s="573">
        <v>3</v>
      </c>
      <c r="O414" s="573" t="s">
        <v>157</v>
      </c>
      <c r="P414" s="571" t="s">
        <v>157</v>
      </c>
      <c r="Q414" s="573" t="s">
        <v>316</v>
      </c>
      <c r="R414" s="573">
        <v>6</v>
      </c>
      <c r="S414" s="582" t="s">
        <v>1215</v>
      </c>
      <c r="T414" s="573" t="s">
        <v>295</v>
      </c>
      <c r="U414" s="573">
        <v>122.5</v>
      </c>
      <c r="V414" s="573">
        <v>23.3</v>
      </c>
      <c r="W414" s="616">
        <v>7450</v>
      </c>
      <c r="X414" s="617">
        <v>19</v>
      </c>
      <c r="Y414" s="617" t="s">
        <v>178</v>
      </c>
      <c r="Z414" s="617" t="s">
        <v>178</v>
      </c>
      <c r="AA414" s="618">
        <v>56435</v>
      </c>
      <c r="AB414" s="618" t="s">
        <v>164</v>
      </c>
      <c r="AC414" s="618">
        <v>46926.75</v>
      </c>
      <c r="AD414" s="619">
        <v>0.03</v>
      </c>
      <c r="AE414" s="617" t="s">
        <v>1213</v>
      </c>
    </row>
    <row r="415" spans="1:31" s="572" customFormat="1">
      <c r="A415" s="570" t="s">
        <v>1219</v>
      </c>
      <c r="B415" s="569" t="s">
        <v>269</v>
      </c>
      <c r="C415" s="580" t="s">
        <v>270</v>
      </c>
      <c r="D415" s="569" t="s">
        <v>699</v>
      </c>
      <c r="E415" s="569" t="s">
        <v>187</v>
      </c>
      <c r="F415" s="569" t="s">
        <v>271</v>
      </c>
      <c r="G415" s="569">
        <v>2019</v>
      </c>
      <c r="H415" s="569" t="s">
        <v>1123</v>
      </c>
      <c r="I415" s="569" t="s">
        <v>1214</v>
      </c>
      <c r="J415" s="569" t="s">
        <v>236</v>
      </c>
      <c r="K415" s="569">
        <v>8</v>
      </c>
      <c r="L415" s="569">
        <v>0</v>
      </c>
      <c r="M415" s="569" t="s">
        <v>157</v>
      </c>
      <c r="N415" s="569">
        <v>3</v>
      </c>
      <c r="O415" s="569" t="s">
        <v>157</v>
      </c>
      <c r="P415" s="568" t="s">
        <v>157</v>
      </c>
      <c r="Q415" s="569" t="s">
        <v>316</v>
      </c>
      <c r="R415" s="569">
        <v>6</v>
      </c>
      <c r="S415" s="569" t="s">
        <v>1221</v>
      </c>
      <c r="T415" s="569" t="s">
        <v>295</v>
      </c>
      <c r="U415" s="569">
        <v>122.5</v>
      </c>
      <c r="V415" s="569">
        <v>23.3</v>
      </c>
      <c r="W415" s="620">
        <v>7200</v>
      </c>
      <c r="X415" s="621">
        <v>20</v>
      </c>
      <c r="Y415" s="621" t="s">
        <v>178</v>
      </c>
      <c r="Z415" s="621" t="s">
        <v>178</v>
      </c>
      <c r="AA415" s="622">
        <v>53425</v>
      </c>
      <c r="AB415" s="622" t="s">
        <v>164</v>
      </c>
      <c r="AC415" s="622">
        <v>44144.125</v>
      </c>
      <c r="AD415" s="623">
        <v>0.03</v>
      </c>
      <c r="AE415" s="621" t="s">
        <v>1220</v>
      </c>
    </row>
    <row r="416" spans="1:31" s="572" customFormat="1">
      <c r="A416" s="570" t="s">
        <v>1222</v>
      </c>
      <c r="B416" s="573" t="s">
        <v>278</v>
      </c>
      <c r="C416" s="578">
        <v>15</v>
      </c>
      <c r="D416" s="573" t="s">
        <v>699</v>
      </c>
      <c r="E416" s="573" t="s">
        <v>187</v>
      </c>
      <c r="F416" s="573" t="s">
        <v>271</v>
      </c>
      <c r="G416" s="573">
        <v>2019</v>
      </c>
      <c r="H416" s="573" t="s">
        <v>1123</v>
      </c>
      <c r="I416" s="573" t="s">
        <v>1214</v>
      </c>
      <c r="J416" s="573" t="s">
        <v>236</v>
      </c>
      <c r="K416" s="573">
        <v>8</v>
      </c>
      <c r="L416" s="573">
        <v>0</v>
      </c>
      <c r="M416" s="573" t="s">
        <v>157</v>
      </c>
      <c r="N416" s="573">
        <v>3</v>
      </c>
      <c r="O416" s="573" t="s">
        <v>157</v>
      </c>
      <c r="P416" s="571" t="s">
        <v>157</v>
      </c>
      <c r="Q416" s="573" t="s">
        <v>316</v>
      </c>
      <c r="R416" s="573">
        <v>6</v>
      </c>
      <c r="S416" s="582" t="s">
        <v>1221</v>
      </c>
      <c r="T416" s="573" t="s">
        <v>295</v>
      </c>
      <c r="U416" s="573">
        <v>122.5</v>
      </c>
      <c r="V416" s="573">
        <v>23.3</v>
      </c>
      <c r="W416" s="616">
        <v>7200</v>
      </c>
      <c r="X416" s="617">
        <v>20</v>
      </c>
      <c r="Y416" s="617" t="s">
        <v>178</v>
      </c>
      <c r="Z416" s="617" t="s">
        <v>178</v>
      </c>
      <c r="AA416" s="618">
        <v>53425</v>
      </c>
      <c r="AB416" s="618" t="s">
        <v>164</v>
      </c>
      <c r="AC416" s="618">
        <v>44850</v>
      </c>
      <c r="AD416" s="619">
        <v>0.01</v>
      </c>
      <c r="AE416" s="617" t="s">
        <v>1220</v>
      </c>
    </row>
    <row r="417" spans="1:31" s="572" customFormat="1">
      <c r="A417" s="570" t="s">
        <v>1223</v>
      </c>
      <c r="B417" s="569" t="s">
        <v>287</v>
      </c>
      <c r="C417" s="580">
        <v>26</v>
      </c>
      <c r="D417" s="569" t="s">
        <v>699</v>
      </c>
      <c r="E417" s="569" t="s">
        <v>187</v>
      </c>
      <c r="F417" s="569" t="s">
        <v>271</v>
      </c>
      <c r="G417" s="569">
        <v>2019</v>
      </c>
      <c r="H417" s="569" t="s">
        <v>1123</v>
      </c>
      <c r="I417" s="569" t="s">
        <v>1214</v>
      </c>
      <c r="J417" s="569" t="s">
        <v>236</v>
      </c>
      <c r="K417" s="569">
        <v>8</v>
      </c>
      <c r="L417" s="569">
        <v>0</v>
      </c>
      <c r="M417" s="569" t="s">
        <v>157</v>
      </c>
      <c r="N417" s="569">
        <v>3</v>
      </c>
      <c r="O417" s="569" t="s">
        <v>157</v>
      </c>
      <c r="P417" s="568" t="s">
        <v>157</v>
      </c>
      <c r="Q417" s="569" t="s">
        <v>316</v>
      </c>
      <c r="R417" s="569">
        <v>6</v>
      </c>
      <c r="S417" s="569" t="s">
        <v>1221</v>
      </c>
      <c r="T417" s="569" t="s">
        <v>295</v>
      </c>
      <c r="U417" s="569">
        <v>122.5</v>
      </c>
      <c r="V417" s="569">
        <v>23.3</v>
      </c>
      <c r="W417" s="620">
        <v>7200</v>
      </c>
      <c r="X417" s="621">
        <v>20</v>
      </c>
      <c r="Y417" s="621" t="s">
        <v>178</v>
      </c>
      <c r="Z417" s="621" t="s">
        <v>178</v>
      </c>
      <c r="AA417" s="622">
        <v>53425</v>
      </c>
      <c r="AB417" s="622" t="s">
        <v>164</v>
      </c>
      <c r="AC417" s="622">
        <v>48035</v>
      </c>
      <c r="AD417" s="623">
        <v>0.05</v>
      </c>
      <c r="AE417" s="621" t="s">
        <v>1220</v>
      </c>
    </row>
    <row r="418" spans="1:31" s="572" customFormat="1">
      <c r="A418" s="570" t="s">
        <v>1224</v>
      </c>
      <c r="B418" s="573" t="s">
        <v>280</v>
      </c>
      <c r="C418" s="578">
        <v>27</v>
      </c>
      <c r="D418" s="573" t="s">
        <v>699</v>
      </c>
      <c r="E418" s="573" t="s">
        <v>187</v>
      </c>
      <c r="F418" s="573" t="s">
        <v>271</v>
      </c>
      <c r="G418" s="573">
        <v>2019</v>
      </c>
      <c r="H418" s="573" t="s">
        <v>1123</v>
      </c>
      <c r="I418" s="573" t="s">
        <v>1214</v>
      </c>
      <c r="J418" s="573" t="s">
        <v>236</v>
      </c>
      <c r="K418" s="573">
        <v>8</v>
      </c>
      <c r="L418" s="573">
        <v>0</v>
      </c>
      <c r="M418" s="573" t="s">
        <v>157</v>
      </c>
      <c r="N418" s="573">
        <v>3</v>
      </c>
      <c r="O418" s="573" t="s">
        <v>157</v>
      </c>
      <c r="P418" s="571" t="s">
        <v>157</v>
      </c>
      <c r="Q418" s="573" t="s">
        <v>316</v>
      </c>
      <c r="R418" s="573">
        <v>6</v>
      </c>
      <c r="S418" s="582" t="s">
        <v>1221</v>
      </c>
      <c r="T418" s="573" t="s">
        <v>295</v>
      </c>
      <c r="U418" s="573">
        <v>122.5</v>
      </c>
      <c r="V418" s="573">
        <v>23.3</v>
      </c>
      <c r="W418" s="616">
        <v>7200</v>
      </c>
      <c r="X418" s="617">
        <v>20</v>
      </c>
      <c r="Y418" s="617" t="s">
        <v>178</v>
      </c>
      <c r="Z418" s="617" t="s">
        <v>178</v>
      </c>
      <c r="AA418" s="618">
        <v>53425</v>
      </c>
      <c r="AB418" s="618" t="s">
        <v>164</v>
      </c>
      <c r="AC418" s="618">
        <v>44144.125</v>
      </c>
      <c r="AD418" s="619">
        <v>0.03</v>
      </c>
      <c r="AE418" s="617" t="s">
        <v>1220</v>
      </c>
    </row>
    <row r="419" spans="1:31" s="572" customFormat="1">
      <c r="A419" s="570" t="s">
        <v>1225</v>
      </c>
      <c r="B419" s="569" t="s">
        <v>269</v>
      </c>
      <c r="C419" s="580" t="s">
        <v>270</v>
      </c>
      <c r="D419" s="569" t="s">
        <v>699</v>
      </c>
      <c r="E419" s="569" t="s">
        <v>196</v>
      </c>
      <c r="F419" s="569" t="s">
        <v>271</v>
      </c>
      <c r="G419" s="569">
        <v>2019</v>
      </c>
      <c r="H419" s="569" t="s">
        <v>1227</v>
      </c>
      <c r="I419" s="569" t="s">
        <v>492</v>
      </c>
      <c r="J419" s="569" t="s">
        <v>752</v>
      </c>
      <c r="K419" s="569">
        <v>7</v>
      </c>
      <c r="L419" s="569">
        <v>0</v>
      </c>
      <c r="M419" s="569" t="s">
        <v>157</v>
      </c>
      <c r="N419" s="569">
        <v>3</v>
      </c>
      <c r="O419" s="569" t="s">
        <v>157</v>
      </c>
      <c r="P419" s="568" t="s">
        <v>157</v>
      </c>
      <c r="Q419" s="569" t="s">
        <v>1228</v>
      </c>
      <c r="R419" s="569">
        <v>6</v>
      </c>
      <c r="S419" s="569" t="s">
        <v>1229</v>
      </c>
      <c r="T419" s="569" t="s">
        <v>276</v>
      </c>
      <c r="U419" s="569">
        <v>112.8</v>
      </c>
      <c r="V419" s="569">
        <v>18.600000000000001</v>
      </c>
      <c r="W419" s="620">
        <v>6160</v>
      </c>
      <c r="X419" s="621">
        <v>18</v>
      </c>
      <c r="Y419" s="621" t="s">
        <v>178</v>
      </c>
      <c r="Z419" s="621" t="s">
        <v>178</v>
      </c>
      <c r="AA419" s="622">
        <v>35510</v>
      </c>
      <c r="AB419" s="622" t="s">
        <v>164</v>
      </c>
      <c r="AC419" s="622">
        <v>30712.854166666668</v>
      </c>
      <c r="AD419" s="623">
        <v>0.03</v>
      </c>
      <c r="AE419" s="621" t="s">
        <v>1226</v>
      </c>
    </row>
    <row r="420" spans="1:31" s="572" customFormat="1">
      <c r="A420" s="570" t="s">
        <v>1230</v>
      </c>
      <c r="B420" s="573" t="s">
        <v>278</v>
      </c>
      <c r="C420" s="578">
        <v>15</v>
      </c>
      <c r="D420" s="573" t="s">
        <v>699</v>
      </c>
      <c r="E420" s="573" t="s">
        <v>196</v>
      </c>
      <c r="F420" s="573" t="s">
        <v>271</v>
      </c>
      <c r="G420" s="573">
        <v>2019</v>
      </c>
      <c r="H420" s="573" t="s">
        <v>1227</v>
      </c>
      <c r="I420" s="573" t="s">
        <v>492</v>
      </c>
      <c r="J420" s="573" t="s">
        <v>752</v>
      </c>
      <c r="K420" s="573">
        <v>7</v>
      </c>
      <c r="L420" s="573">
        <v>0</v>
      </c>
      <c r="M420" s="573" t="s">
        <v>157</v>
      </c>
      <c r="N420" s="573">
        <v>3</v>
      </c>
      <c r="O420" s="573" t="s">
        <v>157</v>
      </c>
      <c r="P420" s="571" t="s">
        <v>157</v>
      </c>
      <c r="Q420" s="573" t="s">
        <v>1228</v>
      </c>
      <c r="R420" s="573">
        <v>6</v>
      </c>
      <c r="S420" s="582" t="s">
        <v>1229</v>
      </c>
      <c r="T420" s="573" t="s">
        <v>276</v>
      </c>
      <c r="U420" s="573">
        <v>112.8</v>
      </c>
      <c r="V420" s="573">
        <v>18.600000000000001</v>
      </c>
      <c r="W420" s="616">
        <v>6160</v>
      </c>
      <c r="X420" s="617">
        <v>19</v>
      </c>
      <c r="Y420" s="617" t="s">
        <v>450</v>
      </c>
      <c r="Z420" s="617" t="s">
        <v>178</v>
      </c>
      <c r="AA420" s="618">
        <v>38010</v>
      </c>
      <c r="AB420" s="618" t="s">
        <v>164</v>
      </c>
      <c r="AC420" s="618">
        <v>31100</v>
      </c>
      <c r="AD420" s="619">
        <v>0.01</v>
      </c>
      <c r="AE420" s="617" t="s">
        <v>1226</v>
      </c>
    </row>
    <row r="421" spans="1:31" s="572" customFormat="1">
      <c r="A421" s="570" t="s">
        <v>1231</v>
      </c>
      <c r="B421" s="569" t="s">
        <v>287</v>
      </c>
      <c r="C421" s="580">
        <v>26</v>
      </c>
      <c r="D421" s="569" t="s">
        <v>699</v>
      </c>
      <c r="E421" s="569" t="s">
        <v>196</v>
      </c>
      <c r="F421" s="569" t="s">
        <v>271</v>
      </c>
      <c r="G421" s="569">
        <v>2019</v>
      </c>
      <c r="H421" s="569" t="s">
        <v>1227</v>
      </c>
      <c r="I421" s="569" t="s">
        <v>492</v>
      </c>
      <c r="J421" s="569" t="s">
        <v>752</v>
      </c>
      <c r="K421" s="569">
        <v>7</v>
      </c>
      <c r="L421" s="569">
        <v>0</v>
      </c>
      <c r="M421" s="569" t="s">
        <v>157</v>
      </c>
      <c r="N421" s="569">
        <v>3</v>
      </c>
      <c r="O421" s="569" t="s">
        <v>157</v>
      </c>
      <c r="P421" s="568" t="s">
        <v>157</v>
      </c>
      <c r="Q421" s="569" t="s">
        <v>1228</v>
      </c>
      <c r="R421" s="569">
        <v>6</v>
      </c>
      <c r="S421" s="569" t="s">
        <v>1229</v>
      </c>
      <c r="T421" s="569" t="s">
        <v>276</v>
      </c>
      <c r="U421" s="569">
        <v>112.8</v>
      </c>
      <c r="V421" s="569">
        <v>18.600000000000001</v>
      </c>
      <c r="W421" s="620">
        <v>6160</v>
      </c>
      <c r="X421" s="621">
        <v>19</v>
      </c>
      <c r="Y421" s="621" t="s">
        <v>450</v>
      </c>
      <c r="Z421" s="621" t="s">
        <v>178</v>
      </c>
      <c r="AA421" s="622">
        <v>35510</v>
      </c>
      <c r="AB421" s="622" t="s">
        <v>164</v>
      </c>
      <c r="AC421" s="622">
        <v>29063</v>
      </c>
      <c r="AD421" s="623">
        <v>0.05</v>
      </c>
      <c r="AE421" s="621" t="s">
        <v>1226</v>
      </c>
    </row>
    <row r="422" spans="1:31" s="572" customFormat="1">
      <c r="A422" s="570" t="s">
        <v>1232</v>
      </c>
      <c r="B422" s="573" t="s">
        <v>280</v>
      </c>
      <c r="C422" s="578">
        <v>27</v>
      </c>
      <c r="D422" s="573" t="s">
        <v>699</v>
      </c>
      <c r="E422" s="573" t="s">
        <v>196</v>
      </c>
      <c r="F422" s="573" t="s">
        <v>271</v>
      </c>
      <c r="G422" s="573">
        <v>2019</v>
      </c>
      <c r="H422" s="573" t="s">
        <v>1227</v>
      </c>
      <c r="I422" s="573" t="s">
        <v>492</v>
      </c>
      <c r="J422" s="573" t="s">
        <v>752</v>
      </c>
      <c r="K422" s="573">
        <v>7</v>
      </c>
      <c r="L422" s="573">
        <v>0</v>
      </c>
      <c r="M422" s="573" t="s">
        <v>157</v>
      </c>
      <c r="N422" s="573">
        <v>3</v>
      </c>
      <c r="O422" s="573" t="s">
        <v>157</v>
      </c>
      <c r="P422" s="571" t="s">
        <v>157</v>
      </c>
      <c r="Q422" s="573" t="s">
        <v>1228</v>
      </c>
      <c r="R422" s="573">
        <v>6</v>
      </c>
      <c r="S422" s="582" t="s">
        <v>1229</v>
      </c>
      <c r="T422" s="573" t="s">
        <v>276</v>
      </c>
      <c r="U422" s="573">
        <v>112.8</v>
      </c>
      <c r="V422" s="573">
        <v>18.600000000000001</v>
      </c>
      <c r="W422" s="616">
        <v>6160</v>
      </c>
      <c r="X422" s="617">
        <v>18</v>
      </c>
      <c r="Y422" s="617" t="s">
        <v>178</v>
      </c>
      <c r="Z422" s="617" t="s">
        <v>178</v>
      </c>
      <c r="AA422" s="618">
        <v>35510</v>
      </c>
      <c r="AB422" s="618" t="s">
        <v>164</v>
      </c>
      <c r="AC422" s="618">
        <v>30712.854166666668</v>
      </c>
      <c r="AD422" s="619">
        <v>0.03</v>
      </c>
      <c r="AE422" s="617" t="s">
        <v>1226</v>
      </c>
    </row>
    <row r="423" spans="1:31" s="572" customFormat="1">
      <c r="A423" s="570" t="s">
        <v>1233</v>
      </c>
      <c r="B423" s="569" t="s">
        <v>269</v>
      </c>
      <c r="C423" s="580" t="s">
        <v>270</v>
      </c>
      <c r="D423" s="569" t="s">
        <v>699</v>
      </c>
      <c r="E423" s="569" t="s">
        <v>196</v>
      </c>
      <c r="F423" s="569" t="s">
        <v>271</v>
      </c>
      <c r="G423" s="569">
        <v>2019</v>
      </c>
      <c r="H423" s="569" t="s">
        <v>1227</v>
      </c>
      <c r="I423" s="569" t="s">
        <v>492</v>
      </c>
      <c r="J423" s="569" t="s">
        <v>156</v>
      </c>
      <c r="K423" s="569">
        <v>7</v>
      </c>
      <c r="L423" s="569">
        <v>0</v>
      </c>
      <c r="M423" s="569" t="s">
        <v>157</v>
      </c>
      <c r="N423" s="569">
        <v>3</v>
      </c>
      <c r="O423" s="569" t="s">
        <v>157</v>
      </c>
      <c r="P423" s="568" t="s">
        <v>157</v>
      </c>
      <c r="Q423" s="569" t="s">
        <v>1235</v>
      </c>
      <c r="R423" s="569">
        <v>6</v>
      </c>
      <c r="S423" s="569" t="s">
        <v>1236</v>
      </c>
      <c r="T423" s="569" t="s">
        <v>276</v>
      </c>
      <c r="U423" s="569">
        <v>112.8</v>
      </c>
      <c r="V423" s="569">
        <v>18.600000000000001</v>
      </c>
      <c r="W423" s="620">
        <v>6160</v>
      </c>
      <c r="X423" s="621">
        <v>22</v>
      </c>
      <c r="Y423" s="621" t="s">
        <v>178</v>
      </c>
      <c r="Z423" s="621" t="s">
        <v>178</v>
      </c>
      <c r="AA423" s="622">
        <v>34255</v>
      </c>
      <c r="AB423" s="622" t="s">
        <v>164</v>
      </c>
      <c r="AC423" s="622">
        <v>29525.354166666668</v>
      </c>
      <c r="AD423" s="623">
        <v>0.03</v>
      </c>
      <c r="AE423" s="621" t="s">
        <v>1234</v>
      </c>
    </row>
    <row r="424" spans="1:31" s="572" customFormat="1">
      <c r="A424" s="570" t="s">
        <v>1237</v>
      </c>
      <c r="B424" s="573" t="s">
        <v>269</v>
      </c>
      <c r="C424" s="578" t="s">
        <v>270</v>
      </c>
      <c r="D424" s="573" t="s">
        <v>699</v>
      </c>
      <c r="E424" s="573" t="s">
        <v>196</v>
      </c>
      <c r="F424" s="573" t="s">
        <v>271</v>
      </c>
      <c r="G424" s="573">
        <v>2019</v>
      </c>
      <c r="H424" s="573" t="s">
        <v>1227</v>
      </c>
      <c r="I424" s="573" t="s">
        <v>492</v>
      </c>
      <c r="J424" s="573" t="s">
        <v>156</v>
      </c>
      <c r="K424" s="573">
        <v>7</v>
      </c>
      <c r="L424" s="573">
        <v>0</v>
      </c>
      <c r="M424" s="573" t="s">
        <v>157</v>
      </c>
      <c r="N424" s="573">
        <v>3</v>
      </c>
      <c r="O424" s="573" t="s">
        <v>157</v>
      </c>
      <c r="P424" s="571" t="s">
        <v>157</v>
      </c>
      <c r="Q424" s="573" t="s">
        <v>316</v>
      </c>
      <c r="R424" s="573">
        <v>6</v>
      </c>
      <c r="S424" s="582" t="s">
        <v>1236</v>
      </c>
      <c r="T424" s="573" t="s">
        <v>276</v>
      </c>
      <c r="U424" s="573">
        <v>112.8</v>
      </c>
      <c r="V424" s="573">
        <v>18.600000000000001</v>
      </c>
      <c r="W424" s="616">
        <v>6160</v>
      </c>
      <c r="X424" s="617">
        <v>20</v>
      </c>
      <c r="Y424" s="617" t="s">
        <v>178</v>
      </c>
      <c r="Z424" s="617" t="s">
        <v>178</v>
      </c>
      <c r="AA424" s="618">
        <v>33360</v>
      </c>
      <c r="AB424" s="618" t="s">
        <v>164</v>
      </c>
      <c r="AC424" s="618">
        <v>28703.479166666668</v>
      </c>
      <c r="AD424" s="619">
        <v>0.03</v>
      </c>
      <c r="AE424" s="617" t="s">
        <v>1238</v>
      </c>
    </row>
    <row r="425" spans="1:31" s="572" customFormat="1">
      <c r="A425" s="570" t="s">
        <v>1239</v>
      </c>
      <c r="B425" s="569" t="s">
        <v>278</v>
      </c>
      <c r="C425" s="580">
        <v>15</v>
      </c>
      <c r="D425" s="569" t="s">
        <v>699</v>
      </c>
      <c r="E425" s="569" t="s">
        <v>196</v>
      </c>
      <c r="F425" s="569" t="s">
        <v>271</v>
      </c>
      <c r="G425" s="569">
        <v>2019</v>
      </c>
      <c r="H425" s="569" t="s">
        <v>1227</v>
      </c>
      <c r="I425" s="569" t="s">
        <v>492</v>
      </c>
      <c r="J425" s="569" t="s">
        <v>156</v>
      </c>
      <c r="K425" s="569">
        <v>7</v>
      </c>
      <c r="L425" s="569">
        <v>0</v>
      </c>
      <c r="M425" s="569" t="s">
        <v>157</v>
      </c>
      <c r="N425" s="569">
        <v>3</v>
      </c>
      <c r="O425" s="569" t="s">
        <v>157</v>
      </c>
      <c r="P425" s="568" t="s">
        <v>157</v>
      </c>
      <c r="Q425" s="569" t="s">
        <v>1235</v>
      </c>
      <c r="R425" s="569">
        <v>4</v>
      </c>
      <c r="S425" s="569" t="s">
        <v>1236</v>
      </c>
      <c r="T425" s="569" t="s">
        <v>276</v>
      </c>
      <c r="U425" s="569">
        <v>112.8</v>
      </c>
      <c r="V425" s="569">
        <v>18.600000000000001</v>
      </c>
      <c r="W425" s="620">
        <v>6160</v>
      </c>
      <c r="X425" s="621">
        <v>22</v>
      </c>
      <c r="Y425" s="621" t="s">
        <v>178</v>
      </c>
      <c r="Z425" s="621" t="s">
        <v>178</v>
      </c>
      <c r="AA425" s="622">
        <v>36755</v>
      </c>
      <c r="AB425" s="622" t="s">
        <v>164</v>
      </c>
      <c r="AC425" s="622">
        <v>29995</v>
      </c>
      <c r="AD425" s="623">
        <v>0.01</v>
      </c>
      <c r="AE425" s="621" t="s">
        <v>1234</v>
      </c>
    </row>
    <row r="426" spans="1:31" s="572" customFormat="1">
      <c r="A426" s="570" t="s">
        <v>1240</v>
      </c>
      <c r="B426" s="573" t="s">
        <v>287</v>
      </c>
      <c r="C426" s="578">
        <v>26</v>
      </c>
      <c r="D426" s="573" t="s">
        <v>699</v>
      </c>
      <c r="E426" s="573" t="s">
        <v>196</v>
      </c>
      <c r="F426" s="573" t="s">
        <v>271</v>
      </c>
      <c r="G426" s="573">
        <v>2019</v>
      </c>
      <c r="H426" s="573" t="s">
        <v>1227</v>
      </c>
      <c r="I426" s="573" t="s">
        <v>492</v>
      </c>
      <c r="J426" s="573" t="s">
        <v>156</v>
      </c>
      <c r="K426" s="573">
        <v>7</v>
      </c>
      <c r="L426" s="573">
        <v>0</v>
      </c>
      <c r="M426" s="573" t="s">
        <v>157</v>
      </c>
      <c r="N426" s="573">
        <v>3</v>
      </c>
      <c r="O426" s="573" t="s">
        <v>157</v>
      </c>
      <c r="P426" s="571" t="s">
        <v>157</v>
      </c>
      <c r="Q426" s="573" t="s">
        <v>1228</v>
      </c>
      <c r="R426" s="573">
        <v>4</v>
      </c>
      <c r="S426" s="582" t="s">
        <v>1236</v>
      </c>
      <c r="T426" s="573" t="s">
        <v>276</v>
      </c>
      <c r="U426" s="573">
        <v>112.8</v>
      </c>
      <c r="V426" s="573">
        <v>18.600000000000001</v>
      </c>
      <c r="W426" s="616">
        <v>6160</v>
      </c>
      <c r="X426" s="617">
        <v>22</v>
      </c>
      <c r="Y426" s="617" t="s">
        <v>178</v>
      </c>
      <c r="Z426" s="617" t="s">
        <v>178</v>
      </c>
      <c r="AA426" s="618">
        <v>33360</v>
      </c>
      <c r="AB426" s="618" t="s">
        <v>164</v>
      </c>
      <c r="AC426" s="618">
        <v>26993</v>
      </c>
      <c r="AD426" s="619">
        <v>0.05</v>
      </c>
      <c r="AE426" s="617" t="s">
        <v>1238</v>
      </c>
    </row>
    <row r="427" spans="1:31" s="572" customFormat="1">
      <c r="A427" s="570" t="s">
        <v>1241</v>
      </c>
      <c r="B427" s="569" t="s">
        <v>280</v>
      </c>
      <c r="C427" s="580">
        <v>27</v>
      </c>
      <c r="D427" s="569" t="s">
        <v>699</v>
      </c>
      <c r="E427" s="569" t="s">
        <v>196</v>
      </c>
      <c r="F427" s="569" t="s">
        <v>271</v>
      </c>
      <c r="G427" s="569">
        <v>2019</v>
      </c>
      <c r="H427" s="569" t="s">
        <v>1227</v>
      </c>
      <c r="I427" s="569" t="s">
        <v>492</v>
      </c>
      <c r="J427" s="569" t="s">
        <v>156</v>
      </c>
      <c r="K427" s="569">
        <v>7</v>
      </c>
      <c r="L427" s="569">
        <v>0</v>
      </c>
      <c r="M427" s="569" t="s">
        <v>157</v>
      </c>
      <c r="N427" s="569">
        <v>3</v>
      </c>
      <c r="O427" s="569" t="s">
        <v>157</v>
      </c>
      <c r="P427" s="568" t="s">
        <v>157</v>
      </c>
      <c r="Q427" s="569" t="s">
        <v>1235</v>
      </c>
      <c r="R427" s="569">
        <v>6</v>
      </c>
      <c r="S427" s="569" t="s">
        <v>1236</v>
      </c>
      <c r="T427" s="569" t="s">
        <v>276</v>
      </c>
      <c r="U427" s="569">
        <v>112.8</v>
      </c>
      <c r="V427" s="569">
        <v>18.600000000000001</v>
      </c>
      <c r="W427" s="620">
        <v>6160</v>
      </c>
      <c r="X427" s="621">
        <v>22</v>
      </c>
      <c r="Y427" s="621" t="s">
        <v>178</v>
      </c>
      <c r="Z427" s="621" t="s">
        <v>178</v>
      </c>
      <c r="AA427" s="622">
        <v>34255</v>
      </c>
      <c r="AB427" s="622" t="s">
        <v>164</v>
      </c>
      <c r="AC427" s="622">
        <v>29525.354166666668</v>
      </c>
      <c r="AD427" s="623">
        <v>0.03</v>
      </c>
      <c r="AE427" s="621" t="s">
        <v>1234</v>
      </c>
    </row>
    <row r="428" spans="1:31" s="572" customFormat="1">
      <c r="A428" s="570" t="s">
        <v>1242</v>
      </c>
      <c r="B428" s="573" t="s">
        <v>280</v>
      </c>
      <c r="C428" s="578">
        <v>27</v>
      </c>
      <c r="D428" s="573" t="s">
        <v>699</v>
      </c>
      <c r="E428" s="573" t="s">
        <v>196</v>
      </c>
      <c r="F428" s="573" t="s">
        <v>271</v>
      </c>
      <c r="G428" s="573">
        <v>2019</v>
      </c>
      <c r="H428" s="573" t="s">
        <v>1227</v>
      </c>
      <c r="I428" s="573" t="s">
        <v>492</v>
      </c>
      <c r="J428" s="573" t="s">
        <v>156</v>
      </c>
      <c r="K428" s="573">
        <v>7</v>
      </c>
      <c r="L428" s="573">
        <v>0</v>
      </c>
      <c r="M428" s="573" t="s">
        <v>157</v>
      </c>
      <c r="N428" s="573">
        <v>3</v>
      </c>
      <c r="O428" s="573" t="s">
        <v>157</v>
      </c>
      <c r="P428" s="571" t="s">
        <v>157</v>
      </c>
      <c r="Q428" s="573" t="s">
        <v>316</v>
      </c>
      <c r="R428" s="573">
        <v>6</v>
      </c>
      <c r="S428" s="582" t="s">
        <v>1236</v>
      </c>
      <c r="T428" s="573" t="s">
        <v>276</v>
      </c>
      <c r="U428" s="573">
        <v>112.8</v>
      </c>
      <c r="V428" s="573">
        <v>18.600000000000001</v>
      </c>
      <c r="W428" s="616">
        <v>6160</v>
      </c>
      <c r="X428" s="617">
        <v>20</v>
      </c>
      <c r="Y428" s="617" t="s">
        <v>178</v>
      </c>
      <c r="Z428" s="617" t="s">
        <v>178</v>
      </c>
      <c r="AA428" s="618">
        <v>33360</v>
      </c>
      <c r="AB428" s="618" t="s">
        <v>164</v>
      </c>
      <c r="AC428" s="618">
        <v>28703.479166666668</v>
      </c>
      <c r="AD428" s="619">
        <v>0.03</v>
      </c>
      <c r="AE428" s="617" t="s">
        <v>1238</v>
      </c>
    </row>
    <row r="429" spans="1:31" s="572" customFormat="1">
      <c r="A429" s="570" t="s">
        <v>1243</v>
      </c>
      <c r="B429" s="569" t="s">
        <v>269</v>
      </c>
      <c r="C429" s="580" t="s">
        <v>270</v>
      </c>
      <c r="D429" s="569" t="s">
        <v>699</v>
      </c>
      <c r="E429" s="569" t="s">
        <v>196</v>
      </c>
      <c r="F429" s="569" t="s">
        <v>271</v>
      </c>
      <c r="G429" s="569">
        <v>2019</v>
      </c>
      <c r="H429" s="569" t="s">
        <v>1227</v>
      </c>
      <c r="I429" s="569" t="s">
        <v>315</v>
      </c>
      <c r="J429" s="569" t="s">
        <v>752</v>
      </c>
      <c r="K429" s="569">
        <v>7</v>
      </c>
      <c r="L429" s="569">
        <v>0</v>
      </c>
      <c r="M429" s="569" t="s">
        <v>157</v>
      </c>
      <c r="N429" s="569">
        <v>3</v>
      </c>
      <c r="O429" s="569" t="s">
        <v>157</v>
      </c>
      <c r="P429" s="568" t="s">
        <v>157</v>
      </c>
      <c r="Q429" s="569" t="s">
        <v>1245</v>
      </c>
      <c r="R429" s="569">
        <v>6</v>
      </c>
      <c r="S429" s="569" t="s">
        <v>1246</v>
      </c>
      <c r="T429" s="569" t="s">
        <v>318</v>
      </c>
      <c r="U429" s="569">
        <v>112.8</v>
      </c>
      <c r="V429" s="569">
        <v>18.600000000000001</v>
      </c>
      <c r="W429" s="620">
        <v>6160</v>
      </c>
      <c r="X429" s="621">
        <v>21</v>
      </c>
      <c r="Y429" s="621" t="s">
        <v>178</v>
      </c>
      <c r="Z429" s="621" t="s">
        <v>178</v>
      </c>
      <c r="AA429" s="622">
        <v>45910</v>
      </c>
      <c r="AB429" s="622" t="s">
        <v>164</v>
      </c>
      <c r="AC429" s="622">
        <v>45593.0625</v>
      </c>
      <c r="AD429" s="623">
        <v>0.03</v>
      </c>
      <c r="AE429" s="621" t="s">
        <v>1244</v>
      </c>
    </row>
    <row r="430" spans="1:31" s="572" customFormat="1">
      <c r="A430" s="570" t="s">
        <v>1247</v>
      </c>
      <c r="B430" s="573" t="s">
        <v>278</v>
      </c>
      <c r="C430" s="578">
        <v>15</v>
      </c>
      <c r="D430" s="573" t="s">
        <v>699</v>
      </c>
      <c r="E430" s="573" t="s">
        <v>196</v>
      </c>
      <c r="F430" s="573" t="s">
        <v>271</v>
      </c>
      <c r="G430" s="573">
        <v>2019</v>
      </c>
      <c r="H430" s="573" t="s">
        <v>1227</v>
      </c>
      <c r="I430" s="573" t="s">
        <v>315</v>
      </c>
      <c r="J430" s="573" t="s">
        <v>752</v>
      </c>
      <c r="K430" s="573">
        <v>7</v>
      </c>
      <c r="L430" s="573">
        <v>0</v>
      </c>
      <c r="M430" s="573" t="s">
        <v>157</v>
      </c>
      <c r="N430" s="573">
        <v>3</v>
      </c>
      <c r="O430" s="573" t="s">
        <v>157</v>
      </c>
      <c r="P430" s="571" t="s">
        <v>157</v>
      </c>
      <c r="Q430" s="573" t="s">
        <v>1235</v>
      </c>
      <c r="R430" s="573">
        <v>6</v>
      </c>
      <c r="S430" s="582" t="s">
        <v>1246</v>
      </c>
      <c r="T430" s="573" t="s">
        <v>318</v>
      </c>
      <c r="U430" s="573">
        <v>112.8</v>
      </c>
      <c r="V430" s="573">
        <v>18.600000000000001</v>
      </c>
      <c r="W430" s="616">
        <v>6160</v>
      </c>
      <c r="X430" s="617">
        <v>19</v>
      </c>
      <c r="Y430" s="617" t="s">
        <v>178</v>
      </c>
      <c r="Z430" s="617" t="s">
        <v>178</v>
      </c>
      <c r="AA430" s="618">
        <v>48410</v>
      </c>
      <c r="AB430" s="618" t="s">
        <v>164</v>
      </c>
      <c r="AC430" s="618">
        <v>43750</v>
      </c>
      <c r="AD430" s="619">
        <v>0.01</v>
      </c>
      <c r="AE430" s="617" t="s">
        <v>1244</v>
      </c>
    </row>
    <row r="431" spans="1:31" s="572" customFormat="1">
      <c r="A431" s="570" t="s">
        <v>1248</v>
      </c>
      <c r="B431" s="569" t="s">
        <v>287</v>
      </c>
      <c r="C431" s="580">
        <v>26</v>
      </c>
      <c r="D431" s="569" t="s">
        <v>699</v>
      </c>
      <c r="E431" s="569" t="s">
        <v>196</v>
      </c>
      <c r="F431" s="569" t="s">
        <v>271</v>
      </c>
      <c r="G431" s="569">
        <v>2019</v>
      </c>
      <c r="H431" s="569" t="s">
        <v>1227</v>
      </c>
      <c r="I431" s="569" t="s">
        <v>315</v>
      </c>
      <c r="J431" s="569" t="s">
        <v>752</v>
      </c>
      <c r="K431" s="569">
        <v>7</v>
      </c>
      <c r="L431" s="569">
        <v>0</v>
      </c>
      <c r="M431" s="569" t="s">
        <v>157</v>
      </c>
      <c r="N431" s="569">
        <v>3</v>
      </c>
      <c r="O431" s="569" t="s">
        <v>157</v>
      </c>
      <c r="P431" s="568" t="s">
        <v>157</v>
      </c>
      <c r="Q431" s="569" t="s">
        <v>1228</v>
      </c>
      <c r="R431" s="569">
        <v>6</v>
      </c>
      <c r="S431" s="569" t="s">
        <v>1246</v>
      </c>
      <c r="T431" s="569" t="s">
        <v>318</v>
      </c>
      <c r="U431" s="569">
        <v>112.8</v>
      </c>
      <c r="V431" s="569">
        <v>18.600000000000001</v>
      </c>
      <c r="W431" s="620">
        <v>6160</v>
      </c>
      <c r="X431" s="621">
        <v>19</v>
      </c>
      <c r="Y431" s="621" t="s">
        <v>178</v>
      </c>
      <c r="Z431" s="621" t="s">
        <v>178</v>
      </c>
      <c r="AA431" s="622">
        <v>45910</v>
      </c>
      <c r="AB431" s="622" t="s">
        <v>164</v>
      </c>
      <c r="AC431" s="622">
        <v>44399</v>
      </c>
      <c r="AD431" s="623">
        <v>0.05</v>
      </c>
      <c r="AE431" s="621" t="s">
        <v>1249</v>
      </c>
    </row>
    <row r="432" spans="1:31" s="572" customFormat="1">
      <c r="A432" s="570" t="s">
        <v>1250</v>
      </c>
      <c r="B432" s="573" t="s">
        <v>280</v>
      </c>
      <c r="C432" s="578">
        <v>27</v>
      </c>
      <c r="D432" s="573" t="s">
        <v>699</v>
      </c>
      <c r="E432" s="573" t="s">
        <v>196</v>
      </c>
      <c r="F432" s="573" t="s">
        <v>271</v>
      </c>
      <c r="G432" s="573">
        <v>2019</v>
      </c>
      <c r="H432" s="573" t="s">
        <v>1227</v>
      </c>
      <c r="I432" s="573" t="s">
        <v>315</v>
      </c>
      <c r="J432" s="573" t="s">
        <v>752</v>
      </c>
      <c r="K432" s="573">
        <v>7</v>
      </c>
      <c r="L432" s="573">
        <v>0</v>
      </c>
      <c r="M432" s="573" t="s">
        <v>157</v>
      </c>
      <c r="N432" s="573">
        <v>3</v>
      </c>
      <c r="O432" s="573" t="s">
        <v>157</v>
      </c>
      <c r="P432" s="571" t="s">
        <v>157</v>
      </c>
      <c r="Q432" s="573" t="s">
        <v>1245</v>
      </c>
      <c r="R432" s="573">
        <v>6</v>
      </c>
      <c r="S432" s="582" t="s">
        <v>1246</v>
      </c>
      <c r="T432" s="573" t="s">
        <v>318</v>
      </c>
      <c r="U432" s="573">
        <v>112.8</v>
      </c>
      <c r="V432" s="573">
        <v>18.600000000000001</v>
      </c>
      <c r="W432" s="616">
        <v>6160</v>
      </c>
      <c r="X432" s="617">
        <v>21</v>
      </c>
      <c r="Y432" s="617" t="s">
        <v>178</v>
      </c>
      <c r="Z432" s="617" t="s">
        <v>178</v>
      </c>
      <c r="AA432" s="618">
        <v>45910</v>
      </c>
      <c r="AB432" s="618" t="s">
        <v>164</v>
      </c>
      <c r="AC432" s="618">
        <v>45593.0625</v>
      </c>
      <c r="AD432" s="619">
        <v>0.03</v>
      </c>
      <c r="AE432" s="617" t="s">
        <v>1244</v>
      </c>
    </row>
    <row r="433" spans="1:31" s="572" customFormat="1">
      <c r="A433" s="570" t="s">
        <v>1251</v>
      </c>
      <c r="B433" s="569" t="s">
        <v>269</v>
      </c>
      <c r="C433" s="580" t="s">
        <v>270</v>
      </c>
      <c r="D433" s="569" t="s">
        <v>699</v>
      </c>
      <c r="E433" s="569" t="s">
        <v>196</v>
      </c>
      <c r="F433" s="569" t="s">
        <v>271</v>
      </c>
      <c r="G433" s="569">
        <v>2019</v>
      </c>
      <c r="H433" s="569" t="s">
        <v>1227</v>
      </c>
      <c r="I433" s="569" t="s">
        <v>315</v>
      </c>
      <c r="J433" s="569" t="s">
        <v>156</v>
      </c>
      <c r="K433" s="569">
        <v>7</v>
      </c>
      <c r="L433" s="569">
        <v>0</v>
      </c>
      <c r="M433" s="569" t="s">
        <v>157</v>
      </c>
      <c r="N433" s="569">
        <v>3</v>
      </c>
      <c r="O433" s="569" t="s">
        <v>157</v>
      </c>
      <c r="P433" s="568" t="s">
        <v>157</v>
      </c>
      <c r="Q433" s="569" t="s">
        <v>1245</v>
      </c>
      <c r="R433" s="569">
        <v>6</v>
      </c>
      <c r="S433" s="569" t="s">
        <v>1253</v>
      </c>
      <c r="T433" s="569" t="s">
        <v>318</v>
      </c>
      <c r="U433" s="569">
        <v>112.8</v>
      </c>
      <c r="V433" s="569">
        <v>18.600000000000001</v>
      </c>
      <c r="W433" s="620">
        <v>6160</v>
      </c>
      <c r="X433" s="621">
        <v>22</v>
      </c>
      <c r="Y433" s="621" t="s">
        <v>178</v>
      </c>
      <c r="Z433" s="621" t="s">
        <v>178</v>
      </c>
      <c r="AA433" s="622">
        <v>43760</v>
      </c>
      <c r="AB433" s="622" t="s">
        <v>164</v>
      </c>
      <c r="AC433" s="622">
        <v>43605.5625</v>
      </c>
      <c r="AD433" s="623">
        <v>0.03</v>
      </c>
      <c r="AE433" s="621" t="s">
        <v>1252</v>
      </c>
    </row>
    <row r="434" spans="1:31" s="572" customFormat="1">
      <c r="A434" s="570" t="s">
        <v>1254</v>
      </c>
      <c r="B434" s="573" t="s">
        <v>278</v>
      </c>
      <c r="C434" s="578">
        <v>15</v>
      </c>
      <c r="D434" s="573" t="s">
        <v>699</v>
      </c>
      <c r="E434" s="573" t="s">
        <v>196</v>
      </c>
      <c r="F434" s="573" t="s">
        <v>271</v>
      </c>
      <c r="G434" s="573">
        <v>2019</v>
      </c>
      <c r="H434" s="573" t="s">
        <v>1227</v>
      </c>
      <c r="I434" s="573" t="s">
        <v>315</v>
      </c>
      <c r="J434" s="573" t="s">
        <v>156</v>
      </c>
      <c r="K434" s="573">
        <v>7</v>
      </c>
      <c r="L434" s="573">
        <v>0</v>
      </c>
      <c r="M434" s="573" t="s">
        <v>157</v>
      </c>
      <c r="N434" s="573">
        <v>3</v>
      </c>
      <c r="O434" s="573" t="s">
        <v>157</v>
      </c>
      <c r="P434" s="571" t="s">
        <v>157</v>
      </c>
      <c r="Q434" s="573" t="s">
        <v>1235</v>
      </c>
      <c r="R434" s="573">
        <v>4</v>
      </c>
      <c r="S434" s="582" t="s">
        <v>1253</v>
      </c>
      <c r="T434" s="573" t="s">
        <v>318</v>
      </c>
      <c r="U434" s="573">
        <v>112.8</v>
      </c>
      <c r="V434" s="573">
        <v>18.600000000000001</v>
      </c>
      <c r="W434" s="616">
        <v>6160</v>
      </c>
      <c r="X434" s="617">
        <v>22</v>
      </c>
      <c r="Y434" s="617" t="s">
        <v>178</v>
      </c>
      <c r="Z434" s="617" t="s">
        <v>178</v>
      </c>
      <c r="AA434" s="618">
        <v>46260</v>
      </c>
      <c r="AB434" s="618" t="s">
        <v>164</v>
      </c>
      <c r="AC434" s="618">
        <v>41750</v>
      </c>
      <c r="AD434" s="619">
        <v>0.01</v>
      </c>
      <c r="AE434" s="617" t="s">
        <v>1252</v>
      </c>
    </row>
    <row r="435" spans="1:31" s="572" customFormat="1">
      <c r="A435" s="570" t="s">
        <v>1255</v>
      </c>
      <c r="B435" s="569" t="s">
        <v>287</v>
      </c>
      <c r="C435" s="580">
        <v>26</v>
      </c>
      <c r="D435" s="569" t="s">
        <v>699</v>
      </c>
      <c r="E435" s="569" t="s">
        <v>196</v>
      </c>
      <c r="F435" s="569" t="s">
        <v>271</v>
      </c>
      <c r="G435" s="569">
        <v>2019</v>
      </c>
      <c r="H435" s="569" t="s">
        <v>1227</v>
      </c>
      <c r="I435" s="569" t="s">
        <v>315</v>
      </c>
      <c r="J435" s="569" t="s">
        <v>156</v>
      </c>
      <c r="K435" s="569">
        <v>7</v>
      </c>
      <c r="L435" s="569">
        <v>0</v>
      </c>
      <c r="M435" s="569" t="s">
        <v>157</v>
      </c>
      <c r="N435" s="569">
        <v>3</v>
      </c>
      <c r="O435" s="569" t="s">
        <v>157</v>
      </c>
      <c r="P435" s="568" t="s">
        <v>157</v>
      </c>
      <c r="Q435" s="569" t="s">
        <v>1228</v>
      </c>
      <c r="R435" s="569">
        <v>4</v>
      </c>
      <c r="S435" s="569" t="s">
        <v>1253</v>
      </c>
      <c r="T435" s="569" t="s">
        <v>318</v>
      </c>
      <c r="U435" s="569">
        <v>112.8</v>
      </c>
      <c r="V435" s="569">
        <v>18.600000000000001</v>
      </c>
      <c r="W435" s="620">
        <v>6160</v>
      </c>
      <c r="X435" s="621">
        <v>22</v>
      </c>
      <c r="Y435" s="621" t="s">
        <v>178</v>
      </c>
      <c r="Z435" s="621" t="s">
        <v>178</v>
      </c>
      <c r="AA435" s="622">
        <v>43760</v>
      </c>
      <c r="AB435" s="622" t="s">
        <v>164</v>
      </c>
      <c r="AC435" s="622">
        <v>42352</v>
      </c>
      <c r="AD435" s="623">
        <v>0.05</v>
      </c>
      <c r="AE435" s="621" t="s">
        <v>1252</v>
      </c>
    </row>
    <row r="436" spans="1:31" s="572" customFormat="1">
      <c r="A436" s="570" t="s">
        <v>1256</v>
      </c>
      <c r="B436" s="573" t="s">
        <v>280</v>
      </c>
      <c r="C436" s="578">
        <v>27</v>
      </c>
      <c r="D436" s="573" t="s">
        <v>699</v>
      </c>
      <c r="E436" s="573" t="s">
        <v>196</v>
      </c>
      <c r="F436" s="573" t="s">
        <v>271</v>
      </c>
      <c r="G436" s="573">
        <v>2019</v>
      </c>
      <c r="H436" s="573" t="s">
        <v>1227</v>
      </c>
      <c r="I436" s="573" t="s">
        <v>315</v>
      </c>
      <c r="J436" s="573" t="s">
        <v>156</v>
      </c>
      <c r="K436" s="573">
        <v>7</v>
      </c>
      <c r="L436" s="573">
        <v>0</v>
      </c>
      <c r="M436" s="573" t="s">
        <v>157</v>
      </c>
      <c r="N436" s="573">
        <v>3</v>
      </c>
      <c r="O436" s="573" t="s">
        <v>157</v>
      </c>
      <c r="P436" s="571" t="s">
        <v>157</v>
      </c>
      <c r="Q436" s="573" t="s">
        <v>1245</v>
      </c>
      <c r="R436" s="573">
        <v>6</v>
      </c>
      <c r="S436" s="582" t="s">
        <v>1253</v>
      </c>
      <c r="T436" s="573" t="s">
        <v>318</v>
      </c>
      <c r="U436" s="573">
        <v>112.8</v>
      </c>
      <c r="V436" s="573">
        <v>18.600000000000001</v>
      </c>
      <c r="W436" s="616">
        <v>6160</v>
      </c>
      <c r="X436" s="617">
        <v>22</v>
      </c>
      <c r="Y436" s="617" t="s">
        <v>178</v>
      </c>
      <c r="Z436" s="617" t="s">
        <v>178</v>
      </c>
      <c r="AA436" s="618">
        <v>43760</v>
      </c>
      <c r="AB436" s="618" t="s">
        <v>164</v>
      </c>
      <c r="AC436" s="618">
        <v>43605.5625</v>
      </c>
      <c r="AD436" s="619">
        <v>0.03</v>
      </c>
      <c r="AE436" s="617" t="s">
        <v>1252</v>
      </c>
    </row>
    <row r="437" spans="1:31" s="572" customFormat="1">
      <c r="A437" s="570" t="s">
        <v>1257</v>
      </c>
      <c r="B437" s="569" t="s">
        <v>269</v>
      </c>
      <c r="C437" s="580" t="s">
        <v>270</v>
      </c>
      <c r="D437" s="569" t="s">
        <v>699</v>
      </c>
      <c r="E437" s="569" t="s">
        <v>196</v>
      </c>
      <c r="F437" s="569" t="s">
        <v>271</v>
      </c>
      <c r="G437" s="569">
        <v>2019</v>
      </c>
      <c r="H437" s="569" t="s">
        <v>1227</v>
      </c>
      <c r="I437" s="569" t="s">
        <v>1188</v>
      </c>
      <c r="J437" s="569" t="s">
        <v>752</v>
      </c>
      <c r="K437" s="569">
        <v>7</v>
      </c>
      <c r="L437" s="569">
        <v>0</v>
      </c>
      <c r="M437" s="569" t="s">
        <v>157</v>
      </c>
      <c r="N437" s="569">
        <v>3</v>
      </c>
      <c r="O437" s="569" t="s">
        <v>157</v>
      </c>
      <c r="P437" s="568" t="s">
        <v>157</v>
      </c>
      <c r="Q437" s="569" t="s">
        <v>1259</v>
      </c>
      <c r="R437" s="569">
        <v>6</v>
      </c>
      <c r="S437" s="569" t="s">
        <v>1260</v>
      </c>
      <c r="T437" s="569" t="s">
        <v>366</v>
      </c>
      <c r="U437" s="569">
        <v>112.8</v>
      </c>
      <c r="V437" s="569">
        <v>18.600000000000001</v>
      </c>
      <c r="W437" s="620">
        <v>6160</v>
      </c>
      <c r="X437" s="621">
        <v>18</v>
      </c>
      <c r="Y437" s="621" t="s">
        <v>178</v>
      </c>
      <c r="Z437" s="621" t="s">
        <v>178</v>
      </c>
      <c r="AA437" s="622">
        <v>55160</v>
      </c>
      <c r="AB437" s="622" t="s">
        <v>164</v>
      </c>
      <c r="AC437" s="622">
        <v>54144.104166666664</v>
      </c>
      <c r="AD437" s="623">
        <v>0.03</v>
      </c>
      <c r="AE437" s="621" t="s">
        <v>1258</v>
      </c>
    </row>
    <row r="438" spans="1:31" s="572" customFormat="1">
      <c r="A438" s="570" t="s">
        <v>1261</v>
      </c>
      <c r="B438" s="573" t="s">
        <v>278</v>
      </c>
      <c r="C438" s="578">
        <v>15</v>
      </c>
      <c r="D438" s="573" t="s">
        <v>699</v>
      </c>
      <c r="E438" s="573" t="s">
        <v>196</v>
      </c>
      <c r="F438" s="573" t="s">
        <v>271</v>
      </c>
      <c r="G438" s="573">
        <v>2019</v>
      </c>
      <c r="H438" s="573" t="s">
        <v>1227</v>
      </c>
      <c r="I438" s="573" t="s">
        <v>1188</v>
      </c>
      <c r="J438" s="573" t="s">
        <v>752</v>
      </c>
      <c r="K438" s="573">
        <v>7</v>
      </c>
      <c r="L438" s="573">
        <v>0</v>
      </c>
      <c r="M438" s="573" t="s">
        <v>157</v>
      </c>
      <c r="N438" s="573">
        <v>3</v>
      </c>
      <c r="O438" s="573" t="s">
        <v>157</v>
      </c>
      <c r="P438" s="571" t="s">
        <v>157</v>
      </c>
      <c r="Q438" s="573" t="s">
        <v>1228</v>
      </c>
      <c r="R438" s="573">
        <v>6</v>
      </c>
      <c r="S438" s="582" t="s">
        <v>1260</v>
      </c>
      <c r="T438" s="573" t="s">
        <v>366</v>
      </c>
      <c r="U438" s="573">
        <v>112.8</v>
      </c>
      <c r="V438" s="573">
        <v>18.600000000000001</v>
      </c>
      <c r="W438" s="616">
        <v>6160</v>
      </c>
      <c r="X438" s="617">
        <v>19</v>
      </c>
      <c r="Y438" s="617" t="s">
        <v>450</v>
      </c>
      <c r="Z438" s="617" t="s">
        <v>178</v>
      </c>
      <c r="AA438" s="618">
        <v>57660</v>
      </c>
      <c r="AB438" s="618" t="s">
        <v>164</v>
      </c>
      <c r="AC438" s="618">
        <v>52500</v>
      </c>
      <c r="AD438" s="619">
        <v>0.01</v>
      </c>
      <c r="AE438" s="617" t="s">
        <v>1258</v>
      </c>
    </row>
    <row r="439" spans="1:31" s="572" customFormat="1">
      <c r="A439" s="570" t="s">
        <v>1262</v>
      </c>
      <c r="B439" s="569" t="s">
        <v>287</v>
      </c>
      <c r="C439" s="580">
        <v>26</v>
      </c>
      <c r="D439" s="569" t="s">
        <v>699</v>
      </c>
      <c r="E439" s="569" t="s">
        <v>196</v>
      </c>
      <c r="F439" s="569" t="s">
        <v>271</v>
      </c>
      <c r="G439" s="569">
        <v>2019</v>
      </c>
      <c r="H439" s="569" t="s">
        <v>1227</v>
      </c>
      <c r="I439" s="569" t="s">
        <v>1188</v>
      </c>
      <c r="J439" s="569" t="s">
        <v>752</v>
      </c>
      <c r="K439" s="569">
        <v>7</v>
      </c>
      <c r="L439" s="569">
        <v>0</v>
      </c>
      <c r="M439" s="569" t="s">
        <v>157</v>
      </c>
      <c r="N439" s="569">
        <v>3</v>
      </c>
      <c r="O439" s="569" t="s">
        <v>157</v>
      </c>
      <c r="P439" s="568" t="s">
        <v>157</v>
      </c>
      <c r="Q439" s="569" t="s">
        <v>1263</v>
      </c>
      <c r="R439" s="569">
        <v>6</v>
      </c>
      <c r="S439" s="569" t="s">
        <v>1260</v>
      </c>
      <c r="T439" s="569" t="s">
        <v>366</v>
      </c>
      <c r="U439" s="569">
        <v>112.8</v>
      </c>
      <c r="V439" s="569">
        <v>18.600000000000001</v>
      </c>
      <c r="W439" s="620">
        <v>6160</v>
      </c>
      <c r="X439" s="621">
        <v>19</v>
      </c>
      <c r="Y439" s="621" t="s">
        <v>450</v>
      </c>
      <c r="Z439" s="621" t="s">
        <v>178</v>
      </c>
      <c r="AA439" s="622">
        <v>55160</v>
      </c>
      <c r="AB439" s="622" t="s">
        <v>164</v>
      </c>
      <c r="AC439" s="622">
        <v>53213</v>
      </c>
      <c r="AD439" s="623">
        <v>0.05</v>
      </c>
      <c r="AE439" s="621" t="s">
        <v>1258</v>
      </c>
    </row>
    <row r="440" spans="1:31" s="572" customFormat="1">
      <c r="A440" s="570" t="s">
        <v>1264</v>
      </c>
      <c r="B440" s="573" t="s">
        <v>280</v>
      </c>
      <c r="C440" s="578">
        <v>27</v>
      </c>
      <c r="D440" s="573" t="s">
        <v>699</v>
      </c>
      <c r="E440" s="573" t="s">
        <v>196</v>
      </c>
      <c r="F440" s="573" t="s">
        <v>271</v>
      </c>
      <c r="G440" s="573">
        <v>2019</v>
      </c>
      <c r="H440" s="573" t="s">
        <v>1227</v>
      </c>
      <c r="I440" s="573" t="s">
        <v>1188</v>
      </c>
      <c r="J440" s="573" t="s">
        <v>752</v>
      </c>
      <c r="K440" s="573">
        <v>7</v>
      </c>
      <c r="L440" s="573">
        <v>0</v>
      </c>
      <c r="M440" s="573" t="s">
        <v>157</v>
      </c>
      <c r="N440" s="573">
        <v>3</v>
      </c>
      <c r="O440" s="573" t="s">
        <v>157</v>
      </c>
      <c r="P440" s="571" t="s">
        <v>157</v>
      </c>
      <c r="Q440" s="573" t="s">
        <v>1259</v>
      </c>
      <c r="R440" s="573">
        <v>6</v>
      </c>
      <c r="S440" s="582" t="s">
        <v>1260</v>
      </c>
      <c r="T440" s="573" t="s">
        <v>366</v>
      </c>
      <c r="U440" s="573">
        <v>112.8</v>
      </c>
      <c r="V440" s="573">
        <v>18.600000000000001</v>
      </c>
      <c r="W440" s="616">
        <v>6160</v>
      </c>
      <c r="X440" s="617">
        <v>18</v>
      </c>
      <c r="Y440" s="617" t="s">
        <v>178</v>
      </c>
      <c r="Z440" s="617" t="s">
        <v>178</v>
      </c>
      <c r="AA440" s="618">
        <v>55160</v>
      </c>
      <c r="AB440" s="618" t="s">
        <v>164</v>
      </c>
      <c r="AC440" s="618">
        <v>54144.104166666664</v>
      </c>
      <c r="AD440" s="619">
        <v>0.03</v>
      </c>
      <c r="AE440" s="617" t="s">
        <v>1258</v>
      </c>
    </row>
    <row r="441" spans="1:31" s="572" customFormat="1">
      <c r="A441" s="570" t="s">
        <v>1265</v>
      </c>
      <c r="B441" s="569" t="s">
        <v>269</v>
      </c>
      <c r="C441" s="580" t="s">
        <v>270</v>
      </c>
      <c r="D441" s="569" t="s">
        <v>699</v>
      </c>
      <c r="E441" s="569" t="s">
        <v>196</v>
      </c>
      <c r="F441" s="569" t="s">
        <v>271</v>
      </c>
      <c r="G441" s="569">
        <v>2019</v>
      </c>
      <c r="H441" s="569" t="s">
        <v>1227</v>
      </c>
      <c r="I441" s="569" t="s">
        <v>409</v>
      </c>
      <c r="J441" s="569" t="s">
        <v>752</v>
      </c>
      <c r="K441" s="569">
        <v>7</v>
      </c>
      <c r="L441" s="569">
        <v>0</v>
      </c>
      <c r="M441" s="569" t="s">
        <v>157</v>
      </c>
      <c r="N441" s="569">
        <v>3</v>
      </c>
      <c r="O441" s="569" t="s">
        <v>157</v>
      </c>
      <c r="P441" s="568" t="s">
        <v>157</v>
      </c>
      <c r="Q441" s="569" t="s">
        <v>1259</v>
      </c>
      <c r="R441" s="569">
        <v>6</v>
      </c>
      <c r="S441" s="569" t="s">
        <v>1267</v>
      </c>
      <c r="T441" s="569" t="s">
        <v>310</v>
      </c>
      <c r="U441" s="569">
        <v>112.8</v>
      </c>
      <c r="V441" s="569">
        <v>18.600000000000001</v>
      </c>
      <c r="W441" s="620">
        <v>6160</v>
      </c>
      <c r="X441" s="621">
        <v>18</v>
      </c>
      <c r="Y441" s="621" t="s">
        <v>178</v>
      </c>
      <c r="Z441" s="621" t="s">
        <v>178</v>
      </c>
      <c r="AA441" s="622">
        <v>47620</v>
      </c>
      <c r="AB441" s="622" t="s">
        <v>164</v>
      </c>
      <c r="AC441" s="622">
        <v>47174.3125</v>
      </c>
      <c r="AD441" s="623">
        <v>0.03</v>
      </c>
      <c r="AE441" s="621" t="s">
        <v>1266</v>
      </c>
    </row>
    <row r="442" spans="1:31" s="572" customFormat="1">
      <c r="A442" s="570" t="s">
        <v>1268</v>
      </c>
      <c r="B442" s="573" t="s">
        <v>278</v>
      </c>
      <c r="C442" s="578">
        <v>15</v>
      </c>
      <c r="D442" s="573" t="s">
        <v>699</v>
      </c>
      <c r="E442" s="573" t="s">
        <v>196</v>
      </c>
      <c r="F442" s="573" t="s">
        <v>271</v>
      </c>
      <c r="G442" s="573">
        <v>2019</v>
      </c>
      <c r="H442" s="573" t="s">
        <v>1227</v>
      </c>
      <c r="I442" s="573" t="s">
        <v>409</v>
      </c>
      <c r="J442" s="573" t="s">
        <v>752</v>
      </c>
      <c r="K442" s="573">
        <v>7</v>
      </c>
      <c r="L442" s="573">
        <v>0</v>
      </c>
      <c r="M442" s="573" t="s">
        <v>157</v>
      </c>
      <c r="N442" s="573">
        <v>3</v>
      </c>
      <c r="O442" s="573" t="s">
        <v>157</v>
      </c>
      <c r="P442" s="571" t="s">
        <v>157</v>
      </c>
      <c r="Q442" s="573" t="s">
        <v>1228</v>
      </c>
      <c r="R442" s="573">
        <v>6</v>
      </c>
      <c r="S442" s="582" t="s">
        <v>1267</v>
      </c>
      <c r="T442" s="573" t="s">
        <v>310</v>
      </c>
      <c r="U442" s="573">
        <v>112.8</v>
      </c>
      <c r="V442" s="573">
        <v>18.600000000000001</v>
      </c>
      <c r="W442" s="616">
        <v>6160</v>
      </c>
      <c r="X442" s="617">
        <v>19</v>
      </c>
      <c r="Y442" s="617" t="s">
        <v>450</v>
      </c>
      <c r="Z442" s="617" t="s">
        <v>178</v>
      </c>
      <c r="AA442" s="618">
        <v>50120</v>
      </c>
      <c r="AB442" s="618" t="s">
        <v>164</v>
      </c>
      <c r="AC442" s="618">
        <v>45400</v>
      </c>
      <c r="AD442" s="619">
        <v>0.01</v>
      </c>
      <c r="AE442" s="617" t="s">
        <v>1266</v>
      </c>
    </row>
    <row r="443" spans="1:31" s="572" customFormat="1">
      <c r="A443" s="570" t="s">
        <v>1269</v>
      </c>
      <c r="B443" s="569" t="s">
        <v>287</v>
      </c>
      <c r="C443" s="580">
        <v>26</v>
      </c>
      <c r="D443" s="569" t="s">
        <v>699</v>
      </c>
      <c r="E443" s="569" t="s">
        <v>196</v>
      </c>
      <c r="F443" s="569" t="s">
        <v>271</v>
      </c>
      <c r="G443" s="569">
        <v>2019</v>
      </c>
      <c r="H443" s="569" t="s">
        <v>1227</v>
      </c>
      <c r="I443" s="569" t="s">
        <v>409</v>
      </c>
      <c r="J443" s="569" t="s">
        <v>752</v>
      </c>
      <c r="K443" s="569">
        <v>7</v>
      </c>
      <c r="L443" s="569">
        <v>0</v>
      </c>
      <c r="M443" s="569" t="s">
        <v>157</v>
      </c>
      <c r="N443" s="569">
        <v>3</v>
      </c>
      <c r="O443" s="569" t="s">
        <v>157</v>
      </c>
      <c r="P443" s="568" t="s">
        <v>157</v>
      </c>
      <c r="Q443" s="569" t="s">
        <v>1263</v>
      </c>
      <c r="R443" s="569">
        <v>6</v>
      </c>
      <c r="S443" s="569" t="s">
        <v>1267</v>
      </c>
      <c r="T443" s="569" t="s">
        <v>310</v>
      </c>
      <c r="U443" s="569">
        <v>112.8</v>
      </c>
      <c r="V443" s="569">
        <v>18.600000000000001</v>
      </c>
      <c r="W443" s="620">
        <v>6160</v>
      </c>
      <c r="X443" s="621">
        <v>19</v>
      </c>
      <c r="Y443" s="621" t="s">
        <v>450</v>
      </c>
      <c r="Z443" s="621" t="s">
        <v>178</v>
      </c>
      <c r="AA443" s="622">
        <v>47620</v>
      </c>
      <c r="AB443" s="622" t="s">
        <v>164</v>
      </c>
      <c r="AC443" s="622">
        <v>46029</v>
      </c>
      <c r="AD443" s="623">
        <v>0.05</v>
      </c>
      <c r="AE443" s="621" t="s">
        <v>1266</v>
      </c>
    </row>
    <row r="444" spans="1:31" s="572" customFormat="1">
      <c r="A444" s="570" t="s">
        <v>1270</v>
      </c>
      <c r="B444" s="573" t="s">
        <v>280</v>
      </c>
      <c r="C444" s="578">
        <v>27</v>
      </c>
      <c r="D444" s="573" t="s">
        <v>699</v>
      </c>
      <c r="E444" s="573" t="s">
        <v>196</v>
      </c>
      <c r="F444" s="573" t="s">
        <v>271</v>
      </c>
      <c r="G444" s="573">
        <v>2019</v>
      </c>
      <c r="H444" s="573" t="s">
        <v>1227</v>
      </c>
      <c r="I444" s="573" t="s">
        <v>409</v>
      </c>
      <c r="J444" s="573" t="s">
        <v>752</v>
      </c>
      <c r="K444" s="573">
        <v>7</v>
      </c>
      <c r="L444" s="573">
        <v>0</v>
      </c>
      <c r="M444" s="573" t="s">
        <v>157</v>
      </c>
      <c r="N444" s="573">
        <v>3</v>
      </c>
      <c r="O444" s="573" t="s">
        <v>157</v>
      </c>
      <c r="P444" s="571" t="s">
        <v>157</v>
      </c>
      <c r="Q444" s="573" t="s">
        <v>1259</v>
      </c>
      <c r="R444" s="573">
        <v>6</v>
      </c>
      <c r="S444" s="582" t="s">
        <v>1267</v>
      </c>
      <c r="T444" s="573" t="s">
        <v>310</v>
      </c>
      <c r="U444" s="573">
        <v>112.8</v>
      </c>
      <c r="V444" s="573">
        <v>18.600000000000001</v>
      </c>
      <c r="W444" s="616">
        <v>6160</v>
      </c>
      <c r="X444" s="617">
        <v>18</v>
      </c>
      <c r="Y444" s="617" t="s">
        <v>178</v>
      </c>
      <c r="Z444" s="617" t="s">
        <v>178</v>
      </c>
      <c r="AA444" s="618">
        <v>47620</v>
      </c>
      <c r="AB444" s="618" t="s">
        <v>164</v>
      </c>
      <c r="AC444" s="618">
        <v>47174.3125</v>
      </c>
      <c r="AD444" s="619">
        <v>0.03</v>
      </c>
      <c r="AE444" s="617" t="s">
        <v>1266</v>
      </c>
    </row>
    <row r="445" spans="1:31" s="572" customFormat="1">
      <c r="A445" s="570" t="s">
        <v>1271</v>
      </c>
      <c r="B445" s="569" t="s">
        <v>269</v>
      </c>
      <c r="C445" s="580" t="s">
        <v>270</v>
      </c>
      <c r="D445" s="569" t="s">
        <v>699</v>
      </c>
      <c r="E445" s="569" t="s">
        <v>196</v>
      </c>
      <c r="F445" s="569" t="s">
        <v>271</v>
      </c>
      <c r="G445" s="569">
        <v>2019</v>
      </c>
      <c r="H445" s="569" t="s">
        <v>1227</v>
      </c>
      <c r="I445" s="569" t="s">
        <v>1214</v>
      </c>
      <c r="J445" s="569" t="s">
        <v>752</v>
      </c>
      <c r="K445" s="569">
        <v>7</v>
      </c>
      <c r="L445" s="569">
        <v>0</v>
      </c>
      <c r="M445" s="569" t="s">
        <v>157</v>
      </c>
      <c r="N445" s="569">
        <v>3</v>
      </c>
      <c r="O445" s="569" t="s">
        <v>157</v>
      </c>
      <c r="P445" s="568" t="s">
        <v>157</v>
      </c>
      <c r="Q445" s="569" t="s">
        <v>1228</v>
      </c>
      <c r="R445" s="569">
        <v>6</v>
      </c>
      <c r="S445" s="569" t="s">
        <v>1273</v>
      </c>
      <c r="T445" s="569" t="s">
        <v>295</v>
      </c>
      <c r="U445" s="569">
        <v>112.8</v>
      </c>
      <c r="V445" s="569">
        <v>18.600000000000001</v>
      </c>
      <c r="W445" s="620">
        <v>6160</v>
      </c>
      <c r="X445" s="621">
        <v>18</v>
      </c>
      <c r="Y445" s="621" t="s">
        <v>450</v>
      </c>
      <c r="Z445" s="621" t="s">
        <v>178</v>
      </c>
      <c r="AA445" s="622">
        <v>37545</v>
      </c>
      <c r="AB445" s="622" t="s">
        <v>164</v>
      </c>
      <c r="AC445" s="622">
        <v>34526.395833333328</v>
      </c>
      <c r="AD445" s="623">
        <v>0.03</v>
      </c>
      <c r="AE445" s="621" t="s">
        <v>1272</v>
      </c>
    </row>
    <row r="446" spans="1:31" s="572" customFormat="1">
      <c r="A446" s="570" t="s">
        <v>1274</v>
      </c>
      <c r="B446" s="573" t="s">
        <v>278</v>
      </c>
      <c r="C446" s="578">
        <v>15</v>
      </c>
      <c r="D446" s="573" t="s">
        <v>699</v>
      </c>
      <c r="E446" s="573" t="s">
        <v>196</v>
      </c>
      <c r="F446" s="573" t="s">
        <v>271</v>
      </c>
      <c r="G446" s="573">
        <v>2019</v>
      </c>
      <c r="H446" s="573" t="s">
        <v>1227</v>
      </c>
      <c r="I446" s="573" t="s">
        <v>1214</v>
      </c>
      <c r="J446" s="573" t="s">
        <v>752</v>
      </c>
      <c r="K446" s="573">
        <v>7</v>
      </c>
      <c r="L446" s="573">
        <v>0</v>
      </c>
      <c r="M446" s="573" t="s">
        <v>157</v>
      </c>
      <c r="N446" s="573">
        <v>3</v>
      </c>
      <c r="O446" s="573" t="s">
        <v>157</v>
      </c>
      <c r="P446" s="571" t="s">
        <v>157</v>
      </c>
      <c r="Q446" s="573" t="s">
        <v>1228</v>
      </c>
      <c r="R446" s="573">
        <v>6</v>
      </c>
      <c r="S446" s="582" t="s">
        <v>1273</v>
      </c>
      <c r="T446" s="573" t="s">
        <v>295</v>
      </c>
      <c r="U446" s="573">
        <v>112.8</v>
      </c>
      <c r="V446" s="573">
        <v>18.600000000000001</v>
      </c>
      <c r="W446" s="616">
        <v>6160</v>
      </c>
      <c r="X446" s="617">
        <v>19</v>
      </c>
      <c r="Y446" s="617" t="s">
        <v>450</v>
      </c>
      <c r="Z446" s="617" t="s">
        <v>178</v>
      </c>
      <c r="AA446" s="618">
        <v>40045</v>
      </c>
      <c r="AB446" s="618" t="s">
        <v>164</v>
      </c>
      <c r="AC446" s="618">
        <v>34995</v>
      </c>
      <c r="AD446" s="619">
        <v>0.01</v>
      </c>
      <c r="AE446" s="617" t="s">
        <v>1272</v>
      </c>
    </row>
    <row r="447" spans="1:31" s="572" customFormat="1">
      <c r="A447" s="570" t="s">
        <v>1275</v>
      </c>
      <c r="B447" s="569" t="s">
        <v>287</v>
      </c>
      <c r="C447" s="580">
        <v>26</v>
      </c>
      <c r="D447" s="569" t="s">
        <v>699</v>
      </c>
      <c r="E447" s="569" t="s">
        <v>196</v>
      </c>
      <c r="F447" s="569" t="s">
        <v>271</v>
      </c>
      <c r="G447" s="569">
        <v>2019</v>
      </c>
      <c r="H447" s="569" t="s">
        <v>1227</v>
      </c>
      <c r="I447" s="569" t="s">
        <v>1214</v>
      </c>
      <c r="J447" s="569" t="s">
        <v>752</v>
      </c>
      <c r="K447" s="569">
        <v>7</v>
      </c>
      <c r="L447" s="569">
        <v>0</v>
      </c>
      <c r="M447" s="569" t="s">
        <v>157</v>
      </c>
      <c r="N447" s="569">
        <v>3</v>
      </c>
      <c r="O447" s="569" t="s">
        <v>157</v>
      </c>
      <c r="P447" s="568" t="s">
        <v>157</v>
      </c>
      <c r="Q447" s="569" t="s">
        <v>1228</v>
      </c>
      <c r="R447" s="569">
        <v>6</v>
      </c>
      <c r="S447" s="569" t="s">
        <v>1273</v>
      </c>
      <c r="T447" s="569" t="s">
        <v>295</v>
      </c>
      <c r="U447" s="569">
        <v>112.8</v>
      </c>
      <c r="V447" s="569">
        <v>18.600000000000001</v>
      </c>
      <c r="W447" s="620">
        <v>6160</v>
      </c>
      <c r="X447" s="621">
        <v>19</v>
      </c>
      <c r="Y447" s="621" t="s">
        <v>450</v>
      </c>
      <c r="Z447" s="621" t="s">
        <v>178</v>
      </c>
      <c r="AA447" s="622">
        <v>37545</v>
      </c>
      <c r="AB447" s="622" t="s">
        <v>164</v>
      </c>
      <c r="AC447" s="622">
        <v>32995</v>
      </c>
      <c r="AD447" s="623">
        <v>0.05</v>
      </c>
      <c r="AE447" s="621" t="s">
        <v>1272</v>
      </c>
    </row>
    <row r="448" spans="1:31" s="572" customFormat="1">
      <c r="A448" s="570" t="s">
        <v>1276</v>
      </c>
      <c r="B448" s="573" t="s">
        <v>280</v>
      </c>
      <c r="C448" s="578">
        <v>27</v>
      </c>
      <c r="D448" s="573" t="s">
        <v>699</v>
      </c>
      <c r="E448" s="573" t="s">
        <v>196</v>
      </c>
      <c r="F448" s="573" t="s">
        <v>271</v>
      </c>
      <c r="G448" s="573">
        <v>2019</v>
      </c>
      <c r="H448" s="573" t="s">
        <v>1227</v>
      </c>
      <c r="I448" s="573" t="s">
        <v>1214</v>
      </c>
      <c r="J448" s="573" t="s">
        <v>752</v>
      </c>
      <c r="K448" s="573">
        <v>7</v>
      </c>
      <c r="L448" s="573">
        <v>0</v>
      </c>
      <c r="M448" s="573" t="s">
        <v>157</v>
      </c>
      <c r="N448" s="573">
        <v>3</v>
      </c>
      <c r="O448" s="573" t="s">
        <v>157</v>
      </c>
      <c r="P448" s="571" t="s">
        <v>157</v>
      </c>
      <c r="Q448" s="573" t="s">
        <v>1228</v>
      </c>
      <c r="R448" s="573">
        <v>6</v>
      </c>
      <c r="S448" s="582" t="s">
        <v>1273</v>
      </c>
      <c r="T448" s="573" t="s">
        <v>295</v>
      </c>
      <c r="U448" s="573">
        <v>112.8</v>
      </c>
      <c r="V448" s="573">
        <v>18.600000000000001</v>
      </c>
      <c r="W448" s="616">
        <v>6160</v>
      </c>
      <c r="X448" s="617">
        <v>18</v>
      </c>
      <c r="Y448" s="617" t="s">
        <v>450</v>
      </c>
      <c r="Z448" s="617" t="s">
        <v>178</v>
      </c>
      <c r="AA448" s="618">
        <v>37545</v>
      </c>
      <c r="AB448" s="618" t="s">
        <v>164</v>
      </c>
      <c r="AC448" s="618">
        <v>34526.395833333328</v>
      </c>
      <c r="AD448" s="619">
        <v>0.03</v>
      </c>
      <c r="AE448" s="617" t="s">
        <v>1272</v>
      </c>
    </row>
    <row r="449" spans="1:31" s="572" customFormat="1">
      <c r="A449" s="570" t="s">
        <v>1277</v>
      </c>
      <c r="B449" s="569" t="s">
        <v>269</v>
      </c>
      <c r="C449" s="580" t="s">
        <v>270</v>
      </c>
      <c r="D449" s="569" t="s">
        <v>699</v>
      </c>
      <c r="E449" s="569" t="s">
        <v>196</v>
      </c>
      <c r="F449" s="569" t="s">
        <v>271</v>
      </c>
      <c r="G449" s="569">
        <v>2019</v>
      </c>
      <c r="H449" s="569" t="s">
        <v>1227</v>
      </c>
      <c r="I449" s="569" t="s">
        <v>1214</v>
      </c>
      <c r="J449" s="569" t="s">
        <v>156</v>
      </c>
      <c r="K449" s="569">
        <v>7</v>
      </c>
      <c r="L449" s="569">
        <v>0</v>
      </c>
      <c r="M449" s="569" t="s">
        <v>157</v>
      </c>
      <c r="N449" s="569">
        <v>3</v>
      </c>
      <c r="O449" s="569" t="s">
        <v>157</v>
      </c>
      <c r="P449" s="568" t="s">
        <v>157</v>
      </c>
      <c r="Q449" s="569" t="s">
        <v>1235</v>
      </c>
      <c r="R449" s="569">
        <v>6</v>
      </c>
      <c r="S449" s="569" t="s">
        <v>1279</v>
      </c>
      <c r="T449" s="569" t="s">
        <v>295</v>
      </c>
      <c r="U449" s="569">
        <v>112.8</v>
      </c>
      <c r="V449" s="569">
        <v>18.600000000000001</v>
      </c>
      <c r="W449" s="620">
        <v>6160</v>
      </c>
      <c r="X449" s="621">
        <v>22</v>
      </c>
      <c r="Y449" s="621" t="s">
        <v>178</v>
      </c>
      <c r="Z449" s="621" t="s">
        <v>178</v>
      </c>
      <c r="AA449" s="622">
        <v>36290</v>
      </c>
      <c r="AB449" s="622" t="s">
        <v>164</v>
      </c>
      <c r="AC449" s="622">
        <v>33360.770833333336</v>
      </c>
      <c r="AD449" s="623">
        <v>0.03</v>
      </c>
      <c r="AE449" s="621" t="s">
        <v>1278</v>
      </c>
    </row>
    <row r="450" spans="1:31" s="572" customFormat="1">
      <c r="A450" s="570" t="s">
        <v>1280</v>
      </c>
      <c r="B450" s="573" t="s">
        <v>269</v>
      </c>
      <c r="C450" s="578" t="s">
        <v>270</v>
      </c>
      <c r="D450" s="573" t="s">
        <v>699</v>
      </c>
      <c r="E450" s="573" t="s">
        <v>196</v>
      </c>
      <c r="F450" s="573" t="s">
        <v>271</v>
      </c>
      <c r="G450" s="573">
        <v>2019</v>
      </c>
      <c r="H450" s="573" t="s">
        <v>1227</v>
      </c>
      <c r="I450" s="573" t="s">
        <v>1214</v>
      </c>
      <c r="J450" s="573" t="s">
        <v>156</v>
      </c>
      <c r="K450" s="573">
        <v>7</v>
      </c>
      <c r="L450" s="573">
        <v>0</v>
      </c>
      <c r="M450" s="573" t="s">
        <v>157</v>
      </c>
      <c r="N450" s="573">
        <v>3</v>
      </c>
      <c r="O450" s="573" t="s">
        <v>157</v>
      </c>
      <c r="P450" s="571" t="s">
        <v>157</v>
      </c>
      <c r="Q450" s="573" t="s">
        <v>316</v>
      </c>
      <c r="R450" s="573">
        <v>6</v>
      </c>
      <c r="S450" s="582" t="s">
        <v>1279</v>
      </c>
      <c r="T450" s="573" t="s">
        <v>295</v>
      </c>
      <c r="U450" s="573">
        <v>112.8</v>
      </c>
      <c r="V450" s="573">
        <v>18.600000000000001</v>
      </c>
      <c r="W450" s="616">
        <v>6160</v>
      </c>
      <c r="X450" s="617">
        <v>20</v>
      </c>
      <c r="Y450" s="617" t="s">
        <v>178</v>
      </c>
      <c r="Z450" s="617" t="s">
        <v>178</v>
      </c>
      <c r="AA450" s="618">
        <v>35395</v>
      </c>
      <c r="AB450" s="618" t="s">
        <v>164</v>
      </c>
      <c r="AC450" s="618">
        <v>32538.895833333336</v>
      </c>
      <c r="AD450" s="619">
        <v>0.03</v>
      </c>
      <c r="AE450" s="617" t="s">
        <v>1281</v>
      </c>
    </row>
    <row r="451" spans="1:31" s="572" customFormat="1">
      <c r="A451" s="570" t="s">
        <v>1282</v>
      </c>
      <c r="B451" s="569" t="s">
        <v>278</v>
      </c>
      <c r="C451" s="580">
        <v>15</v>
      </c>
      <c r="D451" s="569" t="s">
        <v>699</v>
      </c>
      <c r="E451" s="569" t="s">
        <v>196</v>
      </c>
      <c r="F451" s="569" t="s">
        <v>271</v>
      </c>
      <c r="G451" s="569">
        <v>2019</v>
      </c>
      <c r="H451" s="569" t="s">
        <v>1227</v>
      </c>
      <c r="I451" s="569" t="s">
        <v>1214</v>
      </c>
      <c r="J451" s="569" t="s">
        <v>156</v>
      </c>
      <c r="K451" s="569">
        <v>7</v>
      </c>
      <c r="L451" s="569">
        <v>0</v>
      </c>
      <c r="M451" s="569" t="s">
        <v>157</v>
      </c>
      <c r="N451" s="569">
        <v>3</v>
      </c>
      <c r="O451" s="569" t="s">
        <v>157</v>
      </c>
      <c r="P451" s="568" t="s">
        <v>157</v>
      </c>
      <c r="Q451" s="569" t="s">
        <v>1235</v>
      </c>
      <c r="R451" s="569">
        <v>4</v>
      </c>
      <c r="S451" s="569" t="s">
        <v>1279</v>
      </c>
      <c r="T451" s="569" t="s">
        <v>295</v>
      </c>
      <c r="U451" s="569">
        <v>112.8</v>
      </c>
      <c r="V451" s="569">
        <v>18.600000000000001</v>
      </c>
      <c r="W451" s="620">
        <v>6160</v>
      </c>
      <c r="X451" s="621">
        <v>22</v>
      </c>
      <c r="Y451" s="621" t="s">
        <v>178</v>
      </c>
      <c r="Z451" s="621" t="s">
        <v>178</v>
      </c>
      <c r="AA451" s="622">
        <v>38790</v>
      </c>
      <c r="AB451" s="622" t="s">
        <v>164</v>
      </c>
      <c r="AC451" s="622">
        <v>33995</v>
      </c>
      <c r="AD451" s="623">
        <v>0.01</v>
      </c>
      <c r="AE451" s="621" t="s">
        <v>1278</v>
      </c>
    </row>
    <row r="452" spans="1:31" s="572" customFormat="1">
      <c r="A452" s="570" t="s">
        <v>1283</v>
      </c>
      <c r="B452" s="573" t="s">
        <v>287</v>
      </c>
      <c r="C452" s="578">
        <v>26</v>
      </c>
      <c r="D452" s="573" t="s">
        <v>699</v>
      </c>
      <c r="E452" s="573" t="s">
        <v>196</v>
      </c>
      <c r="F452" s="573" t="s">
        <v>271</v>
      </c>
      <c r="G452" s="573">
        <v>2019</v>
      </c>
      <c r="H452" s="573" t="s">
        <v>1227</v>
      </c>
      <c r="I452" s="573" t="s">
        <v>1214</v>
      </c>
      <c r="J452" s="573" t="s">
        <v>156</v>
      </c>
      <c r="K452" s="573">
        <v>7</v>
      </c>
      <c r="L452" s="573">
        <v>0</v>
      </c>
      <c r="M452" s="573" t="s">
        <v>157</v>
      </c>
      <c r="N452" s="573">
        <v>3</v>
      </c>
      <c r="O452" s="573" t="s">
        <v>157</v>
      </c>
      <c r="P452" s="571" t="s">
        <v>157</v>
      </c>
      <c r="Q452" s="573" t="s">
        <v>1228</v>
      </c>
      <c r="R452" s="573">
        <v>4</v>
      </c>
      <c r="S452" s="582" t="s">
        <v>1279</v>
      </c>
      <c r="T452" s="573" t="s">
        <v>295</v>
      </c>
      <c r="U452" s="573">
        <v>112.8</v>
      </c>
      <c r="V452" s="573">
        <v>18.600000000000001</v>
      </c>
      <c r="W452" s="616">
        <v>6160</v>
      </c>
      <c r="X452" s="617">
        <v>22</v>
      </c>
      <c r="Y452" s="617" t="s">
        <v>178</v>
      </c>
      <c r="Z452" s="617" t="s">
        <v>178</v>
      </c>
      <c r="AA452" s="618">
        <v>35395</v>
      </c>
      <c r="AB452" s="618" t="s">
        <v>164</v>
      </c>
      <c r="AC452" s="618">
        <v>30946</v>
      </c>
      <c r="AD452" s="619">
        <v>0.05</v>
      </c>
      <c r="AE452" s="617" t="s">
        <v>1281</v>
      </c>
    </row>
    <row r="453" spans="1:31" s="572" customFormat="1">
      <c r="A453" s="570" t="s">
        <v>1284</v>
      </c>
      <c r="B453" s="569" t="s">
        <v>280</v>
      </c>
      <c r="C453" s="580">
        <v>27</v>
      </c>
      <c r="D453" s="569" t="s">
        <v>699</v>
      </c>
      <c r="E453" s="569" t="s">
        <v>196</v>
      </c>
      <c r="F453" s="569" t="s">
        <v>271</v>
      </c>
      <c r="G453" s="569">
        <v>2019</v>
      </c>
      <c r="H453" s="569" t="s">
        <v>1227</v>
      </c>
      <c r="I453" s="569" t="s">
        <v>1214</v>
      </c>
      <c r="J453" s="569" t="s">
        <v>156</v>
      </c>
      <c r="K453" s="569">
        <v>7</v>
      </c>
      <c r="L453" s="569">
        <v>0</v>
      </c>
      <c r="M453" s="569" t="s">
        <v>157</v>
      </c>
      <c r="N453" s="569">
        <v>3</v>
      </c>
      <c r="O453" s="569" t="s">
        <v>157</v>
      </c>
      <c r="P453" s="568" t="s">
        <v>157</v>
      </c>
      <c r="Q453" s="569" t="s">
        <v>1235</v>
      </c>
      <c r="R453" s="569">
        <v>6</v>
      </c>
      <c r="S453" s="569" t="s">
        <v>1279</v>
      </c>
      <c r="T453" s="569" t="s">
        <v>295</v>
      </c>
      <c r="U453" s="569">
        <v>112.8</v>
      </c>
      <c r="V453" s="569">
        <v>18.600000000000001</v>
      </c>
      <c r="W453" s="620">
        <v>6160</v>
      </c>
      <c r="X453" s="621">
        <v>22</v>
      </c>
      <c r="Y453" s="621" t="s">
        <v>178</v>
      </c>
      <c r="Z453" s="621" t="s">
        <v>178</v>
      </c>
      <c r="AA453" s="622">
        <v>36290</v>
      </c>
      <c r="AB453" s="622" t="s">
        <v>164</v>
      </c>
      <c r="AC453" s="622">
        <v>33360.770833333336</v>
      </c>
      <c r="AD453" s="623">
        <v>0.03</v>
      </c>
      <c r="AE453" s="621" t="s">
        <v>1278</v>
      </c>
    </row>
    <row r="454" spans="1:31" s="572" customFormat="1">
      <c r="A454" s="570" t="s">
        <v>1285</v>
      </c>
      <c r="B454" s="573" t="s">
        <v>280</v>
      </c>
      <c r="C454" s="578">
        <v>27</v>
      </c>
      <c r="D454" s="573" t="s">
        <v>699</v>
      </c>
      <c r="E454" s="573" t="s">
        <v>196</v>
      </c>
      <c r="F454" s="573" t="s">
        <v>271</v>
      </c>
      <c r="G454" s="573">
        <v>2019</v>
      </c>
      <c r="H454" s="573" t="s">
        <v>1227</v>
      </c>
      <c r="I454" s="573" t="s">
        <v>1214</v>
      </c>
      <c r="J454" s="573" t="s">
        <v>156</v>
      </c>
      <c r="K454" s="573">
        <v>7</v>
      </c>
      <c r="L454" s="573">
        <v>0</v>
      </c>
      <c r="M454" s="573" t="s">
        <v>157</v>
      </c>
      <c r="N454" s="573">
        <v>3</v>
      </c>
      <c r="O454" s="573" t="s">
        <v>157</v>
      </c>
      <c r="P454" s="571" t="s">
        <v>157</v>
      </c>
      <c r="Q454" s="573" t="s">
        <v>316</v>
      </c>
      <c r="R454" s="573">
        <v>6</v>
      </c>
      <c r="S454" s="582" t="s">
        <v>1279</v>
      </c>
      <c r="T454" s="573" t="s">
        <v>295</v>
      </c>
      <c r="U454" s="573">
        <v>112.8</v>
      </c>
      <c r="V454" s="573">
        <v>18.600000000000001</v>
      </c>
      <c r="W454" s="616">
        <v>6160</v>
      </c>
      <c r="X454" s="617">
        <v>20</v>
      </c>
      <c r="Y454" s="617" t="s">
        <v>178</v>
      </c>
      <c r="Z454" s="617" t="s">
        <v>178</v>
      </c>
      <c r="AA454" s="618">
        <v>35395</v>
      </c>
      <c r="AB454" s="618" t="s">
        <v>164</v>
      </c>
      <c r="AC454" s="618">
        <v>32538.895833333336</v>
      </c>
      <c r="AD454" s="619">
        <v>0.03</v>
      </c>
      <c r="AE454" s="617" t="s">
        <v>1281</v>
      </c>
    </row>
    <row r="455" spans="1:31" s="572" customFormat="1" ht="30">
      <c r="A455" s="570" t="s">
        <v>1286</v>
      </c>
      <c r="B455" s="569" t="s">
        <v>467</v>
      </c>
      <c r="C455" s="580" t="s">
        <v>468</v>
      </c>
      <c r="D455" s="569" t="s">
        <v>699</v>
      </c>
      <c r="E455" s="569" t="s">
        <v>152</v>
      </c>
      <c r="F455" s="569" t="s">
        <v>469</v>
      </c>
      <c r="G455" s="569">
        <v>2019</v>
      </c>
      <c r="H455" s="569" t="s">
        <v>1288</v>
      </c>
      <c r="I455" s="569" t="s">
        <v>1289</v>
      </c>
      <c r="J455" s="569" t="s">
        <v>230</v>
      </c>
      <c r="K455" s="569">
        <v>5</v>
      </c>
      <c r="L455" s="569">
        <v>0</v>
      </c>
      <c r="M455" s="569" t="s">
        <v>157</v>
      </c>
      <c r="N455" s="569">
        <v>2</v>
      </c>
      <c r="O455" s="569" t="s">
        <v>157</v>
      </c>
      <c r="P455" s="568" t="s">
        <v>157</v>
      </c>
      <c r="Q455" s="569" t="s">
        <v>205</v>
      </c>
      <c r="R455" s="569">
        <v>4</v>
      </c>
      <c r="S455" s="569" t="s">
        <v>1290</v>
      </c>
      <c r="T455" s="569" t="s">
        <v>157</v>
      </c>
      <c r="U455" s="569">
        <v>104.7</v>
      </c>
      <c r="V455" s="569">
        <v>14</v>
      </c>
      <c r="W455" s="620">
        <v>3479</v>
      </c>
      <c r="X455" s="621">
        <v>29</v>
      </c>
      <c r="Y455" s="621" t="s">
        <v>178</v>
      </c>
      <c r="Z455" s="621" t="s">
        <v>178</v>
      </c>
      <c r="AA455" s="622">
        <v>29645</v>
      </c>
      <c r="AB455" s="622" t="s">
        <v>164</v>
      </c>
      <c r="AC455" s="622">
        <v>29452.1</v>
      </c>
      <c r="AD455" s="623">
        <v>0.03</v>
      </c>
      <c r="AE455" s="621" t="s">
        <v>1287</v>
      </c>
    </row>
    <row r="456" spans="1:31" s="572" customFormat="1" ht="30">
      <c r="A456" s="570" t="s">
        <v>1291</v>
      </c>
      <c r="B456" s="573" t="s">
        <v>467</v>
      </c>
      <c r="C456" s="578" t="s">
        <v>468</v>
      </c>
      <c r="D456" s="573" t="s">
        <v>699</v>
      </c>
      <c r="E456" s="573" t="s">
        <v>152</v>
      </c>
      <c r="F456" s="573" t="s">
        <v>469</v>
      </c>
      <c r="G456" s="573">
        <v>2019</v>
      </c>
      <c r="H456" s="573" t="s">
        <v>1288</v>
      </c>
      <c r="I456" s="573" t="s">
        <v>1289</v>
      </c>
      <c r="J456" s="573" t="s">
        <v>156</v>
      </c>
      <c r="K456" s="573">
        <v>5</v>
      </c>
      <c r="L456" s="573">
        <v>0</v>
      </c>
      <c r="M456" s="573" t="s">
        <v>157</v>
      </c>
      <c r="N456" s="573">
        <v>2</v>
      </c>
      <c r="O456" s="573" t="s">
        <v>157</v>
      </c>
      <c r="P456" s="571" t="s">
        <v>157</v>
      </c>
      <c r="Q456" s="573" t="s">
        <v>205</v>
      </c>
      <c r="R456" s="573">
        <v>4</v>
      </c>
      <c r="S456" s="582" t="s">
        <v>1293</v>
      </c>
      <c r="T456" s="573" t="s">
        <v>157</v>
      </c>
      <c r="U456" s="573">
        <v>104.7</v>
      </c>
      <c r="V456" s="573">
        <v>14</v>
      </c>
      <c r="W456" s="616">
        <v>3358</v>
      </c>
      <c r="X456" s="617">
        <v>30</v>
      </c>
      <c r="Y456" s="617" t="s">
        <v>178</v>
      </c>
      <c r="Z456" s="617" t="s">
        <v>178</v>
      </c>
      <c r="AA456" s="618">
        <v>28245</v>
      </c>
      <c r="AB456" s="618" t="s">
        <v>164</v>
      </c>
      <c r="AC456" s="618">
        <v>27797.65</v>
      </c>
      <c r="AD456" s="619">
        <v>0.03</v>
      </c>
      <c r="AE456" s="617" t="s">
        <v>1292</v>
      </c>
    </row>
    <row r="457" spans="1:31" s="572" customFormat="1" ht="30">
      <c r="A457" s="570" t="s">
        <v>1294</v>
      </c>
      <c r="B457" s="569" t="s">
        <v>467</v>
      </c>
      <c r="C457" s="580" t="s">
        <v>468</v>
      </c>
      <c r="D457" s="569" t="s">
        <v>699</v>
      </c>
      <c r="E457" s="569" t="s">
        <v>152</v>
      </c>
      <c r="F457" s="569" t="s">
        <v>469</v>
      </c>
      <c r="G457" s="569">
        <v>2019</v>
      </c>
      <c r="H457" s="569" t="s">
        <v>1288</v>
      </c>
      <c r="I457" s="569" t="s">
        <v>503</v>
      </c>
      <c r="J457" s="569" t="s">
        <v>230</v>
      </c>
      <c r="K457" s="569">
        <v>5</v>
      </c>
      <c r="L457" s="569">
        <v>0</v>
      </c>
      <c r="M457" s="569" t="s">
        <v>157</v>
      </c>
      <c r="N457" s="569">
        <v>2</v>
      </c>
      <c r="O457" s="569" t="s">
        <v>157</v>
      </c>
      <c r="P457" s="568" t="s">
        <v>157</v>
      </c>
      <c r="Q457" s="569" t="s">
        <v>539</v>
      </c>
      <c r="R457" s="569">
        <v>4</v>
      </c>
      <c r="S457" s="569" t="s">
        <v>1296</v>
      </c>
      <c r="T457" s="569" t="s">
        <v>157</v>
      </c>
      <c r="U457" s="569">
        <v>104.7</v>
      </c>
      <c r="V457" s="569">
        <v>14</v>
      </c>
      <c r="W457" s="620">
        <v>3421</v>
      </c>
      <c r="X457" s="621">
        <v>27</v>
      </c>
      <c r="Y457" s="621" t="s">
        <v>178</v>
      </c>
      <c r="Z457" s="621" t="s">
        <v>178</v>
      </c>
      <c r="AA457" s="622">
        <v>26745</v>
      </c>
      <c r="AB457" s="622" t="s">
        <v>164</v>
      </c>
      <c r="AC457" s="622">
        <v>26610.1</v>
      </c>
      <c r="AD457" s="623">
        <v>0.03</v>
      </c>
      <c r="AE457" s="621" t="s">
        <v>1295</v>
      </c>
    </row>
    <row r="458" spans="1:31" s="572" customFormat="1" ht="30">
      <c r="A458" s="570" t="s">
        <v>1297</v>
      </c>
      <c r="B458" s="573" t="s">
        <v>473</v>
      </c>
      <c r="C458" s="578">
        <v>14</v>
      </c>
      <c r="D458" s="573" t="s">
        <v>699</v>
      </c>
      <c r="E458" s="573" t="s">
        <v>152</v>
      </c>
      <c r="F458" s="573" t="s">
        <v>469</v>
      </c>
      <c r="G458" s="573">
        <v>2019</v>
      </c>
      <c r="H458" s="573" t="s">
        <v>1288</v>
      </c>
      <c r="I458" s="573" t="s">
        <v>503</v>
      </c>
      <c r="J458" s="573" t="s">
        <v>230</v>
      </c>
      <c r="K458" s="573">
        <v>5</v>
      </c>
      <c r="L458" s="573">
        <v>0</v>
      </c>
      <c r="M458" s="573" t="s">
        <v>157</v>
      </c>
      <c r="N458" s="573">
        <v>2</v>
      </c>
      <c r="O458" s="573" t="s">
        <v>157</v>
      </c>
      <c r="P458" s="571" t="s">
        <v>157</v>
      </c>
      <c r="Q458" s="573" t="s">
        <v>539</v>
      </c>
      <c r="R458" s="573">
        <v>4</v>
      </c>
      <c r="S458" s="582" t="s">
        <v>1296</v>
      </c>
      <c r="T458" s="573" t="s">
        <v>157</v>
      </c>
      <c r="U458" s="573">
        <v>104.7</v>
      </c>
      <c r="V458" s="573">
        <v>14</v>
      </c>
      <c r="W458" s="616">
        <v>3421</v>
      </c>
      <c r="X458" s="617">
        <v>27</v>
      </c>
      <c r="Y458" s="617" t="s">
        <v>178</v>
      </c>
      <c r="Z458" s="617" t="s">
        <v>178</v>
      </c>
      <c r="AA458" s="618">
        <v>26745</v>
      </c>
      <c r="AB458" s="618" t="s">
        <v>164</v>
      </c>
      <c r="AC458" s="618">
        <v>25575</v>
      </c>
      <c r="AD458" s="619">
        <v>0.1</v>
      </c>
      <c r="AE458" s="617" t="s">
        <v>1298</v>
      </c>
    </row>
    <row r="459" spans="1:31" s="572" customFormat="1" ht="30">
      <c r="A459" s="570" t="s">
        <v>1299</v>
      </c>
      <c r="B459" s="569" t="s">
        <v>467</v>
      </c>
      <c r="C459" s="580" t="s">
        <v>468</v>
      </c>
      <c r="D459" s="569" t="s">
        <v>699</v>
      </c>
      <c r="E459" s="569" t="s">
        <v>152</v>
      </c>
      <c r="F459" s="569" t="s">
        <v>469</v>
      </c>
      <c r="G459" s="569">
        <v>2019</v>
      </c>
      <c r="H459" s="569" t="s">
        <v>1288</v>
      </c>
      <c r="I459" s="569" t="s">
        <v>503</v>
      </c>
      <c r="J459" s="569" t="s">
        <v>156</v>
      </c>
      <c r="K459" s="569">
        <v>5</v>
      </c>
      <c r="L459" s="569">
        <v>0</v>
      </c>
      <c r="M459" s="569" t="s">
        <v>157</v>
      </c>
      <c r="N459" s="569">
        <v>2</v>
      </c>
      <c r="O459" s="569" t="s">
        <v>157</v>
      </c>
      <c r="P459" s="568" t="s">
        <v>157</v>
      </c>
      <c r="Q459" s="569" t="s">
        <v>539</v>
      </c>
      <c r="R459" s="569">
        <v>4</v>
      </c>
      <c r="S459" s="569" t="s">
        <v>1301</v>
      </c>
      <c r="T459" s="569" t="s">
        <v>157</v>
      </c>
      <c r="U459" s="569">
        <v>104.7</v>
      </c>
      <c r="V459" s="569">
        <v>14</v>
      </c>
      <c r="W459" s="620">
        <v>3358</v>
      </c>
      <c r="X459" s="621">
        <v>28</v>
      </c>
      <c r="Y459" s="621" t="s">
        <v>178</v>
      </c>
      <c r="Z459" s="621" t="s">
        <v>178</v>
      </c>
      <c r="AA459" s="622">
        <v>25345</v>
      </c>
      <c r="AB459" s="622" t="s">
        <v>164</v>
      </c>
      <c r="AC459" s="622">
        <v>25299</v>
      </c>
      <c r="AD459" s="623">
        <v>0.03</v>
      </c>
      <c r="AE459" s="621" t="s">
        <v>1300</v>
      </c>
    </row>
    <row r="460" spans="1:31" s="572" customFormat="1" ht="30">
      <c r="A460" s="570" t="s">
        <v>1302</v>
      </c>
      <c r="B460" s="573" t="s">
        <v>467</v>
      </c>
      <c r="C460" s="578" t="s">
        <v>468</v>
      </c>
      <c r="D460" s="573" t="s">
        <v>699</v>
      </c>
      <c r="E460" s="573" t="s">
        <v>211</v>
      </c>
      <c r="F460" s="573" t="s">
        <v>469</v>
      </c>
      <c r="G460" s="573">
        <v>2019</v>
      </c>
      <c r="H460" s="573" t="s">
        <v>1304</v>
      </c>
      <c r="I460" s="573" t="s">
        <v>503</v>
      </c>
      <c r="J460" s="573" t="s">
        <v>230</v>
      </c>
      <c r="K460" s="573">
        <v>5</v>
      </c>
      <c r="L460" s="573">
        <v>0</v>
      </c>
      <c r="M460" s="573" t="s">
        <v>157</v>
      </c>
      <c r="N460" s="573">
        <v>2</v>
      </c>
      <c r="O460" s="573" t="s">
        <v>157</v>
      </c>
      <c r="P460" s="571" t="s">
        <v>157</v>
      </c>
      <c r="Q460" s="573" t="s">
        <v>199</v>
      </c>
      <c r="R460" s="573">
        <v>4</v>
      </c>
      <c r="S460" s="582" t="s">
        <v>1305</v>
      </c>
      <c r="T460" s="573" t="s">
        <v>157</v>
      </c>
      <c r="U460" s="573">
        <v>102.8</v>
      </c>
      <c r="V460" s="573">
        <v>13.2</v>
      </c>
      <c r="W460" s="616">
        <v>3062</v>
      </c>
      <c r="X460" s="617">
        <v>29</v>
      </c>
      <c r="Y460" s="617" t="s">
        <v>178</v>
      </c>
      <c r="Z460" s="617" t="s">
        <v>178</v>
      </c>
      <c r="AA460" s="618">
        <v>22915</v>
      </c>
      <c r="AB460" s="618" t="s">
        <v>164</v>
      </c>
      <c r="AC460" s="618">
        <v>22899</v>
      </c>
      <c r="AD460" s="619">
        <v>0.03</v>
      </c>
      <c r="AE460" s="617" t="s">
        <v>1303</v>
      </c>
    </row>
    <row r="461" spans="1:31" s="572" customFormat="1" ht="30">
      <c r="A461" s="570" t="s">
        <v>1306</v>
      </c>
      <c r="B461" s="569" t="s">
        <v>473</v>
      </c>
      <c r="C461" s="580">
        <v>14</v>
      </c>
      <c r="D461" s="569" t="s">
        <v>699</v>
      </c>
      <c r="E461" s="569" t="s">
        <v>211</v>
      </c>
      <c r="F461" s="569" t="s">
        <v>469</v>
      </c>
      <c r="G461" s="569">
        <v>2019</v>
      </c>
      <c r="H461" s="569" t="s">
        <v>1304</v>
      </c>
      <c r="I461" s="569" t="s">
        <v>503</v>
      </c>
      <c r="J461" s="569" t="s">
        <v>230</v>
      </c>
      <c r="K461" s="569">
        <v>5</v>
      </c>
      <c r="L461" s="569">
        <v>0</v>
      </c>
      <c r="M461" s="569" t="s">
        <v>157</v>
      </c>
      <c r="N461" s="569">
        <v>2</v>
      </c>
      <c r="O461" s="569" t="s">
        <v>157</v>
      </c>
      <c r="P461" s="568" t="s">
        <v>157</v>
      </c>
      <c r="Q461" s="569" t="s">
        <v>199</v>
      </c>
      <c r="R461" s="569">
        <v>4</v>
      </c>
      <c r="S461" s="569" t="s">
        <v>1305</v>
      </c>
      <c r="T461" s="569" t="s">
        <v>157</v>
      </c>
      <c r="U461" s="569">
        <v>102.8</v>
      </c>
      <c r="V461" s="569">
        <v>13.2</v>
      </c>
      <c r="W461" s="620">
        <v>3062</v>
      </c>
      <c r="X461" s="621">
        <v>29</v>
      </c>
      <c r="Y461" s="621" t="s">
        <v>178</v>
      </c>
      <c r="Z461" s="621" t="s">
        <v>178</v>
      </c>
      <c r="AA461" s="622">
        <v>22915</v>
      </c>
      <c r="AB461" s="622" t="s">
        <v>164</v>
      </c>
      <c r="AC461" s="622">
        <v>22615</v>
      </c>
      <c r="AD461" s="623">
        <v>0.1</v>
      </c>
      <c r="AE461" s="621" t="s">
        <v>1303</v>
      </c>
    </row>
    <row r="462" spans="1:31" s="572" customFormat="1" ht="30">
      <c r="A462" s="570" t="s">
        <v>1307</v>
      </c>
      <c r="B462" s="573" t="s">
        <v>467</v>
      </c>
      <c r="C462" s="578" t="s">
        <v>468</v>
      </c>
      <c r="D462" s="573" t="s">
        <v>699</v>
      </c>
      <c r="E462" s="573" t="s">
        <v>211</v>
      </c>
      <c r="F462" s="573" t="s">
        <v>469</v>
      </c>
      <c r="G462" s="573">
        <v>2019</v>
      </c>
      <c r="H462" s="573" t="s">
        <v>1304</v>
      </c>
      <c r="I462" s="573" t="s">
        <v>503</v>
      </c>
      <c r="J462" s="573" t="s">
        <v>156</v>
      </c>
      <c r="K462" s="573">
        <v>5</v>
      </c>
      <c r="L462" s="573">
        <v>0</v>
      </c>
      <c r="M462" s="573" t="s">
        <v>157</v>
      </c>
      <c r="N462" s="573">
        <v>2</v>
      </c>
      <c r="O462" s="573" t="s">
        <v>157</v>
      </c>
      <c r="P462" s="571" t="s">
        <v>157</v>
      </c>
      <c r="Q462" s="573" t="s">
        <v>199</v>
      </c>
      <c r="R462" s="573">
        <v>4</v>
      </c>
      <c r="S462" s="582" t="s">
        <v>1309</v>
      </c>
      <c r="T462" s="573" t="s">
        <v>157</v>
      </c>
      <c r="U462" s="573">
        <v>102.8</v>
      </c>
      <c r="V462" s="573">
        <v>13.2</v>
      </c>
      <c r="W462" s="616">
        <v>2933</v>
      </c>
      <c r="X462" s="617">
        <v>31</v>
      </c>
      <c r="Y462" s="617" t="s">
        <v>178</v>
      </c>
      <c r="Z462" s="617" t="s">
        <v>178</v>
      </c>
      <c r="AA462" s="618">
        <v>21515</v>
      </c>
      <c r="AB462" s="618" t="s">
        <v>164</v>
      </c>
      <c r="AC462" s="618">
        <v>21399</v>
      </c>
      <c r="AD462" s="619">
        <v>0.03</v>
      </c>
      <c r="AE462" s="617" t="s">
        <v>1308</v>
      </c>
    </row>
    <row r="463" spans="1:31" s="572" customFormat="1" ht="30">
      <c r="A463" s="570" t="s">
        <v>1310</v>
      </c>
      <c r="B463" s="569" t="s">
        <v>467</v>
      </c>
      <c r="C463" s="580" t="s">
        <v>468</v>
      </c>
      <c r="D463" s="569" t="s">
        <v>699</v>
      </c>
      <c r="E463" s="569" t="s">
        <v>196</v>
      </c>
      <c r="F463" s="569" t="s">
        <v>469</v>
      </c>
      <c r="G463" s="569">
        <v>2019</v>
      </c>
      <c r="H463" s="569" t="s">
        <v>1312</v>
      </c>
      <c r="I463" s="569" t="s">
        <v>1313</v>
      </c>
      <c r="J463" s="569" t="s">
        <v>230</v>
      </c>
      <c r="K463" s="569">
        <v>8</v>
      </c>
      <c r="L463" s="569">
        <v>0</v>
      </c>
      <c r="M463" s="569" t="s">
        <v>157</v>
      </c>
      <c r="N463" s="569">
        <v>3</v>
      </c>
      <c r="O463" s="569" t="s">
        <v>157</v>
      </c>
      <c r="P463" s="568" t="s">
        <v>157</v>
      </c>
      <c r="Q463" s="569" t="s">
        <v>316</v>
      </c>
      <c r="R463" s="569">
        <v>6</v>
      </c>
      <c r="S463" s="569" t="s">
        <v>1314</v>
      </c>
      <c r="T463" s="569" t="s">
        <v>157</v>
      </c>
      <c r="U463" s="569">
        <v>111</v>
      </c>
      <c r="V463" s="569">
        <v>19.5</v>
      </c>
      <c r="W463" s="620">
        <v>5842</v>
      </c>
      <c r="X463" s="621">
        <v>21</v>
      </c>
      <c r="Y463" s="621" t="s">
        <v>178</v>
      </c>
      <c r="Z463" s="621" t="s">
        <v>178</v>
      </c>
      <c r="AA463" s="622">
        <v>34345</v>
      </c>
      <c r="AB463" s="622" t="s">
        <v>164</v>
      </c>
      <c r="AC463" s="622">
        <v>33009</v>
      </c>
      <c r="AD463" s="623">
        <v>0.03</v>
      </c>
      <c r="AE463" s="621" t="s">
        <v>1311</v>
      </c>
    </row>
    <row r="464" spans="1:31" s="572" customFormat="1" ht="30">
      <c r="A464" s="570" t="s">
        <v>1315</v>
      </c>
      <c r="B464" s="573" t="s">
        <v>473</v>
      </c>
      <c r="C464" s="578">
        <v>14</v>
      </c>
      <c r="D464" s="573" t="s">
        <v>699</v>
      </c>
      <c r="E464" s="573" t="s">
        <v>196</v>
      </c>
      <c r="F464" s="573" t="s">
        <v>469</v>
      </c>
      <c r="G464" s="573">
        <v>2019</v>
      </c>
      <c r="H464" s="573" t="s">
        <v>1312</v>
      </c>
      <c r="I464" s="573" t="s">
        <v>1313</v>
      </c>
      <c r="J464" s="573" t="s">
        <v>230</v>
      </c>
      <c r="K464" s="573">
        <v>8</v>
      </c>
      <c r="L464" s="573">
        <v>0</v>
      </c>
      <c r="M464" s="573" t="s">
        <v>157</v>
      </c>
      <c r="N464" s="573">
        <v>3</v>
      </c>
      <c r="O464" s="573" t="s">
        <v>157</v>
      </c>
      <c r="P464" s="571" t="s">
        <v>157</v>
      </c>
      <c r="Q464" s="573" t="s">
        <v>316</v>
      </c>
      <c r="R464" s="573">
        <v>6</v>
      </c>
      <c r="S464" s="582" t="s">
        <v>1314</v>
      </c>
      <c r="T464" s="573" t="s">
        <v>157</v>
      </c>
      <c r="U464" s="573">
        <v>111</v>
      </c>
      <c r="V464" s="573">
        <v>19.5</v>
      </c>
      <c r="W464" s="616">
        <v>5842</v>
      </c>
      <c r="X464" s="617">
        <v>21</v>
      </c>
      <c r="Y464" s="617" t="s">
        <v>178</v>
      </c>
      <c r="Z464" s="617" t="s">
        <v>178</v>
      </c>
      <c r="AA464" s="618">
        <v>34345</v>
      </c>
      <c r="AB464" s="618" t="s">
        <v>164</v>
      </c>
      <c r="AC464" s="618">
        <v>32050</v>
      </c>
      <c r="AD464" s="619">
        <v>0.1</v>
      </c>
      <c r="AE464" s="617" t="s">
        <v>1311</v>
      </c>
    </row>
    <row r="465" spans="1:31" s="572" customFormat="1" ht="30">
      <c r="A465" s="570" t="s">
        <v>1316</v>
      </c>
      <c r="B465" s="569" t="s">
        <v>467</v>
      </c>
      <c r="C465" s="580" t="s">
        <v>468</v>
      </c>
      <c r="D465" s="569" t="s">
        <v>699</v>
      </c>
      <c r="E465" s="569" t="s">
        <v>196</v>
      </c>
      <c r="F465" s="569" t="s">
        <v>469</v>
      </c>
      <c r="G465" s="569">
        <v>2019</v>
      </c>
      <c r="H465" s="569" t="s">
        <v>1312</v>
      </c>
      <c r="I465" s="569" t="s">
        <v>1313</v>
      </c>
      <c r="J465" s="569" t="s">
        <v>156</v>
      </c>
      <c r="K465" s="569">
        <v>8</v>
      </c>
      <c r="L465" s="569">
        <v>0</v>
      </c>
      <c r="M465" s="569" t="s">
        <v>157</v>
      </c>
      <c r="N465" s="569">
        <v>3</v>
      </c>
      <c r="O465" s="569" t="s">
        <v>157</v>
      </c>
      <c r="P465" s="568" t="s">
        <v>157</v>
      </c>
      <c r="Q465" s="569" t="s">
        <v>316</v>
      </c>
      <c r="R465" s="569">
        <v>6</v>
      </c>
      <c r="S465" s="569" t="s">
        <v>1318</v>
      </c>
      <c r="T465" s="569" t="s">
        <v>157</v>
      </c>
      <c r="U465" s="569">
        <v>111</v>
      </c>
      <c r="V465" s="569">
        <v>19.5</v>
      </c>
      <c r="W465" s="620">
        <v>5545</v>
      </c>
      <c r="X465" s="621">
        <v>22</v>
      </c>
      <c r="Y465" s="621" t="s">
        <v>178</v>
      </c>
      <c r="Z465" s="621" t="s">
        <v>178</v>
      </c>
      <c r="AA465" s="622">
        <v>32445</v>
      </c>
      <c r="AB465" s="622" t="s">
        <v>164</v>
      </c>
      <c r="AC465" s="622">
        <v>31449</v>
      </c>
      <c r="AD465" s="623">
        <v>0.03</v>
      </c>
      <c r="AE465" s="621" t="s">
        <v>1317</v>
      </c>
    </row>
    <row r="466" spans="1:31" s="572" customFormat="1">
      <c r="A466" s="570" t="s">
        <v>1319</v>
      </c>
      <c r="B466" s="573" t="s">
        <v>166</v>
      </c>
      <c r="C466" s="578">
        <v>17</v>
      </c>
      <c r="D466" s="573" t="s">
        <v>699</v>
      </c>
      <c r="E466" s="573" t="s">
        <v>152</v>
      </c>
      <c r="F466" s="573" t="s">
        <v>519</v>
      </c>
      <c r="G466" s="573">
        <v>2019</v>
      </c>
      <c r="H466" s="573" t="s">
        <v>1321</v>
      </c>
      <c r="I466" s="573" t="s">
        <v>330</v>
      </c>
      <c r="J466" s="573" t="s">
        <v>230</v>
      </c>
      <c r="K466" s="573">
        <v>7</v>
      </c>
      <c r="L466" s="573">
        <v>0</v>
      </c>
      <c r="M466" s="573" t="s">
        <v>157</v>
      </c>
      <c r="N466" s="573">
        <v>3</v>
      </c>
      <c r="O466" s="573" t="s">
        <v>157</v>
      </c>
      <c r="P466" s="571">
        <v>5000</v>
      </c>
      <c r="Q466" s="573" t="s">
        <v>1322</v>
      </c>
      <c r="R466" s="573">
        <v>6</v>
      </c>
      <c r="S466" s="582" t="s">
        <v>1323</v>
      </c>
      <c r="T466" s="573" t="s">
        <v>523</v>
      </c>
      <c r="U466" s="573">
        <v>110.2</v>
      </c>
      <c r="V466" s="573">
        <v>18.8</v>
      </c>
      <c r="W466" s="616">
        <v>5622</v>
      </c>
      <c r="X466" s="617">
        <v>20</v>
      </c>
      <c r="Y466" s="617" t="s">
        <v>178</v>
      </c>
      <c r="Z466" s="617" t="s">
        <v>178</v>
      </c>
      <c r="AA466" s="618">
        <v>33698.699999999997</v>
      </c>
      <c r="AB466" s="618" t="s">
        <v>164</v>
      </c>
      <c r="AC466" s="618">
        <v>33580</v>
      </c>
      <c r="AD466" s="619">
        <v>4.4999999999999998E-2</v>
      </c>
      <c r="AE466" s="617" t="s">
        <v>1320</v>
      </c>
    </row>
    <row r="467" spans="1:31" s="572" customFormat="1">
      <c r="A467" s="570" t="s">
        <v>1324</v>
      </c>
      <c r="B467" s="569" t="s">
        <v>166</v>
      </c>
      <c r="C467" s="580">
        <v>17</v>
      </c>
      <c r="D467" s="569" t="s">
        <v>699</v>
      </c>
      <c r="E467" s="569" t="s">
        <v>152</v>
      </c>
      <c r="F467" s="569" t="s">
        <v>519</v>
      </c>
      <c r="G467" s="569">
        <v>2019</v>
      </c>
      <c r="H467" s="569" t="s">
        <v>1321</v>
      </c>
      <c r="I467" s="569" t="s">
        <v>330</v>
      </c>
      <c r="J467" s="569" t="s">
        <v>156</v>
      </c>
      <c r="K467" s="569">
        <v>7</v>
      </c>
      <c r="L467" s="569">
        <v>0</v>
      </c>
      <c r="M467" s="569" t="s">
        <v>157</v>
      </c>
      <c r="N467" s="569">
        <v>3</v>
      </c>
      <c r="O467" s="569" t="s">
        <v>157</v>
      </c>
      <c r="P467" s="568">
        <v>5000</v>
      </c>
      <c r="Q467" s="569" t="s">
        <v>1322</v>
      </c>
      <c r="R467" s="569">
        <v>6</v>
      </c>
      <c r="S467" s="569" t="s">
        <v>1326</v>
      </c>
      <c r="T467" s="569" t="s">
        <v>523</v>
      </c>
      <c r="U467" s="569">
        <v>110.2</v>
      </c>
      <c r="V467" s="569">
        <v>18.8</v>
      </c>
      <c r="W467" s="620">
        <v>5512</v>
      </c>
      <c r="X467" s="621">
        <v>21</v>
      </c>
      <c r="Y467" s="621" t="s">
        <v>178</v>
      </c>
      <c r="Z467" s="621" t="s">
        <v>178</v>
      </c>
      <c r="AA467" s="622">
        <v>31913</v>
      </c>
      <c r="AB467" s="622" t="s">
        <v>164</v>
      </c>
      <c r="AC467" s="622">
        <v>31830</v>
      </c>
      <c r="AD467" s="623">
        <v>4.4999999999999998E-2</v>
      </c>
      <c r="AE467" s="621" t="s">
        <v>1325</v>
      </c>
    </row>
    <row r="468" spans="1:31" s="572" customFormat="1">
      <c r="A468" s="570" t="s">
        <v>1327</v>
      </c>
      <c r="B468" s="573" t="s">
        <v>166</v>
      </c>
      <c r="C468" s="578">
        <v>17</v>
      </c>
      <c r="D468" s="573" t="s">
        <v>699</v>
      </c>
      <c r="E468" s="573" t="s">
        <v>211</v>
      </c>
      <c r="F468" s="573" t="s">
        <v>519</v>
      </c>
      <c r="G468" s="573">
        <v>2019</v>
      </c>
      <c r="H468" s="573" t="s">
        <v>1329</v>
      </c>
      <c r="I468" s="573" t="s">
        <v>330</v>
      </c>
      <c r="J468" s="573" t="s">
        <v>230</v>
      </c>
      <c r="K468" s="573">
        <v>5</v>
      </c>
      <c r="L468" s="573">
        <v>0</v>
      </c>
      <c r="M468" s="573" t="s">
        <v>157</v>
      </c>
      <c r="N468" s="573">
        <v>2</v>
      </c>
      <c r="O468" s="573" t="s">
        <v>157</v>
      </c>
      <c r="P468" s="571">
        <v>1000</v>
      </c>
      <c r="Q468" s="573" t="s">
        <v>352</v>
      </c>
      <c r="R468" s="573">
        <v>4</v>
      </c>
      <c r="S468" s="582" t="s">
        <v>1330</v>
      </c>
      <c r="T468" s="573" t="s">
        <v>523</v>
      </c>
      <c r="U468" s="573">
        <v>105.1</v>
      </c>
      <c r="V468" s="573">
        <v>16.399999999999999</v>
      </c>
      <c r="W468" s="616">
        <v>4740</v>
      </c>
      <c r="X468" s="617">
        <v>23</v>
      </c>
      <c r="Y468" s="617" t="s">
        <v>178</v>
      </c>
      <c r="Z468" s="617" t="s">
        <v>178</v>
      </c>
      <c r="AA468" s="618">
        <v>25645</v>
      </c>
      <c r="AB468" s="618" t="s">
        <v>164</v>
      </c>
      <c r="AC468" s="618">
        <v>25089.75</v>
      </c>
      <c r="AD468" s="619">
        <v>4.4999999999999998E-2</v>
      </c>
      <c r="AE468" s="617" t="s">
        <v>1328</v>
      </c>
    </row>
    <row r="469" spans="1:31" s="572" customFormat="1">
      <c r="A469" s="570" t="s">
        <v>1331</v>
      </c>
      <c r="B469" s="569" t="s">
        <v>166</v>
      </c>
      <c r="C469" s="580">
        <v>17</v>
      </c>
      <c r="D469" s="569" t="s">
        <v>699</v>
      </c>
      <c r="E469" s="569" t="s">
        <v>211</v>
      </c>
      <c r="F469" s="569" t="s">
        <v>519</v>
      </c>
      <c r="G469" s="569">
        <v>2019</v>
      </c>
      <c r="H469" s="569" t="s">
        <v>1329</v>
      </c>
      <c r="I469" s="569" t="s">
        <v>330</v>
      </c>
      <c r="J469" s="569" t="s">
        <v>156</v>
      </c>
      <c r="K469" s="569">
        <v>5</v>
      </c>
      <c r="L469" s="569">
        <v>0</v>
      </c>
      <c r="M469" s="569" t="s">
        <v>157</v>
      </c>
      <c r="N469" s="569">
        <v>2</v>
      </c>
      <c r="O469" s="569" t="s">
        <v>157</v>
      </c>
      <c r="P469" s="568">
        <v>1000</v>
      </c>
      <c r="Q469" s="569" t="s">
        <v>352</v>
      </c>
      <c r="R469" s="569">
        <v>4</v>
      </c>
      <c r="S469" s="569" t="s">
        <v>1333</v>
      </c>
      <c r="T469" s="569" t="s">
        <v>523</v>
      </c>
      <c r="U469" s="569">
        <v>105.1</v>
      </c>
      <c r="V469" s="569">
        <v>16.399999999999999</v>
      </c>
      <c r="W469" s="620">
        <v>4586</v>
      </c>
      <c r="X469" s="621">
        <v>26</v>
      </c>
      <c r="Y469" s="621" t="s">
        <v>178</v>
      </c>
      <c r="Z469" s="621" t="s">
        <v>178</v>
      </c>
      <c r="AA469" s="622">
        <v>24245</v>
      </c>
      <c r="AB469" s="622" t="s">
        <v>164</v>
      </c>
      <c r="AC469" s="622">
        <v>23619.75</v>
      </c>
      <c r="AD469" s="623">
        <v>4.4999999999999998E-2</v>
      </c>
      <c r="AE469" s="621" t="s">
        <v>1332</v>
      </c>
    </row>
    <row r="470" spans="1:31" s="572" customFormat="1">
      <c r="A470" s="570" t="s">
        <v>1334</v>
      </c>
      <c r="B470" s="573" t="s">
        <v>226</v>
      </c>
      <c r="C470" s="578" t="s">
        <v>227</v>
      </c>
      <c r="D470" s="573" t="s">
        <v>699</v>
      </c>
      <c r="E470" s="573" t="s">
        <v>152</v>
      </c>
      <c r="F470" s="573" t="s">
        <v>1336</v>
      </c>
      <c r="G470" s="573">
        <v>2019</v>
      </c>
      <c r="H470" s="573" t="s">
        <v>1337</v>
      </c>
      <c r="I470" s="573" t="s">
        <v>1338</v>
      </c>
      <c r="J470" s="573" t="s">
        <v>752</v>
      </c>
      <c r="K470" s="573">
        <v>5</v>
      </c>
      <c r="L470" s="573">
        <v>0</v>
      </c>
      <c r="M470" s="573" t="s">
        <v>157</v>
      </c>
      <c r="N470" s="573">
        <v>2</v>
      </c>
      <c r="O470" s="573" t="s">
        <v>157</v>
      </c>
      <c r="P470" s="571">
        <v>2000</v>
      </c>
      <c r="Q470" s="573" t="s">
        <v>539</v>
      </c>
      <c r="R470" s="573">
        <v>4</v>
      </c>
      <c r="S470" s="582" t="s">
        <v>1339</v>
      </c>
      <c r="T470" s="573" t="s">
        <v>1340</v>
      </c>
      <c r="U470" s="573">
        <v>106.3</v>
      </c>
      <c r="V470" s="573">
        <v>15.8</v>
      </c>
      <c r="W470" s="616">
        <v>5500</v>
      </c>
      <c r="X470" s="617">
        <v>23</v>
      </c>
      <c r="Y470" s="617" t="s">
        <v>178</v>
      </c>
      <c r="Z470" s="617" t="s">
        <v>178</v>
      </c>
      <c r="AA470" s="618">
        <v>27385</v>
      </c>
      <c r="AB470" s="618" t="s">
        <v>164</v>
      </c>
      <c r="AC470" s="618">
        <v>22884</v>
      </c>
      <c r="AD470" s="619">
        <v>6.25E-2</v>
      </c>
      <c r="AE470" s="617" t="s">
        <v>1335</v>
      </c>
    </row>
    <row r="471" spans="1:31" s="572" customFormat="1">
      <c r="A471" s="570" t="s">
        <v>1341</v>
      </c>
      <c r="B471" s="569" t="s">
        <v>240</v>
      </c>
      <c r="C471" s="580" t="s">
        <v>241</v>
      </c>
      <c r="D471" s="569" t="s">
        <v>699</v>
      </c>
      <c r="E471" s="569" t="s">
        <v>152</v>
      </c>
      <c r="F471" s="569" t="s">
        <v>1336</v>
      </c>
      <c r="G471" s="569">
        <v>2019</v>
      </c>
      <c r="H471" s="569" t="s">
        <v>1337</v>
      </c>
      <c r="I471" s="569" t="s">
        <v>1338</v>
      </c>
      <c r="J471" s="569" t="s">
        <v>752</v>
      </c>
      <c r="K471" s="569">
        <v>5</v>
      </c>
      <c r="L471" s="569">
        <v>0</v>
      </c>
      <c r="M471" s="569" t="s">
        <v>157</v>
      </c>
      <c r="N471" s="569">
        <v>2</v>
      </c>
      <c r="O471" s="569" t="s">
        <v>157</v>
      </c>
      <c r="P471" s="568">
        <v>2000</v>
      </c>
      <c r="Q471" s="569" t="s">
        <v>539</v>
      </c>
      <c r="R471" s="569">
        <v>4</v>
      </c>
      <c r="S471" s="569" t="s">
        <v>1339</v>
      </c>
      <c r="T471" s="569" t="s">
        <v>1340</v>
      </c>
      <c r="U471" s="569">
        <v>106.3</v>
      </c>
      <c r="V471" s="569">
        <v>15.8</v>
      </c>
      <c r="W471" s="620">
        <v>5500</v>
      </c>
      <c r="X471" s="621">
        <v>24</v>
      </c>
      <c r="Y471" s="621" t="s">
        <v>178</v>
      </c>
      <c r="Z471" s="621" t="s">
        <v>178</v>
      </c>
      <c r="AA471" s="622">
        <v>27385</v>
      </c>
      <c r="AB471" s="622" t="s">
        <v>164</v>
      </c>
      <c r="AC471" s="622">
        <v>22789</v>
      </c>
      <c r="AD471" s="623">
        <v>0.05</v>
      </c>
      <c r="AE471" s="621" t="s">
        <v>1335</v>
      </c>
    </row>
    <row r="472" spans="1:31" s="572" customFormat="1">
      <c r="A472" s="570" t="s">
        <v>1342</v>
      </c>
      <c r="B472" s="573" t="s">
        <v>226</v>
      </c>
      <c r="C472" s="578" t="s">
        <v>227</v>
      </c>
      <c r="D472" s="573" t="s">
        <v>699</v>
      </c>
      <c r="E472" s="573" t="s">
        <v>152</v>
      </c>
      <c r="F472" s="573" t="s">
        <v>1336</v>
      </c>
      <c r="G472" s="573">
        <v>2019</v>
      </c>
      <c r="H472" s="573" t="s">
        <v>1337</v>
      </c>
      <c r="I472" s="573" t="s">
        <v>1338</v>
      </c>
      <c r="J472" s="573" t="s">
        <v>156</v>
      </c>
      <c r="K472" s="573">
        <v>5</v>
      </c>
      <c r="L472" s="573">
        <v>0</v>
      </c>
      <c r="M472" s="573" t="s">
        <v>157</v>
      </c>
      <c r="N472" s="573">
        <v>2</v>
      </c>
      <c r="O472" s="573" t="s">
        <v>157</v>
      </c>
      <c r="P472" s="571">
        <v>2000</v>
      </c>
      <c r="Q472" s="573" t="s">
        <v>539</v>
      </c>
      <c r="R472" s="573">
        <v>4</v>
      </c>
      <c r="S472" s="582" t="s">
        <v>1344</v>
      </c>
      <c r="T472" s="573" t="s">
        <v>1340</v>
      </c>
      <c r="U472" s="573">
        <v>106.3</v>
      </c>
      <c r="V472" s="573">
        <v>15.8</v>
      </c>
      <c r="W472" s="616">
        <v>5050</v>
      </c>
      <c r="X472" s="617">
        <v>25</v>
      </c>
      <c r="Y472" s="617" t="s">
        <v>178</v>
      </c>
      <c r="Z472" s="617" t="s">
        <v>178</v>
      </c>
      <c r="AA472" s="618">
        <v>25885</v>
      </c>
      <c r="AB472" s="618" t="s">
        <v>164</v>
      </c>
      <c r="AC472" s="618">
        <v>21505</v>
      </c>
      <c r="AD472" s="619">
        <v>6.25E-2</v>
      </c>
      <c r="AE472" s="617" t="s">
        <v>1343</v>
      </c>
    </row>
    <row r="473" spans="1:31" s="572" customFormat="1">
      <c r="A473" s="570" t="s">
        <v>1345</v>
      </c>
      <c r="B473" s="569" t="s">
        <v>240</v>
      </c>
      <c r="C473" s="580" t="s">
        <v>241</v>
      </c>
      <c r="D473" s="569" t="s">
        <v>699</v>
      </c>
      <c r="E473" s="569" t="s">
        <v>152</v>
      </c>
      <c r="F473" s="569" t="s">
        <v>1336</v>
      </c>
      <c r="G473" s="569">
        <v>2019</v>
      </c>
      <c r="H473" s="569" t="s">
        <v>1337</v>
      </c>
      <c r="I473" s="569" t="s">
        <v>1338</v>
      </c>
      <c r="J473" s="569" t="s">
        <v>156</v>
      </c>
      <c r="K473" s="569">
        <v>5</v>
      </c>
      <c r="L473" s="569">
        <v>0</v>
      </c>
      <c r="M473" s="569" t="s">
        <v>157</v>
      </c>
      <c r="N473" s="569">
        <v>2</v>
      </c>
      <c r="O473" s="569" t="s">
        <v>157</v>
      </c>
      <c r="P473" s="568">
        <v>2000</v>
      </c>
      <c r="Q473" s="569" t="s">
        <v>539</v>
      </c>
      <c r="R473" s="569">
        <v>4</v>
      </c>
      <c r="S473" s="569" t="s">
        <v>1344</v>
      </c>
      <c r="T473" s="569" t="s">
        <v>1340</v>
      </c>
      <c r="U473" s="569">
        <v>106.3</v>
      </c>
      <c r="V473" s="569">
        <v>15.8</v>
      </c>
      <c r="W473" s="620">
        <v>5050</v>
      </c>
      <c r="X473" s="621">
        <v>25</v>
      </c>
      <c r="Y473" s="621" t="s">
        <v>178</v>
      </c>
      <c r="Z473" s="621" t="s">
        <v>178</v>
      </c>
      <c r="AA473" s="622">
        <v>25885</v>
      </c>
      <c r="AB473" s="622" t="s">
        <v>164</v>
      </c>
      <c r="AC473" s="622">
        <v>21389</v>
      </c>
      <c r="AD473" s="623">
        <v>0.05</v>
      </c>
      <c r="AE473" s="621" t="s">
        <v>1343</v>
      </c>
    </row>
    <row r="474" spans="1:31" s="572" customFormat="1">
      <c r="A474" s="570" t="s">
        <v>1346</v>
      </c>
      <c r="B474" s="573" t="s">
        <v>226</v>
      </c>
      <c r="C474" s="578" t="s">
        <v>227</v>
      </c>
      <c r="D474" s="573" t="s">
        <v>699</v>
      </c>
      <c r="E474" s="573" t="s">
        <v>211</v>
      </c>
      <c r="F474" s="573" t="s">
        <v>1336</v>
      </c>
      <c r="G474" s="573">
        <v>2019</v>
      </c>
      <c r="H474" s="573" t="s">
        <v>1348</v>
      </c>
      <c r="I474" s="573" t="s">
        <v>1338</v>
      </c>
      <c r="J474" s="573" t="s">
        <v>752</v>
      </c>
      <c r="K474" s="573">
        <v>5</v>
      </c>
      <c r="L474" s="573">
        <v>0</v>
      </c>
      <c r="M474" s="573" t="s">
        <v>157</v>
      </c>
      <c r="N474" s="573">
        <v>2</v>
      </c>
      <c r="O474" s="573" t="s">
        <v>157</v>
      </c>
      <c r="P474" s="571">
        <v>1000</v>
      </c>
      <c r="Q474" s="573" t="s">
        <v>539</v>
      </c>
      <c r="R474" s="573">
        <v>4</v>
      </c>
      <c r="S474" s="582" t="s">
        <v>1349</v>
      </c>
      <c r="T474" s="573" t="s">
        <v>1350</v>
      </c>
      <c r="U474" s="573">
        <v>103.8</v>
      </c>
      <c r="V474" s="573">
        <v>13.5</v>
      </c>
      <c r="W474" s="616">
        <v>4600</v>
      </c>
      <c r="X474" s="617">
        <v>25</v>
      </c>
      <c r="Y474" s="617" t="s">
        <v>178</v>
      </c>
      <c r="Z474" s="617" t="s">
        <v>178</v>
      </c>
      <c r="AA474" s="618">
        <v>27590</v>
      </c>
      <c r="AB474" s="618" t="s">
        <v>164</v>
      </c>
      <c r="AC474" s="618">
        <v>22994</v>
      </c>
      <c r="AD474" s="619">
        <v>6.25E-2</v>
      </c>
      <c r="AE474" s="617" t="s">
        <v>1347</v>
      </c>
    </row>
    <row r="475" spans="1:31" s="572" customFormat="1">
      <c r="A475" s="570" t="s">
        <v>1351</v>
      </c>
      <c r="B475" s="569" t="s">
        <v>240</v>
      </c>
      <c r="C475" s="580" t="s">
        <v>241</v>
      </c>
      <c r="D475" s="569" t="s">
        <v>699</v>
      </c>
      <c r="E475" s="569" t="s">
        <v>211</v>
      </c>
      <c r="F475" s="569" t="s">
        <v>1336</v>
      </c>
      <c r="G475" s="569">
        <v>2019</v>
      </c>
      <c r="H475" s="569" t="s">
        <v>1348</v>
      </c>
      <c r="I475" s="569" t="s">
        <v>1338</v>
      </c>
      <c r="J475" s="569" t="s">
        <v>752</v>
      </c>
      <c r="K475" s="569">
        <v>5</v>
      </c>
      <c r="L475" s="569">
        <v>0</v>
      </c>
      <c r="M475" s="569" t="s">
        <v>157</v>
      </c>
      <c r="N475" s="569">
        <v>2</v>
      </c>
      <c r="O475" s="569" t="s">
        <v>157</v>
      </c>
      <c r="P475" s="568">
        <v>1000</v>
      </c>
      <c r="Q475" s="569" t="s">
        <v>539</v>
      </c>
      <c r="R475" s="569">
        <v>4</v>
      </c>
      <c r="S475" s="569" t="s">
        <v>1349</v>
      </c>
      <c r="T475" s="569" t="s">
        <v>1350</v>
      </c>
      <c r="U475" s="569">
        <v>103.8</v>
      </c>
      <c r="V475" s="569">
        <v>13.5</v>
      </c>
      <c r="W475" s="620">
        <v>4600</v>
      </c>
      <c r="X475" s="621">
        <v>25</v>
      </c>
      <c r="Y475" s="621" t="s">
        <v>178</v>
      </c>
      <c r="Z475" s="621" t="s">
        <v>178</v>
      </c>
      <c r="AA475" s="622">
        <v>27590</v>
      </c>
      <c r="AB475" s="622" t="s">
        <v>164</v>
      </c>
      <c r="AC475" s="622">
        <v>22779</v>
      </c>
      <c r="AD475" s="623">
        <v>0.05</v>
      </c>
      <c r="AE475" s="621" t="s">
        <v>1347</v>
      </c>
    </row>
    <row r="476" spans="1:31" s="572" customFormat="1">
      <c r="A476" s="570" t="s">
        <v>1352</v>
      </c>
      <c r="B476" s="573" t="s">
        <v>226</v>
      </c>
      <c r="C476" s="578" t="s">
        <v>227</v>
      </c>
      <c r="D476" s="573" t="s">
        <v>699</v>
      </c>
      <c r="E476" s="573" t="s">
        <v>211</v>
      </c>
      <c r="F476" s="573" t="s">
        <v>1336</v>
      </c>
      <c r="G476" s="573">
        <v>2019</v>
      </c>
      <c r="H476" s="573" t="s">
        <v>1348</v>
      </c>
      <c r="I476" s="573" t="s">
        <v>1338</v>
      </c>
      <c r="J476" s="573" t="s">
        <v>156</v>
      </c>
      <c r="K476" s="573">
        <v>5</v>
      </c>
      <c r="L476" s="573">
        <v>0</v>
      </c>
      <c r="M476" s="573" t="s">
        <v>157</v>
      </c>
      <c r="N476" s="573">
        <v>2</v>
      </c>
      <c r="O476" s="573" t="s">
        <v>157</v>
      </c>
      <c r="P476" s="571">
        <v>1000</v>
      </c>
      <c r="Q476" s="573" t="s">
        <v>539</v>
      </c>
      <c r="R476" s="573">
        <v>4</v>
      </c>
      <c r="S476" s="582" t="s">
        <v>1354</v>
      </c>
      <c r="T476" s="573" t="s">
        <v>1355</v>
      </c>
      <c r="U476" s="573">
        <v>103.8</v>
      </c>
      <c r="V476" s="573">
        <v>13.5</v>
      </c>
      <c r="W476" s="616">
        <v>4600</v>
      </c>
      <c r="X476" s="617">
        <v>25</v>
      </c>
      <c r="Y476" s="617" t="s">
        <v>178</v>
      </c>
      <c r="Z476" s="617" t="s">
        <v>178</v>
      </c>
      <c r="AA476" s="618">
        <v>26090</v>
      </c>
      <c r="AB476" s="618" t="s">
        <v>164</v>
      </c>
      <c r="AC476" s="618">
        <v>21660</v>
      </c>
      <c r="AD476" s="619">
        <v>6.25E-2</v>
      </c>
      <c r="AE476" s="617" t="s">
        <v>1353</v>
      </c>
    </row>
    <row r="477" spans="1:31" s="572" customFormat="1">
      <c r="A477" s="570" t="s">
        <v>1356</v>
      </c>
      <c r="B477" s="569" t="s">
        <v>240</v>
      </c>
      <c r="C477" s="580" t="s">
        <v>241</v>
      </c>
      <c r="D477" s="569" t="s">
        <v>699</v>
      </c>
      <c r="E477" s="569" t="s">
        <v>211</v>
      </c>
      <c r="F477" s="569" t="s">
        <v>1336</v>
      </c>
      <c r="G477" s="569">
        <v>2019</v>
      </c>
      <c r="H477" s="569" t="s">
        <v>1348</v>
      </c>
      <c r="I477" s="569" t="s">
        <v>1338</v>
      </c>
      <c r="J477" s="569" t="s">
        <v>156</v>
      </c>
      <c r="K477" s="569">
        <v>5</v>
      </c>
      <c r="L477" s="569">
        <v>0</v>
      </c>
      <c r="M477" s="569" t="s">
        <v>157</v>
      </c>
      <c r="N477" s="569">
        <v>2</v>
      </c>
      <c r="O477" s="569" t="s">
        <v>157</v>
      </c>
      <c r="P477" s="568">
        <v>1000</v>
      </c>
      <c r="Q477" s="569" t="s">
        <v>539</v>
      </c>
      <c r="R477" s="569">
        <v>4</v>
      </c>
      <c r="S477" s="569" t="s">
        <v>1354</v>
      </c>
      <c r="T477" s="569" t="s">
        <v>1355</v>
      </c>
      <c r="U477" s="569">
        <v>103.8</v>
      </c>
      <c r="V477" s="569">
        <v>13.5</v>
      </c>
      <c r="W477" s="620">
        <v>4600</v>
      </c>
      <c r="X477" s="621">
        <v>25</v>
      </c>
      <c r="Y477" s="621" t="s">
        <v>178</v>
      </c>
      <c r="Z477" s="621" t="s">
        <v>178</v>
      </c>
      <c r="AA477" s="622">
        <v>26090</v>
      </c>
      <c r="AB477" s="622" t="s">
        <v>164</v>
      </c>
      <c r="AC477" s="622">
        <v>21499</v>
      </c>
      <c r="AD477" s="623">
        <v>0.05</v>
      </c>
      <c r="AE477" s="621" t="s">
        <v>1353</v>
      </c>
    </row>
    <row r="478" spans="1:31" s="572" customFormat="1">
      <c r="A478" s="570" t="s">
        <v>1357</v>
      </c>
      <c r="B478" s="573" t="s">
        <v>226</v>
      </c>
      <c r="C478" s="578" t="s">
        <v>227</v>
      </c>
      <c r="D478" s="573" t="s">
        <v>699</v>
      </c>
      <c r="E478" s="573" t="s">
        <v>211</v>
      </c>
      <c r="F478" s="573" t="s">
        <v>1336</v>
      </c>
      <c r="G478" s="573">
        <v>2019</v>
      </c>
      <c r="H478" s="573" t="s">
        <v>1348</v>
      </c>
      <c r="I478" s="573" t="s">
        <v>409</v>
      </c>
      <c r="J478" s="573" t="s">
        <v>752</v>
      </c>
      <c r="K478" s="573">
        <v>5</v>
      </c>
      <c r="L478" s="573">
        <v>0</v>
      </c>
      <c r="M478" s="573" t="s">
        <v>157</v>
      </c>
      <c r="N478" s="573">
        <v>2</v>
      </c>
      <c r="O478" s="573" t="s">
        <v>157</v>
      </c>
      <c r="P478" s="571">
        <v>1000</v>
      </c>
      <c r="Q478" s="573" t="s">
        <v>539</v>
      </c>
      <c r="R478" s="573">
        <v>4</v>
      </c>
      <c r="S478" s="582" t="s">
        <v>1359</v>
      </c>
      <c r="T478" s="573" t="s">
        <v>653</v>
      </c>
      <c r="U478" s="573">
        <v>103.8</v>
      </c>
      <c r="V478" s="573">
        <v>13.5</v>
      </c>
      <c r="W478" s="616">
        <v>4600</v>
      </c>
      <c r="X478" s="617">
        <v>25</v>
      </c>
      <c r="Y478" s="617" t="s">
        <v>178</v>
      </c>
      <c r="Z478" s="617" t="s">
        <v>178</v>
      </c>
      <c r="AA478" s="618">
        <v>25790</v>
      </c>
      <c r="AB478" s="618" t="s">
        <v>164</v>
      </c>
      <c r="AC478" s="618">
        <v>21472</v>
      </c>
      <c r="AD478" s="619">
        <v>6.25E-2</v>
      </c>
      <c r="AE478" s="617" t="s">
        <v>1358</v>
      </c>
    </row>
    <row r="479" spans="1:31" s="572" customFormat="1">
      <c r="A479" s="570" t="s">
        <v>1360</v>
      </c>
      <c r="B479" s="569" t="s">
        <v>240</v>
      </c>
      <c r="C479" s="580" t="s">
        <v>241</v>
      </c>
      <c r="D479" s="569" t="s">
        <v>699</v>
      </c>
      <c r="E479" s="569" t="s">
        <v>211</v>
      </c>
      <c r="F479" s="569" t="s">
        <v>1336</v>
      </c>
      <c r="G479" s="569">
        <v>2019</v>
      </c>
      <c r="H479" s="569" t="s">
        <v>1348</v>
      </c>
      <c r="I479" s="569" t="s">
        <v>409</v>
      </c>
      <c r="J479" s="569" t="s">
        <v>752</v>
      </c>
      <c r="K479" s="569">
        <v>5</v>
      </c>
      <c r="L479" s="569">
        <v>0</v>
      </c>
      <c r="M479" s="569" t="s">
        <v>157</v>
      </c>
      <c r="N479" s="569">
        <v>2</v>
      </c>
      <c r="O479" s="569" t="s">
        <v>157</v>
      </c>
      <c r="P479" s="568">
        <v>1000</v>
      </c>
      <c r="Q479" s="569" t="s">
        <v>539</v>
      </c>
      <c r="R479" s="569">
        <v>4</v>
      </c>
      <c r="S479" s="569" t="s">
        <v>1359</v>
      </c>
      <c r="T479" s="569" t="s">
        <v>653</v>
      </c>
      <c r="U479" s="569">
        <v>103.8</v>
      </c>
      <c r="V479" s="569">
        <v>13.5</v>
      </c>
      <c r="W479" s="620">
        <v>4600</v>
      </c>
      <c r="X479" s="621">
        <v>25</v>
      </c>
      <c r="Y479" s="621" t="s">
        <v>178</v>
      </c>
      <c r="Z479" s="621" t="s">
        <v>178</v>
      </c>
      <c r="AA479" s="622">
        <v>25790</v>
      </c>
      <c r="AB479" s="622" t="s">
        <v>164</v>
      </c>
      <c r="AC479" s="622">
        <v>21249</v>
      </c>
      <c r="AD479" s="623">
        <v>0.05</v>
      </c>
      <c r="AE479" s="621" t="s">
        <v>1358</v>
      </c>
    </row>
    <row r="480" spans="1:31" s="572" customFormat="1">
      <c r="A480" s="570" t="s">
        <v>1361</v>
      </c>
      <c r="B480" s="573" t="s">
        <v>226</v>
      </c>
      <c r="C480" s="578" t="s">
        <v>227</v>
      </c>
      <c r="D480" s="573" t="s">
        <v>699</v>
      </c>
      <c r="E480" s="573" t="s">
        <v>211</v>
      </c>
      <c r="F480" s="573" t="s">
        <v>1336</v>
      </c>
      <c r="G480" s="573">
        <v>2019</v>
      </c>
      <c r="H480" s="573" t="s">
        <v>1348</v>
      </c>
      <c r="I480" s="573" t="s">
        <v>409</v>
      </c>
      <c r="J480" s="573" t="s">
        <v>156</v>
      </c>
      <c r="K480" s="573">
        <v>5</v>
      </c>
      <c r="L480" s="573">
        <v>0</v>
      </c>
      <c r="M480" s="573" t="s">
        <v>157</v>
      </c>
      <c r="N480" s="573">
        <v>2</v>
      </c>
      <c r="O480" s="573" t="s">
        <v>157</v>
      </c>
      <c r="P480" s="571">
        <v>1000</v>
      </c>
      <c r="Q480" s="573" t="s">
        <v>539</v>
      </c>
      <c r="R480" s="573">
        <v>4</v>
      </c>
      <c r="S480" s="582" t="s">
        <v>1363</v>
      </c>
      <c r="T480" s="573" t="s">
        <v>922</v>
      </c>
      <c r="U480" s="573">
        <v>103.8</v>
      </c>
      <c r="V480" s="573">
        <v>13.5</v>
      </c>
      <c r="W480" s="616">
        <v>4600</v>
      </c>
      <c r="X480" s="617">
        <v>26</v>
      </c>
      <c r="Y480" s="617" t="s">
        <v>178</v>
      </c>
      <c r="Z480" s="617" t="s">
        <v>178</v>
      </c>
      <c r="AA480" s="618">
        <v>24290</v>
      </c>
      <c r="AB480" s="618" t="s">
        <v>164</v>
      </c>
      <c r="AC480" s="618">
        <v>20101</v>
      </c>
      <c r="AD480" s="619">
        <v>6.25E-2</v>
      </c>
      <c r="AE480" s="617" t="s">
        <v>1362</v>
      </c>
    </row>
    <row r="481" spans="1:31" s="572" customFormat="1">
      <c r="A481" s="570" t="s">
        <v>1364</v>
      </c>
      <c r="B481" s="569" t="s">
        <v>240</v>
      </c>
      <c r="C481" s="580" t="s">
        <v>241</v>
      </c>
      <c r="D481" s="569" t="s">
        <v>699</v>
      </c>
      <c r="E481" s="569" t="s">
        <v>211</v>
      </c>
      <c r="F481" s="569" t="s">
        <v>1336</v>
      </c>
      <c r="G481" s="569">
        <v>2019</v>
      </c>
      <c r="H481" s="569" t="s">
        <v>1348</v>
      </c>
      <c r="I481" s="569" t="s">
        <v>409</v>
      </c>
      <c r="J481" s="569" t="s">
        <v>156</v>
      </c>
      <c r="K481" s="569">
        <v>5</v>
      </c>
      <c r="L481" s="569">
        <v>0</v>
      </c>
      <c r="M481" s="569" t="s">
        <v>157</v>
      </c>
      <c r="N481" s="569">
        <v>2</v>
      </c>
      <c r="O481" s="569" t="s">
        <v>157</v>
      </c>
      <c r="P481" s="568">
        <v>1000</v>
      </c>
      <c r="Q481" s="569" t="s">
        <v>539</v>
      </c>
      <c r="R481" s="569">
        <v>4</v>
      </c>
      <c r="S481" s="569" t="s">
        <v>1363</v>
      </c>
      <c r="T481" s="569" t="s">
        <v>922</v>
      </c>
      <c r="U481" s="569">
        <v>103.8</v>
      </c>
      <c r="V481" s="569">
        <v>13.5</v>
      </c>
      <c r="W481" s="620">
        <v>4600</v>
      </c>
      <c r="X481" s="621">
        <v>26</v>
      </c>
      <c r="Y481" s="621" t="s">
        <v>178</v>
      </c>
      <c r="Z481" s="621" t="s">
        <v>178</v>
      </c>
      <c r="AA481" s="622">
        <v>24290</v>
      </c>
      <c r="AB481" s="622" t="s">
        <v>164</v>
      </c>
      <c r="AC481" s="622">
        <v>19839</v>
      </c>
      <c r="AD481" s="623">
        <v>0.05</v>
      </c>
      <c r="AE481" s="621" t="s">
        <v>1362</v>
      </c>
    </row>
    <row r="482" spans="1:31" s="572" customFormat="1">
      <c r="A482" s="570" t="s">
        <v>1365</v>
      </c>
      <c r="B482" s="573" t="s">
        <v>226</v>
      </c>
      <c r="C482" s="578" t="s">
        <v>227</v>
      </c>
      <c r="D482" s="573" t="s">
        <v>699</v>
      </c>
      <c r="E482" s="573" t="s">
        <v>196</v>
      </c>
      <c r="F482" s="573" t="s">
        <v>1336</v>
      </c>
      <c r="G482" s="573">
        <v>2019</v>
      </c>
      <c r="H482" s="573" t="s">
        <v>1367</v>
      </c>
      <c r="I482" s="573" t="s">
        <v>1368</v>
      </c>
      <c r="J482" s="573" t="s">
        <v>752</v>
      </c>
      <c r="K482" s="573">
        <v>5</v>
      </c>
      <c r="L482" s="573">
        <v>0</v>
      </c>
      <c r="M482" s="573" t="s">
        <v>157</v>
      </c>
      <c r="N482" s="573">
        <v>2</v>
      </c>
      <c r="O482" s="573" t="s">
        <v>157</v>
      </c>
      <c r="P482" s="571">
        <v>3500</v>
      </c>
      <c r="Q482" s="573" t="s">
        <v>231</v>
      </c>
      <c r="R482" s="573">
        <v>6</v>
      </c>
      <c r="S482" s="582" t="s">
        <v>1369</v>
      </c>
      <c r="T482" s="573" t="s">
        <v>902</v>
      </c>
      <c r="U482" s="573">
        <v>114.8</v>
      </c>
      <c r="V482" s="573">
        <v>24.6</v>
      </c>
      <c r="W482" s="616">
        <v>6500</v>
      </c>
      <c r="X482" s="617">
        <v>21</v>
      </c>
      <c r="Y482" s="617" t="s">
        <v>178</v>
      </c>
      <c r="Z482" s="617" t="s">
        <v>178</v>
      </c>
      <c r="AA482" s="618">
        <v>35190</v>
      </c>
      <c r="AB482" s="618" t="s">
        <v>164</v>
      </c>
      <c r="AC482" s="618">
        <v>27693</v>
      </c>
      <c r="AD482" s="619">
        <v>6.25E-2</v>
      </c>
      <c r="AE482" s="617" t="s">
        <v>1366</v>
      </c>
    </row>
    <row r="483" spans="1:31" s="572" customFormat="1">
      <c r="A483" s="570" t="s">
        <v>1370</v>
      </c>
      <c r="B483" s="569" t="s">
        <v>226</v>
      </c>
      <c r="C483" s="580" t="s">
        <v>227</v>
      </c>
      <c r="D483" s="569" t="s">
        <v>699</v>
      </c>
      <c r="E483" s="569" t="s">
        <v>196</v>
      </c>
      <c r="F483" s="569" t="s">
        <v>1336</v>
      </c>
      <c r="G483" s="569">
        <v>2019</v>
      </c>
      <c r="H483" s="569" t="s">
        <v>1367</v>
      </c>
      <c r="I483" s="569" t="s">
        <v>1368</v>
      </c>
      <c r="J483" s="569" t="s">
        <v>752</v>
      </c>
      <c r="K483" s="569">
        <v>5</v>
      </c>
      <c r="L483" s="569">
        <v>0</v>
      </c>
      <c r="M483" s="569" t="s">
        <v>157</v>
      </c>
      <c r="N483" s="569">
        <v>2</v>
      </c>
      <c r="O483" s="569" t="s">
        <v>157</v>
      </c>
      <c r="P483" s="568">
        <v>3500</v>
      </c>
      <c r="Q483" s="569" t="s">
        <v>231</v>
      </c>
      <c r="R483" s="569">
        <v>6</v>
      </c>
      <c r="S483" s="569" t="s">
        <v>1369</v>
      </c>
      <c r="T483" s="569" t="s">
        <v>1372</v>
      </c>
      <c r="U483" s="569">
        <v>114.8</v>
      </c>
      <c r="V483" s="569">
        <v>24.6</v>
      </c>
      <c r="W483" s="620">
        <v>6500</v>
      </c>
      <c r="X483" s="621">
        <v>21</v>
      </c>
      <c r="Y483" s="621" t="s">
        <v>178</v>
      </c>
      <c r="Z483" s="621" t="s">
        <v>178</v>
      </c>
      <c r="AA483" s="622">
        <v>36740</v>
      </c>
      <c r="AB483" s="622" t="s">
        <v>164</v>
      </c>
      <c r="AC483" s="622">
        <v>28422</v>
      </c>
      <c r="AD483" s="623">
        <v>6.25E-2</v>
      </c>
      <c r="AE483" s="621" t="s">
        <v>1371</v>
      </c>
    </row>
    <row r="484" spans="1:31" s="572" customFormat="1">
      <c r="A484" s="570" t="s">
        <v>1373</v>
      </c>
      <c r="B484" s="573" t="s">
        <v>240</v>
      </c>
      <c r="C484" s="578" t="s">
        <v>241</v>
      </c>
      <c r="D484" s="573" t="s">
        <v>699</v>
      </c>
      <c r="E484" s="573" t="s">
        <v>196</v>
      </c>
      <c r="F484" s="573" t="s">
        <v>1336</v>
      </c>
      <c r="G484" s="573">
        <v>2019</v>
      </c>
      <c r="H484" s="573" t="s">
        <v>1367</v>
      </c>
      <c r="I484" s="573" t="s">
        <v>1368</v>
      </c>
      <c r="J484" s="573" t="s">
        <v>752</v>
      </c>
      <c r="K484" s="573">
        <v>5</v>
      </c>
      <c r="L484" s="573">
        <v>0</v>
      </c>
      <c r="M484" s="573" t="s">
        <v>157</v>
      </c>
      <c r="N484" s="573">
        <v>2</v>
      </c>
      <c r="O484" s="573" t="s">
        <v>157</v>
      </c>
      <c r="P484" s="571">
        <v>3500</v>
      </c>
      <c r="Q484" s="573" t="s">
        <v>231</v>
      </c>
      <c r="R484" s="573">
        <v>6</v>
      </c>
      <c r="S484" s="582" t="s">
        <v>1369</v>
      </c>
      <c r="T484" s="573" t="s">
        <v>902</v>
      </c>
      <c r="U484" s="573">
        <v>114.8</v>
      </c>
      <c r="V484" s="573">
        <v>24.6</v>
      </c>
      <c r="W484" s="616">
        <v>6500</v>
      </c>
      <c r="X484" s="617">
        <v>21</v>
      </c>
      <c r="Y484" s="617" t="s">
        <v>178</v>
      </c>
      <c r="Z484" s="617" t="s">
        <v>178</v>
      </c>
      <c r="AA484" s="618">
        <v>35190</v>
      </c>
      <c r="AB484" s="618" t="s">
        <v>164</v>
      </c>
      <c r="AC484" s="618">
        <v>27577.083333333336</v>
      </c>
      <c r="AD484" s="619">
        <v>0.05</v>
      </c>
      <c r="AE484" s="617" t="s">
        <v>1366</v>
      </c>
    </row>
    <row r="485" spans="1:31" s="572" customFormat="1">
      <c r="A485" s="570" t="s">
        <v>1374</v>
      </c>
      <c r="B485" s="569" t="s">
        <v>226</v>
      </c>
      <c r="C485" s="580" t="s">
        <v>227</v>
      </c>
      <c r="D485" s="569" t="s">
        <v>699</v>
      </c>
      <c r="E485" s="569" t="s">
        <v>196</v>
      </c>
      <c r="F485" s="569" t="s">
        <v>1336</v>
      </c>
      <c r="G485" s="569">
        <v>2019</v>
      </c>
      <c r="H485" s="569" t="s">
        <v>1367</v>
      </c>
      <c r="I485" s="569" t="s">
        <v>1368</v>
      </c>
      <c r="J485" s="569" t="s">
        <v>236</v>
      </c>
      <c r="K485" s="569">
        <v>5</v>
      </c>
      <c r="L485" s="569">
        <v>0</v>
      </c>
      <c r="M485" s="569" t="s">
        <v>157</v>
      </c>
      <c r="N485" s="569">
        <v>2</v>
      </c>
      <c r="O485" s="569" t="s">
        <v>157</v>
      </c>
      <c r="P485" s="568">
        <v>3500</v>
      </c>
      <c r="Q485" s="569" t="s">
        <v>231</v>
      </c>
      <c r="R485" s="569">
        <v>6</v>
      </c>
      <c r="S485" s="569" t="s">
        <v>1376</v>
      </c>
      <c r="T485" s="569" t="s">
        <v>902</v>
      </c>
      <c r="U485" s="569">
        <v>114.8</v>
      </c>
      <c r="V485" s="569">
        <v>24.6</v>
      </c>
      <c r="W485" s="620">
        <v>6500</v>
      </c>
      <c r="X485" s="621">
        <v>21</v>
      </c>
      <c r="Y485" s="621" t="s">
        <v>178</v>
      </c>
      <c r="Z485" s="621" t="s">
        <v>178</v>
      </c>
      <c r="AA485" s="622">
        <v>32890</v>
      </c>
      <c r="AB485" s="622" t="s">
        <v>164</v>
      </c>
      <c r="AC485" s="622">
        <v>25580</v>
      </c>
      <c r="AD485" s="623">
        <v>6.25E-2</v>
      </c>
      <c r="AE485" s="621" t="s">
        <v>1375</v>
      </c>
    </row>
    <row r="486" spans="1:31" s="572" customFormat="1">
      <c r="A486" s="570" t="s">
        <v>1377</v>
      </c>
      <c r="B486" s="573" t="s">
        <v>226</v>
      </c>
      <c r="C486" s="578" t="s">
        <v>227</v>
      </c>
      <c r="D486" s="573" t="s">
        <v>699</v>
      </c>
      <c r="E486" s="573" t="s">
        <v>196</v>
      </c>
      <c r="F486" s="573" t="s">
        <v>1336</v>
      </c>
      <c r="G486" s="573">
        <v>2019</v>
      </c>
      <c r="H486" s="573" t="s">
        <v>1367</v>
      </c>
      <c r="I486" s="573" t="s">
        <v>1368</v>
      </c>
      <c r="J486" s="573" t="s">
        <v>236</v>
      </c>
      <c r="K486" s="573">
        <v>5</v>
      </c>
      <c r="L486" s="573">
        <v>0</v>
      </c>
      <c r="M486" s="573" t="s">
        <v>157</v>
      </c>
      <c r="N486" s="573">
        <v>2</v>
      </c>
      <c r="O486" s="573" t="s">
        <v>157</v>
      </c>
      <c r="P486" s="571">
        <v>3500</v>
      </c>
      <c r="Q486" s="573" t="s">
        <v>231</v>
      </c>
      <c r="R486" s="573">
        <v>6</v>
      </c>
      <c r="S486" s="582" t="s">
        <v>1376</v>
      </c>
      <c r="T486" s="573" t="s">
        <v>1372</v>
      </c>
      <c r="U486" s="573">
        <v>114.8</v>
      </c>
      <c r="V486" s="573">
        <v>24.6</v>
      </c>
      <c r="W486" s="616">
        <v>6500</v>
      </c>
      <c r="X486" s="617">
        <v>21</v>
      </c>
      <c r="Y486" s="617" t="s">
        <v>178</v>
      </c>
      <c r="Z486" s="617" t="s">
        <v>178</v>
      </c>
      <c r="AA486" s="618">
        <v>34740</v>
      </c>
      <c r="AB486" s="618" t="s">
        <v>164</v>
      </c>
      <c r="AC486" s="618">
        <v>26625</v>
      </c>
      <c r="AD486" s="619">
        <v>6.25E-2</v>
      </c>
      <c r="AE486" s="617" t="s">
        <v>1378</v>
      </c>
    </row>
    <row r="487" spans="1:31" s="572" customFormat="1">
      <c r="A487" s="570" t="s">
        <v>1379</v>
      </c>
      <c r="B487" s="569" t="s">
        <v>240</v>
      </c>
      <c r="C487" s="580" t="s">
        <v>241</v>
      </c>
      <c r="D487" s="569" t="s">
        <v>699</v>
      </c>
      <c r="E487" s="569" t="s">
        <v>196</v>
      </c>
      <c r="F487" s="569" t="s">
        <v>1336</v>
      </c>
      <c r="G487" s="569">
        <v>2019</v>
      </c>
      <c r="H487" s="569" t="s">
        <v>1367</v>
      </c>
      <c r="I487" s="569" t="s">
        <v>1368</v>
      </c>
      <c r="J487" s="569" t="s">
        <v>236</v>
      </c>
      <c r="K487" s="569">
        <v>5</v>
      </c>
      <c r="L487" s="569">
        <v>0</v>
      </c>
      <c r="M487" s="569" t="s">
        <v>157</v>
      </c>
      <c r="N487" s="569">
        <v>2</v>
      </c>
      <c r="O487" s="569" t="s">
        <v>157</v>
      </c>
      <c r="P487" s="568">
        <v>3500</v>
      </c>
      <c r="Q487" s="569" t="s">
        <v>231</v>
      </c>
      <c r="R487" s="569">
        <v>6</v>
      </c>
      <c r="S487" s="569" t="s">
        <v>1376</v>
      </c>
      <c r="T487" s="569" t="s">
        <v>902</v>
      </c>
      <c r="U487" s="569">
        <v>114.8</v>
      </c>
      <c r="V487" s="569">
        <v>24.6</v>
      </c>
      <c r="W487" s="620">
        <v>6500</v>
      </c>
      <c r="X487" s="621">
        <v>21</v>
      </c>
      <c r="Y487" s="621" t="s">
        <v>178</v>
      </c>
      <c r="Z487" s="621" t="s">
        <v>178</v>
      </c>
      <c r="AA487" s="622">
        <v>32890</v>
      </c>
      <c r="AB487" s="622" t="s">
        <v>164</v>
      </c>
      <c r="AC487" s="622">
        <v>25397.916666666668</v>
      </c>
      <c r="AD487" s="623">
        <v>0.05</v>
      </c>
      <c r="AE487" s="621" t="s">
        <v>1375</v>
      </c>
    </row>
    <row r="488" spans="1:31" s="572" customFormat="1">
      <c r="A488" s="570" t="s">
        <v>1380</v>
      </c>
      <c r="B488" s="573" t="s">
        <v>240</v>
      </c>
      <c r="C488" s="578" t="s">
        <v>241</v>
      </c>
      <c r="D488" s="573" t="s">
        <v>699</v>
      </c>
      <c r="E488" s="573" t="s">
        <v>196</v>
      </c>
      <c r="F488" s="573" t="s">
        <v>1336</v>
      </c>
      <c r="G488" s="573">
        <v>2019</v>
      </c>
      <c r="H488" s="573" t="s">
        <v>1367</v>
      </c>
      <c r="I488" s="573" t="s">
        <v>1382</v>
      </c>
      <c r="J488" s="573" t="s">
        <v>752</v>
      </c>
      <c r="K488" s="573">
        <v>5</v>
      </c>
      <c r="L488" s="573">
        <v>0</v>
      </c>
      <c r="M488" s="573" t="s">
        <v>157</v>
      </c>
      <c r="N488" s="573">
        <v>2</v>
      </c>
      <c r="O488" s="573" t="s">
        <v>157</v>
      </c>
      <c r="P488" s="571">
        <v>3500</v>
      </c>
      <c r="Q488" s="573" t="s">
        <v>231</v>
      </c>
      <c r="R488" s="573">
        <v>6</v>
      </c>
      <c r="S488" s="582" t="s">
        <v>1369</v>
      </c>
      <c r="T488" s="573" t="s">
        <v>1372</v>
      </c>
      <c r="U488" s="573">
        <v>114.8</v>
      </c>
      <c r="V488" s="573">
        <v>24.6</v>
      </c>
      <c r="W488" s="616">
        <v>6500</v>
      </c>
      <c r="X488" s="617">
        <v>21</v>
      </c>
      <c r="Y488" s="617" t="s">
        <v>178</v>
      </c>
      <c r="Z488" s="617" t="s">
        <v>178</v>
      </c>
      <c r="AA488" s="618">
        <v>36740</v>
      </c>
      <c r="AB488" s="618" t="s">
        <v>164</v>
      </c>
      <c r="AC488" s="618">
        <v>28329.166666666668</v>
      </c>
      <c r="AD488" s="619">
        <v>0.05</v>
      </c>
      <c r="AE488" s="617" t="s">
        <v>1381</v>
      </c>
    </row>
    <row r="489" spans="1:31" s="572" customFormat="1">
      <c r="A489" s="570" t="s">
        <v>1383</v>
      </c>
      <c r="B489" s="569" t="s">
        <v>240</v>
      </c>
      <c r="C489" s="580" t="s">
        <v>241</v>
      </c>
      <c r="D489" s="569" t="s">
        <v>699</v>
      </c>
      <c r="E489" s="569" t="s">
        <v>196</v>
      </c>
      <c r="F489" s="569" t="s">
        <v>1336</v>
      </c>
      <c r="G489" s="569">
        <v>2019</v>
      </c>
      <c r="H489" s="569" t="s">
        <v>1367</v>
      </c>
      <c r="I489" s="569" t="s">
        <v>1382</v>
      </c>
      <c r="J489" s="569" t="s">
        <v>236</v>
      </c>
      <c r="K489" s="569">
        <v>5</v>
      </c>
      <c r="L489" s="569">
        <v>0</v>
      </c>
      <c r="M489" s="569" t="s">
        <v>157</v>
      </c>
      <c r="N489" s="569">
        <v>2</v>
      </c>
      <c r="O489" s="569" t="s">
        <v>157</v>
      </c>
      <c r="P489" s="568">
        <v>3500</v>
      </c>
      <c r="Q489" s="569" t="s">
        <v>231</v>
      </c>
      <c r="R489" s="569">
        <v>6</v>
      </c>
      <c r="S489" s="569" t="s">
        <v>1376</v>
      </c>
      <c r="T489" s="569" t="s">
        <v>1372</v>
      </c>
      <c r="U489" s="569">
        <v>114.8</v>
      </c>
      <c r="V489" s="569">
        <v>24.6</v>
      </c>
      <c r="W489" s="620">
        <v>6500</v>
      </c>
      <c r="X489" s="621">
        <v>21</v>
      </c>
      <c r="Y489" s="621" t="s">
        <v>178</v>
      </c>
      <c r="Z489" s="621" t="s">
        <v>178</v>
      </c>
      <c r="AA489" s="622">
        <v>34740</v>
      </c>
      <c r="AB489" s="622" t="s">
        <v>164</v>
      </c>
      <c r="AC489" s="622">
        <v>26475</v>
      </c>
      <c r="AD489" s="623">
        <v>0.05</v>
      </c>
      <c r="AE489" s="621" t="s">
        <v>1384</v>
      </c>
    </row>
    <row r="490" spans="1:31" s="572" customFormat="1">
      <c r="A490" s="570" t="s">
        <v>1385</v>
      </c>
      <c r="B490" s="573" t="s">
        <v>226</v>
      </c>
      <c r="C490" s="578" t="s">
        <v>227</v>
      </c>
      <c r="D490" s="573" t="s">
        <v>699</v>
      </c>
      <c r="E490" s="573" t="s">
        <v>196</v>
      </c>
      <c r="F490" s="573" t="s">
        <v>1336</v>
      </c>
      <c r="G490" s="573">
        <v>2019</v>
      </c>
      <c r="H490" s="573" t="s">
        <v>1367</v>
      </c>
      <c r="I490" s="573" t="s">
        <v>315</v>
      </c>
      <c r="J490" s="573" t="s">
        <v>752</v>
      </c>
      <c r="K490" s="573">
        <v>5</v>
      </c>
      <c r="L490" s="573">
        <v>0</v>
      </c>
      <c r="M490" s="573" t="s">
        <v>157</v>
      </c>
      <c r="N490" s="573">
        <v>2</v>
      </c>
      <c r="O490" s="573" t="s">
        <v>157</v>
      </c>
      <c r="P490" s="571">
        <v>3500</v>
      </c>
      <c r="Q490" s="573" t="s">
        <v>231</v>
      </c>
      <c r="R490" s="573">
        <v>6</v>
      </c>
      <c r="S490" s="582" t="s">
        <v>1387</v>
      </c>
      <c r="T490" s="573" t="s">
        <v>1388</v>
      </c>
      <c r="U490" s="573">
        <v>114.8</v>
      </c>
      <c r="V490" s="573">
        <v>24.6</v>
      </c>
      <c r="W490" s="616">
        <v>6500</v>
      </c>
      <c r="X490" s="617">
        <v>21</v>
      </c>
      <c r="Y490" s="617" t="s">
        <v>178</v>
      </c>
      <c r="Z490" s="617" t="s">
        <v>178</v>
      </c>
      <c r="AA490" s="618">
        <v>42140</v>
      </c>
      <c r="AB490" s="618" t="s">
        <v>164</v>
      </c>
      <c r="AC490" s="618">
        <v>33275</v>
      </c>
      <c r="AD490" s="619">
        <v>6.25E-2</v>
      </c>
      <c r="AE490" s="617" t="s">
        <v>1386</v>
      </c>
    </row>
    <row r="491" spans="1:31" s="572" customFormat="1">
      <c r="A491" s="570" t="s">
        <v>1389</v>
      </c>
      <c r="B491" s="569" t="s">
        <v>240</v>
      </c>
      <c r="C491" s="580" t="s">
        <v>241</v>
      </c>
      <c r="D491" s="569" t="s">
        <v>699</v>
      </c>
      <c r="E491" s="569" t="s">
        <v>196</v>
      </c>
      <c r="F491" s="569" t="s">
        <v>1336</v>
      </c>
      <c r="G491" s="569">
        <v>2019</v>
      </c>
      <c r="H491" s="569" t="s">
        <v>1367</v>
      </c>
      <c r="I491" s="569" t="s">
        <v>315</v>
      </c>
      <c r="J491" s="569" t="s">
        <v>752</v>
      </c>
      <c r="K491" s="569">
        <v>5</v>
      </c>
      <c r="L491" s="569">
        <v>0</v>
      </c>
      <c r="M491" s="569" t="s">
        <v>157</v>
      </c>
      <c r="N491" s="569">
        <v>2</v>
      </c>
      <c r="O491" s="569" t="s">
        <v>157</v>
      </c>
      <c r="P491" s="568">
        <v>3500</v>
      </c>
      <c r="Q491" s="569" t="s">
        <v>231</v>
      </c>
      <c r="R491" s="569">
        <v>6</v>
      </c>
      <c r="S491" s="569" t="s">
        <v>1387</v>
      </c>
      <c r="T491" s="569" t="s">
        <v>1388</v>
      </c>
      <c r="U491" s="569">
        <v>114.8</v>
      </c>
      <c r="V491" s="569">
        <v>24.6</v>
      </c>
      <c r="W491" s="620">
        <v>6500</v>
      </c>
      <c r="X491" s="621">
        <v>21</v>
      </c>
      <c r="Y491" s="621" t="s">
        <v>178</v>
      </c>
      <c r="Z491" s="621" t="s">
        <v>178</v>
      </c>
      <c r="AA491" s="622">
        <v>42140</v>
      </c>
      <c r="AB491" s="622" t="s">
        <v>164</v>
      </c>
      <c r="AC491" s="622">
        <v>33334.375</v>
      </c>
      <c r="AD491" s="623">
        <v>0.05</v>
      </c>
      <c r="AE491" s="621" t="s">
        <v>1386</v>
      </c>
    </row>
    <row r="492" spans="1:31" s="572" customFormat="1">
      <c r="A492" s="570" t="s">
        <v>1390</v>
      </c>
      <c r="B492" s="573" t="s">
        <v>226</v>
      </c>
      <c r="C492" s="578" t="s">
        <v>227</v>
      </c>
      <c r="D492" s="573" t="s">
        <v>699</v>
      </c>
      <c r="E492" s="573" t="s">
        <v>211</v>
      </c>
      <c r="F492" s="573" t="s">
        <v>1336</v>
      </c>
      <c r="G492" s="573">
        <v>2019</v>
      </c>
      <c r="H492" s="573" t="s">
        <v>1392</v>
      </c>
      <c r="I492" s="573" t="s">
        <v>1338</v>
      </c>
      <c r="J492" s="573" t="s">
        <v>752</v>
      </c>
      <c r="K492" s="573">
        <v>5</v>
      </c>
      <c r="L492" s="573">
        <v>0</v>
      </c>
      <c r="M492" s="573" t="s">
        <v>157</v>
      </c>
      <c r="N492" s="573">
        <v>2</v>
      </c>
      <c r="O492" s="573" t="s">
        <v>157</v>
      </c>
      <c r="P492" s="571">
        <v>2000</v>
      </c>
      <c r="Q492" s="573" t="s">
        <v>539</v>
      </c>
      <c r="R492" s="573">
        <v>4</v>
      </c>
      <c r="S492" s="582" t="s">
        <v>1393</v>
      </c>
      <c r="T492" s="573" t="s">
        <v>1394</v>
      </c>
      <c r="U492" s="573">
        <v>101.2</v>
      </c>
      <c r="V492" s="573">
        <v>12.7</v>
      </c>
      <c r="W492" s="616">
        <v>4586</v>
      </c>
      <c r="X492" s="617">
        <v>24</v>
      </c>
      <c r="Y492" s="617" t="s">
        <v>178</v>
      </c>
      <c r="Z492" s="617" t="s">
        <v>178</v>
      </c>
      <c r="AA492" s="618">
        <v>26620</v>
      </c>
      <c r="AB492" s="618" t="s">
        <v>164</v>
      </c>
      <c r="AC492" s="618">
        <v>21863</v>
      </c>
      <c r="AD492" s="619">
        <v>6.25E-2</v>
      </c>
      <c r="AE492" s="617" t="s">
        <v>1391</v>
      </c>
    </row>
    <row r="493" spans="1:31" s="572" customFormat="1">
      <c r="A493" s="570" t="s">
        <v>1395</v>
      </c>
      <c r="B493" s="569" t="s">
        <v>240</v>
      </c>
      <c r="C493" s="580" t="s">
        <v>241</v>
      </c>
      <c r="D493" s="569" t="s">
        <v>699</v>
      </c>
      <c r="E493" s="569" t="s">
        <v>211</v>
      </c>
      <c r="F493" s="569" t="s">
        <v>1336</v>
      </c>
      <c r="G493" s="569">
        <v>2019</v>
      </c>
      <c r="H493" s="569" t="s">
        <v>1392</v>
      </c>
      <c r="I493" s="569" t="s">
        <v>1338</v>
      </c>
      <c r="J493" s="569" t="s">
        <v>752</v>
      </c>
      <c r="K493" s="569">
        <v>5</v>
      </c>
      <c r="L493" s="569">
        <v>0</v>
      </c>
      <c r="M493" s="569" t="s">
        <v>157</v>
      </c>
      <c r="N493" s="569">
        <v>2</v>
      </c>
      <c r="O493" s="569" t="s">
        <v>157</v>
      </c>
      <c r="P493" s="568" t="s">
        <v>157</v>
      </c>
      <c r="Q493" s="569" t="s">
        <v>539</v>
      </c>
      <c r="R493" s="569">
        <v>4</v>
      </c>
      <c r="S493" s="569" t="s">
        <v>1393</v>
      </c>
      <c r="T493" s="569" t="s">
        <v>1394</v>
      </c>
      <c r="U493" s="569">
        <v>101.2</v>
      </c>
      <c r="V493" s="569">
        <v>12.7</v>
      </c>
      <c r="W493" s="620">
        <v>4586</v>
      </c>
      <c r="X493" s="621">
        <v>24</v>
      </c>
      <c r="Y493" s="621" t="s">
        <v>178</v>
      </c>
      <c r="Z493" s="621" t="s">
        <v>178</v>
      </c>
      <c r="AA493" s="622">
        <v>26620</v>
      </c>
      <c r="AB493" s="622" t="s">
        <v>164</v>
      </c>
      <c r="AC493" s="622">
        <v>22359</v>
      </c>
      <c r="AD493" s="623">
        <v>0.05</v>
      </c>
      <c r="AE493" s="621" t="s">
        <v>1391</v>
      </c>
    </row>
    <row r="494" spans="1:31" s="572" customFormat="1">
      <c r="A494" s="570" t="s">
        <v>1396</v>
      </c>
      <c r="B494" s="573" t="s">
        <v>226</v>
      </c>
      <c r="C494" s="578" t="s">
        <v>227</v>
      </c>
      <c r="D494" s="573" t="s">
        <v>699</v>
      </c>
      <c r="E494" s="573" t="s">
        <v>211</v>
      </c>
      <c r="F494" s="573" t="s">
        <v>1336</v>
      </c>
      <c r="G494" s="573">
        <v>2019</v>
      </c>
      <c r="H494" s="573" t="s">
        <v>1392</v>
      </c>
      <c r="I494" s="573" t="s">
        <v>409</v>
      </c>
      <c r="J494" s="573" t="s">
        <v>752</v>
      </c>
      <c r="K494" s="573">
        <v>5</v>
      </c>
      <c r="L494" s="573">
        <v>0</v>
      </c>
      <c r="M494" s="573" t="s">
        <v>157</v>
      </c>
      <c r="N494" s="573">
        <v>2</v>
      </c>
      <c r="O494" s="573" t="s">
        <v>157</v>
      </c>
      <c r="P494" s="571">
        <v>2000</v>
      </c>
      <c r="Q494" s="573" t="s">
        <v>539</v>
      </c>
      <c r="R494" s="573">
        <v>4</v>
      </c>
      <c r="S494" s="582" t="s">
        <v>1398</v>
      </c>
      <c r="T494" s="573" t="s">
        <v>1399</v>
      </c>
      <c r="U494" s="573">
        <v>101.2</v>
      </c>
      <c r="V494" s="573">
        <v>12.7</v>
      </c>
      <c r="W494" s="616">
        <v>4586</v>
      </c>
      <c r="X494" s="617">
        <v>24</v>
      </c>
      <c r="Y494" s="617" t="s">
        <v>178</v>
      </c>
      <c r="Z494" s="617" t="s">
        <v>178</v>
      </c>
      <c r="AA494" s="618">
        <v>24770</v>
      </c>
      <c r="AB494" s="618" t="s">
        <v>164</v>
      </c>
      <c r="AC494" s="618">
        <v>19949</v>
      </c>
      <c r="AD494" s="619">
        <v>6.25E-2</v>
      </c>
      <c r="AE494" s="617" t="s">
        <v>1397</v>
      </c>
    </row>
    <row r="495" spans="1:31" s="572" customFormat="1">
      <c r="A495" s="570" t="s">
        <v>1400</v>
      </c>
      <c r="B495" s="569" t="s">
        <v>240</v>
      </c>
      <c r="C495" s="580" t="s">
        <v>241</v>
      </c>
      <c r="D495" s="569" t="s">
        <v>699</v>
      </c>
      <c r="E495" s="569" t="s">
        <v>211</v>
      </c>
      <c r="F495" s="569" t="s">
        <v>1336</v>
      </c>
      <c r="G495" s="569">
        <v>2019</v>
      </c>
      <c r="H495" s="569" t="s">
        <v>1392</v>
      </c>
      <c r="I495" s="569" t="s">
        <v>409</v>
      </c>
      <c r="J495" s="569" t="s">
        <v>752</v>
      </c>
      <c r="K495" s="569">
        <v>5</v>
      </c>
      <c r="L495" s="569">
        <v>0</v>
      </c>
      <c r="M495" s="569" t="s">
        <v>157</v>
      </c>
      <c r="N495" s="569">
        <v>2</v>
      </c>
      <c r="O495" s="569" t="s">
        <v>157</v>
      </c>
      <c r="P495" s="568" t="s">
        <v>157</v>
      </c>
      <c r="Q495" s="569" t="s">
        <v>539</v>
      </c>
      <c r="R495" s="569">
        <v>4</v>
      </c>
      <c r="S495" s="569" t="s">
        <v>1402</v>
      </c>
      <c r="T495" s="569" t="s">
        <v>1403</v>
      </c>
      <c r="U495" s="569">
        <v>101.2</v>
      </c>
      <c r="V495" s="569">
        <v>12.7</v>
      </c>
      <c r="W495" s="620">
        <v>4586</v>
      </c>
      <c r="X495" s="621">
        <v>24</v>
      </c>
      <c r="Y495" s="621" t="s">
        <v>178</v>
      </c>
      <c r="Z495" s="621" t="s">
        <v>178</v>
      </c>
      <c r="AA495" s="622">
        <v>24770</v>
      </c>
      <c r="AB495" s="622" t="s">
        <v>164</v>
      </c>
      <c r="AC495" s="622">
        <v>20329</v>
      </c>
      <c r="AD495" s="623">
        <v>0.05</v>
      </c>
      <c r="AE495" s="621" t="s">
        <v>1401</v>
      </c>
    </row>
    <row r="496" spans="1:31" s="572" customFormat="1">
      <c r="A496" s="570" t="s">
        <v>1404</v>
      </c>
      <c r="B496" s="573" t="s">
        <v>240</v>
      </c>
      <c r="C496" s="578" t="s">
        <v>241</v>
      </c>
      <c r="D496" s="573" t="s">
        <v>699</v>
      </c>
      <c r="E496" s="573" t="s">
        <v>211</v>
      </c>
      <c r="F496" s="573" t="s">
        <v>1336</v>
      </c>
      <c r="G496" s="573">
        <v>2019</v>
      </c>
      <c r="H496" s="573" t="s">
        <v>1406</v>
      </c>
      <c r="I496" s="573" t="s">
        <v>1407</v>
      </c>
      <c r="J496" s="573" t="s">
        <v>752</v>
      </c>
      <c r="K496" s="573">
        <v>4</v>
      </c>
      <c r="L496" s="573">
        <v>0</v>
      </c>
      <c r="M496" s="573" t="s">
        <v>157</v>
      </c>
      <c r="N496" s="573">
        <v>2</v>
      </c>
      <c r="O496" s="573" t="s">
        <v>157</v>
      </c>
      <c r="P496" s="571">
        <v>2000</v>
      </c>
      <c r="Q496" s="573" t="s">
        <v>231</v>
      </c>
      <c r="R496" s="573">
        <v>6</v>
      </c>
      <c r="S496" s="582" t="s">
        <v>1408</v>
      </c>
      <c r="T496" s="573" t="s">
        <v>1409</v>
      </c>
      <c r="U496" s="573">
        <v>96.8</v>
      </c>
      <c r="V496" s="573">
        <v>17.5</v>
      </c>
      <c r="W496" s="616">
        <v>5100</v>
      </c>
      <c r="X496" s="617">
        <v>20</v>
      </c>
      <c r="Y496" s="617" t="s">
        <v>178</v>
      </c>
      <c r="Z496" s="617" t="s">
        <v>178</v>
      </c>
      <c r="AA496" s="618">
        <v>41390</v>
      </c>
      <c r="AB496" s="618" t="s">
        <v>164</v>
      </c>
      <c r="AC496" s="618">
        <v>38040.625</v>
      </c>
      <c r="AD496" s="619">
        <v>0.05</v>
      </c>
      <c r="AE496" s="617" t="s">
        <v>1405</v>
      </c>
    </row>
    <row r="497" spans="1:31" s="572" customFormat="1">
      <c r="A497" s="570" t="s">
        <v>1410</v>
      </c>
      <c r="B497" s="569" t="s">
        <v>240</v>
      </c>
      <c r="C497" s="580" t="s">
        <v>241</v>
      </c>
      <c r="D497" s="569" t="s">
        <v>699</v>
      </c>
      <c r="E497" s="569" t="s">
        <v>211</v>
      </c>
      <c r="F497" s="569" t="s">
        <v>1336</v>
      </c>
      <c r="G497" s="569">
        <v>2019</v>
      </c>
      <c r="H497" s="569" t="s">
        <v>1406</v>
      </c>
      <c r="I497" s="569" t="s">
        <v>1412</v>
      </c>
      <c r="J497" s="569" t="s">
        <v>752</v>
      </c>
      <c r="K497" s="569">
        <v>4</v>
      </c>
      <c r="L497" s="569">
        <v>0</v>
      </c>
      <c r="M497" s="569" t="s">
        <v>157</v>
      </c>
      <c r="N497" s="569">
        <v>2</v>
      </c>
      <c r="O497" s="569" t="s">
        <v>157</v>
      </c>
      <c r="P497" s="568">
        <v>2000</v>
      </c>
      <c r="Q497" s="569" t="s">
        <v>231</v>
      </c>
      <c r="R497" s="569">
        <v>6</v>
      </c>
      <c r="S497" s="569" t="s">
        <v>1413</v>
      </c>
      <c r="T497" s="569" t="s">
        <v>1414</v>
      </c>
      <c r="U497" s="569">
        <v>96.8</v>
      </c>
      <c r="V497" s="569">
        <v>17.5</v>
      </c>
      <c r="W497" s="620">
        <v>5100</v>
      </c>
      <c r="X497" s="621">
        <v>20</v>
      </c>
      <c r="Y497" s="621" t="s">
        <v>178</v>
      </c>
      <c r="Z497" s="621" t="s">
        <v>178</v>
      </c>
      <c r="AA497" s="622">
        <v>32685</v>
      </c>
      <c r="AB497" s="622" t="s">
        <v>164</v>
      </c>
      <c r="AC497" s="622">
        <v>30825</v>
      </c>
      <c r="AD497" s="623">
        <v>0.05</v>
      </c>
      <c r="AE497" s="621" t="s">
        <v>1411</v>
      </c>
    </row>
    <row r="498" spans="1:31" s="572" customFormat="1">
      <c r="A498" s="570" t="s">
        <v>1415</v>
      </c>
      <c r="B498" s="573" t="s">
        <v>226</v>
      </c>
      <c r="C498" s="578" t="s">
        <v>227</v>
      </c>
      <c r="D498" s="573" t="s">
        <v>699</v>
      </c>
      <c r="E498" s="573" t="s">
        <v>211</v>
      </c>
      <c r="F498" s="573" t="s">
        <v>1336</v>
      </c>
      <c r="G498" s="573">
        <v>2019</v>
      </c>
      <c r="H498" s="573" t="s">
        <v>1416</v>
      </c>
      <c r="I498" s="573" t="s">
        <v>1407</v>
      </c>
      <c r="J498" s="573" t="s">
        <v>752</v>
      </c>
      <c r="K498" s="573">
        <v>4</v>
      </c>
      <c r="L498" s="573">
        <v>0</v>
      </c>
      <c r="M498" s="573" t="s">
        <v>157</v>
      </c>
      <c r="N498" s="573">
        <v>2</v>
      </c>
      <c r="O498" s="573" t="s">
        <v>157</v>
      </c>
      <c r="P498" s="571">
        <v>2000</v>
      </c>
      <c r="Q498" s="573" t="s">
        <v>231</v>
      </c>
      <c r="R498" s="573">
        <v>6</v>
      </c>
      <c r="S498" s="582" t="s">
        <v>1408</v>
      </c>
      <c r="T498" s="573" t="s">
        <v>1409</v>
      </c>
      <c r="U498" s="573">
        <v>95.4</v>
      </c>
      <c r="V498" s="573">
        <v>18.600000000000001</v>
      </c>
      <c r="W498" s="616">
        <v>5100</v>
      </c>
      <c r="X498" s="617">
        <v>18</v>
      </c>
      <c r="Y498" s="617" t="s">
        <v>178</v>
      </c>
      <c r="Z498" s="617" t="s">
        <v>178</v>
      </c>
      <c r="AA498" s="618">
        <v>41390</v>
      </c>
      <c r="AB498" s="618" t="s">
        <v>164</v>
      </c>
      <c r="AC498" s="618">
        <v>37839</v>
      </c>
      <c r="AD498" s="619">
        <v>6.25E-2</v>
      </c>
      <c r="AE498" s="617" t="s">
        <v>1405</v>
      </c>
    </row>
    <row r="499" spans="1:31" s="572" customFormat="1">
      <c r="A499" s="570" t="s">
        <v>1417</v>
      </c>
      <c r="B499" s="569" t="s">
        <v>226</v>
      </c>
      <c r="C499" s="580" t="s">
        <v>227</v>
      </c>
      <c r="D499" s="569" t="s">
        <v>699</v>
      </c>
      <c r="E499" s="569" t="s">
        <v>211</v>
      </c>
      <c r="F499" s="569" t="s">
        <v>1336</v>
      </c>
      <c r="G499" s="569">
        <v>2019</v>
      </c>
      <c r="H499" s="569" t="s">
        <v>1416</v>
      </c>
      <c r="I499" s="569" t="s">
        <v>409</v>
      </c>
      <c r="J499" s="569" t="s">
        <v>752</v>
      </c>
      <c r="K499" s="569">
        <v>4</v>
      </c>
      <c r="L499" s="569">
        <v>0</v>
      </c>
      <c r="M499" s="569" t="s">
        <v>157</v>
      </c>
      <c r="N499" s="569">
        <v>2</v>
      </c>
      <c r="O499" s="569" t="s">
        <v>157</v>
      </c>
      <c r="P499" s="568">
        <v>2000</v>
      </c>
      <c r="Q499" s="569" t="s">
        <v>231</v>
      </c>
      <c r="R499" s="569">
        <v>6</v>
      </c>
      <c r="S499" s="569" t="s">
        <v>1413</v>
      </c>
      <c r="T499" s="569" t="s">
        <v>1419</v>
      </c>
      <c r="U499" s="569">
        <v>95.4</v>
      </c>
      <c r="V499" s="569">
        <v>18.600000000000001</v>
      </c>
      <c r="W499" s="620">
        <v>5000</v>
      </c>
      <c r="X499" s="621">
        <v>18</v>
      </c>
      <c r="Y499" s="621" t="s">
        <v>178</v>
      </c>
      <c r="Z499" s="621" t="s">
        <v>178</v>
      </c>
      <c r="AA499" s="622">
        <v>31390</v>
      </c>
      <c r="AB499" s="622" t="s">
        <v>164</v>
      </c>
      <c r="AC499" s="622">
        <v>29717</v>
      </c>
      <c r="AD499" s="623">
        <v>6.25E-2</v>
      </c>
      <c r="AE499" s="621" t="s">
        <v>1418</v>
      </c>
    </row>
    <row r="500" spans="1:31" s="572" customFormat="1">
      <c r="A500" s="570" t="s">
        <v>1420</v>
      </c>
      <c r="B500" s="573" t="s">
        <v>226</v>
      </c>
      <c r="C500" s="578" t="s">
        <v>227</v>
      </c>
      <c r="D500" s="573" t="s">
        <v>699</v>
      </c>
      <c r="E500" s="573" t="s">
        <v>152</v>
      </c>
      <c r="F500" s="573" t="s">
        <v>1336</v>
      </c>
      <c r="G500" s="573">
        <v>2019</v>
      </c>
      <c r="H500" s="573" t="s">
        <v>1422</v>
      </c>
      <c r="I500" s="573" t="s">
        <v>1407</v>
      </c>
      <c r="J500" s="573" t="s">
        <v>752</v>
      </c>
      <c r="K500" s="573">
        <v>5</v>
      </c>
      <c r="L500" s="573">
        <v>0</v>
      </c>
      <c r="M500" s="573" t="s">
        <v>157</v>
      </c>
      <c r="N500" s="573">
        <v>2</v>
      </c>
      <c r="O500" s="573" t="s">
        <v>157</v>
      </c>
      <c r="P500" s="571">
        <v>2000</v>
      </c>
      <c r="Q500" s="573" t="s">
        <v>231</v>
      </c>
      <c r="R500" s="573">
        <v>6</v>
      </c>
      <c r="S500" s="582" t="s">
        <v>1423</v>
      </c>
      <c r="T500" s="573" t="s">
        <v>1409</v>
      </c>
      <c r="U500" s="573">
        <v>116</v>
      </c>
      <c r="V500" s="573">
        <v>22.5</v>
      </c>
      <c r="W500" s="616">
        <v>5700</v>
      </c>
      <c r="X500" s="617">
        <v>18</v>
      </c>
      <c r="Y500" s="617" t="s">
        <v>178</v>
      </c>
      <c r="Z500" s="617" t="s">
        <v>178</v>
      </c>
      <c r="AA500" s="618">
        <v>44890</v>
      </c>
      <c r="AB500" s="618" t="s">
        <v>164</v>
      </c>
      <c r="AC500" s="618">
        <v>40949</v>
      </c>
      <c r="AD500" s="619">
        <v>6.25E-2</v>
      </c>
      <c r="AE500" s="617" t="s">
        <v>1421</v>
      </c>
    </row>
    <row r="501" spans="1:31" s="572" customFormat="1">
      <c r="A501" s="570" t="s">
        <v>1424</v>
      </c>
      <c r="B501" s="569" t="s">
        <v>226</v>
      </c>
      <c r="C501" s="580" t="s">
        <v>227</v>
      </c>
      <c r="D501" s="569" t="s">
        <v>699</v>
      </c>
      <c r="E501" s="569" t="s">
        <v>152</v>
      </c>
      <c r="F501" s="569" t="s">
        <v>1336</v>
      </c>
      <c r="G501" s="569">
        <v>2019</v>
      </c>
      <c r="H501" s="569" t="s">
        <v>1422</v>
      </c>
      <c r="I501" s="569" t="s">
        <v>1426</v>
      </c>
      <c r="J501" s="569" t="s">
        <v>752</v>
      </c>
      <c r="K501" s="569">
        <v>5</v>
      </c>
      <c r="L501" s="569">
        <v>0</v>
      </c>
      <c r="M501" s="569" t="s">
        <v>157</v>
      </c>
      <c r="N501" s="569">
        <v>2</v>
      </c>
      <c r="O501" s="569" t="s">
        <v>157</v>
      </c>
      <c r="P501" s="568">
        <v>2000</v>
      </c>
      <c r="Q501" s="569" t="s">
        <v>231</v>
      </c>
      <c r="R501" s="569">
        <v>6</v>
      </c>
      <c r="S501" s="569" t="s">
        <v>1427</v>
      </c>
      <c r="T501" s="569" t="s">
        <v>1414</v>
      </c>
      <c r="U501" s="569">
        <v>116</v>
      </c>
      <c r="V501" s="569">
        <v>22.5</v>
      </c>
      <c r="W501" s="620">
        <v>5500</v>
      </c>
      <c r="X501" s="621">
        <v>18</v>
      </c>
      <c r="Y501" s="621" t="s">
        <v>178</v>
      </c>
      <c r="Z501" s="621" t="s">
        <v>178</v>
      </c>
      <c r="AA501" s="622">
        <v>41740</v>
      </c>
      <c r="AB501" s="622" t="s">
        <v>164</v>
      </c>
      <c r="AC501" s="622">
        <v>38151</v>
      </c>
      <c r="AD501" s="623">
        <v>6.25E-2</v>
      </c>
      <c r="AE501" s="621" t="s">
        <v>1425</v>
      </c>
    </row>
    <row r="502" spans="1:31" s="572" customFormat="1">
      <c r="A502" s="570" t="s">
        <v>1428</v>
      </c>
      <c r="B502" s="573" t="s">
        <v>226</v>
      </c>
      <c r="C502" s="578" t="s">
        <v>227</v>
      </c>
      <c r="D502" s="573" t="s">
        <v>699</v>
      </c>
      <c r="E502" s="573" t="s">
        <v>152</v>
      </c>
      <c r="F502" s="573" t="s">
        <v>1336</v>
      </c>
      <c r="G502" s="573">
        <v>2019</v>
      </c>
      <c r="H502" s="573" t="s">
        <v>1422</v>
      </c>
      <c r="I502" s="573" t="s">
        <v>1430</v>
      </c>
      <c r="J502" s="573" t="s">
        <v>752</v>
      </c>
      <c r="K502" s="573">
        <v>5</v>
      </c>
      <c r="L502" s="573">
        <v>0</v>
      </c>
      <c r="M502" s="573" t="s">
        <v>157</v>
      </c>
      <c r="N502" s="573">
        <v>2</v>
      </c>
      <c r="O502" s="573" t="s">
        <v>157</v>
      </c>
      <c r="P502" s="571">
        <v>2000</v>
      </c>
      <c r="Q502" s="573" t="s">
        <v>231</v>
      </c>
      <c r="R502" s="573">
        <v>6</v>
      </c>
      <c r="S502" s="582" t="s">
        <v>1431</v>
      </c>
      <c r="T502" s="573" t="s">
        <v>1419</v>
      </c>
      <c r="U502" s="573">
        <v>116</v>
      </c>
      <c r="V502" s="573">
        <v>22.5</v>
      </c>
      <c r="W502" s="616">
        <v>5400</v>
      </c>
      <c r="X502" s="617">
        <v>18</v>
      </c>
      <c r="Y502" s="617" t="s">
        <v>178</v>
      </c>
      <c r="Z502" s="617" t="s">
        <v>178</v>
      </c>
      <c r="AA502" s="618">
        <v>34890</v>
      </c>
      <c r="AB502" s="618" t="s">
        <v>164</v>
      </c>
      <c r="AC502" s="618">
        <v>32723</v>
      </c>
      <c r="AD502" s="619">
        <v>6.25E-2</v>
      </c>
      <c r="AE502" s="617" t="s">
        <v>1429</v>
      </c>
    </row>
    <row r="503" spans="1:31" s="572" customFormat="1">
      <c r="A503" s="570" t="s">
        <v>1432</v>
      </c>
      <c r="B503" s="569" t="s">
        <v>240</v>
      </c>
      <c r="C503" s="580" t="s">
        <v>241</v>
      </c>
      <c r="D503" s="569" t="s">
        <v>699</v>
      </c>
      <c r="E503" s="569" t="s">
        <v>152</v>
      </c>
      <c r="F503" s="569" t="s">
        <v>1336</v>
      </c>
      <c r="G503" s="569">
        <v>2019</v>
      </c>
      <c r="H503" s="569" t="s">
        <v>1433</v>
      </c>
      <c r="I503" s="569" t="s">
        <v>1407</v>
      </c>
      <c r="J503" s="569" t="s">
        <v>752</v>
      </c>
      <c r="K503" s="569">
        <v>5</v>
      </c>
      <c r="L503" s="569">
        <v>0</v>
      </c>
      <c r="M503" s="569" t="s">
        <v>157</v>
      </c>
      <c r="N503" s="569">
        <v>2</v>
      </c>
      <c r="O503" s="569" t="s">
        <v>157</v>
      </c>
      <c r="P503" s="568">
        <v>3500</v>
      </c>
      <c r="Q503" s="569" t="s">
        <v>231</v>
      </c>
      <c r="R503" s="569">
        <v>6</v>
      </c>
      <c r="S503" s="569" t="s">
        <v>1423</v>
      </c>
      <c r="T503" s="569" t="s">
        <v>1409</v>
      </c>
      <c r="U503" s="569">
        <v>118.4</v>
      </c>
      <c r="V503" s="569">
        <v>21.5</v>
      </c>
      <c r="W503" s="620">
        <v>5800</v>
      </c>
      <c r="X503" s="621">
        <v>20</v>
      </c>
      <c r="Y503" s="621" t="s">
        <v>178</v>
      </c>
      <c r="Z503" s="621" t="s">
        <v>178</v>
      </c>
      <c r="AA503" s="622">
        <v>44890</v>
      </c>
      <c r="AB503" s="622" t="s">
        <v>164</v>
      </c>
      <c r="AC503" s="622">
        <v>41248.958333333336</v>
      </c>
      <c r="AD503" s="623">
        <v>0.05</v>
      </c>
      <c r="AE503" s="621" t="s">
        <v>1421</v>
      </c>
    </row>
    <row r="504" spans="1:31" s="572" customFormat="1">
      <c r="A504" s="570" t="s">
        <v>1434</v>
      </c>
      <c r="B504" s="573" t="s">
        <v>240</v>
      </c>
      <c r="C504" s="578" t="s">
        <v>241</v>
      </c>
      <c r="D504" s="573" t="s">
        <v>699</v>
      </c>
      <c r="E504" s="573" t="s">
        <v>152</v>
      </c>
      <c r="F504" s="573" t="s">
        <v>1336</v>
      </c>
      <c r="G504" s="573">
        <v>2019</v>
      </c>
      <c r="H504" s="573" t="s">
        <v>1433</v>
      </c>
      <c r="I504" s="573" t="s">
        <v>1426</v>
      </c>
      <c r="J504" s="573" t="s">
        <v>752</v>
      </c>
      <c r="K504" s="573">
        <v>5</v>
      </c>
      <c r="L504" s="573">
        <v>0</v>
      </c>
      <c r="M504" s="573" t="s">
        <v>157</v>
      </c>
      <c r="N504" s="573">
        <v>2</v>
      </c>
      <c r="O504" s="573" t="s">
        <v>157</v>
      </c>
      <c r="P504" s="571">
        <v>3500</v>
      </c>
      <c r="Q504" s="573" t="s">
        <v>231</v>
      </c>
      <c r="R504" s="573">
        <v>6</v>
      </c>
      <c r="S504" s="582" t="s">
        <v>1427</v>
      </c>
      <c r="T504" s="573" t="s">
        <v>1414</v>
      </c>
      <c r="U504" s="573">
        <v>118.4</v>
      </c>
      <c r="V504" s="573">
        <v>21.5</v>
      </c>
      <c r="W504" s="616">
        <v>5800</v>
      </c>
      <c r="X504" s="617">
        <v>20</v>
      </c>
      <c r="Y504" s="617" t="s">
        <v>178</v>
      </c>
      <c r="Z504" s="617" t="s">
        <v>178</v>
      </c>
      <c r="AA504" s="618">
        <v>41740</v>
      </c>
      <c r="AB504" s="618" t="s">
        <v>164</v>
      </c>
      <c r="AC504" s="618">
        <v>38362.5</v>
      </c>
      <c r="AD504" s="619">
        <v>0.05</v>
      </c>
      <c r="AE504" s="617" t="s">
        <v>1425</v>
      </c>
    </row>
    <row r="505" spans="1:31" s="572" customFormat="1">
      <c r="A505" s="570" t="s">
        <v>1435</v>
      </c>
      <c r="B505" s="569" t="s">
        <v>240</v>
      </c>
      <c r="C505" s="580" t="s">
        <v>241</v>
      </c>
      <c r="D505" s="569" t="s">
        <v>699</v>
      </c>
      <c r="E505" s="569" t="s">
        <v>152</v>
      </c>
      <c r="F505" s="569" t="s">
        <v>1336</v>
      </c>
      <c r="G505" s="569">
        <v>2019</v>
      </c>
      <c r="H505" s="569" t="s">
        <v>1433</v>
      </c>
      <c r="I505" s="569" t="s">
        <v>1430</v>
      </c>
      <c r="J505" s="569" t="s">
        <v>752</v>
      </c>
      <c r="K505" s="569">
        <v>5</v>
      </c>
      <c r="L505" s="569">
        <v>0</v>
      </c>
      <c r="M505" s="569" t="s">
        <v>157</v>
      </c>
      <c r="N505" s="569">
        <v>2</v>
      </c>
      <c r="O505" s="569" t="s">
        <v>157</v>
      </c>
      <c r="P505" s="568">
        <v>3500</v>
      </c>
      <c r="Q505" s="569" t="s">
        <v>231</v>
      </c>
      <c r="R505" s="569">
        <v>6</v>
      </c>
      <c r="S505" s="569" t="s">
        <v>1431</v>
      </c>
      <c r="T505" s="569" t="s">
        <v>1436</v>
      </c>
      <c r="U505" s="569">
        <v>118.4</v>
      </c>
      <c r="V505" s="569">
        <v>21.5</v>
      </c>
      <c r="W505" s="620">
        <v>5800</v>
      </c>
      <c r="X505" s="621">
        <v>20</v>
      </c>
      <c r="Y505" s="621" t="s">
        <v>178</v>
      </c>
      <c r="Z505" s="621" t="s">
        <v>178</v>
      </c>
      <c r="AA505" s="622">
        <v>34890</v>
      </c>
      <c r="AB505" s="622" t="s">
        <v>164</v>
      </c>
      <c r="AC505" s="622">
        <v>32737.5</v>
      </c>
      <c r="AD505" s="623">
        <v>0.05</v>
      </c>
      <c r="AE505" s="621" t="s">
        <v>1429</v>
      </c>
    </row>
    <row r="506" spans="1:31" s="572" customFormat="1">
      <c r="A506" s="570" t="s">
        <v>1437</v>
      </c>
      <c r="B506" s="573" t="s">
        <v>543</v>
      </c>
      <c r="C506" s="578" t="s">
        <v>544</v>
      </c>
      <c r="D506" s="573" t="s">
        <v>699</v>
      </c>
      <c r="E506" s="573" t="s">
        <v>211</v>
      </c>
      <c r="F506" s="573" t="s">
        <v>545</v>
      </c>
      <c r="G506" s="573">
        <v>2019</v>
      </c>
      <c r="H506" s="573" t="s">
        <v>1439</v>
      </c>
      <c r="I506" s="573" t="s">
        <v>273</v>
      </c>
      <c r="J506" s="573" t="s">
        <v>156</v>
      </c>
      <c r="K506" s="573">
        <v>5</v>
      </c>
      <c r="L506" s="573">
        <v>0</v>
      </c>
      <c r="M506" s="573" t="s">
        <v>157</v>
      </c>
      <c r="N506" s="573">
        <v>2</v>
      </c>
      <c r="O506" s="573" t="s">
        <v>157</v>
      </c>
      <c r="P506" s="571" t="s">
        <v>157</v>
      </c>
      <c r="Q506" s="573" t="s">
        <v>274</v>
      </c>
      <c r="R506" s="573">
        <v>4</v>
      </c>
      <c r="S506" s="582">
        <v>21019</v>
      </c>
      <c r="T506" s="573" t="s">
        <v>157</v>
      </c>
      <c r="U506" s="573">
        <v>103.1</v>
      </c>
      <c r="V506" s="573">
        <v>10.8</v>
      </c>
      <c r="W506" s="616">
        <v>3583</v>
      </c>
      <c r="X506" s="617">
        <v>33</v>
      </c>
      <c r="Y506" s="617" t="s">
        <v>178</v>
      </c>
      <c r="Z506" s="617" t="s">
        <v>178</v>
      </c>
      <c r="AA506" s="618">
        <v>19585</v>
      </c>
      <c r="AB506" s="618" t="s">
        <v>164</v>
      </c>
      <c r="AC506" s="618">
        <v>17549</v>
      </c>
      <c r="AD506" s="619">
        <v>0.03</v>
      </c>
      <c r="AE506" s="617" t="s">
        <v>1438</v>
      </c>
    </row>
    <row r="507" spans="1:31" s="572" customFormat="1">
      <c r="A507" s="570" t="s">
        <v>1440</v>
      </c>
      <c r="B507" s="569" t="s">
        <v>549</v>
      </c>
      <c r="C507" s="580">
        <v>16</v>
      </c>
      <c r="D507" s="569" t="s">
        <v>699</v>
      </c>
      <c r="E507" s="569" t="s">
        <v>211</v>
      </c>
      <c r="F507" s="569" t="s">
        <v>545</v>
      </c>
      <c r="G507" s="569">
        <v>2019</v>
      </c>
      <c r="H507" s="569" t="s">
        <v>1439</v>
      </c>
      <c r="I507" s="569" t="s">
        <v>273</v>
      </c>
      <c r="J507" s="569" t="s">
        <v>156</v>
      </c>
      <c r="K507" s="569">
        <v>5</v>
      </c>
      <c r="L507" s="569">
        <v>0</v>
      </c>
      <c r="M507" s="569" t="s">
        <v>157</v>
      </c>
      <c r="N507" s="569">
        <v>2</v>
      </c>
      <c r="O507" s="569" t="s">
        <v>157</v>
      </c>
      <c r="P507" s="568" t="s">
        <v>157</v>
      </c>
      <c r="Q507" s="569" t="s">
        <v>352</v>
      </c>
      <c r="R507" s="569">
        <v>4</v>
      </c>
      <c r="S507" s="569">
        <v>21019</v>
      </c>
      <c r="T507" s="569" t="s">
        <v>157</v>
      </c>
      <c r="U507" s="569">
        <v>103.1</v>
      </c>
      <c r="V507" s="569">
        <v>10.9</v>
      </c>
      <c r="W507" s="620">
        <v>2639</v>
      </c>
      <c r="X507" s="621">
        <v>33</v>
      </c>
      <c r="Y507" s="621" t="s">
        <v>178</v>
      </c>
      <c r="Z507" s="621" t="s">
        <v>178</v>
      </c>
      <c r="AA507" s="622">
        <v>19585</v>
      </c>
      <c r="AB507" s="622" t="s">
        <v>164</v>
      </c>
      <c r="AC507" s="622">
        <v>16490</v>
      </c>
      <c r="AD507" s="623">
        <v>0.05</v>
      </c>
      <c r="AE507" s="621" t="s">
        <v>1441</v>
      </c>
    </row>
    <row r="508" spans="1:31" s="572" customFormat="1">
      <c r="A508" s="570" t="s">
        <v>1442</v>
      </c>
      <c r="B508" s="573" t="s">
        <v>543</v>
      </c>
      <c r="C508" s="578" t="s">
        <v>544</v>
      </c>
      <c r="D508" s="573" t="s">
        <v>699</v>
      </c>
      <c r="E508" s="573" t="s">
        <v>211</v>
      </c>
      <c r="F508" s="573" t="s">
        <v>545</v>
      </c>
      <c r="G508" s="573">
        <v>2019</v>
      </c>
      <c r="H508" s="573" t="s">
        <v>1439</v>
      </c>
      <c r="I508" s="573" t="s">
        <v>575</v>
      </c>
      <c r="J508" s="573" t="s">
        <v>156</v>
      </c>
      <c r="K508" s="573">
        <v>5</v>
      </c>
      <c r="L508" s="573">
        <v>0</v>
      </c>
      <c r="M508" s="573" t="s">
        <v>157</v>
      </c>
      <c r="N508" s="573">
        <v>2</v>
      </c>
      <c r="O508" s="573" t="s">
        <v>157</v>
      </c>
      <c r="P508" s="571" t="s">
        <v>157</v>
      </c>
      <c r="Q508" s="573" t="s">
        <v>274</v>
      </c>
      <c r="R508" s="573">
        <v>4</v>
      </c>
      <c r="S508" s="582">
        <v>21119</v>
      </c>
      <c r="T508" s="573" t="s">
        <v>157</v>
      </c>
      <c r="U508" s="573">
        <v>103.1</v>
      </c>
      <c r="V508" s="573">
        <v>10.8</v>
      </c>
      <c r="W508" s="616">
        <v>3583</v>
      </c>
      <c r="X508" s="617">
        <v>33</v>
      </c>
      <c r="Y508" s="617" t="s">
        <v>178</v>
      </c>
      <c r="Z508" s="617" t="s">
        <v>178</v>
      </c>
      <c r="AA508" s="618">
        <v>21295</v>
      </c>
      <c r="AB508" s="618" t="s">
        <v>164</v>
      </c>
      <c r="AC508" s="618">
        <v>19209</v>
      </c>
      <c r="AD508" s="619">
        <v>0.03</v>
      </c>
      <c r="AE508" s="617" t="s">
        <v>1443</v>
      </c>
    </row>
    <row r="509" spans="1:31" s="572" customFormat="1">
      <c r="A509" s="570" t="s">
        <v>1444</v>
      </c>
      <c r="B509" s="569" t="s">
        <v>549</v>
      </c>
      <c r="C509" s="580">
        <v>16</v>
      </c>
      <c r="D509" s="569" t="s">
        <v>699</v>
      </c>
      <c r="E509" s="569" t="s">
        <v>211</v>
      </c>
      <c r="F509" s="569" t="s">
        <v>545</v>
      </c>
      <c r="G509" s="569">
        <v>2019</v>
      </c>
      <c r="H509" s="569" t="s">
        <v>1439</v>
      </c>
      <c r="I509" s="569" t="s">
        <v>575</v>
      </c>
      <c r="J509" s="569" t="s">
        <v>156</v>
      </c>
      <c r="K509" s="569">
        <v>5</v>
      </c>
      <c r="L509" s="569">
        <v>0</v>
      </c>
      <c r="M509" s="569" t="s">
        <v>157</v>
      </c>
      <c r="N509" s="569">
        <v>2</v>
      </c>
      <c r="O509" s="569" t="s">
        <v>157</v>
      </c>
      <c r="P509" s="568" t="s">
        <v>157</v>
      </c>
      <c r="Q509" s="569" t="s">
        <v>352</v>
      </c>
      <c r="R509" s="569">
        <v>4</v>
      </c>
      <c r="S509" s="569">
        <v>21119</v>
      </c>
      <c r="T509" s="569" t="s">
        <v>157</v>
      </c>
      <c r="U509" s="569">
        <v>103.1</v>
      </c>
      <c r="V509" s="569">
        <v>10.9</v>
      </c>
      <c r="W509" s="620">
        <v>2654</v>
      </c>
      <c r="X509" s="621">
        <v>33</v>
      </c>
      <c r="Y509" s="621" t="s">
        <v>178</v>
      </c>
      <c r="Z509" s="621" t="s">
        <v>178</v>
      </c>
      <c r="AA509" s="622">
        <v>21295</v>
      </c>
      <c r="AB509" s="622" t="s">
        <v>164</v>
      </c>
      <c r="AC509" s="622">
        <v>17990</v>
      </c>
      <c r="AD509" s="623">
        <v>0.05</v>
      </c>
      <c r="AE509" s="621" t="s">
        <v>1445</v>
      </c>
    </row>
    <row r="510" spans="1:31" s="572" customFormat="1">
      <c r="A510" s="570" t="s">
        <v>1446</v>
      </c>
      <c r="B510" s="573" t="s">
        <v>549</v>
      </c>
      <c r="C510" s="578">
        <v>16</v>
      </c>
      <c r="D510" s="573" t="s">
        <v>699</v>
      </c>
      <c r="E510" s="573" t="s">
        <v>196</v>
      </c>
      <c r="F510" s="573" t="s">
        <v>545</v>
      </c>
      <c r="G510" s="573">
        <v>2019</v>
      </c>
      <c r="H510" s="573" t="s">
        <v>1448</v>
      </c>
      <c r="I510" s="573" t="s">
        <v>273</v>
      </c>
      <c r="J510" s="573" t="s">
        <v>752</v>
      </c>
      <c r="K510" s="573">
        <v>5</v>
      </c>
      <c r="L510" s="573">
        <v>0</v>
      </c>
      <c r="M510" s="573" t="s">
        <v>157</v>
      </c>
      <c r="N510" s="573">
        <v>2</v>
      </c>
      <c r="O510" s="573" t="s">
        <v>157</v>
      </c>
      <c r="P510" s="571">
        <v>1500</v>
      </c>
      <c r="Q510" s="573" t="s">
        <v>316</v>
      </c>
      <c r="R510" s="573">
        <v>6</v>
      </c>
      <c r="S510" s="582">
        <v>23019</v>
      </c>
      <c r="T510" s="573" t="s">
        <v>157</v>
      </c>
      <c r="U510" s="573">
        <v>111.2</v>
      </c>
      <c r="V510" s="573">
        <v>19</v>
      </c>
      <c r="W510" s="616">
        <v>3913</v>
      </c>
      <c r="X510" s="617">
        <v>24</v>
      </c>
      <c r="Y510" s="617" t="s">
        <v>178</v>
      </c>
      <c r="Z510" s="617" t="s">
        <v>178</v>
      </c>
      <c r="AA510" s="618">
        <v>32900</v>
      </c>
      <c r="AB510" s="618" t="s">
        <v>164</v>
      </c>
      <c r="AC510" s="618">
        <v>26990</v>
      </c>
      <c r="AD510" s="619">
        <v>0.05</v>
      </c>
      <c r="AE510" s="617" t="s">
        <v>1447</v>
      </c>
    </row>
    <row r="511" spans="1:31" s="572" customFormat="1">
      <c r="A511" s="570" t="s">
        <v>1449</v>
      </c>
      <c r="B511" s="569" t="s">
        <v>549</v>
      </c>
      <c r="C511" s="580">
        <v>16</v>
      </c>
      <c r="D511" s="569" t="s">
        <v>699</v>
      </c>
      <c r="E511" s="569" t="s">
        <v>196</v>
      </c>
      <c r="F511" s="569" t="s">
        <v>545</v>
      </c>
      <c r="G511" s="569">
        <v>2019</v>
      </c>
      <c r="H511" s="569" t="s">
        <v>1448</v>
      </c>
      <c r="I511" s="569" t="s">
        <v>575</v>
      </c>
      <c r="J511" s="569" t="s">
        <v>752</v>
      </c>
      <c r="K511" s="569">
        <v>5</v>
      </c>
      <c r="L511" s="569">
        <v>0</v>
      </c>
      <c r="M511" s="569" t="s">
        <v>157</v>
      </c>
      <c r="N511" s="569">
        <v>2</v>
      </c>
      <c r="O511" s="569" t="s">
        <v>157</v>
      </c>
      <c r="P511" s="568">
        <v>1500</v>
      </c>
      <c r="Q511" s="569" t="s">
        <v>316</v>
      </c>
      <c r="R511" s="569">
        <v>6</v>
      </c>
      <c r="S511" s="569">
        <v>23219</v>
      </c>
      <c r="T511" s="569" t="s">
        <v>157</v>
      </c>
      <c r="U511" s="569">
        <v>111.2</v>
      </c>
      <c r="V511" s="569">
        <v>19</v>
      </c>
      <c r="W511" s="620">
        <v>3913</v>
      </c>
      <c r="X511" s="621">
        <v>24</v>
      </c>
      <c r="Y511" s="621" t="s">
        <v>178</v>
      </c>
      <c r="Z511" s="621" t="s">
        <v>178</v>
      </c>
      <c r="AA511" s="622">
        <v>36200</v>
      </c>
      <c r="AB511" s="622" t="s">
        <v>164</v>
      </c>
      <c r="AC511" s="622">
        <v>29990</v>
      </c>
      <c r="AD511" s="623">
        <v>0.05</v>
      </c>
      <c r="AE511" s="621" t="s">
        <v>1450</v>
      </c>
    </row>
    <row r="512" spans="1:31" s="572" customFormat="1">
      <c r="A512" s="570" t="s">
        <v>1451</v>
      </c>
      <c r="B512" s="573" t="s">
        <v>543</v>
      </c>
      <c r="C512" s="578" t="s">
        <v>544</v>
      </c>
      <c r="D512" s="573" t="s">
        <v>699</v>
      </c>
      <c r="E512" s="573" t="s">
        <v>196</v>
      </c>
      <c r="F512" s="573" t="s">
        <v>545</v>
      </c>
      <c r="G512" s="573">
        <v>2019</v>
      </c>
      <c r="H512" s="573" t="s">
        <v>1453</v>
      </c>
      <c r="I512" s="573" t="s">
        <v>273</v>
      </c>
      <c r="J512" s="573" t="s">
        <v>752</v>
      </c>
      <c r="K512" s="573">
        <v>7</v>
      </c>
      <c r="L512" s="573">
        <v>0</v>
      </c>
      <c r="M512" s="573" t="s">
        <v>157</v>
      </c>
      <c r="N512" s="573">
        <v>3</v>
      </c>
      <c r="O512" s="573" t="s">
        <v>157</v>
      </c>
      <c r="P512" s="571"/>
      <c r="Q512" s="573" t="s">
        <v>316</v>
      </c>
      <c r="R512" s="573">
        <v>6</v>
      </c>
      <c r="S512" s="582">
        <v>25019</v>
      </c>
      <c r="T512" s="573" t="s">
        <v>157</v>
      </c>
      <c r="U512" s="573">
        <v>114.2</v>
      </c>
      <c r="V512" s="573">
        <v>19.5</v>
      </c>
      <c r="W512" s="616">
        <v>5986</v>
      </c>
      <c r="X512" s="617">
        <v>22</v>
      </c>
      <c r="Y512" s="617" t="s">
        <v>178</v>
      </c>
      <c r="Z512" s="617" t="s">
        <v>178</v>
      </c>
      <c r="AA512" s="618">
        <v>33965</v>
      </c>
      <c r="AB512" s="618" t="s">
        <v>164</v>
      </c>
      <c r="AC512" s="618">
        <v>27389</v>
      </c>
      <c r="AD512" s="619">
        <v>0.03</v>
      </c>
      <c r="AE512" s="617" t="s">
        <v>1452</v>
      </c>
    </row>
    <row r="513" spans="1:31" s="572" customFormat="1">
      <c r="A513" s="570" t="s">
        <v>1454</v>
      </c>
      <c r="B513" s="569" t="s">
        <v>543</v>
      </c>
      <c r="C513" s="580" t="s">
        <v>544</v>
      </c>
      <c r="D513" s="569" t="s">
        <v>699</v>
      </c>
      <c r="E513" s="569" t="s">
        <v>196</v>
      </c>
      <c r="F513" s="569" t="s">
        <v>545</v>
      </c>
      <c r="G513" s="569">
        <v>2019</v>
      </c>
      <c r="H513" s="569" t="s">
        <v>1453</v>
      </c>
      <c r="I513" s="569" t="s">
        <v>273</v>
      </c>
      <c r="J513" s="569" t="s">
        <v>752</v>
      </c>
      <c r="K513" s="569">
        <v>7</v>
      </c>
      <c r="L513" s="569">
        <v>0</v>
      </c>
      <c r="M513" s="569" t="s">
        <v>157</v>
      </c>
      <c r="N513" s="569">
        <v>3</v>
      </c>
      <c r="O513" s="569" t="s">
        <v>157</v>
      </c>
      <c r="P513" s="568">
        <v>6000</v>
      </c>
      <c r="Q513" s="569" t="s">
        <v>316</v>
      </c>
      <c r="R513" s="569">
        <v>6</v>
      </c>
      <c r="S513" s="569">
        <v>25019</v>
      </c>
      <c r="T513" s="569" t="s">
        <v>157</v>
      </c>
      <c r="U513" s="569">
        <v>114.2</v>
      </c>
      <c r="V513" s="569">
        <v>19.5</v>
      </c>
      <c r="W513" s="620">
        <v>5986</v>
      </c>
      <c r="X513" s="621">
        <v>22</v>
      </c>
      <c r="Y513" s="621" t="s">
        <v>178</v>
      </c>
      <c r="Z513" s="621" t="s">
        <v>178</v>
      </c>
      <c r="AA513" s="622">
        <v>33965</v>
      </c>
      <c r="AB513" s="622" t="s">
        <v>164</v>
      </c>
      <c r="AC513" s="622">
        <v>27389</v>
      </c>
      <c r="AD513" s="623">
        <v>0.03</v>
      </c>
      <c r="AE513" s="621" t="s">
        <v>1455</v>
      </c>
    </row>
    <row r="514" spans="1:31" s="572" customFormat="1">
      <c r="A514" s="570" t="s">
        <v>1456</v>
      </c>
      <c r="B514" s="573" t="s">
        <v>549</v>
      </c>
      <c r="C514" s="578">
        <v>16</v>
      </c>
      <c r="D514" s="573" t="s">
        <v>699</v>
      </c>
      <c r="E514" s="573" t="s">
        <v>196</v>
      </c>
      <c r="F514" s="573" t="s">
        <v>545</v>
      </c>
      <c r="G514" s="573">
        <v>2019</v>
      </c>
      <c r="H514" s="573" t="s">
        <v>1453</v>
      </c>
      <c r="I514" s="573" t="s">
        <v>273</v>
      </c>
      <c r="J514" s="573" t="s">
        <v>752</v>
      </c>
      <c r="K514" s="573">
        <v>7</v>
      </c>
      <c r="L514" s="573">
        <v>0</v>
      </c>
      <c r="M514" s="573" t="s">
        <v>157</v>
      </c>
      <c r="N514" s="573">
        <v>3</v>
      </c>
      <c r="O514" s="573" t="s">
        <v>157</v>
      </c>
      <c r="P514" s="571">
        <v>6000</v>
      </c>
      <c r="Q514" s="573" t="s">
        <v>316</v>
      </c>
      <c r="R514" s="573">
        <v>6</v>
      </c>
      <c r="S514" s="582">
        <v>25019</v>
      </c>
      <c r="T514" s="573" t="s">
        <v>157</v>
      </c>
      <c r="U514" s="573">
        <v>114.2</v>
      </c>
      <c r="V514" s="573">
        <v>19.5</v>
      </c>
      <c r="W514" s="616">
        <v>5986</v>
      </c>
      <c r="X514" s="617">
        <v>22</v>
      </c>
      <c r="Y514" s="617" t="s">
        <v>178</v>
      </c>
      <c r="Z514" s="617" t="s">
        <v>178</v>
      </c>
      <c r="AA514" s="618">
        <v>33915</v>
      </c>
      <c r="AB514" s="618" t="s">
        <v>164</v>
      </c>
      <c r="AC514" s="618">
        <v>26950</v>
      </c>
      <c r="AD514" s="619">
        <v>0.05</v>
      </c>
      <c r="AE514" s="617" t="s">
        <v>1455</v>
      </c>
    </row>
    <row r="515" spans="1:31" s="572" customFormat="1">
      <c r="A515" s="570" t="s">
        <v>1457</v>
      </c>
      <c r="B515" s="569" t="s">
        <v>543</v>
      </c>
      <c r="C515" s="580" t="s">
        <v>544</v>
      </c>
      <c r="D515" s="569" t="s">
        <v>699</v>
      </c>
      <c r="E515" s="569" t="s">
        <v>196</v>
      </c>
      <c r="F515" s="569" t="s">
        <v>545</v>
      </c>
      <c r="G515" s="569">
        <v>2019</v>
      </c>
      <c r="H515" s="569" t="s">
        <v>1453</v>
      </c>
      <c r="I515" s="569" t="s">
        <v>273</v>
      </c>
      <c r="J515" s="569" t="s">
        <v>156</v>
      </c>
      <c r="K515" s="569">
        <v>7</v>
      </c>
      <c r="L515" s="569">
        <v>0</v>
      </c>
      <c r="M515" s="569" t="s">
        <v>157</v>
      </c>
      <c r="N515" s="569">
        <v>3</v>
      </c>
      <c r="O515" s="569" t="s">
        <v>157</v>
      </c>
      <c r="P515" s="568" t="s">
        <v>157</v>
      </c>
      <c r="Q515" s="569" t="s">
        <v>316</v>
      </c>
      <c r="R515" s="569">
        <v>6</v>
      </c>
      <c r="S515" s="569">
        <v>25119</v>
      </c>
      <c r="T515" s="569" t="s">
        <v>157</v>
      </c>
      <c r="U515" s="569">
        <v>114.2</v>
      </c>
      <c r="V515" s="569">
        <v>19.5</v>
      </c>
      <c r="W515" s="620">
        <v>5986</v>
      </c>
      <c r="X515" s="621">
        <v>23</v>
      </c>
      <c r="Y515" s="621" t="s">
        <v>178</v>
      </c>
      <c r="Z515" s="621" t="s">
        <v>178</v>
      </c>
      <c r="AA515" s="622">
        <v>32275</v>
      </c>
      <c r="AB515" s="622" t="s">
        <v>164</v>
      </c>
      <c r="AC515" s="622">
        <v>25799</v>
      </c>
      <c r="AD515" s="623">
        <v>0.03</v>
      </c>
      <c r="AE515" s="621" t="s">
        <v>1458</v>
      </c>
    </row>
    <row r="516" spans="1:31" s="572" customFormat="1">
      <c r="A516" s="570" t="s">
        <v>1459</v>
      </c>
      <c r="B516" s="573" t="s">
        <v>549</v>
      </c>
      <c r="C516" s="578">
        <v>16</v>
      </c>
      <c r="D516" s="573" t="s">
        <v>699</v>
      </c>
      <c r="E516" s="573" t="s">
        <v>196</v>
      </c>
      <c r="F516" s="573" t="s">
        <v>545</v>
      </c>
      <c r="G516" s="573">
        <v>2019</v>
      </c>
      <c r="H516" s="573" t="s">
        <v>1453</v>
      </c>
      <c r="I516" s="573" t="s">
        <v>575</v>
      </c>
      <c r="J516" s="573" t="s">
        <v>752</v>
      </c>
      <c r="K516" s="573">
        <v>7</v>
      </c>
      <c r="L516" s="573">
        <v>0</v>
      </c>
      <c r="M516" s="573" t="s">
        <v>157</v>
      </c>
      <c r="N516" s="573">
        <v>3</v>
      </c>
      <c r="O516" s="573" t="s">
        <v>157</v>
      </c>
      <c r="P516" s="571">
        <v>6000</v>
      </c>
      <c r="Q516" s="573" t="s">
        <v>316</v>
      </c>
      <c r="R516" s="573">
        <v>6</v>
      </c>
      <c r="S516" s="582">
        <v>25219</v>
      </c>
      <c r="T516" s="573" t="s">
        <v>157</v>
      </c>
      <c r="U516" s="573">
        <v>114.2</v>
      </c>
      <c r="V516" s="573">
        <v>19.5</v>
      </c>
      <c r="W516" s="616">
        <v>5986</v>
      </c>
      <c r="X516" s="617">
        <v>22</v>
      </c>
      <c r="Y516" s="617" t="s">
        <v>178</v>
      </c>
      <c r="Z516" s="617" t="s">
        <v>178</v>
      </c>
      <c r="AA516" s="618">
        <v>36995</v>
      </c>
      <c r="AB516" s="618" t="s">
        <v>164</v>
      </c>
      <c r="AC516" s="618">
        <v>29990</v>
      </c>
      <c r="AD516" s="619">
        <v>0.05</v>
      </c>
      <c r="AE516" s="617" t="s">
        <v>1460</v>
      </c>
    </row>
    <row r="517" spans="1:31" s="572" customFormat="1">
      <c r="A517" s="570" t="s">
        <v>1461</v>
      </c>
      <c r="B517" s="569" t="s">
        <v>543</v>
      </c>
      <c r="C517" s="580" t="s">
        <v>544</v>
      </c>
      <c r="D517" s="569" t="s">
        <v>699</v>
      </c>
      <c r="E517" s="569" t="s">
        <v>152</v>
      </c>
      <c r="F517" s="569" t="s">
        <v>545</v>
      </c>
      <c r="G517" s="569">
        <v>2019</v>
      </c>
      <c r="H517" s="569" t="s">
        <v>1463</v>
      </c>
      <c r="I517" s="569" t="s">
        <v>273</v>
      </c>
      <c r="J517" s="569" t="s">
        <v>230</v>
      </c>
      <c r="K517" s="569">
        <v>5</v>
      </c>
      <c r="L517" s="569">
        <v>0</v>
      </c>
      <c r="M517" s="569" t="s">
        <v>157</v>
      </c>
      <c r="N517" s="569">
        <v>2</v>
      </c>
      <c r="O517" s="569" t="s">
        <v>157</v>
      </c>
      <c r="P517" s="568" t="s">
        <v>157</v>
      </c>
      <c r="Q517" s="569" t="s">
        <v>189</v>
      </c>
      <c r="R517" s="569">
        <v>4</v>
      </c>
      <c r="S517" s="569">
        <v>22019</v>
      </c>
      <c r="T517" s="569" t="s">
        <v>157</v>
      </c>
      <c r="U517" s="569">
        <v>106.5</v>
      </c>
      <c r="V517" s="569">
        <v>14.5</v>
      </c>
      <c r="W517" s="620">
        <v>4678</v>
      </c>
      <c r="X517" s="621">
        <v>28</v>
      </c>
      <c r="Y517" s="621" t="s">
        <v>178</v>
      </c>
      <c r="Z517" s="621" t="s">
        <v>178</v>
      </c>
      <c r="AA517" s="622">
        <v>27195</v>
      </c>
      <c r="AB517" s="622" t="s">
        <v>164</v>
      </c>
      <c r="AC517" s="622">
        <v>22433.5</v>
      </c>
      <c r="AD517" s="623">
        <v>0.03</v>
      </c>
      <c r="AE517" s="621" t="s">
        <v>1462</v>
      </c>
    </row>
    <row r="518" spans="1:31" s="572" customFormat="1">
      <c r="A518" s="570" t="s">
        <v>1464</v>
      </c>
      <c r="B518" s="573" t="s">
        <v>549</v>
      </c>
      <c r="C518" s="578">
        <v>16</v>
      </c>
      <c r="D518" s="573" t="s">
        <v>699</v>
      </c>
      <c r="E518" s="573" t="s">
        <v>152</v>
      </c>
      <c r="F518" s="573" t="s">
        <v>545</v>
      </c>
      <c r="G518" s="573">
        <v>2019</v>
      </c>
      <c r="H518" s="573" t="s">
        <v>1463</v>
      </c>
      <c r="I518" s="573" t="s">
        <v>273</v>
      </c>
      <c r="J518" s="573" t="s">
        <v>230</v>
      </c>
      <c r="K518" s="573">
        <v>5</v>
      </c>
      <c r="L518" s="573">
        <v>0</v>
      </c>
      <c r="M518" s="573" t="s">
        <v>157</v>
      </c>
      <c r="N518" s="573">
        <v>2</v>
      </c>
      <c r="O518" s="573" t="s">
        <v>157</v>
      </c>
      <c r="P518" s="571">
        <v>1102</v>
      </c>
      <c r="Q518" s="573" t="s">
        <v>189</v>
      </c>
      <c r="R518" s="573">
        <v>4</v>
      </c>
      <c r="S518" s="582">
        <v>22019</v>
      </c>
      <c r="T518" s="573" t="s">
        <v>157</v>
      </c>
      <c r="U518" s="573">
        <v>106.5</v>
      </c>
      <c r="V518" s="573">
        <v>14.5</v>
      </c>
      <c r="W518" s="616">
        <v>4678</v>
      </c>
      <c r="X518" s="617">
        <v>28</v>
      </c>
      <c r="Y518" s="617" t="s">
        <v>178</v>
      </c>
      <c r="Z518" s="617" t="s">
        <v>178</v>
      </c>
      <c r="AA518" s="618">
        <v>27195</v>
      </c>
      <c r="AB518" s="618" t="s">
        <v>164</v>
      </c>
      <c r="AC518" s="618">
        <v>21490</v>
      </c>
      <c r="AD518" s="619">
        <v>0.05</v>
      </c>
      <c r="AE518" s="617" t="s">
        <v>1462</v>
      </c>
    </row>
    <row r="519" spans="1:31" s="572" customFormat="1">
      <c r="A519" s="570" t="s">
        <v>1465</v>
      </c>
      <c r="B519" s="569" t="s">
        <v>543</v>
      </c>
      <c r="C519" s="580" t="s">
        <v>544</v>
      </c>
      <c r="D519" s="569" t="s">
        <v>699</v>
      </c>
      <c r="E519" s="569" t="s">
        <v>152</v>
      </c>
      <c r="F519" s="569" t="s">
        <v>545</v>
      </c>
      <c r="G519" s="569">
        <v>2019</v>
      </c>
      <c r="H519" s="569" t="s">
        <v>1463</v>
      </c>
      <c r="I519" s="569" t="s">
        <v>273</v>
      </c>
      <c r="J519" s="569" t="s">
        <v>156</v>
      </c>
      <c r="K519" s="569">
        <v>5</v>
      </c>
      <c r="L519" s="569">
        <v>0</v>
      </c>
      <c r="M519" s="569" t="s">
        <v>157</v>
      </c>
      <c r="N519" s="569">
        <v>2</v>
      </c>
      <c r="O519" s="569" t="s">
        <v>157</v>
      </c>
      <c r="P519" s="568" t="s">
        <v>157</v>
      </c>
      <c r="Q519" s="569" t="s">
        <v>189</v>
      </c>
      <c r="R519" s="569">
        <v>4</v>
      </c>
      <c r="S519" s="569">
        <v>22119</v>
      </c>
      <c r="T519" s="569" t="s">
        <v>157</v>
      </c>
      <c r="U519" s="569">
        <v>106.5</v>
      </c>
      <c r="V519" s="569">
        <v>14.5</v>
      </c>
      <c r="W519" s="620">
        <v>4489</v>
      </c>
      <c r="X519" s="621">
        <v>29</v>
      </c>
      <c r="Y519" s="621" t="s">
        <v>178</v>
      </c>
      <c r="Z519" s="621" t="s">
        <v>178</v>
      </c>
      <c r="AA519" s="622">
        <v>25845</v>
      </c>
      <c r="AB519" s="622" t="s">
        <v>164</v>
      </c>
      <c r="AC519" s="622">
        <v>21097</v>
      </c>
      <c r="AD519" s="623">
        <v>0.03</v>
      </c>
      <c r="AE519" s="621" t="s">
        <v>1466</v>
      </c>
    </row>
    <row r="520" spans="1:31" s="572" customFormat="1">
      <c r="A520" s="570" t="s">
        <v>1467</v>
      </c>
      <c r="B520" s="573" t="s">
        <v>543</v>
      </c>
      <c r="C520" s="578" t="s">
        <v>544</v>
      </c>
      <c r="D520" s="573" t="s">
        <v>699</v>
      </c>
      <c r="E520" s="573" t="s">
        <v>152</v>
      </c>
      <c r="F520" s="573" t="s">
        <v>545</v>
      </c>
      <c r="G520" s="573">
        <v>2019</v>
      </c>
      <c r="H520" s="573" t="s">
        <v>1463</v>
      </c>
      <c r="I520" s="573" t="s">
        <v>1469</v>
      </c>
      <c r="J520" s="573" t="s">
        <v>230</v>
      </c>
      <c r="K520" s="573">
        <v>5</v>
      </c>
      <c r="L520" s="573">
        <v>0</v>
      </c>
      <c r="M520" s="573" t="s">
        <v>157</v>
      </c>
      <c r="N520" s="573">
        <v>2</v>
      </c>
      <c r="O520" s="573">
        <v>2</v>
      </c>
      <c r="P520" s="571" t="s">
        <v>157</v>
      </c>
      <c r="Q520" s="573" t="s">
        <v>352</v>
      </c>
      <c r="R520" s="573">
        <v>4</v>
      </c>
      <c r="S520" s="582">
        <v>22819</v>
      </c>
      <c r="T520" s="573" t="s">
        <v>157</v>
      </c>
      <c r="U520" s="573">
        <v>106.5</v>
      </c>
      <c r="V520" s="573">
        <v>14.5</v>
      </c>
      <c r="W520" s="616">
        <v>4720</v>
      </c>
      <c r="X520" s="617">
        <v>33</v>
      </c>
      <c r="Y520" s="617" t="s">
        <v>178</v>
      </c>
      <c r="Z520" s="617" t="s">
        <v>163</v>
      </c>
      <c r="AA520" s="618">
        <v>33935</v>
      </c>
      <c r="AB520" s="618" t="s">
        <v>164</v>
      </c>
      <c r="AC520" s="618">
        <v>33899</v>
      </c>
      <c r="AD520" s="619">
        <v>0.03</v>
      </c>
      <c r="AE520" s="617" t="s">
        <v>1468</v>
      </c>
    </row>
    <row r="521" spans="1:31" s="572" customFormat="1">
      <c r="A521" s="570" t="s">
        <v>1470</v>
      </c>
      <c r="B521" s="569" t="s">
        <v>543</v>
      </c>
      <c r="C521" s="580" t="s">
        <v>544</v>
      </c>
      <c r="D521" s="569" t="s">
        <v>699</v>
      </c>
      <c r="E521" s="569" t="s">
        <v>152</v>
      </c>
      <c r="F521" s="569" t="s">
        <v>545</v>
      </c>
      <c r="G521" s="569">
        <v>2019</v>
      </c>
      <c r="H521" s="569" t="s">
        <v>1463</v>
      </c>
      <c r="I521" s="569" t="s">
        <v>1469</v>
      </c>
      <c r="J521" s="569" t="s">
        <v>156</v>
      </c>
      <c r="K521" s="569">
        <v>5</v>
      </c>
      <c r="L521" s="569">
        <v>0</v>
      </c>
      <c r="M521" s="569" t="s">
        <v>157</v>
      </c>
      <c r="N521" s="569">
        <v>2</v>
      </c>
      <c r="O521" s="569">
        <v>2</v>
      </c>
      <c r="P521" s="568" t="s">
        <v>157</v>
      </c>
      <c r="Q521" s="569" t="s">
        <v>352</v>
      </c>
      <c r="R521" s="569">
        <v>4</v>
      </c>
      <c r="S521" s="569">
        <v>22919</v>
      </c>
      <c r="T521" s="569" t="s">
        <v>157</v>
      </c>
      <c r="U521" s="569">
        <v>106.5</v>
      </c>
      <c r="V521" s="569">
        <v>14.5</v>
      </c>
      <c r="W521" s="620">
        <v>4720</v>
      </c>
      <c r="X521" s="621">
        <v>34</v>
      </c>
      <c r="Y521" s="621" t="s">
        <v>178</v>
      </c>
      <c r="Z521" s="621" t="s">
        <v>163</v>
      </c>
      <c r="AA521" s="622">
        <v>32585</v>
      </c>
      <c r="AB521" s="622" t="s">
        <v>164</v>
      </c>
      <c r="AC521" s="622">
        <v>32479</v>
      </c>
      <c r="AD521" s="623">
        <v>0.03</v>
      </c>
      <c r="AE521" s="621" t="s">
        <v>1471</v>
      </c>
    </row>
    <row r="522" spans="1:31" s="572" customFormat="1">
      <c r="A522" s="570" t="s">
        <v>1472</v>
      </c>
      <c r="B522" s="573" t="s">
        <v>543</v>
      </c>
      <c r="C522" s="578" t="s">
        <v>544</v>
      </c>
      <c r="D522" s="573" t="s">
        <v>699</v>
      </c>
      <c r="E522" s="573" t="s">
        <v>152</v>
      </c>
      <c r="F522" s="573" t="s">
        <v>545</v>
      </c>
      <c r="G522" s="573">
        <v>2019</v>
      </c>
      <c r="H522" s="573" t="s">
        <v>1463</v>
      </c>
      <c r="I522" s="573" t="s">
        <v>575</v>
      </c>
      <c r="J522" s="573" t="s">
        <v>230</v>
      </c>
      <c r="K522" s="573">
        <v>5</v>
      </c>
      <c r="L522" s="573">
        <v>0</v>
      </c>
      <c r="M522" s="573" t="s">
        <v>157</v>
      </c>
      <c r="N522" s="573">
        <v>2</v>
      </c>
      <c r="O522" s="573" t="s">
        <v>157</v>
      </c>
      <c r="P522" s="571" t="s">
        <v>157</v>
      </c>
      <c r="Q522" s="573" t="s">
        <v>189</v>
      </c>
      <c r="R522" s="573">
        <v>4</v>
      </c>
      <c r="S522" s="582">
        <v>22219</v>
      </c>
      <c r="T522" s="573" t="s">
        <v>157</v>
      </c>
      <c r="U522" s="573">
        <v>106.5</v>
      </c>
      <c r="V522" s="573">
        <v>14.5</v>
      </c>
      <c r="W522" s="616">
        <v>4720</v>
      </c>
      <c r="X522" s="617">
        <v>27</v>
      </c>
      <c r="Y522" s="617" t="s">
        <v>178</v>
      </c>
      <c r="Z522" s="617" t="s">
        <v>178</v>
      </c>
      <c r="AA522" s="618">
        <v>28615</v>
      </c>
      <c r="AB522" s="618" t="s">
        <v>164</v>
      </c>
      <c r="AC522" s="618">
        <v>23839.3</v>
      </c>
      <c r="AD522" s="619">
        <v>0.03</v>
      </c>
      <c r="AE522" s="617" t="s">
        <v>1473</v>
      </c>
    </row>
    <row r="523" spans="1:31" s="572" customFormat="1">
      <c r="A523" s="570" t="s">
        <v>1474</v>
      </c>
      <c r="B523" s="569" t="s">
        <v>543</v>
      </c>
      <c r="C523" s="580" t="s">
        <v>544</v>
      </c>
      <c r="D523" s="569" t="s">
        <v>699</v>
      </c>
      <c r="E523" s="569" t="s">
        <v>152</v>
      </c>
      <c r="F523" s="569" t="s">
        <v>545</v>
      </c>
      <c r="G523" s="569">
        <v>2019</v>
      </c>
      <c r="H523" s="569" t="s">
        <v>1463</v>
      </c>
      <c r="I523" s="569" t="s">
        <v>575</v>
      </c>
      <c r="J523" s="569" t="s">
        <v>156</v>
      </c>
      <c r="K523" s="569">
        <v>5</v>
      </c>
      <c r="L523" s="569">
        <v>0</v>
      </c>
      <c r="M523" s="569" t="s">
        <v>157</v>
      </c>
      <c r="N523" s="569">
        <v>2</v>
      </c>
      <c r="O523" s="569" t="s">
        <v>157</v>
      </c>
      <c r="P523" s="568" t="s">
        <v>157</v>
      </c>
      <c r="Q523" s="569" t="s">
        <v>189</v>
      </c>
      <c r="R523" s="569">
        <v>4</v>
      </c>
      <c r="S523" s="569">
        <v>22319</v>
      </c>
      <c r="T523" s="569" t="s">
        <v>157</v>
      </c>
      <c r="U523" s="569">
        <v>106.5</v>
      </c>
      <c r="V523" s="569">
        <v>14.5</v>
      </c>
      <c r="W523" s="620">
        <v>4720</v>
      </c>
      <c r="X523" s="621">
        <v>29</v>
      </c>
      <c r="Y523" s="621" t="s">
        <v>178</v>
      </c>
      <c r="Z523" s="621" t="s">
        <v>178</v>
      </c>
      <c r="AA523" s="622">
        <v>27265</v>
      </c>
      <c r="AB523" s="622" t="s">
        <v>164</v>
      </c>
      <c r="AC523" s="622">
        <v>22502.799999999999</v>
      </c>
      <c r="AD523" s="623">
        <v>0.03</v>
      </c>
      <c r="AE523" s="621" t="s">
        <v>1475</v>
      </c>
    </row>
    <row r="524" spans="1:31" s="572" customFormat="1">
      <c r="A524" s="570" t="s">
        <v>1476</v>
      </c>
      <c r="B524" s="573" t="s">
        <v>543</v>
      </c>
      <c r="C524" s="578" t="s">
        <v>544</v>
      </c>
      <c r="D524" s="573" t="s">
        <v>699</v>
      </c>
      <c r="E524" s="573" t="s">
        <v>152</v>
      </c>
      <c r="F524" s="573" t="s">
        <v>545</v>
      </c>
      <c r="G524" s="573">
        <v>2019</v>
      </c>
      <c r="H524" s="573" t="s">
        <v>1463</v>
      </c>
      <c r="I524" s="573" t="s">
        <v>1478</v>
      </c>
      <c r="J524" s="573" t="s">
        <v>230</v>
      </c>
      <c r="K524" s="573">
        <v>5</v>
      </c>
      <c r="L524" s="573">
        <v>0</v>
      </c>
      <c r="M524" s="573" t="s">
        <v>157</v>
      </c>
      <c r="N524" s="573">
        <v>2</v>
      </c>
      <c r="O524" s="573">
        <v>2</v>
      </c>
      <c r="P524" s="571" t="s">
        <v>157</v>
      </c>
      <c r="Q524" s="573" t="s">
        <v>352</v>
      </c>
      <c r="R524" s="573">
        <v>4</v>
      </c>
      <c r="S524" s="582">
        <v>22619</v>
      </c>
      <c r="T524" s="573" t="s">
        <v>157</v>
      </c>
      <c r="U524" s="573">
        <v>106.5</v>
      </c>
      <c r="V524" s="573">
        <v>14.5</v>
      </c>
      <c r="W524" s="616">
        <v>4720</v>
      </c>
      <c r="X524" s="617">
        <v>33</v>
      </c>
      <c r="Y524" s="617" t="s">
        <v>178</v>
      </c>
      <c r="Z524" s="617" t="s">
        <v>163</v>
      </c>
      <c r="AA524" s="618">
        <v>29995</v>
      </c>
      <c r="AB524" s="618" t="s">
        <v>164</v>
      </c>
      <c r="AC524" s="618">
        <v>29949</v>
      </c>
      <c r="AD524" s="619">
        <v>0.03</v>
      </c>
      <c r="AE524" s="617" t="s">
        <v>1477</v>
      </c>
    </row>
    <row r="525" spans="1:31" s="572" customFormat="1">
      <c r="A525" s="570" t="s">
        <v>1479</v>
      </c>
      <c r="B525" s="569" t="s">
        <v>543</v>
      </c>
      <c r="C525" s="580" t="s">
        <v>544</v>
      </c>
      <c r="D525" s="569" t="s">
        <v>699</v>
      </c>
      <c r="E525" s="569" t="s">
        <v>152</v>
      </c>
      <c r="F525" s="569" t="s">
        <v>545</v>
      </c>
      <c r="G525" s="569">
        <v>2019</v>
      </c>
      <c r="H525" s="569" t="s">
        <v>1463</v>
      </c>
      <c r="I525" s="569" t="s">
        <v>1478</v>
      </c>
      <c r="J525" s="569" t="s">
        <v>156</v>
      </c>
      <c r="K525" s="569">
        <v>5</v>
      </c>
      <c r="L525" s="569">
        <v>0</v>
      </c>
      <c r="M525" s="569" t="s">
        <v>157</v>
      </c>
      <c r="N525" s="569">
        <v>2</v>
      </c>
      <c r="O525" s="569">
        <v>2</v>
      </c>
      <c r="P525" s="568" t="s">
        <v>157</v>
      </c>
      <c r="Q525" s="569" t="s">
        <v>352</v>
      </c>
      <c r="R525" s="569">
        <v>4</v>
      </c>
      <c r="S525" s="569">
        <v>22719</v>
      </c>
      <c r="T525" s="569" t="s">
        <v>157</v>
      </c>
      <c r="U525" s="569">
        <v>106.5</v>
      </c>
      <c r="V525" s="569">
        <v>14.5</v>
      </c>
      <c r="W525" s="620">
        <v>4720</v>
      </c>
      <c r="X525" s="621">
        <v>34</v>
      </c>
      <c r="Y525" s="621" t="s">
        <v>178</v>
      </c>
      <c r="Z525" s="621" t="s">
        <v>163</v>
      </c>
      <c r="AA525" s="622">
        <v>28645</v>
      </c>
      <c r="AB525" s="622" t="s">
        <v>164</v>
      </c>
      <c r="AC525" s="622">
        <v>28599</v>
      </c>
      <c r="AD525" s="623">
        <v>0.03</v>
      </c>
      <c r="AE525" s="621" t="s">
        <v>1480</v>
      </c>
    </row>
    <row r="526" spans="1:31" s="572" customFormat="1">
      <c r="A526" s="570" t="s">
        <v>1481</v>
      </c>
      <c r="B526" s="573" t="s">
        <v>543</v>
      </c>
      <c r="C526" s="578" t="s">
        <v>544</v>
      </c>
      <c r="D526" s="573" t="s">
        <v>699</v>
      </c>
      <c r="E526" s="573" t="s">
        <v>152</v>
      </c>
      <c r="F526" s="573" t="s">
        <v>545</v>
      </c>
      <c r="G526" s="573">
        <v>2019</v>
      </c>
      <c r="H526" s="573" t="s">
        <v>1483</v>
      </c>
      <c r="I526" s="573" t="s">
        <v>273</v>
      </c>
      <c r="J526" s="573" t="s">
        <v>230</v>
      </c>
      <c r="K526" s="573">
        <v>5</v>
      </c>
      <c r="L526" s="573">
        <v>0</v>
      </c>
      <c r="M526" s="573" t="s">
        <v>157</v>
      </c>
      <c r="N526" s="573">
        <v>2</v>
      </c>
      <c r="O526" s="573" t="s">
        <v>157</v>
      </c>
      <c r="P526" s="571" t="s">
        <v>157</v>
      </c>
      <c r="Q526" s="573" t="s">
        <v>352</v>
      </c>
      <c r="R526" s="573">
        <v>4</v>
      </c>
      <c r="S526" s="582">
        <v>27019</v>
      </c>
      <c r="T526" s="573" t="s">
        <v>157</v>
      </c>
      <c r="U526" s="573">
        <v>104.2</v>
      </c>
      <c r="V526" s="573">
        <v>14.5</v>
      </c>
      <c r="W526" s="616">
        <v>3349</v>
      </c>
      <c r="X526" s="617">
        <v>27</v>
      </c>
      <c r="Y526" s="617" t="s">
        <v>178</v>
      </c>
      <c r="Z526" s="617" t="s">
        <v>178</v>
      </c>
      <c r="AA526" s="618">
        <v>24635</v>
      </c>
      <c r="AB526" s="618" t="s">
        <v>164</v>
      </c>
      <c r="AC526" s="618">
        <v>21049.1</v>
      </c>
      <c r="AD526" s="619">
        <v>0.03</v>
      </c>
      <c r="AE526" s="617" t="s">
        <v>1482</v>
      </c>
    </row>
    <row r="527" spans="1:31" s="572" customFormat="1">
      <c r="A527" s="570" t="s">
        <v>1484</v>
      </c>
      <c r="B527" s="569" t="s">
        <v>549</v>
      </c>
      <c r="C527" s="580">
        <v>16</v>
      </c>
      <c r="D527" s="569" t="s">
        <v>699</v>
      </c>
      <c r="E527" s="569" t="s">
        <v>152</v>
      </c>
      <c r="F527" s="569" t="s">
        <v>545</v>
      </c>
      <c r="G527" s="569">
        <v>2019</v>
      </c>
      <c r="H527" s="569" t="s">
        <v>1483</v>
      </c>
      <c r="I527" s="569" t="s">
        <v>273</v>
      </c>
      <c r="J527" s="569" t="s">
        <v>230</v>
      </c>
      <c r="K527" s="569">
        <v>5</v>
      </c>
      <c r="L527" s="569">
        <v>0</v>
      </c>
      <c r="M527" s="569" t="s">
        <v>157</v>
      </c>
      <c r="N527" s="569">
        <v>2</v>
      </c>
      <c r="O527" s="569" t="s">
        <v>157</v>
      </c>
      <c r="P527" s="568" t="s">
        <v>157</v>
      </c>
      <c r="Q527" s="569" t="s">
        <v>352</v>
      </c>
      <c r="R527" s="569">
        <v>4</v>
      </c>
      <c r="S527" s="569">
        <v>27019</v>
      </c>
      <c r="T527" s="569" t="s">
        <v>157</v>
      </c>
      <c r="U527" s="569">
        <v>104.2</v>
      </c>
      <c r="V527" s="569">
        <v>14.5</v>
      </c>
      <c r="W527" s="620">
        <v>3349</v>
      </c>
      <c r="X527" s="621">
        <v>27</v>
      </c>
      <c r="Y527" s="621" t="s">
        <v>178</v>
      </c>
      <c r="Z527" s="621" t="s">
        <v>178</v>
      </c>
      <c r="AA527" s="622">
        <v>24635</v>
      </c>
      <c r="AB527" s="622" t="s">
        <v>164</v>
      </c>
      <c r="AC527" s="622">
        <v>20490</v>
      </c>
      <c r="AD527" s="623">
        <v>0.05</v>
      </c>
      <c r="AE527" s="621" t="s">
        <v>1482</v>
      </c>
    </row>
    <row r="528" spans="1:31" s="572" customFormat="1">
      <c r="A528" s="570" t="s">
        <v>1485</v>
      </c>
      <c r="B528" s="573" t="s">
        <v>543</v>
      </c>
      <c r="C528" s="578" t="s">
        <v>544</v>
      </c>
      <c r="D528" s="573" t="s">
        <v>699</v>
      </c>
      <c r="E528" s="573" t="s">
        <v>152</v>
      </c>
      <c r="F528" s="573" t="s">
        <v>545</v>
      </c>
      <c r="G528" s="573">
        <v>2019</v>
      </c>
      <c r="H528" s="573" t="s">
        <v>1483</v>
      </c>
      <c r="I528" s="573" t="s">
        <v>273</v>
      </c>
      <c r="J528" s="573" t="s">
        <v>156</v>
      </c>
      <c r="K528" s="573">
        <v>5</v>
      </c>
      <c r="L528" s="573">
        <v>0</v>
      </c>
      <c r="M528" s="573" t="s">
        <v>157</v>
      </c>
      <c r="N528" s="573">
        <v>2</v>
      </c>
      <c r="O528" s="573" t="s">
        <v>157</v>
      </c>
      <c r="P528" s="571" t="s">
        <v>157</v>
      </c>
      <c r="Q528" s="573" t="s">
        <v>352</v>
      </c>
      <c r="R528" s="573">
        <v>4</v>
      </c>
      <c r="S528" s="582">
        <v>27119</v>
      </c>
      <c r="T528" s="573" t="s">
        <v>157</v>
      </c>
      <c r="U528" s="573">
        <v>104.2</v>
      </c>
      <c r="V528" s="573">
        <v>14.5</v>
      </c>
      <c r="W528" s="616">
        <v>3232</v>
      </c>
      <c r="X528" s="617">
        <v>28</v>
      </c>
      <c r="Y528" s="617" t="s">
        <v>178</v>
      </c>
      <c r="Z528" s="617" t="s">
        <v>178</v>
      </c>
      <c r="AA528" s="618">
        <v>23285</v>
      </c>
      <c r="AB528" s="618" t="s">
        <v>164</v>
      </c>
      <c r="AC528" s="618">
        <v>19712.599999999999</v>
      </c>
      <c r="AD528" s="619">
        <v>0.03</v>
      </c>
      <c r="AE528" s="617" t="s">
        <v>1486</v>
      </c>
    </row>
    <row r="529" spans="1:31" s="572" customFormat="1">
      <c r="A529" s="570" t="s">
        <v>1487</v>
      </c>
      <c r="B529" s="569" t="s">
        <v>605</v>
      </c>
      <c r="C529" s="580">
        <v>12</v>
      </c>
      <c r="D529" s="569" t="s">
        <v>699</v>
      </c>
      <c r="E529" s="569" t="s">
        <v>196</v>
      </c>
      <c r="F529" s="569" t="s">
        <v>606</v>
      </c>
      <c r="G529" s="569">
        <v>2019</v>
      </c>
      <c r="H529" s="569" t="s">
        <v>1489</v>
      </c>
      <c r="I529" s="569" t="s">
        <v>608</v>
      </c>
      <c r="J529" s="569" t="s">
        <v>230</v>
      </c>
      <c r="K529" s="569">
        <v>8</v>
      </c>
      <c r="L529" s="569">
        <v>0</v>
      </c>
      <c r="M529" s="569" t="s">
        <v>157</v>
      </c>
      <c r="N529" s="569">
        <v>3</v>
      </c>
      <c r="O529" s="569" t="s">
        <v>157</v>
      </c>
      <c r="P529" s="568" t="s">
        <v>157</v>
      </c>
      <c r="Q529" s="569" t="s">
        <v>316</v>
      </c>
      <c r="R529" s="569">
        <v>6</v>
      </c>
      <c r="S529" s="569">
        <v>6964</v>
      </c>
      <c r="T529" s="569" t="s">
        <v>609</v>
      </c>
      <c r="U529" s="569">
        <v>109.8</v>
      </c>
      <c r="V529" s="569">
        <v>19.2</v>
      </c>
      <c r="W529" s="620">
        <v>6270</v>
      </c>
      <c r="X529" s="621">
        <v>28</v>
      </c>
      <c r="Y529" s="621" t="s">
        <v>178</v>
      </c>
      <c r="Z529" s="621" t="s">
        <v>163</v>
      </c>
      <c r="AA529" s="622">
        <v>38065</v>
      </c>
      <c r="AB529" s="622" t="s">
        <v>164</v>
      </c>
      <c r="AC529" s="622">
        <v>35750</v>
      </c>
      <c r="AD529" s="623">
        <v>0.05</v>
      </c>
      <c r="AE529" s="621" t="s">
        <v>1488</v>
      </c>
    </row>
    <row r="530" spans="1:31" s="572" customFormat="1">
      <c r="A530" s="570" t="s">
        <v>1490</v>
      </c>
      <c r="B530" s="573" t="s">
        <v>605</v>
      </c>
      <c r="C530" s="578">
        <v>12</v>
      </c>
      <c r="D530" s="573" t="s">
        <v>699</v>
      </c>
      <c r="E530" s="573" t="s">
        <v>196</v>
      </c>
      <c r="F530" s="573" t="s">
        <v>606</v>
      </c>
      <c r="G530" s="573">
        <v>2019</v>
      </c>
      <c r="H530" s="573" t="s">
        <v>1489</v>
      </c>
      <c r="I530" s="573" t="s">
        <v>1492</v>
      </c>
      <c r="J530" s="573" t="s">
        <v>230</v>
      </c>
      <c r="K530" s="573">
        <v>7</v>
      </c>
      <c r="L530" s="573">
        <v>0</v>
      </c>
      <c r="M530" s="573" t="s">
        <v>157</v>
      </c>
      <c r="N530" s="573">
        <v>3</v>
      </c>
      <c r="O530" s="573" t="s">
        <v>157</v>
      </c>
      <c r="P530" s="571" t="s">
        <v>157</v>
      </c>
      <c r="Q530" s="573" t="s">
        <v>316</v>
      </c>
      <c r="R530" s="573">
        <v>6</v>
      </c>
      <c r="S530" s="582">
        <v>6966</v>
      </c>
      <c r="T530" s="573" t="s">
        <v>609</v>
      </c>
      <c r="U530" s="573">
        <v>109.8</v>
      </c>
      <c r="V530" s="573">
        <v>17.2</v>
      </c>
      <c r="W530" s="616">
        <v>6270</v>
      </c>
      <c r="X530" s="617">
        <v>28</v>
      </c>
      <c r="Y530" s="617" t="s">
        <v>178</v>
      </c>
      <c r="Z530" s="617" t="s">
        <v>163</v>
      </c>
      <c r="AA530" s="618">
        <v>46605</v>
      </c>
      <c r="AB530" s="618" t="s">
        <v>164</v>
      </c>
      <c r="AC530" s="618">
        <v>43550</v>
      </c>
      <c r="AD530" s="619">
        <v>0.05</v>
      </c>
      <c r="AE530" s="617" t="s">
        <v>1491</v>
      </c>
    </row>
    <row r="531" spans="1:31" s="572" customFormat="1">
      <c r="A531" s="570" t="s">
        <v>1493</v>
      </c>
      <c r="B531" s="569" t="s">
        <v>605</v>
      </c>
      <c r="C531" s="580">
        <v>12</v>
      </c>
      <c r="D531" s="569" t="s">
        <v>699</v>
      </c>
      <c r="E531" s="569" t="s">
        <v>196</v>
      </c>
      <c r="F531" s="569" t="s">
        <v>606</v>
      </c>
      <c r="G531" s="569">
        <v>2019</v>
      </c>
      <c r="H531" s="569" t="s">
        <v>1489</v>
      </c>
      <c r="I531" s="569" t="s">
        <v>1495</v>
      </c>
      <c r="J531" s="569" t="s">
        <v>230</v>
      </c>
      <c r="K531" s="569">
        <v>8</v>
      </c>
      <c r="L531" s="569">
        <v>0</v>
      </c>
      <c r="M531" s="569" t="s">
        <v>157</v>
      </c>
      <c r="N531" s="569">
        <v>3</v>
      </c>
      <c r="O531" s="569" t="s">
        <v>157</v>
      </c>
      <c r="P531" s="568" t="s">
        <v>157</v>
      </c>
      <c r="Q531" s="569" t="s">
        <v>316</v>
      </c>
      <c r="R531" s="569">
        <v>6</v>
      </c>
      <c r="S531" s="569">
        <v>6965</v>
      </c>
      <c r="T531" s="569" t="s">
        <v>609</v>
      </c>
      <c r="U531" s="569">
        <v>109.8</v>
      </c>
      <c r="V531" s="569">
        <v>19.2</v>
      </c>
      <c r="W531" s="620">
        <v>6270</v>
      </c>
      <c r="X531" s="621">
        <v>28</v>
      </c>
      <c r="Y531" s="621" t="s">
        <v>178</v>
      </c>
      <c r="Z531" s="621" t="s">
        <v>163</v>
      </c>
      <c r="AA531" s="622">
        <v>43125</v>
      </c>
      <c r="AB531" s="622" t="s">
        <v>164</v>
      </c>
      <c r="AC531" s="622">
        <v>40250</v>
      </c>
      <c r="AD531" s="623">
        <v>0.05</v>
      </c>
      <c r="AE531" s="621" t="s">
        <v>1494</v>
      </c>
    </row>
    <row r="532" spans="1:31" s="572" customFormat="1">
      <c r="A532" s="570" t="s">
        <v>1496</v>
      </c>
      <c r="B532" s="573" t="s">
        <v>605</v>
      </c>
      <c r="C532" s="578">
        <v>12</v>
      </c>
      <c r="D532" s="573" t="s">
        <v>699</v>
      </c>
      <c r="E532" s="573" t="s">
        <v>196</v>
      </c>
      <c r="F532" s="573" t="s">
        <v>606</v>
      </c>
      <c r="G532" s="573">
        <v>2019</v>
      </c>
      <c r="H532" s="573" t="s">
        <v>1489</v>
      </c>
      <c r="I532" s="573" t="s">
        <v>615</v>
      </c>
      <c r="J532" s="573" t="s">
        <v>230</v>
      </c>
      <c r="K532" s="573">
        <v>8</v>
      </c>
      <c r="L532" s="573">
        <v>0</v>
      </c>
      <c r="M532" s="573" t="s">
        <v>157</v>
      </c>
      <c r="N532" s="573">
        <v>3</v>
      </c>
      <c r="O532" s="573" t="s">
        <v>157</v>
      </c>
      <c r="P532" s="571" t="s">
        <v>157</v>
      </c>
      <c r="Q532" s="573" t="s">
        <v>316</v>
      </c>
      <c r="R532" s="573">
        <v>6</v>
      </c>
      <c r="S532" s="582">
        <v>6948</v>
      </c>
      <c r="T532" s="573" t="s">
        <v>609</v>
      </c>
      <c r="U532" s="573">
        <v>109.8</v>
      </c>
      <c r="V532" s="573">
        <v>19.2</v>
      </c>
      <c r="W532" s="616">
        <v>6000</v>
      </c>
      <c r="X532" s="617">
        <v>22</v>
      </c>
      <c r="Y532" s="617" t="s">
        <v>178</v>
      </c>
      <c r="Z532" s="617" t="s">
        <v>178</v>
      </c>
      <c r="AA532" s="618">
        <v>35935</v>
      </c>
      <c r="AB532" s="618" t="s">
        <v>164</v>
      </c>
      <c r="AC532" s="618">
        <v>33650</v>
      </c>
      <c r="AD532" s="619">
        <v>0.05</v>
      </c>
      <c r="AE532" s="617" t="s">
        <v>1497</v>
      </c>
    </row>
    <row r="533" spans="1:31" s="572" customFormat="1">
      <c r="A533" s="570" t="s">
        <v>1498</v>
      </c>
      <c r="B533" s="569" t="s">
        <v>605</v>
      </c>
      <c r="C533" s="580">
        <v>12</v>
      </c>
      <c r="D533" s="569" t="s">
        <v>699</v>
      </c>
      <c r="E533" s="569" t="s">
        <v>196</v>
      </c>
      <c r="F533" s="569" t="s">
        <v>606</v>
      </c>
      <c r="G533" s="569">
        <v>2019</v>
      </c>
      <c r="H533" s="569" t="s">
        <v>1489</v>
      </c>
      <c r="I533" s="569" t="s">
        <v>615</v>
      </c>
      <c r="J533" s="569" t="s">
        <v>156</v>
      </c>
      <c r="K533" s="569">
        <v>8</v>
      </c>
      <c r="L533" s="569">
        <v>0</v>
      </c>
      <c r="M533" s="569" t="s">
        <v>157</v>
      </c>
      <c r="N533" s="569">
        <v>3</v>
      </c>
      <c r="O533" s="569" t="s">
        <v>157</v>
      </c>
      <c r="P533" s="568" t="s">
        <v>157</v>
      </c>
      <c r="Q533" s="569" t="s">
        <v>1500</v>
      </c>
      <c r="R533" s="569">
        <v>4</v>
      </c>
      <c r="S533" s="569">
        <v>6942</v>
      </c>
      <c r="T533" s="569" t="s">
        <v>609</v>
      </c>
      <c r="U533" s="569">
        <v>109.8</v>
      </c>
      <c r="V533" s="569">
        <v>19.2</v>
      </c>
      <c r="W533" s="620">
        <v>5665</v>
      </c>
      <c r="X533" s="621">
        <v>22</v>
      </c>
      <c r="Y533" s="621" t="s">
        <v>178</v>
      </c>
      <c r="Z533" s="621" t="s">
        <v>178</v>
      </c>
      <c r="AA533" s="622">
        <v>32425</v>
      </c>
      <c r="AB533" s="622" t="s">
        <v>164</v>
      </c>
      <c r="AC533" s="622">
        <v>30200</v>
      </c>
      <c r="AD533" s="623">
        <v>0.05</v>
      </c>
      <c r="AE533" s="621" t="s">
        <v>1499</v>
      </c>
    </row>
    <row r="534" spans="1:31" s="572" customFormat="1">
      <c r="A534" s="570" t="s">
        <v>1501</v>
      </c>
      <c r="B534" s="573" t="s">
        <v>605</v>
      </c>
      <c r="C534" s="578">
        <v>12</v>
      </c>
      <c r="D534" s="573" t="s">
        <v>699</v>
      </c>
      <c r="E534" s="573" t="s">
        <v>196</v>
      </c>
      <c r="F534" s="573" t="s">
        <v>606</v>
      </c>
      <c r="G534" s="573">
        <v>2019</v>
      </c>
      <c r="H534" s="573" t="s">
        <v>1489</v>
      </c>
      <c r="I534" s="573" t="s">
        <v>1503</v>
      </c>
      <c r="J534" s="573" t="s">
        <v>230</v>
      </c>
      <c r="K534" s="573">
        <v>7</v>
      </c>
      <c r="L534" s="573">
        <v>0</v>
      </c>
      <c r="M534" s="573" t="s">
        <v>157</v>
      </c>
      <c r="N534" s="573">
        <v>3</v>
      </c>
      <c r="O534" s="573" t="s">
        <v>157</v>
      </c>
      <c r="P534" s="571" t="s">
        <v>157</v>
      </c>
      <c r="Q534" s="573" t="s">
        <v>316</v>
      </c>
      <c r="R534" s="573">
        <v>6</v>
      </c>
      <c r="S534" s="582">
        <v>6953</v>
      </c>
      <c r="T534" s="573" t="s">
        <v>609</v>
      </c>
      <c r="U534" s="573">
        <v>109.8</v>
      </c>
      <c r="V534" s="573">
        <v>19.2</v>
      </c>
      <c r="W534" s="616">
        <v>6000</v>
      </c>
      <c r="X534" s="617">
        <v>22</v>
      </c>
      <c r="Y534" s="617" t="s">
        <v>178</v>
      </c>
      <c r="Z534" s="617" t="s">
        <v>178</v>
      </c>
      <c r="AA534" s="618">
        <v>41775</v>
      </c>
      <c r="AB534" s="618" t="s">
        <v>164</v>
      </c>
      <c r="AC534" s="618">
        <v>38950</v>
      </c>
      <c r="AD534" s="619">
        <v>0.05</v>
      </c>
      <c r="AE534" s="617" t="s">
        <v>1502</v>
      </c>
    </row>
    <row r="535" spans="1:31" s="572" customFormat="1">
      <c r="A535" s="570" t="s">
        <v>1504</v>
      </c>
      <c r="B535" s="569" t="s">
        <v>605</v>
      </c>
      <c r="C535" s="580">
        <v>12</v>
      </c>
      <c r="D535" s="569" t="s">
        <v>699</v>
      </c>
      <c r="E535" s="569" t="s">
        <v>152</v>
      </c>
      <c r="F535" s="569" t="s">
        <v>606</v>
      </c>
      <c r="G535" s="569">
        <v>2019</v>
      </c>
      <c r="H535" s="569" t="s">
        <v>1506</v>
      </c>
      <c r="I535" s="569" t="s">
        <v>608</v>
      </c>
      <c r="J535" s="569" t="s">
        <v>230</v>
      </c>
      <c r="K535" s="569">
        <v>5</v>
      </c>
      <c r="L535" s="569">
        <v>0</v>
      </c>
      <c r="M535" s="569" t="s">
        <v>157</v>
      </c>
      <c r="N535" s="569">
        <v>2</v>
      </c>
      <c r="O535" s="569" t="s">
        <v>157</v>
      </c>
      <c r="P535" s="568" t="s">
        <v>157</v>
      </c>
      <c r="Q535" s="569" t="s">
        <v>189</v>
      </c>
      <c r="R535" s="569">
        <v>4</v>
      </c>
      <c r="S535" s="569">
        <v>4435</v>
      </c>
      <c r="T535" s="569" t="s">
        <v>1507</v>
      </c>
      <c r="U535" s="569">
        <v>104.7</v>
      </c>
      <c r="V535" s="569">
        <v>14.8</v>
      </c>
      <c r="W535" s="620">
        <v>4960</v>
      </c>
      <c r="X535" s="621">
        <v>32</v>
      </c>
      <c r="Y535" s="621" t="s">
        <v>178</v>
      </c>
      <c r="Z535" s="621" t="s">
        <v>163</v>
      </c>
      <c r="AA535" s="622">
        <v>28795</v>
      </c>
      <c r="AB535" s="622" t="s">
        <v>164</v>
      </c>
      <c r="AC535" s="622">
        <v>27300</v>
      </c>
      <c r="AD535" s="623">
        <v>0.05</v>
      </c>
      <c r="AE535" s="621" t="s">
        <v>1505</v>
      </c>
    </row>
    <row r="536" spans="1:31" s="572" customFormat="1">
      <c r="A536" s="570" t="s">
        <v>1508</v>
      </c>
      <c r="B536" s="573" t="s">
        <v>605</v>
      </c>
      <c r="C536" s="578">
        <v>12</v>
      </c>
      <c r="D536" s="573" t="s">
        <v>699</v>
      </c>
      <c r="E536" s="573" t="s">
        <v>152</v>
      </c>
      <c r="F536" s="573" t="s">
        <v>606</v>
      </c>
      <c r="G536" s="573">
        <v>2019</v>
      </c>
      <c r="H536" s="573" t="s">
        <v>1506</v>
      </c>
      <c r="I536" s="573" t="s">
        <v>1495</v>
      </c>
      <c r="J536" s="573" t="s">
        <v>230</v>
      </c>
      <c r="K536" s="573">
        <v>5</v>
      </c>
      <c r="L536" s="573">
        <v>0</v>
      </c>
      <c r="M536" s="573" t="s">
        <v>157</v>
      </c>
      <c r="N536" s="573">
        <v>2</v>
      </c>
      <c r="O536" s="573" t="s">
        <v>157</v>
      </c>
      <c r="P536" s="571" t="s">
        <v>157</v>
      </c>
      <c r="Q536" s="573" t="s">
        <v>189</v>
      </c>
      <c r="R536" s="573">
        <v>4</v>
      </c>
      <c r="S536" s="582">
        <v>4444</v>
      </c>
      <c r="T536" s="573" t="s">
        <v>1507</v>
      </c>
      <c r="U536" s="573">
        <v>104.7</v>
      </c>
      <c r="V536" s="573">
        <v>14.8</v>
      </c>
      <c r="W536" s="616">
        <v>4960</v>
      </c>
      <c r="X536" s="617">
        <v>32</v>
      </c>
      <c r="Y536" s="617" t="s">
        <v>178</v>
      </c>
      <c r="Z536" s="617" t="s">
        <v>163</v>
      </c>
      <c r="AA536" s="618">
        <v>30595</v>
      </c>
      <c r="AB536" s="618" t="s">
        <v>164</v>
      </c>
      <c r="AC536" s="618">
        <v>29200</v>
      </c>
      <c r="AD536" s="619">
        <v>0.05</v>
      </c>
      <c r="AE536" s="617" t="s">
        <v>1509</v>
      </c>
    </row>
    <row r="537" spans="1:31" s="572" customFormat="1">
      <c r="A537" s="570" t="s">
        <v>1510</v>
      </c>
      <c r="B537" s="569" t="s">
        <v>605</v>
      </c>
      <c r="C537" s="580">
        <v>12</v>
      </c>
      <c r="D537" s="569" t="s">
        <v>699</v>
      </c>
      <c r="E537" s="569" t="s">
        <v>152</v>
      </c>
      <c r="F537" s="569" t="s">
        <v>606</v>
      </c>
      <c r="G537" s="569">
        <v>2019</v>
      </c>
      <c r="H537" s="569" t="s">
        <v>1506</v>
      </c>
      <c r="I537" s="569" t="s">
        <v>615</v>
      </c>
      <c r="J537" s="569" t="s">
        <v>230</v>
      </c>
      <c r="K537" s="569">
        <v>5</v>
      </c>
      <c r="L537" s="569">
        <v>0</v>
      </c>
      <c r="M537" s="569" t="s">
        <v>157</v>
      </c>
      <c r="N537" s="569">
        <v>2</v>
      </c>
      <c r="O537" s="569" t="s">
        <v>157</v>
      </c>
      <c r="P537" s="568" t="s">
        <v>157</v>
      </c>
      <c r="Q537" s="569" t="s">
        <v>189</v>
      </c>
      <c r="R537" s="569">
        <v>4</v>
      </c>
      <c r="S537" s="569">
        <v>4432</v>
      </c>
      <c r="T537" s="569" t="s">
        <v>609</v>
      </c>
      <c r="U537" s="569">
        <v>104.7</v>
      </c>
      <c r="V537" s="569">
        <v>15.9</v>
      </c>
      <c r="W537" s="620">
        <v>4525</v>
      </c>
      <c r="X537" s="621">
        <v>25</v>
      </c>
      <c r="Y537" s="621" t="s">
        <v>178</v>
      </c>
      <c r="Z537" s="621" t="s">
        <v>178</v>
      </c>
      <c r="AA537" s="622">
        <v>27995</v>
      </c>
      <c r="AB537" s="622" t="s">
        <v>164</v>
      </c>
      <c r="AC537" s="622">
        <v>26300</v>
      </c>
      <c r="AD537" s="623">
        <v>0.05</v>
      </c>
      <c r="AE537" s="621" t="s">
        <v>1511</v>
      </c>
    </row>
    <row r="538" spans="1:31" s="572" customFormat="1">
      <c r="A538" s="570" t="s">
        <v>1512</v>
      </c>
      <c r="B538" s="573" t="s">
        <v>605</v>
      </c>
      <c r="C538" s="578">
        <v>12</v>
      </c>
      <c r="D538" s="573" t="s">
        <v>699</v>
      </c>
      <c r="E538" s="573" t="s">
        <v>152</v>
      </c>
      <c r="F538" s="573" t="s">
        <v>606</v>
      </c>
      <c r="G538" s="573">
        <v>2019</v>
      </c>
      <c r="H538" s="573" t="s">
        <v>1506</v>
      </c>
      <c r="I538" s="573" t="s">
        <v>615</v>
      </c>
      <c r="J538" s="573" t="s">
        <v>156</v>
      </c>
      <c r="K538" s="573">
        <v>5</v>
      </c>
      <c r="L538" s="573">
        <v>0</v>
      </c>
      <c r="M538" s="573" t="s">
        <v>157</v>
      </c>
      <c r="N538" s="573">
        <v>2</v>
      </c>
      <c r="O538" s="573" t="s">
        <v>157</v>
      </c>
      <c r="P538" s="571" t="s">
        <v>157</v>
      </c>
      <c r="Q538" s="573" t="s">
        <v>189</v>
      </c>
      <c r="R538" s="573">
        <v>4</v>
      </c>
      <c r="S538" s="582">
        <v>4430</v>
      </c>
      <c r="T538" s="573" t="s">
        <v>609</v>
      </c>
      <c r="U538" s="573">
        <v>104.7</v>
      </c>
      <c r="V538" s="573">
        <v>15.9</v>
      </c>
      <c r="W538" s="616">
        <v>4525</v>
      </c>
      <c r="X538" s="617">
        <v>26</v>
      </c>
      <c r="Y538" s="617" t="s">
        <v>178</v>
      </c>
      <c r="Z538" s="617" t="s">
        <v>178</v>
      </c>
      <c r="AA538" s="618">
        <v>26595</v>
      </c>
      <c r="AB538" s="618" t="s">
        <v>164</v>
      </c>
      <c r="AC538" s="618">
        <v>24950</v>
      </c>
      <c r="AD538" s="619">
        <v>0.05</v>
      </c>
      <c r="AE538" s="617" t="s">
        <v>1513</v>
      </c>
    </row>
    <row r="539" spans="1:31" s="572" customFormat="1">
      <c r="A539" s="570" t="s">
        <v>1514</v>
      </c>
      <c r="B539" s="569" t="s">
        <v>169</v>
      </c>
      <c r="C539" s="580">
        <v>11</v>
      </c>
      <c r="D539" s="569" t="s">
        <v>1516</v>
      </c>
      <c r="E539" s="569" t="s">
        <v>1517</v>
      </c>
      <c r="F539" s="569" t="s">
        <v>153</v>
      </c>
      <c r="G539" s="569">
        <v>2019</v>
      </c>
      <c r="H539" s="569" t="s">
        <v>1518</v>
      </c>
      <c r="I539" s="569" t="s">
        <v>1519</v>
      </c>
      <c r="J539" s="569" t="s">
        <v>236</v>
      </c>
      <c r="K539" s="569">
        <v>2</v>
      </c>
      <c r="L539" s="569">
        <v>0</v>
      </c>
      <c r="M539" s="569" t="s">
        <v>157</v>
      </c>
      <c r="N539" s="569">
        <v>1</v>
      </c>
      <c r="O539" s="569">
        <v>84.3</v>
      </c>
      <c r="P539" s="568" t="s">
        <v>157</v>
      </c>
      <c r="Q539" s="569" t="s">
        <v>1520</v>
      </c>
      <c r="R539" s="569">
        <v>4</v>
      </c>
      <c r="S539" s="569" t="s">
        <v>1521</v>
      </c>
      <c r="T539" s="569" t="s">
        <v>1522</v>
      </c>
      <c r="U539" s="569">
        <v>155</v>
      </c>
      <c r="V539" s="569">
        <v>31</v>
      </c>
      <c r="W539" s="620">
        <v>9900</v>
      </c>
      <c r="X539" s="621">
        <v>14</v>
      </c>
      <c r="Y539" s="621" t="s">
        <v>728</v>
      </c>
      <c r="Z539" s="621" t="s">
        <v>1523</v>
      </c>
      <c r="AA539" s="622">
        <v>38765</v>
      </c>
      <c r="AB539" s="622" t="s">
        <v>164</v>
      </c>
      <c r="AC539" s="622">
        <v>27898.541666666668</v>
      </c>
      <c r="AD539" s="623">
        <v>0.05</v>
      </c>
      <c r="AE539" s="621" t="s">
        <v>1515</v>
      </c>
    </row>
    <row r="540" spans="1:31" s="572" customFormat="1">
      <c r="A540" s="570" t="s">
        <v>1524</v>
      </c>
      <c r="B540" s="573" t="s">
        <v>169</v>
      </c>
      <c r="C540" s="578">
        <v>11</v>
      </c>
      <c r="D540" s="573" t="s">
        <v>1516</v>
      </c>
      <c r="E540" s="573" t="s">
        <v>1517</v>
      </c>
      <c r="F540" s="573" t="s">
        <v>153</v>
      </c>
      <c r="G540" s="573">
        <v>2019</v>
      </c>
      <c r="H540" s="573" t="s">
        <v>1518</v>
      </c>
      <c r="I540" s="573" t="s">
        <v>1519</v>
      </c>
      <c r="J540" s="573" t="s">
        <v>236</v>
      </c>
      <c r="K540" s="573">
        <v>2</v>
      </c>
      <c r="L540" s="573">
        <v>0</v>
      </c>
      <c r="M540" s="573" t="s">
        <v>157</v>
      </c>
      <c r="N540" s="573">
        <v>1</v>
      </c>
      <c r="O540" s="573">
        <v>84.3</v>
      </c>
      <c r="P540" s="571" t="s">
        <v>157</v>
      </c>
      <c r="Q540" s="573" t="s">
        <v>1526</v>
      </c>
      <c r="R540" s="573">
        <v>6</v>
      </c>
      <c r="S540" s="582" t="s">
        <v>1521</v>
      </c>
      <c r="T540" s="573" t="s">
        <v>1522</v>
      </c>
      <c r="U540" s="573">
        <v>155</v>
      </c>
      <c r="V540" s="573">
        <v>31</v>
      </c>
      <c r="W540" s="616">
        <v>8600</v>
      </c>
      <c r="X540" s="617">
        <v>14</v>
      </c>
      <c r="Y540" s="617" t="s">
        <v>178</v>
      </c>
      <c r="Z540" s="617" t="s">
        <v>178</v>
      </c>
      <c r="AA540" s="618">
        <v>34695</v>
      </c>
      <c r="AB540" s="618" t="s">
        <v>164</v>
      </c>
      <c r="AC540" s="618">
        <v>24167.708333333336</v>
      </c>
      <c r="AD540" s="619">
        <v>0.05</v>
      </c>
      <c r="AE540" s="617" t="s">
        <v>1525</v>
      </c>
    </row>
    <row r="541" spans="1:31" s="572" customFormat="1">
      <c r="A541" s="570" t="s">
        <v>1527</v>
      </c>
      <c r="B541" s="569" t="s">
        <v>169</v>
      </c>
      <c r="C541" s="580">
        <v>11</v>
      </c>
      <c r="D541" s="569" t="s">
        <v>1516</v>
      </c>
      <c r="E541" s="569" t="s">
        <v>1517</v>
      </c>
      <c r="F541" s="569" t="s">
        <v>153</v>
      </c>
      <c r="G541" s="569">
        <v>2019</v>
      </c>
      <c r="H541" s="569" t="s">
        <v>1518</v>
      </c>
      <c r="I541" s="569" t="s">
        <v>1519</v>
      </c>
      <c r="J541" s="569" t="s">
        <v>236</v>
      </c>
      <c r="K541" s="569">
        <v>2</v>
      </c>
      <c r="L541" s="569">
        <v>0</v>
      </c>
      <c r="M541" s="569" t="s">
        <v>157</v>
      </c>
      <c r="N541" s="569">
        <v>1</v>
      </c>
      <c r="O541" s="569">
        <v>84.3</v>
      </c>
      <c r="P541" s="568" t="s">
        <v>157</v>
      </c>
      <c r="Q541" s="569" t="s">
        <v>798</v>
      </c>
      <c r="R541" s="569">
        <v>8</v>
      </c>
      <c r="S541" s="569" t="s">
        <v>1521</v>
      </c>
      <c r="T541" s="569" t="s">
        <v>1522</v>
      </c>
      <c r="U541" s="569">
        <v>155</v>
      </c>
      <c r="V541" s="569">
        <v>31</v>
      </c>
      <c r="W541" s="620">
        <v>8600</v>
      </c>
      <c r="X541" s="621">
        <v>13</v>
      </c>
      <c r="Y541" s="621" t="s">
        <v>1529</v>
      </c>
      <c r="Z541" s="621" t="s">
        <v>178</v>
      </c>
      <c r="AA541" s="622">
        <v>35990</v>
      </c>
      <c r="AB541" s="622" t="s">
        <v>164</v>
      </c>
      <c r="AC541" s="622">
        <v>25354.791666666668</v>
      </c>
      <c r="AD541" s="623">
        <v>0.05</v>
      </c>
      <c r="AE541" s="621" t="s">
        <v>1528</v>
      </c>
    </row>
    <row r="542" spans="1:31" s="572" customFormat="1">
      <c r="A542" s="570" t="s">
        <v>1530</v>
      </c>
      <c r="B542" s="573" t="s">
        <v>169</v>
      </c>
      <c r="C542" s="578">
        <v>11</v>
      </c>
      <c r="D542" s="573" t="s">
        <v>1516</v>
      </c>
      <c r="E542" s="573" t="s">
        <v>1517</v>
      </c>
      <c r="F542" s="573" t="s">
        <v>153</v>
      </c>
      <c r="G542" s="573">
        <v>2019</v>
      </c>
      <c r="H542" s="573" t="s">
        <v>1518</v>
      </c>
      <c r="I542" s="573" t="s">
        <v>1519</v>
      </c>
      <c r="J542" s="573" t="s">
        <v>236</v>
      </c>
      <c r="K542" s="573">
        <v>2</v>
      </c>
      <c r="L542" s="573">
        <v>0</v>
      </c>
      <c r="M542" s="573" t="s">
        <v>157</v>
      </c>
      <c r="N542" s="573">
        <v>1</v>
      </c>
      <c r="O542" s="573">
        <v>84.3</v>
      </c>
      <c r="P542" s="571" t="s">
        <v>157</v>
      </c>
      <c r="Q542" s="573" t="s">
        <v>798</v>
      </c>
      <c r="R542" s="573">
        <v>8</v>
      </c>
      <c r="S542" s="582" t="s">
        <v>1521</v>
      </c>
      <c r="T542" s="573" t="s">
        <v>1522</v>
      </c>
      <c r="U542" s="573">
        <v>155</v>
      </c>
      <c r="V542" s="573">
        <v>31</v>
      </c>
      <c r="W542" s="616">
        <v>8600</v>
      </c>
      <c r="X542" s="617">
        <v>13</v>
      </c>
      <c r="Y542" s="617" t="s">
        <v>450</v>
      </c>
      <c r="Z542" s="617" t="s">
        <v>178</v>
      </c>
      <c r="AA542" s="618">
        <v>35690</v>
      </c>
      <c r="AB542" s="618" t="s">
        <v>164</v>
      </c>
      <c r="AC542" s="618">
        <v>25079.791666666668</v>
      </c>
      <c r="AD542" s="619">
        <v>0.05</v>
      </c>
      <c r="AE542" s="617" t="s">
        <v>1531</v>
      </c>
    </row>
    <row r="543" spans="1:31" s="572" customFormat="1">
      <c r="A543" s="570" t="s">
        <v>1532</v>
      </c>
      <c r="B543" s="569" t="s">
        <v>169</v>
      </c>
      <c r="C543" s="580">
        <v>11</v>
      </c>
      <c r="D543" s="569" t="s">
        <v>1516</v>
      </c>
      <c r="E543" s="569" t="s">
        <v>1517</v>
      </c>
      <c r="F543" s="569" t="s">
        <v>153</v>
      </c>
      <c r="G543" s="569">
        <v>2019</v>
      </c>
      <c r="H543" s="569" t="s">
        <v>1518</v>
      </c>
      <c r="I543" s="569" t="s">
        <v>1519</v>
      </c>
      <c r="J543" s="569" t="s">
        <v>236</v>
      </c>
      <c r="K543" s="569">
        <v>2</v>
      </c>
      <c r="L543" s="569">
        <v>0</v>
      </c>
      <c r="M543" s="569" t="s">
        <v>157</v>
      </c>
      <c r="N543" s="569">
        <v>1</v>
      </c>
      <c r="O543" s="569">
        <v>84.6</v>
      </c>
      <c r="P543" s="568" t="s">
        <v>157</v>
      </c>
      <c r="Q543" s="569" t="s">
        <v>1520</v>
      </c>
      <c r="R543" s="569">
        <v>4</v>
      </c>
      <c r="S543" s="569" t="s">
        <v>1534</v>
      </c>
      <c r="T543" s="569" t="s">
        <v>1522</v>
      </c>
      <c r="U543" s="569">
        <v>135</v>
      </c>
      <c r="V543" s="569">
        <v>31</v>
      </c>
      <c r="W543" s="620">
        <v>9900</v>
      </c>
      <c r="X543" s="621">
        <v>14</v>
      </c>
      <c r="Y543" s="621" t="s">
        <v>728</v>
      </c>
      <c r="Z543" s="621" t="s">
        <v>1523</v>
      </c>
      <c r="AA543" s="622">
        <v>36935</v>
      </c>
      <c r="AB543" s="622" t="s">
        <v>164</v>
      </c>
      <c r="AC543" s="622">
        <v>26177.500000000004</v>
      </c>
      <c r="AD543" s="623">
        <v>0.05</v>
      </c>
      <c r="AE543" s="621" t="s">
        <v>1533</v>
      </c>
    </row>
    <row r="544" spans="1:31" s="572" customFormat="1">
      <c r="A544" s="570" t="s">
        <v>1535</v>
      </c>
      <c r="B544" s="573" t="s">
        <v>169</v>
      </c>
      <c r="C544" s="578">
        <v>11</v>
      </c>
      <c r="D544" s="573" t="s">
        <v>1516</v>
      </c>
      <c r="E544" s="573" t="s">
        <v>1517</v>
      </c>
      <c r="F544" s="573" t="s">
        <v>153</v>
      </c>
      <c r="G544" s="573">
        <v>2019</v>
      </c>
      <c r="H544" s="573" t="s">
        <v>1518</v>
      </c>
      <c r="I544" s="573" t="s">
        <v>1519</v>
      </c>
      <c r="J544" s="573" t="s">
        <v>236</v>
      </c>
      <c r="K544" s="573">
        <v>2</v>
      </c>
      <c r="L544" s="573">
        <v>0</v>
      </c>
      <c r="M544" s="573" t="s">
        <v>157</v>
      </c>
      <c r="N544" s="573">
        <v>1</v>
      </c>
      <c r="O544" s="573">
        <v>84.6</v>
      </c>
      <c r="P544" s="571" t="s">
        <v>157</v>
      </c>
      <c r="Q544" s="573" t="s">
        <v>1526</v>
      </c>
      <c r="R544" s="573">
        <v>6</v>
      </c>
      <c r="S544" s="582" t="s">
        <v>1534</v>
      </c>
      <c r="T544" s="573" t="s">
        <v>1522</v>
      </c>
      <c r="U544" s="573">
        <v>135</v>
      </c>
      <c r="V544" s="573">
        <v>31</v>
      </c>
      <c r="W544" s="616">
        <v>8600</v>
      </c>
      <c r="X544" s="617">
        <v>14</v>
      </c>
      <c r="Y544" s="617" t="s">
        <v>178</v>
      </c>
      <c r="Z544" s="617" t="s">
        <v>178</v>
      </c>
      <c r="AA544" s="618">
        <v>32795</v>
      </c>
      <c r="AB544" s="618" t="s">
        <v>164</v>
      </c>
      <c r="AC544" s="618">
        <v>22382.5</v>
      </c>
      <c r="AD544" s="619">
        <v>0.05</v>
      </c>
      <c r="AE544" s="617" t="s">
        <v>1536</v>
      </c>
    </row>
    <row r="545" spans="1:31" s="572" customFormat="1">
      <c r="A545" s="570" t="s">
        <v>1537</v>
      </c>
      <c r="B545" s="569" t="s">
        <v>169</v>
      </c>
      <c r="C545" s="580">
        <v>11</v>
      </c>
      <c r="D545" s="569" t="s">
        <v>1516</v>
      </c>
      <c r="E545" s="569" t="s">
        <v>1517</v>
      </c>
      <c r="F545" s="569" t="s">
        <v>153</v>
      </c>
      <c r="G545" s="569">
        <v>2019</v>
      </c>
      <c r="H545" s="569" t="s">
        <v>1518</v>
      </c>
      <c r="I545" s="569" t="s">
        <v>1519</v>
      </c>
      <c r="J545" s="569" t="s">
        <v>236</v>
      </c>
      <c r="K545" s="569">
        <v>2</v>
      </c>
      <c r="L545" s="569">
        <v>0</v>
      </c>
      <c r="M545" s="569" t="s">
        <v>157</v>
      </c>
      <c r="N545" s="569">
        <v>1</v>
      </c>
      <c r="O545" s="569">
        <v>84.6</v>
      </c>
      <c r="P545" s="568" t="s">
        <v>157</v>
      </c>
      <c r="Q545" s="569" t="s">
        <v>798</v>
      </c>
      <c r="R545" s="569">
        <v>8</v>
      </c>
      <c r="S545" s="569" t="s">
        <v>1534</v>
      </c>
      <c r="T545" s="569" t="s">
        <v>1522</v>
      </c>
      <c r="U545" s="569">
        <v>135</v>
      </c>
      <c r="V545" s="569">
        <v>31</v>
      </c>
      <c r="W545" s="620">
        <v>8600</v>
      </c>
      <c r="X545" s="621">
        <v>13</v>
      </c>
      <c r="Y545" s="621" t="s">
        <v>1529</v>
      </c>
      <c r="Z545" s="621" t="s">
        <v>178</v>
      </c>
      <c r="AA545" s="622">
        <v>34160</v>
      </c>
      <c r="AB545" s="622" t="s">
        <v>164</v>
      </c>
      <c r="AC545" s="622">
        <v>23633.750000000004</v>
      </c>
      <c r="AD545" s="623">
        <v>0.05</v>
      </c>
      <c r="AE545" s="621" t="s">
        <v>1538</v>
      </c>
    </row>
    <row r="546" spans="1:31" s="572" customFormat="1">
      <c r="A546" s="570" t="s">
        <v>1539</v>
      </c>
      <c r="B546" s="573" t="s">
        <v>169</v>
      </c>
      <c r="C546" s="578">
        <v>11</v>
      </c>
      <c r="D546" s="573" t="s">
        <v>1516</v>
      </c>
      <c r="E546" s="573" t="s">
        <v>1517</v>
      </c>
      <c r="F546" s="573" t="s">
        <v>153</v>
      </c>
      <c r="G546" s="573">
        <v>2019</v>
      </c>
      <c r="H546" s="573" t="s">
        <v>1518</v>
      </c>
      <c r="I546" s="573" t="s">
        <v>1519</v>
      </c>
      <c r="J546" s="573" t="s">
        <v>236</v>
      </c>
      <c r="K546" s="573">
        <v>2</v>
      </c>
      <c r="L546" s="573">
        <v>0</v>
      </c>
      <c r="M546" s="573" t="s">
        <v>157</v>
      </c>
      <c r="N546" s="573">
        <v>1</v>
      </c>
      <c r="O546" s="573">
        <v>84.6</v>
      </c>
      <c r="P546" s="571" t="s">
        <v>157</v>
      </c>
      <c r="Q546" s="573" t="s">
        <v>798</v>
      </c>
      <c r="R546" s="573">
        <v>8</v>
      </c>
      <c r="S546" s="582" t="s">
        <v>1534</v>
      </c>
      <c r="T546" s="573" t="s">
        <v>1522</v>
      </c>
      <c r="U546" s="573">
        <v>135</v>
      </c>
      <c r="V546" s="573">
        <v>31</v>
      </c>
      <c r="W546" s="616">
        <v>8600</v>
      </c>
      <c r="X546" s="617">
        <v>13</v>
      </c>
      <c r="Y546" s="617" t="s">
        <v>450</v>
      </c>
      <c r="Z546" s="617" t="s">
        <v>178</v>
      </c>
      <c r="AA546" s="618">
        <v>33790</v>
      </c>
      <c r="AB546" s="618" t="s">
        <v>164</v>
      </c>
      <c r="AC546" s="618">
        <v>23357.708333333336</v>
      </c>
      <c r="AD546" s="619">
        <v>0.05</v>
      </c>
      <c r="AE546" s="617" t="s">
        <v>1540</v>
      </c>
    </row>
    <row r="547" spans="1:31" s="572" customFormat="1">
      <c r="A547" s="570" t="s">
        <v>1541</v>
      </c>
      <c r="B547" s="569" t="s">
        <v>150</v>
      </c>
      <c r="C547" s="580">
        <v>13</v>
      </c>
      <c r="D547" s="569" t="s">
        <v>1516</v>
      </c>
      <c r="E547" s="569" t="s">
        <v>1517</v>
      </c>
      <c r="F547" s="569" t="s">
        <v>153</v>
      </c>
      <c r="G547" s="569">
        <v>2019</v>
      </c>
      <c r="H547" s="569" t="s">
        <v>1518</v>
      </c>
      <c r="I547" s="569" t="s">
        <v>1519</v>
      </c>
      <c r="J547" s="569" t="s">
        <v>236</v>
      </c>
      <c r="K547" s="569">
        <v>2</v>
      </c>
      <c r="L547" s="569">
        <v>0</v>
      </c>
      <c r="M547" s="569" t="s">
        <v>157</v>
      </c>
      <c r="N547" s="569">
        <v>1</v>
      </c>
      <c r="O547" s="569">
        <v>84.3</v>
      </c>
      <c r="P547" s="568" t="s">
        <v>157</v>
      </c>
      <c r="Q547" s="569" t="s">
        <v>1520</v>
      </c>
      <c r="R547" s="569">
        <v>4</v>
      </c>
      <c r="S547" s="569" t="s">
        <v>1521</v>
      </c>
      <c r="T547" s="569" t="s">
        <v>1522</v>
      </c>
      <c r="U547" s="569">
        <v>155</v>
      </c>
      <c r="V547" s="569">
        <v>31</v>
      </c>
      <c r="W547" s="620">
        <v>9900</v>
      </c>
      <c r="X547" s="621">
        <v>14</v>
      </c>
      <c r="Y547" s="621" t="s">
        <v>728</v>
      </c>
      <c r="Z547" s="621" t="s">
        <v>1523</v>
      </c>
      <c r="AA547" s="622">
        <v>38765</v>
      </c>
      <c r="AB547" s="622" t="s">
        <v>164</v>
      </c>
      <c r="AC547" s="622">
        <v>29216</v>
      </c>
      <c r="AD547" s="623">
        <v>0.03</v>
      </c>
      <c r="AE547" s="621" t="s">
        <v>1515</v>
      </c>
    </row>
    <row r="548" spans="1:31" s="572" customFormat="1">
      <c r="A548" s="570" t="s">
        <v>1542</v>
      </c>
      <c r="B548" s="573" t="s">
        <v>150</v>
      </c>
      <c r="C548" s="578">
        <v>13</v>
      </c>
      <c r="D548" s="573" t="s">
        <v>1516</v>
      </c>
      <c r="E548" s="573" t="s">
        <v>1517</v>
      </c>
      <c r="F548" s="573" t="s">
        <v>153</v>
      </c>
      <c r="G548" s="573">
        <v>2019</v>
      </c>
      <c r="H548" s="573" t="s">
        <v>1518</v>
      </c>
      <c r="I548" s="573" t="s">
        <v>1519</v>
      </c>
      <c r="J548" s="573" t="s">
        <v>236</v>
      </c>
      <c r="K548" s="573">
        <v>2</v>
      </c>
      <c r="L548" s="573">
        <v>0</v>
      </c>
      <c r="M548" s="573" t="s">
        <v>157</v>
      </c>
      <c r="N548" s="573">
        <v>1</v>
      </c>
      <c r="O548" s="573">
        <v>84.3</v>
      </c>
      <c r="P548" s="571" t="s">
        <v>157</v>
      </c>
      <c r="Q548" s="573" t="s">
        <v>1526</v>
      </c>
      <c r="R548" s="573">
        <v>6</v>
      </c>
      <c r="S548" s="582" t="s">
        <v>1521</v>
      </c>
      <c r="T548" s="573" t="s">
        <v>1522</v>
      </c>
      <c r="U548" s="573">
        <v>155</v>
      </c>
      <c r="V548" s="573">
        <v>31</v>
      </c>
      <c r="W548" s="616">
        <v>8600</v>
      </c>
      <c r="X548" s="617">
        <v>14</v>
      </c>
      <c r="Y548" s="617" t="s">
        <v>178</v>
      </c>
      <c r="Z548" s="617" t="s">
        <v>178</v>
      </c>
      <c r="AA548" s="618">
        <v>34695</v>
      </c>
      <c r="AB548" s="618" t="s">
        <v>164</v>
      </c>
      <c r="AC548" s="618">
        <v>25634</v>
      </c>
      <c r="AD548" s="619">
        <v>0.03</v>
      </c>
      <c r="AE548" s="617" t="s">
        <v>1525</v>
      </c>
    </row>
    <row r="549" spans="1:31" s="572" customFormat="1">
      <c r="A549" s="570" t="s">
        <v>1543</v>
      </c>
      <c r="B549" s="569" t="s">
        <v>150</v>
      </c>
      <c r="C549" s="580">
        <v>13</v>
      </c>
      <c r="D549" s="569" t="s">
        <v>1516</v>
      </c>
      <c r="E549" s="569" t="s">
        <v>1517</v>
      </c>
      <c r="F549" s="569" t="s">
        <v>153</v>
      </c>
      <c r="G549" s="569">
        <v>2019</v>
      </c>
      <c r="H549" s="569" t="s">
        <v>1518</v>
      </c>
      <c r="I549" s="569" t="s">
        <v>1519</v>
      </c>
      <c r="J549" s="569" t="s">
        <v>236</v>
      </c>
      <c r="K549" s="569">
        <v>2</v>
      </c>
      <c r="L549" s="569">
        <v>0</v>
      </c>
      <c r="M549" s="569" t="s">
        <v>157</v>
      </c>
      <c r="N549" s="569">
        <v>1</v>
      </c>
      <c r="O549" s="569">
        <v>84.3</v>
      </c>
      <c r="P549" s="568" t="s">
        <v>157</v>
      </c>
      <c r="Q549" s="569" t="s">
        <v>798</v>
      </c>
      <c r="R549" s="569">
        <v>8</v>
      </c>
      <c r="S549" s="569" t="s">
        <v>1521</v>
      </c>
      <c r="T549" s="569" t="s">
        <v>1522</v>
      </c>
      <c r="U549" s="569">
        <v>155</v>
      </c>
      <c r="V549" s="569">
        <v>31</v>
      </c>
      <c r="W549" s="620">
        <v>8600</v>
      </c>
      <c r="X549" s="621">
        <v>13</v>
      </c>
      <c r="Y549" s="621" t="s">
        <v>1529</v>
      </c>
      <c r="Z549" s="621" t="s">
        <v>178</v>
      </c>
      <c r="AA549" s="622">
        <v>35990</v>
      </c>
      <c r="AB549" s="622" t="s">
        <v>164</v>
      </c>
      <c r="AC549" s="622">
        <v>25790</v>
      </c>
      <c r="AD549" s="623">
        <v>0.03</v>
      </c>
      <c r="AE549" s="621" t="s">
        <v>1528</v>
      </c>
    </row>
    <row r="550" spans="1:31" s="572" customFormat="1">
      <c r="A550" s="570" t="s">
        <v>1544</v>
      </c>
      <c r="B550" s="573" t="s">
        <v>150</v>
      </c>
      <c r="C550" s="578">
        <v>13</v>
      </c>
      <c r="D550" s="573" t="s">
        <v>1516</v>
      </c>
      <c r="E550" s="573" t="s">
        <v>1517</v>
      </c>
      <c r="F550" s="573" t="s">
        <v>153</v>
      </c>
      <c r="G550" s="573">
        <v>2019</v>
      </c>
      <c r="H550" s="573" t="s">
        <v>1518</v>
      </c>
      <c r="I550" s="573" t="s">
        <v>1519</v>
      </c>
      <c r="J550" s="573" t="s">
        <v>236</v>
      </c>
      <c r="K550" s="573">
        <v>2</v>
      </c>
      <c r="L550" s="573">
        <v>0</v>
      </c>
      <c r="M550" s="573" t="s">
        <v>157</v>
      </c>
      <c r="N550" s="573">
        <v>1</v>
      </c>
      <c r="O550" s="573">
        <v>84.3</v>
      </c>
      <c r="P550" s="571" t="s">
        <v>157</v>
      </c>
      <c r="Q550" s="573" t="s">
        <v>798</v>
      </c>
      <c r="R550" s="573">
        <v>8</v>
      </c>
      <c r="S550" s="582" t="s">
        <v>1521</v>
      </c>
      <c r="T550" s="573" t="s">
        <v>1522</v>
      </c>
      <c r="U550" s="573">
        <v>155</v>
      </c>
      <c r="V550" s="573">
        <v>31</v>
      </c>
      <c r="W550" s="616">
        <v>8600</v>
      </c>
      <c r="X550" s="617">
        <v>13</v>
      </c>
      <c r="Y550" s="617" t="s">
        <v>450</v>
      </c>
      <c r="Z550" s="617" t="s">
        <v>178</v>
      </c>
      <c r="AA550" s="618">
        <v>35690</v>
      </c>
      <c r="AB550" s="618" t="s">
        <v>164</v>
      </c>
      <c r="AC550" s="618">
        <v>26510</v>
      </c>
      <c r="AD550" s="619">
        <v>0.03</v>
      </c>
      <c r="AE550" s="617" t="s">
        <v>1531</v>
      </c>
    </row>
    <row r="551" spans="1:31" s="572" customFormat="1">
      <c r="A551" s="570" t="s">
        <v>1545</v>
      </c>
      <c r="B551" s="569" t="s">
        <v>150</v>
      </c>
      <c r="C551" s="580">
        <v>13</v>
      </c>
      <c r="D551" s="569" t="s">
        <v>1516</v>
      </c>
      <c r="E551" s="569" t="s">
        <v>1517</v>
      </c>
      <c r="F551" s="569" t="s">
        <v>153</v>
      </c>
      <c r="G551" s="569">
        <v>2019</v>
      </c>
      <c r="H551" s="569" t="s">
        <v>1518</v>
      </c>
      <c r="I551" s="569" t="s">
        <v>1519</v>
      </c>
      <c r="J551" s="569" t="s">
        <v>236</v>
      </c>
      <c r="K551" s="569">
        <v>2</v>
      </c>
      <c r="L551" s="569">
        <v>0</v>
      </c>
      <c r="M551" s="569" t="s">
        <v>157</v>
      </c>
      <c r="N551" s="569">
        <v>1</v>
      </c>
      <c r="O551" s="569">
        <v>84.6</v>
      </c>
      <c r="P551" s="568" t="s">
        <v>157</v>
      </c>
      <c r="Q551" s="569" t="s">
        <v>1547</v>
      </c>
      <c r="R551" s="569">
        <v>4</v>
      </c>
      <c r="S551" s="569" t="s">
        <v>1534</v>
      </c>
      <c r="T551" s="569" t="s">
        <v>1522</v>
      </c>
      <c r="U551" s="569">
        <v>135</v>
      </c>
      <c r="V551" s="569">
        <v>31</v>
      </c>
      <c r="W551" s="620">
        <v>9900</v>
      </c>
      <c r="X551" s="621">
        <v>14</v>
      </c>
      <c r="Y551" s="621" t="s">
        <v>728</v>
      </c>
      <c r="Z551" s="621" t="s">
        <v>1523</v>
      </c>
      <c r="AA551" s="622">
        <v>36865</v>
      </c>
      <c r="AB551" s="622" t="s">
        <v>164</v>
      </c>
      <c r="AC551" s="622">
        <v>27542</v>
      </c>
      <c r="AD551" s="623">
        <v>0.03</v>
      </c>
      <c r="AE551" s="621" t="s">
        <v>1546</v>
      </c>
    </row>
    <row r="552" spans="1:31" s="572" customFormat="1">
      <c r="A552" s="570" t="s">
        <v>1548</v>
      </c>
      <c r="B552" s="573" t="s">
        <v>150</v>
      </c>
      <c r="C552" s="578">
        <v>13</v>
      </c>
      <c r="D552" s="573" t="s">
        <v>1516</v>
      </c>
      <c r="E552" s="573" t="s">
        <v>1517</v>
      </c>
      <c r="F552" s="573" t="s">
        <v>153</v>
      </c>
      <c r="G552" s="573">
        <v>2019</v>
      </c>
      <c r="H552" s="573" t="s">
        <v>1518</v>
      </c>
      <c r="I552" s="573" t="s">
        <v>1519</v>
      </c>
      <c r="J552" s="573" t="s">
        <v>236</v>
      </c>
      <c r="K552" s="573">
        <v>2</v>
      </c>
      <c r="L552" s="573">
        <v>0</v>
      </c>
      <c r="M552" s="573" t="s">
        <v>157</v>
      </c>
      <c r="N552" s="573">
        <v>1</v>
      </c>
      <c r="O552" s="573">
        <v>84.6</v>
      </c>
      <c r="P552" s="571" t="s">
        <v>157</v>
      </c>
      <c r="Q552" s="573" t="s">
        <v>1526</v>
      </c>
      <c r="R552" s="573">
        <v>6</v>
      </c>
      <c r="S552" s="582" t="s">
        <v>1534</v>
      </c>
      <c r="T552" s="573" t="s">
        <v>1522</v>
      </c>
      <c r="U552" s="573">
        <v>135</v>
      </c>
      <c r="V552" s="573">
        <v>31</v>
      </c>
      <c r="W552" s="616">
        <v>8600</v>
      </c>
      <c r="X552" s="617">
        <v>14</v>
      </c>
      <c r="Y552" s="617" t="s">
        <v>178</v>
      </c>
      <c r="Z552" s="617" t="s">
        <v>178</v>
      </c>
      <c r="AA552" s="618">
        <v>32795</v>
      </c>
      <c r="AB552" s="618" t="s">
        <v>164</v>
      </c>
      <c r="AC552" s="618">
        <v>23960</v>
      </c>
      <c r="AD552" s="619">
        <v>0.03</v>
      </c>
      <c r="AE552" s="617" t="s">
        <v>1536</v>
      </c>
    </row>
    <row r="553" spans="1:31" s="572" customFormat="1">
      <c r="A553" s="570" t="s">
        <v>1549</v>
      </c>
      <c r="B553" s="569" t="s">
        <v>150</v>
      </c>
      <c r="C553" s="580">
        <v>13</v>
      </c>
      <c r="D553" s="569" t="s">
        <v>1516</v>
      </c>
      <c r="E553" s="569" t="s">
        <v>1517</v>
      </c>
      <c r="F553" s="569" t="s">
        <v>153</v>
      </c>
      <c r="G553" s="569">
        <v>2019</v>
      </c>
      <c r="H553" s="569" t="s">
        <v>1518</v>
      </c>
      <c r="I553" s="569" t="s">
        <v>1519</v>
      </c>
      <c r="J553" s="569" t="s">
        <v>236</v>
      </c>
      <c r="K553" s="569">
        <v>2</v>
      </c>
      <c r="L553" s="569">
        <v>0</v>
      </c>
      <c r="M553" s="569" t="s">
        <v>157</v>
      </c>
      <c r="N553" s="569">
        <v>1</v>
      </c>
      <c r="O553" s="569">
        <v>84.6</v>
      </c>
      <c r="P553" s="568" t="s">
        <v>157</v>
      </c>
      <c r="Q553" s="569" t="s">
        <v>798</v>
      </c>
      <c r="R553" s="569">
        <v>8</v>
      </c>
      <c r="S553" s="569" t="s">
        <v>1534</v>
      </c>
      <c r="T553" s="569" t="s">
        <v>1522</v>
      </c>
      <c r="U553" s="569">
        <v>135</v>
      </c>
      <c r="V553" s="569">
        <v>31</v>
      </c>
      <c r="W553" s="620">
        <v>8600</v>
      </c>
      <c r="X553" s="621">
        <v>13</v>
      </c>
      <c r="Y553" s="621" t="s">
        <v>1529</v>
      </c>
      <c r="Z553" s="621" t="s">
        <v>178</v>
      </c>
      <c r="AA553" s="622">
        <v>34165</v>
      </c>
      <c r="AB553" s="622" t="s">
        <v>164</v>
      </c>
      <c r="AC553" s="622">
        <v>25100</v>
      </c>
      <c r="AD553" s="623">
        <v>0.03</v>
      </c>
      <c r="AE553" s="621" t="s">
        <v>1538</v>
      </c>
    </row>
    <row r="554" spans="1:31" s="572" customFormat="1">
      <c r="A554" s="570" t="s">
        <v>1550</v>
      </c>
      <c r="B554" s="573" t="s">
        <v>150</v>
      </c>
      <c r="C554" s="578">
        <v>13</v>
      </c>
      <c r="D554" s="573" t="s">
        <v>1516</v>
      </c>
      <c r="E554" s="573" t="s">
        <v>1517</v>
      </c>
      <c r="F554" s="573" t="s">
        <v>153</v>
      </c>
      <c r="G554" s="573">
        <v>2019</v>
      </c>
      <c r="H554" s="573" t="s">
        <v>1518</v>
      </c>
      <c r="I554" s="573" t="s">
        <v>1519</v>
      </c>
      <c r="J554" s="573" t="s">
        <v>236</v>
      </c>
      <c r="K554" s="573">
        <v>2</v>
      </c>
      <c r="L554" s="573">
        <v>0</v>
      </c>
      <c r="M554" s="573" t="s">
        <v>157</v>
      </c>
      <c r="N554" s="573">
        <v>1</v>
      </c>
      <c r="O554" s="573">
        <v>84.6</v>
      </c>
      <c r="P554" s="571" t="s">
        <v>157</v>
      </c>
      <c r="Q554" s="573" t="s">
        <v>798</v>
      </c>
      <c r="R554" s="573">
        <v>8</v>
      </c>
      <c r="S554" s="582" t="s">
        <v>1534</v>
      </c>
      <c r="T554" s="573" t="s">
        <v>1522</v>
      </c>
      <c r="U554" s="573">
        <v>135</v>
      </c>
      <c r="V554" s="573">
        <v>31</v>
      </c>
      <c r="W554" s="616">
        <v>8600</v>
      </c>
      <c r="X554" s="617">
        <v>13</v>
      </c>
      <c r="Y554" s="617" t="s">
        <v>450</v>
      </c>
      <c r="Z554" s="617" t="s">
        <v>178</v>
      </c>
      <c r="AA554" s="618">
        <v>33790</v>
      </c>
      <c r="AB554" s="618" t="s">
        <v>164</v>
      </c>
      <c r="AC554" s="618">
        <v>24836</v>
      </c>
      <c r="AD554" s="619">
        <v>0.03</v>
      </c>
      <c r="AE554" s="617" t="s">
        <v>1540</v>
      </c>
    </row>
    <row r="555" spans="1:31" s="572" customFormat="1">
      <c r="A555" s="570" t="s">
        <v>1551</v>
      </c>
      <c r="B555" s="569" t="s">
        <v>166</v>
      </c>
      <c r="C555" s="580">
        <v>17</v>
      </c>
      <c r="D555" s="569" t="s">
        <v>1516</v>
      </c>
      <c r="E555" s="569" t="s">
        <v>1517</v>
      </c>
      <c r="F555" s="569" t="s">
        <v>153</v>
      </c>
      <c r="G555" s="569">
        <v>2019</v>
      </c>
      <c r="H555" s="569" t="s">
        <v>1518</v>
      </c>
      <c r="I555" s="569" t="s">
        <v>1519</v>
      </c>
      <c r="J555" s="569" t="s">
        <v>236</v>
      </c>
      <c r="K555" s="569">
        <v>2</v>
      </c>
      <c r="L555" s="569">
        <v>0</v>
      </c>
      <c r="M555" s="569" t="s">
        <v>157</v>
      </c>
      <c r="N555" s="569">
        <v>1</v>
      </c>
      <c r="O555" s="569">
        <v>84.3</v>
      </c>
      <c r="P555" s="568" t="s">
        <v>157</v>
      </c>
      <c r="Q555" s="569" t="s">
        <v>1520</v>
      </c>
      <c r="R555" s="569">
        <v>4</v>
      </c>
      <c r="S555" s="569" t="s">
        <v>1521</v>
      </c>
      <c r="T555" s="569" t="s">
        <v>1522</v>
      </c>
      <c r="U555" s="569">
        <v>155</v>
      </c>
      <c r="V555" s="569">
        <v>31</v>
      </c>
      <c r="W555" s="620">
        <v>9900</v>
      </c>
      <c r="X555" s="621">
        <v>14</v>
      </c>
      <c r="Y555" s="621" t="s">
        <v>728</v>
      </c>
      <c r="Z555" s="621" t="s">
        <v>1523</v>
      </c>
      <c r="AA555" s="622">
        <v>38690</v>
      </c>
      <c r="AB555" s="622" t="s">
        <v>164</v>
      </c>
      <c r="AC555" s="622">
        <v>29450</v>
      </c>
      <c r="AD555" s="623">
        <v>7.1999999999999995E-2</v>
      </c>
      <c r="AE555" s="621" t="s">
        <v>1515</v>
      </c>
    </row>
    <row r="556" spans="1:31" s="572" customFormat="1">
      <c r="A556" s="570" t="s">
        <v>1552</v>
      </c>
      <c r="B556" s="573" t="s">
        <v>166</v>
      </c>
      <c r="C556" s="578">
        <v>17</v>
      </c>
      <c r="D556" s="573" t="s">
        <v>1516</v>
      </c>
      <c r="E556" s="573" t="s">
        <v>1517</v>
      </c>
      <c r="F556" s="573" t="s">
        <v>153</v>
      </c>
      <c r="G556" s="573">
        <v>2019</v>
      </c>
      <c r="H556" s="573" t="s">
        <v>1518</v>
      </c>
      <c r="I556" s="573" t="s">
        <v>1519</v>
      </c>
      <c r="J556" s="573" t="s">
        <v>236</v>
      </c>
      <c r="K556" s="573">
        <v>2</v>
      </c>
      <c r="L556" s="573">
        <v>0</v>
      </c>
      <c r="M556" s="573" t="s">
        <v>157</v>
      </c>
      <c r="N556" s="573">
        <v>1</v>
      </c>
      <c r="O556" s="573">
        <v>84.3</v>
      </c>
      <c r="P556" s="571" t="s">
        <v>157</v>
      </c>
      <c r="Q556" s="573" t="s">
        <v>1526</v>
      </c>
      <c r="R556" s="573">
        <v>6</v>
      </c>
      <c r="S556" s="582" t="s">
        <v>1521</v>
      </c>
      <c r="T556" s="573" t="s">
        <v>1522</v>
      </c>
      <c r="U556" s="573">
        <v>155</v>
      </c>
      <c r="V556" s="573">
        <v>31</v>
      </c>
      <c r="W556" s="616">
        <v>8600</v>
      </c>
      <c r="X556" s="617">
        <v>14</v>
      </c>
      <c r="Y556" s="617" t="s">
        <v>178</v>
      </c>
      <c r="Z556" s="617" t="s">
        <v>178</v>
      </c>
      <c r="AA556" s="618">
        <v>34695</v>
      </c>
      <c r="AB556" s="618" t="s">
        <v>164</v>
      </c>
      <c r="AC556" s="618">
        <v>25955</v>
      </c>
      <c r="AD556" s="619">
        <v>7.1999999999999995E-2</v>
      </c>
      <c r="AE556" s="617" t="s">
        <v>1525</v>
      </c>
    </row>
    <row r="557" spans="1:31" s="572" customFormat="1">
      <c r="A557" s="570" t="s">
        <v>1553</v>
      </c>
      <c r="B557" s="569" t="s">
        <v>166</v>
      </c>
      <c r="C557" s="580">
        <v>17</v>
      </c>
      <c r="D557" s="569" t="s">
        <v>1516</v>
      </c>
      <c r="E557" s="569" t="s">
        <v>1517</v>
      </c>
      <c r="F557" s="569" t="s">
        <v>153</v>
      </c>
      <c r="G557" s="569">
        <v>2019</v>
      </c>
      <c r="H557" s="569" t="s">
        <v>1518</v>
      </c>
      <c r="I557" s="569" t="s">
        <v>1519</v>
      </c>
      <c r="J557" s="569" t="s">
        <v>236</v>
      </c>
      <c r="K557" s="569">
        <v>2</v>
      </c>
      <c r="L557" s="569">
        <v>0</v>
      </c>
      <c r="M557" s="569" t="s">
        <v>157</v>
      </c>
      <c r="N557" s="569">
        <v>1</v>
      </c>
      <c r="O557" s="569">
        <v>84.3</v>
      </c>
      <c r="P557" s="568" t="s">
        <v>157</v>
      </c>
      <c r="Q557" s="569" t="s">
        <v>798</v>
      </c>
      <c r="R557" s="569">
        <v>8</v>
      </c>
      <c r="S557" s="569" t="s">
        <v>1521</v>
      </c>
      <c r="T557" s="569" t="s">
        <v>1522</v>
      </c>
      <c r="U557" s="569">
        <v>155</v>
      </c>
      <c r="V557" s="569">
        <v>31</v>
      </c>
      <c r="W557" s="620">
        <v>8600</v>
      </c>
      <c r="X557" s="621">
        <v>13</v>
      </c>
      <c r="Y557" s="621" t="s">
        <v>1529</v>
      </c>
      <c r="Z557" s="621" t="s">
        <v>178</v>
      </c>
      <c r="AA557" s="622">
        <v>35690</v>
      </c>
      <c r="AB557" s="622" t="s">
        <v>164</v>
      </c>
      <c r="AC557" s="622">
        <v>26895</v>
      </c>
      <c r="AD557" s="623">
        <v>7.1999999999999995E-2</v>
      </c>
      <c r="AE557" s="621" t="s">
        <v>1528</v>
      </c>
    </row>
    <row r="558" spans="1:31" s="572" customFormat="1">
      <c r="A558" s="570" t="s">
        <v>1554</v>
      </c>
      <c r="B558" s="573" t="s">
        <v>166</v>
      </c>
      <c r="C558" s="578">
        <v>17</v>
      </c>
      <c r="D558" s="573" t="s">
        <v>1516</v>
      </c>
      <c r="E558" s="573" t="s">
        <v>1517</v>
      </c>
      <c r="F558" s="573" t="s">
        <v>153</v>
      </c>
      <c r="G558" s="573">
        <v>2019</v>
      </c>
      <c r="H558" s="573" t="s">
        <v>1518</v>
      </c>
      <c r="I558" s="573" t="s">
        <v>1519</v>
      </c>
      <c r="J558" s="573" t="s">
        <v>236</v>
      </c>
      <c r="K558" s="573">
        <v>2</v>
      </c>
      <c r="L558" s="573">
        <v>0</v>
      </c>
      <c r="M558" s="573" t="s">
        <v>157</v>
      </c>
      <c r="N558" s="573">
        <v>1</v>
      </c>
      <c r="O558" s="573">
        <v>84.3</v>
      </c>
      <c r="P558" s="571" t="s">
        <v>157</v>
      </c>
      <c r="Q558" s="573" t="s">
        <v>798</v>
      </c>
      <c r="R558" s="573">
        <v>8</v>
      </c>
      <c r="S558" s="582" t="s">
        <v>1521</v>
      </c>
      <c r="T558" s="573" t="s">
        <v>1522</v>
      </c>
      <c r="U558" s="573">
        <v>155</v>
      </c>
      <c r="V558" s="573">
        <v>31</v>
      </c>
      <c r="W558" s="616">
        <v>8600</v>
      </c>
      <c r="X558" s="617">
        <v>13</v>
      </c>
      <c r="Y558" s="617" t="s">
        <v>450</v>
      </c>
      <c r="Z558" s="617" t="s">
        <v>178</v>
      </c>
      <c r="AA558" s="618">
        <v>35690</v>
      </c>
      <c r="AB558" s="618" t="s">
        <v>164</v>
      </c>
      <c r="AC558" s="618">
        <v>26895</v>
      </c>
      <c r="AD558" s="619">
        <v>7.1999999999999995E-2</v>
      </c>
      <c r="AE558" s="617" t="s">
        <v>1531</v>
      </c>
    </row>
    <row r="559" spans="1:31" s="572" customFormat="1">
      <c r="A559" s="570" t="s">
        <v>1555</v>
      </c>
      <c r="B559" s="569" t="s">
        <v>166</v>
      </c>
      <c r="C559" s="580">
        <v>17</v>
      </c>
      <c r="D559" s="569" t="s">
        <v>1516</v>
      </c>
      <c r="E559" s="569" t="s">
        <v>1517</v>
      </c>
      <c r="F559" s="569" t="s">
        <v>153</v>
      </c>
      <c r="G559" s="569">
        <v>2019</v>
      </c>
      <c r="H559" s="569" t="s">
        <v>1518</v>
      </c>
      <c r="I559" s="569" t="s">
        <v>1519</v>
      </c>
      <c r="J559" s="569" t="s">
        <v>236</v>
      </c>
      <c r="K559" s="569">
        <v>2</v>
      </c>
      <c r="L559" s="569">
        <v>0</v>
      </c>
      <c r="M559" s="569" t="s">
        <v>157</v>
      </c>
      <c r="N559" s="569">
        <v>1</v>
      </c>
      <c r="O559" s="569">
        <v>84.6</v>
      </c>
      <c r="P559" s="568" t="s">
        <v>157</v>
      </c>
      <c r="Q559" s="569" t="s">
        <v>1547</v>
      </c>
      <c r="R559" s="569">
        <v>4</v>
      </c>
      <c r="S559" s="569" t="s">
        <v>1534</v>
      </c>
      <c r="T559" s="569" t="s">
        <v>1522</v>
      </c>
      <c r="U559" s="569">
        <v>135</v>
      </c>
      <c r="V559" s="569">
        <v>31</v>
      </c>
      <c r="W559" s="620">
        <v>9900</v>
      </c>
      <c r="X559" s="621">
        <v>14</v>
      </c>
      <c r="Y559" s="621" t="s">
        <v>728</v>
      </c>
      <c r="Z559" s="621" t="s">
        <v>1523</v>
      </c>
      <c r="AA559" s="622">
        <v>36790</v>
      </c>
      <c r="AB559" s="622" t="s">
        <v>164</v>
      </c>
      <c r="AC559" s="622">
        <v>27988</v>
      </c>
      <c r="AD559" s="623">
        <v>7.1999999999999995E-2</v>
      </c>
      <c r="AE559" s="621" t="s">
        <v>1546</v>
      </c>
    </row>
    <row r="560" spans="1:31" s="572" customFormat="1">
      <c r="A560" s="570" t="s">
        <v>1556</v>
      </c>
      <c r="B560" s="573" t="s">
        <v>166</v>
      </c>
      <c r="C560" s="578">
        <v>17</v>
      </c>
      <c r="D560" s="573" t="s">
        <v>1516</v>
      </c>
      <c r="E560" s="573" t="s">
        <v>1517</v>
      </c>
      <c r="F560" s="573" t="s">
        <v>153</v>
      </c>
      <c r="G560" s="573">
        <v>2019</v>
      </c>
      <c r="H560" s="573" t="s">
        <v>1518</v>
      </c>
      <c r="I560" s="573" t="s">
        <v>1519</v>
      </c>
      <c r="J560" s="573" t="s">
        <v>236</v>
      </c>
      <c r="K560" s="573">
        <v>2</v>
      </c>
      <c r="L560" s="573">
        <v>0</v>
      </c>
      <c r="M560" s="573" t="s">
        <v>157</v>
      </c>
      <c r="N560" s="573">
        <v>1</v>
      </c>
      <c r="O560" s="573">
        <v>84.6</v>
      </c>
      <c r="P560" s="571" t="s">
        <v>157</v>
      </c>
      <c r="Q560" s="573" t="s">
        <v>1526</v>
      </c>
      <c r="R560" s="573">
        <v>6</v>
      </c>
      <c r="S560" s="582" t="s">
        <v>1534</v>
      </c>
      <c r="T560" s="573" t="s">
        <v>1522</v>
      </c>
      <c r="U560" s="573">
        <v>135</v>
      </c>
      <c r="V560" s="573">
        <v>31</v>
      </c>
      <c r="W560" s="616">
        <v>8600</v>
      </c>
      <c r="X560" s="617">
        <v>14</v>
      </c>
      <c r="Y560" s="617" t="s">
        <v>178</v>
      </c>
      <c r="Z560" s="617" t="s">
        <v>178</v>
      </c>
      <c r="AA560" s="618">
        <v>32795</v>
      </c>
      <c r="AB560" s="618" t="s">
        <v>164</v>
      </c>
      <c r="AC560" s="618">
        <v>27855</v>
      </c>
      <c r="AD560" s="619">
        <v>7.1999999999999995E-2</v>
      </c>
      <c r="AE560" s="617" t="s">
        <v>1536</v>
      </c>
    </row>
    <row r="561" spans="1:31" s="572" customFormat="1">
      <c r="A561" s="570" t="s">
        <v>1557</v>
      </c>
      <c r="B561" s="569" t="s">
        <v>166</v>
      </c>
      <c r="C561" s="580">
        <v>17</v>
      </c>
      <c r="D561" s="569" t="s">
        <v>1516</v>
      </c>
      <c r="E561" s="569" t="s">
        <v>1517</v>
      </c>
      <c r="F561" s="569" t="s">
        <v>153</v>
      </c>
      <c r="G561" s="569">
        <v>2019</v>
      </c>
      <c r="H561" s="569" t="s">
        <v>1518</v>
      </c>
      <c r="I561" s="569" t="s">
        <v>1519</v>
      </c>
      <c r="J561" s="569" t="s">
        <v>236</v>
      </c>
      <c r="K561" s="569">
        <v>2</v>
      </c>
      <c r="L561" s="569">
        <v>0</v>
      </c>
      <c r="M561" s="569" t="s">
        <v>157</v>
      </c>
      <c r="N561" s="569">
        <v>1</v>
      </c>
      <c r="O561" s="569">
        <v>84.6</v>
      </c>
      <c r="P561" s="568" t="s">
        <v>157</v>
      </c>
      <c r="Q561" s="569" t="s">
        <v>798</v>
      </c>
      <c r="R561" s="569">
        <v>8</v>
      </c>
      <c r="S561" s="569" t="s">
        <v>1534</v>
      </c>
      <c r="T561" s="569" t="s">
        <v>1522</v>
      </c>
      <c r="U561" s="569">
        <v>135</v>
      </c>
      <c r="V561" s="569">
        <v>31</v>
      </c>
      <c r="W561" s="620">
        <v>8600</v>
      </c>
      <c r="X561" s="621">
        <v>13</v>
      </c>
      <c r="Y561" s="621" t="s">
        <v>1529</v>
      </c>
      <c r="Z561" s="621" t="s">
        <v>178</v>
      </c>
      <c r="AA561" s="622">
        <v>33790</v>
      </c>
      <c r="AB561" s="622" t="s">
        <v>164</v>
      </c>
      <c r="AC561" s="622">
        <v>25870</v>
      </c>
      <c r="AD561" s="623">
        <v>7.1999999999999995E-2</v>
      </c>
      <c r="AE561" s="621" t="s">
        <v>1538</v>
      </c>
    </row>
    <row r="562" spans="1:31" s="572" customFormat="1">
      <c r="A562" s="570" t="s">
        <v>1558</v>
      </c>
      <c r="B562" s="573" t="s">
        <v>166</v>
      </c>
      <c r="C562" s="578">
        <v>17</v>
      </c>
      <c r="D562" s="573" t="s">
        <v>1516</v>
      </c>
      <c r="E562" s="573" t="s">
        <v>1517</v>
      </c>
      <c r="F562" s="573" t="s">
        <v>153</v>
      </c>
      <c r="G562" s="573">
        <v>2019</v>
      </c>
      <c r="H562" s="573" t="s">
        <v>1518</v>
      </c>
      <c r="I562" s="573" t="s">
        <v>1519</v>
      </c>
      <c r="J562" s="573" t="s">
        <v>236</v>
      </c>
      <c r="K562" s="573">
        <v>2</v>
      </c>
      <c r="L562" s="573">
        <v>0</v>
      </c>
      <c r="M562" s="573" t="s">
        <v>157</v>
      </c>
      <c r="N562" s="573">
        <v>1</v>
      </c>
      <c r="O562" s="573">
        <v>84.6</v>
      </c>
      <c r="P562" s="571" t="s">
        <v>157</v>
      </c>
      <c r="Q562" s="573" t="s">
        <v>798</v>
      </c>
      <c r="R562" s="573">
        <v>8</v>
      </c>
      <c r="S562" s="582" t="s">
        <v>1534</v>
      </c>
      <c r="T562" s="573" t="s">
        <v>1522</v>
      </c>
      <c r="U562" s="573">
        <v>135</v>
      </c>
      <c r="V562" s="573">
        <v>31</v>
      </c>
      <c r="W562" s="616">
        <v>8600</v>
      </c>
      <c r="X562" s="617">
        <v>13</v>
      </c>
      <c r="Y562" s="617" t="s">
        <v>450</v>
      </c>
      <c r="Z562" s="617" t="s">
        <v>178</v>
      </c>
      <c r="AA562" s="618">
        <v>33790</v>
      </c>
      <c r="AB562" s="618" t="s">
        <v>164</v>
      </c>
      <c r="AC562" s="618">
        <v>25870</v>
      </c>
      <c r="AD562" s="619">
        <v>7.1999999999999995E-2</v>
      </c>
      <c r="AE562" s="617" t="s">
        <v>1540</v>
      </c>
    </row>
    <row r="563" spans="1:31" s="572" customFormat="1">
      <c r="A563" s="570" t="s">
        <v>1559</v>
      </c>
      <c r="B563" s="569" t="s">
        <v>169</v>
      </c>
      <c r="C563" s="580">
        <v>11</v>
      </c>
      <c r="D563" s="569" t="s">
        <v>1516</v>
      </c>
      <c r="E563" s="569" t="s">
        <v>1561</v>
      </c>
      <c r="F563" s="569" t="s">
        <v>153</v>
      </c>
      <c r="G563" s="569">
        <v>2019</v>
      </c>
      <c r="H563" s="569" t="s">
        <v>1518</v>
      </c>
      <c r="I563" s="569" t="s">
        <v>174</v>
      </c>
      <c r="J563" s="569" t="s">
        <v>236</v>
      </c>
      <c r="K563" s="569">
        <v>12</v>
      </c>
      <c r="L563" s="569">
        <v>0</v>
      </c>
      <c r="M563" s="569" t="s">
        <v>157</v>
      </c>
      <c r="N563" s="569"/>
      <c r="O563" s="569">
        <v>83.9</v>
      </c>
      <c r="P563" s="568" t="s">
        <v>157</v>
      </c>
      <c r="Q563" s="569" t="s">
        <v>1526</v>
      </c>
      <c r="R563" s="569">
        <v>6</v>
      </c>
      <c r="S563" s="569" t="s">
        <v>1562</v>
      </c>
      <c r="T563" s="569" t="s">
        <v>732</v>
      </c>
      <c r="U563" s="569">
        <v>135</v>
      </c>
      <c r="V563" s="569">
        <v>31</v>
      </c>
      <c r="W563" s="620">
        <v>8600</v>
      </c>
      <c r="X563" s="621">
        <v>14</v>
      </c>
      <c r="Y563" s="621" t="s">
        <v>178</v>
      </c>
      <c r="Z563" s="621" t="s">
        <v>178</v>
      </c>
      <c r="AA563" s="622">
        <v>36095</v>
      </c>
      <c r="AB563" s="622" t="s">
        <v>164</v>
      </c>
      <c r="AC563" s="622">
        <v>25483.125</v>
      </c>
      <c r="AD563" s="623">
        <v>0.05</v>
      </c>
      <c r="AE563" s="621" t="s">
        <v>1560</v>
      </c>
    </row>
    <row r="564" spans="1:31" s="572" customFormat="1">
      <c r="A564" s="570" t="s">
        <v>1563</v>
      </c>
      <c r="B564" s="573" t="s">
        <v>150</v>
      </c>
      <c r="C564" s="578">
        <v>13</v>
      </c>
      <c r="D564" s="573" t="s">
        <v>1516</v>
      </c>
      <c r="E564" s="573" t="s">
        <v>1561</v>
      </c>
      <c r="F564" s="573" t="s">
        <v>153</v>
      </c>
      <c r="G564" s="573">
        <v>2019</v>
      </c>
      <c r="H564" s="573" t="s">
        <v>1518</v>
      </c>
      <c r="I564" s="573" t="s">
        <v>174</v>
      </c>
      <c r="J564" s="573" t="s">
        <v>236</v>
      </c>
      <c r="K564" s="573">
        <v>12</v>
      </c>
      <c r="L564" s="573">
        <v>0</v>
      </c>
      <c r="M564" s="573" t="s">
        <v>157</v>
      </c>
      <c r="N564" s="573">
        <v>4</v>
      </c>
      <c r="O564" s="573">
        <v>83.9</v>
      </c>
      <c r="P564" s="571" t="s">
        <v>157</v>
      </c>
      <c r="Q564" s="573" t="s">
        <v>1526</v>
      </c>
      <c r="R564" s="573">
        <v>6</v>
      </c>
      <c r="S564" s="582" t="s">
        <v>1562</v>
      </c>
      <c r="T564" s="573" t="s">
        <v>732</v>
      </c>
      <c r="U564" s="573">
        <v>135</v>
      </c>
      <c r="V564" s="573">
        <v>31</v>
      </c>
      <c r="W564" s="616">
        <v>8600</v>
      </c>
      <c r="X564" s="617">
        <v>14</v>
      </c>
      <c r="Y564" s="617" t="s">
        <v>178</v>
      </c>
      <c r="Z564" s="617" t="s">
        <v>178</v>
      </c>
      <c r="AA564" s="618">
        <v>36095</v>
      </c>
      <c r="AB564" s="618" t="s">
        <v>164</v>
      </c>
      <c r="AC564" s="618">
        <v>25958</v>
      </c>
      <c r="AD564" s="619">
        <v>0.03</v>
      </c>
      <c r="AE564" s="617" t="s">
        <v>1560</v>
      </c>
    </row>
    <row r="565" spans="1:31" s="572" customFormat="1">
      <c r="A565" s="570" t="s">
        <v>1564</v>
      </c>
      <c r="B565" s="569" t="s">
        <v>166</v>
      </c>
      <c r="C565" s="580">
        <v>17</v>
      </c>
      <c r="D565" s="569" t="s">
        <v>1516</v>
      </c>
      <c r="E565" s="569" t="s">
        <v>1561</v>
      </c>
      <c r="F565" s="569" t="s">
        <v>153</v>
      </c>
      <c r="G565" s="569">
        <v>2019</v>
      </c>
      <c r="H565" s="569" t="s">
        <v>1518</v>
      </c>
      <c r="I565" s="569" t="s">
        <v>174</v>
      </c>
      <c r="J565" s="569" t="s">
        <v>236</v>
      </c>
      <c r="K565" s="569">
        <v>12</v>
      </c>
      <c r="L565" s="569">
        <v>0</v>
      </c>
      <c r="M565" s="569" t="s">
        <v>157</v>
      </c>
      <c r="N565" s="569">
        <v>4</v>
      </c>
      <c r="O565" s="569">
        <v>83.9</v>
      </c>
      <c r="P565" s="568" t="s">
        <v>157</v>
      </c>
      <c r="Q565" s="569" t="s">
        <v>1526</v>
      </c>
      <c r="R565" s="569">
        <v>6</v>
      </c>
      <c r="S565" s="569" t="s">
        <v>1562</v>
      </c>
      <c r="T565" s="569" t="s">
        <v>732</v>
      </c>
      <c r="U565" s="569">
        <v>135</v>
      </c>
      <c r="V565" s="569">
        <v>31</v>
      </c>
      <c r="W565" s="620">
        <v>8600</v>
      </c>
      <c r="X565" s="621">
        <v>14</v>
      </c>
      <c r="Y565" s="621" t="s">
        <v>178</v>
      </c>
      <c r="Z565" s="621" t="s">
        <v>178</v>
      </c>
      <c r="AA565" s="622">
        <v>36095</v>
      </c>
      <c r="AB565" s="622" t="s">
        <v>164</v>
      </c>
      <c r="AC565" s="622">
        <v>26613.9</v>
      </c>
      <c r="AD565" s="623">
        <v>7.1999999999999995E-2</v>
      </c>
      <c r="AE565" s="621" t="s">
        <v>1560</v>
      </c>
    </row>
    <row r="566" spans="1:31" s="572" customFormat="1">
      <c r="A566" s="570" t="s">
        <v>1565</v>
      </c>
      <c r="B566" s="573" t="s">
        <v>169</v>
      </c>
      <c r="C566" s="578">
        <v>11</v>
      </c>
      <c r="D566" s="573" t="s">
        <v>1516</v>
      </c>
      <c r="E566" s="573" t="s">
        <v>1561</v>
      </c>
      <c r="F566" s="573" t="s">
        <v>153</v>
      </c>
      <c r="G566" s="573">
        <v>2019</v>
      </c>
      <c r="H566" s="573" t="s">
        <v>1518</v>
      </c>
      <c r="I566" s="573" t="s">
        <v>155</v>
      </c>
      <c r="J566" s="573" t="s">
        <v>236</v>
      </c>
      <c r="K566" s="573">
        <v>12</v>
      </c>
      <c r="L566" s="573">
        <v>0</v>
      </c>
      <c r="M566" s="573" t="s">
        <v>157</v>
      </c>
      <c r="N566" s="573"/>
      <c r="O566" s="573">
        <v>83.9</v>
      </c>
      <c r="P566" s="571" t="s">
        <v>157</v>
      </c>
      <c r="Q566" s="573" t="s">
        <v>1526</v>
      </c>
      <c r="R566" s="573">
        <v>6</v>
      </c>
      <c r="S566" s="582" t="s">
        <v>1562</v>
      </c>
      <c r="T566" s="573" t="s">
        <v>213</v>
      </c>
      <c r="U566" s="573">
        <v>135</v>
      </c>
      <c r="V566" s="573">
        <v>31</v>
      </c>
      <c r="W566" s="616">
        <v>8600</v>
      </c>
      <c r="X566" s="617">
        <v>14</v>
      </c>
      <c r="Y566" s="617" t="s">
        <v>178</v>
      </c>
      <c r="Z566" s="617" t="s">
        <v>178</v>
      </c>
      <c r="AA566" s="618">
        <v>37195</v>
      </c>
      <c r="AB566" s="618" t="s">
        <v>164</v>
      </c>
      <c r="AC566" s="618">
        <v>26491.458333333336</v>
      </c>
      <c r="AD566" s="619">
        <v>0.05</v>
      </c>
      <c r="AE566" s="617" t="s">
        <v>1566</v>
      </c>
    </row>
    <row r="567" spans="1:31" s="572" customFormat="1">
      <c r="A567" s="570" t="s">
        <v>1567</v>
      </c>
      <c r="B567" s="569" t="s">
        <v>150</v>
      </c>
      <c r="C567" s="580">
        <v>13</v>
      </c>
      <c r="D567" s="569" t="s">
        <v>1516</v>
      </c>
      <c r="E567" s="569" t="s">
        <v>1561</v>
      </c>
      <c r="F567" s="569" t="s">
        <v>153</v>
      </c>
      <c r="G567" s="569">
        <v>2019</v>
      </c>
      <c r="H567" s="569" t="s">
        <v>1518</v>
      </c>
      <c r="I567" s="569" t="s">
        <v>155</v>
      </c>
      <c r="J567" s="569" t="s">
        <v>236</v>
      </c>
      <c r="K567" s="569">
        <v>12</v>
      </c>
      <c r="L567" s="569">
        <v>0</v>
      </c>
      <c r="M567" s="569" t="s">
        <v>157</v>
      </c>
      <c r="N567" s="569">
        <v>4</v>
      </c>
      <c r="O567" s="569">
        <v>83.9</v>
      </c>
      <c r="P567" s="568" t="s">
        <v>157</v>
      </c>
      <c r="Q567" s="569" t="s">
        <v>1526</v>
      </c>
      <c r="R567" s="569">
        <v>6</v>
      </c>
      <c r="S567" s="569" t="s">
        <v>1562</v>
      </c>
      <c r="T567" s="569" t="s">
        <v>213</v>
      </c>
      <c r="U567" s="569">
        <v>135</v>
      </c>
      <c r="V567" s="569">
        <v>31</v>
      </c>
      <c r="W567" s="620">
        <v>8600</v>
      </c>
      <c r="X567" s="621">
        <v>14</v>
      </c>
      <c r="Y567" s="621" t="s">
        <v>178</v>
      </c>
      <c r="Z567" s="621" t="s">
        <v>178</v>
      </c>
      <c r="AA567" s="622">
        <v>37195</v>
      </c>
      <c r="AB567" s="622" t="s">
        <v>164</v>
      </c>
      <c r="AC567" s="622">
        <v>27562</v>
      </c>
      <c r="AD567" s="623">
        <v>0.03</v>
      </c>
      <c r="AE567" s="621" t="s">
        <v>1566</v>
      </c>
    </row>
    <row r="568" spans="1:31" s="572" customFormat="1">
      <c r="A568" s="570" t="s">
        <v>1568</v>
      </c>
      <c r="B568" s="573" t="s">
        <v>166</v>
      </c>
      <c r="C568" s="578">
        <v>17</v>
      </c>
      <c r="D568" s="573" t="s">
        <v>1516</v>
      </c>
      <c r="E568" s="573" t="s">
        <v>1561</v>
      </c>
      <c r="F568" s="573" t="s">
        <v>153</v>
      </c>
      <c r="G568" s="573">
        <v>2019</v>
      </c>
      <c r="H568" s="573" t="s">
        <v>1518</v>
      </c>
      <c r="I568" s="573" t="s">
        <v>155</v>
      </c>
      <c r="J568" s="573" t="s">
        <v>236</v>
      </c>
      <c r="K568" s="573">
        <v>12</v>
      </c>
      <c r="L568" s="573">
        <v>0</v>
      </c>
      <c r="M568" s="573" t="s">
        <v>157</v>
      </c>
      <c r="N568" s="573">
        <v>4</v>
      </c>
      <c r="O568" s="573">
        <v>83.9</v>
      </c>
      <c r="P568" s="571" t="s">
        <v>157</v>
      </c>
      <c r="Q568" s="573" t="s">
        <v>1526</v>
      </c>
      <c r="R568" s="573">
        <v>6</v>
      </c>
      <c r="S568" s="582" t="s">
        <v>1562</v>
      </c>
      <c r="T568" s="573" t="s">
        <v>213</v>
      </c>
      <c r="U568" s="573">
        <v>135</v>
      </c>
      <c r="V568" s="573">
        <v>31</v>
      </c>
      <c r="W568" s="616">
        <v>8600</v>
      </c>
      <c r="X568" s="617">
        <v>14</v>
      </c>
      <c r="Y568" s="617" t="s">
        <v>178</v>
      </c>
      <c r="Z568" s="617" t="s">
        <v>178</v>
      </c>
      <c r="AA568" s="618">
        <v>37195</v>
      </c>
      <c r="AB568" s="618" t="s">
        <v>164</v>
      </c>
      <c r="AC568" s="618">
        <v>28095</v>
      </c>
      <c r="AD568" s="619">
        <v>7.1999999999999995E-2</v>
      </c>
      <c r="AE568" s="617" t="s">
        <v>1566</v>
      </c>
    </row>
    <row r="569" spans="1:31" s="572" customFormat="1">
      <c r="A569" s="570" t="s">
        <v>1569</v>
      </c>
      <c r="B569" s="569" t="s">
        <v>169</v>
      </c>
      <c r="C569" s="580">
        <v>11</v>
      </c>
      <c r="D569" s="569" t="s">
        <v>1516</v>
      </c>
      <c r="E569" s="569" t="s">
        <v>1571</v>
      </c>
      <c r="F569" s="569" t="s">
        <v>153</v>
      </c>
      <c r="G569" s="569">
        <v>2019</v>
      </c>
      <c r="H569" s="569" t="s">
        <v>1572</v>
      </c>
      <c r="I569" s="569" t="s">
        <v>1519</v>
      </c>
      <c r="J569" s="569" t="s">
        <v>236</v>
      </c>
      <c r="K569" s="569">
        <v>2</v>
      </c>
      <c r="L569" s="569">
        <v>0</v>
      </c>
      <c r="M569" s="569" t="s">
        <v>157</v>
      </c>
      <c r="N569" s="569">
        <v>1</v>
      </c>
      <c r="O569" s="569">
        <v>84.1</v>
      </c>
      <c r="P569" s="568" t="s">
        <v>157</v>
      </c>
      <c r="Q569" s="569" t="s">
        <v>1520</v>
      </c>
      <c r="R569" s="569">
        <v>4</v>
      </c>
      <c r="S569" s="569" t="s">
        <v>1573</v>
      </c>
      <c r="T569" s="569" t="s">
        <v>1522</v>
      </c>
      <c r="U569" s="569">
        <v>155</v>
      </c>
      <c r="V569" s="569">
        <v>31</v>
      </c>
      <c r="W569" s="620">
        <v>9900</v>
      </c>
      <c r="X569" s="621">
        <v>12</v>
      </c>
      <c r="Y569" s="621" t="s">
        <v>728</v>
      </c>
      <c r="Z569" s="621" t="s">
        <v>1523</v>
      </c>
      <c r="AA569" s="622">
        <v>41065</v>
      </c>
      <c r="AB569" s="622" t="s">
        <v>164</v>
      </c>
      <c r="AC569" s="622">
        <v>29642.916666666664</v>
      </c>
      <c r="AD569" s="623">
        <v>0.05</v>
      </c>
      <c r="AE569" s="621" t="s">
        <v>1570</v>
      </c>
    </row>
    <row r="570" spans="1:31" s="572" customFormat="1">
      <c r="A570" s="570" t="s">
        <v>1574</v>
      </c>
      <c r="B570" s="573" t="s">
        <v>169</v>
      </c>
      <c r="C570" s="578">
        <v>11</v>
      </c>
      <c r="D570" s="573" t="s">
        <v>1516</v>
      </c>
      <c r="E570" s="573" t="s">
        <v>1571</v>
      </c>
      <c r="F570" s="573" t="s">
        <v>153</v>
      </c>
      <c r="G570" s="573">
        <v>2019</v>
      </c>
      <c r="H570" s="573" t="s">
        <v>1572</v>
      </c>
      <c r="I570" s="573" t="s">
        <v>1519</v>
      </c>
      <c r="J570" s="573" t="s">
        <v>236</v>
      </c>
      <c r="K570" s="573">
        <v>2</v>
      </c>
      <c r="L570" s="573">
        <v>0</v>
      </c>
      <c r="M570" s="573" t="s">
        <v>157</v>
      </c>
      <c r="N570" s="573">
        <v>1</v>
      </c>
      <c r="O570" s="573">
        <v>84.1</v>
      </c>
      <c r="P570" s="571" t="s">
        <v>157</v>
      </c>
      <c r="Q570" s="573" t="s">
        <v>1526</v>
      </c>
      <c r="R570" s="573">
        <v>6</v>
      </c>
      <c r="S570" s="582" t="s">
        <v>1573</v>
      </c>
      <c r="T570" s="573" t="s">
        <v>1522</v>
      </c>
      <c r="U570" s="573">
        <v>155</v>
      </c>
      <c r="V570" s="573">
        <v>31</v>
      </c>
      <c r="W570" s="616">
        <v>9600</v>
      </c>
      <c r="X570" s="617">
        <v>12</v>
      </c>
      <c r="Y570" s="617" t="s">
        <v>178</v>
      </c>
      <c r="Z570" s="617" t="s">
        <v>178</v>
      </c>
      <c r="AA570" s="618">
        <v>36995</v>
      </c>
      <c r="AB570" s="618" t="s">
        <v>164</v>
      </c>
      <c r="AC570" s="618">
        <v>25912.083333333332</v>
      </c>
      <c r="AD570" s="619">
        <v>0.05</v>
      </c>
      <c r="AE570" s="617" t="s">
        <v>1575</v>
      </c>
    </row>
    <row r="571" spans="1:31" s="572" customFormat="1">
      <c r="A571" s="570" t="s">
        <v>1576</v>
      </c>
      <c r="B571" s="569" t="s">
        <v>169</v>
      </c>
      <c r="C571" s="580">
        <v>11</v>
      </c>
      <c r="D571" s="569" t="s">
        <v>1516</v>
      </c>
      <c r="E571" s="569" t="s">
        <v>1571</v>
      </c>
      <c r="F571" s="569" t="s">
        <v>153</v>
      </c>
      <c r="G571" s="569">
        <v>2019</v>
      </c>
      <c r="H571" s="569" t="s">
        <v>1572</v>
      </c>
      <c r="I571" s="569" t="s">
        <v>1519</v>
      </c>
      <c r="J571" s="569" t="s">
        <v>236</v>
      </c>
      <c r="K571" s="569">
        <v>2</v>
      </c>
      <c r="L571" s="569">
        <v>0</v>
      </c>
      <c r="M571" s="569" t="s">
        <v>157</v>
      </c>
      <c r="N571" s="569">
        <v>1</v>
      </c>
      <c r="O571" s="569">
        <v>84.1</v>
      </c>
      <c r="P571" s="568" t="s">
        <v>157</v>
      </c>
      <c r="Q571" s="569" t="s">
        <v>798</v>
      </c>
      <c r="R571" s="569">
        <v>8</v>
      </c>
      <c r="S571" s="569" t="s">
        <v>1573</v>
      </c>
      <c r="T571" s="569" t="s">
        <v>1522</v>
      </c>
      <c r="U571" s="569">
        <v>155</v>
      </c>
      <c r="V571" s="569">
        <v>31</v>
      </c>
      <c r="W571" s="620">
        <v>9600</v>
      </c>
      <c r="X571" s="621">
        <v>11</v>
      </c>
      <c r="Y571" s="621" t="s">
        <v>1529</v>
      </c>
      <c r="Z571" s="621" t="s">
        <v>178</v>
      </c>
      <c r="AA571" s="622">
        <v>38290</v>
      </c>
      <c r="AB571" s="622" t="s">
        <v>164</v>
      </c>
      <c r="AC571" s="622">
        <v>27099.166666666664</v>
      </c>
      <c r="AD571" s="623">
        <v>0.05</v>
      </c>
      <c r="AE571" s="621" t="s">
        <v>1577</v>
      </c>
    </row>
    <row r="572" spans="1:31" s="572" customFormat="1">
      <c r="A572" s="570" t="s">
        <v>1578</v>
      </c>
      <c r="B572" s="573" t="s">
        <v>169</v>
      </c>
      <c r="C572" s="578">
        <v>11</v>
      </c>
      <c r="D572" s="573" t="s">
        <v>1516</v>
      </c>
      <c r="E572" s="573" t="s">
        <v>1571</v>
      </c>
      <c r="F572" s="573" t="s">
        <v>153</v>
      </c>
      <c r="G572" s="573">
        <v>2019</v>
      </c>
      <c r="H572" s="573" t="s">
        <v>1572</v>
      </c>
      <c r="I572" s="573" t="s">
        <v>1519</v>
      </c>
      <c r="J572" s="573" t="s">
        <v>236</v>
      </c>
      <c r="K572" s="573">
        <v>2</v>
      </c>
      <c r="L572" s="573">
        <v>0</v>
      </c>
      <c r="M572" s="573" t="s">
        <v>157</v>
      </c>
      <c r="N572" s="573">
        <v>1</v>
      </c>
      <c r="O572" s="573">
        <v>84.1</v>
      </c>
      <c r="P572" s="571" t="s">
        <v>157</v>
      </c>
      <c r="Q572" s="573" t="s">
        <v>798</v>
      </c>
      <c r="R572" s="573">
        <v>8</v>
      </c>
      <c r="S572" s="582" t="s">
        <v>1573</v>
      </c>
      <c r="T572" s="573" t="s">
        <v>1522</v>
      </c>
      <c r="U572" s="573">
        <v>155</v>
      </c>
      <c r="V572" s="573">
        <v>31</v>
      </c>
      <c r="W572" s="616">
        <v>9600</v>
      </c>
      <c r="X572" s="617">
        <v>11</v>
      </c>
      <c r="Y572" s="617" t="s">
        <v>450</v>
      </c>
      <c r="Z572" s="617" t="s">
        <v>178</v>
      </c>
      <c r="AA572" s="618">
        <v>37990</v>
      </c>
      <c r="AB572" s="618" t="s">
        <v>164</v>
      </c>
      <c r="AC572" s="618">
        <v>26824.166666666664</v>
      </c>
      <c r="AD572" s="619">
        <v>0.05</v>
      </c>
      <c r="AE572" s="617" t="s">
        <v>1579</v>
      </c>
    </row>
    <row r="573" spans="1:31" s="572" customFormat="1">
      <c r="A573" s="570" t="s">
        <v>1580</v>
      </c>
      <c r="B573" s="569" t="s">
        <v>169</v>
      </c>
      <c r="C573" s="580">
        <v>11</v>
      </c>
      <c r="D573" s="569" t="s">
        <v>1516</v>
      </c>
      <c r="E573" s="569" t="s">
        <v>1571</v>
      </c>
      <c r="F573" s="569" t="s">
        <v>153</v>
      </c>
      <c r="G573" s="569">
        <v>2019</v>
      </c>
      <c r="H573" s="569" t="s">
        <v>1572</v>
      </c>
      <c r="I573" s="569" t="s">
        <v>1519</v>
      </c>
      <c r="J573" s="569" t="s">
        <v>236</v>
      </c>
      <c r="K573" s="569">
        <v>2</v>
      </c>
      <c r="L573" s="569">
        <v>0</v>
      </c>
      <c r="M573" s="569" t="s">
        <v>157</v>
      </c>
      <c r="N573" s="569">
        <v>1</v>
      </c>
      <c r="O573" s="569">
        <v>84.5</v>
      </c>
      <c r="P573" s="568" t="s">
        <v>157</v>
      </c>
      <c r="Q573" s="569" t="s">
        <v>1520</v>
      </c>
      <c r="R573" s="569">
        <v>4</v>
      </c>
      <c r="S573" s="569" t="s">
        <v>1582</v>
      </c>
      <c r="T573" s="569" t="s">
        <v>1522</v>
      </c>
      <c r="U573" s="569">
        <v>135</v>
      </c>
      <c r="V573" s="569">
        <v>31</v>
      </c>
      <c r="W573" s="620">
        <v>9900</v>
      </c>
      <c r="X573" s="621">
        <v>12</v>
      </c>
      <c r="Y573" s="621" t="s">
        <v>728</v>
      </c>
      <c r="Z573" s="621" t="s">
        <v>1523</v>
      </c>
      <c r="AA573" s="622">
        <v>40265</v>
      </c>
      <c r="AB573" s="622" t="s">
        <v>164</v>
      </c>
      <c r="AC573" s="622">
        <v>28891.25</v>
      </c>
      <c r="AD573" s="623">
        <v>0.05</v>
      </c>
      <c r="AE573" s="621" t="s">
        <v>1581</v>
      </c>
    </row>
    <row r="574" spans="1:31" s="572" customFormat="1">
      <c r="A574" s="570" t="s">
        <v>1583</v>
      </c>
      <c r="B574" s="573" t="s">
        <v>169</v>
      </c>
      <c r="C574" s="578">
        <v>11</v>
      </c>
      <c r="D574" s="573" t="s">
        <v>1516</v>
      </c>
      <c r="E574" s="573" t="s">
        <v>1571</v>
      </c>
      <c r="F574" s="573" t="s">
        <v>153</v>
      </c>
      <c r="G574" s="573">
        <v>2019</v>
      </c>
      <c r="H574" s="573" t="s">
        <v>1572</v>
      </c>
      <c r="I574" s="573" t="s">
        <v>1519</v>
      </c>
      <c r="J574" s="573" t="s">
        <v>236</v>
      </c>
      <c r="K574" s="573">
        <v>2</v>
      </c>
      <c r="L574" s="573">
        <v>0</v>
      </c>
      <c r="M574" s="573" t="s">
        <v>157</v>
      </c>
      <c r="N574" s="573">
        <v>1</v>
      </c>
      <c r="O574" s="573">
        <v>84.5</v>
      </c>
      <c r="P574" s="571" t="s">
        <v>157</v>
      </c>
      <c r="Q574" s="573" t="s">
        <v>1526</v>
      </c>
      <c r="R574" s="573">
        <v>6</v>
      </c>
      <c r="S574" s="582" t="s">
        <v>1582</v>
      </c>
      <c r="T574" s="573" t="s">
        <v>1522</v>
      </c>
      <c r="U574" s="573">
        <v>135</v>
      </c>
      <c r="V574" s="573">
        <v>31</v>
      </c>
      <c r="W574" s="616">
        <v>9600</v>
      </c>
      <c r="X574" s="617">
        <v>12</v>
      </c>
      <c r="Y574" s="617" t="s">
        <v>178</v>
      </c>
      <c r="Z574" s="617" t="s">
        <v>178</v>
      </c>
      <c r="AA574" s="618">
        <v>36195</v>
      </c>
      <c r="AB574" s="618" t="s">
        <v>164</v>
      </c>
      <c r="AC574" s="618">
        <v>25160.416666666668</v>
      </c>
      <c r="AD574" s="619">
        <v>0.05</v>
      </c>
      <c r="AE574" s="617" t="s">
        <v>1584</v>
      </c>
    </row>
    <row r="575" spans="1:31" s="572" customFormat="1">
      <c r="A575" s="570" t="s">
        <v>1585</v>
      </c>
      <c r="B575" s="569" t="s">
        <v>169</v>
      </c>
      <c r="C575" s="580">
        <v>11</v>
      </c>
      <c r="D575" s="569" t="s">
        <v>1516</v>
      </c>
      <c r="E575" s="569" t="s">
        <v>1571</v>
      </c>
      <c r="F575" s="569" t="s">
        <v>153</v>
      </c>
      <c r="G575" s="569">
        <v>2019</v>
      </c>
      <c r="H575" s="569" t="s">
        <v>1572</v>
      </c>
      <c r="I575" s="569" t="s">
        <v>1519</v>
      </c>
      <c r="J575" s="569" t="s">
        <v>236</v>
      </c>
      <c r="K575" s="569">
        <v>2</v>
      </c>
      <c r="L575" s="569">
        <v>0</v>
      </c>
      <c r="M575" s="569" t="s">
        <v>157</v>
      </c>
      <c r="N575" s="569">
        <v>1</v>
      </c>
      <c r="O575" s="569">
        <v>84.5</v>
      </c>
      <c r="P575" s="568" t="s">
        <v>157</v>
      </c>
      <c r="Q575" s="569" t="s">
        <v>798</v>
      </c>
      <c r="R575" s="569">
        <v>8</v>
      </c>
      <c r="S575" s="569" t="s">
        <v>1582</v>
      </c>
      <c r="T575" s="569" t="s">
        <v>1522</v>
      </c>
      <c r="U575" s="569">
        <v>135</v>
      </c>
      <c r="V575" s="569">
        <v>31</v>
      </c>
      <c r="W575" s="620">
        <v>9600</v>
      </c>
      <c r="X575" s="621">
        <v>11</v>
      </c>
      <c r="Y575" s="621" t="s">
        <v>1529</v>
      </c>
      <c r="Z575" s="621" t="s">
        <v>178</v>
      </c>
      <c r="AA575" s="622">
        <v>37490</v>
      </c>
      <c r="AB575" s="622" t="s">
        <v>164</v>
      </c>
      <c r="AC575" s="622">
        <v>26347.5</v>
      </c>
      <c r="AD575" s="623">
        <v>0.05</v>
      </c>
      <c r="AE575" s="621" t="s">
        <v>1586</v>
      </c>
    </row>
    <row r="576" spans="1:31" s="572" customFormat="1">
      <c r="A576" s="570" t="s">
        <v>1587</v>
      </c>
      <c r="B576" s="573" t="s">
        <v>169</v>
      </c>
      <c r="C576" s="578">
        <v>11</v>
      </c>
      <c r="D576" s="573" t="s">
        <v>1516</v>
      </c>
      <c r="E576" s="573" t="s">
        <v>1571</v>
      </c>
      <c r="F576" s="573" t="s">
        <v>153</v>
      </c>
      <c r="G576" s="573">
        <v>2019</v>
      </c>
      <c r="H576" s="573" t="s">
        <v>1572</v>
      </c>
      <c r="I576" s="573" t="s">
        <v>1519</v>
      </c>
      <c r="J576" s="573" t="s">
        <v>236</v>
      </c>
      <c r="K576" s="573">
        <v>2</v>
      </c>
      <c r="L576" s="573">
        <v>0</v>
      </c>
      <c r="M576" s="573" t="s">
        <v>157</v>
      </c>
      <c r="N576" s="573">
        <v>1</v>
      </c>
      <c r="O576" s="573">
        <v>84.5</v>
      </c>
      <c r="P576" s="571" t="s">
        <v>157</v>
      </c>
      <c r="Q576" s="573" t="s">
        <v>798</v>
      </c>
      <c r="R576" s="573">
        <v>8</v>
      </c>
      <c r="S576" s="582" t="s">
        <v>1582</v>
      </c>
      <c r="T576" s="573" t="s">
        <v>1522</v>
      </c>
      <c r="U576" s="573">
        <v>135</v>
      </c>
      <c r="V576" s="573">
        <v>31</v>
      </c>
      <c r="W576" s="616">
        <v>9600</v>
      </c>
      <c r="X576" s="617">
        <v>11</v>
      </c>
      <c r="Y576" s="617" t="s">
        <v>450</v>
      </c>
      <c r="Z576" s="617" t="s">
        <v>178</v>
      </c>
      <c r="AA576" s="618">
        <v>37190</v>
      </c>
      <c r="AB576" s="618" t="s">
        <v>164</v>
      </c>
      <c r="AC576" s="618">
        <v>26072.5</v>
      </c>
      <c r="AD576" s="619">
        <v>0.05</v>
      </c>
      <c r="AE576" s="617" t="s">
        <v>1588</v>
      </c>
    </row>
    <row r="577" spans="1:31" s="572" customFormat="1">
      <c r="A577" s="570" t="s">
        <v>1589</v>
      </c>
      <c r="B577" s="569" t="s">
        <v>150</v>
      </c>
      <c r="C577" s="580">
        <v>13</v>
      </c>
      <c r="D577" s="569" t="s">
        <v>1516</v>
      </c>
      <c r="E577" s="569" t="s">
        <v>1571</v>
      </c>
      <c r="F577" s="569" t="s">
        <v>153</v>
      </c>
      <c r="G577" s="569">
        <v>2019</v>
      </c>
      <c r="H577" s="569" t="s">
        <v>1572</v>
      </c>
      <c r="I577" s="569" t="s">
        <v>1519</v>
      </c>
      <c r="J577" s="569" t="s">
        <v>236</v>
      </c>
      <c r="K577" s="569">
        <v>2</v>
      </c>
      <c r="L577" s="569">
        <v>0</v>
      </c>
      <c r="M577" s="569" t="s">
        <v>157</v>
      </c>
      <c r="N577" s="569">
        <v>1</v>
      </c>
      <c r="O577" s="569">
        <v>84.1</v>
      </c>
      <c r="P577" s="568" t="s">
        <v>157</v>
      </c>
      <c r="Q577" s="569" t="s">
        <v>1520</v>
      </c>
      <c r="R577" s="569">
        <v>4</v>
      </c>
      <c r="S577" s="569" t="s">
        <v>1573</v>
      </c>
      <c r="T577" s="569" t="s">
        <v>1522</v>
      </c>
      <c r="U577" s="569">
        <v>155</v>
      </c>
      <c r="V577" s="569">
        <v>31</v>
      </c>
      <c r="W577" s="620">
        <v>9900</v>
      </c>
      <c r="X577" s="621">
        <v>12</v>
      </c>
      <c r="Y577" s="621" t="s">
        <v>728</v>
      </c>
      <c r="Z577" s="621" t="s">
        <v>1523</v>
      </c>
      <c r="AA577" s="622">
        <v>41065</v>
      </c>
      <c r="AB577" s="622" t="s">
        <v>164</v>
      </c>
      <c r="AC577" s="622">
        <v>30926</v>
      </c>
      <c r="AD577" s="623">
        <v>0.03</v>
      </c>
      <c r="AE577" s="621" t="s">
        <v>1570</v>
      </c>
    </row>
    <row r="578" spans="1:31" s="572" customFormat="1">
      <c r="A578" s="570" t="s">
        <v>1590</v>
      </c>
      <c r="B578" s="573" t="s">
        <v>150</v>
      </c>
      <c r="C578" s="578">
        <v>13</v>
      </c>
      <c r="D578" s="573" t="s">
        <v>1516</v>
      </c>
      <c r="E578" s="573" t="s">
        <v>1571</v>
      </c>
      <c r="F578" s="573" t="s">
        <v>153</v>
      </c>
      <c r="G578" s="573">
        <v>2019</v>
      </c>
      <c r="H578" s="573" t="s">
        <v>1572</v>
      </c>
      <c r="I578" s="573" t="s">
        <v>1519</v>
      </c>
      <c r="J578" s="573" t="s">
        <v>236</v>
      </c>
      <c r="K578" s="573">
        <v>2</v>
      </c>
      <c r="L578" s="573">
        <v>0</v>
      </c>
      <c r="M578" s="573" t="s">
        <v>157</v>
      </c>
      <c r="N578" s="573">
        <v>1</v>
      </c>
      <c r="O578" s="573">
        <v>84.1</v>
      </c>
      <c r="P578" s="571" t="s">
        <v>157</v>
      </c>
      <c r="Q578" s="573" t="s">
        <v>1526</v>
      </c>
      <c r="R578" s="573">
        <v>6</v>
      </c>
      <c r="S578" s="582" t="s">
        <v>1573</v>
      </c>
      <c r="T578" s="573" t="s">
        <v>1522</v>
      </c>
      <c r="U578" s="573">
        <v>155</v>
      </c>
      <c r="V578" s="573">
        <v>31</v>
      </c>
      <c r="W578" s="616">
        <v>9600</v>
      </c>
      <c r="X578" s="617">
        <v>12</v>
      </c>
      <c r="Y578" s="617" t="s">
        <v>178</v>
      </c>
      <c r="Z578" s="617" t="s">
        <v>178</v>
      </c>
      <c r="AA578" s="618">
        <v>36995</v>
      </c>
      <c r="AB578" s="618" t="s">
        <v>164</v>
      </c>
      <c r="AC578" s="618">
        <v>27345</v>
      </c>
      <c r="AD578" s="619">
        <v>0.03</v>
      </c>
      <c r="AE578" s="617" t="s">
        <v>1575</v>
      </c>
    </row>
    <row r="579" spans="1:31" s="572" customFormat="1">
      <c r="A579" s="570" t="s">
        <v>1591</v>
      </c>
      <c r="B579" s="569" t="s">
        <v>150</v>
      </c>
      <c r="C579" s="580">
        <v>13</v>
      </c>
      <c r="D579" s="569" t="s">
        <v>1516</v>
      </c>
      <c r="E579" s="569" t="s">
        <v>1571</v>
      </c>
      <c r="F579" s="569" t="s">
        <v>153</v>
      </c>
      <c r="G579" s="569">
        <v>2019</v>
      </c>
      <c r="H579" s="569" t="s">
        <v>1572</v>
      </c>
      <c r="I579" s="569" t="s">
        <v>1519</v>
      </c>
      <c r="J579" s="569" t="s">
        <v>236</v>
      </c>
      <c r="K579" s="569">
        <v>2</v>
      </c>
      <c r="L579" s="569">
        <v>0</v>
      </c>
      <c r="M579" s="569" t="s">
        <v>157</v>
      </c>
      <c r="N579" s="569">
        <v>1</v>
      </c>
      <c r="O579" s="569">
        <v>84.1</v>
      </c>
      <c r="P579" s="568" t="s">
        <v>157</v>
      </c>
      <c r="Q579" s="569" t="s">
        <v>798</v>
      </c>
      <c r="R579" s="569">
        <v>8</v>
      </c>
      <c r="S579" s="569" t="s">
        <v>1573</v>
      </c>
      <c r="T579" s="569" t="s">
        <v>1522</v>
      </c>
      <c r="U579" s="569">
        <v>155</v>
      </c>
      <c r="V579" s="569">
        <v>31</v>
      </c>
      <c r="W579" s="620">
        <v>9600</v>
      </c>
      <c r="X579" s="621">
        <v>11</v>
      </c>
      <c r="Y579" s="621" t="s">
        <v>1529</v>
      </c>
      <c r="Z579" s="621" t="s">
        <v>178</v>
      </c>
      <c r="AA579" s="622">
        <v>38290</v>
      </c>
      <c r="AB579" s="622" t="s">
        <v>164</v>
      </c>
      <c r="AC579" s="622">
        <v>28584</v>
      </c>
      <c r="AD579" s="623">
        <v>0.03</v>
      </c>
      <c r="AE579" s="621" t="s">
        <v>1577</v>
      </c>
    </row>
    <row r="580" spans="1:31" s="572" customFormat="1">
      <c r="A580" s="570" t="s">
        <v>1592</v>
      </c>
      <c r="B580" s="573" t="s">
        <v>150</v>
      </c>
      <c r="C580" s="578">
        <v>13</v>
      </c>
      <c r="D580" s="573" t="s">
        <v>1516</v>
      </c>
      <c r="E580" s="573" t="s">
        <v>1571</v>
      </c>
      <c r="F580" s="573" t="s">
        <v>153</v>
      </c>
      <c r="G580" s="573">
        <v>2019</v>
      </c>
      <c r="H580" s="573" t="s">
        <v>1572</v>
      </c>
      <c r="I580" s="573" t="s">
        <v>1519</v>
      </c>
      <c r="J580" s="573" t="s">
        <v>236</v>
      </c>
      <c r="K580" s="573">
        <v>2</v>
      </c>
      <c r="L580" s="573">
        <v>0</v>
      </c>
      <c r="M580" s="573" t="s">
        <v>157</v>
      </c>
      <c r="N580" s="573">
        <v>1</v>
      </c>
      <c r="O580" s="573">
        <v>84.1</v>
      </c>
      <c r="P580" s="571" t="s">
        <v>157</v>
      </c>
      <c r="Q580" s="573" t="s">
        <v>798</v>
      </c>
      <c r="R580" s="573">
        <v>8</v>
      </c>
      <c r="S580" s="582" t="s">
        <v>1573</v>
      </c>
      <c r="T580" s="573" t="s">
        <v>1522</v>
      </c>
      <c r="U580" s="573">
        <v>155</v>
      </c>
      <c r="V580" s="573">
        <v>31</v>
      </c>
      <c r="W580" s="616">
        <v>9600</v>
      </c>
      <c r="X580" s="617">
        <v>11</v>
      </c>
      <c r="Y580" s="617" t="s">
        <v>450</v>
      </c>
      <c r="Z580" s="617" t="s">
        <v>178</v>
      </c>
      <c r="AA580" s="618">
        <v>37990</v>
      </c>
      <c r="AB580" s="618" t="s">
        <v>164</v>
      </c>
      <c r="AC580" s="618">
        <v>28220</v>
      </c>
      <c r="AD580" s="619">
        <v>0.03</v>
      </c>
      <c r="AE580" s="617" t="s">
        <v>1579</v>
      </c>
    </row>
    <row r="581" spans="1:31" s="572" customFormat="1">
      <c r="A581" s="570" t="s">
        <v>1593</v>
      </c>
      <c r="B581" s="569" t="s">
        <v>150</v>
      </c>
      <c r="C581" s="580">
        <v>13</v>
      </c>
      <c r="D581" s="569" t="s">
        <v>1516</v>
      </c>
      <c r="E581" s="569" t="s">
        <v>1571</v>
      </c>
      <c r="F581" s="569" t="s">
        <v>153</v>
      </c>
      <c r="G581" s="569">
        <v>2019</v>
      </c>
      <c r="H581" s="569" t="s">
        <v>1572</v>
      </c>
      <c r="I581" s="569" t="s">
        <v>1519</v>
      </c>
      <c r="J581" s="569" t="s">
        <v>236</v>
      </c>
      <c r="K581" s="569">
        <v>2</v>
      </c>
      <c r="L581" s="569">
        <v>0</v>
      </c>
      <c r="M581" s="569" t="s">
        <v>157</v>
      </c>
      <c r="N581" s="569">
        <v>1</v>
      </c>
      <c r="O581" s="569">
        <v>84.5</v>
      </c>
      <c r="P581" s="568" t="s">
        <v>157</v>
      </c>
      <c r="Q581" s="569" t="s">
        <v>1520</v>
      </c>
      <c r="R581" s="569">
        <v>4</v>
      </c>
      <c r="S581" s="569" t="s">
        <v>1582</v>
      </c>
      <c r="T581" s="569" t="s">
        <v>1522</v>
      </c>
      <c r="U581" s="569">
        <v>135</v>
      </c>
      <c r="V581" s="569">
        <v>31</v>
      </c>
      <c r="W581" s="620">
        <v>9900</v>
      </c>
      <c r="X581" s="621">
        <v>12</v>
      </c>
      <c r="Y581" s="621" t="s">
        <v>728</v>
      </c>
      <c r="Z581" s="621" t="s">
        <v>1523</v>
      </c>
      <c r="AA581" s="622">
        <v>40265</v>
      </c>
      <c r="AB581" s="622" t="s">
        <v>164</v>
      </c>
      <c r="AC581" s="622">
        <v>30130</v>
      </c>
      <c r="AD581" s="623">
        <v>0.03</v>
      </c>
      <c r="AE581" s="621" t="s">
        <v>1581</v>
      </c>
    </row>
    <row r="582" spans="1:31" s="572" customFormat="1">
      <c r="A582" s="570" t="s">
        <v>1594</v>
      </c>
      <c r="B582" s="573" t="s">
        <v>150</v>
      </c>
      <c r="C582" s="578">
        <v>13</v>
      </c>
      <c r="D582" s="573" t="s">
        <v>1516</v>
      </c>
      <c r="E582" s="573" t="s">
        <v>1571</v>
      </c>
      <c r="F582" s="573" t="s">
        <v>153</v>
      </c>
      <c r="G582" s="573">
        <v>2019</v>
      </c>
      <c r="H582" s="573" t="s">
        <v>1572</v>
      </c>
      <c r="I582" s="573" t="s">
        <v>1519</v>
      </c>
      <c r="J582" s="573" t="s">
        <v>236</v>
      </c>
      <c r="K582" s="573">
        <v>2</v>
      </c>
      <c r="L582" s="573">
        <v>0</v>
      </c>
      <c r="M582" s="573" t="s">
        <v>157</v>
      </c>
      <c r="N582" s="573">
        <v>1</v>
      </c>
      <c r="O582" s="573">
        <v>84.5</v>
      </c>
      <c r="P582" s="571" t="s">
        <v>157</v>
      </c>
      <c r="Q582" s="573" t="s">
        <v>1526</v>
      </c>
      <c r="R582" s="573">
        <v>6</v>
      </c>
      <c r="S582" s="582" t="s">
        <v>1582</v>
      </c>
      <c r="T582" s="573" t="s">
        <v>1522</v>
      </c>
      <c r="U582" s="573">
        <v>135</v>
      </c>
      <c r="V582" s="573">
        <v>31</v>
      </c>
      <c r="W582" s="616">
        <v>9600</v>
      </c>
      <c r="X582" s="617">
        <v>12</v>
      </c>
      <c r="Y582" s="617" t="s">
        <v>178</v>
      </c>
      <c r="Z582" s="617" t="s">
        <v>178</v>
      </c>
      <c r="AA582" s="618">
        <v>36195</v>
      </c>
      <c r="AB582" s="618" t="s">
        <v>164</v>
      </c>
      <c r="AC582" s="618">
        <v>26548</v>
      </c>
      <c r="AD582" s="619">
        <v>0.03</v>
      </c>
      <c r="AE582" s="617" t="s">
        <v>1584</v>
      </c>
    </row>
    <row r="583" spans="1:31" s="572" customFormat="1">
      <c r="A583" s="570" t="s">
        <v>1595</v>
      </c>
      <c r="B583" s="569" t="s">
        <v>150</v>
      </c>
      <c r="C583" s="580">
        <v>13</v>
      </c>
      <c r="D583" s="569" t="s">
        <v>1516</v>
      </c>
      <c r="E583" s="569" t="s">
        <v>1571</v>
      </c>
      <c r="F583" s="569" t="s">
        <v>153</v>
      </c>
      <c r="G583" s="569">
        <v>2019</v>
      </c>
      <c r="H583" s="569" t="s">
        <v>1572</v>
      </c>
      <c r="I583" s="569" t="s">
        <v>1519</v>
      </c>
      <c r="J583" s="569" t="s">
        <v>236</v>
      </c>
      <c r="K583" s="569">
        <v>2</v>
      </c>
      <c r="L583" s="569">
        <v>0</v>
      </c>
      <c r="M583" s="569" t="s">
        <v>157</v>
      </c>
      <c r="N583" s="569">
        <v>1</v>
      </c>
      <c r="O583" s="569">
        <v>84.5</v>
      </c>
      <c r="P583" s="568" t="s">
        <v>157</v>
      </c>
      <c r="Q583" s="569" t="s">
        <v>798</v>
      </c>
      <c r="R583" s="569">
        <v>8</v>
      </c>
      <c r="S583" s="569" t="s">
        <v>1582</v>
      </c>
      <c r="T583" s="569" t="s">
        <v>1522</v>
      </c>
      <c r="U583" s="569">
        <v>135</v>
      </c>
      <c r="V583" s="569">
        <v>31</v>
      </c>
      <c r="W583" s="620">
        <v>9600</v>
      </c>
      <c r="X583" s="621">
        <v>11</v>
      </c>
      <c r="Y583" s="621" t="s">
        <v>1529</v>
      </c>
      <c r="Z583" s="621" t="s">
        <v>178</v>
      </c>
      <c r="AA583" s="622">
        <v>37565</v>
      </c>
      <c r="AB583" s="622" t="s">
        <v>164</v>
      </c>
      <c r="AC583" s="622">
        <v>27688</v>
      </c>
      <c r="AD583" s="623">
        <v>0.03</v>
      </c>
      <c r="AE583" s="621" t="s">
        <v>1586</v>
      </c>
    </row>
    <row r="584" spans="1:31" s="572" customFormat="1">
      <c r="A584" s="570" t="s">
        <v>1596</v>
      </c>
      <c r="B584" s="573" t="s">
        <v>150</v>
      </c>
      <c r="C584" s="578">
        <v>13</v>
      </c>
      <c r="D584" s="573" t="s">
        <v>1516</v>
      </c>
      <c r="E584" s="573" t="s">
        <v>1571</v>
      </c>
      <c r="F584" s="573" t="s">
        <v>153</v>
      </c>
      <c r="G584" s="573">
        <v>2019</v>
      </c>
      <c r="H584" s="573" t="s">
        <v>1572</v>
      </c>
      <c r="I584" s="573" t="s">
        <v>1519</v>
      </c>
      <c r="J584" s="573" t="s">
        <v>236</v>
      </c>
      <c r="K584" s="573">
        <v>2</v>
      </c>
      <c r="L584" s="573">
        <v>0</v>
      </c>
      <c r="M584" s="573" t="s">
        <v>157</v>
      </c>
      <c r="N584" s="573">
        <v>1</v>
      </c>
      <c r="O584" s="573">
        <v>84.5</v>
      </c>
      <c r="P584" s="571" t="s">
        <v>157</v>
      </c>
      <c r="Q584" s="573" t="s">
        <v>798</v>
      </c>
      <c r="R584" s="573">
        <v>8</v>
      </c>
      <c r="S584" s="582" t="s">
        <v>1582</v>
      </c>
      <c r="T584" s="573" t="s">
        <v>1522</v>
      </c>
      <c r="U584" s="573">
        <v>135</v>
      </c>
      <c r="V584" s="573">
        <v>31</v>
      </c>
      <c r="W584" s="616">
        <v>9600</v>
      </c>
      <c r="X584" s="617">
        <v>11</v>
      </c>
      <c r="Y584" s="617" t="s">
        <v>450</v>
      </c>
      <c r="Z584" s="617" t="s">
        <v>178</v>
      </c>
      <c r="AA584" s="618">
        <v>37190</v>
      </c>
      <c r="AB584" s="618" t="s">
        <v>164</v>
      </c>
      <c r="AC584" s="618">
        <v>27424</v>
      </c>
      <c r="AD584" s="619">
        <v>0.03</v>
      </c>
      <c r="AE584" s="617" t="s">
        <v>1588</v>
      </c>
    </row>
    <row r="585" spans="1:31" s="572" customFormat="1">
      <c r="A585" s="570" t="s">
        <v>1597</v>
      </c>
      <c r="B585" s="569" t="s">
        <v>166</v>
      </c>
      <c r="C585" s="580">
        <v>17</v>
      </c>
      <c r="D585" s="569" t="s">
        <v>1516</v>
      </c>
      <c r="E585" s="569" t="s">
        <v>1571</v>
      </c>
      <c r="F585" s="569" t="s">
        <v>153</v>
      </c>
      <c r="G585" s="569">
        <v>2019</v>
      </c>
      <c r="H585" s="569" t="s">
        <v>1572</v>
      </c>
      <c r="I585" s="569" t="s">
        <v>1519</v>
      </c>
      <c r="J585" s="569" t="s">
        <v>236</v>
      </c>
      <c r="K585" s="569">
        <v>2</v>
      </c>
      <c r="L585" s="569">
        <v>0</v>
      </c>
      <c r="M585" s="569" t="s">
        <v>157</v>
      </c>
      <c r="N585" s="569">
        <v>1</v>
      </c>
      <c r="O585" s="569">
        <v>84.1</v>
      </c>
      <c r="P585" s="568" t="s">
        <v>157</v>
      </c>
      <c r="Q585" s="569" t="s">
        <v>1520</v>
      </c>
      <c r="R585" s="569">
        <v>4</v>
      </c>
      <c r="S585" s="569" t="s">
        <v>1573</v>
      </c>
      <c r="T585" s="569" t="s">
        <v>1522</v>
      </c>
      <c r="U585" s="569">
        <v>155</v>
      </c>
      <c r="V585" s="569">
        <v>31</v>
      </c>
      <c r="W585" s="620">
        <v>9900</v>
      </c>
      <c r="X585" s="621">
        <v>12</v>
      </c>
      <c r="Y585" s="621" t="s">
        <v>728</v>
      </c>
      <c r="Z585" s="621" t="s">
        <v>1523</v>
      </c>
      <c r="AA585" s="622">
        <v>41065</v>
      </c>
      <c r="AB585" s="622" t="s">
        <v>164</v>
      </c>
      <c r="AC585" s="622">
        <v>30895</v>
      </c>
      <c r="AD585" s="623">
        <v>7.1999999999999995E-2</v>
      </c>
      <c r="AE585" s="621" t="s">
        <v>1570</v>
      </c>
    </row>
    <row r="586" spans="1:31" s="572" customFormat="1">
      <c r="A586" s="570" t="s">
        <v>1598</v>
      </c>
      <c r="B586" s="573" t="s">
        <v>166</v>
      </c>
      <c r="C586" s="578">
        <v>17</v>
      </c>
      <c r="D586" s="573" t="s">
        <v>1516</v>
      </c>
      <c r="E586" s="573" t="s">
        <v>1571</v>
      </c>
      <c r="F586" s="573" t="s">
        <v>153</v>
      </c>
      <c r="G586" s="573">
        <v>2019</v>
      </c>
      <c r="H586" s="573" t="s">
        <v>1572</v>
      </c>
      <c r="I586" s="573" t="s">
        <v>1519</v>
      </c>
      <c r="J586" s="573" t="s">
        <v>236</v>
      </c>
      <c r="K586" s="573">
        <v>2</v>
      </c>
      <c r="L586" s="573">
        <v>0</v>
      </c>
      <c r="M586" s="573" t="s">
        <v>157</v>
      </c>
      <c r="N586" s="573">
        <v>1</v>
      </c>
      <c r="O586" s="573">
        <v>84.1</v>
      </c>
      <c r="P586" s="571" t="s">
        <v>157</v>
      </c>
      <c r="Q586" s="573" t="s">
        <v>1526</v>
      </c>
      <c r="R586" s="573">
        <v>6</v>
      </c>
      <c r="S586" s="582" t="s">
        <v>1573</v>
      </c>
      <c r="T586" s="573" t="s">
        <v>1522</v>
      </c>
      <c r="U586" s="573">
        <v>155</v>
      </c>
      <c r="V586" s="573">
        <v>31</v>
      </c>
      <c r="W586" s="616">
        <v>9600</v>
      </c>
      <c r="X586" s="617">
        <v>12</v>
      </c>
      <c r="Y586" s="617" t="s">
        <v>178</v>
      </c>
      <c r="Z586" s="617" t="s">
        <v>178</v>
      </c>
      <c r="AA586" s="618">
        <v>36995</v>
      </c>
      <c r="AB586" s="618" t="s">
        <v>164</v>
      </c>
      <c r="AC586" s="618">
        <v>27410</v>
      </c>
      <c r="AD586" s="619">
        <v>7.1999999999999995E-2</v>
      </c>
      <c r="AE586" s="617" t="s">
        <v>1575</v>
      </c>
    </row>
    <row r="587" spans="1:31" s="572" customFormat="1">
      <c r="A587" s="570" t="s">
        <v>1599</v>
      </c>
      <c r="B587" s="569" t="s">
        <v>166</v>
      </c>
      <c r="C587" s="580">
        <v>17</v>
      </c>
      <c r="D587" s="569" t="s">
        <v>1516</v>
      </c>
      <c r="E587" s="569" t="s">
        <v>1571</v>
      </c>
      <c r="F587" s="569" t="s">
        <v>153</v>
      </c>
      <c r="G587" s="569">
        <v>2019</v>
      </c>
      <c r="H587" s="569" t="s">
        <v>1572</v>
      </c>
      <c r="I587" s="569" t="s">
        <v>1519</v>
      </c>
      <c r="J587" s="569" t="s">
        <v>236</v>
      </c>
      <c r="K587" s="569">
        <v>2</v>
      </c>
      <c r="L587" s="569">
        <v>0</v>
      </c>
      <c r="M587" s="569" t="s">
        <v>157</v>
      </c>
      <c r="N587" s="569">
        <v>1</v>
      </c>
      <c r="O587" s="569">
        <v>84.1</v>
      </c>
      <c r="P587" s="568" t="s">
        <v>157</v>
      </c>
      <c r="Q587" s="569" t="s">
        <v>798</v>
      </c>
      <c r="R587" s="569">
        <v>8</v>
      </c>
      <c r="S587" s="569" t="s">
        <v>1573</v>
      </c>
      <c r="T587" s="569" t="s">
        <v>1522</v>
      </c>
      <c r="U587" s="569">
        <v>155</v>
      </c>
      <c r="V587" s="569">
        <v>31</v>
      </c>
      <c r="W587" s="620">
        <v>9600</v>
      </c>
      <c r="X587" s="621">
        <v>11</v>
      </c>
      <c r="Y587" s="621" t="s">
        <v>1529</v>
      </c>
      <c r="Z587" s="621" t="s">
        <v>178</v>
      </c>
      <c r="AA587" s="622">
        <v>38290</v>
      </c>
      <c r="AB587" s="622" t="s">
        <v>164</v>
      </c>
      <c r="AC587" s="622">
        <v>28095</v>
      </c>
      <c r="AD587" s="623">
        <v>7.1999999999999995E-2</v>
      </c>
      <c r="AE587" s="621" t="s">
        <v>1577</v>
      </c>
    </row>
    <row r="588" spans="1:31" s="572" customFormat="1">
      <c r="A588" s="570" t="s">
        <v>1600</v>
      </c>
      <c r="B588" s="573" t="s">
        <v>166</v>
      </c>
      <c r="C588" s="578">
        <v>17</v>
      </c>
      <c r="D588" s="573" t="s">
        <v>1516</v>
      </c>
      <c r="E588" s="573" t="s">
        <v>1571</v>
      </c>
      <c r="F588" s="573" t="s">
        <v>153</v>
      </c>
      <c r="G588" s="573">
        <v>2019</v>
      </c>
      <c r="H588" s="573" t="s">
        <v>1572</v>
      </c>
      <c r="I588" s="573" t="s">
        <v>1519</v>
      </c>
      <c r="J588" s="573" t="s">
        <v>236</v>
      </c>
      <c r="K588" s="573">
        <v>2</v>
      </c>
      <c r="L588" s="573">
        <v>0</v>
      </c>
      <c r="M588" s="573" t="s">
        <v>157</v>
      </c>
      <c r="N588" s="573">
        <v>1</v>
      </c>
      <c r="O588" s="573">
        <v>84.1</v>
      </c>
      <c r="P588" s="571" t="s">
        <v>157</v>
      </c>
      <c r="Q588" s="573" t="s">
        <v>798</v>
      </c>
      <c r="R588" s="573">
        <v>8</v>
      </c>
      <c r="S588" s="582" t="s">
        <v>1573</v>
      </c>
      <c r="T588" s="573" t="s">
        <v>1522</v>
      </c>
      <c r="U588" s="573">
        <v>155</v>
      </c>
      <c r="V588" s="573">
        <v>31</v>
      </c>
      <c r="W588" s="616">
        <v>9600</v>
      </c>
      <c r="X588" s="617">
        <v>11</v>
      </c>
      <c r="Y588" s="617" t="s">
        <v>450</v>
      </c>
      <c r="Z588" s="617" t="s">
        <v>178</v>
      </c>
      <c r="AA588" s="618">
        <v>37990</v>
      </c>
      <c r="AB588" s="618" t="s">
        <v>164</v>
      </c>
      <c r="AC588" s="618">
        <v>28095</v>
      </c>
      <c r="AD588" s="619">
        <v>7.1999999999999995E-2</v>
      </c>
      <c r="AE588" s="617" t="s">
        <v>1579</v>
      </c>
    </row>
    <row r="589" spans="1:31" s="572" customFormat="1">
      <c r="A589" s="570" t="s">
        <v>1601</v>
      </c>
      <c r="B589" s="569" t="s">
        <v>166</v>
      </c>
      <c r="C589" s="580">
        <v>17</v>
      </c>
      <c r="D589" s="569" t="s">
        <v>1516</v>
      </c>
      <c r="E589" s="569" t="s">
        <v>1571</v>
      </c>
      <c r="F589" s="569" t="s">
        <v>153</v>
      </c>
      <c r="G589" s="569">
        <v>2019</v>
      </c>
      <c r="H589" s="569" t="s">
        <v>1572</v>
      </c>
      <c r="I589" s="569" t="s">
        <v>1519</v>
      </c>
      <c r="J589" s="569" t="s">
        <v>236</v>
      </c>
      <c r="K589" s="569">
        <v>2</v>
      </c>
      <c r="L589" s="569">
        <v>0</v>
      </c>
      <c r="M589" s="569" t="s">
        <v>157</v>
      </c>
      <c r="N589" s="569">
        <v>1</v>
      </c>
      <c r="O589" s="569">
        <v>84.5</v>
      </c>
      <c r="P589" s="568" t="s">
        <v>157</v>
      </c>
      <c r="Q589" s="569" t="s">
        <v>1520</v>
      </c>
      <c r="R589" s="569">
        <v>4</v>
      </c>
      <c r="S589" s="569" t="s">
        <v>1582</v>
      </c>
      <c r="T589" s="569" t="s">
        <v>1522</v>
      </c>
      <c r="U589" s="569">
        <v>135</v>
      </c>
      <c r="V589" s="569">
        <v>31</v>
      </c>
      <c r="W589" s="620">
        <v>9900</v>
      </c>
      <c r="X589" s="621">
        <v>12</v>
      </c>
      <c r="Y589" s="621" t="s">
        <v>728</v>
      </c>
      <c r="Z589" s="621" t="s">
        <v>1523</v>
      </c>
      <c r="AA589" s="622">
        <v>40265</v>
      </c>
      <c r="AB589" s="622" t="s">
        <v>164</v>
      </c>
      <c r="AC589" s="622">
        <v>30095</v>
      </c>
      <c r="AD589" s="623">
        <v>7.1999999999999995E-2</v>
      </c>
      <c r="AE589" s="621" t="s">
        <v>1581</v>
      </c>
    </row>
    <row r="590" spans="1:31" s="572" customFormat="1">
      <c r="A590" s="570" t="s">
        <v>1602</v>
      </c>
      <c r="B590" s="573" t="s">
        <v>166</v>
      </c>
      <c r="C590" s="578">
        <v>17</v>
      </c>
      <c r="D590" s="573" t="s">
        <v>1516</v>
      </c>
      <c r="E590" s="573" t="s">
        <v>1571</v>
      </c>
      <c r="F590" s="573" t="s">
        <v>153</v>
      </c>
      <c r="G590" s="573">
        <v>2019</v>
      </c>
      <c r="H590" s="573" t="s">
        <v>1572</v>
      </c>
      <c r="I590" s="573" t="s">
        <v>1519</v>
      </c>
      <c r="J590" s="573" t="s">
        <v>236</v>
      </c>
      <c r="K590" s="573">
        <v>2</v>
      </c>
      <c r="L590" s="573">
        <v>0</v>
      </c>
      <c r="M590" s="573" t="s">
        <v>157</v>
      </c>
      <c r="N590" s="573">
        <v>1</v>
      </c>
      <c r="O590" s="573">
        <v>84.5</v>
      </c>
      <c r="P590" s="571" t="s">
        <v>157</v>
      </c>
      <c r="Q590" s="573" t="s">
        <v>1526</v>
      </c>
      <c r="R590" s="573">
        <v>6</v>
      </c>
      <c r="S590" s="582" t="s">
        <v>1582</v>
      </c>
      <c r="T590" s="573" t="s">
        <v>1522</v>
      </c>
      <c r="U590" s="573">
        <v>135</v>
      </c>
      <c r="V590" s="573">
        <v>31</v>
      </c>
      <c r="W590" s="616">
        <v>9600</v>
      </c>
      <c r="X590" s="617">
        <v>12</v>
      </c>
      <c r="Y590" s="617" t="s">
        <v>178</v>
      </c>
      <c r="Z590" s="617" t="s">
        <v>178</v>
      </c>
      <c r="AA590" s="618">
        <v>36195</v>
      </c>
      <c r="AB590" s="618" t="s">
        <v>164</v>
      </c>
      <c r="AC590" s="618">
        <v>27752</v>
      </c>
      <c r="AD590" s="619">
        <v>7.1999999999999995E-2</v>
      </c>
      <c r="AE590" s="617" t="s">
        <v>1584</v>
      </c>
    </row>
    <row r="591" spans="1:31" s="572" customFormat="1">
      <c r="A591" s="570" t="s">
        <v>1603</v>
      </c>
      <c r="B591" s="569" t="s">
        <v>166</v>
      </c>
      <c r="C591" s="580">
        <v>17</v>
      </c>
      <c r="D591" s="569" t="s">
        <v>1516</v>
      </c>
      <c r="E591" s="569" t="s">
        <v>1571</v>
      </c>
      <c r="F591" s="569" t="s">
        <v>153</v>
      </c>
      <c r="G591" s="569">
        <v>2019</v>
      </c>
      <c r="H591" s="569" t="s">
        <v>1572</v>
      </c>
      <c r="I591" s="569" t="s">
        <v>1519</v>
      </c>
      <c r="J591" s="569" t="s">
        <v>236</v>
      </c>
      <c r="K591" s="569">
        <v>2</v>
      </c>
      <c r="L591" s="569">
        <v>0</v>
      </c>
      <c r="M591" s="569" t="s">
        <v>157</v>
      </c>
      <c r="N591" s="569">
        <v>1</v>
      </c>
      <c r="O591" s="569">
        <v>84.5</v>
      </c>
      <c r="P591" s="568" t="s">
        <v>157</v>
      </c>
      <c r="Q591" s="569" t="s">
        <v>798</v>
      </c>
      <c r="R591" s="569">
        <v>8</v>
      </c>
      <c r="S591" s="569" t="s">
        <v>1582</v>
      </c>
      <c r="T591" s="569" t="s">
        <v>1522</v>
      </c>
      <c r="U591" s="569">
        <v>135</v>
      </c>
      <c r="V591" s="569">
        <v>31</v>
      </c>
      <c r="W591" s="620">
        <v>9600</v>
      </c>
      <c r="X591" s="621">
        <v>11</v>
      </c>
      <c r="Y591" s="621" t="s">
        <v>1529</v>
      </c>
      <c r="Z591" s="621" t="s">
        <v>178</v>
      </c>
      <c r="AA591" s="622">
        <v>37190</v>
      </c>
      <c r="AB591" s="622" t="s">
        <v>164</v>
      </c>
      <c r="AC591" s="622">
        <v>27940</v>
      </c>
      <c r="AD591" s="623">
        <v>7.1999999999999995E-2</v>
      </c>
      <c r="AE591" s="621" t="s">
        <v>1586</v>
      </c>
    </row>
    <row r="592" spans="1:31" s="572" customFormat="1">
      <c r="A592" s="570" t="s">
        <v>1604</v>
      </c>
      <c r="B592" s="573" t="s">
        <v>166</v>
      </c>
      <c r="C592" s="578">
        <v>17</v>
      </c>
      <c r="D592" s="573" t="s">
        <v>1516</v>
      </c>
      <c r="E592" s="573" t="s">
        <v>1571</v>
      </c>
      <c r="F592" s="573" t="s">
        <v>153</v>
      </c>
      <c r="G592" s="573">
        <v>2019</v>
      </c>
      <c r="H592" s="573" t="s">
        <v>1572</v>
      </c>
      <c r="I592" s="573" t="s">
        <v>1519</v>
      </c>
      <c r="J592" s="573" t="s">
        <v>236</v>
      </c>
      <c r="K592" s="573">
        <v>2</v>
      </c>
      <c r="L592" s="573">
        <v>0</v>
      </c>
      <c r="M592" s="573" t="s">
        <v>157</v>
      </c>
      <c r="N592" s="573">
        <v>1</v>
      </c>
      <c r="O592" s="573">
        <v>84.5</v>
      </c>
      <c r="P592" s="571" t="s">
        <v>157</v>
      </c>
      <c r="Q592" s="573" t="s">
        <v>798</v>
      </c>
      <c r="R592" s="573">
        <v>8</v>
      </c>
      <c r="S592" s="582" t="s">
        <v>1582</v>
      </c>
      <c r="T592" s="573" t="s">
        <v>1522</v>
      </c>
      <c r="U592" s="573">
        <v>135</v>
      </c>
      <c r="V592" s="573">
        <v>31</v>
      </c>
      <c r="W592" s="616">
        <v>9600</v>
      </c>
      <c r="X592" s="617">
        <v>11</v>
      </c>
      <c r="Y592" s="617" t="s">
        <v>450</v>
      </c>
      <c r="Z592" s="617" t="s">
        <v>178</v>
      </c>
      <c r="AA592" s="618">
        <v>37190</v>
      </c>
      <c r="AB592" s="618" t="s">
        <v>164</v>
      </c>
      <c r="AC592" s="618">
        <v>27940</v>
      </c>
      <c r="AD592" s="619">
        <v>7.1999999999999995E-2</v>
      </c>
      <c r="AE592" s="617" t="s">
        <v>1588</v>
      </c>
    </row>
    <row r="593" spans="1:31" s="572" customFormat="1">
      <c r="A593" s="570" t="s">
        <v>1605</v>
      </c>
      <c r="B593" s="569" t="s">
        <v>169</v>
      </c>
      <c r="C593" s="580">
        <v>11</v>
      </c>
      <c r="D593" s="569" t="s">
        <v>1516</v>
      </c>
      <c r="E593" s="569" t="s">
        <v>1607</v>
      </c>
      <c r="F593" s="569" t="s">
        <v>153</v>
      </c>
      <c r="G593" s="569">
        <v>2019</v>
      </c>
      <c r="H593" s="569" t="s">
        <v>1572</v>
      </c>
      <c r="I593" s="569" t="s">
        <v>174</v>
      </c>
      <c r="J593" s="569" t="s">
        <v>236</v>
      </c>
      <c r="K593" s="569">
        <v>12</v>
      </c>
      <c r="L593" s="569">
        <v>0</v>
      </c>
      <c r="M593" s="569" t="s">
        <v>157</v>
      </c>
      <c r="N593" s="569"/>
      <c r="O593" s="569">
        <v>82.9</v>
      </c>
      <c r="P593" s="568" t="s">
        <v>157</v>
      </c>
      <c r="Q593" s="569" t="s">
        <v>1520</v>
      </c>
      <c r="R593" s="569">
        <v>4</v>
      </c>
      <c r="S593" s="569" t="s">
        <v>1608</v>
      </c>
      <c r="T593" s="569" t="s">
        <v>732</v>
      </c>
      <c r="U593" s="569">
        <v>155</v>
      </c>
      <c r="V593" s="569">
        <v>31</v>
      </c>
      <c r="W593" s="620">
        <v>9900</v>
      </c>
      <c r="X593" s="621">
        <v>12</v>
      </c>
      <c r="Y593" s="621" t="s">
        <v>728</v>
      </c>
      <c r="Z593" s="621" t="s">
        <v>1523</v>
      </c>
      <c r="AA593" s="622">
        <v>43190</v>
      </c>
      <c r="AB593" s="622" t="s">
        <v>164</v>
      </c>
      <c r="AC593" s="622">
        <v>32057.916666666668</v>
      </c>
      <c r="AD593" s="623">
        <v>0.05</v>
      </c>
      <c r="AE593" s="621" t="s">
        <v>1606</v>
      </c>
    </row>
    <row r="594" spans="1:31" s="572" customFormat="1">
      <c r="A594" s="570" t="s">
        <v>1609</v>
      </c>
      <c r="B594" s="573" t="s">
        <v>169</v>
      </c>
      <c r="C594" s="578">
        <v>11</v>
      </c>
      <c r="D594" s="573" t="s">
        <v>1516</v>
      </c>
      <c r="E594" s="573" t="s">
        <v>1607</v>
      </c>
      <c r="F594" s="573" t="s">
        <v>153</v>
      </c>
      <c r="G594" s="573">
        <v>2019</v>
      </c>
      <c r="H594" s="573" t="s">
        <v>1572</v>
      </c>
      <c r="I594" s="573" t="s">
        <v>174</v>
      </c>
      <c r="J594" s="573" t="s">
        <v>236</v>
      </c>
      <c r="K594" s="573">
        <v>12</v>
      </c>
      <c r="L594" s="573">
        <v>0</v>
      </c>
      <c r="M594" s="573" t="s">
        <v>157</v>
      </c>
      <c r="N594" s="573"/>
      <c r="O594" s="573">
        <v>82.9</v>
      </c>
      <c r="P594" s="571" t="s">
        <v>157</v>
      </c>
      <c r="Q594" s="573" t="s">
        <v>1526</v>
      </c>
      <c r="R594" s="573">
        <v>6</v>
      </c>
      <c r="S594" s="582" t="s">
        <v>1608</v>
      </c>
      <c r="T594" s="573" t="s">
        <v>732</v>
      </c>
      <c r="U594" s="573">
        <v>155</v>
      </c>
      <c r="V594" s="573">
        <v>31</v>
      </c>
      <c r="W594" s="616">
        <v>9600</v>
      </c>
      <c r="X594" s="617">
        <v>12</v>
      </c>
      <c r="Y594" s="617" t="s">
        <v>178</v>
      </c>
      <c r="Z594" s="617" t="s">
        <v>178</v>
      </c>
      <c r="AA594" s="618">
        <v>39195</v>
      </c>
      <c r="AB594" s="618" t="s">
        <v>164</v>
      </c>
      <c r="AC594" s="618">
        <v>28395.833333333336</v>
      </c>
      <c r="AD594" s="619">
        <v>0.05</v>
      </c>
      <c r="AE594" s="617" t="s">
        <v>1610</v>
      </c>
    </row>
    <row r="595" spans="1:31" s="572" customFormat="1">
      <c r="A595" s="570" t="s">
        <v>1611</v>
      </c>
      <c r="B595" s="569" t="s">
        <v>169</v>
      </c>
      <c r="C595" s="580">
        <v>11</v>
      </c>
      <c r="D595" s="569" t="s">
        <v>1516</v>
      </c>
      <c r="E595" s="569" t="s">
        <v>1607</v>
      </c>
      <c r="F595" s="569" t="s">
        <v>153</v>
      </c>
      <c r="G595" s="569">
        <v>2019</v>
      </c>
      <c r="H595" s="569" t="s">
        <v>1572</v>
      </c>
      <c r="I595" s="569" t="s">
        <v>174</v>
      </c>
      <c r="J595" s="569" t="s">
        <v>236</v>
      </c>
      <c r="K595" s="569">
        <v>12</v>
      </c>
      <c r="L595" s="569">
        <v>0</v>
      </c>
      <c r="M595" s="569" t="s">
        <v>157</v>
      </c>
      <c r="N595" s="569"/>
      <c r="O595" s="569">
        <v>83.7</v>
      </c>
      <c r="P595" s="568" t="s">
        <v>157</v>
      </c>
      <c r="Q595" s="569" t="s">
        <v>1520</v>
      </c>
      <c r="R595" s="569">
        <v>4</v>
      </c>
      <c r="S595" s="569" t="s">
        <v>1613</v>
      </c>
      <c r="T595" s="569" t="s">
        <v>732</v>
      </c>
      <c r="U595" s="569">
        <v>135</v>
      </c>
      <c r="V595" s="569">
        <v>31</v>
      </c>
      <c r="W595" s="620">
        <v>9600</v>
      </c>
      <c r="X595" s="621">
        <v>12</v>
      </c>
      <c r="Y595" s="621" t="s">
        <v>728</v>
      </c>
      <c r="Z595" s="621" t="s">
        <v>1523</v>
      </c>
      <c r="AA595" s="622">
        <v>42390</v>
      </c>
      <c r="AB595" s="622" t="s">
        <v>164</v>
      </c>
      <c r="AC595" s="622">
        <v>30889.583333333336</v>
      </c>
      <c r="AD595" s="623">
        <v>0.05</v>
      </c>
      <c r="AE595" s="621" t="s">
        <v>1612</v>
      </c>
    </row>
    <row r="596" spans="1:31" s="572" customFormat="1">
      <c r="A596" s="570" t="s">
        <v>1614</v>
      </c>
      <c r="B596" s="573" t="s">
        <v>169</v>
      </c>
      <c r="C596" s="578">
        <v>11</v>
      </c>
      <c r="D596" s="573" t="s">
        <v>1516</v>
      </c>
      <c r="E596" s="573" t="s">
        <v>1607</v>
      </c>
      <c r="F596" s="573" t="s">
        <v>153</v>
      </c>
      <c r="G596" s="573">
        <v>2019</v>
      </c>
      <c r="H596" s="573" t="s">
        <v>1572</v>
      </c>
      <c r="I596" s="573" t="s">
        <v>174</v>
      </c>
      <c r="J596" s="573" t="s">
        <v>236</v>
      </c>
      <c r="K596" s="573">
        <v>12</v>
      </c>
      <c r="L596" s="573">
        <v>0</v>
      </c>
      <c r="M596" s="573" t="s">
        <v>157</v>
      </c>
      <c r="N596" s="573"/>
      <c r="O596" s="573">
        <v>83.7</v>
      </c>
      <c r="P596" s="571" t="s">
        <v>157</v>
      </c>
      <c r="Q596" s="573" t="s">
        <v>1526</v>
      </c>
      <c r="R596" s="573">
        <v>6</v>
      </c>
      <c r="S596" s="582" t="s">
        <v>1613</v>
      </c>
      <c r="T596" s="573" t="s">
        <v>732</v>
      </c>
      <c r="U596" s="573">
        <v>135</v>
      </c>
      <c r="V596" s="573">
        <v>31</v>
      </c>
      <c r="W596" s="616">
        <v>9600</v>
      </c>
      <c r="X596" s="617">
        <v>12</v>
      </c>
      <c r="Y596" s="617" t="s">
        <v>178</v>
      </c>
      <c r="Z596" s="617" t="s">
        <v>178</v>
      </c>
      <c r="AA596" s="618">
        <v>38395</v>
      </c>
      <c r="AB596" s="618" t="s">
        <v>164</v>
      </c>
      <c r="AC596" s="618">
        <v>27227.500000000004</v>
      </c>
      <c r="AD596" s="619">
        <v>0.05</v>
      </c>
      <c r="AE596" s="617" t="s">
        <v>1615</v>
      </c>
    </row>
    <row r="597" spans="1:31" s="572" customFormat="1">
      <c r="A597" s="570" t="s">
        <v>1616</v>
      </c>
      <c r="B597" s="569" t="s">
        <v>150</v>
      </c>
      <c r="C597" s="580">
        <v>13</v>
      </c>
      <c r="D597" s="569" t="s">
        <v>1516</v>
      </c>
      <c r="E597" s="569" t="s">
        <v>1607</v>
      </c>
      <c r="F597" s="569" t="s">
        <v>153</v>
      </c>
      <c r="G597" s="569">
        <v>2019</v>
      </c>
      <c r="H597" s="569" t="s">
        <v>1572</v>
      </c>
      <c r="I597" s="569" t="s">
        <v>174</v>
      </c>
      <c r="J597" s="569" t="s">
        <v>236</v>
      </c>
      <c r="K597" s="569">
        <v>12</v>
      </c>
      <c r="L597" s="569">
        <v>0</v>
      </c>
      <c r="M597" s="569" t="s">
        <v>157</v>
      </c>
      <c r="N597" s="569">
        <v>4</v>
      </c>
      <c r="O597" s="569">
        <v>82.9</v>
      </c>
      <c r="P597" s="568" t="s">
        <v>157</v>
      </c>
      <c r="Q597" s="569" t="s">
        <v>1520</v>
      </c>
      <c r="R597" s="569">
        <v>4</v>
      </c>
      <c r="S597" s="569" t="s">
        <v>1608</v>
      </c>
      <c r="T597" s="569" t="s">
        <v>732</v>
      </c>
      <c r="U597" s="569">
        <v>155</v>
      </c>
      <c r="V597" s="569">
        <v>31</v>
      </c>
      <c r="W597" s="620">
        <v>9900</v>
      </c>
      <c r="X597" s="621">
        <v>12</v>
      </c>
      <c r="Y597" s="621" t="s">
        <v>728</v>
      </c>
      <c r="Z597" s="621" t="s">
        <v>1523</v>
      </c>
      <c r="AA597" s="622">
        <v>43190</v>
      </c>
      <c r="AB597" s="622" t="s">
        <v>164</v>
      </c>
      <c r="AC597" s="622">
        <v>32888</v>
      </c>
      <c r="AD597" s="623">
        <v>0.03</v>
      </c>
      <c r="AE597" s="621" t="s">
        <v>1606</v>
      </c>
    </row>
    <row r="598" spans="1:31" s="572" customFormat="1">
      <c r="A598" s="570" t="s">
        <v>1617</v>
      </c>
      <c r="B598" s="573" t="s">
        <v>150</v>
      </c>
      <c r="C598" s="578">
        <v>13</v>
      </c>
      <c r="D598" s="573" t="s">
        <v>1516</v>
      </c>
      <c r="E598" s="573" t="s">
        <v>1607</v>
      </c>
      <c r="F598" s="573" t="s">
        <v>153</v>
      </c>
      <c r="G598" s="573">
        <v>2019</v>
      </c>
      <c r="H598" s="573" t="s">
        <v>1572</v>
      </c>
      <c r="I598" s="573" t="s">
        <v>174</v>
      </c>
      <c r="J598" s="573" t="s">
        <v>236</v>
      </c>
      <c r="K598" s="573">
        <v>12</v>
      </c>
      <c r="L598" s="573">
        <v>0</v>
      </c>
      <c r="M598" s="573" t="s">
        <v>157</v>
      </c>
      <c r="N598" s="573">
        <v>4</v>
      </c>
      <c r="O598" s="573">
        <v>82.9</v>
      </c>
      <c r="P598" s="571" t="s">
        <v>157</v>
      </c>
      <c r="Q598" s="573" t="s">
        <v>1526</v>
      </c>
      <c r="R598" s="573">
        <v>6</v>
      </c>
      <c r="S598" s="582" t="s">
        <v>1608</v>
      </c>
      <c r="T598" s="573" t="s">
        <v>732</v>
      </c>
      <c r="U598" s="573">
        <v>155</v>
      </c>
      <c r="V598" s="573">
        <v>31</v>
      </c>
      <c r="W598" s="616">
        <v>9600</v>
      </c>
      <c r="X598" s="617">
        <v>12</v>
      </c>
      <c r="Y598" s="617" t="s">
        <v>178</v>
      </c>
      <c r="Z598" s="617" t="s">
        <v>178</v>
      </c>
      <c r="AA598" s="618">
        <v>39195</v>
      </c>
      <c r="AB598" s="618" t="s">
        <v>164</v>
      </c>
      <c r="AC598" s="618">
        <v>29307</v>
      </c>
      <c r="AD598" s="619">
        <v>0.03</v>
      </c>
      <c r="AE598" s="617" t="s">
        <v>1610</v>
      </c>
    </row>
    <row r="599" spans="1:31" s="572" customFormat="1">
      <c r="A599" s="570" t="s">
        <v>1618</v>
      </c>
      <c r="B599" s="569" t="s">
        <v>150</v>
      </c>
      <c r="C599" s="580">
        <v>13</v>
      </c>
      <c r="D599" s="569" t="s">
        <v>1516</v>
      </c>
      <c r="E599" s="569" t="s">
        <v>1607</v>
      </c>
      <c r="F599" s="569" t="s">
        <v>153</v>
      </c>
      <c r="G599" s="569">
        <v>2019</v>
      </c>
      <c r="H599" s="569" t="s">
        <v>1572</v>
      </c>
      <c r="I599" s="569" t="s">
        <v>174</v>
      </c>
      <c r="J599" s="569" t="s">
        <v>236</v>
      </c>
      <c r="K599" s="569">
        <v>12</v>
      </c>
      <c r="L599" s="569">
        <v>0</v>
      </c>
      <c r="M599" s="569" t="s">
        <v>157</v>
      </c>
      <c r="N599" s="569">
        <v>4</v>
      </c>
      <c r="O599" s="569">
        <v>83.7</v>
      </c>
      <c r="P599" s="568" t="s">
        <v>157</v>
      </c>
      <c r="Q599" s="569" t="s">
        <v>1520</v>
      </c>
      <c r="R599" s="569">
        <v>4</v>
      </c>
      <c r="S599" s="569" t="s">
        <v>1613</v>
      </c>
      <c r="T599" s="569" t="s">
        <v>732</v>
      </c>
      <c r="U599" s="569">
        <v>135</v>
      </c>
      <c r="V599" s="569">
        <v>31</v>
      </c>
      <c r="W599" s="620">
        <v>9600</v>
      </c>
      <c r="X599" s="621">
        <v>12</v>
      </c>
      <c r="Y599" s="621" t="s">
        <v>728</v>
      </c>
      <c r="Z599" s="621" t="s">
        <v>1523</v>
      </c>
      <c r="AA599" s="622">
        <v>42390</v>
      </c>
      <c r="AB599" s="622" t="s">
        <v>164</v>
      </c>
      <c r="AC599" s="622">
        <v>32005</v>
      </c>
      <c r="AD599" s="623">
        <v>0.03</v>
      </c>
      <c r="AE599" s="621" t="s">
        <v>1612</v>
      </c>
    </row>
    <row r="600" spans="1:31" s="572" customFormat="1">
      <c r="A600" s="570" t="s">
        <v>1619</v>
      </c>
      <c r="B600" s="573" t="s">
        <v>150</v>
      </c>
      <c r="C600" s="578">
        <v>13</v>
      </c>
      <c r="D600" s="573" t="s">
        <v>1516</v>
      </c>
      <c r="E600" s="573" t="s">
        <v>1607</v>
      </c>
      <c r="F600" s="573" t="s">
        <v>153</v>
      </c>
      <c r="G600" s="573">
        <v>2019</v>
      </c>
      <c r="H600" s="573" t="s">
        <v>1572</v>
      </c>
      <c r="I600" s="573" t="s">
        <v>174</v>
      </c>
      <c r="J600" s="573" t="s">
        <v>236</v>
      </c>
      <c r="K600" s="573">
        <v>12</v>
      </c>
      <c r="L600" s="573">
        <v>0</v>
      </c>
      <c r="M600" s="573" t="s">
        <v>157</v>
      </c>
      <c r="N600" s="573">
        <v>4</v>
      </c>
      <c r="O600" s="573">
        <v>83.7</v>
      </c>
      <c r="P600" s="571" t="s">
        <v>157</v>
      </c>
      <c r="Q600" s="573" t="s">
        <v>1526</v>
      </c>
      <c r="R600" s="573">
        <v>6</v>
      </c>
      <c r="S600" s="582" t="s">
        <v>1613</v>
      </c>
      <c r="T600" s="573" t="s">
        <v>732</v>
      </c>
      <c r="U600" s="573">
        <v>135</v>
      </c>
      <c r="V600" s="573">
        <v>31</v>
      </c>
      <c r="W600" s="616">
        <v>9600</v>
      </c>
      <c r="X600" s="617">
        <v>12</v>
      </c>
      <c r="Y600" s="617" t="s">
        <v>178</v>
      </c>
      <c r="Z600" s="617" t="s">
        <v>178</v>
      </c>
      <c r="AA600" s="618">
        <v>38395</v>
      </c>
      <c r="AB600" s="618" t="s">
        <v>164</v>
      </c>
      <c r="AC600" s="618">
        <v>27624</v>
      </c>
      <c r="AD600" s="619">
        <v>0.03</v>
      </c>
      <c r="AE600" s="617" t="s">
        <v>1615</v>
      </c>
    </row>
    <row r="601" spans="1:31" s="572" customFormat="1">
      <c r="A601" s="570" t="s">
        <v>1620</v>
      </c>
      <c r="B601" s="569" t="s">
        <v>166</v>
      </c>
      <c r="C601" s="580">
        <v>17</v>
      </c>
      <c r="D601" s="569" t="s">
        <v>1516</v>
      </c>
      <c r="E601" s="569" t="s">
        <v>1607</v>
      </c>
      <c r="F601" s="569" t="s">
        <v>153</v>
      </c>
      <c r="G601" s="569">
        <v>2019</v>
      </c>
      <c r="H601" s="569" t="s">
        <v>1572</v>
      </c>
      <c r="I601" s="569" t="s">
        <v>174</v>
      </c>
      <c r="J601" s="569" t="s">
        <v>236</v>
      </c>
      <c r="K601" s="569">
        <v>12</v>
      </c>
      <c r="L601" s="569">
        <v>0</v>
      </c>
      <c r="M601" s="569" t="s">
        <v>157</v>
      </c>
      <c r="N601" s="569">
        <v>4</v>
      </c>
      <c r="O601" s="569">
        <v>82.9</v>
      </c>
      <c r="P601" s="568" t="s">
        <v>157</v>
      </c>
      <c r="Q601" s="569" t="s">
        <v>1520</v>
      </c>
      <c r="R601" s="569">
        <v>4</v>
      </c>
      <c r="S601" s="569" t="s">
        <v>1608</v>
      </c>
      <c r="T601" s="569" t="s">
        <v>732</v>
      </c>
      <c r="U601" s="569">
        <v>155</v>
      </c>
      <c r="V601" s="569">
        <v>31</v>
      </c>
      <c r="W601" s="620">
        <v>9900</v>
      </c>
      <c r="X601" s="621">
        <v>12</v>
      </c>
      <c r="Y601" s="621" t="s">
        <v>728</v>
      </c>
      <c r="Z601" s="621" t="s">
        <v>1523</v>
      </c>
      <c r="AA601" s="622">
        <v>43190</v>
      </c>
      <c r="AB601" s="622" t="s">
        <v>164</v>
      </c>
      <c r="AC601" s="622">
        <v>34675</v>
      </c>
      <c r="AD601" s="623">
        <v>7.1999999999999995E-2</v>
      </c>
      <c r="AE601" s="621" t="s">
        <v>1606</v>
      </c>
    </row>
    <row r="602" spans="1:31" s="572" customFormat="1">
      <c r="A602" s="570" t="s">
        <v>1621</v>
      </c>
      <c r="B602" s="573" t="s">
        <v>166</v>
      </c>
      <c r="C602" s="578">
        <v>17</v>
      </c>
      <c r="D602" s="573" t="s">
        <v>1516</v>
      </c>
      <c r="E602" s="573" t="s">
        <v>1607</v>
      </c>
      <c r="F602" s="573" t="s">
        <v>153</v>
      </c>
      <c r="G602" s="573">
        <v>2019</v>
      </c>
      <c r="H602" s="573" t="s">
        <v>1572</v>
      </c>
      <c r="I602" s="573" t="s">
        <v>174</v>
      </c>
      <c r="J602" s="573" t="s">
        <v>236</v>
      </c>
      <c r="K602" s="573">
        <v>12</v>
      </c>
      <c r="L602" s="573">
        <v>0</v>
      </c>
      <c r="M602" s="573" t="s">
        <v>157</v>
      </c>
      <c r="N602" s="573">
        <v>4</v>
      </c>
      <c r="O602" s="573">
        <v>82.9</v>
      </c>
      <c r="P602" s="571" t="s">
        <v>157</v>
      </c>
      <c r="Q602" s="573" t="s">
        <v>1526</v>
      </c>
      <c r="R602" s="573">
        <v>6</v>
      </c>
      <c r="S602" s="582" t="s">
        <v>1608</v>
      </c>
      <c r="T602" s="573" t="s">
        <v>732</v>
      </c>
      <c r="U602" s="573">
        <v>155</v>
      </c>
      <c r="V602" s="573">
        <v>31</v>
      </c>
      <c r="W602" s="616">
        <v>9600</v>
      </c>
      <c r="X602" s="617">
        <v>12</v>
      </c>
      <c r="Y602" s="617" t="s">
        <v>178</v>
      </c>
      <c r="Z602" s="617" t="s">
        <v>178</v>
      </c>
      <c r="AA602" s="618">
        <v>39195</v>
      </c>
      <c r="AB602" s="618" t="s">
        <v>164</v>
      </c>
      <c r="AC602" s="618">
        <v>29435</v>
      </c>
      <c r="AD602" s="619">
        <v>7.1999999999999995E-2</v>
      </c>
      <c r="AE602" s="617" t="s">
        <v>1610</v>
      </c>
    </row>
    <row r="603" spans="1:31" s="572" customFormat="1">
      <c r="A603" s="570" t="s">
        <v>1622</v>
      </c>
      <c r="B603" s="569" t="s">
        <v>166</v>
      </c>
      <c r="C603" s="580">
        <v>17</v>
      </c>
      <c r="D603" s="569" t="s">
        <v>1516</v>
      </c>
      <c r="E603" s="569" t="s">
        <v>1607</v>
      </c>
      <c r="F603" s="569" t="s">
        <v>153</v>
      </c>
      <c r="G603" s="569">
        <v>2019</v>
      </c>
      <c r="H603" s="569" t="s">
        <v>1572</v>
      </c>
      <c r="I603" s="569" t="s">
        <v>174</v>
      </c>
      <c r="J603" s="569" t="s">
        <v>236</v>
      </c>
      <c r="K603" s="569">
        <v>12</v>
      </c>
      <c r="L603" s="569">
        <v>0</v>
      </c>
      <c r="M603" s="569" t="s">
        <v>157</v>
      </c>
      <c r="N603" s="569">
        <v>4</v>
      </c>
      <c r="O603" s="569">
        <v>83.7</v>
      </c>
      <c r="P603" s="568" t="s">
        <v>157</v>
      </c>
      <c r="Q603" s="569" t="s">
        <v>1520</v>
      </c>
      <c r="R603" s="569">
        <v>4</v>
      </c>
      <c r="S603" s="569" t="s">
        <v>1613</v>
      </c>
      <c r="T603" s="569" t="s">
        <v>732</v>
      </c>
      <c r="U603" s="569">
        <v>135</v>
      </c>
      <c r="V603" s="569">
        <v>31</v>
      </c>
      <c r="W603" s="620">
        <v>9600</v>
      </c>
      <c r="X603" s="621">
        <v>12</v>
      </c>
      <c r="Y603" s="621" t="s">
        <v>728</v>
      </c>
      <c r="Z603" s="621" t="s">
        <v>1523</v>
      </c>
      <c r="AA603" s="622">
        <v>42390</v>
      </c>
      <c r="AB603" s="622" t="s">
        <v>164</v>
      </c>
      <c r="AC603" s="622">
        <v>32855</v>
      </c>
      <c r="AD603" s="623">
        <v>7.1999999999999995E-2</v>
      </c>
      <c r="AE603" s="621" t="s">
        <v>1612</v>
      </c>
    </row>
    <row r="604" spans="1:31" s="572" customFormat="1">
      <c r="A604" s="570" t="s">
        <v>1623</v>
      </c>
      <c r="B604" s="573" t="s">
        <v>166</v>
      </c>
      <c r="C604" s="578">
        <v>17</v>
      </c>
      <c r="D604" s="573" t="s">
        <v>1516</v>
      </c>
      <c r="E604" s="573" t="s">
        <v>1607</v>
      </c>
      <c r="F604" s="573" t="s">
        <v>153</v>
      </c>
      <c r="G604" s="573">
        <v>2019</v>
      </c>
      <c r="H604" s="573" t="s">
        <v>1572</v>
      </c>
      <c r="I604" s="573" t="s">
        <v>174</v>
      </c>
      <c r="J604" s="573" t="s">
        <v>236</v>
      </c>
      <c r="K604" s="573">
        <v>12</v>
      </c>
      <c r="L604" s="573">
        <v>0</v>
      </c>
      <c r="M604" s="573" t="s">
        <v>157</v>
      </c>
      <c r="N604" s="573">
        <v>4</v>
      </c>
      <c r="O604" s="573">
        <v>83.7</v>
      </c>
      <c r="P604" s="571" t="s">
        <v>157</v>
      </c>
      <c r="Q604" s="573" t="s">
        <v>1526</v>
      </c>
      <c r="R604" s="573">
        <v>6</v>
      </c>
      <c r="S604" s="582" t="s">
        <v>1613</v>
      </c>
      <c r="T604" s="573" t="s">
        <v>732</v>
      </c>
      <c r="U604" s="573">
        <v>135</v>
      </c>
      <c r="V604" s="573">
        <v>31</v>
      </c>
      <c r="W604" s="616">
        <v>9600</v>
      </c>
      <c r="X604" s="617">
        <v>12</v>
      </c>
      <c r="Y604" s="617" t="s">
        <v>178</v>
      </c>
      <c r="Z604" s="617" t="s">
        <v>178</v>
      </c>
      <c r="AA604" s="618">
        <v>38395</v>
      </c>
      <c r="AB604" s="618" t="s">
        <v>164</v>
      </c>
      <c r="AC604" s="618">
        <v>28837</v>
      </c>
      <c r="AD604" s="619">
        <v>7.1999999999999995E-2</v>
      </c>
      <c r="AE604" s="617" t="s">
        <v>1615</v>
      </c>
    </row>
    <row r="605" spans="1:31" s="572" customFormat="1">
      <c r="A605" s="570" t="s">
        <v>1624</v>
      </c>
      <c r="B605" s="569" t="s">
        <v>169</v>
      </c>
      <c r="C605" s="580">
        <v>11</v>
      </c>
      <c r="D605" s="569" t="s">
        <v>1516</v>
      </c>
      <c r="E605" s="569" t="s">
        <v>1607</v>
      </c>
      <c r="F605" s="569" t="s">
        <v>153</v>
      </c>
      <c r="G605" s="569">
        <v>2019</v>
      </c>
      <c r="H605" s="569" t="s">
        <v>1572</v>
      </c>
      <c r="I605" s="569" t="s">
        <v>155</v>
      </c>
      <c r="J605" s="569" t="s">
        <v>236</v>
      </c>
      <c r="K605" s="569">
        <v>12</v>
      </c>
      <c r="L605" s="569">
        <v>0</v>
      </c>
      <c r="M605" s="569" t="s">
        <v>157</v>
      </c>
      <c r="N605" s="569"/>
      <c r="O605" s="569">
        <v>82.9</v>
      </c>
      <c r="P605" s="568" t="s">
        <v>157</v>
      </c>
      <c r="Q605" s="569" t="s">
        <v>1520</v>
      </c>
      <c r="R605" s="569">
        <v>4</v>
      </c>
      <c r="S605" s="569" t="s">
        <v>1608</v>
      </c>
      <c r="T605" s="569" t="s">
        <v>213</v>
      </c>
      <c r="U605" s="569">
        <v>155</v>
      </c>
      <c r="V605" s="569">
        <v>31</v>
      </c>
      <c r="W605" s="620">
        <v>9900</v>
      </c>
      <c r="X605" s="621">
        <v>12</v>
      </c>
      <c r="Y605" s="621" t="s">
        <v>728</v>
      </c>
      <c r="Z605" s="621" t="s">
        <v>1523</v>
      </c>
      <c r="AA605" s="622">
        <v>43890</v>
      </c>
      <c r="AB605" s="622" t="s">
        <v>164</v>
      </c>
      <c r="AC605" s="622">
        <v>32699.583333333332</v>
      </c>
      <c r="AD605" s="623">
        <v>0.05</v>
      </c>
      <c r="AE605" s="621" t="s">
        <v>1625</v>
      </c>
    </row>
    <row r="606" spans="1:31" s="572" customFormat="1">
      <c r="A606" s="570" t="s">
        <v>1626</v>
      </c>
      <c r="B606" s="573" t="s">
        <v>169</v>
      </c>
      <c r="C606" s="578">
        <v>11</v>
      </c>
      <c r="D606" s="573" t="s">
        <v>1516</v>
      </c>
      <c r="E606" s="573" t="s">
        <v>1607</v>
      </c>
      <c r="F606" s="573" t="s">
        <v>153</v>
      </c>
      <c r="G606" s="573">
        <v>2019</v>
      </c>
      <c r="H606" s="573" t="s">
        <v>1572</v>
      </c>
      <c r="I606" s="573" t="s">
        <v>155</v>
      </c>
      <c r="J606" s="573" t="s">
        <v>236</v>
      </c>
      <c r="K606" s="573">
        <v>12</v>
      </c>
      <c r="L606" s="573">
        <v>0</v>
      </c>
      <c r="M606" s="573" t="s">
        <v>157</v>
      </c>
      <c r="N606" s="573"/>
      <c r="O606" s="573">
        <v>82.9</v>
      </c>
      <c r="P606" s="571" t="s">
        <v>157</v>
      </c>
      <c r="Q606" s="573" t="s">
        <v>1526</v>
      </c>
      <c r="R606" s="573">
        <v>6</v>
      </c>
      <c r="S606" s="582" t="s">
        <v>1608</v>
      </c>
      <c r="T606" s="573" t="s">
        <v>213</v>
      </c>
      <c r="U606" s="573">
        <v>155</v>
      </c>
      <c r="V606" s="573">
        <v>31</v>
      </c>
      <c r="W606" s="616">
        <v>9600</v>
      </c>
      <c r="X606" s="617">
        <v>12</v>
      </c>
      <c r="Y606" s="617" t="s">
        <v>178</v>
      </c>
      <c r="Z606" s="617" t="s">
        <v>178</v>
      </c>
      <c r="AA606" s="618">
        <v>39895</v>
      </c>
      <c r="AB606" s="618" t="s">
        <v>164</v>
      </c>
      <c r="AC606" s="618">
        <v>29037.5</v>
      </c>
      <c r="AD606" s="619">
        <v>0.05</v>
      </c>
      <c r="AE606" s="617" t="s">
        <v>1627</v>
      </c>
    </row>
    <row r="607" spans="1:31" s="572" customFormat="1">
      <c r="A607" s="570" t="s">
        <v>1628</v>
      </c>
      <c r="B607" s="569" t="s">
        <v>169</v>
      </c>
      <c r="C607" s="580">
        <v>11</v>
      </c>
      <c r="D607" s="569" t="s">
        <v>1516</v>
      </c>
      <c r="E607" s="569" t="s">
        <v>1607</v>
      </c>
      <c r="F607" s="569" t="s">
        <v>153</v>
      </c>
      <c r="G607" s="569">
        <v>2019</v>
      </c>
      <c r="H607" s="569" t="s">
        <v>1572</v>
      </c>
      <c r="I607" s="569" t="s">
        <v>155</v>
      </c>
      <c r="J607" s="569" t="s">
        <v>236</v>
      </c>
      <c r="K607" s="569">
        <v>12</v>
      </c>
      <c r="L607" s="569">
        <v>0</v>
      </c>
      <c r="M607" s="569" t="s">
        <v>157</v>
      </c>
      <c r="N607" s="569"/>
      <c r="O607" s="569">
        <v>83.7</v>
      </c>
      <c r="P607" s="568" t="s">
        <v>157</v>
      </c>
      <c r="Q607" s="569" t="s">
        <v>1520</v>
      </c>
      <c r="R607" s="569">
        <v>4</v>
      </c>
      <c r="S607" s="569" t="s">
        <v>1613</v>
      </c>
      <c r="T607" s="569" t="s">
        <v>213</v>
      </c>
      <c r="U607" s="569">
        <v>135</v>
      </c>
      <c r="V607" s="569">
        <v>31</v>
      </c>
      <c r="W607" s="620">
        <v>9600</v>
      </c>
      <c r="X607" s="621">
        <v>12</v>
      </c>
      <c r="Y607" s="621" t="s">
        <v>728</v>
      </c>
      <c r="Z607" s="621" t="s">
        <v>1523</v>
      </c>
      <c r="AA607" s="622">
        <v>43090</v>
      </c>
      <c r="AB607" s="622" t="s">
        <v>164</v>
      </c>
      <c r="AC607" s="622">
        <v>31531.25</v>
      </c>
      <c r="AD607" s="623">
        <v>0.05</v>
      </c>
      <c r="AE607" s="621" t="s">
        <v>1629</v>
      </c>
    </row>
    <row r="608" spans="1:31" s="572" customFormat="1">
      <c r="A608" s="570" t="s">
        <v>1630</v>
      </c>
      <c r="B608" s="573" t="s">
        <v>169</v>
      </c>
      <c r="C608" s="578">
        <v>11</v>
      </c>
      <c r="D608" s="573" t="s">
        <v>1516</v>
      </c>
      <c r="E608" s="573" t="s">
        <v>1607</v>
      </c>
      <c r="F608" s="573" t="s">
        <v>153</v>
      </c>
      <c r="G608" s="573">
        <v>2019</v>
      </c>
      <c r="H608" s="573" t="s">
        <v>1572</v>
      </c>
      <c r="I608" s="573" t="s">
        <v>155</v>
      </c>
      <c r="J608" s="573" t="s">
        <v>236</v>
      </c>
      <c r="K608" s="573">
        <v>12</v>
      </c>
      <c r="L608" s="573">
        <v>0</v>
      </c>
      <c r="M608" s="573" t="s">
        <v>157</v>
      </c>
      <c r="N608" s="573"/>
      <c r="O608" s="573">
        <v>83.7</v>
      </c>
      <c r="P608" s="571" t="s">
        <v>157</v>
      </c>
      <c r="Q608" s="573" t="s">
        <v>1526</v>
      </c>
      <c r="R608" s="573">
        <v>6</v>
      </c>
      <c r="S608" s="582" t="s">
        <v>1613</v>
      </c>
      <c r="T608" s="573" t="s">
        <v>213</v>
      </c>
      <c r="U608" s="573">
        <v>135</v>
      </c>
      <c r="V608" s="573">
        <v>31</v>
      </c>
      <c r="W608" s="616">
        <v>9600</v>
      </c>
      <c r="X608" s="617">
        <v>12</v>
      </c>
      <c r="Y608" s="617" t="s">
        <v>178</v>
      </c>
      <c r="Z608" s="617" t="s">
        <v>178</v>
      </c>
      <c r="AA608" s="618">
        <v>39095</v>
      </c>
      <c r="AB608" s="618" t="s">
        <v>164</v>
      </c>
      <c r="AC608" s="618">
        <v>27869.166666666668</v>
      </c>
      <c r="AD608" s="619">
        <v>0.05</v>
      </c>
      <c r="AE608" s="617" t="s">
        <v>1631</v>
      </c>
    </row>
    <row r="609" spans="1:31" s="572" customFormat="1">
      <c r="A609" s="570" t="s">
        <v>1632</v>
      </c>
      <c r="B609" s="569" t="s">
        <v>169</v>
      </c>
      <c r="C609" s="580">
        <v>11</v>
      </c>
      <c r="D609" s="569" t="s">
        <v>1516</v>
      </c>
      <c r="E609" s="569" t="s">
        <v>1607</v>
      </c>
      <c r="F609" s="569" t="s">
        <v>153</v>
      </c>
      <c r="G609" s="569">
        <v>2019</v>
      </c>
      <c r="H609" s="569" t="s">
        <v>1572</v>
      </c>
      <c r="I609" s="569" t="s">
        <v>155</v>
      </c>
      <c r="J609" s="569" t="s">
        <v>236</v>
      </c>
      <c r="K609" s="569">
        <v>12</v>
      </c>
      <c r="L609" s="569">
        <v>0</v>
      </c>
      <c r="M609" s="569" t="s">
        <v>157</v>
      </c>
      <c r="N609" s="569"/>
      <c r="O609" s="569">
        <v>83.7</v>
      </c>
      <c r="P609" s="568" t="s">
        <v>157</v>
      </c>
      <c r="Q609" s="569" t="s">
        <v>1634</v>
      </c>
      <c r="R609" s="569">
        <v>6</v>
      </c>
      <c r="S609" s="569" t="s">
        <v>1613</v>
      </c>
      <c r="T609" s="569" t="s">
        <v>213</v>
      </c>
      <c r="U609" s="569">
        <v>135</v>
      </c>
      <c r="V609" s="569">
        <v>31</v>
      </c>
      <c r="W609" s="620">
        <v>9600</v>
      </c>
      <c r="X609" s="621">
        <v>12</v>
      </c>
      <c r="Y609" s="621" t="s">
        <v>178</v>
      </c>
      <c r="Z609" s="621" t="s">
        <v>178</v>
      </c>
      <c r="AA609" s="622">
        <v>39095</v>
      </c>
      <c r="AB609" s="622" t="s">
        <v>164</v>
      </c>
      <c r="AC609" s="622">
        <v>27869.166666666668</v>
      </c>
      <c r="AD609" s="623">
        <v>0.05</v>
      </c>
      <c r="AE609" s="621" t="s">
        <v>1633</v>
      </c>
    </row>
    <row r="610" spans="1:31" s="572" customFormat="1">
      <c r="A610" s="570" t="s">
        <v>1635</v>
      </c>
      <c r="B610" s="573" t="s">
        <v>150</v>
      </c>
      <c r="C610" s="578">
        <v>13</v>
      </c>
      <c r="D610" s="573" t="s">
        <v>1516</v>
      </c>
      <c r="E610" s="573" t="s">
        <v>1607</v>
      </c>
      <c r="F610" s="573" t="s">
        <v>153</v>
      </c>
      <c r="G610" s="573">
        <v>2019</v>
      </c>
      <c r="H610" s="573" t="s">
        <v>1572</v>
      </c>
      <c r="I610" s="573" t="s">
        <v>155</v>
      </c>
      <c r="J610" s="573" t="s">
        <v>236</v>
      </c>
      <c r="K610" s="573">
        <v>12</v>
      </c>
      <c r="L610" s="573">
        <v>0</v>
      </c>
      <c r="M610" s="573" t="s">
        <v>157</v>
      </c>
      <c r="N610" s="573">
        <v>4</v>
      </c>
      <c r="O610" s="573">
        <v>82.9</v>
      </c>
      <c r="P610" s="571" t="s">
        <v>157</v>
      </c>
      <c r="Q610" s="573" t="s">
        <v>1520</v>
      </c>
      <c r="R610" s="573">
        <v>4</v>
      </c>
      <c r="S610" s="582" t="s">
        <v>1608</v>
      </c>
      <c r="T610" s="573" t="s">
        <v>213</v>
      </c>
      <c r="U610" s="573">
        <v>155</v>
      </c>
      <c r="V610" s="573">
        <v>31</v>
      </c>
      <c r="W610" s="616">
        <v>9900</v>
      </c>
      <c r="X610" s="617">
        <v>12</v>
      </c>
      <c r="Y610" s="617" t="s">
        <v>728</v>
      </c>
      <c r="Z610" s="617" t="s">
        <v>1523</v>
      </c>
      <c r="AA610" s="618">
        <v>43890</v>
      </c>
      <c r="AB610" s="618" t="s">
        <v>164</v>
      </c>
      <c r="AC610" s="618">
        <v>33192</v>
      </c>
      <c r="AD610" s="619">
        <v>0.03</v>
      </c>
      <c r="AE610" s="617" t="s">
        <v>1625</v>
      </c>
    </row>
    <row r="611" spans="1:31" s="572" customFormat="1">
      <c r="A611" s="570" t="s">
        <v>1636</v>
      </c>
      <c r="B611" s="569" t="s">
        <v>150</v>
      </c>
      <c r="C611" s="580">
        <v>13</v>
      </c>
      <c r="D611" s="569" t="s">
        <v>1516</v>
      </c>
      <c r="E611" s="569" t="s">
        <v>1607</v>
      </c>
      <c r="F611" s="569" t="s">
        <v>153</v>
      </c>
      <c r="G611" s="569">
        <v>2019</v>
      </c>
      <c r="H611" s="569" t="s">
        <v>1572</v>
      </c>
      <c r="I611" s="569" t="s">
        <v>155</v>
      </c>
      <c r="J611" s="569" t="s">
        <v>236</v>
      </c>
      <c r="K611" s="569">
        <v>12</v>
      </c>
      <c r="L611" s="569">
        <v>0</v>
      </c>
      <c r="M611" s="569" t="s">
        <v>157</v>
      </c>
      <c r="N611" s="569">
        <v>4</v>
      </c>
      <c r="O611" s="569">
        <v>82.9</v>
      </c>
      <c r="P611" s="568" t="s">
        <v>157</v>
      </c>
      <c r="Q611" s="569" t="s">
        <v>1526</v>
      </c>
      <c r="R611" s="569">
        <v>6</v>
      </c>
      <c r="S611" s="569" t="s">
        <v>1608</v>
      </c>
      <c r="T611" s="569" t="s">
        <v>213</v>
      </c>
      <c r="U611" s="569">
        <v>155</v>
      </c>
      <c r="V611" s="569">
        <v>31</v>
      </c>
      <c r="W611" s="620">
        <v>9600</v>
      </c>
      <c r="X611" s="621">
        <v>12</v>
      </c>
      <c r="Y611" s="621" t="s">
        <v>178</v>
      </c>
      <c r="Z611" s="621" t="s">
        <v>178</v>
      </c>
      <c r="AA611" s="622">
        <v>39895</v>
      </c>
      <c r="AB611" s="622" t="s">
        <v>164</v>
      </c>
      <c r="AC611" s="622">
        <v>29610</v>
      </c>
      <c r="AD611" s="623">
        <v>0.03</v>
      </c>
      <c r="AE611" s="621" t="s">
        <v>1627</v>
      </c>
    </row>
    <row r="612" spans="1:31" s="572" customFormat="1">
      <c r="A612" s="570" t="s">
        <v>1637</v>
      </c>
      <c r="B612" s="573" t="s">
        <v>150</v>
      </c>
      <c r="C612" s="578">
        <v>13</v>
      </c>
      <c r="D612" s="573" t="s">
        <v>1516</v>
      </c>
      <c r="E612" s="573" t="s">
        <v>1607</v>
      </c>
      <c r="F612" s="573" t="s">
        <v>153</v>
      </c>
      <c r="G612" s="573">
        <v>2019</v>
      </c>
      <c r="H612" s="573" t="s">
        <v>1572</v>
      </c>
      <c r="I612" s="573" t="s">
        <v>155</v>
      </c>
      <c r="J612" s="573" t="s">
        <v>236</v>
      </c>
      <c r="K612" s="573">
        <v>12</v>
      </c>
      <c r="L612" s="573">
        <v>0</v>
      </c>
      <c r="M612" s="573" t="s">
        <v>157</v>
      </c>
      <c r="N612" s="573">
        <v>4</v>
      </c>
      <c r="O612" s="573">
        <v>83.7</v>
      </c>
      <c r="P612" s="571" t="s">
        <v>157</v>
      </c>
      <c r="Q612" s="573" t="s">
        <v>1520</v>
      </c>
      <c r="R612" s="573">
        <v>4</v>
      </c>
      <c r="S612" s="582" t="s">
        <v>1613</v>
      </c>
      <c r="T612" s="573" t="s">
        <v>213</v>
      </c>
      <c r="U612" s="573">
        <v>135</v>
      </c>
      <c r="V612" s="573">
        <v>31</v>
      </c>
      <c r="W612" s="616">
        <v>9600</v>
      </c>
      <c r="X612" s="617">
        <v>12</v>
      </c>
      <c r="Y612" s="617" t="s">
        <v>728</v>
      </c>
      <c r="Z612" s="617" t="s">
        <v>1523</v>
      </c>
      <c r="AA612" s="618">
        <v>43090</v>
      </c>
      <c r="AB612" s="618" t="s">
        <v>164</v>
      </c>
      <c r="AC612" s="618">
        <v>32664</v>
      </c>
      <c r="AD612" s="619">
        <v>0.03</v>
      </c>
      <c r="AE612" s="617" t="s">
        <v>1629</v>
      </c>
    </row>
    <row r="613" spans="1:31" s="572" customFormat="1">
      <c r="A613" s="570" t="s">
        <v>1638</v>
      </c>
      <c r="B613" s="569" t="s">
        <v>150</v>
      </c>
      <c r="C613" s="580">
        <v>13</v>
      </c>
      <c r="D613" s="569" t="s">
        <v>1516</v>
      </c>
      <c r="E613" s="569" t="s">
        <v>1607</v>
      </c>
      <c r="F613" s="569" t="s">
        <v>153</v>
      </c>
      <c r="G613" s="569">
        <v>2019</v>
      </c>
      <c r="H613" s="569" t="s">
        <v>1572</v>
      </c>
      <c r="I613" s="569" t="s">
        <v>155</v>
      </c>
      <c r="J613" s="569" t="s">
        <v>236</v>
      </c>
      <c r="K613" s="569">
        <v>12</v>
      </c>
      <c r="L613" s="569">
        <v>0</v>
      </c>
      <c r="M613" s="569" t="s">
        <v>157</v>
      </c>
      <c r="N613" s="569">
        <v>4</v>
      </c>
      <c r="O613" s="569">
        <v>83.7</v>
      </c>
      <c r="P613" s="568" t="s">
        <v>157</v>
      </c>
      <c r="Q613" s="569" t="s">
        <v>1526</v>
      </c>
      <c r="R613" s="569">
        <v>6</v>
      </c>
      <c r="S613" s="569" t="s">
        <v>1613</v>
      </c>
      <c r="T613" s="569" t="s">
        <v>213</v>
      </c>
      <c r="U613" s="569">
        <v>135</v>
      </c>
      <c r="V613" s="569">
        <v>31</v>
      </c>
      <c r="W613" s="620">
        <v>9600</v>
      </c>
      <c r="X613" s="621">
        <v>12</v>
      </c>
      <c r="Y613" s="621" t="s">
        <v>178</v>
      </c>
      <c r="Z613" s="621" t="s">
        <v>178</v>
      </c>
      <c r="AA613" s="622">
        <v>39095</v>
      </c>
      <c r="AB613" s="622" t="s">
        <v>164</v>
      </c>
      <c r="AC613" s="622">
        <v>27982</v>
      </c>
      <c r="AD613" s="623">
        <v>0.03</v>
      </c>
      <c r="AE613" s="621" t="s">
        <v>1631</v>
      </c>
    </row>
    <row r="614" spans="1:31" s="572" customFormat="1">
      <c r="A614" s="570" t="s">
        <v>1639</v>
      </c>
      <c r="B614" s="573" t="s">
        <v>166</v>
      </c>
      <c r="C614" s="578">
        <v>17</v>
      </c>
      <c r="D614" s="573" t="s">
        <v>1516</v>
      </c>
      <c r="E614" s="573" t="s">
        <v>1607</v>
      </c>
      <c r="F614" s="573" t="s">
        <v>153</v>
      </c>
      <c r="G614" s="573">
        <v>2019</v>
      </c>
      <c r="H614" s="573" t="s">
        <v>1572</v>
      </c>
      <c r="I614" s="573" t="s">
        <v>155</v>
      </c>
      <c r="J614" s="573" t="s">
        <v>236</v>
      </c>
      <c r="K614" s="573">
        <v>12</v>
      </c>
      <c r="L614" s="573">
        <v>0</v>
      </c>
      <c r="M614" s="573" t="s">
        <v>157</v>
      </c>
      <c r="N614" s="573">
        <v>4</v>
      </c>
      <c r="O614" s="573">
        <v>82.9</v>
      </c>
      <c r="P614" s="571" t="s">
        <v>157</v>
      </c>
      <c r="Q614" s="573" t="s">
        <v>1520</v>
      </c>
      <c r="R614" s="573">
        <v>4</v>
      </c>
      <c r="S614" s="582" t="s">
        <v>1608</v>
      </c>
      <c r="T614" s="573" t="s">
        <v>213</v>
      </c>
      <c r="U614" s="573">
        <v>155</v>
      </c>
      <c r="V614" s="573">
        <v>31</v>
      </c>
      <c r="W614" s="616">
        <v>9900</v>
      </c>
      <c r="X614" s="617">
        <v>12</v>
      </c>
      <c r="Y614" s="617" t="s">
        <v>728</v>
      </c>
      <c r="Z614" s="617" t="s">
        <v>1523</v>
      </c>
      <c r="AA614" s="618">
        <v>43890</v>
      </c>
      <c r="AB614" s="618" t="s">
        <v>164</v>
      </c>
      <c r="AC614" s="618">
        <v>34805.26</v>
      </c>
      <c r="AD614" s="619">
        <v>7.1999999999999995E-2</v>
      </c>
      <c r="AE614" s="617" t="s">
        <v>1625</v>
      </c>
    </row>
    <row r="615" spans="1:31" s="572" customFormat="1">
      <c r="A615" s="570" t="s">
        <v>1640</v>
      </c>
      <c r="B615" s="569" t="s">
        <v>166</v>
      </c>
      <c r="C615" s="580">
        <v>17</v>
      </c>
      <c r="D615" s="569" t="s">
        <v>1516</v>
      </c>
      <c r="E615" s="569" t="s">
        <v>1607</v>
      </c>
      <c r="F615" s="569" t="s">
        <v>153</v>
      </c>
      <c r="G615" s="569">
        <v>2019</v>
      </c>
      <c r="H615" s="569" t="s">
        <v>1572</v>
      </c>
      <c r="I615" s="569" t="s">
        <v>155</v>
      </c>
      <c r="J615" s="569" t="s">
        <v>236</v>
      </c>
      <c r="K615" s="569">
        <v>12</v>
      </c>
      <c r="L615" s="569">
        <v>0</v>
      </c>
      <c r="M615" s="569" t="s">
        <v>157</v>
      </c>
      <c r="N615" s="569">
        <v>4</v>
      </c>
      <c r="O615" s="569">
        <v>82.9</v>
      </c>
      <c r="P615" s="568" t="s">
        <v>157</v>
      </c>
      <c r="Q615" s="569" t="s">
        <v>1526</v>
      </c>
      <c r="R615" s="569">
        <v>6</v>
      </c>
      <c r="S615" s="569" t="s">
        <v>1608</v>
      </c>
      <c r="T615" s="569" t="s">
        <v>213</v>
      </c>
      <c r="U615" s="569">
        <v>155</v>
      </c>
      <c r="V615" s="569">
        <v>31</v>
      </c>
      <c r="W615" s="620">
        <v>9600</v>
      </c>
      <c r="X615" s="621">
        <v>12</v>
      </c>
      <c r="Y615" s="621" t="s">
        <v>178</v>
      </c>
      <c r="Z615" s="621" t="s">
        <v>178</v>
      </c>
      <c r="AA615" s="622">
        <v>39895</v>
      </c>
      <c r="AB615" s="622" t="s">
        <v>164</v>
      </c>
      <c r="AC615" s="622">
        <v>31045</v>
      </c>
      <c r="AD615" s="623">
        <v>7.1999999999999995E-2</v>
      </c>
      <c r="AE615" s="621" t="s">
        <v>1627</v>
      </c>
    </row>
    <row r="616" spans="1:31" s="572" customFormat="1">
      <c r="A616" s="570" t="s">
        <v>1641</v>
      </c>
      <c r="B616" s="573" t="s">
        <v>166</v>
      </c>
      <c r="C616" s="578">
        <v>17</v>
      </c>
      <c r="D616" s="573" t="s">
        <v>1516</v>
      </c>
      <c r="E616" s="573" t="s">
        <v>1607</v>
      </c>
      <c r="F616" s="573" t="s">
        <v>153</v>
      </c>
      <c r="G616" s="573">
        <v>2019</v>
      </c>
      <c r="H616" s="573" t="s">
        <v>1572</v>
      </c>
      <c r="I616" s="573" t="s">
        <v>155</v>
      </c>
      <c r="J616" s="573" t="s">
        <v>236</v>
      </c>
      <c r="K616" s="573">
        <v>12</v>
      </c>
      <c r="L616" s="573">
        <v>0</v>
      </c>
      <c r="M616" s="573" t="s">
        <v>157</v>
      </c>
      <c r="N616" s="573">
        <v>4</v>
      </c>
      <c r="O616" s="573">
        <v>83.7</v>
      </c>
      <c r="P616" s="571" t="s">
        <v>157</v>
      </c>
      <c r="Q616" s="573" t="s">
        <v>1520</v>
      </c>
      <c r="R616" s="573">
        <v>4</v>
      </c>
      <c r="S616" s="582" t="s">
        <v>1613</v>
      </c>
      <c r="T616" s="573" t="s">
        <v>213</v>
      </c>
      <c r="U616" s="573">
        <v>135</v>
      </c>
      <c r="V616" s="573">
        <v>31</v>
      </c>
      <c r="W616" s="616">
        <v>9600</v>
      </c>
      <c r="X616" s="617">
        <v>12</v>
      </c>
      <c r="Y616" s="617" t="s">
        <v>728</v>
      </c>
      <c r="Z616" s="617" t="s">
        <v>1523</v>
      </c>
      <c r="AA616" s="618">
        <v>43090</v>
      </c>
      <c r="AB616" s="618" t="s">
        <v>164</v>
      </c>
      <c r="AC616" s="618">
        <v>33460</v>
      </c>
      <c r="AD616" s="619">
        <v>7.1999999999999995E-2</v>
      </c>
      <c r="AE616" s="617" t="s">
        <v>1629</v>
      </c>
    </row>
    <row r="617" spans="1:31" s="572" customFormat="1">
      <c r="A617" s="570" t="s">
        <v>1642</v>
      </c>
      <c r="B617" s="569" t="s">
        <v>166</v>
      </c>
      <c r="C617" s="580">
        <v>17</v>
      </c>
      <c r="D617" s="569" t="s">
        <v>1516</v>
      </c>
      <c r="E617" s="569" t="s">
        <v>1607</v>
      </c>
      <c r="F617" s="569" t="s">
        <v>153</v>
      </c>
      <c r="G617" s="569">
        <v>2019</v>
      </c>
      <c r="H617" s="569" t="s">
        <v>1572</v>
      </c>
      <c r="I617" s="569" t="s">
        <v>155</v>
      </c>
      <c r="J617" s="569" t="s">
        <v>236</v>
      </c>
      <c r="K617" s="569">
        <v>12</v>
      </c>
      <c r="L617" s="569">
        <v>0</v>
      </c>
      <c r="M617" s="569" t="s">
        <v>157</v>
      </c>
      <c r="N617" s="569">
        <v>4</v>
      </c>
      <c r="O617" s="569">
        <v>83.7</v>
      </c>
      <c r="P617" s="568" t="s">
        <v>157</v>
      </c>
      <c r="Q617" s="569" t="s">
        <v>1526</v>
      </c>
      <c r="R617" s="569">
        <v>6</v>
      </c>
      <c r="S617" s="569" t="s">
        <v>1613</v>
      </c>
      <c r="T617" s="569" t="s">
        <v>213</v>
      </c>
      <c r="U617" s="569">
        <v>135</v>
      </c>
      <c r="V617" s="569">
        <v>31</v>
      </c>
      <c r="W617" s="620">
        <v>9600</v>
      </c>
      <c r="X617" s="621">
        <v>12</v>
      </c>
      <c r="Y617" s="621" t="s">
        <v>178</v>
      </c>
      <c r="Z617" s="621" t="s">
        <v>178</v>
      </c>
      <c r="AA617" s="622">
        <v>39095</v>
      </c>
      <c r="AB617" s="622" t="s">
        <v>164</v>
      </c>
      <c r="AC617" s="622">
        <v>29010</v>
      </c>
      <c r="AD617" s="623">
        <v>7.1999999999999995E-2</v>
      </c>
      <c r="AE617" s="621" t="s">
        <v>1631</v>
      </c>
    </row>
    <row r="618" spans="1:31" s="572" customFormat="1">
      <c r="A618" s="570" t="s">
        <v>1643</v>
      </c>
      <c r="B618" s="573" t="s">
        <v>166</v>
      </c>
      <c r="C618" s="578">
        <v>17</v>
      </c>
      <c r="D618" s="573" t="s">
        <v>1516</v>
      </c>
      <c r="E618" s="573" t="s">
        <v>1607</v>
      </c>
      <c r="F618" s="573" t="s">
        <v>153</v>
      </c>
      <c r="G618" s="573">
        <v>2019</v>
      </c>
      <c r="H618" s="573" t="s">
        <v>1572</v>
      </c>
      <c r="I618" s="573" t="s">
        <v>155</v>
      </c>
      <c r="J618" s="573" t="s">
        <v>236</v>
      </c>
      <c r="K618" s="573">
        <v>12</v>
      </c>
      <c r="L618" s="573">
        <v>0</v>
      </c>
      <c r="M618" s="573" t="s">
        <v>157</v>
      </c>
      <c r="N618" s="573">
        <v>4</v>
      </c>
      <c r="O618" s="573">
        <v>83.7</v>
      </c>
      <c r="P618" s="571" t="s">
        <v>157</v>
      </c>
      <c r="Q618" s="573" t="s">
        <v>1634</v>
      </c>
      <c r="R618" s="573">
        <v>6</v>
      </c>
      <c r="S618" s="582" t="s">
        <v>1613</v>
      </c>
      <c r="T618" s="573" t="s">
        <v>213</v>
      </c>
      <c r="U618" s="573">
        <v>135</v>
      </c>
      <c r="V618" s="573">
        <v>31</v>
      </c>
      <c r="W618" s="616">
        <v>9600</v>
      </c>
      <c r="X618" s="617">
        <v>12</v>
      </c>
      <c r="Y618" s="617" t="s">
        <v>178</v>
      </c>
      <c r="Z618" s="617" t="s">
        <v>178</v>
      </c>
      <c r="AA618" s="618">
        <v>39495</v>
      </c>
      <c r="AB618" s="618" t="s">
        <v>164</v>
      </c>
      <c r="AC618" s="618">
        <v>29010</v>
      </c>
      <c r="AD618" s="619">
        <v>7.1999999999999995E-2</v>
      </c>
      <c r="AE618" s="617" t="s">
        <v>1633</v>
      </c>
    </row>
    <row r="619" spans="1:31" s="572" customFormat="1">
      <c r="A619" s="570" t="s">
        <v>1644</v>
      </c>
      <c r="B619" s="569" t="s">
        <v>226</v>
      </c>
      <c r="C619" s="580" t="s">
        <v>227</v>
      </c>
      <c r="D619" s="569" t="s">
        <v>1516</v>
      </c>
      <c r="E619" s="569" t="s">
        <v>1646</v>
      </c>
      <c r="F619" s="569" t="s">
        <v>228</v>
      </c>
      <c r="G619" s="569">
        <v>2019</v>
      </c>
      <c r="H619" s="569" t="s">
        <v>1647</v>
      </c>
      <c r="I619" s="569" t="s">
        <v>612</v>
      </c>
      <c r="J619" s="569" t="s">
        <v>156</v>
      </c>
      <c r="K619" s="569">
        <v>7</v>
      </c>
      <c r="L619" s="569">
        <v>0</v>
      </c>
      <c r="M619" s="569" t="s">
        <v>157</v>
      </c>
      <c r="N619" s="569">
        <v>3</v>
      </c>
      <c r="O619" s="569">
        <v>69.900000000000006</v>
      </c>
      <c r="P619" s="568">
        <v>3600</v>
      </c>
      <c r="Q619" s="569" t="s">
        <v>231</v>
      </c>
      <c r="R619" s="569">
        <v>6</v>
      </c>
      <c r="S619" s="569" t="s">
        <v>1648</v>
      </c>
      <c r="T619" s="569" t="s">
        <v>1649</v>
      </c>
      <c r="U619" s="569">
        <v>121.6</v>
      </c>
      <c r="V619" s="569">
        <v>19</v>
      </c>
      <c r="W619" s="620">
        <v>6005</v>
      </c>
      <c r="X619" s="621">
        <v>22</v>
      </c>
      <c r="Y619" s="621" t="s">
        <v>178</v>
      </c>
      <c r="Z619" s="621" t="s">
        <v>178</v>
      </c>
      <c r="AA619" s="622">
        <v>28340</v>
      </c>
      <c r="AB619" s="622" t="s">
        <v>164</v>
      </c>
      <c r="AC619" s="622">
        <v>23620</v>
      </c>
      <c r="AD619" s="623">
        <v>6.25E-2</v>
      </c>
      <c r="AE619" s="621" t="s">
        <v>1645</v>
      </c>
    </row>
    <row r="620" spans="1:31" s="572" customFormat="1">
      <c r="A620" s="570" t="s">
        <v>1650</v>
      </c>
      <c r="B620" s="573" t="s">
        <v>240</v>
      </c>
      <c r="C620" s="578" t="s">
        <v>241</v>
      </c>
      <c r="D620" s="573" t="s">
        <v>1516</v>
      </c>
      <c r="E620" s="573" t="s">
        <v>1646</v>
      </c>
      <c r="F620" s="573" t="s">
        <v>228</v>
      </c>
      <c r="G620" s="573">
        <v>2019</v>
      </c>
      <c r="H620" s="573" t="s">
        <v>1647</v>
      </c>
      <c r="I620" s="573" t="s">
        <v>612</v>
      </c>
      <c r="J620" s="573" t="s">
        <v>156</v>
      </c>
      <c r="K620" s="573">
        <v>7</v>
      </c>
      <c r="L620" s="573">
        <v>0</v>
      </c>
      <c r="M620" s="573" t="s">
        <v>157</v>
      </c>
      <c r="N620" s="573">
        <v>3</v>
      </c>
      <c r="O620" s="573">
        <v>69.900000000000006</v>
      </c>
      <c r="P620" s="571">
        <v>3600</v>
      </c>
      <c r="Q620" s="573" t="s">
        <v>231</v>
      </c>
      <c r="R620" s="573">
        <v>6</v>
      </c>
      <c r="S620" s="582" t="s">
        <v>1648</v>
      </c>
      <c r="T620" s="573" t="s">
        <v>1649</v>
      </c>
      <c r="U620" s="573">
        <v>121.6</v>
      </c>
      <c r="V620" s="573">
        <v>19</v>
      </c>
      <c r="W620" s="616">
        <v>6005</v>
      </c>
      <c r="X620" s="617">
        <v>22</v>
      </c>
      <c r="Y620" s="617" t="s">
        <v>178</v>
      </c>
      <c r="Z620" s="617" t="s">
        <v>178</v>
      </c>
      <c r="AA620" s="618">
        <v>28340</v>
      </c>
      <c r="AB620" s="618" t="s">
        <v>164</v>
      </c>
      <c r="AC620" s="618">
        <v>23549</v>
      </c>
      <c r="AD620" s="619">
        <v>0.05</v>
      </c>
      <c r="AE620" s="617" t="s">
        <v>1645</v>
      </c>
    </row>
    <row r="621" spans="1:31" s="572" customFormat="1">
      <c r="A621" s="570" t="s">
        <v>1651</v>
      </c>
      <c r="B621" s="569" t="s">
        <v>226</v>
      </c>
      <c r="C621" s="580" t="s">
        <v>227</v>
      </c>
      <c r="D621" s="569" t="s">
        <v>1516</v>
      </c>
      <c r="E621" s="569" t="s">
        <v>1646</v>
      </c>
      <c r="F621" s="569" t="s">
        <v>228</v>
      </c>
      <c r="G621" s="569">
        <v>2019</v>
      </c>
      <c r="H621" s="569" t="s">
        <v>1647</v>
      </c>
      <c r="I621" s="569" t="s">
        <v>1313</v>
      </c>
      <c r="J621" s="569" t="s">
        <v>156</v>
      </c>
      <c r="K621" s="569">
        <v>7</v>
      </c>
      <c r="L621" s="569">
        <v>0</v>
      </c>
      <c r="M621" s="569" t="s">
        <v>157</v>
      </c>
      <c r="N621" s="569">
        <v>3</v>
      </c>
      <c r="O621" s="569">
        <v>69.900000000000006</v>
      </c>
      <c r="P621" s="568">
        <v>3600</v>
      </c>
      <c r="Q621" s="569" t="s">
        <v>231</v>
      </c>
      <c r="R621" s="569">
        <v>6</v>
      </c>
      <c r="S621" s="569" t="s">
        <v>1653</v>
      </c>
      <c r="T621" s="569" t="s">
        <v>1654</v>
      </c>
      <c r="U621" s="569">
        <v>121.6</v>
      </c>
      <c r="V621" s="569">
        <v>19</v>
      </c>
      <c r="W621" s="620">
        <v>6005</v>
      </c>
      <c r="X621" s="621">
        <v>22</v>
      </c>
      <c r="Y621" s="621" t="s">
        <v>178</v>
      </c>
      <c r="Z621" s="621" t="s">
        <v>178</v>
      </c>
      <c r="AA621" s="622">
        <v>31240</v>
      </c>
      <c r="AB621" s="622" t="s">
        <v>164</v>
      </c>
      <c r="AC621" s="622">
        <v>26477</v>
      </c>
      <c r="AD621" s="623">
        <v>6.25E-2</v>
      </c>
      <c r="AE621" s="621" t="s">
        <v>1652</v>
      </c>
    </row>
    <row r="622" spans="1:31" s="572" customFormat="1">
      <c r="A622" s="570" t="s">
        <v>1655</v>
      </c>
      <c r="B622" s="573" t="s">
        <v>240</v>
      </c>
      <c r="C622" s="578" t="s">
        <v>241</v>
      </c>
      <c r="D622" s="573" t="s">
        <v>1516</v>
      </c>
      <c r="E622" s="573" t="s">
        <v>1646</v>
      </c>
      <c r="F622" s="573" t="s">
        <v>228</v>
      </c>
      <c r="G622" s="573">
        <v>2019</v>
      </c>
      <c r="H622" s="573" t="s">
        <v>1647</v>
      </c>
      <c r="I622" s="573" t="s">
        <v>1313</v>
      </c>
      <c r="J622" s="573" t="s">
        <v>156</v>
      </c>
      <c r="K622" s="573">
        <v>7</v>
      </c>
      <c r="L622" s="573">
        <v>0</v>
      </c>
      <c r="M622" s="573" t="s">
        <v>157</v>
      </c>
      <c r="N622" s="573">
        <v>3</v>
      </c>
      <c r="O622" s="573">
        <v>69.900000000000006</v>
      </c>
      <c r="P622" s="571">
        <v>3600</v>
      </c>
      <c r="Q622" s="573" t="s">
        <v>231</v>
      </c>
      <c r="R622" s="573">
        <v>6</v>
      </c>
      <c r="S622" s="582" t="s">
        <v>1653</v>
      </c>
      <c r="T622" s="573" t="s">
        <v>1654</v>
      </c>
      <c r="U622" s="573">
        <v>121.6</v>
      </c>
      <c r="V622" s="573">
        <v>19</v>
      </c>
      <c r="W622" s="616">
        <v>6005</v>
      </c>
      <c r="X622" s="617">
        <v>22</v>
      </c>
      <c r="Y622" s="617" t="s">
        <v>178</v>
      </c>
      <c r="Z622" s="617" t="s">
        <v>178</v>
      </c>
      <c r="AA622" s="618">
        <v>31140</v>
      </c>
      <c r="AB622" s="618" t="s">
        <v>164</v>
      </c>
      <c r="AC622" s="618">
        <v>26369</v>
      </c>
      <c r="AD622" s="619">
        <v>0.05</v>
      </c>
      <c r="AE622" s="617" t="s">
        <v>1652</v>
      </c>
    </row>
    <row r="623" spans="1:31" s="572" customFormat="1">
      <c r="A623" s="570" t="s">
        <v>1656</v>
      </c>
      <c r="B623" s="569" t="s">
        <v>240</v>
      </c>
      <c r="C623" s="580" t="s">
        <v>241</v>
      </c>
      <c r="D623" s="569" t="s">
        <v>1516</v>
      </c>
      <c r="E623" s="569" t="s">
        <v>1646</v>
      </c>
      <c r="F623" s="569" t="s">
        <v>228</v>
      </c>
      <c r="G623" s="569">
        <v>2019</v>
      </c>
      <c r="H623" s="569" t="s">
        <v>1647</v>
      </c>
      <c r="I623" s="569" t="s">
        <v>497</v>
      </c>
      <c r="J623" s="569" t="s">
        <v>156</v>
      </c>
      <c r="K623" s="569">
        <v>7</v>
      </c>
      <c r="L623" s="569">
        <v>0</v>
      </c>
      <c r="M623" s="569" t="s">
        <v>157</v>
      </c>
      <c r="N623" s="569">
        <v>3</v>
      </c>
      <c r="O623" s="569">
        <v>69.900000000000006</v>
      </c>
      <c r="P623" s="568">
        <v>3600</v>
      </c>
      <c r="Q623" s="569" t="s">
        <v>231</v>
      </c>
      <c r="R623" s="569">
        <v>6</v>
      </c>
      <c r="S623" s="569" t="s">
        <v>1658</v>
      </c>
      <c r="T623" s="569" t="s">
        <v>1659</v>
      </c>
      <c r="U623" s="569">
        <v>121.6</v>
      </c>
      <c r="V623" s="569">
        <v>19</v>
      </c>
      <c r="W623" s="620">
        <v>6005</v>
      </c>
      <c r="X623" s="621">
        <v>22</v>
      </c>
      <c r="Y623" s="621" t="s">
        <v>178</v>
      </c>
      <c r="Z623" s="621" t="s">
        <v>178</v>
      </c>
      <c r="AA623" s="622">
        <v>32640</v>
      </c>
      <c r="AB623" s="622" t="s">
        <v>164</v>
      </c>
      <c r="AC623" s="622">
        <v>27081.25</v>
      </c>
      <c r="AD623" s="623">
        <v>0.05</v>
      </c>
      <c r="AE623" s="621" t="s">
        <v>1657</v>
      </c>
    </row>
    <row r="624" spans="1:31" s="572" customFormat="1">
      <c r="A624" s="570" t="s">
        <v>1660</v>
      </c>
      <c r="B624" s="573" t="s">
        <v>226</v>
      </c>
      <c r="C624" s="578" t="s">
        <v>227</v>
      </c>
      <c r="D624" s="573" t="s">
        <v>1516</v>
      </c>
      <c r="E624" s="573" t="s">
        <v>1646</v>
      </c>
      <c r="F624" s="573" t="s">
        <v>228</v>
      </c>
      <c r="G624" s="573">
        <v>2019</v>
      </c>
      <c r="H624" s="573" t="s">
        <v>1647</v>
      </c>
      <c r="I624" s="573" t="s">
        <v>229</v>
      </c>
      <c r="J624" s="573" t="s">
        <v>156</v>
      </c>
      <c r="K624" s="573">
        <v>7</v>
      </c>
      <c r="L624" s="573">
        <v>0</v>
      </c>
      <c r="M624" s="573" t="s">
        <v>157</v>
      </c>
      <c r="N624" s="573">
        <v>3</v>
      </c>
      <c r="O624" s="573">
        <v>69.900000000000006</v>
      </c>
      <c r="P624" s="571">
        <v>3600</v>
      </c>
      <c r="Q624" s="573" t="s">
        <v>231</v>
      </c>
      <c r="R624" s="573">
        <v>6</v>
      </c>
      <c r="S624" s="582" t="s">
        <v>1658</v>
      </c>
      <c r="T624" s="573" t="s">
        <v>1659</v>
      </c>
      <c r="U624" s="573">
        <v>121.6</v>
      </c>
      <c r="V624" s="573">
        <v>19</v>
      </c>
      <c r="W624" s="616">
        <v>6005</v>
      </c>
      <c r="X624" s="617">
        <v>22</v>
      </c>
      <c r="Y624" s="617" t="s">
        <v>178</v>
      </c>
      <c r="Z624" s="617" t="s">
        <v>178</v>
      </c>
      <c r="AA624" s="618">
        <v>33235</v>
      </c>
      <c r="AB624" s="618" t="s">
        <v>164</v>
      </c>
      <c r="AC624" s="618">
        <v>27730</v>
      </c>
      <c r="AD624" s="619">
        <v>6.25E-2</v>
      </c>
      <c r="AE624" s="617" t="s">
        <v>1657</v>
      </c>
    </row>
    <row r="625" spans="1:31" s="572" customFormat="1">
      <c r="A625" s="570" t="s">
        <v>1661</v>
      </c>
      <c r="B625" s="569" t="s">
        <v>240</v>
      </c>
      <c r="C625" s="580" t="s">
        <v>241</v>
      </c>
      <c r="D625" s="569" t="s">
        <v>1516</v>
      </c>
      <c r="E625" s="569" t="s">
        <v>1646</v>
      </c>
      <c r="F625" s="569" t="s">
        <v>228</v>
      </c>
      <c r="G625" s="569">
        <v>2019</v>
      </c>
      <c r="H625" s="569" t="s">
        <v>1647</v>
      </c>
      <c r="I625" s="569" t="s">
        <v>1663</v>
      </c>
      <c r="J625" s="569" t="s">
        <v>156</v>
      </c>
      <c r="K625" s="569">
        <v>7</v>
      </c>
      <c r="L625" s="569">
        <v>0</v>
      </c>
      <c r="M625" s="569" t="s">
        <v>157</v>
      </c>
      <c r="N625" s="569">
        <v>3</v>
      </c>
      <c r="O625" s="569">
        <v>69.900000000000006</v>
      </c>
      <c r="P625" s="568">
        <v>3600</v>
      </c>
      <c r="Q625" s="569" t="s">
        <v>231</v>
      </c>
      <c r="R625" s="569">
        <v>6</v>
      </c>
      <c r="S625" s="569" t="s">
        <v>1664</v>
      </c>
      <c r="T625" s="569" t="s">
        <v>1665</v>
      </c>
      <c r="U625" s="569">
        <v>121.6</v>
      </c>
      <c r="V625" s="569">
        <v>16.5</v>
      </c>
      <c r="W625" s="620">
        <v>6300</v>
      </c>
      <c r="X625" s="621">
        <v>84</v>
      </c>
      <c r="Y625" s="621" t="s">
        <v>163</v>
      </c>
      <c r="Z625" s="621" t="s">
        <v>178</v>
      </c>
      <c r="AA625" s="622">
        <v>43935</v>
      </c>
      <c r="AB625" s="622" t="s">
        <v>164</v>
      </c>
      <c r="AC625" s="622">
        <v>43777.083333333336</v>
      </c>
      <c r="AD625" s="623">
        <v>0.05</v>
      </c>
      <c r="AE625" s="621" t="s">
        <v>1662</v>
      </c>
    </row>
    <row r="626" spans="1:31" s="572" customFormat="1">
      <c r="A626" s="570" t="s">
        <v>1666</v>
      </c>
      <c r="B626" s="573" t="s">
        <v>226</v>
      </c>
      <c r="C626" s="578" t="s">
        <v>227</v>
      </c>
      <c r="D626" s="573" t="s">
        <v>1516</v>
      </c>
      <c r="E626" s="573" t="s">
        <v>1646</v>
      </c>
      <c r="F626" s="573" t="s">
        <v>228</v>
      </c>
      <c r="G626" s="573">
        <v>2019</v>
      </c>
      <c r="H626" s="573" t="s">
        <v>1647</v>
      </c>
      <c r="I626" s="573" t="s">
        <v>1668</v>
      </c>
      <c r="J626" s="573" t="s">
        <v>156</v>
      </c>
      <c r="K626" s="573">
        <v>7</v>
      </c>
      <c r="L626" s="573">
        <v>0</v>
      </c>
      <c r="M626" s="573" t="s">
        <v>157</v>
      </c>
      <c r="N626" s="573">
        <v>3</v>
      </c>
      <c r="O626" s="573">
        <v>69.900000000000006</v>
      </c>
      <c r="P626" s="571">
        <v>3600</v>
      </c>
      <c r="Q626" s="573" t="s">
        <v>231</v>
      </c>
      <c r="R626" s="573">
        <v>6</v>
      </c>
      <c r="S626" s="582" t="s">
        <v>1669</v>
      </c>
      <c r="T626" s="573" t="s">
        <v>1403</v>
      </c>
      <c r="U626" s="573">
        <v>121.6</v>
      </c>
      <c r="V626" s="573">
        <v>16.5</v>
      </c>
      <c r="W626" s="616">
        <v>6300</v>
      </c>
      <c r="X626" s="617">
        <v>84</v>
      </c>
      <c r="Y626" s="617" t="s">
        <v>163</v>
      </c>
      <c r="Z626" s="617" t="s">
        <v>178</v>
      </c>
      <c r="AA626" s="618">
        <v>41340</v>
      </c>
      <c r="AB626" s="618" t="s">
        <v>164</v>
      </c>
      <c r="AC626" s="618">
        <v>40891</v>
      </c>
      <c r="AD626" s="619">
        <v>6.25E-2</v>
      </c>
      <c r="AE626" s="617" t="s">
        <v>1667</v>
      </c>
    </row>
    <row r="627" spans="1:31" s="572" customFormat="1">
      <c r="A627" s="570" t="s">
        <v>1670</v>
      </c>
      <c r="B627" s="569" t="s">
        <v>240</v>
      </c>
      <c r="C627" s="580" t="s">
        <v>241</v>
      </c>
      <c r="D627" s="569" t="s">
        <v>1516</v>
      </c>
      <c r="E627" s="569" t="s">
        <v>1646</v>
      </c>
      <c r="F627" s="569" t="s">
        <v>228</v>
      </c>
      <c r="G627" s="569">
        <v>2019</v>
      </c>
      <c r="H627" s="569" t="s">
        <v>1647</v>
      </c>
      <c r="I627" s="569" t="s">
        <v>1668</v>
      </c>
      <c r="J627" s="569" t="s">
        <v>156</v>
      </c>
      <c r="K627" s="569">
        <v>7</v>
      </c>
      <c r="L627" s="569">
        <v>0</v>
      </c>
      <c r="M627" s="569" t="s">
        <v>157</v>
      </c>
      <c r="N627" s="569">
        <v>3</v>
      </c>
      <c r="O627" s="569">
        <v>69.900000000000006</v>
      </c>
      <c r="P627" s="568">
        <v>3600</v>
      </c>
      <c r="Q627" s="569" t="s">
        <v>231</v>
      </c>
      <c r="R627" s="569">
        <v>6</v>
      </c>
      <c r="S627" s="569" t="s">
        <v>1669</v>
      </c>
      <c r="T627" s="569" t="s">
        <v>1403</v>
      </c>
      <c r="U627" s="569">
        <v>121.6</v>
      </c>
      <c r="V627" s="569">
        <v>16.5</v>
      </c>
      <c r="W627" s="620">
        <v>6300</v>
      </c>
      <c r="X627" s="621">
        <v>84</v>
      </c>
      <c r="Y627" s="621" t="s">
        <v>163</v>
      </c>
      <c r="Z627" s="621" t="s">
        <v>178</v>
      </c>
      <c r="AA627" s="622">
        <v>41935</v>
      </c>
      <c r="AB627" s="622" t="s">
        <v>164</v>
      </c>
      <c r="AC627" s="622">
        <v>41777.083333333336</v>
      </c>
      <c r="AD627" s="623">
        <v>0.05</v>
      </c>
      <c r="AE627" s="621" t="s">
        <v>1667</v>
      </c>
    </row>
    <row r="628" spans="1:31" s="572" customFormat="1">
      <c r="A628" s="570" t="s">
        <v>1671</v>
      </c>
      <c r="B628" s="573" t="s">
        <v>226</v>
      </c>
      <c r="C628" s="578" t="s">
        <v>227</v>
      </c>
      <c r="D628" s="573" t="s">
        <v>1516</v>
      </c>
      <c r="E628" s="573" t="s">
        <v>1646</v>
      </c>
      <c r="F628" s="573" t="s">
        <v>248</v>
      </c>
      <c r="G628" s="573">
        <v>2019</v>
      </c>
      <c r="H628" s="573" t="s">
        <v>1673</v>
      </c>
      <c r="I628" s="573" t="s">
        <v>330</v>
      </c>
      <c r="J628" s="573" t="s">
        <v>156</v>
      </c>
      <c r="K628" s="573">
        <v>7</v>
      </c>
      <c r="L628" s="573">
        <v>0</v>
      </c>
      <c r="M628" s="573" t="s">
        <v>157</v>
      </c>
      <c r="N628" s="573">
        <v>3</v>
      </c>
      <c r="O628" s="573">
        <v>67.900000000000006</v>
      </c>
      <c r="P628" s="571">
        <v>3600</v>
      </c>
      <c r="Q628" s="573" t="s">
        <v>231</v>
      </c>
      <c r="R628" s="573">
        <v>6</v>
      </c>
      <c r="S628" s="582" t="s">
        <v>1674</v>
      </c>
      <c r="T628" s="573" t="s">
        <v>1675</v>
      </c>
      <c r="U628" s="573">
        <v>121.2</v>
      </c>
      <c r="V628" s="573">
        <v>20</v>
      </c>
      <c r="W628" s="616">
        <v>6050</v>
      </c>
      <c r="X628" s="617">
        <v>20</v>
      </c>
      <c r="Y628" s="617" t="s">
        <v>178</v>
      </c>
      <c r="Z628" s="617" t="s">
        <v>178</v>
      </c>
      <c r="AA628" s="618">
        <v>27595</v>
      </c>
      <c r="AB628" s="618" t="s">
        <v>164</v>
      </c>
      <c r="AC628" s="618">
        <v>22491</v>
      </c>
      <c r="AD628" s="619">
        <v>6.25E-2</v>
      </c>
      <c r="AE628" s="617" t="s">
        <v>1672</v>
      </c>
    </row>
    <row r="629" spans="1:31" s="572" customFormat="1">
      <c r="A629" s="570" t="s">
        <v>1676</v>
      </c>
      <c r="B629" s="569" t="s">
        <v>240</v>
      </c>
      <c r="C629" s="580" t="s">
        <v>241</v>
      </c>
      <c r="D629" s="569" t="s">
        <v>1516</v>
      </c>
      <c r="E629" s="569" t="s">
        <v>1646</v>
      </c>
      <c r="F629" s="569" t="s">
        <v>248</v>
      </c>
      <c r="G629" s="569">
        <v>2019</v>
      </c>
      <c r="H629" s="569" t="s">
        <v>1673</v>
      </c>
      <c r="I629" s="569" t="s">
        <v>330</v>
      </c>
      <c r="J629" s="569" t="s">
        <v>156</v>
      </c>
      <c r="K629" s="569">
        <v>7</v>
      </c>
      <c r="L629" s="569">
        <v>0</v>
      </c>
      <c r="M629" s="569" t="s">
        <v>157</v>
      </c>
      <c r="N629" s="569">
        <v>3</v>
      </c>
      <c r="O629" s="569">
        <v>67.900000000000006</v>
      </c>
      <c r="P629" s="568">
        <v>3600</v>
      </c>
      <c r="Q629" s="569" t="s">
        <v>231</v>
      </c>
      <c r="R629" s="569">
        <v>6</v>
      </c>
      <c r="S629" s="569" t="s">
        <v>1674</v>
      </c>
      <c r="T629" s="569" t="s">
        <v>1675</v>
      </c>
      <c r="U629" s="569">
        <v>121.2</v>
      </c>
      <c r="V629" s="569">
        <v>20</v>
      </c>
      <c r="W629" s="620">
        <v>6050</v>
      </c>
      <c r="X629" s="621">
        <v>20</v>
      </c>
      <c r="Y629" s="621" t="s">
        <v>178</v>
      </c>
      <c r="Z629" s="621" t="s">
        <v>178</v>
      </c>
      <c r="AA629" s="622">
        <v>27595</v>
      </c>
      <c r="AB629" s="622" t="s">
        <v>164</v>
      </c>
      <c r="AC629" s="622">
        <v>22389</v>
      </c>
      <c r="AD629" s="623">
        <v>0.05</v>
      </c>
      <c r="AE629" s="621" t="s">
        <v>1672</v>
      </c>
    </row>
    <row r="630" spans="1:31" s="572" customFormat="1">
      <c r="A630" s="570" t="s">
        <v>1677</v>
      </c>
      <c r="B630" s="573" t="s">
        <v>226</v>
      </c>
      <c r="C630" s="578" t="s">
        <v>227</v>
      </c>
      <c r="D630" s="573" t="s">
        <v>1516</v>
      </c>
      <c r="E630" s="573" t="s">
        <v>1646</v>
      </c>
      <c r="F630" s="573" t="s">
        <v>248</v>
      </c>
      <c r="G630" s="573">
        <v>2019</v>
      </c>
      <c r="H630" s="573" t="s">
        <v>1673</v>
      </c>
      <c r="I630" s="573" t="s">
        <v>250</v>
      </c>
      <c r="J630" s="573" t="s">
        <v>156</v>
      </c>
      <c r="K630" s="573">
        <v>7</v>
      </c>
      <c r="L630" s="573">
        <v>0</v>
      </c>
      <c r="M630" s="573" t="s">
        <v>157</v>
      </c>
      <c r="N630" s="573">
        <v>3</v>
      </c>
      <c r="O630" s="573">
        <v>67.900000000000006</v>
      </c>
      <c r="P630" s="571">
        <v>3600</v>
      </c>
      <c r="Q630" s="573" t="s">
        <v>231</v>
      </c>
      <c r="R630" s="573">
        <v>6</v>
      </c>
      <c r="S630" s="582" t="s">
        <v>1679</v>
      </c>
      <c r="T630" s="573" t="s">
        <v>1680</v>
      </c>
      <c r="U630" s="573">
        <v>121.2</v>
      </c>
      <c r="V630" s="573">
        <v>20</v>
      </c>
      <c r="W630" s="616">
        <v>6050</v>
      </c>
      <c r="X630" s="617">
        <v>20</v>
      </c>
      <c r="Y630" s="617" t="s">
        <v>178</v>
      </c>
      <c r="Z630" s="617" t="s">
        <v>178</v>
      </c>
      <c r="AA630" s="618">
        <v>33095</v>
      </c>
      <c r="AB630" s="618" t="s">
        <v>164</v>
      </c>
      <c r="AC630" s="618">
        <v>26904</v>
      </c>
      <c r="AD630" s="619">
        <v>6.25E-2</v>
      </c>
      <c r="AE630" s="617" t="s">
        <v>1678</v>
      </c>
    </row>
    <row r="631" spans="1:31" s="572" customFormat="1">
      <c r="A631" s="570" t="s">
        <v>1681</v>
      </c>
      <c r="B631" s="569" t="s">
        <v>240</v>
      </c>
      <c r="C631" s="580" t="s">
        <v>241</v>
      </c>
      <c r="D631" s="569" t="s">
        <v>1516</v>
      </c>
      <c r="E631" s="569" t="s">
        <v>1646</v>
      </c>
      <c r="F631" s="569" t="s">
        <v>248</v>
      </c>
      <c r="G631" s="569">
        <v>2019</v>
      </c>
      <c r="H631" s="569" t="s">
        <v>1673</v>
      </c>
      <c r="I631" s="569" t="s">
        <v>250</v>
      </c>
      <c r="J631" s="569" t="s">
        <v>156</v>
      </c>
      <c r="K631" s="569">
        <v>7</v>
      </c>
      <c r="L631" s="569">
        <v>0</v>
      </c>
      <c r="M631" s="569" t="s">
        <v>157</v>
      </c>
      <c r="N631" s="569">
        <v>3</v>
      </c>
      <c r="O631" s="569">
        <v>67.900000000000006</v>
      </c>
      <c r="P631" s="568">
        <v>3600</v>
      </c>
      <c r="Q631" s="569" t="s">
        <v>231</v>
      </c>
      <c r="R631" s="569">
        <v>6</v>
      </c>
      <c r="S631" s="569" t="s">
        <v>1679</v>
      </c>
      <c r="T631" s="569" t="s">
        <v>1680</v>
      </c>
      <c r="U631" s="569">
        <v>121.2</v>
      </c>
      <c r="V631" s="569">
        <v>20</v>
      </c>
      <c r="W631" s="620">
        <v>6050</v>
      </c>
      <c r="X631" s="621">
        <v>20</v>
      </c>
      <c r="Y631" s="621" t="s">
        <v>178</v>
      </c>
      <c r="Z631" s="621" t="s">
        <v>178</v>
      </c>
      <c r="AA631" s="622">
        <v>33860</v>
      </c>
      <c r="AB631" s="622" t="s">
        <v>164</v>
      </c>
      <c r="AC631" s="622">
        <v>27450</v>
      </c>
      <c r="AD631" s="623">
        <v>0.05</v>
      </c>
      <c r="AE631" s="621" t="s">
        <v>1678</v>
      </c>
    </row>
    <row r="632" spans="1:31" s="572" customFormat="1">
      <c r="A632" s="570" t="s">
        <v>1682</v>
      </c>
      <c r="B632" s="573" t="s">
        <v>269</v>
      </c>
      <c r="C632" s="578" t="s">
        <v>270</v>
      </c>
      <c r="D632" s="573" t="s">
        <v>1516</v>
      </c>
      <c r="E632" s="573" t="s">
        <v>1684</v>
      </c>
      <c r="F632" s="573" t="s">
        <v>271</v>
      </c>
      <c r="G632" s="573">
        <v>2019</v>
      </c>
      <c r="H632" s="573" t="s">
        <v>1685</v>
      </c>
      <c r="I632" s="573" t="s">
        <v>1686</v>
      </c>
      <c r="J632" s="573" t="s">
        <v>236</v>
      </c>
      <c r="K632" s="573">
        <v>2</v>
      </c>
      <c r="L632" s="573">
        <v>0</v>
      </c>
      <c r="M632" s="573" t="s">
        <v>157</v>
      </c>
      <c r="N632" s="573">
        <v>1</v>
      </c>
      <c r="O632" s="573">
        <v>81</v>
      </c>
      <c r="P632" s="571" t="s">
        <v>157</v>
      </c>
      <c r="Q632" s="573" t="s">
        <v>1687</v>
      </c>
      <c r="R632" s="573">
        <v>10</v>
      </c>
      <c r="S632" s="582" t="s">
        <v>1688</v>
      </c>
      <c r="T632" s="573" t="s">
        <v>1689</v>
      </c>
      <c r="U632" s="573">
        <v>138</v>
      </c>
      <c r="V632" s="573">
        <v>40</v>
      </c>
      <c r="W632" s="616">
        <v>11500</v>
      </c>
      <c r="X632" s="617" t="s">
        <v>157</v>
      </c>
      <c r="Y632" s="617" t="s">
        <v>178</v>
      </c>
      <c r="Z632" s="617" t="s">
        <v>178</v>
      </c>
      <c r="AA632" s="618">
        <v>32830</v>
      </c>
      <c r="AB632" s="618" t="s">
        <v>164</v>
      </c>
      <c r="AC632" s="618">
        <v>24976.604166666668</v>
      </c>
      <c r="AD632" s="619">
        <v>0.03</v>
      </c>
      <c r="AE632" s="617" t="s">
        <v>1683</v>
      </c>
    </row>
    <row r="633" spans="1:31" s="572" customFormat="1">
      <c r="A633" s="570" t="s">
        <v>1690</v>
      </c>
      <c r="B633" s="569" t="s">
        <v>269</v>
      </c>
      <c r="C633" s="580" t="s">
        <v>270</v>
      </c>
      <c r="D633" s="569" t="s">
        <v>1516</v>
      </c>
      <c r="E633" s="569" t="s">
        <v>1684</v>
      </c>
      <c r="F633" s="569" t="s">
        <v>271</v>
      </c>
      <c r="G633" s="569">
        <v>2019</v>
      </c>
      <c r="H633" s="569" t="s">
        <v>1685</v>
      </c>
      <c r="I633" s="569" t="s">
        <v>1686</v>
      </c>
      <c r="J633" s="569" t="s">
        <v>236</v>
      </c>
      <c r="K633" s="569">
        <v>2</v>
      </c>
      <c r="L633" s="569">
        <v>0</v>
      </c>
      <c r="M633" s="569" t="s">
        <v>157</v>
      </c>
      <c r="N633" s="569">
        <v>1</v>
      </c>
      <c r="O633" s="569">
        <v>81</v>
      </c>
      <c r="P633" s="568" t="s">
        <v>157</v>
      </c>
      <c r="Q633" s="569" t="s">
        <v>1687</v>
      </c>
      <c r="R633" s="569">
        <v>10</v>
      </c>
      <c r="S633" s="569" t="s">
        <v>1688</v>
      </c>
      <c r="T633" s="569" t="s">
        <v>1689</v>
      </c>
      <c r="U633" s="569">
        <v>158</v>
      </c>
      <c r="V633" s="569">
        <v>40</v>
      </c>
      <c r="W633" s="620">
        <v>11500</v>
      </c>
      <c r="X633" s="621" t="s">
        <v>157</v>
      </c>
      <c r="Y633" s="621" t="s">
        <v>178</v>
      </c>
      <c r="Z633" s="621" t="s">
        <v>178</v>
      </c>
      <c r="AA633" s="622">
        <v>33080</v>
      </c>
      <c r="AB633" s="622" t="s">
        <v>164</v>
      </c>
      <c r="AC633" s="622">
        <v>25204.729166666668</v>
      </c>
      <c r="AD633" s="623">
        <v>0.03</v>
      </c>
      <c r="AE633" s="621" t="s">
        <v>1691</v>
      </c>
    </row>
    <row r="634" spans="1:31" s="572" customFormat="1">
      <c r="A634" s="570" t="s">
        <v>1692</v>
      </c>
      <c r="B634" s="573" t="s">
        <v>269</v>
      </c>
      <c r="C634" s="578" t="s">
        <v>270</v>
      </c>
      <c r="D634" s="573" t="s">
        <v>1516</v>
      </c>
      <c r="E634" s="573" t="s">
        <v>1684</v>
      </c>
      <c r="F634" s="573" t="s">
        <v>271</v>
      </c>
      <c r="G634" s="573">
        <v>2019</v>
      </c>
      <c r="H634" s="573" t="s">
        <v>1685</v>
      </c>
      <c r="I634" s="573" t="s">
        <v>1686</v>
      </c>
      <c r="J634" s="573" t="s">
        <v>236</v>
      </c>
      <c r="K634" s="573">
        <v>2</v>
      </c>
      <c r="L634" s="573">
        <v>0</v>
      </c>
      <c r="M634" s="573" t="s">
        <v>157</v>
      </c>
      <c r="N634" s="573">
        <v>1</v>
      </c>
      <c r="O634" s="573">
        <v>81</v>
      </c>
      <c r="P634" s="571" t="s">
        <v>157</v>
      </c>
      <c r="Q634" s="573" t="s">
        <v>1687</v>
      </c>
      <c r="R634" s="573">
        <v>10</v>
      </c>
      <c r="S634" s="582" t="s">
        <v>1688</v>
      </c>
      <c r="T634" s="573" t="s">
        <v>1689</v>
      </c>
      <c r="U634" s="573">
        <v>176</v>
      </c>
      <c r="V634" s="573">
        <v>40</v>
      </c>
      <c r="W634" s="616">
        <v>12500</v>
      </c>
      <c r="X634" s="617" t="s">
        <v>157</v>
      </c>
      <c r="Y634" s="617" t="s">
        <v>178</v>
      </c>
      <c r="Z634" s="617" t="s">
        <v>178</v>
      </c>
      <c r="AA634" s="618">
        <v>33580</v>
      </c>
      <c r="AB634" s="618" t="s">
        <v>164</v>
      </c>
      <c r="AC634" s="618">
        <v>25660.979166666668</v>
      </c>
      <c r="AD634" s="619">
        <v>0.03</v>
      </c>
      <c r="AE634" s="617" t="s">
        <v>1693</v>
      </c>
    </row>
    <row r="635" spans="1:31" s="572" customFormat="1">
      <c r="A635" s="570" t="s">
        <v>1694</v>
      </c>
      <c r="B635" s="569" t="s">
        <v>280</v>
      </c>
      <c r="C635" s="580">
        <v>27</v>
      </c>
      <c r="D635" s="569" t="s">
        <v>1516</v>
      </c>
      <c r="E635" s="569" t="s">
        <v>1684</v>
      </c>
      <c r="F635" s="569" t="s">
        <v>271</v>
      </c>
      <c r="G635" s="569">
        <v>2019</v>
      </c>
      <c r="H635" s="569" t="s">
        <v>1685</v>
      </c>
      <c r="I635" s="569" t="s">
        <v>1686</v>
      </c>
      <c r="J635" s="569" t="s">
        <v>236</v>
      </c>
      <c r="K635" s="569">
        <v>2</v>
      </c>
      <c r="L635" s="569">
        <v>0</v>
      </c>
      <c r="M635" s="569" t="s">
        <v>157</v>
      </c>
      <c r="N635" s="569">
        <v>1</v>
      </c>
      <c r="O635" s="569">
        <v>81</v>
      </c>
      <c r="P635" s="568" t="s">
        <v>157</v>
      </c>
      <c r="Q635" s="569" t="s">
        <v>1687</v>
      </c>
      <c r="R635" s="569">
        <v>10</v>
      </c>
      <c r="S635" s="569" t="s">
        <v>1688</v>
      </c>
      <c r="T635" s="569" t="s">
        <v>1689</v>
      </c>
      <c r="U635" s="569">
        <v>138</v>
      </c>
      <c r="V635" s="569">
        <v>40</v>
      </c>
      <c r="W635" s="620">
        <v>11500</v>
      </c>
      <c r="X635" s="621" t="s">
        <v>157</v>
      </c>
      <c r="Y635" s="621" t="s">
        <v>178</v>
      </c>
      <c r="Z635" s="621" t="s">
        <v>178</v>
      </c>
      <c r="AA635" s="622">
        <v>32830</v>
      </c>
      <c r="AB635" s="622" t="s">
        <v>164</v>
      </c>
      <c r="AC635" s="622">
        <v>24976.604166666668</v>
      </c>
      <c r="AD635" s="623">
        <v>0.03</v>
      </c>
      <c r="AE635" s="621" t="s">
        <v>1683</v>
      </c>
    </row>
    <row r="636" spans="1:31" s="572" customFormat="1">
      <c r="A636" s="570" t="s">
        <v>1695</v>
      </c>
      <c r="B636" s="573" t="s">
        <v>280</v>
      </c>
      <c r="C636" s="578">
        <v>27</v>
      </c>
      <c r="D636" s="573" t="s">
        <v>1516</v>
      </c>
      <c r="E636" s="573" t="s">
        <v>1684</v>
      </c>
      <c r="F636" s="573" t="s">
        <v>271</v>
      </c>
      <c r="G636" s="573">
        <v>2019</v>
      </c>
      <c r="H636" s="573" t="s">
        <v>1685</v>
      </c>
      <c r="I636" s="573" t="s">
        <v>1686</v>
      </c>
      <c r="J636" s="573" t="s">
        <v>236</v>
      </c>
      <c r="K636" s="573">
        <v>2</v>
      </c>
      <c r="L636" s="573">
        <v>0</v>
      </c>
      <c r="M636" s="573" t="s">
        <v>157</v>
      </c>
      <c r="N636" s="573">
        <v>1</v>
      </c>
      <c r="O636" s="573">
        <v>81</v>
      </c>
      <c r="P636" s="571" t="s">
        <v>157</v>
      </c>
      <c r="Q636" s="573" t="s">
        <v>1687</v>
      </c>
      <c r="R636" s="573">
        <v>10</v>
      </c>
      <c r="S636" s="582" t="s">
        <v>1688</v>
      </c>
      <c r="T636" s="573" t="s">
        <v>1689</v>
      </c>
      <c r="U636" s="573">
        <v>158</v>
      </c>
      <c r="V636" s="573">
        <v>40</v>
      </c>
      <c r="W636" s="616">
        <v>11500</v>
      </c>
      <c r="X636" s="617" t="s">
        <v>157</v>
      </c>
      <c r="Y636" s="617" t="s">
        <v>178</v>
      </c>
      <c r="Z636" s="617" t="s">
        <v>178</v>
      </c>
      <c r="AA636" s="618">
        <v>33080</v>
      </c>
      <c r="AB636" s="618" t="s">
        <v>164</v>
      </c>
      <c r="AC636" s="618">
        <v>25204.729166666668</v>
      </c>
      <c r="AD636" s="619">
        <v>0.03</v>
      </c>
      <c r="AE636" s="617" t="s">
        <v>1691</v>
      </c>
    </row>
    <row r="637" spans="1:31" s="572" customFormat="1">
      <c r="A637" s="570" t="s">
        <v>1696</v>
      </c>
      <c r="B637" s="569" t="s">
        <v>280</v>
      </c>
      <c r="C637" s="580">
        <v>27</v>
      </c>
      <c r="D637" s="569" t="s">
        <v>1516</v>
      </c>
      <c r="E637" s="569" t="s">
        <v>1684</v>
      </c>
      <c r="F637" s="569" t="s">
        <v>271</v>
      </c>
      <c r="G637" s="569">
        <v>2019</v>
      </c>
      <c r="H637" s="569" t="s">
        <v>1685</v>
      </c>
      <c r="I637" s="569" t="s">
        <v>1686</v>
      </c>
      <c r="J637" s="569" t="s">
        <v>236</v>
      </c>
      <c r="K637" s="569">
        <v>2</v>
      </c>
      <c r="L637" s="569">
        <v>0</v>
      </c>
      <c r="M637" s="569" t="s">
        <v>157</v>
      </c>
      <c r="N637" s="569">
        <v>1</v>
      </c>
      <c r="O637" s="569">
        <v>81</v>
      </c>
      <c r="P637" s="568" t="s">
        <v>157</v>
      </c>
      <c r="Q637" s="569" t="s">
        <v>1687</v>
      </c>
      <c r="R637" s="569">
        <v>10</v>
      </c>
      <c r="S637" s="569" t="s">
        <v>1688</v>
      </c>
      <c r="T637" s="569" t="s">
        <v>1689</v>
      </c>
      <c r="U637" s="569">
        <v>176</v>
      </c>
      <c r="V637" s="569">
        <v>40</v>
      </c>
      <c r="W637" s="620">
        <v>12500</v>
      </c>
      <c r="X637" s="621" t="s">
        <v>157</v>
      </c>
      <c r="Y637" s="621" t="s">
        <v>178</v>
      </c>
      <c r="Z637" s="621" t="s">
        <v>178</v>
      </c>
      <c r="AA637" s="622">
        <v>33580</v>
      </c>
      <c r="AB637" s="622" t="s">
        <v>164</v>
      </c>
      <c r="AC637" s="622">
        <v>25660.979166666668</v>
      </c>
      <c r="AD637" s="623">
        <v>0.03</v>
      </c>
      <c r="AE637" s="621" t="s">
        <v>1693</v>
      </c>
    </row>
    <row r="638" spans="1:31" s="572" customFormat="1">
      <c r="A638" s="570" t="s">
        <v>1697</v>
      </c>
      <c r="B638" s="573" t="s">
        <v>269</v>
      </c>
      <c r="C638" s="578" t="s">
        <v>270</v>
      </c>
      <c r="D638" s="573" t="s">
        <v>1516</v>
      </c>
      <c r="E638" s="573" t="s">
        <v>1684</v>
      </c>
      <c r="F638" s="573" t="s">
        <v>271</v>
      </c>
      <c r="G638" s="573">
        <v>2019</v>
      </c>
      <c r="H638" s="573" t="s">
        <v>1685</v>
      </c>
      <c r="I638" s="573" t="s">
        <v>1699</v>
      </c>
      <c r="J638" s="573" t="s">
        <v>236</v>
      </c>
      <c r="K638" s="573">
        <v>2</v>
      </c>
      <c r="L638" s="573">
        <v>0</v>
      </c>
      <c r="M638" s="573" t="s">
        <v>157</v>
      </c>
      <c r="N638" s="573">
        <v>1</v>
      </c>
      <c r="O638" s="573" t="s">
        <v>157</v>
      </c>
      <c r="P638" s="571" t="s">
        <v>157</v>
      </c>
      <c r="Q638" s="573" t="s">
        <v>1700</v>
      </c>
      <c r="R638" s="573">
        <v>8</v>
      </c>
      <c r="S638" s="582" t="s">
        <v>1688</v>
      </c>
      <c r="T638" s="573" t="s">
        <v>1689</v>
      </c>
      <c r="U638" s="573">
        <v>138</v>
      </c>
      <c r="V638" s="573">
        <v>40</v>
      </c>
      <c r="W638" s="616">
        <v>11500</v>
      </c>
      <c r="X638" s="617" t="s">
        <v>157</v>
      </c>
      <c r="Y638" s="617" t="s">
        <v>450</v>
      </c>
      <c r="Z638" s="617" t="s">
        <v>178</v>
      </c>
      <c r="AA638" s="618">
        <v>32480</v>
      </c>
      <c r="AB638" s="618" t="s">
        <v>164</v>
      </c>
      <c r="AC638" s="618">
        <v>24666.187500000004</v>
      </c>
      <c r="AD638" s="619">
        <v>0.03</v>
      </c>
      <c r="AE638" s="617" t="s">
        <v>1698</v>
      </c>
    </row>
    <row r="639" spans="1:31" s="572" customFormat="1">
      <c r="A639" s="570" t="s">
        <v>1701</v>
      </c>
      <c r="B639" s="569" t="s">
        <v>269</v>
      </c>
      <c r="C639" s="580" t="s">
        <v>270</v>
      </c>
      <c r="D639" s="569" t="s">
        <v>1516</v>
      </c>
      <c r="E639" s="569" t="s">
        <v>1684</v>
      </c>
      <c r="F639" s="569" t="s">
        <v>271</v>
      </c>
      <c r="G639" s="569">
        <v>2019</v>
      </c>
      <c r="H639" s="569" t="s">
        <v>1685</v>
      </c>
      <c r="I639" s="569" t="s">
        <v>1699</v>
      </c>
      <c r="J639" s="569" t="s">
        <v>236</v>
      </c>
      <c r="K639" s="569">
        <v>2</v>
      </c>
      <c r="L639" s="569">
        <v>0</v>
      </c>
      <c r="M639" s="569" t="s">
        <v>157</v>
      </c>
      <c r="N639" s="569">
        <v>1</v>
      </c>
      <c r="O639" s="569" t="s">
        <v>157</v>
      </c>
      <c r="P639" s="568" t="s">
        <v>157</v>
      </c>
      <c r="Q639" s="569" t="s">
        <v>1700</v>
      </c>
      <c r="R639" s="569">
        <v>8</v>
      </c>
      <c r="S639" s="569" t="s">
        <v>1688</v>
      </c>
      <c r="T639" s="569" t="s">
        <v>1689</v>
      </c>
      <c r="U639" s="569">
        <v>158</v>
      </c>
      <c r="V639" s="569">
        <v>40</v>
      </c>
      <c r="W639" s="620">
        <v>11500</v>
      </c>
      <c r="X639" s="621" t="s">
        <v>157</v>
      </c>
      <c r="Y639" s="621" t="s">
        <v>450</v>
      </c>
      <c r="Z639" s="621" t="s">
        <v>178</v>
      </c>
      <c r="AA639" s="622">
        <v>32730</v>
      </c>
      <c r="AB639" s="622" t="s">
        <v>164</v>
      </c>
      <c r="AC639" s="622">
        <v>24894.312500000004</v>
      </c>
      <c r="AD639" s="623">
        <v>0.03</v>
      </c>
      <c r="AE639" s="621" t="s">
        <v>1702</v>
      </c>
    </row>
    <row r="640" spans="1:31" s="572" customFormat="1">
      <c r="A640" s="570" t="s">
        <v>1703</v>
      </c>
      <c r="B640" s="573" t="s">
        <v>269</v>
      </c>
      <c r="C640" s="578" t="s">
        <v>270</v>
      </c>
      <c r="D640" s="573" t="s">
        <v>1516</v>
      </c>
      <c r="E640" s="573" t="s">
        <v>1684</v>
      </c>
      <c r="F640" s="573" t="s">
        <v>271</v>
      </c>
      <c r="G640" s="573">
        <v>2019</v>
      </c>
      <c r="H640" s="573" t="s">
        <v>1685</v>
      </c>
      <c r="I640" s="573" t="s">
        <v>1699</v>
      </c>
      <c r="J640" s="573" t="s">
        <v>236</v>
      </c>
      <c r="K640" s="573">
        <v>2</v>
      </c>
      <c r="L640" s="573">
        <v>0</v>
      </c>
      <c r="M640" s="573" t="s">
        <v>157</v>
      </c>
      <c r="N640" s="573">
        <v>1</v>
      </c>
      <c r="O640" s="573" t="s">
        <v>157</v>
      </c>
      <c r="P640" s="571" t="s">
        <v>157</v>
      </c>
      <c r="Q640" s="573" t="s">
        <v>1700</v>
      </c>
      <c r="R640" s="573">
        <v>8</v>
      </c>
      <c r="S640" s="582" t="s">
        <v>1688</v>
      </c>
      <c r="T640" s="573" t="s">
        <v>1689</v>
      </c>
      <c r="U640" s="573">
        <v>176</v>
      </c>
      <c r="V640" s="573">
        <v>40</v>
      </c>
      <c r="W640" s="616">
        <v>12500</v>
      </c>
      <c r="X640" s="617" t="s">
        <v>157</v>
      </c>
      <c r="Y640" s="617" t="s">
        <v>450</v>
      </c>
      <c r="Z640" s="617" t="s">
        <v>178</v>
      </c>
      <c r="AA640" s="618">
        <v>33230</v>
      </c>
      <c r="AB640" s="618" t="s">
        <v>164</v>
      </c>
      <c r="AC640" s="618">
        <v>25350.562500000004</v>
      </c>
      <c r="AD640" s="619">
        <v>0.03</v>
      </c>
      <c r="AE640" s="617" t="s">
        <v>1704</v>
      </c>
    </row>
    <row r="641" spans="1:31" s="572" customFormat="1">
      <c r="A641" s="570" t="s">
        <v>1705</v>
      </c>
      <c r="B641" s="569" t="s">
        <v>269</v>
      </c>
      <c r="C641" s="580" t="s">
        <v>270</v>
      </c>
      <c r="D641" s="569" t="s">
        <v>1516</v>
      </c>
      <c r="E641" s="569" t="s">
        <v>1684</v>
      </c>
      <c r="F641" s="569" t="s">
        <v>271</v>
      </c>
      <c r="G641" s="569">
        <v>2019</v>
      </c>
      <c r="H641" s="569" t="s">
        <v>1685</v>
      </c>
      <c r="I641" s="569" t="s">
        <v>1699</v>
      </c>
      <c r="J641" s="569" t="s">
        <v>236</v>
      </c>
      <c r="K641" s="569">
        <v>2</v>
      </c>
      <c r="L641" s="569">
        <v>0</v>
      </c>
      <c r="M641" s="569" t="s">
        <v>157</v>
      </c>
      <c r="N641" s="569">
        <v>1</v>
      </c>
      <c r="O641" s="569" t="s">
        <v>157</v>
      </c>
      <c r="P641" s="568" t="s">
        <v>157</v>
      </c>
      <c r="Q641" s="569" t="s">
        <v>1687</v>
      </c>
      <c r="R641" s="569">
        <v>10</v>
      </c>
      <c r="S641" s="569" t="s">
        <v>1688</v>
      </c>
      <c r="T641" s="569" t="s">
        <v>1689</v>
      </c>
      <c r="U641" s="569">
        <v>138</v>
      </c>
      <c r="V641" s="569">
        <v>40</v>
      </c>
      <c r="W641" s="620">
        <v>11500</v>
      </c>
      <c r="X641" s="621" t="s">
        <v>157</v>
      </c>
      <c r="Y641" s="621" t="s">
        <v>178</v>
      </c>
      <c r="Z641" s="621" t="s">
        <v>178</v>
      </c>
      <c r="AA641" s="622">
        <v>32480</v>
      </c>
      <c r="AB641" s="622" t="s">
        <v>164</v>
      </c>
      <c r="AC641" s="622">
        <v>24976.604166666668</v>
      </c>
      <c r="AD641" s="623">
        <v>0.03</v>
      </c>
      <c r="AE641" s="621" t="s">
        <v>1706</v>
      </c>
    </row>
    <row r="642" spans="1:31" s="572" customFormat="1">
      <c r="A642" s="570" t="s">
        <v>1707</v>
      </c>
      <c r="B642" s="573" t="s">
        <v>269</v>
      </c>
      <c r="C642" s="578" t="s">
        <v>270</v>
      </c>
      <c r="D642" s="573" t="s">
        <v>1516</v>
      </c>
      <c r="E642" s="573" t="s">
        <v>1684</v>
      </c>
      <c r="F642" s="573" t="s">
        <v>271</v>
      </c>
      <c r="G642" s="573">
        <v>2019</v>
      </c>
      <c r="H642" s="573" t="s">
        <v>1685</v>
      </c>
      <c r="I642" s="573" t="s">
        <v>1699</v>
      </c>
      <c r="J642" s="573" t="s">
        <v>236</v>
      </c>
      <c r="K642" s="573">
        <v>2</v>
      </c>
      <c r="L642" s="573">
        <v>0</v>
      </c>
      <c r="M642" s="573" t="s">
        <v>157</v>
      </c>
      <c r="N642" s="573">
        <v>1</v>
      </c>
      <c r="O642" s="573" t="s">
        <v>157</v>
      </c>
      <c r="P642" s="571" t="s">
        <v>157</v>
      </c>
      <c r="Q642" s="573" t="s">
        <v>1687</v>
      </c>
      <c r="R642" s="573">
        <v>10</v>
      </c>
      <c r="S642" s="582" t="s">
        <v>1688</v>
      </c>
      <c r="T642" s="573" t="s">
        <v>1689</v>
      </c>
      <c r="U642" s="573">
        <v>158</v>
      </c>
      <c r="V642" s="573">
        <v>40</v>
      </c>
      <c r="W642" s="616">
        <v>11500</v>
      </c>
      <c r="X642" s="617" t="s">
        <v>157</v>
      </c>
      <c r="Y642" s="617" t="s">
        <v>178</v>
      </c>
      <c r="Z642" s="617" t="s">
        <v>178</v>
      </c>
      <c r="AA642" s="618">
        <v>32730</v>
      </c>
      <c r="AB642" s="618" t="s">
        <v>164</v>
      </c>
      <c r="AC642" s="618">
        <v>25204.729166666668</v>
      </c>
      <c r="AD642" s="619">
        <v>0.03</v>
      </c>
      <c r="AE642" s="617" t="s">
        <v>1708</v>
      </c>
    </row>
    <row r="643" spans="1:31" s="572" customFormat="1">
      <c r="A643" s="570" t="s">
        <v>1709</v>
      </c>
      <c r="B643" s="569" t="s">
        <v>269</v>
      </c>
      <c r="C643" s="580" t="s">
        <v>270</v>
      </c>
      <c r="D643" s="569" t="s">
        <v>1516</v>
      </c>
      <c r="E643" s="569" t="s">
        <v>1684</v>
      </c>
      <c r="F643" s="569" t="s">
        <v>271</v>
      </c>
      <c r="G643" s="569">
        <v>2019</v>
      </c>
      <c r="H643" s="569" t="s">
        <v>1685</v>
      </c>
      <c r="I643" s="569" t="s">
        <v>1699</v>
      </c>
      <c r="J643" s="569" t="s">
        <v>236</v>
      </c>
      <c r="K643" s="569">
        <v>2</v>
      </c>
      <c r="L643" s="569">
        <v>0</v>
      </c>
      <c r="M643" s="569" t="s">
        <v>157</v>
      </c>
      <c r="N643" s="569">
        <v>1</v>
      </c>
      <c r="O643" s="569" t="s">
        <v>157</v>
      </c>
      <c r="P643" s="568" t="s">
        <v>157</v>
      </c>
      <c r="Q643" s="569" t="s">
        <v>1687</v>
      </c>
      <c r="R643" s="569">
        <v>10</v>
      </c>
      <c r="S643" s="569" t="s">
        <v>1688</v>
      </c>
      <c r="T643" s="569" t="s">
        <v>1689</v>
      </c>
      <c r="U643" s="569">
        <v>176</v>
      </c>
      <c r="V643" s="569">
        <v>40</v>
      </c>
      <c r="W643" s="620">
        <v>12500</v>
      </c>
      <c r="X643" s="621" t="s">
        <v>157</v>
      </c>
      <c r="Y643" s="621" t="s">
        <v>178</v>
      </c>
      <c r="Z643" s="621" t="s">
        <v>178</v>
      </c>
      <c r="AA643" s="622">
        <v>33230</v>
      </c>
      <c r="AB643" s="622" t="s">
        <v>164</v>
      </c>
      <c r="AC643" s="622">
        <v>25660.979166666668</v>
      </c>
      <c r="AD643" s="623">
        <v>0.03</v>
      </c>
      <c r="AE643" s="621" t="s">
        <v>1710</v>
      </c>
    </row>
    <row r="644" spans="1:31" s="572" customFormat="1">
      <c r="A644" s="570" t="s">
        <v>1711</v>
      </c>
      <c r="B644" s="573" t="s">
        <v>269</v>
      </c>
      <c r="C644" s="578" t="s">
        <v>270</v>
      </c>
      <c r="D644" s="573" t="s">
        <v>1516</v>
      </c>
      <c r="E644" s="573" t="s">
        <v>1684</v>
      </c>
      <c r="F644" s="573" t="s">
        <v>271</v>
      </c>
      <c r="G644" s="573">
        <v>2019</v>
      </c>
      <c r="H644" s="573" t="s">
        <v>1685</v>
      </c>
      <c r="I644" s="573" t="s">
        <v>1699</v>
      </c>
      <c r="J644" s="573" t="s">
        <v>236</v>
      </c>
      <c r="K644" s="573">
        <v>2</v>
      </c>
      <c r="L644" s="573">
        <v>0</v>
      </c>
      <c r="M644" s="573" t="s">
        <v>157</v>
      </c>
      <c r="N644" s="573">
        <v>1</v>
      </c>
      <c r="O644" s="573" t="s">
        <v>157</v>
      </c>
      <c r="P644" s="571">
        <v>8500</v>
      </c>
      <c r="Q644" s="573" t="s">
        <v>1700</v>
      </c>
      <c r="R644" s="573">
        <v>8</v>
      </c>
      <c r="S644" s="582" t="s">
        <v>1688</v>
      </c>
      <c r="T644" s="573" t="s">
        <v>1689</v>
      </c>
      <c r="U644" s="573">
        <v>138</v>
      </c>
      <c r="V644" s="573">
        <v>40</v>
      </c>
      <c r="W644" s="616">
        <v>11500</v>
      </c>
      <c r="X644" s="617" t="s">
        <v>157</v>
      </c>
      <c r="Y644" s="617" t="s">
        <v>450</v>
      </c>
      <c r="Z644" s="617" t="s">
        <v>178</v>
      </c>
      <c r="AA644" s="618">
        <v>32480</v>
      </c>
      <c r="AB644" s="618" t="s">
        <v>164</v>
      </c>
      <c r="AC644" s="618">
        <v>24666.187500000004</v>
      </c>
      <c r="AD644" s="619">
        <v>0.03</v>
      </c>
      <c r="AE644" s="617" t="s">
        <v>1712</v>
      </c>
    </row>
    <row r="645" spans="1:31" s="572" customFormat="1">
      <c r="A645" s="570" t="s">
        <v>1713</v>
      </c>
      <c r="B645" s="569" t="s">
        <v>269</v>
      </c>
      <c r="C645" s="580" t="s">
        <v>270</v>
      </c>
      <c r="D645" s="569" t="s">
        <v>1516</v>
      </c>
      <c r="E645" s="569" t="s">
        <v>1684</v>
      </c>
      <c r="F645" s="569" t="s">
        <v>271</v>
      </c>
      <c r="G645" s="569">
        <v>2019</v>
      </c>
      <c r="H645" s="569" t="s">
        <v>1685</v>
      </c>
      <c r="I645" s="569" t="s">
        <v>1699</v>
      </c>
      <c r="J645" s="569" t="s">
        <v>236</v>
      </c>
      <c r="K645" s="569">
        <v>2</v>
      </c>
      <c r="L645" s="569">
        <v>0</v>
      </c>
      <c r="M645" s="569" t="s">
        <v>157</v>
      </c>
      <c r="N645" s="569">
        <v>1</v>
      </c>
      <c r="O645" s="569" t="s">
        <v>157</v>
      </c>
      <c r="P645" s="568">
        <v>8500</v>
      </c>
      <c r="Q645" s="569" t="s">
        <v>1700</v>
      </c>
      <c r="R645" s="569">
        <v>8</v>
      </c>
      <c r="S645" s="569" t="s">
        <v>1688</v>
      </c>
      <c r="T645" s="569" t="s">
        <v>1689</v>
      </c>
      <c r="U645" s="569">
        <v>158</v>
      </c>
      <c r="V645" s="569">
        <v>40</v>
      </c>
      <c r="W645" s="620">
        <v>11500</v>
      </c>
      <c r="X645" s="621" t="s">
        <v>157</v>
      </c>
      <c r="Y645" s="621" t="s">
        <v>450</v>
      </c>
      <c r="Z645" s="621" t="s">
        <v>178</v>
      </c>
      <c r="AA645" s="622">
        <v>32730</v>
      </c>
      <c r="AB645" s="622" t="s">
        <v>164</v>
      </c>
      <c r="AC645" s="622">
        <v>24894.312500000004</v>
      </c>
      <c r="AD645" s="623">
        <v>0.03</v>
      </c>
      <c r="AE645" s="621" t="s">
        <v>1714</v>
      </c>
    </row>
    <row r="646" spans="1:31" s="572" customFormat="1">
      <c r="A646" s="570" t="s">
        <v>1715</v>
      </c>
      <c r="B646" s="573" t="s">
        <v>269</v>
      </c>
      <c r="C646" s="578" t="s">
        <v>270</v>
      </c>
      <c r="D646" s="573" t="s">
        <v>1516</v>
      </c>
      <c r="E646" s="573" t="s">
        <v>1684</v>
      </c>
      <c r="F646" s="573" t="s">
        <v>271</v>
      </c>
      <c r="G646" s="573">
        <v>2019</v>
      </c>
      <c r="H646" s="573" t="s">
        <v>1685</v>
      </c>
      <c r="I646" s="573" t="s">
        <v>1699</v>
      </c>
      <c r="J646" s="573" t="s">
        <v>236</v>
      </c>
      <c r="K646" s="573">
        <v>2</v>
      </c>
      <c r="L646" s="573">
        <v>0</v>
      </c>
      <c r="M646" s="573" t="s">
        <v>157</v>
      </c>
      <c r="N646" s="573">
        <v>1</v>
      </c>
      <c r="O646" s="573" t="s">
        <v>157</v>
      </c>
      <c r="P646" s="571">
        <v>8500</v>
      </c>
      <c r="Q646" s="573" t="s">
        <v>1700</v>
      </c>
      <c r="R646" s="573">
        <v>8</v>
      </c>
      <c r="S646" s="582" t="s">
        <v>1688</v>
      </c>
      <c r="T646" s="573" t="s">
        <v>1689</v>
      </c>
      <c r="U646" s="573">
        <v>176</v>
      </c>
      <c r="V646" s="573">
        <v>40</v>
      </c>
      <c r="W646" s="616">
        <v>12500</v>
      </c>
      <c r="X646" s="617" t="s">
        <v>157</v>
      </c>
      <c r="Y646" s="617" t="s">
        <v>450</v>
      </c>
      <c r="Z646" s="617" t="s">
        <v>178</v>
      </c>
      <c r="AA646" s="618">
        <v>33230</v>
      </c>
      <c r="AB646" s="618" t="s">
        <v>164</v>
      </c>
      <c r="AC646" s="618">
        <v>25350.562500000004</v>
      </c>
      <c r="AD646" s="619">
        <v>0.03</v>
      </c>
      <c r="AE646" s="617" t="s">
        <v>1716</v>
      </c>
    </row>
    <row r="647" spans="1:31" s="572" customFormat="1">
      <c r="A647" s="570" t="s">
        <v>1717</v>
      </c>
      <c r="B647" s="569" t="s">
        <v>269</v>
      </c>
      <c r="C647" s="580" t="s">
        <v>270</v>
      </c>
      <c r="D647" s="569" t="s">
        <v>1516</v>
      </c>
      <c r="E647" s="569" t="s">
        <v>1684</v>
      </c>
      <c r="F647" s="569" t="s">
        <v>271</v>
      </c>
      <c r="G647" s="569">
        <v>2019</v>
      </c>
      <c r="H647" s="569" t="s">
        <v>1685</v>
      </c>
      <c r="I647" s="569" t="s">
        <v>1699</v>
      </c>
      <c r="J647" s="569" t="s">
        <v>236</v>
      </c>
      <c r="K647" s="569">
        <v>2</v>
      </c>
      <c r="L647" s="569">
        <v>0</v>
      </c>
      <c r="M647" s="569" t="s">
        <v>157</v>
      </c>
      <c r="N647" s="569">
        <v>1</v>
      </c>
      <c r="O647" s="569" t="s">
        <v>157</v>
      </c>
      <c r="P647" s="568">
        <v>8500</v>
      </c>
      <c r="Q647" s="569" t="s">
        <v>1687</v>
      </c>
      <c r="R647" s="569">
        <v>10</v>
      </c>
      <c r="S647" s="569" t="s">
        <v>1688</v>
      </c>
      <c r="T647" s="569" t="s">
        <v>1689</v>
      </c>
      <c r="U647" s="569">
        <v>138</v>
      </c>
      <c r="V647" s="569">
        <v>40</v>
      </c>
      <c r="W647" s="620">
        <v>11500</v>
      </c>
      <c r="X647" s="621" t="s">
        <v>157</v>
      </c>
      <c r="Y647" s="621" t="s">
        <v>178</v>
      </c>
      <c r="Z647" s="621" t="s">
        <v>178</v>
      </c>
      <c r="AA647" s="622">
        <v>32480</v>
      </c>
      <c r="AB647" s="622" t="s">
        <v>164</v>
      </c>
      <c r="AC647" s="622">
        <v>24976.604166666668</v>
      </c>
      <c r="AD647" s="623">
        <v>0.03</v>
      </c>
      <c r="AE647" s="621" t="s">
        <v>1718</v>
      </c>
    </row>
    <row r="648" spans="1:31" s="572" customFormat="1">
      <c r="A648" s="570" t="s">
        <v>1717</v>
      </c>
      <c r="B648" s="573" t="s">
        <v>269</v>
      </c>
      <c r="C648" s="578" t="s">
        <v>270</v>
      </c>
      <c r="D648" s="573" t="s">
        <v>1516</v>
      </c>
      <c r="E648" s="573" t="s">
        <v>1684</v>
      </c>
      <c r="F648" s="573" t="s">
        <v>271</v>
      </c>
      <c r="G648" s="573">
        <v>2019</v>
      </c>
      <c r="H648" s="573" t="s">
        <v>1685</v>
      </c>
      <c r="I648" s="573" t="s">
        <v>1699</v>
      </c>
      <c r="J648" s="573" t="s">
        <v>236</v>
      </c>
      <c r="K648" s="573">
        <v>2</v>
      </c>
      <c r="L648" s="573">
        <v>0</v>
      </c>
      <c r="M648" s="573" t="s">
        <v>157</v>
      </c>
      <c r="N648" s="573">
        <v>1</v>
      </c>
      <c r="O648" s="573" t="s">
        <v>157</v>
      </c>
      <c r="P648" s="571">
        <v>8500</v>
      </c>
      <c r="Q648" s="573" t="s">
        <v>1687</v>
      </c>
      <c r="R648" s="573">
        <v>10</v>
      </c>
      <c r="S648" s="582" t="s">
        <v>1688</v>
      </c>
      <c r="T648" s="573" t="s">
        <v>1689</v>
      </c>
      <c r="U648" s="573">
        <v>138</v>
      </c>
      <c r="V648" s="573">
        <v>40</v>
      </c>
      <c r="W648" s="616">
        <v>11500</v>
      </c>
      <c r="X648" s="617" t="s">
        <v>157</v>
      </c>
      <c r="Y648" s="617" t="s">
        <v>178</v>
      </c>
      <c r="Z648" s="617" t="s">
        <v>178</v>
      </c>
      <c r="AA648" s="618">
        <v>32830</v>
      </c>
      <c r="AB648" s="618" t="s">
        <v>164</v>
      </c>
      <c r="AC648" s="618">
        <v>24976.604166666668</v>
      </c>
      <c r="AD648" s="619">
        <v>0.03</v>
      </c>
      <c r="AE648" s="617" t="s">
        <v>1718</v>
      </c>
    </row>
    <row r="649" spans="1:31" s="572" customFormat="1">
      <c r="A649" s="570" t="s">
        <v>1719</v>
      </c>
      <c r="B649" s="569" t="s">
        <v>269</v>
      </c>
      <c r="C649" s="580" t="s">
        <v>270</v>
      </c>
      <c r="D649" s="569" t="s">
        <v>1516</v>
      </c>
      <c r="E649" s="569" t="s">
        <v>1684</v>
      </c>
      <c r="F649" s="569" t="s">
        <v>271</v>
      </c>
      <c r="G649" s="569">
        <v>2019</v>
      </c>
      <c r="H649" s="569" t="s">
        <v>1685</v>
      </c>
      <c r="I649" s="569" t="s">
        <v>1699</v>
      </c>
      <c r="J649" s="569" t="s">
        <v>236</v>
      </c>
      <c r="K649" s="569">
        <v>2</v>
      </c>
      <c r="L649" s="569">
        <v>0</v>
      </c>
      <c r="M649" s="569" t="s">
        <v>157</v>
      </c>
      <c r="N649" s="569">
        <v>1</v>
      </c>
      <c r="O649" s="569" t="s">
        <v>157</v>
      </c>
      <c r="P649" s="568">
        <v>8500</v>
      </c>
      <c r="Q649" s="569" t="s">
        <v>1687</v>
      </c>
      <c r="R649" s="569">
        <v>10</v>
      </c>
      <c r="S649" s="569" t="s">
        <v>1688</v>
      </c>
      <c r="T649" s="569" t="s">
        <v>1689</v>
      </c>
      <c r="U649" s="569">
        <v>158</v>
      </c>
      <c r="V649" s="569">
        <v>40</v>
      </c>
      <c r="W649" s="620">
        <v>11500</v>
      </c>
      <c r="X649" s="621" t="s">
        <v>157</v>
      </c>
      <c r="Y649" s="621" t="s">
        <v>178</v>
      </c>
      <c r="Z649" s="621" t="s">
        <v>178</v>
      </c>
      <c r="AA649" s="622">
        <v>32730</v>
      </c>
      <c r="AB649" s="622" t="s">
        <v>164</v>
      </c>
      <c r="AC649" s="622">
        <v>25204.729166666668</v>
      </c>
      <c r="AD649" s="623">
        <v>0.03</v>
      </c>
      <c r="AE649" s="621" t="s">
        <v>1720</v>
      </c>
    </row>
    <row r="650" spans="1:31" s="572" customFormat="1">
      <c r="A650" s="570" t="s">
        <v>1719</v>
      </c>
      <c r="B650" s="573" t="s">
        <v>269</v>
      </c>
      <c r="C650" s="578" t="s">
        <v>270</v>
      </c>
      <c r="D650" s="573" t="s">
        <v>1516</v>
      </c>
      <c r="E650" s="573" t="s">
        <v>1684</v>
      </c>
      <c r="F650" s="573" t="s">
        <v>271</v>
      </c>
      <c r="G650" s="573">
        <v>2019</v>
      </c>
      <c r="H650" s="573" t="s">
        <v>1685</v>
      </c>
      <c r="I650" s="573" t="s">
        <v>1699</v>
      </c>
      <c r="J650" s="573" t="s">
        <v>236</v>
      </c>
      <c r="K650" s="573">
        <v>2</v>
      </c>
      <c r="L650" s="573">
        <v>0</v>
      </c>
      <c r="M650" s="573" t="s">
        <v>157</v>
      </c>
      <c r="N650" s="573">
        <v>1</v>
      </c>
      <c r="O650" s="573" t="s">
        <v>157</v>
      </c>
      <c r="P650" s="571">
        <v>8500</v>
      </c>
      <c r="Q650" s="573" t="s">
        <v>1687</v>
      </c>
      <c r="R650" s="573">
        <v>10</v>
      </c>
      <c r="S650" s="582" t="s">
        <v>1688</v>
      </c>
      <c r="T650" s="573" t="s">
        <v>1689</v>
      </c>
      <c r="U650" s="573">
        <v>158</v>
      </c>
      <c r="V650" s="573">
        <v>40</v>
      </c>
      <c r="W650" s="616">
        <v>11500</v>
      </c>
      <c r="X650" s="617" t="s">
        <v>157</v>
      </c>
      <c r="Y650" s="617" t="s">
        <v>178</v>
      </c>
      <c r="Z650" s="617" t="s">
        <v>178</v>
      </c>
      <c r="AA650" s="618">
        <v>33080</v>
      </c>
      <c r="AB650" s="618" t="s">
        <v>164</v>
      </c>
      <c r="AC650" s="618">
        <v>25204.729166666668</v>
      </c>
      <c r="AD650" s="619">
        <v>0.03</v>
      </c>
      <c r="AE650" s="617" t="s">
        <v>1720</v>
      </c>
    </row>
    <row r="651" spans="1:31" s="572" customFormat="1">
      <c r="A651" s="570" t="s">
        <v>1721</v>
      </c>
      <c r="B651" s="569" t="s">
        <v>269</v>
      </c>
      <c r="C651" s="580" t="s">
        <v>270</v>
      </c>
      <c r="D651" s="569" t="s">
        <v>1516</v>
      </c>
      <c r="E651" s="569" t="s">
        <v>1684</v>
      </c>
      <c r="F651" s="569" t="s">
        <v>271</v>
      </c>
      <c r="G651" s="569">
        <v>2019</v>
      </c>
      <c r="H651" s="569" t="s">
        <v>1685</v>
      </c>
      <c r="I651" s="569" t="s">
        <v>1699</v>
      </c>
      <c r="J651" s="569" t="s">
        <v>236</v>
      </c>
      <c r="K651" s="569">
        <v>2</v>
      </c>
      <c r="L651" s="569">
        <v>0</v>
      </c>
      <c r="M651" s="569" t="s">
        <v>157</v>
      </c>
      <c r="N651" s="569">
        <v>1</v>
      </c>
      <c r="O651" s="569" t="s">
        <v>157</v>
      </c>
      <c r="P651" s="568">
        <v>8500</v>
      </c>
      <c r="Q651" s="569" t="s">
        <v>1687</v>
      </c>
      <c r="R651" s="569">
        <v>10</v>
      </c>
      <c r="S651" s="569" t="s">
        <v>1688</v>
      </c>
      <c r="T651" s="569" t="s">
        <v>1689</v>
      </c>
      <c r="U651" s="569">
        <v>176</v>
      </c>
      <c r="V651" s="569">
        <v>40</v>
      </c>
      <c r="W651" s="620">
        <v>12500</v>
      </c>
      <c r="X651" s="621" t="s">
        <v>157</v>
      </c>
      <c r="Y651" s="621" t="s">
        <v>178</v>
      </c>
      <c r="Z651" s="621" t="s">
        <v>178</v>
      </c>
      <c r="AA651" s="622">
        <v>33230</v>
      </c>
      <c r="AB651" s="622" t="s">
        <v>164</v>
      </c>
      <c r="AC651" s="622">
        <v>25660.979166666668</v>
      </c>
      <c r="AD651" s="623">
        <v>0.03</v>
      </c>
      <c r="AE651" s="621" t="s">
        <v>1722</v>
      </c>
    </row>
    <row r="652" spans="1:31" s="572" customFormat="1">
      <c r="A652" s="570" t="s">
        <v>1721</v>
      </c>
      <c r="B652" s="573" t="s">
        <v>269</v>
      </c>
      <c r="C652" s="578" t="s">
        <v>270</v>
      </c>
      <c r="D652" s="573" t="s">
        <v>1516</v>
      </c>
      <c r="E652" s="573" t="s">
        <v>1684</v>
      </c>
      <c r="F652" s="573" t="s">
        <v>271</v>
      </c>
      <c r="G652" s="573">
        <v>2019</v>
      </c>
      <c r="H652" s="573" t="s">
        <v>1685</v>
      </c>
      <c r="I652" s="573" t="s">
        <v>1699</v>
      </c>
      <c r="J652" s="573" t="s">
        <v>236</v>
      </c>
      <c r="K652" s="573">
        <v>2</v>
      </c>
      <c r="L652" s="573">
        <v>0</v>
      </c>
      <c r="M652" s="573" t="s">
        <v>157</v>
      </c>
      <c r="N652" s="573">
        <v>1</v>
      </c>
      <c r="O652" s="573" t="s">
        <v>157</v>
      </c>
      <c r="P652" s="571">
        <v>8500</v>
      </c>
      <c r="Q652" s="573" t="s">
        <v>1687</v>
      </c>
      <c r="R652" s="573">
        <v>10</v>
      </c>
      <c r="S652" s="582" t="s">
        <v>1688</v>
      </c>
      <c r="T652" s="573" t="s">
        <v>1689</v>
      </c>
      <c r="U652" s="573">
        <v>176</v>
      </c>
      <c r="V652" s="573">
        <v>40</v>
      </c>
      <c r="W652" s="616">
        <v>12500</v>
      </c>
      <c r="X652" s="617" t="s">
        <v>157</v>
      </c>
      <c r="Y652" s="617" t="s">
        <v>178</v>
      </c>
      <c r="Z652" s="617" t="s">
        <v>178</v>
      </c>
      <c r="AA652" s="618">
        <v>33580</v>
      </c>
      <c r="AB652" s="618" t="s">
        <v>164</v>
      </c>
      <c r="AC652" s="618">
        <v>25660.979166666668</v>
      </c>
      <c r="AD652" s="619">
        <v>0.03</v>
      </c>
      <c r="AE652" s="617" t="s">
        <v>1722</v>
      </c>
    </row>
    <row r="653" spans="1:31" s="572" customFormat="1">
      <c r="A653" s="570" t="s">
        <v>1723</v>
      </c>
      <c r="B653" s="569" t="s">
        <v>278</v>
      </c>
      <c r="C653" s="580">
        <v>15</v>
      </c>
      <c r="D653" s="569" t="s">
        <v>1516</v>
      </c>
      <c r="E653" s="569" t="s">
        <v>1684</v>
      </c>
      <c r="F653" s="569" t="s">
        <v>271</v>
      </c>
      <c r="G653" s="569">
        <v>2019</v>
      </c>
      <c r="H653" s="569" t="s">
        <v>1685</v>
      </c>
      <c r="I653" s="569" t="s">
        <v>1699</v>
      </c>
      <c r="J653" s="569" t="s">
        <v>236</v>
      </c>
      <c r="K653" s="569">
        <v>2</v>
      </c>
      <c r="L653" s="569">
        <v>0</v>
      </c>
      <c r="M653" s="569" t="s">
        <v>157</v>
      </c>
      <c r="N653" s="569">
        <v>1</v>
      </c>
      <c r="O653" s="569" t="s">
        <v>157</v>
      </c>
      <c r="P653" s="568">
        <v>8500</v>
      </c>
      <c r="Q653" s="569" t="s">
        <v>1700</v>
      </c>
      <c r="R653" s="569">
        <v>8</v>
      </c>
      <c r="S653" s="569" t="s">
        <v>1688</v>
      </c>
      <c r="T653" s="569" t="s">
        <v>1689</v>
      </c>
      <c r="U653" s="569">
        <v>176</v>
      </c>
      <c r="V653" s="569">
        <v>40</v>
      </c>
      <c r="W653" s="620">
        <v>12500</v>
      </c>
      <c r="X653" s="621" t="s">
        <v>157</v>
      </c>
      <c r="Y653" s="621" t="s">
        <v>450</v>
      </c>
      <c r="Z653" s="621" t="s">
        <v>178</v>
      </c>
      <c r="AA653" s="622">
        <v>33230</v>
      </c>
      <c r="AB653" s="622" t="s">
        <v>164</v>
      </c>
      <c r="AC653" s="622">
        <v>25750</v>
      </c>
      <c r="AD653" s="623">
        <v>0.01</v>
      </c>
      <c r="AE653" s="621" t="s">
        <v>1716</v>
      </c>
    </row>
    <row r="654" spans="1:31" s="572" customFormat="1">
      <c r="A654" s="570" t="s">
        <v>1724</v>
      </c>
      <c r="B654" s="573" t="s">
        <v>278</v>
      </c>
      <c r="C654" s="578">
        <v>15</v>
      </c>
      <c r="D654" s="573" t="s">
        <v>1516</v>
      </c>
      <c r="E654" s="573" t="s">
        <v>1684</v>
      </c>
      <c r="F654" s="573" t="s">
        <v>271</v>
      </c>
      <c r="G654" s="573">
        <v>2019</v>
      </c>
      <c r="H654" s="573" t="s">
        <v>1685</v>
      </c>
      <c r="I654" s="573" t="s">
        <v>1699</v>
      </c>
      <c r="J654" s="573" t="s">
        <v>236</v>
      </c>
      <c r="K654" s="573">
        <v>2</v>
      </c>
      <c r="L654" s="573">
        <v>0</v>
      </c>
      <c r="M654" s="573" t="s">
        <v>157</v>
      </c>
      <c r="N654" s="573">
        <v>1</v>
      </c>
      <c r="O654" s="573" t="s">
        <v>157</v>
      </c>
      <c r="P654" s="571">
        <v>8500</v>
      </c>
      <c r="Q654" s="573" t="s">
        <v>1687</v>
      </c>
      <c r="R654" s="573">
        <v>10</v>
      </c>
      <c r="S654" s="582" t="s">
        <v>1688</v>
      </c>
      <c r="T654" s="573" t="s">
        <v>1689</v>
      </c>
      <c r="U654" s="573">
        <v>176</v>
      </c>
      <c r="V654" s="573">
        <v>40</v>
      </c>
      <c r="W654" s="616">
        <v>12500</v>
      </c>
      <c r="X654" s="617" t="s">
        <v>157</v>
      </c>
      <c r="Y654" s="617" t="s">
        <v>178</v>
      </c>
      <c r="Z654" s="617" t="s">
        <v>178</v>
      </c>
      <c r="AA654" s="618">
        <v>33230</v>
      </c>
      <c r="AB654" s="618" t="s">
        <v>164</v>
      </c>
      <c r="AC654" s="618">
        <v>25995</v>
      </c>
      <c r="AD654" s="619">
        <v>0.01</v>
      </c>
      <c r="AE654" s="617" t="s">
        <v>1722</v>
      </c>
    </row>
    <row r="655" spans="1:31" s="572" customFormat="1">
      <c r="A655" s="570" t="s">
        <v>1725</v>
      </c>
      <c r="B655" s="569" t="s">
        <v>287</v>
      </c>
      <c r="C655" s="580">
        <v>26</v>
      </c>
      <c r="D655" s="569" t="s">
        <v>1516</v>
      </c>
      <c r="E655" s="569" t="s">
        <v>1684</v>
      </c>
      <c r="F655" s="569" t="s">
        <v>271</v>
      </c>
      <c r="G655" s="569">
        <v>2019</v>
      </c>
      <c r="H655" s="569" t="s">
        <v>1685</v>
      </c>
      <c r="I655" s="569" t="s">
        <v>1699</v>
      </c>
      <c r="J655" s="569" t="s">
        <v>236</v>
      </c>
      <c r="K655" s="569">
        <v>2</v>
      </c>
      <c r="L655" s="569">
        <v>0</v>
      </c>
      <c r="M655" s="569" t="s">
        <v>157</v>
      </c>
      <c r="N655" s="569">
        <v>1</v>
      </c>
      <c r="O655" s="569" t="s">
        <v>157</v>
      </c>
      <c r="P655" s="568" t="s">
        <v>157</v>
      </c>
      <c r="Q655" s="569" t="s">
        <v>1687</v>
      </c>
      <c r="R655" s="569">
        <v>10</v>
      </c>
      <c r="S655" s="569" t="s">
        <v>1688</v>
      </c>
      <c r="T655" s="569" t="s">
        <v>1689</v>
      </c>
      <c r="U655" s="569">
        <v>138</v>
      </c>
      <c r="V655" s="569">
        <v>40</v>
      </c>
      <c r="W655" s="620">
        <v>11500</v>
      </c>
      <c r="X655" s="621" t="s">
        <v>157</v>
      </c>
      <c r="Y655" s="621" t="s">
        <v>178</v>
      </c>
      <c r="Z655" s="621" t="s">
        <v>178</v>
      </c>
      <c r="AA655" s="622">
        <v>32830</v>
      </c>
      <c r="AB655" s="622" t="s">
        <v>164</v>
      </c>
      <c r="AC655" s="622">
        <v>25581</v>
      </c>
      <c r="AD655" s="623">
        <v>0.05</v>
      </c>
      <c r="AE655" s="621" t="s">
        <v>1706</v>
      </c>
    </row>
    <row r="656" spans="1:31" s="572" customFormat="1">
      <c r="A656" s="570" t="s">
        <v>1726</v>
      </c>
      <c r="B656" s="573" t="s">
        <v>287</v>
      </c>
      <c r="C656" s="578">
        <v>26</v>
      </c>
      <c r="D656" s="573" t="s">
        <v>1516</v>
      </c>
      <c r="E656" s="573" t="s">
        <v>1684</v>
      </c>
      <c r="F656" s="573" t="s">
        <v>271</v>
      </c>
      <c r="G656" s="573">
        <v>2019</v>
      </c>
      <c r="H656" s="573" t="s">
        <v>1685</v>
      </c>
      <c r="I656" s="573" t="s">
        <v>1699</v>
      </c>
      <c r="J656" s="573" t="s">
        <v>236</v>
      </c>
      <c r="K656" s="573">
        <v>2</v>
      </c>
      <c r="L656" s="573">
        <v>0</v>
      </c>
      <c r="M656" s="573" t="s">
        <v>157</v>
      </c>
      <c r="N656" s="573">
        <v>1</v>
      </c>
      <c r="O656" s="573" t="s">
        <v>157</v>
      </c>
      <c r="P656" s="571" t="s">
        <v>157</v>
      </c>
      <c r="Q656" s="573" t="s">
        <v>1687</v>
      </c>
      <c r="R656" s="573">
        <v>10</v>
      </c>
      <c r="S656" s="582" t="s">
        <v>1688</v>
      </c>
      <c r="T656" s="573" t="s">
        <v>1689</v>
      </c>
      <c r="U656" s="573">
        <v>158</v>
      </c>
      <c r="V656" s="573">
        <v>40</v>
      </c>
      <c r="W656" s="616">
        <v>11500</v>
      </c>
      <c r="X656" s="617" t="s">
        <v>157</v>
      </c>
      <c r="Y656" s="617" t="s">
        <v>178</v>
      </c>
      <c r="Z656" s="617" t="s">
        <v>178</v>
      </c>
      <c r="AA656" s="618">
        <v>33080</v>
      </c>
      <c r="AB656" s="618" t="s">
        <v>164</v>
      </c>
      <c r="AC656" s="618">
        <v>25815</v>
      </c>
      <c r="AD656" s="619">
        <v>0.05</v>
      </c>
      <c r="AE656" s="617" t="s">
        <v>1708</v>
      </c>
    </row>
    <row r="657" spans="1:31" s="572" customFormat="1">
      <c r="A657" s="570" t="s">
        <v>1727</v>
      </c>
      <c r="B657" s="569" t="s">
        <v>287</v>
      </c>
      <c r="C657" s="580">
        <v>26</v>
      </c>
      <c r="D657" s="569" t="s">
        <v>1516</v>
      </c>
      <c r="E657" s="569" t="s">
        <v>1684</v>
      </c>
      <c r="F657" s="569" t="s">
        <v>271</v>
      </c>
      <c r="G657" s="569">
        <v>2019</v>
      </c>
      <c r="H657" s="569" t="s">
        <v>1685</v>
      </c>
      <c r="I657" s="569" t="s">
        <v>1699</v>
      </c>
      <c r="J657" s="569" t="s">
        <v>236</v>
      </c>
      <c r="K657" s="569">
        <v>2</v>
      </c>
      <c r="L657" s="569">
        <v>0</v>
      </c>
      <c r="M657" s="569" t="s">
        <v>157</v>
      </c>
      <c r="N657" s="569">
        <v>1</v>
      </c>
      <c r="O657" s="569" t="s">
        <v>157</v>
      </c>
      <c r="P657" s="568" t="s">
        <v>157</v>
      </c>
      <c r="Q657" s="569" t="s">
        <v>1687</v>
      </c>
      <c r="R657" s="569">
        <v>10</v>
      </c>
      <c r="S657" s="569" t="s">
        <v>1688</v>
      </c>
      <c r="T657" s="569" t="s">
        <v>1689</v>
      </c>
      <c r="U657" s="569">
        <v>176</v>
      </c>
      <c r="V657" s="569">
        <v>40</v>
      </c>
      <c r="W657" s="620">
        <v>12500</v>
      </c>
      <c r="X657" s="621" t="s">
        <v>157</v>
      </c>
      <c r="Y657" s="621" t="s">
        <v>178</v>
      </c>
      <c r="Z657" s="621" t="s">
        <v>178</v>
      </c>
      <c r="AA657" s="622">
        <v>33580</v>
      </c>
      <c r="AB657" s="622" t="s">
        <v>164</v>
      </c>
      <c r="AC657" s="622">
        <v>26281</v>
      </c>
      <c r="AD657" s="623">
        <v>0.05</v>
      </c>
      <c r="AE657" s="621" t="s">
        <v>1710</v>
      </c>
    </row>
    <row r="658" spans="1:31" s="572" customFormat="1">
      <c r="A658" s="570" t="s">
        <v>1728</v>
      </c>
      <c r="B658" s="573" t="s">
        <v>280</v>
      </c>
      <c r="C658" s="578">
        <v>27</v>
      </c>
      <c r="D658" s="573" t="s">
        <v>1516</v>
      </c>
      <c r="E658" s="573" t="s">
        <v>1684</v>
      </c>
      <c r="F658" s="573" t="s">
        <v>271</v>
      </c>
      <c r="G658" s="573">
        <v>2019</v>
      </c>
      <c r="H658" s="573" t="s">
        <v>1685</v>
      </c>
      <c r="I658" s="573" t="s">
        <v>1699</v>
      </c>
      <c r="J658" s="573" t="s">
        <v>236</v>
      </c>
      <c r="K658" s="573">
        <v>2</v>
      </c>
      <c r="L658" s="573">
        <v>0</v>
      </c>
      <c r="M658" s="573" t="s">
        <v>157</v>
      </c>
      <c r="N658" s="573">
        <v>1</v>
      </c>
      <c r="O658" s="573" t="s">
        <v>157</v>
      </c>
      <c r="P658" s="571" t="s">
        <v>157</v>
      </c>
      <c r="Q658" s="573" t="s">
        <v>1700</v>
      </c>
      <c r="R658" s="573">
        <v>8</v>
      </c>
      <c r="S658" s="582" t="s">
        <v>1688</v>
      </c>
      <c r="T658" s="573" t="s">
        <v>1689</v>
      </c>
      <c r="U658" s="573">
        <v>138</v>
      </c>
      <c r="V658" s="573">
        <v>40</v>
      </c>
      <c r="W658" s="616">
        <v>11500</v>
      </c>
      <c r="X658" s="617" t="s">
        <v>157</v>
      </c>
      <c r="Y658" s="617" t="s">
        <v>450</v>
      </c>
      <c r="Z658" s="617" t="s">
        <v>178</v>
      </c>
      <c r="AA658" s="618">
        <v>32480</v>
      </c>
      <c r="AB658" s="618" t="s">
        <v>164</v>
      </c>
      <c r="AC658" s="618">
        <v>24666.187500000004</v>
      </c>
      <c r="AD658" s="619">
        <v>0.03</v>
      </c>
      <c r="AE658" s="617" t="s">
        <v>1698</v>
      </c>
    </row>
    <row r="659" spans="1:31" s="572" customFormat="1">
      <c r="A659" s="570" t="s">
        <v>1729</v>
      </c>
      <c r="B659" s="569" t="s">
        <v>280</v>
      </c>
      <c r="C659" s="580">
        <v>27</v>
      </c>
      <c r="D659" s="569" t="s">
        <v>1516</v>
      </c>
      <c r="E659" s="569" t="s">
        <v>1684</v>
      </c>
      <c r="F659" s="569" t="s">
        <v>271</v>
      </c>
      <c r="G659" s="569">
        <v>2019</v>
      </c>
      <c r="H659" s="569" t="s">
        <v>1685</v>
      </c>
      <c r="I659" s="569" t="s">
        <v>1699</v>
      </c>
      <c r="J659" s="569" t="s">
        <v>236</v>
      </c>
      <c r="K659" s="569">
        <v>2</v>
      </c>
      <c r="L659" s="569">
        <v>0</v>
      </c>
      <c r="M659" s="569" t="s">
        <v>157</v>
      </c>
      <c r="N659" s="569">
        <v>1</v>
      </c>
      <c r="O659" s="569" t="s">
        <v>157</v>
      </c>
      <c r="P659" s="568" t="s">
        <v>157</v>
      </c>
      <c r="Q659" s="569" t="s">
        <v>1700</v>
      </c>
      <c r="R659" s="569">
        <v>8</v>
      </c>
      <c r="S659" s="569" t="s">
        <v>1688</v>
      </c>
      <c r="T659" s="569" t="s">
        <v>1689</v>
      </c>
      <c r="U659" s="569">
        <v>158</v>
      </c>
      <c r="V659" s="569">
        <v>40</v>
      </c>
      <c r="W659" s="620">
        <v>11500</v>
      </c>
      <c r="X659" s="621" t="s">
        <v>157</v>
      </c>
      <c r="Y659" s="621" t="s">
        <v>450</v>
      </c>
      <c r="Z659" s="621" t="s">
        <v>178</v>
      </c>
      <c r="AA659" s="622">
        <v>32730</v>
      </c>
      <c r="AB659" s="622" t="s">
        <v>164</v>
      </c>
      <c r="AC659" s="622">
        <v>24894.312500000004</v>
      </c>
      <c r="AD659" s="623">
        <v>0.03</v>
      </c>
      <c r="AE659" s="621" t="s">
        <v>1702</v>
      </c>
    </row>
    <row r="660" spans="1:31" s="572" customFormat="1">
      <c r="A660" s="570" t="s">
        <v>1730</v>
      </c>
      <c r="B660" s="573" t="s">
        <v>280</v>
      </c>
      <c r="C660" s="578">
        <v>27</v>
      </c>
      <c r="D660" s="573" t="s">
        <v>1516</v>
      </c>
      <c r="E660" s="573" t="s">
        <v>1684</v>
      </c>
      <c r="F660" s="573" t="s">
        <v>271</v>
      </c>
      <c r="G660" s="573">
        <v>2019</v>
      </c>
      <c r="H660" s="573" t="s">
        <v>1685</v>
      </c>
      <c r="I660" s="573" t="s">
        <v>1699</v>
      </c>
      <c r="J660" s="573" t="s">
        <v>236</v>
      </c>
      <c r="K660" s="573">
        <v>2</v>
      </c>
      <c r="L660" s="573">
        <v>0</v>
      </c>
      <c r="M660" s="573" t="s">
        <v>157</v>
      </c>
      <c r="N660" s="573">
        <v>1</v>
      </c>
      <c r="O660" s="573" t="s">
        <v>157</v>
      </c>
      <c r="P660" s="571" t="s">
        <v>157</v>
      </c>
      <c r="Q660" s="573" t="s">
        <v>1700</v>
      </c>
      <c r="R660" s="573">
        <v>8</v>
      </c>
      <c r="S660" s="582" t="s">
        <v>1688</v>
      </c>
      <c r="T660" s="573" t="s">
        <v>1689</v>
      </c>
      <c r="U660" s="573">
        <v>176</v>
      </c>
      <c r="V660" s="573">
        <v>40</v>
      </c>
      <c r="W660" s="616">
        <v>12500</v>
      </c>
      <c r="X660" s="617" t="s">
        <v>157</v>
      </c>
      <c r="Y660" s="617" t="s">
        <v>450</v>
      </c>
      <c r="Z660" s="617" t="s">
        <v>178</v>
      </c>
      <c r="AA660" s="618">
        <v>33230</v>
      </c>
      <c r="AB660" s="618" t="s">
        <v>164</v>
      </c>
      <c r="AC660" s="618">
        <v>25350.562500000004</v>
      </c>
      <c r="AD660" s="619">
        <v>0.03</v>
      </c>
      <c r="AE660" s="617" t="s">
        <v>1704</v>
      </c>
    </row>
    <row r="661" spans="1:31" s="572" customFormat="1">
      <c r="A661" s="570" t="s">
        <v>1731</v>
      </c>
      <c r="B661" s="569" t="s">
        <v>280</v>
      </c>
      <c r="C661" s="580">
        <v>27</v>
      </c>
      <c r="D661" s="569" t="s">
        <v>1516</v>
      </c>
      <c r="E661" s="569" t="s">
        <v>1684</v>
      </c>
      <c r="F661" s="569" t="s">
        <v>271</v>
      </c>
      <c r="G661" s="569">
        <v>2019</v>
      </c>
      <c r="H661" s="569" t="s">
        <v>1685</v>
      </c>
      <c r="I661" s="569" t="s">
        <v>1699</v>
      </c>
      <c r="J661" s="569" t="s">
        <v>236</v>
      </c>
      <c r="K661" s="569">
        <v>2</v>
      </c>
      <c r="L661" s="569">
        <v>0</v>
      </c>
      <c r="M661" s="569" t="s">
        <v>157</v>
      </c>
      <c r="N661" s="569">
        <v>1</v>
      </c>
      <c r="O661" s="569" t="s">
        <v>157</v>
      </c>
      <c r="P661" s="568" t="s">
        <v>157</v>
      </c>
      <c r="Q661" s="569" t="s">
        <v>1687</v>
      </c>
      <c r="R661" s="569">
        <v>10</v>
      </c>
      <c r="S661" s="569" t="s">
        <v>1688</v>
      </c>
      <c r="T661" s="569" t="s">
        <v>1689</v>
      </c>
      <c r="U661" s="569">
        <v>138</v>
      </c>
      <c r="V661" s="569">
        <v>40</v>
      </c>
      <c r="W661" s="620">
        <v>11500</v>
      </c>
      <c r="X661" s="621" t="s">
        <v>157</v>
      </c>
      <c r="Y661" s="621" t="s">
        <v>178</v>
      </c>
      <c r="Z661" s="621" t="s">
        <v>178</v>
      </c>
      <c r="AA661" s="622">
        <v>32480</v>
      </c>
      <c r="AB661" s="622" t="s">
        <v>164</v>
      </c>
      <c r="AC661" s="622">
        <v>24976.604166666668</v>
      </c>
      <c r="AD661" s="623">
        <v>0.03</v>
      </c>
      <c r="AE661" s="621" t="s">
        <v>1706</v>
      </c>
    </row>
    <row r="662" spans="1:31" s="572" customFormat="1">
      <c r="A662" s="570" t="s">
        <v>1732</v>
      </c>
      <c r="B662" s="573" t="s">
        <v>280</v>
      </c>
      <c r="C662" s="578">
        <v>27</v>
      </c>
      <c r="D662" s="573" t="s">
        <v>1516</v>
      </c>
      <c r="E662" s="573" t="s">
        <v>1684</v>
      </c>
      <c r="F662" s="573" t="s">
        <v>271</v>
      </c>
      <c r="G662" s="573">
        <v>2019</v>
      </c>
      <c r="H662" s="573" t="s">
        <v>1685</v>
      </c>
      <c r="I662" s="573" t="s">
        <v>1699</v>
      </c>
      <c r="J662" s="573" t="s">
        <v>236</v>
      </c>
      <c r="K662" s="573">
        <v>2</v>
      </c>
      <c r="L662" s="573">
        <v>0</v>
      </c>
      <c r="M662" s="573" t="s">
        <v>157</v>
      </c>
      <c r="N662" s="573">
        <v>1</v>
      </c>
      <c r="O662" s="573" t="s">
        <v>157</v>
      </c>
      <c r="P662" s="571" t="s">
        <v>157</v>
      </c>
      <c r="Q662" s="573" t="s">
        <v>1687</v>
      </c>
      <c r="R662" s="573">
        <v>10</v>
      </c>
      <c r="S662" s="582" t="s">
        <v>1688</v>
      </c>
      <c r="T662" s="573" t="s">
        <v>1689</v>
      </c>
      <c r="U662" s="573">
        <v>158</v>
      </c>
      <c r="V662" s="573">
        <v>40</v>
      </c>
      <c r="W662" s="616">
        <v>11500</v>
      </c>
      <c r="X662" s="617" t="s">
        <v>157</v>
      </c>
      <c r="Y662" s="617" t="s">
        <v>178</v>
      </c>
      <c r="Z662" s="617" t="s">
        <v>178</v>
      </c>
      <c r="AA662" s="618">
        <v>32730</v>
      </c>
      <c r="AB662" s="618" t="s">
        <v>164</v>
      </c>
      <c r="AC662" s="618">
        <v>25204.729166666668</v>
      </c>
      <c r="AD662" s="619">
        <v>0.03</v>
      </c>
      <c r="AE662" s="617" t="s">
        <v>1708</v>
      </c>
    </row>
    <row r="663" spans="1:31" s="572" customFormat="1">
      <c r="A663" s="570" t="s">
        <v>1733</v>
      </c>
      <c r="B663" s="569" t="s">
        <v>280</v>
      </c>
      <c r="C663" s="580">
        <v>27</v>
      </c>
      <c r="D663" s="569" t="s">
        <v>1516</v>
      </c>
      <c r="E663" s="569" t="s">
        <v>1684</v>
      </c>
      <c r="F663" s="569" t="s">
        <v>271</v>
      </c>
      <c r="G663" s="569">
        <v>2019</v>
      </c>
      <c r="H663" s="569" t="s">
        <v>1685</v>
      </c>
      <c r="I663" s="569" t="s">
        <v>1699</v>
      </c>
      <c r="J663" s="569" t="s">
        <v>236</v>
      </c>
      <c r="K663" s="569">
        <v>2</v>
      </c>
      <c r="L663" s="569">
        <v>0</v>
      </c>
      <c r="M663" s="569" t="s">
        <v>157</v>
      </c>
      <c r="N663" s="569">
        <v>1</v>
      </c>
      <c r="O663" s="569" t="s">
        <v>157</v>
      </c>
      <c r="P663" s="568" t="s">
        <v>157</v>
      </c>
      <c r="Q663" s="569" t="s">
        <v>1687</v>
      </c>
      <c r="R663" s="569">
        <v>10</v>
      </c>
      <c r="S663" s="569" t="s">
        <v>1688</v>
      </c>
      <c r="T663" s="569" t="s">
        <v>1689</v>
      </c>
      <c r="U663" s="569">
        <v>176</v>
      </c>
      <c r="V663" s="569">
        <v>40</v>
      </c>
      <c r="W663" s="620">
        <v>12500</v>
      </c>
      <c r="X663" s="621" t="s">
        <v>157</v>
      </c>
      <c r="Y663" s="621" t="s">
        <v>178</v>
      </c>
      <c r="Z663" s="621" t="s">
        <v>178</v>
      </c>
      <c r="AA663" s="622">
        <v>33230</v>
      </c>
      <c r="AB663" s="622" t="s">
        <v>164</v>
      </c>
      <c r="AC663" s="622">
        <v>25660.979166666668</v>
      </c>
      <c r="AD663" s="623">
        <v>0.03</v>
      </c>
      <c r="AE663" s="621" t="s">
        <v>1710</v>
      </c>
    </row>
    <row r="664" spans="1:31" s="572" customFormat="1">
      <c r="A664" s="570" t="s">
        <v>1734</v>
      </c>
      <c r="B664" s="573" t="s">
        <v>280</v>
      </c>
      <c r="C664" s="578">
        <v>27</v>
      </c>
      <c r="D664" s="573" t="s">
        <v>1516</v>
      </c>
      <c r="E664" s="573" t="s">
        <v>1684</v>
      </c>
      <c r="F664" s="573" t="s">
        <v>271</v>
      </c>
      <c r="G664" s="573">
        <v>2019</v>
      </c>
      <c r="H664" s="573" t="s">
        <v>1685</v>
      </c>
      <c r="I664" s="573" t="s">
        <v>1699</v>
      </c>
      <c r="J664" s="573" t="s">
        <v>236</v>
      </c>
      <c r="K664" s="573">
        <v>2</v>
      </c>
      <c r="L664" s="573">
        <v>0</v>
      </c>
      <c r="M664" s="573" t="s">
        <v>157</v>
      </c>
      <c r="N664" s="573">
        <v>1</v>
      </c>
      <c r="O664" s="573" t="s">
        <v>157</v>
      </c>
      <c r="P664" s="571">
        <v>8500</v>
      </c>
      <c r="Q664" s="573" t="s">
        <v>1700</v>
      </c>
      <c r="R664" s="573">
        <v>8</v>
      </c>
      <c r="S664" s="582" t="s">
        <v>1688</v>
      </c>
      <c r="T664" s="573" t="s">
        <v>1689</v>
      </c>
      <c r="U664" s="573">
        <v>138</v>
      </c>
      <c r="V664" s="573">
        <v>40</v>
      </c>
      <c r="W664" s="616">
        <v>11500</v>
      </c>
      <c r="X664" s="617" t="s">
        <v>157</v>
      </c>
      <c r="Y664" s="617" t="s">
        <v>450</v>
      </c>
      <c r="Z664" s="617" t="s">
        <v>178</v>
      </c>
      <c r="AA664" s="618">
        <v>32480</v>
      </c>
      <c r="AB664" s="618" t="s">
        <v>164</v>
      </c>
      <c r="AC664" s="618">
        <v>24666.187500000004</v>
      </c>
      <c r="AD664" s="619">
        <v>0.03</v>
      </c>
      <c r="AE664" s="617" t="s">
        <v>1712</v>
      </c>
    </row>
    <row r="665" spans="1:31" s="572" customFormat="1">
      <c r="A665" s="570" t="s">
        <v>1735</v>
      </c>
      <c r="B665" s="569" t="s">
        <v>280</v>
      </c>
      <c r="C665" s="580">
        <v>27</v>
      </c>
      <c r="D665" s="569" t="s">
        <v>1516</v>
      </c>
      <c r="E665" s="569" t="s">
        <v>1684</v>
      </c>
      <c r="F665" s="569" t="s">
        <v>271</v>
      </c>
      <c r="G665" s="569">
        <v>2019</v>
      </c>
      <c r="H665" s="569" t="s">
        <v>1685</v>
      </c>
      <c r="I665" s="569" t="s">
        <v>1699</v>
      </c>
      <c r="J665" s="569" t="s">
        <v>236</v>
      </c>
      <c r="K665" s="569">
        <v>2</v>
      </c>
      <c r="L665" s="569">
        <v>0</v>
      </c>
      <c r="M665" s="569" t="s">
        <v>157</v>
      </c>
      <c r="N665" s="569">
        <v>1</v>
      </c>
      <c r="O665" s="569" t="s">
        <v>157</v>
      </c>
      <c r="P665" s="568">
        <v>8500</v>
      </c>
      <c r="Q665" s="569" t="s">
        <v>1700</v>
      </c>
      <c r="R665" s="569">
        <v>8</v>
      </c>
      <c r="S665" s="569" t="s">
        <v>1688</v>
      </c>
      <c r="T665" s="569" t="s">
        <v>1689</v>
      </c>
      <c r="U665" s="569">
        <v>158</v>
      </c>
      <c r="V665" s="569">
        <v>40</v>
      </c>
      <c r="W665" s="620">
        <v>11500</v>
      </c>
      <c r="X665" s="621" t="s">
        <v>157</v>
      </c>
      <c r="Y665" s="621" t="s">
        <v>450</v>
      </c>
      <c r="Z665" s="621" t="s">
        <v>178</v>
      </c>
      <c r="AA665" s="622">
        <v>32730</v>
      </c>
      <c r="AB665" s="622" t="s">
        <v>164</v>
      </c>
      <c r="AC665" s="622">
        <v>24894.312500000004</v>
      </c>
      <c r="AD665" s="623">
        <v>0.03</v>
      </c>
      <c r="AE665" s="621" t="s">
        <v>1714</v>
      </c>
    </row>
    <row r="666" spans="1:31" s="572" customFormat="1">
      <c r="A666" s="570" t="s">
        <v>1736</v>
      </c>
      <c r="B666" s="573" t="s">
        <v>280</v>
      </c>
      <c r="C666" s="578">
        <v>27</v>
      </c>
      <c r="D666" s="573" t="s">
        <v>1516</v>
      </c>
      <c r="E666" s="573" t="s">
        <v>1684</v>
      </c>
      <c r="F666" s="573" t="s">
        <v>271</v>
      </c>
      <c r="G666" s="573">
        <v>2019</v>
      </c>
      <c r="H666" s="573" t="s">
        <v>1685</v>
      </c>
      <c r="I666" s="573" t="s">
        <v>1699</v>
      </c>
      <c r="J666" s="573" t="s">
        <v>236</v>
      </c>
      <c r="K666" s="573">
        <v>2</v>
      </c>
      <c r="L666" s="573">
        <v>0</v>
      </c>
      <c r="M666" s="573" t="s">
        <v>157</v>
      </c>
      <c r="N666" s="573">
        <v>1</v>
      </c>
      <c r="O666" s="573" t="s">
        <v>157</v>
      </c>
      <c r="P666" s="571">
        <v>8500</v>
      </c>
      <c r="Q666" s="573" t="s">
        <v>1700</v>
      </c>
      <c r="R666" s="573">
        <v>8</v>
      </c>
      <c r="S666" s="582" t="s">
        <v>1688</v>
      </c>
      <c r="T666" s="573" t="s">
        <v>1689</v>
      </c>
      <c r="U666" s="573">
        <v>176</v>
      </c>
      <c r="V666" s="573">
        <v>40</v>
      </c>
      <c r="W666" s="616">
        <v>12500</v>
      </c>
      <c r="X666" s="617" t="s">
        <v>157</v>
      </c>
      <c r="Y666" s="617" t="s">
        <v>450</v>
      </c>
      <c r="Z666" s="617" t="s">
        <v>178</v>
      </c>
      <c r="AA666" s="618">
        <v>33230</v>
      </c>
      <c r="AB666" s="618" t="s">
        <v>164</v>
      </c>
      <c r="AC666" s="618">
        <v>25350.562500000004</v>
      </c>
      <c r="AD666" s="619">
        <v>0.03</v>
      </c>
      <c r="AE666" s="617" t="s">
        <v>1716</v>
      </c>
    </row>
    <row r="667" spans="1:31" s="572" customFormat="1">
      <c r="A667" s="570" t="s">
        <v>1737</v>
      </c>
      <c r="B667" s="569" t="s">
        <v>280</v>
      </c>
      <c r="C667" s="580">
        <v>27</v>
      </c>
      <c r="D667" s="569" t="s">
        <v>1516</v>
      </c>
      <c r="E667" s="569" t="s">
        <v>1684</v>
      </c>
      <c r="F667" s="569" t="s">
        <v>271</v>
      </c>
      <c r="G667" s="569">
        <v>2019</v>
      </c>
      <c r="H667" s="569" t="s">
        <v>1685</v>
      </c>
      <c r="I667" s="569" t="s">
        <v>1699</v>
      </c>
      <c r="J667" s="569" t="s">
        <v>236</v>
      </c>
      <c r="K667" s="569">
        <v>2</v>
      </c>
      <c r="L667" s="569">
        <v>0</v>
      </c>
      <c r="M667" s="569" t="s">
        <v>157</v>
      </c>
      <c r="N667" s="569">
        <v>1</v>
      </c>
      <c r="O667" s="569" t="s">
        <v>157</v>
      </c>
      <c r="P667" s="568">
        <v>8500</v>
      </c>
      <c r="Q667" s="569" t="s">
        <v>1687</v>
      </c>
      <c r="R667" s="569">
        <v>10</v>
      </c>
      <c r="S667" s="569" t="s">
        <v>1688</v>
      </c>
      <c r="T667" s="569" t="s">
        <v>1689</v>
      </c>
      <c r="U667" s="569">
        <v>138</v>
      </c>
      <c r="V667" s="569">
        <v>40</v>
      </c>
      <c r="W667" s="620">
        <v>11500</v>
      </c>
      <c r="X667" s="621" t="s">
        <v>157</v>
      </c>
      <c r="Y667" s="621" t="s">
        <v>178</v>
      </c>
      <c r="Z667" s="621" t="s">
        <v>178</v>
      </c>
      <c r="AA667" s="622">
        <v>32480</v>
      </c>
      <c r="AB667" s="622" t="s">
        <v>164</v>
      </c>
      <c r="AC667" s="622">
        <v>24976.604166666668</v>
      </c>
      <c r="AD667" s="623">
        <v>0.03</v>
      </c>
      <c r="AE667" s="621" t="s">
        <v>1718</v>
      </c>
    </row>
    <row r="668" spans="1:31" s="572" customFormat="1">
      <c r="A668" s="570" t="s">
        <v>1737</v>
      </c>
      <c r="B668" s="573" t="s">
        <v>280</v>
      </c>
      <c r="C668" s="578">
        <v>27</v>
      </c>
      <c r="D668" s="573" t="s">
        <v>1516</v>
      </c>
      <c r="E668" s="573" t="s">
        <v>1684</v>
      </c>
      <c r="F668" s="573" t="s">
        <v>271</v>
      </c>
      <c r="G668" s="573">
        <v>2019</v>
      </c>
      <c r="H668" s="573" t="s">
        <v>1685</v>
      </c>
      <c r="I668" s="573" t="s">
        <v>1699</v>
      </c>
      <c r="J668" s="573" t="s">
        <v>236</v>
      </c>
      <c r="K668" s="573">
        <v>2</v>
      </c>
      <c r="L668" s="573">
        <v>0</v>
      </c>
      <c r="M668" s="573" t="s">
        <v>157</v>
      </c>
      <c r="N668" s="573">
        <v>1</v>
      </c>
      <c r="O668" s="573" t="s">
        <v>157</v>
      </c>
      <c r="P668" s="571">
        <v>8500</v>
      </c>
      <c r="Q668" s="573" t="s">
        <v>1687</v>
      </c>
      <c r="R668" s="573">
        <v>10</v>
      </c>
      <c r="S668" s="582" t="s">
        <v>1688</v>
      </c>
      <c r="T668" s="573" t="s">
        <v>1689</v>
      </c>
      <c r="U668" s="573">
        <v>138</v>
      </c>
      <c r="V668" s="573">
        <v>40</v>
      </c>
      <c r="W668" s="616">
        <v>11500</v>
      </c>
      <c r="X668" s="617" t="s">
        <v>157</v>
      </c>
      <c r="Y668" s="617" t="s">
        <v>178</v>
      </c>
      <c r="Z668" s="617" t="s">
        <v>178</v>
      </c>
      <c r="AA668" s="618">
        <v>32830</v>
      </c>
      <c r="AB668" s="618" t="s">
        <v>164</v>
      </c>
      <c r="AC668" s="618">
        <v>24976.604166666668</v>
      </c>
      <c r="AD668" s="619">
        <v>0.03</v>
      </c>
      <c r="AE668" s="617" t="s">
        <v>1718</v>
      </c>
    </row>
    <row r="669" spans="1:31" s="572" customFormat="1">
      <c r="A669" s="570" t="s">
        <v>1738</v>
      </c>
      <c r="B669" s="569" t="s">
        <v>280</v>
      </c>
      <c r="C669" s="580">
        <v>27</v>
      </c>
      <c r="D669" s="569" t="s">
        <v>1516</v>
      </c>
      <c r="E669" s="569" t="s">
        <v>1684</v>
      </c>
      <c r="F669" s="569" t="s">
        <v>271</v>
      </c>
      <c r="G669" s="569">
        <v>2019</v>
      </c>
      <c r="H669" s="569" t="s">
        <v>1685</v>
      </c>
      <c r="I669" s="569" t="s">
        <v>1699</v>
      </c>
      <c r="J669" s="569" t="s">
        <v>236</v>
      </c>
      <c r="K669" s="569">
        <v>2</v>
      </c>
      <c r="L669" s="569">
        <v>0</v>
      </c>
      <c r="M669" s="569" t="s">
        <v>157</v>
      </c>
      <c r="N669" s="569">
        <v>1</v>
      </c>
      <c r="O669" s="569" t="s">
        <v>157</v>
      </c>
      <c r="P669" s="568">
        <v>8500</v>
      </c>
      <c r="Q669" s="569" t="s">
        <v>1687</v>
      </c>
      <c r="R669" s="569">
        <v>10</v>
      </c>
      <c r="S669" s="569" t="s">
        <v>1688</v>
      </c>
      <c r="T669" s="569" t="s">
        <v>1689</v>
      </c>
      <c r="U669" s="569">
        <v>158</v>
      </c>
      <c r="V669" s="569">
        <v>40</v>
      </c>
      <c r="W669" s="620">
        <v>11500</v>
      </c>
      <c r="X669" s="621" t="s">
        <v>157</v>
      </c>
      <c r="Y669" s="621" t="s">
        <v>178</v>
      </c>
      <c r="Z669" s="621" t="s">
        <v>178</v>
      </c>
      <c r="AA669" s="622">
        <v>32730</v>
      </c>
      <c r="AB669" s="622" t="s">
        <v>164</v>
      </c>
      <c r="AC669" s="622">
        <v>25204.729166666668</v>
      </c>
      <c r="AD669" s="623">
        <v>0.03</v>
      </c>
      <c r="AE669" s="621" t="s">
        <v>1720</v>
      </c>
    </row>
    <row r="670" spans="1:31" s="572" customFormat="1">
      <c r="A670" s="570" t="s">
        <v>1738</v>
      </c>
      <c r="B670" s="573" t="s">
        <v>280</v>
      </c>
      <c r="C670" s="578">
        <v>27</v>
      </c>
      <c r="D670" s="573" t="s">
        <v>1516</v>
      </c>
      <c r="E670" s="573" t="s">
        <v>1684</v>
      </c>
      <c r="F670" s="573" t="s">
        <v>271</v>
      </c>
      <c r="G670" s="573">
        <v>2019</v>
      </c>
      <c r="H670" s="573" t="s">
        <v>1685</v>
      </c>
      <c r="I670" s="573" t="s">
        <v>1699</v>
      </c>
      <c r="J670" s="573" t="s">
        <v>236</v>
      </c>
      <c r="K670" s="573">
        <v>2</v>
      </c>
      <c r="L670" s="573">
        <v>0</v>
      </c>
      <c r="M670" s="573" t="s">
        <v>157</v>
      </c>
      <c r="N670" s="573">
        <v>1</v>
      </c>
      <c r="O670" s="573" t="s">
        <v>157</v>
      </c>
      <c r="P670" s="571">
        <v>8500</v>
      </c>
      <c r="Q670" s="573" t="s">
        <v>1687</v>
      </c>
      <c r="R670" s="573">
        <v>10</v>
      </c>
      <c r="S670" s="582" t="s">
        <v>1688</v>
      </c>
      <c r="T670" s="573" t="s">
        <v>1689</v>
      </c>
      <c r="U670" s="573">
        <v>158</v>
      </c>
      <c r="V670" s="573">
        <v>40</v>
      </c>
      <c r="W670" s="616">
        <v>11500</v>
      </c>
      <c r="X670" s="617" t="s">
        <v>157</v>
      </c>
      <c r="Y670" s="617" t="s">
        <v>178</v>
      </c>
      <c r="Z670" s="617" t="s">
        <v>178</v>
      </c>
      <c r="AA670" s="618">
        <v>33080</v>
      </c>
      <c r="AB670" s="618" t="s">
        <v>164</v>
      </c>
      <c r="AC670" s="618">
        <v>25204.729166666668</v>
      </c>
      <c r="AD670" s="619">
        <v>0.03</v>
      </c>
      <c r="AE670" s="617" t="s">
        <v>1720</v>
      </c>
    </row>
    <row r="671" spans="1:31" s="572" customFormat="1">
      <c r="A671" s="570" t="s">
        <v>1739</v>
      </c>
      <c r="B671" s="569" t="s">
        <v>280</v>
      </c>
      <c r="C671" s="580">
        <v>27</v>
      </c>
      <c r="D671" s="569" t="s">
        <v>1516</v>
      </c>
      <c r="E671" s="569" t="s">
        <v>1684</v>
      </c>
      <c r="F671" s="569" t="s">
        <v>271</v>
      </c>
      <c r="G671" s="569">
        <v>2019</v>
      </c>
      <c r="H671" s="569" t="s">
        <v>1685</v>
      </c>
      <c r="I671" s="569" t="s">
        <v>1699</v>
      </c>
      <c r="J671" s="569" t="s">
        <v>236</v>
      </c>
      <c r="K671" s="569">
        <v>2</v>
      </c>
      <c r="L671" s="569">
        <v>0</v>
      </c>
      <c r="M671" s="569" t="s">
        <v>157</v>
      </c>
      <c r="N671" s="569">
        <v>1</v>
      </c>
      <c r="O671" s="569" t="s">
        <v>157</v>
      </c>
      <c r="P671" s="568">
        <v>8500</v>
      </c>
      <c r="Q671" s="569" t="s">
        <v>1687</v>
      </c>
      <c r="R671" s="569">
        <v>10</v>
      </c>
      <c r="S671" s="569" t="s">
        <v>1688</v>
      </c>
      <c r="T671" s="569" t="s">
        <v>1689</v>
      </c>
      <c r="U671" s="569">
        <v>176</v>
      </c>
      <c r="V671" s="569">
        <v>40</v>
      </c>
      <c r="W671" s="620">
        <v>12500</v>
      </c>
      <c r="X671" s="621" t="s">
        <v>157</v>
      </c>
      <c r="Y671" s="621" t="s">
        <v>178</v>
      </c>
      <c r="Z671" s="621" t="s">
        <v>178</v>
      </c>
      <c r="AA671" s="622">
        <v>33230</v>
      </c>
      <c r="AB671" s="622" t="s">
        <v>164</v>
      </c>
      <c r="AC671" s="622">
        <v>25660.979166666668</v>
      </c>
      <c r="AD671" s="623">
        <v>0.03</v>
      </c>
      <c r="AE671" s="621" t="s">
        <v>1722</v>
      </c>
    </row>
    <row r="672" spans="1:31" s="572" customFormat="1">
      <c r="A672" s="570" t="s">
        <v>1739</v>
      </c>
      <c r="B672" s="573" t="s">
        <v>280</v>
      </c>
      <c r="C672" s="578">
        <v>27</v>
      </c>
      <c r="D672" s="573" t="s">
        <v>1516</v>
      </c>
      <c r="E672" s="573" t="s">
        <v>1684</v>
      </c>
      <c r="F672" s="573" t="s">
        <v>271</v>
      </c>
      <c r="G672" s="573">
        <v>2019</v>
      </c>
      <c r="H672" s="573" t="s">
        <v>1685</v>
      </c>
      <c r="I672" s="573" t="s">
        <v>1699</v>
      </c>
      <c r="J672" s="573" t="s">
        <v>236</v>
      </c>
      <c r="K672" s="573">
        <v>2</v>
      </c>
      <c r="L672" s="573">
        <v>0</v>
      </c>
      <c r="M672" s="573" t="s">
        <v>157</v>
      </c>
      <c r="N672" s="573">
        <v>1</v>
      </c>
      <c r="O672" s="573" t="s">
        <v>157</v>
      </c>
      <c r="P672" s="571">
        <v>8500</v>
      </c>
      <c r="Q672" s="573" t="s">
        <v>1687</v>
      </c>
      <c r="R672" s="573">
        <v>10</v>
      </c>
      <c r="S672" s="582" t="s">
        <v>1688</v>
      </c>
      <c r="T672" s="573" t="s">
        <v>1689</v>
      </c>
      <c r="U672" s="573">
        <v>176</v>
      </c>
      <c r="V672" s="573">
        <v>40</v>
      </c>
      <c r="W672" s="616">
        <v>12500</v>
      </c>
      <c r="X672" s="617" t="s">
        <v>157</v>
      </c>
      <c r="Y672" s="617" t="s">
        <v>178</v>
      </c>
      <c r="Z672" s="617" t="s">
        <v>178</v>
      </c>
      <c r="AA672" s="618">
        <v>33580</v>
      </c>
      <c r="AB672" s="618" t="s">
        <v>164</v>
      </c>
      <c r="AC672" s="618">
        <v>25660.979166666668</v>
      </c>
      <c r="AD672" s="619">
        <v>0.03</v>
      </c>
      <c r="AE672" s="617" t="s">
        <v>1722</v>
      </c>
    </row>
    <row r="673" spans="1:31" s="572" customFormat="1">
      <c r="A673" s="570" t="s">
        <v>1740</v>
      </c>
      <c r="B673" s="569" t="s">
        <v>269</v>
      </c>
      <c r="C673" s="580" t="s">
        <v>270</v>
      </c>
      <c r="D673" s="569" t="s">
        <v>1516</v>
      </c>
      <c r="E673" s="569" t="s">
        <v>1684</v>
      </c>
      <c r="F673" s="569" t="s">
        <v>271</v>
      </c>
      <c r="G673" s="569">
        <v>2019</v>
      </c>
      <c r="H673" s="569" t="s">
        <v>1685</v>
      </c>
      <c r="I673" s="569" t="s">
        <v>1742</v>
      </c>
      <c r="J673" s="569" t="s">
        <v>236</v>
      </c>
      <c r="K673" s="569">
        <v>1</v>
      </c>
      <c r="L673" s="569">
        <v>0</v>
      </c>
      <c r="M673" s="569" t="s">
        <v>157</v>
      </c>
      <c r="N673" s="569">
        <v>1</v>
      </c>
      <c r="O673" s="569" t="s">
        <v>157</v>
      </c>
      <c r="P673" s="568" t="s">
        <v>157</v>
      </c>
      <c r="Q673" s="569" t="s">
        <v>1687</v>
      </c>
      <c r="R673" s="569">
        <v>10</v>
      </c>
      <c r="S673" s="569" t="s">
        <v>1743</v>
      </c>
      <c r="T673" s="569" t="s">
        <v>1744</v>
      </c>
      <c r="U673" s="569">
        <v>138</v>
      </c>
      <c r="V673" s="569">
        <v>40</v>
      </c>
      <c r="W673" s="620">
        <v>11500</v>
      </c>
      <c r="X673" s="621" t="s">
        <v>157</v>
      </c>
      <c r="Y673" s="621" t="s">
        <v>178</v>
      </c>
      <c r="Z673" s="621" t="s">
        <v>178</v>
      </c>
      <c r="AA673" s="622">
        <v>32480</v>
      </c>
      <c r="AB673" s="622" t="s">
        <v>164</v>
      </c>
      <c r="AC673" s="622">
        <v>23102.645833333336</v>
      </c>
      <c r="AD673" s="623">
        <v>0.03</v>
      </c>
      <c r="AE673" s="621" t="s">
        <v>1741</v>
      </c>
    </row>
    <row r="674" spans="1:31" s="572" customFormat="1">
      <c r="A674" s="570" t="s">
        <v>1745</v>
      </c>
      <c r="B674" s="573" t="s">
        <v>269</v>
      </c>
      <c r="C674" s="578" t="s">
        <v>270</v>
      </c>
      <c r="D674" s="573" t="s">
        <v>1516</v>
      </c>
      <c r="E674" s="573" t="s">
        <v>1684</v>
      </c>
      <c r="F674" s="573" t="s">
        <v>271</v>
      </c>
      <c r="G674" s="573">
        <v>2019</v>
      </c>
      <c r="H674" s="573" t="s">
        <v>1685</v>
      </c>
      <c r="I674" s="573" t="s">
        <v>1742</v>
      </c>
      <c r="J674" s="573" t="s">
        <v>236</v>
      </c>
      <c r="K674" s="573">
        <v>1</v>
      </c>
      <c r="L674" s="573">
        <v>0</v>
      </c>
      <c r="M674" s="573" t="s">
        <v>157</v>
      </c>
      <c r="N674" s="573">
        <v>1</v>
      </c>
      <c r="O674" s="573" t="s">
        <v>157</v>
      </c>
      <c r="P674" s="571" t="s">
        <v>157</v>
      </c>
      <c r="Q674" s="573" t="s">
        <v>1687</v>
      </c>
      <c r="R674" s="573">
        <v>10</v>
      </c>
      <c r="S674" s="582" t="s">
        <v>1743</v>
      </c>
      <c r="T674" s="573" t="s">
        <v>1744</v>
      </c>
      <c r="U674" s="573">
        <v>158</v>
      </c>
      <c r="V674" s="573">
        <v>40</v>
      </c>
      <c r="W674" s="616">
        <v>12500</v>
      </c>
      <c r="X674" s="617" t="s">
        <v>157</v>
      </c>
      <c r="Y674" s="617" t="s">
        <v>178</v>
      </c>
      <c r="Z674" s="617" t="s">
        <v>178</v>
      </c>
      <c r="AA674" s="618">
        <v>32730</v>
      </c>
      <c r="AB674" s="618" t="s">
        <v>164</v>
      </c>
      <c r="AC674" s="618">
        <v>23330.770833333336</v>
      </c>
      <c r="AD674" s="619">
        <v>0.03</v>
      </c>
      <c r="AE674" s="617" t="s">
        <v>1746</v>
      </c>
    </row>
    <row r="675" spans="1:31" s="572" customFormat="1">
      <c r="A675" s="570" t="s">
        <v>1747</v>
      </c>
      <c r="B675" s="569" t="s">
        <v>269</v>
      </c>
      <c r="C675" s="580" t="s">
        <v>270</v>
      </c>
      <c r="D675" s="569" t="s">
        <v>1516</v>
      </c>
      <c r="E675" s="569" t="s">
        <v>1684</v>
      </c>
      <c r="F675" s="569" t="s">
        <v>271</v>
      </c>
      <c r="G675" s="569">
        <v>2019</v>
      </c>
      <c r="H675" s="569" t="s">
        <v>1685</v>
      </c>
      <c r="I675" s="569" t="s">
        <v>1742</v>
      </c>
      <c r="J675" s="569" t="s">
        <v>236</v>
      </c>
      <c r="K675" s="569">
        <v>1</v>
      </c>
      <c r="L675" s="569">
        <v>0</v>
      </c>
      <c r="M675" s="569" t="s">
        <v>157</v>
      </c>
      <c r="N675" s="569">
        <v>1</v>
      </c>
      <c r="O675" s="569" t="s">
        <v>157</v>
      </c>
      <c r="P675" s="568" t="s">
        <v>157</v>
      </c>
      <c r="Q675" s="569" t="s">
        <v>1687</v>
      </c>
      <c r="R675" s="569">
        <v>10</v>
      </c>
      <c r="S675" s="569" t="s">
        <v>1743</v>
      </c>
      <c r="T675" s="569" t="s">
        <v>1744</v>
      </c>
      <c r="U675" s="569">
        <v>176</v>
      </c>
      <c r="V675" s="569">
        <v>40</v>
      </c>
      <c r="W675" s="620">
        <v>12500</v>
      </c>
      <c r="X675" s="621" t="s">
        <v>157</v>
      </c>
      <c r="Y675" s="621" t="s">
        <v>178</v>
      </c>
      <c r="Z675" s="621" t="s">
        <v>178</v>
      </c>
      <c r="AA675" s="622">
        <v>33230</v>
      </c>
      <c r="AB675" s="622" t="s">
        <v>164</v>
      </c>
      <c r="AC675" s="622">
        <v>23787.020833333336</v>
      </c>
      <c r="AD675" s="623">
        <v>0.03</v>
      </c>
      <c r="AE675" s="621" t="s">
        <v>1748</v>
      </c>
    </row>
    <row r="676" spans="1:31" s="572" customFormat="1">
      <c r="A676" s="570" t="s">
        <v>1749</v>
      </c>
      <c r="B676" s="573" t="s">
        <v>287</v>
      </c>
      <c r="C676" s="578">
        <v>26</v>
      </c>
      <c r="D676" s="573" t="s">
        <v>1516</v>
      </c>
      <c r="E676" s="573" t="s">
        <v>1684</v>
      </c>
      <c r="F676" s="573" t="s">
        <v>271</v>
      </c>
      <c r="G676" s="573">
        <v>2019</v>
      </c>
      <c r="H676" s="573" t="s">
        <v>1685</v>
      </c>
      <c r="I676" s="573" t="s">
        <v>1742</v>
      </c>
      <c r="J676" s="573" t="s">
        <v>236</v>
      </c>
      <c r="K676" s="573">
        <v>1</v>
      </c>
      <c r="L676" s="573">
        <v>0</v>
      </c>
      <c r="M676" s="573" t="s">
        <v>157</v>
      </c>
      <c r="N676" s="573">
        <v>1</v>
      </c>
      <c r="O676" s="573" t="s">
        <v>157</v>
      </c>
      <c r="P676" s="571" t="s">
        <v>157</v>
      </c>
      <c r="Q676" s="573" t="s">
        <v>1687</v>
      </c>
      <c r="R676" s="573">
        <v>10</v>
      </c>
      <c r="S676" s="582" t="s">
        <v>1743</v>
      </c>
      <c r="T676" s="573" t="s">
        <v>1744</v>
      </c>
      <c r="U676" s="573">
        <v>138</v>
      </c>
      <c r="V676" s="573">
        <v>55</v>
      </c>
      <c r="W676" s="616">
        <v>14500</v>
      </c>
      <c r="X676" s="617" t="s">
        <v>157</v>
      </c>
      <c r="Y676" s="617" t="s">
        <v>178</v>
      </c>
      <c r="Z676" s="617" t="s">
        <v>178</v>
      </c>
      <c r="AA676" s="618">
        <v>29640</v>
      </c>
      <c r="AB676" s="618" t="s">
        <v>164</v>
      </c>
      <c r="AC676" s="618">
        <v>23667</v>
      </c>
      <c r="AD676" s="619">
        <v>0.05</v>
      </c>
      <c r="AE676" s="617" t="s">
        <v>1741</v>
      </c>
    </row>
    <row r="677" spans="1:31" s="572" customFormat="1">
      <c r="A677" s="570" t="s">
        <v>1750</v>
      </c>
      <c r="B677" s="569" t="s">
        <v>287</v>
      </c>
      <c r="C677" s="580">
        <v>26</v>
      </c>
      <c r="D677" s="569" t="s">
        <v>1516</v>
      </c>
      <c r="E677" s="569" t="s">
        <v>1684</v>
      </c>
      <c r="F677" s="569" t="s">
        <v>271</v>
      </c>
      <c r="G677" s="569">
        <v>2019</v>
      </c>
      <c r="H677" s="569" t="s">
        <v>1685</v>
      </c>
      <c r="I677" s="569" t="s">
        <v>1742</v>
      </c>
      <c r="J677" s="569" t="s">
        <v>236</v>
      </c>
      <c r="K677" s="569">
        <v>1</v>
      </c>
      <c r="L677" s="569">
        <v>0</v>
      </c>
      <c r="M677" s="569" t="s">
        <v>157</v>
      </c>
      <c r="N677" s="569">
        <v>1</v>
      </c>
      <c r="O677" s="569" t="s">
        <v>157</v>
      </c>
      <c r="P677" s="568" t="s">
        <v>157</v>
      </c>
      <c r="Q677" s="569" t="s">
        <v>1687</v>
      </c>
      <c r="R677" s="569">
        <v>10</v>
      </c>
      <c r="S677" s="569" t="s">
        <v>1743</v>
      </c>
      <c r="T677" s="569" t="s">
        <v>1744</v>
      </c>
      <c r="U677" s="569">
        <v>158</v>
      </c>
      <c r="V677" s="569">
        <v>55</v>
      </c>
      <c r="W677" s="620">
        <v>14500</v>
      </c>
      <c r="X677" s="621" t="s">
        <v>157</v>
      </c>
      <c r="Y677" s="621" t="s">
        <v>178</v>
      </c>
      <c r="Z677" s="621" t="s">
        <v>178</v>
      </c>
      <c r="AA677" s="622">
        <v>29890</v>
      </c>
      <c r="AB677" s="622" t="s">
        <v>164</v>
      </c>
      <c r="AC677" s="622">
        <v>23901</v>
      </c>
      <c r="AD677" s="623">
        <v>0.05</v>
      </c>
      <c r="AE677" s="621" t="s">
        <v>1746</v>
      </c>
    </row>
    <row r="678" spans="1:31" s="572" customFormat="1">
      <c r="A678" s="570" t="s">
        <v>1751</v>
      </c>
      <c r="B678" s="573" t="s">
        <v>287</v>
      </c>
      <c r="C678" s="578">
        <v>26</v>
      </c>
      <c r="D678" s="573" t="s">
        <v>1516</v>
      </c>
      <c r="E678" s="573" t="s">
        <v>1684</v>
      </c>
      <c r="F678" s="573" t="s">
        <v>271</v>
      </c>
      <c r="G678" s="573">
        <v>2019</v>
      </c>
      <c r="H678" s="573" t="s">
        <v>1685</v>
      </c>
      <c r="I678" s="573" t="s">
        <v>1742</v>
      </c>
      <c r="J678" s="573" t="s">
        <v>236</v>
      </c>
      <c r="K678" s="573">
        <v>1</v>
      </c>
      <c r="L678" s="573">
        <v>0</v>
      </c>
      <c r="M678" s="573" t="s">
        <v>157</v>
      </c>
      <c r="N678" s="573">
        <v>1</v>
      </c>
      <c r="O678" s="573" t="s">
        <v>157</v>
      </c>
      <c r="P678" s="571" t="s">
        <v>157</v>
      </c>
      <c r="Q678" s="573" t="s">
        <v>1687</v>
      </c>
      <c r="R678" s="573">
        <v>10</v>
      </c>
      <c r="S678" s="582" t="s">
        <v>1743</v>
      </c>
      <c r="T678" s="573" t="s">
        <v>1744</v>
      </c>
      <c r="U678" s="573">
        <v>176</v>
      </c>
      <c r="V678" s="573">
        <v>55</v>
      </c>
      <c r="W678" s="616">
        <v>14500</v>
      </c>
      <c r="X678" s="617" t="s">
        <v>157</v>
      </c>
      <c r="Y678" s="617" t="s">
        <v>178</v>
      </c>
      <c r="Z678" s="617" t="s">
        <v>178</v>
      </c>
      <c r="AA678" s="618">
        <v>30390</v>
      </c>
      <c r="AB678" s="618" t="s">
        <v>164</v>
      </c>
      <c r="AC678" s="618">
        <v>24367</v>
      </c>
      <c r="AD678" s="619">
        <v>0.05</v>
      </c>
      <c r="AE678" s="617" t="s">
        <v>1748</v>
      </c>
    </row>
    <row r="679" spans="1:31" s="572" customFormat="1">
      <c r="A679" s="570" t="s">
        <v>1752</v>
      </c>
      <c r="B679" s="569" t="s">
        <v>280</v>
      </c>
      <c r="C679" s="580">
        <v>27</v>
      </c>
      <c r="D679" s="569" t="s">
        <v>1516</v>
      </c>
      <c r="E679" s="569" t="s">
        <v>1684</v>
      </c>
      <c r="F679" s="569" t="s">
        <v>271</v>
      </c>
      <c r="G679" s="569">
        <v>2019</v>
      </c>
      <c r="H679" s="569" t="s">
        <v>1685</v>
      </c>
      <c r="I679" s="569" t="s">
        <v>1742</v>
      </c>
      <c r="J679" s="569" t="s">
        <v>236</v>
      </c>
      <c r="K679" s="569">
        <v>1</v>
      </c>
      <c r="L679" s="569">
        <v>0</v>
      </c>
      <c r="M679" s="569" t="s">
        <v>157</v>
      </c>
      <c r="N679" s="569">
        <v>1</v>
      </c>
      <c r="O679" s="569" t="s">
        <v>157</v>
      </c>
      <c r="P679" s="568" t="s">
        <v>157</v>
      </c>
      <c r="Q679" s="569" t="s">
        <v>1687</v>
      </c>
      <c r="R679" s="569">
        <v>10</v>
      </c>
      <c r="S679" s="569" t="s">
        <v>1743</v>
      </c>
      <c r="T679" s="569" t="s">
        <v>1744</v>
      </c>
      <c r="U679" s="569">
        <v>138</v>
      </c>
      <c r="V679" s="569">
        <v>40</v>
      </c>
      <c r="W679" s="620">
        <v>11500</v>
      </c>
      <c r="X679" s="621" t="s">
        <v>157</v>
      </c>
      <c r="Y679" s="621" t="s">
        <v>178</v>
      </c>
      <c r="Z679" s="621" t="s">
        <v>178</v>
      </c>
      <c r="AA679" s="622">
        <v>32480</v>
      </c>
      <c r="AB679" s="622" t="s">
        <v>164</v>
      </c>
      <c r="AC679" s="622">
        <v>23102.645833333336</v>
      </c>
      <c r="AD679" s="623">
        <v>0.03</v>
      </c>
      <c r="AE679" s="621" t="s">
        <v>1741</v>
      </c>
    </row>
    <row r="680" spans="1:31" s="572" customFormat="1">
      <c r="A680" s="570" t="s">
        <v>1753</v>
      </c>
      <c r="B680" s="573" t="s">
        <v>280</v>
      </c>
      <c r="C680" s="578">
        <v>27</v>
      </c>
      <c r="D680" s="573" t="s">
        <v>1516</v>
      </c>
      <c r="E680" s="573" t="s">
        <v>1684</v>
      </c>
      <c r="F680" s="573" t="s">
        <v>271</v>
      </c>
      <c r="G680" s="573">
        <v>2019</v>
      </c>
      <c r="H680" s="573" t="s">
        <v>1685</v>
      </c>
      <c r="I680" s="573" t="s">
        <v>1742</v>
      </c>
      <c r="J680" s="573" t="s">
        <v>236</v>
      </c>
      <c r="K680" s="573">
        <v>1</v>
      </c>
      <c r="L680" s="573">
        <v>0</v>
      </c>
      <c r="M680" s="573" t="s">
        <v>157</v>
      </c>
      <c r="N680" s="573">
        <v>1</v>
      </c>
      <c r="O680" s="573" t="s">
        <v>157</v>
      </c>
      <c r="P680" s="571" t="s">
        <v>157</v>
      </c>
      <c r="Q680" s="573" t="s">
        <v>1687</v>
      </c>
      <c r="R680" s="573">
        <v>10</v>
      </c>
      <c r="S680" s="582" t="s">
        <v>1743</v>
      </c>
      <c r="T680" s="573" t="s">
        <v>1744</v>
      </c>
      <c r="U680" s="573">
        <v>158</v>
      </c>
      <c r="V680" s="573">
        <v>40</v>
      </c>
      <c r="W680" s="616">
        <v>12500</v>
      </c>
      <c r="X680" s="617" t="s">
        <v>157</v>
      </c>
      <c r="Y680" s="617" t="s">
        <v>178</v>
      </c>
      <c r="Z680" s="617" t="s">
        <v>178</v>
      </c>
      <c r="AA680" s="618">
        <v>32730</v>
      </c>
      <c r="AB680" s="618" t="s">
        <v>164</v>
      </c>
      <c r="AC680" s="618">
        <v>23330.770833333336</v>
      </c>
      <c r="AD680" s="619">
        <v>0.03</v>
      </c>
      <c r="AE680" s="617" t="s">
        <v>1746</v>
      </c>
    </row>
    <row r="681" spans="1:31" s="572" customFormat="1">
      <c r="A681" s="570" t="s">
        <v>1754</v>
      </c>
      <c r="B681" s="569" t="s">
        <v>280</v>
      </c>
      <c r="C681" s="580">
        <v>27</v>
      </c>
      <c r="D681" s="569" t="s">
        <v>1516</v>
      </c>
      <c r="E681" s="569" t="s">
        <v>1684</v>
      </c>
      <c r="F681" s="569" t="s">
        <v>271</v>
      </c>
      <c r="G681" s="569">
        <v>2019</v>
      </c>
      <c r="H681" s="569" t="s">
        <v>1685</v>
      </c>
      <c r="I681" s="569" t="s">
        <v>1742</v>
      </c>
      <c r="J681" s="569" t="s">
        <v>236</v>
      </c>
      <c r="K681" s="569">
        <v>1</v>
      </c>
      <c r="L681" s="569">
        <v>0</v>
      </c>
      <c r="M681" s="569" t="s">
        <v>157</v>
      </c>
      <c r="N681" s="569">
        <v>1</v>
      </c>
      <c r="O681" s="569" t="s">
        <v>157</v>
      </c>
      <c r="P681" s="568" t="s">
        <v>157</v>
      </c>
      <c r="Q681" s="569" t="s">
        <v>1687</v>
      </c>
      <c r="R681" s="569">
        <v>10</v>
      </c>
      <c r="S681" s="569" t="s">
        <v>1743</v>
      </c>
      <c r="T681" s="569" t="s">
        <v>1744</v>
      </c>
      <c r="U681" s="569">
        <v>176</v>
      </c>
      <c r="V681" s="569">
        <v>40</v>
      </c>
      <c r="W681" s="620">
        <v>12500</v>
      </c>
      <c r="X681" s="621" t="s">
        <v>157</v>
      </c>
      <c r="Y681" s="621" t="s">
        <v>178</v>
      </c>
      <c r="Z681" s="621" t="s">
        <v>178</v>
      </c>
      <c r="AA681" s="622">
        <v>33230</v>
      </c>
      <c r="AB681" s="622" t="s">
        <v>164</v>
      </c>
      <c r="AC681" s="622">
        <v>23787.020833333336</v>
      </c>
      <c r="AD681" s="623">
        <v>0.03</v>
      </c>
      <c r="AE681" s="621" t="s">
        <v>1748</v>
      </c>
    </row>
    <row r="682" spans="1:31" s="572" customFormat="1">
      <c r="A682" s="570" t="s">
        <v>1755</v>
      </c>
      <c r="B682" s="573" t="s">
        <v>269</v>
      </c>
      <c r="C682" s="578" t="s">
        <v>270</v>
      </c>
      <c r="D682" s="573" t="s">
        <v>1516</v>
      </c>
      <c r="E682" s="573" t="s">
        <v>1684</v>
      </c>
      <c r="F682" s="573" t="s">
        <v>271</v>
      </c>
      <c r="G682" s="573">
        <v>2019</v>
      </c>
      <c r="H682" s="573" t="s">
        <v>1685</v>
      </c>
      <c r="I682" s="573" t="s">
        <v>1757</v>
      </c>
      <c r="J682" s="573" t="s">
        <v>236</v>
      </c>
      <c r="K682" s="573">
        <v>2</v>
      </c>
      <c r="L682" s="573">
        <v>0</v>
      </c>
      <c r="M682" s="573" t="s">
        <v>157</v>
      </c>
      <c r="N682" s="573">
        <v>1</v>
      </c>
      <c r="O682" s="573">
        <v>81</v>
      </c>
      <c r="P682" s="571" t="s">
        <v>157</v>
      </c>
      <c r="Q682" s="573" t="s">
        <v>1687</v>
      </c>
      <c r="R682" s="573">
        <v>10</v>
      </c>
      <c r="S682" s="582" t="s">
        <v>1688</v>
      </c>
      <c r="T682" s="573" t="s">
        <v>1689</v>
      </c>
      <c r="U682" s="573">
        <v>138</v>
      </c>
      <c r="V682" s="573">
        <v>40</v>
      </c>
      <c r="W682" s="616">
        <v>10050</v>
      </c>
      <c r="X682" s="617" t="s">
        <v>157</v>
      </c>
      <c r="Y682" s="617" t="s">
        <v>178</v>
      </c>
      <c r="Z682" s="617" t="s">
        <v>178</v>
      </c>
      <c r="AA682" s="618">
        <v>32580</v>
      </c>
      <c r="AB682" s="618" t="s">
        <v>164</v>
      </c>
      <c r="AC682" s="618">
        <v>24747.437500000004</v>
      </c>
      <c r="AD682" s="619">
        <v>0.03</v>
      </c>
      <c r="AE682" s="617" t="s">
        <v>1756</v>
      </c>
    </row>
    <row r="683" spans="1:31" s="572" customFormat="1">
      <c r="A683" s="570" t="s">
        <v>1758</v>
      </c>
      <c r="B683" s="569" t="s">
        <v>269</v>
      </c>
      <c r="C683" s="580" t="s">
        <v>270</v>
      </c>
      <c r="D683" s="569" t="s">
        <v>1516</v>
      </c>
      <c r="E683" s="569" t="s">
        <v>1684</v>
      </c>
      <c r="F683" s="569" t="s">
        <v>271</v>
      </c>
      <c r="G683" s="569">
        <v>2019</v>
      </c>
      <c r="H683" s="569" t="s">
        <v>1685</v>
      </c>
      <c r="I683" s="569" t="s">
        <v>1757</v>
      </c>
      <c r="J683" s="569" t="s">
        <v>236</v>
      </c>
      <c r="K683" s="569">
        <v>2</v>
      </c>
      <c r="L683" s="569">
        <v>0</v>
      </c>
      <c r="M683" s="569" t="s">
        <v>157</v>
      </c>
      <c r="N683" s="569">
        <v>1</v>
      </c>
      <c r="O683" s="569">
        <v>81</v>
      </c>
      <c r="P683" s="568" t="s">
        <v>157</v>
      </c>
      <c r="Q683" s="569" t="s">
        <v>1687</v>
      </c>
      <c r="R683" s="569">
        <v>10</v>
      </c>
      <c r="S683" s="569" t="s">
        <v>1688</v>
      </c>
      <c r="T683" s="569" t="s">
        <v>1689</v>
      </c>
      <c r="U683" s="569">
        <v>158</v>
      </c>
      <c r="V683" s="569">
        <v>40</v>
      </c>
      <c r="W683" s="620">
        <v>10050</v>
      </c>
      <c r="X683" s="621" t="s">
        <v>157</v>
      </c>
      <c r="Y683" s="621" t="s">
        <v>178</v>
      </c>
      <c r="Z683" s="621" t="s">
        <v>178</v>
      </c>
      <c r="AA683" s="622">
        <v>32830</v>
      </c>
      <c r="AB683" s="622" t="s">
        <v>164</v>
      </c>
      <c r="AC683" s="622">
        <v>24976.604166666668</v>
      </c>
      <c r="AD683" s="623">
        <v>0.03</v>
      </c>
      <c r="AE683" s="621" t="s">
        <v>1759</v>
      </c>
    </row>
    <row r="684" spans="1:31" s="572" customFormat="1">
      <c r="A684" s="570" t="s">
        <v>1760</v>
      </c>
      <c r="B684" s="573" t="s">
        <v>280</v>
      </c>
      <c r="C684" s="578">
        <v>27</v>
      </c>
      <c r="D684" s="573" t="s">
        <v>1516</v>
      </c>
      <c r="E684" s="573" t="s">
        <v>1684</v>
      </c>
      <c r="F684" s="573" t="s">
        <v>271</v>
      </c>
      <c r="G684" s="573">
        <v>2019</v>
      </c>
      <c r="H684" s="573" t="s">
        <v>1685</v>
      </c>
      <c r="I684" s="573" t="s">
        <v>1757</v>
      </c>
      <c r="J684" s="573" t="s">
        <v>236</v>
      </c>
      <c r="K684" s="573">
        <v>2</v>
      </c>
      <c r="L684" s="573">
        <v>0</v>
      </c>
      <c r="M684" s="573" t="s">
        <v>157</v>
      </c>
      <c r="N684" s="573">
        <v>1</v>
      </c>
      <c r="O684" s="573">
        <v>81</v>
      </c>
      <c r="P684" s="571" t="s">
        <v>157</v>
      </c>
      <c r="Q684" s="573" t="s">
        <v>1687</v>
      </c>
      <c r="R684" s="573">
        <v>10</v>
      </c>
      <c r="S684" s="582" t="s">
        <v>1688</v>
      </c>
      <c r="T684" s="573" t="s">
        <v>1689</v>
      </c>
      <c r="U684" s="573">
        <v>138</v>
      </c>
      <c r="V684" s="573">
        <v>40</v>
      </c>
      <c r="W684" s="616">
        <v>10050</v>
      </c>
      <c r="X684" s="617" t="s">
        <v>157</v>
      </c>
      <c r="Y684" s="617" t="s">
        <v>178</v>
      </c>
      <c r="Z684" s="617" t="s">
        <v>178</v>
      </c>
      <c r="AA684" s="618">
        <v>32580</v>
      </c>
      <c r="AB684" s="618" t="s">
        <v>164</v>
      </c>
      <c r="AC684" s="618">
        <v>24747.437500000004</v>
      </c>
      <c r="AD684" s="619">
        <v>0.03</v>
      </c>
      <c r="AE684" s="617" t="s">
        <v>1756</v>
      </c>
    </row>
    <row r="685" spans="1:31" s="572" customFormat="1">
      <c r="A685" s="570" t="s">
        <v>1761</v>
      </c>
      <c r="B685" s="569" t="s">
        <v>280</v>
      </c>
      <c r="C685" s="580">
        <v>27</v>
      </c>
      <c r="D685" s="569" t="s">
        <v>1516</v>
      </c>
      <c r="E685" s="569" t="s">
        <v>1684</v>
      </c>
      <c r="F685" s="569" t="s">
        <v>271</v>
      </c>
      <c r="G685" s="569">
        <v>2019</v>
      </c>
      <c r="H685" s="569" t="s">
        <v>1685</v>
      </c>
      <c r="I685" s="569" t="s">
        <v>1757</v>
      </c>
      <c r="J685" s="569" t="s">
        <v>236</v>
      </c>
      <c r="K685" s="569">
        <v>2</v>
      </c>
      <c r="L685" s="569">
        <v>0</v>
      </c>
      <c r="M685" s="569" t="s">
        <v>157</v>
      </c>
      <c r="N685" s="569">
        <v>1</v>
      </c>
      <c r="O685" s="569">
        <v>81</v>
      </c>
      <c r="P685" s="568" t="s">
        <v>157</v>
      </c>
      <c r="Q685" s="569" t="s">
        <v>1687</v>
      </c>
      <c r="R685" s="569">
        <v>10</v>
      </c>
      <c r="S685" s="569" t="s">
        <v>1688</v>
      </c>
      <c r="T685" s="569" t="s">
        <v>1689</v>
      </c>
      <c r="U685" s="569">
        <v>158</v>
      </c>
      <c r="V685" s="569">
        <v>40</v>
      </c>
      <c r="W685" s="620">
        <v>10050</v>
      </c>
      <c r="X685" s="621" t="s">
        <v>157</v>
      </c>
      <c r="Y685" s="621" t="s">
        <v>178</v>
      </c>
      <c r="Z685" s="621" t="s">
        <v>178</v>
      </c>
      <c r="AA685" s="622">
        <v>32830</v>
      </c>
      <c r="AB685" s="622" t="s">
        <v>164</v>
      </c>
      <c r="AC685" s="622">
        <v>24976.604166666668</v>
      </c>
      <c r="AD685" s="623">
        <v>0.03</v>
      </c>
      <c r="AE685" s="621" t="s">
        <v>1759</v>
      </c>
    </row>
    <row r="686" spans="1:31" s="572" customFormat="1">
      <c r="A686" s="570" t="s">
        <v>1762</v>
      </c>
      <c r="B686" s="573" t="s">
        <v>269</v>
      </c>
      <c r="C686" s="578" t="s">
        <v>270</v>
      </c>
      <c r="D686" s="573" t="s">
        <v>1516</v>
      </c>
      <c r="E686" s="573" t="s">
        <v>1684</v>
      </c>
      <c r="F686" s="573" t="s">
        <v>271</v>
      </c>
      <c r="G686" s="573">
        <v>2019</v>
      </c>
      <c r="H686" s="573" t="s">
        <v>1685</v>
      </c>
      <c r="I686" s="573" t="s">
        <v>1764</v>
      </c>
      <c r="J686" s="573" t="s">
        <v>236</v>
      </c>
      <c r="K686" s="573">
        <v>2</v>
      </c>
      <c r="L686" s="573">
        <v>0</v>
      </c>
      <c r="M686" s="573" t="s">
        <v>157</v>
      </c>
      <c r="N686" s="573">
        <v>1</v>
      </c>
      <c r="O686" s="573" t="s">
        <v>157</v>
      </c>
      <c r="P686" s="571" t="s">
        <v>157</v>
      </c>
      <c r="Q686" s="573" t="s">
        <v>1700</v>
      </c>
      <c r="R686" s="573">
        <v>8</v>
      </c>
      <c r="S686" s="582" t="s">
        <v>1688</v>
      </c>
      <c r="T686" s="573" t="s">
        <v>1689</v>
      </c>
      <c r="U686" s="573">
        <v>138</v>
      </c>
      <c r="V686" s="573">
        <v>40</v>
      </c>
      <c r="W686" s="616">
        <v>10050</v>
      </c>
      <c r="X686" s="617" t="s">
        <v>157</v>
      </c>
      <c r="Y686" s="617" t="s">
        <v>450</v>
      </c>
      <c r="Z686" s="617" t="s">
        <v>178</v>
      </c>
      <c r="AA686" s="618">
        <v>32230</v>
      </c>
      <c r="AB686" s="618" t="s">
        <v>164</v>
      </c>
      <c r="AC686" s="618">
        <v>24437.020833333336</v>
      </c>
      <c r="AD686" s="619">
        <v>0.03</v>
      </c>
      <c r="AE686" s="617" t="s">
        <v>1763</v>
      </c>
    </row>
    <row r="687" spans="1:31" s="572" customFormat="1">
      <c r="A687" s="570" t="s">
        <v>1765</v>
      </c>
      <c r="B687" s="569" t="s">
        <v>269</v>
      </c>
      <c r="C687" s="580" t="s">
        <v>270</v>
      </c>
      <c r="D687" s="569" t="s">
        <v>1516</v>
      </c>
      <c r="E687" s="569" t="s">
        <v>1684</v>
      </c>
      <c r="F687" s="569" t="s">
        <v>271</v>
      </c>
      <c r="G687" s="569">
        <v>2019</v>
      </c>
      <c r="H687" s="569" t="s">
        <v>1685</v>
      </c>
      <c r="I687" s="569" t="s">
        <v>1764</v>
      </c>
      <c r="J687" s="569" t="s">
        <v>236</v>
      </c>
      <c r="K687" s="569">
        <v>2</v>
      </c>
      <c r="L687" s="569">
        <v>0</v>
      </c>
      <c r="M687" s="569" t="s">
        <v>157</v>
      </c>
      <c r="N687" s="569">
        <v>1</v>
      </c>
      <c r="O687" s="569" t="s">
        <v>157</v>
      </c>
      <c r="P687" s="568" t="s">
        <v>157</v>
      </c>
      <c r="Q687" s="569" t="s">
        <v>1700</v>
      </c>
      <c r="R687" s="569">
        <v>8</v>
      </c>
      <c r="S687" s="569" t="s">
        <v>1688</v>
      </c>
      <c r="T687" s="569" t="s">
        <v>1689</v>
      </c>
      <c r="U687" s="569">
        <v>158</v>
      </c>
      <c r="V687" s="569">
        <v>40</v>
      </c>
      <c r="W687" s="620">
        <v>10050</v>
      </c>
      <c r="X687" s="621" t="s">
        <v>157</v>
      </c>
      <c r="Y687" s="621" t="s">
        <v>450</v>
      </c>
      <c r="Z687" s="621" t="s">
        <v>178</v>
      </c>
      <c r="AA687" s="622">
        <v>32480</v>
      </c>
      <c r="AB687" s="622" t="s">
        <v>164</v>
      </c>
      <c r="AC687" s="622">
        <v>24666.187500000004</v>
      </c>
      <c r="AD687" s="623">
        <v>0.03</v>
      </c>
      <c r="AE687" s="621" t="s">
        <v>1766</v>
      </c>
    </row>
    <row r="688" spans="1:31" s="572" customFormat="1">
      <c r="A688" s="570" t="s">
        <v>1767</v>
      </c>
      <c r="B688" s="573" t="s">
        <v>269</v>
      </c>
      <c r="C688" s="578" t="s">
        <v>270</v>
      </c>
      <c r="D688" s="573" t="s">
        <v>1516</v>
      </c>
      <c r="E688" s="573" t="s">
        <v>1684</v>
      </c>
      <c r="F688" s="573" t="s">
        <v>271</v>
      </c>
      <c r="G688" s="573">
        <v>2019</v>
      </c>
      <c r="H688" s="573" t="s">
        <v>1685</v>
      </c>
      <c r="I688" s="573" t="s">
        <v>1764</v>
      </c>
      <c r="J688" s="573" t="s">
        <v>236</v>
      </c>
      <c r="K688" s="573">
        <v>2</v>
      </c>
      <c r="L688" s="573">
        <v>0</v>
      </c>
      <c r="M688" s="573" t="s">
        <v>157</v>
      </c>
      <c r="N688" s="573">
        <v>1</v>
      </c>
      <c r="O688" s="573" t="s">
        <v>157</v>
      </c>
      <c r="P688" s="571" t="s">
        <v>157</v>
      </c>
      <c r="Q688" s="573" t="s">
        <v>1687</v>
      </c>
      <c r="R688" s="573">
        <v>10</v>
      </c>
      <c r="S688" s="582" t="s">
        <v>1688</v>
      </c>
      <c r="T688" s="573" t="s">
        <v>1689</v>
      </c>
      <c r="U688" s="573">
        <v>138</v>
      </c>
      <c r="V688" s="573">
        <v>40</v>
      </c>
      <c r="W688" s="616">
        <v>10050</v>
      </c>
      <c r="X688" s="617" t="s">
        <v>157</v>
      </c>
      <c r="Y688" s="617" t="s">
        <v>178</v>
      </c>
      <c r="Z688" s="617" t="s">
        <v>178</v>
      </c>
      <c r="AA688" s="618">
        <v>32580</v>
      </c>
      <c r="AB688" s="618" t="s">
        <v>164</v>
      </c>
      <c r="AC688" s="618">
        <v>24747.437500000004</v>
      </c>
      <c r="AD688" s="619">
        <v>0.03</v>
      </c>
      <c r="AE688" s="617" t="s">
        <v>1768</v>
      </c>
    </row>
    <row r="689" spans="1:31" s="572" customFormat="1">
      <c r="A689" s="570" t="s">
        <v>1769</v>
      </c>
      <c r="B689" s="569" t="s">
        <v>269</v>
      </c>
      <c r="C689" s="580" t="s">
        <v>270</v>
      </c>
      <c r="D689" s="569" t="s">
        <v>1516</v>
      </c>
      <c r="E689" s="569" t="s">
        <v>1684</v>
      </c>
      <c r="F689" s="569" t="s">
        <v>271</v>
      </c>
      <c r="G689" s="569">
        <v>2019</v>
      </c>
      <c r="H689" s="569" t="s">
        <v>1685</v>
      </c>
      <c r="I689" s="569" t="s">
        <v>1764</v>
      </c>
      <c r="J689" s="569" t="s">
        <v>236</v>
      </c>
      <c r="K689" s="569">
        <v>2</v>
      </c>
      <c r="L689" s="569">
        <v>0</v>
      </c>
      <c r="M689" s="569" t="s">
        <v>157</v>
      </c>
      <c r="N689" s="569">
        <v>1</v>
      </c>
      <c r="O689" s="569" t="s">
        <v>157</v>
      </c>
      <c r="P689" s="568" t="s">
        <v>157</v>
      </c>
      <c r="Q689" s="569" t="s">
        <v>1687</v>
      </c>
      <c r="R689" s="569">
        <v>10</v>
      </c>
      <c r="S689" s="569" t="s">
        <v>1688</v>
      </c>
      <c r="T689" s="569" t="s">
        <v>1689</v>
      </c>
      <c r="U689" s="569">
        <v>158</v>
      </c>
      <c r="V689" s="569">
        <v>40</v>
      </c>
      <c r="W689" s="620">
        <v>10050</v>
      </c>
      <c r="X689" s="621" t="s">
        <v>157</v>
      </c>
      <c r="Y689" s="621" t="s">
        <v>178</v>
      </c>
      <c r="Z689" s="621" t="s">
        <v>178</v>
      </c>
      <c r="AA689" s="622">
        <v>32830</v>
      </c>
      <c r="AB689" s="622" t="s">
        <v>164</v>
      </c>
      <c r="AC689" s="622">
        <v>24976.604166666668</v>
      </c>
      <c r="AD689" s="623">
        <v>0.03</v>
      </c>
      <c r="AE689" s="621" t="s">
        <v>1770</v>
      </c>
    </row>
    <row r="690" spans="1:31" s="572" customFormat="1">
      <c r="A690" s="570" t="s">
        <v>1771</v>
      </c>
      <c r="B690" s="573" t="s">
        <v>269</v>
      </c>
      <c r="C690" s="578" t="s">
        <v>270</v>
      </c>
      <c r="D690" s="573" t="s">
        <v>1516</v>
      </c>
      <c r="E690" s="573" t="s">
        <v>1684</v>
      </c>
      <c r="F690" s="573" t="s">
        <v>271</v>
      </c>
      <c r="G690" s="573">
        <v>2019</v>
      </c>
      <c r="H690" s="573" t="s">
        <v>1685</v>
      </c>
      <c r="I690" s="573" t="s">
        <v>1764</v>
      </c>
      <c r="J690" s="573" t="s">
        <v>236</v>
      </c>
      <c r="K690" s="573">
        <v>2</v>
      </c>
      <c r="L690" s="573">
        <v>0</v>
      </c>
      <c r="M690" s="573" t="s">
        <v>157</v>
      </c>
      <c r="N690" s="573">
        <v>1</v>
      </c>
      <c r="O690" s="573" t="s">
        <v>157</v>
      </c>
      <c r="P690" s="571">
        <v>8500</v>
      </c>
      <c r="Q690" s="573" t="s">
        <v>1700</v>
      </c>
      <c r="R690" s="573">
        <v>8</v>
      </c>
      <c r="S690" s="582" t="s">
        <v>1688</v>
      </c>
      <c r="T690" s="573" t="s">
        <v>1689</v>
      </c>
      <c r="U690" s="573">
        <v>138</v>
      </c>
      <c r="V690" s="573">
        <v>40</v>
      </c>
      <c r="W690" s="616">
        <v>10050</v>
      </c>
      <c r="X690" s="617" t="s">
        <v>157</v>
      </c>
      <c r="Y690" s="617" t="s">
        <v>450</v>
      </c>
      <c r="Z690" s="617" t="s">
        <v>178</v>
      </c>
      <c r="AA690" s="618">
        <v>32230</v>
      </c>
      <c r="AB690" s="618" t="s">
        <v>164</v>
      </c>
      <c r="AC690" s="618">
        <v>24437.020833333336</v>
      </c>
      <c r="AD690" s="619">
        <v>0.03</v>
      </c>
      <c r="AE690" s="617" t="s">
        <v>1772</v>
      </c>
    </row>
    <row r="691" spans="1:31" s="572" customFormat="1">
      <c r="A691" s="570" t="s">
        <v>1773</v>
      </c>
      <c r="B691" s="569" t="s">
        <v>269</v>
      </c>
      <c r="C691" s="580" t="s">
        <v>270</v>
      </c>
      <c r="D691" s="569" t="s">
        <v>1516</v>
      </c>
      <c r="E691" s="569" t="s">
        <v>1684</v>
      </c>
      <c r="F691" s="569" t="s">
        <v>271</v>
      </c>
      <c r="G691" s="569">
        <v>2019</v>
      </c>
      <c r="H691" s="569" t="s">
        <v>1685</v>
      </c>
      <c r="I691" s="569" t="s">
        <v>1764</v>
      </c>
      <c r="J691" s="569" t="s">
        <v>236</v>
      </c>
      <c r="K691" s="569">
        <v>2</v>
      </c>
      <c r="L691" s="569">
        <v>0</v>
      </c>
      <c r="M691" s="569" t="s">
        <v>157</v>
      </c>
      <c r="N691" s="569">
        <v>1</v>
      </c>
      <c r="O691" s="569" t="s">
        <v>157</v>
      </c>
      <c r="P691" s="568">
        <v>8500</v>
      </c>
      <c r="Q691" s="569" t="s">
        <v>1700</v>
      </c>
      <c r="R691" s="569">
        <v>8</v>
      </c>
      <c r="S691" s="569" t="s">
        <v>1688</v>
      </c>
      <c r="T691" s="569" t="s">
        <v>1689</v>
      </c>
      <c r="U691" s="569">
        <v>158</v>
      </c>
      <c r="V691" s="569">
        <v>40</v>
      </c>
      <c r="W691" s="620">
        <v>10050</v>
      </c>
      <c r="X691" s="621" t="s">
        <v>157</v>
      </c>
      <c r="Y691" s="621" t="s">
        <v>450</v>
      </c>
      <c r="Z691" s="621" t="s">
        <v>178</v>
      </c>
      <c r="AA691" s="622">
        <v>32480</v>
      </c>
      <c r="AB691" s="622" t="s">
        <v>164</v>
      </c>
      <c r="AC691" s="622">
        <v>24666.187500000004</v>
      </c>
      <c r="AD691" s="623">
        <v>0.03</v>
      </c>
      <c r="AE691" s="621" t="s">
        <v>1774</v>
      </c>
    </row>
    <row r="692" spans="1:31" s="572" customFormat="1">
      <c r="A692" s="570" t="s">
        <v>1775</v>
      </c>
      <c r="B692" s="573" t="s">
        <v>269</v>
      </c>
      <c r="C692" s="578" t="s">
        <v>270</v>
      </c>
      <c r="D692" s="573" t="s">
        <v>1516</v>
      </c>
      <c r="E692" s="573" t="s">
        <v>1684</v>
      </c>
      <c r="F692" s="573" t="s">
        <v>271</v>
      </c>
      <c r="G692" s="573">
        <v>2019</v>
      </c>
      <c r="H692" s="573" t="s">
        <v>1685</v>
      </c>
      <c r="I692" s="573" t="s">
        <v>1764</v>
      </c>
      <c r="J692" s="573" t="s">
        <v>236</v>
      </c>
      <c r="K692" s="573">
        <v>2</v>
      </c>
      <c r="L692" s="573">
        <v>0</v>
      </c>
      <c r="M692" s="573" t="s">
        <v>157</v>
      </c>
      <c r="N692" s="573">
        <v>1</v>
      </c>
      <c r="O692" s="573" t="s">
        <v>157</v>
      </c>
      <c r="P692" s="571">
        <v>8500</v>
      </c>
      <c r="Q692" s="573" t="s">
        <v>1687</v>
      </c>
      <c r="R692" s="573">
        <v>10</v>
      </c>
      <c r="S692" s="582" t="s">
        <v>1688</v>
      </c>
      <c r="T692" s="573" t="s">
        <v>1689</v>
      </c>
      <c r="U692" s="573">
        <v>138</v>
      </c>
      <c r="V692" s="573">
        <v>40</v>
      </c>
      <c r="W692" s="616">
        <v>10050</v>
      </c>
      <c r="X692" s="617" t="s">
        <v>157</v>
      </c>
      <c r="Y692" s="617" t="s">
        <v>178</v>
      </c>
      <c r="Z692" s="617" t="s">
        <v>178</v>
      </c>
      <c r="AA692" s="618">
        <v>32580</v>
      </c>
      <c r="AB692" s="618" t="s">
        <v>164</v>
      </c>
      <c r="AC692" s="618">
        <v>24747.437500000004</v>
      </c>
      <c r="AD692" s="619">
        <v>0.03</v>
      </c>
      <c r="AE692" s="617" t="s">
        <v>1776</v>
      </c>
    </row>
    <row r="693" spans="1:31" s="572" customFormat="1">
      <c r="A693" s="570" t="s">
        <v>1777</v>
      </c>
      <c r="B693" s="569" t="s">
        <v>269</v>
      </c>
      <c r="C693" s="580" t="s">
        <v>270</v>
      </c>
      <c r="D693" s="569" t="s">
        <v>1516</v>
      </c>
      <c r="E693" s="569" t="s">
        <v>1684</v>
      </c>
      <c r="F693" s="569" t="s">
        <v>271</v>
      </c>
      <c r="G693" s="569">
        <v>2019</v>
      </c>
      <c r="H693" s="569" t="s">
        <v>1685</v>
      </c>
      <c r="I693" s="569" t="s">
        <v>1764</v>
      </c>
      <c r="J693" s="569" t="s">
        <v>236</v>
      </c>
      <c r="K693" s="569">
        <v>2</v>
      </c>
      <c r="L693" s="569">
        <v>0</v>
      </c>
      <c r="M693" s="569" t="s">
        <v>157</v>
      </c>
      <c r="N693" s="569">
        <v>1</v>
      </c>
      <c r="O693" s="569" t="s">
        <v>157</v>
      </c>
      <c r="P693" s="568">
        <v>8500</v>
      </c>
      <c r="Q693" s="569" t="s">
        <v>1687</v>
      </c>
      <c r="R693" s="569">
        <v>10</v>
      </c>
      <c r="S693" s="569" t="s">
        <v>1688</v>
      </c>
      <c r="T693" s="569" t="s">
        <v>1689</v>
      </c>
      <c r="U693" s="569">
        <v>158</v>
      </c>
      <c r="V693" s="569">
        <v>40</v>
      </c>
      <c r="W693" s="620">
        <v>10050</v>
      </c>
      <c r="X693" s="621" t="s">
        <v>157</v>
      </c>
      <c r="Y693" s="621" t="s">
        <v>178</v>
      </c>
      <c r="Z693" s="621" t="s">
        <v>178</v>
      </c>
      <c r="AA693" s="622">
        <v>32830</v>
      </c>
      <c r="AB693" s="622" t="s">
        <v>164</v>
      </c>
      <c r="AC693" s="622">
        <v>24976.604166666668</v>
      </c>
      <c r="AD693" s="623">
        <v>0.03</v>
      </c>
      <c r="AE693" s="621" t="s">
        <v>1778</v>
      </c>
    </row>
    <row r="694" spans="1:31" s="572" customFormat="1">
      <c r="A694" s="570" t="s">
        <v>1779</v>
      </c>
      <c r="B694" s="573" t="s">
        <v>278</v>
      </c>
      <c r="C694" s="578">
        <v>15</v>
      </c>
      <c r="D694" s="573" t="s">
        <v>1516</v>
      </c>
      <c r="E694" s="573" t="s">
        <v>1684</v>
      </c>
      <c r="F694" s="573" t="s">
        <v>271</v>
      </c>
      <c r="G694" s="573">
        <v>2019</v>
      </c>
      <c r="H694" s="573" t="s">
        <v>1685</v>
      </c>
      <c r="I694" s="573" t="s">
        <v>1764</v>
      </c>
      <c r="J694" s="573" t="s">
        <v>236</v>
      </c>
      <c r="K694" s="573">
        <v>2</v>
      </c>
      <c r="L694" s="573">
        <v>0</v>
      </c>
      <c r="M694" s="573" t="s">
        <v>157</v>
      </c>
      <c r="N694" s="573">
        <v>1</v>
      </c>
      <c r="O694" s="573" t="s">
        <v>157</v>
      </c>
      <c r="P694" s="571">
        <v>8500</v>
      </c>
      <c r="Q694" s="573" t="s">
        <v>1700</v>
      </c>
      <c r="R694" s="573">
        <v>8</v>
      </c>
      <c r="S694" s="582" t="s">
        <v>1688</v>
      </c>
      <c r="T694" s="573" t="s">
        <v>1689</v>
      </c>
      <c r="U694" s="573">
        <v>138</v>
      </c>
      <c r="V694" s="573">
        <v>40</v>
      </c>
      <c r="W694" s="616">
        <v>11500</v>
      </c>
      <c r="X694" s="617" t="s">
        <v>157</v>
      </c>
      <c r="Y694" s="617" t="s">
        <v>450</v>
      </c>
      <c r="Z694" s="617" t="s">
        <v>178</v>
      </c>
      <c r="AA694" s="618">
        <v>32480</v>
      </c>
      <c r="AB694" s="618" t="s">
        <v>164</v>
      </c>
      <c r="AC694" s="618">
        <v>24995</v>
      </c>
      <c r="AD694" s="619">
        <v>0.01</v>
      </c>
      <c r="AE694" s="617" t="s">
        <v>1772</v>
      </c>
    </row>
    <row r="695" spans="1:31" s="572" customFormat="1">
      <c r="A695" s="570" t="s">
        <v>1780</v>
      </c>
      <c r="B695" s="569" t="s">
        <v>278</v>
      </c>
      <c r="C695" s="580">
        <v>15</v>
      </c>
      <c r="D695" s="569" t="s">
        <v>1516</v>
      </c>
      <c r="E695" s="569" t="s">
        <v>1684</v>
      </c>
      <c r="F695" s="569" t="s">
        <v>271</v>
      </c>
      <c r="G695" s="569">
        <v>2019</v>
      </c>
      <c r="H695" s="569" t="s">
        <v>1685</v>
      </c>
      <c r="I695" s="569" t="s">
        <v>1764</v>
      </c>
      <c r="J695" s="569" t="s">
        <v>236</v>
      </c>
      <c r="K695" s="569">
        <v>2</v>
      </c>
      <c r="L695" s="569">
        <v>0</v>
      </c>
      <c r="M695" s="569" t="s">
        <v>157</v>
      </c>
      <c r="N695" s="569">
        <v>1</v>
      </c>
      <c r="O695" s="569" t="s">
        <v>157</v>
      </c>
      <c r="P695" s="568">
        <v>8500</v>
      </c>
      <c r="Q695" s="569" t="s">
        <v>1700</v>
      </c>
      <c r="R695" s="569">
        <v>8</v>
      </c>
      <c r="S695" s="569" t="s">
        <v>1688</v>
      </c>
      <c r="T695" s="569" t="s">
        <v>1689</v>
      </c>
      <c r="U695" s="569">
        <v>158</v>
      </c>
      <c r="V695" s="569">
        <v>40</v>
      </c>
      <c r="W695" s="620">
        <v>11500</v>
      </c>
      <c r="X695" s="621" t="s">
        <v>157</v>
      </c>
      <c r="Y695" s="621" t="s">
        <v>450</v>
      </c>
      <c r="Z695" s="621" t="s">
        <v>178</v>
      </c>
      <c r="AA695" s="622">
        <v>32730</v>
      </c>
      <c r="AB695" s="622" t="s">
        <v>164</v>
      </c>
      <c r="AC695" s="622">
        <v>25250</v>
      </c>
      <c r="AD695" s="623">
        <v>0.01</v>
      </c>
      <c r="AE695" s="621" t="s">
        <v>1774</v>
      </c>
    </row>
    <row r="696" spans="1:31" s="572" customFormat="1">
      <c r="A696" s="570" t="s">
        <v>1781</v>
      </c>
      <c r="B696" s="573" t="s">
        <v>278</v>
      </c>
      <c r="C696" s="578">
        <v>15</v>
      </c>
      <c r="D696" s="573" t="s">
        <v>1516</v>
      </c>
      <c r="E696" s="573" t="s">
        <v>1684</v>
      </c>
      <c r="F696" s="573" t="s">
        <v>271</v>
      </c>
      <c r="G696" s="573">
        <v>2019</v>
      </c>
      <c r="H696" s="573" t="s">
        <v>1685</v>
      </c>
      <c r="I696" s="573" t="s">
        <v>1764</v>
      </c>
      <c r="J696" s="573" t="s">
        <v>236</v>
      </c>
      <c r="K696" s="573">
        <v>2</v>
      </c>
      <c r="L696" s="573">
        <v>0</v>
      </c>
      <c r="M696" s="573" t="s">
        <v>157</v>
      </c>
      <c r="N696" s="573">
        <v>1</v>
      </c>
      <c r="O696" s="573" t="s">
        <v>157</v>
      </c>
      <c r="P696" s="571">
        <v>8500</v>
      </c>
      <c r="Q696" s="573" t="s">
        <v>1687</v>
      </c>
      <c r="R696" s="573">
        <v>10</v>
      </c>
      <c r="S696" s="582" t="s">
        <v>1688</v>
      </c>
      <c r="T696" s="573" t="s">
        <v>1689</v>
      </c>
      <c r="U696" s="573">
        <v>138</v>
      </c>
      <c r="V696" s="573">
        <v>40</v>
      </c>
      <c r="W696" s="616">
        <v>11500</v>
      </c>
      <c r="X696" s="617" t="s">
        <v>157</v>
      </c>
      <c r="Y696" s="617" t="s">
        <v>178</v>
      </c>
      <c r="Z696" s="617" t="s">
        <v>178</v>
      </c>
      <c r="AA696" s="618">
        <v>32830</v>
      </c>
      <c r="AB696" s="618" t="s">
        <v>164</v>
      </c>
      <c r="AC696" s="618">
        <v>25300</v>
      </c>
      <c r="AD696" s="619">
        <v>0.01</v>
      </c>
      <c r="AE696" s="617" t="s">
        <v>1776</v>
      </c>
    </row>
    <row r="697" spans="1:31" s="572" customFormat="1">
      <c r="A697" s="570" t="s">
        <v>1782</v>
      </c>
      <c r="B697" s="569" t="s">
        <v>278</v>
      </c>
      <c r="C697" s="580">
        <v>15</v>
      </c>
      <c r="D697" s="569" t="s">
        <v>1516</v>
      </c>
      <c r="E697" s="569" t="s">
        <v>1684</v>
      </c>
      <c r="F697" s="569" t="s">
        <v>271</v>
      </c>
      <c r="G697" s="569">
        <v>2019</v>
      </c>
      <c r="H697" s="569" t="s">
        <v>1685</v>
      </c>
      <c r="I697" s="569" t="s">
        <v>1764</v>
      </c>
      <c r="J697" s="569" t="s">
        <v>236</v>
      </c>
      <c r="K697" s="569">
        <v>2</v>
      </c>
      <c r="L697" s="569">
        <v>0</v>
      </c>
      <c r="M697" s="569" t="s">
        <v>157</v>
      </c>
      <c r="N697" s="569">
        <v>1</v>
      </c>
      <c r="O697" s="569" t="s">
        <v>157</v>
      </c>
      <c r="P697" s="568">
        <v>8500</v>
      </c>
      <c r="Q697" s="569" t="s">
        <v>1687</v>
      </c>
      <c r="R697" s="569">
        <v>10</v>
      </c>
      <c r="S697" s="569" t="s">
        <v>1688</v>
      </c>
      <c r="T697" s="569" t="s">
        <v>1689</v>
      </c>
      <c r="U697" s="569">
        <v>158</v>
      </c>
      <c r="V697" s="569">
        <v>40</v>
      </c>
      <c r="W697" s="620">
        <v>11500</v>
      </c>
      <c r="X697" s="621" t="s">
        <v>157</v>
      </c>
      <c r="Y697" s="621" t="s">
        <v>178</v>
      </c>
      <c r="Z697" s="621" t="s">
        <v>178</v>
      </c>
      <c r="AA697" s="622">
        <v>33080</v>
      </c>
      <c r="AB697" s="622" t="s">
        <v>164</v>
      </c>
      <c r="AC697" s="622">
        <v>25550</v>
      </c>
      <c r="AD697" s="623">
        <v>0.01</v>
      </c>
      <c r="AE697" s="621" t="s">
        <v>1778</v>
      </c>
    </row>
    <row r="698" spans="1:31" s="572" customFormat="1">
      <c r="A698" s="570" t="s">
        <v>1783</v>
      </c>
      <c r="B698" s="573" t="s">
        <v>287</v>
      </c>
      <c r="C698" s="578">
        <v>26</v>
      </c>
      <c r="D698" s="573" t="s">
        <v>1516</v>
      </c>
      <c r="E698" s="573" t="s">
        <v>1684</v>
      </c>
      <c r="F698" s="573" t="s">
        <v>271</v>
      </c>
      <c r="G698" s="573">
        <v>2019</v>
      </c>
      <c r="H698" s="573" t="s">
        <v>1685</v>
      </c>
      <c r="I698" s="573" t="s">
        <v>1764</v>
      </c>
      <c r="J698" s="573" t="s">
        <v>236</v>
      </c>
      <c r="K698" s="573">
        <v>2</v>
      </c>
      <c r="L698" s="573">
        <v>0</v>
      </c>
      <c r="M698" s="573" t="s">
        <v>157</v>
      </c>
      <c r="N698" s="573">
        <v>1</v>
      </c>
      <c r="O698" s="573" t="s">
        <v>157</v>
      </c>
      <c r="P698" s="571" t="s">
        <v>157</v>
      </c>
      <c r="Q698" s="573" t="s">
        <v>1687</v>
      </c>
      <c r="R698" s="573">
        <v>10</v>
      </c>
      <c r="S698" s="582" t="s">
        <v>1688</v>
      </c>
      <c r="T698" s="573" t="s">
        <v>1689</v>
      </c>
      <c r="U698" s="573">
        <v>138</v>
      </c>
      <c r="V698" s="573">
        <v>40</v>
      </c>
      <c r="W698" s="616">
        <v>10050</v>
      </c>
      <c r="X698" s="617" t="s">
        <v>157</v>
      </c>
      <c r="Y698" s="617" t="s">
        <v>178</v>
      </c>
      <c r="Z698" s="617" t="s">
        <v>178</v>
      </c>
      <c r="AA698" s="618">
        <v>32580</v>
      </c>
      <c r="AB698" s="618" t="s">
        <v>164</v>
      </c>
      <c r="AC698" s="618">
        <v>25348</v>
      </c>
      <c r="AD698" s="619">
        <v>0.05</v>
      </c>
      <c r="AE698" s="617" t="s">
        <v>1768</v>
      </c>
    </row>
    <row r="699" spans="1:31" s="572" customFormat="1">
      <c r="A699" s="570" t="s">
        <v>1784</v>
      </c>
      <c r="B699" s="569" t="s">
        <v>287</v>
      </c>
      <c r="C699" s="580">
        <v>26</v>
      </c>
      <c r="D699" s="569" t="s">
        <v>1516</v>
      </c>
      <c r="E699" s="569" t="s">
        <v>1684</v>
      </c>
      <c r="F699" s="569" t="s">
        <v>271</v>
      </c>
      <c r="G699" s="569">
        <v>2019</v>
      </c>
      <c r="H699" s="569" t="s">
        <v>1685</v>
      </c>
      <c r="I699" s="569" t="s">
        <v>1764</v>
      </c>
      <c r="J699" s="569" t="s">
        <v>236</v>
      </c>
      <c r="K699" s="569">
        <v>2</v>
      </c>
      <c r="L699" s="569">
        <v>0</v>
      </c>
      <c r="M699" s="569" t="s">
        <v>157</v>
      </c>
      <c r="N699" s="569">
        <v>1</v>
      </c>
      <c r="O699" s="569" t="s">
        <v>157</v>
      </c>
      <c r="P699" s="568" t="s">
        <v>157</v>
      </c>
      <c r="Q699" s="569" t="s">
        <v>1687</v>
      </c>
      <c r="R699" s="569">
        <v>10</v>
      </c>
      <c r="S699" s="569" t="s">
        <v>1688</v>
      </c>
      <c r="T699" s="569" t="s">
        <v>1689</v>
      </c>
      <c r="U699" s="569">
        <v>158</v>
      </c>
      <c r="V699" s="569">
        <v>40</v>
      </c>
      <c r="W699" s="620">
        <v>10050</v>
      </c>
      <c r="X699" s="621" t="s">
        <v>157</v>
      </c>
      <c r="Y699" s="621" t="s">
        <v>178</v>
      </c>
      <c r="Z699" s="621" t="s">
        <v>178</v>
      </c>
      <c r="AA699" s="622">
        <v>32830</v>
      </c>
      <c r="AB699" s="622" t="s">
        <v>164</v>
      </c>
      <c r="AC699" s="622">
        <v>24976.604166666668</v>
      </c>
      <c r="AD699" s="623">
        <v>0.05</v>
      </c>
      <c r="AE699" s="621" t="s">
        <v>1770</v>
      </c>
    </row>
    <row r="700" spans="1:31" s="572" customFormat="1">
      <c r="A700" s="570" t="s">
        <v>1785</v>
      </c>
      <c r="B700" s="573" t="s">
        <v>280</v>
      </c>
      <c r="C700" s="578">
        <v>27</v>
      </c>
      <c r="D700" s="573" t="s">
        <v>1516</v>
      </c>
      <c r="E700" s="573" t="s">
        <v>1684</v>
      </c>
      <c r="F700" s="573" t="s">
        <v>271</v>
      </c>
      <c r="G700" s="573">
        <v>2019</v>
      </c>
      <c r="H700" s="573" t="s">
        <v>1685</v>
      </c>
      <c r="I700" s="573" t="s">
        <v>1764</v>
      </c>
      <c r="J700" s="573" t="s">
        <v>236</v>
      </c>
      <c r="K700" s="573">
        <v>2</v>
      </c>
      <c r="L700" s="573">
        <v>0</v>
      </c>
      <c r="M700" s="573" t="s">
        <v>157</v>
      </c>
      <c r="N700" s="573">
        <v>1</v>
      </c>
      <c r="O700" s="573" t="s">
        <v>157</v>
      </c>
      <c r="P700" s="571" t="s">
        <v>157</v>
      </c>
      <c r="Q700" s="573" t="s">
        <v>1700</v>
      </c>
      <c r="R700" s="573">
        <v>8</v>
      </c>
      <c r="S700" s="582" t="s">
        <v>1688</v>
      </c>
      <c r="T700" s="573" t="s">
        <v>1689</v>
      </c>
      <c r="U700" s="573">
        <v>138</v>
      </c>
      <c r="V700" s="573">
        <v>40</v>
      </c>
      <c r="W700" s="616">
        <v>10050</v>
      </c>
      <c r="X700" s="617" t="s">
        <v>157</v>
      </c>
      <c r="Y700" s="617" t="s">
        <v>450</v>
      </c>
      <c r="Z700" s="617" t="s">
        <v>178</v>
      </c>
      <c r="AA700" s="618">
        <v>32230</v>
      </c>
      <c r="AB700" s="618" t="s">
        <v>164</v>
      </c>
      <c r="AC700" s="618">
        <v>24437.020833333336</v>
      </c>
      <c r="AD700" s="619">
        <v>0.03</v>
      </c>
      <c r="AE700" s="617" t="s">
        <v>1763</v>
      </c>
    </row>
    <row r="701" spans="1:31" s="572" customFormat="1">
      <c r="A701" s="570" t="s">
        <v>1786</v>
      </c>
      <c r="B701" s="569" t="s">
        <v>280</v>
      </c>
      <c r="C701" s="580">
        <v>27</v>
      </c>
      <c r="D701" s="569" t="s">
        <v>1516</v>
      </c>
      <c r="E701" s="569" t="s">
        <v>1684</v>
      </c>
      <c r="F701" s="569" t="s">
        <v>271</v>
      </c>
      <c r="G701" s="569">
        <v>2019</v>
      </c>
      <c r="H701" s="569" t="s">
        <v>1685</v>
      </c>
      <c r="I701" s="569" t="s">
        <v>1764</v>
      </c>
      <c r="J701" s="569" t="s">
        <v>236</v>
      </c>
      <c r="K701" s="569">
        <v>2</v>
      </c>
      <c r="L701" s="569">
        <v>0</v>
      </c>
      <c r="M701" s="569" t="s">
        <v>157</v>
      </c>
      <c r="N701" s="569">
        <v>1</v>
      </c>
      <c r="O701" s="569" t="s">
        <v>157</v>
      </c>
      <c r="P701" s="568" t="s">
        <v>157</v>
      </c>
      <c r="Q701" s="569" t="s">
        <v>1700</v>
      </c>
      <c r="R701" s="569">
        <v>8</v>
      </c>
      <c r="S701" s="569" t="s">
        <v>1688</v>
      </c>
      <c r="T701" s="569" t="s">
        <v>1689</v>
      </c>
      <c r="U701" s="569">
        <v>158</v>
      </c>
      <c r="V701" s="569">
        <v>40</v>
      </c>
      <c r="W701" s="620">
        <v>10050</v>
      </c>
      <c r="X701" s="621" t="s">
        <v>157</v>
      </c>
      <c r="Y701" s="621" t="s">
        <v>450</v>
      </c>
      <c r="Z701" s="621" t="s">
        <v>178</v>
      </c>
      <c r="AA701" s="622">
        <v>32480</v>
      </c>
      <c r="AB701" s="622" t="s">
        <v>164</v>
      </c>
      <c r="AC701" s="622">
        <v>24666.187500000004</v>
      </c>
      <c r="AD701" s="623">
        <v>0.03</v>
      </c>
      <c r="AE701" s="621" t="s">
        <v>1766</v>
      </c>
    </row>
    <row r="702" spans="1:31" s="572" customFormat="1">
      <c r="A702" s="570" t="s">
        <v>1787</v>
      </c>
      <c r="B702" s="573" t="s">
        <v>280</v>
      </c>
      <c r="C702" s="578">
        <v>27</v>
      </c>
      <c r="D702" s="573" t="s">
        <v>1516</v>
      </c>
      <c r="E702" s="573" t="s">
        <v>1684</v>
      </c>
      <c r="F702" s="573" t="s">
        <v>271</v>
      </c>
      <c r="G702" s="573">
        <v>2019</v>
      </c>
      <c r="H702" s="573" t="s">
        <v>1685</v>
      </c>
      <c r="I702" s="573" t="s">
        <v>1764</v>
      </c>
      <c r="J702" s="573" t="s">
        <v>236</v>
      </c>
      <c r="K702" s="573">
        <v>2</v>
      </c>
      <c r="L702" s="573">
        <v>0</v>
      </c>
      <c r="M702" s="573" t="s">
        <v>157</v>
      </c>
      <c r="N702" s="573">
        <v>1</v>
      </c>
      <c r="O702" s="573" t="s">
        <v>157</v>
      </c>
      <c r="P702" s="571" t="s">
        <v>157</v>
      </c>
      <c r="Q702" s="573" t="s">
        <v>1687</v>
      </c>
      <c r="R702" s="573">
        <v>10</v>
      </c>
      <c r="S702" s="582" t="s">
        <v>1688</v>
      </c>
      <c r="T702" s="573" t="s">
        <v>1689</v>
      </c>
      <c r="U702" s="573">
        <v>138</v>
      </c>
      <c r="V702" s="573">
        <v>40</v>
      </c>
      <c r="W702" s="616">
        <v>10050</v>
      </c>
      <c r="X702" s="617" t="s">
        <v>157</v>
      </c>
      <c r="Y702" s="617" t="s">
        <v>178</v>
      </c>
      <c r="Z702" s="617" t="s">
        <v>178</v>
      </c>
      <c r="AA702" s="618">
        <v>32580</v>
      </c>
      <c r="AB702" s="618" t="s">
        <v>164</v>
      </c>
      <c r="AC702" s="618">
        <v>24747.437500000004</v>
      </c>
      <c r="AD702" s="619">
        <v>0.03</v>
      </c>
      <c r="AE702" s="617" t="s">
        <v>1768</v>
      </c>
    </row>
    <row r="703" spans="1:31" s="572" customFormat="1">
      <c r="A703" s="570" t="s">
        <v>1788</v>
      </c>
      <c r="B703" s="569" t="s">
        <v>280</v>
      </c>
      <c r="C703" s="580">
        <v>27</v>
      </c>
      <c r="D703" s="569" t="s">
        <v>1516</v>
      </c>
      <c r="E703" s="569" t="s">
        <v>1684</v>
      </c>
      <c r="F703" s="569" t="s">
        <v>271</v>
      </c>
      <c r="G703" s="569">
        <v>2019</v>
      </c>
      <c r="H703" s="569" t="s">
        <v>1685</v>
      </c>
      <c r="I703" s="569" t="s">
        <v>1764</v>
      </c>
      <c r="J703" s="569" t="s">
        <v>236</v>
      </c>
      <c r="K703" s="569">
        <v>2</v>
      </c>
      <c r="L703" s="569">
        <v>0</v>
      </c>
      <c r="M703" s="569" t="s">
        <v>157</v>
      </c>
      <c r="N703" s="569">
        <v>1</v>
      </c>
      <c r="O703" s="569" t="s">
        <v>157</v>
      </c>
      <c r="P703" s="568" t="s">
        <v>157</v>
      </c>
      <c r="Q703" s="569" t="s">
        <v>1687</v>
      </c>
      <c r="R703" s="569">
        <v>10</v>
      </c>
      <c r="S703" s="569" t="s">
        <v>1688</v>
      </c>
      <c r="T703" s="569" t="s">
        <v>1689</v>
      </c>
      <c r="U703" s="569">
        <v>158</v>
      </c>
      <c r="V703" s="569">
        <v>40</v>
      </c>
      <c r="W703" s="620">
        <v>10050</v>
      </c>
      <c r="X703" s="621" t="s">
        <v>157</v>
      </c>
      <c r="Y703" s="621" t="s">
        <v>178</v>
      </c>
      <c r="Z703" s="621" t="s">
        <v>178</v>
      </c>
      <c r="AA703" s="622">
        <v>32830</v>
      </c>
      <c r="AB703" s="622" t="s">
        <v>164</v>
      </c>
      <c r="AC703" s="622">
        <v>24976.604166666668</v>
      </c>
      <c r="AD703" s="623">
        <v>0.03</v>
      </c>
      <c r="AE703" s="621" t="s">
        <v>1770</v>
      </c>
    </row>
    <row r="704" spans="1:31" s="572" customFormat="1">
      <c r="A704" s="570" t="s">
        <v>1789</v>
      </c>
      <c r="B704" s="573" t="s">
        <v>280</v>
      </c>
      <c r="C704" s="578">
        <v>27</v>
      </c>
      <c r="D704" s="573" t="s">
        <v>1516</v>
      </c>
      <c r="E704" s="573" t="s">
        <v>1684</v>
      </c>
      <c r="F704" s="573" t="s">
        <v>271</v>
      </c>
      <c r="G704" s="573">
        <v>2019</v>
      </c>
      <c r="H704" s="573" t="s">
        <v>1685</v>
      </c>
      <c r="I704" s="573" t="s">
        <v>1764</v>
      </c>
      <c r="J704" s="573" t="s">
        <v>236</v>
      </c>
      <c r="K704" s="573">
        <v>2</v>
      </c>
      <c r="L704" s="573">
        <v>0</v>
      </c>
      <c r="M704" s="573" t="s">
        <v>157</v>
      </c>
      <c r="N704" s="573">
        <v>1</v>
      </c>
      <c r="O704" s="573" t="s">
        <v>157</v>
      </c>
      <c r="P704" s="571">
        <v>8500</v>
      </c>
      <c r="Q704" s="573" t="s">
        <v>1700</v>
      </c>
      <c r="R704" s="573">
        <v>8</v>
      </c>
      <c r="S704" s="582" t="s">
        <v>1688</v>
      </c>
      <c r="T704" s="573" t="s">
        <v>1689</v>
      </c>
      <c r="U704" s="573">
        <v>138</v>
      </c>
      <c r="V704" s="573">
        <v>40</v>
      </c>
      <c r="W704" s="616">
        <v>10050</v>
      </c>
      <c r="X704" s="617" t="s">
        <v>157</v>
      </c>
      <c r="Y704" s="617" t="s">
        <v>450</v>
      </c>
      <c r="Z704" s="617" t="s">
        <v>178</v>
      </c>
      <c r="AA704" s="618">
        <v>32230</v>
      </c>
      <c r="AB704" s="618" t="s">
        <v>164</v>
      </c>
      <c r="AC704" s="618">
        <v>24437.020833333336</v>
      </c>
      <c r="AD704" s="619">
        <v>0.03</v>
      </c>
      <c r="AE704" s="617" t="s">
        <v>1772</v>
      </c>
    </row>
    <row r="705" spans="1:31" s="572" customFormat="1">
      <c r="A705" s="570" t="s">
        <v>1790</v>
      </c>
      <c r="B705" s="569" t="s">
        <v>280</v>
      </c>
      <c r="C705" s="580">
        <v>27</v>
      </c>
      <c r="D705" s="569" t="s">
        <v>1516</v>
      </c>
      <c r="E705" s="569" t="s">
        <v>1684</v>
      </c>
      <c r="F705" s="569" t="s">
        <v>271</v>
      </c>
      <c r="G705" s="569">
        <v>2019</v>
      </c>
      <c r="H705" s="569" t="s">
        <v>1685</v>
      </c>
      <c r="I705" s="569" t="s">
        <v>1764</v>
      </c>
      <c r="J705" s="569" t="s">
        <v>236</v>
      </c>
      <c r="K705" s="569">
        <v>2</v>
      </c>
      <c r="L705" s="569">
        <v>0</v>
      </c>
      <c r="M705" s="569" t="s">
        <v>157</v>
      </c>
      <c r="N705" s="569">
        <v>1</v>
      </c>
      <c r="O705" s="569" t="s">
        <v>157</v>
      </c>
      <c r="P705" s="568">
        <v>8500</v>
      </c>
      <c r="Q705" s="569" t="s">
        <v>1700</v>
      </c>
      <c r="R705" s="569">
        <v>8</v>
      </c>
      <c r="S705" s="569" t="s">
        <v>1688</v>
      </c>
      <c r="T705" s="569" t="s">
        <v>1689</v>
      </c>
      <c r="U705" s="569">
        <v>158</v>
      </c>
      <c r="V705" s="569">
        <v>40</v>
      </c>
      <c r="W705" s="620">
        <v>10050</v>
      </c>
      <c r="X705" s="621" t="s">
        <v>157</v>
      </c>
      <c r="Y705" s="621" t="s">
        <v>450</v>
      </c>
      <c r="Z705" s="621" t="s">
        <v>178</v>
      </c>
      <c r="AA705" s="622">
        <v>32480</v>
      </c>
      <c r="AB705" s="622" t="s">
        <v>164</v>
      </c>
      <c r="AC705" s="622">
        <v>24666.187500000004</v>
      </c>
      <c r="AD705" s="623">
        <v>0.03</v>
      </c>
      <c r="AE705" s="621" t="s">
        <v>1774</v>
      </c>
    </row>
    <row r="706" spans="1:31" s="572" customFormat="1">
      <c r="A706" s="570" t="s">
        <v>1791</v>
      </c>
      <c r="B706" s="573" t="s">
        <v>280</v>
      </c>
      <c r="C706" s="578">
        <v>27</v>
      </c>
      <c r="D706" s="573" t="s">
        <v>1516</v>
      </c>
      <c r="E706" s="573" t="s">
        <v>1684</v>
      </c>
      <c r="F706" s="573" t="s">
        <v>271</v>
      </c>
      <c r="G706" s="573">
        <v>2019</v>
      </c>
      <c r="H706" s="573" t="s">
        <v>1685</v>
      </c>
      <c r="I706" s="573" t="s">
        <v>1764</v>
      </c>
      <c r="J706" s="573" t="s">
        <v>236</v>
      </c>
      <c r="K706" s="573">
        <v>2</v>
      </c>
      <c r="L706" s="573">
        <v>0</v>
      </c>
      <c r="M706" s="573" t="s">
        <v>157</v>
      </c>
      <c r="N706" s="573">
        <v>1</v>
      </c>
      <c r="O706" s="573" t="s">
        <v>157</v>
      </c>
      <c r="P706" s="571">
        <v>8500</v>
      </c>
      <c r="Q706" s="573" t="s">
        <v>1687</v>
      </c>
      <c r="R706" s="573">
        <v>10</v>
      </c>
      <c r="S706" s="582" t="s">
        <v>1688</v>
      </c>
      <c r="T706" s="573" t="s">
        <v>1689</v>
      </c>
      <c r="U706" s="573">
        <v>138</v>
      </c>
      <c r="V706" s="573">
        <v>40</v>
      </c>
      <c r="W706" s="616">
        <v>10050</v>
      </c>
      <c r="X706" s="617" t="s">
        <v>157</v>
      </c>
      <c r="Y706" s="617" t="s">
        <v>178</v>
      </c>
      <c r="Z706" s="617" t="s">
        <v>178</v>
      </c>
      <c r="AA706" s="618">
        <v>32580</v>
      </c>
      <c r="AB706" s="618" t="s">
        <v>164</v>
      </c>
      <c r="AC706" s="618">
        <v>24747.437500000004</v>
      </c>
      <c r="AD706" s="619">
        <v>0.03</v>
      </c>
      <c r="AE706" s="617" t="s">
        <v>1776</v>
      </c>
    </row>
    <row r="707" spans="1:31" s="572" customFormat="1">
      <c r="A707" s="570" t="s">
        <v>1792</v>
      </c>
      <c r="B707" s="569" t="s">
        <v>280</v>
      </c>
      <c r="C707" s="580">
        <v>27</v>
      </c>
      <c r="D707" s="569" t="s">
        <v>1516</v>
      </c>
      <c r="E707" s="569" t="s">
        <v>1684</v>
      </c>
      <c r="F707" s="569" t="s">
        <v>271</v>
      </c>
      <c r="G707" s="569">
        <v>2019</v>
      </c>
      <c r="H707" s="569" t="s">
        <v>1685</v>
      </c>
      <c r="I707" s="569" t="s">
        <v>1764</v>
      </c>
      <c r="J707" s="569" t="s">
        <v>236</v>
      </c>
      <c r="K707" s="569">
        <v>2</v>
      </c>
      <c r="L707" s="569">
        <v>0</v>
      </c>
      <c r="M707" s="569" t="s">
        <v>157</v>
      </c>
      <c r="N707" s="569">
        <v>1</v>
      </c>
      <c r="O707" s="569" t="s">
        <v>157</v>
      </c>
      <c r="P707" s="568">
        <v>8500</v>
      </c>
      <c r="Q707" s="569" t="s">
        <v>1687</v>
      </c>
      <c r="R707" s="569">
        <v>10</v>
      </c>
      <c r="S707" s="569" t="s">
        <v>1688</v>
      </c>
      <c r="T707" s="569" t="s">
        <v>1689</v>
      </c>
      <c r="U707" s="569">
        <v>158</v>
      </c>
      <c r="V707" s="569">
        <v>40</v>
      </c>
      <c r="W707" s="620">
        <v>10050</v>
      </c>
      <c r="X707" s="621" t="s">
        <v>157</v>
      </c>
      <c r="Y707" s="621" t="s">
        <v>178</v>
      </c>
      <c r="Z707" s="621" t="s">
        <v>178</v>
      </c>
      <c r="AA707" s="622">
        <v>32830</v>
      </c>
      <c r="AB707" s="622" t="s">
        <v>164</v>
      </c>
      <c r="AC707" s="622">
        <v>24976.604166666668</v>
      </c>
      <c r="AD707" s="623">
        <v>0.03</v>
      </c>
      <c r="AE707" s="621" t="s">
        <v>1778</v>
      </c>
    </row>
    <row r="708" spans="1:31" s="572" customFormat="1">
      <c r="A708" s="570" t="s">
        <v>1793</v>
      </c>
      <c r="B708" s="573" t="s">
        <v>269</v>
      </c>
      <c r="C708" s="578" t="s">
        <v>270</v>
      </c>
      <c r="D708" s="573" t="s">
        <v>1516</v>
      </c>
      <c r="E708" s="573" t="s">
        <v>1684</v>
      </c>
      <c r="F708" s="573" t="s">
        <v>271</v>
      </c>
      <c r="G708" s="573">
        <v>2019</v>
      </c>
      <c r="H708" s="573" t="s">
        <v>1685</v>
      </c>
      <c r="I708" s="573" t="s">
        <v>1795</v>
      </c>
      <c r="J708" s="573" t="s">
        <v>236</v>
      </c>
      <c r="K708" s="573">
        <v>1</v>
      </c>
      <c r="L708" s="573">
        <v>0</v>
      </c>
      <c r="M708" s="573" t="s">
        <v>157</v>
      </c>
      <c r="N708" s="573">
        <v>1</v>
      </c>
      <c r="O708" s="573" t="s">
        <v>157</v>
      </c>
      <c r="P708" s="571" t="s">
        <v>157</v>
      </c>
      <c r="Q708" s="573" t="s">
        <v>1700</v>
      </c>
      <c r="R708" s="573">
        <v>8</v>
      </c>
      <c r="S708" s="582" t="s">
        <v>1743</v>
      </c>
      <c r="T708" s="573" t="s">
        <v>1744</v>
      </c>
      <c r="U708" s="573">
        <v>138</v>
      </c>
      <c r="V708" s="573">
        <v>40</v>
      </c>
      <c r="W708" s="616">
        <v>11500</v>
      </c>
      <c r="X708" s="617" t="s">
        <v>157</v>
      </c>
      <c r="Y708" s="617" t="s">
        <v>450</v>
      </c>
      <c r="Z708" s="617" t="s">
        <v>178</v>
      </c>
      <c r="AA708" s="618">
        <v>29290</v>
      </c>
      <c r="AB708" s="618" t="s">
        <v>164</v>
      </c>
      <c r="AC708" s="618">
        <v>22792.229166666668</v>
      </c>
      <c r="AD708" s="619">
        <v>0.03</v>
      </c>
      <c r="AE708" s="617" t="s">
        <v>1794</v>
      </c>
    </row>
    <row r="709" spans="1:31" s="572" customFormat="1">
      <c r="A709" s="570" t="s">
        <v>1796</v>
      </c>
      <c r="B709" s="569" t="s">
        <v>269</v>
      </c>
      <c r="C709" s="580" t="s">
        <v>270</v>
      </c>
      <c r="D709" s="569" t="s">
        <v>1516</v>
      </c>
      <c r="E709" s="569" t="s">
        <v>1684</v>
      </c>
      <c r="F709" s="569" t="s">
        <v>271</v>
      </c>
      <c r="G709" s="569">
        <v>2019</v>
      </c>
      <c r="H709" s="569" t="s">
        <v>1685</v>
      </c>
      <c r="I709" s="569" t="s">
        <v>1795</v>
      </c>
      <c r="J709" s="569" t="s">
        <v>236</v>
      </c>
      <c r="K709" s="569">
        <v>1</v>
      </c>
      <c r="L709" s="569">
        <v>0</v>
      </c>
      <c r="M709" s="569" t="s">
        <v>157</v>
      </c>
      <c r="N709" s="569">
        <v>1</v>
      </c>
      <c r="O709" s="569" t="s">
        <v>157</v>
      </c>
      <c r="P709" s="568" t="s">
        <v>157</v>
      </c>
      <c r="Q709" s="569" t="s">
        <v>1700</v>
      </c>
      <c r="R709" s="569">
        <v>8</v>
      </c>
      <c r="S709" s="569" t="s">
        <v>1743</v>
      </c>
      <c r="T709" s="569" t="s">
        <v>1744</v>
      </c>
      <c r="U709" s="569">
        <v>158</v>
      </c>
      <c r="V709" s="569">
        <v>40</v>
      </c>
      <c r="W709" s="620">
        <v>12500</v>
      </c>
      <c r="X709" s="621" t="s">
        <v>157</v>
      </c>
      <c r="Y709" s="621" t="s">
        <v>450</v>
      </c>
      <c r="Z709" s="621" t="s">
        <v>178</v>
      </c>
      <c r="AA709" s="622">
        <v>29540</v>
      </c>
      <c r="AB709" s="622" t="s">
        <v>164</v>
      </c>
      <c r="AC709" s="622">
        <v>23020.354166666668</v>
      </c>
      <c r="AD709" s="623">
        <v>0.03</v>
      </c>
      <c r="AE709" s="621" t="s">
        <v>1797</v>
      </c>
    </row>
    <row r="710" spans="1:31" s="572" customFormat="1">
      <c r="A710" s="570" t="s">
        <v>1798</v>
      </c>
      <c r="B710" s="573" t="s">
        <v>269</v>
      </c>
      <c r="C710" s="578" t="s">
        <v>270</v>
      </c>
      <c r="D710" s="573" t="s">
        <v>1516</v>
      </c>
      <c r="E710" s="573" t="s">
        <v>1684</v>
      </c>
      <c r="F710" s="573" t="s">
        <v>271</v>
      </c>
      <c r="G710" s="573">
        <v>2019</v>
      </c>
      <c r="H710" s="573" t="s">
        <v>1685</v>
      </c>
      <c r="I710" s="573" t="s">
        <v>1795</v>
      </c>
      <c r="J710" s="573" t="s">
        <v>236</v>
      </c>
      <c r="K710" s="573">
        <v>1</v>
      </c>
      <c r="L710" s="573">
        <v>0</v>
      </c>
      <c r="M710" s="573" t="s">
        <v>157</v>
      </c>
      <c r="N710" s="573">
        <v>1</v>
      </c>
      <c r="O710" s="573" t="s">
        <v>157</v>
      </c>
      <c r="P710" s="571" t="s">
        <v>157</v>
      </c>
      <c r="Q710" s="573" t="s">
        <v>1700</v>
      </c>
      <c r="R710" s="573">
        <v>8</v>
      </c>
      <c r="S710" s="582" t="s">
        <v>1743</v>
      </c>
      <c r="T710" s="573" t="s">
        <v>1744</v>
      </c>
      <c r="U710" s="573">
        <v>176</v>
      </c>
      <c r="V710" s="573">
        <v>40</v>
      </c>
      <c r="W710" s="616">
        <v>12500</v>
      </c>
      <c r="X710" s="617" t="s">
        <v>157</v>
      </c>
      <c r="Y710" s="617" t="s">
        <v>450</v>
      </c>
      <c r="Z710" s="617" t="s">
        <v>178</v>
      </c>
      <c r="AA710" s="618">
        <v>30040</v>
      </c>
      <c r="AB710" s="618" t="s">
        <v>164</v>
      </c>
      <c r="AC710" s="618">
        <v>23476.604166666668</v>
      </c>
      <c r="AD710" s="619">
        <v>0.03</v>
      </c>
      <c r="AE710" s="617" t="s">
        <v>1799</v>
      </c>
    </row>
    <row r="711" spans="1:31" s="572" customFormat="1">
      <c r="A711" s="570" t="s">
        <v>1800</v>
      </c>
      <c r="B711" s="569" t="s">
        <v>269</v>
      </c>
      <c r="C711" s="580" t="s">
        <v>270</v>
      </c>
      <c r="D711" s="569" t="s">
        <v>1516</v>
      </c>
      <c r="E711" s="569" t="s">
        <v>1684</v>
      </c>
      <c r="F711" s="569" t="s">
        <v>271</v>
      </c>
      <c r="G711" s="569">
        <v>2019</v>
      </c>
      <c r="H711" s="569" t="s">
        <v>1685</v>
      </c>
      <c r="I711" s="569" t="s">
        <v>1795</v>
      </c>
      <c r="J711" s="569" t="s">
        <v>236</v>
      </c>
      <c r="K711" s="569">
        <v>1</v>
      </c>
      <c r="L711" s="569">
        <v>0</v>
      </c>
      <c r="M711" s="569" t="s">
        <v>157</v>
      </c>
      <c r="N711" s="569">
        <v>1</v>
      </c>
      <c r="O711" s="569" t="s">
        <v>157</v>
      </c>
      <c r="P711" s="568" t="s">
        <v>157</v>
      </c>
      <c r="Q711" s="569" t="s">
        <v>1687</v>
      </c>
      <c r="R711" s="569">
        <v>10</v>
      </c>
      <c r="S711" s="569" t="s">
        <v>1743</v>
      </c>
      <c r="T711" s="569" t="s">
        <v>1744</v>
      </c>
      <c r="U711" s="569">
        <v>138</v>
      </c>
      <c r="V711" s="569">
        <v>40</v>
      </c>
      <c r="W711" s="620">
        <v>11500</v>
      </c>
      <c r="X711" s="621" t="s">
        <v>157</v>
      </c>
      <c r="Y711" s="621" t="s">
        <v>178</v>
      </c>
      <c r="Z711" s="621" t="s">
        <v>178</v>
      </c>
      <c r="AA711" s="622">
        <v>29640</v>
      </c>
      <c r="AB711" s="622" t="s">
        <v>164</v>
      </c>
      <c r="AC711" s="622">
        <v>23102.645833333336</v>
      </c>
      <c r="AD711" s="623">
        <v>0.03</v>
      </c>
      <c r="AE711" s="621" t="s">
        <v>1801</v>
      </c>
    </row>
    <row r="712" spans="1:31" s="572" customFormat="1">
      <c r="A712" s="570" t="s">
        <v>1802</v>
      </c>
      <c r="B712" s="573" t="s">
        <v>269</v>
      </c>
      <c r="C712" s="578" t="s">
        <v>270</v>
      </c>
      <c r="D712" s="573" t="s">
        <v>1516</v>
      </c>
      <c r="E712" s="573" t="s">
        <v>1684</v>
      </c>
      <c r="F712" s="573" t="s">
        <v>271</v>
      </c>
      <c r="G712" s="573">
        <v>2019</v>
      </c>
      <c r="H712" s="573" t="s">
        <v>1685</v>
      </c>
      <c r="I712" s="573" t="s">
        <v>1795</v>
      </c>
      <c r="J712" s="573" t="s">
        <v>236</v>
      </c>
      <c r="K712" s="573">
        <v>1</v>
      </c>
      <c r="L712" s="573">
        <v>0</v>
      </c>
      <c r="M712" s="573" t="s">
        <v>157</v>
      </c>
      <c r="N712" s="573">
        <v>1</v>
      </c>
      <c r="O712" s="573" t="s">
        <v>157</v>
      </c>
      <c r="P712" s="571" t="s">
        <v>157</v>
      </c>
      <c r="Q712" s="573" t="s">
        <v>1687</v>
      </c>
      <c r="R712" s="573">
        <v>10</v>
      </c>
      <c r="S712" s="582" t="s">
        <v>1743</v>
      </c>
      <c r="T712" s="573" t="s">
        <v>1744</v>
      </c>
      <c r="U712" s="573">
        <v>158</v>
      </c>
      <c r="V712" s="573">
        <v>40</v>
      </c>
      <c r="W712" s="616">
        <v>12500</v>
      </c>
      <c r="X712" s="617" t="s">
        <v>157</v>
      </c>
      <c r="Y712" s="617" t="s">
        <v>178</v>
      </c>
      <c r="Z712" s="617" t="s">
        <v>178</v>
      </c>
      <c r="AA712" s="618">
        <v>29890</v>
      </c>
      <c r="AB712" s="618" t="s">
        <v>164</v>
      </c>
      <c r="AC712" s="618">
        <v>23330.770833333336</v>
      </c>
      <c r="AD712" s="619">
        <v>0.03</v>
      </c>
      <c r="AE712" s="617" t="s">
        <v>1803</v>
      </c>
    </row>
    <row r="713" spans="1:31" s="572" customFormat="1">
      <c r="A713" s="570" t="s">
        <v>1804</v>
      </c>
      <c r="B713" s="569" t="s">
        <v>269</v>
      </c>
      <c r="C713" s="580" t="s">
        <v>270</v>
      </c>
      <c r="D713" s="569" t="s">
        <v>1516</v>
      </c>
      <c r="E713" s="569" t="s">
        <v>1684</v>
      </c>
      <c r="F713" s="569" t="s">
        <v>271</v>
      </c>
      <c r="G713" s="569">
        <v>2019</v>
      </c>
      <c r="H713" s="569" t="s">
        <v>1685</v>
      </c>
      <c r="I713" s="569" t="s">
        <v>1795</v>
      </c>
      <c r="J713" s="569" t="s">
        <v>236</v>
      </c>
      <c r="K713" s="569">
        <v>1</v>
      </c>
      <c r="L713" s="569">
        <v>0</v>
      </c>
      <c r="M713" s="569" t="s">
        <v>157</v>
      </c>
      <c r="N713" s="569">
        <v>1</v>
      </c>
      <c r="O713" s="569" t="s">
        <v>157</v>
      </c>
      <c r="P713" s="568" t="s">
        <v>157</v>
      </c>
      <c r="Q713" s="569" t="s">
        <v>1687</v>
      </c>
      <c r="R713" s="569">
        <v>10</v>
      </c>
      <c r="S713" s="569" t="s">
        <v>1743</v>
      </c>
      <c r="T713" s="569" t="s">
        <v>1744</v>
      </c>
      <c r="U713" s="569">
        <v>176</v>
      </c>
      <c r="V713" s="569">
        <v>40</v>
      </c>
      <c r="W713" s="620">
        <v>12500</v>
      </c>
      <c r="X713" s="621" t="s">
        <v>157</v>
      </c>
      <c r="Y713" s="621" t="s">
        <v>178</v>
      </c>
      <c r="Z713" s="621" t="s">
        <v>178</v>
      </c>
      <c r="AA713" s="622">
        <v>30390</v>
      </c>
      <c r="AB713" s="622" t="s">
        <v>164</v>
      </c>
      <c r="AC713" s="622">
        <v>23787.020833333336</v>
      </c>
      <c r="AD713" s="623">
        <v>0.03</v>
      </c>
      <c r="AE713" s="621" t="s">
        <v>1805</v>
      </c>
    </row>
    <row r="714" spans="1:31" s="572" customFormat="1">
      <c r="A714" s="570" t="s">
        <v>1806</v>
      </c>
      <c r="B714" s="573" t="s">
        <v>269</v>
      </c>
      <c r="C714" s="578" t="s">
        <v>270</v>
      </c>
      <c r="D714" s="573" t="s">
        <v>1516</v>
      </c>
      <c r="E714" s="573" t="s">
        <v>1684</v>
      </c>
      <c r="F714" s="573" t="s">
        <v>271</v>
      </c>
      <c r="G714" s="573">
        <v>2019</v>
      </c>
      <c r="H714" s="573" t="s">
        <v>1685</v>
      </c>
      <c r="I714" s="573" t="s">
        <v>1795</v>
      </c>
      <c r="J714" s="573" t="s">
        <v>236</v>
      </c>
      <c r="K714" s="573">
        <v>1</v>
      </c>
      <c r="L714" s="573">
        <v>0</v>
      </c>
      <c r="M714" s="573" t="s">
        <v>157</v>
      </c>
      <c r="N714" s="573">
        <v>1</v>
      </c>
      <c r="O714" s="573" t="s">
        <v>157</v>
      </c>
      <c r="P714" s="571">
        <v>8500</v>
      </c>
      <c r="Q714" s="573" t="s">
        <v>1700</v>
      </c>
      <c r="R714" s="573">
        <v>8</v>
      </c>
      <c r="S714" s="582" t="s">
        <v>1743</v>
      </c>
      <c r="T714" s="573" t="s">
        <v>1744</v>
      </c>
      <c r="U714" s="573">
        <v>138</v>
      </c>
      <c r="V714" s="573">
        <v>40</v>
      </c>
      <c r="W714" s="616">
        <v>11500</v>
      </c>
      <c r="X714" s="617" t="s">
        <v>157</v>
      </c>
      <c r="Y714" s="617" t="s">
        <v>450</v>
      </c>
      <c r="Z714" s="617" t="s">
        <v>178</v>
      </c>
      <c r="AA714" s="618">
        <v>29290</v>
      </c>
      <c r="AB714" s="618" t="s">
        <v>164</v>
      </c>
      <c r="AC714" s="618">
        <v>22792.229166666668</v>
      </c>
      <c r="AD714" s="619">
        <v>0.03</v>
      </c>
      <c r="AE714" s="617" t="s">
        <v>1807</v>
      </c>
    </row>
    <row r="715" spans="1:31" s="572" customFormat="1">
      <c r="A715" s="570" t="s">
        <v>1808</v>
      </c>
      <c r="B715" s="569" t="s">
        <v>269</v>
      </c>
      <c r="C715" s="580" t="s">
        <v>270</v>
      </c>
      <c r="D715" s="569" t="s">
        <v>1516</v>
      </c>
      <c r="E715" s="569" t="s">
        <v>1684</v>
      </c>
      <c r="F715" s="569" t="s">
        <v>271</v>
      </c>
      <c r="G715" s="569">
        <v>2019</v>
      </c>
      <c r="H715" s="569" t="s">
        <v>1685</v>
      </c>
      <c r="I715" s="569" t="s">
        <v>1795</v>
      </c>
      <c r="J715" s="569" t="s">
        <v>236</v>
      </c>
      <c r="K715" s="569">
        <v>1</v>
      </c>
      <c r="L715" s="569">
        <v>0</v>
      </c>
      <c r="M715" s="569" t="s">
        <v>157</v>
      </c>
      <c r="N715" s="569">
        <v>1</v>
      </c>
      <c r="O715" s="569" t="s">
        <v>157</v>
      </c>
      <c r="P715" s="568">
        <v>8500</v>
      </c>
      <c r="Q715" s="569" t="s">
        <v>1700</v>
      </c>
      <c r="R715" s="569">
        <v>8</v>
      </c>
      <c r="S715" s="569" t="s">
        <v>1743</v>
      </c>
      <c r="T715" s="569" t="s">
        <v>1744</v>
      </c>
      <c r="U715" s="569">
        <v>158</v>
      </c>
      <c r="V715" s="569">
        <v>40</v>
      </c>
      <c r="W715" s="620">
        <v>12500</v>
      </c>
      <c r="X715" s="621" t="s">
        <v>157</v>
      </c>
      <c r="Y715" s="621" t="s">
        <v>450</v>
      </c>
      <c r="Z715" s="621" t="s">
        <v>178</v>
      </c>
      <c r="AA715" s="622">
        <v>29540</v>
      </c>
      <c r="AB715" s="622" t="s">
        <v>164</v>
      </c>
      <c r="AC715" s="622">
        <v>23020.354166666668</v>
      </c>
      <c r="AD715" s="623">
        <v>0.03</v>
      </c>
      <c r="AE715" s="621" t="s">
        <v>1809</v>
      </c>
    </row>
    <row r="716" spans="1:31" s="572" customFormat="1">
      <c r="A716" s="570" t="s">
        <v>1810</v>
      </c>
      <c r="B716" s="573" t="s">
        <v>269</v>
      </c>
      <c r="C716" s="578" t="s">
        <v>270</v>
      </c>
      <c r="D716" s="573" t="s">
        <v>1516</v>
      </c>
      <c r="E716" s="573" t="s">
        <v>1684</v>
      </c>
      <c r="F716" s="573" t="s">
        <v>271</v>
      </c>
      <c r="G716" s="573">
        <v>2019</v>
      </c>
      <c r="H716" s="573" t="s">
        <v>1685</v>
      </c>
      <c r="I716" s="573" t="s">
        <v>1795</v>
      </c>
      <c r="J716" s="573" t="s">
        <v>236</v>
      </c>
      <c r="K716" s="573">
        <v>1</v>
      </c>
      <c r="L716" s="573">
        <v>0</v>
      </c>
      <c r="M716" s="573" t="s">
        <v>157</v>
      </c>
      <c r="N716" s="573">
        <v>1</v>
      </c>
      <c r="O716" s="573" t="s">
        <v>157</v>
      </c>
      <c r="P716" s="571">
        <v>8500</v>
      </c>
      <c r="Q716" s="573" t="s">
        <v>1700</v>
      </c>
      <c r="R716" s="573">
        <v>8</v>
      </c>
      <c r="S716" s="582" t="s">
        <v>1743</v>
      </c>
      <c r="T716" s="573" t="s">
        <v>1744</v>
      </c>
      <c r="U716" s="573">
        <v>176</v>
      </c>
      <c r="V716" s="573">
        <v>40</v>
      </c>
      <c r="W716" s="616">
        <v>12500</v>
      </c>
      <c r="X716" s="617" t="s">
        <v>157</v>
      </c>
      <c r="Y716" s="617" t="s">
        <v>450</v>
      </c>
      <c r="Z716" s="617" t="s">
        <v>178</v>
      </c>
      <c r="AA716" s="618">
        <v>30040</v>
      </c>
      <c r="AB716" s="618" t="s">
        <v>164</v>
      </c>
      <c r="AC716" s="618">
        <v>23476.604166666668</v>
      </c>
      <c r="AD716" s="619">
        <v>0.03</v>
      </c>
      <c r="AE716" s="617" t="s">
        <v>1811</v>
      </c>
    </row>
    <row r="717" spans="1:31" s="572" customFormat="1">
      <c r="A717" s="570" t="s">
        <v>1812</v>
      </c>
      <c r="B717" s="569" t="s">
        <v>269</v>
      </c>
      <c r="C717" s="580" t="s">
        <v>270</v>
      </c>
      <c r="D717" s="569" t="s">
        <v>1516</v>
      </c>
      <c r="E717" s="569" t="s">
        <v>1684</v>
      </c>
      <c r="F717" s="569" t="s">
        <v>271</v>
      </c>
      <c r="G717" s="569">
        <v>2019</v>
      </c>
      <c r="H717" s="569" t="s">
        <v>1685</v>
      </c>
      <c r="I717" s="569" t="s">
        <v>1795</v>
      </c>
      <c r="J717" s="569" t="s">
        <v>236</v>
      </c>
      <c r="K717" s="569">
        <v>1</v>
      </c>
      <c r="L717" s="569">
        <v>0</v>
      </c>
      <c r="M717" s="569" t="s">
        <v>157</v>
      </c>
      <c r="N717" s="569">
        <v>1</v>
      </c>
      <c r="O717" s="569" t="s">
        <v>157</v>
      </c>
      <c r="P717" s="568">
        <v>8500</v>
      </c>
      <c r="Q717" s="569" t="s">
        <v>1687</v>
      </c>
      <c r="R717" s="569">
        <v>10</v>
      </c>
      <c r="S717" s="569" t="s">
        <v>1743</v>
      </c>
      <c r="T717" s="569" t="s">
        <v>1744</v>
      </c>
      <c r="U717" s="569">
        <v>138</v>
      </c>
      <c r="V717" s="569">
        <v>40</v>
      </c>
      <c r="W717" s="620">
        <v>11500</v>
      </c>
      <c r="X717" s="621" t="s">
        <v>157</v>
      </c>
      <c r="Y717" s="621" t="s">
        <v>178</v>
      </c>
      <c r="Z717" s="621" t="s">
        <v>178</v>
      </c>
      <c r="AA717" s="622">
        <v>29640</v>
      </c>
      <c r="AB717" s="622" t="s">
        <v>164</v>
      </c>
      <c r="AC717" s="622">
        <v>23102.645833333336</v>
      </c>
      <c r="AD717" s="623">
        <v>0.03</v>
      </c>
      <c r="AE717" s="621" t="s">
        <v>1813</v>
      </c>
    </row>
    <row r="718" spans="1:31" s="572" customFormat="1">
      <c r="A718" s="570" t="s">
        <v>1814</v>
      </c>
      <c r="B718" s="573" t="s">
        <v>269</v>
      </c>
      <c r="C718" s="578" t="s">
        <v>270</v>
      </c>
      <c r="D718" s="573" t="s">
        <v>1516</v>
      </c>
      <c r="E718" s="573" t="s">
        <v>1684</v>
      </c>
      <c r="F718" s="573" t="s">
        <v>271</v>
      </c>
      <c r="G718" s="573">
        <v>2019</v>
      </c>
      <c r="H718" s="573" t="s">
        <v>1685</v>
      </c>
      <c r="I718" s="573" t="s">
        <v>1795</v>
      </c>
      <c r="J718" s="573" t="s">
        <v>236</v>
      </c>
      <c r="K718" s="573">
        <v>1</v>
      </c>
      <c r="L718" s="573">
        <v>0</v>
      </c>
      <c r="M718" s="573" t="s">
        <v>157</v>
      </c>
      <c r="N718" s="573">
        <v>1</v>
      </c>
      <c r="O718" s="573" t="s">
        <v>157</v>
      </c>
      <c r="P718" s="571">
        <v>8500</v>
      </c>
      <c r="Q718" s="573" t="s">
        <v>1687</v>
      </c>
      <c r="R718" s="573">
        <v>10</v>
      </c>
      <c r="S718" s="582" t="s">
        <v>1743</v>
      </c>
      <c r="T718" s="573" t="s">
        <v>1744</v>
      </c>
      <c r="U718" s="573">
        <v>158</v>
      </c>
      <c r="V718" s="573">
        <v>40</v>
      </c>
      <c r="W718" s="616">
        <v>12500</v>
      </c>
      <c r="X718" s="617" t="s">
        <v>157</v>
      </c>
      <c r="Y718" s="617" t="s">
        <v>178</v>
      </c>
      <c r="Z718" s="617" t="s">
        <v>178</v>
      </c>
      <c r="AA718" s="618">
        <v>29890</v>
      </c>
      <c r="AB718" s="618" t="s">
        <v>164</v>
      </c>
      <c r="AC718" s="618">
        <v>23330.770833333336</v>
      </c>
      <c r="AD718" s="619">
        <v>0.03</v>
      </c>
      <c r="AE718" s="617" t="s">
        <v>1815</v>
      </c>
    </row>
    <row r="719" spans="1:31" s="572" customFormat="1">
      <c r="A719" s="570" t="s">
        <v>1816</v>
      </c>
      <c r="B719" s="569" t="s">
        <v>269</v>
      </c>
      <c r="C719" s="580" t="s">
        <v>270</v>
      </c>
      <c r="D719" s="569" t="s">
        <v>1516</v>
      </c>
      <c r="E719" s="569" t="s">
        <v>1684</v>
      </c>
      <c r="F719" s="569" t="s">
        <v>271</v>
      </c>
      <c r="G719" s="569">
        <v>2019</v>
      </c>
      <c r="H719" s="569" t="s">
        <v>1685</v>
      </c>
      <c r="I719" s="569" t="s">
        <v>1795</v>
      </c>
      <c r="J719" s="569" t="s">
        <v>236</v>
      </c>
      <c r="K719" s="569">
        <v>1</v>
      </c>
      <c r="L719" s="569">
        <v>0</v>
      </c>
      <c r="M719" s="569" t="s">
        <v>157</v>
      </c>
      <c r="N719" s="569">
        <v>1</v>
      </c>
      <c r="O719" s="569" t="s">
        <v>157</v>
      </c>
      <c r="P719" s="568">
        <v>8500</v>
      </c>
      <c r="Q719" s="569" t="s">
        <v>1687</v>
      </c>
      <c r="R719" s="569">
        <v>10</v>
      </c>
      <c r="S719" s="569" t="s">
        <v>1743</v>
      </c>
      <c r="T719" s="569" t="s">
        <v>1744</v>
      </c>
      <c r="U719" s="569">
        <v>176</v>
      </c>
      <c r="V719" s="569">
        <v>40</v>
      </c>
      <c r="W719" s="620">
        <v>12500</v>
      </c>
      <c r="X719" s="621" t="s">
        <v>157</v>
      </c>
      <c r="Y719" s="621" t="s">
        <v>178</v>
      </c>
      <c r="Z719" s="621" t="s">
        <v>178</v>
      </c>
      <c r="AA719" s="622">
        <v>30390</v>
      </c>
      <c r="AB719" s="622" t="s">
        <v>164</v>
      </c>
      <c r="AC719" s="622">
        <v>23787.020833333336</v>
      </c>
      <c r="AD719" s="623">
        <v>0.03</v>
      </c>
      <c r="AE719" s="621" t="s">
        <v>1817</v>
      </c>
    </row>
    <row r="720" spans="1:31" s="572" customFormat="1">
      <c r="A720" s="570" t="s">
        <v>1818</v>
      </c>
      <c r="B720" s="573" t="s">
        <v>278</v>
      </c>
      <c r="C720" s="578">
        <v>15</v>
      </c>
      <c r="D720" s="573" t="s">
        <v>1516</v>
      </c>
      <c r="E720" s="573" t="s">
        <v>1684</v>
      </c>
      <c r="F720" s="573" t="s">
        <v>271</v>
      </c>
      <c r="G720" s="573">
        <v>2019</v>
      </c>
      <c r="H720" s="573" t="s">
        <v>1685</v>
      </c>
      <c r="I720" s="573" t="s">
        <v>1795</v>
      </c>
      <c r="J720" s="573" t="s">
        <v>236</v>
      </c>
      <c r="K720" s="573">
        <v>1</v>
      </c>
      <c r="L720" s="573">
        <v>0</v>
      </c>
      <c r="M720" s="573" t="s">
        <v>157</v>
      </c>
      <c r="N720" s="573">
        <v>1</v>
      </c>
      <c r="O720" s="573" t="s">
        <v>157</v>
      </c>
      <c r="P720" s="571">
        <v>8500</v>
      </c>
      <c r="Q720" s="573" t="s">
        <v>1700</v>
      </c>
      <c r="R720" s="573">
        <v>8</v>
      </c>
      <c r="S720" s="582" t="s">
        <v>1743</v>
      </c>
      <c r="T720" s="573" t="s">
        <v>1744</v>
      </c>
      <c r="U720" s="573">
        <v>138</v>
      </c>
      <c r="V720" s="573">
        <v>40</v>
      </c>
      <c r="W720" s="616">
        <v>11500</v>
      </c>
      <c r="X720" s="617" t="s">
        <v>157</v>
      </c>
      <c r="Y720" s="617" t="s">
        <v>450</v>
      </c>
      <c r="Z720" s="617" t="s">
        <v>178</v>
      </c>
      <c r="AA720" s="618">
        <v>29290</v>
      </c>
      <c r="AB720" s="618" t="s">
        <v>164</v>
      </c>
      <c r="AC720" s="618">
        <v>23150</v>
      </c>
      <c r="AD720" s="619">
        <v>0.01</v>
      </c>
      <c r="AE720" s="617" t="s">
        <v>1807</v>
      </c>
    </row>
    <row r="721" spans="1:31" s="572" customFormat="1">
      <c r="A721" s="570" t="s">
        <v>1819</v>
      </c>
      <c r="B721" s="569" t="s">
        <v>278</v>
      </c>
      <c r="C721" s="580">
        <v>15</v>
      </c>
      <c r="D721" s="569" t="s">
        <v>1516</v>
      </c>
      <c r="E721" s="569" t="s">
        <v>1684</v>
      </c>
      <c r="F721" s="569" t="s">
        <v>271</v>
      </c>
      <c r="G721" s="569">
        <v>2019</v>
      </c>
      <c r="H721" s="569" t="s">
        <v>1685</v>
      </c>
      <c r="I721" s="569" t="s">
        <v>1795</v>
      </c>
      <c r="J721" s="569" t="s">
        <v>236</v>
      </c>
      <c r="K721" s="569">
        <v>1</v>
      </c>
      <c r="L721" s="569">
        <v>0</v>
      </c>
      <c r="M721" s="569" t="s">
        <v>157</v>
      </c>
      <c r="N721" s="569">
        <v>1</v>
      </c>
      <c r="O721" s="569" t="s">
        <v>157</v>
      </c>
      <c r="P721" s="568">
        <v>8500</v>
      </c>
      <c r="Q721" s="569" t="s">
        <v>1700</v>
      </c>
      <c r="R721" s="569">
        <v>8</v>
      </c>
      <c r="S721" s="569" t="s">
        <v>1743</v>
      </c>
      <c r="T721" s="569" t="s">
        <v>1744</v>
      </c>
      <c r="U721" s="569">
        <v>158</v>
      </c>
      <c r="V721" s="569">
        <v>40</v>
      </c>
      <c r="W721" s="620">
        <v>12500</v>
      </c>
      <c r="X721" s="621" t="s">
        <v>157</v>
      </c>
      <c r="Y721" s="621" t="s">
        <v>450</v>
      </c>
      <c r="Z721" s="621" t="s">
        <v>178</v>
      </c>
      <c r="AA721" s="622">
        <v>29540</v>
      </c>
      <c r="AB721" s="622" t="s">
        <v>164</v>
      </c>
      <c r="AC721" s="622">
        <v>23300</v>
      </c>
      <c r="AD721" s="623">
        <v>0.01</v>
      </c>
      <c r="AE721" s="621" t="s">
        <v>1809</v>
      </c>
    </row>
    <row r="722" spans="1:31" s="572" customFormat="1">
      <c r="A722" s="570" t="s">
        <v>1820</v>
      </c>
      <c r="B722" s="573" t="s">
        <v>278</v>
      </c>
      <c r="C722" s="578">
        <v>15</v>
      </c>
      <c r="D722" s="573" t="s">
        <v>1516</v>
      </c>
      <c r="E722" s="573" t="s">
        <v>1684</v>
      </c>
      <c r="F722" s="573" t="s">
        <v>271</v>
      </c>
      <c r="G722" s="573">
        <v>2019</v>
      </c>
      <c r="H722" s="573" t="s">
        <v>1685</v>
      </c>
      <c r="I722" s="573" t="s">
        <v>1795</v>
      </c>
      <c r="J722" s="573" t="s">
        <v>236</v>
      </c>
      <c r="K722" s="573">
        <v>1</v>
      </c>
      <c r="L722" s="573">
        <v>0</v>
      </c>
      <c r="M722" s="573" t="s">
        <v>157</v>
      </c>
      <c r="N722" s="573">
        <v>1</v>
      </c>
      <c r="O722" s="573" t="s">
        <v>157</v>
      </c>
      <c r="P722" s="571">
        <v>8500</v>
      </c>
      <c r="Q722" s="573" t="s">
        <v>1700</v>
      </c>
      <c r="R722" s="573">
        <v>8</v>
      </c>
      <c r="S722" s="582" t="s">
        <v>1743</v>
      </c>
      <c r="T722" s="573" t="s">
        <v>1744</v>
      </c>
      <c r="U722" s="573">
        <v>176</v>
      </c>
      <c r="V722" s="573">
        <v>40</v>
      </c>
      <c r="W722" s="616">
        <v>12500</v>
      </c>
      <c r="X722" s="617" t="s">
        <v>157</v>
      </c>
      <c r="Y722" s="617" t="s">
        <v>450</v>
      </c>
      <c r="Z722" s="617" t="s">
        <v>178</v>
      </c>
      <c r="AA722" s="618">
        <v>29540</v>
      </c>
      <c r="AB722" s="618" t="s">
        <v>164</v>
      </c>
      <c r="AC722" s="618">
        <v>23800</v>
      </c>
      <c r="AD722" s="619">
        <v>0.01</v>
      </c>
      <c r="AE722" s="617" t="s">
        <v>1811</v>
      </c>
    </row>
    <row r="723" spans="1:31" s="572" customFormat="1">
      <c r="A723" s="570" t="s">
        <v>1821</v>
      </c>
      <c r="B723" s="569" t="s">
        <v>278</v>
      </c>
      <c r="C723" s="580">
        <v>15</v>
      </c>
      <c r="D723" s="569" t="s">
        <v>1516</v>
      </c>
      <c r="E723" s="569" t="s">
        <v>1684</v>
      </c>
      <c r="F723" s="569" t="s">
        <v>271</v>
      </c>
      <c r="G723" s="569">
        <v>2019</v>
      </c>
      <c r="H723" s="569" t="s">
        <v>1685</v>
      </c>
      <c r="I723" s="569" t="s">
        <v>1795</v>
      </c>
      <c r="J723" s="569" t="s">
        <v>236</v>
      </c>
      <c r="K723" s="569">
        <v>1</v>
      </c>
      <c r="L723" s="569">
        <v>0</v>
      </c>
      <c r="M723" s="569" t="s">
        <v>157</v>
      </c>
      <c r="N723" s="569">
        <v>1</v>
      </c>
      <c r="O723" s="569" t="s">
        <v>157</v>
      </c>
      <c r="P723" s="568">
        <v>8500</v>
      </c>
      <c r="Q723" s="569" t="s">
        <v>1687</v>
      </c>
      <c r="R723" s="569">
        <v>10</v>
      </c>
      <c r="S723" s="569" t="s">
        <v>1743</v>
      </c>
      <c r="T723" s="569" t="s">
        <v>1744</v>
      </c>
      <c r="U723" s="569">
        <v>138</v>
      </c>
      <c r="V723" s="569">
        <v>40</v>
      </c>
      <c r="W723" s="620">
        <v>11500</v>
      </c>
      <c r="X723" s="621" t="s">
        <v>157</v>
      </c>
      <c r="Y723" s="621" t="s">
        <v>178</v>
      </c>
      <c r="Z723" s="621" t="s">
        <v>178</v>
      </c>
      <c r="AA723" s="622">
        <v>29640</v>
      </c>
      <c r="AB723" s="622" t="s">
        <v>164</v>
      </c>
      <c r="AC723" s="622">
        <v>23400</v>
      </c>
      <c r="AD723" s="623">
        <v>0.01</v>
      </c>
      <c r="AE723" s="621" t="s">
        <v>1813</v>
      </c>
    </row>
    <row r="724" spans="1:31" s="572" customFormat="1">
      <c r="A724" s="570" t="s">
        <v>1822</v>
      </c>
      <c r="B724" s="573" t="s">
        <v>278</v>
      </c>
      <c r="C724" s="578">
        <v>15</v>
      </c>
      <c r="D724" s="573" t="s">
        <v>1516</v>
      </c>
      <c r="E724" s="573" t="s">
        <v>1684</v>
      </c>
      <c r="F724" s="573" t="s">
        <v>271</v>
      </c>
      <c r="G724" s="573">
        <v>2019</v>
      </c>
      <c r="H724" s="573" t="s">
        <v>1685</v>
      </c>
      <c r="I724" s="573" t="s">
        <v>1795</v>
      </c>
      <c r="J724" s="573" t="s">
        <v>236</v>
      </c>
      <c r="K724" s="573">
        <v>1</v>
      </c>
      <c r="L724" s="573">
        <v>0</v>
      </c>
      <c r="M724" s="573" t="s">
        <v>157</v>
      </c>
      <c r="N724" s="573">
        <v>1</v>
      </c>
      <c r="O724" s="573" t="s">
        <v>157</v>
      </c>
      <c r="P724" s="571">
        <v>8500</v>
      </c>
      <c r="Q724" s="573" t="s">
        <v>1687</v>
      </c>
      <c r="R724" s="573">
        <v>10</v>
      </c>
      <c r="S724" s="582" t="s">
        <v>1743</v>
      </c>
      <c r="T724" s="573" t="s">
        <v>1744</v>
      </c>
      <c r="U724" s="573">
        <v>158</v>
      </c>
      <c r="V724" s="573">
        <v>40</v>
      </c>
      <c r="W724" s="616">
        <v>12500</v>
      </c>
      <c r="X724" s="617" t="s">
        <v>157</v>
      </c>
      <c r="Y724" s="617" t="s">
        <v>178</v>
      </c>
      <c r="Z724" s="617" t="s">
        <v>178</v>
      </c>
      <c r="AA724" s="618">
        <v>29890</v>
      </c>
      <c r="AB724" s="618" t="s">
        <v>164</v>
      </c>
      <c r="AC724" s="618">
        <v>23650</v>
      </c>
      <c r="AD724" s="619">
        <v>0.01</v>
      </c>
      <c r="AE724" s="617" t="s">
        <v>1815</v>
      </c>
    </row>
    <row r="725" spans="1:31" s="572" customFormat="1">
      <c r="A725" s="570" t="s">
        <v>1823</v>
      </c>
      <c r="B725" s="569" t="s">
        <v>278</v>
      </c>
      <c r="C725" s="580">
        <v>15</v>
      </c>
      <c r="D725" s="569" t="s">
        <v>1516</v>
      </c>
      <c r="E725" s="569" t="s">
        <v>1684</v>
      </c>
      <c r="F725" s="569" t="s">
        <v>271</v>
      </c>
      <c r="G725" s="569">
        <v>2019</v>
      </c>
      <c r="H725" s="569" t="s">
        <v>1685</v>
      </c>
      <c r="I725" s="569" t="s">
        <v>1795</v>
      </c>
      <c r="J725" s="569" t="s">
        <v>236</v>
      </c>
      <c r="K725" s="569">
        <v>1</v>
      </c>
      <c r="L725" s="569">
        <v>0</v>
      </c>
      <c r="M725" s="569" t="s">
        <v>157</v>
      </c>
      <c r="N725" s="569">
        <v>1</v>
      </c>
      <c r="O725" s="569" t="s">
        <v>157</v>
      </c>
      <c r="P725" s="568">
        <v>8500</v>
      </c>
      <c r="Q725" s="569" t="s">
        <v>1687</v>
      </c>
      <c r="R725" s="569">
        <v>10</v>
      </c>
      <c r="S725" s="569" t="s">
        <v>1743</v>
      </c>
      <c r="T725" s="569" t="s">
        <v>1744</v>
      </c>
      <c r="U725" s="569">
        <v>176</v>
      </c>
      <c r="V725" s="569">
        <v>40</v>
      </c>
      <c r="W725" s="620">
        <v>12500</v>
      </c>
      <c r="X725" s="621" t="s">
        <v>157</v>
      </c>
      <c r="Y725" s="621" t="s">
        <v>178</v>
      </c>
      <c r="Z725" s="621" t="s">
        <v>178</v>
      </c>
      <c r="AA725" s="622">
        <v>30390</v>
      </c>
      <c r="AB725" s="622" t="s">
        <v>164</v>
      </c>
      <c r="AC725" s="622">
        <v>24100</v>
      </c>
      <c r="AD725" s="623">
        <v>0.01</v>
      </c>
      <c r="AE725" s="621" t="s">
        <v>1817</v>
      </c>
    </row>
    <row r="726" spans="1:31" s="572" customFormat="1">
      <c r="A726" s="570" t="s">
        <v>1824</v>
      </c>
      <c r="B726" s="573" t="s">
        <v>280</v>
      </c>
      <c r="C726" s="578">
        <v>27</v>
      </c>
      <c r="D726" s="573" t="s">
        <v>1516</v>
      </c>
      <c r="E726" s="573" t="s">
        <v>1684</v>
      </c>
      <c r="F726" s="573" t="s">
        <v>271</v>
      </c>
      <c r="G726" s="573">
        <v>2019</v>
      </c>
      <c r="H726" s="573" t="s">
        <v>1685</v>
      </c>
      <c r="I726" s="573" t="s">
        <v>1795</v>
      </c>
      <c r="J726" s="573" t="s">
        <v>236</v>
      </c>
      <c r="K726" s="573">
        <v>1</v>
      </c>
      <c r="L726" s="573">
        <v>0</v>
      </c>
      <c r="M726" s="573" t="s">
        <v>157</v>
      </c>
      <c r="N726" s="573">
        <v>1</v>
      </c>
      <c r="O726" s="573" t="s">
        <v>157</v>
      </c>
      <c r="P726" s="571" t="s">
        <v>157</v>
      </c>
      <c r="Q726" s="573" t="s">
        <v>1700</v>
      </c>
      <c r="R726" s="573">
        <v>8</v>
      </c>
      <c r="S726" s="582" t="s">
        <v>1743</v>
      </c>
      <c r="T726" s="573" t="s">
        <v>1744</v>
      </c>
      <c r="U726" s="573">
        <v>138</v>
      </c>
      <c r="V726" s="573">
        <v>40</v>
      </c>
      <c r="W726" s="616">
        <v>11500</v>
      </c>
      <c r="X726" s="617" t="s">
        <v>157</v>
      </c>
      <c r="Y726" s="617" t="s">
        <v>450</v>
      </c>
      <c r="Z726" s="617" t="s">
        <v>178</v>
      </c>
      <c r="AA726" s="618">
        <v>29290</v>
      </c>
      <c r="AB726" s="618" t="s">
        <v>164</v>
      </c>
      <c r="AC726" s="618">
        <v>22792.229166666668</v>
      </c>
      <c r="AD726" s="619">
        <v>0.03</v>
      </c>
      <c r="AE726" s="617" t="s">
        <v>1794</v>
      </c>
    </row>
    <row r="727" spans="1:31" s="572" customFormat="1">
      <c r="A727" s="570" t="s">
        <v>1825</v>
      </c>
      <c r="B727" s="569" t="s">
        <v>280</v>
      </c>
      <c r="C727" s="580">
        <v>27</v>
      </c>
      <c r="D727" s="569" t="s">
        <v>1516</v>
      </c>
      <c r="E727" s="569" t="s">
        <v>1684</v>
      </c>
      <c r="F727" s="569" t="s">
        <v>271</v>
      </c>
      <c r="G727" s="569">
        <v>2019</v>
      </c>
      <c r="H727" s="569" t="s">
        <v>1685</v>
      </c>
      <c r="I727" s="569" t="s">
        <v>1795</v>
      </c>
      <c r="J727" s="569" t="s">
        <v>236</v>
      </c>
      <c r="K727" s="569">
        <v>1</v>
      </c>
      <c r="L727" s="569">
        <v>0</v>
      </c>
      <c r="M727" s="569" t="s">
        <v>157</v>
      </c>
      <c r="N727" s="569">
        <v>1</v>
      </c>
      <c r="O727" s="569" t="s">
        <v>157</v>
      </c>
      <c r="P727" s="568" t="s">
        <v>157</v>
      </c>
      <c r="Q727" s="569" t="s">
        <v>1700</v>
      </c>
      <c r="R727" s="569">
        <v>8</v>
      </c>
      <c r="S727" s="569" t="s">
        <v>1743</v>
      </c>
      <c r="T727" s="569" t="s">
        <v>1744</v>
      </c>
      <c r="U727" s="569">
        <v>158</v>
      </c>
      <c r="V727" s="569">
        <v>40</v>
      </c>
      <c r="W727" s="620">
        <v>12500</v>
      </c>
      <c r="X727" s="621" t="s">
        <v>157</v>
      </c>
      <c r="Y727" s="621" t="s">
        <v>450</v>
      </c>
      <c r="Z727" s="621" t="s">
        <v>178</v>
      </c>
      <c r="AA727" s="622">
        <v>29540</v>
      </c>
      <c r="AB727" s="622" t="s">
        <v>164</v>
      </c>
      <c r="AC727" s="622">
        <v>23020.354166666668</v>
      </c>
      <c r="AD727" s="623">
        <v>0.03</v>
      </c>
      <c r="AE727" s="621" t="s">
        <v>1797</v>
      </c>
    </row>
    <row r="728" spans="1:31" s="572" customFormat="1">
      <c r="A728" s="570" t="s">
        <v>1826</v>
      </c>
      <c r="B728" s="573" t="s">
        <v>280</v>
      </c>
      <c r="C728" s="578">
        <v>27</v>
      </c>
      <c r="D728" s="573" t="s">
        <v>1516</v>
      </c>
      <c r="E728" s="573" t="s">
        <v>1684</v>
      </c>
      <c r="F728" s="573" t="s">
        <v>271</v>
      </c>
      <c r="G728" s="573">
        <v>2019</v>
      </c>
      <c r="H728" s="573" t="s">
        <v>1685</v>
      </c>
      <c r="I728" s="573" t="s">
        <v>1795</v>
      </c>
      <c r="J728" s="573" t="s">
        <v>236</v>
      </c>
      <c r="K728" s="573">
        <v>1</v>
      </c>
      <c r="L728" s="573">
        <v>0</v>
      </c>
      <c r="M728" s="573" t="s">
        <v>157</v>
      </c>
      <c r="N728" s="573">
        <v>1</v>
      </c>
      <c r="O728" s="573" t="s">
        <v>157</v>
      </c>
      <c r="P728" s="571" t="s">
        <v>157</v>
      </c>
      <c r="Q728" s="573" t="s">
        <v>1700</v>
      </c>
      <c r="R728" s="573">
        <v>8</v>
      </c>
      <c r="S728" s="582" t="s">
        <v>1743</v>
      </c>
      <c r="T728" s="573" t="s">
        <v>1744</v>
      </c>
      <c r="U728" s="573">
        <v>176</v>
      </c>
      <c r="V728" s="573">
        <v>40</v>
      </c>
      <c r="W728" s="616">
        <v>12500</v>
      </c>
      <c r="X728" s="617" t="s">
        <v>157</v>
      </c>
      <c r="Y728" s="617" t="s">
        <v>450</v>
      </c>
      <c r="Z728" s="617" t="s">
        <v>178</v>
      </c>
      <c r="AA728" s="618">
        <v>30040</v>
      </c>
      <c r="AB728" s="618" t="s">
        <v>164</v>
      </c>
      <c r="AC728" s="618">
        <v>23476.604166666668</v>
      </c>
      <c r="AD728" s="619">
        <v>0.03</v>
      </c>
      <c r="AE728" s="617" t="s">
        <v>1799</v>
      </c>
    </row>
    <row r="729" spans="1:31" s="572" customFormat="1">
      <c r="A729" s="570" t="s">
        <v>1827</v>
      </c>
      <c r="B729" s="569" t="s">
        <v>280</v>
      </c>
      <c r="C729" s="580">
        <v>27</v>
      </c>
      <c r="D729" s="569" t="s">
        <v>1516</v>
      </c>
      <c r="E729" s="569" t="s">
        <v>1684</v>
      </c>
      <c r="F729" s="569" t="s">
        <v>271</v>
      </c>
      <c r="G729" s="569">
        <v>2019</v>
      </c>
      <c r="H729" s="569" t="s">
        <v>1685</v>
      </c>
      <c r="I729" s="569" t="s">
        <v>1795</v>
      </c>
      <c r="J729" s="569" t="s">
        <v>236</v>
      </c>
      <c r="K729" s="569">
        <v>1</v>
      </c>
      <c r="L729" s="569">
        <v>0</v>
      </c>
      <c r="M729" s="569" t="s">
        <v>157</v>
      </c>
      <c r="N729" s="569">
        <v>1</v>
      </c>
      <c r="O729" s="569" t="s">
        <v>157</v>
      </c>
      <c r="P729" s="568" t="s">
        <v>157</v>
      </c>
      <c r="Q729" s="569" t="s">
        <v>1687</v>
      </c>
      <c r="R729" s="569">
        <v>10</v>
      </c>
      <c r="S729" s="569" t="s">
        <v>1743</v>
      </c>
      <c r="T729" s="569" t="s">
        <v>1744</v>
      </c>
      <c r="U729" s="569">
        <v>138</v>
      </c>
      <c r="V729" s="569">
        <v>40</v>
      </c>
      <c r="W729" s="620">
        <v>11500</v>
      </c>
      <c r="X729" s="621" t="s">
        <v>157</v>
      </c>
      <c r="Y729" s="621" t="s">
        <v>178</v>
      </c>
      <c r="Z729" s="621" t="s">
        <v>178</v>
      </c>
      <c r="AA729" s="622">
        <v>29640</v>
      </c>
      <c r="AB729" s="622" t="s">
        <v>164</v>
      </c>
      <c r="AC729" s="622">
        <v>23102.645833333336</v>
      </c>
      <c r="AD729" s="623">
        <v>0.03</v>
      </c>
      <c r="AE729" s="621" t="s">
        <v>1801</v>
      </c>
    </row>
    <row r="730" spans="1:31" s="572" customFormat="1">
      <c r="A730" s="570" t="s">
        <v>1828</v>
      </c>
      <c r="B730" s="573" t="s">
        <v>280</v>
      </c>
      <c r="C730" s="578">
        <v>27</v>
      </c>
      <c r="D730" s="573" t="s">
        <v>1516</v>
      </c>
      <c r="E730" s="573" t="s">
        <v>1684</v>
      </c>
      <c r="F730" s="573" t="s">
        <v>271</v>
      </c>
      <c r="G730" s="573">
        <v>2019</v>
      </c>
      <c r="H730" s="573" t="s">
        <v>1685</v>
      </c>
      <c r="I730" s="573" t="s">
        <v>1795</v>
      </c>
      <c r="J730" s="573" t="s">
        <v>236</v>
      </c>
      <c r="K730" s="573">
        <v>1</v>
      </c>
      <c r="L730" s="573">
        <v>0</v>
      </c>
      <c r="M730" s="573" t="s">
        <v>157</v>
      </c>
      <c r="N730" s="573">
        <v>1</v>
      </c>
      <c r="O730" s="573" t="s">
        <v>157</v>
      </c>
      <c r="P730" s="571" t="s">
        <v>157</v>
      </c>
      <c r="Q730" s="573" t="s">
        <v>1687</v>
      </c>
      <c r="R730" s="573">
        <v>10</v>
      </c>
      <c r="S730" s="582" t="s">
        <v>1743</v>
      </c>
      <c r="T730" s="573" t="s">
        <v>1744</v>
      </c>
      <c r="U730" s="573">
        <v>158</v>
      </c>
      <c r="V730" s="573">
        <v>40</v>
      </c>
      <c r="W730" s="616">
        <v>12500</v>
      </c>
      <c r="X730" s="617" t="s">
        <v>157</v>
      </c>
      <c r="Y730" s="617" t="s">
        <v>178</v>
      </c>
      <c r="Z730" s="617" t="s">
        <v>178</v>
      </c>
      <c r="AA730" s="618">
        <v>29890</v>
      </c>
      <c r="AB730" s="618" t="s">
        <v>164</v>
      </c>
      <c r="AC730" s="618">
        <v>23330.770833333336</v>
      </c>
      <c r="AD730" s="619">
        <v>0.03</v>
      </c>
      <c r="AE730" s="617" t="s">
        <v>1803</v>
      </c>
    </row>
    <row r="731" spans="1:31" s="572" customFormat="1">
      <c r="A731" s="570" t="s">
        <v>1829</v>
      </c>
      <c r="B731" s="569" t="s">
        <v>280</v>
      </c>
      <c r="C731" s="580">
        <v>27</v>
      </c>
      <c r="D731" s="569" t="s">
        <v>1516</v>
      </c>
      <c r="E731" s="569" t="s">
        <v>1684</v>
      </c>
      <c r="F731" s="569" t="s">
        <v>271</v>
      </c>
      <c r="G731" s="569">
        <v>2019</v>
      </c>
      <c r="H731" s="569" t="s">
        <v>1685</v>
      </c>
      <c r="I731" s="569" t="s">
        <v>1795</v>
      </c>
      <c r="J731" s="569" t="s">
        <v>236</v>
      </c>
      <c r="K731" s="569">
        <v>1</v>
      </c>
      <c r="L731" s="569">
        <v>0</v>
      </c>
      <c r="M731" s="569" t="s">
        <v>157</v>
      </c>
      <c r="N731" s="569">
        <v>1</v>
      </c>
      <c r="O731" s="569" t="s">
        <v>157</v>
      </c>
      <c r="P731" s="568" t="s">
        <v>157</v>
      </c>
      <c r="Q731" s="569" t="s">
        <v>1687</v>
      </c>
      <c r="R731" s="569">
        <v>10</v>
      </c>
      <c r="S731" s="569" t="s">
        <v>1743</v>
      </c>
      <c r="T731" s="569" t="s">
        <v>1744</v>
      </c>
      <c r="U731" s="569">
        <v>176</v>
      </c>
      <c r="V731" s="569">
        <v>40</v>
      </c>
      <c r="W731" s="620">
        <v>12500</v>
      </c>
      <c r="X731" s="621" t="s">
        <v>157</v>
      </c>
      <c r="Y731" s="621" t="s">
        <v>178</v>
      </c>
      <c r="Z731" s="621" t="s">
        <v>178</v>
      </c>
      <c r="AA731" s="622">
        <v>30390</v>
      </c>
      <c r="AB731" s="622" t="s">
        <v>164</v>
      </c>
      <c r="AC731" s="622">
        <v>23787.020833333336</v>
      </c>
      <c r="AD731" s="623">
        <v>0.03</v>
      </c>
      <c r="AE731" s="621" t="s">
        <v>1805</v>
      </c>
    </row>
    <row r="732" spans="1:31" s="572" customFormat="1">
      <c r="A732" s="570" t="s">
        <v>1830</v>
      </c>
      <c r="B732" s="573" t="s">
        <v>280</v>
      </c>
      <c r="C732" s="578">
        <v>27</v>
      </c>
      <c r="D732" s="573" t="s">
        <v>1516</v>
      </c>
      <c r="E732" s="573" t="s">
        <v>1684</v>
      </c>
      <c r="F732" s="573" t="s">
        <v>271</v>
      </c>
      <c r="G732" s="573">
        <v>2019</v>
      </c>
      <c r="H732" s="573" t="s">
        <v>1685</v>
      </c>
      <c r="I732" s="573" t="s">
        <v>1795</v>
      </c>
      <c r="J732" s="573" t="s">
        <v>236</v>
      </c>
      <c r="K732" s="573">
        <v>1</v>
      </c>
      <c r="L732" s="573">
        <v>0</v>
      </c>
      <c r="M732" s="573" t="s">
        <v>157</v>
      </c>
      <c r="N732" s="573">
        <v>1</v>
      </c>
      <c r="O732" s="573" t="s">
        <v>157</v>
      </c>
      <c r="P732" s="571">
        <v>8500</v>
      </c>
      <c r="Q732" s="573" t="s">
        <v>1700</v>
      </c>
      <c r="R732" s="573">
        <v>8</v>
      </c>
      <c r="S732" s="582" t="s">
        <v>1743</v>
      </c>
      <c r="T732" s="573" t="s">
        <v>1744</v>
      </c>
      <c r="U732" s="573">
        <v>138</v>
      </c>
      <c r="V732" s="573">
        <v>40</v>
      </c>
      <c r="W732" s="616">
        <v>11500</v>
      </c>
      <c r="X732" s="617" t="s">
        <v>157</v>
      </c>
      <c r="Y732" s="617" t="s">
        <v>450</v>
      </c>
      <c r="Z732" s="617" t="s">
        <v>178</v>
      </c>
      <c r="AA732" s="618">
        <v>29290</v>
      </c>
      <c r="AB732" s="618" t="s">
        <v>164</v>
      </c>
      <c r="AC732" s="618">
        <v>22792.229166666668</v>
      </c>
      <c r="AD732" s="619">
        <v>0.03</v>
      </c>
      <c r="AE732" s="617" t="s">
        <v>1807</v>
      </c>
    </row>
    <row r="733" spans="1:31" s="572" customFormat="1">
      <c r="A733" s="570" t="s">
        <v>1831</v>
      </c>
      <c r="B733" s="569" t="s">
        <v>280</v>
      </c>
      <c r="C733" s="580">
        <v>27</v>
      </c>
      <c r="D733" s="569" t="s">
        <v>1516</v>
      </c>
      <c r="E733" s="569" t="s">
        <v>1684</v>
      </c>
      <c r="F733" s="569" t="s">
        <v>271</v>
      </c>
      <c r="G733" s="569">
        <v>2019</v>
      </c>
      <c r="H733" s="569" t="s">
        <v>1685</v>
      </c>
      <c r="I733" s="569" t="s">
        <v>1795</v>
      </c>
      <c r="J733" s="569" t="s">
        <v>236</v>
      </c>
      <c r="K733" s="569">
        <v>1</v>
      </c>
      <c r="L733" s="569">
        <v>0</v>
      </c>
      <c r="M733" s="569" t="s">
        <v>157</v>
      </c>
      <c r="N733" s="569">
        <v>1</v>
      </c>
      <c r="O733" s="569" t="s">
        <v>157</v>
      </c>
      <c r="P733" s="568">
        <v>8500</v>
      </c>
      <c r="Q733" s="569" t="s">
        <v>1700</v>
      </c>
      <c r="R733" s="569">
        <v>8</v>
      </c>
      <c r="S733" s="569" t="s">
        <v>1743</v>
      </c>
      <c r="T733" s="569" t="s">
        <v>1744</v>
      </c>
      <c r="U733" s="569">
        <v>158</v>
      </c>
      <c r="V733" s="569">
        <v>40</v>
      </c>
      <c r="W733" s="620">
        <v>12500</v>
      </c>
      <c r="X733" s="621" t="s">
        <v>157</v>
      </c>
      <c r="Y733" s="621" t="s">
        <v>450</v>
      </c>
      <c r="Z733" s="621" t="s">
        <v>178</v>
      </c>
      <c r="AA733" s="622">
        <v>29540</v>
      </c>
      <c r="AB733" s="622" t="s">
        <v>164</v>
      </c>
      <c r="AC733" s="622">
        <v>23020.354166666668</v>
      </c>
      <c r="AD733" s="623">
        <v>0.03</v>
      </c>
      <c r="AE733" s="621" t="s">
        <v>1809</v>
      </c>
    </row>
    <row r="734" spans="1:31" s="572" customFormat="1">
      <c r="A734" s="570" t="s">
        <v>1832</v>
      </c>
      <c r="B734" s="573" t="s">
        <v>280</v>
      </c>
      <c r="C734" s="578">
        <v>27</v>
      </c>
      <c r="D734" s="573" t="s">
        <v>1516</v>
      </c>
      <c r="E734" s="573" t="s">
        <v>1684</v>
      </c>
      <c r="F734" s="573" t="s">
        <v>271</v>
      </c>
      <c r="G734" s="573">
        <v>2019</v>
      </c>
      <c r="H734" s="573" t="s">
        <v>1685</v>
      </c>
      <c r="I734" s="573" t="s">
        <v>1795</v>
      </c>
      <c r="J734" s="573" t="s">
        <v>236</v>
      </c>
      <c r="K734" s="573">
        <v>1</v>
      </c>
      <c r="L734" s="573">
        <v>0</v>
      </c>
      <c r="M734" s="573" t="s">
        <v>157</v>
      </c>
      <c r="N734" s="573">
        <v>1</v>
      </c>
      <c r="O734" s="573" t="s">
        <v>157</v>
      </c>
      <c r="P734" s="571">
        <v>8500</v>
      </c>
      <c r="Q734" s="573" t="s">
        <v>1700</v>
      </c>
      <c r="R734" s="573">
        <v>8</v>
      </c>
      <c r="S734" s="582" t="s">
        <v>1743</v>
      </c>
      <c r="T734" s="573" t="s">
        <v>1744</v>
      </c>
      <c r="U734" s="573">
        <v>176</v>
      </c>
      <c r="V734" s="573">
        <v>40</v>
      </c>
      <c r="W734" s="616">
        <v>12500</v>
      </c>
      <c r="X734" s="617" t="s">
        <v>157</v>
      </c>
      <c r="Y734" s="617" t="s">
        <v>450</v>
      </c>
      <c r="Z734" s="617" t="s">
        <v>178</v>
      </c>
      <c r="AA734" s="618">
        <v>30040</v>
      </c>
      <c r="AB734" s="618" t="s">
        <v>164</v>
      </c>
      <c r="AC734" s="618">
        <v>23476.604166666668</v>
      </c>
      <c r="AD734" s="619">
        <v>0.03</v>
      </c>
      <c r="AE734" s="617" t="s">
        <v>1811</v>
      </c>
    </row>
    <row r="735" spans="1:31" s="572" customFormat="1">
      <c r="A735" s="570" t="s">
        <v>1833</v>
      </c>
      <c r="B735" s="569" t="s">
        <v>280</v>
      </c>
      <c r="C735" s="580">
        <v>27</v>
      </c>
      <c r="D735" s="569" t="s">
        <v>1516</v>
      </c>
      <c r="E735" s="569" t="s">
        <v>1684</v>
      </c>
      <c r="F735" s="569" t="s">
        <v>271</v>
      </c>
      <c r="G735" s="569">
        <v>2019</v>
      </c>
      <c r="H735" s="569" t="s">
        <v>1685</v>
      </c>
      <c r="I735" s="569" t="s">
        <v>1795</v>
      </c>
      <c r="J735" s="569" t="s">
        <v>236</v>
      </c>
      <c r="K735" s="569">
        <v>1</v>
      </c>
      <c r="L735" s="569">
        <v>0</v>
      </c>
      <c r="M735" s="569" t="s">
        <v>157</v>
      </c>
      <c r="N735" s="569">
        <v>1</v>
      </c>
      <c r="O735" s="569" t="s">
        <v>157</v>
      </c>
      <c r="P735" s="568">
        <v>8500</v>
      </c>
      <c r="Q735" s="569" t="s">
        <v>1687</v>
      </c>
      <c r="R735" s="569">
        <v>10</v>
      </c>
      <c r="S735" s="569" t="s">
        <v>1743</v>
      </c>
      <c r="T735" s="569" t="s">
        <v>1744</v>
      </c>
      <c r="U735" s="569">
        <v>138</v>
      </c>
      <c r="V735" s="569">
        <v>40</v>
      </c>
      <c r="W735" s="620">
        <v>11500</v>
      </c>
      <c r="X735" s="621" t="s">
        <v>157</v>
      </c>
      <c r="Y735" s="621" t="s">
        <v>178</v>
      </c>
      <c r="Z735" s="621" t="s">
        <v>178</v>
      </c>
      <c r="AA735" s="622">
        <v>29640</v>
      </c>
      <c r="AB735" s="622" t="s">
        <v>164</v>
      </c>
      <c r="AC735" s="622">
        <v>23102.645833333336</v>
      </c>
      <c r="AD735" s="623">
        <v>0.03</v>
      </c>
      <c r="AE735" s="621" t="s">
        <v>1813</v>
      </c>
    </row>
    <row r="736" spans="1:31" s="572" customFormat="1">
      <c r="A736" s="570" t="s">
        <v>1834</v>
      </c>
      <c r="B736" s="573" t="s">
        <v>280</v>
      </c>
      <c r="C736" s="578">
        <v>27</v>
      </c>
      <c r="D736" s="573" t="s">
        <v>1516</v>
      </c>
      <c r="E736" s="573" t="s">
        <v>1684</v>
      </c>
      <c r="F736" s="573" t="s">
        <v>271</v>
      </c>
      <c r="G736" s="573">
        <v>2019</v>
      </c>
      <c r="H736" s="573" t="s">
        <v>1685</v>
      </c>
      <c r="I736" s="573" t="s">
        <v>1795</v>
      </c>
      <c r="J736" s="573" t="s">
        <v>236</v>
      </c>
      <c r="K736" s="573">
        <v>1</v>
      </c>
      <c r="L736" s="573">
        <v>0</v>
      </c>
      <c r="M736" s="573" t="s">
        <v>157</v>
      </c>
      <c r="N736" s="573">
        <v>1</v>
      </c>
      <c r="O736" s="573" t="s">
        <v>157</v>
      </c>
      <c r="P736" s="571">
        <v>8500</v>
      </c>
      <c r="Q736" s="573" t="s">
        <v>1687</v>
      </c>
      <c r="R736" s="573">
        <v>10</v>
      </c>
      <c r="S736" s="582" t="s">
        <v>1743</v>
      </c>
      <c r="T736" s="573" t="s">
        <v>1744</v>
      </c>
      <c r="U736" s="573">
        <v>158</v>
      </c>
      <c r="V736" s="573">
        <v>40</v>
      </c>
      <c r="W736" s="616">
        <v>12500</v>
      </c>
      <c r="X736" s="617" t="s">
        <v>157</v>
      </c>
      <c r="Y736" s="617" t="s">
        <v>178</v>
      </c>
      <c r="Z736" s="617" t="s">
        <v>178</v>
      </c>
      <c r="AA736" s="618">
        <v>29890</v>
      </c>
      <c r="AB736" s="618" t="s">
        <v>164</v>
      </c>
      <c r="AC736" s="618">
        <v>23330.770833333336</v>
      </c>
      <c r="AD736" s="619">
        <v>0.03</v>
      </c>
      <c r="AE736" s="617" t="s">
        <v>1815</v>
      </c>
    </row>
    <row r="737" spans="1:31" s="572" customFormat="1">
      <c r="A737" s="570" t="s">
        <v>1835</v>
      </c>
      <c r="B737" s="569" t="s">
        <v>280</v>
      </c>
      <c r="C737" s="580">
        <v>27</v>
      </c>
      <c r="D737" s="569" t="s">
        <v>1516</v>
      </c>
      <c r="E737" s="569" t="s">
        <v>1684</v>
      </c>
      <c r="F737" s="569" t="s">
        <v>271</v>
      </c>
      <c r="G737" s="569">
        <v>2019</v>
      </c>
      <c r="H737" s="569" t="s">
        <v>1685</v>
      </c>
      <c r="I737" s="569" t="s">
        <v>1795</v>
      </c>
      <c r="J737" s="569" t="s">
        <v>236</v>
      </c>
      <c r="K737" s="569">
        <v>1</v>
      </c>
      <c r="L737" s="569">
        <v>0</v>
      </c>
      <c r="M737" s="569" t="s">
        <v>157</v>
      </c>
      <c r="N737" s="569">
        <v>1</v>
      </c>
      <c r="O737" s="569" t="s">
        <v>157</v>
      </c>
      <c r="P737" s="568">
        <v>8500</v>
      </c>
      <c r="Q737" s="569" t="s">
        <v>1687</v>
      </c>
      <c r="R737" s="569">
        <v>10</v>
      </c>
      <c r="S737" s="569" t="s">
        <v>1743</v>
      </c>
      <c r="T737" s="569" t="s">
        <v>1744</v>
      </c>
      <c r="U737" s="569">
        <v>176</v>
      </c>
      <c r="V737" s="569">
        <v>40</v>
      </c>
      <c r="W737" s="620">
        <v>12500</v>
      </c>
      <c r="X737" s="621" t="s">
        <v>157</v>
      </c>
      <c r="Y737" s="621" t="s">
        <v>178</v>
      </c>
      <c r="Z737" s="621" t="s">
        <v>178</v>
      </c>
      <c r="AA737" s="622">
        <v>30390</v>
      </c>
      <c r="AB737" s="622" t="s">
        <v>164</v>
      </c>
      <c r="AC737" s="622">
        <v>23787.020833333336</v>
      </c>
      <c r="AD737" s="623">
        <v>0.03</v>
      </c>
      <c r="AE737" s="621" t="s">
        <v>1817</v>
      </c>
    </row>
    <row r="738" spans="1:31" s="572" customFormat="1">
      <c r="A738" s="570" t="s">
        <v>1836</v>
      </c>
      <c r="B738" s="573" t="s">
        <v>269</v>
      </c>
      <c r="C738" s="578" t="s">
        <v>270</v>
      </c>
      <c r="D738" s="573" t="s">
        <v>1516</v>
      </c>
      <c r="E738" s="573" t="s">
        <v>1684</v>
      </c>
      <c r="F738" s="573" t="s">
        <v>271</v>
      </c>
      <c r="G738" s="573">
        <v>2019</v>
      </c>
      <c r="H738" s="573" t="s">
        <v>1838</v>
      </c>
      <c r="I738" s="573" t="s">
        <v>1686</v>
      </c>
      <c r="J738" s="573" t="s">
        <v>236</v>
      </c>
      <c r="K738" s="573">
        <v>2</v>
      </c>
      <c r="L738" s="573">
        <v>0</v>
      </c>
      <c r="M738" s="573" t="s">
        <v>157</v>
      </c>
      <c r="N738" s="573">
        <v>1</v>
      </c>
      <c r="O738" s="573">
        <v>81</v>
      </c>
      <c r="P738" s="571" t="s">
        <v>157</v>
      </c>
      <c r="Q738" s="573" t="s">
        <v>1687</v>
      </c>
      <c r="R738" s="573">
        <v>10</v>
      </c>
      <c r="S738" s="582" t="s">
        <v>1839</v>
      </c>
      <c r="T738" s="573" t="s">
        <v>1840</v>
      </c>
      <c r="U738" s="573">
        <v>158</v>
      </c>
      <c r="V738" s="573">
        <v>55</v>
      </c>
      <c r="W738" s="616">
        <v>14500</v>
      </c>
      <c r="X738" s="617" t="s">
        <v>157</v>
      </c>
      <c r="Y738" s="617" t="s">
        <v>178</v>
      </c>
      <c r="Z738" s="617" t="s">
        <v>178</v>
      </c>
      <c r="AA738" s="618">
        <v>35055</v>
      </c>
      <c r="AB738" s="618" t="s">
        <v>164</v>
      </c>
      <c r="AC738" s="618">
        <v>27294.252631578951</v>
      </c>
      <c r="AD738" s="619">
        <v>0.03</v>
      </c>
      <c r="AE738" s="617" t="s">
        <v>1837</v>
      </c>
    </row>
    <row r="739" spans="1:31" s="572" customFormat="1">
      <c r="A739" s="570" t="s">
        <v>1841</v>
      </c>
      <c r="B739" s="569" t="s">
        <v>269</v>
      </c>
      <c r="C739" s="580" t="s">
        <v>270</v>
      </c>
      <c r="D739" s="569" t="s">
        <v>1516</v>
      </c>
      <c r="E739" s="569" t="s">
        <v>1684</v>
      </c>
      <c r="F739" s="569" t="s">
        <v>271</v>
      </c>
      <c r="G739" s="569">
        <v>2019</v>
      </c>
      <c r="H739" s="569" t="s">
        <v>1838</v>
      </c>
      <c r="I739" s="569" t="s">
        <v>1686</v>
      </c>
      <c r="J739" s="569" t="s">
        <v>236</v>
      </c>
      <c r="K739" s="569">
        <v>2</v>
      </c>
      <c r="L739" s="569">
        <v>0</v>
      </c>
      <c r="M739" s="569" t="s">
        <v>157</v>
      </c>
      <c r="N739" s="569">
        <v>1</v>
      </c>
      <c r="O739" s="569">
        <v>81</v>
      </c>
      <c r="P739" s="568" t="s">
        <v>157</v>
      </c>
      <c r="Q739" s="569" t="s">
        <v>1687</v>
      </c>
      <c r="R739" s="569">
        <v>10</v>
      </c>
      <c r="S739" s="569" t="s">
        <v>1839</v>
      </c>
      <c r="T739" s="569" t="s">
        <v>1840</v>
      </c>
      <c r="U739" s="569">
        <v>176</v>
      </c>
      <c r="V739" s="569">
        <v>55</v>
      </c>
      <c r="W739" s="620">
        <v>14500</v>
      </c>
      <c r="X739" s="621" t="s">
        <v>157</v>
      </c>
      <c r="Y739" s="621" t="s">
        <v>178</v>
      </c>
      <c r="Z739" s="621" t="s">
        <v>178</v>
      </c>
      <c r="AA739" s="622">
        <v>35785</v>
      </c>
      <c r="AB739" s="622" t="s">
        <v>164</v>
      </c>
      <c r="AC739" s="622">
        <v>27968.989473684214</v>
      </c>
      <c r="AD739" s="623">
        <v>0.03</v>
      </c>
      <c r="AE739" s="621" t="s">
        <v>1842</v>
      </c>
    </row>
    <row r="740" spans="1:31" s="572" customFormat="1">
      <c r="A740" s="570" t="s">
        <v>1843</v>
      </c>
      <c r="B740" s="573" t="s">
        <v>280</v>
      </c>
      <c r="C740" s="578">
        <v>27</v>
      </c>
      <c r="D740" s="573" t="s">
        <v>1516</v>
      </c>
      <c r="E740" s="573" t="s">
        <v>1684</v>
      </c>
      <c r="F740" s="573" t="s">
        <v>271</v>
      </c>
      <c r="G740" s="573">
        <v>2019</v>
      </c>
      <c r="H740" s="573" t="s">
        <v>1838</v>
      </c>
      <c r="I740" s="573" t="s">
        <v>1686</v>
      </c>
      <c r="J740" s="573" t="s">
        <v>236</v>
      </c>
      <c r="K740" s="573">
        <v>2</v>
      </c>
      <c r="L740" s="573">
        <v>0</v>
      </c>
      <c r="M740" s="573" t="s">
        <v>157</v>
      </c>
      <c r="N740" s="573">
        <v>1</v>
      </c>
      <c r="O740" s="573">
        <v>81</v>
      </c>
      <c r="P740" s="571" t="s">
        <v>157</v>
      </c>
      <c r="Q740" s="573" t="s">
        <v>1687</v>
      </c>
      <c r="R740" s="573">
        <v>10</v>
      </c>
      <c r="S740" s="582" t="s">
        <v>1839</v>
      </c>
      <c r="T740" s="573" t="s">
        <v>1840</v>
      </c>
      <c r="U740" s="573">
        <v>158</v>
      </c>
      <c r="V740" s="573">
        <v>55</v>
      </c>
      <c r="W740" s="616">
        <v>14500</v>
      </c>
      <c r="X740" s="617" t="s">
        <v>157</v>
      </c>
      <c r="Y740" s="617" t="s">
        <v>178</v>
      </c>
      <c r="Z740" s="617" t="s">
        <v>178</v>
      </c>
      <c r="AA740" s="618">
        <v>35055</v>
      </c>
      <c r="AB740" s="618" t="s">
        <v>164</v>
      </c>
      <c r="AC740" s="618">
        <v>27294.252631578951</v>
      </c>
      <c r="AD740" s="619">
        <v>0.03</v>
      </c>
      <c r="AE740" s="617" t="s">
        <v>1837</v>
      </c>
    </row>
    <row r="741" spans="1:31" s="572" customFormat="1">
      <c r="A741" s="570" t="s">
        <v>1844</v>
      </c>
      <c r="B741" s="569" t="s">
        <v>280</v>
      </c>
      <c r="C741" s="580">
        <v>27</v>
      </c>
      <c r="D741" s="569" t="s">
        <v>1516</v>
      </c>
      <c r="E741" s="569" t="s">
        <v>1684</v>
      </c>
      <c r="F741" s="569" t="s">
        <v>271</v>
      </c>
      <c r="G741" s="569">
        <v>2019</v>
      </c>
      <c r="H741" s="569" t="s">
        <v>1838</v>
      </c>
      <c r="I741" s="569" t="s">
        <v>1686</v>
      </c>
      <c r="J741" s="569" t="s">
        <v>236</v>
      </c>
      <c r="K741" s="569">
        <v>2</v>
      </c>
      <c r="L741" s="569">
        <v>0</v>
      </c>
      <c r="M741" s="569" t="s">
        <v>157</v>
      </c>
      <c r="N741" s="569">
        <v>1</v>
      </c>
      <c r="O741" s="569">
        <v>81</v>
      </c>
      <c r="P741" s="568" t="s">
        <v>157</v>
      </c>
      <c r="Q741" s="569" t="s">
        <v>1687</v>
      </c>
      <c r="R741" s="569">
        <v>10</v>
      </c>
      <c r="S741" s="569" t="s">
        <v>1839</v>
      </c>
      <c r="T741" s="569" t="s">
        <v>1840</v>
      </c>
      <c r="U741" s="569">
        <v>176</v>
      </c>
      <c r="V741" s="569">
        <v>55</v>
      </c>
      <c r="W741" s="620">
        <v>14500</v>
      </c>
      <c r="X741" s="621" t="s">
        <v>157</v>
      </c>
      <c r="Y741" s="621" t="s">
        <v>178</v>
      </c>
      <c r="Z741" s="621" t="s">
        <v>178</v>
      </c>
      <c r="AA741" s="622">
        <v>35785</v>
      </c>
      <c r="AB741" s="622" t="s">
        <v>164</v>
      </c>
      <c r="AC741" s="622">
        <v>27968.989473684214</v>
      </c>
      <c r="AD741" s="623">
        <v>0.03</v>
      </c>
      <c r="AE741" s="621" t="s">
        <v>1842</v>
      </c>
    </row>
    <row r="742" spans="1:31" s="572" customFormat="1">
      <c r="A742" s="570" t="s">
        <v>1845</v>
      </c>
      <c r="B742" s="573" t="s">
        <v>269</v>
      </c>
      <c r="C742" s="578" t="s">
        <v>270</v>
      </c>
      <c r="D742" s="573" t="s">
        <v>1516</v>
      </c>
      <c r="E742" s="573" t="s">
        <v>1684</v>
      </c>
      <c r="F742" s="573" t="s">
        <v>271</v>
      </c>
      <c r="G742" s="573">
        <v>2019</v>
      </c>
      <c r="H742" s="573" t="s">
        <v>1838</v>
      </c>
      <c r="I742" s="573" t="s">
        <v>1699</v>
      </c>
      <c r="J742" s="573" t="s">
        <v>236</v>
      </c>
      <c r="K742" s="573">
        <v>2</v>
      </c>
      <c r="L742" s="573">
        <v>0</v>
      </c>
      <c r="M742" s="573" t="s">
        <v>157</v>
      </c>
      <c r="N742" s="573">
        <v>1</v>
      </c>
      <c r="O742" s="573" t="s">
        <v>157</v>
      </c>
      <c r="P742" s="571" t="s">
        <v>157</v>
      </c>
      <c r="Q742" s="573" t="s">
        <v>1700</v>
      </c>
      <c r="R742" s="573">
        <v>8</v>
      </c>
      <c r="S742" s="582" t="s">
        <v>1839</v>
      </c>
      <c r="T742" s="573" t="s">
        <v>1840</v>
      </c>
      <c r="U742" s="573">
        <v>158</v>
      </c>
      <c r="V742" s="573">
        <v>55</v>
      </c>
      <c r="W742" s="616">
        <v>14000</v>
      </c>
      <c r="X742" s="617" t="s">
        <v>157</v>
      </c>
      <c r="Y742" s="617" t="s">
        <v>450</v>
      </c>
      <c r="Z742" s="617" t="s">
        <v>178</v>
      </c>
      <c r="AA742" s="618">
        <v>34705</v>
      </c>
      <c r="AB742" s="618" t="s">
        <v>164</v>
      </c>
      <c r="AC742" s="618">
        <v>26980.568421052634</v>
      </c>
      <c r="AD742" s="619">
        <v>0.03</v>
      </c>
      <c r="AE742" s="617" t="s">
        <v>1846</v>
      </c>
    </row>
    <row r="743" spans="1:31" s="572" customFormat="1">
      <c r="A743" s="570" t="s">
        <v>1847</v>
      </c>
      <c r="B743" s="569" t="s">
        <v>269</v>
      </c>
      <c r="C743" s="580" t="s">
        <v>270</v>
      </c>
      <c r="D743" s="569" t="s">
        <v>1516</v>
      </c>
      <c r="E743" s="569" t="s">
        <v>1684</v>
      </c>
      <c r="F743" s="569" t="s">
        <v>271</v>
      </c>
      <c r="G743" s="569">
        <v>2019</v>
      </c>
      <c r="H743" s="569" t="s">
        <v>1838</v>
      </c>
      <c r="I743" s="569" t="s">
        <v>1699</v>
      </c>
      <c r="J743" s="569" t="s">
        <v>236</v>
      </c>
      <c r="K743" s="569">
        <v>2</v>
      </c>
      <c r="L743" s="569">
        <v>0</v>
      </c>
      <c r="M743" s="569" t="s">
        <v>157</v>
      </c>
      <c r="N743" s="569">
        <v>1</v>
      </c>
      <c r="O743" s="569" t="s">
        <v>157</v>
      </c>
      <c r="P743" s="568" t="s">
        <v>157</v>
      </c>
      <c r="Q743" s="569" t="s">
        <v>1700</v>
      </c>
      <c r="R743" s="569">
        <v>8</v>
      </c>
      <c r="S743" s="569" t="s">
        <v>1839</v>
      </c>
      <c r="T743" s="569" t="s">
        <v>1840</v>
      </c>
      <c r="U743" s="569">
        <v>176</v>
      </c>
      <c r="V743" s="569">
        <v>55</v>
      </c>
      <c r="W743" s="620">
        <v>14000</v>
      </c>
      <c r="X743" s="621" t="s">
        <v>157</v>
      </c>
      <c r="Y743" s="621" t="s">
        <v>450</v>
      </c>
      <c r="Z743" s="621" t="s">
        <v>178</v>
      </c>
      <c r="AA743" s="622">
        <v>35435</v>
      </c>
      <c r="AB743" s="622" t="s">
        <v>164</v>
      </c>
      <c r="AC743" s="622">
        <v>27655.305263157898</v>
      </c>
      <c r="AD743" s="623">
        <v>0.03</v>
      </c>
      <c r="AE743" s="621" t="s">
        <v>1848</v>
      </c>
    </row>
    <row r="744" spans="1:31" s="572" customFormat="1">
      <c r="A744" s="570" t="s">
        <v>1849</v>
      </c>
      <c r="B744" s="573" t="s">
        <v>269</v>
      </c>
      <c r="C744" s="578" t="s">
        <v>270</v>
      </c>
      <c r="D744" s="573" t="s">
        <v>1516</v>
      </c>
      <c r="E744" s="573" t="s">
        <v>1684</v>
      </c>
      <c r="F744" s="573" t="s">
        <v>271</v>
      </c>
      <c r="G744" s="573">
        <v>2019</v>
      </c>
      <c r="H744" s="573" t="s">
        <v>1838</v>
      </c>
      <c r="I744" s="573" t="s">
        <v>1699</v>
      </c>
      <c r="J744" s="573" t="s">
        <v>236</v>
      </c>
      <c r="K744" s="573">
        <v>2</v>
      </c>
      <c r="L744" s="573">
        <v>0</v>
      </c>
      <c r="M744" s="573" t="s">
        <v>157</v>
      </c>
      <c r="N744" s="573">
        <v>1</v>
      </c>
      <c r="O744" s="573" t="s">
        <v>157</v>
      </c>
      <c r="P744" s="571" t="s">
        <v>157</v>
      </c>
      <c r="Q744" s="573" t="s">
        <v>1687</v>
      </c>
      <c r="R744" s="573">
        <v>10</v>
      </c>
      <c r="S744" s="582" t="s">
        <v>1839</v>
      </c>
      <c r="T744" s="573" t="s">
        <v>1840</v>
      </c>
      <c r="U744" s="573">
        <v>158</v>
      </c>
      <c r="V744" s="573">
        <v>55</v>
      </c>
      <c r="W744" s="616">
        <v>14500</v>
      </c>
      <c r="X744" s="617" t="s">
        <v>157</v>
      </c>
      <c r="Y744" s="617" t="s">
        <v>178</v>
      </c>
      <c r="Z744" s="617" t="s">
        <v>178</v>
      </c>
      <c r="AA744" s="618">
        <v>35055</v>
      </c>
      <c r="AB744" s="618" t="s">
        <v>164</v>
      </c>
      <c r="AC744" s="618">
        <v>27294.252631578951</v>
      </c>
      <c r="AD744" s="619">
        <v>0.03</v>
      </c>
      <c r="AE744" s="617" t="s">
        <v>1850</v>
      </c>
    </row>
    <row r="745" spans="1:31" s="572" customFormat="1">
      <c r="A745" s="570" t="s">
        <v>1851</v>
      </c>
      <c r="B745" s="569" t="s">
        <v>269</v>
      </c>
      <c r="C745" s="580" t="s">
        <v>270</v>
      </c>
      <c r="D745" s="569" t="s">
        <v>1516</v>
      </c>
      <c r="E745" s="569" t="s">
        <v>1684</v>
      </c>
      <c r="F745" s="569" t="s">
        <v>271</v>
      </c>
      <c r="G745" s="569">
        <v>2019</v>
      </c>
      <c r="H745" s="569" t="s">
        <v>1838</v>
      </c>
      <c r="I745" s="569" t="s">
        <v>1699</v>
      </c>
      <c r="J745" s="569" t="s">
        <v>236</v>
      </c>
      <c r="K745" s="569">
        <v>2</v>
      </c>
      <c r="L745" s="569">
        <v>0</v>
      </c>
      <c r="M745" s="569" t="s">
        <v>157</v>
      </c>
      <c r="N745" s="569">
        <v>1</v>
      </c>
      <c r="O745" s="569" t="s">
        <v>157</v>
      </c>
      <c r="P745" s="568" t="s">
        <v>157</v>
      </c>
      <c r="Q745" s="569" t="s">
        <v>1687</v>
      </c>
      <c r="R745" s="569">
        <v>10</v>
      </c>
      <c r="S745" s="569" t="s">
        <v>1839</v>
      </c>
      <c r="T745" s="569" t="s">
        <v>1840</v>
      </c>
      <c r="U745" s="569">
        <v>176</v>
      </c>
      <c r="V745" s="569">
        <v>55</v>
      </c>
      <c r="W745" s="620">
        <v>14500</v>
      </c>
      <c r="X745" s="621" t="s">
        <v>157</v>
      </c>
      <c r="Y745" s="621" t="s">
        <v>178</v>
      </c>
      <c r="Z745" s="621" t="s">
        <v>178</v>
      </c>
      <c r="AA745" s="622">
        <v>35785</v>
      </c>
      <c r="AB745" s="622" t="s">
        <v>164</v>
      </c>
      <c r="AC745" s="622">
        <v>27968.989473684214</v>
      </c>
      <c r="AD745" s="623">
        <v>0.03</v>
      </c>
      <c r="AE745" s="621" t="s">
        <v>1852</v>
      </c>
    </row>
    <row r="746" spans="1:31" s="572" customFormat="1">
      <c r="A746" s="570" t="s">
        <v>1853</v>
      </c>
      <c r="B746" s="573" t="s">
        <v>278</v>
      </c>
      <c r="C746" s="578">
        <v>15</v>
      </c>
      <c r="D746" s="573" t="s">
        <v>1516</v>
      </c>
      <c r="E746" s="573" t="s">
        <v>1684</v>
      </c>
      <c r="F746" s="573" t="s">
        <v>271</v>
      </c>
      <c r="G746" s="573">
        <v>2019</v>
      </c>
      <c r="H746" s="573" t="s">
        <v>1838</v>
      </c>
      <c r="I746" s="573" t="s">
        <v>1699</v>
      </c>
      <c r="J746" s="573" t="s">
        <v>236</v>
      </c>
      <c r="K746" s="573">
        <v>2</v>
      </c>
      <c r="L746" s="573">
        <v>0</v>
      </c>
      <c r="M746" s="573" t="s">
        <v>157</v>
      </c>
      <c r="N746" s="573">
        <v>1</v>
      </c>
      <c r="O746" s="573" t="s">
        <v>157</v>
      </c>
      <c r="P746" s="571" t="s">
        <v>157</v>
      </c>
      <c r="Q746" s="573" t="s">
        <v>1700</v>
      </c>
      <c r="R746" s="573">
        <v>8</v>
      </c>
      <c r="S746" s="582" t="s">
        <v>1839</v>
      </c>
      <c r="T746" s="573" t="s">
        <v>1840</v>
      </c>
      <c r="U746" s="573">
        <v>158</v>
      </c>
      <c r="V746" s="573">
        <v>55</v>
      </c>
      <c r="W746" s="616">
        <v>14000</v>
      </c>
      <c r="X746" s="617" t="s">
        <v>157</v>
      </c>
      <c r="Y746" s="617" t="s">
        <v>450</v>
      </c>
      <c r="Z746" s="617" t="s">
        <v>178</v>
      </c>
      <c r="AA746" s="618">
        <v>34705</v>
      </c>
      <c r="AB746" s="618" t="s">
        <v>164</v>
      </c>
      <c r="AC746" s="618">
        <v>27100</v>
      </c>
      <c r="AD746" s="619">
        <v>0.01</v>
      </c>
      <c r="AE746" s="617" t="s">
        <v>1846</v>
      </c>
    </row>
    <row r="747" spans="1:31" s="572" customFormat="1">
      <c r="A747" s="570" t="s">
        <v>1854</v>
      </c>
      <c r="B747" s="569" t="s">
        <v>278</v>
      </c>
      <c r="C747" s="580">
        <v>15</v>
      </c>
      <c r="D747" s="569" t="s">
        <v>1516</v>
      </c>
      <c r="E747" s="569" t="s">
        <v>1684</v>
      </c>
      <c r="F747" s="569" t="s">
        <v>271</v>
      </c>
      <c r="G747" s="569">
        <v>2019</v>
      </c>
      <c r="H747" s="569" t="s">
        <v>1838</v>
      </c>
      <c r="I747" s="569" t="s">
        <v>1699</v>
      </c>
      <c r="J747" s="569" t="s">
        <v>236</v>
      </c>
      <c r="K747" s="569">
        <v>2</v>
      </c>
      <c r="L747" s="569">
        <v>0</v>
      </c>
      <c r="M747" s="569" t="s">
        <v>157</v>
      </c>
      <c r="N747" s="569">
        <v>1</v>
      </c>
      <c r="O747" s="569" t="s">
        <v>157</v>
      </c>
      <c r="P747" s="568" t="s">
        <v>157</v>
      </c>
      <c r="Q747" s="569" t="s">
        <v>1687</v>
      </c>
      <c r="R747" s="569">
        <v>10</v>
      </c>
      <c r="S747" s="569" t="s">
        <v>1839</v>
      </c>
      <c r="T747" s="569" t="s">
        <v>1840</v>
      </c>
      <c r="U747" s="569">
        <v>176</v>
      </c>
      <c r="V747" s="569">
        <v>55</v>
      </c>
      <c r="W747" s="620">
        <v>14500</v>
      </c>
      <c r="X747" s="621" t="s">
        <v>157</v>
      </c>
      <c r="Y747" s="621" t="s">
        <v>178</v>
      </c>
      <c r="Z747" s="621" t="s">
        <v>178</v>
      </c>
      <c r="AA747" s="622">
        <v>35785</v>
      </c>
      <c r="AB747" s="622" t="s">
        <v>164</v>
      </c>
      <c r="AC747" s="622">
        <v>28100</v>
      </c>
      <c r="AD747" s="623">
        <v>0.01</v>
      </c>
      <c r="AE747" s="621" t="s">
        <v>1852</v>
      </c>
    </row>
    <row r="748" spans="1:31" s="572" customFormat="1">
      <c r="A748" s="570" t="s">
        <v>1855</v>
      </c>
      <c r="B748" s="573" t="s">
        <v>287</v>
      </c>
      <c r="C748" s="578">
        <v>26</v>
      </c>
      <c r="D748" s="573" t="s">
        <v>1516</v>
      </c>
      <c r="E748" s="573" t="s">
        <v>1684</v>
      </c>
      <c r="F748" s="573" t="s">
        <v>271</v>
      </c>
      <c r="G748" s="573">
        <v>2019</v>
      </c>
      <c r="H748" s="573" t="s">
        <v>1838</v>
      </c>
      <c r="I748" s="573" t="s">
        <v>1699</v>
      </c>
      <c r="J748" s="573" t="s">
        <v>236</v>
      </c>
      <c r="K748" s="573">
        <v>2</v>
      </c>
      <c r="L748" s="573">
        <v>0</v>
      </c>
      <c r="M748" s="573" t="s">
        <v>157</v>
      </c>
      <c r="N748" s="573">
        <v>1</v>
      </c>
      <c r="O748" s="573" t="s">
        <v>157</v>
      </c>
      <c r="P748" s="571" t="s">
        <v>157</v>
      </c>
      <c r="Q748" s="573" t="s">
        <v>1687</v>
      </c>
      <c r="R748" s="573">
        <v>10</v>
      </c>
      <c r="S748" s="582" t="s">
        <v>1839</v>
      </c>
      <c r="T748" s="573" t="s">
        <v>1840</v>
      </c>
      <c r="U748" s="573">
        <v>158</v>
      </c>
      <c r="V748" s="573">
        <v>55</v>
      </c>
      <c r="W748" s="616">
        <v>14500</v>
      </c>
      <c r="X748" s="617" t="s">
        <v>157</v>
      </c>
      <c r="Y748" s="617" t="s">
        <v>178</v>
      </c>
      <c r="Z748" s="617" t="s">
        <v>178</v>
      </c>
      <c r="AA748" s="618">
        <v>35055</v>
      </c>
      <c r="AB748" s="618" t="s">
        <v>164</v>
      </c>
      <c r="AC748" s="618">
        <v>27658</v>
      </c>
      <c r="AD748" s="619">
        <v>0.05</v>
      </c>
      <c r="AE748" s="617" t="s">
        <v>1850</v>
      </c>
    </row>
    <row r="749" spans="1:31" s="572" customFormat="1">
      <c r="A749" s="570" t="s">
        <v>1856</v>
      </c>
      <c r="B749" s="569" t="s">
        <v>287</v>
      </c>
      <c r="C749" s="580">
        <v>26</v>
      </c>
      <c r="D749" s="569" t="s">
        <v>1516</v>
      </c>
      <c r="E749" s="569" t="s">
        <v>1684</v>
      </c>
      <c r="F749" s="569" t="s">
        <v>271</v>
      </c>
      <c r="G749" s="569">
        <v>2019</v>
      </c>
      <c r="H749" s="569" t="s">
        <v>1838</v>
      </c>
      <c r="I749" s="569" t="s">
        <v>1699</v>
      </c>
      <c r="J749" s="569" t="s">
        <v>236</v>
      </c>
      <c r="K749" s="569">
        <v>2</v>
      </c>
      <c r="L749" s="569">
        <v>0</v>
      </c>
      <c r="M749" s="569" t="s">
        <v>157</v>
      </c>
      <c r="N749" s="569">
        <v>1</v>
      </c>
      <c r="O749" s="569" t="s">
        <v>157</v>
      </c>
      <c r="P749" s="568" t="s">
        <v>157</v>
      </c>
      <c r="Q749" s="569" t="s">
        <v>1687</v>
      </c>
      <c r="R749" s="569">
        <v>10</v>
      </c>
      <c r="S749" s="569" t="s">
        <v>1839</v>
      </c>
      <c r="T749" s="569" t="s">
        <v>1840</v>
      </c>
      <c r="U749" s="569">
        <v>176</v>
      </c>
      <c r="V749" s="569">
        <v>55</v>
      </c>
      <c r="W749" s="620">
        <v>14500</v>
      </c>
      <c r="X749" s="621" t="s">
        <v>157</v>
      </c>
      <c r="Y749" s="621" t="s">
        <v>178</v>
      </c>
      <c r="Z749" s="621" t="s">
        <v>178</v>
      </c>
      <c r="AA749" s="622">
        <v>35785</v>
      </c>
      <c r="AB749" s="622" t="s">
        <v>164</v>
      </c>
      <c r="AC749" s="622">
        <v>28339</v>
      </c>
      <c r="AD749" s="623">
        <v>0.05</v>
      </c>
      <c r="AE749" s="621" t="s">
        <v>1852</v>
      </c>
    </row>
    <row r="750" spans="1:31" s="572" customFormat="1">
      <c r="A750" s="570" t="s">
        <v>1857</v>
      </c>
      <c r="B750" s="573" t="s">
        <v>280</v>
      </c>
      <c r="C750" s="578">
        <v>27</v>
      </c>
      <c r="D750" s="573" t="s">
        <v>1516</v>
      </c>
      <c r="E750" s="573" t="s">
        <v>1684</v>
      </c>
      <c r="F750" s="573" t="s">
        <v>271</v>
      </c>
      <c r="G750" s="573">
        <v>2019</v>
      </c>
      <c r="H750" s="573" t="s">
        <v>1838</v>
      </c>
      <c r="I750" s="573" t="s">
        <v>1699</v>
      </c>
      <c r="J750" s="573" t="s">
        <v>236</v>
      </c>
      <c r="K750" s="573">
        <v>2</v>
      </c>
      <c r="L750" s="573">
        <v>0</v>
      </c>
      <c r="M750" s="573" t="s">
        <v>157</v>
      </c>
      <c r="N750" s="573">
        <v>1</v>
      </c>
      <c r="O750" s="573" t="s">
        <v>157</v>
      </c>
      <c r="P750" s="571" t="s">
        <v>157</v>
      </c>
      <c r="Q750" s="573" t="s">
        <v>1700</v>
      </c>
      <c r="R750" s="573">
        <v>8</v>
      </c>
      <c r="S750" s="582" t="s">
        <v>1839</v>
      </c>
      <c r="T750" s="573" t="s">
        <v>1840</v>
      </c>
      <c r="U750" s="573">
        <v>158</v>
      </c>
      <c r="V750" s="573">
        <v>55</v>
      </c>
      <c r="W750" s="616">
        <v>14000</v>
      </c>
      <c r="X750" s="617" t="s">
        <v>157</v>
      </c>
      <c r="Y750" s="617" t="s">
        <v>450</v>
      </c>
      <c r="Z750" s="617" t="s">
        <v>178</v>
      </c>
      <c r="AA750" s="618">
        <v>34705</v>
      </c>
      <c r="AB750" s="618" t="s">
        <v>164</v>
      </c>
      <c r="AC750" s="618">
        <v>26980.568421052634</v>
      </c>
      <c r="AD750" s="619">
        <v>0.03</v>
      </c>
      <c r="AE750" s="617" t="s">
        <v>1846</v>
      </c>
    </row>
    <row r="751" spans="1:31" s="572" customFormat="1">
      <c r="A751" s="570" t="s">
        <v>1858</v>
      </c>
      <c r="B751" s="569" t="s">
        <v>280</v>
      </c>
      <c r="C751" s="580">
        <v>27</v>
      </c>
      <c r="D751" s="569" t="s">
        <v>1516</v>
      </c>
      <c r="E751" s="569" t="s">
        <v>1684</v>
      </c>
      <c r="F751" s="569" t="s">
        <v>271</v>
      </c>
      <c r="G751" s="569">
        <v>2019</v>
      </c>
      <c r="H751" s="569" t="s">
        <v>1838</v>
      </c>
      <c r="I751" s="569" t="s">
        <v>1699</v>
      </c>
      <c r="J751" s="569" t="s">
        <v>236</v>
      </c>
      <c r="K751" s="569">
        <v>2</v>
      </c>
      <c r="L751" s="569">
        <v>0</v>
      </c>
      <c r="M751" s="569" t="s">
        <v>157</v>
      </c>
      <c r="N751" s="569">
        <v>1</v>
      </c>
      <c r="O751" s="569" t="s">
        <v>157</v>
      </c>
      <c r="P751" s="568" t="s">
        <v>157</v>
      </c>
      <c r="Q751" s="569" t="s">
        <v>1700</v>
      </c>
      <c r="R751" s="569">
        <v>8</v>
      </c>
      <c r="S751" s="569" t="s">
        <v>1839</v>
      </c>
      <c r="T751" s="569" t="s">
        <v>1840</v>
      </c>
      <c r="U751" s="569">
        <v>176</v>
      </c>
      <c r="V751" s="569">
        <v>55</v>
      </c>
      <c r="W751" s="620">
        <v>14000</v>
      </c>
      <c r="X751" s="621" t="s">
        <v>157</v>
      </c>
      <c r="Y751" s="621" t="s">
        <v>450</v>
      </c>
      <c r="Z751" s="621" t="s">
        <v>178</v>
      </c>
      <c r="AA751" s="622">
        <v>35435</v>
      </c>
      <c r="AB751" s="622" t="s">
        <v>164</v>
      </c>
      <c r="AC751" s="622">
        <v>27655.305263157898</v>
      </c>
      <c r="AD751" s="623">
        <v>0.03</v>
      </c>
      <c r="AE751" s="621" t="s">
        <v>1848</v>
      </c>
    </row>
    <row r="752" spans="1:31" s="572" customFormat="1">
      <c r="A752" s="570" t="s">
        <v>1859</v>
      </c>
      <c r="B752" s="573" t="s">
        <v>280</v>
      </c>
      <c r="C752" s="578">
        <v>27</v>
      </c>
      <c r="D752" s="573" t="s">
        <v>1516</v>
      </c>
      <c r="E752" s="573" t="s">
        <v>1684</v>
      </c>
      <c r="F752" s="573" t="s">
        <v>271</v>
      </c>
      <c r="G752" s="573">
        <v>2019</v>
      </c>
      <c r="H752" s="573" t="s">
        <v>1838</v>
      </c>
      <c r="I752" s="573" t="s">
        <v>1699</v>
      </c>
      <c r="J752" s="573" t="s">
        <v>236</v>
      </c>
      <c r="K752" s="573">
        <v>2</v>
      </c>
      <c r="L752" s="573">
        <v>0</v>
      </c>
      <c r="M752" s="573" t="s">
        <v>157</v>
      </c>
      <c r="N752" s="573">
        <v>1</v>
      </c>
      <c r="O752" s="573" t="s">
        <v>157</v>
      </c>
      <c r="P752" s="571" t="s">
        <v>157</v>
      </c>
      <c r="Q752" s="573" t="s">
        <v>1687</v>
      </c>
      <c r="R752" s="573">
        <v>10</v>
      </c>
      <c r="S752" s="582" t="s">
        <v>1839</v>
      </c>
      <c r="T752" s="573" t="s">
        <v>1840</v>
      </c>
      <c r="U752" s="573">
        <v>158</v>
      </c>
      <c r="V752" s="573">
        <v>55</v>
      </c>
      <c r="W752" s="616">
        <v>14500</v>
      </c>
      <c r="X752" s="617" t="s">
        <v>157</v>
      </c>
      <c r="Y752" s="617" t="s">
        <v>178</v>
      </c>
      <c r="Z752" s="617" t="s">
        <v>178</v>
      </c>
      <c r="AA752" s="618">
        <v>35055</v>
      </c>
      <c r="AB752" s="618" t="s">
        <v>164</v>
      </c>
      <c r="AC752" s="618">
        <v>27294.252631578951</v>
      </c>
      <c r="AD752" s="619">
        <v>0.03</v>
      </c>
      <c r="AE752" s="617" t="s">
        <v>1850</v>
      </c>
    </row>
    <row r="753" spans="1:31" s="572" customFormat="1">
      <c r="A753" s="570" t="s">
        <v>1860</v>
      </c>
      <c r="B753" s="569" t="s">
        <v>280</v>
      </c>
      <c r="C753" s="580">
        <v>27</v>
      </c>
      <c r="D753" s="569" t="s">
        <v>1516</v>
      </c>
      <c r="E753" s="569" t="s">
        <v>1684</v>
      </c>
      <c r="F753" s="569" t="s">
        <v>271</v>
      </c>
      <c r="G753" s="569">
        <v>2019</v>
      </c>
      <c r="H753" s="569" t="s">
        <v>1838</v>
      </c>
      <c r="I753" s="569" t="s">
        <v>1699</v>
      </c>
      <c r="J753" s="569" t="s">
        <v>236</v>
      </c>
      <c r="K753" s="569">
        <v>2</v>
      </c>
      <c r="L753" s="569">
        <v>0</v>
      </c>
      <c r="M753" s="569" t="s">
        <v>157</v>
      </c>
      <c r="N753" s="569">
        <v>1</v>
      </c>
      <c r="O753" s="569" t="s">
        <v>157</v>
      </c>
      <c r="P753" s="568" t="s">
        <v>157</v>
      </c>
      <c r="Q753" s="569" t="s">
        <v>1687</v>
      </c>
      <c r="R753" s="569">
        <v>10</v>
      </c>
      <c r="S753" s="569" t="s">
        <v>1839</v>
      </c>
      <c r="T753" s="569" t="s">
        <v>1840</v>
      </c>
      <c r="U753" s="569">
        <v>176</v>
      </c>
      <c r="V753" s="569">
        <v>55</v>
      </c>
      <c r="W753" s="620">
        <v>14500</v>
      </c>
      <c r="X753" s="621" t="s">
        <v>157</v>
      </c>
      <c r="Y753" s="621" t="s">
        <v>178</v>
      </c>
      <c r="Z753" s="621" t="s">
        <v>178</v>
      </c>
      <c r="AA753" s="622">
        <v>35785</v>
      </c>
      <c r="AB753" s="622" t="s">
        <v>164</v>
      </c>
      <c r="AC753" s="622">
        <v>27968.989473684214</v>
      </c>
      <c r="AD753" s="623">
        <v>0.03</v>
      </c>
      <c r="AE753" s="621" t="s">
        <v>1852</v>
      </c>
    </row>
    <row r="754" spans="1:31" s="572" customFormat="1">
      <c r="A754" s="570" t="s">
        <v>1861</v>
      </c>
      <c r="B754" s="573" t="s">
        <v>269</v>
      </c>
      <c r="C754" s="578" t="s">
        <v>270</v>
      </c>
      <c r="D754" s="573" t="s">
        <v>1516</v>
      </c>
      <c r="E754" s="573" t="s">
        <v>1684</v>
      </c>
      <c r="F754" s="573" t="s">
        <v>271</v>
      </c>
      <c r="G754" s="573">
        <v>2019</v>
      </c>
      <c r="H754" s="573" t="s">
        <v>1838</v>
      </c>
      <c r="I754" s="573" t="s">
        <v>1742</v>
      </c>
      <c r="J754" s="573" t="s">
        <v>236</v>
      </c>
      <c r="K754" s="573">
        <v>1</v>
      </c>
      <c r="L754" s="573">
        <v>0</v>
      </c>
      <c r="M754" s="573" t="s">
        <v>157</v>
      </c>
      <c r="N754" s="573">
        <v>1</v>
      </c>
      <c r="O754" s="573" t="s">
        <v>157</v>
      </c>
      <c r="P754" s="571" t="s">
        <v>157</v>
      </c>
      <c r="Q754" s="573" t="s">
        <v>1687</v>
      </c>
      <c r="R754" s="573">
        <v>10</v>
      </c>
      <c r="S754" s="582" t="s">
        <v>1863</v>
      </c>
      <c r="T754" s="573" t="s">
        <v>1864</v>
      </c>
      <c r="U754" s="573">
        <v>158</v>
      </c>
      <c r="V754" s="573">
        <v>55</v>
      </c>
      <c r="W754" s="616">
        <v>14500</v>
      </c>
      <c r="X754" s="617" t="s">
        <v>157</v>
      </c>
      <c r="Y754" s="617" t="s">
        <v>178</v>
      </c>
      <c r="Z754" s="617" t="s">
        <v>178</v>
      </c>
      <c r="AA754" s="618">
        <v>31865</v>
      </c>
      <c r="AB754" s="618" t="s">
        <v>164</v>
      </c>
      <c r="AC754" s="618">
        <v>25400.568421052634</v>
      </c>
      <c r="AD754" s="619">
        <v>0.03</v>
      </c>
      <c r="AE754" s="617" t="s">
        <v>1862</v>
      </c>
    </row>
    <row r="755" spans="1:31" s="572" customFormat="1">
      <c r="A755" s="570" t="s">
        <v>1865</v>
      </c>
      <c r="B755" s="569" t="s">
        <v>269</v>
      </c>
      <c r="C755" s="580" t="s">
        <v>270</v>
      </c>
      <c r="D755" s="569" t="s">
        <v>1516</v>
      </c>
      <c r="E755" s="569" t="s">
        <v>1684</v>
      </c>
      <c r="F755" s="569" t="s">
        <v>271</v>
      </c>
      <c r="G755" s="569">
        <v>2019</v>
      </c>
      <c r="H755" s="569" t="s">
        <v>1838</v>
      </c>
      <c r="I755" s="569" t="s">
        <v>1742</v>
      </c>
      <c r="J755" s="569" t="s">
        <v>236</v>
      </c>
      <c r="K755" s="569">
        <v>1</v>
      </c>
      <c r="L755" s="569">
        <v>0</v>
      </c>
      <c r="M755" s="569" t="s">
        <v>157</v>
      </c>
      <c r="N755" s="569">
        <v>1</v>
      </c>
      <c r="O755" s="569" t="s">
        <v>157</v>
      </c>
      <c r="P755" s="568" t="s">
        <v>157</v>
      </c>
      <c r="Q755" s="569" t="s">
        <v>1687</v>
      </c>
      <c r="R755" s="569">
        <v>10</v>
      </c>
      <c r="S755" s="569" t="s">
        <v>1863</v>
      </c>
      <c r="T755" s="569" t="s">
        <v>1864</v>
      </c>
      <c r="U755" s="569">
        <v>176</v>
      </c>
      <c r="V755" s="569">
        <v>55</v>
      </c>
      <c r="W755" s="620">
        <v>14500</v>
      </c>
      <c r="X755" s="621" t="s">
        <v>157</v>
      </c>
      <c r="Y755" s="621" t="s">
        <v>178</v>
      </c>
      <c r="Z755" s="621" t="s">
        <v>178</v>
      </c>
      <c r="AA755" s="622">
        <v>32365</v>
      </c>
      <c r="AB755" s="622" t="s">
        <v>164</v>
      </c>
      <c r="AC755" s="622">
        <v>25862.673684210527</v>
      </c>
      <c r="AD755" s="623">
        <v>0.03</v>
      </c>
      <c r="AE755" s="621" t="s">
        <v>1866</v>
      </c>
    </row>
    <row r="756" spans="1:31" s="572" customFormat="1">
      <c r="A756" s="570" t="s">
        <v>1867</v>
      </c>
      <c r="B756" s="573" t="s">
        <v>287</v>
      </c>
      <c r="C756" s="578">
        <v>26</v>
      </c>
      <c r="D756" s="573" t="s">
        <v>1516</v>
      </c>
      <c r="E756" s="573" t="s">
        <v>1684</v>
      </c>
      <c r="F756" s="573" t="s">
        <v>271</v>
      </c>
      <c r="G756" s="573">
        <v>2019</v>
      </c>
      <c r="H756" s="573" t="s">
        <v>1838</v>
      </c>
      <c r="I756" s="573" t="s">
        <v>1742</v>
      </c>
      <c r="J756" s="573" t="s">
        <v>236</v>
      </c>
      <c r="K756" s="573">
        <v>1</v>
      </c>
      <c r="L756" s="573">
        <v>0</v>
      </c>
      <c r="M756" s="573" t="s">
        <v>157</v>
      </c>
      <c r="N756" s="573">
        <v>1</v>
      </c>
      <c r="O756" s="573" t="s">
        <v>157</v>
      </c>
      <c r="P756" s="571" t="s">
        <v>157</v>
      </c>
      <c r="Q756" s="573" t="s">
        <v>1687</v>
      </c>
      <c r="R756" s="573">
        <v>10</v>
      </c>
      <c r="S756" s="582" t="s">
        <v>1863</v>
      </c>
      <c r="T756" s="573" t="s">
        <v>1864</v>
      </c>
      <c r="U756" s="573">
        <v>158</v>
      </c>
      <c r="V756" s="573">
        <v>55</v>
      </c>
      <c r="W756" s="616">
        <v>14500</v>
      </c>
      <c r="X756" s="617" t="s">
        <v>157</v>
      </c>
      <c r="Y756" s="617" t="s">
        <v>178</v>
      </c>
      <c r="Z756" s="617" t="s">
        <v>178</v>
      </c>
      <c r="AA756" s="618">
        <v>31865</v>
      </c>
      <c r="AB756" s="618" t="s">
        <v>164</v>
      </c>
      <c r="AC756" s="618">
        <v>25744</v>
      </c>
      <c r="AD756" s="619">
        <v>0.05</v>
      </c>
      <c r="AE756" s="617" t="s">
        <v>1862</v>
      </c>
    </row>
    <row r="757" spans="1:31" s="572" customFormat="1">
      <c r="A757" s="570" t="s">
        <v>1868</v>
      </c>
      <c r="B757" s="569" t="s">
        <v>287</v>
      </c>
      <c r="C757" s="580">
        <v>26</v>
      </c>
      <c r="D757" s="569" t="s">
        <v>1516</v>
      </c>
      <c r="E757" s="569" t="s">
        <v>1684</v>
      </c>
      <c r="F757" s="569" t="s">
        <v>271</v>
      </c>
      <c r="G757" s="569">
        <v>2019</v>
      </c>
      <c r="H757" s="569" t="s">
        <v>1838</v>
      </c>
      <c r="I757" s="569" t="s">
        <v>1742</v>
      </c>
      <c r="J757" s="569" t="s">
        <v>236</v>
      </c>
      <c r="K757" s="569">
        <v>1</v>
      </c>
      <c r="L757" s="569">
        <v>0</v>
      </c>
      <c r="M757" s="569" t="s">
        <v>157</v>
      </c>
      <c r="N757" s="569">
        <v>1</v>
      </c>
      <c r="O757" s="569" t="s">
        <v>157</v>
      </c>
      <c r="P757" s="568" t="s">
        <v>157</v>
      </c>
      <c r="Q757" s="569" t="s">
        <v>1687</v>
      </c>
      <c r="R757" s="569">
        <v>10</v>
      </c>
      <c r="S757" s="569" t="s">
        <v>1863</v>
      </c>
      <c r="T757" s="569" t="s">
        <v>1864</v>
      </c>
      <c r="U757" s="569">
        <v>176</v>
      </c>
      <c r="V757" s="569">
        <v>55</v>
      </c>
      <c r="W757" s="620">
        <v>14500</v>
      </c>
      <c r="X757" s="621" t="s">
        <v>157</v>
      </c>
      <c r="Y757" s="621" t="s">
        <v>178</v>
      </c>
      <c r="Z757" s="621" t="s">
        <v>178</v>
      </c>
      <c r="AA757" s="622">
        <v>32365</v>
      </c>
      <c r="AB757" s="622" t="s">
        <v>164</v>
      </c>
      <c r="AC757" s="622">
        <v>26211</v>
      </c>
      <c r="AD757" s="623">
        <v>0.05</v>
      </c>
      <c r="AE757" s="621" t="s">
        <v>1866</v>
      </c>
    </row>
    <row r="758" spans="1:31" s="572" customFormat="1">
      <c r="A758" s="570" t="s">
        <v>1869</v>
      </c>
      <c r="B758" s="573" t="s">
        <v>280</v>
      </c>
      <c r="C758" s="578">
        <v>27</v>
      </c>
      <c r="D758" s="573" t="s">
        <v>1516</v>
      </c>
      <c r="E758" s="573" t="s">
        <v>1684</v>
      </c>
      <c r="F758" s="573" t="s">
        <v>271</v>
      </c>
      <c r="G758" s="573">
        <v>2019</v>
      </c>
      <c r="H758" s="573" t="s">
        <v>1838</v>
      </c>
      <c r="I758" s="573" t="s">
        <v>1742</v>
      </c>
      <c r="J758" s="573" t="s">
        <v>236</v>
      </c>
      <c r="K758" s="573">
        <v>1</v>
      </c>
      <c r="L758" s="573">
        <v>0</v>
      </c>
      <c r="M758" s="573" t="s">
        <v>157</v>
      </c>
      <c r="N758" s="573">
        <v>1</v>
      </c>
      <c r="O758" s="573" t="s">
        <v>157</v>
      </c>
      <c r="P758" s="571" t="s">
        <v>157</v>
      </c>
      <c r="Q758" s="573" t="s">
        <v>1687</v>
      </c>
      <c r="R758" s="573">
        <v>10</v>
      </c>
      <c r="S758" s="582" t="s">
        <v>1863</v>
      </c>
      <c r="T758" s="573" t="s">
        <v>1864</v>
      </c>
      <c r="U758" s="573">
        <v>158</v>
      </c>
      <c r="V758" s="573">
        <v>55</v>
      </c>
      <c r="W758" s="616">
        <v>14500</v>
      </c>
      <c r="X758" s="617" t="s">
        <v>157</v>
      </c>
      <c r="Y758" s="617" t="s">
        <v>178</v>
      </c>
      <c r="Z758" s="617" t="s">
        <v>178</v>
      </c>
      <c r="AA758" s="618">
        <v>31865</v>
      </c>
      <c r="AB758" s="618" t="s">
        <v>164</v>
      </c>
      <c r="AC758" s="618">
        <v>25400.568421052634</v>
      </c>
      <c r="AD758" s="619">
        <v>0.03</v>
      </c>
      <c r="AE758" s="617" t="s">
        <v>1862</v>
      </c>
    </row>
    <row r="759" spans="1:31" s="572" customFormat="1">
      <c r="A759" s="570" t="s">
        <v>1870</v>
      </c>
      <c r="B759" s="569" t="s">
        <v>280</v>
      </c>
      <c r="C759" s="580">
        <v>27</v>
      </c>
      <c r="D759" s="569" t="s">
        <v>1516</v>
      </c>
      <c r="E759" s="569" t="s">
        <v>1684</v>
      </c>
      <c r="F759" s="569" t="s">
        <v>271</v>
      </c>
      <c r="G759" s="569">
        <v>2019</v>
      </c>
      <c r="H759" s="569" t="s">
        <v>1838</v>
      </c>
      <c r="I759" s="569" t="s">
        <v>1742</v>
      </c>
      <c r="J759" s="569" t="s">
        <v>236</v>
      </c>
      <c r="K759" s="569">
        <v>1</v>
      </c>
      <c r="L759" s="569">
        <v>0</v>
      </c>
      <c r="M759" s="569" t="s">
        <v>157</v>
      </c>
      <c r="N759" s="569">
        <v>1</v>
      </c>
      <c r="O759" s="569" t="s">
        <v>157</v>
      </c>
      <c r="P759" s="568" t="s">
        <v>157</v>
      </c>
      <c r="Q759" s="569" t="s">
        <v>1687</v>
      </c>
      <c r="R759" s="569">
        <v>10</v>
      </c>
      <c r="S759" s="569" t="s">
        <v>1863</v>
      </c>
      <c r="T759" s="569" t="s">
        <v>1864</v>
      </c>
      <c r="U759" s="569">
        <v>176</v>
      </c>
      <c r="V759" s="569">
        <v>55</v>
      </c>
      <c r="W759" s="620">
        <v>14500</v>
      </c>
      <c r="X759" s="621" t="s">
        <v>157</v>
      </c>
      <c r="Y759" s="621" t="s">
        <v>178</v>
      </c>
      <c r="Z759" s="621" t="s">
        <v>178</v>
      </c>
      <c r="AA759" s="622">
        <v>32365</v>
      </c>
      <c r="AB759" s="622" t="s">
        <v>164</v>
      </c>
      <c r="AC759" s="622">
        <v>25862.673684210527</v>
      </c>
      <c r="AD759" s="623">
        <v>0.03</v>
      </c>
      <c r="AE759" s="621" t="s">
        <v>1866</v>
      </c>
    </row>
    <row r="760" spans="1:31" s="572" customFormat="1">
      <c r="A760" s="570" t="s">
        <v>1871</v>
      </c>
      <c r="B760" s="573" t="s">
        <v>269</v>
      </c>
      <c r="C760" s="578" t="s">
        <v>270</v>
      </c>
      <c r="D760" s="573" t="s">
        <v>1516</v>
      </c>
      <c r="E760" s="573" t="s">
        <v>1684</v>
      </c>
      <c r="F760" s="573" t="s">
        <v>271</v>
      </c>
      <c r="G760" s="573">
        <v>2019</v>
      </c>
      <c r="H760" s="573" t="s">
        <v>1838</v>
      </c>
      <c r="I760" s="573" t="s">
        <v>1795</v>
      </c>
      <c r="J760" s="573" t="s">
        <v>236</v>
      </c>
      <c r="K760" s="573">
        <v>1</v>
      </c>
      <c r="L760" s="573">
        <v>0</v>
      </c>
      <c r="M760" s="573" t="s">
        <v>157</v>
      </c>
      <c r="N760" s="573">
        <v>1</v>
      </c>
      <c r="O760" s="573" t="s">
        <v>157</v>
      </c>
      <c r="P760" s="571" t="s">
        <v>157</v>
      </c>
      <c r="Q760" s="573" t="s">
        <v>1700</v>
      </c>
      <c r="R760" s="573">
        <v>8</v>
      </c>
      <c r="S760" s="582" t="s">
        <v>1863</v>
      </c>
      <c r="T760" s="573" t="s">
        <v>1864</v>
      </c>
      <c r="U760" s="573">
        <v>158</v>
      </c>
      <c r="V760" s="573">
        <v>55</v>
      </c>
      <c r="W760" s="616">
        <v>14000</v>
      </c>
      <c r="X760" s="617" t="s">
        <v>157</v>
      </c>
      <c r="Y760" s="617" t="s">
        <v>450</v>
      </c>
      <c r="Z760" s="617" t="s">
        <v>178</v>
      </c>
      <c r="AA760" s="618">
        <v>31515</v>
      </c>
      <c r="AB760" s="618" t="s">
        <v>164</v>
      </c>
      <c r="AC760" s="618">
        <v>25086.884210526317</v>
      </c>
      <c r="AD760" s="619">
        <v>0.03</v>
      </c>
      <c r="AE760" s="617" t="s">
        <v>1872</v>
      </c>
    </row>
    <row r="761" spans="1:31" s="572" customFormat="1">
      <c r="A761" s="570" t="s">
        <v>1873</v>
      </c>
      <c r="B761" s="569" t="s">
        <v>269</v>
      </c>
      <c r="C761" s="580" t="s">
        <v>270</v>
      </c>
      <c r="D761" s="569" t="s">
        <v>1516</v>
      </c>
      <c r="E761" s="569" t="s">
        <v>1684</v>
      </c>
      <c r="F761" s="569" t="s">
        <v>271</v>
      </c>
      <c r="G761" s="569">
        <v>2019</v>
      </c>
      <c r="H761" s="569" t="s">
        <v>1838</v>
      </c>
      <c r="I761" s="569" t="s">
        <v>1795</v>
      </c>
      <c r="J761" s="569" t="s">
        <v>236</v>
      </c>
      <c r="K761" s="569">
        <v>1</v>
      </c>
      <c r="L761" s="569">
        <v>0</v>
      </c>
      <c r="M761" s="569" t="s">
        <v>157</v>
      </c>
      <c r="N761" s="569">
        <v>1</v>
      </c>
      <c r="O761" s="569" t="s">
        <v>157</v>
      </c>
      <c r="P761" s="568" t="s">
        <v>157</v>
      </c>
      <c r="Q761" s="569" t="s">
        <v>1700</v>
      </c>
      <c r="R761" s="569">
        <v>8</v>
      </c>
      <c r="S761" s="569" t="s">
        <v>1863</v>
      </c>
      <c r="T761" s="569" t="s">
        <v>1864</v>
      </c>
      <c r="U761" s="569">
        <v>176</v>
      </c>
      <c r="V761" s="569">
        <v>55</v>
      </c>
      <c r="W761" s="620">
        <v>14000</v>
      </c>
      <c r="X761" s="621" t="s">
        <v>157</v>
      </c>
      <c r="Y761" s="621" t="s">
        <v>450</v>
      </c>
      <c r="Z761" s="621" t="s">
        <v>178</v>
      </c>
      <c r="AA761" s="622">
        <v>32015</v>
      </c>
      <c r="AB761" s="622" t="s">
        <v>164</v>
      </c>
      <c r="AC761" s="622">
        <v>25548.989473684214</v>
      </c>
      <c r="AD761" s="623">
        <v>0.03</v>
      </c>
      <c r="AE761" s="621" t="s">
        <v>1874</v>
      </c>
    </row>
    <row r="762" spans="1:31" s="572" customFormat="1">
      <c r="A762" s="570" t="s">
        <v>1875</v>
      </c>
      <c r="B762" s="573" t="s">
        <v>269</v>
      </c>
      <c r="C762" s="578" t="s">
        <v>270</v>
      </c>
      <c r="D762" s="573" t="s">
        <v>1516</v>
      </c>
      <c r="E762" s="573" t="s">
        <v>1684</v>
      </c>
      <c r="F762" s="573" t="s">
        <v>271</v>
      </c>
      <c r="G762" s="573">
        <v>2019</v>
      </c>
      <c r="H762" s="573" t="s">
        <v>1838</v>
      </c>
      <c r="I762" s="573" t="s">
        <v>1795</v>
      </c>
      <c r="J762" s="573" t="s">
        <v>236</v>
      </c>
      <c r="K762" s="573">
        <v>1</v>
      </c>
      <c r="L762" s="573">
        <v>0</v>
      </c>
      <c r="M762" s="573" t="s">
        <v>157</v>
      </c>
      <c r="N762" s="573">
        <v>1</v>
      </c>
      <c r="O762" s="573" t="s">
        <v>157</v>
      </c>
      <c r="P762" s="571" t="s">
        <v>157</v>
      </c>
      <c r="Q762" s="573" t="s">
        <v>1687</v>
      </c>
      <c r="R762" s="573">
        <v>10</v>
      </c>
      <c r="S762" s="582" t="s">
        <v>1863</v>
      </c>
      <c r="T762" s="573" t="s">
        <v>1864</v>
      </c>
      <c r="U762" s="573">
        <v>158</v>
      </c>
      <c r="V762" s="573">
        <v>55</v>
      </c>
      <c r="W762" s="616">
        <v>14500</v>
      </c>
      <c r="X762" s="617" t="s">
        <v>157</v>
      </c>
      <c r="Y762" s="617" t="s">
        <v>178</v>
      </c>
      <c r="Z762" s="617" t="s">
        <v>178</v>
      </c>
      <c r="AA762" s="618">
        <v>31865</v>
      </c>
      <c r="AB762" s="618" t="s">
        <v>164</v>
      </c>
      <c r="AC762" s="618">
        <v>25400.568421052634</v>
      </c>
      <c r="AD762" s="619">
        <v>0.03</v>
      </c>
      <c r="AE762" s="617" t="s">
        <v>1876</v>
      </c>
    </row>
    <row r="763" spans="1:31" s="572" customFormat="1">
      <c r="A763" s="570" t="s">
        <v>1877</v>
      </c>
      <c r="B763" s="569" t="s">
        <v>269</v>
      </c>
      <c r="C763" s="580" t="s">
        <v>270</v>
      </c>
      <c r="D763" s="569" t="s">
        <v>1516</v>
      </c>
      <c r="E763" s="569" t="s">
        <v>1684</v>
      </c>
      <c r="F763" s="569" t="s">
        <v>271</v>
      </c>
      <c r="G763" s="569">
        <v>2019</v>
      </c>
      <c r="H763" s="569" t="s">
        <v>1838</v>
      </c>
      <c r="I763" s="569" t="s">
        <v>1795</v>
      </c>
      <c r="J763" s="569" t="s">
        <v>236</v>
      </c>
      <c r="K763" s="569">
        <v>1</v>
      </c>
      <c r="L763" s="569">
        <v>0</v>
      </c>
      <c r="M763" s="569" t="s">
        <v>157</v>
      </c>
      <c r="N763" s="569">
        <v>1</v>
      </c>
      <c r="O763" s="569" t="s">
        <v>157</v>
      </c>
      <c r="P763" s="568" t="s">
        <v>157</v>
      </c>
      <c r="Q763" s="569" t="s">
        <v>1687</v>
      </c>
      <c r="R763" s="569">
        <v>10</v>
      </c>
      <c r="S763" s="569" t="s">
        <v>1863</v>
      </c>
      <c r="T763" s="569" t="s">
        <v>1864</v>
      </c>
      <c r="U763" s="569">
        <v>176</v>
      </c>
      <c r="V763" s="569">
        <v>55</v>
      </c>
      <c r="W763" s="620">
        <v>14500</v>
      </c>
      <c r="X763" s="621" t="s">
        <v>157</v>
      </c>
      <c r="Y763" s="621" t="s">
        <v>178</v>
      </c>
      <c r="Z763" s="621" t="s">
        <v>178</v>
      </c>
      <c r="AA763" s="622">
        <v>32365</v>
      </c>
      <c r="AB763" s="622" t="s">
        <v>164</v>
      </c>
      <c r="AC763" s="622">
        <v>25862.673684210527</v>
      </c>
      <c r="AD763" s="623">
        <v>0.03</v>
      </c>
      <c r="AE763" s="621" t="s">
        <v>1878</v>
      </c>
    </row>
    <row r="764" spans="1:31" s="572" customFormat="1">
      <c r="A764" s="570" t="s">
        <v>1879</v>
      </c>
      <c r="B764" s="573" t="s">
        <v>278</v>
      </c>
      <c r="C764" s="578">
        <v>15</v>
      </c>
      <c r="D764" s="573" t="s">
        <v>1516</v>
      </c>
      <c r="E764" s="573" t="s">
        <v>1684</v>
      </c>
      <c r="F764" s="573" t="s">
        <v>271</v>
      </c>
      <c r="G764" s="573">
        <v>2019</v>
      </c>
      <c r="H764" s="573" t="s">
        <v>1838</v>
      </c>
      <c r="I764" s="573" t="s">
        <v>1795</v>
      </c>
      <c r="J764" s="573" t="s">
        <v>236</v>
      </c>
      <c r="K764" s="573">
        <v>1</v>
      </c>
      <c r="L764" s="573">
        <v>0</v>
      </c>
      <c r="M764" s="573" t="s">
        <v>157</v>
      </c>
      <c r="N764" s="573">
        <v>1</v>
      </c>
      <c r="O764" s="573" t="s">
        <v>157</v>
      </c>
      <c r="P764" s="571" t="s">
        <v>157</v>
      </c>
      <c r="Q764" s="573" t="s">
        <v>1700</v>
      </c>
      <c r="R764" s="573">
        <v>8</v>
      </c>
      <c r="S764" s="582" t="s">
        <v>1863</v>
      </c>
      <c r="T764" s="573" t="s">
        <v>1864</v>
      </c>
      <c r="U764" s="573">
        <v>158</v>
      </c>
      <c r="V764" s="573">
        <v>55</v>
      </c>
      <c r="W764" s="616">
        <v>14000</v>
      </c>
      <c r="X764" s="617" t="s">
        <v>157</v>
      </c>
      <c r="Y764" s="617" t="s">
        <v>450</v>
      </c>
      <c r="Z764" s="617" t="s">
        <v>178</v>
      </c>
      <c r="AA764" s="618">
        <v>31515</v>
      </c>
      <c r="AB764" s="618" t="s">
        <v>164</v>
      </c>
      <c r="AC764" s="618">
        <v>25150</v>
      </c>
      <c r="AD764" s="619">
        <v>0.01</v>
      </c>
      <c r="AE764" s="617" t="s">
        <v>1872</v>
      </c>
    </row>
    <row r="765" spans="1:31" s="572" customFormat="1">
      <c r="A765" s="570" t="s">
        <v>1880</v>
      </c>
      <c r="B765" s="569" t="s">
        <v>278</v>
      </c>
      <c r="C765" s="580">
        <v>15</v>
      </c>
      <c r="D765" s="569" t="s">
        <v>1516</v>
      </c>
      <c r="E765" s="569" t="s">
        <v>1684</v>
      </c>
      <c r="F765" s="569" t="s">
        <v>271</v>
      </c>
      <c r="G765" s="569">
        <v>2019</v>
      </c>
      <c r="H765" s="569" t="s">
        <v>1838</v>
      </c>
      <c r="I765" s="569" t="s">
        <v>1795</v>
      </c>
      <c r="J765" s="569" t="s">
        <v>236</v>
      </c>
      <c r="K765" s="569">
        <v>1</v>
      </c>
      <c r="L765" s="569">
        <v>0</v>
      </c>
      <c r="M765" s="569" t="s">
        <v>157</v>
      </c>
      <c r="N765" s="569">
        <v>1</v>
      </c>
      <c r="O765" s="569" t="s">
        <v>157</v>
      </c>
      <c r="P765" s="568" t="s">
        <v>157</v>
      </c>
      <c r="Q765" s="569" t="s">
        <v>1700</v>
      </c>
      <c r="R765" s="569">
        <v>8</v>
      </c>
      <c r="S765" s="569" t="s">
        <v>1863</v>
      </c>
      <c r="T765" s="569" t="s">
        <v>1864</v>
      </c>
      <c r="U765" s="569">
        <v>176</v>
      </c>
      <c r="V765" s="569">
        <v>55</v>
      </c>
      <c r="W765" s="620">
        <v>14000</v>
      </c>
      <c r="X765" s="621" t="s">
        <v>157</v>
      </c>
      <c r="Y765" s="621" t="s">
        <v>450</v>
      </c>
      <c r="Z765" s="621" t="s">
        <v>178</v>
      </c>
      <c r="AA765" s="622">
        <v>32015</v>
      </c>
      <c r="AB765" s="622" t="s">
        <v>164</v>
      </c>
      <c r="AC765" s="622">
        <v>25650</v>
      </c>
      <c r="AD765" s="623">
        <v>0.01</v>
      </c>
      <c r="AE765" s="621" t="s">
        <v>1874</v>
      </c>
    </row>
    <row r="766" spans="1:31" s="572" customFormat="1">
      <c r="A766" s="570" t="s">
        <v>1881</v>
      </c>
      <c r="B766" s="573" t="s">
        <v>278</v>
      </c>
      <c r="C766" s="578">
        <v>15</v>
      </c>
      <c r="D766" s="573" t="s">
        <v>1516</v>
      </c>
      <c r="E766" s="573" t="s">
        <v>1684</v>
      </c>
      <c r="F766" s="573" t="s">
        <v>271</v>
      </c>
      <c r="G766" s="573">
        <v>2019</v>
      </c>
      <c r="H766" s="573" t="s">
        <v>1838</v>
      </c>
      <c r="I766" s="573" t="s">
        <v>1795</v>
      </c>
      <c r="J766" s="573" t="s">
        <v>236</v>
      </c>
      <c r="K766" s="573">
        <v>1</v>
      </c>
      <c r="L766" s="573">
        <v>0</v>
      </c>
      <c r="M766" s="573" t="s">
        <v>157</v>
      </c>
      <c r="N766" s="573">
        <v>1</v>
      </c>
      <c r="O766" s="573" t="s">
        <v>157</v>
      </c>
      <c r="P766" s="571" t="s">
        <v>157</v>
      </c>
      <c r="Q766" s="573" t="s">
        <v>1687</v>
      </c>
      <c r="R766" s="573">
        <v>10</v>
      </c>
      <c r="S766" s="582" t="s">
        <v>1863</v>
      </c>
      <c r="T766" s="573" t="s">
        <v>1864</v>
      </c>
      <c r="U766" s="573">
        <v>158</v>
      </c>
      <c r="V766" s="573">
        <v>55</v>
      </c>
      <c r="W766" s="616">
        <v>14500</v>
      </c>
      <c r="X766" s="617" t="s">
        <v>157</v>
      </c>
      <c r="Y766" s="617" t="s">
        <v>178</v>
      </c>
      <c r="Z766" s="617" t="s">
        <v>178</v>
      </c>
      <c r="AA766" s="618">
        <v>31865</v>
      </c>
      <c r="AB766" s="618" t="s">
        <v>164</v>
      </c>
      <c r="AC766" s="618">
        <v>25500</v>
      </c>
      <c r="AD766" s="619">
        <v>0.01</v>
      </c>
      <c r="AE766" s="617" t="s">
        <v>1876</v>
      </c>
    </row>
    <row r="767" spans="1:31" s="572" customFormat="1">
      <c r="A767" s="570" t="s">
        <v>1882</v>
      </c>
      <c r="B767" s="569" t="s">
        <v>278</v>
      </c>
      <c r="C767" s="580">
        <v>15</v>
      </c>
      <c r="D767" s="569" t="s">
        <v>1516</v>
      </c>
      <c r="E767" s="569" t="s">
        <v>1684</v>
      </c>
      <c r="F767" s="569" t="s">
        <v>271</v>
      </c>
      <c r="G767" s="569">
        <v>2019</v>
      </c>
      <c r="H767" s="569" t="s">
        <v>1838</v>
      </c>
      <c r="I767" s="569" t="s">
        <v>1795</v>
      </c>
      <c r="J767" s="569" t="s">
        <v>236</v>
      </c>
      <c r="K767" s="569">
        <v>1</v>
      </c>
      <c r="L767" s="569">
        <v>0</v>
      </c>
      <c r="M767" s="569" t="s">
        <v>157</v>
      </c>
      <c r="N767" s="569">
        <v>1</v>
      </c>
      <c r="O767" s="569" t="s">
        <v>157</v>
      </c>
      <c r="P767" s="568" t="s">
        <v>157</v>
      </c>
      <c r="Q767" s="569" t="s">
        <v>1687</v>
      </c>
      <c r="R767" s="569">
        <v>10</v>
      </c>
      <c r="S767" s="569" t="s">
        <v>1863</v>
      </c>
      <c r="T767" s="569" t="s">
        <v>1864</v>
      </c>
      <c r="U767" s="569">
        <v>176</v>
      </c>
      <c r="V767" s="569">
        <v>55</v>
      </c>
      <c r="W767" s="620">
        <v>14500</v>
      </c>
      <c r="X767" s="621" t="s">
        <v>157</v>
      </c>
      <c r="Y767" s="621" t="s">
        <v>178</v>
      </c>
      <c r="Z767" s="621" t="s">
        <v>178</v>
      </c>
      <c r="AA767" s="622">
        <v>32365</v>
      </c>
      <c r="AB767" s="622" t="s">
        <v>164</v>
      </c>
      <c r="AC767" s="622">
        <v>25995</v>
      </c>
      <c r="AD767" s="623">
        <v>0.01</v>
      </c>
      <c r="AE767" s="621" t="s">
        <v>1878</v>
      </c>
    </row>
    <row r="768" spans="1:31" s="572" customFormat="1">
      <c r="A768" s="570" t="s">
        <v>1883</v>
      </c>
      <c r="B768" s="573" t="s">
        <v>280</v>
      </c>
      <c r="C768" s="578">
        <v>27</v>
      </c>
      <c r="D768" s="573" t="s">
        <v>1516</v>
      </c>
      <c r="E768" s="573" t="s">
        <v>1684</v>
      </c>
      <c r="F768" s="573" t="s">
        <v>271</v>
      </c>
      <c r="G768" s="573">
        <v>2019</v>
      </c>
      <c r="H768" s="573" t="s">
        <v>1838</v>
      </c>
      <c r="I768" s="573" t="s">
        <v>1795</v>
      </c>
      <c r="J768" s="573" t="s">
        <v>236</v>
      </c>
      <c r="K768" s="573">
        <v>1</v>
      </c>
      <c r="L768" s="573">
        <v>0</v>
      </c>
      <c r="M768" s="573" t="s">
        <v>157</v>
      </c>
      <c r="N768" s="573">
        <v>1</v>
      </c>
      <c r="O768" s="573" t="s">
        <v>157</v>
      </c>
      <c r="P768" s="571" t="s">
        <v>157</v>
      </c>
      <c r="Q768" s="573" t="s">
        <v>1700</v>
      </c>
      <c r="R768" s="573">
        <v>8</v>
      </c>
      <c r="S768" s="582" t="s">
        <v>1863</v>
      </c>
      <c r="T768" s="573" t="s">
        <v>1864</v>
      </c>
      <c r="U768" s="573">
        <v>158</v>
      </c>
      <c r="V768" s="573">
        <v>55</v>
      </c>
      <c r="W768" s="616">
        <v>14000</v>
      </c>
      <c r="X768" s="617" t="s">
        <v>157</v>
      </c>
      <c r="Y768" s="617" t="s">
        <v>450</v>
      </c>
      <c r="Z768" s="617" t="s">
        <v>178</v>
      </c>
      <c r="AA768" s="618">
        <v>31515</v>
      </c>
      <c r="AB768" s="618" t="s">
        <v>164</v>
      </c>
      <c r="AC768" s="618">
        <v>25086.884210526317</v>
      </c>
      <c r="AD768" s="619">
        <v>0.03</v>
      </c>
      <c r="AE768" s="617" t="s">
        <v>1872</v>
      </c>
    </row>
    <row r="769" spans="1:31" s="572" customFormat="1">
      <c r="A769" s="570" t="s">
        <v>1884</v>
      </c>
      <c r="B769" s="569" t="s">
        <v>280</v>
      </c>
      <c r="C769" s="580">
        <v>27</v>
      </c>
      <c r="D769" s="569" t="s">
        <v>1516</v>
      </c>
      <c r="E769" s="569" t="s">
        <v>1684</v>
      </c>
      <c r="F769" s="569" t="s">
        <v>271</v>
      </c>
      <c r="G769" s="569">
        <v>2019</v>
      </c>
      <c r="H769" s="569" t="s">
        <v>1838</v>
      </c>
      <c r="I769" s="569" t="s">
        <v>1795</v>
      </c>
      <c r="J769" s="569" t="s">
        <v>236</v>
      </c>
      <c r="K769" s="569">
        <v>1</v>
      </c>
      <c r="L769" s="569">
        <v>0</v>
      </c>
      <c r="M769" s="569" t="s">
        <v>157</v>
      </c>
      <c r="N769" s="569">
        <v>1</v>
      </c>
      <c r="O769" s="569" t="s">
        <v>157</v>
      </c>
      <c r="P769" s="568" t="s">
        <v>157</v>
      </c>
      <c r="Q769" s="569" t="s">
        <v>1700</v>
      </c>
      <c r="R769" s="569">
        <v>8</v>
      </c>
      <c r="S769" s="569" t="s">
        <v>1863</v>
      </c>
      <c r="T769" s="569" t="s">
        <v>1864</v>
      </c>
      <c r="U769" s="569">
        <v>176</v>
      </c>
      <c r="V769" s="569">
        <v>55</v>
      </c>
      <c r="W769" s="620">
        <v>14000</v>
      </c>
      <c r="X769" s="621" t="s">
        <v>157</v>
      </c>
      <c r="Y769" s="621" t="s">
        <v>450</v>
      </c>
      <c r="Z769" s="621" t="s">
        <v>178</v>
      </c>
      <c r="AA769" s="622">
        <v>32015</v>
      </c>
      <c r="AB769" s="622" t="s">
        <v>164</v>
      </c>
      <c r="AC769" s="622">
        <v>25548.989473684214</v>
      </c>
      <c r="AD769" s="623">
        <v>0.03</v>
      </c>
      <c r="AE769" s="621" t="s">
        <v>1874</v>
      </c>
    </row>
    <row r="770" spans="1:31" s="572" customFormat="1">
      <c r="A770" s="570" t="s">
        <v>1885</v>
      </c>
      <c r="B770" s="573" t="s">
        <v>280</v>
      </c>
      <c r="C770" s="578">
        <v>27</v>
      </c>
      <c r="D770" s="573" t="s">
        <v>1516</v>
      </c>
      <c r="E770" s="573" t="s">
        <v>1684</v>
      </c>
      <c r="F770" s="573" t="s">
        <v>271</v>
      </c>
      <c r="G770" s="573">
        <v>2019</v>
      </c>
      <c r="H770" s="573" t="s">
        <v>1838</v>
      </c>
      <c r="I770" s="573" t="s">
        <v>1795</v>
      </c>
      <c r="J770" s="573" t="s">
        <v>236</v>
      </c>
      <c r="K770" s="573">
        <v>1</v>
      </c>
      <c r="L770" s="573">
        <v>0</v>
      </c>
      <c r="M770" s="573" t="s">
        <v>157</v>
      </c>
      <c r="N770" s="573">
        <v>1</v>
      </c>
      <c r="O770" s="573" t="s">
        <v>157</v>
      </c>
      <c r="P770" s="571" t="s">
        <v>157</v>
      </c>
      <c r="Q770" s="573" t="s">
        <v>1687</v>
      </c>
      <c r="R770" s="573">
        <v>10</v>
      </c>
      <c r="S770" s="582" t="s">
        <v>1863</v>
      </c>
      <c r="T770" s="573" t="s">
        <v>1864</v>
      </c>
      <c r="U770" s="573">
        <v>158</v>
      </c>
      <c r="V770" s="573">
        <v>55</v>
      </c>
      <c r="W770" s="616">
        <v>14500</v>
      </c>
      <c r="X770" s="617" t="s">
        <v>157</v>
      </c>
      <c r="Y770" s="617" t="s">
        <v>178</v>
      </c>
      <c r="Z770" s="617" t="s">
        <v>178</v>
      </c>
      <c r="AA770" s="618">
        <v>31865</v>
      </c>
      <c r="AB770" s="618" t="s">
        <v>164</v>
      </c>
      <c r="AC770" s="618">
        <v>25400.568421052634</v>
      </c>
      <c r="AD770" s="619">
        <v>0.03</v>
      </c>
      <c r="AE770" s="617" t="s">
        <v>1876</v>
      </c>
    </row>
    <row r="771" spans="1:31" s="572" customFormat="1">
      <c r="A771" s="570" t="s">
        <v>1886</v>
      </c>
      <c r="B771" s="569" t="s">
        <v>280</v>
      </c>
      <c r="C771" s="580">
        <v>27</v>
      </c>
      <c r="D771" s="569" t="s">
        <v>1516</v>
      </c>
      <c r="E771" s="569" t="s">
        <v>1684</v>
      </c>
      <c r="F771" s="569" t="s">
        <v>271</v>
      </c>
      <c r="G771" s="569">
        <v>2019</v>
      </c>
      <c r="H771" s="569" t="s">
        <v>1838</v>
      </c>
      <c r="I771" s="569" t="s">
        <v>1795</v>
      </c>
      <c r="J771" s="569" t="s">
        <v>236</v>
      </c>
      <c r="K771" s="569">
        <v>1</v>
      </c>
      <c r="L771" s="569">
        <v>0</v>
      </c>
      <c r="M771" s="569" t="s">
        <v>157</v>
      </c>
      <c r="N771" s="569">
        <v>1</v>
      </c>
      <c r="O771" s="569" t="s">
        <v>157</v>
      </c>
      <c r="P771" s="568" t="s">
        <v>157</v>
      </c>
      <c r="Q771" s="569" t="s">
        <v>1687</v>
      </c>
      <c r="R771" s="569">
        <v>10</v>
      </c>
      <c r="S771" s="569" t="s">
        <v>1863</v>
      </c>
      <c r="T771" s="569" t="s">
        <v>1864</v>
      </c>
      <c r="U771" s="569">
        <v>176</v>
      </c>
      <c r="V771" s="569">
        <v>55</v>
      </c>
      <c r="W771" s="620">
        <v>14500</v>
      </c>
      <c r="X771" s="621" t="s">
        <v>157</v>
      </c>
      <c r="Y771" s="621" t="s">
        <v>178</v>
      </c>
      <c r="Z771" s="621" t="s">
        <v>178</v>
      </c>
      <c r="AA771" s="622">
        <v>32365</v>
      </c>
      <c r="AB771" s="622" t="s">
        <v>164</v>
      </c>
      <c r="AC771" s="622">
        <v>25862.673684210527</v>
      </c>
      <c r="AD771" s="623">
        <v>0.03</v>
      </c>
      <c r="AE771" s="621" t="s">
        <v>1878</v>
      </c>
    </row>
    <row r="772" spans="1:31" s="572" customFormat="1" ht="30">
      <c r="A772" s="570" t="s">
        <v>1887</v>
      </c>
      <c r="B772" s="573" t="s">
        <v>1889</v>
      </c>
      <c r="C772" s="578">
        <v>25</v>
      </c>
      <c r="D772" s="573" t="s">
        <v>1516</v>
      </c>
      <c r="E772" s="573" t="s">
        <v>1890</v>
      </c>
      <c r="F772" s="573" t="s">
        <v>271</v>
      </c>
      <c r="G772" s="573">
        <v>2019</v>
      </c>
      <c r="H772" s="573" t="s">
        <v>1891</v>
      </c>
      <c r="I772" s="573" t="s">
        <v>1201</v>
      </c>
      <c r="J772" s="573" t="s">
        <v>236</v>
      </c>
      <c r="K772" s="573">
        <v>13</v>
      </c>
      <c r="L772" s="573">
        <v>0</v>
      </c>
      <c r="M772" s="573" t="s">
        <v>164</v>
      </c>
      <c r="N772" s="573" t="s">
        <v>1892</v>
      </c>
      <c r="O772" s="573">
        <v>100.7</v>
      </c>
      <c r="P772" s="571" t="s">
        <v>164</v>
      </c>
      <c r="Q772" s="573" t="s">
        <v>682</v>
      </c>
      <c r="R772" s="573">
        <v>6</v>
      </c>
      <c r="S772" s="582" t="s">
        <v>1893</v>
      </c>
      <c r="T772" s="573" t="s">
        <v>1894</v>
      </c>
      <c r="U772" s="573">
        <v>148</v>
      </c>
      <c r="V772" s="573">
        <v>25</v>
      </c>
      <c r="W772" s="616">
        <v>8600</v>
      </c>
      <c r="X772" s="617" t="s">
        <v>157</v>
      </c>
      <c r="Y772" s="617" t="s">
        <v>450</v>
      </c>
      <c r="Z772" s="617" t="s">
        <v>178</v>
      </c>
      <c r="AA772" s="618">
        <v>37675</v>
      </c>
      <c r="AB772" s="618">
        <v>50585</v>
      </c>
      <c r="AC772" s="618">
        <v>38049</v>
      </c>
      <c r="AD772" s="619">
        <v>0.05</v>
      </c>
      <c r="AE772" s="617" t="s">
        <v>1888</v>
      </c>
    </row>
    <row r="773" spans="1:31" s="572" customFormat="1" ht="45">
      <c r="A773" s="570" t="s">
        <v>1895</v>
      </c>
      <c r="B773" s="569" t="s">
        <v>1889</v>
      </c>
      <c r="C773" s="580">
        <v>25</v>
      </c>
      <c r="D773" s="569" t="s">
        <v>1516</v>
      </c>
      <c r="E773" s="569" t="s">
        <v>1897</v>
      </c>
      <c r="F773" s="569" t="s">
        <v>271</v>
      </c>
      <c r="G773" s="569">
        <v>2019</v>
      </c>
      <c r="H773" s="569" t="s">
        <v>1891</v>
      </c>
      <c r="I773" s="569" t="s">
        <v>1201</v>
      </c>
      <c r="J773" s="569" t="s">
        <v>236</v>
      </c>
      <c r="K773" s="569">
        <v>8</v>
      </c>
      <c r="L773" s="569">
        <v>2</v>
      </c>
      <c r="M773" s="569" t="s">
        <v>1898</v>
      </c>
      <c r="N773" s="569" t="s">
        <v>1899</v>
      </c>
      <c r="O773" s="569">
        <v>100.7</v>
      </c>
      <c r="P773" s="568" t="s">
        <v>164</v>
      </c>
      <c r="Q773" s="569" t="s">
        <v>682</v>
      </c>
      <c r="R773" s="569">
        <v>6</v>
      </c>
      <c r="S773" s="569" t="s">
        <v>1893</v>
      </c>
      <c r="T773" s="569" t="s">
        <v>1894</v>
      </c>
      <c r="U773" s="569">
        <v>148</v>
      </c>
      <c r="V773" s="569">
        <v>25</v>
      </c>
      <c r="W773" s="620">
        <v>8600</v>
      </c>
      <c r="X773" s="621" t="s">
        <v>157</v>
      </c>
      <c r="Y773" s="621" t="s">
        <v>450</v>
      </c>
      <c r="Z773" s="621" t="s">
        <v>178</v>
      </c>
      <c r="AA773" s="622">
        <v>37675</v>
      </c>
      <c r="AB773" s="622">
        <v>55585</v>
      </c>
      <c r="AC773" s="622">
        <v>41451</v>
      </c>
      <c r="AD773" s="623">
        <v>0.05</v>
      </c>
      <c r="AE773" s="621" t="s">
        <v>1896</v>
      </c>
    </row>
    <row r="774" spans="1:31" s="572" customFormat="1" ht="45">
      <c r="A774" s="570" t="s">
        <v>1895</v>
      </c>
      <c r="B774" s="573" t="s">
        <v>1889</v>
      </c>
      <c r="C774" s="578">
        <v>25</v>
      </c>
      <c r="D774" s="573" t="s">
        <v>1516</v>
      </c>
      <c r="E774" s="573" t="s">
        <v>1897</v>
      </c>
      <c r="F774" s="573" t="s">
        <v>271</v>
      </c>
      <c r="G774" s="573">
        <v>2019</v>
      </c>
      <c r="H774" s="573" t="s">
        <v>1891</v>
      </c>
      <c r="I774" s="573" t="s">
        <v>1201</v>
      </c>
      <c r="J774" s="573" t="s">
        <v>236</v>
      </c>
      <c r="K774" s="573">
        <v>8</v>
      </c>
      <c r="L774" s="573">
        <v>2</v>
      </c>
      <c r="M774" s="573" t="s">
        <v>1900</v>
      </c>
      <c r="N774" s="573" t="s">
        <v>1901</v>
      </c>
      <c r="O774" s="573">
        <v>100.7</v>
      </c>
      <c r="P774" s="571" t="s">
        <v>164</v>
      </c>
      <c r="Q774" s="573" t="s">
        <v>682</v>
      </c>
      <c r="R774" s="573">
        <v>6</v>
      </c>
      <c r="S774" s="582" t="s">
        <v>1893</v>
      </c>
      <c r="T774" s="573" t="s">
        <v>1894</v>
      </c>
      <c r="U774" s="573">
        <v>148</v>
      </c>
      <c r="V774" s="573">
        <v>25</v>
      </c>
      <c r="W774" s="616">
        <v>8600</v>
      </c>
      <c r="X774" s="617" t="s">
        <v>157</v>
      </c>
      <c r="Y774" s="617" t="s">
        <v>450</v>
      </c>
      <c r="Z774" s="617" t="s">
        <v>178</v>
      </c>
      <c r="AA774" s="618">
        <v>37675</v>
      </c>
      <c r="AB774" s="618">
        <v>55585</v>
      </c>
      <c r="AC774" s="618">
        <v>41451</v>
      </c>
      <c r="AD774" s="619">
        <v>0.05</v>
      </c>
      <c r="AE774" s="617" t="s">
        <v>1896</v>
      </c>
    </row>
    <row r="775" spans="1:31" s="572" customFormat="1" ht="30">
      <c r="A775" s="570" t="s">
        <v>1902</v>
      </c>
      <c r="B775" s="569" t="s">
        <v>1889</v>
      </c>
      <c r="C775" s="580">
        <v>25</v>
      </c>
      <c r="D775" s="569" t="s">
        <v>1516</v>
      </c>
      <c r="E775" s="569" t="s">
        <v>1897</v>
      </c>
      <c r="F775" s="569" t="s">
        <v>271</v>
      </c>
      <c r="G775" s="569">
        <v>2019</v>
      </c>
      <c r="H775" s="569" t="s">
        <v>1891</v>
      </c>
      <c r="I775" s="569" t="s">
        <v>1201</v>
      </c>
      <c r="J775" s="569" t="s">
        <v>236</v>
      </c>
      <c r="K775" s="569">
        <v>9</v>
      </c>
      <c r="L775" s="569">
        <v>3</v>
      </c>
      <c r="M775" s="569" t="s">
        <v>1900</v>
      </c>
      <c r="N775" s="569" t="s">
        <v>1904</v>
      </c>
      <c r="O775" s="569">
        <v>100.7</v>
      </c>
      <c r="P775" s="568" t="s">
        <v>164</v>
      </c>
      <c r="Q775" s="569" t="s">
        <v>682</v>
      </c>
      <c r="R775" s="569">
        <v>6</v>
      </c>
      <c r="S775" s="569" t="s">
        <v>1893</v>
      </c>
      <c r="T775" s="569" t="s">
        <v>1894</v>
      </c>
      <c r="U775" s="569">
        <v>148</v>
      </c>
      <c r="V775" s="569">
        <v>25</v>
      </c>
      <c r="W775" s="620">
        <v>8600</v>
      </c>
      <c r="X775" s="621" t="s">
        <v>157</v>
      </c>
      <c r="Y775" s="621" t="s">
        <v>450</v>
      </c>
      <c r="Z775" s="621" t="s">
        <v>178</v>
      </c>
      <c r="AA775" s="622">
        <v>37675</v>
      </c>
      <c r="AB775" s="622">
        <v>59187</v>
      </c>
      <c r="AC775" s="622">
        <v>46651</v>
      </c>
      <c r="AD775" s="623">
        <v>0.05</v>
      </c>
      <c r="AE775" s="621" t="s">
        <v>1903</v>
      </c>
    </row>
    <row r="776" spans="1:31" s="572" customFormat="1" ht="30">
      <c r="A776" s="570" t="s">
        <v>1902</v>
      </c>
      <c r="B776" s="573" t="s">
        <v>1889</v>
      </c>
      <c r="C776" s="578">
        <v>25</v>
      </c>
      <c r="D776" s="573" t="s">
        <v>1516</v>
      </c>
      <c r="E776" s="573" t="s">
        <v>1897</v>
      </c>
      <c r="F776" s="573" t="s">
        <v>271</v>
      </c>
      <c r="G776" s="573">
        <v>2019</v>
      </c>
      <c r="H776" s="573" t="s">
        <v>1891</v>
      </c>
      <c r="I776" s="573" t="s">
        <v>1201</v>
      </c>
      <c r="J776" s="573" t="s">
        <v>236</v>
      </c>
      <c r="K776" s="573">
        <v>9</v>
      </c>
      <c r="L776" s="573">
        <v>3</v>
      </c>
      <c r="M776" s="573" t="s">
        <v>1900</v>
      </c>
      <c r="N776" s="573" t="s">
        <v>1905</v>
      </c>
      <c r="O776" s="573">
        <v>100.7</v>
      </c>
      <c r="P776" s="571" t="s">
        <v>164</v>
      </c>
      <c r="Q776" s="573" t="s">
        <v>682</v>
      </c>
      <c r="R776" s="573">
        <v>6</v>
      </c>
      <c r="S776" s="582" t="s">
        <v>1893</v>
      </c>
      <c r="T776" s="573" t="s">
        <v>1894</v>
      </c>
      <c r="U776" s="573">
        <v>148</v>
      </c>
      <c r="V776" s="573">
        <v>25</v>
      </c>
      <c r="W776" s="616">
        <v>8600</v>
      </c>
      <c r="X776" s="617" t="s">
        <v>157</v>
      </c>
      <c r="Y776" s="617" t="s">
        <v>450</v>
      </c>
      <c r="Z776" s="617" t="s">
        <v>178</v>
      </c>
      <c r="AA776" s="618">
        <v>37675</v>
      </c>
      <c r="AB776" s="618">
        <v>57147</v>
      </c>
      <c r="AC776" s="618">
        <v>44611</v>
      </c>
      <c r="AD776" s="619">
        <v>0.05</v>
      </c>
      <c r="AE776" s="617" t="s">
        <v>1903</v>
      </c>
    </row>
    <row r="777" spans="1:31" s="572" customFormat="1" ht="30">
      <c r="A777" s="570" t="s">
        <v>1906</v>
      </c>
      <c r="B777" s="569" t="s">
        <v>1889</v>
      </c>
      <c r="C777" s="580">
        <v>25</v>
      </c>
      <c r="D777" s="569" t="s">
        <v>1516</v>
      </c>
      <c r="E777" s="569" t="s">
        <v>1890</v>
      </c>
      <c r="F777" s="569" t="s">
        <v>271</v>
      </c>
      <c r="G777" s="569">
        <v>2019</v>
      </c>
      <c r="H777" s="569" t="s">
        <v>1908</v>
      </c>
      <c r="I777" s="569" t="s">
        <v>1201</v>
      </c>
      <c r="J777" s="569" t="s">
        <v>236</v>
      </c>
      <c r="K777" s="569">
        <v>10</v>
      </c>
      <c r="L777" s="569">
        <v>0</v>
      </c>
      <c r="M777" s="569" t="s">
        <v>164</v>
      </c>
      <c r="N777" s="569" t="s">
        <v>1909</v>
      </c>
      <c r="O777" s="569">
        <v>100.7</v>
      </c>
      <c r="P777" s="568" t="s">
        <v>164</v>
      </c>
      <c r="Q777" s="569" t="s">
        <v>682</v>
      </c>
      <c r="R777" s="569">
        <v>6</v>
      </c>
      <c r="S777" s="569" t="s">
        <v>1910</v>
      </c>
      <c r="T777" s="569" t="s">
        <v>434</v>
      </c>
      <c r="U777" s="569">
        <v>130</v>
      </c>
      <c r="V777" s="569">
        <v>25</v>
      </c>
      <c r="W777" s="620">
        <v>8550</v>
      </c>
      <c r="X777" s="621" t="s">
        <v>157</v>
      </c>
      <c r="Y777" s="621" t="s">
        <v>450</v>
      </c>
      <c r="Z777" s="621" t="s">
        <v>178</v>
      </c>
      <c r="AA777" s="622">
        <v>39015</v>
      </c>
      <c r="AB777" s="622">
        <v>52592</v>
      </c>
      <c r="AC777" s="622">
        <v>39851</v>
      </c>
      <c r="AD777" s="623">
        <v>0.05</v>
      </c>
      <c r="AE777" s="621" t="s">
        <v>1907</v>
      </c>
    </row>
    <row r="778" spans="1:31" s="572" customFormat="1" ht="30">
      <c r="A778" s="570" t="s">
        <v>1906</v>
      </c>
      <c r="B778" s="573" t="s">
        <v>1889</v>
      </c>
      <c r="C778" s="578">
        <v>25</v>
      </c>
      <c r="D778" s="573" t="s">
        <v>1516</v>
      </c>
      <c r="E778" s="573" t="s">
        <v>1890</v>
      </c>
      <c r="F778" s="573" t="s">
        <v>271</v>
      </c>
      <c r="G778" s="573">
        <v>2019</v>
      </c>
      <c r="H778" s="573" t="s">
        <v>1908</v>
      </c>
      <c r="I778" s="573" t="s">
        <v>1201</v>
      </c>
      <c r="J778" s="573" t="s">
        <v>236</v>
      </c>
      <c r="K778" s="573">
        <v>10</v>
      </c>
      <c r="L778" s="573">
        <v>0</v>
      </c>
      <c r="M778" s="573" t="s">
        <v>164</v>
      </c>
      <c r="N778" s="573" t="s">
        <v>1911</v>
      </c>
      <c r="O778" s="573">
        <v>100.7</v>
      </c>
      <c r="P778" s="571" t="s">
        <v>164</v>
      </c>
      <c r="Q778" s="573" t="s">
        <v>682</v>
      </c>
      <c r="R778" s="573">
        <v>6</v>
      </c>
      <c r="S778" s="582" t="s">
        <v>1910</v>
      </c>
      <c r="T778" s="573" t="s">
        <v>434</v>
      </c>
      <c r="U778" s="573">
        <v>130</v>
      </c>
      <c r="V778" s="573">
        <v>25</v>
      </c>
      <c r="W778" s="616">
        <v>8550</v>
      </c>
      <c r="X778" s="617" t="s">
        <v>157</v>
      </c>
      <c r="Y778" s="617" t="s">
        <v>450</v>
      </c>
      <c r="Z778" s="617" t="s">
        <v>178</v>
      </c>
      <c r="AA778" s="618">
        <v>40455</v>
      </c>
      <c r="AB778" s="618">
        <v>48301</v>
      </c>
      <c r="AC778" s="618">
        <v>35436</v>
      </c>
      <c r="AD778" s="619">
        <v>0.05</v>
      </c>
      <c r="AE778" s="617" t="s">
        <v>1907</v>
      </c>
    </row>
    <row r="779" spans="1:31" s="572" customFormat="1">
      <c r="A779" s="570" t="s">
        <v>1912</v>
      </c>
      <c r="B779" s="569" t="s">
        <v>269</v>
      </c>
      <c r="C779" s="580" t="s">
        <v>270</v>
      </c>
      <c r="D779" s="569" t="s">
        <v>1516</v>
      </c>
      <c r="E779" s="569" t="s">
        <v>1914</v>
      </c>
      <c r="F779" s="569" t="s">
        <v>271</v>
      </c>
      <c r="G779" s="569">
        <v>2019</v>
      </c>
      <c r="H779" s="569" t="s">
        <v>1915</v>
      </c>
      <c r="I779" s="569" t="s">
        <v>1916</v>
      </c>
      <c r="J779" s="569" t="s">
        <v>236</v>
      </c>
      <c r="K779" s="569">
        <v>2</v>
      </c>
      <c r="L779" s="569">
        <v>0</v>
      </c>
      <c r="M779" s="569" t="s">
        <v>157</v>
      </c>
      <c r="N779" s="569">
        <v>1</v>
      </c>
      <c r="O779" s="569">
        <v>100.7</v>
      </c>
      <c r="P779" s="568" t="s">
        <v>157</v>
      </c>
      <c r="Q779" s="569" t="s">
        <v>1917</v>
      </c>
      <c r="R779" s="569">
        <v>5</v>
      </c>
      <c r="S779" s="569" t="s">
        <v>1918</v>
      </c>
      <c r="T779" s="569" t="s">
        <v>1894</v>
      </c>
      <c r="U779" s="569">
        <v>147.6</v>
      </c>
      <c r="V779" s="569">
        <v>25</v>
      </c>
      <c r="W779" s="620">
        <v>8600</v>
      </c>
      <c r="X779" s="621" t="s">
        <v>157</v>
      </c>
      <c r="Y779" s="621" t="s">
        <v>728</v>
      </c>
      <c r="Z779" s="621" t="s">
        <v>1523</v>
      </c>
      <c r="AA779" s="622">
        <v>41355</v>
      </c>
      <c r="AB779" s="622" t="s">
        <v>164</v>
      </c>
      <c r="AC779" s="622">
        <v>31540.875</v>
      </c>
      <c r="AD779" s="623">
        <v>0.03</v>
      </c>
      <c r="AE779" s="621" t="s">
        <v>1913</v>
      </c>
    </row>
    <row r="780" spans="1:31" s="572" customFormat="1">
      <c r="A780" s="570" t="s">
        <v>1919</v>
      </c>
      <c r="B780" s="573" t="s">
        <v>269</v>
      </c>
      <c r="C780" s="578" t="s">
        <v>270</v>
      </c>
      <c r="D780" s="573" t="s">
        <v>1516</v>
      </c>
      <c r="E780" s="573" t="s">
        <v>1914</v>
      </c>
      <c r="F780" s="573" t="s">
        <v>271</v>
      </c>
      <c r="G780" s="573">
        <v>2019</v>
      </c>
      <c r="H780" s="573" t="s">
        <v>1915</v>
      </c>
      <c r="I780" s="573" t="s">
        <v>1916</v>
      </c>
      <c r="J780" s="573" t="s">
        <v>236</v>
      </c>
      <c r="K780" s="573">
        <v>2</v>
      </c>
      <c r="L780" s="573">
        <v>0</v>
      </c>
      <c r="M780" s="573" t="s">
        <v>157</v>
      </c>
      <c r="N780" s="573">
        <v>1</v>
      </c>
      <c r="O780" s="573">
        <v>100.7</v>
      </c>
      <c r="P780" s="571" t="s">
        <v>157</v>
      </c>
      <c r="Q780" s="573" t="s">
        <v>1259</v>
      </c>
      <c r="R780" s="573">
        <v>6</v>
      </c>
      <c r="S780" s="582" t="s">
        <v>1918</v>
      </c>
      <c r="T780" s="573" t="s">
        <v>1894</v>
      </c>
      <c r="U780" s="573">
        <v>147.6</v>
      </c>
      <c r="V780" s="573">
        <v>25</v>
      </c>
      <c r="W780" s="616">
        <v>8600</v>
      </c>
      <c r="X780" s="617" t="s">
        <v>157</v>
      </c>
      <c r="Y780" s="617" t="s">
        <v>178</v>
      </c>
      <c r="Z780" s="617" t="s">
        <v>178</v>
      </c>
      <c r="AA780" s="618">
        <v>39225</v>
      </c>
      <c r="AB780" s="618" t="s">
        <v>164</v>
      </c>
      <c r="AC780" s="618">
        <v>29647.583333333336</v>
      </c>
      <c r="AD780" s="619">
        <v>0.03</v>
      </c>
      <c r="AE780" s="617" t="s">
        <v>1920</v>
      </c>
    </row>
    <row r="781" spans="1:31" s="572" customFormat="1">
      <c r="A781" s="570" t="s">
        <v>1921</v>
      </c>
      <c r="B781" s="569" t="s">
        <v>269</v>
      </c>
      <c r="C781" s="580" t="s">
        <v>270</v>
      </c>
      <c r="D781" s="569" t="s">
        <v>1516</v>
      </c>
      <c r="E781" s="569" t="s">
        <v>1914</v>
      </c>
      <c r="F781" s="569" t="s">
        <v>271</v>
      </c>
      <c r="G781" s="569">
        <v>2019</v>
      </c>
      <c r="H781" s="569" t="s">
        <v>1915</v>
      </c>
      <c r="I781" s="569" t="s">
        <v>1916</v>
      </c>
      <c r="J781" s="569" t="s">
        <v>236</v>
      </c>
      <c r="K781" s="569">
        <v>2</v>
      </c>
      <c r="L781" s="569">
        <v>0</v>
      </c>
      <c r="M781" s="569" t="s">
        <v>157</v>
      </c>
      <c r="N781" s="569">
        <v>1</v>
      </c>
      <c r="O781" s="569">
        <v>100.7</v>
      </c>
      <c r="P781" s="568" t="s">
        <v>157</v>
      </c>
      <c r="Q781" s="569" t="s">
        <v>682</v>
      </c>
      <c r="R781" s="569">
        <v>6</v>
      </c>
      <c r="S781" s="569" t="s">
        <v>1918</v>
      </c>
      <c r="T781" s="569" t="s">
        <v>1894</v>
      </c>
      <c r="U781" s="569">
        <v>147.6</v>
      </c>
      <c r="V781" s="569">
        <v>25</v>
      </c>
      <c r="W781" s="620">
        <v>8600</v>
      </c>
      <c r="X781" s="621" t="s">
        <v>157</v>
      </c>
      <c r="Y781" s="621" t="s">
        <v>178</v>
      </c>
      <c r="Z781" s="621" t="s">
        <v>178</v>
      </c>
      <c r="AA781" s="622">
        <v>37360</v>
      </c>
      <c r="AB781" s="622" t="s">
        <v>164</v>
      </c>
      <c r="AC781" s="622">
        <v>27992.375</v>
      </c>
      <c r="AD781" s="623">
        <v>0.03</v>
      </c>
      <c r="AE781" s="621" t="s">
        <v>1922</v>
      </c>
    </row>
    <row r="782" spans="1:31" s="572" customFormat="1">
      <c r="A782" s="570" t="s">
        <v>1921</v>
      </c>
      <c r="B782" s="573" t="s">
        <v>269</v>
      </c>
      <c r="C782" s="578" t="s">
        <v>270</v>
      </c>
      <c r="D782" s="573" t="s">
        <v>1516</v>
      </c>
      <c r="E782" s="573" t="s">
        <v>1914</v>
      </c>
      <c r="F782" s="573" t="s">
        <v>271</v>
      </c>
      <c r="G782" s="573">
        <v>2019</v>
      </c>
      <c r="H782" s="573" t="s">
        <v>1915</v>
      </c>
      <c r="I782" s="573" t="s">
        <v>1916</v>
      </c>
      <c r="J782" s="573" t="s">
        <v>236</v>
      </c>
      <c r="K782" s="573">
        <v>2</v>
      </c>
      <c r="L782" s="573">
        <v>0</v>
      </c>
      <c r="M782" s="573" t="s">
        <v>157</v>
      </c>
      <c r="N782" s="573">
        <v>1</v>
      </c>
      <c r="O782" s="573">
        <v>100.7</v>
      </c>
      <c r="P782" s="571" t="s">
        <v>157</v>
      </c>
      <c r="Q782" s="573" t="s">
        <v>682</v>
      </c>
      <c r="R782" s="573">
        <v>6</v>
      </c>
      <c r="S782" s="582" t="s">
        <v>1918</v>
      </c>
      <c r="T782" s="573" t="s">
        <v>1894</v>
      </c>
      <c r="U782" s="573">
        <v>147.6</v>
      </c>
      <c r="V782" s="573">
        <v>25</v>
      </c>
      <c r="W782" s="616">
        <v>8600</v>
      </c>
      <c r="X782" s="617" t="s">
        <v>157</v>
      </c>
      <c r="Y782" s="617" t="s">
        <v>178</v>
      </c>
      <c r="Z782" s="617" t="s">
        <v>178</v>
      </c>
      <c r="AA782" s="618">
        <v>37360</v>
      </c>
      <c r="AB782" s="618" t="s">
        <v>164</v>
      </c>
      <c r="AC782" s="618">
        <v>27991.333333333336</v>
      </c>
      <c r="AD782" s="619">
        <v>0.03</v>
      </c>
      <c r="AE782" s="617" t="s">
        <v>1922</v>
      </c>
    </row>
    <row r="783" spans="1:31" s="572" customFormat="1">
      <c r="A783" s="570" t="s">
        <v>1923</v>
      </c>
      <c r="B783" s="569" t="s">
        <v>269</v>
      </c>
      <c r="C783" s="580" t="s">
        <v>270</v>
      </c>
      <c r="D783" s="569" t="s">
        <v>1516</v>
      </c>
      <c r="E783" s="569" t="s">
        <v>1914</v>
      </c>
      <c r="F783" s="569" t="s">
        <v>271</v>
      </c>
      <c r="G783" s="569">
        <v>2019</v>
      </c>
      <c r="H783" s="569" t="s">
        <v>1915</v>
      </c>
      <c r="I783" s="569" t="s">
        <v>1916</v>
      </c>
      <c r="J783" s="569" t="s">
        <v>236</v>
      </c>
      <c r="K783" s="569">
        <v>2</v>
      </c>
      <c r="L783" s="569">
        <v>0</v>
      </c>
      <c r="M783" s="569" t="s">
        <v>157</v>
      </c>
      <c r="N783" s="569">
        <v>1</v>
      </c>
      <c r="O783" s="569">
        <v>100.8</v>
      </c>
      <c r="P783" s="568" t="s">
        <v>157</v>
      </c>
      <c r="Q783" s="569" t="s">
        <v>1917</v>
      </c>
      <c r="R783" s="569">
        <v>5</v>
      </c>
      <c r="S783" s="569" t="s">
        <v>1925</v>
      </c>
      <c r="T783" s="569" t="s">
        <v>1894</v>
      </c>
      <c r="U783" s="569">
        <v>129.9</v>
      </c>
      <c r="V783" s="569">
        <v>25</v>
      </c>
      <c r="W783" s="620">
        <v>8600</v>
      </c>
      <c r="X783" s="621" t="s">
        <v>157</v>
      </c>
      <c r="Y783" s="621" t="s">
        <v>728</v>
      </c>
      <c r="Z783" s="621" t="s">
        <v>1523</v>
      </c>
      <c r="AA783" s="622">
        <v>39630</v>
      </c>
      <c r="AB783" s="622" t="s">
        <v>164</v>
      </c>
      <c r="AC783" s="622">
        <v>29963.791666666664</v>
      </c>
      <c r="AD783" s="623">
        <v>0.03</v>
      </c>
      <c r="AE783" s="621" t="s">
        <v>1924</v>
      </c>
    </row>
    <row r="784" spans="1:31" s="572" customFormat="1">
      <c r="A784" s="570" t="s">
        <v>1926</v>
      </c>
      <c r="B784" s="573" t="s">
        <v>269</v>
      </c>
      <c r="C784" s="578" t="s">
        <v>270</v>
      </c>
      <c r="D784" s="573" t="s">
        <v>1516</v>
      </c>
      <c r="E784" s="573" t="s">
        <v>1914</v>
      </c>
      <c r="F784" s="573" t="s">
        <v>271</v>
      </c>
      <c r="G784" s="573">
        <v>2019</v>
      </c>
      <c r="H784" s="573" t="s">
        <v>1915</v>
      </c>
      <c r="I784" s="573" t="s">
        <v>1916</v>
      </c>
      <c r="J784" s="573" t="s">
        <v>236</v>
      </c>
      <c r="K784" s="573">
        <v>2</v>
      </c>
      <c r="L784" s="573">
        <v>0</v>
      </c>
      <c r="M784" s="573" t="s">
        <v>157</v>
      </c>
      <c r="N784" s="573">
        <v>1</v>
      </c>
      <c r="O784" s="573">
        <v>100.8</v>
      </c>
      <c r="P784" s="571" t="s">
        <v>157</v>
      </c>
      <c r="Q784" s="573" t="s">
        <v>1259</v>
      </c>
      <c r="R784" s="573">
        <v>6</v>
      </c>
      <c r="S784" s="582" t="s">
        <v>1925</v>
      </c>
      <c r="T784" s="573" t="s">
        <v>1894</v>
      </c>
      <c r="U784" s="573">
        <v>129.9</v>
      </c>
      <c r="V784" s="573">
        <v>25</v>
      </c>
      <c r="W784" s="616">
        <v>8600</v>
      </c>
      <c r="X784" s="617" t="s">
        <v>157</v>
      </c>
      <c r="Y784" s="617" t="s">
        <v>178</v>
      </c>
      <c r="Z784" s="617" t="s">
        <v>178</v>
      </c>
      <c r="AA784" s="618">
        <v>37500</v>
      </c>
      <c r="AB784" s="618" t="s">
        <v>164</v>
      </c>
      <c r="AC784" s="618">
        <v>28070.5</v>
      </c>
      <c r="AD784" s="619">
        <v>0.03</v>
      </c>
      <c r="AE784" s="617" t="s">
        <v>1927</v>
      </c>
    </row>
    <row r="785" spans="1:31" s="572" customFormat="1">
      <c r="A785" s="570" t="s">
        <v>1928</v>
      </c>
      <c r="B785" s="569" t="s">
        <v>269</v>
      </c>
      <c r="C785" s="580" t="s">
        <v>270</v>
      </c>
      <c r="D785" s="569" t="s">
        <v>1516</v>
      </c>
      <c r="E785" s="569" t="s">
        <v>1914</v>
      </c>
      <c r="F785" s="569" t="s">
        <v>271</v>
      </c>
      <c r="G785" s="569">
        <v>2019</v>
      </c>
      <c r="H785" s="569" t="s">
        <v>1915</v>
      </c>
      <c r="I785" s="569" t="s">
        <v>1916</v>
      </c>
      <c r="J785" s="569" t="s">
        <v>236</v>
      </c>
      <c r="K785" s="569">
        <v>2</v>
      </c>
      <c r="L785" s="569">
        <v>0</v>
      </c>
      <c r="M785" s="569" t="s">
        <v>157</v>
      </c>
      <c r="N785" s="569">
        <v>1</v>
      </c>
      <c r="O785" s="569">
        <v>100.8</v>
      </c>
      <c r="P785" s="568" t="s">
        <v>157</v>
      </c>
      <c r="Q785" s="569" t="s">
        <v>682</v>
      </c>
      <c r="R785" s="569">
        <v>6</v>
      </c>
      <c r="S785" s="569" t="s">
        <v>1925</v>
      </c>
      <c r="T785" s="569" t="s">
        <v>1894</v>
      </c>
      <c r="U785" s="569">
        <v>129.9</v>
      </c>
      <c r="V785" s="569">
        <v>25</v>
      </c>
      <c r="W785" s="620">
        <v>8600</v>
      </c>
      <c r="X785" s="621" t="s">
        <v>157</v>
      </c>
      <c r="Y785" s="621" t="s">
        <v>178</v>
      </c>
      <c r="Z785" s="621" t="s">
        <v>178</v>
      </c>
      <c r="AA785" s="622">
        <v>35635</v>
      </c>
      <c r="AB785" s="622" t="s">
        <v>164</v>
      </c>
      <c r="AC785" s="622">
        <v>26508</v>
      </c>
      <c r="AD785" s="623">
        <v>0.03</v>
      </c>
      <c r="AE785" s="621" t="s">
        <v>1929</v>
      </c>
    </row>
    <row r="786" spans="1:31" s="572" customFormat="1">
      <c r="A786" s="570" t="s">
        <v>1928</v>
      </c>
      <c r="B786" s="573" t="s">
        <v>269</v>
      </c>
      <c r="C786" s="578" t="s">
        <v>270</v>
      </c>
      <c r="D786" s="573" t="s">
        <v>1516</v>
      </c>
      <c r="E786" s="573" t="s">
        <v>1914</v>
      </c>
      <c r="F786" s="573" t="s">
        <v>271</v>
      </c>
      <c r="G786" s="573">
        <v>2019</v>
      </c>
      <c r="H786" s="573" t="s">
        <v>1915</v>
      </c>
      <c r="I786" s="573" t="s">
        <v>1916</v>
      </c>
      <c r="J786" s="573" t="s">
        <v>236</v>
      </c>
      <c r="K786" s="573">
        <v>2</v>
      </c>
      <c r="L786" s="573">
        <v>0</v>
      </c>
      <c r="M786" s="573" t="s">
        <v>157</v>
      </c>
      <c r="N786" s="573">
        <v>1</v>
      </c>
      <c r="O786" s="573">
        <v>100.8</v>
      </c>
      <c r="P786" s="571" t="s">
        <v>157</v>
      </c>
      <c r="Q786" s="573" t="s">
        <v>682</v>
      </c>
      <c r="R786" s="573">
        <v>6</v>
      </c>
      <c r="S786" s="582" t="s">
        <v>1925</v>
      </c>
      <c r="T786" s="573" t="s">
        <v>1894</v>
      </c>
      <c r="U786" s="573">
        <v>129.9</v>
      </c>
      <c r="V786" s="573">
        <v>25</v>
      </c>
      <c r="W786" s="616">
        <v>8600</v>
      </c>
      <c r="X786" s="617" t="s">
        <v>157</v>
      </c>
      <c r="Y786" s="617" t="s">
        <v>178</v>
      </c>
      <c r="Z786" s="617" t="s">
        <v>178</v>
      </c>
      <c r="AA786" s="618">
        <v>35635</v>
      </c>
      <c r="AB786" s="618" t="s">
        <v>164</v>
      </c>
      <c r="AC786" s="618">
        <v>26414.25</v>
      </c>
      <c r="AD786" s="619">
        <v>0.03</v>
      </c>
      <c r="AE786" s="617" t="s">
        <v>1929</v>
      </c>
    </row>
    <row r="787" spans="1:31" s="572" customFormat="1">
      <c r="A787" s="570" t="s">
        <v>1930</v>
      </c>
      <c r="B787" s="569" t="s">
        <v>278</v>
      </c>
      <c r="C787" s="580">
        <v>15</v>
      </c>
      <c r="D787" s="569" t="s">
        <v>1516</v>
      </c>
      <c r="E787" s="569" t="s">
        <v>1914</v>
      </c>
      <c r="F787" s="569" t="s">
        <v>271</v>
      </c>
      <c r="G787" s="569">
        <v>2019</v>
      </c>
      <c r="H787" s="569" t="s">
        <v>1915</v>
      </c>
      <c r="I787" s="569" t="s">
        <v>1916</v>
      </c>
      <c r="J787" s="569" t="s">
        <v>236</v>
      </c>
      <c r="K787" s="569">
        <v>2</v>
      </c>
      <c r="L787" s="569">
        <v>0</v>
      </c>
      <c r="M787" s="569" t="s">
        <v>157</v>
      </c>
      <c r="N787" s="569">
        <v>1</v>
      </c>
      <c r="O787" s="569">
        <v>100.7</v>
      </c>
      <c r="P787" s="568" t="s">
        <v>157</v>
      </c>
      <c r="Q787" s="569" t="s">
        <v>1917</v>
      </c>
      <c r="R787" s="569">
        <v>5</v>
      </c>
      <c r="S787" s="569" t="s">
        <v>1918</v>
      </c>
      <c r="T787" s="569" t="s">
        <v>1894</v>
      </c>
      <c r="U787" s="569">
        <v>147.6</v>
      </c>
      <c r="V787" s="569">
        <v>25</v>
      </c>
      <c r="W787" s="620">
        <v>8600</v>
      </c>
      <c r="X787" s="621" t="s">
        <v>157</v>
      </c>
      <c r="Y787" s="621" t="s">
        <v>728</v>
      </c>
      <c r="Z787" s="621" t="s">
        <v>1523</v>
      </c>
      <c r="AA787" s="622">
        <v>41355</v>
      </c>
      <c r="AB787" s="622" t="s">
        <v>164</v>
      </c>
      <c r="AC787" s="622">
        <v>32100</v>
      </c>
      <c r="AD787" s="623">
        <v>0.01</v>
      </c>
      <c r="AE787" s="621" t="s">
        <v>1913</v>
      </c>
    </row>
    <row r="788" spans="1:31" s="572" customFormat="1">
      <c r="A788" s="570" t="s">
        <v>1931</v>
      </c>
      <c r="B788" s="573" t="s">
        <v>278</v>
      </c>
      <c r="C788" s="578">
        <v>15</v>
      </c>
      <c r="D788" s="573" t="s">
        <v>1516</v>
      </c>
      <c r="E788" s="573" t="s">
        <v>1914</v>
      </c>
      <c r="F788" s="573" t="s">
        <v>271</v>
      </c>
      <c r="G788" s="573">
        <v>2019</v>
      </c>
      <c r="H788" s="573" t="s">
        <v>1915</v>
      </c>
      <c r="I788" s="573" t="s">
        <v>1916</v>
      </c>
      <c r="J788" s="573" t="s">
        <v>236</v>
      </c>
      <c r="K788" s="573">
        <v>2</v>
      </c>
      <c r="L788" s="573">
        <v>0</v>
      </c>
      <c r="M788" s="573" t="s">
        <v>157</v>
      </c>
      <c r="N788" s="573">
        <v>1</v>
      </c>
      <c r="O788" s="573">
        <v>100.7</v>
      </c>
      <c r="P788" s="571" t="s">
        <v>157</v>
      </c>
      <c r="Q788" s="573" t="s">
        <v>1259</v>
      </c>
      <c r="R788" s="573">
        <v>6</v>
      </c>
      <c r="S788" s="582" t="s">
        <v>1918</v>
      </c>
      <c r="T788" s="573" t="s">
        <v>1894</v>
      </c>
      <c r="U788" s="573">
        <v>147.6</v>
      </c>
      <c r="V788" s="573">
        <v>25</v>
      </c>
      <c r="W788" s="616">
        <v>8600</v>
      </c>
      <c r="X788" s="617" t="s">
        <v>157</v>
      </c>
      <c r="Y788" s="617" t="s">
        <v>178</v>
      </c>
      <c r="Z788" s="617" t="s">
        <v>178</v>
      </c>
      <c r="AA788" s="618">
        <v>39225</v>
      </c>
      <c r="AB788" s="618" t="s">
        <v>164</v>
      </c>
      <c r="AC788" s="618">
        <v>30200</v>
      </c>
      <c r="AD788" s="619">
        <v>0.01</v>
      </c>
      <c r="AE788" s="617" t="s">
        <v>1920</v>
      </c>
    </row>
    <row r="789" spans="1:31" s="572" customFormat="1">
      <c r="A789" s="570" t="s">
        <v>1932</v>
      </c>
      <c r="B789" s="569" t="s">
        <v>278</v>
      </c>
      <c r="C789" s="580">
        <v>15</v>
      </c>
      <c r="D789" s="569" t="s">
        <v>1516</v>
      </c>
      <c r="E789" s="569" t="s">
        <v>1914</v>
      </c>
      <c r="F789" s="569" t="s">
        <v>271</v>
      </c>
      <c r="G789" s="569">
        <v>2019</v>
      </c>
      <c r="H789" s="569" t="s">
        <v>1915</v>
      </c>
      <c r="I789" s="569" t="s">
        <v>1916</v>
      </c>
      <c r="J789" s="569" t="s">
        <v>236</v>
      </c>
      <c r="K789" s="569">
        <v>2</v>
      </c>
      <c r="L789" s="569">
        <v>0</v>
      </c>
      <c r="M789" s="569" t="s">
        <v>157</v>
      </c>
      <c r="N789" s="569">
        <v>1</v>
      </c>
      <c r="O789" s="569">
        <v>100.7</v>
      </c>
      <c r="P789" s="568" t="s">
        <v>157</v>
      </c>
      <c r="Q789" s="569" t="s">
        <v>682</v>
      </c>
      <c r="R789" s="569">
        <v>6</v>
      </c>
      <c r="S789" s="569" t="s">
        <v>1918</v>
      </c>
      <c r="T789" s="569" t="s">
        <v>1894</v>
      </c>
      <c r="U789" s="569">
        <v>147.6</v>
      </c>
      <c r="V789" s="569">
        <v>25</v>
      </c>
      <c r="W789" s="620">
        <v>8600</v>
      </c>
      <c r="X789" s="621" t="s">
        <v>157</v>
      </c>
      <c r="Y789" s="621" t="s">
        <v>178</v>
      </c>
      <c r="Z789" s="621" t="s">
        <v>178</v>
      </c>
      <c r="AA789" s="622">
        <v>37360</v>
      </c>
      <c r="AB789" s="622" t="s">
        <v>164</v>
      </c>
      <c r="AC789" s="622">
        <v>28500</v>
      </c>
      <c r="AD789" s="623">
        <v>0.01</v>
      </c>
      <c r="AE789" s="621" t="s">
        <v>1922</v>
      </c>
    </row>
    <row r="790" spans="1:31" s="572" customFormat="1">
      <c r="A790" s="570" t="s">
        <v>1933</v>
      </c>
      <c r="B790" s="573" t="s">
        <v>278</v>
      </c>
      <c r="C790" s="578">
        <v>15</v>
      </c>
      <c r="D790" s="573" t="s">
        <v>1516</v>
      </c>
      <c r="E790" s="573" t="s">
        <v>1914</v>
      </c>
      <c r="F790" s="573" t="s">
        <v>271</v>
      </c>
      <c r="G790" s="573">
        <v>2019</v>
      </c>
      <c r="H790" s="573" t="s">
        <v>1915</v>
      </c>
      <c r="I790" s="573" t="s">
        <v>1916</v>
      </c>
      <c r="J790" s="573" t="s">
        <v>236</v>
      </c>
      <c r="K790" s="573">
        <v>2</v>
      </c>
      <c r="L790" s="573">
        <v>0</v>
      </c>
      <c r="M790" s="573" t="s">
        <v>157</v>
      </c>
      <c r="N790" s="573">
        <v>1</v>
      </c>
      <c r="O790" s="573">
        <v>100.8</v>
      </c>
      <c r="P790" s="571" t="s">
        <v>157</v>
      </c>
      <c r="Q790" s="573" t="s">
        <v>1917</v>
      </c>
      <c r="R790" s="573">
        <v>5</v>
      </c>
      <c r="S790" s="582" t="s">
        <v>1925</v>
      </c>
      <c r="T790" s="573" t="s">
        <v>1894</v>
      </c>
      <c r="U790" s="573">
        <v>129.9</v>
      </c>
      <c r="V790" s="573">
        <v>25</v>
      </c>
      <c r="W790" s="616">
        <v>8600</v>
      </c>
      <c r="X790" s="617" t="s">
        <v>157</v>
      </c>
      <c r="Y790" s="617" t="s">
        <v>728</v>
      </c>
      <c r="Z790" s="617" t="s">
        <v>1523</v>
      </c>
      <c r="AA790" s="618">
        <v>39630</v>
      </c>
      <c r="AB790" s="618" t="s">
        <v>164</v>
      </c>
      <c r="AC790" s="618">
        <v>30500</v>
      </c>
      <c r="AD790" s="619">
        <v>0.01</v>
      </c>
      <c r="AE790" s="617" t="s">
        <v>1924</v>
      </c>
    </row>
    <row r="791" spans="1:31" s="572" customFormat="1">
      <c r="A791" s="570" t="s">
        <v>1934</v>
      </c>
      <c r="B791" s="569" t="s">
        <v>278</v>
      </c>
      <c r="C791" s="580">
        <v>15</v>
      </c>
      <c r="D791" s="569" t="s">
        <v>1516</v>
      </c>
      <c r="E791" s="569" t="s">
        <v>1914</v>
      </c>
      <c r="F791" s="569" t="s">
        <v>271</v>
      </c>
      <c r="G791" s="569">
        <v>2019</v>
      </c>
      <c r="H791" s="569" t="s">
        <v>1915</v>
      </c>
      <c r="I791" s="569" t="s">
        <v>1916</v>
      </c>
      <c r="J791" s="569" t="s">
        <v>236</v>
      </c>
      <c r="K791" s="569">
        <v>2</v>
      </c>
      <c r="L791" s="569">
        <v>0</v>
      </c>
      <c r="M791" s="569" t="s">
        <v>157</v>
      </c>
      <c r="N791" s="569">
        <v>1</v>
      </c>
      <c r="O791" s="569">
        <v>100.8</v>
      </c>
      <c r="P791" s="568" t="s">
        <v>157</v>
      </c>
      <c r="Q791" s="569" t="s">
        <v>1259</v>
      </c>
      <c r="R791" s="569">
        <v>6</v>
      </c>
      <c r="S791" s="569" t="s">
        <v>1925</v>
      </c>
      <c r="T791" s="569" t="s">
        <v>1894</v>
      </c>
      <c r="U791" s="569">
        <v>129.9</v>
      </c>
      <c r="V791" s="569">
        <v>25</v>
      </c>
      <c r="W791" s="620">
        <v>8600</v>
      </c>
      <c r="X791" s="621" t="s">
        <v>157</v>
      </c>
      <c r="Y791" s="621" t="s">
        <v>178</v>
      </c>
      <c r="Z791" s="621" t="s">
        <v>178</v>
      </c>
      <c r="AA791" s="622">
        <v>37500</v>
      </c>
      <c r="AB791" s="622" t="s">
        <v>164</v>
      </c>
      <c r="AC791" s="622">
        <v>28600</v>
      </c>
      <c r="AD791" s="623">
        <v>0.01</v>
      </c>
      <c r="AE791" s="621" t="s">
        <v>1927</v>
      </c>
    </row>
    <row r="792" spans="1:31" s="572" customFormat="1">
      <c r="A792" s="570" t="s">
        <v>1935</v>
      </c>
      <c r="B792" s="573" t="s">
        <v>278</v>
      </c>
      <c r="C792" s="578">
        <v>15</v>
      </c>
      <c r="D792" s="573" t="s">
        <v>1516</v>
      </c>
      <c r="E792" s="573" t="s">
        <v>1914</v>
      </c>
      <c r="F792" s="573" t="s">
        <v>271</v>
      </c>
      <c r="G792" s="573">
        <v>2019</v>
      </c>
      <c r="H792" s="573" t="s">
        <v>1915</v>
      </c>
      <c r="I792" s="573" t="s">
        <v>1916</v>
      </c>
      <c r="J792" s="573" t="s">
        <v>236</v>
      </c>
      <c r="K792" s="573">
        <v>2</v>
      </c>
      <c r="L792" s="573">
        <v>0</v>
      </c>
      <c r="M792" s="573" t="s">
        <v>157</v>
      </c>
      <c r="N792" s="573">
        <v>1</v>
      </c>
      <c r="O792" s="573">
        <v>100.8</v>
      </c>
      <c r="P792" s="571" t="s">
        <v>157</v>
      </c>
      <c r="Q792" s="573" t="s">
        <v>682</v>
      </c>
      <c r="R792" s="573">
        <v>6</v>
      </c>
      <c r="S792" s="582" t="s">
        <v>1925</v>
      </c>
      <c r="T792" s="573" t="s">
        <v>1894</v>
      </c>
      <c r="U792" s="573">
        <v>129.9</v>
      </c>
      <c r="V792" s="573">
        <v>25</v>
      </c>
      <c r="W792" s="616">
        <v>8600</v>
      </c>
      <c r="X792" s="617" t="s">
        <v>157</v>
      </c>
      <c r="Y792" s="617" t="s">
        <v>178</v>
      </c>
      <c r="Z792" s="617" t="s">
        <v>178</v>
      </c>
      <c r="AA792" s="618">
        <v>35635</v>
      </c>
      <c r="AB792" s="618" t="s">
        <v>164</v>
      </c>
      <c r="AC792" s="618">
        <v>26900</v>
      </c>
      <c r="AD792" s="619">
        <v>0.01</v>
      </c>
      <c r="AE792" s="617" t="s">
        <v>1929</v>
      </c>
    </row>
    <row r="793" spans="1:31" s="572" customFormat="1">
      <c r="A793" s="570" t="s">
        <v>1936</v>
      </c>
      <c r="B793" s="569" t="s">
        <v>287</v>
      </c>
      <c r="C793" s="580">
        <v>26</v>
      </c>
      <c r="D793" s="569" t="s">
        <v>1516</v>
      </c>
      <c r="E793" s="569" t="s">
        <v>1914</v>
      </c>
      <c r="F793" s="569" t="s">
        <v>271</v>
      </c>
      <c r="G793" s="569">
        <v>2019</v>
      </c>
      <c r="H793" s="569" t="s">
        <v>1915</v>
      </c>
      <c r="I793" s="569" t="s">
        <v>1916</v>
      </c>
      <c r="J793" s="569" t="s">
        <v>236</v>
      </c>
      <c r="K793" s="569">
        <v>2</v>
      </c>
      <c r="L793" s="569">
        <v>0</v>
      </c>
      <c r="M793" s="569" t="s">
        <v>157</v>
      </c>
      <c r="N793" s="569">
        <v>1</v>
      </c>
      <c r="O793" s="569">
        <v>100.7</v>
      </c>
      <c r="P793" s="568" t="s">
        <v>157</v>
      </c>
      <c r="Q793" s="569" t="s">
        <v>1917</v>
      </c>
      <c r="R793" s="569">
        <v>5</v>
      </c>
      <c r="S793" s="569" t="s">
        <v>1918</v>
      </c>
      <c r="T793" s="569" t="s">
        <v>1894</v>
      </c>
      <c r="U793" s="569">
        <v>147.6</v>
      </c>
      <c r="V793" s="569">
        <v>25</v>
      </c>
      <c r="W793" s="620">
        <v>8600</v>
      </c>
      <c r="X793" s="621" t="s">
        <v>157</v>
      </c>
      <c r="Y793" s="621" t="s">
        <v>728</v>
      </c>
      <c r="Z793" s="621" t="s">
        <v>1523</v>
      </c>
      <c r="AA793" s="622">
        <v>41355</v>
      </c>
      <c r="AB793" s="622" t="s">
        <v>164</v>
      </c>
      <c r="AC793" s="622">
        <v>32669</v>
      </c>
      <c r="AD793" s="623">
        <v>0.05</v>
      </c>
      <c r="AE793" s="621" t="s">
        <v>1913</v>
      </c>
    </row>
    <row r="794" spans="1:31" s="572" customFormat="1">
      <c r="A794" s="570" t="s">
        <v>1937</v>
      </c>
      <c r="B794" s="573" t="s">
        <v>287</v>
      </c>
      <c r="C794" s="578">
        <v>26</v>
      </c>
      <c r="D794" s="573" t="s">
        <v>1516</v>
      </c>
      <c r="E794" s="573" t="s">
        <v>1914</v>
      </c>
      <c r="F794" s="573" t="s">
        <v>271</v>
      </c>
      <c r="G794" s="573">
        <v>2019</v>
      </c>
      <c r="H794" s="573" t="s">
        <v>1915</v>
      </c>
      <c r="I794" s="573" t="s">
        <v>1916</v>
      </c>
      <c r="J794" s="573" t="s">
        <v>236</v>
      </c>
      <c r="K794" s="573">
        <v>2</v>
      </c>
      <c r="L794" s="573">
        <v>0</v>
      </c>
      <c r="M794" s="573" t="s">
        <v>157</v>
      </c>
      <c r="N794" s="573">
        <v>1</v>
      </c>
      <c r="O794" s="573">
        <v>100.7</v>
      </c>
      <c r="P794" s="571" t="s">
        <v>157</v>
      </c>
      <c r="Q794" s="573" t="s">
        <v>1259</v>
      </c>
      <c r="R794" s="573">
        <v>6</v>
      </c>
      <c r="S794" s="582" t="s">
        <v>1918</v>
      </c>
      <c r="T794" s="573" t="s">
        <v>1894</v>
      </c>
      <c r="U794" s="573">
        <v>147.6</v>
      </c>
      <c r="V794" s="573">
        <v>25</v>
      </c>
      <c r="W794" s="616">
        <v>8600</v>
      </c>
      <c r="X794" s="617" t="s">
        <v>157</v>
      </c>
      <c r="Y794" s="617" t="s">
        <v>178</v>
      </c>
      <c r="Z794" s="617" t="s">
        <v>178</v>
      </c>
      <c r="AA794" s="618">
        <v>39225</v>
      </c>
      <c r="AB794" s="618" t="s">
        <v>164</v>
      </c>
      <c r="AC794" s="618">
        <v>30715</v>
      </c>
      <c r="AD794" s="619">
        <v>0.05</v>
      </c>
      <c r="AE794" s="617" t="s">
        <v>1920</v>
      </c>
    </row>
    <row r="795" spans="1:31" s="572" customFormat="1">
      <c r="A795" s="570" t="s">
        <v>1938</v>
      </c>
      <c r="B795" s="569" t="s">
        <v>287</v>
      </c>
      <c r="C795" s="580">
        <v>26</v>
      </c>
      <c r="D795" s="569" t="s">
        <v>1516</v>
      </c>
      <c r="E795" s="569" t="s">
        <v>1914</v>
      </c>
      <c r="F795" s="569" t="s">
        <v>271</v>
      </c>
      <c r="G795" s="569">
        <v>2019</v>
      </c>
      <c r="H795" s="569" t="s">
        <v>1915</v>
      </c>
      <c r="I795" s="569" t="s">
        <v>1916</v>
      </c>
      <c r="J795" s="569" t="s">
        <v>236</v>
      </c>
      <c r="K795" s="569">
        <v>2</v>
      </c>
      <c r="L795" s="569">
        <v>0</v>
      </c>
      <c r="M795" s="569" t="s">
        <v>157</v>
      </c>
      <c r="N795" s="569">
        <v>1</v>
      </c>
      <c r="O795" s="569">
        <v>100.7</v>
      </c>
      <c r="P795" s="568" t="s">
        <v>157</v>
      </c>
      <c r="Q795" s="569" t="s">
        <v>682</v>
      </c>
      <c r="R795" s="569">
        <v>6</v>
      </c>
      <c r="S795" s="569" t="s">
        <v>1918</v>
      </c>
      <c r="T795" s="569" t="s">
        <v>1894</v>
      </c>
      <c r="U795" s="569">
        <v>147.6</v>
      </c>
      <c r="V795" s="569">
        <v>25</v>
      </c>
      <c r="W795" s="620">
        <v>8600</v>
      </c>
      <c r="X795" s="621" t="s">
        <v>157</v>
      </c>
      <c r="Y795" s="621" t="s">
        <v>178</v>
      </c>
      <c r="Z795" s="621" t="s">
        <v>178</v>
      </c>
      <c r="AA795" s="622">
        <v>37360</v>
      </c>
      <c r="AB795" s="622" t="s">
        <v>164</v>
      </c>
      <c r="AC795" s="622">
        <v>29005</v>
      </c>
      <c r="AD795" s="623">
        <v>0.05</v>
      </c>
      <c r="AE795" s="621" t="s">
        <v>1922</v>
      </c>
    </row>
    <row r="796" spans="1:31" s="572" customFormat="1">
      <c r="A796" s="570" t="s">
        <v>1939</v>
      </c>
      <c r="B796" s="573" t="s">
        <v>287</v>
      </c>
      <c r="C796" s="578">
        <v>26</v>
      </c>
      <c r="D796" s="573" t="s">
        <v>1516</v>
      </c>
      <c r="E796" s="573" t="s">
        <v>1914</v>
      </c>
      <c r="F796" s="573" t="s">
        <v>271</v>
      </c>
      <c r="G796" s="573">
        <v>2019</v>
      </c>
      <c r="H796" s="573" t="s">
        <v>1915</v>
      </c>
      <c r="I796" s="573" t="s">
        <v>1916</v>
      </c>
      <c r="J796" s="573" t="s">
        <v>236</v>
      </c>
      <c r="K796" s="573">
        <v>2</v>
      </c>
      <c r="L796" s="573">
        <v>0</v>
      </c>
      <c r="M796" s="573" t="s">
        <v>157</v>
      </c>
      <c r="N796" s="573">
        <v>1</v>
      </c>
      <c r="O796" s="573">
        <v>100.8</v>
      </c>
      <c r="P796" s="571" t="s">
        <v>157</v>
      </c>
      <c r="Q796" s="573" t="s">
        <v>1917</v>
      </c>
      <c r="R796" s="573">
        <v>5</v>
      </c>
      <c r="S796" s="582" t="s">
        <v>1925</v>
      </c>
      <c r="T796" s="573" t="s">
        <v>1894</v>
      </c>
      <c r="U796" s="573">
        <v>129.9</v>
      </c>
      <c r="V796" s="573">
        <v>25</v>
      </c>
      <c r="W796" s="616">
        <v>8600</v>
      </c>
      <c r="X796" s="617" t="s">
        <v>157</v>
      </c>
      <c r="Y796" s="617" t="s">
        <v>728</v>
      </c>
      <c r="Z796" s="617" t="s">
        <v>1523</v>
      </c>
      <c r="AA796" s="618">
        <v>39630</v>
      </c>
      <c r="AB796" s="618" t="s">
        <v>164</v>
      </c>
      <c r="AC796" s="618">
        <v>31039</v>
      </c>
      <c r="AD796" s="619">
        <v>0.05</v>
      </c>
      <c r="AE796" s="617" t="s">
        <v>1924</v>
      </c>
    </row>
    <row r="797" spans="1:31" s="572" customFormat="1">
      <c r="A797" s="570" t="s">
        <v>1940</v>
      </c>
      <c r="B797" s="569" t="s">
        <v>287</v>
      </c>
      <c r="C797" s="580">
        <v>26</v>
      </c>
      <c r="D797" s="569" t="s">
        <v>1516</v>
      </c>
      <c r="E797" s="569" t="s">
        <v>1914</v>
      </c>
      <c r="F797" s="569" t="s">
        <v>271</v>
      </c>
      <c r="G797" s="569">
        <v>2019</v>
      </c>
      <c r="H797" s="569" t="s">
        <v>1915</v>
      </c>
      <c r="I797" s="569" t="s">
        <v>1916</v>
      </c>
      <c r="J797" s="569" t="s">
        <v>236</v>
      </c>
      <c r="K797" s="569">
        <v>2</v>
      </c>
      <c r="L797" s="569">
        <v>0</v>
      </c>
      <c r="M797" s="569" t="s">
        <v>157</v>
      </c>
      <c r="N797" s="569">
        <v>1</v>
      </c>
      <c r="O797" s="569">
        <v>100.8</v>
      </c>
      <c r="P797" s="568" t="s">
        <v>157</v>
      </c>
      <c r="Q797" s="569" t="s">
        <v>1259</v>
      </c>
      <c r="R797" s="569">
        <v>6</v>
      </c>
      <c r="S797" s="569" t="s">
        <v>1925</v>
      </c>
      <c r="T797" s="569" t="s">
        <v>1894</v>
      </c>
      <c r="U797" s="569">
        <v>129.9</v>
      </c>
      <c r="V797" s="569">
        <v>25</v>
      </c>
      <c r="W797" s="620">
        <v>8600</v>
      </c>
      <c r="X797" s="621" t="s">
        <v>157</v>
      </c>
      <c r="Y797" s="621" t="s">
        <v>178</v>
      </c>
      <c r="Z797" s="621" t="s">
        <v>178</v>
      </c>
      <c r="AA797" s="622">
        <v>37500</v>
      </c>
      <c r="AB797" s="622" t="s">
        <v>164</v>
      </c>
      <c r="AC797" s="622">
        <v>29086</v>
      </c>
      <c r="AD797" s="623">
        <v>0.05</v>
      </c>
      <c r="AE797" s="621" t="s">
        <v>1927</v>
      </c>
    </row>
    <row r="798" spans="1:31" s="572" customFormat="1">
      <c r="A798" s="570" t="s">
        <v>1941</v>
      </c>
      <c r="B798" s="573" t="s">
        <v>287</v>
      </c>
      <c r="C798" s="578">
        <v>26</v>
      </c>
      <c r="D798" s="573" t="s">
        <v>1516</v>
      </c>
      <c r="E798" s="573" t="s">
        <v>1914</v>
      </c>
      <c r="F798" s="573" t="s">
        <v>271</v>
      </c>
      <c r="G798" s="573">
        <v>2019</v>
      </c>
      <c r="H798" s="573" t="s">
        <v>1915</v>
      </c>
      <c r="I798" s="573" t="s">
        <v>1916</v>
      </c>
      <c r="J798" s="573" t="s">
        <v>236</v>
      </c>
      <c r="K798" s="573">
        <v>2</v>
      </c>
      <c r="L798" s="573">
        <v>0</v>
      </c>
      <c r="M798" s="573" t="s">
        <v>157</v>
      </c>
      <c r="N798" s="573">
        <v>1</v>
      </c>
      <c r="O798" s="573">
        <v>100.8</v>
      </c>
      <c r="P798" s="571" t="s">
        <v>157</v>
      </c>
      <c r="Q798" s="573" t="s">
        <v>682</v>
      </c>
      <c r="R798" s="573">
        <v>6</v>
      </c>
      <c r="S798" s="582" t="s">
        <v>1925</v>
      </c>
      <c r="T798" s="573" t="s">
        <v>1894</v>
      </c>
      <c r="U798" s="573">
        <v>129.9</v>
      </c>
      <c r="V798" s="573">
        <v>25</v>
      </c>
      <c r="W798" s="616">
        <v>8600</v>
      </c>
      <c r="X798" s="617" t="s">
        <v>157</v>
      </c>
      <c r="Y798" s="617" t="s">
        <v>178</v>
      </c>
      <c r="Z798" s="617" t="s">
        <v>178</v>
      </c>
      <c r="AA798" s="618">
        <v>35635</v>
      </c>
      <c r="AB798" s="618" t="s">
        <v>164</v>
      </c>
      <c r="AC798" s="618">
        <v>27376</v>
      </c>
      <c r="AD798" s="619">
        <v>0.05</v>
      </c>
      <c r="AE798" s="617" t="s">
        <v>1929</v>
      </c>
    </row>
    <row r="799" spans="1:31" s="572" customFormat="1">
      <c r="A799" s="570" t="s">
        <v>1942</v>
      </c>
      <c r="B799" s="569" t="s">
        <v>280</v>
      </c>
      <c r="C799" s="580">
        <v>27</v>
      </c>
      <c r="D799" s="569" t="s">
        <v>1516</v>
      </c>
      <c r="E799" s="569" t="s">
        <v>1914</v>
      </c>
      <c r="F799" s="569" t="s">
        <v>271</v>
      </c>
      <c r="G799" s="569">
        <v>2019</v>
      </c>
      <c r="H799" s="569" t="s">
        <v>1915</v>
      </c>
      <c r="I799" s="569" t="s">
        <v>1916</v>
      </c>
      <c r="J799" s="569" t="s">
        <v>236</v>
      </c>
      <c r="K799" s="569">
        <v>2</v>
      </c>
      <c r="L799" s="569">
        <v>0</v>
      </c>
      <c r="M799" s="569" t="s">
        <v>157</v>
      </c>
      <c r="N799" s="569">
        <v>1</v>
      </c>
      <c r="O799" s="569">
        <v>100.7</v>
      </c>
      <c r="P799" s="568" t="s">
        <v>157</v>
      </c>
      <c r="Q799" s="569" t="s">
        <v>1917</v>
      </c>
      <c r="R799" s="569">
        <v>5</v>
      </c>
      <c r="S799" s="569" t="s">
        <v>1918</v>
      </c>
      <c r="T799" s="569" t="s">
        <v>1894</v>
      </c>
      <c r="U799" s="569">
        <v>147.6</v>
      </c>
      <c r="V799" s="569">
        <v>25</v>
      </c>
      <c r="W799" s="620">
        <v>8600</v>
      </c>
      <c r="X799" s="621" t="s">
        <v>157</v>
      </c>
      <c r="Y799" s="621" t="s">
        <v>728</v>
      </c>
      <c r="Z799" s="621" t="s">
        <v>1523</v>
      </c>
      <c r="AA799" s="622">
        <v>41355</v>
      </c>
      <c r="AB799" s="622" t="s">
        <v>164</v>
      </c>
      <c r="AC799" s="622">
        <v>31540.875</v>
      </c>
      <c r="AD799" s="623">
        <v>0.03</v>
      </c>
      <c r="AE799" s="621" t="s">
        <v>1913</v>
      </c>
    </row>
    <row r="800" spans="1:31" s="572" customFormat="1">
      <c r="A800" s="570" t="s">
        <v>1943</v>
      </c>
      <c r="B800" s="573" t="s">
        <v>280</v>
      </c>
      <c r="C800" s="578">
        <v>27</v>
      </c>
      <c r="D800" s="573" t="s">
        <v>1516</v>
      </c>
      <c r="E800" s="573" t="s">
        <v>1914</v>
      </c>
      <c r="F800" s="573" t="s">
        <v>271</v>
      </c>
      <c r="G800" s="573">
        <v>2019</v>
      </c>
      <c r="H800" s="573" t="s">
        <v>1915</v>
      </c>
      <c r="I800" s="573" t="s">
        <v>1916</v>
      </c>
      <c r="J800" s="573" t="s">
        <v>236</v>
      </c>
      <c r="K800" s="573">
        <v>2</v>
      </c>
      <c r="L800" s="573">
        <v>0</v>
      </c>
      <c r="M800" s="573" t="s">
        <v>157</v>
      </c>
      <c r="N800" s="573">
        <v>1</v>
      </c>
      <c r="O800" s="573">
        <v>100.7</v>
      </c>
      <c r="P800" s="571" t="s">
        <v>157</v>
      </c>
      <c r="Q800" s="573" t="s">
        <v>1259</v>
      </c>
      <c r="R800" s="573">
        <v>6</v>
      </c>
      <c r="S800" s="582" t="s">
        <v>1918</v>
      </c>
      <c r="T800" s="573" t="s">
        <v>1894</v>
      </c>
      <c r="U800" s="573">
        <v>147.6</v>
      </c>
      <c r="V800" s="573">
        <v>25</v>
      </c>
      <c r="W800" s="616">
        <v>8600</v>
      </c>
      <c r="X800" s="617" t="s">
        <v>157</v>
      </c>
      <c r="Y800" s="617" t="s">
        <v>178</v>
      </c>
      <c r="Z800" s="617" t="s">
        <v>178</v>
      </c>
      <c r="AA800" s="618">
        <v>39225</v>
      </c>
      <c r="AB800" s="618" t="s">
        <v>164</v>
      </c>
      <c r="AC800" s="618">
        <v>29647.583333333336</v>
      </c>
      <c r="AD800" s="619">
        <v>0.03</v>
      </c>
      <c r="AE800" s="617" t="s">
        <v>1920</v>
      </c>
    </row>
    <row r="801" spans="1:31" s="572" customFormat="1">
      <c r="A801" s="570" t="s">
        <v>1944</v>
      </c>
      <c r="B801" s="569" t="s">
        <v>280</v>
      </c>
      <c r="C801" s="580">
        <v>27</v>
      </c>
      <c r="D801" s="569" t="s">
        <v>1516</v>
      </c>
      <c r="E801" s="569" t="s">
        <v>1914</v>
      </c>
      <c r="F801" s="569" t="s">
        <v>271</v>
      </c>
      <c r="G801" s="569">
        <v>2019</v>
      </c>
      <c r="H801" s="569" t="s">
        <v>1915</v>
      </c>
      <c r="I801" s="569" t="s">
        <v>1916</v>
      </c>
      <c r="J801" s="569" t="s">
        <v>236</v>
      </c>
      <c r="K801" s="569">
        <v>2</v>
      </c>
      <c r="L801" s="569">
        <v>0</v>
      </c>
      <c r="M801" s="569" t="s">
        <v>157</v>
      </c>
      <c r="N801" s="569">
        <v>1</v>
      </c>
      <c r="O801" s="569">
        <v>100.7</v>
      </c>
      <c r="P801" s="568" t="s">
        <v>157</v>
      </c>
      <c r="Q801" s="569" t="s">
        <v>682</v>
      </c>
      <c r="R801" s="569">
        <v>6</v>
      </c>
      <c r="S801" s="569" t="s">
        <v>1918</v>
      </c>
      <c r="T801" s="569" t="s">
        <v>1894</v>
      </c>
      <c r="U801" s="569">
        <v>147.6</v>
      </c>
      <c r="V801" s="569">
        <v>25</v>
      </c>
      <c r="W801" s="620">
        <v>8600</v>
      </c>
      <c r="X801" s="621" t="s">
        <v>157</v>
      </c>
      <c r="Y801" s="621" t="s">
        <v>178</v>
      </c>
      <c r="Z801" s="621" t="s">
        <v>178</v>
      </c>
      <c r="AA801" s="622">
        <v>37360</v>
      </c>
      <c r="AB801" s="622" t="s">
        <v>164</v>
      </c>
      <c r="AC801" s="622">
        <v>27992.375</v>
      </c>
      <c r="AD801" s="623">
        <v>0.03</v>
      </c>
      <c r="AE801" s="621" t="s">
        <v>1922</v>
      </c>
    </row>
    <row r="802" spans="1:31" s="572" customFormat="1">
      <c r="A802" s="570" t="s">
        <v>1944</v>
      </c>
      <c r="B802" s="573" t="s">
        <v>280</v>
      </c>
      <c r="C802" s="578">
        <v>27</v>
      </c>
      <c r="D802" s="573" t="s">
        <v>1516</v>
      </c>
      <c r="E802" s="573" t="s">
        <v>1914</v>
      </c>
      <c r="F802" s="573" t="s">
        <v>271</v>
      </c>
      <c r="G802" s="573">
        <v>2019</v>
      </c>
      <c r="H802" s="573" t="s">
        <v>1915</v>
      </c>
      <c r="I802" s="573" t="s">
        <v>1916</v>
      </c>
      <c r="J802" s="573" t="s">
        <v>236</v>
      </c>
      <c r="K802" s="573">
        <v>2</v>
      </c>
      <c r="L802" s="573">
        <v>0</v>
      </c>
      <c r="M802" s="573" t="s">
        <v>157</v>
      </c>
      <c r="N802" s="573">
        <v>1</v>
      </c>
      <c r="O802" s="573">
        <v>100.7</v>
      </c>
      <c r="P802" s="571" t="s">
        <v>157</v>
      </c>
      <c r="Q802" s="573" t="s">
        <v>682</v>
      </c>
      <c r="R802" s="573">
        <v>6</v>
      </c>
      <c r="S802" s="582" t="s">
        <v>1918</v>
      </c>
      <c r="T802" s="573" t="s">
        <v>1894</v>
      </c>
      <c r="U802" s="573">
        <v>147.6</v>
      </c>
      <c r="V802" s="573">
        <v>25</v>
      </c>
      <c r="W802" s="616">
        <v>8600</v>
      </c>
      <c r="X802" s="617" t="s">
        <v>157</v>
      </c>
      <c r="Y802" s="617" t="s">
        <v>178</v>
      </c>
      <c r="Z802" s="617" t="s">
        <v>178</v>
      </c>
      <c r="AA802" s="618">
        <v>37360</v>
      </c>
      <c r="AB802" s="618" t="s">
        <v>164</v>
      </c>
      <c r="AC802" s="618">
        <v>27991.333333333336</v>
      </c>
      <c r="AD802" s="619">
        <v>0.03</v>
      </c>
      <c r="AE802" s="617" t="s">
        <v>1922</v>
      </c>
    </row>
    <row r="803" spans="1:31" s="572" customFormat="1">
      <c r="A803" s="570" t="s">
        <v>1945</v>
      </c>
      <c r="B803" s="569" t="s">
        <v>280</v>
      </c>
      <c r="C803" s="580">
        <v>27</v>
      </c>
      <c r="D803" s="569" t="s">
        <v>1516</v>
      </c>
      <c r="E803" s="569" t="s">
        <v>1914</v>
      </c>
      <c r="F803" s="569" t="s">
        <v>271</v>
      </c>
      <c r="G803" s="569">
        <v>2019</v>
      </c>
      <c r="H803" s="569" t="s">
        <v>1915</v>
      </c>
      <c r="I803" s="569" t="s">
        <v>1916</v>
      </c>
      <c r="J803" s="569" t="s">
        <v>236</v>
      </c>
      <c r="K803" s="569">
        <v>2</v>
      </c>
      <c r="L803" s="569">
        <v>0</v>
      </c>
      <c r="M803" s="569" t="s">
        <v>157</v>
      </c>
      <c r="N803" s="569">
        <v>1</v>
      </c>
      <c r="O803" s="569">
        <v>100.8</v>
      </c>
      <c r="P803" s="568" t="s">
        <v>157</v>
      </c>
      <c r="Q803" s="569" t="s">
        <v>1917</v>
      </c>
      <c r="R803" s="569">
        <v>5</v>
      </c>
      <c r="S803" s="569" t="s">
        <v>1925</v>
      </c>
      <c r="T803" s="569" t="s">
        <v>1894</v>
      </c>
      <c r="U803" s="569">
        <v>129.9</v>
      </c>
      <c r="V803" s="569">
        <v>25</v>
      </c>
      <c r="W803" s="620">
        <v>8600</v>
      </c>
      <c r="X803" s="621" t="s">
        <v>157</v>
      </c>
      <c r="Y803" s="621" t="s">
        <v>728</v>
      </c>
      <c r="Z803" s="621" t="s">
        <v>1523</v>
      </c>
      <c r="AA803" s="622">
        <v>39630</v>
      </c>
      <c r="AB803" s="622" t="s">
        <v>164</v>
      </c>
      <c r="AC803" s="622">
        <v>29963.791666666664</v>
      </c>
      <c r="AD803" s="623">
        <v>0.03</v>
      </c>
      <c r="AE803" s="621" t="s">
        <v>1924</v>
      </c>
    </row>
    <row r="804" spans="1:31" s="572" customFormat="1">
      <c r="A804" s="570" t="s">
        <v>1946</v>
      </c>
      <c r="B804" s="573" t="s">
        <v>280</v>
      </c>
      <c r="C804" s="578">
        <v>27</v>
      </c>
      <c r="D804" s="573" t="s">
        <v>1516</v>
      </c>
      <c r="E804" s="573" t="s">
        <v>1914</v>
      </c>
      <c r="F804" s="573" t="s">
        <v>271</v>
      </c>
      <c r="G804" s="573">
        <v>2019</v>
      </c>
      <c r="H804" s="573" t="s">
        <v>1915</v>
      </c>
      <c r="I804" s="573" t="s">
        <v>1916</v>
      </c>
      <c r="J804" s="573" t="s">
        <v>236</v>
      </c>
      <c r="K804" s="573">
        <v>2</v>
      </c>
      <c r="L804" s="573">
        <v>0</v>
      </c>
      <c r="M804" s="573" t="s">
        <v>157</v>
      </c>
      <c r="N804" s="573">
        <v>1</v>
      </c>
      <c r="O804" s="573">
        <v>100.8</v>
      </c>
      <c r="P804" s="571" t="s">
        <v>157</v>
      </c>
      <c r="Q804" s="573" t="s">
        <v>1259</v>
      </c>
      <c r="R804" s="573">
        <v>6</v>
      </c>
      <c r="S804" s="582" t="s">
        <v>1925</v>
      </c>
      <c r="T804" s="573" t="s">
        <v>1894</v>
      </c>
      <c r="U804" s="573">
        <v>129.9</v>
      </c>
      <c r="V804" s="573">
        <v>25</v>
      </c>
      <c r="W804" s="616">
        <v>8600</v>
      </c>
      <c r="X804" s="617" t="s">
        <v>157</v>
      </c>
      <c r="Y804" s="617" t="s">
        <v>178</v>
      </c>
      <c r="Z804" s="617" t="s">
        <v>178</v>
      </c>
      <c r="AA804" s="618">
        <v>37500</v>
      </c>
      <c r="AB804" s="618" t="s">
        <v>164</v>
      </c>
      <c r="AC804" s="618">
        <v>28070.5</v>
      </c>
      <c r="AD804" s="619">
        <v>0.03</v>
      </c>
      <c r="AE804" s="617" t="s">
        <v>1927</v>
      </c>
    </row>
    <row r="805" spans="1:31" s="572" customFormat="1">
      <c r="A805" s="570" t="s">
        <v>1947</v>
      </c>
      <c r="B805" s="569" t="s">
        <v>280</v>
      </c>
      <c r="C805" s="580">
        <v>27</v>
      </c>
      <c r="D805" s="569" t="s">
        <v>1516</v>
      </c>
      <c r="E805" s="569" t="s">
        <v>1914</v>
      </c>
      <c r="F805" s="569" t="s">
        <v>271</v>
      </c>
      <c r="G805" s="569">
        <v>2019</v>
      </c>
      <c r="H805" s="569" t="s">
        <v>1915</v>
      </c>
      <c r="I805" s="569" t="s">
        <v>1916</v>
      </c>
      <c r="J805" s="569" t="s">
        <v>236</v>
      </c>
      <c r="K805" s="569">
        <v>2</v>
      </c>
      <c r="L805" s="569">
        <v>0</v>
      </c>
      <c r="M805" s="569" t="s">
        <v>157</v>
      </c>
      <c r="N805" s="569">
        <v>1</v>
      </c>
      <c r="O805" s="569">
        <v>100.8</v>
      </c>
      <c r="P805" s="568" t="s">
        <v>157</v>
      </c>
      <c r="Q805" s="569" t="s">
        <v>682</v>
      </c>
      <c r="R805" s="569">
        <v>6</v>
      </c>
      <c r="S805" s="569" t="s">
        <v>1925</v>
      </c>
      <c r="T805" s="569" t="s">
        <v>1894</v>
      </c>
      <c r="U805" s="569">
        <v>129.9</v>
      </c>
      <c r="V805" s="569">
        <v>25</v>
      </c>
      <c r="W805" s="620">
        <v>8600</v>
      </c>
      <c r="X805" s="621" t="s">
        <v>157</v>
      </c>
      <c r="Y805" s="621" t="s">
        <v>178</v>
      </c>
      <c r="Z805" s="621" t="s">
        <v>178</v>
      </c>
      <c r="AA805" s="622">
        <v>35635</v>
      </c>
      <c r="AB805" s="622" t="s">
        <v>164</v>
      </c>
      <c r="AC805" s="622">
        <v>26508</v>
      </c>
      <c r="AD805" s="623">
        <v>0.03</v>
      </c>
      <c r="AE805" s="621" t="s">
        <v>1929</v>
      </c>
    </row>
    <row r="806" spans="1:31" s="572" customFormat="1">
      <c r="A806" s="570" t="s">
        <v>1947</v>
      </c>
      <c r="B806" s="573" t="s">
        <v>280</v>
      </c>
      <c r="C806" s="578">
        <v>27</v>
      </c>
      <c r="D806" s="573" t="s">
        <v>1516</v>
      </c>
      <c r="E806" s="573" t="s">
        <v>1914</v>
      </c>
      <c r="F806" s="573" t="s">
        <v>271</v>
      </c>
      <c r="G806" s="573">
        <v>2019</v>
      </c>
      <c r="H806" s="573" t="s">
        <v>1915</v>
      </c>
      <c r="I806" s="573" t="s">
        <v>1916</v>
      </c>
      <c r="J806" s="573" t="s">
        <v>236</v>
      </c>
      <c r="K806" s="573">
        <v>2</v>
      </c>
      <c r="L806" s="573">
        <v>0</v>
      </c>
      <c r="M806" s="573" t="s">
        <v>157</v>
      </c>
      <c r="N806" s="573">
        <v>1</v>
      </c>
      <c r="O806" s="573">
        <v>100.8</v>
      </c>
      <c r="P806" s="571" t="s">
        <v>157</v>
      </c>
      <c r="Q806" s="573" t="s">
        <v>682</v>
      </c>
      <c r="R806" s="573">
        <v>6</v>
      </c>
      <c r="S806" s="582" t="s">
        <v>1925</v>
      </c>
      <c r="T806" s="573" t="s">
        <v>1894</v>
      </c>
      <c r="U806" s="573">
        <v>129.9</v>
      </c>
      <c r="V806" s="573">
        <v>25</v>
      </c>
      <c r="W806" s="616">
        <v>8600</v>
      </c>
      <c r="X806" s="617" t="s">
        <v>157</v>
      </c>
      <c r="Y806" s="617" t="s">
        <v>178</v>
      </c>
      <c r="Z806" s="617" t="s">
        <v>178</v>
      </c>
      <c r="AA806" s="618">
        <v>35635</v>
      </c>
      <c r="AB806" s="618" t="s">
        <v>164</v>
      </c>
      <c r="AC806" s="618">
        <v>26414.25</v>
      </c>
      <c r="AD806" s="619">
        <v>0.03</v>
      </c>
      <c r="AE806" s="617" t="s">
        <v>1929</v>
      </c>
    </row>
    <row r="807" spans="1:31" s="572" customFormat="1">
      <c r="A807" s="570" t="s">
        <v>1948</v>
      </c>
      <c r="B807" s="569" t="s">
        <v>269</v>
      </c>
      <c r="C807" s="580" t="s">
        <v>270</v>
      </c>
      <c r="D807" s="569" t="s">
        <v>1516</v>
      </c>
      <c r="E807" s="569" t="s">
        <v>1914</v>
      </c>
      <c r="F807" s="569" t="s">
        <v>271</v>
      </c>
      <c r="G807" s="569">
        <v>2019</v>
      </c>
      <c r="H807" s="569" t="s">
        <v>1915</v>
      </c>
      <c r="I807" s="569" t="s">
        <v>1950</v>
      </c>
      <c r="J807" s="569" t="s">
        <v>236</v>
      </c>
      <c r="K807" s="569">
        <v>2</v>
      </c>
      <c r="L807" s="569">
        <v>0</v>
      </c>
      <c r="M807" s="569" t="s">
        <v>157</v>
      </c>
      <c r="N807" s="569">
        <v>1</v>
      </c>
      <c r="O807" s="569">
        <v>100.7</v>
      </c>
      <c r="P807" s="568" t="s">
        <v>157</v>
      </c>
      <c r="Q807" s="569" t="s">
        <v>1917</v>
      </c>
      <c r="R807" s="569">
        <v>5</v>
      </c>
      <c r="S807" s="569" t="s">
        <v>1893</v>
      </c>
      <c r="T807" s="569" t="s">
        <v>1894</v>
      </c>
      <c r="U807" s="569">
        <v>147.6</v>
      </c>
      <c r="V807" s="569">
        <v>25</v>
      </c>
      <c r="W807" s="620">
        <v>8600</v>
      </c>
      <c r="X807" s="621" t="s">
        <v>157</v>
      </c>
      <c r="Y807" s="621" t="s">
        <v>728</v>
      </c>
      <c r="Z807" s="621" t="s">
        <v>1523</v>
      </c>
      <c r="AA807" s="622">
        <v>40705</v>
      </c>
      <c r="AB807" s="622" t="s">
        <v>164</v>
      </c>
      <c r="AC807" s="622">
        <v>30947.125</v>
      </c>
      <c r="AD807" s="623">
        <v>0.03</v>
      </c>
      <c r="AE807" s="621" t="s">
        <v>1949</v>
      </c>
    </row>
    <row r="808" spans="1:31" s="572" customFormat="1">
      <c r="A808" s="570" t="s">
        <v>1951</v>
      </c>
      <c r="B808" s="573" t="s">
        <v>269</v>
      </c>
      <c r="C808" s="578" t="s">
        <v>270</v>
      </c>
      <c r="D808" s="573" t="s">
        <v>1516</v>
      </c>
      <c r="E808" s="573" t="s">
        <v>1914</v>
      </c>
      <c r="F808" s="573" t="s">
        <v>271</v>
      </c>
      <c r="G808" s="573">
        <v>2019</v>
      </c>
      <c r="H808" s="573" t="s">
        <v>1915</v>
      </c>
      <c r="I808" s="573" t="s">
        <v>1950</v>
      </c>
      <c r="J808" s="573" t="s">
        <v>236</v>
      </c>
      <c r="K808" s="573">
        <v>2</v>
      </c>
      <c r="L808" s="573">
        <v>0</v>
      </c>
      <c r="M808" s="573" t="s">
        <v>157</v>
      </c>
      <c r="N808" s="573">
        <v>1</v>
      </c>
      <c r="O808" s="573">
        <v>100.7</v>
      </c>
      <c r="P808" s="571" t="s">
        <v>157</v>
      </c>
      <c r="Q808" s="573" t="s">
        <v>1259</v>
      </c>
      <c r="R808" s="573">
        <v>6</v>
      </c>
      <c r="S808" s="582" t="s">
        <v>1893</v>
      </c>
      <c r="T808" s="573" t="s">
        <v>1894</v>
      </c>
      <c r="U808" s="573">
        <v>147.6</v>
      </c>
      <c r="V808" s="573">
        <v>25</v>
      </c>
      <c r="W808" s="616">
        <v>8600</v>
      </c>
      <c r="X808" s="617" t="s">
        <v>157</v>
      </c>
      <c r="Y808" s="617" t="s">
        <v>178</v>
      </c>
      <c r="Z808" s="617" t="s">
        <v>178</v>
      </c>
      <c r="AA808" s="618">
        <v>38575</v>
      </c>
      <c r="AB808" s="618" t="s">
        <v>164</v>
      </c>
      <c r="AC808" s="618">
        <v>29053.833333333336</v>
      </c>
      <c r="AD808" s="619">
        <v>0.03</v>
      </c>
      <c r="AE808" s="617" t="s">
        <v>1952</v>
      </c>
    </row>
    <row r="809" spans="1:31" s="572" customFormat="1">
      <c r="A809" s="570" t="s">
        <v>1953</v>
      </c>
      <c r="B809" s="569" t="s">
        <v>269</v>
      </c>
      <c r="C809" s="580" t="s">
        <v>270</v>
      </c>
      <c r="D809" s="569" t="s">
        <v>1516</v>
      </c>
      <c r="E809" s="569" t="s">
        <v>1914</v>
      </c>
      <c r="F809" s="569" t="s">
        <v>271</v>
      </c>
      <c r="G809" s="569">
        <v>2019</v>
      </c>
      <c r="H809" s="569" t="s">
        <v>1915</v>
      </c>
      <c r="I809" s="569" t="s">
        <v>1950</v>
      </c>
      <c r="J809" s="569" t="s">
        <v>236</v>
      </c>
      <c r="K809" s="569">
        <v>2</v>
      </c>
      <c r="L809" s="569">
        <v>0</v>
      </c>
      <c r="M809" s="569" t="s">
        <v>157</v>
      </c>
      <c r="N809" s="569">
        <v>1</v>
      </c>
      <c r="O809" s="569">
        <v>100.7</v>
      </c>
      <c r="P809" s="568" t="s">
        <v>157</v>
      </c>
      <c r="Q809" s="569" t="s">
        <v>682</v>
      </c>
      <c r="R809" s="569">
        <v>6</v>
      </c>
      <c r="S809" s="569" t="s">
        <v>1893</v>
      </c>
      <c r="T809" s="569" t="s">
        <v>1894</v>
      </c>
      <c r="U809" s="569">
        <v>147.6</v>
      </c>
      <c r="V809" s="569">
        <v>25</v>
      </c>
      <c r="W809" s="620">
        <v>8600</v>
      </c>
      <c r="X809" s="621" t="s">
        <v>157</v>
      </c>
      <c r="Y809" s="621" t="s">
        <v>178</v>
      </c>
      <c r="Z809" s="621" t="s">
        <v>178</v>
      </c>
      <c r="AA809" s="622">
        <v>36710</v>
      </c>
      <c r="AB809" s="622" t="s">
        <v>164</v>
      </c>
      <c r="AC809" s="622">
        <v>27397.583333333336</v>
      </c>
      <c r="AD809" s="623">
        <v>0.03</v>
      </c>
      <c r="AE809" s="621" t="s">
        <v>1954</v>
      </c>
    </row>
    <row r="810" spans="1:31" s="572" customFormat="1">
      <c r="A810" s="570" t="s">
        <v>1955</v>
      </c>
      <c r="B810" s="573" t="s">
        <v>269</v>
      </c>
      <c r="C810" s="578" t="s">
        <v>270</v>
      </c>
      <c r="D810" s="573" t="s">
        <v>1516</v>
      </c>
      <c r="E810" s="573" t="s">
        <v>1914</v>
      </c>
      <c r="F810" s="573" t="s">
        <v>271</v>
      </c>
      <c r="G810" s="573">
        <v>2019</v>
      </c>
      <c r="H810" s="573" t="s">
        <v>1915</v>
      </c>
      <c r="I810" s="573" t="s">
        <v>1950</v>
      </c>
      <c r="J810" s="573" t="s">
        <v>236</v>
      </c>
      <c r="K810" s="573">
        <v>2</v>
      </c>
      <c r="L810" s="573">
        <v>0</v>
      </c>
      <c r="M810" s="573" t="s">
        <v>157</v>
      </c>
      <c r="N810" s="573">
        <v>1</v>
      </c>
      <c r="O810" s="573">
        <v>100.8</v>
      </c>
      <c r="P810" s="571" t="s">
        <v>157</v>
      </c>
      <c r="Q810" s="573" t="s">
        <v>1917</v>
      </c>
      <c r="R810" s="573">
        <v>5</v>
      </c>
      <c r="S810" s="582" t="s">
        <v>1957</v>
      </c>
      <c r="T810" s="573" t="s">
        <v>1894</v>
      </c>
      <c r="U810" s="573">
        <v>129.9</v>
      </c>
      <c r="V810" s="573">
        <v>25</v>
      </c>
      <c r="W810" s="616">
        <v>8600</v>
      </c>
      <c r="X810" s="617" t="s">
        <v>157</v>
      </c>
      <c r="Y810" s="617" t="s">
        <v>728</v>
      </c>
      <c r="Z810" s="617" t="s">
        <v>1523</v>
      </c>
      <c r="AA810" s="618">
        <v>38980</v>
      </c>
      <c r="AB810" s="618" t="s">
        <v>164</v>
      </c>
      <c r="AC810" s="618">
        <v>29370.041666666664</v>
      </c>
      <c r="AD810" s="619">
        <v>0.03</v>
      </c>
      <c r="AE810" s="617" t="s">
        <v>1956</v>
      </c>
    </row>
    <row r="811" spans="1:31" s="572" customFormat="1">
      <c r="A811" s="570" t="s">
        <v>1958</v>
      </c>
      <c r="B811" s="569" t="s">
        <v>269</v>
      </c>
      <c r="C811" s="580" t="s">
        <v>270</v>
      </c>
      <c r="D811" s="569" t="s">
        <v>1516</v>
      </c>
      <c r="E811" s="569" t="s">
        <v>1914</v>
      </c>
      <c r="F811" s="569" t="s">
        <v>271</v>
      </c>
      <c r="G811" s="569">
        <v>2019</v>
      </c>
      <c r="H811" s="569" t="s">
        <v>1915</v>
      </c>
      <c r="I811" s="569" t="s">
        <v>1950</v>
      </c>
      <c r="J811" s="569" t="s">
        <v>236</v>
      </c>
      <c r="K811" s="569">
        <v>2</v>
      </c>
      <c r="L811" s="569">
        <v>0</v>
      </c>
      <c r="M811" s="569" t="s">
        <v>157</v>
      </c>
      <c r="N811" s="569">
        <v>1</v>
      </c>
      <c r="O811" s="569">
        <v>100.8</v>
      </c>
      <c r="P811" s="568" t="s">
        <v>157</v>
      </c>
      <c r="Q811" s="569" t="s">
        <v>1259</v>
      </c>
      <c r="R811" s="569">
        <v>6</v>
      </c>
      <c r="S811" s="569" t="s">
        <v>1957</v>
      </c>
      <c r="T811" s="569" t="s">
        <v>1894</v>
      </c>
      <c r="U811" s="569">
        <v>129.9</v>
      </c>
      <c r="V811" s="569">
        <v>25</v>
      </c>
      <c r="W811" s="620">
        <v>8600</v>
      </c>
      <c r="X811" s="621" t="s">
        <v>157</v>
      </c>
      <c r="Y811" s="621" t="s">
        <v>178</v>
      </c>
      <c r="Z811" s="621" t="s">
        <v>178</v>
      </c>
      <c r="AA811" s="622">
        <v>36850</v>
      </c>
      <c r="AB811" s="622" t="s">
        <v>164</v>
      </c>
      <c r="AC811" s="622">
        <v>27476.75</v>
      </c>
      <c r="AD811" s="623">
        <v>0.03</v>
      </c>
      <c r="AE811" s="621" t="s">
        <v>1959</v>
      </c>
    </row>
    <row r="812" spans="1:31" s="572" customFormat="1">
      <c r="A812" s="570" t="s">
        <v>1960</v>
      </c>
      <c r="B812" s="573" t="s">
        <v>269</v>
      </c>
      <c r="C812" s="578" t="s">
        <v>270</v>
      </c>
      <c r="D812" s="573" t="s">
        <v>1516</v>
      </c>
      <c r="E812" s="573" t="s">
        <v>1914</v>
      </c>
      <c r="F812" s="573" t="s">
        <v>271</v>
      </c>
      <c r="G812" s="573">
        <v>2019</v>
      </c>
      <c r="H812" s="573" t="s">
        <v>1915</v>
      </c>
      <c r="I812" s="573" t="s">
        <v>1950</v>
      </c>
      <c r="J812" s="573" t="s">
        <v>236</v>
      </c>
      <c r="K812" s="573">
        <v>2</v>
      </c>
      <c r="L812" s="573">
        <v>0</v>
      </c>
      <c r="M812" s="573" t="s">
        <v>157</v>
      </c>
      <c r="N812" s="573">
        <v>1</v>
      </c>
      <c r="O812" s="573">
        <v>100.8</v>
      </c>
      <c r="P812" s="571" t="s">
        <v>157</v>
      </c>
      <c r="Q812" s="573" t="s">
        <v>682</v>
      </c>
      <c r="R812" s="573">
        <v>6</v>
      </c>
      <c r="S812" s="582" t="s">
        <v>1957</v>
      </c>
      <c r="T812" s="573" t="s">
        <v>1894</v>
      </c>
      <c r="U812" s="573">
        <v>129.9</v>
      </c>
      <c r="V812" s="573">
        <v>25</v>
      </c>
      <c r="W812" s="616">
        <v>8600</v>
      </c>
      <c r="X812" s="617" t="s">
        <v>157</v>
      </c>
      <c r="Y812" s="617" t="s">
        <v>178</v>
      </c>
      <c r="Z812" s="617" t="s">
        <v>178</v>
      </c>
      <c r="AA812" s="618">
        <v>34985</v>
      </c>
      <c r="AB812" s="618" t="s">
        <v>164</v>
      </c>
      <c r="AC812" s="618">
        <v>25820.5</v>
      </c>
      <c r="AD812" s="619">
        <v>0.03</v>
      </c>
      <c r="AE812" s="617" t="s">
        <v>1961</v>
      </c>
    </row>
    <row r="813" spans="1:31" s="572" customFormat="1">
      <c r="A813" s="570" t="s">
        <v>1962</v>
      </c>
      <c r="B813" s="569" t="s">
        <v>269</v>
      </c>
      <c r="C813" s="580" t="s">
        <v>270</v>
      </c>
      <c r="D813" s="569" t="s">
        <v>1516</v>
      </c>
      <c r="E813" s="569" t="s">
        <v>1914</v>
      </c>
      <c r="F813" s="569" t="s">
        <v>271</v>
      </c>
      <c r="G813" s="569">
        <v>2019</v>
      </c>
      <c r="H813" s="569" t="s">
        <v>1915</v>
      </c>
      <c r="I813" s="569" t="s">
        <v>1950</v>
      </c>
      <c r="J813" s="569" t="s">
        <v>236</v>
      </c>
      <c r="K813" s="569">
        <v>2</v>
      </c>
      <c r="L813" s="569">
        <v>0</v>
      </c>
      <c r="M813" s="569" t="s">
        <v>157</v>
      </c>
      <c r="N813" s="569">
        <v>1</v>
      </c>
      <c r="O813" s="569">
        <v>83.2</v>
      </c>
      <c r="P813" s="568" t="s">
        <v>157</v>
      </c>
      <c r="Q813" s="569" t="s">
        <v>1917</v>
      </c>
      <c r="R813" s="569">
        <v>5</v>
      </c>
      <c r="S813" s="569" t="s">
        <v>1964</v>
      </c>
      <c r="T813" s="569" t="s">
        <v>1894</v>
      </c>
      <c r="U813" s="569">
        <v>147.6</v>
      </c>
      <c r="V813" s="569">
        <v>25</v>
      </c>
      <c r="W813" s="620">
        <v>8600</v>
      </c>
      <c r="X813" s="621" t="s">
        <v>157</v>
      </c>
      <c r="Y813" s="621" t="s">
        <v>728</v>
      </c>
      <c r="Z813" s="621" t="s">
        <v>1523</v>
      </c>
      <c r="AA813" s="622">
        <v>39555</v>
      </c>
      <c r="AB813" s="622" t="s">
        <v>164</v>
      </c>
      <c r="AC813" s="622">
        <v>27811.708333333332</v>
      </c>
      <c r="AD813" s="623">
        <v>0.03</v>
      </c>
      <c r="AE813" s="621" t="s">
        <v>1963</v>
      </c>
    </row>
    <row r="814" spans="1:31" s="572" customFormat="1">
      <c r="A814" s="570" t="s">
        <v>1965</v>
      </c>
      <c r="B814" s="573" t="s">
        <v>269</v>
      </c>
      <c r="C814" s="578" t="s">
        <v>270</v>
      </c>
      <c r="D814" s="573" t="s">
        <v>1516</v>
      </c>
      <c r="E814" s="573" t="s">
        <v>1914</v>
      </c>
      <c r="F814" s="573" t="s">
        <v>271</v>
      </c>
      <c r="G814" s="573">
        <v>2019</v>
      </c>
      <c r="H814" s="573" t="s">
        <v>1915</v>
      </c>
      <c r="I814" s="573" t="s">
        <v>1950</v>
      </c>
      <c r="J814" s="573" t="s">
        <v>236</v>
      </c>
      <c r="K814" s="573">
        <v>2</v>
      </c>
      <c r="L814" s="573">
        <v>0</v>
      </c>
      <c r="M814" s="573" t="s">
        <v>157</v>
      </c>
      <c r="N814" s="573">
        <v>1</v>
      </c>
      <c r="O814" s="573">
        <v>83.2</v>
      </c>
      <c r="P814" s="571" t="s">
        <v>157</v>
      </c>
      <c r="Q814" s="573" t="s">
        <v>1259</v>
      </c>
      <c r="R814" s="573">
        <v>6</v>
      </c>
      <c r="S814" s="582" t="s">
        <v>1964</v>
      </c>
      <c r="T814" s="573" t="s">
        <v>1894</v>
      </c>
      <c r="U814" s="573">
        <v>147.6</v>
      </c>
      <c r="V814" s="573">
        <v>25</v>
      </c>
      <c r="W814" s="616">
        <v>8600</v>
      </c>
      <c r="X814" s="617" t="s">
        <v>157</v>
      </c>
      <c r="Y814" s="617" t="s">
        <v>178</v>
      </c>
      <c r="Z814" s="617" t="s">
        <v>178</v>
      </c>
      <c r="AA814" s="618">
        <v>37425</v>
      </c>
      <c r="AB814" s="618" t="s">
        <v>164</v>
      </c>
      <c r="AC814" s="618">
        <v>25918.416666666668</v>
      </c>
      <c r="AD814" s="619">
        <v>0.03</v>
      </c>
      <c r="AE814" s="617" t="s">
        <v>1966</v>
      </c>
    </row>
    <row r="815" spans="1:31" s="572" customFormat="1">
      <c r="A815" s="570" t="s">
        <v>1967</v>
      </c>
      <c r="B815" s="569" t="s">
        <v>269</v>
      </c>
      <c r="C815" s="580" t="s">
        <v>270</v>
      </c>
      <c r="D815" s="569" t="s">
        <v>1516</v>
      </c>
      <c r="E815" s="569" t="s">
        <v>1914</v>
      </c>
      <c r="F815" s="569" t="s">
        <v>271</v>
      </c>
      <c r="G815" s="569">
        <v>2019</v>
      </c>
      <c r="H815" s="569" t="s">
        <v>1915</v>
      </c>
      <c r="I815" s="569" t="s">
        <v>1950</v>
      </c>
      <c r="J815" s="569" t="s">
        <v>236</v>
      </c>
      <c r="K815" s="569">
        <v>2</v>
      </c>
      <c r="L815" s="569">
        <v>0</v>
      </c>
      <c r="M815" s="569" t="s">
        <v>157</v>
      </c>
      <c r="N815" s="569">
        <v>1</v>
      </c>
      <c r="O815" s="569">
        <v>83.2</v>
      </c>
      <c r="P815" s="568" t="s">
        <v>157</v>
      </c>
      <c r="Q815" s="569" t="s">
        <v>682</v>
      </c>
      <c r="R815" s="569">
        <v>6</v>
      </c>
      <c r="S815" s="569" t="s">
        <v>1964</v>
      </c>
      <c r="T815" s="569" t="s">
        <v>1894</v>
      </c>
      <c r="U815" s="569">
        <v>147.6</v>
      </c>
      <c r="V815" s="569">
        <v>25</v>
      </c>
      <c r="W815" s="620">
        <v>8600</v>
      </c>
      <c r="X815" s="621" t="s">
        <v>157</v>
      </c>
      <c r="Y815" s="621" t="s">
        <v>178</v>
      </c>
      <c r="Z815" s="621" t="s">
        <v>178</v>
      </c>
      <c r="AA815" s="622">
        <v>35560</v>
      </c>
      <c r="AB815" s="622" t="s">
        <v>164</v>
      </c>
      <c r="AC815" s="622">
        <v>24262.166666666668</v>
      </c>
      <c r="AD815" s="623">
        <v>0.03</v>
      </c>
      <c r="AE815" s="621" t="s">
        <v>1968</v>
      </c>
    </row>
    <row r="816" spans="1:31" s="572" customFormat="1">
      <c r="A816" s="570" t="s">
        <v>1969</v>
      </c>
      <c r="B816" s="573" t="s">
        <v>269</v>
      </c>
      <c r="C816" s="578" t="s">
        <v>270</v>
      </c>
      <c r="D816" s="573" t="s">
        <v>1516</v>
      </c>
      <c r="E816" s="573" t="s">
        <v>1914</v>
      </c>
      <c r="F816" s="573" t="s">
        <v>271</v>
      </c>
      <c r="G816" s="573">
        <v>2019</v>
      </c>
      <c r="H816" s="573" t="s">
        <v>1915</v>
      </c>
      <c r="I816" s="573" t="s">
        <v>1950</v>
      </c>
      <c r="J816" s="573" t="s">
        <v>236</v>
      </c>
      <c r="K816" s="573">
        <v>2</v>
      </c>
      <c r="L816" s="573">
        <v>0</v>
      </c>
      <c r="M816" s="573" t="s">
        <v>157</v>
      </c>
      <c r="N816" s="573">
        <v>1</v>
      </c>
      <c r="O816" s="573">
        <v>83.6</v>
      </c>
      <c r="P816" s="571" t="s">
        <v>157</v>
      </c>
      <c r="Q816" s="573" t="s">
        <v>1917</v>
      </c>
      <c r="R816" s="573">
        <v>5</v>
      </c>
      <c r="S816" s="582" t="s">
        <v>1971</v>
      </c>
      <c r="T816" s="573" t="s">
        <v>1894</v>
      </c>
      <c r="U816" s="573">
        <v>129.9</v>
      </c>
      <c r="V816" s="573">
        <v>25</v>
      </c>
      <c r="W816" s="616">
        <v>8600</v>
      </c>
      <c r="X816" s="617" t="s">
        <v>157</v>
      </c>
      <c r="Y816" s="617" t="s">
        <v>728</v>
      </c>
      <c r="Z816" s="617" t="s">
        <v>1523</v>
      </c>
      <c r="AA816" s="618">
        <v>38675</v>
      </c>
      <c r="AB816" s="618" t="s">
        <v>164</v>
      </c>
      <c r="AC816" s="618">
        <v>27008.583333333332</v>
      </c>
      <c r="AD816" s="619">
        <v>0.03</v>
      </c>
      <c r="AE816" s="617" t="s">
        <v>1970</v>
      </c>
    </row>
    <row r="817" spans="1:31" s="572" customFormat="1">
      <c r="A817" s="570" t="s">
        <v>1972</v>
      </c>
      <c r="B817" s="569" t="s">
        <v>269</v>
      </c>
      <c r="C817" s="580" t="s">
        <v>270</v>
      </c>
      <c r="D817" s="569" t="s">
        <v>1516</v>
      </c>
      <c r="E817" s="569" t="s">
        <v>1914</v>
      </c>
      <c r="F817" s="569" t="s">
        <v>271</v>
      </c>
      <c r="G817" s="569">
        <v>2019</v>
      </c>
      <c r="H817" s="569" t="s">
        <v>1915</v>
      </c>
      <c r="I817" s="569" t="s">
        <v>1950</v>
      </c>
      <c r="J817" s="569" t="s">
        <v>236</v>
      </c>
      <c r="K817" s="569">
        <v>2</v>
      </c>
      <c r="L817" s="569">
        <v>0</v>
      </c>
      <c r="M817" s="569" t="s">
        <v>157</v>
      </c>
      <c r="N817" s="569">
        <v>1</v>
      </c>
      <c r="O817" s="569">
        <v>83.6</v>
      </c>
      <c r="P817" s="568" t="s">
        <v>157</v>
      </c>
      <c r="Q817" s="569" t="s">
        <v>1259</v>
      </c>
      <c r="R817" s="569">
        <v>6</v>
      </c>
      <c r="S817" s="569" t="s">
        <v>1971</v>
      </c>
      <c r="T817" s="569" t="s">
        <v>1894</v>
      </c>
      <c r="U817" s="569">
        <v>129.9</v>
      </c>
      <c r="V817" s="569">
        <v>25</v>
      </c>
      <c r="W817" s="620">
        <v>8600</v>
      </c>
      <c r="X817" s="621" t="s">
        <v>157</v>
      </c>
      <c r="Y817" s="621" t="s">
        <v>178</v>
      </c>
      <c r="Z817" s="621" t="s">
        <v>178</v>
      </c>
      <c r="AA817" s="622">
        <v>36545</v>
      </c>
      <c r="AB817" s="622" t="s">
        <v>164</v>
      </c>
      <c r="AC817" s="622">
        <v>25115.291666666668</v>
      </c>
      <c r="AD817" s="623">
        <v>0.03</v>
      </c>
      <c r="AE817" s="621" t="s">
        <v>1973</v>
      </c>
    </row>
    <row r="818" spans="1:31" s="572" customFormat="1">
      <c r="A818" s="570" t="s">
        <v>1974</v>
      </c>
      <c r="B818" s="573" t="s">
        <v>269</v>
      </c>
      <c r="C818" s="578" t="s">
        <v>270</v>
      </c>
      <c r="D818" s="573" t="s">
        <v>1516</v>
      </c>
      <c r="E818" s="573" t="s">
        <v>1914</v>
      </c>
      <c r="F818" s="573" t="s">
        <v>271</v>
      </c>
      <c r="G818" s="573">
        <v>2019</v>
      </c>
      <c r="H818" s="573" t="s">
        <v>1915</v>
      </c>
      <c r="I818" s="573" t="s">
        <v>1950</v>
      </c>
      <c r="J818" s="573" t="s">
        <v>236</v>
      </c>
      <c r="K818" s="573">
        <v>2</v>
      </c>
      <c r="L818" s="573">
        <v>0</v>
      </c>
      <c r="M818" s="573" t="s">
        <v>157</v>
      </c>
      <c r="N818" s="573">
        <v>1</v>
      </c>
      <c r="O818" s="573">
        <v>83.6</v>
      </c>
      <c r="P818" s="571" t="s">
        <v>157</v>
      </c>
      <c r="Q818" s="573" t="s">
        <v>682</v>
      </c>
      <c r="R818" s="573">
        <v>6</v>
      </c>
      <c r="S818" s="582" t="s">
        <v>1971</v>
      </c>
      <c r="T818" s="573" t="s">
        <v>1894</v>
      </c>
      <c r="U818" s="573">
        <v>129.9</v>
      </c>
      <c r="V818" s="573">
        <v>25</v>
      </c>
      <c r="W818" s="616">
        <v>8600</v>
      </c>
      <c r="X818" s="617" t="s">
        <v>157</v>
      </c>
      <c r="Y818" s="617" t="s">
        <v>178</v>
      </c>
      <c r="Z818" s="617" t="s">
        <v>178</v>
      </c>
      <c r="AA818" s="618">
        <v>34680</v>
      </c>
      <c r="AB818" s="618" t="s">
        <v>164</v>
      </c>
      <c r="AC818" s="618">
        <v>23459.041666666668</v>
      </c>
      <c r="AD818" s="619">
        <v>0.03</v>
      </c>
      <c r="AE818" s="617" t="s">
        <v>1975</v>
      </c>
    </row>
    <row r="819" spans="1:31" s="572" customFormat="1">
      <c r="A819" s="570" t="s">
        <v>1976</v>
      </c>
      <c r="B819" s="569" t="s">
        <v>278</v>
      </c>
      <c r="C819" s="580">
        <v>15</v>
      </c>
      <c r="D819" s="569" t="s">
        <v>1516</v>
      </c>
      <c r="E819" s="569" t="s">
        <v>1914</v>
      </c>
      <c r="F819" s="569" t="s">
        <v>271</v>
      </c>
      <c r="G819" s="569">
        <v>2019</v>
      </c>
      <c r="H819" s="569" t="s">
        <v>1915</v>
      </c>
      <c r="I819" s="569" t="s">
        <v>1950</v>
      </c>
      <c r="J819" s="569" t="s">
        <v>236</v>
      </c>
      <c r="K819" s="569">
        <v>2</v>
      </c>
      <c r="L819" s="569">
        <v>0</v>
      </c>
      <c r="M819" s="569" t="s">
        <v>157</v>
      </c>
      <c r="N819" s="569">
        <v>1</v>
      </c>
      <c r="O819" s="569">
        <v>100.7</v>
      </c>
      <c r="P819" s="568" t="s">
        <v>157</v>
      </c>
      <c r="Q819" s="569" t="s">
        <v>1917</v>
      </c>
      <c r="R819" s="569">
        <v>5</v>
      </c>
      <c r="S819" s="569" t="s">
        <v>1893</v>
      </c>
      <c r="T819" s="569" t="s">
        <v>1894</v>
      </c>
      <c r="U819" s="569">
        <v>147.6</v>
      </c>
      <c r="V819" s="569">
        <v>25</v>
      </c>
      <c r="W819" s="620">
        <v>8600</v>
      </c>
      <c r="X819" s="621" t="s">
        <v>157</v>
      </c>
      <c r="Y819" s="621" t="s">
        <v>728</v>
      </c>
      <c r="Z819" s="621" t="s">
        <v>1523</v>
      </c>
      <c r="AA819" s="622">
        <v>40705</v>
      </c>
      <c r="AB819" s="622" t="s">
        <v>164</v>
      </c>
      <c r="AC819" s="622">
        <v>31500</v>
      </c>
      <c r="AD819" s="623">
        <v>0.01</v>
      </c>
      <c r="AE819" s="621" t="s">
        <v>1949</v>
      </c>
    </row>
    <row r="820" spans="1:31" s="572" customFormat="1">
      <c r="A820" s="570" t="s">
        <v>1977</v>
      </c>
      <c r="B820" s="573" t="s">
        <v>278</v>
      </c>
      <c r="C820" s="578">
        <v>15</v>
      </c>
      <c r="D820" s="573" t="s">
        <v>1516</v>
      </c>
      <c r="E820" s="573" t="s">
        <v>1914</v>
      </c>
      <c r="F820" s="573" t="s">
        <v>271</v>
      </c>
      <c r="G820" s="573">
        <v>2019</v>
      </c>
      <c r="H820" s="573" t="s">
        <v>1915</v>
      </c>
      <c r="I820" s="573" t="s">
        <v>1950</v>
      </c>
      <c r="J820" s="573" t="s">
        <v>236</v>
      </c>
      <c r="K820" s="573">
        <v>2</v>
      </c>
      <c r="L820" s="573">
        <v>0</v>
      </c>
      <c r="M820" s="573" t="s">
        <v>157</v>
      </c>
      <c r="N820" s="573">
        <v>1</v>
      </c>
      <c r="O820" s="573">
        <v>100.7</v>
      </c>
      <c r="P820" s="571" t="s">
        <v>157</v>
      </c>
      <c r="Q820" s="573" t="s">
        <v>1259</v>
      </c>
      <c r="R820" s="573">
        <v>6</v>
      </c>
      <c r="S820" s="582" t="s">
        <v>1893</v>
      </c>
      <c r="T820" s="573" t="s">
        <v>1894</v>
      </c>
      <c r="U820" s="573">
        <v>147.6</v>
      </c>
      <c r="V820" s="573">
        <v>25</v>
      </c>
      <c r="W820" s="616">
        <v>8600</v>
      </c>
      <c r="X820" s="617" t="s">
        <v>157</v>
      </c>
      <c r="Y820" s="617" t="s">
        <v>178</v>
      </c>
      <c r="Z820" s="617" t="s">
        <v>178</v>
      </c>
      <c r="AA820" s="618">
        <v>38575</v>
      </c>
      <c r="AB820" s="618" t="s">
        <v>164</v>
      </c>
      <c r="AC820" s="618">
        <v>29600</v>
      </c>
      <c r="AD820" s="619">
        <v>0.01</v>
      </c>
      <c r="AE820" s="617" t="s">
        <v>1952</v>
      </c>
    </row>
    <row r="821" spans="1:31" s="572" customFormat="1">
      <c r="A821" s="570" t="s">
        <v>1978</v>
      </c>
      <c r="B821" s="569" t="s">
        <v>278</v>
      </c>
      <c r="C821" s="580">
        <v>15</v>
      </c>
      <c r="D821" s="569" t="s">
        <v>1516</v>
      </c>
      <c r="E821" s="569" t="s">
        <v>1914</v>
      </c>
      <c r="F821" s="569" t="s">
        <v>271</v>
      </c>
      <c r="G821" s="569">
        <v>2019</v>
      </c>
      <c r="H821" s="569" t="s">
        <v>1915</v>
      </c>
      <c r="I821" s="569" t="s">
        <v>1950</v>
      </c>
      <c r="J821" s="569" t="s">
        <v>236</v>
      </c>
      <c r="K821" s="569">
        <v>2</v>
      </c>
      <c r="L821" s="569">
        <v>0</v>
      </c>
      <c r="M821" s="569" t="s">
        <v>157</v>
      </c>
      <c r="N821" s="569">
        <v>1</v>
      </c>
      <c r="O821" s="569">
        <v>100.7</v>
      </c>
      <c r="P821" s="568" t="s">
        <v>157</v>
      </c>
      <c r="Q821" s="569" t="s">
        <v>682</v>
      </c>
      <c r="R821" s="569">
        <v>6</v>
      </c>
      <c r="S821" s="569" t="s">
        <v>1893</v>
      </c>
      <c r="T821" s="569" t="s">
        <v>1894</v>
      </c>
      <c r="U821" s="569">
        <v>147.6</v>
      </c>
      <c r="V821" s="569">
        <v>25</v>
      </c>
      <c r="W821" s="620">
        <v>8600</v>
      </c>
      <c r="X821" s="621" t="s">
        <v>157</v>
      </c>
      <c r="Y821" s="621" t="s">
        <v>178</v>
      </c>
      <c r="Z821" s="621" t="s">
        <v>178</v>
      </c>
      <c r="AA821" s="622">
        <v>36710</v>
      </c>
      <c r="AB821" s="622" t="s">
        <v>164</v>
      </c>
      <c r="AC821" s="622">
        <v>27900</v>
      </c>
      <c r="AD821" s="623">
        <v>0.01</v>
      </c>
      <c r="AE821" s="621" t="s">
        <v>1954</v>
      </c>
    </row>
    <row r="822" spans="1:31" s="572" customFormat="1">
      <c r="A822" s="570" t="s">
        <v>1979</v>
      </c>
      <c r="B822" s="573" t="s">
        <v>278</v>
      </c>
      <c r="C822" s="578">
        <v>15</v>
      </c>
      <c r="D822" s="573" t="s">
        <v>1516</v>
      </c>
      <c r="E822" s="573" t="s">
        <v>1914</v>
      </c>
      <c r="F822" s="573" t="s">
        <v>271</v>
      </c>
      <c r="G822" s="573">
        <v>2019</v>
      </c>
      <c r="H822" s="573" t="s">
        <v>1915</v>
      </c>
      <c r="I822" s="573" t="s">
        <v>1950</v>
      </c>
      <c r="J822" s="573" t="s">
        <v>236</v>
      </c>
      <c r="K822" s="573">
        <v>2</v>
      </c>
      <c r="L822" s="573">
        <v>0</v>
      </c>
      <c r="M822" s="573" t="s">
        <v>157</v>
      </c>
      <c r="N822" s="573">
        <v>1</v>
      </c>
      <c r="O822" s="573">
        <v>100.8</v>
      </c>
      <c r="P822" s="571" t="s">
        <v>157</v>
      </c>
      <c r="Q822" s="573" t="s">
        <v>1917</v>
      </c>
      <c r="R822" s="573">
        <v>5</v>
      </c>
      <c r="S822" s="582" t="s">
        <v>1957</v>
      </c>
      <c r="T822" s="573" t="s">
        <v>1894</v>
      </c>
      <c r="U822" s="573">
        <v>129.9</v>
      </c>
      <c r="V822" s="573">
        <v>25</v>
      </c>
      <c r="W822" s="616">
        <v>8600</v>
      </c>
      <c r="X822" s="617" t="s">
        <v>157</v>
      </c>
      <c r="Y822" s="617" t="s">
        <v>728</v>
      </c>
      <c r="Z822" s="617" t="s">
        <v>1523</v>
      </c>
      <c r="AA822" s="618">
        <v>38980</v>
      </c>
      <c r="AB822" s="618" t="s">
        <v>164</v>
      </c>
      <c r="AC822" s="618">
        <v>29900</v>
      </c>
      <c r="AD822" s="619">
        <v>0.01</v>
      </c>
      <c r="AE822" s="617" t="s">
        <v>1956</v>
      </c>
    </row>
    <row r="823" spans="1:31" s="572" customFormat="1">
      <c r="A823" s="570" t="s">
        <v>1980</v>
      </c>
      <c r="B823" s="569" t="s">
        <v>278</v>
      </c>
      <c r="C823" s="580">
        <v>15</v>
      </c>
      <c r="D823" s="569" t="s">
        <v>1516</v>
      </c>
      <c r="E823" s="569" t="s">
        <v>1914</v>
      </c>
      <c r="F823" s="569" t="s">
        <v>271</v>
      </c>
      <c r="G823" s="569">
        <v>2019</v>
      </c>
      <c r="H823" s="569" t="s">
        <v>1915</v>
      </c>
      <c r="I823" s="569" t="s">
        <v>1950</v>
      </c>
      <c r="J823" s="569" t="s">
        <v>236</v>
      </c>
      <c r="K823" s="569">
        <v>2</v>
      </c>
      <c r="L823" s="569">
        <v>0</v>
      </c>
      <c r="M823" s="569" t="s">
        <v>157</v>
      </c>
      <c r="N823" s="569">
        <v>1</v>
      </c>
      <c r="O823" s="569">
        <v>100.8</v>
      </c>
      <c r="P823" s="568" t="s">
        <v>157</v>
      </c>
      <c r="Q823" s="569" t="s">
        <v>1259</v>
      </c>
      <c r="R823" s="569">
        <v>6</v>
      </c>
      <c r="S823" s="569" t="s">
        <v>1957</v>
      </c>
      <c r="T823" s="569" t="s">
        <v>1894</v>
      </c>
      <c r="U823" s="569">
        <v>129.9</v>
      </c>
      <c r="V823" s="569">
        <v>25</v>
      </c>
      <c r="W823" s="620">
        <v>8600</v>
      </c>
      <c r="X823" s="621" t="s">
        <v>157</v>
      </c>
      <c r="Y823" s="621" t="s">
        <v>178</v>
      </c>
      <c r="Z823" s="621" t="s">
        <v>178</v>
      </c>
      <c r="AA823" s="622">
        <v>36850</v>
      </c>
      <c r="AB823" s="622" t="s">
        <v>164</v>
      </c>
      <c r="AC823" s="622">
        <v>27950</v>
      </c>
      <c r="AD823" s="623">
        <v>0.01</v>
      </c>
      <c r="AE823" s="621" t="s">
        <v>1959</v>
      </c>
    </row>
    <row r="824" spans="1:31" s="572" customFormat="1">
      <c r="A824" s="570" t="s">
        <v>1981</v>
      </c>
      <c r="B824" s="573" t="s">
        <v>278</v>
      </c>
      <c r="C824" s="578">
        <v>15</v>
      </c>
      <c r="D824" s="573" t="s">
        <v>1516</v>
      </c>
      <c r="E824" s="573" t="s">
        <v>1914</v>
      </c>
      <c r="F824" s="573" t="s">
        <v>271</v>
      </c>
      <c r="G824" s="573">
        <v>2019</v>
      </c>
      <c r="H824" s="573" t="s">
        <v>1915</v>
      </c>
      <c r="I824" s="573" t="s">
        <v>1950</v>
      </c>
      <c r="J824" s="573" t="s">
        <v>236</v>
      </c>
      <c r="K824" s="573">
        <v>2</v>
      </c>
      <c r="L824" s="573">
        <v>0</v>
      </c>
      <c r="M824" s="573" t="s">
        <v>157</v>
      </c>
      <c r="N824" s="573">
        <v>1</v>
      </c>
      <c r="O824" s="573">
        <v>100.8</v>
      </c>
      <c r="P824" s="571" t="s">
        <v>157</v>
      </c>
      <c r="Q824" s="573" t="s">
        <v>682</v>
      </c>
      <c r="R824" s="573">
        <v>6</v>
      </c>
      <c r="S824" s="582" t="s">
        <v>1957</v>
      </c>
      <c r="T824" s="573" t="s">
        <v>1894</v>
      </c>
      <c r="U824" s="573">
        <v>129.9</v>
      </c>
      <c r="V824" s="573">
        <v>25</v>
      </c>
      <c r="W824" s="616">
        <v>8600</v>
      </c>
      <c r="X824" s="617" t="s">
        <v>157</v>
      </c>
      <c r="Y824" s="617" t="s">
        <v>178</v>
      </c>
      <c r="Z824" s="617" t="s">
        <v>178</v>
      </c>
      <c r="AA824" s="618">
        <v>34985</v>
      </c>
      <c r="AB824" s="618" t="s">
        <v>164</v>
      </c>
      <c r="AC824" s="618">
        <v>26300</v>
      </c>
      <c r="AD824" s="619">
        <v>0.01</v>
      </c>
      <c r="AE824" s="617" t="s">
        <v>1961</v>
      </c>
    </row>
    <row r="825" spans="1:31" s="572" customFormat="1">
      <c r="A825" s="570" t="s">
        <v>1982</v>
      </c>
      <c r="B825" s="569" t="s">
        <v>278</v>
      </c>
      <c r="C825" s="580">
        <v>15</v>
      </c>
      <c r="D825" s="569" t="s">
        <v>1516</v>
      </c>
      <c r="E825" s="569" t="s">
        <v>1914</v>
      </c>
      <c r="F825" s="569" t="s">
        <v>271</v>
      </c>
      <c r="G825" s="569">
        <v>2019</v>
      </c>
      <c r="H825" s="569" t="s">
        <v>1915</v>
      </c>
      <c r="I825" s="569" t="s">
        <v>1950</v>
      </c>
      <c r="J825" s="569" t="s">
        <v>236</v>
      </c>
      <c r="K825" s="569">
        <v>2</v>
      </c>
      <c r="L825" s="569">
        <v>0</v>
      </c>
      <c r="M825" s="569" t="s">
        <v>157</v>
      </c>
      <c r="N825" s="569">
        <v>1</v>
      </c>
      <c r="O825" s="569">
        <v>83.2</v>
      </c>
      <c r="P825" s="568" t="s">
        <v>157</v>
      </c>
      <c r="Q825" s="569" t="s">
        <v>1917</v>
      </c>
      <c r="R825" s="569">
        <v>5</v>
      </c>
      <c r="S825" s="569" t="s">
        <v>1964</v>
      </c>
      <c r="T825" s="569" t="s">
        <v>1894</v>
      </c>
      <c r="U825" s="569">
        <v>147.6</v>
      </c>
      <c r="V825" s="569">
        <v>25</v>
      </c>
      <c r="W825" s="620">
        <v>8600</v>
      </c>
      <c r="X825" s="621" t="s">
        <v>157</v>
      </c>
      <c r="Y825" s="621" t="s">
        <v>728</v>
      </c>
      <c r="Z825" s="621" t="s">
        <v>1523</v>
      </c>
      <c r="AA825" s="622">
        <v>39555</v>
      </c>
      <c r="AB825" s="622" t="s">
        <v>164</v>
      </c>
      <c r="AC825" s="622">
        <v>28300</v>
      </c>
      <c r="AD825" s="623">
        <v>0.01</v>
      </c>
      <c r="AE825" s="621" t="s">
        <v>1963</v>
      </c>
    </row>
    <row r="826" spans="1:31" s="572" customFormat="1">
      <c r="A826" s="570" t="s">
        <v>1983</v>
      </c>
      <c r="B826" s="573" t="s">
        <v>278</v>
      </c>
      <c r="C826" s="578">
        <v>15</v>
      </c>
      <c r="D826" s="573" t="s">
        <v>1516</v>
      </c>
      <c r="E826" s="573" t="s">
        <v>1914</v>
      </c>
      <c r="F826" s="573" t="s">
        <v>271</v>
      </c>
      <c r="G826" s="573">
        <v>2019</v>
      </c>
      <c r="H826" s="573" t="s">
        <v>1915</v>
      </c>
      <c r="I826" s="573" t="s">
        <v>1950</v>
      </c>
      <c r="J826" s="573" t="s">
        <v>236</v>
      </c>
      <c r="K826" s="573">
        <v>2</v>
      </c>
      <c r="L826" s="573">
        <v>0</v>
      </c>
      <c r="M826" s="573" t="s">
        <v>157</v>
      </c>
      <c r="N826" s="573">
        <v>1</v>
      </c>
      <c r="O826" s="573">
        <v>83.2</v>
      </c>
      <c r="P826" s="571" t="s">
        <v>157</v>
      </c>
      <c r="Q826" s="573" t="s">
        <v>1259</v>
      </c>
      <c r="R826" s="573">
        <v>6</v>
      </c>
      <c r="S826" s="582" t="s">
        <v>1964</v>
      </c>
      <c r="T826" s="573" t="s">
        <v>1894</v>
      </c>
      <c r="U826" s="573">
        <v>147.6</v>
      </c>
      <c r="V826" s="573">
        <v>25</v>
      </c>
      <c r="W826" s="616">
        <v>8600</v>
      </c>
      <c r="X826" s="617" t="s">
        <v>157</v>
      </c>
      <c r="Y826" s="617" t="s">
        <v>178</v>
      </c>
      <c r="Z826" s="617" t="s">
        <v>178</v>
      </c>
      <c r="AA826" s="618">
        <v>37425</v>
      </c>
      <c r="AB826" s="618" t="s">
        <v>164</v>
      </c>
      <c r="AC826" s="618">
        <v>26400</v>
      </c>
      <c r="AD826" s="619">
        <v>0.01</v>
      </c>
      <c r="AE826" s="617" t="s">
        <v>1966</v>
      </c>
    </row>
    <row r="827" spans="1:31" s="572" customFormat="1">
      <c r="A827" s="570" t="s">
        <v>1984</v>
      </c>
      <c r="B827" s="569" t="s">
        <v>278</v>
      </c>
      <c r="C827" s="580">
        <v>15</v>
      </c>
      <c r="D827" s="569" t="s">
        <v>1516</v>
      </c>
      <c r="E827" s="569" t="s">
        <v>1914</v>
      </c>
      <c r="F827" s="569" t="s">
        <v>271</v>
      </c>
      <c r="G827" s="569">
        <v>2019</v>
      </c>
      <c r="H827" s="569" t="s">
        <v>1915</v>
      </c>
      <c r="I827" s="569" t="s">
        <v>1950</v>
      </c>
      <c r="J827" s="569" t="s">
        <v>236</v>
      </c>
      <c r="K827" s="569">
        <v>2</v>
      </c>
      <c r="L827" s="569">
        <v>0</v>
      </c>
      <c r="M827" s="569" t="s">
        <v>157</v>
      </c>
      <c r="N827" s="569">
        <v>1</v>
      </c>
      <c r="O827" s="569">
        <v>83.2</v>
      </c>
      <c r="P827" s="568" t="s">
        <v>157</v>
      </c>
      <c r="Q827" s="569" t="s">
        <v>682</v>
      </c>
      <c r="R827" s="569">
        <v>6</v>
      </c>
      <c r="S827" s="569" t="s">
        <v>1964</v>
      </c>
      <c r="T827" s="569" t="s">
        <v>1894</v>
      </c>
      <c r="U827" s="569">
        <v>147.6</v>
      </c>
      <c r="V827" s="569">
        <v>25</v>
      </c>
      <c r="W827" s="620">
        <v>8600</v>
      </c>
      <c r="X827" s="621" t="s">
        <v>157</v>
      </c>
      <c r="Y827" s="621" t="s">
        <v>178</v>
      </c>
      <c r="Z827" s="621" t="s">
        <v>178</v>
      </c>
      <c r="AA827" s="622">
        <v>35560</v>
      </c>
      <c r="AB827" s="622" t="s">
        <v>164</v>
      </c>
      <c r="AC827" s="622">
        <v>24700</v>
      </c>
      <c r="AD827" s="623">
        <v>0.01</v>
      </c>
      <c r="AE827" s="621" t="s">
        <v>1968</v>
      </c>
    </row>
    <row r="828" spans="1:31" s="572" customFormat="1">
      <c r="A828" s="570" t="s">
        <v>1985</v>
      </c>
      <c r="B828" s="573" t="s">
        <v>278</v>
      </c>
      <c r="C828" s="578">
        <v>15</v>
      </c>
      <c r="D828" s="573" t="s">
        <v>1516</v>
      </c>
      <c r="E828" s="573" t="s">
        <v>1914</v>
      </c>
      <c r="F828" s="573" t="s">
        <v>271</v>
      </c>
      <c r="G828" s="573">
        <v>2019</v>
      </c>
      <c r="H828" s="573" t="s">
        <v>1915</v>
      </c>
      <c r="I828" s="573" t="s">
        <v>1950</v>
      </c>
      <c r="J828" s="573" t="s">
        <v>236</v>
      </c>
      <c r="K828" s="573">
        <v>2</v>
      </c>
      <c r="L828" s="573">
        <v>0</v>
      </c>
      <c r="M828" s="573" t="s">
        <v>157</v>
      </c>
      <c r="N828" s="573">
        <v>1</v>
      </c>
      <c r="O828" s="573">
        <v>83.6</v>
      </c>
      <c r="P828" s="571" t="s">
        <v>157</v>
      </c>
      <c r="Q828" s="573" t="s">
        <v>1917</v>
      </c>
      <c r="R828" s="573">
        <v>5</v>
      </c>
      <c r="S828" s="582" t="s">
        <v>1971</v>
      </c>
      <c r="T828" s="573" t="s">
        <v>1894</v>
      </c>
      <c r="U828" s="573">
        <v>129.9</v>
      </c>
      <c r="V828" s="573">
        <v>25</v>
      </c>
      <c r="W828" s="616">
        <v>8600</v>
      </c>
      <c r="X828" s="617" t="s">
        <v>157</v>
      </c>
      <c r="Y828" s="617" t="s">
        <v>728</v>
      </c>
      <c r="Z828" s="617" t="s">
        <v>1523</v>
      </c>
      <c r="AA828" s="618">
        <v>38675</v>
      </c>
      <c r="AB828" s="618" t="s">
        <v>164</v>
      </c>
      <c r="AC828" s="618">
        <v>27500</v>
      </c>
      <c r="AD828" s="619">
        <v>0.01</v>
      </c>
      <c r="AE828" s="617" t="s">
        <v>1970</v>
      </c>
    </row>
    <row r="829" spans="1:31" s="572" customFormat="1">
      <c r="A829" s="570" t="s">
        <v>1986</v>
      </c>
      <c r="B829" s="569" t="s">
        <v>278</v>
      </c>
      <c r="C829" s="580">
        <v>15</v>
      </c>
      <c r="D829" s="569" t="s">
        <v>1516</v>
      </c>
      <c r="E829" s="569" t="s">
        <v>1914</v>
      </c>
      <c r="F829" s="569" t="s">
        <v>271</v>
      </c>
      <c r="G829" s="569">
        <v>2019</v>
      </c>
      <c r="H829" s="569" t="s">
        <v>1915</v>
      </c>
      <c r="I829" s="569" t="s">
        <v>1950</v>
      </c>
      <c r="J829" s="569" t="s">
        <v>236</v>
      </c>
      <c r="K829" s="569">
        <v>2</v>
      </c>
      <c r="L829" s="569">
        <v>0</v>
      </c>
      <c r="M829" s="569" t="s">
        <v>157</v>
      </c>
      <c r="N829" s="569">
        <v>1</v>
      </c>
      <c r="O829" s="569">
        <v>83.6</v>
      </c>
      <c r="P829" s="568" t="s">
        <v>157</v>
      </c>
      <c r="Q829" s="569" t="s">
        <v>1259</v>
      </c>
      <c r="R829" s="569">
        <v>6</v>
      </c>
      <c r="S829" s="569" t="s">
        <v>1971</v>
      </c>
      <c r="T829" s="569" t="s">
        <v>1894</v>
      </c>
      <c r="U829" s="569">
        <v>129.9</v>
      </c>
      <c r="V829" s="569">
        <v>25</v>
      </c>
      <c r="W829" s="620">
        <v>8600</v>
      </c>
      <c r="X829" s="621" t="s">
        <v>157</v>
      </c>
      <c r="Y829" s="621" t="s">
        <v>178</v>
      </c>
      <c r="Z829" s="621" t="s">
        <v>178</v>
      </c>
      <c r="AA829" s="622">
        <v>36545</v>
      </c>
      <c r="AB829" s="622" t="s">
        <v>164</v>
      </c>
      <c r="AC829" s="622">
        <v>25600</v>
      </c>
      <c r="AD829" s="623">
        <v>0.01</v>
      </c>
      <c r="AE829" s="621" t="s">
        <v>1973</v>
      </c>
    </row>
    <row r="830" spans="1:31" s="572" customFormat="1">
      <c r="A830" s="570" t="s">
        <v>1987</v>
      </c>
      <c r="B830" s="573" t="s">
        <v>278</v>
      </c>
      <c r="C830" s="578">
        <v>15</v>
      </c>
      <c r="D830" s="573" t="s">
        <v>1516</v>
      </c>
      <c r="E830" s="573" t="s">
        <v>1914</v>
      </c>
      <c r="F830" s="573" t="s">
        <v>271</v>
      </c>
      <c r="G830" s="573">
        <v>2019</v>
      </c>
      <c r="H830" s="573" t="s">
        <v>1915</v>
      </c>
      <c r="I830" s="573" t="s">
        <v>1950</v>
      </c>
      <c r="J830" s="573" t="s">
        <v>236</v>
      </c>
      <c r="K830" s="573">
        <v>2</v>
      </c>
      <c r="L830" s="573">
        <v>0</v>
      </c>
      <c r="M830" s="573" t="s">
        <v>157</v>
      </c>
      <c r="N830" s="573">
        <v>1</v>
      </c>
      <c r="O830" s="573">
        <v>83.6</v>
      </c>
      <c r="P830" s="571" t="s">
        <v>157</v>
      </c>
      <c r="Q830" s="573" t="s">
        <v>682</v>
      </c>
      <c r="R830" s="573">
        <v>6</v>
      </c>
      <c r="S830" s="582" t="s">
        <v>1971</v>
      </c>
      <c r="T830" s="573" t="s">
        <v>1894</v>
      </c>
      <c r="U830" s="573">
        <v>129.9</v>
      </c>
      <c r="V830" s="573">
        <v>25</v>
      </c>
      <c r="W830" s="616">
        <v>8600</v>
      </c>
      <c r="X830" s="617" t="s">
        <v>157</v>
      </c>
      <c r="Y830" s="617" t="s">
        <v>178</v>
      </c>
      <c r="Z830" s="617" t="s">
        <v>178</v>
      </c>
      <c r="AA830" s="618">
        <v>34680</v>
      </c>
      <c r="AB830" s="618" t="s">
        <v>164</v>
      </c>
      <c r="AC830" s="618">
        <v>23850</v>
      </c>
      <c r="AD830" s="619">
        <v>0.01</v>
      </c>
      <c r="AE830" s="617" t="s">
        <v>1975</v>
      </c>
    </row>
    <row r="831" spans="1:31" s="572" customFormat="1">
      <c r="A831" s="570" t="s">
        <v>1988</v>
      </c>
      <c r="B831" s="569" t="s">
        <v>287</v>
      </c>
      <c r="C831" s="580">
        <v>26</v>
      </c>
      <c r="D831" s="569" t="s">
        <v>1516</v>
      </c>
      <c r="E831" s="569" t="s">
        <v>1914</v>
      </c>
      <c r="F831" s="569" t="s">
        <v>271</v>
      </c>
      <c r="G831" s="569">
        <v>2019</v>
      </c>
      <c r="H831" s="569" t="s">
        <v>1915</v>
      </c>
      <c r="I831" s="569" t="s">
        <v>1950</v>
      </c>
      <c r="J831" s="569" t="s">
        <v>236</v>
      </c>
      <c r="K831" s="569">
        <v>2</v>
      </c>
      <c r="L831" s="569">
        <v>0</v>
      </c>
      <c r="M831" s="569" t="s">
        <v>157</v>
      </c>
      <c r="N831" s="569">
        <v>1</v>
      </c>
      <c r="O831" s="569">
        <v>100.7</v>
      </c>
      <c r="P831" s="568" t="s">
        <v>157</v>
      </c>
      <c r="Q831" s="569" t="s">
        <v>1917</v>
      </c>
      <c r="R831" s="569">
        <v>5</v>
      </c>
      <c r="S831" s="569" t="s">
        <v>1893</v>
      </c>
      <c r="T831" s="569" t="s">
        <v>1894</v>
      </c>
      <c r="U831" s="569">
        <v>147.6</v>
      </c>
      <c r="V831" s="569">
        <v>25</v>
      </c>
      <c r="W831" s="620">
        <v>8600</v>
      </c>
      <c r="X831" s="621" t="s">
        <v>157</v>
      </c>
      <c r="Y831" s="621" t="s">
        <v>728</v>
      </c>
      <c r="Z831" s="621" t="s">
        <v>1523</v>
      </c>
      <c r="AA831" s="622">
        <v>40705</v>
      </c>
      <c r="AB831" s="622" t="s">
        <v>164</v>
      </c>
      <c r="AC831" s="622">
        <v>31244</v>
      </c>
      <c r="AD831" s="623">
        <v>0.05</v>
      </c>
      <c r="AE831" s="621" t="s">
        <v>1949</v>
      </c>
    </row>
    <row r="832" spans="1:31" s="572" customFormat="1">
      <c r="A832" s="570" t="s">
        <v>1989</v>
      </c>
      <c r="B832" s="573" t="s">
        <v>287</v>
      </c>
      <c r="C832" s="578">
        <v>26</v>
      </c>
      <c r="D832" s="573" t="s">
        <v>1516</v>
      </c>
      <c r="E832" s="573" t="s">
        <v>1914</v>
      </c>
      <c r="F832" s="573" t="s">
        <v>271</v>
      </c>
      <c r="G832" s="573">
        <v>2019</v>
      </c>
      <c r="H832" s="573" t="s">
        <v>1915</v>
      </c>
      <c r="I832" s="573" t="s">
        <v>1950</v>
      </c>
      <c r="J832" s="573" t="s">
        <v>236</v>
      </c>
      <c r="K832" s="573">
        <v>2</v>
      </c>
      <c r="L832" s="573">
        <v>0</v>
      </c>
      <c r="M832" s="573" t="s">
        <v>157</v>
      </c>
      <c r="N832" s="573">
        <v>1</v>
      </c>
      <c r="O832" s="573">
        <v>100.7</v>
      </c>
      <c r="P832" s="571" t="s">
        <v>157</v>
      </c>
      <c r="Q832" s="573" t="s">
        <v>1259</v>
      </c>
      <c r="R832" s="573">
        <v>6</v>
      </c>
      <c r="S832" s="582" t="s">
        <v>1893</v>
      </c>
      <c r="T832" s="573" t="s">
        <v>1894</v>
      </c>
      <c r="U832" s="573">
        <v>147.6</v>
      </c>
      <c r="V832" s="573">
        <v>25</v>
      </c>
      <c r="W832" s="616">
        <v>8600</v>
      </c>
      <c r="X832" s="617" t="s">
        <v>157</v>
      </c>
      <c r="Y832" s="617" t="s">
        <v>178</v>
      </c>
      <c r="Z832" s="617" t="s">
        <v>178</v>
      </c>
      <c r="AA832" s="618">
        <v>38575</v>
      </c>
      <c r="AB832" s="618" t="s">
        <v>164</v>
      </c>
      <c r="AC832" s="618">
        <v>29291</v>
      </c>
      <c r="AD832" s="619">
        <v>0.05</v>
      </c>
      <c r="AE832" s="617" t="s">
        <v>1952</v>
      </c>
    </row>
    <row r="833" spans="1:31" s="572" customFormat="1">
      <c r="A833" s="570" t="s">
        <v>1990</v>
      </c>
      <c r="B833" s="569" t="s">
        <v>287</v>
      </c>
      <c r="C833" s="580">
        <v>26</v>
      </c>
      <c r="D833" s="569" t="s">
        <v>1516</v>
      </c>
      <c r="E833" s="569" t="s">
        <v>1914</v>
      </c>
      <c r="F833" s="569" t="s">
        <v>271</v>
      </c>
      <c r="G833" s="569">
        <v>2019</v>
      </c>
      <c r="H833" s="569" t="s">
        <v>1915</v>
      </c>
      <c r="I833" s="569" t="s">
        <v>1950</v>
      </c>
      <c r="J833" s="569" t="s">
        <v>236</v>
      </c>
      <c r="K833" s="569">
        <v>2</v>
      </c>
      <c r="L833" s="569">
        <v>0</v>
      </c>
      <c r="M833" s="569" t="s">
        <v>157</v>
      </c>
      <c r="N833" s="569">
        <v>1</v>
      </c>
      <c r="O833" s="569">
        <v>100.7</v>
      </c>
      <c r="P833" s="568" t="s">
        <v>157</v>
      </c>
      <c r="Q833" s="569" t="s">
        <v>682</v>
      </c>
      <c r="R833" s="569">
        <v>6</v>
      </c>
      <c r="S833" s="569" t="s">
        <v>1893</v>
      </c>
      <c r="T833" s="569" t="s">
        <v>1894</v>
      </c>
      <c r="U833" s="569">
        <v>147.6</v>
      </c>
      <c r="V833" s="569">
        <v>25</v>
      </c>
      <c r="W833" s="620">
        <v>8600</v>
      </c>
      <c r="X833" s="621" t="s">
        <v>157</v>
      </c>
      <c r="Y833" s="621" t="s">
        <v>178</v>
      </c>
      <c r="Z833" s="621" t="s">
        <v>178</v>
      </c>
      <c r="AA833" s="622">
        <v>36710</v>
      </c>
      <c r="AB833" s="622" t="s">
        <v>164</v>
      </c>
      <c r="AC833" s="622">
        <v>27581</v>
      </c>
      <c r="AD833" s="623">
        <v>0.05</v>
      </c>
      <c r="AE833" s="621" t="s">
        <v>1954</v>
      </c>
    </row>
    <row r="834" spans="1:31" s="572" customFormat="1">
      <c r="A834" s="570" t="s">
        <v>1991</v>
      </c>
      <c r="B834" s="573" t="s">
        <v>287</v>
      </c>
      <c r="C834" s="578">
        <v>26</v>
      </c>
      <c r="D834" s="573" t="s">
        <v>1516</v>
      </c>
      <c r="E834" s="573" t="s">
        <v>1914</v>
      </c>
      <c r="F834" s="573" t="s">
        <v>271</v>
      </c>
      <c r="G834" s="573">
        <v>2019</v>
      </c>
      <c r="H834" s="573" t="s">
        <v>1915</v>
      </c>
      <c r="I834" s="573" t="s">
        <v>1950</v>
      </c>
      <c r="J834" s="573" t="s">
        <v>236</v>
      </c>
      <c r="K834" s="573">
        <v>2</v>
      </c>
      <c r="L834" s="573">
        <v>0</v>
      </c>
      <c r="M834" s="573" t="s">
        <v>157</v>
      </c>
      <c r="N834" s="573">
        <v>1</v>
      </c>
      <c r="O834" s="573">
        <v>100.8</v>
      </c>
      <c r="P834" s="571" t="s">
        <v>157</v>
      </c>
      <c r="Q834" s="573" t="s">
        <v>1917</v>
      </c>
      <c r="R834" s="573">
        <v>5</v>
      </c>
      <c r="S834" s="582" t="s">
        <v>1957</v>
      </c>
      <c r="T834" s="573" t="s">
        <v>1894</v>
      </c>
      <c r="U834" s="573">
        <v>129.9</v>
      </c>
      <c r="V834" s="573">
        <v>25</v>
      </c>
      <c r="W834" s="616">
        <v>8600</v>
      </c>
      <c r="X834" s="617" t="s">
        <v>157</v>
      </c>
      <c r="Y834" s="617" t="s">
        <v>728</v>
      </c>
      <c r="Z834" s="617" t="s">
        <v>1523</v>
      </c>
      <c r="AA834" s="618">
        <v>38980</v>
      </c>
      <c r="AB834" s="618" t="s">
        <v>164</v>
      </c>
      <c r="AC834" s="618">
        <v>30427</v>
      </c>
      <c r="AD834" s="619">
        <v>0.05</v>
      </c>
      <c r="AE834" s="617" t="s">
        <v>1956</v>
      </c>
    </row>
    <row r="835" spans="1:31" s="572" customFormat="1">
      <c r="A835" s="570" t="s">
        <v>1992</v>
      </c>
      <c r="B835" s="569" t="s">
        <v>287</v>
      </c>
      <c r="C835" s="580">
        <v>26</v>
      </c>
      <c r="D835" s="569" t="s">
        <v>1516</v>
      </c>
      <c r="E835" s="569" t="s">
        <v>1914</v>
      </c>
      <c r="F835" s="569" t="s">
        <v>271</v>
      </c>
      <c r="G835" s="569">
        <v>2019</v>
      </c>
      <c r="H835" s="569" t="s">
        <v>1915</v>
      </c>
      <c r="I835" s="569" t="s">
        <v>1950</v>
      </c>
      <c r="J835" s="569" t="s">
        <v>236</v>
      </c>
      <c r="K835" s="569">
        <v>2</v>
      </c>
      <c r="L835" s="569">
        <v>0</v>
      </c>
      <c r="M835" s="569" t="s">
        <v>157</v>
      </c>
      <c r="N835" s="569">
        <v>1</v>
      </c>
      <c r="O835" s="569">
        <v>100.8</v>
      </c>
      <c r="P835" s="568" t="s">
        <v>157</v>
      </c>
      <c r="Q835" s="569" t="s">
        <v>1259</v>
      </c>
      <c r="R835" s="569">
        <v>6</v>
      </c>
      <c r="S835" s="569" t="s">
        <v>1957</v>
      </c>
      <c r="T835" s="569" t="s">
        <v>1894</v>
      </c>
      <c r="U835" s="569">
        <v>129.9</v>
      </c>
      <c r="V835" s="569">
        <v>25</v>
      </c>
      <c r="W835" s="620">
        <v>8600</v>
      </c>
      <c r="X835" s="621" t="s">
        <v>157</v>
      </c>
      <c r="Y835" s="621" t="s">
        <v>178</v>
      </c>
      <c r="Z835" s="621" t="s">
        <v>178</v>
      </c>
      <c r="AA835" s="622">
        <v>36850</v>
      </c>
      <c r="AB835" s="622" t="s">
        <v>164</v>
      </c>
      <c r="AC835" s="622">
        <v>28473</v>
      </c>
      <c r="AD835" s="623">
        <v>0.05</v>
      </c>
      <c r="AE835" s="621" t="s">
        <v>1959</v>
      </c>
    </row>
    <row r="836" spans="1:31" s="572" customFormat="1">
      <c r="A836" s="570" t="s">
        <v>1993</v>
      </c>
      <c r="B836" s="573" t="s">
        <v>287</v>
      </c>
      <c r="C836" s="578">
        <v>26</v>
      </c>
      <c r="D836" s="573" t="s">
        <v>1516</v>
      </c>
      <c r="E836" s="573" t="s">
        <v>1914</v>
      </c>
      <c r="F836" s="573" t="s">
        <v>271</v>
      </c>
      <c r="G836" s="573">
        <v>2019</v>
      </c>
      <c r="H836" s="573" t="s">
        <v>1915</v>
      </c>
      <c r="I836" s="573" t="s">
        <v>1950</v>
      </c>
      <c r="J836" s="573" t="s">
        <v>236</v>
      </c>
      <c r="K836" s="573">
        <v>2</v>
      </c>
      <c r="L836" s="573">
        <v>0</v>
      </c>
      <c r="M836" s="573" t="s">
        <v>157</v>
      </c>
      <c r="N836" s="573">
        <v>1</v>
      </c>
      <c r="O836" s="573">
        <v>100.8</v>
      </c>
      <c r="P836" s="571" t="s">
        <v>157</v>
      </c>
      <c r="Q836" s="573" t="s">
        <v>682</v>
      </c>
      <c r="R836" s="573">
        <v>6</v>
      </c>
      <c r="S836" s="582" t="s">
        <v>1957</v>
      </c>
      <c r="T836" s="573" t="s">
        <v>1894</v>
      </c>
      <c r="U836" s="573">
        <v>129.9</v>
      </c>
      <c r="V836" s="573">
        <v>25</v>
      </c>
      <c r="W836" s="616">
        <v>8600</v>
      </c>
      <c r="X836" s="617" t="s">
        <v>157</v>
      </c>
      <c r="Y836" s="617" t="s">
        <v>178</v>
      </c>
      <c r="Z836" s="617" t="s">
        <v>178</v>
      </c>
      <c r="AA836" s="618">
        <v>34985</v>
      </c>
      <c r="AB836" s="618" t="s">
        <v>164</v>
      </c>
      <c r="AC836" s="618">
        <v>26763</v>
      </c>
      <c r="AD836" s="619">
        <v>0.05</v>
      </c>
      <c r="AE836" s="617" t="s">
        <v>1961</v>
      </c>
    </row>
    <row r="837" spans="1:31" s="572" customFormat="1">
      <c r="A837" s="570" t="s">
        <v>1994</v>
      </c>
      <c r="B837" s="569" t="s">
        <v>287</v>
      </c>
      <c r="C837" s="580">
        <v>26</v>
      </c>
      <c r="D837" s="569" t="s">
        <v>1516</v>
      </c>
      <c r="E837" s="569" t="s">
        <v>1914</v>
      </c>
      <c r="F837" s="569" t="s">
        <v>271</v>
      </c>
      <c r="G837" s="569">
        <v>2019</v>
      </c>
      <c r="H837" s="569" t="s">
        <v>1915</v>
      </c>
      <c r="I837" s="569" t="s">
        <v>1950</v>
      </c>
      <c r="J837" s="569" t="s">
        <v>236</v>
      </c>
      <c r="K837" s="569">
        <v>2</v>
      </c>
      <c r="L837" s="569">
        <v>0</v>
      </c>
      <c r="M837" s="569" t="s">
        <v>157</v>
      </c>
      <c r="N837" s="569">
        <v>1</v>
      </c>
      <c r="O837" s="569">
        <v>83.2</v>
      </c>
      <c r="P837" s="568" t="s">
        <v>157</v>
      </c>
      <c r="Q837" s="569" t="s">
        <v>1917</v>
      </c>
      <c r="R837" s="569">
        <v>5</v>
      </c>
      <c r="S837" s="569" t="s">
        <v>1964</v>
      </c>
      <c r="T837" s="569" t="s">
        <v>1894</v>
      </c>
      <c r="U837" s="569">
        <v>147.6</v>
      </c>
      <c r="V837" s="569">
        <v>25</v>
      </c>
      <c r="W837" s="620">
        <v>8600</v>
      </c>
      <c r="X837" s="621" t="s">
        <v>157</v>
      </c>
      <c r="Y837" s="621" t="s">
        <v>728</v>
      </c>
      <c r="Z837" s="621" t="s">
        <v>1523</v>
      </c>
      <c r="AA837" s="622">
        <v>39555</v>
      </c>
      <c r="AB837" s="622" t="s">
        <v>164</v>
      </c>
      <c r="AC837" s="622">
        <v>28817</v>
      </c>
      <c r="AD837" s="623">
        <v>0.05</v>
      </c>
      <c r="AE837" s="621" t="s">
        <v>1963</v>
      </c>
    </row>
    <row r="838" spans="1:31" s="572" customFormat="1">
      <c r="A838" s="570" t="s">
        <v>1995</v>
      </c>
      <c r="B838" s="573" t="s">
        <v>287</v>
      </c>
      <c r="C838" s="578">
        <v>26</v>
      </c>
      <c r="D838" s="573" t="s">
        <v>1516</v>
      </c>
      <c r="E838" s="573" t="s">
        <v>1914</v>
      </c>
      <c r="F838" s="573" t="s">
        <v>271</v>
      </c>
      <c r="G838" s="573">
        <v>2019</v>
      </c>
      <c r="H838" s="573" t="s">
        <v>1915</v>
      </c>
      <c r="I838" s="573" t="s">
        <v>1950</v>
      </c>
      <c r="J838" s="573" t="s">
        <v>236</v>
      </c>
      <c r="K838" s="573">
        <v>2</v>
      </c>
      <c r="L838" s="573">
        <v>0</v>
      </c>
      <c r="M838" s="573" t="s">
        <v>157</v>
      </c>
      <c r="N838" s="573">
        <v>1</v>
      </c>
      <c r="O838" s="573">
        <v>83.2</v>
      </c>
      <c r="P838" s="571" t="s">
        <v>157</v>
      </c>
      <c r="Q838" s="573" t="s">
        <v>1259</v>
      </c>
      <c r="R838" s="573">
        <v>6</v>
      </c>
      <c r="S838" s="582" t="s">
        <v>1964</v>
      </c>
      <c r="T838" s="573" t="s">
        <v>1894</v>
      </c>
      <c r="U838" s="573">
        <v>147.6</v>
      </c>
      <c r="V838" s="573">
        <v>25</v>
      </c>
      <c r="W838" s="616">
        <v>8600</v>
      </c>
      <c r="X838" s="617" t="s">
        <v>157</v>
      </c>
      <c r="Y838" s="617" t="s">
        <v>178</v>
      </c>
      <c r="Z838" s="617" t="s">
        <v>178</v>
      </c>
      <c r="AA838" s="618">
        <v>37425</v>
      </c>
      <c r="AB838" s="618" t="s">
        <v>164</v>
      </c>
      <c r="AC838" s="618">
        <v>26864</v>
      </c>
      <c r="AD838" s="619">
        <v>0.05</v>
      </c>
      <c r="AE838" s="617" t="s">
        <v>1966</v>
      </c>
    </row>
    <row r="839" spans="1:31" s="572" customFormat="1">
      <c r="A839" s="570" t="s">
        <v>1996</v>
      </c>
      <c r="B839" s="569" t="s">
        <v>287</v>
      </c>
      <c r="C839" s="580">
        <v>26</v>
      </c>
      <c r="D839" s="569" t="s">
        <v>1516</v>
      </c>
      <c r="E839" s="569" t="s">
        <v>1914</v>
      </c>
      <c r="F839" s="569" t="s">
        <v>271</v>
      </c>
      <c r="G839" s="569">
        <v>2019</v>
      </c>
      <c r="H839" s="569" t="s">
        <v>1915</v>
      </c>
      <c r="I839" s="569" t="s">
        <v>1950</v>
      </c>
      <c r="J839" s="569" t="s">
        <v>236</v>
      </c>
      <c r="K839" s="569">
        <v>2</v>
      </c>
      <c r="L839" s="569">
        <v>0</v>
      </c>
      <c r="M839" s="569" t="s">
        <v>157</v>
      </c>
      <c r="N839" s="569">
        <v>1</v>
      </c>
      <c r="O839" s="569">
        <v>83.2</v>
      </c>
      <c r="P839" s="568" t="s">
        <v>157</v>
      </c>
      <c r="Q839" s="569" t="s">
        <v>682</v>
      </c>
      <c r="R839" s="569">
        <v>6</v>
      </c>
      <c r="S839" s="569" t="s">
        <v>1964</v>
      </c>
      <c r="T839" s="569" t="s">
        <v>1894</v>
      </c>
      <c r="U839" s="569">
        <v>147.6</v>
      </c>
      <c r="V839" s="569">
        <v>25</v>
      </c>
      <c r="W839" s="620">
        <v>8600</v>
      </c>
      <c r="X839" s="621" t="s">
        <v>157</v>
      </c>
      <c r="Y839" s="621" t="s">
        <v>178</v>
      </c>
      <c r="Z839" s="621" t="s">
        <v>178</v>
      </c>
      <c r="AA839" s="622">
        <v>35560</v>
      </c>
      <c r="AB839" s="622" t="s">
        <v>164</v>
      </c>
      <c r="AC839" s="622">
        <v>25154</v>
      </c>
      <c r="AD839" s="623">
        <v>0.05</v>
      </c>
      <c r="AE839" s="621" t="s">
        <v>1968</v>
      </c>
    </row>
    <row r="840" spans="1:31" s="572" customFormat="1">
      <c r="A840" s="570" t="s">
        <v>1997</v>
      </c>
      <c r="B840" s="573" t="s">
        <v>287</v>
      </c>
      <c r="C840" s="578">
        <v>26</v>
      </c>
      <c r="D840" s="573" t="s">
        <v>1516</v>
      </c>
      <c r="E840" s="573" t="s">
        <v>1914</v>
      </c>
      <c r="F840" s="573" t="s">
        <v>271</v>
      </c>
      <c r="G840" s="573">
        <v>2019</v>
      </c>
      <c r="H840" s="573" t="s">
        <v>1915</v>
      </c>
      <c r="I840" s="573" t="s">
        <v>1950</v>
      </c>
      <c r="J840" s="573" t="s">
        <v>236</v>
      </c>
      <c r="K840" s="573">
        <v>2</v>
      </c>
      <c r="L840" s="573">
        <v>0</v>
      </c>
      <c r="M840" s="573" t="s">
        <v>157</v>
      </c>
      <c r="N840" s="573">
        <v>1</v>
      </c>
      <c r="O840" s="573">
        <v>83.6</v>
      </c>
      <c r="P840" s="571" t="s">
        <v>157</v>
      </c>
      <c r="Q840" s="573" t="s">
        <v>1917</v>
      </c>
      <c r="R840" s="573">
        <v>5</v>
      </c>
      <c r="S840" s="582" t="s">
        <v>1971</v>
      </c>
      <c r="T840" s="573" t="s">
        <v>1894</v>
      </c>
      <c r="U840" s="573">
        <v>129.9</v>
      </c>
      <c r="V840" s="573">
        <v>25</v>
      </c>
      <c r="W840" s="616">
        <v>8600</v>
      </c>
      <c r="X840" s="617" t="s">
        <v>157</v>
      </c>
      <c r="Y840" s="617" t="s">
        <v>728</v>
      </c>
      <c r="Z840" s="617" t="s">
        <v>1523</v>
      </c>
      <c r="AA840" s="618">
        <v>38675</v>
      </c>
      <c r="AB840" s="618" t="s">
        <v>164</v>
      </c>
      <c r="AC840" s="618">
        <v>27989</v>
      </c>
      <c r="AD840" s="619">
        <v>0.05</v>
      </c>
      <c r="AE840" s="617" t="s">
        <v>1970</v>
      </c>
    </row>
    <row r="841" spans="1:31" s="572" customFormat="1">
      <c r="A841" s="570" t="s">
        <v>1998</v>
      </c>
      <c r="B841" s="569" t="s">
        <v>287</v>
      </c>
      <c r="C841" s="580">
        <v>26</v>
      </c>
      <c r="D841" s="569" t="s">
        <v>1516</v>
      </c>
      <c r="E841" s="569" t="s">
        <v>1914</v>
      </c>
      <c r="F841" s="569" t="s">
        <v>271</v>
      </c>
      <c r="G841" s="569">
        <v>2019</v>
      </c>
      <c r="H841" s="569" t="s">
        <v>1915</v>
      </c>
      <c r="I841" s="569" t="s">
        <v>1950</v>
      </c>
      <c r="J841" s="569" t="s">
        <v>236</v>
      </c>
      <c r="K841" s="569">
        <v>2</v>
      </c>
      <c r="L841" s="569">
        <v>0</v>
      </c>
      <c r="M841" s="569" t="s">
        <v>157</v>
      </c>
      <c r="N841" s="569">
        <v>1</v>
      </c>
      <c r="O841" s="569">
        <v>83.6</v>
      </c>
      <c r="P841" s="568" t="s">
        <v>157</v>
      </c>
      <c r="Q841" s="569" t="s">
        <v>1259</v>
      </c>
      <c r="R841" s="569">
        <v>6</v>
      </c>
      <c r="S841" s="569" t="s">
        <v>1971</v>
      </c>
      <c r="T841" s="569" t="s">
        <v>1894</v>
      </c>
      <c r="U841" s="569">
        <v>129.9</v>
      </c>
      <c r="V841" s="569">
        <v>25</v>
      </c>
      <c r="W841" s="620">
        <v>8600</v>
      </c>
      <c r="X841" s="621" t="s">
        <v>157</v>
      </c>
      <c r="Y841" s="621" t="s">
        <v>178</v>
      </c>
      <c r="Z841" s="621" t="s">
        <v>178</v>
      </c>
      <c r="AA841" s="622">
        <v>36545</v>
      </c>
      <c r="AB841" s="622" t="s">
        <v>164</v>
      </c>
      <c r="AC841" s="622">
        <v>26034</v>
      </c>
      <c r="AD841" s="623">
        <v>0.05</v>
      </c>
      <c r="AE841" s="621" t="s">
        <v>1973</v>
      </c>
    </row>
    <row r="842" spans="1:31" s="572" customFormat="1">
      <c r="A842" s="570" t="s">
        <v>1999</v>
      </c>
      <c r="B842" s="573" t="s">
        <v>287</v>
      </c>
      <c r="C842" s="578">
        <v>26</v>
      </c>
      <c r="D842" s="573" t="s">
        <v>1516</v>
      </c>
      <c r="E842" s="573" t="s">
        <v>1914</v>
      </c>
      <c r="F842" s="573" t="s">
        <v>271</v>
      </c>
      <c r="G842" s="573">
        <v>2019</v>
      </c>
      <c r="H842" s="573" t="s">
        <v>1915</v>
      </c>
      <c r="I842" s="573" t="s">
        <v>1950</v>
      </c>
      <c r="J842" s="573" t="s">
        <v>236</v>
      </c>
      <c r="K842" s="573">
        <v>2</v>
      </c>
      <c r="L842" s="573">
        <v>0</v>
      </c>
      <c r="M842" s="573" t="s">
        <v>157</v>
      </c>
      <c r="N842" s="573">
        <v>1</v>
      </c>
      <c r="O842" s="573">
        <v>83.6</v>
      </c>
      <c r="P842" s="571" t="s">
        <v>157</v>
      </c>
      <c r="Q842" s="573" t="s">
        <v>682</v>
      </c>
      <c r="R842" s="573">
        <v>6</v>
      </c>
      <c r="S842" s="582" t="s">
        <v>1971</v>
      </c>
      <c r="T842" s="573" t="s">
        <v>1894</v>
      </c>
      <c r="U842" s="573">
        <v>129.9</v>
      </c>
      <c r="V842" s="573">
        <v>25</v>
      </c>
      <c r="W842" s="616">
        <v>8600</v>
      </c>
      <c r="X842" s="617" t="s">
        <v>157</v>
      </c>
      <c r="Y842" s="617" t="s">
        <v>178</v>
      </c>
      <c r="Z842" s="617" t="s">
        <v>178</v>
      </c>
      <c r="AA842" s="618">
        <v>34680</v>
      </c>
      <c r="AB842" s="618" t="s">
        <v>164</v>
      </c>
      <c r="AC842" s="618">
        <v>24323</v>
      </c>
      <c r="AD842" s="619">
        <v>0.05</v>
      </c>
      <c r="AE842" s="617" t="s">
        <v>1975</v>
      </c>
    </row>
    <row r="843" spans="1:31" s="572" customFormat="1">
      <c r="A843" s="570" t="s">
        <v>2000</v>
      </c>
      <c r="B843" s="569" t="s">
        <v>280</v>
      </c>
      <c r="C843" s="580">
        <v>27</v>
      </c>
      <c r="D843" s="569" t="s">
        <v>1516</v>
      </c>
      <c r="E843" s="569" t="s">
        <v>1914</v>
      </c>
      <c r="F843" s="569" t="s">
        <v>271</v>
      </c>
      <c r="G843" s="569">
        <v>2019</v>
      </c>
      <c r="H843" s="569" t="s">
        <v>1915</v>
      </c>
      <c r="I843" s="569" t="s">
        <v>1950</v>
      </c>
      <c r="J843" s="569" t="s">
        <v>236</v>
      </c>
      <c r="K843" s="569">
        <v>2</v>
      </c>
      <c r="L843" s="569">
        <v>0</v>
      </c>
      <c r="M843" s="569" t="s">
        <v>157</v>
      </c>
      <c r="N843" s="569">
        <v>1</v>
      </c>
      <c r="O843" s="569">
        <v>100.7</v>
      </c>
      <c r="P843" s="568" t="s">
        <v>157</v>
      </c>
      <c r="Q843" s="569" t="s">
        <v>1917</v>
      </c>
      <c r="R843" s="569">
        <v>5</v>
      </c>
      <c r="S843" s="569" t="s">
        <v>1893</v>
      </c>
      <c r="T843" s="569" t="s">
        <v>1894</v>
      </c>
      <c r="U843" s="569">
        <v>147.6</v>
      </c>
      <c r="V843" s="569">
        <v>25</v>
      </c>
      <c r="W843" s="620">
        <v>8600</v>
      </c>
      <c r="X843" s="621" t="s">
        <v>157</v>
      </c>
      <c r="Y843" s="621" t="s">
        <v>728</v>
      </c>
      <c r="Z843" s="621" t="s">
        <v>1523</v>
      </c>
      <c r="AA843" s="622">
        <v>40705</v>
      </c>
      <c r="AB843" s="622" t="s">
        <v>164</v>
      </c>
      <c r="AC843" s="622">
        <v>30947.125</v>
      </c>
      <c r="AD843" s="623">
        <v>0.03</v>
      </c>
      <c r="AE843" s="621" t="s">
        <v>1949</v>
      </c>
    </row>
    <row r="844" spans="1:31" s="572" customFormat="1">
      <c r="A844" s="570" t="s">
        <v>2001</v>
      </c>
      <c r="B844" s="573" t="s">
        <v>280</v>
      </c>
      <c r="C844" s="578">
        <v>27</v>
      </c>
      <c r="D844" s="573" t="s">
        <v>1516</v>
      </c>
      <c r="E844" s="573" t="s">
        <v>1914</v>
      </c>
      <c r="F844" s="573" t="s">
        <v>271</v>
      </c>
      <c r="G844" s="573">
        <v>2019</v>
      </c>
      <c r="H844" s="573" t="s">
        <v>1915</v>
      </c>
      <c r="I844" s="573" t="s">
        <v>1950</v>
      </c>
      <c r="J844" s="573" t="s">
        <v>236</v>
      </c>
      <c r="K844" s="573">
        <v>2</v>
      </c>
      <c r="L844" s="573">
        <v>0</v>
      </c>
      <c r="M844" s="573" t="s">
        <v>157</v>
      </c>
      <c r="N844" s="573">
        <v>1</v>
      </c>
      <c r="O844" s="573">
        <v>100.7</v>
      </c>
      <c r="P844" s="571" t="s">
        <v>157</v>
      </c>
      <c r="Q844" s="573" t="s">
        <v>1259</v>
      </c>
      <c r="R844" s="573">
        <v>6</v>
      </c>
      <c r="S844" s="582" t="s">
        <v>1893</v>
      </c>
      <c r="T844" s="573" t="s">
        <v>1894</v>
      </c>
      <c r="U844" s="573">
        <v>147.6</v>
      </c>
      <c r="V844" s="573">
        <v>25</v>
      </c>
      <c r="W844" s="616">
        <v>8600</v>
      </c>
      <c r="X844" s="617" t="s">
        <v>157</v>
      </c>
      <c r="Y844" s="617" t="s">
        <v>178</v>
      </c>
      <c r="Z844" s="617" t="s">
        <v>178</v>
      </c>
      <c r="AA844" s="618">
        <v>38575</v>
      </c>
      <c r="AB844" s="618" t="s">
        <v>164</v>
      </c>
      <c r="AC844" s="618">
        <v>29053.833333333336</v>
      </c>
      <c r="AD844" s="619">
        <v>0.03</v>
      </c>
      <c r="AE844" s="617" t="s">
        <v>1952</v>
      </c>
    </row>
    <row r="845" spans="1:31" s="572" customFormat="1">
      <c r="A845" s="570" t="s">
        <v>2002</v>
      </c>
      <c r="B845" s="569" t="s">
        <v>280</v>
      </c>
      <c r="C845" s="580">
        <v>27</v>
      </c>
      <c r="D845" s="569" t="s">
        <v>1516</v>
      </c>
      <c r="E845" s="569" t="s">
        <v>1914</v>
      </c>
      <c r="F845" s="569" t="s">
        <v>271</v>
      </c>
      <c r="G845" s="569">
        <v>2019</v>
      </c>
      <c r="H845" s="569" t="s">
        <v>1915</v>
      </c>
      <c r="I845" s="569" t="s">
        <v>1950</v>
      </c>
      <c r="J845" s="569" t="s">
        <v>236</v>
      </c>
      <c r="K845" s="569">
        <v>2</v>
      </c>
      <c r="L845" s="569">
        <v>0</v>
      </c>
      <c r="M845" s="569" t="s">
        <v>157</v>
      </c>
      <c r="N845" s="569">
        <v>1</v>
      </c>
      <c r="O845" s="569">
        <v>100.7</v>
      </c>
      <c r="P845" s="568" t="s">
        <v>157</v>
      </c>
      <c r="Q845" s="569" t="s">
        <v>682</v>
      </c>
      <c r="R845" s="569">
        <v>6</v>
      </c>
      <c r="S845" s="569" t="s">
        <v>1893</v>
      </c>
      <c r="T845" s="569" t="s">
        <v>1894</v>
      </c>
      <c r="U845" s="569">
        <v>147.6</v>
      </c>
      <c r="V845" s="569">
        <v>25</v>
      </c>
      <c r="W845" s="620">
        <v>8600</v>
      </c>
      <c r="X845" s="621" t="s">
        <v>157</v>
      </c>
      <c r="Y845" s="621" t="s">
        <v>178</v>
      </c>
      <c r="Z845" s="621" t="s">
        <v>178</v>
      </c>
      <c r="AA845" s="622">
        <v>36710</v>
      </c>
      <c r="AB845" s="622" t="s">
        <v>164</v>
      </c>
      <c r="AC845" s="622">
        <v>27397.583333333336</v>
      </c>
      <c r="AD845" s="623">
        <v>0.03</v>
      </c>
      <c r="AE845" s="621" t="s">
        <v>1954</v>
      </c>
    </row>
    <row r="846" spans="1:31" s="572" customFormat="1">
      <c r="A846" s="570" t="s">
        <v>2003</v>
      </c>
      <c r="B846" s="573" t="s">
        <v>280</v>
      </c>
      <c r="C846" s="578">
        <v>27</v>
      </c>
      <c r="D846" s="573" t="s">
        <v>1516</v>
      </c>
      <c r="E846" s="573" t="s">
        <v>1914</v>
      </c>
      <c r="F846" s="573" t="s">
        <v>271</v>
      </c>
      <c r="G846" s="573">
        <v>2019</v>
      </c>
      <c r="H846" s="573" t="s">
        <v>1915</v>
      </c>
      <c r="I846" s="573" t="s">
        <v>1950</v>
      </c>
      <c r="J846" s="573" t="s">
        <v>236</v>
      </c>
      <c r="K846" s="573">
        <v>2</v>
      </c>
      <c r="L846" s="573">
        <v>0</v>
      </c>
      <c r="M846" s="573" t="s">
        <v>157</v>
      </c>
      <c r="N846" s="573">
        <v>1</v>
      </c>
      <c r="O846" s="573">
        <v>100.8</v>
      </c>
      <c r="P846" s="571" t="s">
        <v>157</v>
      </c>
      <c r="Q846" s="573" t="s">
        <v>1917</v>
      </c>
      <c r="R846" s="573">
        <v>5</v>
      </c>
      <c r="S846" s="582" t="s">
        <v>1957</v>
      </c>
      <c r="T846" s="573" t="s">
        <v>1894</v>
      </c>
      <c r="U846" s="573">
        <v>129.9</v>
      </c>
      <c r="V846" s="573">
        <v>25</v>
      </c>
      <c r="W846" s="616">
        <v>8600</v>
      </c>
      <c r="X846" s="617" t="s">
        <v>157</v>
      </c>
      <c r="Y846" s="617" t="s">
        <v>728</v>
      </c>
      <c r="Z846" s="617" t="s">
        <v>1523</v>
      </c>
      <c r="AA846" s="618">
        <v>38980</v>
      </c>
      <c r="AB846" s="618" t="s">
        <v>164</v>
      </c>
      <c r="AC846" s="618">
        <v>29370.041666666664</v>
      </c>
      <c r="AD846" s="619">
        <v>0.03</v>
      </c>
      <c r="AE846" s="617" t="s">
        <v>1956</v>
      </c>
    </row>
    <row r="847" spans="1:31" s="572" customFormat="1">
      <c r="A847" s="570" t="s">
        <v>2004</v>
      </c>
      <c r="B847" s="569" t="s">
        <v>280</v>
      </c>
      <c r="C847" s="580">
        <v>27</v>
      </c>
      <c r="D847" s="569" t="s">
        <v>1516</v>
      </c>
      <c r="E847" s="569" t="s">
        <v>1914</v>
      </c>
      <c r="F847" s="569" t="s">
        <v>271</v>
      </c>
      <c r="G847" s="569">
        <v>2019</v>
      </c>
      <c r="H847" s="569" t="s">
        <v>1915</v>
      </c>
      <c r="I847" s="569" t="s">
        <v>1950</v>
      </c>
      <c r="J847" s="569" t="s">
        <v>236</v>
      </c>
      <c r="K847" s="569">
        <v>2</v>
      </c>
      <c r="L847" s="569">
        <v>0</v>
      </c>
      <c r="M847" s="569" t="s">
        <v>157</v>
      </c>
      <c r="N847" s="569">
        <v>1</v>
      </c>
      <c r="O847" s="569">
        <v>100.8</v>
      </c>
      <c r="P847" s="568" t="s">
        <v>157</v>
      </c>
      <c r="Q847" s="569" t="s">
        <v>1259</v>
      </c>
      <c r="R847" s="569">
        <v>6</v>
      </c>
      <c r="S847" s="569" t="s">
        <v>1957</v>
      </c>
      <c r="T847" s="569" t="s">
        <v>1894</v>
      </c>
      <c r="U847" s="569">
        <v>129.9</v>
      </c>
      <c r="V847" s="569">
        <v>25</v>
      </c>
      <c r="W847" s="620">
        <v>8600</v>
      </c>
      <c r="X847" s="621" t="s">
        <v>157</v>
      </c>
      <c r="Y847" s="621" t="s">
        <v>178</v>
      </c>
      <c r="Z847" s="621" t="s">
        <v>178</v>
      </c>
      <c r="AA847" s="622">
        <v>36850</v>
      </c>
      <c r="AB847" s="622" t="s">
        <v>164</v>
      </c>
      <c r="AC847" s="622">
        <v>27476.75</v>
      </c>
      <c r="AD847" s="623">
        <v>0.03</v>
      </c>
      <c r="AE847" s="621" t="s">
        <v>1959</v>
      </c>
    </row>
    <row r="848" spans="1:31" s="572" customFormat="1">
      <c r="A848" s="570" t="s">
        <v>2005</v>
      </c>
      <c r="B848" s="573" t="s">
        <v>280</v>
      </c>
      <c r="C848" s="578">
        <v>27</v>
      </c>
      <c r="D848" s="573" t="s">
        <v>1516</v>
      </c>
      <c r="E848" s="573" t="s">
        <v>1914</v>
      </c>
      <c r="F848" s="573" t="s">
        <v>271</v>
      </c>
      <c r="G848" s="573">
        <v>2019</v>
      </c>
      <c r="H848" s="573" t="s">
        <v>1915</v>
      </c>
      <c r="I848" s="573" t="s">
        <v>1950</v>
      </c>
      <c r="J848" s="573" t="s">
        <v>236</v>
      </c>
      <c r="K848" s="573">
        <v>2</v>
      </c>
      <c r="L848" s="573">
        <v>0</v>
      </c>
      <c r="M848" s="573" t="s">
        <v>157</v>
      </c>
      <c r="N848" s="573">
        <v>1</v>
      </c>
      <c r="O848" s="573">
        <v>100.8</v>
      </c>
      <c r="P848" s="571" t="s">
        <v>157</v>
      </c>
      <c r="Q848" s="573" t="s">
        <v>682</v>
      </c>
      <c r="R848" s="573">
        <v>6</v>
      </c>
      <c r="S848" s="582" t="s">
        <v>1957</v>
      </c>
      <c r="T848" s="573" t="s">
        <v>1894</v>
      </c>
      <c r="U848" s="573">
        <v>129.9</v>
      </c>
      <c r="V848" s="573">
        <v>25</v>
      </c>
      <c r="W848" s="616">
        <v>8600</v>
      </c>
      <c r="X848" s="617" t="s">
        <v>157</v>
      </c>
      <c r="Y848" s="617" t="s">
        <v>178</v>
      </c>
      <c r="Z848" s="617" t="s">
        <v>178</v>
      </c>
      <c r="AA848" s="618">
        <v>34985</v>
      </c>
      <c r="AB848" s="618" t="s">
        <v>164</v>
      </c>
      <c r="AC848" s="618">
        <v>25820.5</v>
      </c>
      <c r="AD848" s="619">
        <v>0.03</v>
      </c>
      <c r="AE848" s="617" t="s">
        <v>1961</v>
      </c>
    </row>
    <row r="849" spans="1:31" s="572" customFormat="1">
      <c r="A849" s="570" t="s">
        <v>2006</v>
      </c>
      <c r="B849" s="569" t="s">
        <v>280</v>
      </c>
      <c r="C849" s="580">
        <v>27</v>
      </c>
      <c r="D849" s="569" t="s">
        <v>1516</v>
      </c>
      <c r="E849" s="569" t="s">
        <v>1914</v>
      </c>
      <c r="F849" s="569" t="s">
        <v>271</v>
      </c>
      <c r="G849" s="569">
        <v>2019</v>
      </c>
      <c r="H849" s="569" t="s">
        <v>1915</v>
      </c>
      <c r="I849" s="569" t="s">
        <v>1950</v>
      </c>
      <c r="J849" s="569" t="s">
        <v>236</v>
      </c>
      <c r="K849" s="569">
        <v>2</v>
      </c>
      <c r="L849" s="569">
        <v>0</v>
      </c>
      <c r="M849" s="569" t="s">
        <v>157</v>
      </c>
      <c r="N849" s="569">
        <v>1</v>
      </c>
      <c r="O849" s="569">
        <v>83.2</v>
      </c>
      <c r="P849" s="568" t="s">
        <v>157</v>
      </c>
      <c r="Q849" s="569" t="s">
        <v>1917</v>
      </c>
      <c r="R849" s="569">
        <v>5</v>
      </c>
      <c r="S849" s="569" t="s">
        <v>1964</v>
      </c>
      <c r="T849" s="569" t="s">
        <v>1894</v>
      </c>
      <c r="U849" s="569">
        <v>147.6</v>
      </c>
      <c r="V849" s="569">
        <v>25</v>
      </c>
      <c r="W849" s="620">
        <v>8600</v>
      </c>
      <c r="X849" s="621" t="s">
        <v>157</v>
      </c>
      <c r="Y849" s="621" t="s">
        <v>728</v>
      </c>
      <c r="Z849" s="621" t="s">
        <v>1523</v>
      </c>
      <c r="AA849" s="622">
        <v>39555</v>
      </c>
      <c r="AB849" s="622" t="s">
        <v>164</v>
      </c>
      <c r="AC849" s="622">
        <v>27811.708333333332</v>
      </c>
      <c r="AD849" s="623">
        <v>0.03</v>
      </c>
      <c r="AE849" s="621" t="s">
        <v>1963</v>
      </c>
    </row>
    <row r="850" spans="1:31" s="572" customFormat="1">
      <c r="A850" s="570" t="s">
        <v>2007</v>
      </c>
      <c r="B850" s="573" t="s">
        <v>280</v>
      </c>
      <c r="C850" s="578">
        <v>27</v>
      </c>
      <c r="D850" s="573" t="s">
        <v>1516</v>
      </c>
      <c r="E850" s="573" t="s">
        <v>1914</v>
      </c>
      <c r="F850" s="573" t="s">
        <v>271</v>
      </c>
      <c r="G850" s="573">
        <v>2019</v>
      </c>
      <c r="H850" s="573" t="s">
        <v>1915</v>
      </c>
      <c r="I850" s="573" t="s">
        <v>1950</v>
      </c>
      <c r="J850" s="573" t="s">
        <v>236</v>
      </c>
      <c r="K850" s="573">
        <v>2</v>
      </c>
      <c r="L850" s="573">
        <v>0</v>
      </c>
      <c r="M850" s="573" t="s">
        <v>157</v>
      </c>
      <c r="N850" s="573">
        <v>1</v>
      </c>
      <c r="O850" s="573">
        <v>83.2</v>
      </c>
      <c r="P850" s="571" t="s">
        <v>157</v>
      </c>
      <c r="Q850" s="573" t="s">
        <v>1259</v>
      </c>
      <c r="R850" s="573">
        <v>6</v>
      </c>
      <c r="S850" s="582" t="s">
        <v>1964</v>
      </c>
      <c r="T850" s="573" t="s">
        <v>1894</v>
      </c>
      <c r="U850" s="573">
        <v>147.6</v>
      </c>
      <c r="V850" s="573">
        <v>25</v>
      </c>
      <c r="W850" s="616">
        <v>8600</v>
      </c>
      <c r="X850" s="617" t="s">
        <v>157</v>
      </c>
      <c r="Y850" s="617" t="s">
        <v>178</v>
      </c>
      <c r="Z850" s="617" t="s">
        <v>178</v>
      </c>
      <c r="AA850" s="618">
        <v>37425</v>
      </c>
      <c r="AB850" s="618" t="s">
        <v>164</v>
      </c>
      <c r="AC850" s="618">
        <v>25918.416666666668</v>
      </c>
      <c r="AD850" s="619">
        <v>0.03</v>
      </c>
      <c r="AE850" s="617" t="s">
        <v>1966</v>
      </c>
    </row>
    <row r="851" spans="1:31" s="572" customFormat="1">
      <c r="A851" s="570" t="s">
        <v>2008</v>
      </c>
      <c r="B851" s="569" t="s">
        <v>280</v>
      </c>
      <c r="C851" s="580">
        <v>27</v>
      </c>
      <c r="D851" s="569" t="s">
        <v>1516</v>
      </c>
      <c r="E851" s="569" t="s">
        <v>1914</v>
      </c>
      <c r="F851" s="569" t="s">
        <v>271</v>
      </c>
      <c r="G851" s="569">
        <v>2019</v>
      </c>
      <c r="H851" s="569" t="s">
        <v>1915</v>
      </c>
      <c r="I851" s="569" t="s">
        <v>1950</v>
      </c>
      <c r="J851" s="569" t="s">
        <v>236</v>
      </c>
      <c r="K851" s="569">
        <v>2</v>
      </c>
      <c r="L851" s="569">
        <v>0</v>
      </c>
      <c r="M851" s="569" t="s">
        <v>157</v>
      </c>
      <c r="N851" s="569">
        <v>1</v>
      </c>
      <c r="O851" s="569">
        <v>83.2</v>
      </c>
      <c r="P851" s="568" t="s">
        <v>157</v>
      </c>
      <c r="Q851" s="569" t="s">
        <v>682</v>
      </c>
      <c r="R851" s="569">
        <v>6</v>
      </c>
      <c r="S851" s="569" t="s">
        <v>1964</v>
      </c>
      <c r="T851" s="569" t="s">
        <v>1894</v>
      </c>
      <c r="U851" s="569">
        <v>147.6</v>
      </c>
      <c r="V851" s="569">
        <v>25</v>
      </c>
      <c r="W851" s="620">
        <v>8550</v>
      </c>
      <c r="X851" s="621" t="s">
        <v>157</v>
      </c>
      <c r="Y851" s="621" t="s">
        <v>178</v>
      </c>
      <c r="Z851" s="621" t="s">
        <v>178</v>
      </c>
      <c r="AA851" s="622">
        <v>35560</v>
      </c>
      <c r="AB851" s="622" t="s">
        <v>164</v>
      </c>
      <c r="AC851" s="622">
        <v>24262.166666666668</v>
      </c>
      <c r="AD851" s="623">
        <v>0.03</v>
      </c>
      <c r="AE851" s="621" t="s">
        <v>1968</v>
      </c>
    </row>
    <row r="852" spans="1:31" s="572" customFormat="1">
      <c r="A852" s="570" t="s">
        <v>2009</v>
      </c>
      <c r="B852" s="573" t="s">
        <v>280</v>
      </c>
      <c r="C852" s="578">
        <v>27</v>
      </c>
      <c r="D852" s="573" t="s">
        <v>1516</v>
      </c>
      <c r="E852" s="573" t="s">
        <v>1914</v>
      </c>
      <c r="F852" s="573" t="s">
        <v>271</v>
      </c>
      <c r="G852" s="573">
        <v>2019</v>
      </c>
      <c r="H852" s="573" t="s">
        <v>1915</v>
      </c>
      <c r="I852" s="573" t="s">
        <v>1950</v>
      </c>
      <c r="J852" s="573" t="s">
        <v>236</v>
      </c>
      <c r="K852" s="573">
        <v>2</v>
      </c>
      <c r="L852" s="573">
        <v>0</v>
      </c>
      <c r="M852" s="573" t="s">
        <v>157</v>
      </c>
      <c r="N852" s="573">
        <v>1</v>
      </c>
      <c r="O852" s="573">
        <v>83.6</v>
      </c>
      <c r="P852" s="571" t="s">
        <v>157</v>
      </c>
      <c r="Q852" s="573" t="s">
        <v>1917</v>
      </c>
      <c r="R852" s="573">
        <v>5</v>
      </c>
      <c r="S852" s="582" t="s">
        <v>1971</v>
      </c>
      <c r="T852" s="573" t="s">
        <v>1894</v>
      </c>
      <c r="U852" s="573">
        <v>129.9</v>
      </c>
      <c r="V852" s="573">
        <v>25</v>
      </c>
      <c r="W852" s="616">
        <v>8600</v>
      </c>
      <c r="X852" s="617" t="s">
        <v>157</v>
      </c>
      <c r="Y852" s="617" t="s">
        <v>728</v>
      </c>
      <c r="Z852" s="617" t="s">
        <v>1523</v>
      </c>
      <c r="AA852" s="618">
        <v>38675</v>
      </c>
      <c r="AB852" s="618" t="s">
        <v>164</v>
      </c>
      <c r="AC852" s="618">
        <v>27008.583333333332</v>
      </c>
      <c r="AD852" s="619">
        <v>0.03</v>
      </c>
      <c r="AE852" s="617" t="s">
        <v>1970</v>
      </c>
    </row>
    <row r="853" spans="1:31" s="572" customFormat="1">
      <c r="A853" s="570" t="s">
        <v>2010</v>
      </c>
      <c r="B853" s="569" t="s">
        <v>280</v>
      </c>
      <c r="C853" s="580">
        <v>27</v>
      </c>
      <c r="D853" s="569" t="s">
        <v>1516</v>
      </c>
      <c r="E853" s="569" t="s">
        <v>1914</v>
      </c>
      <c r="F853" s="569" t="s">
        <v>271</v>
      </c>
      <c r="G853" s="569">
        <v>2019</v>
      </c>
      <c r="H853" s="569" t="s">
        <v>1915</v>
      </c>
      <c r="I853" s="569" t="s">
        <v>1950</v>
      </c>
      <c r="J853" s="569" t="s">
        <v>236</v>
      </c>
      <c r="K853" s="569">
        <v>2</v>
      </c>
      <c r="L853" s="569">
        <v>0</v>
      </c>
      <c r="M853" s="569" t="s">
        <v>157</v>
      </c>
      <c r="N853" s="569">
        <v>1</v>
      </c>
      <c r="O853" s="569">
        <v>83.6</v>
      </c>
      <c r="P853" s="568" t="s">
        <v>157</v>
      </c>
      <c r="Q853" s="569" t="s">
        <v>1259</v>
      </c>
      <c r="R853" s="569">
        <v>6</v>
      </c>
      <c r="S853" s="569" t="s">
        <v>1971</v>
      </c>
      <c r="T853" s="569" t="s">
        <v>1894</v>
      </c>
      <c r="U853" s="569">
        <v>129.9</v>
      </c>
      <c r="V853" s="569">
        <v>25</v>
      </c>
      <c r="W853" s="620">
        <v>8600</v>
      </c>
      <c r="X853" s="621" t="s">
        <v>157</v>
      </c>
      <c r="Y853" s="621" t="s">
        <v>178</v>
      </c>
      <c r="Z853" s="621" t="s">
        <v>178</v>
      </c>
      <c r="AA853" s="622">
        <v>36545</v>
      </c>
      <c r="AB853" s="622" t="s">
        <v>164</v>
      </c>
      <c r="AC853" s="622">
        <v>25115.291666666668</v>
      </c>
      <c r="AD853" s="623">
        <v>0.03</v>
      </c>
      <c r="AE853" s="621" t="s">
        <v>1973</v>
      </c>
    </row>
    <row r="854" spans="1:31" s="572" customFormat="1">
      <c r="A854" s="570" t="s">
        <v>2011</v>
      </c>
      <c r="B854" s="573" t="s">
        <v>280</v>
      </c>
      <c r="C854" s="578">
        <v>27</v>
      </c>
      <c r="D854" s="573" t="s">
        <v>1516</v>
      </c>
      <c r="E854" s="573" t="s">
        <v>1914</v>
      </c>
      <c r="F854" s="573" t="s">
        <v>271</v>
      </c>
      <c r="G854" s="573">
        <v>2019</v>
      </c>
      <c r="H854" s="573" t="s">
        <v>1915</v>
      </c>
      <c r="I854" s="573" t="s">
        <v>1950</v>
      </c>
      <c r="J854" s="573" t="s">
        <v>236</v>
      </c>
      <c r="K854" s="573">
        <v>2</v>
      </c>
      <c r="L854" s="573">
        <v>0</v>
      </c>
      <c r="M854" s="573" t="s">
        <v>157</v>
      </c>
      <c r="N854" s="573">
        <v>1</v>
      </c>
      <c r="O854" s="573">
        <v>83.6</v>
      </c>
      <c r="P854" s="571" t="s">
        <v>157</v>
      </c>
      <c r="Q854" s="573" t="s">
        <v>682</v>
      </c>
      <c r="R854" s="573">
        <v>6</v>
      </c>
      <c r="S854" s="582" t="s">
        <v>1971</v>
      </c>
      <c r="T854" s="573" t="s">
        <v>1894</v>
      </c>
      <c r="U854" s="573">
        <v>129.9</v>
      </c>
      <c r="V854" s="573">
        <v>25</v>
      </c>
      <c r="W854" s="616">
        <v>8600</v>
      </c>
      <c r="X854" s="617" t="s">
        <v>157</v>
      </c>
      <c r="Y854" s="617" t="s">
        <v>178</v>
      </c>
      <c r="Z854" s="617" t="s">
        <v>178</v>
      </c>
      <c r="AA854" s="618">
        <v>34680</v>
      </c>
      <c r="AB854" s="618" t="s">
        <v>164</v>
      </c>
      <c r="AC854" s="618">
        <v>23459.041666666668</v>
      </c>
      <c r="AD854" s="619">
        <v>0.03</v>
      </c>
      <c r="AE854" s="617" t="s">
        <v>1975</v>
      </c>
    </row>
    <row r="855" spans="1:31" s="572" customFormat="1">
      <c r="A855" s="570" t="s">
        <v>2012</v>
      </c>
      <c r="B855" s="569" t="s">
        <v>269</v>
      </c>
      <c r="C855" s="580" t="s">
        <v>270</v>
      </c>
      <c r="D855" s="569" t="s">
        <v>1516</v>
      </c>
      <c r="E855" s="569" t="s">
        <v>1914</v>
      </c>
      <c r="F855" s="569" t="s">
        <v>271</v>
      </c>
      <c r="G855" s="569">
        <v>2019</v>
      </c>
      <c r="H855" s="569" t="s">
        <v>1915</v>
      </c>
      <c r="I855" s="569" t="s">
        <v>2014</v>
      </c>
      <c r="J855" s="569" t="s">
        <v>236</v>
      </c>
      <c r="K855" s="569">
        <v>2</v>
      </c>
      <c r="L855" s="569">
        <v>0</v>
      </c>
      <c r="M855" s="569" t="s">
        <v>157</v>
      </c>
      <c r="N855" s="569">
        <v>1</v>
      </c>
      <c r="O855" s="569">
        <v>83.2</v>
      </c>
      <c r="P855" s="568" t="s">
        <v>157</v>
      </c>
      <c r="Q855" s="569" t="s">
        <v>1917</v>
      </c>
      <c r="R855" s="569">
        <v>5</v>
      </c>
      <c r="S855" s="569" t="s">
        <v>2015</v>
      </c>
      <c r="T855" s="569" t="s">
        <v>1894</v>
      </c>
      <c r="U855" s="569">
        <v>147.6</v>
      </c>
      <c r="V855" s="569">
        <v>25</v>
      </c>
      <c r="W855" s="620">
        <v>8600</v>
      </c>
      <c r="X855" s="621" t="s">
        <v>157</v>
      </c>
      <c r="Y855" s="621" t="s">
        <v>728</v>
      </c>
      <c r="Z855" s="621" t="s">
        <v>1523</v>
      </c>
      <c r="AA855" s="622">
        <v>39400</v>
      </c>
      <c r="AB855" s="622" t="s">
        <v>164</v>
      </c>
      <c r="AC855" s="622">
        <v>27671.083333333332</v>
      </c>
      <c r="AD855" s="623">
        <v>0.03</v>
      </c>
      <c r="AE855" s="621" t="s">
        <v>2013</v>
      </c>
    </row>
    <row r="856" spans="1:31" s="572" customFormat="1">
      <c r="A856" s="570" t="s">
        <v>2016</v>
      </c>
      <c r="B856" s="573" t="s">
        <v>269</v>
      </c>
      <c r="C856" s="578" t="s">
        <v>270</v>
      </c>
      <c r="D856" s="573" t="s">
        <v>1516</v>
      </c>
      <c r="E856" s="573" t="s">
        <v>1914</v>
      </c>
      <c r="F856" s="573" t="s">
        <v>271</v>
      </c>
      <c r="G856" s="573">
        <v>2019</v>
      </c>
      <c r="H856" s="573" t="s">
        <v>1915</v>
      </c>
      <c r="I856" s="573" t="s">
        <v>2014</v>
      </c>
      <c r="J856" s="573" t="s">
        <v>236</v>
      </c>
      <c r="K856" s="573">
        <v>2</v>
      </c>
      <c r="L856" s="573">
        <v>0</v>
      </c>
      <c r="M856" s="573" t="s">
        <v>157</v>
      </c>
      <c r="N856" s="573">
        <v>1</v>
      </c>
      <c r="O856" s="573">
        <v>83.2</v>
      </c>
      <c r="P856" s="571" t="s">
        <v>157</v>
      </c>
      <c r="Q856" s="573" t="s">
        <v>1259</v>
      </c>
      <c r="R856" s="573">
        <v>6</v>
      </c>
      <c r="S856" s="582" t="s">
        <v>2015</v>
      </c>
      <c r="T856" s="573" t="s">
        <v>1894</v>
      </c>
      <c r="U856" s="573">
        <v>147.6</v>
      </c>
      <c r="V856" s="573">
        <v>25</v>
      </c>
      <c r="W856" s="616">
        <v>8600</v>
      </c>
      <c r="X856" s="617" t="s">
        <v>157</v>
      </c>
      <c r="Y856" s="617" t="s">
        <v>178</v>
      </c>
      <c r="Z856" s="617" t="s">
        <v>178</v>
      </c>
      <c r="AA856" s="618">
        <v>37270</v>
      </c>
      <c r="AB856" s="618" t="s">
        <v>164</v>
      </c>
      <c r="AC856" s="618">
        <v>25777.791666666668</v>
      </c>
      <c r="AD856" s="619">
        <v>0.03</v>
      </c>
      <c r="AE856" s="617" t="s">
        <v>2017</v>
      </c>
    </row>
    <row r="857" spans="1:31" s="572" customFormat="1">
      <c r="A857" s="570" t="s">
        <v>2018</v>
      </c>
      <c r="B857" s="569" t="s">
        <v>269</v>
      </c>
      <c r="C857" s="580" t="s">
        <v>270</v>
      </c>
      <c r="D857" s="569" t="s">
        <v>1516</v>
      </c>
      <c r="E857" s="569" t="s">
        <v>1914</v>
      </c>
      <c r="F857" s="569" t="s">
        <v>271</v>
      </c>
      <c r="G857" s="569">
        <v>2019</v>
      </c>
      <c r="H857" s="569" t="s">
        <v>1915</v>
      </c>
      <c r="I857" s="569" t="s">
        <v>2014</v>
      </c>
      <c r="J857" s="569" t="s">
        <v>236</v>
      </c>
      <c r="K857" s="569">
        <v>2</v>
      </c>
      <c r="L857" s="569">
        <v>0</v>
      </c>
      <c r="M857" s="569" t="s">
        <v>157</v>
      </c>
      <c r="N857" s="569">
        <v>1</v>
      </c>
      <c r="O857" s="569">
        <v>83.2</v>
      </c>
      <c r="P857" s="568" t="s">
        <v>157</v>
      </c>
      <c r="Q857" s="569" t="s">
        <v>682</v>
      </c>
      <c r="R857" s="569">
        <v>6</v>
      </c>
      <c r="S857" s="569" t="s">
        <v>2015</v>
      </c>
      <c r="T857" s="569" t="s">
        <v>1894</v>
      </c>
      <c r="U857" s="569">
        <v>147.6</v>
      </c>
      <c r="V857" s="569">
        <v>25</v>
      </c>
      <c r="W857" s="620">
        <v>8600</v>
      </c>
      <c r="X857" s="621" t="s">
        <v>157</v>
      </c>
      <c r="Y857" s="621" t="s">
        <v>178</v>
      </c>
      <c r="Z857" s="621" t="s">
        <v>178</v>
      </c>
      <c r="AA857" s="622">
        <v>35405</v>
      </c>
      <c r="AB857" s="622" t="s">
        <v>164</v>
      </c>
      <c r="AC857" s="622">
        <v>24121.541666666668</v>
      </c>
      <c r="AD857" s="623">
        <v>0.03</v>
      </c>
      <c r="AE857" s="621" t="s">
        <v>2019</v>
      </c>
    </row>
    <row r="858" spans="1:31" s="572" customFormat="1">
      <c r="A858" s="570" t="s">
        <v>2020</v>
      </c>
      <c r="B858" s="573" t="s">
        <v>269</v>
      </c>
      <c r="C858" s="578" t="s">
        <v>270</v>
      </c>
      <c r="D858" s="573" t="s">
        <v>1516</v>
      </c>
      <c r="E858" s="573" t="s">
        <v>1914</v>
      </c>
      <c r="F858" s="573" t="s">
        <v>271</v>
      </c>
      <c r="G858" s="573">
        <v>2019</v>
      </c>
      <c r="H858" s="573" t="s">
        <v>1915</v>
      </c>
      <c r="I858" s="573" t="s">
        <v>2014</v>
      </c>
      <c r="J858" s="573" t="s">
        <v>236</v>
      </c>
      <c r="K858" s="573">
        <v>2</v>
      </c>
      <c r="L858" s="573">
        <v>0</v>
      </c>
      <c r="M858" s="573" t="s">
        <v>157</v>
      </c>
      <c r="N858" s="573">
        <v>1</v>
      </c>
      <c r="O858" s="573">
        <v>83.6</v>
      </c>
      <c r="P858" s="571" t="s">
        <v>157</v>
      </c>
      <c r="Q858" s="573" t="s">
        <v>1917</v>
      </c>
      <c r="R858" s="573">
        <v>5</v>
      </c>
      <c r="S858" s="582" t="s">
        <v>2022</v>
      </c>
      <c r="T858" s="573" t="s">
        <v>1894</v>
      </c>
      <c r="U858" s="573">
        <v>129.9</v>
      </c>
      <c r="V858" s="573">
        <v>25</v>
      </c>
      <c r="W858" s="616">
        <v>8600</v>
      </c>
      <c r="X858" s="617" t="s">
        <v>157</v>
      </c>
      <c r="Y858" s="617" t="s">
        <v>728</v>
      </c>
      <c r="Z858" s="617" t="s">
        <v>1523</v>
      </c>
      <c r="AA858" s="618">
        <v>38525</v>
      </c>
      <c r="AB858" s="618" t="s">
        <v>164</v>
      </c>
      <c r="AC858" s="618">
        <v>26871.083333333332</v>
      </c>
      <c r="AD858" s="619">
        <v>0.03</v>
      </c>
      <c r="AE858" s="617" t="s">
        <v>2021</v>
      </c>
    </row>
    <row r="859" spans="1:31" s="572" customFormat="1">
      <c r="A859" s="570" t="s">
        <v>2023</v>
      </c>
      <c r="B859" s="569" t="s">
        <v>269</v>
      </c>
      <c r="C859" s="580" t="s">
        <v>270</v>
      </c>
      <c r="D859" s="569" t="s">
        <v>1516</v>
      </c>
      <c r="E859" s="569" t="s">
        <v>1914</v>
      </c>
      <c r="F859" s="569" t="s">
        <v>271</v>
      </c>
      <c r="G859" s="569">
        <v>2019</v>
      </c>
      <c r="H859" s="569" t="s">
        <v>1915</v>
      </c>
      <c r="I859" s="569" t="s">
        <v>2014</v>
      </c>
      <c r="J859" s="569" t="s">
        <v>236</v>
      </c>
      <c r="K859" s="569">
        <v>2</v>
      </c>
      <c r="L859" s="569">
        <v>0</v>
      </c>
      <c r="M859" s="569" t="s">
        <v>157</v>
      </c>
      <c r="N859" s="569">
        <v>1</v>
      </c>
      <c r="O859" s="569">
        <v>83.6</v>
      </c>
      <c r="P859" s="568" t="s">
        <v>157</v>
      </c>
      <c r="Q859" s="569" t="s">
        <v>1259</v>
      </c>
      <c r="R859" s="569">
        <v>6</v>
      </c>
      <c r="S859" s="569" t="s">
        <v>2022</v>
      </c>
      <c r="T859" s="569" t="s">
        <v>1894</v>
      </c>
      <c r="U859" s="569">
        <v>129.9</v>
      </c>
      <c r="V859" s="569">
        <v>25</v>
      </c>
      <c r="W859" s="620">
        <v>8600</v>
      </c>
      <c r="X859" s="621" t="s">
        <v>157</v>
      </c>
      <c r="Y859" s="621" t="s">
        <v>178</v>
      </c>
      <c r="Z859" s="621" t="s">
        <v>178</v>
      </c>
      <c r="AA859" s="622">
        <v>36395</v>
      </c>
      <c r="AB859" s="622" t="s">
        <v>164</v>
      </c>
      <c r="AC859" s="622">
        <v>24977.791666666668</v>
      </c>
      <c r="AD859" s="623">
        <v>0.03</v>
      </c>
      <c r="AE859" s="621" t="s">
        <v>2024</v>
      </c>
    </row>
    <row r="860" spans="1:31" s="572" customFormat="1">
      <c r="A860" s="570" t="s">
        <v>2025</v>
      </c>
      <c r="B860" s="573" t="s">
        <v>269</v>
      </c>
      <c r="C860" s="578" t="s">
        <v>270</v>
      </c>
      <c r="D860" s="573" t="s">
        <v>1516</v>
      </c>
      <c r="E860" s="573" t="s">
        <v>1914</v>
      </c>
      <c r="F860" s="573" t="s">
        <v>271</v>
      </c>
      <c r="G860" s="573">
        <v>2019</v>
      </c>
      <c r="H860" s="573" t="s">
        <v>1915</v>
      </c>
      <c r="I860" s="573" t="s">
        <v>2014</v>
      </c>
      <c r="J860" s="573" t="s">
        <v>236</v>
      </c>
      <c r="K860" s="573">
        <v>2</v>
      </c>
      <c r="L860" s="573">
        <v>0</v>
      </c>
      <c r="M860" s="573" t="s">
        <v>157</v>
      </c>
      <c r="N860" s="573">
        <v>1</v>
      </c>
      <c r="O860" s="573">
        <v>83.6</v>
      </c>
      <c r="P860" s="571" t="s">
        <v>157</v>
      </c>
      <c r="Q860" s="573" t="s">
        <v>682</v>
      </c>
      <c r="R860" s="573">
        <v>6</v>
      </c>
      <c r="S860" s="582" t="s">
        <v>2022</v>
      </c>
      <c r="T860" s="573" t="s">
        <v>1894</v>
      </c>
      <c r="U860" s="573">
        <v>129.9</v>
      </c>
      <c r="V860" s="573">
        <v>25</v>
      </c>
      <c r="W860" s="616">
        <v>8600</v>
      </c>
      <c r="X860" s="617" t="s">
        <v>157</v>
      </c>
      <c r="Y860" s="617" t="s">
        <v>178</v>
      </c>
      <c r="Z860" s="617" t="s">
        <v>178</v>
      </c>
      <c r="AA860" s="618">
        <v>34530</v>
      </c>
      <c r="AB860" s="618" t="s">
        <v>164</v>
      </c>
      <c r="AC860" s="618">
        <v>23321.541666666668</v>
      </c>
      <c r="AD860" s="619">
        <v>0.03</v>
      </c>
      <c r="AE860" s="617" t="s">
        <v>2026</v>
      </c>
    </row>
    <row r="861" spans="1:31" s="572" customFormat="1">
      <c r="A861" s="570" t="s">
        <v>2027</v>
      </c>
      <c r="B861" s="569" t="s">
        <v>278</v>
      </c>
      <c r="C861" s="580">
        <v>15</v>
      </c>
      <c r="D861" s="569" t="s">
        <v>1516</v>
      </c>
      <c r="E861" s="569" t="s">
        <v>1914</v>
      </c>
      <c r="F861" s="569" t="s">
        <v>271</v>
      </c>
      <c r="G861" s="569">
        <v>2019</v>
      </c>
      <c r="H861" s="569" t="s">
        <v>1915</v>
      </c>
      <c r="I861" s="569" t="s">
        <v>2014</v>
      </c>
      <c r="J861" s="569" t="s">
        <v>236</v>
      </c>
      <c r="K861" s="569">
        <v>2</v>
      </c>
      <c r="L861" s="569">
        <v>0</v>
      </c>
      <c r="M861" s="569" t="s">
        <v>157</v>
      </c>
      <c r="N861" s="569">
        <v>1</v>
      </c>
      <c r="O861" s="569">
        <v>83.2</v>
      </c>
      <c r="P861" s="568" t="s">
        <v>157</v>
      </c>
      <c r="Q861" s="569" t="s">
        <v>1917</v>
      </c>
      <c r="R861" s="569">
        <v>5</v>
      </c>
      <c r="S861" s="569" t="s">
        <v>2015</v>
      </c>
      <c r="T861" s="569" t="s">
        <v>1894</v>
      </c>
      <c r="U861" s="569">
        <v>147.6</v>
      </c>
      <c r="V861" s="569">
        <v>25</v>
      </c>
      <c r="W861" s="620">
        <v>8600</v>
      </c>
      <c r="X861" s="621" t="s">
        <v>157</v>
      </c>
      <c r="Y861" s="621" t="s">
        <v>728</v>
      </c>
      <c r="Z861" s="621" t="s">
        <v>1523</v>
      </c>
      <c r="AA861" s="622">
        <v>39400</v>
      </c>
      <c r="AB861" s="622" t="s">
        <v>164</v>
      </c>
      <c r="AC861" s="622">
        <v>28150</v>
      </c>
      <c r="AD861" s="623">
        <v>0.01</v>
      </c>
      <c r="AE861" s="621" t="s">
        <v>2013</v>
      </c>
    </row>
    <row r="862" spans="1:31" s="572" customFormat="1">
      <c r="A862" s="570" t="s">
        <v>2028</v>
      </c>
      <c r="B862" s="573" t="s">
        <v>278</v>
      </c>
      <c r="C862" s="578">
        <v>15</v>
      </c>
      <c r="D862" s="573" t="s">
        <v>1516</v>
      </c>
      <c r="E862" s="573" t="s">
        <v>1914</v>
      </c>
      <c r="F862" s="573" t="s">
        <v>271</v>
      </c>
      <c r="G862" s="573">
        <v>2019</v>
      </c>
      <c r="H862" s="573" t="s">
        <v>1915</v>
      </c>
      <c r="I862" s="573" t="s">
        <v>2014</v>
      </c>
      <c r="J862" s="573" t="s">
        <v>236</v>
      </c>
      <c r="K862" s="573">
        <v>2</v>
      </c>
      <c r="L862" s="573">
        <v>0</v>
      </c>
      <c r="M862" s="573" t="s">
        <v>157</v>
      </c>
      <c r="N862" s="573">
        <v>1</v>
      </c>
      <c r="O862" s="573">
        <v>83.2</v>
      </c>
      <c r="P862" s="571" t="s">
        <v>157</v>
      </c>
      <c r="Q862" s="573" t="s">
        <v>1259</v>
      </c>
      <c r="R862" s="573">
        <v>6</v>
      </c>
      <c r="S862" s="582" t="s">
        <v>2015</v>
      </c>
      <c r="T862" s="573" t="s">
        <v>1894</v>
      </c>
      <c r="U862" s="573">
        <v>147.6</v>
      </c>
      <c r="V862" s="573">
        <v>25</v>
      </c>
      <c r="W862" s="616">
        <v>8600</v>
      </c>
      <c r="X862" s="617" t="s">
        <v>157</v>
      </c>
      <c r="Y862" s="617" t="s">
        <v>178</v>
      </c>
      <c r="Z862" s="617" t="s">
        <v>178</v>
      </c>
      <c r="AA862" s="618">
        <v>37270</v>
      </c>
      <c r="AB862" s="618" t="s">
        <v>164</v>
      </c>
      <c r="AC862" s="618">
        <v>26200</v>
      </c>
      <c r="AD862" s="619">
        <v>0.01</v>
      </c>
      <c r="AE862" s="617" t="s">
        <v>2017</v>
      </c>
    </row>
    <row r="863" spans="1:31" s="572" customFormat="1">
      <c r="A863" s="570" t="s">
        <v>2029</v>
      </c>
      <c r="B863" s="569" t="s">
        <v>278</v>
      </c>
      <c r="C863" s="580">
        <v>15</v>
      </c>
      <c r="D863" s="569" t="s">
        <v>1516</v>
      </c>
      <c r="E863" s="569" t="s">
        <v>1914</v>
      </c>
      <c r="F863" s="569" t="s">
        <v>271</v>
      </c>
      <c r="G863" s="569">
        <v>2019</v>
      </c>
      <c r="H863" s="569" t="s">
        <v>1915</v>
      </c>
      <c r="I863" s="569" t="s">
        <v>2014</v>
      </c>
      <c r="J863" s="569" t="s">
        <v>236</v>
      </c>
      <c r="K863" s="569">
        <v>2</v>
      </c>
      <c r="L863" s="569">
        <v>0</v>
      </c>
      <c r="M863" s="569" t="s">
        <v>157</v>
      </c>
      <c r="N863" s="569">
        <v>1</v>
      </c>
      <c r="O863" s="569">
        <v>83.2</v>
      </c>
      <c r="P863" s="568" t="s">
        <v>157</v>
      </c>
      <c r="Q863" s="569" t="s">
        <v>682</v>
      </c>
      <c r="R863" s="569">
        <v>6</v>
      </c>
      <c r="S863" s="569" t="s">
        <v>2015</v>
      </c>
      <c r="T863" s="569" t="s">
        <v>1894</v>
      </c>
      <c r="U863" s="569">
        <v>147.6</v>
      </c>
      <c r="V863" s="569">
        <v>25</v>
      </c>
      <c r="W863" s="620">
        <v>8600</v>
      </c>
      <c r="X863" s="621" t="s">
        <v>157</v>
      </c>
      <c r="Y863" s="621" t="s">
        <v>178</v>
      </c>
      <c r="Z863" s="621" t="s">
        <v>178</v>
      </c>
      <c r="AA863" s="622">
        <v>35405</v>
      </c>
      <c r="AB863" s="622" t="s">
        <v>164</v>
      </c>
      <c r="AC863" s="622">
        <v>24600</v>
      </c>
      <c r="AD863" s="623">
        <v>0.01</v>
      </c>
      <c r="AE863" s="621" t="s">
        <v>2019</v>
      </c>
    </row>
    <row r="864" spans="1:31" s="572" customFormat="1">
      <c r="A864" s="570" t="s">
        <v>2030</v>
      </c>
      <c r="B864" s="573" t="s">
        <v>278</v>
      </c>
      <c r="C864" s="578">
        <v>15</v>
      </c>
      <c r="D864" s="573" t="s">
        <v>1516</v>
      </c>
      <c r="E864" s="573" t="s">
        <v>1914</v>
      </c>
      <c r="F864" s="573" t="s">
        <v>271</v>
      </c>
      <c r="G864" s="573">
        <v>2019</v>
      </c>
      <c r="H864" s="573" t="s">
        <v>1915</v>
      </c>
      <c r="I864" s="573" t="s">
        <v>2014</v>
      </c>
      <c r="J864" s="573" t="s">
        <v>236</v>
      </c>
      <c r="K864" s="573">
        <v>2</v>
      </c>
      <c r="L864" s="573">
        <v>0</v>
      </c>
      <c r="M864" s="573" t="s">
        <v>157</v>
      </c>
      <c r="N864" s="573">
        <v>1</v>
      </c>
      <c r="O864" s="573">
        <v>83.6</v>
      </c>
      <c r="P864" s="571" t="s">
        <v>157</v>
      </c>
      <c r="Q864" s="573" t="s">
        <v>1917</v>
      </c>
      <c r="R864" s="573">
        <v>5</v>
      </c>
      <c r="S864" s="582" t="s">
        <v>2022</v>
      </c>
      <c r="T864" s="573" t="s">
        <v>1894</v>
      </c>
      <c r="U864" s="573">
        <v>129.9</v>
      </c>
      <c r="V864" s="573">
        <v>25</v>
      </c>
      <c r="W864" s="616">
        <v>8600</v>
      </c>
      <c r="X864" s="617" t="s">
        <v>157</v>
      </c>
      <c r="Y864" s="617" t="s">
        <v>728</v>
      </c>
      <c r="Z864" s="617" t="s">
        <v>1523</v>
      </c>
      <c r="AA864" s="618">
        <v>38525</v>
      </c>
      <c r="AB864" s="618" t="s">
        <v>164</v>
      </c>
      <c r="AC864" s="618">
        <v>27350</v>
      </c>
      <c r="AD864" s="619">
        <v>0.01</v>
      </c>
      <c r="AE864" s="617" t="s">
        <v>2021</v>
      </c>
    </row>
    <row r="865" spans="1:31" s="572" customFormat="1">
      <c r="A865" s="570" t="s">
        <v>2031</v>
      </c>
      <c r="B865" s="569" t="s">
        <v>278</v>
      </c>
      <c r="C865" s="580">
        <v>15</v>
      </c>
      <c r="D865" s="569" t="s">
        <v>1516</v>
      </c>
      <c r="E865" s="569" t="s">
        <v>1914</v>
      </c>
      <c r="F865" s="569" t="s">
        <v>271</v>
      </c>
      <c r="G865" s="569">
        <v>2019</v>
      </c>
      <c r="H865" s="569" t="s">
        <v>1915</v>
      </c>
      <c r="I865" s="569" t="s">
        <v>2014</v>
      </c>
      <c r="J865" s="569" t="s">
        <v>236</v>
      </c>
      <c r="K865" s="569">
        <v>2</v>
      </c>
      <c r="L865" s="569">
        <v>0</v>
      </c>
      <c r="M865" s="569" t="s">
        <v>157</v>
      </c>
      <c r="N865" s="569">
        <v>1</v>
      </c>
      <c r="O865" s="569">
        <v>83.6</v>
      </c>
      <c r="P865" s="568" t="s">
        <v>157</v>
      </c>
      <c r="Q865" s="569" t="s">
        <v>1259</v>
      </c>
      <c r="R865" s="569">
        <v>6</v>
      </c>
      <c r="S865" s="569" t="s">
        <v>2022</v>
      </c>
      <c r="T865" s="569" t="s">
        <v>1894</v>
      </c>
      <c r="U865" s="569">
        <v>129.9</v>
      </c>
      <c r="V865" s="569">
        <v>25</v>
      </c>
      <c r="W865" s="620">
        <v>8600</v>
      </c>
      <c r="X865" s="621" t="s">
        <v>157</v>
      </c>
      <c r="Y865" s="621" t="s">
        <v>178</v>
      </c>
      <c r="Z865" s="621" t="s">
        <v>178</v>
      </c>
      <c r="AA865" s="622">
        <v>36395</v>
      </c>
      <c r="AB865" s="622" t="s">
        <v>164</v>
      </c>
      <c r="AC865" s="622">
        <v>25400</v>
      </c>
      <c r="AD865" s="623">
        <v>0.01</v>
      </c>
      <c r="AE865" s="621" t="s">
        <v>2024</v>
      </c>
    </row>
    <row r="866" spans="1:31" s="572" customFormat="1">
      <c r="A866" s="570" t="s">
        <v>2032</v>
      </c>
      <c r="B866" s="573" t="s">
        <v>278</v>
      </c>
      <c r="C866" s="578">
        <v>15</v>
      </c>
      <c r="D866" s="573" t="s">
        <v>1516</v>
      </c>
      <c r="E866" s="573" t="s">
        <v>1914</v>
      </c>
      <c r="F866" s="573" t="s">
        <v>271</v>
      </c>
      <c r="G866" s="573">
        <v>2019</v>
      </c>
      <c r="H866" s="573" t="s">
        <v>1915</v>
      </c>
      <c r="I866" s="573" t="s">
        <v>2014</v>
      </c>
      <c r="J866" s="573" t="s">
        <v>236</v>
      </c>
      <c r="K866" s="573">
        <v>2</v>
      </c>
      <c r="L866" s="573">
        <v>0</v>
      </c>
      <c r="M866" s="573" t="s">
        <v>157</v>
      </c>
      <c r="N866" s="573">
        <v>1</v>
      </c>
      <c r="O866" s="573">
        <v>83.6</v>
      </c>
      <c r="P866" s="571" t="s">
        <v>157</v>
      </c>
      <c r="Q866" s="573" t="s">
        <v>682</v>
      </c>
      <c r="R866" s="573">
        <v>6</v>
      </c>
      <c r="S866" s="582" t="s">
        <v>2022</v>
      </c>
      <c r="T866" s="573" t="s">
        <v>1894</v>
      </c>
      <c r="U866" s="573">
        <v>129.9</v>
      </c>
      <c r="V866" s="573">
        <v>25</v>
      </c>
      <c r="W866" s="616">
        <v>8600</v>
      </c>
      <c r="X866" s="617" t="s">
        <v>157</v>
      </c>
      <c r="Y866" s="617" t="s">
        <v>178</v>
      </c>
      <c r="Z866" s="617" t="s">
        <v>178</v>
      </c>
      <c r="AA866" s="618">
        <v>34530</v>
      </c>
      <c r="AB866" s="618" t="s">
        <v>164</v>
      </c>
      <c r="AC866" s="618">
        <v>23700</v>
      </c>
      <c r="AD866" s="619">
        <v>0.01</v>
      </c>
      <c r="AE866" s="617" t="s">
        <v>2026</v>
      </c>
    </row>
    <row r="867" spans="1:31" s="572" customFormat="1">
      <c r="A867" s="570" t="s">
        <v>2033</v>
      </c>
      <c r="B867" s="569" t="s">
        <v>287</v>
      </c>
      <c r="C867" s="580">
        <v>26</v>
      </c>
      <c r="D867" s="569" t="s">
        <v>1516</v>
      </c>
      <c r="E867" s="569" t="s">
        <v>1914</v>
      </c>
      <c r="F867" s="569" t="s">
        <v>271</v>
      </c>
      <c r="G867" s="569">
        <v>2019</v>
      </c>
      <c r="H867" s="569" t="s">
        <v>1915</v>
      </c>
      <c r="I867" s="569" t="s">
        <v>2014</v>
      </c>
      <c r="J867" s="569" t="s">
        <v>236</v>
      </c>
      <c r="K867" s="569">
        <v>2</v>
      </c>
      <c r="L867" s="569">
        <v>0</v>
      </c>
      <c r="M867" s="569" t="s">
        <v>157</v>
      </c>
      <c r="N867" s="569">
        <v>1</v>
      </c>
      <c r="O867" s="569">
        <v>83.2</v>
      </c>
      <c r="P867" s="568" t="s">
        <v>157</v>
      </c>
      <c r="Q867" s="569" t="s">
        <v>1917</v>
      </c>
      <c r="R867" s="569">
        <v>5</v>
      </c>
      <c r="S867" s="569" t="s">
        <v>2015</v>
      </c>
      <c r="T867" s="569" t="s">
        <v>1894</v>
      </c>
      <c r="U867" s="569">
        <v>147.6</v>
      </c>
      <c r="V867" s="569">
        <v>25</v>
      </c>
      <c r="W867" s="620">
        <v>8600</v>
      </c>
      <c r="X867" s="621" t="s">
        <v>157</v>
      </c>
      <c r="Y867" s="621" t="s">
        <v>728</v>
      </c>
      <c r="Z867" s="621" t="s">
        <v>1523</v>
      </c>
      <c r="AA867" s="622">
        <v>38400</v>
      </c>
      <c r="AB867" s="622" t="s">
        <v>164</v>
      </c>
      <c r="AC867" s="622">
        <v>28670</v>
      </c>
      <c r="AD867" s="623">
        <v>0.05</v>
      </c>
      <c r="AE867" s="621" t="s">
        <v>2013</v>
      </c>
    </row>
    <row r="868" spans="1:31" s="572" customFormat="1">
      <c r="A868" s="570" t="s">
        <v>2034</v>
      </c>
      <c r="B868" s="573" t="s">
        <v>287</v>
      </c>
      <c r="C868" s="578">
        <v>26</v>
      </c>
      <c r="D868" s="573" t="s">
        <v>1516</v>
      </c>
      <c r="E868" s="573" t="s">
        <v>1914</v>
      </c>
      <c r="F868" s="573" t="s">
        <v>271</v>
      </c>
      <c r="G868" s="573">
        <v>2019</v>
      </c>
      <c r="H868" s="573" t="s">
        <v>1915</v>
      </c>
      <c r="I868" s="573" t="s">
        <v>2014</v>
      </c>
      <c r="J868" s="573" t="s">
        <v>236</v>
      </c>
      <c r="K868" s="573">
        <v>2</v>
      </c>
      <c r="L868" s="573">
        <v>0</v>
      </c>
      <c r="M868" s="573" t="s">
        <v>157</v>
      </c>
      <c r="N868" s="573">
        <v>1</v>
      </c>
      <c r="O868" s="573">
        <v>83.2</v>
      </c>
      <c r="P868" s="571" t="s">
        <v>157</v>
      </c>
      <c r="Q868" s="573" t="s">
        <v>1259</v>
      </c>
      <c r="R868" s="573">
        <v>6</v>
      </c>
      <c r="S868" s="582" t="s">
        <v>2015</v>
      </c>
      <c r="T868" s="573" t="s">
        <v>1894</v>
      </c>
      <c r="U868" s="573">
        <v>147.6</v>
      </c>
      <c r="V868" s="573">
        <v>25</v>
      </c>
      <c r="W868" s="616">
        <v>8600</v>
      </c>
      <c r="X868" s="617" t="s">
        <v>157</v>
      </c>
      <c r="Y868" s="617" t="s">
        <v>178</v>
      </c>
      <c r="Z868" s="617" t="s">
        <v>178</v>
      </c>
      <c r="AA868" s="618">
        <v>37270</v>
      </c>
      <c r="AB868" s="618" t="s">
        <v>164</v>
      </c>
      <c r="AC868" s="618">
        <v>26717</v>
      </c>
      <c r="AD868" s="619">
        <v>0.05</v>
      </c>
      <c r="AE868" s="617" t="s">
        <v>2017</v>
      </c>
    </row>
    <row r="869" spans="1:31" s="572" customFormat="1">
      <c r="A869" s="570" t="s">
        <v>2035</v>
      </c>
      <c r="B869" s="569" t="s">
        <v>287</v>
      </c>
      <c r="C869" s="580">
        <v>26</v>
      </c>
      <c r="D869" s="569" t="s">
        <v>1516</v>
      </c>
      <c r="E869" s="569" t="s">
        <v>1914</v>
      </c>
      <c r="F869" s="569" t="s">
        <v>271</v>
      </c>
      <c r="G869" s="569">
        <v>2019</v>
      </c>
      <c r="H869" s="569" t="s">
        <v>1915</v>
      </c>
      <c r="I869" s="569" t="s">
        <v>2014</v>
      </c>
      <c r="J869" s="569" t="s">
        <v>236</v>
      </c>
      <c r="K869" s="569">
        <v>2</v>
      </c>
      <c r="L869" s="569">
        <v>0</v>
      </c>
      <c r="M869" s="569" t="s">
        <v>157</v>
      </c>
      <c r="N869" s="569">
        <v>1</v>
      </c>
      <c r="O869" s="569">
        <v>83.2</v>
      </c>
      <c r="P869" s="568" t="s">
        <v>157</v>
      </c>
      <c r="Q869" s="569" t="s">
        <v>682</v>
      </c>
      <c r="R869" s="569">
        <v>6</v>
      </c>
      <c r="S869" s="569" t="s">
        <v>2015</v>
      </c>
      <c r="T869" s="569" t="s">
        <v>1894</v>
      </c>
      <c r="U869" s="569">
        <v>147.6</v>
      </c>
      <c r="V869" s="569">
        <v>25</v>
      </c>
      <c r="W869" s="620">
        <v>8600</v>
      </c>
      <c r="X869" s="621" t="s">
        <v>157</v>
      </c>
      <c r="Y869" s="621" t="s">
        <v>178</v>
      </c>
      <c r="Z869" s="621" t="s">
        <v>178</v>
      </c>
      <c r="AA869" s="622">
        <v>35405</v>
      </c>
      <c r="AB869" s="622" t="s">
        <v>164</v>
      </c>
      <c r="AC869" s="622">
        <v>25007</v>
      </c>
      <c r="AD869" s="623">
        <v>0.05</v>
      </c>
      <c r="AE869" s="621" t="s">
        <v>2019</v>
      </c>
    </row>
    <row r="870" spans="1:31" s="572" customFormat="1">
      <c r="A870" s="570" t="s">
        <v>2036</v>
      </c>
      <c r="B870" s="573" t="s">
        <v>287</v>
      </c>
      <c r="C870" s="578">
        <v>26</v>
      </c>
      <c r="D870" s="573" t="s">
        <v>1516</v>
      </c>
      <c r="E870" s="573" t="s">
        <v>1914</v>
      </c>
      <c r="F870" s="573" t="s">
        <v>271</v>
      </c>
      <c r="G870" s="573">
        <v>2019</v>
      </c>
      <c r="H870" s="573" t="s">
        <v>1915</v>
      </c>
      <c r="I870" s="573" t="s">
        <v>2014</v>
      </c>
      <c r="J870" s="573" t="s">
        <v>236</v>
      </c>
      <c r="K870" s="573">
        <v>2</v>
      </c>
      <c r="L870" s="573">
        <v>0</v>
      </c>
      <c r="M870" s="573" t="s">
        <v>157</v>
      </c>
      <c r="N870" s="573">
        <v>1</v>
      </c>
      <c r="O870" s="573">
        <v>83.6</v>
      </c>
      <c r="P870" s="571" t="s">
        <v>157</v>
      </c>
      <c r="Q870" s="573" t="s">
        <v>1917</v>
      </c>
      <c r="R870" s="573">
        <v>5</v>
      </c>
      <c r="S870" s="582" t="s">
        <v>2022</v>
      </c>
      <c r="T870" s="573" t="s">
        <v>1894</v>
      </c>
      <c r="U870" s="573">
        <v>129.9</v>
      </c>
      <c r="V870" s="573">
        <v>25</v>
      </c>
      <c r="W870" s="616">
        <v>8600</v>
      </c>
      <c r="X870" s="617" t="s">
        <v>157</v>
      </c>
      <c r="Y870" s="617" t="s">
        <v>728</v>
      </c>
      <c r="Z870" s="617" t="s">
        <v>1523</v>
      </c>
      <c r="AA870" s="618">
        <v>38525</v>
      </c>
      <c r="AB870" s="618" t="s">
        <v>164</v>
      </c>
      <c r="AC870" s="618">
        <v>27846</v>
      </c>
      <c r="AD870" s="619">
        <v>0.05</v>
      </c>
      <c r="AE870" s="617" t="s">
        <v>2021</v>
      </c>
    </row>
    <row r="871" spans="1:31" s="572" customFormat="1">
      <c r="A871" s="570" t="s">
        <v>2037</v>
      </c>
      <c r="B871" s="569" t="s">
        <v>287</v>
      </c>
      <c r="C871" s="580">
        <v>26</v>
      </c>
      <c r="D871" s="569" t="s">
        <v>1516</v>
      </c>
      <c r="E871" s="569" t="s">
        <v>1914</v>
      </c>
      <c r="F871" s="569" t="s">
        <v>271</v>
      </c>
      <c r="G871" s="569">
        <v>2019</v>
      </c>
      <c r="H871" s="569" t="s">
        <v>1915</v>
      </c>
      <c r="I871" s="569" t="s">
        <v>2014</v>
      </c>
      <c r="J871" s="569" t="s">
        <v>236</v>
      </c>
      <c r="K871" s="569">
        <v>2</v>
      </c>
      <c r="L871" s="569">
        <v>0</v>
      </c>
      <c r="M871" s="569" t="s">
        <v>157</v>
      </c>
      <c r="N871" s="569">
        <v>1</v>
      </c>
      <c r="O871" s="569">
        <v>83.6</v>
      </c>
      <c r="P871" s="568" t="s">
        <v>157</v>
      </c>
      <c r="Q871" s="569" t="s">
        <v>1259</v>
      </c>
      <c r="R871" s="569">
        <v>6</v>
      </c>
      <c r="S871" s="569" t="s">
        <v>2022</v>
      </c>
      <c r="T871" s="569" t="s">
        <v>1894</v>
      </c>
      <c r="U871" s="569">
        <v>129.9</v>
      </c>
      <c r="V871" s="569">
        <v>25</v>
      </c>
      <c r="W871" s="620">
        <v>8600</v>
      </c>
      <c r="X871" s="621" t="s">
        <v>157</v>
      </c>
      <c r="Y871" s="621" t="s">
        <v>178</v>
      </c>
      <c r="Z871" s="621" t="s">
        <v>178</v>
      </c>
      <c r="AA871" s="622">
        <v>36395</v>
      </c>
      <c r="AB871" s="622" t="s">
        <v>164</v>
      </c>
      <c r="AC871" s="622">
        <v>25891</v>
      </c>
      <c r="AD871" s="623">
        <v>0.05</v>
      </c>
      <c r="AE871" s="621" t="s">
        <v>2024</v>
      </c>
    </row>
    <row r="872" spans="1:31" s="572" customFormat="1">
      <c r="A872" s="570" t="s">
        <v>2038</v>
      </c>
      <c r="B872" s="573" t="s">
        <v>287</v>
      </c>
      <c r="C872" s="578">
        <v>26</v>
      </c>
      <c r="D872" s="573" t="s">
        <v>1516</v>
      </c>
      <c r="E872" s="573" t="s">
        <v>1914</v>
      </c>
      <c r="F872" s="573" t="s">
        <v>271</v>
      </c>
      <c r="G872" s="573">
        <v>2019</v>
      </c>
      <c r="H872" s="573" t="s">
        <v>1915</v>
      </c>
      <c r="I872" s="573" t="s">
        <v>2014</v>
      </c>
      <c r="J872" s="573" t="s">
        <v>236</v>
      </c>
      <c r="K872" s="573">
        <v>2</v>
      </c>
      <c r="L872" s="573">
        <v>0</v>
      </c>
      <c r="M872" s="573" t="s">
        <v>157</v>
      </c>
      <c r="N872" s="573">
        <v>1</v>
      </c>
      <c r="O872" s="573">
        <v>83.6</v>
      </c>
      <c r="P872" s="571" t="s">
        <v>157</v>
      </c>
      <c r="Q872" s="573" t="s">
        <v>682</v>
      </c>
      <c r="R872" s="573">
        <v>6</v>
      </c>
      <c r="S872" s="582" t="s">
        <v>2022</v>
      </c>
      <c r="T872" s="573" t="s">
        <v>1894</v>
      </c>
      <c r="U872" s="573">
        <v>129.9</v>
      </c>
      <c r="V872" s="573">
        <v>25</v>
      </c>
      <c r="W872" s="616">
        <v>8600</v>
      </c>
      <c r="X872" s="617" t="s">
        <v>157</v>
      </c>
      <c r="Y872" s="617" t="s">
        <v>178</v>
      </c>
      <c r="Z872" s="617" t="s">
        <v>178</v>
      </c>
      <c r="AA872" s="618">
        <v>34530</v>
      </c>
      <c r="AB872" s="618" t="s">
        <v>164</v>
      </c>
      <c r="AC872" s="618">
        <v>24180</v>
      </c>
      <c r="AD872" s="619">
        <v>0.05</v>
      </c>
      <c r="AE872" s="617" t="s">
        <v>2026</v>
      </c>
    </row>
    <row r="873" spans="1:31" s="572" customFormat="1">
      <c r="A873" s="570" t="s">
        <v>2039</v>
      </c>
      <c r="B873" s="569" t="s">
        <v>280</v>
      </c>
      <c r="C873" s="580">
        <v>27</v>
      </c>
      <c r="D873" s="569" t="s">
        <v>1516</v>
      </c>
      <c r="E873" s="569" t="s">
        <v>1914</v>
      </c>
      <c r="F873" s="569" t="s">
        <v>271</v>
      </c>
      <c r="G873" s="569">
        <v>2019</v>
      </c>
      <c r="H873" s="569" t="s">
        <v>1915</v>
      </c>
      <c r="I873" s="569" t="s">
        <v>2014</v>
      </c>
      <c r="J873" s="569" t="s">
        <v>236</v>
      </c>
      <c r="K873" s="569">
        <v>2</v>
      </c>
      <c r="L873" s="569">
        <v>0</v>
      </c>
      <c r="M873" s="569" t="s">
        <v>157</v>
      </c>
      <c r="N873" s="569">
        <v>1</v>
      </c>
      <c r="O873" s="569">
        <v>83.2</v>
      </c>
      <c r="P873" s="568" t="s">
        <v>157</v>
      </c>
      <c r="Q873" s="569" t="s">
        <v>1917</v>
      </c>
      <c r="R873" s="569">
        <v>5</v>
      </c>
      <c r="S873" s="569" t="s">
        <v>2015</v>
      </c>
      <c r="T873" s="569" t="s">
        <v>1894</v>
      </c>
      <c r="U873" s="569">
        <v>147.6</v>
      </c>
      <c r="V873" s="569">
        <v>25</v>
      </c>
      <c r="W873" s="620">
        <v>8600</v>
      </c>
      <c r="X873" s="621" t="s">
        <v>157</v>
      </c>
      <c r="Y873" s="621" t="s">
        <v>728</v>
      </c>
      <c r="Z873" s="621" t="s">
        <v>1523</v>
      </c>
      <c r="AA873" s="622">
        <v>39400</v>
      </c>
      <c r="AB873" s="622" t="s">
        <v>164</v>
      </c>
      <c r="AC873" s="622">
        <v>27671.083333333332</v>
      </c>
      <c r="AD873" s="623">
        <v>0.03</v>
      </c>
      <c r="AE873" s="621" t="s">
        <v>2013</v>
      </c>
    </row>
    <row r="874" spans="1:31" s="572" customFormat="1">
      <c r="A874" s="570" t="s">
        <v>2040</v>
      </c>
      <c r="B874" s="573" t="s">
        <v>280</v>
      </c>
      <c r="C874" s="578">
        <v>27</v>
      </c>
      <c r="D874" s="573" t="s">
        <v>1516</v>
      </c>
      <c r="E874" s="573" t="s">
        <v>1914</v>
      </c>
      <c r="F874" s="573" t="s">
        <v>271</v>
      </c>
      <c r="G874" s="573">
        <v>2019</v>
      </c>
      <c r="H874" s="573" t="s">
        <v>1915</v>
      </c>
      <c r="I874" s="573" t="s">
        <v>2014</v>
      </c>
      <c r="J874" s="573" t="s">
        <v>236</v>
      </c>
      <c r="K874" s="573">
        <v>2</v>
      </c>
      <c r="L874" s="573">
        <v>0</v>
      </c>
      <c r="M874" s="573" t="s">
        <v>157</v>
      </c>
      <c r="N874" s="573">
        <v>1</v>
      </c>
      <c r="O874" s="573">
        <v>83.2</v>
      </c>
      <c r="P874" s="571" t="s">
        <v>157</v>
      </c>
      <c r="Q874" s="573" t="s">
        <v>1259</v>
      </c>
      <c r="R874" s="573">
        <v>6</v>
      </c>
      <c r="S874" s="582" t="s">
        <v>2015</v>
      </c>
      <c r="T874" s="573" t="s">
        <v>1894</v>
      </c>
      <c r="U874" s="573">
        <v>147.6</v>
      </c>
      <c r="V874" s="573">
        <v>25</v>
      </c>
      <c r="W874" s="616">
        <v>8600</v>
      </c>
      <c r="X874" s="617" t="s">
        <v>157</v>
      </c>
      <c r="Y874" s="617" t="s">
        <v>178</v>
      </c>
      <c r="Z874" s="617" t="s">
        <v>178</v>
      </c>
      <c r="AA874" s="618">
        <v>37270</v>
      </c>
      <c r="AB874" s="618" t="s">
        <v>164</v>
      </c>
      <c r="AC874" s="618">
        <v>25777.791666666668</v>
      </c>
      <c r="AD874" s="619">
        <v>0.03</v>
      </c>
      <c r="AE874" s="617" t="s">
        <v>2017</v>
      </c>
    </row>
    <row r="875" spans="1:31" s="572" customFormat="1">
      <c r="A875" s="570" t="s">
        <v>2041</v>
      </c>
      <c r="B875" s="569" t="s">
        <v>280</v>
      </c>
      <c r="C875" s="580">
        <v>27</v>
      </c>
      <c r="D875" s="569" t="s">
        <v>1516</v>
      </c>
      <c r="E875" s="569" t="s">
        <v>1914</v>
      </c>
      <c r="F875" s="569" t="s">
        <v>271</v>
      </c>
      <c r="G875" s="569">
        <v>2019</v>
      </c>
      <c r="H875" s="569" t="s">
        <v>1915</v>
      </c>
      <c r="I875" s="569" t="s">
        <v>2014</v>
      </c>
      <c r="J875" s="569" t="s">
        <v>236</v>
      </c>
      <c r="K875" s="569">
        <v>2</v>
      </c>
      <c r="L875" s="569">
        <v>0</v>
      </c>
      <c r="M875" s="569" t="s">
        <v>157</v>
      </c>
      <c r="N875" s="569">
        <v>1</v>
      </c>
      <c r="O875" s="569">
        <v>83.2</v>
      </c>
      <c r="P875" s="568" t="s">
        <v>157</v>
      </c>
      <c r="Q875" s="569" t="s">
        <v>682</v>
      </c>
      <c r="R875" s="569">
        <v>6</v>
      </c>
      <c r="S875" s="569" t="s">
        <v>2015</v>
      </c>
      <c r="T875" s="569" t="s">
        <v>1894</v>
      </c>
      <c r="U875" s="569">
        <v>147.6</v>
      </c>
      <c r="V875" s="569">
        <v>25</v>
      </c>
      <c r="W875" s="620">
        <v>8600</v>
      </c>
      <c r="X875" s="621" t="s">
        <v>157</v>
      </c>
      <c r="Y875" s="621" t="s">
        <v>178</v>
      </c>
      <c r="Z875" s="621" t="s">
        <v>178</v>
      </c>
      <c r="AA875" s="622">
        <v>35405</v>
      </c>
      <c r="AB875" s="622" t="s">
        <v>164</v>
      </c>
      <c r="AC875" s="622">
        <v>24121.541666666668</v>
      </c>
      <c r="AD875" s="623">
        <v>0.03</v>
      </c>
      <c r="AE875" s="621" t="s">
        <v>2019</v>
      </c>
    </row>
    <row r="876" spans="1:31" s="572" customFormat="1">
      <c r="A876" s="570" t="s">
        <v>2042</v>
      </c>
      <c r="B876" s="573" t="s">
        <v>280</v>
      </c>
      <c r="C876" s="578">
        <v>27</v>
      </c>
      <c r="D876" s="573" t="s">
        <v>1516</v>
      </c>
      <c r="E876" s="573" t="s">
        <v>1914</v>
      </c>
      <c r="F876" s="573" t="s">
        <v>271</v>
      </c>
      <c r="G876" s="573">
        <v>2019</v>
      </c>
      <c r="H876" s="573" t="s">
        <v>1915</v>
      </c>
      <c r="I876" s="573" t="s">
        <v>2014</v>
      </c>
      <c r="J876" s="573" t="s">
        <v>236</v>
      </c>
      <c r="K876" s="573">
        <v>2</v>
      </c>
      <c r="L876" s="573">
        <v>0</v>
      </c>
      <c r="M876" s="573" t="s">
        <v>157</v>
      </c>
      <c r="N876" s="573">
        <v>1</v>
      </c>
      <c r="O876" s="573">
        <v>83.6</v>
      </c>
      <c r="P876" s="571" t="s">
        <v>157</v>
      </c>
      <c r="Q876" s="573" t="s">
        <v>1917</v>
      </c>
      <c r="R876" s="573">
        <v>5</v>
      </c>
      <c r="S876" s="582" t="s">
        <v>2022</v>
      </c>
      <c r="T876" s="573" t="s">
        <v>1894</v>
      </c>
      <c r="U876" s="573">
        <v>129.9</v>
      </c>
      <c r="V876" s="573">
        <v>25</v>
      </c>
      <c r="W876" s="616">
        <v>8600</v>
      </c>
      <c r="X876" s="617" t="s">
        <v>157</v>
      </c>
      <c r="Y876" s="617" t="s">
        <v>728</v>
      </c>
      <c r="Z876" s="617" t="s">
        <v>1523</v>
      </c>
      <c r="AA876" s="618">
        <v>38525</v>
      </c>
      <c r="AB876" s="618" t="s">
        <v>164</v>
      </c>
      <c r="AC876" s="618">
        <v>26871.083333333332</v>
      </c>
      <c r="AD876" s="619">
        <v>0.03</v>
      </c>
      <c r="AE876" s="617" t="s">
        <v>2021</v>
      </c>
    </row>
    <row r="877" spans="1:31" s="572" customFormat="1">
      <c r="A877" s="570" t="s">
        <v>2043</v>
      </c>
      <c r="B877" s="569" t="s">
        <v>280</v>
      </c>
      <c r="C877" s="580">
        <v>27</v>
      </c>
      <c r="D877" s="569" t="s">
        <v>1516</v>
      </c>
      <c r="E877" s="569" t="s">
        <v>1914</v>
      </c>
      <c r="F877" s="569" t="s">
        <v>271</v>
      </c>
      <c r="G877" s="569">
        <v>2019</v>
      </c>
      <c r="H877" s="569" t="s">
        <v>1915</v>
      </c>
      <c r="I877" s="569" t="s">
        <v>2014</v>
      </c>
      <c r="J877" s="569" t="s">
        <v>236</v>
      </c>
      <c r="K877" s="569">
        <v>2</v>
      </c>
      <c r="L877" s="569">
        <v>0</v>
      </c>
      <c r="M877" s="569" t="s">
        <v>157</v>
      </c>
      <c r="N877" s="569">
        <v>1</v>
      </c>
      <c r="O877" s="569">
        <v>83.6</v>
      </c>
      <c r="P877" s="568" t="s">
        <v>157</v>
      </c>
      <c r="Q877" s="569" t="s">
        <v>1259</v>
      </c>
      <c r="R877" s="569">
        <v>6</v>
      </c>
      <c r="S877" s="569" t="s">
        <v>2022</v>
      </c>
      <c r="T877" s="569" t="s">
        <v>1894</v>
      </c>
      <c r="U877" s="569">
        <v>129.9</v>
      </c>
      <c r="V877" s="569">
        <v>25</v>
      </c>
      <c r="W877" s="620">
        <v>8600</v>
      </c>
      <c r="X877" s="621" t="s">
        <v>157</v>
      </c>
      <c r="Y877" s="621" t="s">
        <v>178</v>
      </c>
      <c r="Z877" s="621" t="s">
        <v>178</v>
      </c>
      <c r="AA877" s="622">
        <v>36395</v>
      </c>
      <c r="AB877" s="622" t="s">
        <v>164</v>
      </c>
      <c r="AC877" s="622">
        <v>24977.791666666668</v>
      </c>
      <c r="AD877" s="623">
        <v>0.03</v>
      </c>
      <c r="AE877" s="621" t="s">
        <v>2024</v>
      </c>
    </row>
    <row r="878" spans="1:31" s="572" customFormat="1">
      <c r="A878" s="570" t="s">
        <v>2044</v>
      </c>
      <c r="B878" s="573" t="s">
        <v>280</v>
      </c>
      <c r="C878" s="578">
        <v>27</v>
      </c>
      <c r="D878" s="573" t="s">
        <v>1516</v>
      </c>
      <c r="E878" s="573" t="s">
        <v>1914</v>
      </c>
      <c r="F878" s="573" t="s">
        <v>271</v>
      </c>
      <c r="G878" s="573">
        <v>2019</v>
      </c>
      <c r="H878" s="573" t="s">
        <v>1915</v>
      </c>
      <c r="I878" s="573" t="s">
        <v>2014</v>
      </c>
      <c r="J878" s="573" t="s">
        <v>236</v>
      </c>
      <c r="K878" s="573">
        <v>2</v>
      </c>
      <c r="L878" s="573">
        <v>0</v>
      </c>
      <c r="M878" s="573" t="s">
        <v>157</v>
      </c>
      <c r="N878" s="573">
        <v>1</v>
      </c>
      <c r="O878" s="573">
        <v>83.6</v>
      </c>
      <c r="P878" s="571" t="s">
        <v>157</v>
      </c>
      <c r="Q878" s="573" t="s">
        <v>682</v>
      </c>
      <c r="R878" s="573">
        <v>6</v>
      </c>
      <c r="S878" s="582" t="s">
        <v>2022</v>
      </c>
      <c r="T878" s="573" t="s">
        <v>1894</v>
      </c>
      <c r="U878" s="573">
        <v>129.9</v>
      </c>
      <c r="V878" s="573">
        <v>25</v>
      </c>
      <c r="W878" s="616">
        <v>8600</v>
      </c>
      <c r="X878" s="617" t="s">
        <v>157</v>
      </c>
      <c r="Y878" s="617" t="s">
        <v>178</v>
      </c>
      <c r="Z878" s="617" t="s">
        <v>178</v>
      </c>
      <c r="AA878" s="618">
        <v>34530</v>
      </c>
      <c r="AB878" s="618" t="s">
        <v>164</v>
      </c>
      <c r="AC878" s="618">
        <v>23321.541666666668</v>
      </c>
      <c r="AD878" s="619">
        <v>0.03</v>
      </c>
      <c r="AE878" s="617" t="s">
        <v>2026</v>
      </c>
    </row>
    <row r="879" spans="1:31" s="572" customFormat="1">
      <c r="A879" s="570" t="s">
        <v>2045</v>
      </c>
      <c r="B879" s="569" t="s">
        <v>269</v>
      </c>
      <c r="C879" s="580" t="s">
        <v>270</v>
      </c>
      <c r="D879" s="569" t="s">
        <v>1516</v>
      </c>
      <c r="E879" s="569" t="s">
        <v>1890</v>
      </c>
      <c r="F879" s="569" t="s">
        <v>271</v>
      </c>
      <c r="G879" s="569">
        <v>2019</v>
      </c>
      <c r="H879" s="569" t="s">
        <v>2047</v>
      </c>
      <c r="I879" s="569" t="s">
        <v>2048</v>
      </c>
      <c r="J879" s="569" t="s">
        <v>236</v>
      </c>
      <c r="K879" s="569">
        <v>10</v>
      </c>
      <c r="L879" s="569">
        <v>0</v>
      </c>
      <c r="M879" s="569" t="s">
        <v>157</v>
      </c>
      <c r="N879" s="569">
        <v>4</v>
      </c>
      <c r="O879" s="569">
        <v>82.2</v>
      </c>
      <c r="P879" s="568" t="s">
        <v>157</v>
      </c>
      <c r="Q879" s="569" t="s">
        <v>1259</v>
      </c>
      <c r="R879" s="569">
        <v>6</v>
      </c>
      <c r="S879" s="569" t="s">
        <v>2049</v>
      </c>
      <c r="T879" s="569" t="s">
        <v>434</v>
      </c>
      <c r="U879" s="569">
        <v>129.9</v>
      </c>
      <c r="V879" s="569">
        <v>25</v>
      </c>
      <c r="W879" s="620">
        <v>8550</v>
      </c>
      <c r="X879" s="621" t="s">
        <v>157</v>
      </c>
      <c r="Y879" s="621" t="s">
        <v>178</v>
      </c>
      <c r="Z879" s="621" t="s">
        <v>178</v>
      </c>
      <c r="AA879" s="622">
        <v>40500</v>
      </c>
      <c r="AB879" s="622" t="s">
        <v>164</v>
      </c>
      <c r="AC879" s="622">
        <v>28489.25</v>
      </c>
      <c r="AD879" s="623">
        <v>0.03</v>
      </c>
      <c r="AE879" s="621" t="s">
        <v>2046</v>
      </c>
    </row>
    <row r="880" spans="1:31" s="572" customFormat="1">
      <c r="A880" s="570" t="s">
        <v>2050</v>
      </c>
      <c r="B880" s="573" t="s">
        <v>269</v>
      </c>
      <c r="C880" s="578" t="s">
        <v>270</v>
      </c>
      <c r="D880" s="573" t="s">
        <v>1516</v>
      </c>
      <c r="E880" s="573" t="s">
        <v>1890</v>
      </c>
      <c r="F880" s="573" t="s">
        <v>271</v>
      </c>
      <c r="G880" s="573">
        <v>2019</v>
      </c>
      <c r="H880" s="573" t="s">
        <v>2047</v>
      </c>
      <c r="I880" s="573" t="s">
        <v>2048</v>
      </c>
      <c r="J880" s="573" t="s">
        <v>236</v>
      </c>
      <c r="K880" s="573">
        <v>10</v>
      </c>
      <c r="L880" s="573">
        <v>0</v>
      </c>
      <c r="M880" s="573" t="s">
        <v>157</v>
      </c>
      <c r="N880" s="573">
        <v>4</v>
      </c>
      <c r="O880" s="573">
        <v>82.2</v>
      </c>
      <c r="P880" s="571" t="s">
        <v>157</v>
      </c>
      <c r="Q880" s="573" t="s">
        <v>682</v>
      </c>
      <c r="R880" s="573">
        <v>6</v>
      </c>
      <c r="S880" s="582" t="s">
        <v>2049</v>
      </c>
      <c r="T880" s="573" t="s">
        <v>434</v>
      </c>
      <c r="U880" s="573">
        <v>129.9</v>
      </c>
      <c r="V880" s="573">
        <v>25</v>
      </c>
      <c r="W880" s="616">
        <v>8550</v>
      </c>
      <c r="X880" s="617" t="s">
        <v>157</v>
      </c>
      <c r="Y880" s="617" t="s">
        <v>178</v>
      </c>
      <c r="Z880" s="617" t="s">
        <v>178</v>
      </c>
      <c r="AA880" s="618">
        <v>38635</v>
      </c>
      <c r="AB880" s="618" t="s">
        <v>164</v>
      </c>
      <c r="AC880" s="618">
        <v>26833</v>
      </c>
      <c r="AD880" s="619">
        <v>0.03</v>
      </c>
      <c r="AE880" s="617" t="s">
        <v>2051</v>
      </c>
    </row>
    <row r="881" spans="1:31" s="572" customFormat="1">
      <c r="A881" s="570" t="s">
        <v>2052</v>
      </c>
      <c r="B881" s="569" t="s">
        <v>269</v>
      </c>
      <c r="C881" s="580" t="s">
        <v>270</v>
      </c>
      <c r="D881" s="569" t="s">
        <v>1516</v>
      </c>
      <c r="E881" s="569" t="s">
        <v>1890</v>
      </c>
      <c r="F881" s="569" t="s">
        <v>271</v>
      </c>
      <c r="G881" s="569">
        <v>2019</v>
      </c>
      <c r="H881" s="569" t="s">
        <v>2047</v>
      </c>
      <c r="I881" s="569" t="s">
        <v>2048</v>
      </c>
      <c r="J881" s="569" t="s">
        <v>236</v>
      </c>
      <c r="K881" s="569">
        <v>10</v>
      </c>
      <c r="L881" s="569">
        <v>0</v>
      </c>
      <c r="M881" s="569" t="s">
        <v>157</v>
      </c>
      <c r="N881" s="569">
        <v>4</v>
      </c>
      <c r="O881" s="569">
        <v>98.7</v>
      </c>
      <c r="P881" s="568" t="s">
        <v>157</v>
      </c>
      <c r="Q881" s="569" t="s">
        <v>1259</v>
      </c>
      <c r="R881" s="569">
        <v>6</v>
      </c>
      <c r="S881" s="569" t="s">
        <v>1910</v>
      </c>
      <c r="T881" s="569" t="s">
        <v>434</v>
      </c>
      <c r="U881" s="569">
        <v>129.9</v>
      </c>
      <c r="V881" s="569">
        <v>25</v>
      </c>
      <c r="W881" s="620">
        <v>8550</v>
      </c>
      <c r="X881" s="621" t="s">
        <v>157</v>
      </c>
      <c r="Y881" s="621" t="s">
        <v>178</v>
      </c>
      <c r="Z881" s="621" t="s">
        <v>178</v>
      </c>
      <c r="AA881" s="622">
        <v>41950</v>
      </c>
      <c r="AB881" s="622" t="s">
        <v>164</v>
      </c>
      <c r="AC881" s="622">
        <v>32105.916666666668</v>
      </c>
      <c r="AD881" s="623">
        <v>0.03</v>
      </c>
      <c r="AE881" s="621" t="s">
        <v>2053</v>
      </c>
    </row>
    <row r="882" spans="1:31" s="572" customFormat="1">
      <c r="A882" s="570" t="s">
        <v>2054</v>
      </c>
      <c r="B882" s="573" t="s">
        <v>269</v>
      </c>
      <c r="C882" s="578" t="s">
        <v>270</v>
      </c>
      <c r="D882" s="573" t="s">
        <v>1516</v>
      </c>
      <c r="E882" s="573" t="s">
        <v>1890</v>
      </c>
      <c r="F882" s="573" t="s">
        <v>271</v>
      </c>
      <c r="G882" s="573">
        <v>2019</v>
      </c>
      <c r="H882" s="573" t="s">
        <v>2047</v>
      </c>
      <c r="I882" s="573" t="s">
        <v>2048</v>
      </c>
      <c r="J882" s="573" t="s">
        <v>236</v>
      </c>
      <c r="K882" s="573">
        <v>10</v>
      </c>
      <c r="L882" s="573">
        <v>0</v>
      </c>
      <c r="M882" s="573" t="s">
        <v>157</v>
      </c>
      <c r="N882" s="573">
        <v>4</v>
      </c>
      <c r="O882" s="573">
        <v>98.7</v>
      </c>
      <c r="P882" s="571" t="s">
        <v>157</v>
      </c>
      <c r="Q882" s="573" t="s">
        <v>682</v>
      </c>
      <c r="R882" s="573">
        <v>6</v>
      </c>
      <c r="S882" s="582" t="s">
        <v>1910</v>
      </c>
      <c r="T882" s="573" t="s">
        <v>434</v>
      </c>
      <c r="U882" s="573">
        <v>129.9</v>
      </c>
      <c r="V882" s="573">
        <v>25</v>
      </c>
      <c r="W882" s="616">
        <v>8550</v>
      </c>
      <c r="X882" s="617" t="s">
        <v>157</v>
      </c>
      <c r="Y882" s="617" t="s">
        <v>178</v>
      </c>
      <c r="Z882" s="617" t="s">
        <v>178</v>
      </c>
      <c r="AA882" s="618">
        <v>40085</v>
      </c>
      <c r="AB882" s="618" t="s">
        <v>164</v>
      </c>
      <c r="AC882" s="618">
        <v>30449.666666666668</v>
      </c>
      <c r="AD882" s="619">
        <v>0.03</v>
      </c>
      <c r="AE882" s="617" t="s">
        <v>2055</v>
      </c>
    </row>
    <row r="883" spans="1:31" s="572" customFormat="1">
      <c r="A883" s="570" t="s">
        <v>2056</v>
      </c>
      <c r="B883" s="569" t="s">
        <v>269</v>
      </c>
      <c r="C883" s="580" t="s">
        <v>270</v>
      </c>
      <c r="D883" s="569" t="s">
        <v>1516</v>
      </c>
      <c r="E883" s="569" t="s">
        <v>1890</v>
      </c>
      <c r="F883" s="569" t="s">
        <v>271</v>
      </c>
      <c r="G883" s="569">
        <v>2019</v>
      </c>
      <c r="H883" s="569" t="s">
        <v>2047</v>
      </c>
      <c r="I883" s="569" t="s">
        <v>2048</v>
      </c>
      <c r="J883" s="569" t="s">
        <v>236</v>
      </c>
      <c r="K883" s="569">
        <v>8</v>
      </c>
      <c r="L883" s="569">
        <v>0</v>
      </c>
      <c r="M883" s="569" t="s">
        <v>157</v>
      </c>
      <c r="N883" s="569">
        <v>3</v>
      </c>
      <c r="O883" s="569">
        <v>82.2</v>
      </c>
      <c r="P883" s="568" t="s">
        <v>157</v>
      </c>
      <c r="Q883" s="569" t="s">
        <v>1259</v>
      </c>
      <c r="R883" s="569">
        <v>6</v>
      </c>
      <c r="S883" s="569" t="s">
        <v>2049</v>
      </c>
      <c r="T883" s="569" t="s">
        <v>434</v>
      </c>
      <c r="U883" s="569">
        <v>129.9</v>
      </c>
      <c r="V883" s="569">
        <v>25</v>
      </c>
      <c r="W883" s="620">
        <v>8550</v>
      </c>
      <c r="X883" s="621" t="s">
        <v>157</v>
      </c>
      <c r="Y883" s="621" t="s">
        <v>178</v>
      </c>
      <c r="Z883" s="621" t="s">
        <v>178</v>
      </c>
      <c r="AA883" s="622">
        <v>39250</v>
      </c>
      <c r="AB883" s="622" t="s">
        <v>164</v>
      </c>
      <c r="AC883" s="622">
        <v>27378.833333333336</v>
      </c>
      <c r="AD883" s="623">
        <v>0.03</v>
      </c>
      <c r="AE883" s="621" t="s">
        <v>2057</v>
      </c>
    </row>
    <row r="884" spans="1:31" s="572" customFormat="1">
      <c r="A884" s="570" t="s">
        <v>2058</v>
      </c>
      <c r="B884" s="573" t="s">
        <v>269</v>
      </c>
      <c r="C884" s="578" t="s">
        <v>270</v>
      </c>
      <c r="D884" s="573" t="s">
        <v>1516</v>
      </c>
      <c r="E884" s="573" t="s">
        <v>1890</v>
      </c>
      <c r="F884" s="573" t="s">
        <v>271</v>
      </c>
      <c r="G884" s="573">
        <v>2019</v>
      </c>
      <c r="H884" s="573" t="s">
        <v>2047</v>
      </c>
      <c r="I884" s="573" t="s">
        <v>2048</v>
      </c>
      <c r="J884" s="573" t="s">
        <v>236</v>
      </c>
      <c r="K884" s="573">
        <v>8</v>
      </c>
      <c r="L884" s="573">
        <v>0</v>
      </c>
      <c r="M884" s="573" t="s">
        <v>157</v>
      </c>
      <c r="N884" s="573">
        <v>3</v>
      </c>
      <c r="O884" s="573">
        <v>82.2</v>
      </c>
      <c r="P884" s="571" t="s">
        <v>157</v>
      </c>
      <c r="Q884" s="573" t="s">
        <v>682</v>
      </c>
      <c r="R884" s="573">
        <v>6</v>
      </c>
      <c r="S884" s="582" t="s">
        <v>2049</v>
      </c>
      <c r="T884" s="573" t="s">
        <v>434</v>
      </c>
      <c r="U884" s="573">
        <v>129.9</v>
      </c>
      <c r="V884" s="573">
        <v>25</v>
      </c>
      <c r="W884" s="616">
        <v>8550</v>
      </c>
      <c r="X884" s="617" t="s">
        <v>157</v>
      </c>
      <c r="Y884" s="617" t="s">
        <v>178</v>
      </c>
      <c r="Z884" s="617" t="s">
        <v>178</v>
      </c>
      <c r="AA884" s="618">
        <v>37385</v>
      </c>
      <c r="AB884" s="618" t="s">
        <v>164</v>
      </c>
      <c r="AC884" s="618">
        <v>25722.583333333336</v>
      </c>
      <c r="AD884" s="619">
        <v>0.03</v>
      </c>
      <c r="AE884" s="617" t="s">
        <v>2059</v>
      </c>
    </row>
    <row r="885" spans="1:31" s="572" customFormat="1">
      <c r="A885" s="570" t="s">
        <v>2060</v>
      </c>
      <c r="B885" s="569" t="s">
        <v>269</v>
      </c>
      <c r="C885" s="580" t="s">
        <v>270</v>
      </c>
      <c r="D885" s="569" t="s">
        <v>1516</v>
      </c>
      <c r="E885" s="569" t="s">
        <v>1890</v>
      </c>
      <c r="F885" s="569" t="s">
        <v>271</v>
      </c>
      <c r="G885" s="569">
        <v>2019</v>
      </c>
      <c r="H885" s="569" t="s">
        <v>2047</v>
      </c>
      <c r="I885" s="569" t="s">
        <v>2048</v>
      </c>
      <c r="J885" s="569" t="s">
        <v>236</v>
      </c>
      <c r="K885" s="569">
        <v>8</v>
      </c>
      <c r="L885" s="569">
        <v>0</v>
      </c>
      <c r="M885" s="569" t="s">
        <v>157</v>
      </c>
      <c r="N885" s="569">
        <v>3</v>
      </c>
      <c r="O885" s="569">
        <v>98.7</v>
      </c>
      <c r="P885" s="568" t="s">
        <v>157</v>
      </c>
      <c r="Q885" s="569" t="s">
        <v>1259</v>
      </c>
      <c r="R885" s="569">
        <v>6</v>
      </c>
      <c r="S885" s="569" t="s">
        <v>1910</v>
      </c>
      <c r="T885" s="569" t="s">
        <v>434</v>
      </c>
      <c r="U885" s="569">
        <v>129.9</v>
      </c>
      <c r="V885" s="569">
        <v>25</v>
      </c>
      <c r="W885" s="620">
        <v>8550</v>
      </c>
      <c r="X885" s="621" t="s">
        <v>157</v>
      </c>
      <c r="Y885" s="621" t="s">
        <v>178</v>
      </c>
      <c r="Z885" s="621" t="s">
        <v>178</v>
      </c>
      <c r="AA885" s="622">
        <v>40700</v>
      </c>
      <c r="AB885" s="622" t="s">
        <v>164</v>
      </c>
      <c r="AC885" s="622">
        <v>30995.5</v>
      </c>
      <c r="AD885" s="623">
        <v>0.03</v>
      </c>
      <c r="AE885" s="621" t="s">
        <v>2061</v>
      </c>
    </row>
    <row r="886" spans="1:31" s="572" customFormat="1">
      <c r="A886" s="570" t="s">
        <v>2062</v>
      </c>
      <c r="B886" s="573" t="s">
        <v>269</v>
      </c>
      <c r="C886" s="578" t="s">
        <v>270</v>
      </c>
      <c r="D886" s="573" t="s">
        <v>1516</v>
      </c>
      <c r="E886" s="573" t="s">
        <v>1890</v>
      </c>
      <c r="F886" s="573" t="s">
        <v>271</v>
      </c>
      <c r="G886" s="573">
        <v>2019</v>
      </c>
      <c r="H886" s="573" t="s">
        <v>2047</v>
      </c>
      <c r="I886" s="573" t="s">
        <v>2048</v>
      </c>
      <c r="J886" s="573" t="s">
        <v>236</v>
      </c>
      <c r="K886" s="573">
        <v>8</v>
      </c>
      <c r="L886" s="573">
        <v>0</v>
      </c>
      <c r="M886" s="573" t="s">
        <v>157</v>
      </c>
      <c r="N886" s="573">
        <v>3</v>
      </c>
      <c r="O886" s="573">
        <v>98.7</v>
      </c>
      <c r="P886" s="571" t="s">
        <v>157</v>
      </c>
      <c r="Q886" s="573" t="s">
        <v>682</v>
      </c>
      <c r="R886" s="573">
        <v>6</v>
      </c>
      <c r="S886" s="582" t="s">
        <v>1910</v>
      </c>
      <c r="T886" s="573" t="s">
        <v>434</v>
      </c>
      <c r="U886" s="573">
        <v>129.9</v>
      </c>
      <c r="V886" s="573">
        <v>25</v>
      </c>
      <c r="W886" s="616">
        <v>8550</v>
      </c>
      <c r="X886" s="617" t="s">
        <v>157</v>
      </c>
      <c r="Y886" s="617" t="s">
        <v>178</v>
      </c>
      <c r="Z886" s="617" t="s">
        <v>178</v>
      </c>
      <c r="AA886" s="618">
        <v>38835</v>
      </c>
      <c r="AB886" s="618" t="s">
        <v>164</v>
      </c>
      <c r="AC886" s="618">
        <v>29339.25</v>
      </c>
      <c r="AD886" s="619">
        <v>0.03</v>
      </c>
      <c r="AE886" s="617" t="s">
        <v>2063</v>
      </c>
    </row>
    <row r="887" spans="1:31" s="572" customFormat="1">
      <c r="A887" s="570" t="s">
        <v>2064</v>
      </c>
      <c r="B887" s="569" t="s">
        <v>278</v>
      </c>
      <c r="C887" s="580">
        <v>15</v>
      </c>
      <c r="D887" s="569" t="s">
        <v>1516</v>
      </c>
      <c r="E887" s="569" t="s">
        <v>1890</v>
      </c>
      <c r="F887" s="569" t="s">
        <v>271</v>
      </c>
      <c r="G887" s="569">
        <v>2019</v>
      </c>
      <c r="H887" s="569" t="s">
        <v>2047</v>
      </c>
      <c r="I887" s="569" t="s">
        <v>2048</v>
      </c>
      <c r="J887" s="569" t="s">
        <v>236</v>
      </c>
      <c r="K887" s="569">
        <v>10</v>
      </c>
      <c r="L887" s="569">
        <v>0</v>
      </c>
      <c r="M887" s="569" t="s">
        <v>157</v>
      </c>
      <c r="N887" s="569">
        <v>4</v>
      </c>
      <c r="O887" s="569">
        <v>82.2</v>
      </c>
      <c r="P887" s="568" t="s">
        <v>157</v>
      </c>
      <c r="Q887" s="569" t="s">
        <v>1259</v>
      </c>
      <c r="R887" s="569">
        <v>6</v>
      </c>
      <c r="S887" s="569" t="s">
        <v>2049</v>
      </c>
      <c r="T887" s="569" t="s">
        <v>434</v>
      </c>
      <c r="U887" s="569">
        <v>129.9</v>
      </c>
      <c r="V887" s="569">
        <v>25</v>
      </c>
      <c r="W887" s="620">
        <v>8550</v>
      </c>
      <c r="X887" s="621" t="s">
        <v>157</v>
      </c>
      <c r="Y887" s="621" t="s">
        <v>178</v>
      </c>
      <c r="Z887" s="621" t="s">
        <v>178</v>
      </c>
      <c r="AA887" s="622">
        <v>40500</v>
      </c>
      <c r="AB887" s="622" t="s">
        <v>164</v>
      </c>
      <c r="AC887" s="622">
        <v>28900</v>
      </c>
      <c r="AD887" s="623">
        <v>0.01</v>
      </c>
      <c r="AE887" s="621" t="s">
        <v>2046</v>
      </c>
    </row>
    <row r="888" spans="1:31" s="572" customFormat="1">
      <c r="A888" s="570" t="s">
        <v>2065</v>
      </c>
      <c r="B888" s="573" t="s">
        <v>278</v>
      </c>
      <c r="C888" s="578">
        <v>15</v>
      </c>
      <c r="D888" s="573" t="s">
        <v>1516</v>
      </c>
      <c r="E888" s="573" t="s">
        <v>1890</v>
      </c>
      <c r="F888" s="573" t="s">
        <v>271</v>
      </c>
      <c r="G888" s="573">
        <v>2019</v>
      </c>
      <c r="H888" s="573" t="s">
        <v>2047</v>
      </c>
      <c r="I888" s="573" t="s">
        <v>2048</v>
      </c>
      <c r="J888" s="573" t="s">
        <v>236</v>
      </c>
      <c r="K888" s="573">
        <v>10</v>
      </c>
      <c r="L888" s="573">
        <v>0</v>
      </c>
      <c r="M888" s="573" t="s">
        <v>157</v>
      </c>
      <c r="N888" s="573">
        <v>4</v>
      </c>
      <c r="O888" s="573">
        <v>82.2</v>
      </c>
      <c r="P888" s="571" t="s">
        <v>157</v>
      </c>
      <c r="Q888" s="573" t="s">
        <v>682</v>
      </c>
      <c r="R888" s="573">
        <v>6</v>
      </c>
      <c r="S888" s="582" t="s">
        <v>2049</v>
      </c>
      <c r="T888" s="573" t="s">
        <v>434</v>
      </c>
      <c r="U888" s="573">
        <v>129.9</v>
      </c>
      <c r="V888" s="573">
        <v>25</v>
      </c>
      <c r="W888" s="616">
        <v>8550</v>
      </c>
      <c r="X888" s="617" t="s">
        <v>157</v>
      </c>
      <c r="Y888" s="617" t="s">
        <v>178</v>
      </c>
      <c r="Z888" s="617" t="s">
        <v>178</v>
      </c>
      <c r="AA888" s="618">
        <v>38635</v>
      </c>
      <c r="AB888" s="618" t="s">
        <v>164</v>
      </c>
      <c r="AC888" s="618">
        <v>27300</v>
      </c>
      <c r="AD888" s="619">
        <v>0.01</v>
      </c>
      <c r="AE888" s="617" t="s">
        <v>2051</v>
      </c>
    </row>
    <row r="889" spans="1:31" s="572" customFormat="1">
      <c r="A889" s="570" t="s">
        <v>2066</v>
      </c>
      <c r="B889" s="569" t="s">
        <v>278</v>
      </c>
      <c r="C889" s="580">
        <v>15</v>
      </c>
      <c r="D889" s="569" t="s">
        <v>1516</v>
      </c>
      <c r="E889" s="569" t="s">
        <v>1890</v>
      </c>
      <c r="F889" s="569" t="s">
        <v>271</v>
      </c>
      <c r="G889" s="569">
        <v>2019</v>
      </c>
      <c r="H889" s="569" t="s">
        <v>2047</v>
      </c>
      <c r="I889" s="569" t="s">
        <v>2048</v>
      </c>
      <c r="J889" s="569" t="s">
        <v>236</v>
      </c>
      <c r="K889" s="569">
        <v>10</v>
      </c>
      <c r="L889" s="569">
        <v>0</v>
      </c>
      <c r="M889" s="569" t="s">
        <v>157</v>
      </c>
      <c r="N889" s="569">
        <v>4</v>
      </c>
      <c r="O889" s="569">
        <v>98.7</v>
      </c>
      <c r="P889" s="568" t="s">
        <v>157</v>
      </c>
      <c r="Q889" s="569" t="s">
        <v>1259</v>
      </c>
      <c r="R889" s="569">
        <v>6</v>
      </c>
      <c r="S889" s="569" t="s">
        <v>1910</v>
      </c>
      <c r="T889" s="569" t="s">
        <v>434</v>
      </c>
      <c r="U889" s="569">
        <v>129.9</v>
      </c>
      <c r="V889" s="569">
        <v>25</v>
      </c>
      <c r="W889" s="620">
        <v>8550</v>
      </c>
      <c r="X889" s="621" t="s">
        <v>157</v>
      </c>
      <c r="Y889" s="621" t="s">
        <v>178</v>
      </c>
      <c r="Z889" s="621" t="s">
        <v>178</v>
      </c>
      <c r="AA889" s="622">
        <v>41950</v>
      </c>
      <c r="AB889" s="622" t="s">
        <v>164</v>
      </c>
      <c r="AC889" s="622">
        <v>32700</v>
      </c>
      <c r="AD889" s="623">
        <v>0.01</v>
      </c>
      <c r="AE889" s="621" t="s">
        <v>2053</v>
      </c>
    </row>
    <row r="890" spans="1:31" s="572" customFormat="1">
      <c r="A890" s="570" t="s">
        <v>2067</v>
      </c>
      <c r="B890" s="573" t="s">
        <v>278</v>
      </c>
      <c r="C890" s="578">
        <v>15</v>
      </c>
      <c r="D890" s="573" t="s">
        <v>1516</v>
      </c>
      <c r="E890" s="573" t="s">
        <v>1890</v>
      </c>
      <c r="F890" s="573" t="s">
        <v>271</v>
      </c>
      <c r="G890" s="573">
        <v>2019</v>
      </c>
      <c r="H890" s="573" t="s">
        <v>2047</v>
      </c>
      <c r="I890" s="573" t="s">
        <v>2048</v>
      </c>
      <c r="J890" s="573" t="s">
        <v>236</v>
      </c>
      <c r="K890" s="573">
        <v>10</v>
      </c>
      <c r="L890" s="573">
        <v>0</v>
      </c>
      <c r="M890" s="573" t="s">
        <v>157</v>
      </c>
      <c r="N890" s="573">
        <v>4</v>
      </c>
      <c r="O890" s="573">
        <v>98.7</v>
      </c>
      <c r="P890" s="571" t="s">
        <v>157</v>
      </c>
      <c r="Q890" s="573" t="s">
        <v>682</v>
      </c>
      <c r="R890" s="573">
        <v>6</v>
      </c>
      <c r="S890" s="582" t="s">
        <v>1910</v>
      </c>
      <c r="T890" s="573" t="s">
        <v>434</v>
      </c>
      <c r="U890" s="573">
        <v>129.9</v>
      </c>
      <c r="V890" s="573">
        <v>25</v>
      </c>
      <c r="W890" s="616">
        <v>8550</v>
      </c>
      <c r="X890" s="617" t="s">
        <v>157</v>
      </c>
      <c r="Y890" s="617" t="s">
        <v>178</v>
      </c>
      <c r="Z890" s="617" t="s">
        <v>178</v>
      </c>
      <c r="AA890" s="618">
        <v>40085</v>
      </c>
      <c r="AB890" s="618" t="s">
        <v>164</v>
      </c>
      <c r="AC890" s="618">
        <v>31000</v>
      </c>
      <c r="AD890" s="619">
        <v>0.01</v>
      </c>
      <c r="AE890" s="617" t="s">
        <v>2055</v>
      </c>
    </row>
    <row r="891" spans="1:31" s="572" customFormat="1">
      <c r="A891" s="570" t="s">
        <v>2068</v>
      </c>
      <c r="B891" s="569" t="s">
        <v>278</v>
      </c>
      <c r="C891" s="580">
        <v>15</v>
      </c>
      <c r="D891" s="569" t="s">
        <v>1516</v>
      </c>
      <c r="E891" s="569" t="s">
        <v>1890</v>
      </c>
      <c r="F891" s="569" t="s">
        <v>271</v>
      </c>
      <c r="G891" s="569">
        <v>2019</v>
      </c>
      <c r="H891" s="569" t="s">
        <v>2047</v>
      </c>
      <c r="I891" s="569" t="s">
        <v>2048</v>
      </c>
      <c r="J891" s="569" t="s">
        <v>236</v>
      </c>
      <c r="K891" s="569">
        <v>8</v>
      </c>
      <c r="L891" s="569">
        <v>0</v>
      </c>
      <c r="M891" s="569" t="s">
        <v>157</v>
      </c>
      <c r="N891" s="569">
        <v>3</v>
      </c>
      <c r="O891" s="569">
        <v>82.2</v>
      </c>
      <c r="P891" s="568" t="s">
        <v>157</v>
      </c>
      <c r="Q891" s="569" t="s">
        <v>1259</v>
      </c>
      <c r="R891" s="569">
        <v>6</v>
      </c>
      <c r="S891" s="569" t="s">
        <v>2049</v>
      </c>
      <c r="T891" s="569" t="s">
        <v>434</v>
      </c>
      <c r="U891" s="569">
        <v>129.9</v>
      </c>
      <c r="V891" s="569">
        <v>25</v>
      </c>
      <c r="W891" s="620">
        <v>8550</v>
      </c>
      <c r="X891" s="621" t="s">
        <v>157</v>
      </c>
      <c r="Y891" s="621" t="s">
        <v>178</v>
      </c>
      <c r="Z891" s="621" t="s">
        <v>178</v>
      </c>
      <c r="AA891" s="622">
        <v>39250</v>
      </c>
      <c r="AB891" s="622" t="s">
        <v>164</v>
      </c>
      <c r="AC891" s="622">
        <v>27800</v>
      </c>
      <c r="AD891" s="623">
        <v>0.01</v>
      </c>
      <c r="AE891" s="621" t="s">
        <v>2057</v>
      </c>
    </row>
    <row r="892" spans="1:31" s="572" customFormat="1">
      <c r="A892" s="570" t="s">
        <v>2069</v>
      </c>
      <c r="B892" s="573" t="s">
        <v>278</v>
      </c>
      <c r="C892" s="578">
        <v>15</v>
      </c>
      <c r="D892" s="573" t="s">
        <v>1516</v>
      </c>
      <c r="E892" s="573" t="s">
        <v>1890</v>
      </c>
      <c r="F892" s="573" t="s">
        <v>271</v>
      </c>
      <c r="G892" s="573">
        <v>2019</v>
      </c>
      <c r="H892" s="573" t="s">
        <v>2047</v>
      </c>
      <c r="I892" s="573" t="s">
        <v>2048</v>
      </c>
      <c r="J892" s="573" t="s">
        <v>236</v>
      </c>
      <c r="K892" s="573">
        <v>8</v>
      </c>
      <c r="L892" s="573">
        <v>0</v>
      </c>
      <c r="M892" s="573" t="s">
        <v>157</v>
      </c>
      <c r="N892" s="573">
        <v>3</v>
      </c>
      <c r="O892" s="573">
        <v>82.2</v>
      </c>
      <c r="P892" s="571" t="s">
        <v>157</v>
      </c>
      <c r="Q892" s="573" t="s">
        <v>682</v>
      </c>
      <c r="R892" s="573">
        <v>6</v>
      </c>
      <c r="S892" s="582" t="s">
        <v>2049</v>
      </c>
      <c r="T892" s="573" t="s">
        <v>434</v>
      </c>
      <c r="U892" s="573">
        <v>129.9</v>
      </c>
      <c r="V892" s="573">
        <v>25</v>
      </c>
      <c r="W892" s="616">
        <v>8550</v>
      </c>
      <c r="X892" s="617" t="s">
        <v>157</v>
      </c>
      <c r="Y892" s="617" t="s">
        <v>178</v>
      </c>
      <c r="Z892" s="617" t="s">
        <v>178</v>
      </c>
      <c r="AA892" s="618">
        <v>37385</v>
      </c>
      <c r="AB892" s="618" t="s">
        <v>164</v>
      </c>
      <c r="AC892" s="618">
        <v>26400</v>
      </c>
      <c r="AD892" s="619">
        <v>0.01</v>
      </c>
      <c r="AE892" s="617" t="s">
        <v>2059</v>
      </c>
    </row>
    <row r="893" spans="1:31" s="572" customFormat="1">
      <c r="A893" s="570" t="s">
        <v>2070</v>
      </c>
      <c r="B893" s="569" t="s">
        <v>278</v>
      </c>
      <c r="C893" s="580">
        <v>15</v>
      </c>
      <c r="D893" s="569" t="s">
        <v>1516</v>
      </c>
      <c r="E893" s="569" t="s">
        <v>1890</v>
      </c>
      <c r="F893" s="569" t="s">
        <v>271</v>
      </c>
      <c r="G893" s="569">
        <v>2019</v>
      </c>
      <c r="H893" s="569" t="s">
        <v>2047</v>
      </c>
      <c r="I893" s="569" t="s">
        <v>2048</v>
      </c>
      <c r="J893" s="569" t="s">
        <v>236</v>
      </c>
      <c r="K893" s="569">
        <v>8</v>
      </c>
      <c r="L893" s="569">
        <v>0</v>
      </c>
      <c r="M893" s="569" t="s">
        <v>157</v>
      </c>
      <c r="N893" s="569">
        <v>3</v>
      </c>
      <c r="O893" s="569">
        <v>98.7</v>
      </c>
      <c r="P893" s="568" t="s">
        <v>157</v>
      </c>
      <c r="Q893" s="569" t="s">
        <v>1259</v>
      </c>
      <c r="R893" s="569">
        <v>6</v>
      </c>
      <c r="S893" s="569" t="s">
        <v>1910</v>
      </c>
      <c r="T893" s="569" t="s">
        <v>434</v>
      </c>
      <c r="U893" s="569">
        <v>129.9</v>
      </c>
      <c r="V893" s="569">
        <v>25</v>
      </c>
      <c r="W893" s="620">
        <v>8550</v>
      </c>
      <c r="X893" s="621" t="s">
        <v>157</v>
      </c>
      <c r="Y893" s="621" t="s">
        <v>178</v>
      </c>
      <c r="Z893" s="621" t="s">
        <v>178</v>
      </c>
      <c r="AA893" s="622">
        <v>40700</v>
      </c>
      <c r="AB893" s="622" t="s">
        <v>164</v>
      </c>
      <c r="AC893" s="622">
        <v>31600</v>
      </c>
      <c r="AD893" s="623">
        <v>0.01</v>
      </c>
      <c r="AE893" s="621" t="s">
        <v>2061</v>
      </c>
    </row>
    <row r="894" spans="1:31" s="572" customFormat="1">
      <c r="A894" s="570" t="s">
        <v>2071</v>
      </c>
      <c r="B894" s="573" t="s">
        <v>278</v>
      </c>
      <c r="C894" s="578">
        <v>15</v>
      </c>
      <c r="D894" s="573" t="s">
        <v>1516</v>
      </c>
      <c r="E894" s="573" t="s">
        <v>1890</v>
      </c>
      <c r="F894" s="573" t="s">
        <v>271</v>
      </c>
      <c r="G894" s="573">
        <v>2019</v>
      </c>
      <c r="H894" s="573" t="s">
        <v>2047</v>
      </c>
      <c r="I894" s="573" t="s">
        <v>2048</v>
      </c>
      <c r="J894" s="573" t="s">
        <v>236</v>
      </c>
      <c r="K894" s="573">
        <v>8</v>
      </c>
      <c r="L894" s="573">
        <v>0</v>
      </c>
      <c r="M894" s="573" t="s">
        <v>157</v>
      </c>
      <c r="N894" s="573">
        <v>3</v>
      </c>
      <c r="O894" s="573">
        <v>98.7</v>
      </c>
      <c r="P894" s="571" t="s">
        <v>157</v>
      </c>
      <c r="Q894" s="573" t="s">
        <v>682</v>
      </c>
      <c r="R894" s="573">
        <v>6</v>
      </c>
      <c r="S894" s="582" t="s">
        <v>1910</v>
      </c>
      <c r="T894" s="573" t="s">
        <v>434</v>
      </c>
      <c r="U894" s="573">
        <v>129.9</v>
      </c>
      <c r="V894" s="573">
        <v>25</v>
      </c>
      <c r="W894" s="616">
        <v>8550</v>
      </c>
      <c r="X894" s="617" t="s">
        <v>157</v>
      </c>
      <c r="Y894" s="617" t="s">
        <v>178</v>
      </c>
      <c r="Z894" s="617" t="s">
        <v>178</v>
      </c>
      <c r="AA894" s="618">
        <v>38835</v>
      </c>
      <c r="AB894" s="618" t="s">
        <v>164</v>
      </c>
      <c r="AC894" s="618">
        <v>29900</v>
      </c>
      <c r="AD894" s="619">
        <v>0.01</v>
      </c>
      <c r="AE894" s="617" t="s">
        <v>2063</v>
      </c>
    </row>
    <row r="895" spans="1:31" s="572" customFormat="1">
      <c r="A895" s="570" t="s">
        <v>2072</v>
      </c>
      <c r="B895" s="569" t="s">
        <v>287</v>
      </c>
      <c r="C895" s="580">
        <v>26</v>
      </c>
      <c r="D895" s="569" t="s">
        <v>1516</v>
      </c>
      <c r="E895" s="569" t="s">
        <v>1890</v>
      </c>
      <c r="F895" s="569" t="s">
        <v>271</v>
      </c>
      <c r="G895" s="569">
        <v>2019</v>
      </c>
      <c r="H895" s="569" t="s">
        <v>2047</v>
      </c>
      <c r="I895" s="569" t="s">
        <v>2048</v>
      </c>
      <c r="J895" s="569" t="s">
        <v>236</v>
      </c>
      <c r="K895" s="569">
        <v>8</v>
      </c>
      <c r="L895" s="569">
        <v>0</v>
      </c>
      <c r="M895" s="569" t="s">
        <v>157</v>
      </c>
      <c r="N895" s="569">
        <v>3</v>
      </c>
      <c r="O895" s="569">
        <v>82.2</v>
      </c>
      <c r="P895" s="568" t="s">
        <v>157</v>
      </c>
      <c r="Q895" s="569" t="s">
        <v>1259</v>
      </c>
      <c r="R895" s="569">
        <v>6</v>
      </c>
      <c r="S895" s="569" t="s">
        <v>2049</v>
      </c>
      <c r="T895" s="569" t="s">
        <v>434</v>
      </c>
      <c r="U895" s="569">
        <v>129.9</v>
      </c>
      <c r="V895" s="569">
        <v>25</v>
      </c>
      <c r="W895" s="620">
        <v>8550</v>
      </c>
      <c r="X895" s="621" t="s">
        <v>157</v>
      </c>
      <c r="Y895" s="621" t="s">
        <v>178</v>
      </c>
      <c r="Z895" s="621" t="s">
        <v>178</v>
      </c>
      <c r="AA895" s="622">
        <v>39250</v>
      </c>
      <c r="AB895" s="622" t="s">
        <v>164</v>
      </c>
      <c r="AC895" s="622">
        <v>28172</v>
      </c>
      <c r="AD895" s="623">
        <v>0.05</v>
      </c>
      <c r="AE895" s="621" t="s">
        <v>2057</v>
      </c>
    </row>
    <row r="896" spans="1:31" s="572" customFormat="1">
      <c r="A896" s="570" t="s">
        <v>2073</v>
      </c>
      <c r="B896" s="573" t="s">
        <v>287</v>
      </c>
      <c r="C896" s="578">
        <v>26</v>
      </c>
      <c r="D896" s="573" t="s">
        <v>1516</v>
      </c>
      <c r="E896" s="573" t="s">
        <v>1890</v>
      </c>
      <c r="F896" s="573" t="s">
        <v>271</v>
      </c>
      <c r="G896" s="573">
        <v>2019</v>
      </c>
      <c r="H896" s="573" t="s">
        <v>2047</v>
      </c>
      <c r="I896" s="573" t="s">
        <v>2048</v>
      </c>
      <c r="J896" s="573" t="s">
        <v>236</v>
      </c>
      <c r="K896" s="573">
        <v>8</v>
      </c>
      <c r="L896" s="573">
        <v>0</v>
      </c>
      <c r="M896" s="573" t="s">
        <v>157</v>
      </c>
      <c r="N896" s="573">
        <v>3</v>
      </c>
      <c r="O896" s="573">
        <v>82.2</v>
      </c>
      <c r="P896" s="571" t="s">
        <v>157</v>
      </c>
      <c r="Q896" s="573" t="s">
        <v>682</v>
      </c>
      <c r="R896" s="573">
        <v>6</v>
      </c>
      <c r="S896" s="582" t="s">
        <v>2049</v>
      </c>
      <c r="T896" s="573" t="s">
        <v>434</v>
      </c>
      <c r="U896" s="573">
        <v>129.9</v>
      </c>
      <c r="V896" s="573">
        <v>25</v>
      </c>
      <c r="W896" s="616">
        <v>8550</v>
      </c>
      <c r="X896" s="617" t="s">
        <v>157</v>
      </c>
      <c r="Y896" s="617" t="s">
        <v>178</v>
      </c>
      <c r="Z896" s="617" t="s">
        <v>178</v>
      </c>
      <c r="AA896" s="618">
        <v>37385</v>
      </c>
      <c r="AB896" s="618" t="s">
        <v>164</v>
      </c>
      <c r="AC896" s="618">
        <v>26474</v>
      </c>
      <c r="AD896" s="619">
        <v>0.05</v>
      </c>
      <c r="AE896" s="617" t="s">
        <v>2059</v>
      </c>
    </row>
    <row r="897" spans="1:31" s="572" customFormat="1">
      <c r="A897" s="570" t="s">
        <v>2074</v>
      </c>
      <c r="B897" s="569" t="s">
        <v>287</v>
      </c>
      <c r="C897" s="580">
        <v>26</v>
      </c>
      <c r="D897" s="569" t="s">
        <v>1516</v>
      </c>
      <c r="E897" s="569" t="s">
        <v>1890</v>
      </c>
      <c r="F897" s="569" t="s">
        <v>271</v>
      </c>
      <c r="G897" s="569">
        <v>2019</v>
      </c>
      <c r="H897" s="569" t="s">
        <v>2047</v>
      </c>
      <c r="I897" s="569" t="s">
        <v>2048</v>
      </c>
      <c r="J897" s="569" t="s">
        <v>236</v>
      </c>
      <c r="K897" s="569">
        <v>8</v>
      </c>
      <c r="L897" s="569">
        <v>0</v>
      </c>
      <c r="M897" s="569" t="s">
        <v>157</v>
      </c>
      <c r="N897" s="569">
        <v>3</v>
      </c>
      <c r="O897" s="569">
        <v>98.7</v>
      </c>
      <c r="P897" s="568" t="s">
        <v>157</v>
      </c>
      <c r="Q897" s="569" t="s">
        <v>1259</v>
      </c>
      <c r="R897" s="569">
        <v>6</v>
      </c>
      <c r="S897" s="569" t="s">
        <v>1910</v>
      </c>
      <c r="T897" s="569" t="s">
        <v>434</v>
      </c>
      <c r="U897" s="569">
        <v>129.9</v>
      </c>
      <c r="V897" s="569">
        <v>25</v>
      </c>
      <c r="W897" s="620">
        <v>8550</v>
      </c>
      <c r="X897" s="621" t="s">
        <v>157</v>
      </c>
      <c r="Y897" s="621" t="s">
        <v>178</v>
      </c>
      <c r="Z897" s="621" t="s">
        <v>178</v>
      </c>
      <c r="AA897" s="622">
        <v>40700</v>
      </c>
      <c r="AB897" s="622" t="s">
        <v>164</v>
      </c>
      <c r="AC897" s="622">
        <v>31881</v>
      </c>
      <c r="AD897" s="623">
        <v>0.05</v>
      </c>
      <c r="AE897" s="621" t="s">
        <v>2061</v>
      </c>
    </row>
    <row r="898" spans="1:31" s="572" customFormat="1">
      <c r="A898" s="570" t="s">
        <v>2075</v>
      </c>
      <c r="B898" s="573" t="s">
        <v>287</v>
      </c>
      <c r="C898" s="578">
        <v>26</v>
      </c>
      <c r="D898" s="573" t="s">
        <v>1516</v>
      </c>
      <c r="E898" s="573" t="s">
        <v>1890</v>
      </c>
      <c r="F898" s="573" t="s">
        <v>271</v>
      </c>
      <c r="G898" s="573">
        <v>2019</v>
      </c>
      <c r="H898" s="573" t="s">
        <v>2047</v>
      </c>
      <c r="I898" s="573" t="s">
        <v>2048</v>
      </c>
      <c r="J898" s="573" t="s">
        <v>236</v>
      </c>
      <c r="K898" s="573">
        <v>8</v>
      </c>
      <c r="L898" s="573">
        <v>0</v>
      </c>
      <c r="M898" s="573" t="s">
        <v>157</v>
      </c>
      <c r="N898" s="573">
        <v>3</v>
      </c>
      <c r="O898" s="573">
        <v>98.7</v>
      </c>
      <c r="P898" s="571" t="s">
        <v>157</v>
      </c>
      <c r="Q898" s="573" t="s">
        <v>682</v>
      </c>
      <c r="R898" s="573">
        <v>6</v>
      </c>
      <c r="S898" s="582" t="s">
        <v>1910</v>
      </c>
      <c r="T898" s="573" t="s">
        <v>434</v>
      </c>
      <c r="U898" s="573">
        <v>129.9</v>
      </c>
      <c r="V898" s="573">
        <v>25</v>
      </c>
      <c r="W898" s="616">
        <v>8550</v>
      </c>
      <c r="X898" s="617" t="s">
        <v>157</v>
      </c>
      <c r="Y898" s="617" t="s">
        <v>178</v>
      </c>
      <c r="Z898" s="617" t="s">
        <v>178</v>
      </c>
      <c r="AA898" s="618">
        <v>38835</v>
      </c>
      <c r="AB898" s="618" t="s">
        <v>164</v>
      </c>
      <c r="AC898" s="618">
        <v>30183</v>
      </c>
      <c r="AD898" s="619">
        <v>0.05</v>
      </c>
      <c r="AE898" s="617" t="s">
        <v>2063</v>
      </c>
    </row>
    <row r="899" spans="1:31" s="572" customFormat="1">
      <c r="A899" s="570" t="s">
        <v>2076</v>
      </c>
      <c r="B899" s="569" t="s">
        <v>280</v>
      </c>
      <c r="C899" s="580">
        <v>27</v>
      </c>
      <c r="D899" s="569" t="s">
        <v>1516</v>
      </c>
      <c r="E899" s="569" t="s">
        <v>1890</v>
      </c>
      <c r="F899" s="569" t="s">
        <v>271</v>
      </c>
      <c r="G899" s="569">
        <v>2019</v>
      </c>
      <c r="H899" s="569" t="s">
        <v>2047</v>
      </c>
      <c r="I899" s="569" t="s">
        <v>2048</v>
      </c>
      <c r="J899" s="569" t="s">
        <v>236</v>
      </c>
      <c r="K899" s="569">
        <v>10</v>
      </c>
      <c r="L899" s="569">
        <v>0</v>
      </c>
      <c r="M899" s="569" t="s">
        <v>157</v>
      </c>
      <c r="N899" s="569">
        <v>4</v>
      </c>
      <c r="O899" s="569">
        <v>82.2</v>
      </c>
      <c r="P899" s="568" t="s">
        <v>157</v>
      </c>
      <c r="Q899" s="569" t="s">
        <v>1259</v>
      </c>
      <c r="R899" s="569">
        <v>6</v>
      </c>
      <c r="S899" s="569" t="s">
        <v>2049</v>
      </c>
      <c r="T899" s="569" t="s">
        <v>434</v>
      </c>
      <c r="U899" s="569">
        <v>129.9</v>
      </c>
      <c r="V899" s="569">
        <v>25</v>
      </c>
      <c r="W899" s="620">
        <v>8550</v>
      </c>
      <c r="X899" s="621" t="s">
        <v>157</v>
      </c>
      <c r="Y899" s="621" t="s">
        <v>178</v>
      </c>
      <c r="Z899" s="621" t="s">
        <v>178</v>
      </c>
      <c r="AA899" s="622">
        <v>40500</v>
      </c>
      <c r="AB899" s="622" t="s">
        <v>164</v>
      </c>
      <c r="AC899" s="622">
        <v>28489.25</v>
      </c>
      <c r="AD899" s="623">
        <v>0.03</v>
      </c>
      <c r="AE899" s="621" t="s">
        <v>2046</v>
      </c>
    </row>
    <row r="900" spans="1:31" s="572" customFormat="1">
      <c r="A900" s="570" t="s">
        <v>2077</v>
      </c>
      <c r="B900" s="573" t="s">
        <v>280</v>
      </c>
      <c r="C900" s="578">
        <v>27</v>
      </c>
      <c r="D900" s="573" t="s">
        <v>1516</v>
      </c>
      <c r="E900" s="573" t="s">
        <v>1890</v>
      </c>
      <c r="F900" s="573" t="s">
        <v>271</v>
      </c>
      <c r="G900" s="573">
        <v>2019</v>
      </c>
      <c r="H900" s="573" t="s">
        <v>2047</v>
      </c>
      <c r="I900" s="573" t="s">
        <v>2048</v>
      </c>
      <c r="J900" s="573" t="s">
        <v>236</v>
      </c>
      <c r="K900" s="573">
        <v>10</v>
      </c>
      <c r="L900" s="573">
        <v>0</v>
      </c>
      <c r="M900" s="573" t="s">
        <v>157</v>
      </c>
      <c r="N900" s="573">
        <v>4</v>
      </c>
      <c r="O900" s="573">
        <v>82.2</v>
      </c>
      <c r="P900" s="571" t="s">
        <v>157</v>
      </c>
      <c r="Q900" s="573" t="s">
        <v>682</v>
      </c>
      <c r="R900" s="573">
        <v>6</v>
      </c>
      <c r="S900" s="582" t="s">
        <v>2049</v>
      </c>
      <c r="T900" s="573" t="s">
        <v>434</v>
      </c>
      <c r="U900" s="573">
        <v>129.9</v>
      </c>
      <c r="V900" s="573">
        <v>25</v>
      </c>
      <c r="W900" s="616">
        <v>8550</v>
      </c>
      <c r="X900" s="617" t="s">
        <v>157</v>
      </c>
      <c r="Y900" s="617" t="s">
        <v>178</v>
      </c>
      <c r="Z900" s="617" t="s">
        <v>178</v>
      </c>
      <c r="AA900" s="618">
        <v>38635</v>
      </c>
      <c r="AB900" s="618" t="s">
        <v>164</v>
      </c>
      <c r="AC900" s="618">
        <v>26833</v>
      </c>
      <c r="AD900" s="619">
        <v>0.03</v>
      </c>
      <c r="AE900" s="617" t="s">
        <v>2051</v>
      </c>
    </row>
    <row r="901" spans="1:31" s="572" customFormat="1">
      <c r="A901" s="570" t="s">
        <v>2078</v>
      </c>
      <c r="B901" s="569" t="s">
        <v>280</v>
      </c>
      <c r="C901" s="580">
        <v>27</v>
      </c>
      <c r="D901" s="569" t="s">
        <v>1516</v>
      </c>
      <c r="E901" s="569" t="s">
        <v>1890</v>
      </c>
      <c r="F901" s="569" t="s">
        <v>271</v>
      </c>
      <c r="G901" s="569">
        <v>2019</v>
      </c>
      <c r="H901" s="569" t="s">
        <v>2047</v>
      </c>
      <c r="I901" s="569" t="s">
        <v>2048</v>
      </c>
      <c r="J901" s="569" t="s">
        <v>236</v>
      </c>
      <c r="K901" s="569">
        <v>10</v>
      </c>
      <c r="L901" s="569">
        <v>0</v>
      </c>
      <c r="M901" s="569" t="s">
        <v>157</v>
      </c>
      <c r="N901" s="569">
        <v>4</v>
      </c>
      <c r="O901" s="569">
        <v>98.7</v>
      </c>
      <c r="P901" s="568" t="s">
        <v>157</v>
      </c>
      <c r="Q901" s="569" t="s">
        <v>1259</v>
      </c>
      <c r="R901" s="569">
        <v>6</v>
      </c>
      <c r="S901" s="569" t="s">
        <v>1910</v>
      </c>
      <c r="T901" s="569" t="s">
        <v>434</v>
      </c>
      <c r="U901" s="569">
        <v>129.9</v>
      </c>
      <c r="V901" s="569">
        <v>25</v>
      </c>
      <c r="W901" s="620">
        <v>8550</v>
      </c>
      <c r="X901" s="621" t="s">
        <v>157</v>
      </c>
      <c r="Y901" s="621" t="s">
        <v>178</v>
      </c>
      <c r="Z901" s="621" t="s">
        <v>178</v>
      </c>
      <c r="AA901" s="622">
        <v>41950</v>
      </c>
      <c r="AB901" s="622" t="s">
        <v>164</v>
      </c>
      <c r="AC901" s="622">
        <v>32105.916666666668</v>
      </c>
      <c r="AD901" s="623">
        <v>0.03</v>
      </c>
      <c r="AE901" s="621" t="s">
        <v>2053</v>
      </c>
    </row>
    <row r="902" spans="1:31" s="572" customFormat="1">
      <c r="A902" s="570" t="s">
        <v>2079</v>
      </c>
      <c r="B902" s="573" t="s">
        <v>280</v>
      </c>
      <c r="C902" s="578">
        <v>27</v>
      </c>
      <c r="D902" s="573" t="s">
        <v>1516</v>
      </c>
      <c r="E902" s="573" t="s">
        <v>1890</v>
      </c>
      <c r="F902" s="573" t="s">
        <v>271</v>
      </c>
      <c r="G902" s="573">
        <v>2019</v>
      </c>
      <c r="H902" s="573" t="s">
        <v>2047</v>
      </c>
      <c r="I902" s="573" t="s">
        <v>2048</v>
      </c>
      <c r="J902" s="573" t="s">
        <v>236</v>
      </c>
      <c r="K902" s="573">
        <v>10</v>
      </c>
      <c r="L902" s="573">
        <v>0</v>
      </c>
      <c r="M902" s="573" t="s">
        <v>157</v>
      </c>
      <c r="N902" s="573">
        <v>4</v>
      </c>
      <c r="O902" s="573">
        <v>98.7</v>
      </c>
      <c r="P902" s="571" t="s">
        <v>157</v>
      </c>
      <c r="Q902" s="573" t="s">
        <v>682</v>
      </c>
      <c r="R902" s="573">
        <v>6</v>
      </c>
      <c r="S902" s="582" t="s">
        <v>1910</v>
      </c>
      <c r="T902" s="573" t="s">
        <v>434</v>
      </c>
      <c r="U902" s="573">
        <v>129.9</v>
      </c>
      <c r="V902" s="573">
        <v>25</v>
      </c>
      <c r="W902" s="616">
        <v>8550</v>
      </c>
      <c r="X902" s="617" t="s">
        <v>157</v>
      </c>
      <c r="Y902" s="617" t="s">
        <v>178</v>
      </c>
      <c r="Z902" s="617" t="s">
        <v>178</v>
      </c>
      <c r="AA902" s="618">
        <v>40085</v>
      </c>
      <c r="AB902" s="618" t="s">
        <v>164</v>
      </c>
      <c r="AC902" s="618">
        <v>30449.666666666668</v>
      </c>
      <c r="AD902" s="619">
        <v>0.03</v>
      </c>
      <c r="AE902" s="617" t="s">
        <v>2055</v>
      </c>
    </row>
    <row r="903" spans="1:31" s="572" customFormat="1">
      <c r="A903" s="570" t="s">
        <v>2080</v>
      </c>
      <c r="B903" s="569" t="s">
        <v>280</v>
      </c>
      <c r="C903" s="580">
        <v>27</v>
      </c>
      <c r="D903" s="569" t="s">
        <v>1516</v>
      </c>
      <c r="E903" s="569" t="s">
        <v>1890</v>
      </c>
      <c r="F903" s="569" t="s">
        <v>271</v>
      </c>
      <c r="G903" s="569">
        <v>2019</v>
      </c>
      <c r="H903" s="569" t="s">
        <v>2047</v>
      </c>
      <c r="I903" s="569" t="s">
        <v>2048</v>
      </c>
      <c r="J903" s="569" t="s">
        <v>236</v>
      </c>
      <c r="K903" s="569">
        <v>8</v>
      </c>
      <c r="L903" s="569">
        <v>0</v>
      </c>
      <c r="M903" s="569" t="s">
        <v>157</v>
      </c>
      <c r="N903" s="569">
        <v>3</v>
      </c>
      <c r="O903" s="569">
        <v>82.2</v>
      </c>
      <c r="P903" s="568" t="s">
        <v>157</v>
      </c>
      <c r="Q903" s="569" t="s">
        <v>1259</v>
      </c>
      <c r="R903" s="569">
        <v>6</v>
      </c>
      <c r="S903" s="569" t="s">
        <v>2049</v>
      </c>
      <c r="T903" s="569" t="s">
        <v>434</v>
      </c>
      <c r="U903" s="569">
        <v>129.9</v>
      </c>
      <c r="V903" s="569">
        <v>25</v>
      </c>
      <c r="W903" s="620">
        <v>8550</v>
      </c>
      <c r="X903" s="621" t="s">
        <v>157</v>
      </c>
      <c r="Y903" s="621" t="s">
        <v>178</v>
      </c>
      <c r="Z903" s="621" t="s">
        <v>178</v>
      </c>
      <c r="AA903" s="622">
        <v>39250</v>
      </c>
      <c r="AB903" s="622" t="s">
        <v>164</v>
      </c>
      <c r="AC903" s="622">
        <v>27378.833333333336</v>
      </c>
      <c r="AD903" s="623">
        <v>0.03</v>
      </c>
      <c r="AE903" s="621" t="s">
        <v>2057</v>
      </c>
    </row>
    <row r="904" spans="1:31" s="572" customFormat="1">
      <c r="A904" s="570" t="s">
        <v>2081</v>
      </c>
      <c r="B904" s="573" t="s">
        <v>280</v>
      </c>
      <c r="C904" s="578">
        <v>27</v>
      </c>
      <c r="D904" s="573" t="s">
        <v>1516</v>
      </c>
      <c r="E904" s="573" t="s">
        <v>1890</v>
      </c>
      <c r="F904" s="573" t="s">
        <v>271</v>
      </c>
      <c r="G904" s="573">
        <v>2019</v>
      </c>
      <c r="H904" s="573" t="s">
        <v>2047</v>
      </c>
      <c r="I904" s="573" t="s">
        <v>2048</v>
      </c>
      <c r="J904" s="573" t="s">
        <v>236</v>
      </c>
      <c r="K904" s="573">
        <v>8</v>
      </c>
      <c r="L904" s="573">
        <v>0</v>
      </c>
      <c r="M904" s="573" t="s">
        <v>157</v>
      </c>
      <c r="N904" s="573">
        <v>3</v>
      </c>
      <c r="O904" s="573">
        <v>82.2</v>
      </c>
      <c r="P904" s="571" t="s">
        <v>157</v>
      </c>
      <c r="Q904" s="573" t="s">
        <v>682</v>
      </c>
      <c r="R904" s="573">
        <v>6</v>
      </c>
      <c r="S904" s="582" t="s">
        <v>2049</v>
      </c>
      <c r="T904" s="573" t="s">
        <v>434</v>
      </c>
      <c r="U904" s="573">
        <v>129.9</v>
      </c>
      <c r="V904" s="573">
        <v>25</v>
      </c>
      <c r="W904" s="616">
        <v>8550</v>
      </c>
      <c r="X904" s="617" t="s">
        <v>157</v>
      </c>
      <c r="Y904" s="617" t="s">
        <v>178</v>
      </c>
      <c r="Z904" s="617" t="s">
        <v>178</v>
      </c>
      <c r="AA904" s="618">
        <v>37385</v>
      </c>
      <c r="AB904" s="618" t="s">
        <v>164</v>
      </c>
      <c r="AC904" s="618">
        <v>25722.583333333336</v>
      </c>
      <c r="AD904" s="619">
        <v>0.03</v>
      </c>
      <c r="AE904" s="617" t="s">
        <v>2059</v>
      </c>
    </row>
    <row r="905" spans="1:31" s="572" customFormat="1">
      <c r="A905" s="570" t="s">
        <v>2082</v>
      </c>
      <c r="B905" s="569" t="s">
        <v>280</v>
      </c>
      <c r="C905" s="580">
        <v>27</v>
      </c>
      <c r="D905" s="569" t="s">
        <v>1516</v>
      </c>
      <c r="E905" s="569" t="s">
        <v>1890</v>
      </c>
      <c r="F905" s="569" t="s">
        <v>271</v>
      </c>
      <c r="G905" s="569">
        <v>2019</v>
      </c>
      <c r="H905" s="569" t="s">
        <v>2047</v>
      </c>
      <c r="I905" s="569" t="s">
        <v>2048</v>
      </c>
      <c r="J905" s="569" t="s">
        <v>236</v>
      </c>
      <c r="K905" s="569">
        <v>8</v>
      </c>
      <c r="L905" s="569">
        <v>0</v>
      </c>
      <c r="M905" s="569" t="s">
        <v>157</v>
      </c>
      <c r="N905" s="569">
        <v>3</v>
      </c>
      <c r="O905" s="569">
        <v>98.7</v>
      </c>
      <c r="P905" s="568" t="s">
        <v>157</v>
      </c>
      <c r="Q905" s="569" t="s">
        <v>1259</v>
      </c>
      <c r="R905" s="569">
        <v>6</v>
      </c>
      <c r="S905" s="569" t="s">
        <v>1910</v>
      </c>
      <c r="T905" s="569" t="s">
        <v>434</v>
      </c>
      <c r="U905" s="569">
        <v>129.9</v>
      </c>
      <c r="V905" s="569">
        <v>25</v>
      </c>
      <c r="W905" s="620">
        <v>8550</v>
      </c>
      <c r="X905" s="621" t="s">
        <v>157</v>
      </c>
      <c r="Y905" s="621" t="s">
        <v>178</v>
      </c>
      <c r="Z905" s="621" t="s">
        <v>178</v>
      </c>
      <c r="AA905" s="622">
        <v>40700</v>
      </c>
      <c r="AB905" s="622" t="s">
        <v>164</v>
      </c>
      <c r="AC905" s="622">
        <v>30995.5</v>
      </c>
      <c r="AD905" s="623">
        <v>0.03</v>
      </c>
      <c r="AE905" s="621" t="s">
        <v>2061</v>
      </c>
    </row>
    <row r="906" spans="1:31" s="572" customFormat="1">
      <c r="A906" s="570" t="s">
        <v>2083</v>
      </c>
      <c r="B906" s="573" t="s">
        <v>280</v>
      </c>
      <c r="C906" s="578">
        <v>27</v>
      </c>
      <c r="D906" s="573" t="s">
        <v>1516</v>
      </c>
      <c r="E906" s="573" t="s">
        <v>1890</v>
      </c>
      <c r="F906" s="573" t="s">
        <v>271</v>
      </c>
      <c r="G906" s="573">
        <v>2019</v>
      </c>
      <c r="H906" s="573" t="s">
        <v>2047</v>
      </c>
      <c r="I906" s="573" t="s">
        <v>2048</v>
      </c>
      <c r="J906" s="573" t="s">
        <v>236</v>
      </c>
      <c r="K906" s="573">
        <v>8</v>
      </c>
      <c r="L906" s="573">
        <v>0</v>
      </c>
      <c r="M906" s="573" t="s">
        <v>157</v>
      </c>
      <c r="N906" s="573">
        <v>3</v>
      </c>
      <c r="O906" s="573">
        <v>98.7</v>
      </c>
      <c r="P906" s="571" t="s">
        <v>157</v>
      </c>
      <c r="Q906" s="573" t="s">
        <v>682</v>
      </c>
      <c r="R906" s="573">
        <v>6</v>
      </c>
      <c r="S906" s="582" t="s">
        <v>1910</v>
      </c>
      <c r="T906" s="573" t="s">
        <v>434</v>
      </c>
      <c r="U906" s="573">
        <v>129.9</v>
      </c>
      <c r="V906" s="573">
        <v>25</v>
      </c>
      <c r="W906" s="616">
        <v>8550</v>
      </c>
      <c r="X906" s="617" t="s">
        <v>157</v>
      </c>
      <c r="Y906" s="617" t="s">
        <v>178</v>
      </c>
      <c r="Z906" s="617" t="s">
        <v>178</v>
      </c>
      <c r="AA906" s="618">
        <v>38835</v>
      </c>
      <c r="AB906" s="618" t="s">
        <v>164</v>
      </c>
      <c r="AC906" s="618">
        <v>29339.25</v>
      </c>
      <c r="AD906" s="619">
        <v>0.03</v>
      </c>
      <c r="AE906" s="617" t="s">
        <v>2063</v>
      </c>
    </row>
    <row r="907" spans="1:31" s="572" customFormat="1">
      <c r="A907" s="570" t="s">
        <v>2084</v>
      </c>
      <c r="B907" s="569" t="s">
        <v>269</v>
      </c>
      <c r="C907" s="580" t="s">
        <v>270</v>
      </c>
      <c r="D907" s="569" t="s">
        <v>1516</v>
      </c>
      <c r="E907" s="569" t="s">
        <v>1890</v>
      </c>
      <c r="F907" s="569" t="s">
        <v>271</v>
      </c>
      <c r="G907" s="569">
        <v>2019</v>
      </c>
      <c r="H907" s="569" t="s">
        <v>2047</v>
      </c>
      <c r="I907" s="569" t="s">
        <v>2086</v>
      </c>
      <c r="J907" s="569" t="s">
        <v>236</v>
      </c>
      <c r="K907" s="569">
        <v>10</v>
      </c>
      <c r="L907" s="569">
        <v>0</v>
      </c>
      <c r="M907" s="569" t="s">
        <v>157</v>
      </c>
      <c r="N907" s="569">
        <v>4</v>
      </c>
      <c r="O907" s="569">
        <v>82.2</v>
      </c>
      <c r="P907" s="568" t="s">
        <v>157</v>
      </c>
      <c r="Q907" s="569" t="s">
        <v>1259</v>
      </c>
      <c r="R907" s="569">
        <v>6</v>
      </c>
      <c r="S907" s="569" t="s">
        <v>2087</v>
      </c>
      <c r="T907" s="569" t="s">
        <v>434</v>
      </c>
      <c r="U907" s="569">
        <v>129.9</v>
      </c>
      <c r="V907" s="569">
        <v>25</v>
      </c>
      <c r="W907" s="620">
        <v>8550</v>
      </c>
      <c r="X907" s="621" t="s">
        <v>157</v>
      </c>
      <c r="Y907" s="621" t="s">
        <v>178</v>
      </c>
      <c r="Z907" s="621" t="s">
        <v>178</v>
      </c>
      <c r="AA907" s="622">
        <v>40350</v>
      </c>
      <c r="AB907" s="622" t="s">
        <v>164</v>
      </c>
      <c r="AC907" s="622">
        <v>28351.75</v>
      </c>
      <c r="AD907" s="623">
        <v>0.03</v>
      </c>
      <c r="AE907" s="621" t="s">
        <v>2085</v>
      </c>
    </row>
    <row r="908" spans="1:31" s="572" customFormat="1">
      <c r="A908" s="570" t="s">
        <v>2088</v>
      </c>
      <c r="B908" s="573" t="s">
        <v>269</v>
      </c>
      <c r="C908" s="578" t="s">
        <v>270</v>
      </c>
      <c r="D908" s="573" t="s">
        <v>1516</v>
      </c>
      <c r="E908" s="573" t="s">
        <v>1890</v>
      </c>
      <c r="F908" s="573" t="s">
        <v>271</v>
      </c>
      <c r="G908" s="573">
        <v>2019</v>
      </c>
      <c r="H908" s="573" t="s">
        <v>2047</v>
      </c>
      <c r="I908" s="573" t="s">
        <v>2086</v>
      </c>
      <c r="J908" s="573" t="s">
        <v>236</v>
      </c>
      <c r="K908" s="573">
        <v>10</v>
      </c>
      <c r="L908" s="573">
        <v>0</v>
      </c>
      <c r="M908" s="573" t="s">
        <v>157</v>
      </c>
      <c r="N908" s="573">
        <v>4</v>
      </c>
      <c r="O908" s="573">
        <v>82.2</v>
      </c>
      <c r="P908" s="571" t="s">
        <v>157</v>
      </c>
      <c r="Q908" s="573" t="s">
        <v>682</v>
      </c>
      <c r="R908" s="573">
        <v>6</v>
      </c>
      <c r="S908" s="582" t="s">
        <v>2087</v>
      </c>
      <c r="T908" s="573" t="s">
        <v>434</v>
      </c>
      <c r="U908" s="573">
        <v>129.9</v>
      </c>
      <c r="V908" s="573">
        <v>25</v>
      </c>
      <c r="W908" s="616">
        <v>8550</v>
      </c>
      <c r="X908" s="617" t="s">
        <v>157</v>
      </c>
      <c r="Y908" s="617" t="s">
        <v>178</v>
      </c>
      <c r="Z908" s="617" t="s">
        <v>178</v>
      </c>
      <c r="AA908" s="618">
        <v>38485</v>
      </c>
      <c r="AB908" s="618" t="s">
        <v>164</v>
      </c>
      <c r="AC908" s="618">
        <v>26695.5</v>
      </c>
      <c r="AD908" s="619">
        <v>0.03</v>
      </c>
      <c r="AE908" s="617" t="s">
        <v>2089</v>
      </c>
    </row>
    <row r="909" spans="1:31" s="572" customFormat="1">
      <c r="A909" s="570" t="s">
        <v>2090</v>
      </c>
      <c r="B909" s="569" t="s">
        <v>269</v>
      </c>
      <c r="C909" s="580" t="s">
        <v>270</v>
      </c>
      <c r="D909" s="569" t="s">
        <v>1516</v>
      </c>
      <c r="E909" s="569" t="s">
        <v>1890</v>
      </c>
      <c r="F909" s="569" t="s">
        <v>271</v>
      </c>
      <c r="G909" s="569">
        <v>2019</v>
      </c>
      <c r="H909" s="569" t="s">
        <v>2047</v>
      </c>
      <c r="I909" s="569" t="s">
        <v>2086</v>
      </c>
      <c r="J909" s="569" t="s">
        <v>236</v>
      </c>
      <c r="K909" s="569">
        <v>8</v>
      </c>
      <c r="L909" s="569">
        <v>0</v>
      </c>
      <c r="M909" s="569" t="s">
        <v>157</v>
      </c>
      <c r="N909" s="569">
        <v>3</v>
      </c>
      <c r="O909" s="569">
        <v>82.2</v>
      </c>
      <c r="P909" s="568" t="s">
        <v>157</v>
      </c>
      <c r="Q909" s="569" t="s">
        <v>1259</v>
      </c>
      <c r="R909" s="569">
        <v>6</v>
      </c>
      <c r="S909" s="569" t="s">
        <v>2087</v>
      </c>
      <c r="T909" s="569" t="s">
        <v>434</v>
      </c>
      <c r="U909" s="569">
        <v>129.9</v>
      </c>
      <c r="V909" s="569">
        <v>25</v>
      </c>
      <c r="W909" s="620">
        <v>8550</v>
      </c>
      <c r="X909" s="621" t="s">
        <v>157</v>
      </c>
      <c r="Y909" s="621" t="s">
        <v>178</v>
      </c>
      <c r="Z909" s="621" t="s">
        <v>178</v>
      </c>
      <c r="AA909" s="622">
        <v>39100</v>
      </c>
      <c r="AB909" s="622" t="s">
        <v>164</v>
      </c>
      <c r="AC909" s="622">
        <v>27241.333333333336</v>
      </c>
      <c r="AD909" s="623">
        <v>0.03</v>
      </c>
      <c r="AE909" s="621" t="s">
        <v>2091</v>
      </c>
    </row>
    <row r="910" spans="1:31" s="572" customFormat="1">
      <c r="A910" s="570" t="s">
        <v>2092</v>
      </c>
      <c r="B910" s="573" t="s">
        <v>269</v>
      </c>
      <c r="C910" s="578" t="s">
        <v>270</v>
      </c>
      <c r="D910" s="573" t="s">
        <v>1516</v>
      </c>
      <c r="E910" s="573" t="s">
        <v>1890</v>
      </c>
      <c r="F910" s="573" t="s">
        <v>271</v>
      </c>
      <c r="G910" s="573">
        <v>2019</v>
      </c>
      <c r="H910" s="573" t="s">
        <v>2047</v>
      </c>
      <c r="I910" s="573" t="s">
        <v>2086</v>
      </c>
      <c r="J910" s="573" t="s">
        <v>236</v>
      </c>
      <c r="K910" s="573">
        <v>8</v>
      </c>
      <c r="L910" s="573">
        <v>0</v>
      </c>
      <c r="M910" s="573" t="s">
        <v>157</v>
      </c>
      <c r="N910" s="573">
        <v>3</v>
      </c>
      <c r="O910" s="573">
        <v>82.2</v>
      </c>
      <c r="P910" s="571" t="s">
        <v>157</v>
      </c>
      <c r="Q910" s="573" t="s">
        <v>682</v>
      </c>
      <c r="R910" s="573">
        <v>6</v>
      </c>
      <c r="S910" s="582" t="s">
        <v>2087</v>
      </c>
      <c r="T910" s="573" t="s">
        <v>434</v>
      </c>
      <c r="U910" s="573">
        <v>129.9</v>
      </c>
      <c r="V910" s="573">
        <v>25</v>
      </c>
      <c r="W910" s="616">
        <v>8550</v>
      </c>
      <c r="X910" s="617" t="s">
        <v>157</v>
      </c>
      <c r="Y910" s="617" t="s">
        <v>178</v>
      </c>
      <c r="Z910" s="617" t="s">
        <v>178</v>
      </c>
      <c r="AA910" s="618">
        <v>37235</v>
      </c>
      <c r="AB910" s="618" t="s">
        <v>164</v>
      </c>
      <c r="AC910" s="618">
        <v>25585.083333333336</v>
      </c>
      <c r="AD910" s="619">
        <v>0.03</v>
      </c>
      <c r="AE910" s="617" t="s">
        <v>2093</v>
      </c>
    </row>
    <row r="911" spans="1:31" s="572" customFormat="1">
      <c r="A911" s="570" t="s">
        <v>2094</v>
      </c>
      <c r="B911" s="569" t="s">
        <v>278</v>
      </c>
      <c r="C911" s="580">
        <v>15</v>
      </c>
      <c r="D911" s="569" t="s">
        <v>1516</v>
      </c>
      <c r="E911" s="569" t="s">
        <v>1890</v>
      </c>
      <c r="F911" s="569" t="s">
        <v>271</v>
      </c>
      <c r="G911" s="569">
        <v>2019</v>
      </c>
      <c r="H911" s="569" t="s">
        <v>2047</v>
      </c>
      <c r="I911" s="569" t="s">
        <v>2086</v>
      </c>
      <c r="J911" s="569" t="s">
        <v>236</v>
      </c>
      <c r="K911" s="569">
        <v>10</v>
      </c>
      <c r="L911" s="569">
        <v>0</v>
      </c>
      <c r="M911" s="569" t="s">
        <v>157</v>
      </c>
      <c r="N911" s="569">
        <v>4</v>
      </c>
      <c r="O911" s="569">
        <v>82.2</v>
      </c>
      <c r="P911" s="568" t="s">
        <v>157</v>
      </c>
      <c r="Q911" s="569" t="s">
        <v>1259</v>
      </c>
      <c r="R911" s="569">
        <v>6</v>
      </c>
      <c r="S911" s="569" t="s">
        <v>2087</v>
      </c>
      <c r="T911" s="569" t="s">
        <v>434</v>
      </c>
      <c r="U911" s="569">
        <v>129.9</v>
      </c>
      <c r="V911" s="569">
        <v>25</v>
      </c>
      <c r="W911" s="620">
        <v>8550</v>
      </c>
      <c r="X911" s="621" t="s">
        <v>157</v>
      </c>
      <c r="Y911" s="621" t="s">
        <v>178</v>
      </c>
      <c r="Z911" s="621" t="s">
        <v>178</v>
      </c>
      <c r="AA911" s="622">
        <v>40350</v>
      </c>
      <c r="AB911" s="622" t="s">
        <v>164</v>
      </c>
      <c r="AC911" s="622">
        <v>28850</v>
      </c>
      <c r="AD911" s="623">
        <v>0.01</v>
      </c>
      <c r="AE911" s="621" t="s">
        <v>2085</v>
      </c>
    </row>
    <row r="912" spans="1:31" s="572" customFormat="1">
      <c r="A912" s="570" t="s">
        <v>2095</v>
      </c>
      <c r="B912" s="573" t="s">
        <v>278</v>
      </c>
      <c r="C912" s="578">
        <v>15</v>
      </c>
      <c r="D912" s="573" t="s">
        <v>1516</v>
      </c>
      <c r="E912" s="573" t="s">
        <v>1890</v>
      </c>
      <c r="F912" s="573" t="s">
        <v>271</v>
      </c>
      <c r="G912" s="573">
        <v>2019</v>
      </c>
      <c r="H912" s="573" t="s">
        <v>2047</v>
      </c>
      <c r="I912" s="573" t="s">
        <v>2086</v>
      </c>
      <c r="J912" s="573" t="s">
        <v>236</v>
      </c>
      <c r="K912" s="573">
        <v>10</v>
      </c>
      <c r="L912" s="573">
        <v>0</v>
      </c>
      <c r="M912" s="573" t="s">
        <v>157</v>
      </c>
      <c r="N912" s="573">
        <v>4</v>
      </c>
      <c r="O912" s="573">
        <v>82.2</v>
      </c>
      <c r="P912" s="571" t="s">
        <v>157</v>
      </c>
      <c r="Q912" s="573" t="s">
        <v>682</v>
      </c>
      <c r="R912" s="573">
        <v>6</v>
      </c>
      <c r="S912" s="582" t="s">
        <v>2087</v>
      </c>
      <c r="T912" s="573" t="s">
        <v>434</v>
      </c>
      <c r="U912" s="573">
        <v>129.9</v>
      </c>
      <c r="V912" s="573">
        <v>25</v>
      </c>
      <c r="W912" s="616">
        <v>8550</v>
      </c>
      <c r="X912" s="617" t="s">
        <v>157</v>
      </c>
      <c r="Y912" s="617" t="s">
        <v>178</v>
      </c>
      <c r="Z912" s="617" t="s">
        <v>178</v>
      </c>
      <c r="AA912" s="618">
        <v>38485</v>
      </c>
      <c r="AB912" s="618" t="s">
        <v>164</v>
      </c>
      <c r="AC912" s="618">
        <v>27200</v>
      </c>
      <c r="AD912" s="619">
        <v>0.01</v>
      </c>
      <c r="AE912" s="617" t="s">
        <v>2089</v>
      </c>
    </row>
    <row r="913" spans="1:31" s="572" customFormat="1">
      <c r="A913" s="570" t="s">
        <v>2096</v>
      </c>
      <c r="B913" s="569" t="s">
        <v>278</v>
      </c>
      <c r="C913" s="580">
        <v>15</v>
      </c>
      <c r="D913" s="569" t="s">
        <v>1516</v>
      </c>
      <c r="E913" s="569" t="s">
        <v>1890</v>
      </c>
      <c r="F913" s="569" t="s">
        <v>271</v>
      </c>
      <c r="G913" s="569">
        <v>2019</v>
      </c>
      <c r="H913" s="569" t="s">
        <v>2047</v>
      </c>
      <c r="I913" s="569" t="s">
        <v>2086</v>
      </c>
      <c r="J913" s="569" t="s">
        <v>236</v>
      </c>
      <c r="K913" s="569">
        <v>8</v>
      </c>
      <c r="L913" s="569">
        <v>0</v>
      </c>
      <c r="M913" s="569" t="s">
        <v>157</v>
      </c>
      <c r="N913" s="569">
        <v>3</v>
      </c>
      <c r="O913" s="569">
        <v>82.2</v>
      </c>
      <c r="P913" s="568" t="s">
        <v>157</v>
      </c>
      <c r="Q913" s="569" t="s">
        <v>1259</v>
      </c>
      <c r="R913" s="569">
        <v>6</v>
      </c>
      <c r="S913" s="569" t="s">
        <v>2087</v>
      </c>
      <c r="T913" s="569" t="s">
        <v>434</v>
      </c>
      <c r="U913" s="569">
        <v>129.9</v>
      </c>
      <c r="V913" s="569">
        <v>25</v>
      </c>
      <c r="W913" s="620">
        <v>8550</v>
      </c>
      <c r="X913" s="621" t="s">
        <v>157</v>
      </c>
      <c r="Y913" s="621" t="s">
        <v>178</v>
      </c>
      <c r="Z913" s="621" t="s">
        <v>178</v>
      </c>
      <c r="AA913" s="622">
        <v>39100</v>
      </c>
      <c r="AB913" s="622" t="s">
        <v>164</v>
      </c>
      <c r="AC913" s="622">
        <v>27750</v>
      </c>
      <c r="AD913" s="623">
        <v>0.01</v>
      </c>
      <c r="AE913" s="621" t="s">
        <v>2091</v>
      </c>
    </row>
    <row r="914" spans="1:31" s="572" customFormat="1">
      <c r="A914" s="570" t="s">
        <v>2097</v>
      </c>
      <c r="B914" s="573" t="s">
        <v>278</v>
      </c>
      <c r="C914" s="578">
        <v>15</v>
      </c>
      <c r="D914" s="573" t="s">
        <v>1516</v>
      </c>
      <c r="E914" s="573" t="s">
        <v>1890</v>
      </c>
      <c r="F914" s="573" t="s">
        <v>271</v>
      </c>
      <c r="G914" s="573">
        <v>2019</v>
      </c>
      <c r="H914" s="573" t="s">
        <v>2047</v>
      </c>
      <c r="I914" s="573" t="s">
        <v>2086</v>
      </c>
      <c r="J914" s="573" t="s">
        <v>236</v>
      </c>
      <c r="K914" s="573">
        <v>8</v>
      </c>
      <c r="L914" s="573">
        <v>0</v>
      </c>
      <c r="M914" s="573" t="s">
        <v>157</v>
      </c>
      <c r="N914" s="573">
        <v>3</v>
      </c>
      <c r="O914" s="573">
        <v>82.2</v>
      </c>
      <c r="P914" s="571" t="s">
        <v>157</v>
      </c>
      <c r="Q914" s="573" t="s">
        <v>682</v>
      </c>
      <c r="R914" s="573">
        <v>6</v>
      </c>
      <c r="S914" s="582" t="s">
        <v>2087</v>
      </c>
      <c r="T914" s="573" t="s">
        <v>434</v>
      </c>
      <c r="U914" s="573">
        <v>129.9</v>
      </c>
      <c r="V914" s="573">
        <v>25</v>
      </c>
      <c r="W914" s="616">
        <v>8550</v>
      </c>
      <c r="X914" s="617" t="s">
        <v>157</v>
      </c>
      <c r="Y914" s="617" t="s">
        <v>178</v>
      </c>
      <c r="Z914" s="617" t="s">
        <v>178</v>
      </c>
      <c r="AA914" s="618">
        <v>37235</v>
      </c>
      <c r="AB914" s="618" t="s">
        <v>164</v>
      </c>
      <c r="AC914" s="618">
        <v>26200</v>
      </c>
      <c r="AD914" s="619">
        <v>0.01</v>
      </c>
      <c r="AE914" s="617" t="s">
        <v>2093</v>
      </c>
    </row>
    <row r="915" spans="1:31" s="572" customFormat="1">
      <c r="A915" s="570" t="s">
        <v>2098</v>
      </c>
      <c r="B915" s="569" t="s">
        <v>287</v>
      </c>
      <c r="C915" s="580">
        <v>26</v>
      </c>
      <c r="D915" s="569" t="s">
        <v>1516</v>
      </c>
      <c r="E915" s="569" t="s">
        <v>1890</v>
      </c>
      <c r="F915" s="569" t="s">
        <v>271</v>
      </c>
      <c r="G915" s="569">
        <v>2019</v>
      </c>
      <c r="H915" s="569" t="s">
        <v>2047</v>
      </c>
      <c r="I915" s="569" t="s">
        <v>2086</v>
      </c>
      <c r="J915" s="569" t="s">
        <v>236</v>
      </c>
      <c r="K915" s="569">
        <v>8</v>
      </c>
      <c r="L915" s="569">
        <v>0</v>
      </c>
      <c r="M915" s="569" t="s">
        <v>157</v>
      </c>
      <c r="N915" s="569">
        <v>3</v>
      </c>
      <c r="O915" s="569">
        <v>82.2</v>
      </c>
      <c r="P915" s="568" t="s">
        <v>157</v>
      </c>
      <c r="Q915" s="569" t="s">
        <v>1259</v>
      </c>
      <c r="R915" s="569">
        <v>6</v>
      </c>
      <c r="S915" s="569" t="s">
        <v>2087</v>
      </c>
      <c r="T915" s="569" t="s">
        <v>434</v>
      </c>
      <c r="U915" s="569">
        <v>129.9</v>
      </c>
      <c r="V915" s="569">
        <v>25</v>
      </c>
      <c r="W915" s="620">
        <v>8550</v>
      </c>
      <c r="X915" s="621" t="s">
        <v>157</v>
      </c>
      <c r="Y915" s="621" t="s">
        <v>178</v>
      </c>
      <c r="Z915" s="621" t="s">
        <v>178</v>
      </c>
      <c r="AA915" s="622">
        <v>39100</v>
      </c>
      <c r="AB915" s="622" t="s">
        <v>164</v>
      </c>
      <c r="AC915" s="622">
        <v>28033</v>
      </c>
      <c r="AD915" s="623">
        <v>0.05</v>
      </c>
      <c r="AE915" s="621" t="s">
        <v>2091</v>
      </c>
    </row>
    <row r="916" spans="1:31" s="572" customFormat="1">
      <c r="A916" s="570" t="s">
        <v>2099</v>
      </c>
      <c r="B916" s="573" t="s">
        <v>287</v>
      </c>
      <c r="C916" s="578">
        <v>26</v>
      </c>
      <c r="D916" s="573" t="s">
        <v>1516</v>
      </c>
      <c r="E916" s="573" t="s">
        <v>1890</v>
      </c>
      <c r="F916" s="573" t="s">
        <v>271</v>
      </c>
      <c r="G916" s="573">
        <v>2019</v>
      </c>
      <c r="H916" s="573" t="s">
        <v>2047</v>
      </c>
      <c r="I916" s="573" t="s">
        <v>2086</v>
      </c>
      <c r="J916" s="573" t="s">
        <v>236</v>
      </c>
      <c r="K916" s="573">
        <v>8</v>
      </c>
      <c r="L916" s="573">
        <v>0</v>
      </c>
      <c r="M916" s="573" t="s">
        <v>157</v>
      </c>
      <c r="N916" s="573">
        <v>3</v>
      </c>
      <c r="O916" s="573">
        <v>82.2</v>
      </c>
      <c r="P916" s="571" t="s">
        <v>157</v>
      </c>
      <c r="Q916" s="573" t="s">
        <v>682</v>
      </c>
      <c r="R916" s="573">
        <v>6</v>
      </c>
      <c r="S916" s="582" t="s">
        <v>2087</v>
      </c>
      <c r="T916" s="573" t="s">
        <v>434</v>
      </c>
      <c r="U916" s="573">
        <v>129.9</v>
      </c>
      <c r="V916" s="573">
        <v>25</v>
      </c>
      <c r="W916" s="616">
        <v>8550</v>
      </c>
      <c r="X916" s="617" t="s">
        <v>157</v>
      </c>
      <c r="Y916" s="617" t="s">
        <v>178</v>
      </c>
      <c r="Z916" s="617" t="s">
        <v>178</v>
      </c>
      <c r="AA916" s="618">
        <v>37235</v>
      </c>
      <c r="AB916" s="618" t="s">
        <v>164</v>
      </c>
      <c r="AC916" s="618">
        <v>26332</v>
      </c>
      <c r="AD916" s="619">
        <v>0.05</v>
      </c>
      <c r="AE916" s="617" t="s">
        <v>2093</v>
      </c>
    </row>
    <row r="917" spans="1:31" s="572" customFormat="1">
      <c r="A917" s="570" t="s">
        <v>2100</v>
      </c>
      <c r="B917" s="569" t="s">
        <v>280</v>
      </c>
      <c r="C917" s="580">
        <v>27</v>
      </c>
      <c r="D917" s="569" t="s">
        <v>1516</v>
      </c>
      <c r="E917" s="569" t="s">
        <v>1890</v>
      </c>
      <c r="F917" s="569" t="s">
        <v>271</v>
      </c>
      <c r="G917" s="569">
        <v>2019</v>
      </c>
      <c r="H917" s="569" t="s">
        <v>2047</v>
      </c>
      <c r="I917" s="569" t="s">
        <v>2086</v>
      </c>
      <c r="J917" s="569" t="s">
        <v>236</v>
      </c>
      <c r="K917" s="569">
        <v>10</v>
      </c>
      <c r="L917" s="569">
        <v>0</v>
      </c>
      <c r="M917" s="569" t="s">
        <v>157</v>
      </c>
      <c r="N917" s="569">
        <v>4</v>
      </c>
      <c r="O917" s="569">
        <v>82.2</v>
      </c>
      <c r="P917" s="568" t="s">
        <v>157</v>
      </c>
      <c r="Q917" s="569" t="s">
        <v>1259</v>
      </c>
      <c r="R917" s="569">
        <v>6</v>
      </c>
      <c r="S917" s="569" t="s">
        <v>2087</v>
      </c>
      <c r="T917" s="569" t="s">
        <v>434</v>
      </c>
      <c r="U917" s="569">
        <v>129.9</v>
      </c>
      <c r="V917" s="569">
        <v>25</v>
      </c>
      <c r="W917" s="620">
        <v>8550</v>
      </c>
      <c r="X917" s="621" t="s">
        <v>157</v>
      </c>
      <c r="Y917" s="621" t="s">
        <v>178</v>
      </c>
      <c r="Z917" s="621" t="s">
        <v>178</v>
      </c>
      <c r="AA917" s="622">
        <v>40350</v>
      </c>
      <c r="AB917" s="622" t="s">
        <v>164</v>
      </c>
      <c r="AC917" s="622">
        <v>28351.75</v>
      </c>
      <c r="AD917" s="623">
        <v>0.03</v>
      </c>
      <c r="AE917" s="621" t="s">
        <v>2085</v>
      </c>
    </row>
    <row r="918" spans="1:31" s="572" customFormat="1">
      <c r="A918" s="570" t="s">
        <v>2101</v>
      </c>
      <c r="B918" s="573" t="s">
        <v>280</v>
      </c>
      <c r="C918" s="578">
        <v>27</v>
      </c>
      <c r="D918" s="573" t="s">
        <v>1516</v>
      </c>
      <c r="E918" s="573" t="s">
        <v>1890</v>
      </c>
      <c r="F918" s="573" t="s">
        <v>271</v>
      </c>
      <c r="G918" s="573">
        <v>2019</v>
      </c>
      <c r="H918" s="573" t="s">
        <v>2047</v>
      </c>
      <c r="I918" s="573" t="s">
        <v>2086</v>
      </c>
      <c r="J918" s="573" t="s">
        <v>236</v>
      </c>
      <c r="K918" s="573">
        <v>10</v>
      </c>
      <c r="L918" s="573">
        <v>0</v>
      </c>
      <c r="M918" s="573" t="s">
        <v>157</v>
      </c>
      <c r="N918" s="573">
        <v>4</v>
      </c>
      <c r="O918" s="573">
        <v>82.2</v>
      </c>
      <c r="P918" s="571" t="s">
        <v>157</v>
      </c>
      <c r="Q918" s="573" t="s">
        <v>682</v>
      </c>
      <c r="R918" s="573">
        <v>6</v>
      </c>
      <c r="S918" s="582" t="s">
        <v>2087</v>
      </c>
      <c r="T918" s="573" t="s">
        <v>434</v>
      </c>
      <c r="U918" s="573">
        <v>129.9</v>
      </c>
      <c r="V918" s="573">
        <v>25</v>
      </c>
      <c r="W918" s="616">
        <v>8550</v>
      </c>
      <c r="X918" s="617" t="s">
        <v>157</v>
      </c>
      <c r="Y918" s="617" t="s">
        <v>178</v>
      </c>
      <c r="Z918" s="617" t="s">
        <v>178</v>
      </c>
      <c r="AA918" s="618">
        <v>38485</v>
      </c>
      <c r="AB918" s="618" t="s">
        <v>164</v>
      </c>
      <c r="AC918" s="618">
        <v>26695.5</v>
      </c>
      <c r="AD918" s="619">
        <v>0.03</v>
      </c>
      <c r="AE918" s="617" t="s">
        <v>2089</v>
      </c>
    </row>
    <row r="919" spans="1:31" s="572" customFormat="1">
      <c r="A919" s="570" t="s">
        <v>2102</v>
      </c>
      <c r="B919" s="569" t="s">
        <v>280</v>
      </c>
      <c r="C919" s="580">
        <v>27</v>
      </c>
      <c r="D919" s="569" t="s">
        <v>1516</v>
      </c>
      <c r="E919" s="569" t="s">
        <v>1890</v>
      </c>
      <c r="F919" s="569" t="s">
        <v>271</v>
      </c>
      <c r="G919" s="569">
        <v>2019</v>
      </c>
      <c r="H919" s="569" t="s">
        <v>2047</v>
      </c>
      <c r="I919" s="569" t="s">
        <v>2086</v>
      </c>
      <c r="J919" s="569" t="s">
        <v>236</v>
      </c>
      <c r="K919" s="569">
        <v>8</v>
      </c>
      <c r="L919" s="569">
        <v>0</v>
      </c>
      <c r="M919" s="569" t="s">
        <v>157</v>
      </c>
      <c r="N919" s="569">
        <v>3</v>
      </c>
      <c r="O919" s="569">
        <v>82.2</v>
      </c>
      <c r="P919" s="568" t="s">
        <v>157</v>
      </c>
      <c r="Q919" s="569" t="s">
        <v>1259</v>
      </c>
      <c r="R919" s="569">
        <v>6</v>
      </c>
      <c r="S919" s="569" t="s">
        <v>2087</v>
      </c>
      <c r="T919" s="569" t="s">
        <v>434</v>
      </c>
      <c r="U919" s="569">
        <v>129.9</v>
      </c>
      <c r="V919" s="569">
        <v>25</v>
      </c>
      <c r="W919" s="620">
        <v>8550</v>
      </c>
      <c r="X919" s="621" t="s">
        <v>157</v>
      </c>
      <c r="Y919" s="621" t="s">
        <v>178</v>
      </c>
      <c r="Z919" s="621" t="s">
        <v>178</v>
      </c>
      <c r="AA919" s="622">
        <v>39100</v>
      </c>
      <c r="AB919" s="622" t="s">
        <v>164</v>
      </c>
      <c r="AC919" s="622">
        <v>27241.333333333336</v>
      </c>
      <c r="AD919" s="623">
        <v>0.03</v>
      </c>
      <c r="AE919" s="621" t="s">
        <v>2091</v>
      </c>
    </row>
    <row r="920" spans="1:31" s="572" customFormat="1">
      <c r="A920" s="570" t="s">
        <v>2103</v>
      </c>
      <c r="B920" s="573" t="s">
        <v>280</v>
      </c>
      <c r="C920" s="578">
        <v>27</v>
      </c>
      <c r="D920" s="573" t="s">
        <v>1516</v>
      </c>
      <c r="E920" s="573" t="s">
        <v>1890</v>
      </c>
      <c r="F920" s="573" t="s">
        <v>271</v>
      </c>
      <c r="G920" s="573">
        <v>2019</v>
      </c>
      <c r="H920" s="573" t="s">
        <v>2047</v>
      </c>
      <c r="I920" s="573" t="s">
        <v>2086</v>
      </c>
      <c r="J920" s="573" t="s">
        <v>236</v>
      </c>
      <c r="K920" s="573">
        <v>8</v>
      </c>
      <c r="L920" s="573">
        <v>0</v>
      </c>
      <c r="M920" s="573" t="s">
        <v>157</v>
      </c>
      <c r="N920" s="573">
        <v>3</v>
      </c>
      <c r="O920" s="573">
        <v>82.2</v>
      </c>
      <c r="P920" s="571" t="s">
        <v>157</v>
      </c>
      <c r="Q920" s="573" t="s">
        <v>682</v>
      </c>
      <c r="R920" s="573">
        <v>6</v>
      </c>
      <c r="S920" s="582" t="s">
        <v>2087</v>
      </c>
      <c r="T920" s="573" t="s">
        <v>434</v>
      </c>
      <c r="U920" s="573">
        <v>129.9</v>
      </c>
      <c r="V920" s="573">
        <v>25</v>
      </c>
      <c r="W920" s="616">
        <v>8550</v>
      </c>
      <c r="X920" s="617" t="s">
        <v>157</v>
      </c>
      <c r="Y920" s="617" t="s">
        <v>178</v>
      </c>
      <c r="Z920" s="617" t="s">
        <v>178</v>
      </c>
      <c r="AA920" s="618">
        <v>37235</v>
      </c>
      <c r="AB920" s="618" t="s">
        <v>164</v>
      </c>
      <c r="AC920" s="618">
        <v>25585.083333333336</v>
      </c>
      <c r="AD920" s="619">
        <v>0.03</v>
      </c>
      <c r="AE920" s="617" t="s">
        <v>2093</v>
      </c>
    </row>
    <row r="921" spans="1:31" s="572" customFormat="1">
      <c r="A921" s="570" t="s">
        <v>2104</v>
      </c>
      <c r="B921" s="569" t="s">
        <v>269</v>
      </c>
      <c r="C921" s="580" t="s">
        <v>270</v>
      </c>
      <c r="D921" s="569" t="s">
        <v>1516</v>
      </c>
      <c r="E921" s="569" t="s">
        <v>1890</v>
      </c>
      <c r="F921" s="569" t="s">
        <v>271</v>
      </c>
      <c r="G921" s="569">
        <v>2019</v>
      </c>
      <c r="H921" s="569" t="s">
        <v>2047</v>
      </c>
      <c r="I921" s="569" t="s">
        <v>2106</v>
      </c>
      <c r="J921" s="569" t="s">
        <v>236</v>
      </c>
      <c r="K921" s="569">
        <v>10</v>
      </c>
      <c r="L921" s="569">
        <v>0</v>
      </c>
      <c r="M921" s="569" t="s">
        <v>157</v>
      </c>
      <c r="N921" s="569">
        <v>4</v>
      </c>
      <c r="O921" s="569">
        <v>82.2</v>
      </c>
      <c r="P921" s="568" t="s">
        <v>157</v>
      </c>
      <c r="Q921" s="569" t="s">
        <v>1259</v>
      </c>
      <c r="R921" s="569">
        <v>6</v>
      </c>
      <c r="S921" s="569" t="s">
        <v>2049</v>
      </c>
      <c r="T921" s="569" t="s">
        <v>2107</v>
      </c>
      <c r="U921" s="569">
        <v>129.9</v>
      </c>
      <c r="V921" s="569">
        <v>25</v>
      </c>
      <c r="W921" s="620">
        <v>8550</v>
      </c>
      <c r="X921" s="621" t="s">
        <v>157</v>
      </c>
      <c r="Y921" s="621" t="s">
        <v>178</v>
      </c>
      <c r="Z921" s="621" t="s">
        <v>178</v>
      </c>
      <c r="AA921" s="622">
        <v>41795</v>
      </c>
      <c r="AB921" s="622" t="s">
        <v>164</v>
      </c>
      <c r="AC921" s="622">
        <v>29673.625</v>
      </c>
      <c r="AD921" s="623">
        <v>0.03</v>
      </c>
      <c r="AE921" s="621" t="s">
        <v>2105</v>
      </c>
    </row>
    <row r="922" spans="1:31" s="572" customFormat="1">
      <c r="A922" s="570" t="s">
        <v>2108</v>
      </c>
      <c r="B922" s="573" t="s">
        <v>269</v>
      </c>
      <c r="C922" s="578" t="s">
        <v>270</v>
      </c>
      <c r="D922" s="573" t="s">
        <v>1516</v>
      </c>
      <c r="E922" s="573" t="s">
        <v>1890</v>
      </c>
      <c r="F922" s="573" t="s">
        <v>271</v>
      </c>
      <c r="G922" s="573">
        <v>2019</v>
      </c>
      <c r="H922" s="573" t="s">
        <v>2047</v>
      </c>
      <c r="I922" s="573" t="s">
        <v>2106</v>
      </c>
      <c r="J922" s="573" t="s">
        <v>236</v>
      </c>
      <c r="K922" s="573">
        <v>10</v>
      </c>
      <c r="L922" s="573">
        <v>0</v>
      </c>
      <c r="M922" s="573" t="s">
        <v>157</v>
      </c>
      <c r="N922" s="573">
        <v>4</v>
      </c>
      <c r="O922" s="573">
        <v>82.2</v>
      </c>
      <c r="P922" s="571" t="s">
        <v>157</v>
      </c>
      <c r="Q922" s="573" t="s">
        <v>682</v>
      </c>
      <c r="R922" s="573">
        <v>6</v>
      </c>
      <c r="S922" s="582" t="s">
        <v>2049</v>
      </c>
      <c r="T922" s="573" t="s">
        <v>2107</v>
      </c>
      <c r="U922" s="573">
        <v>129.9</v>
      </c>
      <c r="V922" s="573">
        <v>25</v>
      </c>
      <c r="W922" s="616">
        <v>8550</v>
      </c>
      <c r="X922" s="617" t="s">
        <v>157</v>
      </c>
      <c r="Y922" s="617" t="s">
        <v>178</v>
      </c>
      <c r="Z922" s="617" t="s">
        <v>178</v>
      </c>
      <c r="AA922" s="618">
        <v>39930</v>
      </c>
      <c r="AB922" s="618" t="s">
        <v>164</v>
      </c>
      <c r="AC922" s="618">
        <v>28017.375</v>
      </c>
      <c r="AD922" s="619">
        <v>0.03</v>
      </c>
      <c r="AE922" s="617" t="s">
        <v>2109</v>
      </c>
    </row>
    <row r="923" spans="1:31" s="572" customFormat="1">
      <c r="A923" s="570" t="s">
        <v>2110</v>
      </c>
      <c r="B923" s="569" t="s">
        <v>269</v>
      </c>
      <c r="C923" s="580" t="s">
        <v>270</v>
      </c>
      <c r="D923" s="569" t="s">
        <v>1516</v>
      </c>
      <c r="E923" s="569" t="s">
        <v>1890</v>
      </c>
      <c r="F923" s="569" t="s">
        <v>271</v>
      </c>
      <c r="G923" s="569">
        <v>2019</v>
      </c>
      <c r="H923" s="569" t="s">
        <v>2047</v>
      </c>
      <c r="I923" s="569" t="s">
        <v>2106</v>
      </c>
      <c r="J923" s="569" t="s">
        <v>236</v>
      </c>
      <c r="K923" s="569">
        <v>10</v>
      </c>
      <c r="L923" s="569">
        <v>0</v>
      </c>
      <c r="M923" s="569" t="s">
        <v>157</v>
      </c>
      <c r="N923" s="569">
        <v>4</v>
      </c>
      <c r="O923" s="569">
        <v>98.7</v>
      </c>
      <c r="P923" s="568" t="s">
        <v>157</v>
      </c>
      <c r="Q923" s="569" t="s">
        <v>1259</v>
      </c>
      <c r="R923" s="569">
        <v>6</v>
      </c>
      <c r="S923" s="569" t="s">
        <v>1910</v>
      </c>
      <c r="T923" s="569" t="s">
        <v>2107</v>
      </c>
      <c r="U923" s="569">
        <v>129.9</v>
      </c>
      <c r="V923" s="569">
        <v>25</v>
      </c>
      <c r="W923" s="620">
        <v>8550</v>
      </c>
      <c r="X923" s="621" t="s">
        <v>157</v>
      </c>
      <c r="Y923" s="621" t="s">
        <v>178</v>
      </c>
      <c r="Z923" s="621" t="s">
        <v>178</v>
      </c>
      <c r="AA923" s="622">
        <v>43245</v>
      </c>
      <c r="AB923" s="622" t="s">
        <v>164</v>
      </c>
      <c r="AC923" s="622">
        <v>33290.291666666672</v>
      </c>
      <c r="AD923" s="623">
        <v>0.03</v>
      </c>
      <c r="AE923" s="621" t="s">
        <v>2111</v>
      </c>
    </row>
    <row r="924" spans="1:31" s="572" customFormat="1">
      <c r="A924" s="570" t="s">
        <v>2112</v>
      </c>
      <c r="B924" s="573" t="s">
        <v>269</v>
      </c>
      <c r="C924" s="578" t="s">
        <v>270</v>
      </c>
      <c r="D924" s="573" t="s">
        <v>1516</v>
      </c>
      <c r="E924" s="573" t="s">
        <v>1890</v>
      </c>
      <c r="F924" s="573" t="s">
        <v>271</v>
      </c>
      <c r="G924" s="573">
        <v>2019</v>
      </c>
      <c r="H924" s="573" t="s">
        <v>2047</v>
      </c>
      <c r="I924" s="573" t="s">
        <v>2106</v>
      </c>
      <c r="J924" s="573" t="s">
        <v>236</v>
      </c>
      <c r="K924" s="573">
        <v>10</v>
      </c>
      <c r="L924" s="573">
        <v>0</v>
      </c>
      <c r="M924" s="573" t="s">
        <v>157</v>
      </c>
      <c r="N924" s="573">
        <v>4</v>
      </c>
      <c r="O924" s="573">
        <v>98.7</v>
      </c>
      <c r="P924" s="571" t="s">
        <v>157</v>
      </c>
      <c r="Q924" s="573" t="s">
        <v>682</v>
      </c>
      <c r="R924" s="573">
        <v>6</v>
      </c>
      <c r="S924" s="582" t="s">
        <v>1910</v>
      </c>
      <c r="T924" s="573" t="s">
        <v>2107</v>
      </c>
      <c r="U924" s="573">
        <v>129.9</v>
      </c>
      <c r="V924" s="573">
        <v>25</v>
      </c>
      <c r="W924" s="616">
        <v>8550</v>
      </c>
      <c r="X924" s="617" t="s">
        <v>157</v>
      </c>
      <c r="Y924" s="617" t="s">
        <v>178</v>
      </c>
      <c r="Z924" s="617" t="s">
        <v>178</v>
      </c>
      <c r="AA924" s="618">
        <v>41380</v>
      </c>
      <c r="AB924" s="618" t="s">
        <v>164</v>
      </c>
      <c r="AC924" s="618">
        <v>31634.041666666668</v>
      </c>
      <c r="AD924" s="619">
        <v>0.03</v>
      </c>
      <c r="AE924" s="617" t="s">
        <v>2113</v>
      </c>
    </row>
    <row r="925" spans="1:31" s="572" customFormat="1">
      <c r="A925" s="570" t="s">
        <v>2114</v>
      </c>
      <c r="B925" s="569" t="s">
        <v>269</v>
      </c>
      <c r="C925" s="580" t="s">
        <v>270</v>
      </c>
      <c r="D925" s="569" t="s">
        <v>1516</v>
      </c>
      <c r="E925" s="569" t="s">
        <v>1890</v>
      </c>
      <c r="F925" s="569" t="s">
        <v>271</v>
      </c>
      <c r="G925" s="569">
        <v>2019</v>
      </c>
      <c r="H925" s="569" t="s">
        <v>2047</v>
      </c>
      <c r="I925" s="569" t="s">
        <v>2106</v>
      </c>
      <c r="J925" s="569" t="s">
        <v>236</v>
      </c>
      <c r="K925" s="569">
        <v>8</v>
      </c>
      <c r="L925" s="569">
        <v>0</v>
      </c>
      <c r="M925" s="569" t="s">
        <v>157</v>
      </c>
      <c r="N925" s="569">
        <v>3</v>
      </c>
      <c r="O925" s="569">
        <v>82.2</v>
      </c>
      <c r="P925" s="568" t="s">
        <v>157</v>
      </c>
      <c r="Q925" s="569" t="s">
        <v>1259</v>
      </c>
      <c r="R925" s="569">
        <v>6</v>
      </c>
      <c r="S925" s="569" t="s">
        <v>2049</v>
      </c>
      <c r="T925" s="569" t="s">
        <v>2107</v>
      </c>
      <c r="U925" s="569">
        <v>129.9</v>
      </c>
      <c r="V925" s="569">
        <v>25</v>
      </c>
      <c r="W925" s="620">
        <v>8550</v>
      </c>
      <c r="X925" s="621" t="s">
        <v>157</v>
      </c>
      <c r="Y925" s="621" t="s">
        <v>178</v>
      </c>
      <c r="Z925" s="621" t="s">
        <v>178</v>
      </c>
      <c r="AA925" s="622">
        <v>40545</v>
      </c>
      <c r="AB925" s="622" t="s">
        <v>164</v>
      </c>
      <c r="AC925" s="622">
        <v>28563.208333333336</v>
      </c>
      <c r="AD925" s="623">
        <v>0.03</v>
      </c>
      <c r="AE925" s="621" t="s">
        <v>2115</v>
      </c>
    </row>
    <row r="926" spans="1:31" s="572" customFormat="1">
      <c r="A926" s="570" t="s">
        <v>2116</v>
      </c>
      <c r="B926" s="573" t="s">
        <v>269</v>
      </c>
      <c r="C926" s="578" t="s">
        <v>270</v>
      </c>
      <c r="D926" s="573" t="s">
        <v>1516</v>
      </c>
      <c r="E926" s="573" t="s">
        <v>1890</v>
      </c>
      <c r="F926" s="573" t="s">
        <v>271</v>
      </c>
      <c r="G926" s="573">
        <v>2019</v>
      </c>
      <c r="H926" s="573" t="s">
        <v>2047</v>
      </c>
      <c r="I926" s="573" t="s">
        <v>2106</v>
      </c>
      <c r="J926" s="573" t="s">
        <v>236</v>
      </c>
      <c r="K926" s="573">
        <v>8</v>
      </c>
      <c r="L926" s="573">
        <v>0</v>
      </c>
      <c r="M926" s="573" t="s">
        <v>157</v>
      </c>
      <c r="N926" s="573">
        <v>3</v>
      </c>
      <c r="O926" s="573">
        <v>82.2</v>
      </c>
      <c r="P926" s="571" t="s">
        <v>157</v>
      </c>
      <c r="Q926" s="573" t="s">
        <v>682</v>
      </c>
      <c r="R926" s="573">
        <v>6</v>
      </c>
      <c r="S926" s="582" t="s">
        <v>2049</v>
      </c>
      <c r="T926" s="573" t="s">
        <v>2107</v>
      </c>
      <c r="U926" s="573">
        <v>129.9</v>
      </c>
      <c r="V926" s="573">
        <v>25</v>
      </c>
      <c r="W926" s="616">
        <v>8550</v>
      </c>
      <c r="X926" s="617" t="s">
        <v>157</v>
      </c>
      <c r="Y926" s="617" t="s">
        <v>178</v>
      </c>
      <c r="Z926" s="617" t="s">
        <v>178</v>
      </c>
      <c r="AA926" s="618">
        <v>38680</v>
      </c>
      <c r="AB926" s="618" t="s">
        <v>164</v>
      </c>
      <c r="AC926" s="618">
        <v>26906.958333333336</v>
      </c>
      <c r="AD926" s="619">
        <v>0.03</v>
      </c>
      <c r="AE926" s="617" t="s">
        <v>2117</v>
      </c>
    </row>
    <row r="927" spans="1:31" s="572" customFormat="1">
      <c r="A927" s="570" t="s">
        <v>2118</v>
      </c>
      <c r="B927" s="569" t="s">
        <v>269</v>
      </c>
      <c r="C927" s="580" t="s">
        <v>270</v>
      </c>
      <c r="D927" s="569" t="s">
        <v>1516</v>
      </c>
      <c r="E927" s="569" t="s">
        <v>1890</v>
      </c>
      <c r="F927" s="569" t="s">
        <v>271</v>
      </c>
      <c r="G927" s="569">
        <v>2019</v>
      </c>
      <c r="H927" s="569" t="s">
        <v>2047</v>
      </c>
      <c r="I927" s="569" t="s">
        <v>2106</v>
      </c>
      <c r="J927" s="569" t="s">
        <v>236</v>
      </c>
      <c r="K927" s="569">
        <v>8</v>
      </c>
      <c r="L927" s="569">
        <v>0</v>
      </c>
      <c r="M927" s="569" t="s">
        <v>157</v>
      </c>
      <c r="N927" s="569">
        <v>3</v>
      </c>
      <c r="O927" s="569">
        <v>98.7</v>
      </c>
      <c r="P927" s="568" t="s">
        <v>157</v>
      </c>
      <c r="Q927" s="569" t="s">
        <v>1259</v>
      </c>
      <c r="R927" s="569">
        <v>6</v>
      </c>
      <c r="S927" s="569" t="s">
        <v>1910</v>
      </c>
      <c r="T927" s="569" t="s">
        <v>2107</v>
      </c>
      <c r="U927" s="569">
        <v>129.9</v>
      </c>
      <c r="V927" s="569">
        <v>25</v>
      </c>
      <c r="W927" s="620">
        <v>8550</v>
      </c>
      <c r="X927" s="621" t="s">
        <v>157</v>
      </c>
      <c r="Y927" s="621" t="s">
        <v>178</v>
      </c>
      <c r="Z927" s="621" t="s">
        <v>178</v>
      </c>
      <c r="AA927" s="622">
        <v>41995</v>
      </c>
      <c r="AB927" s="622" t="s">
        <v>164</v>
      </c>
      <c r="AC927" s="622">
        <v>32179.875</v>
      </c>
      <c r="AD927" s="623">
        <v>0.03</v>
      </c>
      <c r="AE927" s="621" t="s">
        <v>2119</v>
      </c>
    </row>
    <row r="928" spans="1:31" s="572" customFormat="1">
      <c r="A928" s="570" t="s">
        <v>2120</v>
      </c>
      <c r="B928" s="573" t="s">
        <v>269</v>
      </c>
      <c r="C928" s="578" t="s">
        <v>270</v>
      </c>
      <c r="D928" s="573" t="s">
        <v>1516</v>
      </c>
      <c r="E928" s="573" t="s">
        <v>1890</v>
      </c>
      <c r="F928" s="573" t="s">
        <v>271</v>
      </c>
      <c r="G928" s="573">
        <v>2019</v>
      </c>
      <c r="H928" s="573" t="s">
        <v>2047</v>
      </c>
      <c r="I928" s="573" t="s">
        <v>2106</v>
      </c>
      <c r="J928" s="573" t="s">
        <v>236</v>
      </c>
      <c r="K928" s="573">
        <v>8</v>
      </c>
      <c r="L928" s="573">
        <v>0</v>
      </c>
      <c r="M928" s="573" t="s">
        <v>157</v>
      </c>
      <c r="N928" s="573">
        <v>3</v>
      </c>
      <c r="O928" s="573">
        <v>98.7</v>
      </c>
      <c r="P928" s="571" t="s">
        <v>157</v>
      </c>
      <c r="Q928" s="573" t="s">
        <v>682</v>
      </c>
      <c r="R928" s="573">
        <v>6</v>
      </c>
      <c r="S928" s="582" t="s">
        <v>1910</v>
      </c>
      <c r="T928" s="573" t="s">
        <v>2107</v>
      </c>
      <c r="U928" s="573">
        <v>129.9</v>
      </c>
      <c r="V928" s="573">
        <v>25</v>
      </c>
      <c r="W928" s="616">
        <v>8550</v>
      </c>
      <c r="X928" s="617" t="s">
        <v>157</v>
      </c>
      <c r="Y928" s="617" t="s">
        <v>178</v>
      </c>
      <c r="Z928" s="617" t="s">
        <v>178</v>
      </c>
      <c r="AA928" s="618">
        <v>40130</v>
      </c>
      <c r="AB928" s="618" t="s">
        <v>164</v>
      </c>
      <c r="AC928" s="618">
        <v>30523.625</v>
      </c>
      <c r="AD928" s="619">
        <v>0.03</v>
      </c>
      <c r="AE928" s="617" t="s">
        <v>2121</v>
      </c>
    </row>
    <row r="929" spans="1:31" s="572" customFormat="1">
      <c r="A929" s="570" t="s">
        <v>2120</v>
      </c>
      <c r="B929" s="569" t="s">
        <v>269</v>
      </c>
      <c r="C929" s="580" t="s">
        <v>270</v>
      </c>
      <c r="D929" s="569" t="s">
        <v>1516</v>
      </c>
      <c r="E929" s="569" t="s">
        <v>1890</v>
      </c>
      <c r="F929" s="569" t="s">
        <v>271</v>
      </c>
      <c r="G929" s="569">
        <v>2019</v>
      </c>
      <c r="H929" s="569" t="s">
        <v>2047</v>
      </c>
      <c r="I929" s="569" t="s">
        <v>2106</v>
      </c>
      <c r="J929" s="569" t="s">
        <v>236</v>
      </c>
      <c r="K929" s="569">
        <v>8</v>
      </c>
      <c r="L929" s="569">
        <v>0</v>
      </c>
      <c r="M929" s="569" t="s">
        <v>157</v>
      </c>
      <c r="N929" s="569">
        <v>3</v>
      </c>
      <c r="O929" s="569">
        <v>98.7</v>
      </c>
      <c r="P929" s="568" t="s">
        <v>157</v>
      </c>
      <c r="Q929" s="569" t="s">
        <v>682</v>
      </c>
      <c r="R929" s="569">
        <v>6</v>
      </c>
      <c r="S929" s="569" t="s">
        <v>1910</v>
      </c>
      <c r="T929" s="569" t="s">
        <v>2107</v>
      </c>
      <c r="U929" s="569">
        <v>129.9</v>
      </c>
      <c r="V929" s="569">
        <v>25</v>
      </c>
      <c r="W929" s="620">
        <v>8550</v>
      </c>
      <c r="X929" s="621" t="s">
        <v>157</v>
      </c>
      <c r="Y929" s="621" t="s">
        <v>178</v>
      </c>
      <c r="Z929" s="621" t="s">
        <v>178</v>
      </c>
      <c r="AA929" s="622">
        <v>40130</v>
      </c>
      <c r="AB929" s="622" t="s">
        <v>164</v>
      </c>
      <c r="AC929" s="622">
        <v>30523.625</v>
      </c>
      <c r="AD929" s="623">
        <v>0.03</v>
      </c>
      <c r="AE929" s="621" t="s">
        <v>2121</v>
      </c>
    </row>
    <row r="930" spans="1:31" s="572" customFormat="1">
      <c r="A930" s="570" t="s">
        <v>2122</v>
      </c>
      <c r="B930" s="573" t="s">
        <v>278</v>
      </c>
      <c r="C930" s="578">
        <v>15</v>
      </c>
      <c r="D930" s="573" t="s">
        <v>1516</v>
      </c>
      <c r="E930" s="573" t="s">
        <v>1890</v>
      </c>
      <c r="F930" s="573" t="s">
        <v>271</v>
      </c>
      <c r="G930" s="573">
        <v>2019</v>
      </c>
      <c r="H930" s="573" t="s">
        <v>2047</v>
      </c>
      <c r="I930" s="573" t="s">
        <v>2106</v>
      </c>
      <c r="J930" s="573" t="s">
        <v>236</v>
      </c>
      <c r="K930" s="573">
        <v>10</v>
      </c>
      <c r="L930" s="573">
        <v>0</v>
      </c>
      <c r="M930" s="573" t="s">
        <v>157</v>
      </c>
      <c r="N930" s="573">
        <v>4</v>
      </c>
      <c r="O930" s="573">
        <v>82.2</v>
      </c>
      <c r="P930" s="571" t="s">
        <v>157</v>
      </c>
      <c r="Q930" s="573" t="s">
        <v>1259</v>
      </c>
      <c r="R930" s="573">
        <v>6</v>
      </c>
      <c r="S930" s="582" t="s">
        <v>2049</v>
      </c>
      <c r="T930" s="573" t="s">
        <v>2107</v>
      </c>
      <c r="U930" s="573">
        <v>129.9</v>
      </c>
      <c r="V930" s="573">
        <v>25</v>
      </c>
      <c r="W930" s="616">
        <v>8550</v>
      </c>
      <c r="X930" s="617" t="s">
        <v>157</v>
      </c>
      <c r="Y930" s="617" t="s">
        <v>178</v>
      </c>
      <c r="Z930" s="617" t="s">
        <v>178</v>
      </c>
      <c r="AA930" s="618">
        <v>41795</v>
      </c>
      <c r="AB930" s="618" t="s">
        <v>164</v>
      </c>
      <c r="AC930" s="618">
        <v>30300</v>
      </c>
      <c r="AD930" s="619">
        <v>0.01</v>
      </c>
      <c r="AE930" s="617" t="s">
        <v>2105</v>
      </c>
    </row>
    <row r="931" spans="1:31" s="572" customFormat="1">
      <c r="A931" s="570" t="s">
        <v>2123</v>
      </c>
      <c r="B931" s="569" t="s">
        <v>278</v>
      </c>
      <c r="C931" s="580">
        <v>15</v>
      </c>
      <c r="D931" s="569" t="s">
        <v>1516</v>
      </c>
      <c r="E931" s="569" t="s">
        <v>1890</v>
      </c>
      <c r="F931" s="569" t="s">
        <v>271</v>
      </c>
      <c r="G931" s="569">
        <v>2019</v>
      </c>
      <c r="H931" s="569" t="s">
        <v>2047</v>
      </c>
      <c r="I931" s="569" t="s">
        <v>2106</v>
      </c>
      <c r="J931" s="569" t="s">
        <v>236</v>
      </c>
      <c r="K931" s="569">
        <v>10</v>
      </c>
      <c r="L931" s="569">
        <v>0</v>
      </c>
      <c r="M931" s="569" t="s">
        <v>157</v>
      </c>
      <c r="N931" s="569">
        <v>4</v>
      </c>
      <c r="O931" s="569">
        <v>82.2</v>
      </c>
      <c r="P931" s="568" t="s">
        <v>157</v>
      </c>
      <c r="Q931" s="569" t="s">
        <v>682</v>
      </c>
      <c r="R931" s="569">
        <v>6</v>
      </c>
      <c r="S931" s="569" t="s">
        <v>2049</v>
      </c>
      <c r="T931" s="569" t="s">
        <v>2107</v>
      </c>
      <c r="U931" s="569">
        <v>129.9</v>
      </c>
      <c r="V931" s="569">
        <v>25</v>
      </c>
      <c r="W931" s="620">
        <v>8550</v>
      </c>
      <c r="X931" s="621" t="s">
        <v>157</v>
      </c>
      <c r="Y931" s="621" t="s">
        <v>178</v>
      </c>
      <c r="Z931" s="621" t="s">
        <v>178</v>
      </c>
      <c r="AA931" s="622">
        <v>39930</v>
      </c>
      <c r="AB931" s="622" t="s">
        <v>164</v>
      </c>
      <c r="AC931" s="622">
        <v>28550</v>
      </c>
      <c r="AD931" s="623">
        <v>0.01</v>
      </c>
      <c r="AE931" s="621" t="s">
        <v>2109</v>
      </c>
    </row>
    <row r="932" spans="1:31" s="572" customFormat="1">
      <c r="A932" s="570" t="s">
        <v>2124</v>
      </c>
      <c r="B932" s="573" t="s">
        <v>278</v>
      </c>
      <c r="C932" s="578">
        <v>15</v>
      </c>
      <c r="D932" s="573" t="s">
        <v>1516</v>
      </c>
      <c r="E932" s="573" t="s">
        <v>1890</v>
      </c>
      <c r="F932" s="573" t="s">
        <v>271</v>
      </c>
      <c r="G932" s="573">
        <v>2019</v>
      </c>
      <c r="H932" s="573" t="s">
        <v>2047</v>
      </c>
      <c r="I932" s="573" t="s">
        <v>2106</v>
      </c>
      <c r="J932" s="573" t="s">
        <v>236</v>
      </c>
      <c r="K932" s="573">
        <v>10</v>
      </c>
      <c r="L932" s="573">
        <v>0</v>
      </c>
      <c r="M932" s="573" t="s">
        <v>157</v>
      </c>
      <c r="N932" s="573">
        <v>4</v>
      </c>
      <c r="O932" s="573">
        <v>98.7</v>
      </c>
      <c r="P932" s="571" t="s">
        <v>157</v>
      </c>
      <c r="Q932" s="573" t="s">
        <v>1259</v>
      </c>
      <c r="R932" s="573">
        <v>6</v>
      </c>
      <c r="S932" s="582" t="s">
        <v>1910</v>
      </c>
      <c r="T932" s="573" t="s">
        <v>2107</v>
      </c>
      <c r="U932" s="573">
        <v>129.9</v>
      </c>
      <c r="V932" s="573">
        <v>25</v>
      </c>
      <c r="W932" s="616">
        <v>8550</v>
      </c>
      <c r="X932" s="617" t="s">
        <v>157</v>
      </c>
      <c r="Y932" s="617" t="s">
        <v>178</v>
      </c>
      <c r="Z932" s="617" t="s">
        <v>178</v>
      </c>
      <c r="AA932" s="618">
        <v>43245</v>
      </c>
      <c r="AB932" s="618" t="s">
        <v>164</v>
      </c>
      <c r="AC932" s="618">
        <v>33950</v>
      </c>
      <c r="AD932" s="619">
        <v>0.01</v>
      </c>
      <c r="AE932" s="617" t="s">
        <v>2111</v>
      </c>
    </row>
    <row r="933" spans="1:31" s="572" customFormat="1">
      <c r="A933" s="570" t="s">
        <v>2125</v>
      </c>
      <c r="B933" s="569" t="s">
        <v>278</v>
      </c>
      <c r="C933" s="580">
        <v>15</v>
      </c>
      <c r="D933" s="569" t="s">
        <v>1516</v>
      </c>
      <c r="E933" s="569" t="s">
        <v>1890</v>
      </c>
      <c r="F933" s="569" t="s">
        <v>271</v>
      </c>
      <c r="G933" s="569">
        <v>2019</v>
      </c>
      <c r="H933" s="569" t="s">
        <v>2047</v>
      </c>
      <c r="I933" s="569" t="s">
        <v>2106</v>
      </c>
      <c r="J933" s="569" t="s">
        <v>236</v>
      </c>
      <c r="K933" s="569">
        <v>10</v>
      </c>
      <c r="L933" s="569">
        <v>0</v>
      </c>
      <c r="M933" s="569" t="s">
        <v>157</v>
      </c>
      <c r="N933" s="569">
        <v>4</v>
      </c>
      <c r="O933" s="569">
        <v>98.7</v>
      </c>
      <c r="P933" s="568" t="s">
        <v>157</v>
      </c>
      <c r="Q933" s="569" t="s">
        <v>682</v>
      </c>
      <c r="R933" s="569">
        <v>6</v>
      </c>
      <c r="S933" s="569" t="s">
        <v>1910</v>
      </c>
      <c r="T933" s="569" t="s">
        <v>2107</v>
      </c>
      <c r="U933" s="569">
        <v>129.9</v>
      </c>
      <c r="V933" s="569">
        <v>25</v>
      </c>
      <c r="W933" s="620">
        <v>8550</v>
      </c>
      <c r="X933" s="621" t="s">
        <v>157</v>
      </c>
      <c r="Y933" s="621" t="s">
        <v>178</v>
      </c>
      <c r="Z933" s="621" t="s">
        <v>178</v>
      </c>
      <c r="AA933" s="622">
        <v>41380</v>
      </c>
      <c r="AB933" s="622" t="s">
        <v>164</v>
      </c>
      <c r="AC933" s="622">
        <v>32300</v>
      </c>
      <c r="AD933" s="623">
        <v>0.01</v>
      </c>
      <c r="AE933" s="621" t="s">
        <v>2113</v>
      </c>
    </row>
    <row r="934" spans="1:31" s="572" customFormat="1">
      <c r="A934" s="570" t="s">
        <v>2126</v>
      </c>
      <c r="B934" s="573" t="s">
        <v>278</v>
      </c>
      <c r="C934" s="578">
        <v>15</v>
      </c>
      <c r="D934" s="573" t="s">
        <v>1516</v>
      </c>
      <c r="E934" s="573" t="s">
        <v>1890</v>
      </c>
      <c r="F934" s="573" t="s">
        <v>271</v>
      </c>
      <c r="G934" s="573">
        <v>2019</v>
      </c>
      <c r="H934" s="573" t="s">
        <v>2047</v>
      </c>
      <c r="I934" s="573" t="s">
        <v>2106</v>
      </c>
      <c r="J934" s="573" t="s">
        <v>236</v>
      </c>
      <c r="K934" s="573">
        <v>8</v>
      </c>
      <c r="L934" s="573">
        <v>0</v>
      </c>
      <c r="M934" s="573" t="s">
        <v>157</v>
      </c>
      <c r="N934" s="573">
        <v>3</v>
      </c>
      <c r="O934" s="573">
        <v>82.2</v>
      </c>
      <c r="P934" s="571" t="s">
        <v>157</v>
      </c>
      <c r="Q934" s="573" t="s">
        <v>1259</v>
      </c>
      <c r="R934" s="573">
        <v>6</v>
      </c>
      <c r="S934" s="582" t="s">
        <v>2049</v>
      </c>
      <c r="T934" s="573" t="s">
        <v>2107</v>
      </c>
      <c r="U934" s="573">
        <v>129.9</v>
      </c>
      <c r="V934" s="573">
        <v>25</v>
      </c>
      <c r="W934" s="616">
        <v>8550</v>
      </c>
      <c r="X934" s="617" t="s">
        <v>157</v>
      </c>
      <c r="Y934" s="617" t="s">
        <v>178</v>
      </c>
      <c r="Z934" s="617" t="s">
        <v>178</v>
      </c>
      <c r="AA934" s="618">
        <v>40545</v>
      </c>
      <c r="AB934" s="618" t="s">
        <v>164</v>
      </c>
      <c r="AC934" s="618">
        <v>29100</v>
      </c>
      <c r="AD934" s="619">
        <v>0.01</v>
      </c>
      <c r="AE934" s="617" t="s">
        <v>2115</v>
      </c>
    </row>
    <row r="935" spans="1:31" s="572" customFormat="1">
      <c r="A935" s="570" t="s">
        <v>2127</v>
      </c>
      <c r="B935" s="569" t="s">
        <v>278</v>
      </c>
      <c r="C935" s="580">
        <v>15</v>
      </c>
      <c r="D935" s="569" t="s">
        <v>1516</v>
      </c>
      <c r="E935" s="569" t="s">
        <v>1890</v>
      </c>
      <c r="F935" s="569" t="s">
        <v>271</v>
      </c>
      <c r="G935" s="569">
        <v>2019</v>
      </c>
      <c r="H935" s="569" t="s">
        <v>2047</v>
      </c>
      <c r="I935" s="569" t="s">
        <v>2106</v>
      </c>
      <c r="J935" s="569" t="s">
        <v>236</v>
      </c>
      <c r="K935" s="569">
        <v>8</v>
      </c>
      <c r="L935" s="569">
        <v>0</v>
      </c>
      <c r="M935" s="569" t="s">
        <v>157</v>
      </c>
      <c r="N935" s="569">
        <v>3</v>
      </c>
      <c r="O935" s="569">
        <v>82.2</v>
      </c>
      <c r="P935" s="568" t="s">
        <v>157</v>
      </c>
      <c r="Q935" s="569" t="s">
        <v>682</v>
      </c>
      <c r="R935" s="569">
        <v>6</v>
      </c>
      <c r="S935" s="569" t="s">
        <v>2049</v>
      </c>
      <c r="T935" s="569" t="s">
        <v>2107</v>
      </c>
      <c r="U935" s="569">
        <v>129.9</v>
      </c>
      <c r="V935" s="569">
        <v>25</v>
      </c>
      <c r="W935" s="620">
        <v>8550</v>
      </c>
      <c r="X935" s="621" t="s">
        <v>157</v>
      </c>
      <c r="Y935" s="621" t="s">
        <v>178</v>
      </c>
      <c r="Z935" s="621" t="s">
        <v>178</v>
      </c>
      <c r="AA935" s="622">
        <v>38680</v>
      </c>
      <c r="AB935" s="622" t="s">
        <v>164</v>
      </c>
      <c r="AC935" s="622">
        <v>27450</v>
      </c>
      <c r="AD935" s="623">
        <v>0.01</v>
      </c>
      <c r="AE935" s="621" t="s">
        <v>2117</v>
      </c>
    </row>
    <row r="936" spans="1:31" s="572" customFormat="1">
      <c r="A936" s="570" t="s">
        <v>2128</v>
      </c>
      <c r="B936" s="573" t="s">
        <v>278</v>
      </c>
      <c r="C936" s="578">
        <v>15</v>
      </c>
      <c r="D936" s="573" t="s">
        <v>1516</v>
      </c>
      <c r="E936" s="573" t="s">
        <v>1890</v>
      </c>
      <c r="F936" s="573" t="s">
        <v>271</v>
      </c>
      <c r="G936" s="573">
        <v>2019</v>
      </c>
      <c r="H936" s="573" t="s">
        <v>2047</v>
      </c>
      <c r="I936" s="573" t="s">
        <v>2106</v>
      </c>
      <c r="J936" s="573" t="s">
        <v>236</v>
      </c>
      <c r="K936" s="573">
        <v>8</v>
      </c>
      <c r="L936" s="573">
        <v>0</v>
      </c>
      <c r="M936" s="573" t="s">
        <v>157</v>
      </c>
      <c r="N936" s="573">
        <v>3</v>
      </c>
      <c r="O936" s="573">
        <v>98.7</v>
      </c>
      <c r="P936" s="571" t="s">
        <v>157</v>
      </c>
      <c r="Q936" s="573" t="s">
        <v>1259</v>
      </c>
      <c r="R936" s="573">
        <v>6</v>
      </c>
      <c r="S936" s="582" t="s">
        <v>1910</v>
      </c>
      <c r="T936" s="573" t="s">
        <v>2107</v>
      </c>
      <c r="U936" s="573">
        <v>129.9</v>
      </c>
      <c r="V936" s="573">
        <v>25</v>
      </c>
      <c r="W936" s="616">
        <v>8550</v>
      </c>
      <c r="X936" s="617" t="s">
        <v>157</v>
      </c>
      <c r="Y936" s="617" t="s">
        <v>178</v>
      </c>
      <c r="Z936" s="617" t="s">
        <v>178</v>
      </c>
      <c r="AA936" s="618">
        <v>41995</v>
      </c>
      <c r="AB936" s="618" t="s">
        <v>164</v>
      </c>
      <c r="AC936" s="618">
        <v>32800</v>
      </c>
      <c r="AD936" s="619">
        <v>0.01</v>
      </c>
      <c r="AE936" s="617" t="s">
        <v>2119</v>
      </c>
    </row>
    <row r="937" spans="1:31" s="572" customFormat="1">
      <c r="A937" s="570" t="s">
        <v>2129</v>
      </c>
      <c r="B937" s="569" t="s">
        <v>278</v>
      </c>
      <c r="C937" s="580">
        <v>15</v>
      </c>
      <c r="D937" s="569" t="s">
        <v>1516</v>
      </c>
      <c r="E937" s="569" t="s">
        <v>1890</v>
      </c>
      <c r="F937" s="569" t="s">
        <v>271</v>
      </c>
      <c r="G937" s="569">
        <v>2019</v>
      </c>
      <c r="H937" s="569" t="s">
        <v>2047</v>
      </c>
      <c r="I937" s="569" t="s">
        <v>2106</v>
      </c>
      <c r="J937" s="569" t="s">
        <v>236</v>
      </c>
      <c r="K937" s="569">
        <v>8</v>
      </c>
      <c r="L937" s="569">
        <v>0</v>
      </c>
      <c r="M937" s="569" t="s">
        <v>157</v>
      </c>
      <c r="N937" s="569">
        <v>3</v>
      </c>
      <c r="O937" s="569">
        <v>98.7</v>
      </c>
      <c r="P937" s="568" t="s">
        <v>157</v>
      </c>
      <c r="Q937" s="569" t="s">
        <v>682</v>
      </c>
      <c r="R937" s="569">
        <v>6</v>
      </c>
      <c r="S937" s="569" t="s">
        <v>1910</v>
      </c>
      <c r="T937" s="569" t="s">
        <v>2107</v>
      </c>
      <c r="U937" s="569">
        <v>129.9</v>
      </c>
      <c r="V937" s="569">
        <v>25</v>
      </c>
      <c r="W937" s="620">
        <v>8550</v>
      </c>
      <c r="X937" s="621" t="s">
        <v>157</v>
      </c>
      <c r="Y937" s="621" t="s">
        <v>178</v>
      </c>
      <c r="Z937" s="621" t="s">
        <v>178</v>
      </c>
      <c r="AA937" s="622">
        <v>40130</v>
      </c>
      <c r="AB937" s="622" t="s">
        <v>164</v>
      </c>
      <c r="AC937" s="622">
        <v>31100</v>
      </c>
      <c r="AD937" s="623">
        <v>0.01</v>
      </c>
      <c r="AE937" s="621" t="s">
        <v>2121</v>
      </c>
    </row>
    <row r="938" spans="1:31" s="572" customFormat="1">
      <c r="A938" s="570" t="s">
        <v>2130</v>
      </c>
      <c r="B938" s="573" t="s">
        <v>287</v>
      </c>
      <c r="C938" s="578">
        <v>26</v>
      </c>
      <c r="D938" s="573" t="s">
        <v>1516</v>
      </c>
      <c r="E938" s="573" t="s">
        <v>1890</v>
      </c>
      <c r="F938" s="573" t="s">
        <v>271</v>
      </c>
      <c r="G938" s="573">
        <v>2019</v>
      </c>
      <c r="H938" s="573" t="s">
        <v>2047</v>
      </c>
      <c r="I938" s="573" t="s">
        <v>2106</v>
      </c>
      <c r="J938" s="573" t="s">
        <v>236</v>
      </c>
      <c r="K938" s="573">
        <v>8</v>
      </c>
      <c r="L938" s="573">
        <v>0</v>
      </c>
      <c r="M938" s="573" t="s">
        <v>157</v>
      </c>
      <c r="N938" s="573">
        <v>3</v>
      </c>
      <c r="O938" s="573">
        <v>82.2</v>
      </c>
      <c r="P938" s="571" t="s">
        <v>157</v>
      </c>
      <c r="Q938" s="573" t="s">
        <v>1259</v>
      </c>
      <c r="R938" s="573">
        <v>6</v>
      </c>
      <c r="S938" s="582" t="s">
        <v>2049</v>
      </c>
      <c r="T938" s="573" t="s">
        <v>2107</v>
      </c>
      <c r="U938" s="573">
        <v>129.9</v>
      </c>
      <c r="V938" s="573">
        <v>25</v>
      </c>
      <c r="W938" s="616">
        <v>8550</v>
      </c>
      <c r="X938" s="617" t="s">
        <v>157</v>
      </c>
      <c r="Y938" s="617" t="s">
        <v>178</v>
      </c>
      <c r="Z938" s="617" t="s">
        <v>178</v>
      </c>
      <c r="AA938" s="618">
        <v>40545</v>
      </c>
      <c r="AB938" s="618" t="s">
        <v>164</v>
      </c>
      <c r="AC938" s="618">
        <v>29387</v>
      </c>
      <c r="AD938" s="619">
        <v>0.05</v>
      </c>
      <c r="AE938" s="617" t="s">
        <v>2115</v>
      </c>
    </row>
    <row r="939" spans="1:31" s="572" customFormat="1">
      <c r="A939" s="570" t="s">
        <v>2131</v>
      </c>
      <c r="B939" s="569" t="s">
        <v>287</v>
      </c>
      <c r="C939" s="580">
        <v>26</v>
      </c>
      <c r="D939" s="569" t="s">
        <v>1516</v>
      </c>
      <c r="E939" s="569" t="s">
        <v>1890</v>
      </c>
      <c r="F939" s="569" t="s">
        <v>271</v>
      </c>
      <c r="G939" s="569">
        <v>2019</v>
      </c>
      <c r="H939" s="569" t="s">
        <v>2047</v>
      </c>
      <c r="I939" s="569" t="s">
        <v>2106</v>
      </c>
      <c r="J939" s="569" t="s">
        <v>236</v>
      </c>
      <c r="K939" s="569">
        <v>8</v>
      </c>
      <c r="L939" s="569">
        <v>0</v>
      </c>
      <c r="M939" s="569" t="s">
        <v>157</v>
      </c>
      <c r="N939" s="569">
        <v>3</v>
      </c>
      <c r="O939" s="569">
        <v>82.2</v>
      </c>
      <c r="P939" s="568" t="s">
        <v>157</v>
      </c>
      <c r="Q939" s="569" t="s">
        <v>682</v>
      </c>
      <c r="R939" s="569">
        <v>6</v>
      </c>
      <c r="S939" s="569" t="s">
        <v>2049</v>
      </c>
      <c r="T939" s="569" t="s">
        <v>2107</v>
      </c>
      <c r="U939" s="569">
        <v>129.9</v>
      </c>
      <c r="V939" s="569">
        <v>25</v>
      </c>
      <c r="W939" s="620">
        <v>8550</v>
      </c>
      <c r="X939" s="621" t="s">
        <v>157</v>
      </c>
      <c r="Y939" s="621" t="s">
        <v>178</v>
      </c>
      <c r="Z939" s="621" t="s">
        <v>178</v>
      </c>
      <c r="AA939" s="622">
        <v>38680</v>
      </c>
      <c r="AB939" s="622" t="s">
        <v>164</v>
      </c>
      <c r="AC939" s="622">
        <v>27689</v>
      </c>
      <c r="AD939" s="623">
        <v>0.05</v>
      </c>
      <c r="AE939" s="621" t="s">
        <v>2117</v>
      </c>
    </row>
    <row r="940" spans="1:31" s="572" customFormat="1">
      <c r="A940" s="570" t="s">
        <v>2132</v>
      </c>
      <c r="B940" s="573" t="s">
        <v>287</v>
      </c>
      <c r="C940" s="578">
        <v>26</v>
      </c>
      <c r="D940" s="573" t="s">
        <v>1516</v>
      </c>
      <c r="E940" s="573" t="s">
        <v>1890</v>
      </c>
      <c r="F940" s="573" t="s">
        <v>271</v>
      </c>
      <c r="G940" s="573">
        <v>2019</v>
      </c>
      <c r="H940" s="573" t="s">
        <v>2047</v>
      </c>
      <c r="I940" s="573" t="s">
        <v>2106</v>
      </c>
      <c r="J940" s="573" t="s">
        <v>236</v>
      </c>
      <c r="K940" s="573">
        <v>8</v>
      </c>
      <c r="L940" s="573">
        <v>0</v>
      </c>
      <c r="M940" s="573" t="s">
        <v>157</v>
      </c>
      <c r="N940" s="573">
        <v>3</v>
      </c>
      <c r="O940" s="573">
        <v>98.7</v>
      </c>
      <c r="P940" s="571" t="s">
        <v>157</v>
      </c>
      <c r="Q940" s="573" t="s">
        <v>1259</v>
      </c>
      <c r="R940" s="573">
        <v>6</v>
      </c>
      <c r="S940" s="582" t="s">
        <v>1910</v>
      </c>
      <c r="T940" s="573" t="s">
        <v>2107</v>
      </c>
      <c r="U940" s="573">
        <v>129.9</v>
      </c>
      <c r="V940" s="573">
        <v>25</v>
      </c>
      <c r="W940" s="616">
        <v>8550</v>
      </c>
      <c r="X940" s="617" t="s">
        <v>157</v>
      </c>
      <c r="Y940" s="617" t="s">
        <v>178</v>
      </c>
      <c r="Z940" s="617" t="s">
        <v>178</v>
      </c>
      <c r="AA940" s="618">
        <v>41955</v>
      </c>
      <c r="AB940" s="618" t="s">
        <v>164</v>
      </c>
      <c r="AC940" s="618">
        <v>33096</v>
      </c>
      <c r="AD940" s="619">
        <v>0.05</v>
      </c>
      <c r="AE940" s="617" t="s">
        <v>2119</v>
      </c>
    </row>
    <row r="941" spans="1:31" s="572" customFormat="1">
      <c r="A941" s="570" t="s">
        <v>2133</v>
      </c>
      <c r="B941" s="569" t="s">
        <v>287</v>
      </c>
      <c r="C941" s="580">
        <v>26</v>
      </c>
      <c r="D941" s="569" t="s">
        <v>1516</v>
      </c>
      <c r="E941" s="569" t="s">
        <v>1890</v>
      </c>
      <c r="F941" s="569" t="s">
        <v>271</v>
      </c>
      <c r="G941" s="569">
        <v>2019</v>
      </c>
      <c r="H941" s="569" t="s">
        <v>2047</v>
      </c>
      <c r="I941" s="569" t="s">
        <v>2106</v>
      </c>
      <c r="J941" s="569" t="s">
        <v>236</v>
      </c>
      <c r="K941" s="569">
        <v>8</v>
      </c>
      <c r="L941" s="569">
        <v>0</v>
      </c>
      <c r="M941" s="569" t="s">
        <v>157</v>
      </c>
      <c r="N941" s="569">
        <v>3</v>
      </c>
      <c r="O941" s="569">
        <v>98.7</v>
      </c>
      <c r="P941" s="568" t="s">
        <v>157</v>
      </c>
      <c r="Q941" s="569" t="s">
        <v>682</v>
      </c>
      <c r="R941" s="569">
        <v>6</v>
      </c>
      <c r="S941" s="569" t="s">
        <v>1910</v>
      </c>
      <c r="T941" s="569" t="s">
        <v>2107</v>
      </c>
      <c r="U941" s="569">
        <v>129.9</v>
      </c>
      <c r="V941" s="569">
        <v>25</v>
      </c>
      <c r="W941" s="620">
        <v>8550</v>
      </c>
      <c r="X941" s="621" t="s">
        <v>157</v>
      </c>
      <c r="Y941" s="621" t="s">
        <v>178</v>
      </c>
      <c r="Z941" s="621" t="s">
        <v>178</v>
      </c>
      <c r="AA941" s="622">
        <v>40130</v>
      </c>
      <c r="AB941" s="622" t="s">
        <v>164</v>
      </c>
      <c r="AC941" s="622">
        <v>31398</v>
      </c>
      <c r="AD941" s="623">
        <v>0.05</v>
      </c>
      <c r="AE941" s="621" t="s">
        <v>2121</v>
      </c>
    </row>
    <row r="942" spans="1:31" s="572" customFormat="1">
      <c r="A942" s="570" t="s">
        <v>2134</v>
      </c>
      <c r="B942" s="573" t="s">
        <v>280</v>
      </c>
      <c r="C942" s="578">
        <v>27</v>
      </c>
      <c r="D942" s="573" t="s">
        <v>1516</v>
      </c>
      <c r="E942" s="573" t="s">
        <v>1890</v>
      </c>
      <c r="F942" s="573" t="s">
        <v>271</v>
      </c>
      <c r="G942" s="573">
        <v>2019</v>
      </c>
      <c r="H942" s="573" t="s">
        <v>2047</v>
      </c>
      <c r="I942" s="573" t="s">
        <v>2106</v>
      </c>
      <c r="J942" s="573" t="s">
        <v>236</v>
      </c>
      <c r="K942" s="573">
        <v>10</v>
      </c>
      <c r="L942" s="573">
        <v>0</v>
      </c>
      <c r="M942" s="573" t="s">
        <v>157</v>
      </c>
      <c r="N942" s="573">
        <v>4</v>
      </c>
      <c r="O942" s="573">
        <v>82.2</v>
      </c>
      <c r="P942" s="571" t="s">
        <v>157</v>
      </c>
      <c r="Q942" s="573" t="s">
        <v>1259</v>
      </c>
      <c r="R942" s="573">
        <v>6</v>
      </c>
      <c r="S942" s="582" t="s">
        <v>2049</v>
      </c>
      <c r="T942" s="573" t="s">
        <v>2107</v>
      </c>
      <c r="U942" s="573">
        <v>129.9</v>
      </c>
      <c r="V942" s="573">
        <v>25</v>
      </c>
      <c r="W942" s="616">
        <v>8550</v>
      </c>
      <c r="X942" s="617" t="s">
        <v>157</v>
      </c>
      <c r="Y942" s="617" t="s">
        <v>178</v>
      </c>
      <c r="Z942" s="617" t="s">
        <v>178</v>
      </c>
      <c r="AA942" s="618">
        <v>41795</v>
      </c>
      <c r="AB942" s="618" t="s">
        <v>164</v>
      </c>
      <c r="AC942" s="618">
        <v>29673.625</v>
      </c>
      <c r="AD942" s="619">
        <v>0.03</v>
      </c>
      <c r="AE942" s="617" t="s">
        <v>2105</v>
      </c>
    </row>
    <row r="943" spans="1:31" s="572" customFormat="1">
      <c r="A943" s="570" t="s">
        <v>2135</v>
      </c>
      <c r="B943" s="569" t="s">
        <v>280</v>
      </c>
      <c r="C943" s="580">
        <v>27</v>
      </c>
      <c r="D943" s="569" t="s">
        <v>1516</v>
      </c>
      <c r="E943" s="569" t="s">
        <v>1890</v>
      </c>
      <c r="F943" s="569" t="s">
        <v>271</v>
      </c>
      <c r="G943" s="569">
        <v>2019</v>
      </c>
      <c r="H943" s="569" t="s">
        <v>2047</v>
      </c>
      <c r="I943" s="569" t="s">
        <v>2106</v>
      </c>
      <c r="J943" s="569" t="s">
        <v>236</v>
      </c>
      <c r="K943" s="569">
        <v>10</v>
      </c>
      <c r="L943" s="569">
        <v>0</v>
      </c>
      <c r="M943" s="569" t="s">
        <v>157</v>
      </c>
      <c r="N943" s="569">
        <v>4</v>
      </c>
      <c r="O943" s="569">
        <v>82.2</v>
      </c>
      <c r="P943" s="568" t="s">
        <v>157</v>
      </c>
      <c r="Q943" s="569" t="s">
        <v>682</v>
      </c>
      <c r="R943" s="569">
        <v>6</v>
      </c>
      <c r="S943" s="569" t="s">
        <v>2049</v>
      </c>
      <c r="T943" s="569" t="s">
        <v>2107</v>
      </c>
      <c r="U943" s="569">
        <v>129.9</v>
      </c>
      <c r="V943" s="569">
        <v>25</v>
      </c>
      <c r="W943" s="620">
        <v>8550</v>
      </c>
      <c r="X943" s="621" t="s">
        <v>157</v>
      </c>
      <c r="Y943" s="621" t="s">
        <v>178</v>
      </c>
      <c r="Z943" s="621" t="s">
        <v>178</v>
      </c>
      <c r="AA943" s="622">
        <v>39930</v>
      </c>
      <c r="AB943" s="622" t="s">
        <v>164</v>
      </c>
      <c r="AC943" s="622">
        <v>28017.375</v>
      </c>
      <c r="AD943" s="623">
        <v>0.03</v>
      </c>
      <c r="AE943" s="621" t="s">
        <v>2109</v>
      </c>
    </row>
    <row r="944" spans="1:31" s="572" customFormat="1">
      <c r="A944" s="570" t="s">
        <v>2136</v>
      </c>
      <c r="B944" s="573" t="s">
        <v>280</v>
      </c>
      <c r="C944" s="578">
        <v>27</v>
      </c>
      <c r="D944" s="573" t="s">
        <v>1516</v>
      </c>
      <c r="E944" s="573" t="s">
        <v>1890</v>
      </c>
      <c r="F944" s="573" t="s">
        <v>271</v>
      </c>
      <c r="G944" s="573">
        <v>2019</v>
      </c>
      <c r="H944" s="573" t="s">
        <v>2047</v>
      </c>
      <c r="I944" s="573" t="s">
        <v>2106</v>
      </c>
      <c r="J944" s="573" t="s">
        <v>236</v>
      </c>
      <c r="K944" s="573">
        <v>10</v>
      </c>
      <c r="L944" s="573">
        <v>0</v>
      </c>
      <c r="M944" s="573" t="s">
        <v>157</v>
      </c>
      <c r="N944" s="573">
        <v>4</v>
      </c>
      <c r="O944" s="573">
        <v>98.7</v>
      </c>
      <c r="P944" s="571" t="s">
        <v>157</v>
      </c>
      <c r="Q944" s="573" t="s">
        <v>1259</v>
      </c>
      <c r="R944" s="573">
        <v>6</v>
      </c>
      <c r="S944" s="582" t="s">
        <v>1910</v>
      </c>
      <c r="T944" s="573" t="s">
        <v>2107</v>
      </c>
      <c r="U944" s="573">
        <v>129.9</v>
      </c>
      <c r="V944" s="573">
        <v>25</v>
      </c>
      <c r="W944" s="616">
        <v>8550</v>
      </c>
      <c r="X944" s="617" t="s">
        <v>157</v>
      </c>
      <c r="Y944" s="617" t="s">
        <v>178</v>
      </c>
      <c r="Z944" s="617" t="s">
        <v>178</v>
      </c>
      <c r="AA944" s="618">
        <v>43245</v>
      </c>
      <c r="AB944" s="618" t="s">
        <v>164</v>
      </c>
      <c r="AC944" s="618">
        <v>33290.291666666672</v>
      </c>
      <c r="AD944" s="619">
        <v>0.03</v>
      </c>
      <c r="AE944" s="617" t="s">
        <v>2111</v>
      </c>
    </row>
    <row r="945" spans="1:31" s="572" customFormat="1">
      <c r="A945" s="570" t="s">
        <v>2137</v>
      </c>
      <c r="B945" s="569" t="s">
        <v>280</v>
      </c>
      <c r="C945" s="580">
        <v>27</v>
      </c>
      <c r="D945" s="569" t="s">
        <v>1516</v>
      </c>
      <c r="E945" s="569" t="s">
        <v>1890</v>
      </c>
      <c r="F945" s="569" t="s">
        <v>271</v>
      </c>
      <c r="G945" s="569">
        <v>2019</v>
      </c>
      <c r="H945" s="569" t="s">
        <v>2047</v>
      </c>
      <c r="I945" s="569" t="s">
        <v>2106</v>
      </c>
      <c r="J945" s="569" t="s">
        <v>236</v>
      </c>
      <c r="K945" s="569">
        <v>10</v>
      </c>
      <c r="L945" s="569">
        <v>0</v>
      </c>
      <c r="M945" s="569" t="s">
        <v>157</v>
      </c>
      <c r="N945" s="569">
        <v>4</v>
      </c>
      <c r="O945" s="569">
        <v>98.7</v>
      </c>
      <c r="P945" s="568" t="s">
        <v>157</v>
      </c>
      <c r="Q945" s="569" t="s">
        <v>682</v>
      </c>
      <c r="R945" s="569">
        <v>6</v>
      </c>
      <c r="S945" s="569" t="s">
        <v>1910</v>
      </c>
      <c r="T945" s="569" t="s">
        <v>2107</v>
      </c>
      <c r="U945" s="569">
        <v>129.9</v>
      </c>
      <c r="V945" s="569">
        <v>25</v>
      </c>
      <c r="W945" s="620">
        <v>8550</v>
      </c>
      <c r="X945" s="621" t="s">
        <v>157</v>
      </c>
      <c r="Y945" s="621" t="s">
        <v>178</v>
      </c>
      <c r="Z945" s="621" t="s">
        <v>178</v>
      </c>
      <c r="AA945" s="622">
        <v>41380</v>
      </c>
      <c r="AB945" s="622" t="s">
        <v>164</v>
      </c>
      <c r="AC945" s="622">
        <v>31634.041666666668</v>
      </c>
      <c r="AD945" s="623">
        <v>0.03</v>
      </c>
      <c r="AE945" s="621" t="s">
        <v>2113</v>
      </c>
    </row>
    <row r="946" spans="1:31" s="572" customFormat="1">
      <c r="A946" s="570" t="s">
        <v>2138</v>
      </c>
      <c r="B946" s="573" t="s">
        <v>280</v>
      </c>
      <c r="C946" s="578">
        <v>27</v>
      </c>
      <c r="D946" s="573" t="s">
        <v>1516</v>
      </c>
      <c r="E946" s="573" t="s">
        <v>1890</v>
      </c>
      <c r="F946" s="573" t="s">
        <v>271</v>
      </c>
      <c r="G946" s="573">
        <v>2019</v>
      </c>
      <c r="H946" s="573" t="s">
        <v>2047</v>
      </c>
      <c r="I946" s="573" t="s">
        <v>2106</v>
      </c>
      <c r="J946" s="573" t="s">
        <v>236</v>
      </c>
      <c r="K946" s="573">
        <v>8</v>
      </c>
      <c r="L946" s="573">
        <v>0</v>
      </c>
      <c r="M946" s="573" t="s">
        <v>157</v>
      </c>
      <c r="N946" s="573">
        <v>3</v>
      </c>
      <c r="O946" s="573">
        <v>82.2</v>
      </c>
      <c r="P946" s="571" t="s">
        <v>157</v>
      </c>
      <c r="Q946" s="573" t="s">
        <v>1259</v>
      </c>
      <c r="R946" s="573">
        <v>6</v>
      </c>
      <c r="S946" s="582" t="s">
        <v>2049</v>
      </c>
      <c r="T946" s="573" t="s">
        <v>2107</v>
      </c>
      <c r="U946" s="573">
        <v>129.9</v>
      </c>
      <c r="V946" s="573">
        <v>25</v>
      </c>
      <c r="W946" s="616">
        <v>8550</v>
      </c>
      <c r="X946" s="617" t="s">
        <v>157</v>
      </c>
      <c r="Y946" s="617" t="s">
        <v>178</v>
      </c>
      <c r="Z946" s="617" t="s">
        <v>178</v>
      </c>
      <c r="AA946" s="618">
        <v>40545</v>
      </c>
      <c r="AB946" s="618" t="s">
        <v>164</v>
      </c>
      <c r="AC946" s="618">
        <v>28563.208333333336</v>
      </c>
      <c r="AD946" s="619">
        <v>0.03</v>
      </c>
      <c r="AE946" s="617" t="s">
        <v>2115</v>
      </c>
    </row>
    <row r="947" spans="1:31" s="572" customFormat="1">
      <c r="A947" s="570" t="s">
        <v>2139</v>
      </c>
      <c r="B947" s="569" t="s">
        <v>280</v>
      </c>
      <c r="C947" s="580">
        <v>27</v>
      </c>
      <c r="D947" s="569" t="s">
        <v>1516</v>
      </c>
      <c r="E947" s="569" t="s">
        <v>1890</v>
      </c>
      <c r="F947" s="569" t="s">
        <v>271</v>
      </c>
      <c r="G947" s="569">
        <v>2019</v>
      </c>
      <c r="H947" s="569" t="s">
        <v>2047</v>
      </c>
      <c r="I947" s="569" t="s">
        <v>2106</v>
      </c>
      <c r="J947" s="569" t="s">
        <v>236</v>
      </c>
      <c r="K947" s="569">
        <v>8</v>
      </c>
      <c r="L947" s="569">
        <v>0</v>
      </c>
      <c r="M947" s="569" t="s">
        <v>157</v>
      </c>
      <c r="N947" s="569">
        <v>3</v>
      </c>
      <c r="O947" s="569">
        <v>82.2</v>
      </c>
      <c r="P947" s="568" t="s">
        <v>157</v>
      </c>
      <c r="Q947" s="569" t="s">
        <v>682</v>
      </c>
      <c r="R947" s="569">
        <v>6</v>
      </c>
      <c r="S947" s="569" t="s">
        <v>2049</v>
      </c>
      <c r="T947" s="569" t="s">
        <v>2107</v>
      </c>
      <c r="U947" s="569">
        <v>129.9</v>
      </c>
      <c r="V947" s="569">
        <v>25</v>
      </c>
      <c r="W947" s="620">
        <v>8550</v>
      </c>
      <c r="X947" s="621" t="s">
        <v>157</v>
      </c>
      <c r="Y947" s="621" t="s">
        <v>178</v>
      </c>
      <c r="Z947" s="621" t="s">
        <v>178</v>
      </c>
      <c r="AA947" s="622">
        <v>38680</v>
      </c>
      <c r="AB947" s="622" t="s">
        <v>164</v>
      </c>
      <c r="AC947" s="622">
        <v>26906.958333333336</v>
      </c>
      <c r="AD947" s="623">
        <v>0.03</v>
      </c>
      <c r="AE947" s="621" t="s">
        <v>2117</v>
      </c>
    </row>
    <row r="948" spans="1:31" s="572" customFormat="1">
      <c r="A948" s="570" t="s">
        <v>2140</v>
      </c>
      <c r="B948" s="573" t="s">
        <v>280</v>
      </c>
      <c r="C948" s="578">
        <v>27</v>
      </c>
      <c r="D948" s="573" t="s">
        <v>1516</v>
      </c>
      <c r="E948" s="573" t="s">
        <v>1890</v>
      </c>
      <c r="F948" s="573" t="s">
        <v>271</v>
      </c>
      <c r="G948" s="573">
        <v>2019</v>
      </c>
      <c r="H948" s="573" t="s">
        <v>2047</v>
      </c>
      <c r="I948" s="573" t="s">
        <v>2106</v>
      </c>
      <c r="J948" s="573" t="s">
        <v>236</v>
      </c>
      <c r="K948" s="573">
        <v>8</v>
      </c>
      <c r="L948" s="573">
        <v>0</v>
      </c>
      <c r="M948" s="573" t="s">
        <v>157</v>
      </c>
      <c r="N948" s="573">
        <v>3</v>
      </c>
      <c r="O948" s="573">
        <v>98.7</v>
      </c>
      <c r="P948" s="571" t="s">
        <v>157</v>
      </c>
      <c r="Q948" s="573" t="s">
        <v>1259</v>
      </c>
      <c r="R948" s="573">
        <v>6</v>
      </c>
      <c r="S948" s="582" t="s">
        <v>1910</v>
      </c>
      <c r="T948" s="573" t="s">
        <v>2107</v>
      </c>
      <c r="U948" s="573">
        <v>129.9</v>
      </c>
      <c r="V948" s="573">
        <v>25</v>
      </c>
      <c r="W948" s="616">
        <v>8550</v>
      </c>
      <c r="X948" s="617" t="s">
        <v>157</v>
      </c>
      <c r="Y948" s="617" t="s">
        <v>178</v>
      </c>
      <c r="Z948" s="617" t="s">
        <v>178</v>
      </c>
      <c r="AA948" s="618">
        <v>41995</v>
      </c>
      <c r="AB948" s="618" t="s">
        <v>164</v>
      </c>
      <c r="AC948" s="618">
        <v>32179.875</v>
      </c>
      <c r="AD948" s="619">
        <v>0.03</v>
      </c>
      <c r="AE948" s="617" t="s">
        <v>2119</v>
      </c>
    </row>
    <row r="949" spans="1:31" s="572" customFormat="1">
      <c r="A949" s="570" t="s">
        <v>2141</v>
      </c>
      <c r="B949" s="569" t="s">
        <v>280</v>
      </c>
      <c r="C949" s="580">
        <v>27</v>
      </c>
      <c r="D949" s="569" t="s">
        <v>1516</v>
      </c>
      <c r="E949" s="569" t="s">
        <v>1890</v>
      </c>
      <c r="F949" s="569" t="s">
        <v>271</v>
      </c>
      <c r="G949" s="569">
        <v>2019</v>
      </c>
      <c r="H949" s="569" t="s">
        <v>2047</v>
      </c>
      <c r="I949" s="569" t="s">
        <v>2106</v>
      </c>
      <c r="J949" s="569" t="s">
        <v>236</v>
      </c>
      <c r="K949" s="569">
        <v>8</v>
      </c>
      <c r="L949" s="569">
        <v>0</v>
      </c>
      <c r="M949" s="569" t="s">
        <v>157</v>
      </c>
      <c r="N949" s="569">
        <v>3</v>
      </c>
      <c r="O949" s="569">
        <v>98.7</v>
      </c>
      <c r="P949" s="568" t="s">
        <v>157</v>
      </c>
      <c r="Q949" s="569" t="s">
        <v>682</v>
      </c>
      <c r="R949" s="569">
        <v>6</v>
      </c>
      <c r="S949" s="569" t="s">
        <v>1910</v>
      </c>
      <c r="T949" s="569" t="s">
        <v>2107</v>
      </c>
      <c r="U949" s="569">
        <v>129.9</v>
      </c>
      <c r="V949" s="569">
        <v>25</v>
      </c>
      <c r="W949" s="620">
        <v>8550</v>
      </c>
      <c r="X949" s="621" t="s">
        <v>157</v>
      </c>
      <c r="Y949" s="621" t="s">
        <v>178</v>
      </c>
      <c r="Z949" s="621" t="s">
        <v>178</v>
      </c>
      <c r="AA949" s="622">
        <v>40130</v>
      </c>
      <c r="AB949" s="622" t="s">
        <v>164</v>
      </c>
      <c r="AC949" s="622">
        <v>30523.625</v>
      </c>
      <c r="AD949" s="623">
        <v>0.03</v>
      </c>
      <c r="AE949" s="621" t="s">
        <v>2121</v>
      </c>
    </row>
    <row r="950" spans="1:31" s="572" customFormat="1">
      <c r="A950" s="570" t="s">
        <v>2141</v>
      </c>
      <c r="B950" s="573" t="s">
        <v>280</v>
      </c>
      <c r="C950" s="578">
        <v>27</v>
      </c>
      <c r="D950" s="573" t="s">
        <v>1516</v>
      </c>
      <c r="E950" s="573" t="s">
        <v>1890</v>
      </c>
      <c r="F950" s="573" t="s">
        <v>271</v>
      </c>
      <c r="G950" s="573">
        <v>2019</v>
      </c>
      <c r="H950" s="573" t="s">
        <v>2047</v>
      </c>
      <c r="I950" s="573" t="s">
        <v>2106</v>
      </c>
      <c r="J950" s="573" t="s">
        <v>236</v>
      </c>
      <c r="K950" s="573">
        <v>8</v>
      </c>
      <c r="L950" s="573">
        <v>0</v>
      </c>
      <c r="M950" s="573" t="s">
        <v>157</v>
      </c>
      <c r="N950" s="573">
        <v>3</v>
      </c>
      <c r="O950" s="573">
        <v>98.7</v>
      </c>
      <c r="P950" s="571" t="s">
        <v>157</v>
      </c>
      <c r="Q950" s="573" t="s">
        <v>682</v>
      </c>
      <c r="R950" s="573">
        <v>6</v>
      </c>
      <c r="S950" s="582" t="s">
        <v>1910</v>
      </c>
      <c r="T950" s="573" t="s">
        <v>2107</v>
      </c>
      <c r="U950" s="573">
        <v>129.9</v>
      </c>
      <c r="V950" s="573">
        <v>25</v>
      </c>
      <c r="W950" s="616">
        <v>8550</v>
      </c>
      <c r="X950" s="617" t="s">
        <v>157</v>
      </c>
      <c r="Y950" s="617" t="s">
        <v>178</v>
      </c>
      <c r="Z950" s="617" t="s">
        <v>178</v>
      </c>
      <c r="AA950" s="618">
        <v>40130</v>
      </c>
      <c r="AB950" s="618" t="s">
        <v>164</v>
      </c>
      <c r="AC950" s="618">
        <v>30523.625</v>
      </c>
      <c r="AD950" s="619">
        <v>0.03</v>
      </c>
      <c r="AE950" s="617" t="s">
        <v>2121</v>
      </c>
    </row>
    <row r="951" spans="1:31" s="572" customFormat="1">
      <c r="A951" s="570" t="s">
        <v>2142</v>
      </c>
      <c r="B951" s="569" t="s">
        <v>269</v>
      </c>
      <c r="C951" s="580" t="s">
        <v>270</v>
      </c>
      <c r="D951" s="569" t="s">
        <v>1516</v>
      </c>
      <c r="E951" s="569" t="s">
        <v>1890</v>
      </c>
      <c r="F951" s="569" t="s">
        <v>271</v>
      </c>
      <c r="G951" s="569">
        <v>2019</v>
      </c>
      <c r="H951" s="569" t="s">
        <v>2047</v>
      </c>
      <c r="I951" s="569" t="s">
        <v>2144</v>
      </c>
      <c r="J951" s="569" t="s">
        <v>236</v>
      </c>
      <c r="K951" s="569">
        <v>10</v>
      </c>
      <c r="L951" s="569">
        <v>0</v>
      </c>
      <c r="M951" s="569" t="s">
        <v>157</v>
      </c>
      <c r="N951" s="569">
        <v>4</v>
      </c>
      <c r="O951" s="569">
        <v>82.2</v>
      </c>
      <c r="P951" s="568" t="s">
        <v>157</v>
      </c>
      <c r="Q951" s="569" t="s">
        <v>1259</v>
      </c>
      <c r="R951" s="569">
        <v>6</v>
      </c>
      <c r="S951" s="569" t="s">
        <v>2087</v>
      </c>
      <c r="T951" s="569" t="s">
        <v>2107</v>
      </c>
      <c r="U951" s="569">
        <v>129.9</v>
      </c>
      <c r="V951" s="569">
        <v>25</v>
      </c>
      <c r="W951" s="620">
        <v>8550</v>
      </c>
      <c r="X951" s="621" t="s">
        <v>157</v>
      </c>
      <c r="Y951" s="621" t="s">
        <v>178</v>
      </c>
      <c r="Z951" s="621" t="s">
        <v>178</v>
      </c>
      <c r="AA951" s="622">
        <v>41645</v>
      </c>
      <c r="AB951" s="622" t="s">
        <v>164</v>
      </c>
      <c r="AC951" s="622">
        <v>29536.125</v>
      </c>
      <c r="AD951" s="623">
        <v>0.03</v>
      </c>
      <c r="AE951" s="621" t="s">
        <v>2143</v>
      </c>
    </row>
    <row r="952" spans="1:31" s="572" customFormat="1">
      <c r="A952" s="570" t="s">
        <v>2145</v>
      </c>
      <c r="B952" s="573" t="s">
        <v>269</v>
      </c>
      <c r="C952" s="578" t="s">
        <v>270</v>
      </c>
      <c r="D952" s="573" t="s">
        <v>1516</v>
      </c>
      <c r="E952" s="573" t="s">
        <v>1890</v>
      </c>
      <c r="F952" s="573" t="s">
        <v>271</v>
      </c>
      <c r="G952" s="573">
        <v>2019</v>
      </c>
      <c r="H952" s="573" t="s">
        <v>2047</v>
      </c>
      <c r="I952" s="573" t="s">
        <v>2144</v>
      </c>
      <c r="J952" s="573" t="s">
        <v>236</v>
      </c>
      <c r="K952" s="573">
        <v>10</v>
      </c>
      <c r="L952" s="573">
        <v>0</v>
      </c>
      <c r="M952" s="573" t="s">
        <v>157</v>
      </c>
      <c r="N952" s="573">
        <v>4</v>
      </c>
      <c r="O952" s="573">
        <v>82.2</v>
      </c>
      <c r="P952" s="571" t="s">
        <v>157</v>
      </c>
      <c r="Q952" s="573" t="s">
        <v>682</v>
      </c>
      <c r="R952" s="573">
        <v>6</v>
      </c>
      <c r="S952" s="582" t="s">
        <v>2087</v>
      </c>
      <c r="T952" s="573" t="s">
        <v>2107</v>
      </c>
      <c r="U952" s="573">
        <v>129.9</v>
      </c>
      <c r="V952" s="573">
        <v>25</v>
      </c>
      <c r="W952" s="616">
        <v>8550</v>
      </c>
      <c r="X952" s="617" t="s">
        <v>157</v>
      </c>
      <c r="Y952" s="617" t="s">
        <v>178</v>
      </c>
      <c r="Z952" s="617" t="s">
        <v>178</v>
      </c>
      <c r="AA952" s="618">
        <v>39780</v>
      </c>
      <c r="AB952" s="618" t="s">
        <v>164</v>
      </c>
      <c r="AC952" s="618">
        <v>27879.875</v>
      </c>
      <c r="AD952" s="619">
        <v>0.03</v>
      </c>
      <c r="AE952" s="617" t="s">
        <v>2146</v>
      </c>
    </row>
    <row r="953" spans="1:31" s="572" customFormat="1">
      <c r="A953" s="570" t="s">
        <v>2147</v>
      </c>
      <c r="B953" s="569" t="s">
        <v>269</v>
      </c>
      <c r="C953" s="580" t="s">
        <v>270</v>
      </c>
      <c r="D953" s="569" t="s">
        <v>1516</v>
      </c>
      <c r="E953" s="569" t="s">
        <v>1890</v>
      </c>
      <c r="F953" s="569" t="s">
        <v>271</v>
      </c>
      <c r="G953" s="569">
        <v>2019</v>
      </c>
      <c r="H953" s="569" t="s">
        <v>2047</v>
      </c>
      <c r="I953" s="569" t="s">
        <v>2144</v>
      </c>
      <c r="J953" s="569" t="s">
        <v>236</v>
      </c>
      <c r="K953" s="569">
        <v>8</v>
      </c>
      <c r="L953" s="569">
        <v>0</v>
      </c>
      <c r="M953" s="569" t="s">
        <v>157</v>
      </c>
      <c r="N953" s="569">
        <v>3</v>
      </c>
      <c r="O953" s="569">
        <v>82.2</v>
      </c>
      <c r="P953" s="568" t="s">
        <v>157</v>
      </c>
      <c r="Q953" s="569" t="s">
        <v>1259</v>
      </c>
      <c r="R953" s="569">
        <v>6</v>
      </c>
      <c r="S953" s="569" t="s">
        <v>2087</v>
      </c>
      <c r="T953" s="569" t="s">
        <v>2107</v>
      </c>
      <c r="U953" s="569">
        <v>129.9</v>
      </c>
      <c r="V953" s="569">
        <v>25</v>
      </c>
      <c r="W953" s="620">
        <v>8550</v>
      </c>
      <c r="X953" s="621" t="s">
        <v>157</v>
      </c>
      <c r="Y953" s="621" t="s">
        <v>178</v>
      </c>
      <c r="Z953" s="621" t="s">
        <v>178</v>
      </c>
      <c r="AA953" s="622">
        <v>40935</v>
      </c>
      <c r="AB953" s="622" t="s">
        <v>164</v>
      </c>
      <c r="AC953" s="622">
        <v>28425.708333333336</v>
      </c>
      <c r="AD953" s="623">
        <v>0.03</v>
      </c>
      <c r="AE953" s="621" t="s">
        <v>2148</v>
      </c>
    </row>
    <row r="954" spans="1:31" s="572" customFormat="1">
      <c r="A954" s="570" t="s">
        <v>2149</v>
      </c>
      <c r="B954" s="573" t="s">
        <v>269</v>
      </c>
      <c r="C954" s="578" t="s">
        <v>270</v>
      </c>
      <c r="D954" s="573" t="s">
        <v>1516</v>
      </c>
      <c r="E954" s="573" t="s">
        <v>1890</v>
      </c>
      <c r="F954" s="573" t="s">
        <v>271</v>
      </c>
      <c r="G954" s="573">
        <v>2019</v>
      </c>
      <c r="H954" s="573" t="s">
        <v>2047</v>
      </c>
      <c r="I954" s="573" t="s">
        <v>2144</v>
      </c>
      <c r="J954" s="573" t="s">
        <v>236</v>
      </c>
      <c r="K954" s="573">
        <v>8</v>
      </c>
      <c r="L954" s="573">
        <v>0</v>
      </c>
      <c r="M954" s="573" t="s">
        <v>157</v>
      </c>
      <c r="N954" s="573">
        <v>3</v>
      </c>
      <c r="O954" s="573">
        <v>82.2</v>
      </c>
      <c r="P954" s="571" t="s">
        <v>157</v>
      </c>
      <c r="Q954" s="573" t="s">
        <v>682</v>
      </c>
      <c r="R954" s="573">
        <v>6</v>
      </c>
      <c r="S954" s="582" t="s">
        <v>2087</v>
      </c>
      <c r="T954" s="573" t="s">
        <v>2107</v>
      </c>
      <c r="U954" s="573">
        <v>129.9</v>
      </c>
      <c r="V954" s="573">
        <v>25</v>
      </c>
      <c r="W954" s="616">
        <v>8550</v>
      </c>
      <c r="X954" s="617" t="s">
        <v>157</v>
      </c>
      <c r="Y954" s="617" t="s">
        <v>178</v>
      </c>
      <c r="Z954" s="617" t="s">
        <v>178</v>
      </c>
      <c r="AA954" s="618">
        <v>38530</v>
      </c>
      <c r="AB954" s="618" t="s">
        <v>164</v>
      </c>
      <c r="AC954" s="618">
        <v>26769.458333333336</v>
      </c>
      <c r="AD954" s="619">
        <v>0.03</v>
      </c>
      <c r="AE954" s="617" t="s">
        <v>2150</v>
      </c>
    </row>
    <row r="955" spans="1:31" s="572" customFormat="1">
      <c r="A955" s="570" t="s">
        <v>2151</v>
      </c>
      <c r="B955" s="569" t="s">
        <v>278</v>
      </c>
      <c r="C955" s="580">
        <v>15</v>
      </c>
      <c r="D955" s="569" t="s">
        <v>1516</v>
      </c>
      <c r="E955" s="569" t="s">
        <v>1890</v>
      </c>
      <c r="F955" s="569" t="s">
        <v>271</v>
      </c>
      <c r="G955" s="569">
        <v>2019</v>
      </c>
      <c r="H955" s="569" t="s">
        <v>2047</v>
      </c>
      <c r="I955" s="569" t="s">
        <v>2144</v>
      </c>
      <c r="J955" s="569" t="s">
        <v>236</v>
      </c>
      <c r="K955" s="569">
        <v>10</v>
      </c>
      <c r="L955" s="569">
        <v>0</v>
      </c>
      <c r="M955" s="569" t="s">
        <v>157</v>
      </c>
      <c r="N955" s="569">
        <v>4</v>
      </c>
      <c r="O955" s="569">
        <v>82.2</v>
      </c>
      <c r="P955" s="568" t="s">
        <v>157</v>
      </c>
      <c r="Q955" s="569" t="s">
        <v>1259</v>
      </c>
      <c r="R955" s="569">
        <v>6</v>
      </c>
      <c r="S955" s="569" t="s">
        <v>2087</v>
      </c>
      <c r="T955" s="569" t="s">
        <v>2107</v>
      </c>
      <c r="U955" s="569">
        <v>129.9</v>
      </c>
      <c r="V955" s="569">
        <v>25</v>
      </c>
      <c r="W955" s="620">
        <v>8550</v>
      </c>
      <c r="X955" s="621" t="s">
        <v>157</v>
      </c>
      <c r="Y955" s="621" t="s">
        <v>178</v>
      </c>
      <c r="Z955" s="621" t="s">
        <v>178</v>
      </c>
      <c r="AA955" s="622">
        <v>41645</v>
      </c>
      <c r="AB955" s="622" t="s">
        <v>164</v>
      </c>
      <c r="AC955" s="622">
        <v>30100</v>
      </c>
      <c r="AD955" s="623">
        <v>0.01</v>
      </c>
      <c r="AE955" s="621" t="s">
        <v>2143</v>
      </c>
    </row>
    <row r="956" spans="1:31" s="572" customFormat="1">
      <c r="A956" s="570" t="s">
        <v>2152</v>
      </c>
      <c r="B956" s="573" t="s">
        <v>278</v>
      </c>
      <c r="C956" s="578">
        <v>15</v>
      </c>
      <c r="D956" s="573" t="s">
        <v>1516</v>
      </c>
      <c r="E956" s="573" t="s">
        <v>1890</v>
      </c>
      <c r="F956" s="573" t="s">
        <v>271</v>
      </c>
      <c r="G956" s="573">
        <v>2019</v>
      </c>
      <c r="H956" s="573" t="s">
        <v>2047</v>
      </c>
      <c r="I956" s="573" t="s">
        <v>2144</v>
      </c>
      <c r="J956" s="573" t="s">
        <v>236</v>
      </c>
      <c r="K956" s="573">
        <v>10</v>
      </c>
      <c r="L956" s="573">
        <v>0</v>
      </c>
      <c r="M956" s="573" t="s">
        <v>157</v>
      </c>
      <c r="N956" s="573">
        <v>4</v>
      </c>
      <c r="O956" s="573">
        <v>82.2</v>
      </c>
      <c r="P956" s="571" t="s">
        <v>157</v>
      </c>
      <c r="Q956" s="573" t="s">
        <v>682</v>
      </c>
      <c r="R956" s="573">
        <v>6</v>
      </c>
      <c r="S956" s="582" t="s">
        <v>2087</v>
      </c>
      <c r="T956" s="573" t="s">
        <v>2107</v>
      </c>
      <c r="U956" s="573">
        <v>129.9</v>
      </c>
      <c r="V956" s="573">
        <v>25</v>
      </c>
      <c r="W956" s="616">
        <v>8550</v>
      </c>
      <c r="X956" s="617" t="s">
        <v>157</v>
      </c>
      <c r="Y956" s="617" t="s">
        <v>178</v>
      </c>
      <c r="Z956" s="617" t="s">
        <v>178</v>
      </c>
      <c r="AA956" s="618">
        <v>39780</v>
      </c>
      <c r="AB956" s="618" t="s">
        <v>164</v>
      </c>
      <c r="AC956" s="618">
        <v>28500</v>
      </c>
      <c r="AD956" s="619">
        <v>0.01</v>
      </c>
      <c r="AE956" s="617" t="s">
        <v>2146</v>
      </c>
    </row>
    <row r="957" spans="1:31" s="572" customFormat="1">
      <c r="A957" s="570" t="s">
        <v>2153</v>
      </c>
      <c r="B957" s="569" t="s">
        <v>278</v>
      </c>
      <c r="C957" s="580">
        <v>15</v>
      </c>
      <c r="D957" s="569" t="s">
        <v>1516</v>
      </c>
      <c r="E957" s="569" t="s">
        <v>1890</v>
      </c>
      <c r="F957" s="569" t="s">
        <v>271</v>
      </c>
      <c r="G957" s="569">
        <v>2019</v>
      </c>
      <c r="H957" s="569" t="s">
        <v>2047</v>
      </c>
      <c r="I957" s="569" t="s">
        <v>2144</v>
      </c>
      <c r="J957" s="569" t="s">
        <v>236</v>
      </c>
      <c r="K957" s="569">
        <v>8</v>
      </c>
      <c r="L957" s="569">
        <v>0</v>
      </c>
      <c r="M957" s="569" t="s">
        <v>157</v>
      </c>
      <c r="N957" s="569">
        <v>3</v>
      </c>
      <c r="O957" s="569">
        <v>82.2</v>
      </c>
      <c r="P957" s="568" t="s">
        <v>157</v>
      </c>
      <c r="Q957" s="569" t="s">
        <v>1259</v>
      </c>
      <c r="R957" s="569">
        <v>6</v>
      </c>
      <c r="S957" s="569" t="s">
        <v>2087</v>
      </c>
      <c r="T957" s="569" t="s">
        <v>2107</v>
      </c>
      <c r="U957" s="569">
        <v>129.9</v>
      </c>
      <c r="V957" s="569">
        <v>25</v>
      </c>
      <c r="W957" s="620">
        <v>8550</v>
      </c>
      <c r="X957" s="621" t="s">
        <v>157</v>
      </c>
      <c r="Y957" s="621" t="s">
        <v>178</v>
      </c>
      <c r="Z957" s="621" t="s">
        <v>178</v>
      </c>
      <c r="AA957" s="622">
        <v>40935</v>
      </c>
      <c r="AB957" s="622" t="s">
        <v>164</v>
      </c>
      <c r="AC957" s="622">
        <v>28950</v>
      </c>
      <c r="AD957" s="623">
        <v>0.01</v>
      </c>
      <c r="AE957" s="621" t="s">
        <v>2148</v>
      </c>
    </row>
    <row r="958" spans="1:31" s="572" customFormat="1">
      <c r="A958" s="570" t="s">
        <v>2154</v>
      </c>
      <c r="B958" s="573" t="s">
        <v>278</v>
      </c>
      <c r="C958" s="578">
        <v>15</v>
      </c>
      <c r="D958" s="573" t="s">
        <v>1516</v>
      </c>
      <c r="E958" s="573" t="s">
        <v>1890</v>
      </c>
      <c r="F958" s="573" t="s">
        <v>271</v>
      </c>
      <c r="G958" s="573">
        <v>2019</v>
      </c>
      <c r="H958" s="573" t="s">
        <v>2047</v>
      </c>
      <c r="I958" s="573" t="s">
        <v>2144</v>
      </c>
      <c r="J958" s="573" t="s">
        <v>236</v>
      </c>
      <c r="K958" s="573">
        <v>8</v>
      </c>
      <c r="L958" s="573">
        <v>0</v>
      </c>
      <c r="M958" s="573" t="s">
        <v>157</v>
      </c>
      <c r="N958" s="573">
        <v>3</v>
      </c>
      <c r="O958" s="573">
        <v>82.2</v>
      </c>
      <c r="P958" s="571" t="s">
        <v>157</v>
      </c>
      <c r="Q958" s="573" t="s">
        <v>682</v>
      </c>
      <c r="R958" s="573">
        <v>6</v>
      </c>
      <c r="S958" s="582" t="s">
        <v>2087</v>
      </c>
      <c r="T958" s="573" t="s">
        <v>2107</v>
      </c>
      <c r="U958" s="573">
        <v>129.9</v>
      </c>
      <c r="V958" s="573">
        <v>25</v>
      </c>
      <c r="W958" s="616">
        <v>8550</v>
      </c>
      <c r="X958" s="617" t="s">
        <v>157</v>
      </c>
      <c r="Y958" s="617" t="s">
        <v>178</v>
      </c>
      <c r="Z958" s="617" t="s">
        <v>178</v>
      </c>
      <c r="AA958" s="618">
        <v>38530</v>
      </c>
      <c r="AB958" s="618" t="s">
        <v>164</v>
      </c>
      <c r="AC958" s="618">
        <v>27300</v>
      </c>
      <c r="AD958" s="619">
        <v>0.01</v>
      </c>
      <c r="AE958" s="617" t="s">
        <v>2150</v>
      </c>
    </row>
    <row r="959" spans="1:31" s="572" customFormat="1">
      <c r="A959" s="570" t="s">
        <v>2155</v>
      </c>
      <c r="B959" s="569" t="s">
        <v>287</v>
      </c>
      <c r="C959" s="580">
        <v>26</v>
      </c>
      <c r="D959" s="569" t="s">
        <v>1516</v>
      </c>
      <c r="E959" s="569" t="s">
        <v>1890</v>
      </c>
      <c r="F959" s="569" t="s">
        <v>271</v>
      </c>
      <c r="G959" s="569">
        <v>2019</v>
      </c>
      <c r="H959" s="569" t="s">
        <v>2047</v>
      </c>
      <c r="I959" s="569" t="s">
        <v>2144</v>
      </c>
      <c r="J959" s="569" t="s">
        <v>236</v>
      </c>
      <c r="K959" s="569">
        <v>8</v>
      </c>
      <c r="L959" s="569">
        <v>0</v>
      </c>
      <c r="M959" s="569" t="s">
        <v>157</v>
      </c>
      <c r="N959" s="569">
        <v>3</v>
      </c>
      <c r="O959" s="569">
        <v>82.2</v>
      </c>
      <c r="P959" s="568" t="s">
        <v>157</v>
      </c>
      <c r="Q959" s="569" t="s">
        <v>1259</v>
      </c>
      <c r="R959" s="569">
        <v>6</v>
      </c>
      <c r="S959" s="569" t="s">
        <v>2087</v>
      </c>
      <c r="T959" s="569" t="s">
        <v>2107</v>
      </c>
      <c r="U959" s="569">
        <v>129.9</v>
      </c>
      <c r="V959" s="569">
        <v>25</v>
      </c>
      <c r="W959" s="620">
        <v>8550</v>
      </c>
      <c r="X959" s="621" t="s">
        <v>157</v>
      </c>
      <c r="Y959" s="621" t="s">
        <v>178</v>
      </c>
      <c r="Z959" s="621" t="s">
        <v>178</v>
      </c>
      <c r="AA959" s="622">
        <v>40935</v>
      </c>
      <c r="AB959" s="622" t="s">
        <v>164</v>
      </c>
      <c r="AC959" s="622">
        <v>29245</v>
      </c>
      <c r="AD959" s="623">
        <v>0.05</v>
      </c>
      <c r="AE959" s="621" t="s">
        <v>2148</v>
      </c>
    </row>
    <row r="960" spans="1:31" s="572" customFormat="1">
      <c r="A960" s="570" t="s">
        <v>2156</v>
      </c>
      <c r="B960" s="573" t="s">
        <v>287</v>
      </c>
      <c r="C960" s="578">
        <v>26</v>
      </c>
      <c r="D960" s="573" t="s">
        <v>1516</v>
      </c>
      <c r="E960" s="573" t="s">
        <v>1890</v>
      </c>
      <c r="F960" s="573" t="s">
        <v>271</v>
      </c>
      <c r="G960" s="573">
        <v>2019</v>
      </c>
      <c r="H960" s="573" t="s">
        <v>2047</v>
      </c>
      <c r="I960" s="573" t="s">
        <v>2144</v>
      </c>
      <c r="J960" s="573" t="s">
        <v>236</v>
      </c>
      <c r="K960" s="573">
        <v>8</v>
      </c>
      <c r="L960" s="573">
        <v>0</v>
      </c>
      <c r="M960" s="573" t="s">
        <v>157</v>
      </c>
      <c r="N960" s="573">
        <v>3</v>
      </c>
      <c r="O960" s="573">
        <v>82.2</v>
      </c>
      <c r="P960" s="571" t="s">
        <v>157</v>
      </c>
      <c r="Q960" s="573" t="s">
        <v>682</v>
      </c>
      <c r="R960" s="573">
        <v>6</v>
      </c>
      <c r="S960" s="582" t="s">
        <v>2087</v>
      </c>
      <c r="T960" s="573" t="s">
        <v>2107</v>
      </c>
      <c r="U960" s="573">
        <v>129.9</v>
      </c>
      <c r="V960" s="573">
        <v>25</v>
      </c>
      <c r="W960" s="616">
        <v>8550</v>
      </c>
      <c r="X960" s="617" t="s">
        <v>157</v>
      </c>
      <c r="Y960" s="617" t="s">
        <v>178</v>
      </c>
      <c r="Z960" s="617" t="s">
        <v>178</v>
      </c>
      <c r="AA960" s="618">
        <v>38530</v>
      </c>
      <c r="AB960" s="618" t="s">
        <v>164</v>
      </c>
      <c r="AC960" s="618">
        <v>27547</v>
      </c>
      <c r="AD960" s="619">
        <v>0.05</v>
      </c>
      <c r="AE960" s="617" t="s">
        <v>2150</v>
      </c>
    </row>
    <row r="961" spans="1:31" s="572" customFormat="1">
      <c r="A961" s="570" t="s">
        <v>2157</v>
      </c>
      <c r="B961" s="569" t="s">
        <v>280</v>
      </c>
      <c r="C961" s="580">
        <v>27</v>
      </c>
      <c r="D961" s="569" t="s">
        <v>1516</v>
      </c>
      <c r="E961" s="569" t="s">
        <v>1890</v>
      </c>
      <c r="F961" s="569" t="s">
        <v>271</v>
      </c>
      <c r="G961" s="569">
        <v>2019</v>
      </c>
      <c r="H961" s="569" t="s">
        <v>2047</v>
      </c>
      <c r="I961" s="569" t="s">
        <v>2144</v>
      </c>
      <c r="J961" s="569" t="s">
        <v>236</v>
      </c>
      <c r="K961" s="569">
        <v>10</v>
      </c>
      <c r="L961" s="569">
        <v>0</v>
      </c>
      <c r="M961" s="569" t="s">
        <v>157</v>
      </c>
      <c r="N961" s="569">
        <v>4</v>
      </c>
      <c r="O961" s="569">
        <v>82.2</v>
      </c>
      <c r="P961" s="568" t="s">
        <v>157</v>
      </c>
      <c r="Q961" s="569" t="s">
        <v>1259</v>
      </c>
      <c r="R961" s="569">
        <v>6</v>
      </c>
      <c r="S961" s="569" t="s">
        <v>2087</v>
      </c>
      <c r="T961" s="569" t="s">
        <v>2107</v>
      </c>
      <c r="U961" s="569">
        <v>129.9</v>
      </c>
      <c r="V961" s="569">
        <v>25</v>
      </c>
      <c r="W961" s="620">
        <v>8550</v>
      </c>
      <c r="X961" s="621" t="s">
        <v>157</v>
      </c>
      <c r="Y961" s="621" t="s">
        <v>178</v>
      </c>
      <c r="Z961" s="621" t="s">
        <v>178</v>
      </c>
      <c r="AA961" s="622">
        <v>41645</v>
      </c>
      <c r="AB961" s="622" t="s">
        <v>164</v>
      </c>
      <c r="AC961" s="622">
        <v>29536.125</v>
      </c>
      <c r="AD961" s="623">
        <v>0.03</v>
      </c>
      <c r="AE961" s="621" t="s">
        <v>2143</v>
      </c>
    </row>
    <row r="962" spans="1:31" s="572" customFormat="1">
      <c r="A962" s="570" t="s">
        <v>2158</v>
      </c>
      <c r="B962" s="573" t="s">
        <v>280</v>
      </c>
      <c r="C962" s="578">
        <v>27</v>
      </c>
      <c r="D962" s="573" t="s">
        <v>1516</v>
      </c>
      <c r="E962" s="573" t="s">
        <v>1890</v>
      </c>
      <c r="F962" s="573" t="s">
        <v>271</v>
      </c>
      <c r="G962" s="573">
        <v>2019</v>
      </c>
      <c r="H962" s="573" t="s">
        <v>2047</v>
      </c>
      <c r="I962" s="573" t="s">
        <v>2144</v>
      </c>
      <c r="J962" s="573" t="s">
        <v>236</v>
      </c>
      <c r="K962" s="573">
        <v>10</v>
      </c>
      <c r="L962" s="573">
        <v>0</v>
      </c>
      <c r="M962" s="573" t="s">
        <v>157</v>
      </c>
      <c r="N962" s="573">
        <v>4</v>
      </c>
      <c r="O962" s="573">
        <v>82.2</v>
      </c>
      <c r="P962" s="571" t="s">
        <v>157</v>
      </c>
      <c r="Q962" s="573" t="s">
        <v>682</v>
      </c>
      <c r="R962" s="573">
        <v>6</v>
      </c>
      <c r="S962" s="582" t="s">
        <v>2087</v>
      </c>
      <c r="T962" s="573" t="s">
        <v>2107</v>
      </c>
      <c r="U962" s="573">
        <v>129.9</v>
      </c>
      <c r="V962" s="573">
        <v>25</v>
      </c>
      <c r="W962" s="616">
        <v>8550</v>
      </c>
      <c r="X962" s="617" t="s">
        <v>157</v>
      </c>
      <c r="Y962" s="617" t="s">
        <v>178</v>
      </c>
      <c r="Z962" s="617" t="s">
        <v>178</v>
      </c>
      <c r="AA962" s="618">
        <v>39780</v>
      </c>
      <c r="AB962" s="618" t="s">
        <v>164</v>
      </c>
      <c r="AC962" s="618">
        <v>27879.875</v>
      </c>
      <c r="AD962" s="619">
        <v>0.03</v>
      </c>
      <c r="AE962" s="617" t="s">
        <v>2146</v>
      </c>
    </row>
    <row r="963" spans="1:31" s="572" customFormat="1">
      <c r="A963" s="570" t="s">
        <v>2159</v>
      </c>
      <c r="B963" s="569" t="s">
        <v>280</v>
      </c>
      <c r="C963" s="580">
        <v>27</v>
      </c>
      <c r="D963" s="569" t="s">
        <v>1516</v>
      </c>
      <c r="E963" s="569" t="s">
        <v>1890</v>
      </c>
      <c r="F963" s="569" t="s">
        <v>271</v>
      </c>
      <c r="G963" s="569">
        <v>2019</v>
      </c>
      <c r="H963" s="569" t="s">
        <v>2047</v>
      </c>
      <c r="I963" s="569" t="s">
        <v>2144</v>
      </c>
      <c r="J963" s="569" t="s">
        <v>236</v>
      </c>
      <c r="K963" s="569">
        <v>8</v>
      </c>
      <c r="L963" s="569">
        <v>0</v>
      </c>
      <c r="M963" s="569" t="s">
        <v>157</v>
      </c>
      <c r="N963" s="569">
        <v>3</v>
      </c>
      <c r="O963" s="569">
        <v>82.2</v>
      </c>
      <c r="P963" s="568" t="s">
        <v>157</v>
      </c>
      <c r="Q963" s="569" t="s">
        <v>1259</v>
      </c>
      <c r="R963" s="569">
        <v>6</v>
      </c>
      <c r="S963" s="569" t="s">
        <v>2087</v>
      </c>
      <c r="T963" s="569" t="s">
        <v>2107</v>
      </c>
      <c r="U963" s="569">
        <v>129.9</v>
      </c>
      <c r="V963" s="569">
        <v>25</v>
      </c>
      <c r="W963" s="620">
        <v>8550</v>
      </c>
      <c r="X963" s="621" t="s">
        <v>157</v>
      </c>
      <c r="Y963" s="621" t="s">
        <v>178</v>
      </c>
      <c r="Z963" s="621" t="s">
        <v>178</v>
      </c>
      <c r="AA963" s="622">
        <v>40935</v>
      </c>
      <c r="AB963" s="622" t="s">
        <v>164</v>
      </c>
      <c r="AC963" s="622">
        <v>28425.708333333336</v>
      </c>
      <c r="AD963" s="623">
        <v>0.03</v>
      </c>
      <c r="AE963" s="621" t="s">
        <v>2148</v>
      </c>
    </row>
    <row r="964" spans="1:31" s="572" customFormat="1">
      <c r="A964" s="570" t="s">
        <v>2160</v>
      </c>
      <c r="B964" s="573" t="s">
        <v>280</v>
      </c>
      <c r="C964" s="578">
        <v>27</v>
      </c>
      <c r="D964" s="573" t="s">
        <v>1516</v>
      </c>
      <c r="E964" s="573" t="s">
        <v>1890</v>
      </c>
      <c r="F964" s="573" t="s">
        <v>271</v>
      </c>
      <c r="G964" s="573">
        <v>2019</v>
      </c>
      <c r="H964" s="573" t="s">
        <v>2047</v>
      </c>
      <c r="I964" s="573" t="s">
        <v>2144</v>
      </c>
      <c r="J964" s="573" t="s">
        <v>236</v>
      </c>
      <c r="K964" s="573">
        <v>8</v>
      </c>
      <c r="L964" s="573">
        <v>0</v>
      </c>
      <c r="M964" s="573" t="s">
        <v>157</v>
      </c>
      <c r="N964" s="573">
        <v>3</v>
      </c>
      <c r="O964" s="573">
        <v>82.2</v>
      </c>
      <c r="P964" s="571" t="s">
        <v>157</v>
      </c>
      <c r="Q964" s="573" t="s">
        <v>682</v>
      </c>
      <c r="R964" s="573">
        <v>6</v>
      </c>
      <c r="S964" s="582" t="s">
        <v>2087</v>
      </c>
      <c r="T964" s="573" t="s">
        <v>2107</v>
      </c>
      <c r="U964" s="573">
        <v>129.9</v>
      </c>
      <c r="V964" s="573">
        <v>25</v>
      </c>
      <c r="W964" s="616">
        <v>8550</v>
      </c>
      <c r="X964" s="617" t="s">
        <v>157</v>
      </c>
      <c r="Y964" s="617" t="s">
        <v>178</v>
      </c>
      <c r="Z964" s="617" t="s">
        <v>178</v>
      </c>
      <c r="AA964" s="618">
        <v>38530</v>
      </c>
      <c r="AB964" s="618" t="s">
        <v>164</v>
      </c>
      <c r="AC964" s="618">
        <v>26769.458333333336</v>
      </c>
      <c r="AD964" s="619">
        <v>0.03</v>
      </c>
      <c r="AE964" s="617" t="s">
        <v>2150</v>
      </c>
    </row>
    <row r="965" spans="1:31" s="572" customFormat="1">
      <c r="A965" s="570" t="s">
        <v>2161</v>
      </c>
      <c r="B965" s="569" t="s">
        <v>269</v>
      </c>
      <c r="C965" s="580" t="s">
        <v>270</v>
      </c>
      <c r="D965" s="569" t="s">
        <v>1516</v>
      </c>
      <c r="E965" s="569" t="s">
        <v>2163</v>
      </c>
      <c r="F965" s="569" t="s">
        <v>271</v>
      </c>
      <c r="G965" s="569">
        <v>2019</v>
      </c>
      <c r="H965" s="569" t="s">
        <v>2164</v>
      </c>
      <c r="I965" s="569" t="s">
        <v>1757</v>
      </c>
      <c r="J965" s="569" t="s">
        <v>236</v>
      </c>
      <c r="K965" s="569">
        <v>2</v>
      </c>
      <c r="L965" s="569">
        <v>0</v>
      </c>
      <c r="M965" s="569" t="s">
        <v>157</v>
      </c>
      <c r="N965" s="569">
        <v>1</v>
      </c>
      <c r="O965" s="569">
        <v>86.9</v>
      </c>
      <c r="P965" s="568" t="s">
        <v>157</v>
      </c>
      <c r="Q965" s="569" t="s">
        <v>682</v>
      </c>
      <c r="R965" s="569">
        <v>6</v>
      </c>
      <c r="S965" s="569" t="s">
        <v>2165</v>
      </c>
      <c r="T965" s="569" t="s">
        <v>2166</v>
      </c>
      <c r="U965" s="569">
        <v>156</v>
      </c>
      <c r="V965" s="569">
        <v>25</v>
      </c>
      <c r="W965" s="620">
        <v>9000</v>
      </c>
      <c r="X965" s="621" t="s">
        <v>157</v>
      </c>
      <c r="Y965" s="621" t="s">
        <v>178</v>
      </c>
      <c r="Z965" s="621" t="s">
        <v>178</v>
      </c>
      <c r="AA965" s="622">
        <v>31575</v>
      </c>
      <c r="AB965" s="622" t="s">
        <v>164</v>
      </c>
      <c r="AC965" s="622">
        <v>22703.833333333336</v>
      </c>
      <c r="AD965" s="623">
        <v>0.03</v>
      </c>
      <c r="AE965" s="621" t="s">
        <v>2162</v>
      </c>
    </row>
    <row r="966" spans="1:31" s="572" customFormat="1">
      <c r="A966" s="570" t="s">
        <v>2167</v>
      </c>
      <c r="B966" s="573" t="s">
        <v>269</v>
      </c>
      <c r="C966" s="578" t="s">
        <v>270</v>
      </c>
      <c r="D966" s="573" t="s">
        <v>1516</v>
      </c>
      <c r="E966" s="573" t="s">
        <v>2163</v>
      </c>
      <c r="F966" s="573" t="s">
        <v>271</v>
      </c>
      <c r="G966" s="573">
        <v>2019</v>
      </c>
      <c r="H966" s="573" t="s">
        <v>2164</v>
      </c>
      <c r="I966" s="573" t="s">
        <v>1757</v>
      </c>
      <c r="J966" s="573" t="s">
        <v>236</v>
      </c>
      <c r="K966" s="573">
        <v>2</v>
      </c>
      <c r="L966" s="573">
        <v>0</v>
      </c>
      <c r="M966" s="573" t="s">
        <v>157</v>
      </c>
      <c r="N966" s="573">
        <v>1</v>
      </c>
      <c r="O966" s="573">
        <v>87.2</v>
      </c>
      <c r="P966" s="571" t="s">
        <v>157</v>
      </c>
      <c r="Q966" s="573" t="s">
        <v>682</v>
      </c>
      <c r="R966" s="573">
        <v>6</v>
      </c>
      <c r="S966" s="582" t="s">
        <v>2169</v>
      </c>
      <c r="T966" s="573" t="s">
        <v>2166</v>
      </c>
      <c r="U966" s="573">
        <v>138</v>
      </c>
      <c r="V966" s="573">
        <v>25</v>
      </c>
      <c r="W966" s="616">
        <v>9000</v>
      </c>
      <c r="X966" s="617" t="s">
        <v>157</v>
      </c>
      <c r="Y966" s="617" t="s">
        <v>178</v>
      </c>
      <c r="Z966" s="617" t="s">
        <v>178</v>
      </c>
      <c r="AA966" s="618">
        <v>31375</v>
      </c>
      <c r="AB966" s="618" t="s">
        <v>164</v>
      </c>
      <c r="AC966" s="618">
        <v>22521.541666666668</v>
      </c>
      <c r="AD966" s="619">
        <v>0.03</v>
      </c>
      <c r="AE966" s="617" t="s">
        <v>2168</v>
      </c>
    </row>
    <row r="967" spans="1:31" s="572" customFormat="1">
      <c r="A967" s="570" t="s">
        <v>2170</v>
      </c>
      <c r="B967" s="569" t="s">
        <v>278</v>
      </c>
      <c r="C967" s="580">
        <v>15</v>
      </c>
      <c r="D967" s="569" t="s">
        <v>1516</v>
      </c>
      <c r="E967" s="569" t="s">
        <v>2163</v>
      </c>
      <c r="F967" s="569" t="s">
        <v>271</v>
      </c>
      <c r="G967" s="569">
        <v>2019</v>
      </c>
      <c r="H967" s="569" t="s">
        <v>2164</v>
      </c>
      <c r="I967" s="569" t="s">
        <v>1757</v>
      </c>
      <c r="J967" s="569" t="s">
        <v>236</v>
      </c>
      <c r="K967" s="569">
        <v>2</v>
      </c>
      <c r="L967" s="569">
        <v>0</v>
      </c>
      <c r="M967" s="569" t="s">
        <v>157</v>
      </c>
      <c r="N967" s="569">
        <v>1</v>
      </c>
      <c r="O967" s="569">
        <v>87.2</v>
      </c>
      <c r="P967" s="568" t="s">
        <v>157</v>
      </c>
      <c r="Q967" s="569" t="s">
        <v>682</v>
      </c>
      <c r="R967" s="569">
        <v>6</v>
      </c>
      <c r="S967" s="569" t="s">
        <v>2169</v>
      </c>
      <c r="T967" s="569" t="s">
        <v>2166</v>
      </c>
      <c r="U967" s="569">
        <v>138</v>
      </c>
      <c r="V967" s="569">
        <v>25</v>
      </c>
      <c r="W967" s="620">
        <v>9000</v>
      </c>
      <c r="X967" s="621" t="s">
        <v>157</v>
      </c>
      <c r="Y967" s="621" t="s">
        <v>178</v>
      </c>
      <c r="Z967" s="621" t="s">
        <v>178</v>
      </c>
      <c r="AA967" s="622">
        <v>31375</v>
      </c>
      <c r="AB967" s="622" t="s">
        <v>164</v>
      </c>
      <c r="AC967" s="622">
        <v>22900</v>
      </c>
      <c r="AD967" s="623">
        <v>0.01</v>
      </c>
      <c r="AE967" s="621" t="s">
        <v>2168</v>
      </c>
    </row>
    <row r="968" spans="1:31" s="572" customFormat="1">
      <c r="A968" s="570" t="s">
        <v>2171</v>
      </c>
      <c r="B968" s="573" t="s">
        <v>287</v>
      </c>
      <c r="C968" s="578">
        <v>26</v>
      </c>
      <c r="D968" s="573" t="s">
        <v>1516</v>
      </c>
      <c r="E968" s="573" t="s">
        <v>2163</v>
      </c>
      <c r="F968" s="573" t="s">
        <v>271</v>
      </c>
      <c r="G968" s="573">
        <v>2019</v>
      </c>
      <c r="H968" s="573" t="s">
        <v>2164</v>
      </c>
      <c r="I968" s="573" t="s">
        <v>1757</v>
      </c>
      <c r="J968" s="573" t="s">
        <v>236</v>
      </c>
      <c r="K968" s="573">
        <v>2</v>
      </c>
      <c r="L968" s="573">
        <v>0</v>
      </c>
      <c r="M968" s="573" t="s">
        <v>157</v>
      </c>
      <c r="N968" s="573">
        <v>1</v>
      </c>
      <c r="O968" s="573">
        <v>86.9</v>
      </c>
      <c r="P968" s="571" t="s">
        <v>157</v>
      </c>
      <c r="Q968" s="573" t="s">
        <v>1917</v>
      </c>
      <c r="R968" s="573">
        <v>5</v>
      </c>
      <c r="S968" s="582" t="s">
        <v>2165</v>
      </c>
      <c r="T968" s="573" t="s">
        <v>2166</v>
      </c>
      <c r="U968" s="573">
        <v>156</v>
      </c>
      <c r="V968" s="573">
        <v>25</v>
      </c>
      <c r="W968" s="616">
        <v>9000</v>
      </c>
      <c r="X968" s="617" t="s">
        <v>157</v>
      </c>
      <c r="Y968" s="617" t="s">
        <v>728</v>
      </c>
      <c r="Z968" s="617" t="s">
        <v>1523</v>
      </c>
      <c r="AA968" s="618">
        <v>35570</v>
      </c>
      <c r="AB968" s="618" t="s">
        <v>164</v>
      </c>
      <c r="AC968" s="618">
        <v>27015</v>
      </c>
      <c r="AD968" s="619">
        <v>0.05</v>
      </c>
      <c r="AE968" s="617" t="s">
        <v>2172</v>
      </c>
    </row>
    <row r="969" spans="1:31" s="572" customFormat="1">
      <c r="A969" s="570" t="s">
        <v>2173</v>
      </c>
      <c r="B969" s="569" t="s">
        <v>287</v>
      </c>
      <c r="C969" s="580">
        <v>26</v>
      </c>
      <c r="D969" s="569" t="s">
        <v>1516</v>
      </c>
      <c r="E969" s="569" t="s">
        <v>2163</v>
      </c>
      <c r="F969" s="569" t="s">
        <v>271</v>
      </c>
      <c r="G969" s="569">
        <v>2019</v>
      </c>
      <c r="H969" s="569" t="s">
        <v>2164</v>
      </c>
      <c r="I969" s="569" t="s">
        <v>1757</v>
      </c>
      <c r="J969" s="569" t="s">
        <v>236</v>
      </c>
      <c r="K969" s="569">
        <v>2</v>
      </c>
      <c r="L969" s="569">
        <v>0</v>
      </c>
      <c r="M969" s="569" t="s">
        <v>157</v>
      </c>
      <c r="N969" s="569">
        <v>1</v>
      </c>
      <c r="O969" s="569">
        <v>86.9</v>
      </c>
      <c r="P969" s="568" t="s">
        <v>157</v>
      </c>
      <c r="Q969" s="569" t="s">
        <v>682</v>
      </c>
      <c r="R969" s="569">
        <v>6</v>
      </c>
      <c r="S969" s="569" t="s">
        <v>2165</v>
      </c>
      <c r="T969" s="569" t="s">
        <v>2166</v>
      </c>
      <c r="U969" s="569">
        <v>156</v>
      </c>
      <c r="V969" s="569">
        <v>25</v>
      </c>
      <c r="W969" s="620">
        <v>9000</v>
      </c>
      <c r="X969" s="621" t="s">
        <v>157</v>
      </c>
      <c r="Y969" s="621" t="s">
        <v>178</v>
      </c>
      <c r="Z969" s="621" t="s">
        <v>178</v>
      </c>
      <c r="AA969" s="622">
        <v>31575</v>
      </c>
      <c r="AB969" s="622" t="s">
        <v>164</v>
      </c>
      <c r="AC969" s="622">
        <v>23377</v>
      </c>
      <c r="AD969" s="623">
        <v>0.05</v>
      </c>
      <c r="AE969" s="621" t="s">
        <v>2162</v>
      </c>
    </row>
    <row r="970" spans="1:31" s="572" customFormat="1">
      <c r="A970" s="570" t="s">
        <v>2174</v>
      </c>
      <c r="B970" s="573" t="s">
        <v>287</v>
      </c>
      <c r="C970" s="578">
        <v>26</v>
      </c>
      <c r="D970" s="573" t="s">
        <v>1516</v>
      </c>
      <c r="E970" s="573" t="s">
        <v>2163</v>
      </c>
      <c r="F970" s="573" t="s">
        <v>271</v>
      </c>
      <c r="G970" s="573">
        <v>2019</v>
      </c>
      <c r="H970" s="573" t="s">
        <v>2164</v>
      </c>
      <c r="I970" s="573" t="s">
        <v>1757</v>
      </c>
      <c r="J970" s="573" t="s">
        <v>236</v>
      </c>
      <c r="K970" s="573">
        <v>2</v>
      </c>
      <c r="L970" s="573">
        <v>0</v>
      </c>
      <c r="M970" s="573" t="s">
        <v>157</v>
      </c>
      <c r="N970" s="573">
        <v>1</v>
      </c>
      <c r="O970" s="573">
        <v>87.2</v>
      </c>
      <c r="P970" s="571" t="s">
        <v>157</v>
      </c>
      <c r="Q970" s="573" t="s">
        <v>1917</v>
      </c>
      <c r="R970" s="573">
        <v>5</v>
      </c>
      <c r="S970" s="582" t="s">
        <v>2169</v>
      </c>
      <c r="T970" s="573" t="s">
        <v>2166</v>
      </c>
      <c r="U970" s="573">
        <v>138</v>
      </c>
      <c r="V970" s="573">
        <v>25</v>
      </c>
      <c r="W970" s="616">
        <v>9000</v>
      </c>
      <c r="X970" s="617" t="s">
        <v>157</v>
      </c>
      <c r="Y970" s="617" t="s">
        <v>728</v>
      </c>
      <c r="Z970" s="617" t="s">
        <v>1523</v>
      </c>
      <c r="AA970" s="618">
        <v>35370</v>
      </c>
      <c r="AB970" s="618" t="s">
        <v>164</v>
      </c>
      <c r="AC970" s="618">
        <v>26828</v>
      </c>
      <c r="AD970" s="619">
        <v>0.05</v>
      </c>
      <c r="AE970" s="617" t="s">
        <v>2175</v>
      </c>
    </row>
    <row r="971" spans="1:31" s="572" customFormat="1">
      <c r="A971" s="570" t="s">
        <v>2176</v>
      </c>
      <c r="B971" s="569" t="s">
        <v>287</v>
      </c>
      <c r="C971" s="580">
        <v>26</v>
      </c>
      <c r="D971" s="569" t="s">
        <v>1516</v>
      </c>
      <c r="E971" s="569" t="s">
        <v>2163</v>
      </c>
      <c r="F971" s="569" t="s">
        <v>271</v>
      </c>
      <c r="G971" s="569">
        <v>2019</v>
      </c>
      <c r="H971" s="569" t="s">
        <v>2164</v>
      </c>
      <c r="I971" s="569" t="s">
        <v>1757</v>
      </c>
      <c r="J971" s="569" t="s">
        <v>236</v>
      </c>
      <c r="K971" s="569">
        <v>2</v>
      </c>
      <c r="L971" s="569">
        <v>0</v>
      </c>
      <c r="M971" s="569" t="s">
        <v>157</v>
      </c>
      <c r="N971" s="569">
        <v>1</v>
      </c>
      <c r="O971" s="569">
        <v>87.2</v>
      </c>
      <c r="P971" s="568" t="s">
        <v>157</v>
      </c>
      <c r="Q971" s="569" t="s">
        <v>682</v>
      </c>
      <c r="R971" s="569">
        <v>6</v>
      </c>
      <c r="S971" s="569" t="s">
        <v>2169</v>
      </c>
      <c r="T971" s="569" t="s">
        <v>2166</v>
      </c>
      <c r="U971" s="569">
        <v>138</v>
      </c>
      <c r="V971" s="569">
        <v>25</v>
      </c>
      <c r="W971" s="620">
        <v>9000</v>
      </c>
      <c r="X971" s="621" t="s">
        <v>157</v>
      </c>
      <c r="Y971" s="621" t="s">
        <v>178</v>
      </c>
      <c r="Z971" s="621" t="s">
        <v>178</v>
      </c>
      <c r="AA971" s="622">
        <v>31375</v>
      </c>
      <c r="AB971" s="622" t="s">
        <v>164</v>
      </c>
      <c r="AC971" s="622">
        <v>23189</v>
      </c>
      <c r="AD971" s="623">
        <v>0.05</v>
      </c>
      <c r="AE971" s="621" t="s">
        <v>2168</v>
      </c>
    </row>
    <row r="972" spans="1:31" s="572" customFormat="1">
      <c r="A972" s="570" t="s">
        <v>2177</v>
      </c>
      <c r="B972" s="573" t="s">
        <v>280</v>
      </c>
      <c r="C972" s="578">
        <v>27</v>
      </c>
      <c r="D972" s="573" t="s">
        <v>1516</v>
      </c>
      <c r="E972" s="573" t="s">
        <v>2163</v>
      </c>
      <c r="F972" s="573" t="s">
        <v>271</v>
      </c>
      <c r="G972" s="573">
        <v>2019</v>
      </c>
      <c r="H972" s="573" t="s">
        <v>2164</v>
      </c>
      <c r="I972" s="573" t="s">
        <v>1757</v>
      </c>
      <c r="J972" s="573" t="s">
        <v>236</v>
      </c>
      <c r="K972" s="573">
        <v>2</v>
      </c>
      <c r="L972" s="573">
        <v>0</v>
      </c>
      <c r="M972" s="573" t="s">
        <v>157</v>
      </c>
      <c r="N972" s="573">
        <v>1</v>
      </c>
      <c r="O972" s="573">
        <v>86.9</v>
      </c>
      <c r="P972" s="571" t="s">
        <v>157</v>
      </c>
      <c r="Q972" s="573" t="s">
        <v>682</v>
      </c>
      <c r="R972" s="573">
        <v>6</v>
      </c>
      <c r="S972" s="582" t="s">
        <v>2165</v>
      </c>
      <c r="T972" s="573" t="s">
        <v>2166</v>
      </c>
      <c r="U972" s="573">
        <v>156</v>
      </c>
      <c r="V972" s="573">
        <v>25</v>
      </c>
      <c r="W972" s="616">
        <v>9000</v>
      </c>
      <c r="X972" s="617" t="s">
        <v>157</v>
      </c>
      <c r="Y972" s="617" t="s">
        <v>178</v>
      </c>
      <c r="Z972" s="617" t="s">
        <v>178</v>
      </c>
      <c r="AA972" s="618">
        <v>31575</v>
      </c>
      <c r="AB972" s="618" t="s">
        <v>164</v>
      </c>
      <c r="AC972" s="618">
        <v>22703.833333333336</v>
      </c>
      <c r="AD972" s="619">
        <v>0.03</v>
      </c>
      <c r="AE972" s="617" t="s">
        <v>2162</v>
      </c>
    </row>
    <row r="973" spans="1:31" s="572" customFormat="1">
      <c r="A973" s="570" t="s">
        <v>2178</v>
      </c>
      <c r="B973" s="569" t="s">
        <v>280</v>
      </c>
      <c r="C973" s="580">
        <v>27</v>
      </c>
      <c r="D973" s="569" t="s">
        <v>1516</v>
      </c>
      <c r="E973" s="569" t="s">
        <v>2163</v>
      </c>
      <c r="F973" s="569" t="s">
        <v>271</v>
      </c>
      <c r="G973" s="569">
        <v>2019</v>
      </c>
      <c r="H973" s="569" t="s">
        <v>2164</v>
      </c>
      <c r="I973" s="569" t="s">
        <v>1757</v>
      </c>
      <c r="J973" s="569" t="s">
        <v>236</v>
      </c>
      <c r="K973" s="569">
        <v>2</v>
      </c>
      <c r="L973" s="569">
        <v>0</v>
      </c>
      <c r="M973" s="569" t="s">
        <v>157</v>
      </c>
      <c r="N973" s="569">
        <v>1</v>
      </c>
      <c r="O973" s="569">
        <v>87.2</v>
      </c>
      <c r="P973" s="568" t="s">
        <v>157</v>
      </c>
      <c r="Q973" s="569" t="s">
        <v>682</v>
      </c>
      <c r="R973" s="569">
        <v>6</v>
      </c>
      <c r="S973" s="569" t="s">
        <v>2169</v>
      </c>
      <c r="T973" s="569" t="s">
        <v>2166</v>
      </c>
      <c r="U973" s="569">
        <v>138</v>
      </c>
      <c r="V973" s="569">
        <v>25</v>
      </c>
      <c r="W973" s="620">
        <v>9000</v>
      </c>
      <c r="X973" s="621" t="s">
        <v>157</v>
      </c>
      <c r="Y973" s="621" t="s">
        <v>178</v>
      </c>
      <c r="Z973" s="621" t="s">
        <v>178</v>
      </c>
      <c r="AA973" s="622">
        <v>31375</v>
      </c>
      <c r="AB973" s="622" t="s">
        <v>164</v>
      </c>
      <c r="AC973" s="622">
        <v>22521.541666666668</v>
      </c>
      <c r="AD973" s="623">
        <v>0.03</v>
      </c>
      <c r="AE973" s="621" t="s">
        <v>2168</v>
      </c>
    </row>
    <row r="974" spans="1:31" s="572" customFormat="1">
      <c r="A974" s="570" t="s">
        <v>2179</v>
      </c>
      <c r="B974" s="573" t="s">
        <v>269</v>
      </c>
      <c r="C974" s="578" t="s">
        <v>270</v>
      </c>
      <c r="D974" s="573" t="s">
        <v>1516</v>
      </c>
      <c r="E974" s="573" t="s">
        <v>2163</v>
      </c>
      <c r="F974" s="573" t="s">
        <v>271</v>
      </c>
      <c r="G974" s="573">
        <v>2019</v>
      </c>
      <c r="H974" s="573" t="s">
        <v>2181</v>
      </c>
      <c r="I974" s="573" t="s">
        <v>1757</v>
      </c>
      <c r="J974" s="573" t="s">
        <v>236</v>
      </c>
      <c r="K974" s="573">
        <v>2</v>
      </c>
      <c r="L974" s="573">
        <v>0</v>
      </c>
      <c r="M974" s="573" t="s">
        <v>157</v>
      </c>
      <c r="N974" s="573">
        <v>1</v>
      </c>
      <c r="O974" s="573">
        <v>87.3</v>
      </c>
      <c r="P974" s="571" t="s">
        <v>157</v>
      </c>
      <c r="Q974" s="573" t="s">
        <v>682</v>
      </c>
      <c r="R974" s="573">
        <v>6</v>
      </c>
      <c r="S974" s="582" t="s">
        <v>2182</v>
      </c>
      <c r="T974" s="573" t="s">
        <v>2183</v>
      </c>
      <c r="U974" s="573">
        <v>138</v>
      </c>
      <c r="V974" s="573">
        <v>25</v>
      </c>
      <c r="W974" s="616">
        <v>9000</v>
      </c>
      <c r="X974" s="617" t="s">
        <v>157</v>
      </c>
      <c r="Y974" s="617" t="s">
        <v>178</v>
      </c>
      <c r="Z974" s="617" t="s">
        <v>178</v>
      </c>
      <c r="AA974" s="618">
        <v>30805</v>
      </c>
      <c r="AB974" s="618" t="s">
        <v>164</v>
      </c>
      <c r="AC974" s="618">
        <v>21999.666666666668</v>
      </c>
      <c r="AD974" s="619">
        <v>0.03</v>
      </c>
      <c r="AE974" s="617" t="s">
        <v>2180</v>
      </c>
    </row>
    <row r="975" spans="1:31" s="572" customFormat="1">
      <c r="A975" s="570" t="s">
        <v>2184</v>
      </c>
      <c r="B975" s="569" t="s">
        <v>269</v>
      </c>
      <c r="C975" s="580" t="s">
        <v>270</v>
      </c>
      <c r="D975" s="569" t="s">
        <v>1516</v>
      </c>
      <c r="E975" s="569" t="s">
        <v>2163</v>
      </c>
      <c r="F975" s="569" t="s">
        <v>271</v>
      </c>
      <c r="G975" s="569">
        <v>2019</v>
      </c>
      <c r="H975" s="569" t="s">
        <v>2181</v>
      </c>
      <c r="I975" s="569" t="s">
        <v>1757</v>
      </c>
      <c r="J975" s="569" t="s">
        <v>236</v>
      </c>
      <c r="K975" s="569">
        <v>2</v>
      </c>
      <c r="L975" s="569">
        <v>0</v>
      </c>
      <c r="M975" s="569" t="s">
        <v>157</v>
      </c>
      <c r="N975" s="569">
        <v>1</v>
      </c>
      <c r="O975" s="569">
        <v>87</v>
      </c>
      <c r="P975" s="568" t="s">
        <v>157</v>
      </c>
      <c r="Q975" s="569" t="s">
        <v>682</v>
      </c>
      <c r="R975" s="569">
        <v>6</v>
      </c>
      <c r="S975" s="569" t="s">
        <v>2186</v>
      </c>
      <c r="T975" s="569" t="s">
        <v>2183</v>
      </c>
      <c r="U975" s="569">
        <v>156</v>
      </c>
      <c r="V975" s="569">
        <v>25</v>
      </c>
      <c r="W975" s="620">
        <v>9000</v>
      </c>
      <c r="X975" s="621" t="s">
        <v>157</v>
      </c>
      <c r="Y975" s="621" t="s">
        <v>178</v>
      </c>
      <c r="Z975" s="621" t="s">
        <v>178</v>
      </c>
      <c r="AA975" s="622">
        <v>31000</v>
      </c>
      <c r="AB975" s="622" t="s">
        <v>164</v>
      </c>
      <c r="AC975" s="622">
        <v>22178.833333333336</v>
      </c>
      <c r="AD975" s="623">
        <v>0.03</v>
      </c>
      <c r="AE975" s="621" t="s">
        <v>2185</v>
      </c>
    </row>
    <row r="976" spans="1:31" s="572" customFormat="1">
      <c r="A976" s="570" t="s">
        <v>2187</v>
      </c>
      <c r="B976" s="573" t="s">
        <v>278</v>
      </c>
      <c r="C976" s="578">
        <v>15</v>
      </c>
      <c r="D976" s="573" t="s">
        <v>1516</v>
      </c>
      <c r="E976" s="573" t="s">
        <v>2163</v>
      </c>
      <c r="F976" s="573" t="s">
        <v>271</v>
      </c>
      <c r="G976" s="573">
        <v>2019</v>
      </c>
      <c r="H976" s="573" t="s">
        <v>2181</v>
      </c>
      <c r="I976" s="573" t="s">
        <v>1757</v>
      </c>
      <c r="J976" s="573" t="s">
        <v>236</v>
      </c>
      <c r="K976" s="573">
        <v>2</v>
      </c>
      <c r="L976" s="573">
        <v>0</v>
      </c>
      <c r="M976" s="573" t="s">
        <v>157</v>
      </c>
      <c r="N976" s="573">
        <v>1</v>
      </c>
      <c r="O976" s="573">
        <v>87.3</v>
      </c>
      <c r="P976" s="571" t="s">
        <v>157</v>
      </c>
      <c r="Q976" s="573" t="s">
        <v>682</v>
      </c>
      <c r="R976" s="573">
        <v>6</v>
      </c>
      <c r="S976" s="582" t="s">
        <v>2182</v>
      </c>
      <c r="T976" s="573" t="s">
        <v>2183</v>
      </c>
      <c r="U976" s="573">
        <v>138</v>
      </c>
      <c r="V976" s="573">
        <v>25</v>
      </c>
      <c r="W976" s="616">
        <v>9000</v>
      </c>
      <c r="X976" s="617" t="s">
        <v>157</v>
      </c>
      <c r="Y976" s="617" t="s">
        <v>178</v>
      </c>
      <c r="Z976" s="617" t="s">
        <v>178</v>
      </c>
      <c r="AA976" s="618">
        <v>30805</v>
      </c>
      <c r="AB976" s="618" t="s">
        <v>164</v>
      </c>
      <c r="AC976" s="618">
        <v>22400</v>
      </c>
      <c r="AD976" s="619">
        <v>0.01</v>
      </c>
      <c r="AE976" s="617" t="s">
        <v>2180</v>
      </c>
    </row>
    <row r="977" spans="1:31" s="572" customFormat="1">
      <c r="A977" s="570" t="s">
        <v>2188</v>
      </c>
      <c r="B977" s="569" t="s">
        <v>278</v>
      </c>
      <c r="C977" s="580">
        <v>15</v>
      </c>
      <c r="D977" s="569" t="s">
        <v>1516</v>
      </c>
      <c r="E977" s="569" t="s">
        <v>2163</v>
      </c>
      <c r="F977" s="569" t="s">
        <v>271</v>
      </c>
      <c r="G977" s="569">
        <v>2019</v>
      </c>
      <c r="H977" s="569" t="s">
        <v>2181</v>
      </c>
      <c r="I977" s="569" t="s">
        <v>1757</v>
      </c>
      <c r="J977" s="569" t="s">
        <v>236</v>
      </c>
      <c r="K977" s="569">
        <v>2</v>
      </c>
      <c r="L977" s="569">
        <v>0</v>
      </c>
      <c r="M977" s="569" t="s">
        <v>157</v>
      </c>
      <c r="N977" s="569">
        <v>1</v>
      </c>
      <c r="O977" s="569">
        <v>87</v>
      </c>
      <c r="P977" s="568" t="s">
        <v>157</v>
      </c>
      <c r="Q977" s="569" t="s">
        <v>682</v>
      </c>
      <c r="R977" s="569">
        <v>6</v>
      </c>
      <c r="S977" s="569" t="s">
        <v>2186</v>
      </c>
      <c r="T977" s="569" t="s">
        <v>2183</v>
      </c>
      <c r="U977" s="569">
        <v>156</v>
      </c>
      <c r="V977" s="569">
        <v>25</v>
      </c>
      <c r="W977" s="620">
        <v>9000</v>
      </c>
      <c r="X977" s="621" t="s">
        <v>157</v>
      </c>
      <c r="Y977" s="621" t="s">
        <v>178</v>
      </c>
      <c r="Z977" s="621" t="s">
        <v>178</v>
      </c>
      <c r="AA977" s="622">
        <v>31000</v>
      </c>
      <c r="AB977" s="622" t="s">
        <v>164</v>
      </c>
      <c r="AC977" s="622">
        <v>22600</v>
      </c>
      <c r="AD977" s="623">
        <v>0.01</v>
      </c>
      <c r="AE977" s="621" t="s">
        <v>2185</v>
      </c>
    </row>
    <row r="978" spans="1:31" s="572" customFormat="1">
      <c r="A978" s="570" t="s">
        <v>2189</v>
      </c>
      <c r="B978" s="573" t="s">
        <v>287</v>
      </c>
      <c r="C978" s="578">
        <v>26</v>
      </c>
      <c r="D978" s="573" t="s">
        <v>1516</v>
      </c>
      <c r="E978" s="573" t="s">
        <v>2163</v>
      </c>
      <c r="F978" s="573" t="s">
        <v>271</v>
      </c>
      <c r="G978" s="573">
        <v>2019</v>
      </c>
      <c r="H978" s="573" t="s">
        <v>2181</v>
      </c>
      <c r="I978" s="573" t="s">
        <v>1757</v>
      </c>
      <c r="J978" s="573" t="s">
        <v>236</v>
      </c>
      <c r="K978" s="573">
        <v>2</v>
      </c>
      <c r="L978" s="573">
        <v>0</v>
      </c>
      <c r="M978" s="573" t="s">
        <v>157</v>
      </c>
      <c r="N978" s="573">
        <v>1</v>
      </c>
      <c r="O978" s="573">
        <v>87.3</v>
      </c>
      <c r="P978" s="571" t="s">
        <v>157</v>
      </c>
      <c r="Q978" s="573" t="s">
        <v>1917</v>
      </c>
      <c r="R978" s="573">
        <v>5</v>
      </c>
      <c r="S978" s="582" t="s">
        <v>2182</v>
      </c>
      <c r="T978" s="573" t="s">
        <v>2183</v>
      </c>
      <c r="U978" s="573">
        <v>138</v>
      </c>
      <c r="V978" s="573">
        <v>25</v>
      </c>
      <c r="W978" s="616">
        <v>9000</v>
      </c>
      <c r="X978" s="617" t="s">
        <v>157</v>
      </c>
      <c r="Y978" s="617" t="s">
        <v>728</v>
      </c>
      <c r="Z978" s="617" t="s">
        <v>1523</v>
      </c>
      <c r="AA978" s="618">
        <v>34800</v>
      </c>
      <c r="AB978" s="618" t="s">
        <v>164</v>
      </c>
      <c r="AC978" s="618">
        <v>26293</v>
      </c>
      <c r="AD978" s="619">
        <v>0.05</v>
      </c>
      <c r="AE978" s="617" t="s">
        <v>2190</v>
      </c>
    </row>
    <row r="979" spans="1:31" s="572" customFormat="1">
      <c r="A979" s="570" t="s">
        <v>2191</v>
      </c>
      <c r="B979" s="569" t="s">
        <v>287</v>
      </c>
      <c r="C979" s="580">
        <v>26</v>
      </c>
      <c r="D979" s="569" t="s">
        <v>1516</v>
      </c>
      <c r="E979" s="569" t="s">
        <v>2163</v>
      </c>
      <c r="F979" s="569" t="s">
        <v>271</v>
      </c>
      <c r="G979" s="569">
        <v>2019</v>
      </c>
      <c r="H979" s="569" t="s">
        <v>2181</v>
      </c>
      <c r="I979" s="569" t="s">
        <v>1757</v>
      </c>
      <c r="J979" s="569" t="s">
        <v>236</v>
      </c>
      <c r="K979" s="569">
        <v>2</v>
      </c>
      <c r="L979" s="569">
        <v>0</v>
      </c>
      <c r="M979" s="569" t="s">
        <v>157</v>
      </c>
      <c r="N979" s="569">
        <v>1</v>
      </c>
      <c r="O979" s="569">
        <v>87.3</v>
      </c>
      <c r="P979" s="568" t="s">
        <v>157</v>
      </c>
      <c r="Q979" s="569" t="s">
        <v>682</v>
      </c>
      <c r="R979" s="569">
        <v>6</v>
      </c>
      <c r="S979" s="569" t="s">
        <v>2182</v>
      </c>
      <c r="T979" s="569" t="s">
        <v>2183</v>
      </c>
      <c r="U979" s="569">
        <v>138</v>
      </c>
      <c r="V979" s="569">
        <v>25</v>
      </c>
      <c r="W979" s="620">
        <v>9000</v>
      </c>
      <c r="X979" s="621" t="s">
        <v>157</v>
      </c>
      <c r="Y979" s="621" t="s">
        <v>178</v>
      </c>
      <c r="Z979" s="621" t="s">
        <v>178</v>
      </c>
      <c r="AA979" s="622">
        <v>30805</v>
      </c>
      <c r="AB979" s="622" t="s">
        <v>164</v>
      </c>
      <c r="AC979" s="622">
        <v>22654</v>
      </c>
      <c r="AD979" s="623">
        <v>0.05</v>
      </c>
      <c r="AE979" s="621" t="s">
        <v>2180</v>
      </c>
    </row>
    <row r="980" spans="1:31" s="572" customFormat="1">
      <c r="A980" s="570" t="s">
        <v>2192</v>
      </c>
      <c r="B980" s="573" t="s">
        <v>287</v>
      </c>
      <c r="C980" s="578">
        <v>26</v>
      </c>
      <c r="D980" s="573" t="s">
        <v>1516</v>
      </c>
      <c r="E980" s="573" t="s">
        <v>2163</v>
      </c>
      <c r="F980" s="573" t="s">
        <v>271</v>
      </c>
      <c r="G980" s="573">
        <v>2019</v>
      </c>
      <c r="H980" s="573" t="s">
        <v>2181</v>
      </c>
      <c r="I980" s="573" t="s">
        <v>1757</v>
      </c>
      <c r="J980" s="573" t="s">
        <v>236</v>
      </c>
      <c r="K980" s="573">
        <v>2</v>
      </c>
      <c r="L980" s="573">
        <v>0</v>
      </c>
      <c r="M980" s="573" t="s">
        <v>157</v>
      </c>
      <c r="N980" s="573">
        <v>1</v>
      </c>
      <c r="O980" s="573">
        <v>87</v>
      </c>
      <c r="P980" s="571" t="s">
        <v>157</v>
      </c>
      <c r="Q980" s="573" t="s">
        <v>1917</v>
      </c>
      <c r="R980" s="573">
        <v>5</v>
      </c>
      <c r="S980" s="582" t="s">
        <v>2186</v>
      </c>
      <c r="T980" s="573" t="s">
        <v>2183</v>
      </c>
      <c r="U980" s="573">
        <v>156</v>
      </c>
      <c r="V980" s="573">
        <v>25</v>
      </c>
      <c r="W980" s="616">
        <v>9000</v>
      </c>
      <c r="X980" s="617" t="s">
        <v>157</v>
      </c>
      <c r="Y980" s="617" t="s">
        <v>728</v>
      </c>
      <c r="Z980" s="617" t="s">
        <v>1523</v>
      </c>
      <c r="AA980" s="618">
        <v>34995</v>
      </c>
      <c r="AB980" s="618" t="s">
        <v>164</v>
      </c>
      <c r="AC980" s="618">
        <v>26477</v>
      </c>
      <c r="AD980" s="619">
        <v>0.05</v>
      </c>
      <c r="AE980" s="617" t="s">
        <v>2193</v>
      </c>
    </row>
    <row r="981" spans="1:31" s="572" customFormat="1">
      <c r="A981" s="570" t="s">
        <v>2194</v>
      </c>
      <c r="B981" s="569" t="s">
        <v>287</v>
      </c>
      <c r="C981" s="580">
        <v>26</v>
      </c>
      <c r="D981" s="569" t="s">
        <v>1516</v>
      </c>
      <c r="E981" s="569" t="s">
        <v>2163</v>
      </c>
      <c r="F981" s="569" t="s">
        <v>271</v>
      </c>
      <c r="G981" s="569">
        <v>2019</v>
      </c>
      <c r="H981" s="569" t="s">
        <v>2181</v>
      </c>
      <c r="I981" s="569" t="s">
        <v>1757</v>
      </c>
      <c r="J981" s="569" t="s">
        <v>236</v>
      </c>
      <c r="K981" s="569">
        <v>2</v>
      </c>
      <c r="L981" s="569">
        <v>0</v>
      </c>
      <c r="M981" s="569" t="s">
        <v>157</v>
      </c>
      <c r="N981" s="569">
        <v>1</v>
      </c>
      <c r="O981" s="569">
        <v>87</v>
      </c>
      <c r="P981" s="568" t="s">
        <v>157</v>
      </c>
      <c r="Q981" s="569" t="s">
        <v>682</v>
      </c>
      <c r="R981" s="569">
        <v>6</v>
      </c>
      <c r="S981" s="569" t="s">
        <v>2186</v>
      </c>
      <c r="T981" s="569" t="s">
        <v>2183</v>
      </c>
      <c r="U981" s="569">
        <v>156</v>
      </c>
      <c r="V981" s="569">
        <v>25</v>
      </c>
      <c r="W981" s="620">
        <v>9000</v>
      </c>
      <c r="X981" s="621" t="s">
        <v>157</v>
      </c>
      <c r="Y981" s="621" t="s">
        <v>178</v>
      </c>
      <c r="Z981" s="621" t="s">
        <v>178</v>
      </c>
      <c r="AA981" s="622">
        <v>31000</v>
      </c>
      <c r="AB981" s="622" t="s">
        <v>164</v>
      </c>
      <c r="AC981" s="622">
        <v>22838</v>
      </c>
      <c r="AD981" s="623">
        <v>0.05</v>
      </c>
      <c r="AE981" s="621" t="s">
        <v>2185</v>
      </c>
    </row>
    <row r="982" spans="1:31" s="572" customFormat="1">
      <c r="A982" s="570" t="s">
        <v>2195</v>
      </c>
      <c r="B982" s="573" t="s">
        <v>280</v>
      </c>
      <c r="C982" s="578">
        <v>27</v>
      </c>
      <c r="D982" s="573" t="s">
        <v>1516</v>
      </c>
      <c r="E982" s="573" t="s">
        <v>2163</v>
      </c>
      <c r="F982" s="573" t="s">
        <v>271</v>
      </c>
      <c r="G982" s="573">
        <v>2019</v>
      </c>
      <c r="H982" s="573" t="s">
        <v>2181</v>
      </c>
      <c r="I982" s="573" t="s">
        <v>1757</v>
      </c>
      <c r="J982" s="573" t="s">
        <v>236</v>
      </c>
      <c r="K982" s="573">
        <v>2</v>
      </c>
      <c r="L982" s="573">
        <v>0</v>
      </c>
      <c r="M982" s="573" t="s">
        <v>157</v>
      </c>
      <c r="N982" s="573">
        <v>1</v>
      </c>
      <c r="O982" s="573">
        <v>87.3</v>
      </c>
      <c r="P982" s="571" t="s">
        <v>157</v>
      </c>
      <c r="Q982" s="573" t="s">
        <v>682</v>
      </c>
      <c r="R982" s="573">
        <v>6</v>
      </c>
      <c r="S982" s="582" t="s">
        <v>2182</v>
      </c>
      <c r="T982" s="573" t="s">
        <v>2183</v>
      </c>
      <c r="U982" s="573">
        <v>138</v>
      </c>
      <c r="V982" s="573">
        <v>25</v>
      </c>
      <c r="W982" s="616">
        <v>9000</v>
      </c>
      <c r="X982" s="617" t="s">
        <v>157</v>
      </c>
      <c r="Y982" s="617" t="s">
        <v>178</v>
      </c>
      <c r="Z982" s="617" t="s">
        <v>178</v>
      </c>
      <c r="AA982" s="618">
        <v>30805</v>
      </c>
      <c r="AB982" s="618" t="s">
        <v>164</v>
      </c>
      <c r="AC982" s="618">
        <v>21999.666666666668</v>
      </c>
      <c r="AD982" s="619">
        <v>0.03</v>
      </c>
      <c r="AE982" s="617" t="s">
        <v>2180</v>
      </c>
    </row>
    <row r="983" spans="1:31" s="572" customFormat="1">
      <c r="A983" s="570" t="s">
        <v>2196</v>
      </c>
      <c r="B983" s="569" t="s">
        <v>280</v>
      </c>
      <c r="C983" s="580">
        <v>27</v>
      </c>
      <c r="D983" s="569" t="s">
        <v>1516</v>
      </c>
      <c r="E983" s="569" t="s">
        <v>2163</v>
      </c>
      <c r="F983" s="569" t="s">
        <v>271</v>
      </c>
      <c r="G983" s="569">
        <v>2019</v>
      </c>
      <c r="H983" s="569" t="s">
        <v>2181</v>
      </c>
      <c r="I983" s="569" t="s">
        <v>1757</v>
      </c>
      <c r="J983" s="569" t="s">
        <v>236</v>
      </c>
      <c r="K983" s="569">
        <v>2</v>
      </c>
      <c r="L983" s="569">
        <v>0</v>
      </c>
      <c r="M983" s="569" t="s">
        <v>157</v>
      </c>
      <c r="N983" s="569">
        <v>1</v>
      </c>
      <c r="O983" s="569">
        <v>87</v>
      </c>
      <c r="P983" s="568" t="s">
        <v>157</v>
      </c>
      <c r="Q983" s="569" t="s">
        <v>682</v>
      </c>
      <c r="R983" s="569">
        <v>6</v>
      </c>
      <c r="S983" s="569" t="s">
        <v>2186</v>
      </c>
      <c r="T983" s="569" t="s">
        <v>2183</v>
      </c>
      <c r="U983" s="569">
        <v>156</v>
      </c>
      <c r="V983" s="569">
        <v>25</v>
      </c>
      <c r="W983" s="620">
        <v>9000</v>
      </c>
      <c r="X983" s="621" t="s">
        <v>157</v>
      </c>
      <c r="Y983" s="621" t="s">
        <v>178</v>
      </c>
      <c r="Z983" s="621" t="s">
        <v>178</v>
      </c>
      <c r="AA983" s="622">
        <v>31000</v>
      </c>
      <c r="AB983" s="622" t="s">
        <v>164</v>
      </c>
      <c r="AC983" s="622">
        <v>22178.833333333336</v>
      </c>
      <c r="AD983" s="623">
        <v>0.03</v>
      </c>
      <c r="AE983" s="621" t="s">
        <v>2185</v>
      </c>
    </row>
    <row r="984" spans="1:31" s="572" customFormat="1">
      <c r="A984" s="570" t="s">
        <v>2197</v>
      </c>
      <c r="B984" s="573" t="s">
        <v>269</v>
      </c>
      <c r="C984" s="578" t="s">
        <v>270</v>
      </c>
      <c r="D984" s="573" t="s">
        <v>1516</v>
      </c>
      <c r="E984" s="573" t="s">
        <v>1517</v>
      </c>
      <c r="F984" s="573" t="s">
        <v>271</v>
      </c>
      <c r="G984" s="573">
        <v>2019</v>
      </c>
      <c r="H984" s="573" t="s">
        <v>2199</v>
      </c>
      <c r="I984" s="573" t="s">
        <v>1916</v>
      </c>
      <c r="J984" s="573" t="s">
        <v>236</v>
      </c>
      <c r="K984" s="573">
        <v>2</v>
      </c>
      <c r="L984" s="573">
        <v>0</v>
      </c>
      <c r="M984" s="573" t="s">
        <v>157</v>
      </c>
      <c r="N984" s="573">
        <v>1</v>
      </c>
      <c r="O984" s="573">
        <v>100.7</v>
      </c>
      <c r="P984" s="571" t="s">
        <v>157</v>
      </c>
      <c r="Q984" s="573" t="s">
        <v>682</v>
      </c>
      <c r="R984" s="573">
        <v>6</v>
      </c>
      <c r="S984" s="582" t="s">
        <v>2200</v>
      </c>
      <c r="T984" s="573" t="s">
        <v>1894</v>
      </c>
      <c r="U984" s="573">
        <v>147.6</v>
      </c>
      <c r="V984" s="573">
        <v>25</v>
      </c>
      <c r="W984" s="616">
        <v>9000</v>
      </c>
      <c r="X984" s="617" t="s">
        <v>157</v>
      </c>
      <c r="Y984" s="617" t="s">
        <v>178</v>
      </c>
      <c r="Z984" s="617" t="s">
        <v>178</v>
      </c>
      <c r="AA984" s="618">
        <v>38310</v>
      </c>
      <c r="AB984" s="618" t="s">
        <v>164</v>
      </c>
      <c r="AC984" s="618">
        <v>28860.083333333336</v>
      </c>
      <c r="AD984" s="619">
        <v>0.03</v>
      </c>
      <c r="AE984" s="617" t="s">
        <v>2198</v>
      </c>
    </row>
    <row r="985" spans="1:31" s="572" customFormat="1">
      <c r="A985" s="570" t="s">
        <v>2201</v>
      </c>
      <c r="B985" s="569" t="s">
        <v>269</v>
      </c>
      <c r="C985" s="580" t="s">
        <v>270</v>
      </c>
      <c r="D985" s="569" t="s">
        <v>1516</v>
      </c>
      <c r="E985" s="569" t="s">
        <v>1517</v>
      </c>
      <c r="F985" s="569" t="s">
        <v>271</v>
      </c>
      <c r="G985" s="569">
        <v>2019</v>
      </c>
      <c r="H985" s="569" t="s">
        <v>2199</v>
      </c>
      <c r="I985" s="569" t="s">
        <v>1916</v>
      </c>
      <c r="J985" s="569" t="s">
        <v>236</v>
      </c>
      <c r="K985" s="569">
        <v>2</v>
      </c>
      <c r="L985" s="569">
        <v>0</v>
      </c>
      <c r="M985" s="569" t="s">
        <v>157</v>
      </c>
      <c r="N985" s="569">
        <v>1</v>
      </c>
      <c r="O985" s="569">
        <v>100.8</v>
      </c>
      <c r="P985" s="568" t="s">
        <v>157</v>
      </c>
      <c r="Q985" s="569" t="s">
        <v>1917</v>
      </c>
      <c r="R985" s="569">
        <v>5</v>
      </c>
      <c r="S985" s="569" t="s">
        <v>2203</v>
      </c>
      <c r="T985" s="569" t="s">
        <v>1894</v>
      </c>
      <c r="U985" s="569">
        <v>129.9</v>
      </c>
      <c r="V985" s="569">
        <v>25</v>
      </c>
      <c r="W985" s="620">
        <v>9000</v>
      </c>
      <c r="X985" s="621" t="s">
        <v>157</v>
      </c>
      <c r="Y985" s="621" t="s">
        <v>728</v>
      </c>
      <c r="Z985" s="621" t="s">
        <v>1523</v>
      </c>
      <c r="AA985" s="622">
        <v>40580</v>
      </c>
      <c r="AB985" s="622" t="s">
        <v>164</v>
      </c>
      <c r="AC985" s="622">
        <v>30832.541666666664</v>
      </c>
      <c r="AD985" s="623">
        <v>0.03</v>
      </c>
      <c r="AE985" s="621" t="s">
        <v>2202</v>
      </c>
    </row>
    <row r="986" spans="1:31" s="572" customFormat="1">
      <c r="A986" s="570" t="s">
        <v>2204</v>
      </c>
      <c r="B986" s="573" t="s">
        <v>269</v>
      </c>
      <c r="C986" s="578" t="s">
        <v>270</v>
      </c>
      <c r="D986" s="573" t="s">
        <v>1516</v>
      </c>
      <c r="E986" s="573" t="s">
        <v>1517</v>
      </c>
      <c r="F986" s="573" t="s">
        <v>271</v>
      </c>
      <c r="G986" s="573">
        <v>2019</v>
      </c>
      <c r="H986" s="573" t="s">
        <v>2199</v>
      </c>
      <c r="I986" s="573" t="s">
        <v>1916</v>
      </c>
      <c r="J986" s="573" t="s">
        <v>236</v>
      </c>
      <c r="K986" s="573">
        <v>2</v>
      </c>
      <c r="L986" s="573">
        <v>0</v>
      </c>
      <c r="M986" s="573" t="s">
        <v>157</v>
      </c>
      <c r="N986" s="573">
        <v>1</v>
      </c>
      <c r="O986" s="573">
        <v>100.8</v>
      </c>
      <c r="P986" s="571" t="s">
        <v>157</v>
      </c>
      <c r="Q986" s="573" t="s">
        <v>1259</v>
      </c>
      <c r="R986" s="573">
        <v>6</v>
      </c>
      <c r="S986" s="582" t="s">
        <v>2203</v>
      </c>
      <c r="T986" s="573" t="s">
        <v>1894</v>
      </c>
      <c r="U986" s="573">
        <v>129.9</v>
      </c>
      <c r="V986" s="573">
        <v>25</v>
      </c>
      <c r="W986" s="616">
        <v>9000</v>
      </c>
      <c r="X986" s="617" t="s">
        <v>157</v>
      </c>
      <c r="Y986" s="617" t="s">
        <v>178</v>
      </c>
      <c r="Z986" s="617" t="s">
        <v>178</v>
      </c>
      <c r="AA986" s="618">
        <v>38450</v>
      </c>
      <c r="AB986" s="618" t="s">
        <v>164</v>
      </c>
      <c r="AC986" s="618">
        <v>28939.25</v>
      </c>
      <c r="AD986" s="619">
        <v>0.03</v>
      </c>
      <c r="AE986" s="617" t="s">
        <v>2205</v>
      </c>
    </row>
    <row r="987" spans="1:31" s="572" customFormat="1">
      <c r="A987" s="570" t="s">
        <v>2206</v>
      </c>
      <c r="B987" s="569" t="s">
        <v>269</v>
      </c>
      <c r="C987" s="580" t="s">
        <v>270</v>
      </c>
      <c r="D987" s="569" t="s">
        <v>1516</v>
      </c>
      <c r="E987" s="569" t="s">
        <v>1517</v>
      </c>
      <c r="F987" s="569" t="s">
        <v>271</v>
      </c>
      <c r="G987" s="569">
        <v>2019</v>
      </c>
      <c r="H987" s="569" t="s">
        <v>2199</v>
      </c>
      <c r="I987" s="569" t="s">
        <v>1916</v>
      </c>
      <c r="J987" s="569" t="s">
        <v>236</v>
      </c>
      <c r="K987" s="569">
        <v>2</v>
      </c>
      <c r="L987" s="569">
        <v>0</v>
      </c>
      <c r="M987" s="569" t="s">
        <v>157</v>
      </c>
      <c r="N987" s="569">
        <v>1</v>
      </c>
      <c r="O987" s="569">
        <v>100.8</v>
      </c>
      <c r="P987" s="568" t="s">
        <v>157</v>
      </c>
      <c r="Q987" s="569" t="s">
        <v>682</v>
      </c>
      <c r="R987" s="569">
        <v>6</v>
      </c>
      <c r="S987" s="569" t="s">
        <v>2203</v>
      </c>
      <c r="T987" s="569" t="s">
        <v>1894</v>
      </c>
      <c r="U987" s="569">
        <v>129.9</v>
      </c>
      <c r="V987" s="569">
        <v>25</v>
      </c>
      <c r="W987" s="620">
        <v>9000</v>
      </c>
      <c r="X987" s="621" t="s">
        <v>157</v>
      </c>
      <c r="Y987" s="621" t="s">
        <v>178</v>
      </c>
      <c r="Z987" s="621" t="s">
        <v>178</v>
      </c>
      <c r="AA987" s="622">
        <v>36585</v>
      </c>
      <c r="AB987" s="622" t="s">
        <v>164</v>
      </c>
      <c r="AC987" s="622">
        <v>27283</v>
      </c>
      <c r="AD987" s="623">
        <v>0.03</v>
      </c>
      <c r="AE987" s="621" t="s">
        <v>2207</v>
      </c>
    </row>
    <row r="988" spans="1:31" s="572" customFormat="1">
      <c r="A988" s="570" t="s">
        <v>2208</v>
      </c>
      <c r="B988" s="573" t="s">
        <v>269</v>
      </c>
      <c r="C988" s="578" t="s">
        <v>270</v>
      </c>
      <c r="D988" s="573" t="s">
        <v>1516</v>
      </c>
      <c r="E988" s="573" t="s">
        <v>1517</v>
      </c>
      <c r="F988" s="573" t="s">
        <v>271</v>
      </c>
      <c r="G988" s="573">
        <v>2019</v>
      </c>
      <c r="H988" s="573" t="s">
        <v>2199</v>
      </c>
      <c r="I988" s="573" t="s">
        <v>1916</v>
      </c>
      <c r="J988" s="573" t="s">
        <v>236</v>
      </c>
      <c r="K988" s="573">
        <v>2</v>
      </c>
      <c r="L988" s="573">
        <v>0</v>
      </c>
      <c r="M988" s="573" t="s">
        <v>157</v>
      </c>
      <c r="N988" s="573">
        <v>1</v>
      </c>
      <c r="O988" s="573">
        <v>109.4</v>
      </c>
      <c r="P988" s="571" t="s">
        <v>157</v>
      </c>
      <c r="Q988" s="573" t="s">
        <v>1917</v>
      </c>
      <c r="R988" s="573">
        <v>5</v>
      </c>
      <c r="S988" s="582" t="s">
        <v>2210</v>
      </c>
      <c r="T988" s="573" t="s">
        <v>1894</v>
      </c>
      <c r="U988" s="573">
        <v>147.6</v>
      </c>
      <c r="V988" s="573">
        <v>25</v>
      </c>
      <c r="W988" s="616">
        <v>9000</v>
      </c>
      <c r="X988" s="617" t="s">
        <v>157</v>
      </c>
      <c r="Y988" s="617" t="s">
        <v>728</v>
      </c>
      <c r="Z988" s="617" t="s">
        <v>1523</v>
      </c>
      <c r="AA988" s="618">
        <v>45755</v>
      </c>
      <c r="AB988" s="618" t="s">
        <v>164</v>
      </c>
      <c r="AC988" s="618">
        <v>35562.75</v>
      </c>
      <c r="AD988" s="619">
        <v>0.03</v>
      </c>
      <c r="AE988" s="617" t="s">
        <v>2209</v>
      </c>
    </row>
    <row r="989" spans="1:31" s="572" customFormat="1">
      <c r="A989" s="570" t="s">
        <v>2211</v>
      </c>
      <c r="B989" s="569" t="s">
        <v>269</v>
      </c>
      <c r="C989" s="580" t="s">
        <v>270</v>
      </c>
      <c r="D989" s="569" t="s">
        <v>1516</v>
      </c>
      <c r="E989" s="569" t="s">
        <v>1517</v>
      </c>
      <c r="F989" s="569" t="s">
        <v>271</v>
      </c>
      <c r="G989" s="569">
        <v>2019</v>
      </c>
      <c r="H989" s="569" t="s">
        <v>2199</v>
      </c>
      <c r="I989" s="569" t="s">
        <v>1916</v>
      </c>
      <c r="J989" s="569" t="s">
        <v>236</v>
      </c>
      <c r="K989" s="569">
        <v>2</v>
      </c>
      <c r="L989" s="569">
        <v>0</v>
      </c>
      <c r="M989" s="569" t="s">
        <v>157</v>
      </c>
      <c r="N989" s="569">
        <v>1</v>
      </c>
      <c r="O989" s="569">
        <v>109.4</v>
      </c>
      <c r="P989" s="568" t="s">
        <v>157</v>
      </c>
      <c r="Q989" s="569" t="s">
        <v>1259</v>
      </c>
      <c r="R989" s="569">
        <v>6</v>
      </c>
      <c r="S989" s="569" t="s">
        <v>2210</v>
      </c>
      <c r="T989" s="569" t="s">
        <v>1894</v>
      </c>
      <c r="U989" s="569">
        <v>147.6</v>
      </c>
      <c r="V989" s="569">
        <v>25</v>
      </c>
      <c r="W989" s="620">
        <v>9000</v>
      </c>
      <c r="X989" s="621" t="s">
        <v>157</v>
      </c>
      <c r="Y989" s="621" t="s">
        <v>178</v>
      </c>
      <c r="Z989" s="621" t="s">
        <v>178</v>
      </c>
      <c r="AA989" s="622">
        <v>43625</v>
      </c>
      <c r="AB989" s="622" t="s">
        <v>164</v>
      </c>
      <c r="AC989" s="622">
        <v>33669.458333333336</v>
      </c>
      <c r="AD989" s="623">
        <v>0.03</v>
      </c>
      <c r="AE989" s="621" t="s">
        <v>2212</v>
      </c>
    </row>
    <row r="990" spans="1:31" s="572" customFormat="1">
      <c r="A990" s="570" t="s">
        <v>2213</v>
      </c>
      <c r="B990" s="573" t="s">
        <v>269</v>
      </c>
      <c r="C990" s="578" t="s">
        <v>270</v>
      </c>
      <c r="D990" s="573" t="s">
        <v>1516</v>
      </c>
      <c r="E990" s="573" t="s">
        <v>1517</v>
      </c>
      <c r="F990" s="573" t="s">
        <v>271</v>
      </c>
      <c r="G990" s="573">
        <v>2019</v>
      </c>
      <c r="H990" s="573" t="s">
        <v>2199</v>
      </c>
      <c r="I990" s="573" t="s">
        <v>1916</v>
      </c>
      <c r="J990" s="573" t="s">
        <v>236</v>
      </c>
      <c r="K990" s="573">
        <v>2</v>
      </c>
      <c r="L990" s="573">
        <v>0</v>
      </c>
      <c r="M990" s="573" t="s">
        <v>157</v>
      </c>
      <c r="N990" s="573">
        <v>1</v>
      </c>
      <c r="O990" s="573">
        <v>109.4</v>
      </c>
      <c r="P990" s="571" t="s">
        <v>157</v>
      </c>
      <c r="Q990" s="573" t="s">
        <v>682</v>
      </c>
      <c r="R990" s="573">
        <v>6</v>
      </c>
      <c r="S990" s="582" t="s">
        <v>2210</v>
      </c>
      <c r="T990" s="573" t="s">
        <v>1894</v>
      </c>
      <c r="U990" s="573">
        <v>147.6</v>
      </c>
      <c r="V990" s="573">
        <v>25</v>
      </c>
      <c r="W990" s="616">
        <v>9000</v>
      </c>
      <c r="X990" s="617" t="s">
        <v>157</v>
      </c>
      <c r="Y990" s="617" t="s">
        <v>178</v>
      </c>
      <c r="Z990" s="617" t="s">
        <v>178</v>
      </c>
      <c r="AA990" s="618">
        <v>41760</v>
      </c>
      <c r="AB990" s="618" t="s">
        <v>164</v>
      </c>
      <c r="AC990" s="618">
        <v>32013.208333333336</v>
      </c>
      <c r="AD990" s="619">
        <v>0.03</v>
      </c>
      <c r="AE990" s="617" t="s">
        <v>2214</v>
      </c>
    </row>
    <row r="991" spans="1:31" s="572" customFormat="1">
      <c r="A991" s="570" t="s">
        <v>2215</v>
      </c>
      <c r="B991" s="569" t="s">
        <v>269</v>
      </c>
      <c r="C991" s="580" t="s">
        <v>270</v>
      </c>
      <c r="D991" s="569" t="s">
        <v>1516</v>
      </c>
      <c r="E991" s="569" t="s">
        <v>1517</v>
      </c>
      <c r="F991" s="569" t="s">
        <v>271</v>
      </c>
      <c r="G991" s="569">
        <v>2019</v>
      </c>
      <c r="H991" s="569" t="s">
        <v>2199</v>
      </c>
      <c r="I991" s="569" t="s">
        <v>1916</v>
      </c>
      <c r="J991" s="569" t="s">
        <v>236</v>
      </c>
      <c r="K991" s="569">
        <v>2</v>
      </c>
      <c r="L991" s="569">
        <v>0</v>
      </c>
      <c r="M991" s="569" t="s">
        <v>157</v>
      </c>
      <c r="N991" s="569">
        <v>1</v>
      </c>
      <c r="O991" s="569">
        <v>110.1</v>
      </c>
      <c r="P991" s="568" t="s">
        <v>157</v>
      </c>
      <c r="Q991" s="569" t="s">
        <v>1917</v>
      </c>
      <c r="R991" s="569">
        <v>5</v>
      </c>
      <c r="S991" s="569" t="s">
        <v>2217</v>
      </c>
      <c r="T991" s="569" t="s">
        <v>1894</v>
      </c>
      <c r="U991" s="569">
        <v>147.6</v>
      </c>
      <c r="V991" s="569">
        <v>25</v>
      </c>
      <c r="W991" s="620">
        <v>9000</v>
      </c>
      <c r="X991" s="621" t="s">
        <v>157</v>
      </c>
      <c r="Y991" s="621" t="s">
        <v>728</v>
      </c>
      <c r="Z991" s="621" t="s">
        <v>1523</v>
      </c>
      <c r="AA991" s="622">
        <v>44455</v>
      </c>
      <c r="AB991" s="622" t="s">
        <v>164</v>
      </c>
      <c r="AC991" s="622">
        <v>34375.25</v>
      </c>
      <c r="AD991" s="623">
        <v>0.03</v>
      </c>
      <c r="AE991" s="621" t="s">
        <v>2216</v>
      </c>
    </row>
    <row r="992" spans="1:31" s="572" customFormat="1">
      <c r="A992" s="570" t="s">
        <v>2218</v>
      </c>
      <c r="B992" s="573" t="s">
        <v>269</v>
      </c>
      <c r="C992" s="578" t="s">
        <v>270</v>
      </c>
      <c r="D992" s="573" t="s">
        <v>1516</v>
      </c>
      <c r="E992" s="573" t="s">
        <v>1517</v>
      </c>
      <c r="F992" s="573" t="s">
        <v>271</v>
      </c>
      <c r="G992" s="573">
        <v>2019</v>
      </c>
      <c r="H992" s="573" t="s">
        <v>2199</v>
      </c>
      <c r="I992" s="573" t="s">
        <v>1916</v>
      </c>
      <c r="J992" s="573" t="s">
        <v>236</v>
      </c>
      <c r="K992" s="573">
        <v>2</v>
      </c>
      <c r="L992" s="573">
        <v>0</v>
      </c>
      <c r="M992" s="573" t="s">
        <v>157</v>
      </c>
      <c r="N992" s="573">
        <v>1</v>
      </c>
      <c r="O992" s="573">
        <v>110.1</v>
      </c>
      <c r="P992" s="571" t="s">
        <v>157</v>
      </c>
      <c r="Q992" s="573" t="s">
        <v>1259</v>
      </c>
      <c r="R992" s="573">
        <v>6</v>
      </c>
      <c r="S992" s="582" t="s">
        <v>2217</v>
      </c>
      <c r="T992" s="573" t="s">
        <v>1894</v>
      </c>
      <c r="U992" s="573">
        <v>147.6</v>
      </c>
      <c r="V992" s="573">
        <v>25</v>
      </c>
      <c r="W992" s="616">
        <v>9000</v>
      </c>
      <c r="X992" s="617" t="s">
        <v>157</v>
      </c>
      <c r="Y992" s="617" t="s">
        <v>178</v>
      </c>
      <c r="Z992" s="617" t="s">
        <v>178</v>
      </c>
      <c r="AA992" s="618">
        <v>42325</v>
      </c>
      <c r="AB992" s="618" t="s">
        <v>164</v>
      </c>
      <c r="AC992" s="618">
        <v>32481.958333333336</v>
      </c>
      <c r="AD992" s="619">
        <v>0.03</v>
      </c>
      <c r="AE992" s="617" t="s">
        <v>2219</v>
      </c>
    </row>
    <row r="993" spans="1:31" s="572" customFormat="1">
      <c r="A993" s="570" t="s">
        <v>2220</v>
      </c>
      <c r="B993" s="569" t="s">
        <v>269</v>
      </c>
      <c r="C993" s="580" t="s">
        <v>270</v>
      </c>
      <c r="D993" s="569" t="s">
        <v>1516</v>
      </c>
      <c r="E993" s="569" t="s">
        <v>1517</v>
      </c>
      <c r="F993" s="569" t="s">
        <v>271</v>
      </c>
      <c r="G993" s="569">
        <v>2019</v>
      </c>
      <c r="H993" s="569" t="s">
        <v>2199</v>
      </c>
      <c r="I993" s="569" t="s">
        <v>1916</v>
      </c>
      <c r="J993" s="569" t="s">
        <v>236</v>
      </c>
      <c r="K993" s="569">
        <v>2</v>
      </c>
      <c r="L993" s="569">
        <v>0</v>
      </c>
      <c r="M993" s="569" t="s">
        <v>157</v>
      </c>
      <c r="N993" s="569">
        <v>1</v>
      </c>
      <c r="O993" s="569">
        <v>110.1</v>
      </c>
      <c r="P993" s="568" t="s">
        <v>157</v>
      </c>
      <c r="Q993" s="569" t="s">
        <v>682</v>
      </c>
      <c r="R993" s="569">
        <v>6</v>
      </c>
      <c r="S993" s="569" t="s">
        <v>2217</v>
      </c>
      <c r="T993" s="569" t="s">
        <v>1894</v>
      </c>
      <c r="U993" s="569">
        <v>147.6</v>
      </c>
      <c r="V993" s="569">
        <v>25</v>
      </c>
      <c r="W993" s="620">
        <v>9000</v>
      </c>
      <c r="X993" s="621" t="s">
        <v>157</v>
      </c>
      <c r="Y993" s="621" t="s">
        <v>178</v>
      </c>
      <c r="Z993" s="621" t="s">
        <v>178</v>
      </c>
      <c r="AA993" s="622">
        <v>40460</v>
      </c>
      <c r="AB993" s="622" t="s">
        <v>164</v>
      </c>
      <c r="AC993" s="622">
        <v>30825.708333333336</v>
      </c>
      <c r="AD993" s="623">
        <v>0.03</v>
      </c>
      <c r="AE993" s="621" t="s">
        <v>2221</v>
      </c>
    </row>
    <row r="994" spans="1:31" s="572" customFormat="1">
      <c r="A994" s="570" t="s">
        <v>2222</v>
      </c>
      <c r="B994" s="573" t="s">
        <v>278</v>
      </c>
      <c r="C994" s="578">
        <v>15</v>
      </c>
      <c r="D994" s="573" t="s">
        <v>1516</v>
      </c>
      <c r="E994" s="573" t="s">
        <v>1517</v>
      </c>
      <c r="F994" s="573" t="s">
        <v>271</v>
      </c>
      <c r="G994" s="573">
        <v>2019</v>
      </c>
      <c r="H994" s="573" t="s">
        <v>2199</v>
      </c>
      <c r="I994" s="573" t="s">
        <v>1916</v>
      </c>
      <c r="J994" s="573" t="s">
        <v>236</v>
      </c>
      <c r="K994" s="573">
        <v>2</v>
      </c>
      <c r="L994" s="573">
        <v>0</v>
      </c>
      <c r="M994" s="573" t="s">
        <v>157</v>
      </c>
      <c r="N994" s="573">
        <v>1</v>
      </c>
      <c r="O994" s="573">
        <v>100.7</v>
      </c>
      <c r="P994" s="571" t="s">
        <v>157</v>
      </c>
      <c r="Q994" s="573" t="s">
        <v>682</v>
      </c>
      <c r="R994" s="573">
        <v>6</v>
      </c>
      <c r="S994" s="582" t="s">
        <v>2200</v>
      </c>
      <c r="T994" s="573" t="s">
        <v>1894</v>
      </c>
      <c r="U994" s="573">
        <v>147.6</v>
      </c>
      <c r="V994" s="573">
        <v>25</v>
      </c>
      <c r="W994" s="616">
        <v>9000</v>
      </c>
      <c r="X994" s="617" t="s">
        <v>157</v>
      </c>
      <c r="Y994" s="617" t="s">
        <v>178</v>
      </c>
      <c r="Z994" s="617" t="s">
        <v>178</v>
      </c>
      <c r="AA994" s="618">
        <v>38310</v>
      </c>
      <c r="AB994" s="618" t="s">
        <v>164</v>
      </c>
      <c r="AC994" s="618">
        <v>29400</v>
      </c>
      <c r="AD994" s="619">
        <v>0.01</v>
      </c>
      <c r="AE994" s="617" t="s">
        <v>2198</v>
      </c>
    </row>
    <row r="995" spans="1:31" s="572" customFormat="1">
      <c r="A995" s="570" t="s">
        <v>2223</v>
      </c>
      <c r="B995" s="569" t="s">
        <v>278</v>
      </c>
      <c r="C995" s="580">
        <v>15</v>
      </c>
      <c r="D995" s="569" t="s">
        <v>1516</v>
      </c>
      <c r="E995" s="569" t="s">
        <v>1517</v>
      </c>
      <c r="F995" s="569" t="s">
        <v>271</v>
      </c>
      <c r="G995" s="569">
        <v>2019</v>
      </c>
      <c r="H995" s="569" t="s">
        <v>2199</v>
      </c>
      <c r="I995" s="569" t="s">
        <v>1916</v>
      </c>
      <c r="J995" s="569" t="s">
        <v>236</v>
      </c>
      <c r="K995" s="569">
        <v>2</v>
      </c>
      <c r="L995" s="569">
        <v>0</v>
      </c>
      <c r="M995" s="569" t="s">
        <v>157</v>
      </c>
      <c r="N995" s="569">
        <v>1</v>
      </c>
      <c r="O995" s="569">
        <v>100.8</v>
      </c>
      <c r="P995" s="568" t="s">
        <v>157</v>
      </c>
      <c r="Q995" s="569" t="s">
        <v>1917</v>
      </c>
      <c r="R995" s="569">
        <v>5</v>
      </c>
      <c r="S995" s="569" t="s">
        <v>2203</v>
      </c>
      <c r="T995" s="569" t="s">
        <v>1894</v>
      </c>
      <c r="U995" s="569">
        <v>129.9</v>
      </c>
      <c r="V995" s="569">
        <v>25</v>
      </c>
      <c r="W995" s="620">
        <v>9000</v>
      </c>
      <c r="X995" s="621" t="s">
        <v>157</v>
      </c>
      <c r="Y995" s="621" t="s">
        <v>728</v>
      </c>
      <c r="Z995" s="621" t="s">
        <v>1523</v>
      </c>
      <c r="AA995" s="622">
        <v>40580</v>
      </c>
      <c r="AB995" s="622" t="s">
        <v>164</v>
      </c>
      <c r="AC995" s="622">
        <v>31400</v>
      </c>
      <c r="AD995" s="623">
        <v>0.01</v>
      </c>
      <c r="AE995" s="621" t="s">
        <v>2202</v>
      </c>
    </row>
    <row r="996" spans="1:31" s="572" customFormat="1">
      <c r="A996" s="570" t="s">
        <v>2224</v>
      </c>
      <c r="B996" s="573" t="s">
        <v>278</v>
      </c>
      <c r="C996" s="578">
        <v>15</v>
      </c>
      <c r="D996" s="573" t="s">
        <v>1516</v>
      </c>
      <c r="E996" s="573" t="s">
        <v>1517</v>
      </c>
      <c r="F996" s="573" t="s">
        <v>271</v>
      </c>
      <c r="G996" s="573">
        <v>2019</v>
      </c>
      <c r="H996" s="573" t="s">
        <v>2199</v>
      </c>
      <c r="I996" s="573" t="s">
        <v>1916</v>
      </c>
      <c r="J996" s="573" t="s">
        <v>236</v>
      </c>
      <c r="K996" s="573">
        <v>2</v>
      </c>
      <c r="L996" s="573">
        <v>0</v>
      </c>
      <c r="M996" s="573" t="s">
        <v>157</v>
      </c>
      <c r="N996" s="573">
        <v>1</v>
      </c>
      <c r="O996" s="573">
        <v>100.8</v>
      </c>
      <c r="P996" s="571" t="s">
        <v>157</v>
      </c>
      <c r="Q996" s="573" t="s">
        <v>1259</v>
      </c>
      <c r="R996" s="573">
        <v>6</v>
      </c>
      <c r="S996" s="582" t="s">
        <v>2203</v>
      </c>
      <c r="T996" s="573" t="s">
        <v>1894</v>
      </c>
      <c r="U996" s="573">
        <v>129.9</v>
      </c>
      <c r="V996" s="573">
        <v>25</v>
      </c>
      <c r="W996" s="616">
        <v>9000</v>
      </c>
      <c r="X996" s="617" t="s">
        <v>157</v>
      </c>
      <c r="Y996" s="617" t="s">
        <v>178</v>
      </c>
      <c r="Z996" s="617" t="s">
        <v>178</v>
      </c>
      <c r="AA996" s="618">
        <v>38450</v>
      </c>
      <c r="AB996" s="618" t="s">
        <v>164</v>
      </c>
      <c r="AC996" s="618">
        <v>29500</v>
      </c>
      <c r="AD996" s="619">
        <v>0.01</v>
      </c>
      <c r="AE996" s="617" t="s">
        <v>2205</v>
      </c>
    </row>
    <row r="997" spans="1:31" s="572" customFormat="1">
      <c r="A997" s="570" t="s">
        <v>2225</v>
      </c>
      <c r="B997" s="569" t="s">
        <v>278</v>
      </c>
      <c r="C997" s="580">
        <v>15</v>
      </c>
      <c r="D997" s="569" t="s">
        <v>1516</v>
      </c>
      <c r="E997" s="569" t="s">
        <v>1517</v>
      </c>
      <c r="F997" s="569" t="s">
        <v>271</v>
      </c>
      <c r="G997" s="569">
        <v>2019</v>
      </c>
      <c r="H997" s="569" t="s">
        <v>2199</v>
      </c>
      <c r="I997" s="569" t="s">
        <v>1916</v>
      </c>
      <c r="J997" s="569" t="s">
        <v>236</v>
      </c>
      <c r="K997" s="569">
        <v>2</v>
      </c>
      <c r="L997" s="569">
        <v>0</v>
      </c>
      <c r="M997" s="569" t="s">
        <v>157</v>
      </c>
      <c r="N997" s="569">
        <v>1</v>
      </c>
      <c r="O997" s="569">
        <v>100.8</v>
      </c>
      <c r="P997" s="568" t="s">
        <v>157</v>
      </c>
      <c r="Q997" s="569" t="s">
        <v>682</v>
      </c>
      <c r="R997" s="569">
        <v>6</v>
      </c>
      <c r="S997" s="569" t="s">
        <v>2203</v>
      </c>
      <c r="T997" s="569" t="s">
        <v>1894</v>
      </c>
      <c r="U997" s="569">
        <v>129.9</v>
      </c>
      <c r="V997" s="569">
        <v>25</v>
      </c>
      <c r="W997" s="620">
        <v>9000</v>
      </c>
      <c r="X997" s="621" t="s">
        <v>157</v>
      </c>
      <c r="Y997" s="621" t="s">
        <v>178</v>
      </c>
      <c r="Z997" s="621" t="s">
        <v>178</v>
      </c>
      <c r="AA997" s="622">
        <v>36585</v>
      </c>
      <c r="AB997" s="622" t="s">
        <v>164</v>
      </c>
      <c r="AC997" s="622">
        <v>27800</v>
      </c>
      <c r="AD997" s="623">
        <v>0.01</v>
      </c>
      <c r="AE997" s="621" t="s">
        <v>2207</v>
      </c>
    </row>
    <row r="998" spans="1:31" s="572" customFormat="1">
      <c r="A998" s="570" t="s">
        <v>2226</v>
      </c>
      <c r="B998" s="573" t="s">
        <v>278</v>
      </c>
      <c r="C998" s="578">
        <v>15</v>
      </c>
      <c r="D998" s="573" t="s">
        <v>1516</v>
      </c>
      <c r="E998" s="573" t="s">
        <v>1517</v>
      </c>
      <c r="F998" s="573" t="s">
        <v>271</v>
      </c>
      <c r="G998" s="573">
        <v>2019</v>
      </c>
      <c r="H998" s="573" t="s">
        <v>2199</v>
      </c>
      <c r="I998" s="573" t="s">
        <v>1916</v>
      </c>
      <c r="J998" s="573" t="s">
        <v>236</v>
      </c>
      <c r="K998" s="573">
        <v>2</v>
      </c>
      <c r="L998" s="573">
        <v>0</v>
      </c>
      <c r="M998" s="573" t="s">
        <v>157</v>
      </c>
      <c r="N998" s="573">
        <v>1</v>
      </c>
      <c r="O998" s="573">
        <v>109.4</v>
      </c>
      <c r="P998" s="571" t="s">
        <v>157</v>
      </c>
      <c r="Q998" s="573" t="s">
        <v>1917</v>
      </c>
      <c r="R998" s="573">
        <v>5</v>
      </c>
      <c r="S998" s="582" t="s">
        <v>2210</v>
      </c>
      <c r="T998" s="573" t="s">
        <v>1894</v>
      </c>
      <c r="U998" s="573">
        <v>147.6</v>
      </c>
      <c r="V998" s="573">
        <v>25</v>
      </c>
      <c r="W998" s="616">
        <v>9000</v>
      </c>
      <c r="X998" s="617" t="s">
        <v>157</v>
      </c>
      <c r="Y998" s="617" t="s">
        <v>728</v>
      </c>
      <c r="Z998" s="617" t="s">
        <v>1523</v>
      </c>
      <c r="AA998" s="618">
        <v>45755</v>
      </c>
      <c r="AB998" s="618" t="s">
        <v>164</v>
      </c>
      <c r="AC998" s="618">
        <v>36300</v>
      </c>
      <c r="AD998" s="619">
        <v>0.01</v>
      </c>
      <c r="AE998" s="617" t="s">
        <v>2209</v>
      </c>
    </row>
    <row r="999" spans="1:31" s="572" customFormat="1">
      <c r="A999" s="570" t="s">
        <v>2227</v>
      </c>
      <c r="B999" s="569" t="s">
        <v>278</v>
      </c>
      <c r="C999" s="580">
        <v>15</v>
      </c>
      <c r="D999" s="569" t="s">
        <v>1516</v>
      </c>
      <c r="E999" s="569" t="s">
        <v>1517</v>
      </c>
      <c r="F999" s="569" t="s">
        <v>271</v>
      </c>
      <c r="G999" s="569">
        <v>2019</v>
      </c>
      <c r="H999" s="569" t="s">
        <v>2199</v>
      </c>
      <c r="I999" s="569" t="s">
        <v>1916</v>
      </c>
      <c r="J999" s="569" t="s">
        <v>236</v>
      </c>
      <c r="K999" s="569">
        <v>2</v>
      </c>
      <c r="L999" s="569">
        <v>0</v>
      </c>
      <c r="M999" s="569" t="s">
        <v>157</v>
      </c>
      <c r="N999" s="569">
        <v>1</v>
      </c>
      <c r="O999" s="569">
        <v>109.4</v>
      </c>
      <c r="P999" s="568" t="s">
        <v>157</v>
      </c>
      <c r="Q999" s="569" t="s">
        <v>1259</v>
      </c>
      <c r="R999" s="569">
        <v>6</v>
      </c>
      <c r="S999" s="569" t="s">
        <v>2210</v>
      </c>
      <c r="T999" s="569" t="s">
        <v>1894</v>
      </c>
      <c r="U999" s="569">
        <v>147.6</v>
      </c>
      <c r="V999" s="569">
        <v>25</v>
      </c>
      <c r="W999" s="620">
        <v>9000</v>
      </c>
      <c r="X999" s="621" t="s">
        <v>157</v>
      </c>
      <c r="Y999" s="621" t="s">
        <v>178</v>
      </c>
      <c r="Z999" s="621" t="s">
        <v>178</v>
      </c>
      <c r="AA999" s="622">
        <v>43625</v>
      </c>
      <c r="AB999" s="622" t="s">
        <v>164</v>
      </c>
      <c r="AC999" s="622">
        <v>34400</v>
      </c>
      <c r="AD999" s="623">
        <v>0.01</v>
      </c>
      <c r="AE999" s="621" t="s">
        <v>2212</v>
      </c>
    </row>
    <row r="1000" spans="1:31" s="572" customFormat="1">
      <c r="A1000" s="570" t="s">
        <v>2228</v>
      </c>
      <c r="B1000" s="573" t="s">
        <v>278</v>
      </c>
      <c r="C1000" s="578">
        <v>15</v>
      </c>
      <c r="D1000" s="573" t="s">
        <v>1516</v>
      </c>
      <c r="E1000" s="573" t="s">
        <v>1517</v>
      </c>
      <c r="F1000" s="573" t="s">
        <v>271</v>
      </c>
      <c r="G1000" s="573">
        <v>2019</v>
      </c>
      <c r="H1000" s="573" t="s">
        <v>2199</v>
      </c>
      <c r="I1000" s="573" t="s">
        <v>1916</v>
      </c>
      <c r="J1000" s="573" t="s">
        <v>236</v>
      </c>
      <c r="K1000" s="573">
        <v>2</v>
      </c>
      <c r="L1000" s="573">
        <v>0</v>
      </c>
      <c r="M1000" s="573" t="s">
        <v>157</v>
      </c>
      <c r="N1000" s="573">
        <v>1</v>
      </c>
      <c r="O1000" s="573">
        <v>109.4</v>
      </c>
      <c r="P1000" s="571" t="s">
        <v>157</v>
      </c>
      <c r="Q1000" s="573" t="s">
        <v>682</v>
      </c>
      <c r="R1000" s="573">
        <v>6</v>
      </c>
      <c r="S1000" s="582" t="s">
        <v>2210</v>
      </c>
      <c r="T1000" s="573" t="s">
        <v>1894</v>
      </c>
      <c r="U1000" s="573">
        <v>147.6</v>
      </c>
      <c r="V1000" s="573">
        <v>25</v>
      </c>
      <c r="W1000" s="616">
        <v>9000</v>
      </c>
      <c r="X1000" s="617" t="s">
        <v>157</v>
      </c>
      <c r="Y1000" s="617" t="s">
        <v>178</v>
      </c>
      <c r="Z1000" s="617" t="s">
        <v>178</v>
      </c>
      <c r="AA1000" s="618">
        <v>41760</v>
      </c>
      <c r="AB1000" s="618" t="s">
        <v>164</v>
      </c>
      <c r="AC1000" s="618">
        <v>32700</v>
      </c>
      <c r="AD1000" s="619">
        <v>0.01</v>
      </c>
      <c r="AE1000" s="617" t="s">
        <v>2214</v>
      </c>
    </row>
    <row r="1001" spans="1:31" s="572" customFormat="1">
      <c r="A1001" s="570" t="s">
        <v>2229</v>
      </c>
      <c r="B1001" s="569" t="s">
        <v>278</v>
      </c>
      <c r="C1001" s="580">
        <v>15</v>
      </c>
      <c r="D1001" s="569" t="s">
        <v>1516</v>
      </c>
      <c r="E1001" s="569" t="s">
        <v>1517</v>
      </c>
      <c r="F1001" s="569" t="s">
        <v>271</v>
      </c>
      <c r="G1001" s="569">
        <v>2019</v>
      </c>
      <c r="H1001" s="569" t="s">
        <v>2199</v>
      </c>
      <c r="I1001" s="569" t="s">
        <v>1916</v>
      </c>
      <c r="J1001" s="569" t="s">
        <v>236</v>
      </c>
      <c r="K1001" s="569">
        <v>2</v>
      </c>
      <c r="L1001" s="569">
        <v>0</v>
      </c>
      <c r="M1001" s="569" t="s">
        <v>157</v>
      </c>
      <c r="N1001" s="569">
        <v>1</v>
      </c>
      <c r="O1001" s="569">
        <v>110.1</v>
      </c>
      <c r="P1001" s="568" t="s">
        <v>157</v>
      </c>
      <c r="Q1001" s="569" t="s">
        <v>1917</v>
      </c>
      <c r="R1001" s="569">
        <v>5</v>
      </c>
      <c r="S1001" s="569" t="s">
        <v>2217</v>
      </c>
      <c r="T1001" s="569" t="s">
        <v>1894</v>
      </c>
      <c r="U1001" s="569">
        <v>147.6</v>
      </c>
      <c r="V1001" s="569">
        <v>25</v>
      </c>
      <c r="W1001" s="620">
        <v>9000</v>
      </c>
      <c r="X1001" s="621" t="s">
        <v>157</v>
      </c>
      <c r="Y1001" s="621" t="s">
        <v>728</v>
      </c>
      <c r="Z1001" s="621" t="s">
        <v>1523</v>
      </c>
      <c r="AA1001" s="622">
        <v>44455</v>
      </c>
      <c r="AB1001" s="622" t="s">
        <v>164</v>
      </c>
      <c r="AC1001" s="622">
        <v>35000</v>
      </c>
      <c r="AD1001" s="623">
        <v>0.01</v>
      </c>
      <c r="AE1001" s="621" t="s">
        <v>2216</v>
      </c>
    </row>
    <row r="1002" spans="1:31" s="572" customFormat="1">
      <c r="A1002" s="570" t="s">
        <v>2230</v>
      </c>
      <c r="B1002" s="573" t="s">
        <v>278</v>
      </c>
      <c r="C1002" s="578">
        <v>15</v>
      </c>
      <c r="D1002" s="573" t="s">
        <v>1516</v>
      </c>
      <c r="E1002" s="573" t="s">
        <v>1517</v>
      </c>
      <c r="F1002" s="573" t="s">
        <v>271</v>
      </c>
      <c r="G1002" s="573">
        <v>2019</v>
      </c>
      <c r="H1002" s="573" t="s">
        <v>2199</v>
      </c>
      <c r="I1002" s="573" t="s">
        <v>1916</v>
      </c>
      <c r="J1002" s="573" t="s">
        <v>236</v>
      </c>
      <c r="K1002" s="573">
        <v>2</v>
      </c>
      <c r="L1002" s="573">
        <v>0</v>
      </c>
      <c r="M1002" s="573" t="s">
        <v>157</v>
      </c>
      <c r="N1002" s="573">
        <v>1</v>
      </c>
      <c r="O1002" s="573">
        <v>110.1</v>
      </c>
      <c r="P1002" s="571" t="s">
        <v>157</v>
      </c>
      <c r="Q1002" s="573" t="s">
        <v>1259</v>
      </c>
      <c r="R1002" s="573">
        <v>6</v>
      </c>
      <c r="S1002" s="582" t="s">
        <v>2217</v>
      </c>
      <c r="T1002" s="573" t="s">
        <v>1894</v>
      </c>
      <c r="U1002" s="573">
        <v>147.6</v>
      </c>
      <c r="V1002" s="573">
        <v>25</v>
      </c>
      <c r="W1002" s="616">
        <v>9000</v>
      </c>
      <c r="X1002" s="617" t="s">
        <v>157</v>
      </c>
      <c r="Y1002" s="617" t="s">
        <v>178</v>
      </c>
      <c r="Z1002" s="617" t="s">
        <v>178</v>
      </c>
      <c r="AA1002" s="618">
        <v>42325</v>
      </c>
      <c r="AB1002" s="618" t="s">
        <v>164</v>
      </c>
      <c r="AC1002" s="618">
        <v>33100</v>
      </c>
      <c r="AD1002" s="619">
        <v>0.01</v>
      </c>
      <c r="AE1002" s="617" t="s">
        <v>2219</v>
      </c>
    </row>
    <row r="1003" spans="1:31" s="572" customFormat="1">
      <c r="A1003" s="570" t="s">
        <v>2231</v>
      </c>
      <c r="B1003" s="569" t="s">
        <v>278</v>
      </c>
      <c r="C1003" s="580">
        <v>15</v>
      </c>
      <c r="D1003" s="569" t="s">
        <v>1516</v>
      </c>
      <c r="E1003" s="569" t="s">
        <v>1517</v>
      </c>
      <c r="F1003" s="569" t="s">
        <v>271</v>
      </c>
      <c r="G1003" s="569">
        <v>2019</v>
      </c>
      <c r="H1003" s="569" t="s">
        <v>2199</v>
      </c>
      <c r="I1003" s="569" t="s">
        <v>1916</v>
      </c>
      <c r="J1003" s="569" t="s">
        <v>236</v>
      </c>
      <c r="K1003" s="569">
        <v>2</v>
      </c>
      <c r="L1003" s="569">
        <v>0</v>
      </c>
      <c r="M1003" s="569" t="s">
        <v>157</v>
      </c>
      <c r="N1003" s="569">
        <v>1</v>
      </c>
      <c r="O1003" s="569">
        <v>110.1</v>
      </c>
      <c r="P1003" s="568" t="s">
        <v>157</v>
      </c>
      <c r="Q1003" s="569" t="s">
        <v>682</v>
      </c>
      <c r="R1003" s="569">
        <v>6</v>
      </c>
      <c r="S1003" s="569" t="s">
        <v>2217</v>
      </c>
      <c r="T1003" s="569" t="s">
        <v>1894</v>
      </c>
      <c r="U1003" s="569">
        <v>147.6</v>
      </c>
      <c r="V1003" s="569">
        <v>25</v>
      </c>
      <c r="W1003" s="620">
        <v>9000</v>
      </c>
      <c r="X1003" s="621" t="s">
        <v>157</v>
      </c>
      <c r="Y1003" s="621" t="s">
        <v>178</v>
      </c>
      <c r="Z1003" s="621" t="s">
        <v>178</v>
      </c>
      <c r="AA1003" s="622">
        <v>40460</v>
      </c>
      <c r="AB1003" s="622" t="s">
        <v>164</v>
      </c>
      <c r="AC1003" s="622">
        <v>31500</v>
      </c>
      <c r="AD1003" s="623">
        <v>0.01</v>
      </c>
      <c r="AE1003" s="621" t="s">
        <v>2221</v>
      </c>
    </row>
    <row r="1004" spans="1:31" s="572" customFormat="1">
      <c r="A1004" s="570" t="s">
        <v>2232</v>
      </c>
      <c r="B1004" s="573" t="s">
        <v>287</v>
      </c>
      <c r="C1004" s="578">
        <v>26</v>
      </c>
      <c r="D1004" s="573" t="s">
        <v>1516</v>
      </c>
      <c r="E1004" s="573" t="s">
        <v>1517</v>
      </c>
      <c r="F1004" s="573" t="s">
        <v>271</v>
      </c>
      <c r="G1004" s="573">
        <v>2019</v>
      </c>
      <c r="H1004" s="573" t="s">
        <v>2199</v>
      </c>
      <c r="I1004" s="573" t="s">
        <v>1916</v>
      </c>
      <c r="J1004" s="573" t="s">
        <v>236</v>
      </c>
      <c r="K1004" s="573">
        <v>2</v>
      </c>
      <c r="L1004" s="573">
        <v>0</v>
      </c>
      <c r="M1004" s="573" t="s">
        <v>157</v>
      </c>
      <c r="N1004" s="573">
        <v>1</v>
      </c>
      <c r="O1004" s="573">
        <v>100.7</v>
      </c>
      <c r="P1004" s="571" t="s">
        <v>157</v>
      </c>
      <c r="Q1004" s="573" t="s">
        <v>682</v>
      </c>
      <c r="R1004" s="573">
        <v>6</v>
      </c>
      <c r="S1004" s="582" t="s">
        <v>2200</v>
      </c>
      <c r="T1004" s="573" t="s">
        <v>1894</v>
      </c>
      <c r="U1004" s="573">
        <v>147.6</v>
      </c>
      <c r="V1004" s="573">
        <v>25</v>
      </c>
      <c r="W1004" s="616">
        <v>9000</v>
      </c>
      <c r="X1004" s="617" t="s">
        <v>157</v>
      </c>
      <c r="Y1004" s="617" t="s">
        <v>178</v>
      </c>
      <c r="Z1004" s="617" t="s">
        <v>178</v>
      </c>
      <c r="AA1004" s="618">
        <v>38310</v>
      </c>
      <c r="AB1004" s="618" t="s">
        <v>164</v>
      </c>
      <c r="AC1004" s="618">
        <v>29902</v>
      </c>
      <c r="AD1004" s="619">
        <v>0.05</v>
      </c>
      <c r="AE1004" s="617" t="s">
        <v>2198</v>
      </c>
    </row>
    <row r="1005" spans="1:31" s="572" customFormat="1">
      <c r="A1005" s="570" t="s">
        <v>2233</v>
      </c>
      <c r="B1005" s="569" t="s">
        <v>287</v>
      </c>
      <c r="C1005" s="580">
        <v>26</v>
      </c>
      <c r="D1005" s="569" t="s">
        <v>1516</v>
      </c>
      <c r="E1005" s="569" t="s">
        <v>1517</v>
      </c>
      <c r="F1005" s="569" t="s">
        <v>271</v>
      </c>
      <c r="G1005" s="569">
        <v>2019</v>
      </c>
      <c r="H1005" s="569" t="s">
        <v>2199</v>
      </c>
      <c r="I1005" s="569" t="s">
        <v>1916</v>
      </c>
      <c r="J1005" s="569" t="s">
        <v>236</v>
      </c>
      <c r="K1005" s="569">
        <v>2</v>
      </c>
      <c r="L1005" s="569">
        <v>0</v>
      </c>
      <c r="M1005" s="569" t="s">
        <v>157</v>
      </c>
      <c r="N1005" s="569">
        <v>1</v>
      </c>
      <c r="O1005" s="569">
        <v>100.8</v>
      </c>
      <c r="P1005" s="568" t="s">
        <v>157</v>
      </c>
      <c r="Q1005" s="569" t="s">
        <v>1917</v>
      </c>
      <c r="R1005" s="569">
        <v>5</v>
      </c>
      <c r="S1005" s="569" t="s">
        <v>2203</v>
      </c>
      <c r="T1005" s="569" t="s">
        <v>1894</v>
      </c>
      <c r="U1005" s="569">
        <v>129.9</v>
      </c>
      <c r="V1005" s="569">
        <v>25</v>
      </c>
      <c r="W1005" s="620">
        <v>9000</v>
      </c>
      <c r="X1005" s="621" t="s">
        <v>157</v>
      </c>
      <c r="Y1005" s="621" t="s">
        <v>728</v>
      </c>
      <c r="Z1005" s="621" t="s">
        <v>1523</v>
      </c>
      <c r="AA1005" s="622">
        <v>40580</v>
      </c>
      <c r="AB1005" s="622" t="s">
        <v>164</v>
      </c>
      <c r="AC1005" s="622">
        <v>31937</v>
      </c>
      <c r="AD1005" s="623">
        <v>0.05</v>
      </c>
      <c r="AE1005" s="621" t="s">
        <v>2202</v>
      </c>
    </row>
    <row r="1006" spans="1:31" s="572" customFormat="1">
      <c r="A1006" s="570" t="s">
        <v>2234</v>
      </c>
      <c r="B1006" s="573" t="s">
        <v>287</v>
      </c>
      <c r="C1006" s="578">
        <v>26</v>
      </c>
      <c r="D1006" s="573" t="s">
        <v>1516</v>
      </c>
      <c r="E1006" s="573" t="s">
        <v>1517</v>
      </c>
      <c r="F1006" s="573" t="s">
        <v>271</v>
      </c>
      <c r="G1006" s="573">
        <v>2019</v>
      </c>
      <c r="H1006" s="573" t="s">
        <v>2199</v>
      </c>
      <c r="I1006" s="573" t="s">
        <v>1916</v>
      </c>
      <c r="J1006" s="573" t="s">
        <v>236</v>
      </c>
      <c r="K1006" s="573">
        <v>2</v>
      </c>
      <c r="L1006" s="573">
        <v>0</v>
      </c>
      <c r="M1006" s="573" t="s">
        <v>157</v>
      </c>
      <c r="N1006" s="573">
        <v>1</v>
      </c>
      <c r="O1006" s="573">
        <v>100.8</v>
      </c>
      <c r="P1006" s="571" t="s">
        <v>157</v>
      </c>
      <c r="Q1006" s="573" t="s">
        <v>1259</v>
      </c>
      <c r="R1006" s="573">
        <v>6</v>
      </c>
      <c r="S1006" s="582" t="s">
        <v>2203</v>
      </c>
      <c r="T1006" s="573" t="s">
        <v>1894</v>
      </c>
      <c r="U1006" s="573">
        <v>129.9</v>
      </c>
      <c r="V1006" s="573">
        <v>25</v>
      </c>
      <c r="W1006" s="616">
        <v>9000</v>
      </c>
      <c r="X1006" s="617" t="s">
        <v>157</v>
      </c>
      <c r="Y1006" s="617" t="s">
        <v>178</v>
      </c>
      <c r="Z1006" s="617" t="s">
        <v>178</v>
      </c>
      <c r="AA1006" s="618">
        <v>38450</v>
      </c>
      <c r="AB1006" s="618" t="s">
        <v>164</v>
      </c>
      <c r="AC1006" s="618">
        <v>29984</v>
      </c>
      <c r="AD1006" s="619">
        <v>0.05</v>
      </c>
      <c r="AE1006" s="617" t="s">
        <v>2205</v>
      </c>
    </row>
    <row r="1007" spans="1:31" s="572" customFormat="1">
      <c r="A1007" s="570" t="s">
        <v>2235</v>
      </c>
      <c r="B1007" s="569" t="s">
        <v>287</v>
      </c>
      <c r="C1007" s="580">
        <v>26</v>
      </c>
      <c r="D1007" s="569" t="s">
        <v>1516</v>
      </c>
      <c r="E1007" s="569" t="s">
        <v>1517</v>
      </c>
      <c r="F1007" s="569" t="s">
        <v>271</v>
      </c>
      <c r="G1007" s="569">
        <v>2019</v>
      </c>
      <c r="H1007" s="569" t="s">
        <v>2199</v>
      </c>
      <c r="I1007" s="569" t="s">
        <v>1916</v>
      </c>
      <c r="J1007" s="569" t="s">
        <v>236</v>
      </c>
      <c r="K1007" s="569">
        <v>2</v>
      </c>
      <c r="L1007" s="569">
        <v>0</v>
      </c>
      <c r="M1007" s="569" t="s">
        <v>157</v>
      </c>
      <c r="N1007" s="569">
        <v>1</v>
      </c>
      <c r="O1007" s="569">
        <v>100.8</v>
      </c>
      <c r="P1007" s="568" t="s">
        <v>157</v>
      </c>
      <c r="Q1007" s="569" t="s">
        <v>682</v>
      </c>
      <c r="R1007" s="569">
        <v>6</v>
      </c>
      <c r="S1007" s="569" t="s">
        <v>2203</v>
      </c>
      <c r="T1007" s="569" t="s">
        <v>1894</v>
      </c>
      <c r="U1007" s="569">
        <v>129.9</v>
      </c>
      <c r="V1007" s="569">
        <v>25</v>
      </c>
      <c r="W1007" s="620">
        <v>9000</v>
      </c>
      <c r="X1007" s="621" t="s">
        <v>157</v>
      </c>
      <c r="Y1007" s="621" t="s">
        <v>178</v>
      </c>
      <c r="Z1007" s="621" t="s">
        <v>178</v>
      </c>
      <c r="AA1007" s="622">
        <v>36585</v>
      </c>
      <c r="AB1007" s="622" t="s">
        <v>164</v>
      </c>
      <c r="AC1007" s="622">
        <v>28274</v>
      </c>
      <c r="AD1007" s="623">
        <v>0.05</v>
      </c>
      <c r="AE1007" s="621" t="s">
        <v>2207</v>
      </c>
    </row>
    <row r="1008" spans="1:31" s="572" customFormat="1">
      <c r="A1008" s="570" t="s">
        <v>2236</v>
      </c>
      <c r="B1008" s="573" t="s">
        <v>287</v>
      </c>
      <c r="C1008" s="578">
        <v>26</v>
      </c>
      <c r="D1008" s="573" t="s">
        <v>1516</v>
      </c>
      <c r="E1008" s="573" t="s">
        <v>1517</v>
      </c>
      <c r="F1008" s="573" t="s">
        <v>271</v>
      </c>
      <c r="G1008" s="573">
        <v>2019</v>
      </c>
      <c r="H1008" s="573" t="s">
        <v>2199</v>
      </c>
      <c r="I1008" s="573" t="s">
        <v>1916</v>
      </c>
      <c r="J1008" s="573" t="s">
        <v>236</v>
      </c>
      <c r="K1008" s="573">
        <v>2</v>
      </c>
      <c r="L1008" s="573">
        <v>0</v>
      </c>
      <c r="M1008" s="573" t="s">
        <v>157</v>
      </c>
      <c r="N1008" s="573">
        <v>1</v>
      </c>
      <c r="O1008" s="573">
        <v>109.4</v>
      </c>
      <c r="P1008" s="571" t="s">
        <v>157</v>
      </c>
      <c r="Q1008" s="573" t="s">
        <v>1917</v>
      </c>
      <c r="R1008" s="573">
        <v>5</v>
      </c>
      <c r="S1008" s="582" t="s">
        <v>2210</v>
      </c>
      <c r="T1008" s="573" t="s">
        <v>1894</v>
      </c>
      <c r="U1008" s="573">
        <v>147.6</v>
      </c>
      <c r="V1008" s="573">
        <v>25</v>
      </c>
      <c r="W1008" s="616">
        <v>9000</v>
      </c>
      <c r="X1008" s="617" t="s">
        <v>157</v>
      </c>
      <c r="Y1008" s="617" t="s">
        <v>728</v>
      </c>
      <c r="Z1008" s="617" t="s">
        <v>1523</v>
      </c>
      <c r="AA1008" s="618">
        <v>45755</v>
      </c>
      <c r="AB1008" s="618" t="s">
        <v>164</v>
      </c>
      <c r="AC1008" s="618">
        <v>36824</v>
      </c>
      <c r="AD1008" s="619">
        <v>0.05</v>
      </c>
      <c r="AE1008" s="617" t="s">
        <v>2209</v>
      </c>
    </row>
    <row r="1009" spans="1:31" s="572" customFormat="1">
      <c r="A1009" s="570" t="s">
        <v>2237</v>
      </c>
      <c r="B1009" s="569" t="s">
        <v>287</v>
      </c>
      <c r="C1009" s="580">
        <v>26</v>
      </c>
      <c r="D1009" s="569" t="s">
        <v>1516</v>
      </c>
      <c r="E1009" s="569" t="s">
        <v>1517</v>
      </c>
      <c r="F1009" s="569" t="s">
        <v>271</v>
      </c>
      <c r="G1009" s="569">
        <v>2019</v>
      </c>
      <c r="H1009" s="569" t="s">
        <v>2199</v>
      </c>
      <c r="I1009" s="569" t="s">
        <v>1916</v>
      </c>
      <c r="J1009" s="569" t="s">
        <v>236</v>
      </c>
      <c r="K1009" s="569">
        <v>2</v>
      </c>
      <c r="L1009" s="569">
        <v>0</v>
      </c>
      <c r="M1009" s="569" t="s">
        <v>157</v>
      </c>
      <c r="N1009" s="569">
        <v>1</v>
      </c>
      <c r="O1009" s="569">
        <v>109.4</v>
      </c>
      <c r="P1009" s="568" t="s">
        <v>157</v>
      </c>
      <c r="Q1009" s="569" t="s">
        <v>1259</v>
      </c>
      <c r="R1009" s="569">
        <v>6</v>
      </c>
      <c r="S1009" s="569" t="s">
        <v>2210</v>
      </c>
      <c r="T1009" s="569" t="s">
        <v>1894</v>
      </c>
      <c r="U1009" s="569">
        <v>147.6</v>
      </c>
      <c r="V1009" s="569">
        <v>25</v>
      </c>
      <c r="W1009" s="620">
        <v>9000</v>
      </c>
      <c r="X1009" s="621" t="s">
        <v>157</v>
      </c>
      <c r="Y1009" s="621" t="s">
        <v>178</v>
      </c>
      <c r="Z1009" s="621" t="s">
        <v>178</v>
      </c>
      <c r="AA1009" s="622">
        <v>43625</v>
      </c>
      <c r="AB1009" s="622" t="s">
        <v>164</v>
      </c>
      <c r="AC1009" s="622">
        <v>34870</v>
      </c>
      <c r="AD1009" s="623">
        <v>0.05</v>
      </c>
      <c r="AE1009" s="621" t="s">
        <v>2212</v>
      </c>
    </row>
    <row r="1010" spans="1:31" s="572" customFormat="1">
      <c r="A1010" s="570" t="s">
        <v>2238</v>
      </c>
      <c r="B1010" s="573" t="s">
        <v>287</v>
      </c>
      <c r="C1010" s="578">
        <v>26</v>
      </c>
      <c r="D1010" s="573" t="s">
        <v>1516</v>
      </c>
      <c r="E1010" s="573" t="s">
        <v>1517</v>
      </c>
      <c r="F1010" s="573" t="s">
        <v>271</v>
      </c>
      <c r="G1010" s="573">
        <v>2019</v>
      </c>
      <c r="H1010" s="573" t="s">
        <v>2199</v>
      </c>
      <c r="I1010" s="573" t="s">
        <v>1916</v>
      </c>
      <c r="J1010" s="573" t="s">
        <v>236</v>
      </c>
      <c r="K1010" s="573">
        <v>2</v>
      </c>
      <c r="L1010" s="573">
        <v>0</v>
      </c>
      <c r="M1010" s="573" t="s">
        <v>157</v>
      </c>
      <c r="N1010" s="573">
        <v>1</v>
      </c>
      <c r="O1010" s="573">
        <v>109.4</v>
      </c>
      <c r="P1010" s="571" t="s">
        <v>157</v>
      </c>
      <c r="Q1010" s="573" t="s">
        <v>682</v>
      </c>
      <c r="R1010" s="573">
        <v>6</v>
      </c>
      <c r="S1010" s="582" t="s">
        <v>2210</v>
      </c>
      <c r="T1010" s="573" t="s">
        <v>1894</v>
      </c>
      <c r="U1010" s="573">
        <v>147.6</v>
      </c>
      <c r="V1010" s="573">
        <v>25</v>
      </c>
      <c r="W1010" s="616">
        <v>9000</v>
      </c>
      <c r="X1010" s="617" t="s">
        <v>157</v>
      </c>
      <c r="Y1010" s="617" t="s">
        <v>178</v>
      </c>
      <c r="Z1010" s="617" t="s">
        <v>178</v>
      </c>
      <c r="AA1010" s="618">
        <v>41760</v>
      </c>
      <c r="AB1010" s="618" t="s">
        <v>164</v>
      </c>
      <c r="AC1010" s="618">
        <v>33160</v>
      </c>
      <c r="AD1010" s="619">
        <v>0.05</v>
      </c>
      <c r="AE1010" s="617" t="s">
        <v>2214</v>
      </c>
    </row>
    <row r="1011" spans="1:31" s="572" customFormat="1">
      <c r="A1011" s="570" t="s">
        <v>2239</v>
      </c>
      <c r="B1011" s="569" t="s">
        <v>287</v>
      </c>
      <c r="C1011" s="580">
        <v>26</v>
      </c>
      <c r="D1011" s="569" t="s">
        <v>1516</v>
      </c>
      <c r="E1011" s="569" t="s">
        <v>1517</v>
      </c>
      <c r="F1011" s="569" t="s">
        <v>271</v>
      </c>
      <c r="G1011" s="569">
        <v>2019</v>
      </c>
      <c r="H1011" s="569" t="s">
        <v>2199</v>
      </c>
      <c r="I1011" s="569" t="s">
        <v>1916</v>
      </c>
      <c r="J1011" s="569" t="s">
        <v>236</v>
      </c>
      <c r="K1011" s="569">
        <v>2</v>
      </c>
      <c r="L1011" s="569">
        <v>0</v>
      </c>
      <c r="M1011" s="569" t="s">
        <v>157</v>
      </c>
      <c r="N1011" s="569">
        <v>1</v>
      </c>
      <c r="O1011" s="569">
        <v>110.1</v>
      </c>
      <c r="P1011" s="568" t="s">
        <v>157</v>
      </c>
      <c r="Q1011" s="569" t="s">
        <v>1917</v>
      </c>
      <c r="R1011" s="569">
        <v>5</v>
      </c>
      <c r="S1011" s="569" t="s">
        <v>2217</v>
      </c>
      <c r="T1011" s="569" t="s">
        <v>1894</v>
      </c>
      <c r="U1011" s="569">
        <v>147.6</v>
      </c>
      <c r="V1011" s="569">
        <v>25</v>
      </c>
      <c r="W1011" s="620">
        <v>9000</v>
      </c>
      <c r="X1011" s="621" t="s">
        <v>157</v>
      </c>
      <c r="Y1011" s="621" t="s">
        <v>728</v>
      </c>
      <c r="Z1011" s="621" t="s">
        <v>1523</v>
      </c>
      <c r="AA1011" s="622">
        <v>44455</v>
      </c>
      <c r="AB1011" s="622" t="s">
        <v>164</v>
      </c>
      <c r="AC1011" s="622">
        <v>35597</v>
      </c>
      <c r="AD1011" s="623">
        <v>0.05</v>
      </c>
      <c r="AE1011" s="621" t="s">
        <v>2216</v>
      </c>
    </row>
    <row r="1012" spans="1:31" s="572" customFormat="1">
      <c r="A1012" s="570" t="s">
        <v>2240</v>
      </c>
      <c r="B1012" s="573" t="s">
        <v>287</v>
      </c>
      <c r="C1012" s="578">
        <v>26</v>
      </c>
      <c r="D1012" s="573" t="s">
        <v>1516</v>
      </c>
      <c r="E1012" s="573" t="s">
        <v>1517</v>
      </c>
      <c r="F1012" s="573" t="s">
        <v>271</v>
      </c>
      <c r="G1012" s="573">
        <v>2019</v>
      </c>
      <c r="H1012" s="573" t="s">
        <v>2199</v>
      </c>
      <c r="I1012" s="573" t="s">
        <v>1916</v>
      </c>
      <c r="J1012" s="573" t="s">
        <v>236</v>
      </c>
      <c r="K1012" s="573">
        <v>2</v>
      </c>
      <c r="L1012" s="573">
        <v>0</v>
      </c>
      <c r="M1012" s="573" t="s">
        <v>157</v>
      </c>
      <c r="N1012" s="573">
        <v>1</v>
      </c>
      <c r="O1012" s="573">
        <v>110.1</v>
      </c>
      <c r="P1012" s="571" t="s">
        <v>157</v>
      </c>
      <c r="Q1012" s="573" t="s">
        <v>1259</v>
      </c>
      <c r="R1012" s="573">
        <v>6</v>
      </c>
      <c r="S1012" s="582" t="s">
        <v>2217</v>
      </c>
      <c r="T1012" s="573" t="s">
        <v>1894</v>
      </c>
      <c r="U1012" s="573">
        <v>147.6</v>
      </c>
      <c r="V1012" s="573">
        <v>25</v>
      </c>
      <c r="W1012" s="616">
        <v>9000</v>
      </c>
      <c r="X1012" s="617" t="s">
        <v>157</v>
      </c>
      <c r="Y1012" s="617" t="s">
        <v>178</v>
      </c>
      <c r="Z1012" s="617" t="s">
        <v>178</v>
      </c>
      <c r="AA1012" s="618">
        <v>42325</v>
      </c>
      <c r="AB1012" s="618" t="s">
        <v>164</v>
      </c>
      <c r="AC1012" s="618">
        <v>33643</v>
      </c>
      <c r="AD1012" s="619">
        <v>0.05</v>
      </c>
      <c r="AE1012" s="617" t="s">
        <v>2219</v>
      </c>
    </row>
    <row r="1013" spans="1:31" s="572" customFormat="1">
      <c r="A1013" s="570" t="s">
        <v>2241</v>
      </c>
      <c r="B1013" s="569" t="s">
        <v>287</v>
      </c>
      <c r="C1013" s="580">
        <v>26</v>
      </c>
      <c r="D1013" s="569" t="s">
        <v>1516</v>
      </c>
      <c r="E1013" s="569" t="s">
        <v>1517</v>
      </c>
      <c r="F1013" s="569" t="s">
        <v>271</v>
      </c>
      <c r="G1013" s="569">
        <v>2019</v>
      </c>
      <c r="H1013" s="569" t="s">
        <v>2199</v>
      </c>
      <c r="I1013" s="569" t="s">
        <v>1916</v>
      </c>
      <c r="J1013" s="569" t="s">
        <v>236</v>
      </c>
      <c r="K1013" s="569">
        <v>2</v>
      </c>
      <c r="L1013" s="569">
        <v>0</v>
      </c>
      <c r="M1013" s="569" t="s">
        <v>157</v>
      </c>
      <c r="N1013" s="569">
        <v>1</v>
      </c>
      <c r="O1013" s="569">
        <v>110.1</v>
      </c>
      <c r="P1013" s="568" t="s">
        <v>157</v>
      </c>
      <c r="Q1013" s="569" t="s">
        <v>682</v>
      </c>
      <c r="R1013" s="569">
        <v>6</v>
      </c>
      <c r="S1013" s="569" t="s">
        <v>2217</v>
      </c>
      <c r="T1013" s="569" t="s">
        <v>1894</v>
      </c>
      <c r="U1013" s="569">
        <v>147.6</v>
      </c>
      <c r="V1013" s="569">
        <v>25</v>
      </c>
      <c r="W1013" s="620">
        <v>9000</v>
      </c>
      <c r="X1013" s="621" t="s">
        <v>157</v>
      </c>
      <c r="Y1013" s="621" t="s">
        <v>178</v>
      </c>
      <c r="Z1013" s="621" t="s">
        <v>178</v>
      </c>
      <c r="AA1013" s="622">
        <v>40460</v>
      </c>
      <c r="AB1013" s="622" t="s">
        <v>164</v>
      </c>
      <c r="AC1013" s="622">
        <v>31933</v>
      </c>
      <c r="AD1013" s="623">
        <v>0.05</v>
      </c>
      <c r="AE1013" s="621" t="s">
        <v>2221</v>
      </c>
    </row>
    <row r="1014" spans="1:31" s="572" customFormat="1">
      <c r="A1014" s="570" t="s">
        <v>2242</v>
      </c>
      <c r="B1014" s="573" t="s">
        <v>280</v>
      </c>
      <c r="C1014" s="578">
        <v>27</v>
      </c>
      <c r="D1014" s="573" t="s">
        <v>1516</v>
      </c>
      <c r="E1014" s="573" t="s">
        <v>1517</v>
      </c>
      <c r="F1014" s="573" t="s">
        <v>271</v>
      </c>
      <c r="G1014" s="573">
        <v>2019</v>
      </c>
      <c r="H1014" s="573" t="s">
        <v>2199</v>
      </c>
      <c r="I1014" s="573" t="s">
        <v>1916</v>
      </c>
      <c r="J1014" s="573" t="s">
        <v>236</v>
      </c>
      <c r="K1014" s="573">
        <v>2</v>
      </c>
      <c r="L1014" s="573">
        <v>0</v>
      </c>
      <c r="M1014" s="573" t="s">
        <v>157</v>
      </c>
      <c r="N1014" s="573">
        <v>1</v>
      </c>
      <c r="O1014" s="573">
        <v>100.7</v>
      </c>
      <c r="P1014" s="571" t="s">
        <v>157</v>
      </c>
      <c r="Q1014" s="573" t="s">
        <v>682</v>
      </c>
      <c r="R1014" s="573">
        <v>6</v>
      </c>
      <c r="S1014" s="582" t="s">
        <v>2200</v>
      </c>
      <c r="T1014" s="573" t="s">
        <v>1894</v>
      </c>
      <c r="U1014" s="573">
        <v>147.6</v>
      </c>
      <c r="V1014" s="573">
        <v>25</v>
      </c>
      <c r="W1014" s="616">
        <v>9000</v>
      </c>
      <c r="X1014" s="617" t="s">
        <v>157</v>
      </c>
      <c r="Y1014" s="617" t="s">
        <v>178</v>
      </c>
      <c r="Z1014" s="617" t="s">
        <v>178</v>
      </c>
      <c r="AA1014" s="618">
        <v>38310</v>
      </c>
      <c r="AB1014" s="618" t="s">
        <v>164</v>
      </c>
      <c r="AC1014" s="618">
        <v>28860.083333333336</v>
      </c>
      <c r="AD1014" s="619">
        <v>0.03</v>
      </c>
      <c r="AE1014" s="617" t="s">
        <v>2198</v>
      </c>
    </row>
    <row r="1015" spans="1:31" s="572" customFormat="1">
      <c r="A1015" s="570" t="s">
        <v>2243</v>
      </c>
      <c r="B1015" s="569" t="s">
        <v>280</v>
      </c>
      <c r="C1015" s="580">
        <v>27</v>
      </c>
      <c r="D1015" s="569" t="s">
        <v>1516</v>
      </c>
      <c r="E1015" s="569" t="s">
        <v>1517</v>
      </c>
      <c r="F1015" s="569" t="s">
        <v>271</v>
      </c>
      <c r="G1015" s="569">
        <v>2019</v>
      </c>
      <c r="H1015" s="569" t="s">
        <v>2199</v>
      </c>
      <c r="I1015" s="569" t="s">
        <v>1916</v>
      </c>
      <c r="J1015" s="569" t="s">
        <v>236</v>
      </c>
      <c r="K1015" s="569">
        <v>2</v>
      </c>
      <c r="L1015" s="569">
        <v>0</v>
      </c>
      <c r="M1015" s="569" t="s">
        <v>157</v>
      </c>
      <c r="N1015" s="569">
        <v>1</v>
      </c>
      <c r="O1015" s="569">
        <v>100.8</v>
      </c>
      <c r="P1015" s="568" t="s">
        <v>157</v>
      </c>
      <c r="Q1015" s="569" t="s">
        <v>1917</v>
      </c>
      <c r="R1015" s="569">
        <v>5</v>
      </c>
      <c r="S1015" s="569" t="s">
        <v>2203</v>
      </c>
      <c r="T1015" s="569" t="s">
        <v>1894</v>
      </c>
      <c r="U1015" s="569">
        <v>129.9</v>
      </c>
      <c r="V1015" s="569">
        <v>25</v>
      </c>
      <c r="W1015" s="620">
        <v>9000</v>
      </c>
      <c r="X1015" s="621" t="s">
        <v>157</v>
      </c>
      <c r="Y1015" s="621" t="s">
        <v>728</v>
      </c>
      <c r="Z1015" s="621" t="s">
        <v>1523</v>
      </c>
      <c r="AA1015" s="622">
        <v>40580</v>
      </c>
      <c r="AB1015" s="622" t="s">
        <v>164</v>
      </c>
      <c r="AC1015" s="622">
        <v>30832.541666666664</v>
      </c>
      <c r="AD1015" s="623">
        <v>0.03</v>
      </c>
      <c r="AE1015" s="621" t="s">
        <v>2202</v>
      </c>
    </row>
    <row r="1016" spans="1:31" s="572" customFormat="1">
      <c r="A1016" s="570" t="s">
        <v>2244</v>
      </c>
      <c r="B1016" s="573" t="s">
        <v>280</v>
      </c>
      <c r="C1016" s="578">
        <v>27</v>
      </c>
      <c r="D1016" s="573" t="s">
        <v>1516</v>
      </c>
      <c r="E1016" s="573" t="s">
        <v>1517</v>
      </c>
      <c r="F1016" s="573" t="s">
        <v>271</v>
      </c>
      <c r="G1016" s="573">
        <v>2019</v>
      </c>
      <c r="H1016" s="573" t="s">
        <v>2199</v>
      </c>
      <c r="I1016" s="573" t="s">
        <v>1916</v>
      </c>
      <c r="J1016" s="573" t="s">
        <v>236</v>
      </c>
      <c r="K1016" s="573">
        <v>2</v>
      </c>
      <c r="L1016" s="573">
        <v>0</v>
      </c>
      <c r="M1016" s="573" t="s">
        <v>157</v>
      </c>
      <c r="N1016" s="573">
        <v>1</v>
      </c>
      <c r="O1016" s="573">
        <v>100.8</v>
      </c>
      <c r="P1016" s="571" t="s">
        <v>157</v>
      </c>
      <c r="Q1016" s="573" t="s">
        <v>1259</v>
      </c>
      <c r="R1016" s="573">
        <v>6</v>
      </c>
      <c r="S1016" s="582" t="s">
        <v>2203</v>
      </c>
      <c r="T1016" s="573" t="s">
        <v>1894</v>
      </c>
      <c r="U1016" s="573">
        <v>129.9</v>
      </c>
      <c r="V1016" s="573">
        <v>25</v>
      </c>
      <c r="W1016" s="616">
        <v>9000</v>
      </c>
      <c r="X1016" s="617" t="s">
        <v>157</v>
      </c>
      <c r="Y1016" s="617" t="s">
        <v>178</v>
      </c>
      <c r="Z1016" s="617" t="s">
        <v>178</v>
      </c>
      <c r="AA1016" s="618">
        <v>38450</v>
      </c>
      <c r="AB1016" s="618" t="s">
        <v>164</v>
      </c>
      <c r="AC1016" s="618">
        <v>28939.25</v>
      </c>
      <c r="AD1016" s="619">
        <v>0.03</v>
      </c>
      <c r="AE1016" s="617" t="s">
        <v>2205</v>
      </c>
    </row>
    <row r="1017" spans="1:31" s="572" customFormat="1">
      <c r="A1017" s="570" t="s">
        <v>2245</v>
      </c>
      <c r="B1017" s="569" t="s">
        <v>280</v>
      </c>
      <c r="C1017" s="580">
        <v>27</v>
      </c>
      <c r="D1017" s="569" t="s">
        <v>1516</v>
      </c>
      <c r="E1017" s="569" t="s">
        <v>1517</v>
      </c>
      <c r="F1017" s="569" t="s">
        <v>271</v>
      </c>
      <c r="G1017" s="569">
        <v>2019</v>
      </c>
      <c r="H1017" s="569" t="s">
        <v>2199</v>
      </c>
      <c r="I1017" s="569" t="s">
        <v>1916</v>
      </c>
      <c r="J1017" s="569" t="s">
        <v>236</v>
      </c>
      <c r="K1017" s="569">
        <v>2</v>
      </c>
      <c r="L1017" s="569">
        <v>0</v>
      </c>
      <c r="M1017" s="569" t="s">
        <v>157</v>
      </c>
      <c r="N1017" s="569">
        <v>1</v>
      </c>
      <c r="O1017" s="569">
        <v>100.8</v>
      </c>
      <c r="P1017" s="568" t="s">
        <v>157</v>
      </c>
      <c r="Q1017" s="569" t="s">
        <v>682</v>
      </c>
      <c r="R1017" s="569">
        <v>6</v>
      </c>
      <c r="S1017" s="569" t="s">
        <v>2203</v>
      </c>
      <c r="T1017" s="569" t="s">
        <v>1894</v>
      </c>
      <c r="U1017" s="569">
        <v>129.9</v>
      </c>
      <c r="V1017" s="569">
        <v>25</v>
      </c>
      <c r="W1017" s="620">
        <v>9000</v>
      </c>
      <c r="X1017" s="621" t="s">
        <v>157</v>
      </c>
      <c r="Y1017" s="621" t="s">
        <v>178</v>
      </c>
      <c r="Z1017" s="621" t="s">
        <v>178</v>
      </c>
      <c r="AA1017" s="622">
        <v>36585</v>
      </c>
      <c r="AB1017" s="622" t="s">
        <v>164</v>
      </c>
      <c r="AC1017" s="622">
        <v>27283</v>
      </c>
      <c r="AD1017" s="623">
        <v>0.03</v>
      </c>
      <c r="AE1017" s="621" t="s">
        <v>2207</v>
      </c>
    </row>
    <row r="1018" spans="1:31" s="572" customFormat="1">
      <c r="A1018" s="570" t="s">
        <v>2246</v>
      </c>
      <c r="B1018" s="573" t="s">
        <v>280</v>
      </c>
      <c r="C1018" s="578">
        <v>27</v>
      </c>
      <c r="D1018" s="573" t="s">
        <v>1516</v>
      </c>
      <c r="E1018" s="573" t="s">
        <v>1517</v>
      </c>
      <c r="F1018" s="573" t="s">
        <v>271</v>
      </c>
      <c r="G1018" s="573">
        <v>2019</v>
      </c>
      <c r="H1018" s="573" t="s">
        <v>2199</v>
      </c>
      <c r="I1018" s="573" t="s">
        <v>1916</v>
      </c>
      <c r="J1018" s="573" t="s">
        <v>236</v>
      </c>
      <c r="K1018" s="573">
        <v>2</v>
      </c>
      <c r="L1018" s="573">
        <v>0</v>
      </c>
      <c r="M1018" s="573" t="s">
        <v>157</v>
      </c>
      <c r="N1018" s="573">
        <v>1</v>
      </c>
      <c r="O1018" s="573">
        <v>109.4</v>
      </c>
      <c r="P1018" s="571" t="s">
        <v>157</v>
      </c>
      <c r="Q1018" s="573" t="s">
        <v>1917</v>
      </c>
      <c r="R1018" s="573">
        <v>5</v>
      </c>
      <c r="S1018" s="582" t="s">
        <v>2210</v>
      </c>
      <c r="T1018" s="573" t="s">
        <v>1894</v>
      </c>
      <c r="U1018" s="573">
        <v>147.6</v>
      </c>
      <c r="V1018" s="573">
        <v>25</v>
      </c>
      <c r="W1018" s="616">
        <v>9000</v>
      </c>
      <c r="X1018" s="617" t="s">
        <v>157</v>
      </c>
      <c r="Y1018" s="617" t="s">
        <v>728</v>
      </c>
      <c r="Z1018" s="617" t="s">
        <v>1523</v>
      </c>
      <c r="AA1018" s="618">
        <v>45755</v>
      </c>
      <c r="AB1018" s="618" t="s">
        <v>164</v>
      </c>
      <c r="AC1018" s="618">
        <v>35562.75</v>
      </c>
      <c r="AD1018" s="619">
        <v>0.03</v>
      </c>
      <c r="AE1018" s="617" t="s">
        <v>2209</v>
      </c>
    </row>
    <row r="1019" spans="1:31" s="572" customFormat="1">
      <c r="A1019" s="570" t="s">
        <v>2247</v>
      </c>
      <c r="B1019" s="569" t="s">
        <v>280</v>
      </c>
      <c r="C1019" s="580">
        <v>27</v>
      </c>
      <c r="D1019" s="569" t="s">
        <v>1516</v>
      </c>
      <c r="E1019" s="569" t="s">
        <v>1517</v>
      </c>
      <c r="F1019" s="569" t="s">
        <v>271</v>
      </c>
      <c r="G1019" s="569">
        <v>2019</v>
      </c>
      <c r="H1019" s="569" t="s">
        <v>2199</v>
      </c>
      <c r="I1019" s="569" t="s">
        <v>1916</v>
      </c>
      <c r="J1019" s="569" t="s">
        <v>236</v>
      </c>
      <c r="K1019" s="569">
        <v>2</v>
      </c>
      <c r="L1019" s="569">
        <v>0</v>
      </c>
      <c r="M1019" s="569" t="s">
        <v>157</v>
      </c>
      <c r="N1019" s="569">
        <v>1</v>
      </c>
      <c r="O1019" s="569">
        <v>109.4</v>
      </c>
      <c r="P1019" s="568" t="s">
        <v>157</v>
      </c>
      <c r="Q1019" s="569" t="s">
        <v>1259</v>
      </c>
      <c r="R1019" s="569">
        <v>6</v>
      </c>
      <c r="S1019" s="569" t="s">
        <v>2210</v>
      </c>
      <c r="T1019" s="569" t="s">
        <v>1894</v>
      </c>
      <c r="U1019" s="569">
        <v>147.6</v>
      </c>
      <c r="V1019" s="569">
        <v>25</v>
      </c>
      <c r="W1019" s="620">
        <v>9000</v>
      </c>
      <c r="X1019" s="621" t="s">
        <v>157</v>
      </c>
      <c r="Y1019" s="621" t="s">
        <v>178</v>
      </c>
      <c r="Z1019" s="621" t="s">
        <v>178</v>
      </c>
      <c r="AA1019" s="622">
        <v>43625</v>
      </c>
      <c r="AB1019" s="622" t="s">
        <v>164</v>
      </c>
      <c r="AC1019" s="622">
        <v>33669.458333333336</v>
      </c>
      <c r="AD1019" s="623">
        <v>0.03</v>
      </c>
      <c r="AE1019" s="621" t="s">
        <v>2212</v>
      </c>
    </row>
    <row r="1020" spans="1:31" s="572" customFormat="1">
      <c r="A1020" s="570" t="s">
        <v>2248</v>
      </c>
      <c r="B1020" s="573" t="s">
        <v>280</v>
      </c>
      <c r="C1020" s="578">
        <v>27</v>
      </c>
      <c r="D1020" s="573" t="s">
        <v>1516</v>
      </c>
      <c r="E1020" s="573" t="s">
        <v>1517</v>
      </c>
      <c r="F1020" s="573" t="s">
        <v>271</v>
      </c>
      <c r="G1020" s="573">
        <v>2019</v>
      </c>
      <c r="H1020" s="573" t="s">
        <v>2199</v>
      </c>
      <c r="I1020" s="573" t="s">
        <v>1916</v>
      </c>
      <c r="J1020" s="573" t="s">
        <v>236</v>
      </c>
      <c r="K1020" s="573">
        <v>2</v>
      </c>
      <c r="L1020" s="573">
        <v>0</v>
      </c>
      <c r="M1020" s="573" t="s">
        <v>157</v>
      </c>
      <c r="N1020" s="573">
        <v>1</v>
      </c>
      <c r="O1020" s="573">
        <v>109.4</v>
      </c>
      <c r="P1020" s="571" t="s">
        <v>157</v>
      </c>
      <c r="Q1020" s="573" t="s">
        <v>682</v>
      </c>
      <c r="R1020" s="573">
        <v>6</v>
      </c>
      <c r="S1020" s="582" t="s">
        <v>2210</v>
      </c>
      <c r="T1020" s="573" t="s">
        <v>1894</v>
      </c>
      <c r="U1020" s="573">
        <v>147.6</v>
      </c>
      <c r="V1020" s="573">
        <v>25</v>
      </c>
      <c r="W1020" s="616">
        <v>9000</v>
      </c>
      <c r="X1020" s="617" t="s">
        <v>157</v>
      </c>
      <c r="Y1020" s="617" t="s">
        <v>178</v>
      </c>
      <c r="Z1020" s="617" t="s">
        <v>178</v>
      </c>
      <c r="AA1020" s="618">
        <v>41760</v>
      </c>
      <c r="AB1020" s="618" t="s">
        <v>164</v>
      </c>
      <c r="AC1020" s="618">
        <v>32013.208333333336</v>
      </c>
      <c r="AD1020" s="619">
        <v>0.03</v>
      </c>
      <c r="AE1020" s="617" t="s">
        <v>2214</v>
      </c>
    </row>
    <row r="1021" spans="1:31" s="572" customFormat="1">
      <c r="A1021" s="570" t="s">
        <v>2249</v>
      </c>
      <c r="B1021" s="569" t="s">
        <v>280</v>
      </c>
      <c r="C1021" s="580">
        <v>27</v>
      </c>
      <c r="D1021" s="569" t="s">
        <v>1516</v>
      </c>
      <c r="E1021" s="569" t="s">
        <v>1517</v>
      </c>
      <c r="F1021" s="569" t="s">
        <v>271</v>
      </c>
      <c r="G1021" s="569">
        <v>2019</v>
      </c>
      <c r="H1021" s="569" t="s">
        <v>2199</v>
      </c>
      <c r="I1021" s="569" t="s">
        <v>1916</v>
      </c>
      <c r="J1021" s="569" t="s">
        <v>236</v>
      </c>
      <c r="K1021" s="569">
        <v>2</v>
      </c>
      <c r="L1021" s="569">
        <v>0</v>
      </c>
      <c r="M1021" s="569" t="s">
        <v>157</v>
      </c>
      <c r="N1021" s="569">
        <v>1</v>
      </c>
      <c r="O1021" s="569">
        <v>110.1</v>
      </c>
      <c r="P1021" s="568" t="s">
        <v>157</v>
      </c>
      <c r="Q1021" s="569" t="s">
        <v>1917</v>
      </c>
      <c r="R1021" s="569">
        <v>5</v>
      </c>
      <c r="S1021" s="569" t="s">
        <v>2217</v>
      </c>
      <c r="T1021" s="569" t="s">
        <v>1894</v>
      </c>
      <c r="U1021" s="569">
        <v>147.6</v>
      </c>
      <c r="V1021" s="569">
        <v>25</v>
      </c>
      <c r="W1021" s="620">
        <v>9000</v>
      </c>
      <c r="X1021" s="621" t="s">
        <v>157</v>
      </c>
      <c r="Y1021" s="621" t="s">
        <v>728</v>
      </c>
      <c r="Z1021" s="621" t="s">
        <v>1523</v>
      </c>
      <c r="AA1021" s="622">
        <v>44455</v>
      </c>
      <c r="AB1021" s="622" t="s">
        <v>164</v>
      </c>
      <c r="AC1021" s="622">
        <v>34375.25</v>
      </c>
      <c r="AD1021" s="623">
        <v>0.03</v>
      </c>
      <c r="AE1021" s="621" t="s">
        <v>2216</v>
      </c>
    </row>
    <row r="1022" spans="1:31" s="572" customFormat="1">
      <c r="A1022" s="570" t="s">
        <v>2250</v>
      </c>
      <c r="B1022" s="573" t="s">
        <v>280</v>
      </c>
      <c r="C1022" s="578">
        <v>27</v>
      </c>
      <c r="D1022" s="573" t="s">
        <v>1516</v>
      </c>
      <c r="E1022" s="573" t="s">
        <v>1517</v>
      </c>
      <c r="F1022" s="573" t="s">
        <v>271</v>
      </c>
      <c r="G1022" s="573">
        <v>2019</v>
      </c>
      <c r="H1022" s="573" t="s">
        <v>2199</v>
      </c>
      <c r="I1022" s="573" t="s">
        <v>1916</v>
      </c>
      <c r="J1022" s="573" t="s">
        <v>236</v>
      </c>
      <c r="K1022" s="573">
        <v>2</v>
      </c>
      <c r="L1022" s="573">
        <v>0</v>
      </c>
      <c r="M1022" s="573" t="s">
        <v>157</v>
      </c>
      <c r="N1022" s="573">
        <v>1</v>
      </c>
      <c r="O1022" s="573">
        <v>110.1</v>
      </c>
      <c r="P1022" s="571" t="s">
        <v>157</v>
      </c>
      <c r="Q1022" s="573" t="s">
        <v>1259</v>
      </c>
      <c r="R1022" s="573">
        <v>6</v>
      </c>
      <c r="S1022" s="582" t="s">
        <v>2217</v>
      </c>
      <c r="T1022" s="573" t="s">
        <v>1894</v>
      </c>
      <c r="U1022" s="573">
        <v>147.6</v>
      </c>
      <c r="V1022" s="573">
        <v>25</v>
      </c>
      <c r="W1022" s="616">
        <v>9000</v>
      </c>
      <c r="X1022" s="617" t="s">
        <v>157</v>
      </c>
      <c r="Y1022" s="617" t="s">
        <v>178</v>
      </c>
      <c r="Z1022" s="617" t="s">
        <v>178</v>
      </c>
      <c r="AA1022" s="618">
        <v>42325</v>
      </c>
      <c r="AB1022" s="618" t="s">
        <v>164</v>
      </c>
      <c r="AC1022" s="618">
        <v>32481.958333333336</v>
      </c>
      <c r="AD1022" s="619">
        <v>0.03</v>
      </c>
      <c r="AE1022" s="617" t="s">
        <v>2219</v>
      </c>
    </row>
    <row r="1023" spans="1:31" s="572" customFormat="1">
      <c r="A1023" s="570" t="s">
        <v>2251</v>
      </c>
      <c r="B1023" s="569" t="s">
        <v>280</v>
      </c>
      <c r="C1023" s="580">
        <v>27</v>
      </c>
      <c r="D1023" s="569" t="s">
        <v>1516</v>
      </c>
      <c r="E1023" s="569" t="s">
        <v>1517</v>
      </c>
      <c r="F1023" s="569" t="s">
        <v>271</v>
      </c>
      <c r="G1023" s="569">
        <v>2019</v>
      </c>
      <c r="H1023" s="569" t="s">
        <v>2199</v>
      </c>
      <c r="I1023" s="569" t="s">
        <v>1916</v>
      </c>
      <c r="J1023" s="569" t="s">
        <v>236</v>
      </c>
      <c r="K1023" s="569">
        <v>2</v>
      </c>
      <c r="L1023" s="569">
        <v>0</v>
      </c>
      <c r="M1023" s="569" t="s">
        <v>157</v>
      </c>
      <c r="N1023" s="569">
        <v>1</v>
      </c>
      <c r="O1023" s="569">
        <v>110.1</v>
      </c>
      <c r="P1023" s="568" t="s">
        <v>157</v>
      </c>
      <c r="Q1023" s="569" t="s">
        <v>682</v>
      </c>
      <c r="R1023" s="569">
        <v>6</v>
      </c>
      <c r="S1023" s="569" t="s">
        <v>2217</v>
      </c>
      <c r="T1023" s="569" t="s">
        <v>1894</v>
      </c>
      <c r="U1023" s="569">
        <v>147.6</v>
      </c>
      <c r="V1023" s="569">
        <v>25</v>
      </c>
      <c r="W1023" s="620">
        <v>9000</v>
      </c>
      <c r="X1023" s="621" t="s">
        <v>157</v>
      </c>
      <c r="Y1023" s="621" t="s">
        <v>178</v>
      </c>
      <c r="Z1023" s="621" t="s">
        <v>178</v>
      </c>
      <c r="AA1023" s="622">
        <v>40460</v>
      </c>
      <c r="AB1023" s="622" t="s">
        <v>164</v>
      </c>
      <c r="AC1023" s="622">
        <v>30825.708333333336</v>
      </c>
      <c r="AD1023" s="623">
        <v>0.03</v>
      </c>
      <c r="AE1023" s="621" t="s">
        <v>2221</v>
      </c>
    </row>
    <row r="1024" spans="1:31" s="572" customFormat="1">
      <c r="A1024" s="570" t="s">
        <v>2252</v>
      </c>
      <c r="B1024" s="573" t="s">
        <v>269</v>
      </c>
      <c r="C1024" s="578" t="s">
        <v>270</v>
      </c>
      <c r="D1024" s="573" t="s">
        <v>1516</v>
      </c>
      <c r="E1024" s="573" t="s">
        <v>1517</v>
      </c>
      <c r="F1024" s="573" t="s">
        <v>271</v>
      </c>
      <c r="G1024" s="573">
        <v>2019</v>
      </c>
      <c r="H1024" s="573" t="s">
        <v>2199</v>
      </c>
      <c r="I1024" s="573" t="s">
        <v>1950</v>
      </c>
      <c r="J1024" s="573" t="s">
        <v>236</v>
      </c>
      <c r="K1024" s="573">
        <v>2</v>
      </c>
      <c r="L1024" s="573">
        <v>0</v>
      </c>
      <c r="M1024" s="573" t="s">
        <v>157</v>
      </c>
      <c r="N1024" s="573">
        <v>1</v>
      </c>
      <c r="O1024" s="573">
        <v>100.7</v>
      </c>
      <c r="P1024" s="571" t="s">
        <v>157</v>
      </c>
      <c r="Q1024" s="573" t="s">
        <v>1917</v>
      </c>
      <c r="R1024" s="573">
        <v>5</v>
      </c>
      <c r="S1024" s="582" t="s">
        <v>2254</v>
      </c>
      <c r="T1024" s="573" t="s">
        <v>1894</v>
      </c>
      <c r="U1024" s="573">
        <v>147.6</v>
      </c>
      <c r="V1024" s="573">
        <v>25</v>
      </c>
      <c r="W1024" s="616">
        <v>9000</v>
      </c>
      <c r="X1024" s="617" t="s">
        <v>157</v>
      </c>
      <c r="Y1024" s="617" t="s">
        <v>728</v>
      </c>
      <c r="Z1024" s="617" t="s">
        <v>1523</v>
      </c>
      <c r="AA1024" s="618">
        <v>41655</v>
      </c>
      <c r="AB1024" s="618" t="s">
        <v>164</v>
      </c>
      <c r="AC1024" s="618">
        <v>31815.875</v>
      </c>
      <c r="AD1024" s="619">
        <v>0.03</v>
      </c>
      <c r="AE1024" s="617" t="s">
        <v>2253</v>
      </c>
    </row>
    <row r="1025" spans="1:31" s="572" customFormat="1">
      <c r="A1025" s="570" t="s">
        <v>2255</v>
      </c>
      <c r="B1025" s="569" t="s">
        <v>269</v>
      </c>
      <c r="C1025" s="580" t="s">
        <v>270</v>
      </c>
      <c r="D1025" s="569" t="s">
        <v>1516</v>
      </c>
      <c r="E1025" s="569" t="s">
        <v>1517</v>
      </c>
      <c r="F1025" s="569" t="s">
        <v>271</v>
      </c>
      <c r="G1025" s="569">
        <v>2019</v>
      </c>
      <c r="H1025" s="569" t="s">
        <v>2199</v>
      </c>
      <c r="I1025" s="569" t="s">
        <v>1950</v>
      </c>
      <c r="J1025" s="569" t="s">
        <v>236</v>
      </c>
      <c r="K1025" s="569">
        <v>2</v>
      </c>
      <c r="L1025" s="569">
        <v>0</v>
      </c>
      <c r="M1025" s="569" t="s">
        <v>157</v>
      </c>
      <c r="N1025" s="569">
        <v>1</v>
      </c>
      <c r="O1025" s="569">
        <v>100.7</v>
      </c>
      <c r="P1025" s="568" t="s">
        <v>157</v>
      </c>
      <c r="Q1025" s="569" t="s">
        <v>1259</v>
      </c>
      <c r="R1025" s="569">
        <v>6</v>
      </c>
      <c r="S1025" s="569" t="s">
        <v>2254</v>
      </c>
      <c r="T1025" s="569" t="s">
        <v>1894</v>
      </c>
      <c r="U1025" s="569">
        <v>147.6</v>
      </c>
      <c r="V1025" s="569">
        <v>25</v>
      </c>
      <c r="W1025" s="620">
        <v>9000</v>
      </c>
      <c r="X1025" s="621" t="s">
        <v>157</v>
      </c>
      <c r="Y1025" s="621" t="s">
        <v>178</v>
      </c>
      <c r="Z1025" s="621" t="s">
        <v>178</v>
      </c>
      <c r="AA1025" s="622">
        <v>39525</v>
      </c>
      <c r="AB1025" s="622" t="s">
        <v>164</v>
      </c>
      <c r="AC1025" s="622">
        <v>29921.875</v>
      </c>
      <c r="AD1025" s="623">
        <v>0.03</v>
      </c>
      <c r="AE1025" s="621" t="s">
        <v>2256</v>
      </c>
    </row>
    <row r="1026" spans="1:31" s="572" customFormat="1">
      <c r="A1026" s="570" t="s">
        <v>2257</v>
      </c>
      <c r="B1026" s="573" t="s">
        <v>269</v>
      </c>
      <c r="C1026" s="578" t="s">
        <v>270</v>
      </c>
      <c r="D1026" s="573" t="s">
        <v>1516</v>
      </c>
      <c r="E1026" s="573" t="s">
        <v>1517</v>
      </c>
      <c r="F1026" s="573" t="s">
        <v>271</v>
      </c>
      <c r="G1026" s="573">
        <v>2019</v>
      </c>
      <c r="H1026" s="573" t="s">
        <v>2199</v>
      </c>
      <c r="I1026" s="573" t="s">
        <v>1950</v>
      </c>
      <c r="J1026" s="573" t="s">
        <v>236</v>
      </c>
      <c r="K1026" s="573">
        <v>2</v>
      </c>
      <c r="L1026" s="573">
        <v>0</v>
      </c>
      <c r="M1026" s="573" t="s">
        <v>157</v>
      </c>
      <c r="N1026" s="573">
        <v>1</v>
      </c>
      <c r="O1026" s="573">
        <v>100.7</v>
      </c>
      <c r="P1026" s="571" t="s">
        <v>157</v>
      </c>
      <c r="Q1026" s="573" t="s">
        <v>682</v>
      </c>
      <c r="R1026" s="573">
        <v>6</v>
      </c>
      <c r="S1026" s="582" t="s">
        <v>2254</v>
      </c>
      <c r="T1026" s="573" t="s">
        <v>1894</v>
      </c>
      <c r="U1026" s="573">
        <v>147.6</v>
      </c>
      <c r="V1026" s="573">
        <v>25</v>
      </c>
      <c r="W1026" s="616">
        <v>9000</v>
      </c>
      <c r="X1026" s="617" t="s">
        <v>157</v>
      </c>
      <c r="Y1026" s="617" t="s">
        <v>178</v>
      </c>
      <c r="Z1026" s="617" t="s">
        <v>178</v>
      </c>
      <c r="AA1026" s="618">
        <v>37660</v>
      </c>
      <c r="AB1026" s="618" t="s">
        <v>164</v>
      </c>
      <c r="AC1026" s="618">
        <v>28266.333333333336</v>
      </c>
      <c r="AD1026" s="619">
        <v>0.03</v>
      </c>
      <c r="AE1026" s="617" t="s">
        <v>2258</v>
      </c>
    </row>
    <row r="1027" spans="1:31" s="572" customFormat="1">
      <c r="A1027" s="570" t="s">
        <v>2259</v>
      </c>
      <c r="B1027" s="569" t="s">
        <v>269</v>
      </c>
      <c r="C1027" s="580" t="s">
        <v>270</v>
      </c>
      <c r="D1027" s="569" t="s">
        <v>1516</v>
      </c>
      <c r="E1027" s="569" t="s">
        <v>1517</v>
      </c>
      <c r="F1027" s="569" t="s">
        <v>271</v>
      </c>
      <c r="G1027" s="569">
        <v>2019</v>
      </c>
      <c r="H1027" s="569" t="s">
        <v>2199</v>
      </c>
      <c r="I1027" s="569" t="s">
        <v>1950</v>
      </c>
      <c r="J1027" s="569" t="s">
        <v>236</v>
      </c>
      <c r="K1027" s="569">
        <v>2</v>
      </c>
      <c r="L1027" s="569">
        <v>0</v>
      </c>
      <c r="M1027" s="569" t="s">
        <v>157</v>
      </c>
      <c r="N1027" s="569">
        <v>1</v>
      </c>
      <c r="O1027" s="569">
        <v>100.8</v>
      </c>
      <c r="P1027" s="568" t="s">
        <v>157</v>
      </c>
      <c r="Q1027" s="569" t="s">
        <v>1917</v>
      </c>
      <c r="R1027" s="569">
        <v>5</v>
      </c>
      <c r="S1027" s="569" t="s">
        <v>2261</v>
      </c>
      <c r="T1027" s="569" t="s">
        <v>1894</v>
      </c>
      <c r="U1027" s="569">
        <v>129.9</v>
      </c>
      <c r="V1027" s="569">
        <v>25</v>
      </c>
      <c r="W1027" s="620">
        <v>9000</v>
      </c>
      <c r="X1027" s="621" t="s">
        <v>157</v>
      </c>
      <c r="Y1027" s="621" t="s">
        <v>728</v>
      </c>
      <c r="Z1027" s="621" t="s">
        <v>1523</v>
      </c>
      <c r="AA1027" s="622">
        <v>40460</v>
      </c>
      <c r="AB1027" s="622" t="s">
        <v>164</v>
      </c>
      <c r="AC1027" s="622">
        <v>30238.791666666664</v>
      </c>
      <c r="AD1027" s="623">
        <v>0.03</v>
      </c>
      <c r="AE1027" s="621" t="s">
        <v>2260</v>
      </c>
    </row>
    <row r="1028" spans="1:31" s="572" customFormat="1">
      <c r="A1028" s="570" t="s">
        <v>2259</v>
      </c>
      <c r="B1028" s="573" t="s">
        <v>269</v>
      </c>
      <c r="C1028" s="578" t="s">
        <v>270</v>
      </c>
      <c r="D1028" s="573" t="s">
        <v>1516</v>
      </c>
      <c r="E1028" s="573" t="s">
        <v>1517</v>
      </c>
      <c r="F1028" s="573" t="s">
        <v>271</v>
      </c>
      <c r="G1028" s="573">
        <v>2019</v>
      </c>
      <c r="H1028" s="573" t="s">
        <v>2199</v>
      </c>
      <c r="I1028" s="573" t="s">
        <v>1950</v>
      </c>
      <c r="J1028" s="573" t="s">
        <v>236</v>
      </c>
      <c r="K1028" s="573">
        <v>2</v>
      </c>
      <c r="L1028" s="573">
        <v>0</v>
      </c>
      <c r="M1028" s="573" t="s">
        <v>157</v>
      </c>
      <c r="N1028" s="573">
        <v>1</v>
      </c>
      <c r="O1028" s="573">
        <v>100.8</v>
      </c>
      <c r="P1028" s="571" t="s">
        <v>157</v>
      </c>
      <c r="Q1028" s="573" t="s">
        <v>1917</v>
      </c>
      <c r="R1028" s="573">
        <v>5</v>
      </c>
      <c r="S1028" s="582" t="s">
        <v>2261</v>
      </c>
      <c r="T1028" s="573" t="s">
        <v>1894</v>
      </c>
      <c r="U1028" s="573">
        <v>129.9</v>
      </c>
      <c r="V1028" s="573">
        <v>25</v>
      </c>
      <c r="W1028" s="616">
        <v>9000</v>
      </c>
      <c r="X1028" s="617" t="s">
        <v>157</v>
      </c>
      <c r="Y1028" s="617" t="s">
        <v>728</v>
      </c>
      <c r="Z1028" s="617" t="s">
        <v>1523</v>
      </c>
      <c r="AA1028" s="618">
        <v>42325</v>
      </c>
      <c r="AB1028" s="618" t="s">
        <v>164</v>
      </c>
      <c r="AC1028" s="618">
        <v>30238.791666666664</v>
      </c>
      <c r="AD1028" s="619">
        <v>0.03</v>
      </c>
      <c r="AE1028" s="617" t="s">
        <v>2260</v>
      </c>
    </row>
    <row r="1029" spans="1:31" s="572" customFormat="1">
      <c r="A1029" s="570" t="s">
        <v>2262</v>
      </c>
      <c r="B1029" s="569" t="s">
        <v>269</v>
      </c>
      <c r="C1029" s="580" t="s">
        <v>270</v>
      </c>
      <c r="D1029" s="569" t="s">
        <v>1516</v>
      </c>
      <c r="E1029" s="569" t="s">
        <v>1517</v>
      </c>
      <c r="F1029" s="569" t="s">
        <v>271</v>
      </c>
      <c r="G1029" s="569">
        <v>2019</v>
      </c>
      <c r="H1029" s="569" t="s">
        <v>2199</v>
      </c>
      <c r="I1029" s="569" t="s">
        <v>1950</v>
      </c>
      <c r="J1029" s="569" t="s">
        <v>236</v>
      </c>
      <c r="K1029" s="569">
        <v>2</v>
      </c>
      <c r="L1029" s="569">
        <v>0</v>
      </c>
      <c r="M1029" s="569" t="s">
        <v>157</v>
      </c>
      <c r="N1029" s="569">
        <v>1</v>
      </c>
      <c r="O1029" s="569">
        <v>100.8</v>
      </c>
      <c r="P1029" s="568" t="s">
        <v>157</v>
      </c>
      <c r="Q1029" s="569" t="s">
        <v>1259</v>
      </c>
      <c r="R1029" s="569">
        <v>6</v>
      </c>
      <c r="S1029" s="569" t="s">
        <v>2261</v>
      </c>
      <c r="T1029" s="569" t="s">
        <v>1894</v>
      </c>
      <c r="U1029" s="569">
        <v>129.9</v>
      </c>
      <c r="V1029" s="569">
        <v>25</v>
      </c>
      <c r="W1029" s="620">
        <v>9000</v>
      </c>
      <c r="X1029" s="621" t="s">
        <v>157</v>
      </c>
      <c r="Y1029" s="621" t="s">
        <v>178</v>
      </c>
      <c r="Z1029" s="621" t="s">
        <v>178</v>
      </c>
      <c r="AA1029" s="622">
        <v>40460</v>
      </c>
      <c r="AB1029" s="622" t="s">
        <v>164</v>
      </c>
      <c r="AC1029" s="622">
        <v>28345.5</v>
      </c>
      <c r="AD1029" s="623">
        <v>0.03</v>
      </c>
      <c r="AE1029" s="621" t="s">
        <v>2263</v>
      </c>
    </row>
    <row r="1030" spans="1:31" s="572" customFormat="1">
      <c r="A1030" s="570" t="s">
        <v>2262</v>
      </c>
      <c r="B1030" s="573" t="s">
        <v>269</v>
      </c>
      <c r="C1030" s="578" t="s">
        <v>270</v>
      </c>
      <c r="D1030" s="573" t="s">
        <v>1516</v>
      </c>
      <c r="E1030" s="573" t="s">
        <v>1517</v>
      </c>
      <c r="F1030" s="573" t="s">
        <v>271</v>
      </c>
      <c r="G1030" s="573">
        <v>2019</v>
      </c>
      <c r="H1030" s="573" t="s">
        <v>2199</v>
      </c>
      <c r="I1030" s="573" t="s">
        <v>1950</v>
      </c>
      <c r="J1030" s="573" t="s">
        <v>236</v>
      </c>
      <c r="K1030" s="573">
        <v>2</v>
      </c>
      <c r="L1030" s="573">
        <v>0</v>
      </c>
      <c r="M1030" s="573" t="s">
        <v>157</v>
      </c>
      <c r="N1030" s="573">
        <v>1</v>
      </c>
      <c r="O1030" s="573">
        <v>100.8</v>
      </c>
      <c r="P1030" s="571" t="s">
        <v>157</v>
      </c>
      <c r="Q1030" s="573" t="s">
        <v>1259</v>
      </c>
      <c r="R1030" s="573">
        <v>6</v>
      </c>
      <c r="S1030" s="582" t="s">
        <v>2261</v>
      </c>
      <c r="T1030" s="573" t="s">
        <v>1894</v>
      </c>
      <c r="U1030" s="573">
        <v>129.9</v>
      </c>
      <c r="V1030" s="573">
        <v>25</v>
      </c>
      <c r="W1030" s="616">
        <v>9000</v>
      </c>
      <c r="X1030" s="617" t="s">
        <v>157</v>
      </c>
      <c r="Y1030" s="617" t="s">
        <v>178</v>
      </c>
      <c r="Z1030" s="617" t="s">
        <v>178</v>
      </c>
      <c r="AA1030" s="618">
        <v>45755</v>
      </c>
      <c r="AB1030" s="618" t="s">
        <v>164</v>
      </c>
      <c r="AC1030" s="618">
        <v>28345.5</v>
      </c>
      <c r="AD1030" s="619">
        <v>0.03</v>
      </c>
      <c r="AE1030" s="617" t="s">
        <v>2263</v>
      </c>
    </row>
    <row r="1031" spans="1:31" s="572" customFormat="1">
      <c r="A1031" s="570" t="s">
        <v>2264</v>
      </c>
      <c r="B1031" s="569" t="s">
        <v>269</v>
      </c>
      <c r="C1031" s="580" t="s">
        <v>270</v>
      </c>
      <c r="D1031" s="569" t="s">
        <v>1516</v>
      </c>
      <c r="E1031" s="569" t="s">
        <v>1517</v>
      </c>
      <c r="F1031" s="569" t="s">
        <v>271</v>
      </c>
      <c r="G1031" s="569">
        <v>2019</v>
      </c>
      <c r="H1031" s="569" t="s">
        <v>2199</v>
      </c>
      <c r="I1031" s="569" t="s">
        <v>1950</v>
      </c>
      <c r="J1031" s="569" t="s">
        <v>236</v>
      </c>
      <c r="K1031" s="569">
        <v>2</v>
      </c>
      <c r="L1031" s="569">
        <v>0</v>
      </c>
      <c r="M1031" s="569" t="s">
        <v>157</v>
      </c>
      <c r="N1031" s="569">
        <v>1</v>
      </c>
      <c r="O1031" s="569">
        <v>100.8</v>
      </c>
      <c r="P1031" s="568" t="s">
        <v>157</v>
      </c>
      <c r="Q1031" s="569" t="s">
        <v>682</v>
      </c>
      <c r="R1031" s="569">
        <v>6</v>
      </c>
      <c r="S1031" s="569" t="s">
        <v>2261</v>
      </c>
      <c r="T1031" s="569" t="s">
        <v>1894</v>
      </c>
      <c r="U1031" s="569">
        <v>129.9</v>
      </c>
      <c r="V1031" s="569">
        <v>25</v>
      </c>
      <c r="W1031" s="620">
        <v>9000</v>
      </c>
      <c r="X1031" s="621" t="s">
        <v>157</v>
      </c>
      <c r="Y1031" s="621" t="s">
        <v>178</v>
      </c>
      <c r="Z1031" s="621" t="s">
        <v>178</v>
      </c>
      <c r="AA1031" s="622">
        <v>35935</v>
      </c>
      <c r="AB1031" s="622" t="s">
        <v>164</v>
      </c>
      <c r="AC1031" s="622">
        <v>26689.25</v>
      </c>
      <c r="AD1031" s="623">
        <v>0.03</v>
      </c>
      <c r="AE1031" s="621" t="s">
        <v>2265</v>
      </c>
    </row>
    <row r="1032" spans="1:31" s="572" customFormat="1">
      <c r="A1032" s="570" t="s">
        <v>2264</v>
      </c>
      <c r="B1032" s="573" t="s">
        <v>269</v>
      </c>
      <c r="C1032" s="578" t="s">
        <v>270</v>
      </c>
      <c r="D1032" s="573" t="s">
        <v>1516</v>
      </c>
      <c r="E1032" s="573" t="s">
        <v>1517</v>
      </c>
      <c r="F1032" s="573" t="s">
        <v>271</v>
      </c>
      <c r="G1032" s="573">
        <v>2019</v>
      </c>
      <c r="H1032" s="573" t="s">
        <v>2199</v>
      </c>
      <c r="I1032" s="573" t="s">
        <v>1950</v>
      </c>
      <c r="J1032" s="573" t="s">
        <v>236</v>
      </c>
      <c r="K1032" s="573">
        <v>2</v>
      </c>
      <c r="L1032" s="573">
        <v>0</v>
      </c>
      <c r="M1032" s="573" t="s">
        <v>157</v>
      </c>
      <c r="N1032" s="573">
        <v>1</v>
      </c>
      <c r="O1032" s="573">
        <v>100.8</v>
      </c>
      <c r="P1032" s="571" t="s">
        <v>157</v>
      </c>
      <c r="Q1032" s="573" t="s">
        <v>682</v>
      </c>
      <c r="R1032" s="573">
        <v>6</v>
      </c>
      <c r="S1032" s="582" t="s">
        <v>2261</v>
      </c>
      <c r="T1032" s="573" t="s">
        <v>1894</v>
      </c>
      <c r="U1032" s="573">
        <v>129.9</v>
      </c>
      <c r="V1032" s="573">
        <v>25</v>
      </c>
      <c r="W1032" s="616">
        <v>9000</v>
      </c>
      <c r="X1032" s="617" t="s">
        <v>157</v>
      </c>
      <c r="Y1032" s="617" t="s">
        <v>178</v>
      </c>
      <c r="Z1032" s="617" t="s">
        <v>178</v>
      </c>
      <c r="AA1032" s="618">
        <v>43625</v>
      </c>
      <c r="AB1032" s="618" t="s">
        <v>164</v>
      </c>
      <c r="AC1032" s="618">
        <v>26689.25</v>
      </c>
      <c r="AD1032" s="619">
        <v>0.03</v>
      </c>
      <c r="AE1032" s="617" t="s">
        <v>2265</v>
      </c>
    </row>
    <row r="1033" spans="1:31" s="572" customFormat="1">
      <c r="A1033" s="570" t="s">
        <v>2266</v>
      </c>
      <c r="B1033" s="569" t="s">
        <v>269</v>
      </c>
      <c r="C1033" s="580" t="s">
        <v>270</v>
      </c>
      <c r="D1033" s="569" t="s">
        <v>1516</v>
      </c>
      <c r="E1033" s="569" t="s">
        <v>1517</v>
      </c>
      <c r="F1033" s="569" t="s">
        <v>271</v>
      </c>
      <c r="G1033" s="569">
        <v>2019</v>
      </c>
      <c r="H1033" s="569" t="s">
        <v>2199</v>
      </c>
      <c r="I1033" s="569" t="s">
        <v>1950</v>
      </c>
      <c r="J1033" s="569" t="s">
        <v>236</v>
      </c>
      <c r="K1033" s="569">
        <v>2</v>
      </c>
      <c r="L1033" s="569">
        <v>0</v>
      </c>
      <c r="M1033" s="569" t="s">
        <v>157</v>
      </c>
      <c r="N1033" s="569">
        <v>1</v>
      </c>
      <c r="O1033" s="569">
        <v>109.4</v>
      </c>
      <c r="P1033" s="568" t="s">
        <v>157</v>
      </c>
      <c r="Q1033" s="569" t="s">
        <v>1917</v>
      </c>
      <c r="R1033" s="569">
        <v>5</v>
      </c>
      <c r="S1033" s="569" t="s">
        <v>2268</v>
      </c>
      <c r="T1033" s="569" t="s">
        <v>1894</v>
      </c>
      <c r="U1033" s="569">
        <v>147.6</v>
      </c>
      <c r="V1033" s="569">
        <v>25</v>
      </c>
      <c r="W1033" s="620">
        <v>9000</v>
      </c>
      <c r="X1033" s="621" t="s">
        <v>157</v>
      </c>
      <c r="Y1033" s="621" t="s">
        <v>728</v>
      </c>
      <c r="Z1033" s="621" t="s">
        <v>1523</v>
      </c>
      <c r="AA1033" s="622">
        <v>45105</v>
      </c>
      <c r="AB1033" s="622" t="s">
        <v>164</v>
      </c>
      <c r="AC1033" s="622">
        <v>34969</v>
      </c>
      <c r="AD1033" s="623">
        <v>0.03</v>
      </c>
      <c r="AE1033" s="621" t="s">
        <v>2267</v>
      </c>
    </row>
    <row r="1034" spans="1:31" s="572" customFormat="1">
      <c r="A1034" s="570" t="s">
        <v>2269</v>
      </c>
      <c r="B1034" s="573" t="s">
        <v>269</v>
      </c>
      <c r="C1034" s="578" t="s">
        <v>270</v>
      </c>
      <c r="D1034" s="573" t="s">
        <v>1516</v>
      </c>
      <c r="E1034" s="573" t="s">
        <v>1517</v>
      </c>
      <c r="F1034" s="573" t="s">
        <v>271</v>
      </c>
      <c r="G1034" s="573">
        <v>2019</v>
      </c>
      <c r="H1034" s="573" t="s">
        <v>2199</v>
      </c>
      <c r="I1034" s="573" t="s">
        <v>1950</v>
      </c>
      <c r="J1034" s="573" t="s">
        <v>236</v>
      </c>
      <c r="K1034" s="573">
        <v>2</v>
      </c>
      <c r="L1034" s="573">
        <v>0</v>
      </c>
      <c r="M1034" s="573" t="s">
        <v>157</v>
      </c>
      <c r="N1034" s="573">
        <v>1</v>
      </c>
      <c r="O1034" s="573">
        <v>109.4</v>
      </c>
      <c r="P1034" s="571" t="s">
        <v>157</v>
      </c>
      <c r="Q1034" s="573" t="s">
        <v>1259</v>
      </c>
      <c r="R1034" s="573">
        <v>6</v>
      </c>
      <c r="S1034" s="582" t="s">
        <v>2268</v>
      </c>
      <c r="T1034" s="573" t="s">
        <v>1894</v>
      </c>
      <c r="U1034" s="573">
        <v>147.6</v>
      </c>
      <c r="V1034" s="573">
        <v>25</v>
      </c>
      <c r="W1034" s="616">
        <v>9000</v>
      </c>
      <c r="X1034" s="617" t="s">
        <v>157</v>
      </c>
      <c r="Y1034" s="617" t="s">
        <v>178</v>
      </c>
      <c r="Z1034" s="617" t="s">
        <v>178</v>
      </c>
      <c r="AA1034" s="618">
        <v>42975</v>
      </c>
      <c r="AB1034" s="618" t="s">
        <v>164</v>
      </c>
      <c r="AC1034" s="618">
        <v>33075.708333333336</v>
      </c>
      <c r="AD1034" s="619">
        <v>0.03</v>
      </c>
      <c r="AE1034" s="617" t="s">
        <v>2270</v>
      </c>
    </row>
    <row r="1035" spans="1:31" s="572" customFormat="1">
      <c r="A1035" s="570" t="s">
        <v>2271</v>
      </c>
      <c r="B1035" s="569" t="s">
        <v>269</v>
      </c>
      <c r="C1035" s="580" t="s">
        <v>270</v>
      </c>
      <c r="D1035" s="569" t="s">
        <v>1516</v>
      </c>
      <c r="E1035" s="569" t="s">
        <v>1517</v>
      </c>
      <c r="F1035" s="569" t="s">
        <v>271</v>
      </c>
      <c r="G1035" s="569">
        <v>2019</v>
      </c>
      <c r="H1035" s="569" t="s">
        <v>2199</v>
      </c>
      <c r="I1035" s="569" t="s">
        <v>1950</v>
      </c>
      <c r="J1035" s="569" t="s">
        <v>236</v>
      </c>
      <c r="K1035" s="569">
        <v>2</v>
      </c>
      <c r="L1035" s="569">
        <v>0</v>
      </c>
      <c r="M1035" s="569" t="s">
        <v>157</v>
      </c>
      <c r="N1035" s="569">
        <v>1</v>
      </c>
      <c r="O1035" s="569">
        <v>109.4</v>
      </c>
      <c r="P1035" s="568" t="s">
        <v>157</v>
      </c>
      <c r="Q1035" s="569" t="s">
        <v>682</v>
      </c>
      <c r="R1035" s="569">
        <v>6</v>
      </c>
      <c r="S1035" s="569" t="s">
        <v>2268</v>
      </c>
      <c r="T1035" s="569" t="s">
        <v>1894</v>
      </c>
      <c r="U1035" s="569">
        <v>147.6</v>
      </c>
      <c r="V1035" s="569">
        <v>25</v>
      </c>
      <c r="W1035" s="620">
        <v>9000</v>
      </c>
      <c r="X1035" s="621" t="s">
        <v>157</v>
      </c>
      <c r="Y1035" s="621" t="s">
        <v>178</v>
      </c>
      <c r="Z1035" s="621" t="s">
        <v>178</v>
      </c>
      <c r="AA1035" s="622">
        <v>41110</v>
      </c>
      <c r="AB1035" s="622" t="s">
        <v>164</v>
      </c>
      <c r="AC1035" s="622">
        <v>31419.458333333336</v>
      </c>
      <c r="AD1035" s="623">
        <v>0.03</v>
      </c>
      <c r="AE1035" s="621" t="s">
        <v>2272</v>
      </c>
    </row>
    <row r="1036" spans="1:31" s="572" customFormat="1">
      <c r="A1036" s="570" t="s">
        <v>2273</v>
      </c>
      <c r="B1036" s="573" t="s">
        <v>269</v>
      </c>
      <c r="C1036" s="578" t="s">
        <v>270</v>
      </c>
      <c r="D1036" s="573" t="s">
        <v>1516</v>
      </c>
      <c r="E1036" s="573" t="s">
        <v>1517</v>
      </c>
      <c r="F1036" s="573" t="s">
        <v>271</v>
      </c>
      <c r="G1036" s="573">
        <v>2019</v>
      </c>
      <c r="H1036" s="573" t="s">
        <v>2199</v>
      </c>
      <c r="I1036" s="573" t="s">
        <v>1950</v>
      </c>
      <c r="J1036" s="573" t="s">
        <v>236</v>
      </c>
      <c r="K1036" s="573">
        <v>2</v>
      </c>
      <c r="L1036" s="573">
        <v>0</v>
      </c>
      <c r="M1036" s="573" t="s">
        <v>157</v>
      </c>
      <c r="N1036" s="573">
        <v>1</v>
      </c>
      <c r="O1036" s="573">
        <v>110.1</v>
      </c>
      <c r="P1036" s="571" t="s">
        <v>157</v>
      </c>
      <c r="Q1036" s="573" t="s">
        <v>1917</v>
      </c>
      <c r="R1036" s="573">
        <v>5</v>
      </c>
      <c r="S1036" s="582" t="s">
        <v>2275</v>
      </c>
      <c r="T1036" s="573" t="s">
        <v>1894</v>
      </c>
      <c r="U1036" s="573">
        <v>147.6</v>
      </c>
      <c r="V1036" s="573">
        <v>25</v>
      </c>
      <c r="W1036" s="616">
        <v>9000</v>
      </c>
      <c r="X1036" s="617" t="s">
        <v>157</v>
      </c>
      <c r="Y1036" s="617" t="s">
        <v>728</v>
      </c>
      <c r="Z1036" s="617" t="s">
        <v>1523</v>
      </c>
      <c r="AA1036" s="618">
        <v>43805</v>
      </c>
      <c r="AB1036" s="618" t="s">
        <v>164</v>
      </c>
      <c r="AC1036" s="618">
        <v>33781.5</v>
      </c>
      <c r="AD1036" s="619">
        <v>0.03</v>
      </c>
      <c r="AE1036" s="617" t="s">
        <v>2274</v>
      </c>
    </row>
    <row r="1037" spans="1:31" s="572" customFormat="1">
      <c r="A1037" s="570" t="s">
        <v>2276</v>
      </c>
      <c r="B1037" s="569" t="s">
        <v>269</v>
      </c>
      <c r="C1037" s="580" t="s">
        <v>270</v>
      </c>
      <c r="D1037" s="569" t="s">
        <v>1516</v>
      </c>
      <c r="E1037" s="569" t="s">
        <v>1517</v>
      </c>
      <c r="F1037" s="569" t="s">
        <v>271</v>
      </c>
      <c r="G1037" s="569">
        <v>2019</v>
      </c>
      <c r="H1037" s="569" t="s">
        <v>2199</v>
      </c>
      <c r="I1037" s="569" t="s">
        <v>1950</v>
      </c>
      <c r="J1037" s="569" t="s">
        <v>236</v>
      </c>
      <c r="K1037" s="569">
        <v>2</v>
      </c>
      <c r="L1037" s="569">
        <v>0</v>
      </c>
      <c r="M1037" s="569" t="s">
        <v>157</v>
      </c>
      <c r="N1037" s="569">
        <v>1</v>
      </c>
      <c r="O1037" s="569">
        <v>110.1</v>
      </c>
      <c r="P1037" s="568" t="s">
        <v>157</v>
      </c>
      <c r="Q1037" s="569" t="s">
        <v>1259</v>
      </c>
      <c r="R1037" s="569">
        <v>6</v>
      </c>
      <c r="S1037" s="569" t="s">
        <v>2275</v>
      </c>
      <c r="T1037" s="569" t="s">
        <v>1894</v>
      </c>
      <c r="U1037" s="569">
        <v>147.6</v>
      </c>
      <c r="V1037" s="569">
        <v>25</v>
      </c>
      <c r="W1037" s="620">
        <v>9000</v>
      </c>
      <c r="X1037" s="621" t="s">
        <v>157</v>
      </c>
      <c r="Y1037" s="621" t="s">
        <v>178</v>
      </c>
      <c r="Z1037" s="621" t="s">
        <v>178</v>
      </c>
      <c r="AA1037" s="622">
        <v>41675</v>
      </c>
      <c r="AB1037" s="622" t="s">
        <v>164</v>
      </c>
      <c r="AC1037" s="622">
        <v>31888.208333333336</v>
      </c>
      <c r="AD1037" s="623">
        <v>0.03</v>
      </c>
      <c r="AE1037" s="621" t="s">
        <v>2277</v>
      </c>
    </row>
    <row r="1038" spans="1:31" s="572" customFormat="1">
      <c r="A1038" s="570" t="s">
        <v>2278</v>
      </c>
      <c r="B1038" s="573" t="s">
        <v>269</v>
      </c>
      <c r="C1038" s="578" t="s">
        <v>270</v>
      </c>
      <c r="D1038" s="573" t="s">
        <v>1516</v>
      </c>
      <c r="E1038" s="573" t="s">
        <v>1517</v>
      </c>
      <c r="F1038" s="573" t="s">
        <v>271</v>
      </c>
      <c r="G1038" s="573">
        <v>2019</v>
      </c>
      <c r="H1038" s="573" t="s">
        <v>2199</v>
      </c>
      <c r="I1038" s="573" t="s">
        <v>1950</v>
      </c>
      <c r="J1038" s="573" t="s">
        <v>236</v>
      </c>
      <c r="K1038" s="573">
        <v>2</v>
      </c>
      <c r="L1038" s="573">
        <v>0</v>
      </c>
      <c r="M1038" s="573" t="s">
        <v>157</v>
      </c>
      <c r="N1038" s="573">
        <v>1</v>
      </c>
      <c r="O1038" s="573">
        <v>110.1</v>
      </c>
      <c r="P1038" s="571" t="s">
        <v>157</v>
      </c>
      <c r="Q1038" s="573" t="s">
        <v>682</v>
      </c>
      <c r="R1038" s="573">
        <v>6</v>
      </c>
      <c r="S1038" s="582" t="s">
        <v>2275</v>
      </c>
      <c r="T1038" s="573" t="s">
        <v>1894</v>
      </c>
      <c r="U1038" s="573">
        <v>147.6</v>
      </c>
      <c r="V1038" s="573">
        <v>25</v>
      </c>
      <c r="W1038" s="616">
        <v>9000</v>
      </c>
      <c r="X1038" s="617" t="s">
        <v>157</v>
      </c>
      <c r="Y1038" s="617" t="s">
        <v>178</v>
      </c>
      <c r="Z1038" s="617" t="s">
        <v>178</v>
      </c>
      <c r="AA1038" s="618">
        <v>39810</v>
      </c>
      <c r="AB1038" s="618" t="s">
        <v>164</v>
      </c>
      <c r="AC1038" s="618">
        <v>30231.958333333336</v>
      </c>
      <c r="AD1038" s="619">
        <v>0.03</v>
      </c>
      <c r="AE1038" s="617" t="s">
        <v>2279</v>
      </c>
    </row>
    <row r="1039" spans="1:31" s="572" customFormat="1">
      <c r="A1039" s="570" t="s">
        <v>2280</v>
      </c>
      <c r="B1039" s="569" t="s">
        <v>269</v>
      </c>
      <c r="C1039" s="580" t="s">
        <v>270</v>
      </c>
      <c r="D1039" s="569" t="s">
        <v>1516</v>
      </c>
      <c r="E1039" s="569" t="s">
        <v>1517</v>
      </c>
      <c r="F1039" s="569" t="s">
        <v>271</v>
      </c>
      <c r="G1039" s="569">
        <v>2019</v>
      </c>
      <c r="H1039" s="569" t="s">
        <v>2199</v>
      </c>
      <c r="I1039" s="569" t="s">
        <v>1950</v>
      </c>
      <c r="J1039" s="569" t="s">
        <v>236</v>
      </c>
      <c r="K1039" s="569">
        <v>2</v>
      </c>
      <c r="L1039" s="569">
        <v>0</v>
      </c>
      <c r="M1039" s="569" t="s">
        <v>157</v>
      </c>
      <c r="N1039" s="569">
        <v>1</v>
      </c>
      <c r="O1039" s="569">
        <v>83.2</v>
      </c>
      <c r="P1039" s="568" t="s">
        <v>157</v>
      </c>
      <c r="Q1039" s="569" t="s">
        <v>1917</v>
      </c>
      <c r="R1039" s="569">
        <v>5</v>
      </c>
      <c r="S1039" s="569" t="s">
        <v>2282</v>
      </c>
      <c r="T1039" s="569" t="s">
        <v>1894</v>
      </c>
      <c r="U1039" s="569">
        <v>129.9</v>
      </c>
      <c r="V1039" s="569">
        <v>25</v>
      </c>
      <c r="W1039" s="620">
        <v>9000</v>
      </c>
      <c r="X1039" s="621" t="s">
        <v>157</v>
      </c>
      <c r="Y1039" s="621" t="s">
        <v>728</v>
      </c>
      <c r="Z1039" s="621" t="s">
        <v>1523</v>
      </c>
      <c r="AA1039" s="622">
        <v>39625</v>
      </c>
      <c r="AB1039" s="622" t="s">
        <v>164</v>
      </c>
      <c r="AC1039" s="622">
        <v>27877.333333333332</v>
      </c>
      <c r="AD1039" s="623">
        <v>0.03</v>
      </c>
      <c r="AE1039" s="621" t="s">
        <v>2281</v>
      </c>
    </row>
    <row r="1040" spans="1:31" s="572" customFormat="1">
      <c r="A1040" s="570" t="s">
        <v>2283</v>
      </c>
      <c r="B1040" s="573" t="s">
        <v>269</v>
      </c>
      <c r="C1040" s="578" t="s">
        <v>270</v>
      </c>
      <c r="D1040" s="573" t="s">
        <v>1516</v>
      </c>
      <c r="E1040" s="573" t="s">
        <v>1517</v>
      </c>
      <c r="F1040" s="573" t="s">
        <v>271</v>
      </c>
      <c r="G1040" s="573">
        <v>2019</v>
      </c>
      <c r="H1040" s="573" t="s">
        <v>2199</v>
      </c>
      <c r="I1040" s="573" t="s">
        <v>1950</v>
      </c>
      <c r="J1040" s="573" t="s">
        <v>236</v>
      </c>
      <c r="K1040" s="573">
        <v>2</v>
      </c>
      <c r="L1040" s="573">
        <v>0</v>
      </c>
      <c r="M1040" s="573" t="s">
        <v>157</v>
      </c>
      <c r="N1040" s="573">
        <v>1</v>
      </c>
      <c r="O1040" s="573">
        <v>83.2</v>
      </c>
      <c r="P1040" s="571" t="s">
        <v>157</v>
      </c>
      <c r="Q1040" s="573" t="s">
        <v>1917</v>
      </c>
      <c r="R1040" s="573">
        <v>5</v>
      </c>
      <c r="S1040" s="582" t="s">
        <v>2285</v>
      </c>
      <c r="T1040" s="573" t="s">
        <v>1894</v>
      </c>
      <c r="U1040" s="573">
        <v>147.6</v>
      </c>
      <c r="V1040" s="573">
        <v>25</v>
      </c>
      <c r="W1040" s="616">
        <v>9000</v>
      </c>
      <c r="X1040" s="617" t="s">
        <v>157</v>
      </c>
      <c r="Y1040" s="617" t="s">
        <v>728</v>
      </c>
      <c r="Z1040" s="617" t="s">
        <v>1523</v>
      </c>
      <c r="AA1040" s="618">
        <v>40505</v>
      </c>
      <c r="AB1040" s="618" t="s">
        <v>164</v>
      </c>
      <c r="AC1040" s="618">
        <v>28680.458333333332</v>
      </c>
      <c r="AD1040" s="619">
        <v>0.03</v>
      </c>
      <c r="AE1040" s="617" t="s">
        <v>2284</v>
      </c>
    </row>
    <row r="1041" spans="1:31" s="572" customFormat="1">
      <c r="A1041" s="570" t="s">
        <v>2286</v>
      </c>
      <c r="B1041" s="569" t="s">
        <v>269</v>
      </c>
      <c r="C1041" s="580" t="s">
        <v>270</v>
      </c>
      <c r="D1041" s="569" t="s">
        <v>1516</v>
      </c>
      <c r="E1041" s="569" t="s">
        <v>1517</v>
      </c>
      <c r="F1041" s="569" t="s">
        <v>271</v>
      </c>
      <c r="G1041" s="569">
        <v>2019</v>
      </c>
      <c r="H1041" s="569" t="s">
        <v>2199</v>
      </c>
      <c r="I1041" s="569" t="s">
        <v>1950</v>
      </c>
      <c r="J1041" s="569" t="s">
        <v>236</v>
      </c>
      <c r="K1041" s="569">
        <v>2</v>
      </c>
      <c r="L1041" s="569">
        <v>0</v>
      </c>
      <c r="M1041" s="569" t="s">
        <v>157</v>
      </c>
      <c r="N1041" s="569">
        <v>1</v>
      </c>
      <c r="O1041" s="569">
        <v>83.2</v>
      </c>
      <c r="P1041" s="568" t="s">
        <v>157</v>
      </c>
      <c r="Q1041" s="569" t="s">
        <v>1259</v>
      </c>
      <c r="R1041" s="569">
        <v>6</v>
      </c>
      <c r="S1041" s="569" t="s">
        <v>2282</v>
      </c>
      <c r="T1041" s="569" t="s">
        <v>1894</v>
      </c>
      <c r="U1041" s="569">
        <v>129.9</v>
      </c>
      <c r="V1041" s="569">
        <v>25</v>
      </c>
      <c r="W1041" s="620">
        <v>9000</v>
      </c>
      <c r="X1041" s="621" t="s">
        <v>157</v>
      </c>
      <c r="Y1041" s="621" t="s">
        <v>178</v>
      </c>
      <c r="Z1041" s="621" t="s">
        <v>178</v>
      </c>
      <c r="AA1041" s="622">
        <v>37495</v>
      </c>
      <c r="AB1041" s="622" t="s">
        <v>164</v>
      </c>
      <c r="AC1041" s="622">
        <v>25984.041666666668</v>
      </c>
      <c r="AD1041" s="623">
        <v>0.03</v>
      </c>
      <c r="AE1041" s="621" t="s">
        <v>2287</v>
      </c>
    </row>
    <row r="1042" spans="1:31" s="572" customFormat="1">
      <c r="A1042" s="570" t="s">
        <v>2288</v>
      </c>
      <c r="B1042" s="573" t="s">
        <v>269</v>
      </c>
      <c r="C1042" s="578" t="s">
        <v>270</v>
      </c>
      <c r="D1042" s="573" t="s">
        <v>1516</v>
      </c>
      <c r="E1042" s="573" t="s">
        <v>1517</v>
      </c>
      <c r="F1042" s="573" t="s">
        <v>271</v>
      </c>
      <c r="G1042" s="573">
        <v>2019</v>
      </c>
      <c r="H1042" s="573" t="s">
        <v>2199</v>
      </c>
      <c r="I1042" s="573" t="s">
        <v>1950</v>
      </c>
      <c r="J1042" s="573" t="s">
        <v>236</v>
      </c>
      <c r="K1042" s="573">
        <v>2</v>
      </c>
      <c r="L1042" s="573">
        <v>0</v>
      </c>
      <c r="M1042" s="573" t="s">
        <v>157</v>
      </c>
      <c r="N1042" s="573">
        <v>1</v>
      </c>
      <c r="O1042" s="573">
        <v>83.2</v>
      </c>
      <c r="P1042" s="571" t="s">
        <v>157</v>
      </c>
      <c r="Q1042" s="573" t="s">
        <v>1259</v>
      </c>
      <c r="R1042" s="573">
        <v>6</v>
      </c>
      <c r="S1042" s="582" t="s">
        <v>2285</v>
      </c>
      <c r="T1042" s="573" t="s">
        <v>1894</v>
      </c>
      <c r="U1042" s="573">
        <v>147.6</v>
      </c>
      <c r="V1042" s="573">
        <v>25</v>
      </c>
      <c r="W1042" s="616">
        <v>9000</v>
      </c>
      <c r="X1042" s="617" t="s">
        <v>157</v>
      </c>
      <c r="Y1042" s="617" t="s">
        <v>178</v>
      </c>
      <c r="Z1042" s="617" t="s">
        <v>178</v>
      </c>
      <c r="AA1042" s="618">
        <v>38375</v>
      </c>
      <c r="AB1042" s="618" t="s">
        <v>164</v>
      </c>
      <c r="AC1042" s="618">
        <v>26787.166666666668</v>
      </c>
      <c r="AD1042" s="619">
        <v>0.03</v>
      </c>
      <c r="AE1042" s="617" t="s">
        <v>2289</v>
      </c>
    </row>
    <row r="1043" spans="1:31" s="572" customFormat="1">
      <c r="A1043" s="570" t="s">
        <v>2290</v>
      </c>
      <c r="B1043" s="569" t="s">
        <v>269</v>
      </c>
      <c r="C1043" s="580" t="s">
        <v>270</v>
      </c>
      <c r="D1043" s="569" t="s">
        <v>1516</v>
      </c>
      <c r="E1043" s="569" t="s">
        <v>1517</v>
      </c>
      <c r="F1043" s="569" t="s">
        <v>271</v>
      </c>
      <c r="G1043" s="569">
        <v>2019</v>
      </c>
      <c r="H1043" s="569" t="s">
        <v>2199</v>
      </c>
      <c r="I1043" s="569" t="s">
        <v>1950</v>
      </c>
      <c r="J1043" s="569" t="s">
        <v>236</v>
      </c>
      <c r="K1043" s="569">
        <v>2</v>
      </c>
      <c r="L1043" s="569">
        <v>0</v>
      </c>
      <c r="M1043" s="569" t="s">
        <v>157</v>
      </c>
      <c r="N1043" s="569">
        <v>1</v>
      </c>
      <c r="O1043" s="569">
        <v>83.2</v>
      </c>
      <c r="P1043" s="568" t="s">
        <v>157</v>
      </c>
      <c r="Q1043" s="569" t="s">
        <v>682</v>
      </c>
      <c r="R1043" s="569">
        <v>6</v>
      </c>
      <c r="S1043" s="569" t="s">
        <v>2282</v>
      </c>
      <c r="T1043" s="569" t="s">
        <v>1894</v>
      </c>
      <c r="U1043" s="569">
        <v>129.9</v>
      </c>
      <c r="V1043" s="569">
        <v>25</v>
      </c>
      <c r="W1043" s="620">
        <v>9000</v>
      </c>
      <c r="X1043" s="621" t="s">
        <v>157</v>
      </c>
      <c r="Y1043" s="621" t="s">
        <v>178</v>
      </c>
      <c r="Z1043" s="621" t="s">
        <v>178</v>
      </c>
      <c r="AA1043" s="622">
        <v>35630</v>
      </c>
      <c r="AB1043" s="622" t="s">
        <v>164</v>
      </c>
      <c r="AC1043" s="622">
        <v>24327.791666666668</v>
      </c>
      <c r="AD1043" s="623">
        <v>0.03</v>
      </c>
      <c r="AE1043" s="621" t="s">
        <v>2291</v>
      </c>
    </row>
    <row r="1044" spans="1:31" s="572" customFormat="1">
      <c r="A1044" s="570" t="s">
        <v>2292</v>
      </c>
      <c r="B1044" s="573" t="s">
        <v>269</v>
      </c>
      <c r="C1044" s="578" t="s">
        <v>270</v>
      </c>
      <c r="D1044" s="573" t="s">
        <v>1516</v>
      </c>
      <c r="E1044" s="573" t="s">
        <v>1517</v>
      </c>
      <c r="F1044" s="573" t="s">
        <v>271</v>
      </c>
      <c r="G1044" s="573">
        <v>2019</v>
      </c>
      <c r="H1044" s="573" t="s">
        <v>2199</v>
      </c>
      <c r="I1044" s="573" t="s">
        <v>1950</v>
      </c>
      <c r="J1044" s="573" t="s">
        <v>236</v>
      </c>
      <c r="K1044" s="573">
        <v>2</v>
      </c>
      <c r="L1044" s="573">
        <v>0</v>
      </c>
      <c r="M1044" s="573" t="s">
        <v>157</v>
      </c>
      <c r="N1044" s="573">
        <v>1</v>
      </c>
      <c r="O1044" s="573">
        <v>83.2</v>
      </c>
      <c r="P1044" s="571" t="s">
        <v>157</v>
      </c>
      <c r="Q1044" s="573" t="s">
        <v>682</v>
      </c>
      <c r="R1044" s="573">
        <v>6</v>
      </c>
      <c r="S1044" s="582" t="s">
        <v>2285</v>
      </c>
      <c r="T1044" s="573" t="s">
        <v>1894</v>
      </c>
      <c r="U1044" s="573">
        <v>147.6</v>
      </c>
      <c r="V1044" s="573">
        <v>25</v>
      </c>
      <c r="W1044" s="616">
        <v>9000</v>
      </c>
      <c r="X1044" s="617" t="s">
        <v>157</v>
      </c>
      <c r="Y1044" s="617" t="s">
        <v>178</v>
      </c>
      <c r="Z1044" s="617" t="s">
        <v>178</v>
      </c>
      <c r="AA1044" s="618">
        <v>36510</v>
      </c>
      <c r="AB1044" s="618" t="s">
        <v>164</v>
      </c>
      <c r="AC1044" s="618">
        <v>25130.916666666668</v>
      </c>
      <c r="AD1044" s="619">
        <v>0.03</v>
      </c>
      <c r="AE1044" s="617" t="s">
        <v>2293</v>
      </c>
    </row>
    <row r="1045" spans="1:31" s="572" customFormat="1">
      <c r="A1045" s="570" t="s">
        <v>2294</v>
      </c>
      <c r="B1045" s="569" t="s">
        <v>278</v>
      </c>
      <c r="C1045" s="580">
        <v>15</v>
      </c>
      <c r="D1045" s="569" t="s">
        <v>1516</v>
      </c>
      <c r="E1045" s="569" t="s">
        <v>1517</v>
      </c>
      <c r="F1045" s="569" t="s">
        <v>271</v>
      </c>
      <c r="G1045" s="569">
        <v>2019</v>
      </c>
      <c r="H1045" s="569" t="s">
        <v>2199</v>
      </c>
      <c r="I1045" s="569" t="s">
        <v>1950</v>
      </c>
      <c r="J1045" s="569" t="s">
        <v>236</v>
      </c>
      <c r="K1045" s="569">
        <v>2</v>
      </c>
      <c r="L1045" s="569">
        <v>0</v>
      </c>
      <c r="M1045" s="569" t="s">
        <v>157</v>
      </c>
      <c r="N1045" s="569">
        <v>1</v>
      </c>
      <c r="O1045" s="569">
        <v>100.7</v>
      </c>
      <c r="P1045" s="568" t="s">
        <v>157</v>
      </c>
      <c r="Q1045" s="569" t="s">
        <v>1917</v>
      </c>
      <c r="R1045" s="569">
        <v>5</v>
      </c>
      <c r="S1045" s="569" t="s">
        <v>2254</v>
      </c>
      <c r="T1045" s="569" t="s">
        <v>1894</v>
      </c>
      <c r="U1045" s="569">
        <v>147.6</v>
      </c>
      <c r="V1045" s="569">
        <v>25</v>
      </c>
      <c r="W1045" s="620">
        <v>9000</v>
      </c>
      <c r="X1045" s="621" t="s">
        <v>157</v>
      </c>
      <c r="Y1045" s="621" t="s">
        <v>728</v>
      </c>
      <c r="Z1045" s="621" t="s">
        <v>1523</v>
      </c>
      <c r="AA1045" s="622">
        <v>41655</v>
      </c>
      <c r="AB1045" s="622" t="s">
        <v>164</v>
      </c>
      <c r="AC1045" s="622">
        <v>32500</v>
      </c>
      <c r="AD1045" s="623">
        <v>0.01</v>
      </c>
      <c r="AE1045" s="621" t="s">
        <v>2253</v>
      </c>
    </row>
    <row r="1046" spans="1:31" s="572" customFormat="1">
      <c r="A1046" s="570" t="s">
        <v>2295</v>
      </c>
      <c r="B1046" s="573" t="s">
        <v>278</v>
      </c>
      <c r="C1046" s="578">
        <v>15</v>
      </c>
      <c r="D1046" s="573" t="s">
        <v>1516</v>
      </c>
      <c r="E1046" s="573" t="s">
        <v>1517</v>
      </c>
      <c r="F1046" s="573" t="s">
        <v>271</v>
      </c>
      <c r="G1046" s="573">
        <v>2019</v>
      </c>
      <c r="H1046" s="573" t="s">
        <v>2199</v>
      </c>
      <c r="I1046" s="573" t="s">
        <v>1950</v>
      </c>
      <c r="J1046" s="573" t="s">
        <v>236</v>
      </c>
      <c r="K1046" s="573">
        <v>2</v>
      </c>
      <c r="L1046" s="573">
        <v>0</v>
      </c>
      <c r="M1046" s="573" t="s">
        <v>157</v>
      </c>
      <c r="N1046" s="573">
        <v>1</v>
      </c>
      <c r="O1046" s="573">
        <v>100.7</v>
      </c>
      <c r="P1046" s="571" t="s">
        <v>157</v>
      </c>
      <c r="Q1046" s="573" t="s">
        <v>1259</v>
      </c>
      <c r="R1046" s="573">
        <v>6</v>
      </c>
      <c r="S1046" s="582" t="s">
        <v>2254</v>
      </c>
      <c r="T1046" s="573" t="s">
        <v>1894</v>
      </c>
      <c r="U1046" s="573">
        <v>147.6</v>
      </c>
      <c r="V1046" s="573">
        <v>25</v>
      </c>
      <c r="W1046" s="616">
        <v>9000</v>
      </c>
      <c r="X1046" s="617" t="s">
        <v>157</v>
      </c>
      <c r="Y1046" s="617" t="s">
        <v>178</v>
      </c>
      <c r="Z1046" s="617" t="s">
        <v>178</v>
      </c>
      <c r="AA1046" s="618">
        <v>39525</v>
      </c>
      <c r="AB1046" s="618" t="s">
        <v>164</v>
      </c>
      <c r="AC1046" s="618">
        <v>30500</v>
      </c>
      <c r="AD1046" s="619">
        <v>0.01</v>
      </c>
      <c r="AE1046" s="617" t="s">
        <v>2256</v>
      </c>
    </row>
    <row r="1047" spans="1:31" s="572" customFormat="1">
      <c r="A1047" s="570" t="s">
        <v>2296</v>
      </c>
      <c r="B1047" s="569" t="s">
        <v>278</v>
      </c>
      <c r="C1047" s="580">
        <v>15</v>
      </c>
      <c r="D1047" s="569" t="s">
        <v>1516</v>
      </c>
      <c r="E1047" s="569" t="s">
        <v>1517</v>
      </c>
      <c r="F1047" s="569" t="s">
        <v>271</v>
      </c>
      <c r="G1047" s="569">
        <v>2019</v>
      </c>
      <c r="H1047" s="569" t="s">
        <v>2199</v>
      </c>
      <c r="I1047" s="569" t="s">
        <v>1950</v>
      </c>
      <c r="J1047" s="569" t="s">
        <v>236</v>
      </c>
      <c r="K1047" s="569">
        <v>2</v>
      </c>
      <c r="L1047" s="569">
        <v>0</v>
      </c>
      <c r="M1047" s="569" t="s">
        <v>157</v>
      </c>
      <c r="N1047" s="569">
        <v>1</v>
      </c>
      <c r="O1047" s="569">
        <v>100.7</v>
      </c>
      <c r="P1047" s="568" t="s">
        <v>157</v>
      </c>
      <c r="Q1047" s="569" t="s">
        <v>682</v>
      </c>
      <c r="R1047" s="569">
        <v>6</v>
      </c>
      <c r="S1047" s="569" t="s">
        <v>2254</v>
      </c>
      <c r="T1047" s="569" t="s">
        <v>1894</v>
      </c>
      <c r="U1047" s="569">
        <v>147.6</v>
      </c>
      <c r="V1047" s="569">
        <v>25</v>
      </c>
      <c r="W1047" s="620">
        <v>9000</v>
      </c>
      <c r="X1047" s="621" t="s">
        <v>157</v>
      </c>
      <c r="Y1047" s="621" t="s">
        <v>178</v>
      </c>
      <c r="Z1047" s="621" t="s">
        <v>178</v>
      </c>
      <c r="AA1047" s="622">
        <v>37660</v>
      </c>
      <c r="AB1047" s="622" t="s">
        <v>164</v>
      </c>
      <c r="AC1047" s="622">
        <v>28800</v>
      </c>
      <c r="AD1047" s="623">
        <v>0.01</v>
      </c>
      <c r="AE1047" s="621" t="s">
        <v>2258</v>
      </c>
    </row>
    <row r="1048" spans="1:31" s="572" customFormat="1">
      <c r="A1048" s="570" t="s">
        <v>2297</v>
      </c>
      <c r="B1048" s="573" t="s">
        <v>278</v>
      </c>
      <c r="C1048" s="578">
        <v>15</v>
      </c>
      <c r="D1048" s="573" t="s">
        <v>1516</v>
      </c>
      <c r="E1048" s="573" t="s">
        <v>1517</v>
      </c>
      <c r="F1048" s="573" t="s">
        <v>271</v>
      </c>
      <c r="G1048" s="573">
        <v>2019</v>
      </c>
      <c r="H1048" s="573" t="s">
        <v>2199</v>
      </c>
      <c r="I1048" s="573" t="s">
        <v>1950</v>
      </c>
      <c r="J1048" s="573" t="s">
        <v>236</v>
      </c>
      <c r="K1048" s="573">
        <v>2</v>
      </c>
      <c r="L1048" s="573">
        <v>0</v>
      </c>
      <c r="M1048" s="573" t="s">
        <v>157</v>
      </c>
      <c r="N1048" s="573">
        <v>1</v>
      </c>
      <c r="O1048" s="573">
        <v>100.8</v>
      </c>
      <c r="P1048" s="571" t="s">
        <v>157</v>
      </c>
      <c r="Q1048" s="573" t="s">
        <v>1917</v>
      </c>
      <c r="R1048" s="573">
        <v>5</v>
      </c>
      <c r="S1048" s="582" t="s">
        <v>2261</v>
      </c>
      <c r="T1048" s="573" t="s">
        <v>1894</v>
      </c>
      <c r="U1048" s="573">
        <v>129.9</v>
      </c>
      <c r="V1048" s="573">
        <v>25</v>
      </c>
      <c r="W1048" s="616">
        <v>9000</v>
      </c>
      <c r="X1048" s="617" t="s">
        <v>157</v>
      </c>
      <c r="Y1048" s="617" t="s">
        <v>728</v>
      </c>
      <c r="Z1048" s="617" t="s">
        <v>1523</v>
      </c>
      <c r="AA1048" s="618">
        <v>39930</v>
      </c>
      <c r="AB1048" s="618" t="s">
        <v>164</v>
      </c>
      <c r="AC1048" s="618">
        <v>30900</v>
      </c>
      <c r="AD1048" s="619">
        <v>0.01</v>
      </c>
      <c r="AE1048" s="617" t="s">
        <v>2260</v>
      </c>
    </row>
    <row r="1049" spans="1:31" s="572" customFormat="1">
      <c r="A1049" s="570" t="s">
        <v>2298</v>
      </c>
      <c r="B1049" s="569" t="s">
        <v>278</v>
      </c>
      <c r="C1049" s="580">
        <v>15</v>
      </c>
      <c r="D1049" s="569" t="s">
        <v>1516</v>
      </c>
      <c r="E1049" s="569" t="s">
        <v>1517</v>
      </c>
      <c r="F1049" s="569" t="s">
        <v>271</v>
      </c>
      <c r="G1049" s="569">
        <v>2019</v>
      </c>
      <c r="H1049" s="569" t="s">
        <v>2199</v>
      </c>
      <c r="I1049" s="569" t="s">
        <v>1950</v>
      </c>
      <c r="J1049" s="569" t="s">
        <v>236</v>
      </c>
      <c r="K1049" s="569">
        <v>2</v>
      </c>
      <c r="L1049" s="569">
        <v>0</v>
      </c>
      <c r="M1049" s="569" t="s">
        <v>157</v>
      </c>
      <c r="N1049" s="569">
        <v>1</v>
      </c>
      <c r="O1049" s="569">
        <v>100.8</v>
      </c>
      <c r="P1049" s="568" t="s">
        <v>157</v>
      </c>
      <c r="Q1049" s="569" t="s">
        <v>1259</v>
      </c>
      <c r="R1049" s="569">
        <v>6</v>
      </c>
      <c r="S1049" s="569" t="s">
        <v>2261</v>
      </c>
      <c r="T1049" s="569" t="s">
        <v>1894</v>
      </c>
      <c r="U1049" s="569">
        <v>129.9</v>
      </c>
      <c r="V1049" s="569">
        <v>25</v>
      </c>
      <c r="W1049" s="620">
        <v>9000</v>
      </c>
      <c r="X1049" s="621" t="s">
        <v>157</v>
      </c>
      <c r="Y1049" s="621" t="s">
        <v>178</v>
      </c>
      <c r="Z1049" s="621" t="s">
        <v>178</v>
      </c>
      <c r="AA1049" s="622">
        <v>37800</v>
      </c>
      <c r="AB1049" s="622" t="s">
        <v>164</v>
      </c>
      <c r="AC1049" s="622">
        <v>28900</v>
      </c>
      <c r="AD1049" s="623">
        <v>0.01</v>
      </c>
      <c r="AE1049" s="621" t="s">
        <v>2263</v>
      </c>
    </row>
    <row r="1050" spans="1:31" s="572" customFormat="1">
      <c r="A1050" s="570" t="s">
        <v>2299</v>
      </c>
      <c r="B1050" s="573" t="s">
        <v>278</v>
      </c>
      <c r="C1050" s="578">
        <v>15</v>
      </c>
      <c r="D1050" s="573" t="s">
        <v>1516</v>
      </c>
      <c r="E1050" s="573" t="s">
        <v>1517</v>
      </c>
      <c r="F1050" s="573" t="s">
        <v>271</v>
      </c>
      <c r="G1050" s="573">
        <v>2019</v>
      </c>
      <c r="H1050" s="573" t="s">
        <v>2199</v>
      </c>
      <c r="I1050" s="573" t="s">
        <v>1950</v>
      </c>
      <c r="J1050" s="573" t="s">
        <v>236</v>
      </c>
      <c r="K1050" s="573">
        <v>2</v>
      </c>
      <c r="L1050" s="573">
        <v>0</v>
      </c>
      <c r="M1050" s="573" t="s">
        <v>157</v>
      </c>
      <c r="N1050" s="573">
        <v>1</v>
      </c>
      <c r="O1050" s="573">
        <v>100.8</v>
      </c>
      <c r="P1050" s="571" t="s">
        <v>157</v>
      </c>
      <c r="Q1050" s="573" t="s">
        <v>682</v>
      </c>
      <c r="R1050" s="573">
        <v>6</v>
      </c>
      <c r="S1050" s="582" t="s">
        <v>2261</v>
      </c>
      <c r="T1050" s="573" t="s">
        <v>1894</v>
      </c>
      <c r="U1050" s="573">
        <v>129.9</v>
      </c>
      <c r="V1050" s="573">
        <v>25</v>
      </c>
      <c r="W1050" s="616">
        <v>9000</v>
      </c>
      <c r="X1050" s="617" t="s">
        <v>157</v>
      </c>
      <c r="Y1050" s="617" t="s">
        <v>178</v>
      </c>
      <c r="Z1050" s="617" t="s">
        <v>178</v>
      </c>
      <c r="AA1050" s="618">
        <v>35935</v>
      </c>
      <c r="AB1050" s="618" t="s">
        <v>164</v>
      </c>
      <c r="AC1050" s="618">
        <v>27200</v>
      </c>
      <c r="AD1050" s="619">
        <v>0.01</v>
      </c>
      <c r="AE1050" s="617" t="s">
        <v>2265</v>
      </c>
    </row>
    <row r="1051" spans="1:31" s="572" customFormat="1">
      <c r="A1051" s="570" t="s">
        <v>2300</v>
      </c>
      <c r="B1051" s="569" t="s">
        <v>278</v>
      </c>
      <c r="C1051" s="580">
        <v>15</v>
      </c>
      <c r="D1051" s="569" t="s">
        <v>1516</v>
      </c>
      <c r="E1051" s="569" t="s">
        <v>1517</v>
      </c>
      <c r="F1051" s="569" t="s">
        <v>271</v>
      </c>
      <c r="G1051" s="569">
        <v>2019</v>
      </c>
      <c r="H1051" s="569" t="s">
        <v>2199</v>
      </c>
      <c r="I1051" s="569" t="s">
        <v>1950</v>
      </c>
      <c r="J1051" s="569" t="s">
        <v>236</v>
      </c>
      <c r="K1051" s="569">
        <v>2</v>
      </c>
      <c r="L1051" s="569">
        <v>0</v>
      </c>
      <c r="M1051" s="569" t="s">
        <v>157</v>
      </c>
      <c r="N1051" s="569">
        <v>1</v>
      </c>
      <c r="O1051" s="569">
        <v>109.4</v>
      </c>
      <c r="P1051" s="568" t="s">
        <v>157</v>
      </c>
      <c r="Q1051" s="569" t="s">
        <v>1917</v>
      </c>
      <c r="R1051" s="569">
        <v>5</v>
      </c>
      <c r="S1051" s="569" t="s">
        <v>2268</v>
      </c>
      <c r="T1051" s="569" t="s">
        <v>1894</v>
      </c>
      <c r="U1051" s="569">
        <v>147.6</v>
      </c>
      <c r="V1051" s="569">
        <v>25</v>
      </c>
      <c r="W1051" s="620">
        <v>9000</v>
      </c>
      <c r="X1051" s="621" t="s">
        <v>157</v>
      </c>
      <c r="Y1051" s="621" t="s">
        <v>728</v>
      </c>
      <c r="Z1051" s="621" t="s">
        <v>1523</v>
      </c>
      <c r="AA1051" s="622">
        <v>45105</v>
      </c>
      <c r="AB1051" s="622" t="s">
        <v>164</v>
      </c>
      <c r="AC1051" s="622">
        <v>35700</v>
      </c>
      <c r="AD1051" s="623">
        <v>0.01</v>
      </c>
      <c r="AE1051" s="621" t="s">
        <v>2267</v>
      </c>
    </row>
    <row r="1052" spans="1:31" s="572" customFormat="1">
      <c r="A1052" s="570" t="s">
        <v>2301</v>
      </c>
      <c r="B1052" s="573" t="s">
        <v>278</v>
      </c>
      <c r="C1052" s="578">
        <v>15</v>
      </c>
      <c r="D1052" s="573" t="s">
        <v>1516</v>
      </c>
      <c r="E1052" s="573" t="s">
        <v>1517</v>
      </c>
      <c r="F1052" s="573" t="s">
        <v>271</v>
      </c>
      <c r="G1052" s="573">
        <v>2019</v>
      </c>
      <c r="H1052" s="573" t="s">
        <v>2199</v>
      </c>
      <c r="I1052" s="573" t="s">
        <v>1950</v>
      </c>
      <c r="J1052" s="573" t="s">
        <v>236</v>
      </c>
      <c r="K1052" s="573">
        <v>2</v>
      </c>
      <c r="L1052" s="573">
        <v>0</v>
      </c>
      <c r="M1052" s="573" t="s">
        <v>157</v>
      </c>
      <c r="N1052" s="573">
        <v>1</v>
      </c>
      <c r="O1052" s="573">
        <v>109.4</v>
      </c>
      <c r="P1052" s="571" t="s">
        <v>157</v>
      </c>
      <c r="Q1052" s="573" t="s">
        <v>1259</v>
      </c>
      <c r="R1052" s="573">
        <v>6</v>
      </c>
      <c r="S1052" s="582" t="s">
        <v>2268</v>
      </c>
      <c r="T1052" s="573" t="s">
        <v>1894</v>
      </c>
      <c r="U1052" s="573">
        <v>147.6</v>
      </c>
      <c r="V1052" s="573">
        <v>25</v>
      </c>
      <c r="W1052" s="616">
        <v>9000</v>
      </c>
      <c r="X1052" s="617" t="s">
        <v>157</v>
      </c>
      <c r="Y1052" s="617" t="s">
        <v>178</v>
      </c>
      <c r="Z1052" s="617" t="s">
        <v>178</v>
      </c>
      <c r="AA1052" s="618">
        <v>42975</v>
      </c>
      <c r="AB1052" s="618" t="s">
        <v>164</v>
      </c>
      <c r="AC1052" s="618">
        <v>33700</v>
      </c>
      <c r="AD1052" s="619">
        <v>0.01</v>
      </c>
      <c r="AE1052" s="617" t="s">
        <v>2270</v>
      </c>
    </row>
    <row r="1053" spans="1:31" s="572" customFormat="1">
      <c r="A1053" s="570" t="s">
        <v>2302</v>
      </c>
      <c r="B1053" s="569" t="s">
        <v>278</v>
      </c>
      <c r="C1053" s="580">
        <v>15</v>
      </c>
      <c r="D1053" s="569" t="s">
        <v>1516</v>
      </c>
      <c r="E1053" s="569" t="s">
        <v>1517</v>
      </c>
      <c r="F1053" s="569" t="s">
        <v>271</v>
      </c>
      <c r="G1053" s="569">
        <v>2019</v>
      </c>
      <c r="H1053" s="569" t="s">
        <v>2199</v>
      </c>
      <c r="I1053" s="569" t="s">
        <v>1950</v>
      </c>
      <c r="J1053" s="569" t="s">
        <v>236</v>
      </c>
      <c r="K1053" s="569">
        <v>2</v>
      </c>
      <c r="L1053" s="569">
        <v>0</v>
      </c>
      <c r="M1053" s="569" t="s">
        <v>157</v>
      </c>
      <c r="N1053" s="569">
        <v>1</v>
      </c>
      <c r="O1053" s="569">
        <v>109.4</v>
      </c>
      <c r="P1053" s="568" t="s">
        <v>157</v>
      </c>
      <c r="Q1053" s="569" t="s">
        <v>682</v>
      </c>
      <c r="R1053" s="569">
        <v>6</v>
      </c>
      <c r="S1053" s="569" t="s">
        <v>2268</v>
      </c>
      <c r="T1053" s="569" t="s">
        <v>1894</v>
      </c>
      <c r="U1053" s="569">
        <v>147.6</v>
      </c>
      <c r="V1053" s="569">
        <v>25</v>
      </c>
      <c r="W1053" s="620">
        <v>9000</v>
      </c>
      <c r="X1053" s="621" t="s">
        <v>157</v>
      </c>
      <c r="Y1053" s="621" t="s">
        <v>178</v>
      </c>
      <c r="Z1053" s="621" t="s">
        <v>178</v>
      </c>
      <c r="AA1053" s="622">
        <v>41110</v>
      </c>
      <c r="AB1053" s="622" t="s">
        <v>164</v>
      </c>
      <c r="AC1053" s="622">
        <v>32100</v>
      </c>
      <c r="AD1053" s="623">
        <v>0.01</v>
      </c>
      <c r="AE1053" s="621" t="s">
        <v>2272</v>
      </c>
    </row>
    <row r="1054" spans="1:31" s="572" customFormat="1">
      <c r="A1054" s="570" t="s">
        <v>2303</v>
      </c>
      <c r="B1054" s="573" t="s">
        <v>278</v>
      </c>
      <c r="C1054" s="578">
        <v>15</v>
      </c>
      <c r="D1054" s="573" t="s">
        <v>1516</v>
      </c>
      <c r="E1054" s="573" t="s">
        <v>1517</v>
      </c>
      <c r="F1054" s="573" t="s">
        <v>271</v>
      </c>
      <c r="G1054" s="573">
        <v>2019</v>
      </c>
      <c r="H1054" s="573" t="s">
        <v>2199</v>
      </c>
      <c r="I1054" s="573" t="s">
        <v>1950</v>
      </c>
      <c r="J1054" s="573" t="s">
        <v>236</v>
      </c>
      <c r="K1054" s="573">
        <v>2</v>
      </c>
      <c r="L1054" s="573">
        <v>0</v>
      </c>
      <c r="M1054" s="573" t="s">
        <v>157</v>
      </c>
      <c r="N1054" s="573">
        <v>1</v>
      </c>
      <c r="O1054" s="573">
        <v>110.1</v>
      </c>
      <c r="P1054" s="571" t="s">
        <v>157</v>
      </c>
      <c r="Q1054" s="573" t="s">
        <v>1917</v>
      </c>
      <c r="R1054" s="573">
        <v>5</v>
      </c>
      <c r="S1054" s="582" t="s">
        <v>2275</v>
      </c>
      <c r="T1054" s="573" t="s">
        <v>1894</v>
      </c>
      <c r="U1054" s="573">
        <v>147.6</v>
      </c>
      <c r="V1054" s="573">
        <v>25</v>
      </c>
      <c r="W1054" s="616">
        <v>9000</v>
      </c>
      <c r="X1054" s="617" t="s">
        <v>157</v>
      </c>
      <c r="Y1054" s="617" t="s">
        <v>728</v>
      </c>
      <c r="Z1054" s="617" t="s">
        <v>1523</v>
      </c>
      <c r="AA1054" s="618">
        <v>43805</v>
      </c>
      <c r="AB1054" s="618" t="s">
        <v>164</v>
      </c>
      <c r="AC1054" s="618">
        <v>34500</v>
      </c>
      <c r="AD1054" s="619">
        <v>0.01</v>
      </c>
      <c r="AE1054" s="617" t="s">
        <v>2274</v>
      </c>
    </row>
    <row r="1055" spans="1:31" s="572" customFormat="1">
      <c r="A1055" s="570" t="s">
        <v>2304</v>
      </c>
      <c r="B1055" s="569" t="s">
        <v>278</v>
      </c>
      <c r="C1055" s="580">
        <v>15</v>
      </c>
      <c r="D1055" s="569" t="s">
        <v>1516</v>
      </c>
      <c r="E1055" s="569" t="s">
        <v>1517</v>
      </c>
      <c r="F1055" s="569" t="s">
        <v>271</v>
      </c>
      <c r="G1055" s="569">
        <v>2019</v>
      </c>
      <c r="H1055" s="569" t="s">
        <v>2199</v>
      </c>
      <c r="I1055" s="569" t="s">
        <v>1950</v>
      </c>
      <c r="J1055" s="569" t="s">
        <v>236</v>
      </c>
      <c r="K1055" s="569">
        <v>2</v>
      </c>
      <c r="L1055" s="569">
        <v>0</v>
      </c>
      <c r="M1055" s="569" t="s">
        <v>157</v>
      </c>
      <c r="N1055" s="569">
        <v>1</v>
      </c>
      <c r="O1055" s="569">
        <v>110.1</v>
      </c>
      <c r="P1055" s="568" t="s">
        <v>157</v>
      </c>
      <c r="Q1055" s="569" t="s">
        <v>1259</v>
      </c>
      <c r="R1055" s="569">
        <v>6</v>
      </c>
      <c r="S1055" s="569" t="s">
        <v>2275</v>
      </c>
      <c r="T1055" s="569" t="s">
        <v>1894</v>
      </c>
      <c r="U1055" s="569">
        <v>147.6</v>
      </c>
      <c r="V1055" s="569">
        <v>25</v>
      </c>
      <c r="W1055" s="620">
        <v>9000</v>
      </c>
      <c r="X1055" s="621" t="s">
        <v>157</v>
      </c>
      <c r="Y1055" s="621" t="s">
        <v>178</v>
      </c>
      <c r="Z1055" s="621" t="s">
        <v>178</v>
      </c>
      <c r="AA1055" s="622">
        <v>41675</v>
      </c>
      <c r="AB1055" s="622" t="s">
        <v>164</v>
      </c>
      <c r="AC1055" s="622">
        <v>32500</v>
      </c>
      <c r="AD1055" s="623">
        <v>0.01</v>
      </c>
      <c r="AE1055" s="621" t="s">
        <v>2277</v>
      </c>
    </row>
    <row r="1056" spans="1:31" s="572" customFormat="1">
      <c r="A1056" s="570" t="s">
        <v>2305</v>
      </c>
      <c r="B1056" s="573" t="s">
        <v>278</v>
      </c>
      <c r="C1056" s="578">
        <v>15</v>
      </c>
      <c r="D1056" s="573" t="s">
        <v>1516</v>
      </c>
      <c r="E1056" s="573" t="s">
        <v>1517</v>
      </c>
      <c r="F1056" s="573" t="s">
        <v>271</v>
      </c>
      <c r="G1056" s="573">
        <v>2019</v>
      </c>
      <c r="H1056" s="573" t="s">
        <v>2199</v>
      </c>
      <c r="I1056" s="573" t="s">
        <v>1950</v>
      </c>
      <c r="J1056" s="573" t="s">
        <v>236</v>
      </c>
      <c r="K1056" s="573">
        <v>2</v>
      </c>
      <c r="L1056" s="573">
        <v>0</v>
      </c>
      <c r="M1056" s="573" t="s">
        <v>157</v>
      </c>
      <c r="N1056" s="573">
        <v>1</v>
      </c>
      <c r="O1056" s="573">
        <v>110.1</v>
      </c>
      <c r="P1056" s="571" t="s">
        <v>157</v>
      </c>
      <c r="Q1056" s="573" t="s">
        <v>682</v>
      </c>
      <c r="R1056" s="573">
        <v>6</v>
      </c>
      <c r="S1056" s="582" t="s">
        <v>2275</v>
      </c>
      <c r="T1056" s="573" t="s">
        <v>1894</v>
      </c>
      <c r="U1056" s="573">
        <v>147.6</v>
      </c>
      <c r="V1056" s="573">
        <v>25</v>
      </c>
      <c r="W1056" s="616">
        <v>9000</v>
      </c>
      <c r="X1056" s="617" t="s">
        <v>157</v>
      </c>
      <c r="Y1056" s="617" t="s">
        <v>178</v>
      </c>
      <c r="Z1056" s="617" t="s">
        <v>178</v>
      </c>
      <c r="AA1056" s="618">
        <v>39810</v>
      </c>
      <c r="AB1056" s="618" t="s">
        <v>164</v>
      </c>
      <c r="AC1056" s="618">
        <v>30800</v>
      </c>
      <c r="AD1056" s="619">
        <v>0.01</v>
      </c>
      <c r="AE1056" s="617" t="s">
        <v>2279</v>
      </c>
    </row>
    <row r="1057" spans="1:31" s="572" customFormat="1">
      <c r="A1057" s="570" t="s">
        <v>2306</v>
      </c>
      <c r="B1057" s="569" t="s">
        <v>278</v>
      </c>
      <c r="C1057" s="580">
        <v>15</v>
      </c>
      <c r="D1057" s="569" t="s">
        <v>1516</v>
      </c>
      <c r="E1057" s="569" t="s">
        <v>1517</v>
      </c>
      <c r="F1057" s="569" t="s">
        <v>271</v>
      </c>
      <c r="G1057" s="569">
        <v>2019</v>
      </c>
      <c r="H1057" s="569" t="s">
        <v>2199</v>
      </c>
      <c r="I1057" s="569" t="s">
        <v>1950</v>
      </c>
      <c r="J1057" s="569" t="s">
        <v>236</v>
      </c>
      <c r="K1057" s="569">
        <v>2</v>
      </c>
      <c r="L1057" s="569">
        <v>0</v>
      </c>
      <c r="M1057" s="569" t="s">
        <v>157</v>
      </c>
      <c r="N1057" s="569">
        <v>1</v>
      </c>
      <c r="O1057" s="569">
        <v>83.2</v>
      </c>
      <c r="P1057" s="568" t="s">
        <v>157</v>
      </c>
      <c r="Q1057" s="569" t="s">
        <v>1917</v>
      </c>
      <c r="R1057" s="569">
        <v>5</v>
      </c>
      <c r="S1057" s="569" t="s">
        <v>2282</v>
      </c>
      <c r="T1057" s="569" t="s">
        <v>1894</v>
      </c>
      <c r="U1057" s="569">
        <v>129.9</v>
      </c>
      <c r="V1057" s="569">
        <v>25</v>
      </c>
      <c r="W1057" s="620">
        <v>9000</v>
      </c>
      <c r="X1057" s="621" t="s">
        <v>157</v>
      </c>
      <c r="Y1057" s="621" t="s">
        <v>728</v>
      </c>
      <c r="Z1057" s="621" t="s">
        <v>1523</v>
      </c>
      <c r="AA1057" s="622">
        <v>39625</v>
      </c>
      <c r="AB1057" s="622" t="s">
        <v>164</v>
      </c>
      <c r="AC1057" s="622">
        <v>28400</v>
      </c>
      <c r="AD1057" s="623">
        <v>0.01</v>
      </c>
      <c r="AE1057" s="621" t="s">
        <v>2281</v>
      </c>
    </row>
    <row r="1058" spans="1:31" s="572" customFormat="1">
      <c r="A1058" s="570" t="s">
        <v>2307</v>
      </c>
      <c r="B1058" s="573" t="s">
        <v>278</v>
      </c>
      <c r="C1058" s="578">
        <v>15</v>
      </c>
      <c r="D1058" s="573" t="s">
        <v>1516</v>
      </c>
      <c r="E1058" s="573" t="s">
        <v>1517</v>
      </c>
      <c r="F1058" s="573" t="s">
        <v>271</v>
      </c>
      <c r="G1058" s="573">
        <v>2019</v>
      </c>
      <c r="H1058" s="573" t="s">
        <v>2199</v>
      </c>
      <c r="I1058" s="573" t="s">
        <v>1950</v>
      </c>
      <c r="J1058" s="573" t="s">
        <v>236</v>
      </c>
      <c r="K1058" s="573">
        <v>2</v>
      </c>
      <c r="L1058" s="573">
        <v>0</v>
      </c>
      <c r="M1058" s="573" t="s">
        <v>157</v>
      </c>
      <c r="N1058" s="573">
        <v>1</v>
      </c>
      <c r="O1058" s="573">
        <v>83.2</v>
      </c>
      <c r="P1058" s="571" t="s">
        <v>157</v>
      </c>
      <c r="Q1058" s="573" t="s">
        <v>1917</v>
      </c>
      <c r="R1058" s="573">
        <v>5</v>
      </c>
      <c r="S1058" s="582" t="s">
        <v>2285</v>
      </c>
      <c r="T1058" s="573" t="s">
        <v>1894</v>
      </c>
      <c r="U1058" s="573">
        <v>147.6</v>
      </c>
      <c r="V1058" s="573">
        <v>25</v>
      </c>
      <c r="W1058" s="616">
        <v>9000</v>
      </c>
      <c r="X1058" s="617" t="s">
        <v>157</v>
      </c>
      <c r="Y1058" s="617" t="s">
        <v>728</v>
      </c>
      <c r="Z1058" s="617" t="s">
        <v>1523</v>
      </c>
      <c r="AA1058" s="618">
        <v>40505</v>
      </c>
      <c r="AB1058" s="618" t="s">
        <v>164</v>
      </c>
      <c r="AC1058" s="618">
        <v>29300</v>
      </c>
      <c r="AD1058" s="619">
        <v>0.01</v>
      </c>
      <c r="AE1058" s="617" t="s">
        <v>2284</v>
      </c>
    </row>
    <row r="1059" spans="1:31" s="572" customFormat="1">
      <c r="A1059" s="570" t="s">
        <v>2308</v>
      </c>
      <c r="B1059" s="569" t="s">
        <v>278</v>
      </c>
      <c r="C1059" s="580">
        <v>15</v>
      </c>
      <c r="D1059" s="569" t="s">
        <v>1516</v>
      </c>
      <c r="E1059" s="569" t="s">
        <v>1517</v>
      </c>
      <c r="F1059" s="569" t="s">
        <v>271</v>
      </c>
      <c r="G1059" s="569">
        <v>2019</v>
      </c>
      <c r="H1059" s="569" t="s">
        <v>2199</v>
      </c>
      <c r="I1059" s="569" t="s">
        <v>1950</v>
      </c>
      <c r="J1059" s="569" t="s">
        <v>236</v>
      </c>
      <c r="K1059" s="569">
        <v>2</v>
      </c>
      <c r="L1059" s="569">
        <v>0</v>
      </c>
      <c r="M1059" s="569" t="s">
        <v>157</v>
      </c>
      <c r="N1059" s="569">
        <v>1</v>
      </c>
      <c r="O1059" s="569">
        <v>83.2</v>
      </c>
      <c r="P1059" s="568" t="s">
        <v>157</v>
      </c>
      <c r="Q1059" s="569" t="s">
        <v>1259</v>
      </c>
      <c r="R1059" s="569">
        <v>6</v>
      </c>
      <c r="S1059" s="569" t="s">
        <v>2282</v>
      </c>
      <c r="T1059" s="569" t="s">
        <v>1894</v>
      </c>
      <c r="U1059" s="569">
        <v>129.9</v>
      </c>
      <c r="V1059" s="569">
        <v>25</v>
      </c>
      <c r="W1059" s="620">
        <v>9000</v>
      </c>
      <c r="X1059" s="621" t="s">
        <v>157</v>
      </c>
      <c r="Y1059" s="621" t="s">
        <v>178</v>
      </c>
      <c r="Z1059" s="621" t="s">
        <v>178</v>
      </c>
      <c r="AA1059" s="622">
        <v>37495</v>
      </c>
      <c r="AB1059" s="622" t="s">
        <v>164</v>
      </c>
      <c r="AC1059" s="622">
        <v>26500</v>
      </c>
      <c r="AD1059" s="623">
        <v>0.01</v>
      </c>
      <c r="AE1059" s="621" t="s">
        <v>2287</v>
      </c>
    </row>
    <row r="1060" spans="1:31" s="572" customFormat="1">
      <c r="A1060" s="570" t="s">
        <v>2309</v>
      </c>
      <c r="B1060" s="573" t="s">
        <v>278</v>
      </c>
      <c r="C1060" s="578">
        <v>15</v>
      </c>
      <c r="D1060" s="573" t="s">
        <v>1516</v>
      </c>
      <c r="E1060" s="573" t="s">
        <v>1517</v>
      </c>
      <c r="F1060" s="573" t="s">
        <v>271</v>
      </c>
      <c r="G1060" s="573">
        <v>2019</v>
      </c>
      <c r="H1060" s="573" t="s">
        <v>2199</v>
      </c>
      <c r="I1060" s="573" t="s">
        <v>1950</v>
      </c>
      <c r="J1060" s="573" t="s">
        <v>236</v>
      </c>
      <c r="K1060" s="573">
        <v>2</v>
      </c>
      <c r="L1060" s="573">
        <v>0</v>
      </c>
      <c r="M1060" s="573" t="s">
        <v>157</v>
      </c>
      <c r="N1060" s="573">
        <v>1</v>
      </c>
      <c r="O1060" s="573">
        <v>83.2</v>
      </c>
      <c r="P1060" s="571" t="s">
        <v>157</v>
      </c>
      <c r="Q1060" s="573" t="s">
        <v>1259</v>
      </c>
      <c r="R1060" s="573">
        <v>6</v>
      </c>
      <c r="S1060" s="582" t="s">
        <v>2285</v>
      </c>
      <c r="T1060" s="573" t="s">
        <v>1894</v>
      </c>
      <c r="U1060" s="573">
        <v>147.6</v>
      </c>
      <c r="V1060" s="573">
        <v>25</v>
      </c>
      <c r="W1060" s="616">
        <v>9000</v>
      </c>
      <c r="X1060" s="617" t="s">
        <v>157</v>
      </c>
      <c r="Y1060" s="617" t="s">
        <v>178</v>
      </c>
      <c r="Z1060" s="617" t="s">
        <v>178</v>
      </c>
      <c r="AA1060" s="618">
        <v>38375</v>
      </c>
      <c r="AB1060" s="618" t="s">
        <v>164</v>
      </c>
      <c r="AC1060" s="618">
        <v>27300</v>
      </c>
      <c r="AD1060" s="619">
        <v>0.01</v>
      </c>
      <c r="AE1060" s="617" t="s">
        <v>2289</v>
      </c>
    </row>
    <row r="1061" spans="1:31" s="572" customFormat="1">
      <c r="A1061" s="570" t="s">
        <v>2310</v>
      </c>
      <c r="B1061" s="569" t="s">
        <v>278</v>
      </c>
      <c r="C1061" s="580">
        <v>15</v>
      </c>
      <c r="D1061" s="569" t="s">
        <v>1516</v>
      </c>
      <c r="E1061" s="569" t="s">
        <v>1517</v>
      </c>
      <c r="F1061" s="569" t="s">
        <v>271</v>
      </c>
      <c r="G1061" s="569">
        <v>2019</v>
      </c>
      <c r="H1061" s="569" t="s">
        <v>2199</v>
      </c>
      <c r="I1061" s="569" t="s">
        <v>1950</v>
      </c>
      <c r="J1061" s="569" t="s">
        <v>236</v>
      </c>
      <c r="K1061" s="569">
        <v>2</v>
      </c>
      <c r="L1061" s="569">
        <v>0</v>
      </c>
      <c r="M1061" s="569" t="s">
        <v>157</v>
      </c>
      <c r="N1061" s="569">
        <v>1</v>
      </c>
      <c r="O1061" s="569">
        <v>83.2</v>
      </c>
      <c r="P1061" s="568" t="s">
        <v>157</v>
      </c>
      <c r="Q1061" s="569" t="s">
        <v>682</v>
      </c>
      <c r="R1061" s="569">
        <v>6</v>
      </c>
      <c r="S1061" s="569" t="s">
        <v>2282</v>
      </c>
      <c r="T1061" s="569" t="s">
        <v>1894</v>
      </c>
      <c r="U1061" s="569">
        <v>129.9</v>
      </c>
      <c r="V1061" s="569">
        <v>25</v>
      </c>
      <c r="W1061" s="620">
        <v>9000</v>
      </c>
      <c r="X1061" s="621" t="s">
        <v>157</v>
      </c>
      <c r="Y1061" s="621" t="s">
        <v>178</v>
      </c>
      <c r="Z1061" s="621" t="s">
        <v>178</v>
      </c>
      <c r="AA1061" s="622">
        <v>35630</v>
      </c>
      <c r="AB1061" s="622" t="s">
        <v>164</v>
      </c>
      <c r="AC1061" s="622">
        <v>24800</v>
      </c>
      <c r="AD1061" s="623">
        <v>0.01</v>
      </c>
      <c r="AE1061" s="621" t="s">
        <v>2291</v>
      </c>
    </row>
    <row r="1062" spans="1:31" s="572" customFormat="1">
      <c r="A1062" s="570" t="s">
        <v>2311</v>
      </c>
      <c r="B1062" s="573" t="s">
        <v>278</v>
      </c>
      <c r="C1062" s="578">
        <v>15</v>
      </c>
      <c r="D1062" s="573" t="s">
        <v>1516</v>
      </c>
      <c r="E1062" s="573" t="s">
        <v>1517</v>
      </c>
      <c r="F1062" s="573" t="s">
        <v>271</v>
      </c>
      <c r="G1062" s="573">
        <v>2019</v>
      </c>
      <c r="H1062" s="573" t="s">
        <v>2199</v>
      </c>
      <c r="I1062" s="573" t="s">
        <v>1950</v>
      </c>
      <c r="J1062" s="573" t="s">
        <v>236</v>
      </c>
      <c r="K1062" s="573">
        <v>2</v>
      </c>
      <c r="L1062" s="573">
        <v>0</v>
      </c>
      <c r="M1062" s="573" t="s">
        <v>157</v>
      </c>
      <c r="N1062" s="573">
        <v>1</v>
      </c>
      <c r="O1062" s="573">
        <v>83.2</v>
      </c>
      <c r="P1062" s="571" t="s">
        <v>157</v>
      </c>
      <c r="Q1062" s="573" t="s">
        <v>682</v>
      </c>
      <c r="R1062" s="573">
        <v>6</v>
      </c>
      <c r="S1062" s="582" t="s">
        <v>2285</v>
      </c>
      <c r="T1062" s="573" t="s">
        <v>1894</v>
      </c>
      <c r="U1062" s="573">
        <v>147.6</v>
      </c>
      <c r="V1062" s="573">
        <v>25</v>
      </c>
      <c r="W1062" s="616">
        <v>9000</v>
      </c>
      <c r="X1062" s="617" t="s">
        <v>157</v>
      </c>
      <c r="Y1062" s="617" t="s">
        <v>178</v>
      </c>
      <c r="Z1062" s="617" t="s">
        <v>178</v>
      </c>
      <c r="AA1062" s="618">
        <v>36510</v>
      </c>
      <c r="AB1062" s="618" t="s">
        <v>164</v>
      </c>
      <c r="AC1062" s="618">
        <v>25600</v>
      </c>
      <c r="AD1062" s="619">
        <v>0.01</v>
      </c>
      <c r="AE1062" s="617" t="s">
        <v>2293</v>
      </c>
    </row>
    <row r="1063" spans="1:31" s="572" customFormat="1">
      <c r="A1063" s="570" t="s">
        <v>2312</v>
      </c>
      <c r="B1063" s="569" t="s">
        <v>287</v>
      </c>
      <c r="C1063" s="580">
        <v>26</v>
      </c>
      <c r="D1063" s="569" t="s">
        <v>1516</v>
      </c>
      <c r="E1063" s="569" t="s">
        <v>1517</v>
      </c>
      <c r="F1063" s="569" t="s">
        <v>271</v>
      </c>
      <c r="G1063" s="569">
        <v>2018</v>
      </c>
      <c r="H1063" s="569" t="s">
        <v>2199</v>
      </c>
      <c r="I1063" s="569" t="s">
        <v>1950</v>
      </c>
      <c r="J1063" s="569" t="s">
        <v>236</v>
      </c>
      <c r="K1063" s="569">
        <v>2</v>
      </c>
      <c r="L1063" s="569">
        <v>0</v>
      </c>
      <c r="M1063" s="569" t="s">
        <v>157</v>
      </c>
      <c r="N1063" s="569">
        <v>1</v>
      </c>
      <c r="O1063" s="569">
        <v>100.8</v>
      </c>
      <c r="P1063" s="568" t="s">
        <v>157</v>
      </c>
      <c r="Q1063" s="569" t="s">
        <v>1259</v>
      </c>
      <c r="R1063" s="569">
        <v>6</v>
      </c>
      <c r="S1063" s="569" t="s">
        <v>2261</v>
      </c>
      <c r="T1063" s="569" t="s">
        <v>1894</v>
      </c>
      <c r="U1063" s="569">
        <v>129.9</v>
      </c>
      <c r="V1063" s="569">
        <v>25</v>
      </c>
      <c r="W1063" s="620">
        <v>9000</v>
      </c>
      <c r="X1063" s="621" t="s">
        <v>157</v>
      </c>
      <c r="Y1063" s="621" t="s">
        <v>178</v>
      </c>
      <c r="Z1063" s="621" t="s">
        <v>178</v>
      </c>
      <c r="AA1063" s="622">
        <v>37800</v>
      </c>
      <c r="AB1063" s="622" t="s">
        <v>164</v>
      </c>
      <c r="AC1063" s="622">
        <v>29369</v>
      </c>
      <c r="AD1063" s="623">
        <v>0.05</v>
      </c>
      <c r="AE1063" s="621" t="s">
        <v>2263</v>
      </c>
    </row>
    <row r="1064" spans="1:31" s="572" customFormat="1">
      <c r="A1064" s="570" t="s">
        <v>2313</v>
      </c>
      <c r="B1064" s="573" t="s">
        <v>287</v>
      </c>
      <c r="C1064" s="578">
        <v>26</v>
      </c>
      <c r="D1064" s="573" t="s">
        <v>1516</v>
      </c>
      <c r="E1064" s="573" t="s">
        <v>1517</v>
      </c>
      <c r="F1064" s="573" t="s">
        <v>271</v>
      </c>
      <c r="G1064" s="573">
        <v>2018</v>
      </c>
      <c r="H1064" s="573" t="s">
        <v>2199</v>
      </c>
      <c r="I1064" s="573" t="s">
        <v>1950</v>
      </c>
      <c r="J1064" s="573" t="s">
        <v>236</v>
      </c>
      <c r="K1064" s="573">
        <v>2</v>
      </c>
      <c r="L1064" s="573">
        <v>0</v>
      </c>
      <c r="M1064" s="573" t="s">
        <v>157</v>
      </c>
      <c r="N1064" s="573">
        <v>1</v>
      </c>
      <c r="O1064" s="573">
        <v>83.2</v>
      </c>
      <c r="P1064" s="571" t="s">
        <v>157</v>
      </c>
      <c r="Q1064" s="573" t="s">
        <v>1259</v>
      </c>
      <c r="R1064" s="573">
        <v>6</v>
      </c>
      <c r="S1064" s="582" t="s">
        <v>2282</v>
      </c>
      <c r="T1064" s="573" t="s">
        <v>1894</v>
      </c>
      <c r="U1064" s="573">
        <v>129.9</v>
      </c>
      <c r="V1064" s="573">
        <v>25</v>
      </c>
      <c r="W1064" s="616">
        <v>9000</v>
      </c>
      <c r="X1064" s="617" t="s">
        <v>157</v>
      </c>
      <c r="Y1064" s="617" t="s">
        <v>178</v>
      </c>
      <c r="Z1064" s="617" t="s">
        <v>178</v>
      </c>
      <c r="AA1064" s="618">
        <v>37495</v>
      </c>
      <c r="AB1064" s="618" t="s">
        <v>164</v>
      </c>
      <c r="AC1064" s="618">
        <v>26930</v>
      </c>
      <c r="AD1064" s="619">
        <v>0.05</v>
      </c>
      <c r="AE1064" s="617" t="s">
        <v>2287</v>
      </c>
    </row>
    <row r="1065" spans="1:31" s="572" customFormat="1">
      <c r="A1065" s="570" t="s">
        <v>2314</v>
      </c>
      <c r="B1065" s="569" t="s">
        <v>287</v>
      </c>
      <c r="C1065" s="580">
        <v>26</v>
      </c>
      <c r="D1065" s="569" t="s">
        <v>1516</v>
      </c>
      <c r="E1065" s="569" t="s">
        <v>1517</v>
      </c>
      <c r="F1065" s="569" t="s">
        <v>271</v>
      </c>
      <c r="G1065" s="569">
        <v>2019</v>
      </c>
      <c r="H1065" s="569" t="s">
        <v>2199</v>
      </c>
      <c r="I1065" s="569" t="s">
        <v>1950</v>
      </c>
      <c r="J1065" s="569" t="s">
        <v>236</v>
      </c>
      <c r="K1065" s="569">
        <v>2</v>
      </c>
      <c r="L1065" s="569">
        <v>0</v>
      </c>
      <c r="M1065" s="569" t="s">
        <v>157</v>
      </c>
      <c r="N1065" s="569">
        <v>1</v>
      </c>
      <c r="O1065" s="569">
        <v>100.7</v>
      </c>
      <c r="P1065" s="568" t="s">
        <v>157</v>
      </c>
      <c r="Q1065" s="569" t="s">
        <v>1917</v>
      </c>
      <c r="R1065" s="569">
        <v>5</v>
      </c>
      <c r="S1065" s="569" t="s">
        <v>2254</v>
      </c>
      <c r="T1065" s="569" t="s">
        <v>1894</v>
      </c>
      <c r="U1065" s="569">
        <v>147.6</v>
      </c>
      <c r="V1065" s="569">
        <v>25</v>
      </c>
      <c r="W1065" s="620">
        <v>9000</v>
      </c>
      <c r="X1065" s="621" t="s">
        <v>157</v>
      </c>
      <c r="Y1065" s="621" t="s">
        <v>728</v>
      </c>
      <c r="Z1065" s="621" t="s">
        <v>1523</v>
      </c>
      <c r="AA1065" s="622">
        <v>41655</v>
      </c>
      <c r="AB1065" s="622" t="s">
        <v>164</v>
      </c>
      <c r="AC1065" s="622">
        <v>32953</v>
      </c>
      <c r="AD1065" s="623">
        <v>0.05</v>
      </c>
      <c r="AE1065" s="621" t="s">
        <v>2253</v>
      </c>
    </row>
    <row r="1066" spans="1:31" s="572" customFormat="1">
      <c r="A1066" s="570" t="s">
        <v>2315</v>
      </c>
      <c r="B1066" s="573" t="s">
        <v>287</v>
      </c>
      <c r="C1066" s="578">
        <v>26</v>
      </c>
      <c r="D1066" s="573" t="s">
        <v>1516</v>
      </c>
      <c r="E1066" s="573" t="s">
        <v>1517</v>
      </c>
      <c r="F1066" s="573" t="s">
        <v>271</v>
      </c>
      <c r="G1066" s="573">
        <v>2019</v>
      </c>
      <c r="H1066" s="573" t="s">
        <v>2199</v>
      </c>
      <c r="I1066" s="573" t="s">
        <v>1950</v>
      </c>
      <c r="J1066" s="573" t="s">
        <v>236</v>
      </c>
      <c r="K1066" s="573">
        <v>2</v>
      </c>
      <c r="L1066" s="573">
        <v>0</v>
      </c>
      <c r="M1066" s="573" t="s">
        <v>157</v>
      </c>
      <c r="N1066" s="573">
        <v>1</v>
      </c>
      <c r="O1066" s="573">
        <v>100.7</v>
      </c>
      <c r="P1066" s="571" t="s">
        <v>157</v>
      </c>
      <c r="Q1066" s="573" t="s">
        <v>1259</v>
      </c>
      <c r="R1066" s="573">
        <v>6</v>
      </c>
      <c r="S1066" s="582" t="s">
        <v>2254</v>
      </c>
      <c r="T1066" s="573" t="s">
        <v>1894</v>
      </c>
      <c r="U1066" s="573">
        <v>147.6</v>
      </c>
      <c r="V1066" s="573">
        <v>25</v>
      </c>
      <c r="W1066" s="616">
        <v>9000</v>
      </c>
      <c r="X1066" s="617" t="s">
        <v>157</v>
      </c>
      <c r="Y1066" s="617" t="s">
        <v>178</v>
      </c>
      <c r="Z1066" s="617" t="s">
        <v>178</v>
      </c>
      <c r="AA1066" s="618">
        <v>39525</v>
      </c>
      <c r="AB1066" s="618" t="s">
        <v>164</v>
      </c>
      <c r="AC1066" s="618">
        <v>30999</v>
      </c>
      <c r="AD1066" s="619">
        <v>0.05</v>
      </c>
      <c r="AE1066" s="617" t="s">
        <v>2256</v>
      </c>
    </row>
    <row r="1067" spans="1:31" s="572" customFormat="1">
      <c r="A1067" s="570" t="s">
        <v>2316</v>
      </c>
      <c r="B1067" s="569" t="s">
        <v>287</v>
      </c>
      <c r="C1067" s="580">
        <v>26</v>
      </c>
      <c r="D1067" s="569" t="s">
        <v>1516</v>
      </c>
      <c r="E1067" s="569" t="s">
        <v>1517</v>
      </c>
      <c r="F1067" s="569" t="s">
        <v>271</v>
      </c>
      <c r="G1067" s="569">
        <v>2019</v>
      </c>
      <c r="H1067" s="569" t="s">
        <v>2199</v>
      </c>
      <c r="I1067" s="569" t="s">
        <v>1950</v>
      </c>
      <c r="J1067" s="569" t="s">
        <v>236</v>
      </c>
      <c r="K1067" s="569">
        <v>2</v>
      </c>
      <c r="L1067" s="569">
        <v>0</v>
      </c>
      <c r="M1067" s="569" t="s">
        <v>157</v>
      </c>
      <c r="N1067" s="569">
        <v>1</v>
      </c>
      <c r="O1067" s="569">
        <v>100.7</v>
      </c>
      <c r="P1067" s="568" t="s">
        <v>157</v>
      </c>
      <c r="Q1067" s="569" t="s">
        <v>682</v>
      </c>
      <c r="R1067" s="569">
        <v>6</v>
      </c>
      <c r="S1067" s="569" t="s">
        <v>2254</v>
      </c>
      <c r="T1067" s="569" t="s">
        <v>1894</v>
      </c>
      <c r="U1067" s="569">
        <v>147.6</v>
      </c>
      <c r="V1067" s="569">
        <v>25</v>
      </c>
      <c r="W1067" s="620">
        <v>9000</v>
      </c>
      <c r="X1067" s="621" t="s">
        <v>157</v>
      </c>
      <c r="Y1067" s="621" t="s">
        <v>178</v>
      </c>
      <c r="Z1067" s="621" t="s">
        <v>178</v>
      </c>
      <c r="AA1067" s="622">
        <v>37660</v>
      </c>
      <c r="AB1067" s="622" t="s">
        <v>164</v>
      </c>
      <c r="AC1067" s="622">
        <v>29289</v>
      </c>
      <c r="AD1067" s="623">
        <v>0.05</v>
      </c>
      <c r="AE1067" s="621" t="s">
        <v>2258</v>
      </c>
    </row>
    <row r="1068" spans="1:31" s="572" customFormat="1">
      <c r="A1068" s="570" t="s">
        <v>2317</v>
      </c>
      <c r="B1068" s="573" t="s">
        <v>287</v>
      </c>
      <c r="C1068" s="578">
        <v>26</v>
      </c>
      <c r="D1068" s="573" t="s">
        <v>1516</v>
      </c>
      <c r="E1068" s="573" t="s">
        <v>1517</v>
      </c>
      <c r="F1068" s="573" t="s">
        <v>271</v>
      </c>
      <c r="G1068" s="573">
        <v>2019</v>
      </c>
      <c r="H1068" s="573" t="s">
        <v>2199</v>
      </c>
      <c r="I1068" s="573" t="s">
        <v>1950</v>
      </c>
      <c r="J1068" s="573" t="s">
        <v>236</v>
      </c>
      <c r="K1068" s="573">
        <v>2</v>
      </c>
      <c r="L1068" s="573">
        <v>0</v>
      </c>
      <c r="M1068" s="573" t="s">
        <v>157</v>
      </c>
      <c r="N1068" s="573">
        <v>1</v>
      </c>
      <c r="O1068" s="573">
        <v>100.8</v>
      </c>
      <c r="P1068" s="571" t="s">
        <v>157</v>
      </c>
      <c r="Q1068" s="573" t="s">
        <v>1917</v>
      </c>
      <c r="R1068" s="573">
        <v>5</v>
      </c>
      <c r="S1068" s="582" t="s">
        <v>2261</v>
      </c>
      <c r="T1068" s="573" t="s">
        <v>1894</v>
      </c>
      <c r="U1068" s="573">
        <v>129.9</v>
      </c>
      <c r="V1068" s="573">
        <v>25</v>
      </c>
      <c r="W1068" s="616">
        <v>9000</v>
      </c>
      <c r="X1068" s="617" t="s">
        <v>157</v>
      </c>
      <c r="Y1068" s="617" t="s">
        <v>728</v>
      </c>
      <c r="Z1068" s="617" t="s">
        <v>1523</v>
      </c>
      <c r="AA1068" s="618">
        <v>39930</v>
      </c>
      <c r="AB1068" s="618" t="s">
        <v>164</v>
      </c>
      <c r="AC1068" s="618">
        <v>31323</v>
      </c>
      <c r="AD1068" s="619">
        <v>0.05</v>
      </c>
      <c r="AE1068" s="617" t="s">
        <v>2260</v>
      </c>
    </row>
    <row r="1069" spans="1:31" s="572" customFormat="1">
      <c r="A1069" s="570" t="s">
        <v>2318</v>
      </c>
      <c r="B1069" s="569" t="s">
        <v>287</v>
      </c>
      <c r="C1069" s="580">
        <v>26</v>
      </c>
      <c r="D1069" s="569" t="s">
        <v>1516</v>
      </c>
      <c r="E1069" s="569" t="s">
        <v>1517</v>
      </c>
      <c r="F1069" s="569" t="s">
        <v>271</v>
      </c>
      <c r="G1069" s="569">
        <v>2019</v>
      </c>
      <c r="H1069" s="569" t="s">
        <v>2199</v>
      </c>
      <c r="I1069" s="569" t="s">
        <v>1950</v>
      </c>
      <c r="J1069" s="569" t="s">
        <v>236</v>
      </c>
      <c r="K1069" s="569">
        <v>2</v>
      </c>
      <c r="L1069" s="569">
        <v>0</v>
      </c>
      <c r="M1069" s="569" t="s">
        <v>157</v>
      </c>
      <c r="N1069" s="569">
        <v>1</v>
      </c>
      <c r="O1069" s="569">
        <v>100.8</v>
      </c>
      <c r="P1069" s="568" t="s">
        <v>157</v>
      </c>
      <c r="Q1069" s="569" t="s">
        <v>682</v>
      </c>
      <c r="R1069" s="569">
        <v>6</v>
      </c>
      <c r="S1069" s="569" t="s">
        <v>2261</v>
      </c>
      <c r="T1069" s="569" t="s">
        <v>1894</v>
      </c>
      <c r="U1069" s="569">
        <v>129.9</v>
      </c>
      <c r="V1069" s="569">
        <v>25</v>
      </c>
      <c r="W1069" s="620">
        <v>9000</v>
      </c>
      <c r="X1069" s="621" t="s">
        <v>157</v>
      </c>
      <c r="Y1069" s="621" t="s">
        <v>178</v>
      </c>
      <c r="Z1069" s="621" t="s">
        <v>178</v>
      </c>
      <c r="AA1069" s="622">
        <v>35935</v>
      </c>
      <c r="AB1069" s="622" t="s">
        <v>164</v>
      </c>
      <c r="AC1069" s="622">
        <v>27659</v>
      </c>
      <c r="AD1069" s="623">
        <v>0.05</v>
      </c>
      <c r="AE1069" s="621" t="s">
        <v>2265</v>
      </c>
    </row>
    <row r="1070" spans="1:31" s="572" customFormat="1">
      <c r="A1070" s="570" t="s">
        <v>2319</v>
      </c>
      <c r="B1070" s="573" t="s">
        <v>287</v>
      </c>
      <c r="C1070" s="578">
        <v>26</v>
      </c>
      <c r="D1070" s="573" t="s">
        <v>1516</v>
      </c>
      <c r="E1070" s="573" t="s">
        <v>1517</v>
      </c>
      <c r="F1070" s="573" t="s">
        <v>271</v>
      </c>
      <c r="G1070" s="573">
        <v>2019</v>
      </c>
      <c r="H1070" s="573" t="s">
        <v>2199</v>
      </c>
      <c r="I1070" s="573" t="s">
        <v>1950</v>
      </c>
      <c r="J1070" s="573" t="s">
        <v>236</v>
      </c>
      <c r="K1070" s="573">
        <v>2</v>
      </c>
      <c r="L1070" s="573">
        <v>0</v>
      </c>
      <c r="M1070" s="573" t="s">
        <v>157</v>
      </c>
      <c r="N1070" s="573">
        <v>1</v>
      </c>
      <c r="O1070" s="573">
        <v>109.4</v>
      </c>
      <c r="P1070" s="571" t="s">
        <v>157</v>
      </c>
      <c r="Q1070" s="573" t="s">
        <v>1917</v>
      </c>
      <c r="R1070" s="573">
        <v>5</v>
      </c>
      <c r="S1070" s="582" t="s">
        <v>2268</v>
      </c>
      <c r="T1070" s="573" t="s">
        <v>1894</v>
      </c>
      <c r="U1070" s="573">
        <v>147.6</v>
      </c>
      <c r="V1070" s="573">
        <v>25</v>
      </c>
      <c r="W1070" s="616">
        <v>9000</v>
      </c>
      <c r="X1070" s="617" t="s">
        <v>157</v>
      </c>
      <c r="Y1070" s="617" t="s">
        <v>728</v>
      </c>
      <c r="Z1070" s="617" t="s">
        <v>1523</v>
      </c>
      <c r="AA1070" s="618">
        <v>45105</v>
      </c>
      <c r="AB1070" s="618" t="s">
        <v>164</v>
      </c>
      <c r="AC1070" s="618">
        <v>32209</v>
      </c>
      <c r="AD1070" s="619">
        <v>0.05</v>
      </c>
      <c r="AE1070" s="617" t="s">
        <v>2267</v>
      </c>
    </row>
    <row r="1071" spans="1:31" s="572" customFormat="1">
      <c r="A1071" s="570" t="s">
        <v>2320</v>
      </c>
      <c r="B1071" s="569" t="s">
        <v>287</v>
      </c>
      <c r="C1071" s="580">
        <v>26</v>
      </c>
      <c r="D1071" s="569" t="s">
        <v>1516</v>
      </c>
      <c r="E1071" s="569" t="s">
        <v>1517</v>
      </c>
      <c r="F1071" s="569" t="s">
        <v>271</v>
      </c>
      <c r="G1071" s="569">
        <v>2019</v>
      </c>
      <c r="H1071" s="569" t="s">
        <v>2199</v>
      </c>
      <c r="I1071" s="569" t="s">
        <v>1950</v>
      </c>
      <c r="J1071" s="569" t="s">
        <v>236</v>
      </c>
      <c r="K1071" s="569">
        <v>2</v>
      </c>
      <c r="L1071" s="569">
        <v>0</v>
      </c>
      <c r="M1071" s="569" t="s">
        <v>157</v>
      </c>
      <c r="N1071" s="569">
        <v>1</v>
      </c>
      <c r="O1071" s="569">
        <v>109.4</v>
      </c>
      <c r="P1071" s="568" t="s">
        <v>157</v>
      </c>
      <c r="Q1071" s="569" t="s">
        <v>1259</v>
      </c>
      <c r="R1071" s="569">
        <v>6</v>
      </c>
      <c r="S1071" s="569" t="s">
        <v>2268</v>
      </c>
      <c r="T1071" s="569" t="s">
        <v>1894</v>
      </c>
      <c r="U1071" s="569">
        <v>147.6</v>
      </c>
      <c r="V1071" s="569">
        <v>25</v>
      </c>
      <c r="W1071" s="620">
        <v>9000</v>
      </c>
      <c r="X1071" s="621" t="s">
        <v>157</v>
      </c>
      <c r="Y1071" s="621" t="s">
        <v>178</v>
      </c>
      <c r="Z1071" s="621" t="s">
        <v>178</v>
      </c>
      <c r="AA1071" s="622">
        <v>42975</v>
      </c>
      <c r="AB1071" s="622" t="s">
        <v>164</v>
      </c>
      <c r="AC1071" s="622">
        <v>34256</v>
      </c>
      <c r="AD1071" s="623">
        <v>0.05</v>
      </c>
      <c r="AE1071" s="621" t="s">
        <v>2270</v>
      </c>
    </row>
    <row r="1072" spans="1:31" s="572" customFormat="1">
      <c r="A1072" s="570" t="s">
        <v>2321</v>
      </c>
      <c r="B1072" s="573" t="s">
        <v>287</v>
      </c>
      <c r="C1072" s="578">
        <v>26</v>
      </c>
      <c r="D1072" s="573" t="s">
        <v>1516</v>
      </c>
      <c r="E1072" s="573" t="s">
        <v>1517</v>
      </c>
      <c r="F1072" s="573" t="s">
        <v>271</v>
      </c>
      <c r="G1072" s="573">
        <v>2019</v>
      </c>
      <c r="H1072" s="573" t="s">
        <v>2199</v>
      </c>
      <c r="I1072" s="573" t="s">
        <v>1950</v>
      </c>
      <c r="J1072" s="573" t="s">
        <v>236</v>
      </c>
      <c r="K1072" s="573">
        <v>2</v>
      </c>
      <c r="L1072" s="573">
        <v>0</v>
      </c>
      <c r="M1072" s="573" t="s">
        <v>157</v>
      </c>
      <c r="N1072" s="573">
        <v>1</v>
      </c>
      <c r="O1072" s="573">
        <v>109.4</v>
      </c>
      <c r="P1072" s="571" t="s">
        <v>157</v>
      </c>
      <c r="Q1072" s="573" t="s">
        <v>682</v>
      </c>
      <c r="R1072" s="573">
        <v>6</v>
      </c>
      <c r="S1072" s="582" t="s">
        <v>2268</v>
      </c>
      <c r="T1072" s="573" t="s">
        <v>1894</v>
      </c>
      <c r="U1072" s="573">
        <v>147.6</v>
      </c>
      <c r="V1072" s="573">
        <v>25</v>
      </c>
      <c r="W1072" s="616">
        <v>9000</v>
      </c>
      <c r="X1072" s="617" t="s">
        <v>157</v>
      </c>
      <c r="Y1072" s="617" t="s">
        <v>178</v>
      </c>
      <c r="Z1072" s="617" t="s">
        <v>178</v>
      </c>
      <c r="AA1072" s="618">
        <v>41110</v>
      </c>
      <c r="AB1072" s="618" t="s">
        <v>164</v>
      </c>
      <c r="AC1072" s="618">
        <v>32546</v>
      </c>
      <c r="AD1072" s="619">
        <v>0.05</v>
      </c>
      <c r="AE1072" s="617" t="s">
        <v>2272</v>
      </c>
    </row>
    <row r="1073" spans="1:31" s="572" customFormat="1">
      <c r="A1073" s="570" t="s">
        <v>2322</v>
      </c>
      <c r="B1073" s="569" t="s">
        <v>287</v>
      </c>
      <c r="C1073" s="580">
        <v>26</v>
      </c>
      <c r="D1073" s="569" t="s">
        <v>1516</v>
      </c>
      <c r="E1073" s="569" t="s">
        <v>1517</v>
      </c>
      <c r="F1073" s="569" t="s">
        <v>271</v>
      </c>
      <c r="G1073" s="569">
        <v>2019</v>
      </c>
      <c r="H1073" s="569" t="s">
        <v>2199</v>
      </c>
      <c r="I1073" s="569" t="s">
        <v>1950</v>
      </c>
      <c r="J1073" s="569" t="s">
        <v>236</v>
      </c>
      <c r="K1073" s="569">
        <v>2</v>
      </c>
      <c r="L1073" s="569">
        <v>0</v>
      </c>
      <c r="M1073" s="569" t="s">
        <v>157</v>
      </c>
      <c r="N1073" s="569">
        <v>1</v>
      </c>
      <c r="O1073" s="569">
        <v>110.1</v>
      </c>
      <c r="P1073" s="568" t="s">
        <v>157</v>
      </c>
      <c r="Q1073" s="569" t="s">
        <v>1917</v>
      </c>
      <c r="R1073" s="569">
        <v>5</v>
      </c>
      <c r="S1073" s="569" t="s">
        <v>2275</v>
      </c>
      <c r="T1073" s="569" t="s">
        <v>1894</v>
      </c>
      <c r="U1073" s="569">
        <v>147.6</v>
      </c>
      <c r="V1073" s="569">
        <v>25</v>
      </c>
      <c r="W1073" s="620">
        <v>9000</v>
      </c>
      <c r="X1073" s="621" t="s">
        <v>157</v>
      </c>
      <c r="Y1073" s="621" t="s">
        <v>728</v>
      </c>
      <c r="Z1073" s="621" t="s">
        <v>1523</v>
      </c>
      <c r="AA1073" s="622">
        <v>43805</v>
      </c>
      <c r="AB1073" s="622" t="s">
        <v>164</v>
      </c>
      <c r="AC1073" s="622">
        <v>34982</v>
      </c>
      <c r="AD1073" s="623">
        <v>0.05</v>
      </c>
      <c r="AE1073" s="621" t="s">
        <v>2274</v>
      </c>
    </row>
    <row r="1074" spans="1:31" s="572" customFormat="1">
      <c r="A1074" s="570" t="s">
        <v>2323</v>
      </c>
      <c r="B1074" s="573" t="s">
        <v>287</v>
      </c>
      <c r="C1074" s="578">
        <v>26</v>
      </c>
      <c r="D1074" s="573" t="s">
        <v>1516</v>
      </c>
      <c r="E1074" s="573" t="s">
        <v>1517</v>
      </c>
      <c r="F1074" s="573" t="s">
        <v>271</v>
      </c>
      <c r="G1074" s="573">
        <v>2019</v>
      </c>
      <c r="H1074" s="573" t="s">
        <v>2199</v>
      </c>
      <c r="I1074" s="573" t="s">
        <v>1950</v>
      </c>
      <c r="J1074" s="573" t="s">
        <v>236</v>
      </c>
      <c r="K1074" s="573">
        <v>2</v>
      </c>
      <c r="L1074" s="573">
        <v>0</v>
      </c>
      <c r="M1074" s="573" t="s">
        <v>157</v>
      </c>
      <c r="N1074" s="573">
        <v>1</v>
      </c>
      <c r="O1074" s="573">
        <v>110.1</v>
      </c>
      <c r="P1074" s="571" t="s">
        <v>157</v>
      </c>
      <c r="Q1074" s="573" t="s">
        <v>1259</v>
      </c>
      <c r="R1074" s="573">
        <v>6</v>
      </c>
      <c r="S1074" s="582" t="s">
        <v>2275</v>
      </c>
      <c r="T1074" s="573" t="s">
        <v>1894</v>
      </c>
      <c r="U1074" s="573">
        <v>147.6</v>
      </c>
      <c r="V1074" s="573">
        <v>25</v>
      </c>
      <c r="W1074" s="616">
        <v>9000</v>
      </c>
      <c r="X1074" s="617" t="s">
        <v>157</v>
      </c>
      <c r="Y1074" s="617" t="s">
        <v>178</v>
      </c>
      <c r="Z1074" s="617" t="s">
        <v>178</v>
      </c>
      <c r="AA1074" s="618">
        <v>41675</v>
      </c>
      <c r="AB1074" s="618" t="s">
        <v>164</v>
      </c>
      <c r="AC1074" s="618">
        <v>33029</v>
      </c>
      <c r="AD1074" s="619">
        <v>0.05</v>
      </c>
      <c r="AE1074" s="617" t="s">
        <v>2277</v>
      </c>
    </row>
    <row r="1075" spans="1:31" s="572" customFormat="1">
      <c r="A1075" s="570" t="s">
        <v>2324</v>
      </c>
      <c r="B1075" s="569" t="s">
        <v>287</v>
      </c>
      <c r="C1075" s="580">
        <v>26</v>
      </c>
      <c r="D1075" s="569" t="s">
        <v>1516</v>
      </c>
      <c r="E1075" s="569" t="s">
        <v>1517</v>
      </c>
      <c r="F1075" s="569" t="s">
        <v>271</v>
      </c>
      <c r="G1075" s="569">
        <v>2019</v>
      </c>
      <c r="H1075" s="569" t="s">
        <v>2199</v>
      </c>
      <c r="I1075" s="569" t="s">
        <v>1950</v>
      </c>
      <c r="J1075" s="569" t="s">
        <v>236</v>
      </c>
      <c r="K1075" s="569">
        <v>2</v>
      </c>
      <c r="L1075" s="569">
        <v>0</v>
      </c>
      <c r="M1075" s="569" t="s">
        <v>157</v>
      </c>
      <c r="N1075" s="569">
        <v>1</v>
      </c>
      <c r="O1075" s="569">
        <v>110.1</v>
      </c>
      <c r="P1075" s="568" t="s">
        <v>157</v>
      </c>
      <c r="Q1075" s="569" t="s">
        <v>682</v>
      </c>
      <c r="R1075" s="569">
        <v>6</v>
      </c>
      <c r="S1075" s="569" t="s">
        <v>2275</v>
      </c>
      <c r="T1075" s="569" t="s">
        <v>1894</v>
      </c>
      <c r="U1075" s="569">
        <v>147.6</v>
      </c>
      <c r="V1075" s="569">
        <v>25</v>
      </c>
      <c r="W1075" s="620">
        <v>9000</v>
      </c>
      <c r="X1075" s="621" t="s">
        <v>157</v>
      </c>
      <c r="Y1075" s="621" t="s">
        <v>178</v>
      </c>
      <c r="Z1075" s="621" t="s">
        <v>178</v>
      </c>
      <c r="AA1075" s="622">
        <v>39810</v>
      </c>
      <c r="AB1075" s="622" t="s">
        <v>164</v>
      </c>
      <c r="AC1075" s="622">
        <v>31319</v>
      </c>
      <c r="AD1075" s="623">
        <v>0.05</v>
      </c>
      <c r="AE1075" s="621" t="s">
        <v>2279</v>
      </c>
    </row>
    <row r="1076" spans="1:31" s="572" customFormat="1">
      <c r="A1076" s="570" t="s">
        <v>2325</v>
      </c>
      <c r="B1076" s="573" t="s">
        <v>287</v>
      </c>
      <c r="C1076" s="578">
        <v>26</v>
      </c>
      <c r="D1076" s="573" t="s">
        <v>1516</v>
      </c>
      <c r="E1076" s="573" t="s">
        <v>1517</v>
      </c>
      <c r="F1076" s="573" t="s">
        <v>271</v>
      </c>
      <c r="G1076" s="573">
        <v>2019</v>
      </c>
      <c r="H1076" s="573" t="s">
        <v>2199</v>
      </c>
      <c r="I1076" s="573" t="s">
        <v>1950</v>
      </c>
      <c r="J1076" s="573" t="s">
        <v>236</v>
      </c>
      <c r="K1076" s="573">
        <v>2</v>
      </c>
      <c r="L1076" s="573">
        <v>0</v>
      </c>
      <c r="M1076" s="573" t="s">
        <v>157</v>
      </c>
      <c r="N1076" s="573">
        <v>1</v>
      </c>
      <c r="O1076" s="573">
        <v>83.2</v>
      </c>
      <c r="P1076" s="571" t="s">
        <v>157</v>
      </c>
      <c r="Q1076" s="573" t="s">
        <v>1917</v>
      </c>
      <c r="R1076" s="573">
        <v>5</v>
      </c>
      <c r="S1076" s="582" t="s">
        <v>2282</v>
      </c>
      <c r="T1076" s="573" t="s">
        <v>1894</v>
      </c>
      <c r="U1076" s="573">
        <v>129.9</v>
      </c>
      <c r="V1076" s="573">
        <v>25</v>
      </c>
      <c r="W1076" s="616">
        <v>9000</v>
      </c>
      <c r="X1076" s="617" t="s">
        <v>157</v>
      </c>
      <c r="Y1076" s="617" t="s">
        <v>728</v>
      </c>
      <c r="Z1076" s="617" t="s">
        <v>1523</v>
      </c>
      <c r="AA1076" s="618">
        <v>39625</v>
      </c>
      <c r="AB1076" s="618" t="s">
        <v>164</v>
      </c>
      <c r="AC1076" s="618">
        <v>28883</v>
      </c>
      <c r="AD1076" s="619">
        <v>0.05</v>
      </c>
      <c r="AE1076" s="617" t="s">
        <v>2281</v>
      </c>
    </row>
    <row r="1077" spans="1:31" s="572" customFormat="1">
      <c r="A1077" s="570" t="s">
        <v>2326</v>
      </c>
      <c r="B1077" s="569" t="s">
        <v>287</v>
      </c>
      <c r="C1077" s="580">
        <v>26</v>
      </c>
      <c r="D1077" s="569" t="s">
        <v>1516</v>
      </c>
      <c r="E1077" s="569" t="s">
        <v>1517</v>
      </c>
      <c r="F1077" s="569" t="s">
        <v>271</v>
      </c>
      <c r="G1077" s="569">
        <v>2019</v>
      </c>
      <c r="H1077" s="569" t="s">
        <v>2199</v>
      </c>
      <c r="I1077" s="569" t="s">
        <v>1950</v>
      </c>
      <c r="J1077" s="569" t="s">
        <v>236</v>
      </c>
      <c r="K1077" s="569">
        <v>2</v>
      </c>
      <c r="L1077" s="569">
        <v>0</v>
      </c>
      <c r="M1077" s="569" t="s">
        <v>157</v>
      </c>
      <c r="N1077" s="569">
        <v>1</v>
      </c>
      <c r="O1077" s="569">
        <v>83.2</v>
      </c>
      <c r="P1077" s="568" t="s">
        <v>157</v>
      </c>
      <c r="Q1077" s="569" t="s">
        <v>1917</v>
      </c>
      <c r="R1077" s="569">
        <v>5</v>
      </c>
      <c r="S1077" s="569" t="s">
        <v>2285</v>
      </c>
      <c r="T1077" s="569" t="s">
        <v>1894</v>
      </c>
      <c r="U1077" s="569">
        <v>147.6</v>
      </c>
      <c r="V1077" s="569">
        <v>25</v>
      </c>
      <c r="W1077" s="620">
        <v>9000</v>
      </c>
      <c r="X1077" s="621" t="s">
        <v>157</v>
      </c>
      <c r="Y1077" s="621" t="s">
        <v>728</v>
      </c>
      <c r="Z1077" s="621" t="s">
        <v>1523</v>
      </c>
      <c r="AA1077" s="622">
        <v>40505</v>
      </c>
      <c r="AB1077" s="622" t="s">
        <v>164</v>
      </c>
      <c r="AC1077" s="622">
        <v>29713</v>
      </c>
      <c r="AD1077" s="623">
        <v>0.05</v>
      </c>
      <c r="AE1077" s="621" t="s">
        <v>2284</v>
      </c>
    </row>
    <row r="1078" spans="1:31" s="572" customFormat="1">
      <c r="A1078" s="570" t="s">
        <v>2327</v>
      </c>
      <c r="B1078" s="573" t="s">
        <v>287</v>
      </c>
      <c r="C1078" s="578">
        <v>26</v>
      </c>
      <c r="D1078" s="573" t="s">
        <v>1516</v>
      </c>
      <c r="E1078" s="573" t="s">
        <v>1517</v>
      </c>
      <c r="F1078" s="573" t="s">
        <v>271</v>
      </c>
      <c r="G1078" s="573">
        <v>2019</v>
      </c>
      <c r="H1078" s="573" t="s">
        <v>2199</v>
      </c>
      <c r="I1078" s="573" t="s">
        <v>1950</v>
      </c>
      <c r="J1078" s="573" t="s">
        <v>236</v>
      </c>
      <c r="K1078" s="573">
        <v>2</v>
      </c>
      <c r="L1078" s="573">
        <v>0</v>
      </c>
      <c r="M1078" s="573" t="s">
        <v>157</v>
      </c>
      <c r="N1078" s="573">
        <v>1</v>
      </c>
      <c r="O1078" s="573">
        <v>83.2</v>
      </c>
      <c r="P1078" s="571" t="s">
        <v>157</v>
      </c>
      <c r="Q1078" s="573" t="s">
        <v>1259</v>
      </c>
      <c r="R1078" s="573">
        <v>6</v>
      </c>
      <c r="S1078" s="582" t="s">
        <v>2285</v>
      </c>
      <c r="T1078" s="573" t="s">
        <v>1894</v>
      </c>
      <c r="U1078" s="573">
        <v>147.6</v>
      </c>
      <c r="V1078" s="573">
        <v>25</v>
      </c>
      <c r="W1078" s="616">
        <v>9000</v>
      </c>
      <c r="X1078" s="617" t="s">
        <v>157</v>
      </c>
      <c r="Y1078" s="617" t="s">
        <v>178</v>
      </c>
      <c r="Z1078" s="617" t="s">
        <v>178</v>
      </c>
      <c r="AA1078" s="618">
        <v>38375</v>
      </c>
      <c r="AB1078" s="618" t="s">
        <v>164</v>
      </c>
      <c r="AC1078" s="618">
        <v>27760</v>
      </c>
      <c r="AD1078" s="619">
        <v>0.05</v>
      </c>
      <c r="AE1078" s="617" t="s">
        <v>2289</v>
      </c>
    </row>
    <row r="1079" spans="1:31" s="572" customFormat="1">
      <c r="A1079" s="570" t="s">
        <v>2328</v>
      </c>
      <c r="B1079" s="569" t="s">
        <v>287</v>
      </c>
      <c r="C1079" s="580">
        <v>26</v>
      </c>
      <c r="D1079" s="569" t="s">
        <v>1516</v>
      </c>
      <c r="E1079" s="569" t="s">
        <v>1517</v>
      </c>
      <c r="F1079" s="569" t="s">
        <v>271</v>
      </c>
      <c r="G1079" s="569">
        <v>2019</v>
      </c>
      <c r="H1079" s="569" t="s">
        <v>2199</v>
      </c>
      <c r="I1079" s="569" t="s">
        <v>1950</v>
      </c>
      <c r="J1079" s="569" t="s">
        <v>236</v>
      </c>
      <c r="K1079" s="569">
        <v>2</v>
      </c>
      <c r="L1079" s="569">
        <v>0</v>
      </c>
      <c r="M1079" s="569" t="s">
        <v>157</v>
      </c>
      <c r="N1079" s="569">
        <v>1</v>
      </c>
      <c r="O1079" s="569">
        <v>83.2</v>
      </c>
      <c r="P1079" s="568" t="s">
        <v>157</v>
      </c>
      <c r="Q1079" s="569" t="s">
        <v>682</v>
      </c>
      <c r="R1079" s="569">
        <v>6</v>
      </c>
      <c r="S1079" s="569" t="s">
        <v>2282</v>
      </c>
      <c r="T1079" s="569" t="s">
        <v>1894</v>
      </c>
      <c r="U1079" s="569">
        <v>129.9</v>
      </c>
      <c r="V1079" s="569">
        <v>25</v>
      </c>
      <c r="W1079" s="620">
        <v>9000</v>
      </c>
      <c r="X1079" s="621" t="s">
        <v>157</v>
      </c>
      <c r="Y1079" s="621" t="s">
        <v>178</v>
      </c>
      <c r="Z1079" s="621" t="s">
        <v>178</v>
      </c>
      <c r="AA1079" s="622">
        <v>35630</v>
      </c>
      <c r="AB1079" s="622" t="s">
        <v>164</v>
      </c>
      <c r="AC1079" s="622">
        <v>25219</v>
      </c>
      <c r="AD1079" s="623">
        <v>0.05</v>
      </c>
      <c r="AE1079" s="621" t="s">
        <v>2291</v>
      </c>
    </row>
    <row r="1080" spans="1:31" s="572" customFormat="1">
      <c r="A1080" s="570" t="s">
        <v>2329</v>
      </c>
      <c r="B1080" s="573" t="s">
        <v>287</v>
      </c>
      <c r="C1080" s="578">
        <v>26</v>
      </c>
      <c r="D1080" s="573" t="s">
        <v>1516</v>
      </c>
      <c r="E1080" s="573" t="s">
        <v>1517</v>
      </c>
      <c r="F1080" s="573" t="s">
        <v>271</v>
      </c>
      <c r="G1080" s="573">
        <v>2019</v>
      </c>
      <c r="H1080" s="573" t="s">
        <v>2199</v>
      </c>
      <c r="I1080" s="573" t="s">
        <v>1950</v>
      </c>
      <c r="J1080" s="573" t="s">
        <v>236</v>
      </c>
      <c r="K1080" s="573">
        <v>2</v>
      </c>
      <c r="L1080" s="573">
        <v>0</v>
      </c>
      <c r="M1080" s="573" t="s">
        <v>157</v>
      </c>
      <c r="N1080" s="573">
        <v>1</v>
      </c>
      <c r="O1080" s="573">
        <v>83.2</v>
      </c>
      <c r="P1080" s="571" t="s">
        <v>157</v>
      </c>
      <c r="Q1080" s="573" t="s">
        <v>682</v>
      </c>
      <c r="R1080" s="573">
        <v>6</v>
      </c>
      <c r="S1080" s="582" t="s">
        <v>2285</v>
      </c>
      <c r="T1080" s="573" t="s">
        <v>1894</v>
      </c>
      <c r="U1080" s="573">
        <v>147.6</v>
      </c>
      <c r="V1080" s="573">
        <v>25</v>
      </c>
      <c r="W1080" s="616">
        <v>9000</v>
      </c>
      <c r="X1080" s="617" t="s">
        <v>157</v>
      </c>
      <c r="Y1080" s="617" t="s">
        <v>178</v>
      </c>
      <c r="Z1080" s="617" t="s">
        <v>178</v>
      </c>
      <c r="AA1080" s="618">
        <v>36510</v>
      </c>
      <c r="AB1080" s="618" t="s">
        <v>164</v>
      </c>
      <c r="AC1080" s="618">
        <v>26050</v>
      </c>
      <c r="AD1080" s="619">
        <v>0.05</v>
      </c>
      <c r="AE1080" s="617" t="s">
        <v>2293</v>
      </c>
    </row>
    <row r="1081" spans="1:31" s="572" customFormat="1">
      <c r="A1081" s="570" t="s">
        <v>2330</v>
      </c>
      <c r="B1081" s="569" t="s">
        <v>280</v>
      </c>
      <c r="C1081" s="580">
        <v>27</v>
      </c>
      <c r="D1081" s="569" t="s">
        <v>1516</v>
      </c>
      <c r="E1081" s="569" t="s">
        <v>1517</v>
      </c>
      <c r="F1081" s="569" t="s">
        <v>271</v>
      </c>
      <c r="G1081" s="569">
        <v>2019</v>
      </c>
      <c r="H1081" s="569" t="s">
        <v>2199</v>
      </c>
      <c r="I1081" s="569" t="s">
        <v>1950</v>
      </c>
      <c r="J1081" s="569" t="s">
        <v>236</v>
      </c>
      <c r="K1081" s="569">
        <v>2</v>
      </c>
      <c r="L1081" s="569">
        <v>0</v>
      </c>
      <c r="M1081" s="569" t="s">
        <v>157</v>
      </c>
      <c r="N1081" s="569">
        <v>1</v>
      </c>
      <c r="O1081" s="569">
        <v>100.7</v>
      </c>
      <c r="P1081" s="568" t="s">
        <v>157</v>
      </c>
      <c r="Q1081" s="569" t="s">
        <v>1917</v>
      </c>
      <c r="R1081" s="569">
        <v>5</v>
      </c>
      <c r="S1081" s="569" t="s">
        <v>2254</v>
      </c>
      <c r="T1081" s="569" t="s">
        <v>1894</v>
      </c>
      <c r="U1081" s="569">
        <v>147.6</v>
      </c>
      <c r="V1081" s="569">
        <v>25</v>
      </c>
      <c r="W1081" s="620">
        <v>9000</v>
      </c>
      <c r="X1081" s="621" t="s">
        <v>157</v>
      </c>
      <c r="Y1081" s="621" t="s">
        <v>728</v>
      </c>
      <c r="Z1081" s="621" t="s">
        <v>1523</v>
      </c>
      <c r="AA1081" s="622">
        <v>41655</v>
      </c>
      <c r="AB1081" s="622" t="s">
        <v>164</v>
      </c>
      <c r="AC1081" s="622">
        <v>31815.875</v>
      </c>
      <c r="AD1081" s="623">
        <v>0.03</v>
      </c>
      <c r="AE1081" s="621" t="s">
        <v>2253</v>
      </c>
    </row>
    <row r="1082" spans="1:31" s="572" customFormat="1">
      <c r="A1082" s="570" t="s">
        <v>2331</v>
      </c>
      <c r="B1082" s="573" t="s">
        <v>280</v>
      </c>
      <c r="C1082" s="578">
        <v>27</v>
      </c>
      <c r="D1082" s="573" t="s">
        <v>1516</v>
      </c>
      <c r="E1082" s="573" t="s">
        <v>1517</v>
      </c>
      <c r="F1082" s="573" t="s">
        <v>271</v>
      </c>
      <c r="G1082" s="573">
        <v>2019</v>
      </c>
      <c r="H1082" s="573" t="s">
        <v>2199</v>
      </c>
      <c r="I1082" s="573" t="s">
        <v>1950</v>
      </c>
      <c r="J1082" s="573" t="s">
        <v>236</v>
      </c>
      <c r="K1082" s="573">
        <v>2</v>
      </c>
      <c r="L1082" s="573">
        <v>0</v>
      </c>
      <c r="M1082" s="573" t="s">
        <v>157</v>
      </c>
      <c r="N1082" s="573">
        <v>1</v>
      </c>
      <c r="O1082" s="573">
        <v>100.7</v>
      </c>
      <c r="P1082" s="571" t="s">
        <v>157</v>
      </c>
      <c r="Q1082" s="573" t="s">
        <v>1259</v>
      </c>
      <c r="R1082" s="573">
        <v>6</v>
      </c>
      <c r="S1082" s="582" t="s">
        <v>2254</v>
      </c>
      <c r="T1082" s="573" t="s">
        <v>1894</v>
      </c>
      <c r="U1082" s="573">
        <v>147.6</v>
      </c>
      <c r="V1082" s="573">
        <v>25</v>
      </c>
      <c r="W1082" s="616">
        <v>9000</v>
      </c>
      <c r="X1082" s="617" t="s">
        <v>157</v>
      </c>
      <c r="Y1082" s="617" t="s">
        <v>178</v>
      </c>
      <c r="Z1082" s="617" t="s">
        <v>178</v>
      </c>
      <c r="AA1082" s="618">
        <v>39525</v>
      </c>
      <c r="AB1082" s="618" t="s">
        <v>164</v>
      </c>
      <c r="AC1082" s="618">
        <v>29921.875</v>
      </c>
      <c r="AD1082" s="619">
        <v>0.03</v>
      </c>
      <c r="AE1082" s="617" t="s">
        <v>2256</v>
      </c>
    </row>
    <row r="1083" spans="1:31" s="572" customFormat="1">
      <c r="A1083" s="570" t="s">
        <v>2332</v>
      </c>
      <c r="B1083" s="569" t="s">
        <v>280</v>
      </c>
      <c r="C1083" s="580">
        <v>27</v>
      </c>
      <c r="D1083" s="569" t="s">
        <v>1516</v>
      </c>
      <c r="E1083" s="569" t="s">
        <v>1517</v>
      </c>
      <c r="F1083" s="569" t="s">
        <v>271</v>
      </c>
      <c r="G1083" s="569">
        <v>2019</v>
      </c>
      <c r="H1083" s="569" t="s">
        <v>2199</v>
      </c>
      <c r="I1083" s="569" t="s">
        <v>1950</v>
      </c>
      <c r="J1083" s="569" t="s">
        <v>236</v>
      </c>
      <c r="K1083" s="569">
        <v>2</v>
      </c>
      <c r="L1083" s="569">
        <v>0</v>
      </c>
      <c r="M1083" s="569" t="s">
        <v>157</v>
      </c>
      <c r="N1083" s="569">
        <v>1</v>
      </c>
      <c r="O1083" s="569">
        <v>100.7</v>
      </c>
      <c r="P1083" s="568" t="s">
        <v>157</v>
      </c>
      <c r="Q1083" s="569" t="s">
        <v>682</v>
      </c>
      <c r="R1083" s="569">
        <v>6</v>
      </c>
      <c r="S1083" s="569" t="s">
        <v>2254</v>
      </c>
      <c r="T1083" s="569" t="s">
        <v>1894</v>
      </c>
      <c r="U1083" s="569">
        <v>147.6</v>
      </c>
      <c r="V1083" s="569">
        <v>25</v>
      </c>
      <c r="W1083" s="620">
        <v>9000</v>
      </c>
      <c r="X1083" s="621" t="s">
        <v>157</v>
      </c>
      <c r="Y1083" s="621" t="s">
        <v>178</v>
      </c>
      <c r="Z1083" s="621" t="s">
        <v>178</v>
      </c>
      <c r="AA1083" s="622">
        <v>37660</v>
      </c>
      <c r="AB1083" s="622" t="s">
        <v>164</v>
      </c>
      <c r="AC1083" s="622">
        <v>28266.333333333336</v>
      </c>
      <c r="AD1083" s="623">
        <v>0.03</v>
      </c>
      <c r="AE1083" s="621" t="s">
        <v>2258</v>
      </c>
    </row>
    <row r="1084" spans="1:31" s="572" customFormat="1">
      <c r="A1084" s="570" t="s">
        <v>2333</v>
      </c>
      <c r="B1084" s="573" t="s">
        <v>280</v>
      </c>
      <c r="C1084" s="578">
        <v>27</v>
      </c>
      <c r="D1084" s="573" t="s">
        <v>1516</v>
      </c>
      <c r="E1084" s="573" t="s">
        <v>1517</v>
      </c>
      <c r="F1084" s="573" t="s">
        <v>271</v>
      </c>
      <c r="G1084" s="573">
        <v>2019</v>
      </c>
      <c r="H1084" s="573" t="s">
        <v>2199</v>
      </c>
      <c r="I1084" s="573" t="s">
        <v>1950</v>
      </c>
      <c r="J1084" s="573" t="s">
        <v>236</v>
      </c>
      <c r="K1084" s="573">
        <v>2</v>
      </c>
      <c r="L1084" s="573">
        <v>0</v>
      </c>
      <c r="M1084" s="573" t="s">
        <v>157</v>
      </c>
      <c r="N1084" s="573">
        <v>1</v>
      </c>
      <c r="O1084" s="573">
        <v>100.8</v>
      </c>
      <c r="P1084" s="571" t="s">
        <v>157</v>
      </c>
      <c r="Q1084" s="573" t="s">
        <v>1917</v>
      </c>
      <c r="R1084" s="573">
        <v>5</v>
      </c>
      <c r="S1084" s="582" t="s">
        <v>2261</v>
      </c>
      <c r="T1084" s="573" t="s">
        <v>1894</v>
      </c>
      <c r="U1084" s="573">
        <v>129.9</v>
      </c>
      <c r="V1084" s="573">
        <v>25</v>
      </c>
      <c r="W1084" s="616">
        <v>9000</v>
      </c>
      <c r="X1084" s="617" t="s">
        <v>157</v>
      </c>
      <c r="Y1084" s="617" t="s">
        <v>728</v>
      </c>
      <c r="Z1084" s="617" t="s">
        <v>1523</v>
      </c>
      <c r="AA1084" s="618">
        <v>40460</v>
      </c>
      <c r="AB1084" s="618" t="s">
        <v>164</v>
      </c>
      <c r="AC1084" s="618">
        <v>30238.791666666664</v>
      </c>
      <c r="AD1084" s="619">
        <v>0.03</v>
      </c>
      <c r="AE1084" s="617" t="s">
        <v>2260</v>
      </c>
    </row>
    <row r="1085" spans="1:31" s="572" customFormat="1">
      <c r="A1085" s="570" t="s">
        <v>2333</v>
      </c>
      <c r="B1085" s="569" t="s">
        <v>280</v>
      </c>
      <c r="C1085" s="580">
        <v>27</v>
      </c>
      <c r="D1085" s="569" t="s">
        <v>1516</v>
      </c>
      <c r="E1085" s="569" t="s">
        <v>1517</v>
      </c>
      <c r="F1085" s="569" t="s">
        <v>271</v>
      </c>
      <c r="G1085" s="569">
        <v>2019</v>
      </c>
      <c r="H1085" s="569" t="s">
        <v>2199</v>
      </c>
      <c r="I1085" s="569" t="s">
        <v>1950</v>
      </c>
      <c r="J1085" s="569" t="s">
        <v>236</v>
      </c>
      <c r="K1085" s="569">
        <v>2</v>
      </c>
      <c r="L1085" s="569">
        <v>0</v>
      </c>
      <c r="M1085" s="569" t="s">
        <v>157</v>
      </c>
      <c r="N1085" s="569">
        <v>1</v>
      </c>
      <c r="O1085" s="569">
        <v>100.8</v>
      </c>
      <c r="P1085" s="568" t="s">
        <v>157</v>
      </c>
      <c r="Q1085" s="569" t="s">
        <v>1917</v>
      </c>
      <c r="R1085" s="569">
        <v>5</v>
      </c>
      <c r="S1085" s="569" t="s">
        <v>2261</v>
      </c>
      <c r="T1085" s="569" t="s">
        <v>1894</v>
      </c>
      <c r="U1085" s="569">
        <v>129.9</v>
      </c>
      <c r="V1085" s="569">
        <v>25</v>
      </c>
      <c r="W1085" s="620">
        <v>9000</v>
      </c>
      <c r="X1085" s="621" t="s">
        <v>157</v>
      </c>
      <c r="Y1085" s="621" t="s">
        <v>728</v>
      </c>
      <c r="Z1085" s="621" t="s">
        <v>1523</v>
      </c>
      <c r="AA1085" s="622">
        <v>42325</v>
      </c>
      <c r="AB1085" s="622" t="s">
        <v>164</v>
      </c>
      <c r="AC1085" s="622">
        <v>30238.791666666664</v>
      </c>
      <c r="AD1085" s="623">
        <v>0.03</v>
      </c>
      <c r="AE1085" s="621" t="s">
        <v>2260</v>
      </c>
    </row>
    <row r="1086" spans="1:31" s="572" customFormat="1">
      <c r="A1086" s="570" t="s">
        <v>2334</v>
      </c>
      <c r="B1086" s="573" t="s">
        <v>280</v>
      </c>
      <c r="C1086" s="578">
        <v>27</v>
      </c>
      <c r="D1086" s="573" t="s">
        <v>1516</v>
      </c>
      <c r="E1086" s="573" t="s">
        <v>1517</v>
      </c>
      <c r="F1086" s="573" t="s">
        <v>271</v>
      </c>
      <c r="G1086" s="573">
        <v>2019</v>
      </c>
      <c r="H1086" s="573" t="s">
        <v>2199</v>
      </c>
      <c r="I1086" s="573" t="s">
        <v>1950</v>
      </c>
      <c r="J1086" s="573" t="s">
        <v>236</v>
      </c>
      <c r="K1086" s="573">
        <v>2</v>
      </c>
      <c r="L1086" s="573">
        <v>0</v>
      </c>
      <c r="M1086" s="573" t="s">
        <v>157</v>
      </c>
      <c r="N1086" s="573">
        <v>1</v>
      </c>
      <c r="O1086" s="573">
        <v>100.8</v>
      </c>
      <c r="P1086" s="571" t="s">
        <v>157</v>
      </c>
      <c r="Q1086" s="573" t="s">
        <v>1259</v>
      </c>
      <c r="R1086" s="573">
        <v>6</v>
      </c>
      <c r="S1086" s="582" t="s">
        <v>2261</v>
      </c>
      <c r="T1086" s="573" t="s">
        <v>1894</v>
      </c>
      <c r="U1086" s="573">
        <v>129.9</v>
      </c>
      <c r="V1086" s="573">
        <v>25</v>
      </c>
      <c r="W1086" s="616">
        <v>9000</v>
      </c>
      <c r="X1086" s="617" t="s">
        <v>157</v>
      </c>
      <c r="Y1086" s="617" t="s">
        <v>178</v>
      </c>
      <c r="Z1086" s="617" t="s">
        <v>178</v>
      </c>
      <c r="AA1086" s="618">
        <v>40460</v>
      </c>
      <c r="AB1086" s="618" t="s">
        <v>164</v>
      </c>
      <c r="AC1086" s="618">
        <v>28345.5</v>
      </c>
      <c r="AD1086" s="619">
        <v>0.03</v>
      </c>
      <c r="AE1086" s="617" t="s">
        <v>2263</v>
      </c>
    </row>
    <row r="1087" spans="1:31" s="572" customFormat="1">
      <c r="A1087" s="570" t="s">
        <v>2334</v>
      </c>
      <c r="B1087" s="569" t="s">
        <v>280</v>
      </c>
      <c r="C1087" s="580">
        <v>27</v>
      </c>
      <c r="D1087" s="569" t="s">
        <v>1516</v>
      </c>
      <c r="E1087" s="569" t="s">
        <v>1517</v>
      </c>
      <c r="F1087" s="569" t="s">
        <v>271</v>
      </c>
      <c r="G1087" s="569">
        <v>2019</v>
      </c>
      <c r="H1087" s="569" t="s">
        <v>2199</v>
      </c>
      <c r="I1087" s="569" t="s">
        <v>1950</v>
      </c>
      <c r="J1087" s="569" t="s">
        <v>236</v>
      </c>
      <c r="K1087" s="569">
        <v>2</v>
      </c>
      <c r="L1087" s="569">
        <v>0</v>
      </c>
      <c r="M1087" s="569" t="s">
        <v>157</v>
      </c>
      <c r="N1087" s="569">
        <v>1</v>
      </c>
      <c r="O1087" s="569">
        <v>100.8</v>
      </c>
      <c r="P1087" s="568" t="s">
        <v>157</v>
      </c>
      <c r="Q1087" s="569" t="s">
        <v>1259</v>
      </c>
      <c r="R1087" s="569">
        <v>6</v>
      </c>
      <c r="S1087" s="569" t="s">
        <v>2261</v>
      </c>
      <c r="T1087" s="569" t="s">
        <v>1894</v>
      </c>
      <c r="U1087" s="569">
        <v>129.9</v>
      </c>
      <c r="V1087" s="569">
        <v>25</v>
      </c>
      <c r="W1087" s="620">
        <v>9000</v>
      </c>
      <c r="X1087" s="621" t="s">
        <v>157</v>
      </c>
      <c r="Y1087" s="621" t="s">
        <v>178</v>
      </c>
      <c r="Z1087" s="621" t="s">
        <v>178</v>
      </c>
      <c r="AA1087" s="622">
        <v>45755</v>
      </c>
      <c r="AB1087" s="622" t="s">
        <v>164</v>
      </c>
      <c r="AC1087" s="622">
        <v>28345.5</v>
      </c>
      <c r="AD1087" s="623">
        <v>0.03</v>
      </c>
      <c r="AE1087" s="621" t="s">
        <v>2263</v>
      </c>
    </row>
    <row r="1088" spans="1:31" s="572" customFormat="1">
      <c r="A1088" s="570" t="s">
        <v>2335</v>
      </c>
      <c r="B1088" s="573" t="s">
        <v>280</v>
      </c>
      <c r="C1088" s="578">
        <v>27</v>
      </c>
      <c r="D1088" s="573" t="s">
        <v>1516</v>
      </c>
      <c r="E1088" s="573" t="s">
        <v>1517</v>
      </c>
      <c r="F1088" s="573" t="s">
        <v>271</v>
      </c>
      <c r="G1088" s="573">
        <v>2019</v>
      </c>
      <c r="H1088" s="573" t="s">
        <v>2199</v>
      </c>
      <c r="I1088" s="573" t="s">
        <v>1950</v>
      </c>
      <c r="J1088" s="573" t="s">
        <v>236</v>
      </c>
      <c r="K1088" s="573">
        <v>2</v>
      </c>
      <c r="L1088" s="573">
        <v>0</v>
      </c>
      <c r="M1088" s="573" t="s">
        <v>157</v>
      </c>
      <c r="N1088" s="573">
        <v>1</v>
      </c>
      <c r="O1088" s="573">
        <v>100.8</v>
      </c>
      <c r="P1088" s="571" t="s">
        <v>157</v>
      </c>
      <c r="Q1088" s="573" t="s">
        <v>682</v>
      </c>
      <c r="R1088" s="573">
        <v>6</v>
      </c>
      <c r="S1088" s="582" t="s">
        <v>2261</v>
      </c>
      <c r="T1088" s="573" t="s">
        <v>1894</v>
      </c>
      <c r="U1088" s="573">
        <v>129.9</v>
      </c>
      <c r="V1088" s="573">
        <v>25</v>
      </c>
      <c r="W1088" s="616">
        <v>9000</v>
      </c>
      <c r="X1088" s="617" t="s">
        <v>157</v>
      </c>
      <c r="Y1088" s="617" t="s">
        <v>178</v>
      </c>
      <c r="Z1088" s="617" t="s">
        <v>178</v>
      </c>
      <c r="AA1088" s="618">
        <v>35935</v>
      </c>
      <c r="AB1088" s="618" t="s">
        <v>164</v>
      </c>
      <c r="AC1088" s="618">
        <v>26689.25</v>
      </c>
      <c r="AD1088" s="619">
        <v>0.03</v>
      </c>
      <c r="AE1088" s="617" t="s">
        <v>2265</v>
      </c>
    </row>
    <row r="1089" spans="1:31" s="572" customFormat="1">
      <c r="A1089" s="570" t="s">
        <v>2335</v>
      </c>
      <c r="B1089" s="569" t="s">
        <v>280</v>
      </c>
      <c r="C1089" s="580">
        <v>27</v>
      </c>
      <c r="D1089" s="569" t="s">
        <v>1516</v>
      </c>
      <c r="E1089" s="569" t="s">
        <v>1517</v>
      </c>
      <c r="F1089" s="569" t="s">
        <v>271</v>
      </c>
      <c r="G1089" s="569">
        <v>2019</v>
      </c>
      <c r="H1089" s="569" t="s">
        <v>2199</v>
      </c>
      <c r="I1089" s="569" t="s">
        <v>1950</v>
      </c>
      <c r="J1089" s="569" t="s">
        <v>236</v>
      </c>
      <c r="K1089" s="569">
        <v>2</v>
      </c>
      <c r="L1089" s="569">
        <v>0</v>
      </c>
      <c r="M1089" s="569" t="s">
        <v>157</v>
      </c>
      <c r="N1089" s="569">
        <v>1</v>
      </c>
      <c r="O1089" s="569">
        <v>100.8</v>
      </c>
      <c r="P1089" s="568" t="s">
        <v>157</v>
      </c>
      <c r="Q1089" s="569" t="s">
        <v>682</v>
      </c>
      <c r="R1089" s="569">
        <v>6</v>
      </c>
      <c r="S1089" s="569" t="s">
        <v>2261</v>
      </c>
      <c r="T1089" s="569" t="s">
        <v>1894</v>
      </c>
      <c r="U1089" s="569">
        <v>129.9</v>
      </c>
      <c r="V1089" s="569">
        <v>25</v>
      </c>
      <c r="W1089" s="620">
        <v>9000</v>
      </c>
      <c r="X1089" s="621" t="s">
        <v>157</v>
      </c>
      <c r="Y1089" s="621" t="s">
        <v>178</v>
      </c>
      <c r="Z1089" s="621" t="s">
        <v>178</v>
      </c>
      <c r="AA1089" s="622">
        <v>43625</v>
      </c>
      <c r="AB1089" s="622" t="s">
        <v>164</v>
      </c>
      <c r="AC1089" s="622">
        <v>26689.25</v>
      </c>
      <c r="AD1089" s="623">
        <v>0.03</v>
      </c>
      <c r="AE1089" s="621" t="s">
        <v>2265</v>
      </c>
    </row>
    <row r="1090" spans="1:31" s="572" customFormat="1">
      <c r="A1090" s="570" t="s">
        <v>2336</v>
      </c>
      <c r="B1090" s="573" t="s">
        <v>280</v>
      </c>
      <c r="C1090" s="578">
        <v>27</v>
      </c>
      <c r="D1090" s="573" t="s">
        <v>1516</v>
      </c>
      <c r="E1090" s="573" t="s">
        <v>1517</v>
      </c>
      <c r="F1090" s="573" t="s">
        <v>271</v>
      </c>
      <c r="G1090" s="573">
        <v>2019</v>
      </c>
      <c r="H1090" s="573" t="s">
        <v>2199</v>
      </c>
      <c r="I1090" s="573" t="s">
        <v>1950</v>
      </c>
      <c r="J1090" s="573" t="s">
        <v>236</v>
      </c>
      <c r="K1090" s="573">
        <v>2</v>
      </c>
      <c r="L1090" s="573">
        <v>0</v>
      </c>
      <c r="M1090" s="573" t="s">
        <v>157</v>
      </c>
      <c r="N1090" s="573">
        <v>1</v>
      </c>
      <c r="O1090" s="573">
        <v>109.4</v>
      </c>
      <c r="P1090" s="571" t="s">
        <v>157</v>
      </c>
      <c r="Q1090" s="573" t="s">
        <v>1917</v>
      </c>
      <c r="R1090" s="573">
        <v>5</v>
      </c>
      <c r="S1090" s="582" t="s">
        <v>2268</v>
      </c>
      <c r="T1090" s="573" t="s">
        <v>1894</v>
      </c>
      <c r="U1090" s="573">
        <v>147.6</v>
      </c>
      <c r="V1090" s="573">
        <v>25</v>
      </c>
      <c r="W1090" s="616">
        <v>9000</v>
      </c>
      <c r="X1090" s="617" t="s">
        <v>157</v>
      </c>
      <c r="Y1090" s="617" t="s">
        <v>728</v>
      </c>
      <c r="Z1090" s="617" t="s">
        <v>1523</v>
      </c>
      <c r="AA1090" s="618">
        <v>45105</v>
      </c>
      <c r="AB1090" s="618" t="s">
        <v>164</v>
      </c>
      <c r="AC1090" s="618">
        <v>34969</v>
      </c>
      <c r="AD1090" s="619">
        <v>0.03</v>
      </c>
      <c r="AE1090" s="617" t="s">
        <v>2267</v>
      </c>
    </row>
    <row r="1091" spans="1:31" s="572" customFormat="1">
      <c r="A1091" s="570" t="s">
        <v>2337</v>
      </c>
      <c r="B1091" s="569" t="s">
        <v>280</v>
      </c>
      <c r="C1091" s="580">
        <v>27</v>
      </c>
      <c r="D1091" s="569" t="s">
        <v>1516</v>
      </c>
      <c r="E1091" s="569" t="s">
        <v>1517</v>
      </c>
      <c r="F1091" s="569" t="s">
        <v>271</v>
      </c>
      <c r="G1091" s="569">
        <v>2019</v>
      </c>
      <c r="H1091" s="569" t="s">
        <v>2199</v>
      </c>
      <c r="I1091" s="569" t="s">
        <v>1950</v>
      </c>
      <c r="J1091" s="569" t="s">
        <v>236</v>
      </c>
      <c r="K1091" s="569">
        <v>2</v>
      </c>
      <c r="L1091" s="569">
        <v>0</v>
      </c>
      <c r="M1091" s="569" t="s">
        <v>157</v>
      </c>
      <c r="N1091" s="569">
        <v>1</v>
      </c>
      <c r="O1091" s="569">
        <v>109.4</v>
      </c>
      <c r="P1091" s="568" t="s">
        <v>157</v>
      </c>
      <c r="Q1091" s="569" t="s">
        <v>1259</v>
      </c>
      <c r="R1091" s="569">
        <v>6</v>
      </c>
      <c r="S1091" s="569" t="s">
        <v>2268</v>
      </c>
      <c r="T1091" s="569" t="s">
        <v>1894</v>
      </c>
      <c r="U1091" s="569">
        <v>147.6</v>
      </c>
      <c r="V1091" s="569">
        <v>25</v>
      </c>
      <c r="W1091" s="620">
        <v>9000</v>
      </c>
      <c r="X1091" s="621" t="s">
        <v>157</v>
      </c>
      <c r="Y1091" s="621" t="s">
        <v>178</v>
      </c>
      <c r="Z1091" s="621" t="s">
        <v>178</v>
      </c>
      <c r="AA1091" s="622">
        <v>42975</v>
      </c>
      <c r="AB1091" s="622" t="s">
        <v>164</v>
      </c>
      <c r="AC1091" s="622">
        <v>33075.708333333336</v>
      </c>
      <c r="AD1091" s="623">
        <v>0.03</v>
      </c>
      <c r="AE1091" s="621" t="s">
        <v>2270</v>
      </c>
    </row>
    <row r="1092" spans="1:31" s="572" customFormat="1">
      <c r="A1092" s="570" t="s">
        <v>2338</v>
      </c>
      <c r="B1092" s="573" t="s">
        <v>280</v>
      </c>
      <c r="C1092" s="578">
        <v>27</v>
      </c>
      <c r="D1092" s="573" t="s">
        <v>1516</v>
      </c>
      <c r="E1092" s="573" t="s">
        <v>1517</v>
      </c>
      <c r="F1092" s="573" t="s">
        <v>271</v>
      </c>
      <c r="G1092" s="573">
        <v>2019</v>
      </c>
      <c r="H1092" s="573" t="s">
        <v>2199</v>
      </c>
      <c r="I1092" s="573" t="s">
        <v>1950</v>
      </c>
      <c r="J1092" s="573" t="s">
        <v>236</v>
      </c>
      <c r="K1092" s="573">
        <v>2</v>
      </c>
      <c r="L1092" s="573">
        <v>0</v>
      </c>
      <c r="M1092" s="573" t="s">
        <v>157</v>
      </c>
      <c r="N1092" s="573">
        <v>1</v>
      </c>
      <c r="O1092" s="573">
        <v>109.4</v>
      </c>
      <c r="P1092" s="571" t="s">
        <v>157</v>
      </c>
      <c r="Q1092" s="573" t="s">
        <v>682</v>
      </c>
      <c r="R1092" s="573">
        <v>6</v>
      </c>
      <c r="S1092" s="582" t="s">
        <v>2268</v>
      </c>
      <c r="T1092" s="573" t="s">
        <v>1894</v>
      </c>
      <c r="U1092" s="573">
        <v>147.6</v>
      </c>
      <c r="V1092" s="573">
        <v>25</v>
      </c>
      <c r="W1092" s="616">
        <v>9000</v>
      </c>
      <c r="X1092" s="617" t="s">
        <v>157</v>
      </c>
      <c r="Y1092" s="617" t="s">
        <v>178</v>
      </c>
      <c r="Z1092" s="617" t="s">
        <v>178</v>
      </c>
      <c r="AA1092" s="618">
        <v>41110</v>
      </c>
      <c r="AB1092" s="618" t="s">
        <v>164</v>
      </c>
      <c r="AC1092" s="618">
        <v>31419.458333333336</v>
      </c>
      <c r="AD1092" s="619">
        <v>0.03</v>
      </c>
      <c r="AE1092" s="617" t="s">
        <v>2272</v>
      </c>
    </row>
    <row r="1093" spans="1:31" s="572" customFormat="1">
      <c r="A1093" s="570" t="s">
        <v>2339</v>
      </c>
      <c r="B1093" s="569" t="s">
        <v>280</v>
      </c>
      <c r="C1093" s="580">
        <v>27</v>
      </c>
      <c r="D1093" s="569" t="s">
        <v>1516</v>
      </c>
      <c r="E1093" s="569" t="s">
        <v>1517</v>
      </c>
      <c r="F1093" s="569" t="s">
        <v>271</v>
      </c>
      <c r="G1093" s="569">
        <v>2019</v>
      </c>
      <c r="H1093" s="569" t="s">
        <v>2199</v>
      </c>
      <c r="I1093" s="569" t="s">
        <v>1950</v>
      </c>
      <c r="J1093" s="569" t="s">
        <v>236</v>
      </c>
      <c r="K1093" s="569">
        <v>2</v>
      </c>
      <c r="L1093" s="569">
        <v>0</v>
      </c>
      <c r="M1093" s="569" t="s">
        <v>157</v>
      </c>
      <c r="N1093" s="569">
        <v>1</v>
      </c>
      <c r="O1093" s="569">
        <v>110.1</v>
      </c>
      <c r="P1093" s="568" t="s">
        <v>157</v>
      </c>
      <c r="Q1093" s="569" t="s">
        <v>1917</v>
      </c>
      <c r="R1093" s="569">
        <v>5</v>
      </c>
      <c r="S1093" s="569" t="s">
        <v>2275</v>
      </c>
      <c r="T1093" s="569" t="s">
        <v>1894</v>
      </c>
      <c r="U1093" s="569">
        <v>147.6</v>
      </c>
      <c r="V1093" s="569">
        <v>25</v>
      </c>
      <c r="W1093" s="620">
        <v>9000</v>
      </c>
      <c r="X1093" s="621" t="s">
        <v>157</v>
      </c>
      <c r="Y1093" s="621" t="s">
        <v>728</v>
      </c>
      <c r="Z1093" s="621" t="s">
        <v>1523</v>
      </c>
      <c r="AA1093" s="622">
        <v>43805</v>
      </c>
      <c r="AB1093" s="622" t="s">
        <v>164</v>
      </c>
      <c r="AC1093" s="622">
        <v>33781.5</v>
      </c>
      <c r="AD1093" s="623">
        <v>0.03</v>
      </c>
      <c r="AE1093" s="621" t="s">
        <v>2274</v>
      </c>
    </row>
    <row r="1094" spans="1:31" s="572" customFormat="1">
      <c r="A1094" s="570" t="s">
        <v>2340</v>
      </c>
      <c r="B1094" s="573" t="s">
        <v>280</v>
      </c>
      <c r="C1094" s="578">
        <v>27</v>
      </c>
      <c r="D1094" s="573" t="s">
        <v>1516</v>
      </c>
      <c r="E1094" s="573" t="s">
        <v>1517</v>
      </c>
      <c r="F1094" s="573" t="s">
        <v>271</v>
      </c>
      <c r="G1094" s="573">
        <v>2019</v>
      </c>
      <c r="H1094" s="573" t="s">
        <v>2199</v>
      </c>
      <c r="I1094" s="573" t="s">
        <v>1950</v>
      </c>
      <c r="J1094" s="573" t="s">
        <v>236</v>
      </c>
      <c r="K1094" s="573">
        <v>2</v>
      </c>
      <c r="L1094" s="573">
        <v>0</v>
      </c>
      <c r="M1094" s="573" t="s">
        <v>157</v>
      </c>
      <c r="N1094" s="573">
        <v>1</v>
      </c>
      <c r="O1094" s="573">
        <v>110.1</v>
      </c>
      <c r="P1094" s="571" t="s">
        <v>157</v>
      </c>
      <c r="Q1094" s="573" t="s">
        <v>1259</v>
      </c>
      <c r="R1094" s="573">
        <v>6</v>
      </c>
      <c r="S1094" s="582" t="s">
        <v>2275</v>
      </c>
      <c r="T1094" s="573" t="s">
        <v>1894</v>
      </c>
      <c r="U1094" s="573">
        <v>147.6</v>
      </c>
      <c r="V1094" s="573">
        <v>25</v>
      </c>
      <c r="W1094" s="616">
        <v>9000</v>
      </c>
      <c r="X1094" s="617" t="s">
        <v>157</v>
      </c>
      <c r="Y1094" s="617" t="s">
        <v>178</v>
      </c>
      <c r="Z1094" s="617" t="s">
        <v>178</v>
      </c>
      <c r="AA1094" s="618">
        <v>41675</v>
      </c>
      <c r="AB1094" s="618" t="s">
        <v>164</v>
      </c>
      <c r="AC1094" s="618">
        <v>31888.208333333336</v>
      </c>
      <c r="AD1094" s="619">
        <v>0.03</v>
      </c>
      <c r="AE1094" s="617" t="s">
        <v>2277</v>
      </c>
    </row>
    <row r="1095" spans="1:31" s="572" customFormat="1">
      <c r="A1095" s="570" t="s">
        <v>2341</v>
      </c>
      <c r="B1095" s="569" t="s">
        <v>280</v>
      </c>
      <c r="C1095" s="580">
        <v>27</v>
      </c>
      <c r="D1095" s="569" t="s">
        <v>1516</v>
      </c>
      <c r="E1095" s="569" t="s">
        <v>1517</v>
      </c>
      <c r="F1095" s="569" t="s">
        <v>271</v>
      </c>
      <c r="G1095" s="569">
        <v>2019</v>
      </c>
      <c r="H1095" s="569" t="s">
        <v>2199</v>
      </c>
      <c r="I1095" s="569" t="s">
        <v>1950</v>
      </c>
      <c r="J1095" s="569" t="s">
        <v>236</v>
      </c>
      <c r="K1095" s="569">
        <v>2</v>
      </c>
      <c r="L1095" s="569">
        <v>0</v>
      </c>
      <c r="M1095" s="569" t="s">
        <v>157</v>
      </c>
      <c r="N1095" s="569">
        <v>1</v>
      </c>
      <c r="O1095" s="569">
        <v>110.1</v>
      </c>
      <c r="P1095" s="568" t="s">
        <v>157</v>
      </c>
      <c r="Q1095" s="569" t="s">
        <v>682</v>
      </c>
      <c r="R1095" s="569">
        <v>6</v>
      </c>
      <c r="S1095" s="569" t="s">
        <v>2275</v>
      </c>
      <c r="T1095" s="569" t="s">
        <v>1894</v>
      </c>
      <c r="U1095" s="569">
        <v>147.6</v>
      </c>
      <c r="V1095" s="569">
        <v>25</v>
      </c>
      <c r="W1095" s="620">
        <v>9000</v>
      </c>
      <c r="X1095" s="621" t="s">
        <v>157</v>
      </c>
      <c r="Y1095" s="621" t="s">
        <v>178</v>
      </c>
      <c r="Z1095" s="621" t="s">
        <v>178</v>
      </c>
      <c r="AA1095" s="622">
        <v>39810</v>
      </c>
      <c r="AB1095" s="622" t="s">
        <v>164</v>
      </c>
      <c r="AC1095" s="622">
        <v>30231.958333333336</v>
      </c>
      <c r="AD1095" s="623">
        <v>0.03</v>
      </c>
      <c r="AE1095" s="621" t="s">
        <v>2279</v>
      </c>
    </row>
    <row r="1096" spans="1:31" s="572" customFormat="1">
      <c r="A1096" s="570" t="s">
        <v>2342</v>
      </c>
      <c r="B1096" s="573" t="s">
        <v>280</v>
      </c>
      <c r="C1096" s="578">
        <v>27</v>
      </c>
      <c r="D1096" s="573" t="s">
        <v>1516</v>
      </c>
      <c r="E1096" s="573" t="s">
        <v>1517</v>
      </c>
      <c r="F1096" s="573" t="s">
        <v>271</v>
      </c>
      <c r="G1096" s="573">
        <v>2019</v>
      </c>
      <c r="H1096" s="573" t="s">
        <v>2199</v>
      </c>
      <c r="I1096" s="573" t="s">
        <v>1950</v>
      </c>
      <c r="J1096" s="573" t="s">
        <v>236</v>
      </c>
      <c r="K1096" s="573">
        <v>2</v>
      </c>
      <c r="L1096" s="573">
        <v>0</v>
      </c>
      <c r="M1096" s="573" t="s">
        <v>157</v>
      </c>
      <c r="N1096" s="573">
        <v>1</v>
      </c>
      <c r="O1096" s="573">
        <v>83.2</v>
      </c>
      <c r="P1096" s="571" t="s">
        <v>157</v>
      </c>
      <c r="Q1096" s="573" t="s">
        <v>1917</v>
      </c>
      <c r="R1096" s="573">
        <v>5</v>
      </c>
      <c r="S1096" s="582" t="s">
        <v>2282</v>
      </c>
      <c r="T1096" s="573" t="s">
        <v>1894</v>
      </c>
      <c r="U1096" s="573">
        <v>129.9</v>
      </c>
      <c r="V1096" s="573">
        <v>25</v>
      </c>
      <c r="W1096" s="616">
        <v>9000</v>
      </c>
      <c r="X1096" s="617" t="s">
        <v>157</v>
      </c>
      <c r="Y1096" s="617" t="s">
        <v>728</v>
      </c>
      <c r="Z1096" s="617" t="s">
        <v>1523</v>
      </c>
      <c r="AA1096" s="618">
        <v>39625</v>
      </c>
      <c r="AB1096" s="618" t="s">
        <v>164</v>
      </c>
      <c r="AC1096" s="618">
        <v>27877.333333333332</v>
      </c>
      <c r="AD1096" s="619">
        <v>0.03</v>
      </c>
      <c r="AE1096" s="617" t="s">
        <v>2281</v>
      </c>
    </row>
    <row r="1097" spans="1:31" s="572" customFormat="1">
      <c r="A1097" s="570" t="s">
        <v>2343</v>
      </c>
      <c r="B1097" s="569" t="s">
        <v>280</v>
      </c>
      <c r="C1097" s="580">
        <v>27</v>
      </c>
      <c r="D1097" s="569" t="s">
        <v>1516</v>
      </c>
      <c r="E1097" s="569" t="s">
        <v>1517</v>
      </c>
      <c r="F1097" s="569" t="s">
        <v>271</v>
      </c>
      <c r="G1097" s="569">
        <v>2019</v>
      </c>
      <c r="H1097" s="569" t="s">
        <v>2199</v>
      </c>
      <c r="I1097" s="569" t="s">
        <v>1950</v>
      </c>
      <c r="J1097" s="569" t="s">
        <v>236</v>
      </c>
      <c r="K1097" s="569">
        <v>2</v>
      </c>
      <c r="L1097" s="569">
        <v>0</v>
      </c>
      <c r="M1097" s="569" t="s">
        <v>157</v>
      </c>
      <c r="N1097" s="569">
        <v>1</v>
      </c>
      <c r="O1097" s="569">
        <v>83.2</v>
      </c>
      <c r="P1097" s="568" t="s">
        <v>157</v>
      </c>
      <c r="Q1097" s="569" t="s">
        <v>1917</v>
      </c>
      <c r="R1097" s="569">
        <v>5</v>
      </c>
      <c r="S1097" s="569" t="s">
        <v>2285</v>
      </c>
      <c r="T1097" s="569" t="s">
        <v>1894</v>
      </c>
      <c r="U1097" s="569">
        <v>147.6</v>
      </c>
      <c r="V1097" s="569">
        <v>25</v>
      </c>
      <c r="W1097" s="620">
        <v>9000</v>
      </c>
      <c r="X1097" s="621" t="s">
        <v>157</v>
      </c>
      <c r="Y1097" s="621" t="s">
        <v>728</v>
      </c>
      <c r="Z1097" s="621" t="s">
        <v>1523</v>
      </c>
      <c r="AA1097" s="622">
        <v>40505</v>
      </c>
      <c r="AB1097" s="622" t="s">
        <v>164</v>
      </c>
      <c r="AC1097" s="622">
        <v>28680.458333333332</v>
      </c>
      <c r="AD1097" s="623">
        <v>0.03</v>
      </c>
      <c r="AE1097" s="621" t="s">
        <v>2284</v>
      </c>
    </row>
    <row r="1098" spans="1:31" s="572" customFormat="1">
      <c r="A1098" s="570" t="s">
        <v>2344</v>
      </c>
      <c r="B1098" s="573" t="s">
        <v>280</v>
      </c>
      <c r="C1098" s="578">
        <v>27</v>
      </c>
      <c r="D1098" s="573" t="s">
        <v>1516</v>
      </c>
      <c r="E1098" s="573" t="s">
        <v>1517</v>
      </c>
      <c r="F1098" s="573" t="s">
        <v>271</v>
      </c>
      <c r="G1098" s="573">
        <v>2019</v>
      </c>
      <c r="H1098" s="573" t="s">
        <v>2199</v>
      </c>
      <c r="I1098" s="573" t="s">
        <v>1950</v>
      </c>
      <c r="J1098" s="573" t="s">
        <v>236</v>
      </c>
      <c r="K1098" s="573">
        <v>2</v>
      </c>
      <c r="L1098" s="573">
        <v>0</v>
      </c>
      <c r="M1098" s="573" t="s">
        <v>157</v>
      </c>
      <c r="N1098" s="573">
        <v>1</v>
      </c>
      <c r="O1098" s="573">
        <v>83.2</v>
      </c>
      <c r="P1098" s="571" t="s">
        <v>157</v>
      </c>
      <c r="Q1098" s="573" t="s">
        <v>1259</v>
      </c>
      <c r="R1098" s="573">
        <v>6</v>
      </c>
      <c r="S1098" s="582" t="s">
        <v>2282</v>
      </c>
      <c r="T1098" s="573" t="s">
        <v>1894</v>
      </c>
      <c r="U1098" s="573">
        <v>129.9</v>
      </c>
      <c r="V1098" s="573">
        <v>25</v>
      </c>
      <c r="W1098" s="616">
        <v>9000</v>
      </c>
      <c r="X1098" s="617" t="s">
        <v>157</v>
      </c>
      <c r="Y1098" s="617" t="s">
        <v>178</v>
      </c>
      <c r="Z1098" s="617" t="s">
        <v>178</v>
      </c>
      <c r="AA1098" s="618">
        <v>37495</v>
      </c>
      <c r="AB1098" s="618" t="s">
        <v>164</v>
      </c>
      <c r="AC1098" s="618">
        <v>25984.041666666668</v>
      </c>
      <c r="AD1098" s="619">
        <v>0.03</v>
      </c>
      <c r="AE1098" s="617" t="s">
        <v>2287</v>
      </c>
    </row>
    <row r="1099" spans="1:31" s="572" customFormat="1">
      <c r="A1099" s="570" t="s">
        <v>2345</v>
      </c>
      <c r="B1099" s="569" t="s">
        <v>280</v>
      </c>
      <c r="C1099" s="580">
        <v>27</v>
      </c>
      <c r="D1099" s="569" t="s">
        <v>1516</v>
      </c>
      <c r="E1099" s="569" t="s">
        <v>1517</v>
      </c>
      <c r="F1099" s="569" t="s">
        <v>271</v>
      </c>
      <c r="G1099" s="569">
        <v>2019</v>
      </c>
      <c r="H1099" s="569" t="s">
        <v>2199</v>
      </c>
      <c r="I1099" s="569" t="s">
        <v>1950</v>
      </c>
      <c r="J1099" s="569" t="s">
        <v>236</v>
      </c>
      <c r="K1099" s="569">
        <v>2</v>
      </c>
      <c r="L1099" s="569">
        <v>0</v>
      </c>
      <c r="M1099" s="569" t="s">
        <v>157</v>
      </c>
      <c r="N1099" s="569">
        <v>1</v>
      </c>
      <c r="O1099" s="569">
        <v>83.2</v>
      </c>
      <c r="P1099" s="568" t="s">
        <v>157</v>
      </c>
      <c r="Q1099" s="569" t="s">
        <v>1259</v>
      </c>
      <c r="R1099" s="569">
        <v>6</v>
      </c>
      <c r="S1099" s="569" t="s">
        <v>2285</v>
      </c>
      <c r="T1099" s="569" t="s">
        <v>1894</v>
      </c>
      <c r="U1099" s="569">
        <v>147.6</v>
      </c>
      <c r="V1099" s="569">
        <v>25</v>
      </c>
      <c r="W1099" s="620">
        <v>9000</v>
      </c>
      <c r="X1099" s="621" t="s">
        <v>157</v>
      </c>
      <c r="Y1099" s="621" t="s">
        <v>178</v>
      </c>
      <c r="Z1099" s="621" t="s">
        <v>178</v>
      </c>
      <c r="AA1099" s="622">
        <v>38375</v>
      </c>
      <c r="AB1099" s="622" t="s">
        <v>164</v>
      </c>
      <c r="AC1099" s="622">
        <v>26787.166666666668</v>
      </c>
      <c r="AD1099" s="623">
        <v>0.03</v>
      </c>
      <c r="AE1099" s="621" t="s">
        <v>2289</v>
      </c>
    </row>
    <row r="1100" spans="1:31" s="572" customFormat="1">
      <c r="A1100" s="570" t="s">
        <v>2346</v>
      </c>
      <c r="B1100" s="573" t="s">
        <v>280</v>
      </c>
      <c r="C1100" s="578">
        <v>27</v>
      </c>
      <c r="D1100" s="573" t="s">
        <v>1516</v>
      </c>
      <c r="E1100" s="573" t="s">
        <v>1517</v>
      </c>
      <c r="F1100" s="573" t="s">
        <v>271</v>
      </c>
      <c r="G1100" s="573">
        <v>2019</v>
      </c>
      <c r="H1100" s="573" t="s">
        <v>2199</v>
      </c>
      <c r="I1100" s="573" t="s">
        <v>1950</v>
      </c>
      <c r="J1100" s="573" t="s">
        <v>236</v>
      </c>
      <c r="K1100" s="573">
        <v>2</v>
      </c>
      <c r="L1100" s="573">
        <v>0</v>
      </c>
      <c r="M1100" s="573" t="s">
        <v>157</v>
      </c>
      <c r="N1100" s="573">
        <v>1</v>
      </c>
      <c r="O1100" s="573">
        <v>83.2</v>
      </c>
      <c r="P1100" s="571" t="s">
        <v>157</v>
      </c>
      <c r="Q1100" s="573" t="s">
        <v>682</v>
      </c>
      <c r="R1100" s="573">
        <v>6</v>
      </c>
      <c r="S1100" s="582" t="s">
        <v>2282</v>
      </c>
      <c r="T1100" s="573" t="s">
        <v>1894</v>
      </c>
      <c r="U1100" s="573">
        <v>129.9</v>
      </c>
      <c r="V1100" s="573">
        <v>25</v>
      </c>
      <c r="W1100" s="616">
        <v>9000</v>
      </c>
      <c r="X1100" s="617" t="s">
        <v>157</v>
      </c>
      <c r="Y1100" s="617" t="s">
        <v>178</v>
      </c>
      <c r="Z1100" s="617" t="s">
        <v>178</v>
      </c>
      <c r="AA1100" s="618">
        <v>35630</v>
      </c>
      <c r="AB1100" s="618" t="s">
        <v>164</v>
      </c>
      <c r="AC1100" s="618">
        <v>24327.791666666668</v>
      </c>
      <c r="AD1100" s="619">
        <v>0.03</v>
      </c>
      <c r="AE1100" s="617" t="s">
        <v>2291</v>
      </c>
    </row>
    <row r="1101" spans="1:31" s="572" customFormat="1">
      <c r="A1101" s="570" t="s">
        <v>2347</v>
      </c>
      <c r="B1101" s="569" t="s">
        <v>280</v>
      </c>
      <c r="C1101" s="580">
        <v>27</v>
      </c>
      <c r="D1101" s="569" t="s">
        <v>1516</v>
      </c>
      <c r="E1101" s="569" t="s">
        <v>1517</v>
      </c>
      <c r="F1101" s="569" t="s">
        <v>271</v>
      </c>
      <c r="G1101" s="569">
        <v>2019</v>
      </c>
      <c r="H1101" s="569" t="s">
        <v>2199</v>
      </c>
      <c r="I1101" s="569" t="s">
        <v>1950</v>
      </c>
      <c r="J1101" s="569" t="s">
        <v>236</v>
      </c>
      <c r="K1101" s="569">
        <v>2</v>
      </c>
      <c r="L1101" s="569">
        <v>0</v>
      </c>
      <c r="M1101" s="569" t="s">
        <v>157</v>
      </c>
      <c r="N1101" s="569">
        <v>1</v>
      </c>
      <c r="O1101" s="569">
        <v>83.2</v>
      </c>
      <c r="P1101" s="568" t="s">
        <v>157</v>
      </c>
      <c r="Q1101" s="569" t="s">
        <v>682</v>
      </c>
      <c r="R1101" s="569">
        <v>6</v>
      </c>
      <c r="S1101" s="569" t="s">
        <v>2285</v>
      </c>
      <c r="T1101" s="569" t="s">
        <v>1894</v>
      </c>
      <c r="U1101" s="569">
        <v>147.6</v>
      </c>
      <c r="V1101" s="569">
        <v>25</v>
      </c>
      <c r="W1101" s="620">
        <v>9000</v>
      </c>
      <c r="X1101" s="621" t="s">
        <v>157</v>
      </c>
      <c r="Y1101" s="621" t="s">
        <v>178</v>
      </c>
      <c r="Z1101" s="621" t="s">
        <v>178</v>
      </c>
      <c r="AA1101" s="622">
        <v>36510</v>
      </c>
      <c r="AB1101" s="622" t="s">
        <v>164</v>
      </c>
      <c r="AC1101" s="622">
        <v>25130.916666666668</v>
      </c>
      <c r="AD1101" s="623">
        <v>0.03</v>
      </c>
      <c r="AE1101" s="621" t="s">
        <v>2293</v>
      </c>
    </row>
    <row r="1102" spans="1:31" s="572" customFormat="1">
      <c r="A1102" s="570" t="s">
        <v>2348</v>
      </c>
      <c r="B1102" s="573" t="s">
        <v>269</v>
      </c>
      <c r="C1102" s="578" t="s">
        <v>270</v>
      </c>
      <c r="D1102" s="573" t="s">
        <v>1516</v>
      </c>
      <c r="E1102" s="573" t="s">
        <v>1517</v>
      </c>
      <c r="F1102" s="573" t="s">
        <v>271</v>
      </c>
      <c r="G1102" s="573">
        <v>2019</v>
      </c>
      <c r="H1102" s="573" t="s">
        <v>2199</v>
      </c>
      <c r="I1102" s="573" t="s">
        <v>2014</v>
      </c>
      <c r="J1102" s="573" t="s">
        <v>236</v>
      </c>
      <c r="K1102" s="573">
        <v>2</v>
      </c>
      <c r="L1102" s="573">
        <v>0</v>
      </c>
      <c r="M1102" s="573" t="s">
        <v>157</v>
      </c>
      <c r="N1102" s="573">
        <v>1</v>
      </c>
      <c r="O1102" s="573">
        <v>83.2</v>
      </c>
      <c r="P1102" s="571" t="s">
        <v>157</v>
      </c>
      <c r="Q1102" s="573" t="s">
        <v>1917</v>
      </c>
      <c r="R1102" s="573">
        <v>5</v>
      </c>
      <c r="S1102" s="582" t="s">
        <v>2350</v>
      </c>
      <c r="T1102" s="573" t="s">
        <v>1894</v>
      </c>
      <c r="U1102" s="573">
        <v>147.6</v>
      </c>
      <c r="V1102" s="573">
        <v>25</v>
      </c>
      <c r="W1102" s="616">
        <v>9000</v>
      </c>
      <c r="X1102" s="617" t="s">
        <v>157</v>
      </c>
      <c r="Y1102" s="617" t="s">
        <v>728</v>
      </c>
      <c r="Z1102" s="617" t="s">
        <v>1523</v>
      </c>
      <c r="AA1102" s="618">
        <v>40350</v>
      </c>
      <c r="AB1102" s="618" t="s">
        <v>164</v>
      </c>
      <c r="AC1102" s="618">
        <v>28539.833333333332</v>
      </c>
      <c r="AD1102" s="619">
        <v>0.03</v>
      </c>
      <c r="AE1102" s="617" t="s">
        <v>2349</v>
      </c>
    </row>
    <row r="1103" spans="1:31" s="572" customFormat="1">
      <c r="A1103" s="570" t="s">
        <v>2351</v>
      </c>
      <c r="B1103" s="569" t="s">
        <v>269</v>
      </c>
      <c r="C1103" s="580" t="s">
        <v>270</v>
      </c>
      <c r="D1103" s="569" t="s">
        <v>1516</v>
      </c>
      <c r="E1103" s="569" t="s">
        <v>1517</v>
      </c>
      <c r="F1103" s="569" t="s">
        <v>271</v>
      </c>
      <c r="G1103" s="569">
        <v>2019</v>
      </c>
      <c r="H1103" s="569" t="s">
        <v>2199</v>
      </c>
      <c r="I1103" s="569" t="s">
        <v>2014</v>
      </c>
      <c r="J1103" s="569" t="s">
        <v>236</v>
      </c>
      <c r="K1103" s="569">
        <v>2</v>
      </c>
      <c r="L1103" s="569">
        <v>0</v>
      </c>
      <c r="M1103" s="569" t="s">
        <v>157</v>
      </c>
      <c r="N1103" s="569">
        <v>1</v>
      </c>
      <c r="O1103" s="569">
        <v>83.2</v>
      </c>
      <c r="P1103" s="568" t="s">
        <v>157</v>
      </c>
      <c r="Q1103" s="569" t="s">
        <v>1259</v>
      </c>
      <c r="R1103" s="569">
        <v>6</v>
      </c>
      <c r="S1103" s="569" t="s">
        <v>2350</v>
      </c>
      <c r="T1103" s="569" t="s">
        <v>1894</v>
      </c>
      <c r="U1103" s="569">
        <v>147.6</v>
      </c>
      <c r="V1103" s="569">
        <v>25</v>
      </c>
      <c r="W1103" s="620">
        <v>9000</v>
      </c>
      <c r="X1103" s="621" t="s">
        <v>157</v>
      </c>
      <c r="Y1103" s="621" t="s">
        <v>178</v>
      </c>
      <c r="Z1103" s="621" t="s">
        <v>178</v>
      </c>
      <c r="AA1103" s="622">
        <v>38220</v>
      </c>
      <c r="AB1103" s="622" t="s">
        <v>164</v>
      </c>
      <c r="AC1103" s="622">
        <v>26646.541666666668</v>
      </c>
      <c r="AD1103" s="623">
        <v>0.03</v>
      </c>
      <c r="AE1103" s="621" t="s">
        <v>2352</v>
      </c>
    </row>
    <row r="1104" spans="1:31" s="572" customFormat="1">
      <c r="A1104" s="570" t="s">
        <v>2353</v>
      </c>
      <c r="B1104" s="573" t="s">
        <v>269</v>
      </c>
      <c r="C1104" s="578" t="s">
        <v>270</v>
      </c>
      <c r="D1104" s="573" t="s">
        <v>1516</v>
      </c>
      <c r="E1104" s="573" t="s">
        <v>1517</v>
      </c>
      <c r="F1104" s="573" t="s">
        <v>271</v>
      </c>
      <c r="G1104" s="573">
        <v>2019</v>
      </c>
      <c r="H1104" s="573" t="s">
        <v>2199</v>
      </c>
      <c r="I1104" s="573" t="s">
        <v>2014</v>
      </c>
      <c r="J1104" s="573" t="s">
        <v>236</v>
      </c>
      <c r="K1104" s="573">
        <v>2</v>
      </c>
      <c r="L1104" s="573">
        <v>0</v>
      </c>
      <c r="M1104" s="573" t="s">
        <v>157</v>
      </c>
      <c r="N1104" s="573">
        <v>1</v>
      </c>
      <c r="O1104" s="573">
        <v>83.2</v>
      </c>
      <c r="P1104" s="571" t="s">
        <v>157</v>
      </c>
      <c r="Q1104" s="573" t="s">
        <v>682</v>
      </c>
      <c r="R1104" s="573">
        <v>6</v>
      </c>
      <c r="S1104" s="582" t="s">
        <v>2350</v>
      </c>
      <c r="T1104" s="573" t="s">
        <v>1894</v>
      </c>
      <c r="U1104" s="573">
        <v>147.6</v>
      </c>
      <c r="V1104" s="573">
        <v>25</v>
      </c>
      <c r="W1104" s="616">
        <v>9000</v>
      </c>
      <c r="X1104" s="617" t="s">
        <v>157</v>
      </c>
      <c r="Y1104" s="617" t="s">
        <v>178</v>
      </c>
      <c r="Z1104" s="617" t="s">
        <v>178</v>
      </c>
      <c r="AA1104" s="618">
        <v>36355</v>
      </c>
      <c r="AB1104" s="618" t="s">
        <v>164</v>
      </c>
      <c r="AC1104" s="618">
        <v>24990.291666666668</v>
      </c>
      <c r="AD1104" s="619">
        <v>0.03</v>
      </c>
      <c r="AE1104" s="617" t="s">
        <v>2354</v>
      </c>
    </row>
    <row r="1105" spans="1:31" s="572" customFormat="1">
      <c r="A1105" s="570" t="s">
        <v>2355</v>
      </c>
      <c r="B1105" s="569" t="s">
        <v>269</v>
      </c>
      <c r="C1105" s="580" t="s">
        <v>270</v>
      </c>
      <c r="D1105" s="569" t="s">
        <v>1516</v>
      </c>
      <c r="E1105" s="569" t="s">
        <v>1517</v>
      </c>
      <c r="F1105" s="569" t="s">
        <v>271</v>
      </c>
      <c r="G1105" s="569">
        <v>2019</v>
      </c>
      <c r="H1105" s="569" t="s">
        <v>2199</v>
      </c>
      <c r="I1105" s="569" t="s">
        <v>2014</v>
      </c>
      <c r="J1105" s="569" t="s">
        <v>236</v>
      </c>
      <c r="K1105" s="569">
        <v>2</v>
      </c>
      <c r="L1105" s="569">
        <v>0</v>
      </c>
      <c r="M1105" s="569" t="s">
        <v>157</v>
      </c>
      <c r="N1105" s="569">
        <v>1</v>
      </c>
      <c r="O1105" s="569">
        <v>83.6</v>
      </c>
      <c r="P1105" s="568" t="s">
        <v>157</v>
      </c>
      <c r="Q1105" s="569" t="s">
        <v>1917</v>
      </c>
      <c r="R1105" s="569">
        <v>5</v>
      </c>
      <c r="S1105" s="569" t="s">
        <v>2357</v>
      </c>
      <c r="T1105" s="569" t="s">
        <v>1894</v>
      </c>
      <c r="U1105" s="569">
        <v>129.9</v>
      </c>
      <c r="V1105" s="569">
        <v>25</v>
      </c>
      <c r="W1105" s="620">
        <v>9000</v>
      </c>
      <c r="X1105" s="621" t="s">
        <v>157</v>
      </c>
      <c r="Y1105" s="621" t="s">
        <v>728</v>
      </c>
      <c r="Z1105" s="621" t="s">
        <v>1523</v>
      </c>
      <c r="AA1105" s="622">
        <v>39475</v>
      </c>
      <c r="AB1105" s="622" t="s">
        <v>164</v>
      </c>
      <c r="AC1105" s="622">
        <v>27739.833333333332</v>
      </c>
      <c r="AD1105" s="623">
        <v>0.03</v>
      </c>
      <c r="AE1105" s="621" t="s">
        <v>2356</v>
      </c>
    </row>
    <row r="1106" spans="1:31" s="572" customFormat="1">
      <c r="A1106" s="570" t="s">
        <v>2358</v>
      </c>
      <c r="B1106" s="573" t="s">
        <v>269</v>
      </c>
      <c r="C1106" s="578" t="s">
        <v>270</v>
      </c>
      <c r="D1106" s="573" t="s">
        <v>1516</v>
      </c>
      <c r="E1106" s="573" t="s">
        <v>1517</v>
      </c>
      <c r="F1106" s="573" t="s">
        <v>271</v>
      </c>
      <c r="G1106" s="573">
        <v>2019</v>
      </c>
      <c r="H1106" s="573" t="s">
        <v>2199</v>
      </c>
      <c r="I1106" s="573" t="s">
        <v>2014</v>
      </c>
      <c r="J1106" s="573" t="s">
        <v>236</v>
      </c>
      <c r="K1106" s="573">
        <v>2</v>
      </c>
      <c r="L1106" s="573">
        <v>0</v>
      </c>
      <c r="M1106" s="573" t="s">
        <v>157</v>
      </c>
      <c r="N1106" s="573">
        <v>1</v>
      </c>
      <c r="O1106" s="573">
        <v>83.6</v>
      </c>
      <c r="P1106" s="571" t="s">
        <v>157</v>
      </c>
      <c r="Q1106" s="573" t="s">
        <v>1259</v>
      </c>
      <c r="R1106" s="573">
        <v>6</v>
      </c>
      <c r="S1106" s="582" t="s">
        <v>2357</v>
      </c>
      <c r="T1106" s="573" t="s">
        <v>1894</v>
      </c>
      <c r="U1106" s="573">
        <v>129.9</v>
      </c>
      <c r="V1106" s="573">
        <v>25</v>
      </c>
      <c r="W1106" s="616">
        <v>9000</v>
      </c>
      <c r="X1106" s="617" t="s">
        <v>157</v>
      </c>
      <c r="Y1106" s="617" t="s">
        <v>178</v>
      </c>
      <c r="Z1106" s="617" t="s">
        <v>178</v>
      </c>
      <c r="AA1106" s="618">
        <v>37345</v>
      </c>
      <c r="AB1106" s="618" t="s">
        <v>164</v>
      </c>
      <c r="AC1106" s="618">
        <v>25846.541666666668</v>
      </c>
      <c r="AD1106" s="619">
        <v>0.03</v>
      </c>
      <c r="AE1106" s="617" t="s">
        <v>2359</v>
      </c>
    </row>
    <row r="1107" spans="1:31" s="572" customFormat="1">
      <c r="A1107" s="570" t="s">
        <v>2360</v>
      </c>
      <c r="B1107" s="569" t="s">
        <v>269</v>
      </c>
      <c r="C1107" s="580" t="s">
        <v>270</v>
      </c>
      <c r="D1107" s="569" t="s">
        <v>1516</v>
      </c>
      <c r="E1107" s="569" t="s">
        <v>1517</v>
      </c>
      <c r="F1107" s="569" t="s">
        <v>271</v>
      </c>
      <c r="G1107" s="569">
        <v>2019</v>
      </c>
      <c r="H1107" s="569" t="s">
        <v>2199</v>
      </c>
      <c r="I1107" s="569" t="s">
        <v>2014</v>
      </c>
      <c r="J1107" s="569" t="s">
        <v>236</v>
      </c>
      <c r="K1107" s="569">
        <v>2</v>
      </c>
      <c r="L1107" s="569">
        <v>0</v>
      </c>
      <c r="M1107" s="569" t="s">
        <v>157</v>
      </c>
      <c r="N1107" s="569">
        <v>1</v>
      </c>
      <c r="O1107" s="569">
        <v>83.6</v>
      </c>
      <c r="P1107" s="568" t="s">
        <v>157</v>
      </c>
      <c r="Q1107" s="569" t="s">
        <v>682</v>
      </c>
      <c r="R1107" s="569">
        <v>6</v>
      </c>
      <c r="S1107" s="569" t="s">
        <v>2357</v>
      </c>
      <c r="T1107" s="569" t="s">
        <v>1894</v>
      </c>
      <c r="U1107" s="569">
        <v>129.9</v>
      </c>
      <c r="V1107" s="569">
        <v>25</v>
      </c>
      <c r="W1107" s="620">
        <v>9000</v>
      </c>
      <c r="X1107" s="621" t="s">
        <v>157</v>
      </c>
      <c r="Y1107" s="621" t="s">
        <v>178</v>
      </c>
      <c r="Z1107" s="621" t="s">
        <v>178</v>
      </c>
      <c r="AA1107" s="622">
        <v>35480</v>
      </c>
      <c r="AB1107" s="622" t="s">
        <v>164</v>
      </c>
      <c r="AC1107" s="622">
        <v>24190.291666666668</v>
      </c>
      <c r="AD1107" s="623">
        <v>0.03</v>
      </c>
      <c r="AE1107" s="621" t="s">
        <v>2361</v>
      </c>
    </row>
    <row r="1108" spans="1:31" s="572" customFormat="1">
      <c r="A1108" s="570" t="s">
        <v>2362</v>
      </c>
      <c r="B1108" s="573" t="s">
        <v>278</v>
      </c>
      <c r="C1108" s="578">
        <v>15</v>
      </c>
      <c r="D1108" s="573" t="s">
        <v>1516</v>
      </c>
      <c r="E1108" s="573" t="s">
        <v>1517</v>
      </c>
      <c r="F1108" s="573" t="s">
        <v>271</v>
      </c>
      <c r="G1108" s="573">
        <v>2019</v>
      </c>
      <c r="H1108" s="573" t="s">
        <v>2199</v>
      </c>
      <c r="I1108" s="573" t="s">
        <v>2014</v>
      </c>
      <c r="J1108" s="573" t="s">
        <v>236</v>
      </c>
      <c r="K1108" s="573">
        <v>2</v>
      </c>
      <c r="L1108" s="573">
        <v>0</v>
      </c>
      <c r="M1108" s="573" t="s">
        <v>157</v>
      </c>
      <c r="N1108" s="573">
        <v>1</v>
      </c>
      <c r="O1108" s="573">
        <v>83.2</v>
      </c>
      <c r="P1108" s="571" t="s">
        <v>157</v>
      </c>
      <c r="Q1108" s="573" t="s">
        <v>1917</v>
      </c>
      <c r="R1108" s="573">
        <v>5</v>
      </c>
      <c r="S1108" s="582" t="s">
        <v>2350</v>
      </c>
      <c r="T1108" s="573" t="s">
        <v>1894</v>
      </c>
      <c r="U1108" s="573">
        <v>147.6</v>
      </c>
      <c r="V1108" s="573">
        <v>25</v>
      </c>
      <c r="W1108" s="616">
        <v>9000</v>
      </c>
      <c r="X1108" s="617" t="s">
        <v>157</v>
      </c>
      <c r="Y1108" s="617" t="s">
        <v>728</v>
      </c>
      <c r="Z1108" s="617" t="s">
        <v>1523</v>
      </c>
      <c r="AA1108" s="618">
        <v>40350</v>
      </c>
      <c r="AB1108" s="618" t="s">
        <v>164</v>
      </c>
      <c r="AC1108" s="618">
        <v>29100</v>
      </c>
      <c r="AD1108" s="619">
        <v>0.01</v>
      </c>
      <c r="AE1108" s="617" t="s">
        <v>2349</v>
      </c>
    </row>
    <row r="1109" spans="1:31" s="572" customFormat="1">
      <c r="A1109" s="570" t="s">
        <v>2363</v>
      </c>
      <c r="B1109" s="569" t="s">
        <v>278</v>
      </c>
      <c r="C1109" s="580">
        <v>15</v>
      </c>
      <c r="D1109" s="569" t="s">
        <v>1516</v>
      </c>
      <c r="E1109" s="569" t="s">
        <v>1517</v>
      </c>
      <c r="F1109" s="569" t="s">
        <v>271</v>
      </c>
      <c r="G1109" s="569">
        <v>2019</v>
      </c>
      <c r="H1109" s="569" t="s">
        <v>2199</v>
      </c>
      <c r="I1109" s="569" t="s">
        <v>2014</v>
      </c>
      <c r="J1109" s="569" t="s">
        <v>236</v>
      </c>
      <c r="K1109" s="569">
        <v>2</v>
      </c>
      <c r="L1109" s="569">
        <v>0</v>
      </c>
      <c r="M1109" s="569" t="s">
        <v>157</v>
      </c>
      <c r="N1109" s="569">
        <v>1</v>
      </c>
      <c r="O1109" s="569">
        <v>83.2</v>
      </c>
      <c r="P1109" s="568" t="s">
        <v>157</v>
      </c>
      <c r="Q1109" s="569" t="s">
        <v>1259</v>
      </c>
      <c r="R1109" s="569">
        <v>6</v>
      </c>
      <c r="S1109" s="569" t="s">
        <v>2350</v>
      </c>
      <c r="T1109" s="569" t="s">
        <v>1894</v>
      </c>
      <c r="U1109" s="569">
        <v>147.6</v>
      </c>
      <c r="V1109" s="569">
        <v>25</v>
      </c>
      <c r="W1109" s="620">
        <v>9000</v>
      </c>
      <c r="X1109" s="621" t="s">
        <v>157</v>
      </c>
      <c r="Y1109" s="621" t="s">
        <v>178</v>
      </c>
      <c r="Z1109" s="621" t="s">
        <v>178</v>
      </c>
      <c r="AA1109" s="622">
        <v>38220</v>
      </c>
      <c r="AB1109" s="622" t="s">
        <v>164</v>
      </c>
      <c r="AC1109" s="622">
        <v>27200</v>
      </c>
      <c r="AD1109" s="623">
        <v>0.01</v>
      </c>
      <c r="AE1109" s="621" t="s">
        <v>2352</v>
      </c>
    </row>
    <row r="1110" spans="1:31" s="572" customFormat="1">
      <c r="A1110" s="570" t="s">
        <v>2364</v>
      </c>
      <c r="B1110" s="573" t="s">
        <v>278</v>
      </c>
      <c r="C1110" s="578">
        <v>15</v>
      </c>
      <c r="D1110" s="573" t="s">
        <v>1516</v>
      </c>
      <c r="E1110" s="573" t="s">
        <v>1517</v>
      </c>
      <c r="F1110" s="573" t="s">
        <v>271</v>
      </c>
      <c r="G1110" s="573">
        <v>2019</v>
      </c>
      <c r="H1110" s="573" t="s">
        <v>2199</v>
      </c>
      <c r="I1110" s="573" t="s">
        <v>2014</v>
      </c>
      <c r="J1110" s="573" t="s">
        <v>236</v>
      </c>
      <c r="K1110" s="573">
        <v>2</v>
      </c>
      <c r="L1110" s="573">
        <v>0</v>
      </c>
      <c r="M1110" s="573" t="s">
        <v>157</v>
      </c>
      <c r="N1110" s="573">
        <v>1</v>
      </c>
      <c r="O1110" s="573">
        <v>83.2</v>
      </c>
      <c r="P1110" s="571" t="s">
        <v>157</v>
      </c>
      <c r="Q1110" s="573" t="s">
        <v>682</v>
      </c>
      <c r="R1110" s="573">
        <v>6</v>
      </c>
      <c r="S1110" s="582" t="s">
        <v>2350</v>
      </c>
      <c r="T1110" s="573" t="s">
        <v>1894</v>
      </c>
      <c r="U1110" s="573">
        <v>147.6</v>
      </c>
      <c r="V1110" s="573">
        <v>25</v>
      </c>
      <c r="W1110" s="616">
        <v>9000</v>
      </c>
      <c r="X1110" s="617" t="s">
        <v>157</v>
      </c>
      <c r="Y1110" s="617" t="s">
        <v>178</v>
      </c>
      <c r="Z1110" s="617" t="s">
        <v>178</v>
      </c>
      <c r="AA1110" s="618">
        <v>36355</v>
      </c>
      <c r="AB1110" s="618" t="s">
        <v>164</v>
      </c>
      <c r="AC1110" s="618">
        <v>25500</v>
      </c>
      <c r="AD1110" s="619">
        <v>0.01</v>
      </c>
      <c r="AE1110" s="617" t="s">
        <v>2354</v>
      </c>
    </row>
    <row r="1111" spans="1:31" s="572" customFormat="1">
      <c r="A1111" s="570" t="s">
        <v>2365</v>
      </c>
      <c r="B1111" s="569" t="s">
        <v>278</v>
      </c>
      <c r="C1111" s="580">
        <v>15</v>
      </c>
      <c r="D1111" s="569" t="s">
        <v>1516</v>
      </c>
      <c r="E1111" s="569" t="s">
        <v>1517</v>
      </c>
      <c r="F1111" s="569" t="s">
        <v>271</v>
      </c>
      <c r="G1111" s="569">
        <v>2019</v>
      </c>
      <c r="H1111" s="569" t="s">
        <v>2199</v>
      </c>
      <c r="I1111" s="569" t="s">
        <v>2014</v>
      </c>
      <c r="J1111" s="569" t="s">
        <v>236</v>
      </c>
      <c r="K1111" s="569">
        <v>2</v>
      </c>
      <c r="L1111" s="569">
        <v>0</v>
      </c>
      <c r="M1111" s="569" t="s">
        <v>157</v>
      </c>
      <c r="N1111" s="569">
        <v>1</v>
      </c>
      <c r="O1111" s="569">
        <v>83.6</v>
      </c>
      <c r="P1111" s="568" t="s">
        <v>157</v>
      </c>
      <c r="Q1111" s="569" t="s">
        <v>1917</v>
      </c>
      <c r="R1111" s="569">
        <v>5</v>
      </c>
      <c r="S1111" s="569" t="s">
        <v>2357</v>
      </c>
      <c r="T1111" s="569" t="s">
        <v>1894</v>
      </c>
      <c r="U1111" s="569">
        <v>129.9</v>
      </c>
      <c r="V1111" s="569">
        <v>25</v>
      </c>
      <c r="W1111" s="620">
        <v>9000</v>
      </c>
      <c r="X1111" s="621" t="s">
        <v>157</v>
      </c>
      <c r="Y1111" s="621" t="s">
        <v>728</v>
      </c>
      <c r="Z1111" s="621" t="s">
        <v>1523</v>
      </c>
      <c r="AA1111" s="622">
        <v>39475</v>
      </c>
      <c r="AB1111" s="622" t="s">
        <v>164</v>
      </c>
      <c r="AC1111" s="622">
        <v>28300</v>
      </c>
      <c r="AD1111" s="623">
        <v>0.01</v>
      </c>
      <c r="AE1111" s="621" t="s">
        <v>2356</v>
      </c>
    </row>
    <row r="1112" spans="1:31" s="572" customFormat="1">
      <c r="A1112" s="570" t="s">
        <v>2366</v>
      </c>
      <c r="B1112" s="573" t="s">
        <v>278</v>
      </c>
      <c r="C1112" s="578">
        <v>15</v>
      </c>
      <c r="D1112" s="573" t="s">
        <v>1516</v>
      </c>
      <c r="E1112" s="573" t="s">
        <v>1517</v>
      </c>
      <c r="F1112" s="573" t="s">
        <v>271</v>
      </c>
      <c r="G1112" s="573">
        <v>2019</v>
      </c>
      <c r="H1112" s="573" t="s">
        <v>2199</v>
      </c>
      <c r="I1112" s="573" t="s">
        <v>2014</v>
      </c>
      <c r="J1112" s="573" t="s">
        <v>236</v>
      </c>
      <c r="K1112" s="573">
        <v>2</v>
      </c>
      <c r="L1112" s="573">
        <v>0</v>
      </c>
      <c r="M1112" s="573" t="s">
        <v>157</v>
      </c>
      <c r="N1112" s="573">
        <v>1</v>
      </c>
      <c r="O1112" s="573">
        <v>83.6</v>
      </c>
      <c r="P1112" s="571" t="s">
        <v>157</v>
      </c>
      <c r="Q1112" s="573" t="s">
        <v>1259</v>
      </c>
      <c r="R1112" s="573">
        <v>6</v>
      </c>
      <c r="S1112" s="582" t="s">
        <v>2357</v>
      </c>
      <c r="T1112" s="573" t="s">
        <v>1894</v>
      </c>
      <c r="U1112" s="573">
        <v>129.9</v>
      </c>
      <c r="V1112" s="573">
        <v>25</v>
      </c>
      <c r="W1112" s="616">
        <v>9000</v>
      </c>
      <c r="X1112" s="617" t="s">
        <v>157</v>
      </c>
      <c r="Y1112" s="617" t="s">
        <v>178</v>
      </c>
      <c r="Z1112" s="617" t="s">
        <v>178</v>
      </c>
      <c r="AA1112" s="618">
        <v>37345</v>
      </c>
      <c r="AB1112" s="618" t="s">
        <v>164</v>
      </c>
      <c r="AC1112" s="618">
        <v>26400</v>
      </c>
      <c r="AD1112" s="619">
        <v>0.01</v>
      </c>
      <c r="AE1112" s="617" t="s">
        <v>2359</v>
      </c>
    </row>
    <row r="1113" spans="1:31" s="572" customFormat="1">
      <c r="A1113" s="570" t="s">
        <v>2367</v>
      </c>
      <c r="B1113" s="569" t="s">
        <v>278</v>
      </c>
      <c r="C1113" s="580">
        <v>15</v>
      </c>
      <c r="D1113" s="569" t="s">
        <v>1516</v>
      </c>
      <c r="E1113" s="569" t="s">
        <v>1517</v>
      </c>
      <c r="F1113" s="569" t="s">
        <v>271</v>
      </c>
      <c r="G1113" s="569">
        <v>2019</v>
      </c>
      <c r="H1113" s="569" t="s">
        <v>2199</v>
      </c>
      <c r="I1113" s="569" t="s">
        <v>2014</v>
      </c>
      <c r="J1113" s="569" t="s">
        <v>236</v>
      </c>
      <c r="K1113" s="569">
        <v>2</v>
      </c>
      <c r="L1113" s="569">
        <v>0</v>
      </c>
      <c r="M1113" s="569" t="s">
        <v>157</v>
      </c>
      <c r="N1113" s="569">
        <v>1</v>
      </c>
      <c r="O1113" s="569">
        <v>83.6</v>
      </c>
      <c r="P1113" s="568" t="s">
        <v>157</v>
      </c>
      <c r="Q1113" s="569" t="s">
        <v>682</v>
      </c>
      <c r="R1113" s="569">
        <v>6</v>
      </c>
      <c r="S1113" s="569" t="s">
        <v>2357</v>
      </c>
      <c r="T1113" s="569" t="s">
        <v>1894</v>
      </c>
      <c r="U1113" s="569">
        <v>129.9</v>
      </c>
      <c r="V1113" s="569">
        <v>25</v>
      </c>
      <c r="W1113" s="620">
        <v>9000</v>
      </c>
      <c r="X1113" s="621" t="s">
        <v>157</v>
      </c>
      <c r="Y1113" s="621" t="s">
        <v>178</v>
      </c>
      <c r="Z1113" s="621" t="s">
        <v>178</v>
      </c>
      <c r="AA1113" s="622">
        <v>35480</v>
      </c>
      <c r="AB1113" s="622" t="s">
        <v>164</v>
      </c>
      <c r="AC1113" s="622">
        <v>24700</v>
      </c>
      <c r="AD1113" s="623">
        <v>0.01</v>
      </c>
      <c r="AE1113" s="621" t="s">
        <v>2361</v>
      </c>
    </row>
    <row r="1114" spans="1:31" s="572" customFormat="1">
      <c r="A1114" s="570" t="s">
        <v>2368</v>
      </c>
      <c r="B1114" s="573" t="s">
        <v>287</v>
      </c>
      <c r="C1114" s="578">
        <v>26</v>
      </c>
      <c r="D1114" s="573" t="s">
        <v>1516</v>
      </c>
      <c r="E1114" s="573" t="s">
        <v>1517</v>
      </c>
      <c r="F1114" s="573" t="s">
        <v>271</v>
      </c>
      <c r="G1114" s="573">
        <v>2019</v>
      </c>
      <c r="H1114" s="573" t="s">
        <v>2199</v>
      </c>
      <c r="I1114" s="573" t="s">
        <v>2014</v>
      </c>
      <c r="J1114" s="573" t="s">
        <v>236</v>
      </c>
      <c r="K1114" s="573">
        <v>2</v>
      </c>
      <c r="L1114" s="573">
        <v>0</v>
      </c>
      <c r="M1114" s="573" t="s">
        <v>157</v>
      </c>
      <c r="N1114" s="573">
        <v>1</v>
      </c>
      <c r="O1114" s="573">
        <v>83.2</v>
      </c>
      <c r="P1114" s="571" t="s">
        <v>157</v>
      </c>
      <c r="Q1114" s="573" t="s">
        <v>1917</v>
      </c>
      <c r="R1114" s="573">
        <v>5</v>
      </c>
      <c r="S1114" s="582" t="s">
        <v>2350</v>
      </c>
      <c r="T1114" s="573" t="s">
        <v>1894</v>
      </c>
      <c r="U1114" s="573">
        <v>147.6</v>
      </c>
      <c r="V1114" s="573">
        <v>25</v>
      </c>
      <c r="W1114" s="616">
        <v>9000</v>
      </c>
      <c r="X1114" s="617" t="s">
        <v>157</v>
      </c>
      <c r="Y1114" s="617" t="s">
        <v>728</v>
      </c>
      <c r="Z1114" s="617" t="s">
        <v>1523</v>
      </c>
      <c r="AA1114" s="618">
        <v>40350</v>
      </c>
      <c r="AB1114" s="618" t="s">
        <v>164</v>
      </c>
      <c r="AC1114" s="618">
        <v>29568</v>
      </c>
      <c r="AD1114" s="619">
        <v>0.05</v>
      </c>
      <c r="AE1114" s="617" t="s">
        <v>2349</v>
      </c>
    </row>
    <row r="1115" spans="1:31" s="572" customFormat="1">
      <c r="A1115" s="570" t="s">
        <v>2369</v>
      </c>
      <c r="B1115" s="569" t="s">
        <v>287</v>
      </c>
      <c r="C1115" s="580">
        <v>26</v>
      </c>
      <c r="D1115" s="569" t="s">
        <v>1516</v>
      </c>
      <c r="E1115" s="569" t="s">
        <v>1517</v>
      </c>
      <c r="F1115" s="569" t="s">
        <v>271</v>
      </c>
      <c r="G1115" s="569">
        <v>2019</v>
      </c>
      <c r="H1115" s="569" t="s">
        <v>2199</v>
      </c>
      <c r="I1115" s="569" t="s">
        <v>2014</v>
      </c>
      <c r="J1115" s="569" t="s">
        <v>236</v>
      </c>
      <c r="K1115" s="569">
        <v>2</v>
      </c>
      <c r="L1115" s="569">
        <v>0</v>
      </c>
      <c r="M1115" s="569" t="s">
        <v>157</v>
      </c>
      <c r="N1115" s="569">
        <v>1</v>
      </c>
      <c r="O1115" s="569">
        <v>83.2</v>
      </c>
      <c r="P1115" s="568" t="s">
        <v>157</v>
      </c>
      <c r="Q1115" s="569" t="s">
        <v>1259</v>
      </c>
      <c r="R1115" s="569">
        <v>6</v>
      </c>
      <c r="S1115" s="569" t="s">
        <v>2350</v>
      </c>
      <c r="T1115" s="569" t="s">
        <v>1894</v>
      </c>
      <c r="U1115" s="569">
        <v>147.6</v>
      </c>
      <c r="V1115" s="569">
        <v>25</v>
      </c>
      <c r="W1115" s="620">
        <v>9000</v>
      </c>
      <c r="X1115" s="621" t="s">
        <v>157</v>
      </c>
      <c r="Y1115" s="621" t="s">
        <v>178</v>
      </c>
      <c r="Z1115" s="621" t="s">
        <v>178</v>
      </c>
      <c r="AA1115" s="622">
        <v>38220</v>
      </c>
      <c r="AB1115" s="622" t="s">
        <v>164</v>
      </c>
      <c r="AC1115" s="622">
        <v>27615</v>
      </c>
      <c r="AD1115" s="623">
        <v>0.05</v>
      </c>
      <c r="AE1115" s="621" t="s">
        <v>2352</v>
      </c>
    </row>
    <row r="1116" spans="1:31" s="572" customFormat="1">
      <c r="A1116" s="570" t="s">
        <v>2370</v>
      </c>
      <c r="B1116" s="573" t="s">
        <v>287</v>
      </c>
      <c r="C1116" s="578">
        <v>26</v>
      </c>
      <c r="D1116" s="573" t="s">
        <v>1516</v>
      </c>
      <c r="E1116" s="573" t="s">
        <v>1517</v>
      </c>
      <c r="F1116" s="573" t="s">
        <v>271</v>
      </c>
      <c r="G1116" s="573">
        <v>2019</v>
      </c>
      <c r="H1116" s="573" t="s">
        <v>2199</v>
      </c>
      <c r="I1116" s="573" t="s">
        <v>2014</v>
      </c>
      <c r="J1116" s="573" t="s">
        <v>236</v>
      </c>
      <c r="K1116" s="573">
        <v>2</v>
      </c>
      <c r="L1116" s="573">
        <v>0</v>
      </c>
      <c r="M1116" s="573" t="s">
        <v>157</v>
      </c>
      <c r="N1116" s="573">
        <v>1</v>
      </c>
      <c r="O1116" s="573">
        <v>83.2</v>
      </c>
      <c r="P1116" s="571" t="s">
        <v>157</v>
      </c>
      <c r="Q1116" s="573" t="s">
        <v>682</v>
      </c>
      <c r="R1116" s="573">
        <v>6</v>
      </c>
      <c r="S1116" s="582" t="s">
        <v>2350</v>
      </c>
      <c r="T1116" s="573" t="s">
        <v>1894</v>
      </c>
      <c r="U1116" s="573">
        <v>147.6</v>
      </c>
      <c r="V1116" s="573">
        <v>25</v>
      </c>
      <c r="W1116" s="616">
        <v>9000</v>
      </c>
      <c r="X1116" s="617" t="s">
        <v>157</v>
      </c>
      <c r="Y1116" s="617" t="s">
        <v>178</v>
      </c>
      <c r="Z1116" s="617" t="s">
        <v>178</v>
      </c>
      <c r="AA1116" s="618">
        <v>36355</v>
      </c>
      <c r="AB1116" s="618" t="s">
        <v>164</v>
      </c>
      <c r="AC1116" s="618">
        <v>25905</v>
      </c>
      <c r="AD1116" s="619">
        <v>0.05</v>
      </c>
      <c r="AE1116" s="617" t="s">
        <v>2354</v>
      </c>
    </row>
    <row r="1117" spans="1:31" s="572" customFormat="1">
      <c r="A1117" s="570" t="s">
        <v>2371</v>
      </c>
      <c r="B1117" s="569" t="s">
        <v>287</v>
      </c>
      <c r="C1117" s="580">
        <v>26</v>
      </c>
      <c r="D1117" s="569" t="s">
        <v>1516</v>
      </c>
      <c r="E1117" s="569" t="s">
        <v>1517</v>
      </c>
      <c r="F1117" s="569" t="s">
        <v>271</v>
      </c>
      <c r="G1117" s="569">
        <v>2019</v>
      </c>
      <c r="H1117" s="569" t="s">
        <v>2199</v>
      </c>
      <c r="I1117" s="569" t="s">
        <v>2014</v>
      </c>
      <c r="J1117" s="569" t="s">
        <v>236</v>
      </c>
      <c r="K1117" s="569">
        <v>2</v>
      </c>
      <c r="L1117" s="569">
        <v>0</v>
      </c>
      <c r="M1117" s="569" t="s">
        <v>157</v>
      </c>
      <c r="N1117" s="569">
        <v>1</v>
      </c>
      <c r="O1117" s="569">
        <v>83.6</v>
      </c>
      <c r="P1117" s="568" t="s">
        <v>157</v>
      </c>
      <c r="Q1117" s="569" t="s">
        <v>1917</v>
      </c>
      <c r="R1117" s="569">
        <v>5</v>
      </c>
      <c r="S1117" s="569" t="s">
        <v>2357</v>
      </c>
      <c r="T1117" s="569" t="s">
        <v>1894</v>
      </c>
      <c r="U1117" s="569">
        <v>129.9</v>
      </c>
      <c r="V1117" s="569">
        <v>25</v>
      </c>
      <c r="W1117" s="620">
        <v>9000</v>
      </c>
      <c r="X1117" s="621" t="s">
        <v>157</v>
      </c>
      <c r="Y1117" s="621" t="s">
        <v>728</v>
      </c>
      <c r="Z1117" s="621" t="s">
        <v>1523</v>
      </c>
      <c r="AA1117" s="622">
        <v>39475</v>
      </c>
      <c r="AB1117" s="622" t="s">
        <v>164</v>
      </c>
      <c r="AC1117" s="622">
        <v>28742</v>
      </c>
      <c r="AD1117" s="623">
        <v>0.05</v>
      </c>
      <c r="AE1117" s="621" t="s">
        <v>2356</v>
      </c>
    </row>
    <row r="1118" spans="1:31" s="572" customFormat="1">
      <c r="A1118" s="570" t="s">
        <v>2372</v>
      </c>
      <c r="B1118" s="573" t="s">
        <v>287</v>
      </c>
      <c r="C1118" s="578">
        <v>26</v>
      </c>
      <c r="D1118" s="573" t="s">
        <v>1516</v>
      </c>
      <c r="E1118" s="573" t="s">
        <v>1517</v>
      </c>
      <c r="F1118" s="573" t="s">
        <v>271</v>
      </c>
      <c r="G1118" s="573">
        <v>2019</v>
      </c>
      <c r="H1118" s="573" t="s">
        <v>2199</v>
      </c>
      <c r="I1118" s="573" t="s">
        <v>2014</v>
      </c>
      <c r="J1118" s="573" t="s">
        <v>236</v>
      </c>
      <c r="K1118" s="573">
        <v>2</v>
      </c>
      <c r="L1118" s="573">
        <v>0</v>
      </c>
      <c r="M1118" s="573" t="s">
        <v>157</v>
      </c>
      <c r="N1118" s="573">
        <v>1</v>
      </c>
      <c r="O1118" s="573">
        <v>83.6</v>
      </c>
      <c r="P1118" s="571" t="s">
        <v>157</v>
      </c>
      <c r="Q1118" s="573" t="s">
        <v>1259</v>
      </c>
      <c r="R1118" s="573">
        <v>6</v>
      </c>
      <c r="S1118" s="582" t="s">
        <v>2357</v>
      </c>
      <c r="T1118" s="573" t="s">
        <v>1894</v>
      </c>
      <c r="U1118" s="573">
        <v>129.9</v>
      </c>
      <c r="V1118" s="573">
        <v>25</v>
      </c>
      <c r="W1118" s="616">
        <v>9000</v>
      </c>
      <c r="X1118" s="617" t="s">
        <v>157</v>
      </c>
      <c r="Y1118" s="617" t="s">
        <v>178</v>
      </c>
      <c r="Z1118" s="617" t="s">
        <v>178</v>
      </c>
      <c r="AA1118" s="618">
        <v>37345</v>
      </c>
      <c r="AB1118" s="618" t="s">
        <v>164</v>
      </c>
      <c r="AC1118" s="618">
        <v>26789</v>
      </c>
      <c r="AD1118" s="619">
        <v>0.05</v>
      </c>
      <c r="AE1118" s="617" t="s">
        <v>2359</v>
      </c>
    </row>
    <row r="1119" spans="1:31" s="572" customFormat="1">
      <c r="A1119" s="570" t="s">
        <v>2373</v>
      </c>
      <c r="B1119" s="569" t="s">
        <v>287</v>
      </c>
      <c r="C1119" s="580">
        <v>26</v>
      </c>
      <c r="D1119" s="569" t="s">
        <v>1516</v>
      </c>
      <c r="E1119" s="569" t="s">
        <v>1517</v>
      </c>
      <c r="F1119" s="569" t="s">
        <v>271</v>
      </c>
      <c r="G1119" s="569">
        <v>2019</v>
      </c>
      <c r="H1119" s="569" t="s">
        <v>2199</v>
      </c>
      <c r="I1119" s="569" t="s">
        <v>2014</v>
      </c>
      <c r="J1119" s="569" t="s">
        <v>236</v>
      </c>
      <c r="K1119" s="569">
        <v>2</v>
      </c>
      <c r="L1119" s="569">
        <v>0</v>
      </c>
      <c r="M1119" s="569" t="s">
        <v>157</v>
      </c>
      <c r="N1119" s="569">
        <v>1</v>
      </c>
      <c r="O1119" s="569">
        <v>83.6</v>
      </c>
      <c r="P1119" s="568" t="s">
        <v>157</v>
      </c>
      <c r="Q1119" s="569" t="s">
        <v>682</v>
      </c>
      <c r="R1119" s="569">
        <v>6</v>
      </c>
      <c r="S1119" s="569" t="s">
        <v>2357</v>
      </c>
      <c r="T1119" s="569" t="s">
        <v>1894</v>
      </c>
      <c r="U1119" s="569">
        <v>129.9</v>
      </c>
      <c r="V1119" s="569">
        <v>25</v>
      </c>
      <c r="W1119" s="620">
        <v>9000</v>
      </c>
      <c r="X1119" s="621" t="s">
        <v>157</v>
      </c>
      <c r="Y1119" s="621" t="s">
        <v>178</v>
      </c>
      <c r="Z1119" s="621" t="s">
        <v>178</v>
      </c>
      <c r="AA1119" s="622">
        <v>35480</v>
      </c>
      <c r="AB1119" s="622" t="s">
        <v>164</v>
      </c>
      <c r="AC1119" s="622">
        <v>25079</v>
      </c>
      <c r="AD1119" s="623">
        <v>0.05</v>
      </c>
      <c r="AE1119" s="621" t="s">
        <v>2361</v>
      </c>
    </row>
    <row r="1120" spans="1:31" s="572" customFormat="1">
      <c r="A1120" s="570" t="s">
        <v>2374</v>
      </c>
      <c r="B1120" s="573" t="s">
        <v>280</v>
      </c>
      <c r="C1120" s="578">
        <v>27</v>
      </c>
      <c r="D1120" s="573" t="s">
        <v>1516</v>
      </c>
      <c r="E1120" s="573" t="s">
        <v>1517</v>
      </c>
      <c r="F1120" s="573" t="s">
        <v>271</v>
      </c>
      <c r="G1120" s="573">
        <v>2019</v>
      </c>
      <c r="H1120" s="573" t="s">
        <v>2199</v>
      </c>
      <c r="I1120" s="573" t="s">
        <v>2014</v>
      </c>
      <c r="J1120" s="573" t="s">
        <v>236</v>
      </c>
      <c r="K1120" s="573">
        <v>2</v>
      </c>
      <c r="L1120" s="573">
        <v>0</v>
      </c>
      <c r="M1120" s="573" t="s">
        <v>157</v>
      </c>
      <c r="N1120" s="573">
        <v>1</v>
      </c>
      <c r="O1120" s="573">
        <v>83.2</v>
      </c>
      <c r="P1120" s="571" t="s">
        <v>157</v>
      </c>
      <c r="Q1120" s="573" t="s">
        <v>1917</v>
      </c>
      <c r="R1120" s="573">
        <v>5</v>
      </c>
      <c r="S1120" s="582" t="s">
        <v>2350</v>
      </c>
      <c r="T1120" s="573" t="s">
        <v>1894</v>
      </c>
      <c r="U1120" s="573">
        <v>147.6</v>
      </c>
      <c r="V1120" s="573">
        <v>25</v>
      </c>
      <c r="W1120" s="616">
        <v>9000</v>
      </c>
      <c r="X1120" s="617" t="s">
        <v>157</v>
      </c>
      <c r="Y1120" s="617" t="s">
        <v>728</v>
      </c>
      <c r="Z1120" s="617" t="s">
        <v>1523</v>
      </c>
      <c r="AA1120" s="618">
        <v>40350</v>
      </c>
      <c r="AB1120" s="618" t="s">
        <v>164</v>
      </c>
      <c r="AC1120" s="618">
        <v>28539.833333333332</v>
      </c>
      <c r="AD1120" s="619">
        <v>0.03</v>
      </c>
      <c r="AE1120" s="617" t="s">
        <v>2349</v>
      </c>
    </row>
    <row r="1121" spans="1:31" s="572" customFormat="1">
      <c r="A1121" s="570" t="s">
        <v>2375</v>
      </c>
      <c r="B1121" s="569" t="s">
        <v>280</v>
      </c>
      <c r="C1121" s="580">
        <v>27</v>
      </c>
      <c r="D1121" s="569" t="s">
        <v>1516</v>
      </c>
      <c r="E1121" s="569" t="s">
        <v>1517</v>
      </c>
      <c r="F1121" s="569" t="s">
        <v>271</v>
      </c>
      <c r="G1121" s="569">
        <v>2019</v>
      </c>
      <c r="H1121" s="569" t="s">
        <v>2199</v>
      </c>
      <c r="I1121" s="569" t="s">
        <v>2014</v>
      </c>
      <c r="J1121" s="569" t="s">
        <v>236</v>
      </c>
      <c r="K1121" s="569">
        <v>2</v>
      </c>
      <c r="L1121" s="569">
        <v>0</v>
      </c>
      <c r="M1121" s="569" t="s">
        <v>157</v>
      </c>
      <c r="N1121" s="569">
        <v>1</v>
      </c>
      <c r="O1121" s="569">
        <v>83.2</v>
      </c>
      <c r="P1121" s="568" t="s">
        <v>157</v>
      </c>
      <c r="Q1121" s="569" t="s">
        <v>1259</v>
      </c>
      <c r="R1121" s="569">
        <v>6</v>
      </c>
      <c r="S1121" s="569" t="s">
        <v>2350</v>
      </c>
      <c r="T1121" s="569" t="s">
        <v>1894</v>
      </c>
      <c r="U1121" s="569">
        <v>147.6</v>
      </c>
      <c r="V1121" s="569">
        <v>25</v>
      </c>
      <c r="W1121" s="620">
        <v>9000</v>
      </c>
      <c r="X1121" s="621" t="s">
        <v>157</v>
      </c>
      <c r="Y1121" s="621" t="s">
        <v>178</v>
      </c>
      <c r="Z1121" s="621" t="s">
        <v>178</v>
      </c>
      <c r="AA1121" s="622">
        <v>38220</v>
      </c>
      <c r="AB1121" s="622" t="s">
        <v>164</v>
      </c>
      <c r="AC1121" s="622">
        <v>26646.541666666668</v>
      </c>
      <c r="AD1121" s="623">
        <v>0.03</v>
      </c>
      <c r="AE1121" s="621" t="s">
        <v>2352</v>
      </c>
    </row>
    <row r="1122" spans="1:31" s="572" customFormat="1">
      <c r="A1122" s="570" t="s">
        <v>2376</v>
      </c>
      <c r="B1122" s="573" t="s">
        <v>280</v>
      </c>
      <c r="C1122" s="578">
        <v>27</v>
      </c>
      <c r="D1122" s="573" t="s">
        <v>1516</v>
      </c>
      <c r="E1122" s="573" t="s">
        <v>1517</v>
      </c>
      <c r="F1122" s="573" t="s">
        <v>271</v>
      </c>
      <c r="G1122" s="573">
        <v>2019</v>
      </c>
      <c r="H1122" s="573" t="s">
        <v>2199</v>
      </c>
      <c r="I1122" s="573" t="s">
        <v>2014</v>
      </c>
      <c r="J1122" s="573" t="s">
        <v>236</v>
      </c>
      <c r="K1122" s="573">
        <v>2</v>
      </c>
      <c r="L1122" s="573">
        <v>0</v>
      </c>
      <c r="M1122" s="573" t="s">
        <v>157</v>
      </c>
      <c r="N1122" s="573">
        <v>1</v>
      </c>
      <c r="O1122" s="573">
        <v>83.2</v>
      </c>
      <c r="P1122" s="571" t="s">
        <v>157</v>
      </c>
      <c r="Q1122" s="573" t="s">
        <v>682</v>
      </c>
      <c r="R1122" s="573">
        <v>6</v>
      </c>
      <c r="S1122" s="582" t="s">
        <v>2350</v>
      </c>
      <c r="T1122" s="573" t="s">
        <v>1894</v>
      </c>
      <c r="U1122" s="573">
        <v>147.6</v>
      </c>
      <c r="V1122" s="573">
        <v>25</v>
      </c>
      <c r="W1122" s="616">
        <v>9000</v>
      </c>
      <c r="X1122" s="617" t="s">
        <v>157</v>
      </c>
      <c r="Y1122" s="617" t="s">
        <v>178</v>
      </c>
      <c r="Z1122" s="617" t="s">
        <v>178</v>
      </c>
      <c r="AA1122" s="618">
        <v>36355</v>
      </c>
      <c r="AB1122" s="618" t="s">
        <v>164</v>
      </c>
      <c r="AC1122" s="618">
        <v>24990.291666666668</v>
      </c>
      <c r="AD1122" s="619">
        <v>0.03</v>
      </c>
      <c r="AE1122" s="617" t="s">
        <v>2354</v>
      </c>
    </row>
    <row r="1123" spans="1:31" s="572" customFormat="1">
      <c r="A1123" s="570" t="s">
        <v>2377</v>
      </c>
      <c r="B1123" s="569" t="s">
        <v>280</v>
      </c>
      <c r="C1123" s="580">
        <v>27</v>
      </c>
      <c r="D1123" s="569" t="s">
        <v>1516</v>
      </c>
      <c r="E1123" s="569" t="s">
        <v>1517</v>
      </c>
      <c r="F1123" s="569" t="s">
        <v>271</v>
      </c>
      <c r="G1123" s="569">
        <v>2019</v>
      </c>
      <c r="H1123" s="569" t="s">
        <v>2199</v>
      </c>
      <c r="I1123" s="569" t="s">
        <v>2014</v>
      </c>
      <c r="J1123" s="569" t="s">
        <v>236</v>
      </c>
      <c r="K1123" s="569">
        <v>2</v>
      </c>
      <c r="L1123" s="569">
        <v>0</v>
      </c>
      <c r="M1123" s="569" t="s">
        <v>157</v>
      </c>
      <c r="N1123" s="569">
        <v>1</v>
      </c>
      <c r="O1123" s="569">
        <v>83.6</v>
      </c>
      <c r="P1123" s="568" t="s">
        <v>157</v>
      </c>
      <c r="Q1123" s="569" t="s">
        <v>1917</v>
      </c>
      <c r="R1123" s="569">
        <v>5</v>
      </c>
      <c r="S1123" s="569" t="s">
        <v>2357</v>
      </c>
      <c r="T1123" s="569" t="s">
        <v>1894</v>
      </c>
      <c r="U1123" s="569">
        <v>129.9</v>
      </c>
      <c r="V1123" s="569">
        <v>25</v>
      </c>
      <c r="W1123" s="620">
        <v>9000</v>
      </c>
      <c r="X1123" s="621" t="s">
        <v>157</v>
      </c>
      <c r="Y1123" s="621" t="s">
        <v>728</v>
      </c>
      <c r="Z1123" s="621" t="s">
        <v>1523</v>
      </c>
      <c r="AA1123" s="622">
        <v>39475</v>
      </c>
      <c r="AB1123" s="622" t="s">
        <v>164</v>
      </c>
      <c r="AC1123" s="622">
        <v>27739.833333333332</v>
      </c>
      <c r="AD1123" s="623">
        <v>0.03</v>
      </c>
      <c r="AE1123" s="621" t="s">
        <v>2356</v>
      </c>
    </row>
    <row r="1124" spans="1:31" s="572" customFormat="1">
      <c r="A1124" s="570" t="s">
        <v>2378</v>
      </c>
      <c r="B1124" s="573" t="s">
        <v>280</v>
      </c>
      <c r="C1124" s="578">
        <v>27</v>
      </c>
      <c r="D1124" s="573" t="s">
        <v>1516</v>
      </c>
      <c r="E1124" s="573" t="s">
        <v>1517</v>
      </c>
      <c r="F1124" s="573" t="s">
        <v>271</v>
      </c>
      <c r="G1124" s="573">
        <v>2019</v>
      </c>
      <c r="H1124" s="573" t="s">
        <v>2199</v>
      </c>
      <c r="I1124" s="573" t="s">
        <v>2014</v>
      </c>
      <c r="J1124" s="573" t="s">
        <v>236</v>
      </c>
      <c r="K1124" s="573">
        <v>2</v>
      </c>
      <c r="L1124" s="573">
        <v>0</v>
      </c>
      <c r="M1124" s="573" t="s">
        <v>157</v>
      </c>
      <c r="N1124" s="573">
        <v>1</v>
      </c>
      <c r="O1124" s="573">
        <v>83.6</v>
      </c>
      <c r="P1124" s="571" t="s">
        <v>157</v>
      </c>
      <c r="Q1124" s="573" t="s">
        <v>1259</v>
      </c>
      <c r="R1124" s="573">
        <v>6</v>
      </c>
      <c r="S1124" s="582" t="s">
        <v>2357</v>
      </c>
      <c r="T1124" s="573" t="s">
        <v>1894</v>
      </c>
      <c r="U1124" s="573">
        <v>129.9</v>
      </c>
      <c r="V1124" s="573">
        <v>25</v>
      </c>
      <c r="W1124" s="616">
        <v>9000</v>
      </c>
      <c r="X1124" s="617" t="s">
        <v>157</v>
      </c>
      <c r="Y1124" s="617" t="s">
        <v>178</v>
      </c>
      <c r="Z1124" s="617" t="s">
        <v>178</v>
      </c>
      <c r="AA1124" s="618">
        <v>37345</v>
      </c>
      <c r="AB1124" s="618" t="s">
        <v>164</v>
      </c>
      <c r="AC1124" s="618">
        <v>25846.541666666668</v>
      </c>
      <c r="AD1124" s="619">
        <v>0.03</v>
      </c>
      <c r="AE1124" s="617" t="s">
        <v>2359</v>
      </c>
    </row>
    <row r="1125" spans="1:31" s="572" customFormat="1">
      <c r="A1125" s="570" t="s">
        <v>2379</v>
      </c>
      <c r="B1125" s="569" t="s">
        <v>280</v>
      </c>
      <c r="C1125" s="580">
        <v>27</v>
      </c>
      <c r="D1125" s="569" t="s">
        <v>1516</v>
      </c>
      <c r="E1125" s="569" t="s">
        <v>1517</v>
      </c>
      <c r="F1125" s="569" t="s">
        <v>271</v>
      </c>
      <c r="G1125" s="569">
        <v>2019</v>
      </c>
      <c r="H1125" s="569" t="s">
        <v>2199</v>
      </c>
      <c r="I1125" s="569" t="s">
        <v>2014</v>
      </c>
      <c r="J1125" s="569" t="s">
        <v>236</v>
      </c>
      <c r="K1125" s="569">
        <v>2</v>
      </c>
      <c r="L1125" s="569">
        <v>0</v>
      </c>
      <c r="M1125" s="569" t="s">
        <v>157</v>
      </c>
      <c r="N1125" s="569">
        <v>1</v>
      </c>
      <c r="O1125" s="569">
        <v>83.6</v>
      </c>
      <c r="P1125" s="568" t="s">
        <v>157</v>
      </c>
      <c r="Q1125" s="569" t="s">
        <v>682</v>
      </c>
      <c r="R1125" s="569">
        <v>6</v>
      </c>
      <c r="S1125" s="569" t="s">
        <v>2357</v>
      </c>
      <c r="T1125" s="569" t="s">
        <v>1894</v>
      </c>
      <c r="U1125" s="569">
        <v>129.9</v>
      </c>
      <c r="V1125" s="569">
        <v>25</v>
      </c>
      <c r="W1125" s="620">
        <v>9000</v>
      </c>
      <c r="X1125" s="621" t="s">
        <v>157</v>
      </c>
      <c r="Y1125" s="621" t="s">
        <v>178</v>
      </c>
      <c r="Z1125" s="621" t="s">
        <v>178</v>
      </c>
      <c r="AA1125" s="622">
        <v>35480</v>
      </c>
      <c r="AB1125" s="622" t="s">
        <v>164</v>
      </c>
      <c r="AC1125" s="622">
        <v>24190.291666666668</v>
      </c>
      <c r="AD1125" s="623">
        <v>0.03</v>
      </c>
      <c r="AE1125" s="621" t="s">
        <v>2361</v>
      </c>
    </row>
    <row r="1126" spans="1:31" s="572" customFormat="1">
      <c r="A1126" s="570" t="s">
        <v>2380</v>
      </c>
      <c r="B1126" s="573" t="s">
        <v>269</v>
      </c>
      <c r="C1126" s="578" t="s">
        <v>270</v>
      </c>
      <c r="D1126" s="573" t="s">
        <v>1516</v>
      </c>
      <c r="E1126" s="573" t="s">
        <v>1684</v>
      </c>
      <c r="F1126" s="573" t="s">
        <v>271</v>
      </c>
      <c r="G1126" s="573">
        <v>2019</v>
      </c>
      <c r="H1126" s="573" t="s">
        <v>2382</v>
      </c>
      <c r="I1126" s="573" t="s">
        <v>1686</v>
      </c>
      <c r="J1126" s="573" t="s">
        <v>236</v>
      </c>
      <c r="K1126" s="573">
        <v>2</v>
      </c>
      <c r="L1126" s="573">
        <v>0</v>
      </c>
      <c r="M1126" s="573" t="s">
        <v>157</v>
      </c>
      <c r="N1126" s="573">
        <v>1</v>
      </c>
      <c r="O1126" s="573">
        <v>86.5</v>
      </c>
      <c r="P1126" s="571" t="s">
        <v>157</v>
      </c>
      <c r="Q1126" s="573" t="s">
        <v>1917</v>
      </c>
      <c r="R1126" s="573">
        <v>5</v>
      </c>
      <c r="S1126" s="582" t="s">
        <v>2383</v>
      </c>
      <c r="T1126" s="573" t="s">
        <v>2166</v>
      </c>
      <c r="U1126" s="573">
        <v>156</v>
      </c>
      <c r="V1126" s="573">
        <v>25</v>
      </c>
      <c r="W1126" s="616">
        <v>10360</v>
      </c>
      <c r="X1126" s="617" t="s">
        <v>157</v>
      </c>
      <c r="Y1126" s="617" t="s">
        <v>728</v>
      </c>
      <c r="Z1126" s="617" t="s">
        <v>1523</v>
      </c>
      <c r="AA1126" s="618">
        <v>37800</v>
      </c>
      <c r="AB1126" s="618" t="s">
        <v>164</v>
      </c>
      <c r="AC1126" s="618">
        <v>28291.916666666664</v>
      </c>
      <c r="AD1126" s="619">
        <v>0.03</v>
      </c>
      <c r="AE1126" s="617" t="s">
        <v>2381</v>
      </c>
    </row>
    <row r="1127" spans="1:31" s="572" customFormat="1">
      <c r="A1127" s="570" t="s">
        <v>2384</v>
      </c>
      <c r="B1127" s="569" t="s">
        <v>269</v>
      </c>
      <c r="C1127" s="580" t="s">
        <v>270</v>
      </c>
      <c r="D1127" s="569" t="s">
        <v>1516</v>
      </c>
      <c r="E1127" s="569" t="s">
        <v>1684</v>
      </c>
      <c r="F1127" s="569" t="s">
        <v>271</v>
      </c>
      <c r="G1127" s="569">
        <v>2019</v>
      </c>
      <c r="H1127" s="569" t="s">
        <v>2382</v>
      </c>
      <c r="I1127" s="569" t="s">
        <v>1686</v>
      </c>
      <c r="J1127" s="569" t="s">
        <v>236</v>
      </c>
      <c r="K1127" s="569">
        <v>2</v>
      </c>
      <c r="L1127" s="569">
        <v>0</v>
      </c>
      <c r="M1127" s="569" t="s">
        <v>157</v>
      </c>
      <c r="N1127" s="569">
        <v>1</v>
      </c>
      <c r="O1127" s="569">
        <v>86.5</v>
      </c>
      <c r="P1127" s="568" t="s">
        <v>157</v>
      </c>
      <c r="Q1127" s="569" t="s">
        <v>1917</v>
      </c>
      <c r="R1127" s="569">
        <v>5</v>
      </c>
      <c r="S1127" s="569" t="s">
        <v>2386</v>
      </c>
      <c r="T1127" s="569" t="s">
        <v>2166</v>
      </c>
      <c r="U1127" s="569">
        <v>178</v>
      </c>
      <c r="V1127" s="569">
        <v>25</v>
      </c>
      <c r="W1127" s="620">
        <v>10360</v>
      </c>
      <c r="X1127" s="621" t="s">
        <v>157</v>
      </c>
      <c r="Y1127" s="621" t="s">
        <v>728</v>
      </c>
      <c r="Z1127" s="621" t="s">
        <v>1523</v>
      </c>
      <c r="AA1127" s="622">
        <v>38545</v>
      </c>
      <c r="AB1127" s="622" t="s">
        <v>164</v>
      </c>
      <c r="AC1127" s="622">
        <v>28972.125</v>
      </c>
      <c r="AD1127" s="623">
        <v>0.03</v>
      </c>
      <c r="AE1127" s="621" t="s">
        <v>2385</v>
      </c>
    </row>
    <row r="1128" spans="1:31" s="572" customFormat="1">
      <c r="A1128" s="570" t="s">
        <v>2387</v>
      </c>
      <c r="B1128" s="573" t="s">
        <v>269</v>
      </c>
      <c r="C1128" s="578" t="s">
        <v>270</v>
      </c>
      <c r="D1128" s="573" t="s">
        <v>1516</v>
      </c>
      <c r="E1128" s="573" t="s">
        <v>1684</v>
      </c>
      <c r="F1128" s="573" t="s">
        <v>271</v>
      </c>
      <c r="G1128" s="573">
        <v>2019</v>
      </c>
      <c r="H1128" s="573" t="s">
        <v>2382</v>
      </c>
      <c r="I1128" s="573" t="s">
        <v>1686</v>
      </c>
      <c r="J1128" s="573" t="s">
        <v>236</v>
      </c>
      <c r="K1128" s="573">
        <v>2</v>
      </c>
      <c r="L1128" s="573">
        <v>0</v>
      </c>
      <c r="M1128" s="573" t="s">
        <v>157</v>
      </c>
      <c r="N1128" s="573">
        <v>1</v>
      </c>
      <c r="O1128" s="573">
        <v>86.5</v>
      </c>
      <c r="P1128" s="571" t="s">
        <v>157</v>
      </c>
      <c r="Q1128" s="573" t="s">
        <v>682</v>
      </c>
      <c r="R1128" s="573">
        <v>6</v>
      </c>
      <c r="S1128" s="582" t="s">
        <v>2389</v>
      </c>
      <c r="T1128" s="573" t="s">
        <v>2166</v>
      </c>
      <c r="U1128" s="573">
        <v>156</v>
      </c>
      <c r="V1128" s="573">
        <v>25</v>
      </c>
      <c r="W1128" s="616">
        <v>9950</v>
      </c>
      <c r="X1128" s="617" t="s">
        <v>157</v>
      </c>
      <c r="Y1128" s="617" t="s">
        <v>178</v>
      </c>
      <c r="Z1128" s="617" t="s">
        <v>178</v>
      </c>
      <c r="AA1128" s="618">
        <v>33550</v>
      </c>
      <c r="AB1128" s="618" t="s">
        <v>164</v>
      </c>
      <c r="AC1128" s="618">
        <v>24509.041666666668</v>
      </c>
      <c r="AD1128" s="619">
        <v>0.03</v>
      </c>
      <c r="AE1128" s="617" t="s">
        <v>2388</v>
      </c>
    </row>
    <row r="1129" spans="1:31" s="572" customFormat="1">
      <c r="A1129" s="570" t="s">
        <v>2390</v>
      </c>
      <c r="B1129" s="569" t="s">
        <v>269</v>
      </c>
      <c r="C1129" s="580" t="s">
        <v>270</v>
      </c>
      <c r="D1129" s="569" t="s">
        <v>1516</v>
      </c>
      <c r="E1129" s="569" t="s">
        <v>1684</v>
      </c>
      <c r="F1129" s="569" t="s">
        <v>271</v>
      </c>
      <c r="G1129" s="569">
        <v>2019</v>
      </c>
      <c r="H1129" s="569" t="s">
        <v>2382</v>
      </c>
      <c r="I1129" s="569" t="s">
        <v>1686</v>
      </c>
      <c r="J1129" s="569" t="s">
        <v>236</v>
      </c>
      <c r="K1129" s="569">
        <v>2</v>
      </c>
      <c r="L1129" s="569">
        <v>0</v>
      </c>
      <c r="M1129" s="569" t="s">
        <v>157</v>
      </c>
      <c r="N1129" s="569">
        <v>1</v>
      </c>
      <c r="O1129" s="569">
        <v>86.5</v>
      </c>
      <c r="P1129" s="568" t="s">
        <v>157</v>
      </c>
      <c r="Q1129" s="569" t="s">
        <v>682</v>
      </c>
      <c r="R1129" s="569">
        <v>6</v>
      </c>
      <c r="S1129" s="569" t="s">
        <v>2392</v>
      </c>
      <c r="T1129" s="569" t="s">
        <v>2166</v>
      </c>
      <c r="U1129" s="569">
        <v>178</v>
      </c>
      <c r="V1129" s="569">
        <v>25</v>
      </c>
      <c r="W1129" s="620">
        <v>9950</v>
      </c>
      <c r="X1129" s="621" t="s">
        <v>157</v>
      </c>
      <c r="Y1129" s="621" t="s">
        <v>178</v>
      </c>
      <c r="Z1129" s="621" t="s">
        <v>178</v>
      </c>
      <c r="AA1129" s="622">
        <v>34300</v>
      </c>
      <c r="AB1129" s="622" t="s">
        <v>164</v>
      </c>
      <c r="AC1129" s="622">
        <v>25194.458333333336</v>
      </c>
      <c r="AD1129" s="623">
        <v>0.03</v>
      </c>
      <c r="AE1129" s="621" t="s">
        <v>2391</v>
      </c>
    </row>
    <row r="1130" spans="1:31" s="572" customFormat="1">
      <c r="A1130" s="570" t="s">
        <v>2393</v>
      </c>
      <c r="B1130" s="573" t="s">
        <v>269</v>
      </c>
      <c r="C1130" s="578" t="s">
        <v>270</v>
      </c>
      <c r="D1130" s="573" t="s">
        <v>1516</v>
      </c>
      <c r="E1130" s="573" t="s">
        <v>1684</v>
      </c>
      <c r="F1130" s="573" t="s">
        <v>271</v>
      </c>
      <c r="G1130" s="573">
        <v>2019</v>
      </c>
      <c r="H1130" s="573" t="s">
        <v>2382</v>
      </c>
      <c r="I1130" s="573" t="s">
        <v>1686</v>
      </c>
      <c r="J1130" s="573" t="s">
        <v>236</v>
      </c>
      <c r="K1130" s="573">
        <v>2</v>
      </c>
      <c r="L1130" s="573">
        <v>0</v>
      </c>
      <c r="M1130" s="573" t="s">
        <v>157</v>
      </c>
      <c r="N1130" s="573">
        <v>1</v>
      </c>
      <c r="O1130" s="573">
        <v>86.5</v>
      </c>
      <c r="P1130" s="571" t="s">
        <v>157</v>
      </c>
      <c r="Q1130" s="573" t="s">
        <v>682</v>
      </c>
      <c r="R1130" s="573">
        <v>6</v>
      </c>
      <c r="S1130" s="582" t="s">
        <v>2383</v>
      </c>
      <c r="T1130" s="573" t="s">
        <v>2166</v>
      </c>
      <c r="U1130" s="573">
        <v>156</v>
      </c>
      <c r="V1130" s="573">
        <v>25</v>
      </c>
      <c r="W1130" s="616">
        <v>10360</v>
      </c>
      <c r="X1130" s="617" t="s">
        <v>157</v>
      </c>
      <c r="Y1130" s="617" t="s">
        <v>178</v>
      </c>
      <c r="Z1130" s="617" t="s">
        <v>178</v>
      </c>
      <c r="AA1130" s="618">
        <v>33805</v>
      </c>
      <c r="AB1130" s="618" t="s">
        <v>164</v>
      </c>
      <c r="AC1130" s="618">
        <v>24742.375</v>
      </c>
      <c r="AD1130" s="619">
        <v>0.03</v>
      </c>
      <c r="AE1130" s="617" t="s">
        <v>2394</v>
      </c>
    </row>
    <row r="1131" spans="1:31" s="572" customFormat="1">
      <c r="A1131" s="570" t="s">
        <v>2395</v>
      </c>
      <c r="B1131" s="569" t="s">
        <v>269</v>
      </c>
      <c r="C1131" s="580" t="s">
        <v>270</v>
      </c>
      <c r="D1131" s="569" t="s">
        <v>1516</v>
      </c>
      <c r="E1131" s="569" t="s">
        <v>1684</v>
      </c>
      <c r="F1131" s="569" t="s">
        <v>271</v>
      </c>
      <c r="G1131" s="569">
        <v>2019</v>
      </c>
      <c r="H1131" s="569" t="s">
        <v>2382</v>
      </c>
      <c r="I1131" s="569" t="s">
        <v>1686</v>
      </c>
      <c r="J1131" s="569" t="s">
        <v>236</v>
      </c>
      <c r="K1131" s="569">
        <v>2</v>
      </c>
      <c r="L1131" s="569">
        <v>0</v>
      </c>
      <c r="M1131" s="569" t="s">
        <v>157</v>
      </c>
      <c r="N1131" s="569">
        <v>1</v>
      </c>
      <c r="O1131" s="569">
        <v>86.5</v>
      </c>
      <c r="P1131" s="568" t="s">
        <v>157</v>
      </c>
      <c r="Q1131" s="569" t="s">
        <v>682</v>
      </c>
      <c r="R1131" s="569">
        <v>6</v>
      </c>
      <c r="S1131" s="569" t="s">
        <v>2386</v>
      </c>
      <c r="T1131" s="569" t="s">
        <v>2166</v>
      </c>
      <c r="U1131" s="569">
        <v>178</v>
      </c>
      <c r="V1131" s="569">
        <v>25</v>
      </c>
      <c r="W1131" s="620">
        <v>10360</v>
      </c>
      <c r="X1131" s="621" t="s">
        <v>157</v>
      </c>
      <c r="Y1131" s="621" t="s">
        <v>178</v>
      </c>
      <c r="Z1131" s="621" t="s">
        <v>178</v>
      </c>
      <c r="AA1131" s="622">
        <v>34550</v>
      </c>
      <c r="AB1131" s="622" t="s">
        <v>164</v>
      </c>
      <c r="AC1131" s="622">
        <v>25422.583333333336</v>
      </c>
      <c r="AD1131" s="623">
        <v>0.03</v>
      </c>
      <c r="AE1131" s="621" t="s">
        <v>2396</v>
      </c>
    </row>
    <row r="1132" spans="1:31" s="572" customFormat="1">
      <c r="A1132" s="570" t="s">
        <v>2397</v>
      </c>
      <c r="B1132" s="573" t="s">
        <v>269</v>
      </c>
      <c r="C1132" s="578" t="s">
        <v>270</v>
      </c>
      <c r="D1132" s="573" t="s">
        <v>1516</v>
      </c>
      <c r="E1132" s="573" t="s">
        <v>1684</v>
      </c>
      <c r="F1132" s="573" t="s">
        <v>271</v>
      </c>
      <c r="G1132" s="573">
        <v>2019</v>
      </c>
      <c r="H1132" s="573" t="s">
        <v>2382</v>
      </c>
      <c r="I1132" s="573" t="s">
        <v>1686</v>
      </c>
      <c r="J1132" s="573" t="s">
        <v>236</v>
      </c>
      <c r="K1132" s="573">
        <v>2</v>
      </c>
      <c r="L1132" s="573">
        <v>0</v>
      </c>
      <c r="M1132" s="573" t="s">
        <v>157</v>
      </c>
      <c r="N1132" s="573">
        <v>1</v>
      </c>
      <c r="O1132" s="573">
        <v>86.8</v>
      </c>
      <c r="P1132" s="571" t="s">
        <v>157</v>
      </c>
      <c r="Q1132" s="573" t="s">
        <v>1917</v>
      </c>
      <c r="R1132" s="573">
        <v>5</v>
      </c>
      <c r="S1132" s="582" t="s">
        <v>2399</v>
      </c>
      <c r="T1132" s="573" t="s">
        <v>2166</v>
      </c>
      <c r="U1132" s="573">
        <v>138</v>
      </c>
      <c r="V1132" s="573">
        <v>25</v>
      </c>
      <c r="W1132" s="616">
        <v>10360</v>
      </c>
      <c r="X1132" s="617" t="s">
        <v>157</v>
      </c>
      <c r="Y1132" s="617" t="s">
        <v>728</v>
      </c>
      <c r="Z1132" s="617" t="s">
        <v>1523</v>
      </c>
      <c r="AA1132" s="618">
        <v>37345</v>
      </c>
      <c r="AB1132" s="618" t="s">
        <v>164</v>
      </c>
      <c r="AC1132" s="618">
        <v>27875.25</v>
      </c>
      <c r="AD1132" s="619">
        <v>0.03</v>
      </c>
      <c r="AE1132" s="617" t="s">
        <v>2398</v>
      </c>
    </row>
    <row r="1133" spans="1:31" s="572" customFormat="1">
      <c r="A1133" s="570" t="s">
        <v>2400</v>
      </c>
      <c r="B1133" s="569" t="s">
        <v>269</v>
      </c>
      <c r="C1133" s="580" t="s">
        <v>270</v>
      </c>
      <c r="D1133" s="569" t="s">
        <v>1516</v>
      </c>
      <c r="E1133" s="569" t="s">
        <v>1684</v>
      </c>
      <c r="F1133" s="569" t="s">
        <v>271</v>
      </c>
      <c r="G1133" s="569">
        <v>2019</v>
      </c>
      <c r="H1133" s="569" t="s">
        <v>2382</v>
      </c>
      <c r="I1133" s="569" t="s">
        <v>1686</v>
      </c>
      <c r="J1133" s="569" t="s">
        <v>236</v>
      </c>
      <c r="K1133" s="569">
        <v>2</v>
      </c>
      <c r="L1133" s="569">
        <v>0</v>
      </c>
      <c r="M1133" s="569" t="s">
        <v>157</v>
      </c>
      <c r="N1133" s="569">
        <v>1</v>
      </c>
      <c r="O1133" s="569">
        <v>86.8</v>
      </c>
      <c r="P1133" s="568" t="s">
        <v>157</v>
      </c>
      <c r="Q1133" s="569" t="s">
        <v>682</v>
      </c>
      <c r="R1133" s="569">
        <v>6</v>
      </c>
      <c r="S1133" s="569" t="s">
        <v>2402</v>
      </c>
      <c r="T1133" s="569" t="s">
        <v>2166</v>
      </c>
      <c r="U1133" s="569">
        <v>138</v>
      </c>
      <c r="V1133" s="569">
        <v>25</v>
      </c>
      <c r="W1133" s="620">
        <v>9950</v>
      </c>
      <c r="X1133" s="621" t="s">
        <v>157</v>
      </c>
      <c r="Y1133" s="621" t="s">
        <v>178</v>
      </c>
      <c r="Z1133" s="621" t="s">
        <v>178</v>
      </c>
      <c r="AA1133" s="622">
        <v>33100</v>
      </c>
      <c r="AB1133" s="622" t="s">
        <v>164</v>
      </c>
      <c r="AC1133" s="622">
        <v>24097.583333333336</v>
      </c>
      <c r="AD1133" s="623">
        <v>0.03</v>
      </c>
      <c r="AE1133" s="621" t="s">
        <v>2401</v>
      </c>
    </row>
    <row r="1134" spans="1:31" s="572" customFormat="1">
      <c r="A1134" s="570" t="s">
        <v>2403</v>
      </c>
      <c r="B1134" s="573" t="s">
        <v>269</v>
      </c>
      <c r="C1134" s="578" t="s">
        <v>270</v>
      </c>
      <c r="D1134" s="573" t="s">
        <v>1516</v>
      </c>
      <c r="E1134" s="573" t="s">
        <v>1684</v>
      </c>
      <c r="F1134" s="573" t="s">
        <v>271</v>
      </c>
      <c r="G1134" s="573">
        <v>2019</v>
      </c>
      <c r="H1134" s="573" t="s">
        <v>2382</v>
      </c>
      <c r="I1134" s="573" t="s">
        <v>1686</v>
      </c>
      <c r="J1134" s="573" t="s">
        <v>236</v>
      </c>
      <c r="K1134" s="573">
        <v>2</v>
      </c>
      <c r="L1134" s="573">
        <v>0</v>
      </c>
      <c r="M1134" s="573" t="s">
        <v>157</v>
      </c>
      <c r="N1134" s="573">
        <v>1</v>
      </c>
      <c r="O1134" s="573">
        <v>86.8</v>
      </c>
      <c r="P1134" s="571" t="s">
        <v>157</v>
      </c>
      <c r="Q1134" s="573" t="s">
        <v>682</v>
      </c>
      <c r="R1134" s="573">
        <v>6</v>
      </c>
      <c r="S1134" s="582" t="s">
        <v>2399</v>
      </c>
      <c r="T1134" s="573" t="s">
        <v>2166</v>
      </c>
      <c r="U1134" s="573">
        <v>138</v>
      </c>
      <c r="V1134" s="573">
        <v>25</v>
      </c>
      <c r="W1134" s="616">
        <v>10360</v>
      </c>
      <c r="X1134" s="617" t="s">
        <v>157</v>
      </c>
      <c r="Y1134" s="617" t="s">
        <v>178</v>
      </c>
      <c r="Z1134" s="617" t="s">
        <v>178</v>
      </c>
      <c r="AA1134" s="618">
        <v>33350</v>
      </c>
      <c r="AB1134" s="618" t="s">
        <v>164</v>
      </c>
      <c r="AC1134" s="618">
        <v>24325.708333333336</v>
      </c>
      <c r="AD1134" s="619">
        <v>0.03</v>
      </c>
      <c r="AE1134" s="617" t="s">
        <v>2404</v>
      </c>
    </row>
    <row r="1135" spans="1:31" s="572" customFormat="1">
      <c r="A1135" s="570" t="s">
        <v>2405</v>
      </c>
      <c r="B1135" s="569" t="s">
        <v>278</v>
      </c>
      <c r="C1135" s="580">
        <v>15</v>
      </c>
      <c r="D1135" s="569" t="s">
        <v>1516</v>
      </c>
      <c r="E1135" s="569" t="s">
        <v>1684</v>
      </c>
      <c r="F1135" s="569" t="s">
        <v>271</v>
      </c>
      <c r="G1135" s="569">
        <v>2019</v>
      </c>
      <c r="H1135" s="569" t="s">
        <v>2382</v>
      </c>
      <c r="I1135" s="569" t="s">
        <v>1686</v>
      </c>
      <c r="J1135" s="569" t="s">
        <v>236</v>
      </c>
      <c r="K1135" s="569">
        <v>2</v>
      </c>
      <c r="L1135" s="569">
        <v>0</v>
      </c>
      <c r="M1135" s="569" t="s">
        <v>157</v>
      </c>
      <c r="N1135" s="569">
        <v>1</v>
      </c>
      <c r="O1135" s="569">
        <v>86.5</v>
      </c>
      <c r="P1135" s="568" t="s">
        <v>157</v>
      </c>
      <c r="Q1135" s="569" t="s">
        <v>1917</v>
      </c>
      <c r="R1135" s="569">
        <v>5</v>
      </c>
      <c r="S1135" s="569" t="s">
        <v>2383</v>
      </c>
      <c r="T1135" s="569" t="s">
        <v>2166</v>
      </c>
      <c r="U1135" s="569">
        <v>156</v>
      </c>
      <c r="V1135" s="569">
        <v>25</v>
      </c>
      <c r="W1135" s="620">
        <v>10360</v>
      </c>
      <c r="X1135" s="621" t="s">
        <v>157</v>
      </c>
      <c r="Y1135" s="621" t="s">
        <v>728</v>
      </c>
      <c r="Z1135" s="621" t="s">
        <v>1523</v>
      </c>
      <c r="AA1135" s="622">
        <v>37800</v>
      </c>
      <c r="AB1135" s="622" t="s">
        <v>164</v>
      </c>
      <c r="AC1135" s="622">
        <v>28850</v>
      </c>
      <c r="AD1135" s="623">
        <v>0.01</v>
      </c>
      <c r="AE1135" s="621" t="s">
        <v>2381</v>
      </c>
    </row>
    <row r="1136" spans="1:31" s="572" customFormat="1">
      <c r="A1136" s="570" t="s">
        <v>2406</v>
      </c>
      <c r="B1136" s="573" t="s">
        <v>278</v>
      </c>
      <c r="C1136" s="578">
        <v>15</v>
      </c>
      <c r="D1136" s="573" t="s">
        <v>1516</v>
      </c>
      <c r="E1136" s="573" t="s">
        <v>1684</v>
      </c>
      <c r="F1136" s="573" t="s">
        <v>271</v>
      </c>
      <c r="G1136" s="573">
        <v>2019</v>
      </c>
      <c r="H1136" s="573" t="s">
        <v>2382</v>
      </c>
      <c r="I1136" s="573" t="s">
        <v>1686</v>
      </c>
      <c r="J1136" s="573" t="s">
        <v>236</v>
      </c>
      <c r="K1136" s="573">
        <v>2</v>
      </c>
      <c r="L1136" s="573">
        <v>0</v>
      </c>
      <c r="M1136" s="573" t="s">
        <v>157</v>
      </c>
      <c r="N1136" s="573">
        <v>1</v>
      </c>
      <c r="O1136" s="573">
        <v>86.5</v>
      </c>
      <c r="P1136" s="571" t="s">
        <v>157</v>
      </c>
      <c r="Q1136" s="573" t="s">
        <v>1917</v>
      </c>
      <c r="R1136" s="573">
        <v>5</v>
      </c>
      <c r="S1136" s="582" t="s">
        <v>2386</v>
      </c>
      <c r="T1136" s="573" t="s">
        <v>2166</v>
      </c>
      <c r="U1136" s="573">
        <v>178</v>
      </c>
      <c r="V1136" s="573">
        <v>25</v>
      </c>
      <c r="W1136" s="616">
        <v>10360</v>
      </c>
      <c r="X1136" s="617" t="s">
        <v>157</v>
      </c>
      <c r="Y1136" s="617" t="s">
        <v>728</v>
      </c>
      <c r="Z1136" s="617" t="s">
        <v>1523</v>
      </c>
      <c r="AA1136" s="618">
        <v>38545</v>
      </c>
      <c r="AB1136" s="618" t="s">
        <v>164</v>
      </c>
      <c r="AC1136" s="618">
        <v>29600</v>
      </c>
      <c r="AD1136" s="619">
        <v>0.01</v>
      </c>
      <c r="AE1136" s="617" t="s">
        <v>2385</v>
      </c>
    </row>
    <row r="1137" spans="1:31" s="572" customFormat="1">
      <c r="A1137" s="570" t="s">
        <v>2407</v>
      </c>
      <c r="B1137" s="569" t="s">
        <v>278</v>
      </c>
      <c r="C1137" s="580">
        <v>15</v>
      </c>
      <c r="D1137" s="569" t="s">
        <v>1516</v>
      </c>
      <c r="E1137" s="569" t="s">
        <v>1684</v>
      </c>
      <c r="F1137" s="569" t="s">
        <v>271</v>
      </c>
      <c r="G1137" s="569">
        <v>2019</v>
      </c>
      <c r="H1137" s="569" t="s">
        <v>2382</v>
      </c>
      <c r="I1137" s="569" t="s">
        <v>1686</v>
      </c>
      <c r="J1137" s="569" t="s">
        <v>236</v>
      </c>
      <c r="K1137" s="569">
        <v>2</v>
      </c>
      <c r="L1137" s="569">
        <v>0</v>
      </c>
      <c r="M1137" s="569" t="s">
        <v>157</v>
      </c>
      <c r="N1137" s="569">
        <v>1</v>
      </c>
      <c r="O1137" s="569">
        <v>86.5</v>
      </c>
      <c r="P1137" s="568" t="s">
        <v>157</v>
      </c>
      <c r="Q1137" s="569" t="s">
        <v>682</v>
      </c>
      <c r="R1137" s="569">
        <v>6</v>
      </c>
      <c r="S1137" s="569" t="s">
        <v>2389</v>
      </c>
      <c r="T1137" s="569" t="s">
        <v>2166</v>
      </c>
      <c r="U1137" s="569">
        <v>156</v>
      </c>
      <c r="V1137" s="569">
        <v>25</v>
      </c>
      <c r="W1137" s="620">
        <v>9950</v>
      </c>
      <c r="X1137" s="621" t="s">
        <v>157</v>
      </c>
      <c r="Y1137" s="621" t="s">
        <v>178</v>
      </c>
      <c r="Z1137" s="621" t="s">
        <v>178</v>
      </c>
      <c r="AA1137" s="622">
        <v>33550</v>
      </c>
      <c r="AB1137" s="622" t="s">
        <v>164</v>
      </c>
      <c r="AC1137" s="622">
        <v>25000</v>
      </c>
      <c r="AD1137" s="623">
        <v>0.01</v>
      </c>
      <c r="AE1137" s="621" t="s">
        <v>2388</v>
      </c>
    </row>
    <row r="1138" spans="1:31" s="572" customFormat="1">
      <c r="A1138" s="570" t="s">
        <v>2408</v>
      </c>
      <c r="B1138" s="573" t="s">
        <v>278</v>
      </c>
      <c r="C1138" s="578">
        <v>15</v>
      </c>
      <c r="D1138" s="573" t="s">
        <v>1516</v>
      </c>
      <c r="E1138" s="573" t="s">
        <v>1684</v>
      </c>
      <c r="F1138" s="573" t="s">
        <v>271</v>
      </c>
      <c r="G1138" s="573">
        <v>2019</v>
      </c>
      <c r="H1138" s="573" t="s">
        <v>2382</v>
      </c>
      <c r="I1138" s="573" t="s">
        <v>1686</v>
      </c>
      <c r="J1138" s="573" t="s">
        <v>236</v>
      </c>
      <c r="K1138" s="573">
        <v>2</v>
      </c>
      <c r="L1138" s="573">
        <v>0</v>
      </c>
      <c r="M1138" s="573" t="s">
        <v>157</v>
      </c>
      <c r="N1138" s="573">
        <v>1</v>
      </c>
      <c r="O1138" s="573">
        <v>86.5</v>
      </c>
      <c r="P1138" s="571" t="s">
        <v>157</v>
      </c>
      <c r="Q1138" s="573" t="s">
        <v>682</v>
      </c>
      <c r="R1138" s="573">
        <v>6</v>
      </c>
      <c r="S1138" s="582" t="s">
        <v>2392</v>
      </c>
      <c r="T1138" s="573" t="s">
        <v>2166</v>
      </c>
      <c r="U1138" s="573">
        <v>178</v>
      </c>
      <c r="V1138" s="573">
        <v>25</v>
      </c>
      <c r="W1138" s="616">
        <v>9950</v>
      </c>
      <c r="X1138" s="617" t="s">
        <v>157</v>
      </c>
      <c r="Y1138" s="617" t="s">
        <v>178</v>
      </c>
      <c r="Z1138" s="617" t="s">
        <v>178</v>
      </c>
      <c r="AA1138" s="618">
        <v>34300</v>
      </c>
      <c r="AB1138" s="618" t="s">
        <v>164</v>
      </c>
      <c r="AC1138" s="618">
        <v>25700</v>
      </c>
      <c r="AD1138" s="619">
        <v>0.01</v>
      </c>
      <c r="AE1138" s="617" t="s">
        <v>2391</v>
      </c>
    </row>
    <row r="1139" spans="1:31" s="572" customFormat="1">
      <c r="A1139" s="570" t="s">
        <v>2409</v>
      </c>
      <c r="B1139" s="569" t="s">
        <v>278</v>
      </c>
      <c r="C1139" s="580">
        <v>15</v>
      </c>
      <c r="D1139" s="569" t="s">
        <v>1516</v>
      </c>
      <c r="E1139" s="569" t="s">
        <v>1684</v>
      </c>
      <c r="F1139" s="569" t="s">
        <v>271</v>
      </c>
      <c r="G1139" s="569">
        <v>2019</v>
      </c>
      <c r="H1139" s="569" t="s">
        <v>2382</v>
      </c>
      <c r="I1139" s="569" t="s">
        <v>1686</v>
      </c>
      <c r="J1139" s="569" t="s">
        <v>236</v>
      </c>
      <c r="K1139" s="569">
        <v>2</v>
      </c>
      <c r="L1139" s="569">
        <v>0</v>
      </c>
      <c r="M1139" s="569" t="s">
        <v>157</v>
      </c>
      <c r="N1139" s="569">
        <v>1</v>
      </c>
      <c r="O1139" s="569">
        <v>86.5</v>
      </c>
      <c r="P1139" s="568" t="s">
        <v>157</v>
      </c>
      <c r="Q1139" s="569" t="s">
        <v>682</v>
      </c>
      <c r="R1139" s="569">
        <v>6</v>
      </c>
      <c r="S1139" s="569" t="s">
        <v>2383</v>
      </c>
      <c r="T1139" s="569" t="s">
        <v>2166</v>
      </c>
      <c r="U1139" s="569">
        <v>156</v>
      </c>
      <c r="V1139" s="569">
        <v>25</v>
      </c>
      <c r="W1139" s="620">
        <v>10360</v>
      </c>
      <c r="X1139" s="621" t="s">
        <v>157</v>
      </c>
      <c r="Y1139" s="621" t="s">
        <v>178</v>
      </c>
      <c r="Z1139" s="621" t="s">
        <v>178</v>
      </c>
      <c r="AA1139" s="622">
        <v>33805</v>
      </c>
      <c r="AB1139" s="622" t="s">
        <v>164</v>
      </c>
      <c r="AC1139" s="622">
        <v>25200</v>
      </c>
      <c r="AD1139" s="623">
        <v>0.01</v>
      </c>
      <c r="AE1139" s="621" t="s">
        <v>2394</v>
      </c>
    </row>
    <row r="1140" spans="1:31" s="572" customFormat="1">
      <c r="A1140" s="570" t="s">
        <v>2410</v>
      </c>
      <c r="B1140" s="573" t="s">
        <v>278</v>
      </c>
      <c r="C1140" s="578">
        <v>15</v>
      </c>
      <c r="D1140" s="573" t="s">
        <v>1516</v>
      </c>
      <c r="E1140" s="573" t="s">
        <v>1684</v>
      </c>
      <c r="F1140" s="573" t="s">
        <v>271</v>
      </c>
      <c r="G1140" s="573">
        <v>2019</v>
      </c>
      <c r="H1140" s="573" t="s">
        <v>2382</v>
      </c>
      <c r="I1140" s="573" t="s">
        <v>1686</v>
      </c>
      <c r="J1140" s="573" t="s">
        <v>236</v>
      </c>
      <c r="K1140" s="573">
        <v>2</v>
      </c>
      <c r="L1140" s="573">
        <v>0</v>
      </c>
      <c r="M1140" s="573" t="s">
        <v>157</v>
      </c>
      <c r="N1140" s="573">
        <v>1</v>
      </c>
      <c r="O1140" s="573">
        <v>86.5</v>
      </c>
      <c r="P1140" s="571" t="s">
        <v>157</v>
      </c>
      <c r="Q1140" s="573" t="s">
        <v>682</v>
      </c>
      <c r="R1140" s="573">
        <v>6</v>
      </c>
      <c r="S1140" s="582" t="s">
        <v>2386</v>
      </c>
      <c r="T1140" s="573" t="s">
        <v>2166</v>
      </c>
      <c r="U1140" s="573">
        <v>178</v>
      </c>
      <c r="V1140" s="573">
        <v>25</v>
      </c>
      <c r="W1140" s="616">
        <v>10360</v>
      </c>
      <c r="X1140" s="617" t="s">
        <v>157</v>
      </c>
      <c r="Y1140" s="617" t="s">
        <v>178</v>
      </c>
      <c r="Z1140" s="617" t="s">
        <v>178</v>
      </c>
      <c r="AA1140" s="618">
        <v>34550</v>
      </c>
      <c r="AB1140" s="618" t="s">
        <v>164</v>
      </c>
      <c r="AC1140" s="618">
        <v>25900</v>
      </c>
      <c r="AD1140" s="619">
        <v>0.01</v>
      </c>
      <c r="AE1140" s="617" t="s">
        <v>2396</v>
      </c>
    </row>
    <row r="1141" spans="1:31" s="572" customFormat="1">
      <c r="A1141" s="570" t="s">
        <v>2411</v>
      </c>
      <c r="B1141" s="569" t="s">
        <v>278</v>
      </c>
      <c r="C1141" s="580">
        <v>15</v>
      </c>
      <c r="D1141" s="569" t="s">
        <v>1516</v>
      </c>
      <c r="E1141" s="569" t="s">
        <v>1684</v>
      </c>
      <c r="F1141" s="569" t="s">
        <v>271</v>
      </c>
      <c r="G1141" s="569">
        <v>2019</v>
      </c>
      <c r="H1141" s="569" t="s">
        <v>2382</v>
      </c>
      <c r="I1141" s="569" t="s">
        <v>1686</v>
      </c>
      <c r="J1141" s="569" t="s">
        <v>236</v>
      </c>
      <c r="K1141" s="569">
        <v>2</v>
      </c>
      <c r="L1141" s="569">
        <v>0</v>
      </c>
      <c r="M1141" s="569" t="s">
        <v>157</v>
      </c>
      <c r="N1141" s="569">
        <v>1</v>
      </c>
      <c r="O1141" s="569">
        <v>86.8</v>
      </c>
      <c r="P1141" s="568" t="s">
        <v>157</v>
      </c>
      <c r="Q1141" s="569" t="s">
        <v>1917</v>
      </c>
      <c r="R1141" s="569">
        <v>5</v>
      </c>
      <c r="S1141" s="569" t="s">
        <v>2399</v>
      </c>
      <c r="T1141" s="569" t="s">
        <v>2166</v>
      </c>
      <c r="U1141" s="569">
        <v>138</v>
      </c>
      <c r="V1141" s="569">
        <v>25</v>
      </c>
      <c r="W1141" s="620">
        <v>10360</v>
      </c>
      <c r="X1141" s="621" t="s">
        <v>157</v>
      </c>
      <c r="Y1141" s="621" t="s">
        <v>728</v>
      </c>
      <c r="Z1141" s="621" t="s">
        <v>1523</v>
      </c>
      <c r="AA1141" s="622">
        <v>37345</v>
      </c>
      <c r="AB1141" s="622" t="s">
        <v>164</v>
      </c>
      <c r="AC1141" s="622">
        <v>28500</v>
      </c>
      <c r="AD1141" s="623">
        <v>0.01</v>
      </c>
      <c r="AE1141" s="621" t="s">
        <v>2398</v>
      </c>
    </row>
    <row r="1142" spans="1:31" s="572" customFormat="1">
      <c r="A1142" s="570" t="s">
        <v>2412</v>
      </c>
      <c r="B1142" s="573" t="s">
        <v>278</v>
      </c>
      <c r="C1142" s="578">
        <v>15</v>
      </c>
      <c r="D1142" s="573" t="s">
        <v>1516</v>
      </c>
      <c r="E1142" s="573" t="s">
        <v>1684</v>
      </c>
      <c r="F1142" s="573" t="s">
        <v>271</v>
      </c>
      <c r="G1142" s="573">
        <v>2019</v>
      </c>
      <c r="H1142" s="573" t="s">
        <v>2382</v>
      </c>
      <c r="I1142" s="573" t="s">
        <v>1686</v>
      </c>
      <c r="J1142" s="573" t="s">
        <v>236</v>
      </c>
      <c r="K1142" s="573">
        <v>2</v>
      </c>
      <c r="L1142" s="573">
        <v>0</v>
      </c>
      <c r="M1142" s="573" t="s">
        <v>157</v>
      </c>
      <c r="N1142" s="573">
        <v>1</v>
      </c>
      <c r="O1142" s="573">
        <v>86.8</v>
      </c>
      <c r="P1142" s="571" t="s">
        <v>157</v>
      </c>
      <c r="Q1142" s="573" t="s">
        <v>682</v>
      </c>
      <c r="R1142" s="573">
        <v>6</v>
      </c>
      <c r="S1142" s="582" t="s">
        <v>2402</v>
      </c>
      <c r="T1142" s="573" t="s">
        <v>2166</v>
      </c>
      <c r="U1142" s="573">
        <v>138</v>
      </c>
      <c r="V1142" s="573">
        <v>25</v>
      </c>
      <c r="W1142" s="616">
        <v>9950</v>
      </c>
      <c r="X1142" s="617" t="s">
        <v>157</v>
      </c>
      <c r="Y1142" s="617" t="s">
        <v>178</v>
      </c>
      <c r="Z1142" s="617" t="s">
        <v>178</v>
      </c>
      <c r="AA1142" s="618">
        <v>33100</v>
      </c>
      <c r="AB1142" s="618" t="s">
        <v>164</v>
      </c>
      <c r="AC1142" s="618">
        <v>24600</v>
      </c>
      <c r="AD1142" s="619">
        <v>0.01</v>
      </c>
      <c r="AE1142" s="617" t="s">
        <v>2401</v>
      </c>
    </row>
    <row r="1143" spans="1:31" s="572" customFormat="1">
      <c r="A1143" s="570" t="s">
        <v>2413</v>
      </c>
      <c r="B1143" s="569" t="s">
        <v>278</v>
      </c>
      <c r="C1143" s="580">
        <v>15</v>
      </c>
      <c r="D1143" s="569" t="s">
        <v>1516</v>
      </c>
      <c r="E1143" s="569" t="s">
        <v>1684</v>
      </c>
      <c r="F1143" s="569" t="s">
        <v>271</v>
      </c>
      <c r="G1143" s="569">
        <v>2019</v>
      </c>
      <c r="H1143" s="569" t="s">
        <v>2382</v>
      </c>
      <c r="I1143" s="569" t="s">
        <v>1686</v>
      </c>
      <c r="J1143" s="569" t="s">
        <v>236</v>
      </c>
      <c r="K1143" s="569">
        <v>2</v>
      </c>
      <c r="L1143" s="569">
        <v>0</v>
      </c>
      <c r="M1143" s="569" t="s">
        <v>157</v>
      </c>
      <c r="N1143" s="569">
        <v>1</v>
      </c>
      <c r="O1143" s="569">
        <v>86.8</v>
      </c>
      <c r="P1143" s="568" t="s">
        <v>157</v>
      </c>
      <c r="Q1143" s="569" t="s">
        <v>682</v>
      </c>
      <c r="R1143" s="569">
        <v>6</v>
      </c>
      <c r="S1143" s="569" t="s">
        <v>2399</v>
      </c>
      <c r="T1143" s="569" t="s">
        <v>2166</v>
      </c>
      <c r="U1143" s="569">
        <v>138</v>
      </c>
      <c r="V1143" s="569">
        <v>25</v>
      </c>
      <c r="W1143" s="620">
        <v>10360</v>
      </c>
      <c r="X1143" s="621" t="s">
        <v>157</v>
      </c>
      <c r="Y1143" s="621" t="s">
        <v>178</v>
      </c>
      <c r="Z1143" s="621" t="s">
        <v>178</v>
      </c>
      <c r="AA1143" s="622">
        <v>33350</v>
      </c>
      <c r="AB1143" s="622" t="s">
        <v>164</v>
      </c>
      <c r="AC1143" s="622">
        <v>24800</v>
      </c>
      <c r="AD1143" s="623">
        <v>0.01</v>
      </c>
      <c r="AE1143" s="621" t="s">
        <v>2404</v>
      </c>
    </row>
    <row r="1144" spans="1:31" s="572" customFormat="1">
      <c r="A1144" s="570" t="s">
        <v>2414</v>
      </c>
      <c r="B1144" s="573" t="s">
        <v>287</v>
      </c>
      <c r="C1144" s="578">
        <v>26</v>
      </c>
      <c r="D1144" s="573" t="s">
        <v>1516</v>
      </c>
      <c r="E1144" s="573" t="s">
        <v>1684</v>
      </c>
      <c r="F1144" s="573" t="s">
        <v>271</v>
      </c>
      <c r="G1144" s="573">
        <v>2019</v>
      </c>
      <c r="H1144" s="573" t="s">
        <v>2382</v>
      </c>
      <c r="I1144" s="573" t="s">
        <v>1686</v>
      </c>
      <c r="J1144" s="573" t="s">
        <v>236</v>
      </c>
      <c r="K1144" s="573">
        <v>2</v>
      </c>
      <c r="L1144" s="573">
        <v>0</v>
      </c>
      <c r="M1144" s="573" t="s">
        <v>157</v>
      </c>
      <c r="N1144" s="573">
        <v>1</v>
      </c>
      <c r="O1144" s="573">
        <v>86.5</v>
      </c>
      <c r="P1144" s="571" t="s">
        <v>157</v>
      </c>
      <c r="Q1144" s="573" t="s">
        <v>1917</v>
      </c>
      <c r="R1144" s="573">
        <v>5</v>
      </c>
      <c r="S1144" s="582" t="s">
        <v>2389</v>
      </c>
      <c r="T1144" s="573" t="s">
        <v>2166</v>
      </c>
      <c r="U1144" s="573">
        <v>156</v>
      </c>
      <c r="V1144" s="573">
        <v>25</v>
      </c>
      <c r="W1144" s="616">
        <v>9950</v>
      </c>
      <c r="X1144" s="617" t="s">
        <v>157</v>
      </c>
      <c r="Y1144" s="617" t="s">
        <v>728</v>
      </c>
      <c r="Z1144" s="617" t="s">
        <v>1523</v>
      </c>
      <c r="AA1144" s="618">
        <v>37545</v>
      </c>
      <c r="AB1144" s="618" t="s">
        <v>164</v>
      </c>
      <c r="AC1144" s="618">
        <v>28868</v>
      </c>
      <c r="AD1144" s="619">
        <v>0.05</v>
      </c>
      <c r="AE1144" s="617" t="s">
        <v>2415</v>
      </c>
    </row>
    <row r="1145" spans="1:31" s="572" customFormat="1">
      <c r="A1145" s="570" t="s">
        <v>2416</v>
      </c>
      <c r="B1145" s="569" t="s">
        <v>287</v>
      </c>
      <c r="C1145" s="580">
        <v>26</v>
      </c>
      <c r="D1145" s="569" t="s">
        <v>1516</v>
      </c>
      <c r="E1145" s="569" t="s">
        <v>1684</v>
      </c>
      <c r="F1145" s="569" t="s">
        <v>271</v>
      </c>
      <c r="G1145" s="569">
        <v>2019</v>
      </c>
      <c r="H1145" s="569" t="s">
        <v>2382</v>
      </c>
      <c r="I1145" s="569" t="s">
        <v>1686</v>
      </c>
      <c r="J1145" s="569" t="s">
        <v>236</v>
      </c>
      <c r="K1145" s="569">
        <v>2</v>
      </c>
      <c r="L1145" s="569">
        <v>0</v>
      </c>
      <c r="M1145" s="569" t="s">
        <v>157</v>
      </c>
      <c r="N1145" s="569">
        <v>1</v>
      </c>
      <c r="O1145" s="569">
        <v>86.5</v>
      </c>
      <c r="P1145" s="568" t="s">
        <v>157</v>
      </c>
      <c r="Q1145" s="569" t="s">
        <v>1917</v>
      </c>
      <c r="R1145" s="569">
        <v>5</v>
      </c>
      <c r="S1145" s="569" t="s">
        <v>2392</v>
      </c>
      <c r="T1145" s="569" t="s">
        <v>2166</v>
      </c>
      <c r="U1145" s="569">
        <v>178</v>
      </c>
      <c r="V1145" s="569">
        <v>25</v>
      </c>
      <c r="W1145" s="620">
        <v>9950</v>
      </c>
      <c r="X1145" s="621" t="s">
        <v>157</v>
      </c>
      <c r="Y1145" s="621" t="s">
        <v>728</v>
      </c>
      <c r="Z1145" s="621" t="s">
        <v>1523</v>
      </c>
      <c r="AA1145" s="622">
        <v>38295</v>
      </c>
      <c r="AB1145" s="622" t="s">
        <v>164</v>
      </c>
      <c r="AC1145" s="622">
        <v>29570</v>
      </c>
      <c r="AD1145" s="623">
        <v>0.05</v>
      </c>
      <c r="AE1145" s="621" t="s">
        <v>2417</v>
      </c>
    </row>
    <row r="1146" spans="1:31" s="572" customFormat="1">
      <c r="A1146" s="570" t="s">
        <v>2418</v>
      </c>
      <c r="B1146" s="573" t="s">
        <v>287</v>
      </c>
      <c r="C1146" s="578">
        <v>26</v>
      </c>
      <c r="D1146" s="573" t="s">
        <v>1516</v>
      </c>
      <c r="E1146" s="573" t="s">
        <v>1684</v>
      </c>
      <c r="F1146" s="573" t="s">
        <v>271</v>
      </c>
      <c r="G1146" s="573">
        <v>2019</v>
      </c>
      <c r="H1146" s="573" t="s">
        <v>2382</v>
      </c>
      <c r="I1146" s="573" t="s">
        <v>1686</v>
      </c>
      <c r="J1146" s="573" t="s">
        <v>236</v>
      </c>
      <c r="K1146" s="573">
        <v>2</v>
      </c>
      <c r="L1146" s="573">
        <v>0</v>
      </c>
      <c r="M1146" s="573" t="s">
        <v>157</v>
      </c>
      <c r="N1146" s="573">
        <v>1</v>
      </c>
      <c r="O1146" s="573">
        <v>86.5</v>
      </c>
      <c r="P1146" s="571" t="s">
        <v>157</v>
      </c>
      <c r="Q1146" s="573" t="s">
        <v>1917</v>
      </c>
      <c r="R1146" s="573">
        <v>5</v>
      </c>
      <c r="S1146" s="582" t="s">
        <v>2383</v>
      </c>
      <c r="T1146" s="573" t="s">
        <v>2166</v>
      </c>
      <c r="U1146" s="573">
        <v>156</v>
      </c>
      <c r="V1146" s="573">
        <v>25</v>
      </c>
      <c r="W1146" s="616">
        <v>10360</v>
      </c>
      <c r="X1146" s="617" t="s">
        <v>157</v>
      </c>
      <c r="Y1146" s="617" t="s">
        <v>728</v>
      </c>
      <c r="Z1146" s="617" t="s">
        <v>1523</v>
      </c>
      <c r="AA1146" s="618">
        <v>37800</v>
      </c>
      <c r="AB1146" s="618" t="s">
        <v>164</v>
      </c>
      <c r="AC1146" s="618">
        <v>29106</v>
      </c>
      <c r="AD1146" s="619">
        <v>0.05</v>
      </c>
      <c r="AE1146" s="617" t="s">
        <v>2381</v>
      </c>
    </row>
    <row r="1147" spans="1:31" s="572" customFormat="1">
      <c r="A1147" s="570" t="s">
        <v>2419</v>
      </c>
      <c r="B1147" s="569" t="s">
        <v>287</v>
      </c>
      <c r="C1147" s="580">
        <v>26</v>
      </c>
      <c r="D1147" s="569" t="s">
        <v>1516</v>
      </c>
      <c r="E1147" s="569" t="s">
        <v>1684</v>
      </c>
      <c r="F1147" s="569" t="s">
        <v>271</v>
      </c>
      <c r="G1147" s="569">
        <v>2019</v>
      </c>
      <c r="H1147" s="569" t="s">
        <v>2382</v>
      </c>
      <c r="I1147" s="569" t="s">
        <v>1686</v>
      </c>
      <c r="J1147" s="569" t="s">
        <v>236</v>
      </c>
      <c r="K1147" s="569">
        <v>2</v>
      </c>
      <c r="L1147" s="569">
        <v>0</v>
      </c>
      <c r="M1147" s="569" t="s">
        <v>157</v>
      </c>
      <c r="N1147" s="569">
        <v>1</v>
      </c>
      <c r="O1147" s="569">
        <v>86.5</v>
      </c>
      <c r="P1147" s="568" t="s">
        <v>157</v>
      </c>
      <c r="Q1147" s="569" t="s">
        <v>1917</v>
      </c>
      <c r="R1147" s="569">
        <v>5</v>
      </c>
      <c r="S1147" s="569" t="s">
        <v>2386</v>
      </c>
      <c r="T1147" s="569" t="s">
        <v>2166</v>
      </c>
      <c r="U1147" s="569">
        <v>178</v>
      </c>
      <c r="V1147" s="569">
        <v>25</v>
      </c>
      <c r="W1147" s="620">
        <v>10360</v>
      </c>
      <c r="X1147" s="621" t="s">
        <v>157</v>
      </c>
      <c r="Y1147" s="621" t="s">
        <v>728</v>
      </c>
      <c r="Z1147" s="621" t="s">
        <v>1523</v>
      </c>
      <c r="AA1147" s="622">
        <v>38545</v>
      </c>
      <c r="AB1147" s="622" t="s">
        <v>164</v>
      </c>
      <c r="AC1147" s="622">
        <v>29806</v>
      </c>
      <c r="AD1147" s="623">
        <v>0.05</v>
      </c>
      <c r="AE1147" s="621" t="s">
        <v>2385</v>
      </c>
    </row>
    <row r="1148" spans="1:31" s="572" customFormat="1">
      <c r="A1148" s="570" t="s">
        <v>2420</v>
      </c>
      <c r="B1148" s="573" t="s">
        <v>287</v>
      </c>
      <c r="C1148" s="578">
        <v>26</v>
      </c>
      <c r="D1148" s="573" t="s">
        <v>1516</v>
      </c>
      <c r="E1148" s="573" t="s">
        <v>1684</v>
      </c>
      <c r="F1148" s="573" t="s">
        <v>271</v>
      </c>
      <c r="G1148" s="573">
        <v>2019</v>
      </c>
      <c r="H1148" s="573" t="s">
        <v>2382</v>
      </c>
      <c r="I1148" s="573" t="s">
        <v>1686</v>
      </c>
      <c r="J1148" s="573" t="s">
        <v>236</v>
      </c>
      <c r="K1148" s="573">
        <v>2</v>
      </c>
      <c r="L1148" s="573">
        <v>0</v>
      </c>
      <c r="M1148" s="573" t="s">
        <v>157</v>
      </c>
      <c r="N1148" s="573">
        <v>1</v>
      </c>
      <c r="O1148" s="573">
        <v>86.5</v>
      </c>
      <c r="P1148" s="571" t="s">
        <v>157</v>
      </c>
      <c r="Q1148" s="573" t="s">
        <v>682</v>
      </c>
      <c r="R1148" s="573">
        <v>6</v>
      </c>
      <c r="S1148" s="582" t="s">
        <v>2389</v>
      </c>
      <c r="T1148" s="573" t="s">
        <v>2166</v>
      </c>
      <c r="U1148" s="573">
        <v>156</v>
      </c>
      <c r="V1148" s="573">
        <v>25</v>
      </c>
      <c r="W1148" s="616">
        <v>9950</v>
      </c>
      <c r="X1148" s="617" t="s">
        <v>157</v>
      </c>
      <c r="Y1148" s="617" t="s">
        <v>178</v>
      </c>
      <c r="Z1148" s="617" t="s">
        <v>178</v>
      </c>
      <c r="AA1148" s="618">
        <v>33550</v>
      </c>
      <c r="AB1148" s="618" t="s">
        <v>164</v>
      </c>
      <c r="AC1148" s="618">
        <v>25229</v>
      </c>
      <c r="AD1148" s="619">
        <v>0.05</v>
      </c>
      <c r="AE1148" s="617" t="s">
        <v>2388</v>
      </c>
    </row>
    <row r="1149" spans="1:31" s="572" customFormat="1">
      <c r="A1149" s="570" t="s">
        <v>2421</v>
      </c>
      <c r="B1149" s="569" t="s">
        <v>287</v>
      </c>
      <c r="C1149" s="580">
        <v>26</v>
      </c>
      <c r="D1149" s="569" t="s">
        <v>1516</v>
      </c>
      <c r="E1149" s="569" t="s">
        <v>1684</v>
      </c>
      <c r="F1149" s="569" t="s">
        <v>271</v>
      </c>
      <c r="G1149" s="569">
        <v>2019</v>
      </c>
      <c r="H1149" s="569" t="s">
        <v>2382</v>
      </c>
      <c r="I1149" s="569" t="s">
        <v>1686</v>
      </c>
      <c r="J1149" s="569" t="s">
        <v>236</v>
      </c>
      <c r="K1149" s="569">
        <v>2</v>
      </c>
      <c r="L1149" s="569">
        <v>0</v>
      </c>
      <c r="M1149" s="569" t="s">
        <v>157</v>
      </c>
      <c r="N1149" s="569">
        <v>1</v>
      </c>
      <c r="O1149" s="569">
        <v>86.5</v>
      </c>
      <c r="P1149" s="568" t="s">
        <v>157</v>
      </c>
      <c r="Q1149" s="569" t="s">
        <v>682</v>
      </c>
      <c r="R1149" s="569">
        <v>6</v>
      </c>
      <c r="S1149" s="569" t="s">
        <v>2392</v>
      </c>
      <c r="T1149" s="569" t="s">
        <v>2166</v>
      </c>
      <c r="U1149" s="569">
        <v>178</v>
      </c>
      <c r="V1149" s="569">
        <v>25</v>
      </c>
      <c r="W1149" s="620">
        <v>9950</v>
      </c>
      <c r="X1149" s="621" t="s">
        <v>157</v>
      </c>
      <c r="Y1149" s="621" t="s">
        <v>178</v>
      </c>
      <c r="Z1149" s="621" t="s">
        <v>178</v>
      </c>
      <c r="AA1149" s="622">
        <v>34300</v>
      </c>
      <c r="AB1149" s="622" t="s">
        <v>164</v>
      </c>
      <c r="AC1149" s="622">
        <v>25932</v>
      </c>
      <c r="AD1149" s="623">
        <v>0.05</v>
      </c>
      <c r="AE1149" s="621" t="s">
        <v>2391</v>
      </c>
    </row>
    <row r="1150" spans="1:31" s="572" customFormat="1">
      <c r="A1150" s="570" t="s">
        <v>2422</v>
      </c>
      <c r="B1150" s="573" t="s">
        <v>287</v>
      </c>
      <c r="C1150" s="578">
        <v>26</v>
      </c>
      <c r="D1150" s="573" t="s">
        <v>1516</v>
      </c>
      <c r="E1150" s="573" t="s">
        <v>1684</v>
      </c>
      <c r="F1150" s="573" t="s">
        <v>271</v>
      </c>
      <c r="G1150" s="573">
        <v>2019</v>
      </c>
      <c r="H1150" s="573" t="s">
        <v>2382</v>
      </c>
      <c r="I1150" s="573" t="s">
        <v>1686</v>
      </c>
      <c r="J1150" s="573" t="s">
        <v>236</v>
      </c>
      <c r="K1150" s="573">
        <v>2</v>
      </c>
      <c r="L1150" s="573">
        <v>0</v>
      </c>
      <c r="M1150" s="573" t="s">
        <v>157</v>
      </c>
      <c r="N1150" s="573">
        <v>1</v>
      </c>
      <c r="O1150" s="573">
        <v>86.5</v>
      </c>
      <c r="P1150" s="571" t="s">
        <v>157</v>
      </c>
      <c r="Q1150" s="573" t="s">
        <v>682</v>
      </c>
      <c r="R1150" s="573">
        <v>6</v>
      </c>
      <c r="S1150" s="582" t="s">
        <v>2383</v>
      </c>
      <c r="T1150" s="573" t="s">
        <v>2166</v>
      </c>
      <c r="U1150" s="573">
        <v>156</v>
      </c>
      <c r="V1150" s="573">
        <v>25</v>
      </c>
      <c r="W1150" s="616">
        <v>10360</v>
      </c>
      <c r="X1150" s="617" t="s">
        <v>157</v>
      </c>
      <c r="Y1150" s="617" t="s">
        <v>178</v>
      </c>
      <c r="Z1150" s="617" t="s">
        <v>178</v>
      </c>
      <c r="AA1150" s="618">
        <v>33805</v>
      </c>
      <c r="AB1150" s="618" t="s">
        <v>164</v>
      </c>
      <c r="AC1150" s="618">
        <v>25467</v>
      </c>
      <c r="AD1150" s="619">
        <v>0.05</v>
      </c>
      <c r="AE1150" s="617" t="s">
        <v>2394</v>
      </c>
    </row>
    <row r="1151" spans="1:31" s="572" customFormat="1">
      <c r="A1151" s="570" t="s">
        <v>2423</v>
      </c>
      <c r="B1151" s="569" t="s">
        <v>287</v>
      </c>
      <c r="C1151" s="580">
        <v>26</v>
      </c>
      <c r="D1151" s="569" t="s">
        <v>1516</v>
      </c>
      <c r="E1151" s="569" t="s">
        <v>1684</v>
      </c>
      <c r="F1151" s="569" t="s">
        <v>271</v>
      </c>
      <c r="G1151" s="569">
        <v>2019</v>
      </c>
      <c r="H1151" s="569" t="s">
        <v>2382</v>
      </c>
      <c r="I1151" s="569" t="s">
        <v>1686</v>
      </c>
      <c r="J1151" s="569" t="s">
        <v>236</v>
      </c>
      <c r="K1151" s="569">
        <v>2</v>
      </c>
      <c r="L1151" s="569">
        <v>0</v>
      </c>
      <c r="M1151" s="569" t="s">
        <v>157</v>
      </c>
      <c r="N1151" s="569">
        <v>1</v>
      </c>
      <c r="O1151" s="569">
        <v>86.5</v>
      </c>
      <c r="P1151" s="568" t="s">
        <v>157</v>
      </c>
      <c r="Q1151" s="569" t="s">
        <v>682</v>
      </c>
      <c r="R1151" s="569">
        <v>6</v>
      </c>
      <c r="S1151" s="569" t="s">
        <v>2386</v>
      </c>
      <c r="T1151" s="569" t="s">
        <v>2166</v>
      </c>
      <c r="U1151" s="569">
        <v>178</v>
      </c>
      <c r="V1151" s="569">
        <v>25</v>
      </c>
      <c r="W1151" s="620">
        <v>10360</v>
      </c>
      <c r="X1151" s="621" t="s">
        <v>157</v>
      </c>
      <c r="Y1151" s="621" t="s">
        <v>178</v>
      </c>
      <c r="Z1151" s="621" t="s">
        <v>178</v>
      </c>
      <c r="AA1151" s="622">
        <v>34550</v>
      </c>
      <c r="AB1151" s="622" t="s">
        <v>164</v>
      </c>
      <c r="AC1151" s="622">
        <v>26167</v>
      </c>
      <c r="AD1151" s="623">
        <v>0.05</v>
      </c>
      <c r="AE1151" s="621" t="s">
        <v>2396</v>
      </c>
    </row>
    <row r="1152" spans="1:31" s="572" customFormat="1">
      <c r="A1152" s="570" t="s">
        <v>2424</v>
      </c>
      <c r="B1152" s="573" t="s">
        <v>287</v>
      </c>
      <c r="C1152" s="578">
        <v>26</v>
      </c>
      <c r="D1152" s="573" t="s">
        <v>1516</v>
      </c>
      <c r="E1152" s="573" t="s">
        <v>1684</v>
      </c>
      <c r="F1152" s="573" t="s">
        <v>271</v>
      </c>
      <c r="G1152" s="573">
        <v>2019</v>
      </c>
      <c r="H1152" s="573" t="s">
        <v>2382</v>
      </c>
      <c r="I1152" s="573" t="s">
        <v>1686</v>
      </c>
      <c r="J1152" s="573" t="s">
        <v>236</v>
      </c>
      <c r="K1152" s="573">
        <v>2</v>
      </c>
      <c r="L1152" s="573">
        <v>0</v>
      </c>
      <c r="M1152" s="573" t="s">
        <v>157</v>
      </c>
      <c r="N1152" s="573">
        <v>1</v>
      </c>
      <c r="O1152" s="573">
        <v>86.8</v>
      </c>
      <c r="P1152" s="571" t="s">
        <v>157</v>
      </c>
      <c r="Q1152" s="573" t="s">
        <v>1917</v>
      </c>
      <c r="R1152" s="573">
        <v>5</v>
      </c>
      <c r="S1152" s="582" t="s">
        <v>2402</v>
      </c>
      <c r="T1152" s="573" t="s">
        <v>2166</v>
      </c>
      <c r="U1152" s="573">
        <v>138</v>
      </c>
      <c r="V1152" s="573">
        <v>25</v>
      </c>
      <c r="W1152" s="616">
        <v>9950</v>
      </c>
      <c r="X1152" s="617" t="s">
        <v>157</v>
      </c>
      <c r="Y1152" s="617" t="s">
        <v>728</v>
      </c>
      <c r="Z1152" s="617" t="s">
        <v>1523</v>
      </c>
      <c r="AA1152" s="618">
        <v>37095</v>
      </c>
      <c r="AB1152" s="618" t="s">
        <v>164</v>
      </c>
      <c r="AC1152" s="618">
        <v>28445</v>
      </c>
      <c r="AD1152" s="619">
        <v>0.05</v>
      </c>
      <c r="AE1152" s="617" t="s">
        <v>2425</v>
      </c>
    </row>
    <row r="1153" spans="1:31" s="572" customFormat="1">
      <c r="A1153" s="570" t="s">
        <v>2426</v>
      </c>
      <c r="B1153" s="569" t="s">
        <v>287</v>
      </c>
      <c r="C1153" s="580">
        <v>26</v>
      </c>
      <c r="D1153" s="569" t="s">
        <v>1516</v>
      </c>
      <c r="E1153" s="569" t="s">
        <v>1684</v>
      </c>
      <c r="F1153" s="569" t="s">
        <v>271</v>
      </c>
      <c r="G1153" s="569">
        <v>2019</v>
      </c>
      <c r="H1153" s="569" t="s">
        <v>2382</v>
      </c>
      <c r="I1153" s="569" t="s">
        <v>1686</v>
      </c>
      <c r="J1153" s="569" t="s">
        <v>236</v>
      </c>
      <c r="K1153" s="569">
        <v>2</v>
      </c>
      <c r="L1153" s="569">
        <v>0</v>
      </c>
      <c r="M1153" s="569" t="s">
        <v>157</v>
      </c>
      <c r="N1153" s="569">
        <v>1</v>
      </c>
      <c r="O1153" s="569">
        <v>86.8</v>
      </c>
      <c r="P1153" s="568" t="s">
        <v>157</v>
      </c>
      <c r="Q1153" s="569" t="s">
        <v>1917</v>
      </c>
      <c r="R1153" s="569">
        <v>5</v>
      </c>
      <c r="S1153" s="569" t="s">
        <v>2399</v>
      </c>
      <c r="T1153" s="569" t="s">
        <v>2166</v>
      </c>
      <c r="U1153" s="569">
        <v>138</v>
      </c>
      <c r="V1153" s="569">
        <v>25</v>
      </c>
      <c r="W1153" s="620">
        <v>10360</v>
      </c>
      <c r="X1153" s="621" t="s">
        <v>157</v>
      </c>
      <c r="Y1153" s="621" t="s">
        <v>728</v>
      </c>
      <c r="Z1153" s="621" t="s">
        <v>1523</v>
      </c>
      <c r="AA1153" s="622">
        <v>37345</v>
      </c>
      <c r="AB1153" s="622" t="s">
        <v>164</v>
      </c>
      <c r="AC1153" s="622">
        <v>28680</v>
      </c>
      <c r="AD1153" s="623">
        <v>0.05</v>
      </c>
      <c r="AE1153" s="621" t="s">
        <v>2398</v>
      </c>
    </row>
    <row r="1154" spans="1:31" s="572" customFormat="1">
      <c r="A1154" s="570" t="s">
        <v>2427</v>
      </c>
      <c r="B1154" s="573" t="s">
        <v>287</v>
      </c>
      <c r="C1154" s="578">
        <v>26</v>
      </c>
      <c r="D1154" s="573" t="s">
        <v>1516</v>
      </c>
      <c r="E1154" s="573" t="s">
        <v>1684</v>
      </c>
      <c r="F1154" s="573" t="s">
        <v>271</v>
      </c>
      <c r="G1154" s="573">
        <v>2019</v>
      </c>
      <c r="H1154" s="573" t="s">
        <v>2382</v>
      </c>
      <c r="I1154" s="573" t="s">
        <v>1686</v>
      </c>
      <c r="J1154" s="573" t="s">
        <v>236</v>
      </c>
      <c r="K1154" s="573">
        <v>2</v>
      </c>
      <c r="L1154" s="573">
        <v>0</v>
      </c>
      <c r="M1154" s="573" t="s">
        <v>157</v>
      </c>
      <c r="N1154" s="573">
        <v>1</v>
      </c>
      <c r="O1154" s="573">
        <v>86.8</v>
      </c>
      <c r="P1154" s="571" t="s">
        <v>157</v>
      </c>
      <c r="Q1154" s="573" t="s">
        <v>682</v>
      </c>
      <c r="R1154" s="573">
        <v>6</v>
      </c>
      <c r="S1154" s="582" t="s">
        <v>2402</v>
      </c>
      <c r="T1154" s="573" t="s">
        <v>2166</v>
      </c>
      <c r="U1154" s="573">
        <v>138</v>
      </c>
      <c r="V1154" s="573">
        <v>25</v>
      </c>
      <c r="W1154" s="616">
        <v>9950</v>
      </c>
      <c r="X1154" s="617" t="s">
        <v>157</v>
      </c>
      <c r="Y1154" s="617" t="s">
        <v>178</v>
      </c>
      <c r="Z1154" s="617" t="s">
        <v>178</v>
      </c>
      <c r="AA1154" s="618">
        <v>33100</v>
      </c>
      <c r="AB1154" s="618" t="s">
        <v>164</v>
      </c>
      <c r="AC1154" s="618">
        <v>24807</v>
      </c>
      <c r="AD1154" s="619">
        <v>0.05</v>
      </c>
      <c r="AE1154" s="617" t="s">
        <v>2401</v>
      </c>
    </row>
    <row r="1155" spans="1:31" s="572" customFormat="1">
      <c r="A1155" s="570" t="s">
        <v>2428</v>
      </c>
      <c r="B1155" s="569" t="s">
        <v>287</v>
      </c>
      <c r="C1155" s="580">
        <v>26</v>
      </c>
      <c r="D1155" s="569" t="s">
        <v>1516</v>
      </c>
      <c r="E1155" s="569" t="s">
        <v>1684</v>
      </c>
      <c r="F1155" s="569" t="s">
        <v>271</v>
      </c>
      <c r="G1155" s="569">
        <v>2019</v>
      </c>
      <c r="H1155" s="569" t="s">
        <v>2382</v>
      </c>
      <c r="I1155" s="569" t="s">
        <v>1686</v>
      </c>
      <c r="J1155" s="569" t="s">
        <v>236</v>
      </c>
      <c r="K1155" s="569">
        <v>2</v>
      </c>
      <c r="L1155" s="569">
        <v>0</v>
      </c>
      <c r="M1155" s="569" t="s">
        <v>157</v>
      </c>
      <c r="N1155" s="569">
        <v>1</v>
      </c>
      <c r="O1155" s="569">
        <v>86.8</v>
      </c>
      <c r="P1155" s="568" t="s">
        <v>157</v>
      </c>
      <c r="Q1155" s="569" t="s">
        <v>682</v>
      </c>
      <c r="R1155" s="569">
        <v>6</v>
      </c>
      <c r="S1155" s="569" t="s">
        <v>2399</v>
      </c>
      <c r="T1155" s="569" t="s">
        <v>2166</v>
      </c>
      <c r="U1155" s="569">
        <v>138</v>
      </c>
      <c r="V1155" s="569">
        <v>25</v>
      </c>
      <c r="W1155" s="620">
        <v>10360</v>
      </c>
      <c r="X1155" s="621" t="s">
        <v>157</v>
      </c>
      <c r="Y1155" s="621" t="s">
        <v>178</v>
      </c>
      <c r="Z1155" s="621" t="s">
        <v>178</v>
      </c>
      <c r="AA1155" s="622">
        <v>33350</v>
      </c>
      <c r="AB1155" s="622" t="s">
        <v>164</v>
      </c>
      <c r="AC1155" s="622">
        <v>25042</v>
      </c>
      <c r="AD1155" s="623">
        <v>0.05</v>
      </c>
      <c r="AE1155" s="621" t="s">
        <v>2404</v>
      </c>
    </row>
    <row r="1156" spans="1:31" s="572" customFormat="1">
      <c r="A1156" s="570" t="s">
        <v>2429</v>
      </c>
      <c r="B1156" s="573" t="s">
        <v>280</v>
      </c>
      <c r="C1156" s="578">
        <v>27</v>
      </c>
      <c r="D1156" s="573" t="s">
        <v>1516</v>
      </c>
      <c r="E1156" s="573" t="s">
        <v>1684</v>
      </c>
      <c r="F1156" s="573" t="s">
        <v>271</v>
      </c>
      <c r="G1156" s="573">
        <v>2019</v>
      </c>
      <c r="H1156" s="573" t="s">
        <v>2382</v>
      </c>
      <c r="I1156" s="573" t="s">
        <v>1686</v>
      </c>
      <c r="J1156" s="573" t="s">
        <v>236</v>
      </c>
      <c r="K1156" s="573">
        <v>2</v>
      </c>
      <c r="L1156" s="573">
        <v>0</v>
      </c>
      <c r="M1156" s="573" t="s">
        <v>157</v>
      </c>
      <c r="N1156" s="573">
        <v>1</v>
      </c>
      <c r="O1156" s="573">
        <v>86.5</v>
      </c>
      <c r="P1156" s="571" t="s">
        <v>157</v>
      </c>
      <c r="Q1156" s="573" t="s">
        <v>1917</v>
      </c>
      <c r="R1156" s="573">
        <v>5</v>
      </c>
      <c r="S1156" s="582" t="s">
        <v>2383</v>
      </c>
      <c r="T1156" s="573" t="s">
        <v>2166</v>
      </c>
      <c r="U1156" s="573">
        <v>156</v>
      </c>
      <c r="V1156" s="573">
        <v>25</v>
      </c>
      <c r="W1156" s="616">
        <v>10360</v>
      </c>
      <c r="X1156" s="617" t="s">
        <v>157</v>
      </c>
      <c r="Y1156" s="617" t="s">
        <v>728</v>
      </c>
      <c r="Z1156" s="617" t="s">
        <v>1523</v>
      </c>
      <c r="AA1156" s="618">
        <v>37800</v>
      </c>
      <c r="AB1156" s="618" t="s">
        <v>164</v>
      </c>
      <c r="AC1156" s="618">
        <v>28291.916666666664</v>
      </c>
      <c r="AD1156" s="619">
        <v>0.03</v>
      </c>
      <c r="AE1156" s="617" t="s">
        <v>2381</v>
      </c>
    </row>
    <row r="1157" spans="1:31" s="572" customFormat="1">
      <c r="A1157" s="570" t="s">
        <v>2430</v>
      </c>
      <c r="B1157" s="569" t="s">
        <v>280</v>
      </c>
      <c r="C1157" s="580">
        <v>27</v>
      </c>
      <c r="D1157" s="569" t="s">
        <v>1516</v>
      </c>
      <c r="E1157" s="569" t="s">
        <v>1684</v>
      </c>
      <c r="F1157" s="569" t="s">
        <v>271</v>
      </c>
      <c r="G1157" s="569">
        <v>2019</v>
      </c>
      <c r="H1157" s="569" t="s">
        <v>2382</v>
      </c>
      <c r="I1157" s="569" t="s">
        <v>1686</v>
      </c>
      <c r="J1157" s="569" t="s">
        <v>236</v>
      </c>
      <c r="K1157" s="569">
        <v>2</v>
      </c>
      <c r="L1157" s="569">
        <v>0</v>
      </c>
      <c r="M1157" s="569" t="s">
        <v>157</v>
      </c>
      <c r="N1157" s="569">
        <v>1</v>
      </c>
      <c r="O1157" s="569">
        <v>86.5</v>
      </c>
      <c r="P1157" s="568" t="s">
        <v>157</v>
      </c>
      <c r="Q1157" s="569" t="s">
        <v>1917</v>
      </c>
      <c r="R1157" s="569">
        <v>5</v>
      </c>
      <c r="S1157" s="569" t="s">
        <v>2386</v>
      </c>
      <c r="T1157" s="569" t="s">
        <v>2166</v>
      </c>
      <c r="U1157" s="569">
        <v>178</v>
      </c>
      <c r="V1157" s="569">
        <v>25</v>
      </c>
      <c r="W1157" s="620">
        <v>10360</v>
      </c>
      <c r="X1157" s="621" t="s">
        <v>157</v>
      </c>
      <c r="Y1157" s="621" t="s">
        <v>728</v>
      </c>
      <c r="Z1157" s="621" t="s">
        <v>1523</v>
      </c>
      <c r="AA1157" s="622">
        <v>38545</v>
      </c>
      <c r="AB1157" s="622" t="s">
        <v>164</v>
      </c>
      <c r="AC1157" s="622">
        <v>28972.125</v>
      </c>
      <c r="AD1157" s="623">
        <v>0.03</v>
      </c>
      <c r="AE1157" s="621" t="s">
        <v>2385</v>
      </c>
    </row>
    <row r="1158" spans="1:31" s="572" customFormat="1">
      <c r="A1158" s="570" t="s">
        <v>2431</v>
      </c>
      <c r="B1158" s="573" t="s">
        <v>280</v>
      </c>
      <c r="C1158" s="578">
        <v>27</v>
      </c>
      <c r="D1158" s="573" t="s">
        <v>1516</v>
      </c>
      <c r="E1158" s="573" t="s">
        <v>1684</v>
      </c>
      <c r="F1158" s="573" t="s">
        <v>271</v>
      </c>
      <c r="G1158" s="573">
        <v>2019</v>
      </c>
      <c r="H1158" s="573" t="s">
        <v>2382</v>
      </c>
      <c r="I1158" s="573" t="s">
        <v>1686</v>
      </c>
      <c r="J1158" s="573" t="s">
        <v>236</v>
      </c>
      <c r="K1158" s="573">
        <v>2</v>
      </c>
      <c r="L1158" s="573">
        <v>0</v>
      </c>
      <c r="M1158" s="573" t="s">
        <v>157</v>
      </c>
      <c r="N1158" s="573">
        <v>1</v>
      </c>
      <c r="O1158" s="573">
        <v>86.5</v>
      </c>
      <c r="P1158" s="571" t="s">
        <v>157</v>
      </c>
      <c r="Q1158" s="573" t="s">
        <v>682</v>
      </c>
      <c r="R1158" s="573">
        <v>6</v>
      </c>
      <c r="S1158" s="582" t="s">
        <v>2389</v>
      </c>
      <c r="T1158" s="573" t="s">
        <v>2166</v>
      </c>
      <c r="U1158" s="573">
        <v>156</v>
      </c>
      <c r="V1158" s="573">
        <v>25</v>
      </c>
      <c r="W1158" s="616">
        <v>9950</v>
      </c>
      <c r="X1158" s="617" t="s">
        <v>157</v>
      </c>
      <c r="Y1158" s="617" t="s">
        <v>178</v>
      </c>
      <c r="Z1158" s="617" t="s">
        <v>178</v>
      </c>
      <c r="AA1158" s="618">
        <v>33550</v>
      </c>
      <c r="AB1158" s="618" t="s">
        <v>164</v>
      </c>
      <c r="AC1158" s="618">
        <v>24509.041666666668</v>
      </c>
      <c r="AD1158" s="619">
        <v>0.03</v>
      </c>
      <c r="AE1158" s="617" t="s">
        <v>2388</v>
      </c>
    </row>
    <row r="1159" spans="1:31" s="572" customFormat="1">
      <c r="A1159" s="570" t="s">
        <v>2432</v>
      </c>
      <c r="B1159" s="569" t="s">
        <v>280</v>
      </c>
      <c r="C1159" s="580">
        <v>27</v>
      </c>
      <c r="D1159" s="569" t="s">
        <v>1516</v>
      </c>
      <c r="E1159" s="569" t="s">
        <v>1684</v>
      </c>
      <c r="F1159" s="569" t="s">
        <v>271</v>
      </c>
      <c r="G1159" s="569">
        <v>2019</v>
      </c>
      <c r="H1159" s="569" t="s">
        <v>2382</v>
      </c>
      <c r="I1159" s="569" t="s">
        <v>1686</v>
      </c>
      <c r="J1159" s="569" t="s">
        <v>236</v>
      </c>
      <c r="K1159" s="569">
        <v>2</v>
      </c>
      <c r="L1159" s="569">
        <v>0</v>
      </c>
      <c r="M1159" s="569" t="s">
        <v>157</v>
      </c>
      <c r="N1159" s="569">
        <v>1</v>
      </c>
      <c r="O1159" s="569">
        <v>86.5</v>
      </c>
      <c r="P1159" s="568" t="s">
        <v>157</v>
      </c>
      <c r="Q1159" s="569" t="s">
        <v>682</v>
      </c>
      <c r="R1159" s="569">
        <v>6</v>
      </c>
      <c r="S1159" s="569" t="s">
        <v>2392</v>
      </c>
      <c r="T1159" s="569" t="s">
        <v>2166</v>
      </c>
      <c r="U1159" s="569">
        <v>178</v>
      </c>
      <c r="V1159" s="569">
        <v>25</v>
      </c>
      <c r="W1159" s="620">
        <v>9950</v>
      </c>
      <c r="X1159" s="621" t="s">
        <v>157</v>
      </c>
      <c r="Y1159" s="621" t="s">
        <v>178</v>
      </c>
      <c r="Z1159" s="621" t="s">
        <v>178</v>
      </c>
      <c r="AA1159" s="622">
        <v>34300</v>
      </c>
      <c r="AB1159" s="622" t="s">
        <v>164</v>
      </c>
      <c r="AC1159" s="622">
        <v>25194.458333333336</v>
      </c>
      <c r="AD1159" s="623">
        <v>0.03</v>
      </c>
      <c r="AE1159" s="621" t="s">
        <v>2391</v>
      </c>
    </row>
    <row r="1160" spans="1:31" s="572" customFormat="1">
      <c r="A1160" s="570" t="s">
        <v>2433</v>
      </c>
      <c r="B1160" s="573" t="s">
        <v>280</v>
      </c>
      <c r="C1160" s="578">
        <v>27</v>
      </c>
      <c r="D1160" s="573" t="s">
        <v>1516</v>
      </c>
      <c r="E1160" s="573" t="s">
        <v>1684</v>
      </c>
      <c r="F1160" s="573" t="s">
        <v>271</v>
      </c>
      <c r="G1160" s="573">
        <v>2019</v>
      </c>
      <c r="H1160" s="573" t="s">
        <v>2382</v>
      </c>
      <c r="I1160" s="573" t="s">
        <v>1686</v>
      </c>
      <c r="J1160" s="573" t="s">
        <v>236</v>
      </c>
      <c r="K1160" s="573">
        <v>2</v>
      </c>
      <c r="L1160" s="573">
        <v>0</v>
      </c>
      <c r="M1160" s="573" t="s">
        <v>157</v>
      </c>
      <c r="N1160" s="573">
        <v>1</v>
      </c>
      <c r="O1160" s="573">
        <v>86.5</v>
      </c>
      <c r="P1160" s="571" t="s">
        <v>157</v>
      </c>
      <c r="Q1160" s="573" t="s">
        <v>682</v>
      </c>
      <c r="R1160" s="573">
        <v>6</v>
      </c>
      <c r="S1160" s="582" t="s">
        <v>2383</v>
      </c>
      <c r="T1160" s="573" t="s">
        <v>2166</v>
      </c>
      <c r="U1160" s="573">
        <v>156</v>
      </c>
      <c r="V1160" s="573">
        <v>25</v>
      </c>
      <c r="W1160" s="616">
        <v>10360</v>
      </c>
      <c r="X1160" s="617" t="s">
        <v>157</v>
      </c>
      <c r="Y1160" s="617" t="s">
        <v>178</v>
      </c>
      <c r="Z1160" s="617" t="s">
        <v>178</v>
      </c>
      <c r="AA1160" s="618">
        <v>33805</v>
      </c>
      <c r="AB1160" s="618" t="s">
        <v>164</v>
      </c>
      <c r="AC1160" s="618">
        <v>24742.375</v>
      </c>
      <c r="AD1160" s="619">
        <v>0.03</v>
      </c>
      <c r="AE1160" s="617" t="s">
        <v>2394</v>
      </c>
    </row>
    <row r="1161" spans="1:31" s="572" customFormat="1">
      <c r="A1161" s="570" t="s">
        <v>2434</v>
      </c>
      <c r="B1161" s="569" t="s">
        <v>280</v>
      </c>
      <c r="C1161" s="580">
        <v>27</v>
      </c>
      <c r="D1161" s="569" t="s">
        <v>1516</v>
      </c>
      <c r="E1161" s="569" t="s">
        <v>1684</v>
      </c>
      <c r="F1161" s="569" t="s">
        <v>271</v>
      </c>
      <c r="G1161" s="569">
        <v>2019</v>
      </c>
      <c r="H1161" s="569" t="s">
        <v>2382</v>
      </c>
      <c r="I1161" s="569" t="s">
        <v>1686</v>
      </c>
      <c r="J1161" s="569" t="s">
        <v>236</v>
      </c>
      <c r="K1161" s="569">
        <v>2</v>
      </c>
      <c r="L1161" s="569">
        <v>0</v>
      </c>
      <c r="M1161" s="569" t="s">
        <v>157</v>
      </c>
      <c r="N1161" s="569">
        <v>1</v>
      </c>
      <c r="O1161" s="569">
        <v>86.5</v>
      </c>
      <c r="P1161" s="568" t="s">
        <v>157</v>
      </c>
      <c r="Q1161" s="569" t="s">
        <v>682</v>
      </c>
      <c r="R1161" s="569">
        <v>6</v>
      </c>
      <c r="S1161" s="569" t="s">
        <v>2386</v>
      </c>
      <c r="T1161" s="569" t="s">
        <v>2166</v>
      </c>
      <c r="U1161" s="569">
        <v>178</v>
      </c>
      <c r="V1161" s="569">
        <v>25</v>
      </c>
      <c r="W1161" s="620">
        <v>10360</v>
      </c>
      <c r="X1161" s="621" t="s">
        <v>157</v>
      </c>
      <c r="Y1161" s="621" t="s">
        <v>178</v>
      </c>
      <c r="Z1161" s="621" t="s">
        <v>178</v>
      </c>
      <c r="AA1161" s="622">
        <v>34550</v>
      </c>
      <c r="AB1161" s="622" t="s">
        <v>164</v>
      </c>
      <c r="AC1161" s="622">
        <v>25422.583333333336</v>
      </c>
      <c r="AD1161" s="623">
        <v>0.03</v>
      </c>
      <c r="AE1161" s="621" t="s">
        <v>2396</v>
      </c>
    </row>
    <row r="1162" spans="1:31" s="572" customFormat="1">
      <c r="A1162" s="570" t="s">
        <v>2435</v>
      </c>
      <c r="B1162" s="573" t="s">
        <v>280</v>
      </c>
      <c r="C1162" s="578">
        <v>27</v>
      </c>
      <c r="D1162" s="573" t="s">
        <v>1516</v>
      </c>
      <c r="E1162" s="573" t="s">
        <v>1684</v>
      </c>
      <c r="F1162" s="573" t="s">
        <v>271</v>
      </c>
      <c r="G1162" s="573">
        <v>2019</v>
      </c>
      <c r="H1162" s="573" t="s">
        <v>2382</v>
      </c>
      <c r="I1162" s="573" t="s">
        <v>1686</v>
      </c>
      <c r="J1162" s="573" t="s">
        <v>236</v>
      </c>
      <c r="K1162" s="573">
        <v>2</v>
      </c>
      <c r="L1162" s="573">
        <v>0</v>
      </c>
      <c r="M1162" s="573" t="s">
        <v>157</v>
      </c>
      <c r="N1162" s="573">
        <v>1</v>
      </c>
      <c r="O1162" s="573">
        <v>86.8</v>
      </c>
      <c r="P1162" s="571" t="s">
        <v>157</v>
      </c>
      <c r="Q1162" s="573" t="s">
        <v>1917</v>
      </c>
      <c r="R1162" s="573">
        <v>5</v>
      </c>
      <c r="S1162" s="582" t="s">
        <v>2399</v>
      </c>
      <c r="T1162" s="573" t="s">
        <v>2166</v>
      </c>
      <c r="U1162" s="573">
        <v>138</v>
      </c>
      <c r="V1162" s="573">
        <v>25</v>
      </c>
      <c r="W1162" s="616">
        <v>10360</v>
      </c>
      <c r="X1162" s="617" t="s">
        <v>157</v>
      </c>
      <c r="Y1162" s="617" t="s">
        <v>728</v>
      </c>
      <c r="Z1162" s="617" t="s">
        <v>1523</v>
      </c>
      <c r="AA1162" s="618">
        <v>37345</v>
      </c>
      <c r="AB1162" s="618" t="s">
        <v>164</v>
      </c>
      <c r="AC1162" s="618">
        <v>27875.25</v>
      </c>
      <c r="AD1162" s="619">
        <v>0.03</v>
      </c>
      <c r="AE1162" s="617" t="s">
        <v>2398</v>
      </c>
    </row>
    <row r="1163" spans="1:31" s="572" customFormat="1">
      <c r="A1163" s="570" t="s">
        <v>2436</v>
      </c>
      <c r="B1163" s="569" t="s">
        <v>280</v>
      </c>
      <c r="C1163" s="580">
        <v>27</v>
      </c>
      <c r="D1163" s="569" t="s">
        <v>1516</v>
      </c>
      <c r="E1163" s="569" t="s">
        <v>1684</v>
      </c>
      <c r="F1163" s="569" t="s">
        <v>271</v>
      </c>
      <c r="G1163" s="569">
        <v>2019</v>
      </c>
      <c r="H1163" s="569" t="s">
        <v>2382</v>
      </c>
      <c r="I1163" s="569" t="s">
        <v>1686</v>
      </c>
      <c r="J1163" s="569" t="s">
        <v>236</v>
      </c>
      <c r="K1163" s="569">
        <v>2</v>
      </c>
      <c r="L1163" s="569">
        <v>0</v>
      </c>
      <c r="M1163" s="569" t="s">
        <v>157</v>
      </c>
      <c r="N1163" s="569">
        <v>1</v>
      </c>
      <c r="O1163" s="569">
        <v>86.8</v>
      </c>
      <c r="P1163" s="568" t="s">
        <v>157</v>
      </c>
      <c r="Q1163" s="569" t="s">
        <v>682</v>
      </c>
      <c r="R1163" s="569">
        <v>6</v>
      </c>
      <c r="S1163" s="569" t="s">
        <v>2402</v>
      </c>
      <c r="T1163" s="569" t="s">
        <v>2166</v>
      </c>
      <c r="U1163" s="569">
        <v>138</v>
      </c>
      <c r="V1163" s="569">
        <v>25</v>
      </c>
      <c r="W1163" s="620">
        <v>9950</v>
      </c>
      <c r="X1163" s="621" t="s">
        <v>157</v>
      </c>
      <c r="Y1163" s="621" t="s">
        <v>178</v>
      </c>
      <c r="Z1163" s="621" t="s">
        <v>178</v>
      </c>
      <c r="AA1163" s="622">
        <v>33100</v>
      </c>
      <c r="AB1163" s="622" t="s">
        <v>164</v>
      </c>
      <c r="AC1163" s="622">
        <v>24097.583333333336</v>
      </c>
      <c r="AD1163" s="623">
        <v>0.03</v>
      </c>
      <c r="AE1163" s="621" t="s">
        <v>2401</v>
      </c>
    </row>
    <row r="1164" spans="1:31" s="572" customFormat="1">
      <c r="A1164" s="570" t="s">
        <v>2437</v>
      </c>
      <c r="B1164" s="573" t="s">
        <v>280</v>
      </c>
      <c r="C1164" s="578">
        <v>27</v>
      </c>
      <c r="D1164" s="573" t="s">
        <v>1516</v>
      </c>
      <c r="E1164" s="573" t="s">
        <v>1684</v>
      </c>
      <c r="F1164" s="573" t="s">
        <v>271</v>
      </c>
      <c r="G1164" s="573">
        <v>2019</v>
      </c>
      <c r="H1164" s="573" t="s">
        <v>2382</v>
      </c>
      <c r="I1164" s="573" t="s">
        <v>1686</v>
      </c>
      <c r="J1164" s="573" t="s">
        <v>236</v>
      </c>
      <c r="K1164" s="573">
        <v>2</v>
      </c>
      <c r="L1164" s="573">
        <v>0</v>
      </c>
      <c r="M1164" s="573" t="s">
        <v>157</v>
      </c>
      <c r="N1164" s="573">
        <v>1</v>
      </c>
      <c r="O1164" s="573">
        <v>86.8</v>
      </c>
      <c r="P1164" s="571" t="s">
        <v>157</v>
      </c>
      <c r="Q1164" s="573" t="s">
        <v>682</v>
      </c>
      <c r="R1164" s="573">
        <v>6</v>
      </c>
      <c r="S1164" s="582" t="s">
        <v>2399</v>
      </c>
      <c r="T1164" s="573" t="s">
        <v>2166</v>
      </c>
      <c r="U1164" s="573">
        <v>138</v>
      </c>
      <c r="V1164" s="573">
        <v>25</v>
      </c>
      <c r="W1164" s="616">
        <v>10360</v>
      </c>
      <c r="X1164" s="617" t="s">
        <v>157</v>
      </c>
      <c r="Y1164" s="617" t="s">
        <v>178</v>
      </c>
      <c r="Z1164" s="617" t="s">
        <v>178</v>
      </c>
      <c r="AA1164" s="618">
        <v>33350</v>
      </c>
      <c r="AB1164" s="618" t="s">
        <v>164</v>
      </c>
      <c r="AC1164" s="618">
        <v>24325.708333333336</v>
      </c>
      <c r="AD1164" s="619">
        <v>0.03</v>
      </c>
      <c r="AE1164" s="617" t="s">
        <v>2404</v>
      </c>
    </row>
    <row r="1165" spans="1:31" s="572" customFormat="1">
      <c r="A1165" s="570" t="s">
        <v>2438</v>
      </c>
      <c r="B1165" s="569" t="s">
        <v>269</v>
      </c>
      <c r="C1165" s="580" t="s">
        <v>270</v>
      </c>
      <c r="D1165" s="569" t="s">
        <v>1516</v>
      </c>
      <c r="E1165" s="569" t="s">
        <v>1684</v>
      </c>
      <c r="F1165" s="569" t="s">
        <v>271</v>
      </c>
      <c r="G1165" s="569">
        <v>2019</v>
      </c>
      <c r="H1165" s="569" t="s">
        <v>2382</v>
      </c>
      <c r="I1165" s="569" t="s">
        <v>1757</v>
      </c>
      <c r="J1165" s="569" t="s">
        <v>236</v>
      </c>
      <c r="K1165" s="569">
        <v>2</v>
      </c>
      <c r="L1165" s="569">
        <v>0</v>
      </c>
      <c r="M1165" s="569" t="s">
        <v>157</v>
      </c>
      <c r="N1165" s="569">
        <v>1</v>
      </c>
      <c r="O1165" s="569">
        <v>87.3</v>
      </c>
      <c r="P1165" s="568" t="s">
        <v>157</v>
      </c>
      <c r="Q1165" s="569" t="s">
        <v>682</v>
      </c>
      <c r="R1165" s="569">
        <v>6</v>
      </c>
      <c r="S1165" s="569" t="s">
        <v>2440</v>
      </c>
      <c r="T1165" s="569" t="s">
        <v>2166</v>
      </c>
      <c r="U1165" s="569">
        <v>138</v>
      </c>
      <c r="V1165" s="569">
        <v>25</v>
      </c>
      <c r="W1165" s="620">
        <v>9500</v>
      </c>
      <c r="X1165" s="621" t="s">
        <v>157</v>
      </c>
      <c r="Y1165" s="621" t="s">
        <v>178</v>
      </c>
      <c r="Z1165" s="621" t="s">
        <v>178</v>
      </c>
      <c r="AA1165" s="622">
        <v>32150</v>
      </c>
      <c r="AB1165" s="622" t="s">
        <v>164</v>
      </c>
      <c r="AC1165" s="622">
        <v>23228.833333333336</v>
      </c>
      <c r="AD1165" s="623">
        <v>0.03</v>
      </c>
      <c r="AE1165" s="621" t="s">
        <v>2439</v>
      </c>
    </row>
    <row r="1166" spans="1:31" s="572" customFormat="1">
      <c r="A1166" s="570" t="s">
        <v>2441</v>
      </c>
      <c r="B1166" s="573" t="s">
        <v>269</v>
      </c>
      <c r="C1166" s="578" t="s">
        <v>270</v>
      </c>
      <c r="D1166" s="573" t="s">
        <v>1516</v>
      </c>
      <c r="E1166" s="573" t="s">
        <v>1684</v>
      </c>
      <c r="F1166" s="573" t="s">
        <v>271</v>
      </c>
      <c r="G1166" s="573">
        <v>2019</v>
      </c>
      <c r="H1166" s="573" t="s">
        <v>2382</v>
      </c>
      <c r="I1166" s="573" t="s">
        <v>1757</v>
      </c>
      <c r="J1166" s="573" t="s">
        <v>236</v>
      </c>
      <c r="K1166" s="573">
        <v>2</v>
      </c>
      <c r="L1166" s="573">
        <v>0</v>
      </c>
      <c r="M1166" s="573" t="s">
        <v>157</v>
      </c>
      <c r="N1166" s="573">
        <v>1</v>
      </c>
      <c r="O1166" s="573">
        <v>87</v>
      </c>
      <c r="P1166" s="571" t="s">
        <v>157</v>
      </c>
      <c r="Q1166" s="573" t="s">
        <v>682</v>
      </c>
      <c r="R1166" s="573">
        <v>6</v>
      </c>
      <c r="S1166" s="582" t="s">
        <v>2443</v>
      </c>
      <c r="T1166" s="573" t="s">
        <v>2166</v>
      </c>
      <c r="U1166" s="573">
        <v>156</v>
      </c>
      <c r="V1166" s="573">
        <v>25</v>
      </c>
      <c r="W1166" s="616">
        <v>9500</v>
      </c>
      <c r="X1166" s="617" t="s">
        <v>157</v>
      </c>
      <c r="Y1166" s="617" t="s">
        <v>178</v>
      </c>
      <c r="Z1166" s="617" t="s">
        <v>178</v>
      </c>
      <c r="AA1166" s="618">
        <v>32350</v>
      </c>
      <c r="AB1166" s="618" t="s">
        <v>164</v>
      </c>
      <c r="AC1166" s="618">
        <v>23412.166666666668</v>
      </c>
      <c r="AD1166" s="619">
        <v>0.03</v>
      </c>
      <c r="AE1166" s="617" t="s">
        <v>2442</v>
      </c>
    </row>
    <row r="1167" spans="1:31" s="572" customFormat="1">
      <c r="A1167" s="570" t="s">
        <v>2444</v>
      </c>
      <c r="B1167" s="569" t="s">
        <v>278</v>
      </c>
      <c r="C1167" s="580">
        <v>15</v>
      </c>
      <c r="D1167" s="569" t="s">
        <v>1516</v>
      </c>
      <c r="E1167" s="569" t="s">
        <v>1684</v>
      </c>
      <c r="F1167" s="569" t="s">
        <v>271</v>
      </c>
      <c r="G1167" s="569">
        <v>2019</v>
      </c>
      <c r="H1167" s="569" t="s">
        <v>2382</v>
      </c>
      <c r="I1167" s="569" t="s">
        <v>1757</v>
      </c>
      <c r="J1167" s="569" t="s">
        <v>236</v>
      </c>
      <c r="K1167" s="569">
        <v>2</v>
      </c>
      <c r="L1167" s="569">
        <v>0</v>
      </c>
      <c r="M1167" s="569" t="s">
        <v>157</v>
      </c>
      <c r="N1167" s="569">
        <v>1</v>
      </c>
      <c r="O1167" s="569">
        <v>87.3</v>
      </c>
      <c r="P1167" s="568" t="s">
        <v>157</v>
      </c>
      <c r="Q1167" s="569" t="s">
        <v>682</v>
      </c>
      <c r="R1167" s="569">
        <v>6</v>
      </c>
      <c r="S1167" s="569" t="s">
        <v>2440</v>
      </c>
      <c r="T1167" s="569" t="s">
        <v>2166</v>
      </c>
      <c r="U1167" s="569">
        <v>138</v>
      </c>
      <c r="V1167" s="569">
        <v>25</v>
      </c>
      <c r="W1167" s="620">
        <v>9500</v>
      </c>
      <c r="X1167" s="621" t="s">
        <v>157</v>
      </c>
      <c r="Y1167" s="621" t="s">
        <v>178</v>
      </c>
      <c r="Z1167" s="621" t="s">
        <v>178</v>
      </c>
      <c r="AA1167" s="622">
        <v>32150</v>
      </c>
      <c r="AB1167" s="622" t="s">
        <v>164</v>
      </c>
      <c r="AC1167" s="622">
        <v>23700</v>
      </c>
      <c r="AD1167" s="623">
        <v>0.01</v>
      </c>
      <c r="AE1167" s="621" t="s">
        <v>2439</v>
      </c>
    </row>
    <row r="1168" spans="1:31" s="572" customFormat="1">
      <c r="A1168" s="570" t="s">
        <v>2445</v>
      </c>
      <c r="B1168" s="573" t="s">
        <v>278</v>
      </c>
      <c r="C1168" s="578">
        <v>15</v>
      </c>
      <c r="D1168" s="573" t="s">
        <v>1516</v>
      </c>
      <c r="E1168" s="573" t="s">
        <v>1684</v>
      </c>
      <c r="F1168" s="573" t="s">
        <v>271</v>
      </c>
      <c r="G1168" s="573">
        <v>2019</v>
      </c>
      <c r="H1168" s="573" t="s">
        <v>2382</v>
      </c>
      <c r="I1168" s="573" t="s">
        <v>1757</v>
      </c>
      <c r="J1168" s="573" t="s">
        <v>236</v>
      </c>
      <c r="K1168" s="573">
        <v>2</v>
      </c>
      <c r="L1168" s="573">
        <v>0</v>
      </c>
      <c r="M1168" s="573" t="s">
        <v>157</v>
      </c>
      <c r="N1168" s="573">
        <v>1</v>
      </c>
      <c r="O1168" s="573">
        <v>87</v>
      </c>
      <c r="P1168" s="571" t="s">
        <v>157</v>
      </c>
      <c r="Q1168" s="573" t="s">
        <v>682</v>
      </c>
      <c r="R1168" s="573">
        <v>6</v>
      </c>
      <c r="S1168" s="582" t="s">
        <v>2443</v>
      </c>
      <c r="T1168" s="573" t="s">
        <v>2166</v>
      </c>
      <c r="U1168" s="573">
        <v>156</v>
      </c>
      <c r="V1168" s="573">
        <v>25</v>
      </c>
      <c r="W1168" s="616">
        <v>9500</v>
      </c>
      <c r="X1168" s="617" t="s">
        <v>157</v>
      </c>
      <c r="Y1168" s="617" t="s">
        <v>178</v>
      </c>
      <c r="Z1168" s="617" t="s">
        <v>178</v>
      </c>
      <c r="AA1168" s="618">
        <v>32350</v>
      </c>
      <c r="AB1168" s="618" t="s">
        <v>164</v>
      </c>
      <c r="AC1168" s="618">
        <v>23900</v>
      </c>
      <c r="AD1168" s="619">
        <v>0.01</v>
      </c>
      <c r="AE1168" s="617" t="s">
        <v>2442</v>
      </c>
    </row>
    <row r="1169" spans="1:31" s="572" customFormat="1">
      <c r="A1169" s="570" t="s">
        <v>2446</v>
      </c>
      <c r="B1169" s="569" t="s">
        <v>287</v>
      </c>
      <c r="C1169" s="580">
        <v>26</v>
      </c>
      <c r="D1169" s="569" t="s">
        <v>1516</v>
      </c>
      <c r="E1169" s="569" t="s">
        <v>1684</v>
      </c>
      <c r="F1169" s="569" t="s">
        <v>271</v>
      </c>
      <c r="G1169" s="569">
        <v>2019</v>
      </c>
      <c r="H1169" s="569" t="s">
        <v>2382</v>
      </c>
      <c r="I1169" s="569" t="s">
        <v>1757</v>
      </c>
      <c r="J1169" s="569" t="s">
        <v>236</v>
      </c>
      <c r="K1169" s="569">
        <v>2</v>
      </c>
      <c r="L1169" s="569">
        <v>0</v>
      </c>
      <c r="M1169" s="569" t="s">
        <v>157</v>
      </c>
      <c r="N1169" s="569">
        <v>1</v>
      </c>
      <c r="O1169" s="569">
        <v>87.3</v>
      </c>
      <c r="P1169" s="568" t="s">
        <v>157</v>
      </c>
      <c r="Q1169" s="569" t="s">
        <v>1917</v>
      </c>
      <c r="R1169" s="569">
        <v>5</v>
      </c>
      <c r="S1169" s="569" t="s">
        <v>2440</v>
      </c>
      <c r="T1169" s="569" t="s">
        <v>2166</v>
      </c>
      <c r="U1169" s="569">
        <v>138</v>
      </c>
      <c r="V1169" s="569">
        <v>25</v>
      </c>
      <c r="W1169" s="620">
        <v>9500</v>
      </c>
      <c r="X1169" s="621" t="s">
        <v>157</v>
      </c>
      <c r="Y1169" s="621" t="s">
        <v>728</v>
      </c>
      <c r="Z1169" s="621" t="s">
        <v>1523</v>
      </c>
      <c r="AA1169" s="622">
        <v>36145</v>
      </c>
      <c r="AB1169" s="622" t="s">
        <v>164</v>
      </c>
      <c r="AC1169" s="622">
        <v>27555</v>
      </c>
      <c r="AD1169" s="623">
        <v>0.05</v>
      </c>
      <c r="AE1169" s="621" t="s">
        <v>2447</v>
      </c>
    </row>
    <row r="1170" spans="1:31" s="572" customFormat="1">
      <c r="A1170" s="570" t="s">
        <v>2448</v>
      </c>
      <c r="B1170" s="573" t="s">
        <v>287</v>
      </c>
      <c r="C1170" s="578">
        <v>26</v>
      </c>
      <c r="D1170" s="573" t="s">
        <v>1516</v>
      </c>
      <c r="E1170" s="573" t="s">
        <v>1684</v>
      </c>
      <c r="F1170" s="573" t="s">
        <v>271</v>
      </c>
      <c r="G1170" s="573">
        <v>2019</v>
      </c>
      <c r="H1170" s="573" t="s">
        <v>2382</v>
      </c>
      <c r="I1170" s="573" t="s">
        <v>1757</v>
      </c>
      <c r="J1170" s="573" t="s">
        <v>236</v>
      </c>
      <c r="K1170" s="573">
        <v>2</v>
      </c>
      <c r="L1170" s="573">
        <v>0</v>
      </c>
      <c r="M1170" s="573" t="s">
        <v>157</v>
      </c>
      <c r="N1170" s="573">
        <v>1</v>
      </c>
      <c r="O1170" s="573">
        <v>87.3</v>
      </c>
      <c r="P1170" s="571" t="s">
        <v>157</v>
      </c>
      <c r="Q1170" s="573" t="s">
        <v>682</v>
      </c>
      <c r="R1170" s="573">
        <v>6</v>
      </c>
      <c r="S1170" s="582" t="s">
        <v>2440</v>
      </c>
      <c r="T1170" s="573" t="s">
        <v>2166</v>
      </c>
      <c r="U1170" s="573">
        <v>138</v>
      </c>
      <c r="V1170" s="573">
        <v>25</v>
      </c>
      <c r="W1170" s="616">
        <v>9500</v>
      </c>
      <c r="X1170" s="617" t="s">
        <v>157</v>
      </c>
      <c r="Y1170" s="617" t="s">
        <v>178</v>
      </c>
      <c r="Z1170" s="617" t="s">
        <v>178</v>
      </c>
      <c r="AA1170" s="618">
        <v>32150</v>
      </c>
      <c r="AB1170" s="618" t="s">
        <v>164</v>
      </c>
      <c r="AC1170" s="618">
        <v>23917</v>
      </c>
      <c r="AD1170" s="619">
        <v>0.05</v>
      </c>
      <c r="AE1170" s="617" t="s">
        <v>2439</v>
      </c>
    </row>
    <row r="1171" spans="1:31" s="572" customFormat="1">
      <c r="A1171" s="570" t="s">
        <v>2449</v>
      </c>
      <c r="B1171" s="569" t="s">
        <v>287</v>
      </c>
      <c r="C1171" s="580">
        <v>26</v>
      </c>
      <c r="D1171" s="569" t="s">
        <v>1516</v>
      </c>
      <c r="E1171" s="569" t="s">
        <v>1684</v>
      </c>
      <c r="F1171" s="569" t="s">
        <v>271</v>
      </c>
      <c r="G1171" s="569">
        <v>2019</v>
      </c>
      <c r="H1171" s="569" t="s">
        <v>2382</v>
      </c>
      <c r="I1171" s="569" t="s">
        <v>1757</v>
      </c>
      <c r="J1171" s="569" t="s">
        <v>236</v>
      </c>
      <c r="K1171" s="569">
        <v>2</v>
      </c>
      <c r="L1171" s="569">
        <v>0</v>
      </c>
      <c r="M1171" s="569" t="s">
        <v>157</v>
      </c>
      <c r="N1171" s="569">
        <v>1</v>
      </c>
      <c r="O1171" s="569">
        <v>87</v>
      </c>
      <c r="P1171" s="568" t="s">
        <v>157</v>
      </c>
      <c r="Q1171" s="569" t="s">
        <v>1917</v>
      </c>
      <c r="R1171" s="569">
        <v>5</v>
      </c>
      <c r="S1171" s="569" t="s">
        <v>2443</v>
      </c>
      <c r="T1171" s="569" t="s">
        <v>2166</v>
      </c>
      <c r="U1171" s="569">
        <v>156</v>
      </c>
      <c r="V1171" s="569">
        <v>25</v>
      </c>
      <c r="W1171" s="620">
        <v>9500</v>
      </c>
      <c r="X1171" s="621" t="s">
        <v>157</v>
      </c>
      <c r="Y1171" s="621" t="s">
        <v>728</v>
      </c>
      <c r="Z1171" s="621" t="s">
        <v>1523</v>
      </c>
      <c r="AA1171" s="622">
        <v>36345</v>
      </c>
      <c r="AB1171" s="622" t="s">
        <v>164</v>
      </c>
      <c r="AC1171" s="622">
        <v>27743</v>
      </c>
      <c r="AD1171" s="623">
        <v>0.05</v>
      </c>
      <c r="AE1171" s="621" t="s">
        <v>2450</v>
      </c>
    </row>
    <row r="1172" spans="1:31" s="572" customFormat="1">
      <c r="A1172" s="570" t="s">
        <v>2451</v>
      </c>
      <c r="B1172" s="573" t="s">
        <v>287</v>
      </c>
      <c r="C1172" s="578">
        <v>26</v>
      </c>
      <c r="D1172" s="573" t="s">
        <v>1516</v>
      </c>
      <c r="E1172" s="573" t="s">
        <v>1684</v>
      </c>
      <c r="F1172" s="573" t="s">
        <v>271</v>
      </c>
      <c r="G1172" s="573">
        <v>2019</v>
      </c>
      <c r="H1172" s="573" t="s">
        <v>2382</v>
      </c>
      <c r="I1172" s="573" t="s">
        <v>1757</v>
      </c>
      <c r="J1172" s="573" t="s">
        <v>236</v>
      </c>
      <c r="K1172" s="573">
        <v>2</v>
      </c>
      <c r="L1172" s="573">
        <v>0</v>
      </c>
      <c r="M1172" s="573" t="s">
        <v>157</v>
      </c>
      <c r="N1172" s="573">
        <v>1</v>
      </c>
      <c r="O1172" s="573">
        <v>87</v>
      </c>
      <c r="P1172" s="571" t="s">
        <v>157</v>
      </c>
      <c r="Q1172" s="573" t="s">
        <v>682</v>
      </c>
      <c r="R1172" s="573">
        <v>6</v>
      </c>
      <c r="S1172" s="582" t="s">
        <v>2443</v>
      </c>
      <c r="T1172" s="573" t="s">
        <v>2166</v>
      </c>
      <c r="U1172" s="573">
        <v>156</v>
      </c>
      <c r="V1172" s="573">
        <v>25</v>
      </c>
      <c r="W1172" s="616">
        <v>9500</v>
      </c>
      <c r="X1172" s="617" t="s">
        <v>157</v>
      </c>
      <c r="Y1172" s="617" t="s">
        <v>178</v>
      </c>
      <c r="Z1172" s="617" t="s">
        <v>178</v>
      </c>
      <c r="AA1172" s="618">
        <v>32350</v>
      </c>
      <c r="AB1172" s="618" t="s">
        <v>164</v>
      </c>
      <c r="AC1172" s="618">
        <v>24104</v>
      </c>
      <c r="AD1172" s="619">
        <v>0.05</v>
      </c>
      <c r="AE1172" s="617" t="s">
        <v>2442</v>
      </c>
    </row>
    <row r="1173" spans="1:31" s="572" customFormat="1">
      <c r="A1173" s="570" t="s">
        <v>2452</v>
      </c>
      <c r="B1173" s="569" t="s">
        <v>280</v>
      </c>
      <c r="C1173" s="580">
        <v>27</v>
      </c>
      <c r="D1173" s="569" t="s">
        <v>1516</v>
      </c>
      <c r="E1173" s="569" t="s">
        <v>1684</v>
      </c>
      <c r="F1173" s="569" t="s">
        <v>271</v>
      </c>
      <c r="G1173" s="569">
        <v>2019</v>
      </c>
      <c r="H1173" s="569" t="s">
        <v>2382</v>
      </c>
      <c r="I1173" s="569" t="s">
        <v>1757</v>
      </c>
      <c r="J1173" s="569" t="s">
        <v>236</v>
      </c>
      <c r="K1173" s="569">
        <v>2</v>
      </c>
      <c r="L1173" s="569">
        <v>0</v>
      </c>
      <c r="M1173" s="569" t="s">
        <v>157</v>
      </c>
      <c r="N1173" s="569">
        <v>1</v>
      </c>
      <c r="O1173" s="569">
        <v>87.3</v>
      </c>
      <c r="P1173" s="568" t="s">
        <v>157</v>
      </c>
      <c r="Q1173" s="569" t="s">
        <v>682</v>
      </c>
      <c r="R1173" s="569">
        <v>6</v>
      </c>
      <c r="S1173" s="569" t="s">
        <v>2440</v>
      </c>
      <c r="T1173" s="569" t="s">
        <v>2166</v>
      </c>
      <c r="U1173" s="569">
        <v>138</v>
      </c>
      <c r="V1173" s="569">
        <v>25</v>
      </c>
      <c r="W1173" s="620">
        <v>9500</v>
      </c>
      <c r="X1173" s="621" t="s">
        <v>157</v>
      </c>
      <c r="Y1173" s="621" t="s">
        <v>178</v>
      </c>
      <c r="Z1173" s="621" t="s">
        <v>178</v>
      </c>
      <c r="AA1173" s="622">
        <v>32150</v>
      </c>
      <c r="AB1173" s="622" t="s">
        <v>164</v>
      </c>
      <c r="AC1173" s="622">
        <v>23228.833333333336</v>
      </c>
      <c r="AD1173" s="623">
        <v>0.03</v>
      </c>
      <c r="AE1173" s="621" t="s">
        <v>2439</v>
      </c>
    </row>
    <row r="1174" spans="1:31" s="572" customFormat="1">
      <c r="A1174" s="570" t="s">
        <v>2453</v>
      </c>
      <c r="B1174" s="573" t="s">
        <v>280</v>
      </c>
      <c r="C1174" s="578">
        <v>27</v>
      </c>
      <c r="D1174" s="573" t="s">
        <v>1516</v>
      </c>
      <c r="E1174" s="573" t="s">
        <v>1684</v>
      </c>
      <c r="F1174" s="573" t="s">
        <v>271</v>
      </c>
      <c r="G1174" s="573">
        <v>2019</v>
      </c>
      <c r="H1174" s="573" t="s">
        <v>2382</v>
      </c>
      <c r="I1174" s="573" t="s">
        <v>1757</v>
      </c>
      <c r="J1174" s="573" t="s">
        <v>236</v>
      </c>
      <c r="K1174" s="573">
        <v>2</v>
      </c>
      <c r="L1174" s="573">
        <v>0</v>
      </c>
      <c r="M1174" s="573" t="s">
        <v>157</v>
      </c>
      <c r="N1174" s="573">
        <v>1</v>
      </c>
      <c r="O1174" s="573">
        <v>87</v>
      </c>
      <c r="P1174" s="571" t="s">
        <v>157</v>
      </c>
      <c r="Q1174" s="573" t="s">
        <v>682</v>
      </c>
      <c r="R1174" s="573">
        <v>6</v>
      </c>
      <c r="S1174" s="582" t="s">
        <v>2443</v>
      </c>
      <c r="T1174" s="573" t="s">
        <v>2166</v>
      </c>
      <c r="U1174" s="573">
        <v>156</v>
      </c>
      <c r="V1174" s="573">
        <v>25</v>
      </c>
      <c r="W1174" s="616">
        <v>9500</v>
      </c>
      <c r="X1174" s="617" t="s">
        <v>157</v>
      </c>
      <c r="Y1174" s="617" t="s">
        <v>178</v>
      </c>
      <c r="Z1174" s="617" t="s">
        <v>178</v>
      </c>
      <c r="AA1174" s="618">
        <v>32350</v>
      </c>
      <c r="AB1174" s="618" t="s">
        <v>164</v>
      </c>
      <c r="AC1174" s="618">
        <v>23412.166666666668</v>
      </c>
      <c r="AD1174" s="619">
        <v>0.03</v>
      </c>
      <c r="AE1174" s="617" t="s">
        <v>2442</v>
      </c>
    </row>
    <row r="1175" spans="1:31" s="572" customFormat="1">
      <c r="A1175" s="570" t="s">
        <v>2454</v>
      </c>
      <c r="B1175" s="569" t="s">
        <v>269</v>
      </c>
      <c r="C1175" s="580" t="s">
        <v>270</v>
      </c>
      <c r="D1175" s="569" t="s">
        <v>1516</v>
      </c>
      <c r="E1175" s="569" t="s">
        <v>1684</v>
      </c>
      <c r="F1175" s="569" t="s">
        <v>271</v>
      </c>
      <c r="G1175" s="569">
        <v>2019</v>
      </c>
      <c r="H1175" s="569" t="s">
        <v>2456</v>
      </c>
      <c r="I1175" s="569" t="s">
        <v>1686</v>
      </c>
      <c r="J1175" s="569" t="s">
        <v>236</v>
      </c>
      <c r="K1175" s="569">
        <v>2</v>
      </c>
      <c r="L1175" s="569">
        <v>0</v>
      </c>
      <c r="M1175" s="569" t="s">
        <v>157</v>
      </c>
      <c r="N1175" s="569">
        <v>1</v>
      </c>
      <c r="O1175" s="569">
        <v>82.6</v>
      </c>
      <c r="P1175" s="568" t="s">
        <v>157</v>
      </c>
      <c r="Q1175" s="569" t="s">
        <v>682</v>
      </c>
      <c r="R1175" s="569">
        <v>6</v>
      </c>
      <c r="S1175" s="569" t="s">
        <v>2457</v>
      </c>
      <c r="T1175" s="569" t="s">
        <v>2183</v>
      </c>
      <c r="U1175" s="569">
        <v>138</v>
      </c>
      <c r="V1175" s="569">
        <v>25</v>
      </c>
      <c r="W1175" s="620">
        <v>9950</v>
      </c>
      <c r="X1175" s="621" t="s">
        <v>157</v>
      </c>
      <c r="Y1175" s="621" t="s">
        <v>178</v>
      </c>
      <c r="Z1175" s="621" t="s">
        <v>178</v>
      </c>
      <c r="AA1175" s="622">
        <v>32525</v>
      </c>
      <c r="AB1175" s="622" t="s">
        <v>164</v>
      </c>
      <c r="AC1175" s="622">
        <v>23572.583333333336</v>
      </c>
      <c r="AD1175" s="623">
        <v>0.03</v>
      </c>
      <c r="AE1175" s="621" t="s">
        <v>2455</v>
      </c>
    </row>
    <row r="1176" spans="1:31" s="572" customFormat="1">
      <c r="A1176" s="570" t="s">
        <v>2458</v>
      </c>
      <c r="B1176" s="573" t="s">
        <v>269</v>
      </c>
      <c r="C1176" s="578" t="s">
        <v>270</v>
      </c>
      <c r="D1176" s="573" t="s">
        <v>1516</v>
      </c>
      <c r="E1176" s="573" t="s">
        <v>1684</v>
      </c>
      <c r="F1176" s="573" t="s">
        <v>271</v>
      </c>
      <c r="G1176" s="573">
        <v>2019</v>
      </c>
      <c r="H1176" s="573" t="s">
        <v>2456</v>
      </c>
      <c r="I1176" s="573" t="s">
        <v>1686</v>
      </c>
      <c r="J1176" s="573" t="s">
        <v>236</v>
      </c>
      <c r="K1176" s="573">
        <v>2</v>
      </c>
      <c r="L1176" s="573">
        <v>0</v>
      </c>
      <c r="M1176" s="573" t="s">
        <v>157</v>
      </c>
      <c r="N1176" s="573">
        <v>1</v>
      </c>
      <c r="O1176" s="573">
        <v>86.5</v>
      </c>
      <c r="P1176" s="571" t="s">
        <v>157</v>
      </c>
      <c r="Q1176" s="573" t="s">
        <v>1917</v>
      </c>
      <c r="R1176" s="573">
        <v>5</v>
      </c>
      <c r="S1176" s="582" t="s">
        <v>2460</v>
      </c>
      <c r="T1176" s="573" t="s">
        <v>2183</v>
      </c>
      <c r="U1176" s="573">
        <v>156</v>
      </c>
      <c r="V1176" s="573">
        <v>25</v>
      </c>
      <c r="W1176" s="616">
        <v>10360</v>
      </c>
      <c r="X1176" s="617" t="s">
        <v>157</v>
      </c>
      <c r="Y1176" s="617" t="s">
        <v>728</v>
      </c>
      <c r="Z1176" s="617" t="s">
        <v>1523</v>
      </c>
      <c r="AA1176" s="618">
        <v>37220</v>
      </c>
      <c r="AB1176" s="618" t="s">
        <v>164</v>
      </c>
      <c r="AC1176" s="618">
        <v>27761.708333333336</v>
      </c>
      <c r="AD1176" s="619">
        <v>0.03</v>
      </c>
      <c r="AE1176" s="617" t="s">
        <v>2459</v>
      </c>
    </row>
    <row r="1177" spans="1:31" s="572" customFormat="1">
      <c r="A1177" s="570" t="s">
        <v>2461</v>
      </c>
      <c r="B1177" s="569" t="s">
        <v>269</v>
      </c>
      <c r="C1177" s="580" t="s">
        <v>270</v>
      </c>
      <c r="D1177" s="569" t="s">
        <v>1516</v>
      </c>
      <c r="E1177" s="569" t="s">
        <v>1684</v>
      </c>
      <c r="F1177" s="569" t="s">
        <v>271</v>
      </c>
      <c r="G1177" s="569">
        <v>2019</v>
      </c>
      <c r="H1177" s="569" t="s">
        <v>2456</v>
      </c>
      <c r="I1177" s="569" t="s">
        <v>1686</v>
      </c>
      <c r="J1177" s="569" t="s">
        <v>236</v>
      </c>
      <c r="K1177" s="569">
        <v>2</v>
      </c>
      <c r="L1177" s="569">
        <v>0</v>
      </c>
      <c r="M1177" s="569" t="s">
        <v>157</v>
      </c>
      <c r="N1177" s="569">
        <v>1</v>
      </c>
      <c r="O1177" s="569">
        <v>86.5</v>
      </c>
      <c r="P1177" s="568" t="s">
        <v>157</v>
      </c>
      <c r="Q1177" s="569" t="s">
        <v>1917</v>
      </c>
      <c r="R1177" s="569">
        <v>5</v>
      </c>
      <c r="S1177" s="569" t="s">
        <v>2463</v>
      </c>
      <c r="T1177" s="569" t="s">
        <v>2183</v>
      </c>
      <c r="U1177" s="569">
        <v>178</v>
      </c>
      <c r="V1177" s="569">
        <v>25</v>
      </c>
      <c r="W1177" s="620">
        <v>10360</v>
      </c>
      <c r="X1177" s="621" t="s">
        <v>157</v>
      </c>
      <c r="Y1177" s="621" t="s">
        <v>728</v>
      </c>
      <c r="Z1177" s="621" t="s">
        <v>1523</v>
      </c>
      <c r="AA1177" s="622">
        <v>37970</v>
      </c>
      <c r="AB1177" s="622" t="s">
        <v>164</v>
      </c>
      <c r="AC1177" s="622">
        <v>28447.125</v>
      </c>
      <c r="AD1177" s="623">
        <v>0.03</v>
      </c>
      <c r="AE1177" s="621" t="s">
        <v>2462</v>
      </c>
    </row>
    <row r="1178" spans="1:31" s="572" customFormat="1">
      <c r="A1178" s="570" t="s">
        <v>2464</v>
      </c>
      <c r="B1178" s="573" t="s">
        <v>269</v>
      </c>
      <c r="C1178" s="578" t="s">
        <v>270</v>
      </c>
      <c r="D1178" s="573" t="s">
        <v>1516</v>
      </c>
      <c r="E1178" s="573" t="s">
        <v>1684</v>
      </c>
      <c r="F1178" s="573" t="s">
        <v>271</v>
      </c>
      <c r="G1178" s="573">
        <v>2019</v>
      </c>
      <c r="H1178" s="573" t="s">
        <v>2456</v>
      </c>
      <c r="I1178" s="573" t="s">
        <v>1686</v>
      </c>
      <c r="J1178" s="573" t="s">
        <v>236</v>
      </c>
      <c r="K1178" s="573">
        <v>2</v>
      </c>
      <c r="L1178" s="573">
        <v>0</v>
      </c>
      <c r="M1178" s="573" t="s">
        <v>157</v>
      </c>
      <c r="N1178" s="573">
        <v>1</v>
      </c>
      <c r="O1178" s="573">
        <v>86.5</v>
      </c>
      <c r="P1178" s="571" t="s">
        <v>157</v>
      </c>
      <c r="Q1178" s="573" t="s">
        <v>682</v>
      </c>
      <c r="R1178" s="573">
        <v>6</v>
      </c>
      <c r="S1178" s="582" t="s">
        <v>2466</v>
      </c>
      <c r="T1178" s="573" t="s">
        <v>2183</v>
      </c>
      <c r="U1178" s="573">
        <v>156</v>
      </c>
      <c r="V1178" s="573">
        <v>25</v>
      </c>
      <c r="W1178" s="616">
        <v>9950</v>
      </c>
      <c r="X1178" s="617" t="s">
        <v>157</v>
      </c>
      <c r="Y1178" s="617" t="s">
        <v>178</v>
      </c>
      <c r="Z1178" s="617" t="s">
        <v>178</v>
      </c>
      <c r="AA1178" s="618">
        <v>32975</v>
      </c>
      <c r="AB1178" s="618" t="s">
        <v>164</v>
      </c>
      <c r="AC1178" s="618">
        <v>23984.041666666668</v>
      </c>
      <c r="AD1178" s="619">
        <v>0.03</v>
      </c>
      <c r="AE1178" s="617" t="s">
        <v>2465</v>
      </c>
    </row>
    <row r="1179" spans="1:31" s="572" customFormat="1">
      <c r="A1179" s="570" t="s">
        <v>2467</v>
      </c>
      <c r="B1179" s="569" t="s">
        <v>269</v>
      </c>
      <c r="C1179" s="580" t="s">
        <v>270</v>
      </c>
      <c r="D1179" s="569" t="s">
        <v>1516</v>
      </c>
      <c r="E1179" s="569" t="s">
        <v>1684</v>
      </c>
      <c r="F1179" s="569" t="s">
        <v>271</v>
      </c>
      <c r="G1179" s="569">
        <v>2019</v>
      </c>
      <c r="H1179" s="569" t="s">
        <v>2456</v>
      </c>
      <c r="I1179" s="569" t="s">
        <v>1686</v>
      </c>
      <c r="J1179" s="569" t="s">
        <v>236</v>
      </c>
      <c r="K1179" s="569">
        <v>2</v>
      </c>
      <c r="L1179" s="569">
        <v>0</v>
      </c>
      <c r="M1179" s="569" t="s">
        <v>157</v>
      </c>
      <c r="N1179" s="569">
        <v>1</v>
      </c>
      <c r="O1179" s="569">
        <v>86.5</v>
      </c>
      <c r="P1179" s="568" t="s">
        <v>157</v>
      </c>
      <c r="Q1179" s="569" t="s">
        <v>682</v>
      </c>
      <c r="R1179" s="569">
        <v>6</v>
      </c>
      <c r="S1179" s="569" t="s">
        <v>2469</v>
      </c>
      <c r="T1179" s="569" t="s">
        <v>2183</v>
      </c>
      <c r="U1179" s="569">
        <v>178</v>
      </c>
      <c r="V1179" s="569">
        <v>25</v>
      </c>
      <c r="W1179" s="620">
        <v>9950</v>
      </c>
      <c r="X1179" s="621" t="s">
        <v>157</v>
      </c>
      <c r="Y1179" s="621" t="s">
        <v>178</v>
      </c>
      <c r="Z1179" s="621" t="s">
        <v>178</v>
      </c>
      <c r="AA1179" s="622">
        <v>33725</v>
      </c>
      <c r="AB1179" s="622" t="s">
        <v>164</v>
      </c>
      <c r="AC1179" s="622">
        <v>24669.458333333336</v>
      </c>
      <c r="AD1179" s="623">
        <v>0.03</v>
      </c>
      <c r="AE1179" s="621" t="s">
        <v>2468</v>
      </c>
    </row>
    <row r="1180" spans="1:31" s="572" customFormat="1">
      <c r="A1180" s="570" t="s">
        <v>2470</v>
      </c>
      <c r="B1180" s="573" t="s">
        <v>269</v>
      </c>
      <c r="C1180" s="578" t="s">
        <v>270</v>
      </c>
      <c r="D1180" s="573" t="s">
        <v>1516</v>
      </c>
      <c r="E1180" s="573" t="s">
        <v>1684</v>
      </c>
      <c r="F1180" s="573" t="s">
        <v>271</v>
      </c>
      <c r="G1180" s="573">
        <v>2019</v>
      </c>
      <c r="H1180" s="573" t="s">
        <v>2456</v>
      </c>
      <c r="I1180" s="573" t="s">
        <v>1686</v>
      </c>
      <c r="J1180" s="573" t="s">
        <v>236</v>
      </c>
      <c r="K1180" s="573">
        <v>2</v>
      </c>
      <c r="L1180" s="573">
        <v>0</v>
      </c>
      <c r="M1180" s="573" t="s">
        <v>157</v>
      </c>
      <c r="N1180" s="573">
        <v>1</v>
      </c>
      <c r="O1180" s="573">
        <v>86.5</v>
      </c>
      <c r="P1180" s="571" t="s">
        <v>157</v>
      </c>
      <c r="Q1180" s="573" t="s">
        <v>682</v>
      </c>
      <c r="R1180" s="573">
        <v>6</v>
      </c>
      <c r="S1180" s="582" t="s">
        <v>2460</v>
      </c>
      <c r="T1180" s="573" t="s">
        <v>2183</v>
      </c>
      <c r="U1180" s="573">
        <v>156</v>
      </c>
      <c r="V1180" s="573">
        <v>25</v>
      </c>
      <c r="W1180" s="616">
        <v>10360</v>
      </c>
      <c r="X1180" s="617" t="s">
        <v>157</v>
      </c>
      <c r="Y1180" s="617" t="s">
        <v>178</v>
      </c>
      <c r="Z1180" s="617" t="s">
        <v>178</v>
      </c>
      <c r="AA1180" s="618">
        <v>33225</v>
      </c>
      <c r="AB1180" s="618" t="s">
        <v>164</v>
      </c>
      <c r="AC1180" s="618">
        <v>24212.166666666668</v>
      </c>
      <c r="AD1180" s="619">
        <v>0.03</v>
      </c>
      <c r="AE1180" s="617" t="s">
        <v>2471</v>
      </c>
    </row>
    <row r="1181" spans="1:31" s="572" customFormat="1">
      <c r="A1181" s="570" t="s">
        <v>2472</v>
      </c>
      <c r="B1181" s="569" t="s">
        <v>269</v>
      </c>
      <c r="C1181" s="580" t="s">
        <v>270</v>
      </c>
      <c r="D1181" s="569" t="s">
        <v>1516</v>
      </c>
      <c r="E1181" s="569" t="s">
        <v>1684</v>
      </c>
      <c r="F1181" s="569" t="s">
        <v>271</v>
      </c>
      <c r="G1181" s="569">
        <v>2019</v>
      </c>
      <c r="H1181" s="569" t="s">
        <v>2456</v>
      </c>
      <c r="I1181" s="569" t="s">
        <v>1686</v>
      </c>
      <c r="J1181" s="569" t="s">
        <v>236</v>
      </c>
      <c r="K1181" s="569">
        <v>2</v>
      </c>
      <c r="L1181" s="569">
        <v>0</v>
      </c>
      <c r="M1181" s="569" t="s">
        <v>157</v>
      </c>
      <c r="N1181" s="569">
        <v>1</v>
      </c>
      <c r="O1181" s="569">
        <v>86.5</v>
      </c>
      <c r="P1181" s="568" t="s">
        <v>157</v>
      </c>
      <c r="Q1181" s="569" t="s">
        <v>682</v>
      </c>
      <c r="R1181" s="569">
        <v>6</v>
      </c>
      <c r="S1181" s="569" t="s">
        <v>2463</v>
      </c>
      <c r="T1181" s="569" t="s">
        <v>2183</v>
      </c>
      <c r="U1181" s="569">
        <v>178</v>
      </c>
      <c r="V1181" s="569">
        <v>25</v>
      </c>
      <c r="W1181" s="620">
        <v>10360</v>
      </c>
      <c r="X1181" s="621" t="s">
        <v>157</v>
      </c>
      <c r="Y1181" s="621" t="s">
        <v>178</v>
      </c>
      <c r="Z1181" s="621" t="s">
        <v>178</v>
      </c>
      <c r="AA1181" s="622">
        <v>33975</v>
      </c>
      <c r="AB1181" s="622" t="s">
        <v>164</v>
      </c>
      <c r="AC1181" s="622">
        <v>24897.583333333336</v>
      </c>
      <c r="AD1181" s="623">
        <v>0.03</v>
      </c>
      <c r="AE1181" s="621" t="s">
        <v>2473</v>
      </c>
    </row>
    <row r="1182" spans="1:31" s="572" customFormat="1">
      <c r="A1182" s="570" t="s">
        <v>2474</v>
      </c>
      <c r="B1182" s="573" t="s">
        <v>269</v>
      </c>
      <c r="C1182" s="578" t="s">
        <v>270</v>
      </c>
      <c r="D1182" s="573" t="s">
        <v>1516</v>
      </c>
      <c r="E1182" s="573" t="s">
        <v>1684</v>
      </c>
      <c r="F1182" s="573" t="s">
        <v>271</v>
      </c>
      <c r="G1182" s="573">
        <v>2019</v>
      </c>
      <c r="H1182" s="573" t="s">
        <v>2456</v>
      </c>
      <c r="I1182" s="573" t="s">
        <v>1686</v>
      </c>
      <c r="J1182" s="573" t="s">
        <v>236</v>
      </c>
      <c r="K1182" s="573">
        <v>2</v>
      </c>
      <c r="L1182" s="573">
        <v>0</v>
      </c>
      <c r="M1182" s="573" t="s">
        <v>157</v>
      </c>
      <c r="N1182" s="573">
        <v>1</v>
      </c>
      <c r="O1182" s="573">
        <v>86.8</v>
      </c>
      <c r="P1182" s="571" t="s">
        <v>157</v>
      </c>
      <c r="Q1182" s="573" t="s">
        <v>1917</v>
      </c>
      <c r="R1182" s="573">
        <v>5</v>
      </c>
      <c r="S1182" s="582" t="s">
        <v>2476</v>
      </c>
      <c r="T1182" s="573" t="s">
        <v>2183</v>
      </c>
      <c r="U1182" s="573">
        <v>138</v>
      </c>
      <c r="V1182" s="573">
        <v>25</v>
      </c>
      <c r="W1182" s="616">
        <v>10360</v>
      </c>
      <c r="X1182" s="617" t="s">
        <v>157</v>
      </c>
      <c r="Y1182" s="617" t="s">
        <v>728</v>
      </c>
      <c r="Z1182" s="617" t="s">
        <v>1523</v>
      </c>
      <c r="AA1182" s="618">
        <v>36775</v>
      </c>
      <c r="AB1182" s="618" t="s">
        <v>164</v>
      </c>
      <c r="AC1182" s="618">
        <v>27354.416666666668</v>
      </c>
      <c r="AD1182" s="619">
        <v>0.03</v>
      </c>
      <c r="AE1182" s="617" t="s">
        <v>2475</v>
      </c>
    </row>
    <row r="1183" spans="1:31" s="572" customFormat="1">
      <c r="A1183" s="570" t="s">
        <v>2477</v>
      </c>
      <c r="B1183" s="569" t="s">
        <v>269</v>
      </c>
      <c r="C1183" s="580" t="s">
        <v>270</v>
      </c>
      <c r="D1183" s="569" t="s">
        <v>1516</v>
      </c>
      <c r="E1183" s="569" t="s">
        <v>1684</v>
      </c>
      <c r="F1183" s="569" t="s">
        <v>271</v>
      </c>
      <c r="G1183" s="569">
        <v>2019</v>
      </c>
      <c r="H1183" s="569" t="s">
        <v>2456</v>
      </c>
      <c r="I1183" s="569" t="s">
        <v>1686</v>
      </c>
      <c r="J1183" s="569" t="s">
        <v>236</v>
      </c>
      <c r="K1183" s="569">
        <v>2</v>
      </c>
      <c r="L1183" s="569">
        <v>0</v>
      </c>
      <c r="M1183" s="569" t="s">
        <v>157</v>
      </c>
      <c r="N1183" s="569">
        <v>1</v>
      </c>
      <c r="O1183" s="569">
        <v>86.8</v>
      </c>
      <c r="P1183" s="568" t="s">
        <v>157</v>
      </c>
      <c r="Q1183" s="569" t="s">
        <v>682</v>
      </c>
      <c r="R1183" s="569">
        <v>6</v>
      </c>
      <c r="S1183" s="569" t="s">
        <v>2476</v>
      </c>
      <c r="T1183" s="569" t="s">
        <v>2183</v>
      </c>
      <c r="U1183" s="569">
        <v>138</v>
      </c>
      <c r="V1183" s="569">
        <v>25</v>
      </c>
      <c r="W1183" s="620">
        <v>10360</v>
      </c>
      <c r="X1183" s="621" t="s">
        <v>157</v>
      </c>
      <c r="Y1183" s="621" t="s">
        <v>178</v>
      </c>
      <c r="Z1183" s="621" t="s">
        <v>178</v>
      </c>
      <c r="AA1183" s="622">
        <v>32780</v>
      </c>
      <c r="AB1183" s="622" t="s">
        <v>164</v>
      </c>
      <c r="AC1183" s="622">
        <v>23804.875</v>
      </c>
      <c r="AD1183" s="623">
        <v>0.03</v>
      </c>
      <c r="AE1183" s="621" t="s">
        <v>2478</v>
      </c>
    </row>
    <row r="1184" spans="1:31" s="572" customFormat="1">
      <c r="A1184" s="570" t="s">
        <v>2479</v>
      </c>
      <c r="B1184" s="573" t="s">
        <v>278</v>
      </c>
      <c r="C1184" s="578">
        <v>15</v>
      </c>
      <c r="D1184" s="573" t="s">
        <v>1516</v>
      </c>
      <c r="E1184" s="573" t="s">
        <v>1684</v>
      </c>
      <c r="F1184" s="573" t="s">
        <v>271</v>
      </c>
      <c r="G1184" s="573">
        <v>2019</v>
      </c>
      <c r="H1184" s="573" t="s">
        <v>2456</v>
      </c>
      <c r="I1184" s="573" t="s">
        <v>1686</v>
      </c>
      <c r="J1184" s="573" t="s">
        <v>236</v>
      </c>
      <c r="K1184" s="573">
        <v>2</v>
      </c>
      <c r="L1184" s="573">
        <v>0</v>
      </c>
      <c r="M1184" s="573" t="s">
        <v>157</v>
      </c>
      <c r="N1184" s="573">
        <v>1</v>
      </c>
      <c r="O1184" s="573">
        <v>82.6</v>
      </c>
      <c r="P1184" s="571" t="s">
        <v>157</v>
      </c>
      <c r="Q1184" s="573" t="s">
        <v>682</v>
      </c>
      <c r="R1184" s="573">
        <v>6</v>
      </c>
      <c r="S1184" s="582" t="s">
        <v>2457</v>
      </c>
      <c r="T1184" s="573" t="s">
        <v>2183</v>
      </c>
      <c r="U1184" s="573">
        <v>138</v>
      </c>
      <c r="V1184" s="573">
        <v>25</v>
      </c>
      <c r="W1184" s="616">
        <v>9950</v>
      </c>
      <c r="X1184" s="617" t="s">
        <v>157</v>
      </c>
      <c r="Y1184" s="617" t="s">
        <v>178</v>
      </c>
      <c r="Z1184" s="617" t="s">
        <v>178</v>
      </c>
      <c r="AA1184" s="618">
        <v>32525</v>
      </c>
      <c r="AB1184" s="618" t="s">
        <v>164</v>
      </c>
      <c r="AC1184" s="618">
        <v>24000</v>
      </c>
      <c r="AD1184" s="619">
        <v>0.01</v>
      </c>
      <c r="AE1184" s="617" t="s">
        <v>2455</v>
      </c>
    </row>
    <row r="1185" spans="1:31" s="572" customFormat="1">
      <c r="A1185" s="570" t="s">
        <v>2480</v>
      </c>
      <c r="B1185" s="569" t="s">
        <v>278</v>
      </c>
      <c r="C1185" s="580">
        <v>15</v>
      </c>
      <c r="D1185" s="569" t="s">
        <v>1516</v>
      </c>
      <c r="E1185" s="569" t="s">
        <v>1684</v>
      </c>
      <c r="F1185" s="569" t="s">
        <v>271</v>
      </c>
      <c r="G1185" s="569">
        <v>2019</v>
      </c>
      <c r="H1185" s="569" t="s">
        <v>2456</v>
      </c>
      <c r="I1185" s="569" t="s">
        <v>1686</v>
      </c>
      <c r="J1185" s="569" t="s">
        <v>236</v>
      </c>
      <c r="K1185" s="569">
        <v>2</v>
      </c>
      <c r="L1185" s="569">
        <v>0</v>
      </c>
      <c r="M1185" s="569" t="s">
        <v>157</v>
      </c>
      <c r="N1185" s="569">
        <v>1</v>
      </c>
      <c r="O1185" s="569">
        <v>86.5</v>
      </c>
      <c r="P1185" s="568" t="s">
        <v>157</v>
      </c>
      <c r="Q1185" s="569" t="s">
        <v>1917</v>
      </c>
      <c r="R1185" s="569">
        <v>5</v>
      </c>
      <c r="S1185" s="569" t="s">
        <v>2460</v>
      </c>
      <c r="T1185" s="569" t="s">
        <v>2183</v>
      </c>
      <c r="U1185" s="569">
        <v>156</v>
      </c>
      <c r="V1185" s="569">
        <v>25</v>
      </c>
      <c r="W1185" s="620">
        <v>10360</v>
      </c>
      <c r="X1185" s="621" t="s">
        <v>157</v>
      </c>
      <c r="Y1185" s="621" t="s">
        <v>728</v>
      </c>
      <c r="Z1185" s="621" t="s">
        <v>1523</v>
      </c>
      <c r="AA1185" s="622">
        <v>37220</v>
      </c>
      <c r="AB1185" s="622" t="s">
        <v>164</v>
      </c>
      <c r="AC1185" s="622">
        <v>28300</v>
      </c>
      <c r="AD1185" s="623">
        <v>0.01</v>
      </c>
      <c r="AE1185" s="621" t="s">
        <v>2459</v>
      </c>
    </row>
    <row r="1186" spans="1:31" s="572" customFormat="1">
      <c r="A1186" s="570" t="s">
        <v>2481</v>
      </c>
      <c r="B1186" s="573" t="s">
        <v>278</v>
      </c>
      <c r="C1186" s="578">
        <v>15</v>
      </c>
      <c r="D1186" s="573" t="s">
        <v>1516</v>
      </c>
      <c r="E1186" s="573" t="s">
        <v>1684</v>
      </c>
      <c r="F1186" s="573" t="s">
        <v>271</v>
      </c>
      <c r="G1186" s="573">
        <v>2019</v>
      </c>
      <c r="H1186" s="573" t="s">
        <v>2456</v>
      </c>
      <c r="I1186" s="573" t="s">
        <v>1686</v>
      </c>
      <c r="J1186" s="573" t="s">
        <v>236</v>
      </c>
      <c r="K1186" s="573">
        <v>2</v>
      </c>
      <c r="L1186" s="573">
        <v>0</v>
      </c>
      <c r="M1186" s="573" t="s">
        <v>157</v>
      </c>
      <c r="N1186" s="573">
        <v>1</v>
      </c>
      <c r="O1186" s="573">
        <v>86.5</v>
      </c>
      <c r="P1186" s="571" t="s">
        <v>157</v>
      </c>
      <c r="Q1186" s="573" t="s">
        <v>1917</v>
      </c>
      <c r="R1186" s="573">
        <v>5</v>
      </c>
      <c r="S1186" s="582" t="s">
        <v>2463</v>
      </c>
      <c r="T1186" s="573" t="s">
        <v>2183</v>
      </c>
      <c r="U1186" s="573">
        <v>178</v>
      </c>
      <c r="V1186" s="573">
        <v>25</v>
      </c>
      <c r="W1186" s="616">
        <v>10360</v>
      </c>
      <c r="X1186" s="617" t="s">
        <v>157</v>
      </c>
      <c r="Y1186" s="617" t="s">
        <v>728</v>
      </c>
      <c r="Z1186" s="617" t="s">
        <v>1523</v>
      </c>
      <c r="AA1186" s="618">
        <v>37970</v>
      </c>
      <c r="AB1186" s="618" t="s">
        <v>164</v>
      </c>
      <c r="AC1186" s="618">
        <v>29000</v>
      </c>
      <c r="AD1186" s="619">
        <v>0.01</v>
      </c>
      <c r="AE1186" s="617" t="s">
        <v>2462</v>
      </c>
    </row>
    <row r="1187" spans="1:31" s="572" customFormat="1">
      <c r="A1187" s="570" t="s">
        <v>2482</v>
      </c>
      <c r="B1187" s="569" t="s">
        <v>278</v>
      </c>
      <c r="C1187" s="580">
        <v>15</v>
      </c>
      <c r="D1187" s="569" t="s">
        <v>1516</v>
      </c>
      <c r="E1187" s="569" t="s">
        <v>1684</v>
      </c>
      <c r="F1187" s="569" t="s">
        <v>271</v>
      </c>
      <c r="G1187" s="569">
        <v>2019</v>
      </c>
      <c r="H1187" s="569" t="s">
        <v>2456</v>
      </c>
      <c r="I1187" s="569" t="s">
        <v>1686</v>
      </c>
      <c r="J1187" s="569" t="s">
        <v>236</v>
      </c>
      <c r="K1187" s="569">
        <v>2</v>
      </c>
      <c r="L1187" s="569">
        <v>0</v>
      </c>
      <c r="M1187" s="569" t="s">
        <v>157</v>
      </c>
      <c r="N1187" s="569">
        <v>1</v>
      </c>
      <c r="O1187" s="569">
        <v>86.5</v>
      </c>
      <c r="P1187" s="568" t="s">
        <v>157</v>
      </c>
      <c r="Q1187" s="569" t="s">
        <v>682</v>
      </c>
      <c r="R1187" s="569">
        <v>6</v>
      </c>
      <c r="S1187" s="569" t="s">
        <v>2466</v>
      </c>
      <c r="T1187" s="569" t="s">
        <v>2183</v>
      </c>
      <c r="U1187" s="569">
        <v>156</v>
      </c>
      <c r="V1187" s="569">
        <v>25</v>
      </c>
      <c r="W1187" s="620">
        <v>9950</v>
      </c>
      <c r="X1187" s="621" t="s">
        <v>157</v>
      </c>
      <c r="Y1187" s="621" t="s">
        <v>178</v>
      </c>
      <c r="Z1187" s="621" t="s">
        <v>178</v>
      </c>
      <c r="AA1187" s="622">
        <v>32975</v>
      </c>
      <c r="AB1187" s="622" t="s">
        <v>164</v>
      </c>
      <c r="AC1187" s="622">
        <v>24500</v>
      </c>
      <c r="AD1187" s="623">
        <v>0.01</v>
      </c>
      <c r="AE1187" s="621" t="s">
        <v>2465</v>
      </c>
    </row>
    <row r="1188" spans="1:31" s="572" customFormat="1">
      <c r="A1188" s="570" t="s">
        <v>2483</v>
      </c>
      <c r="B1188" s="573" t="s">
        <v>278</v>
      </c>
      <c r="C1188" s="578">
        <v>15</v>
      </c>
      <c r="D1188" s="573" t="s">
        <v>1516</v>
      </c>
      <c r="E1188" s="573" t="s">
        <v>1684</v>
      </c>
      <c r="F1188" s="573" t="s">
        <v>271</v>
      </c>
      <c r="G1188" s="573">
        <v>2019</v>
      </c>
      <c r="H1188" s="573" t="s">
        <v>2456</v>
      </c>
      <c r="I1188" s="573" t="s">
        <v>1686</v>
      </c>
      <c r="J1188" s="573" t="s">
        <v>236</v>
      </c>
      <c r="K1188" s="573">
        <v>2</v>
      </c>
      <c r="L1188" s="573">
        <v>0</v>
      </c>
      <c r="M1188" s="573" t="s">
        <v>157</v>
      </c>
      <c r="N1188" s="573">
        <v>1</v>
      </c>
      <c r="O1188" s="573">
        <v>86.5</v>
      </c>
      <c r="P1188" s="571" t="s">
        <v>157</v>
      </c>
      <c r="Q1188" s="573" t="s">
        <v>682</v>
      </c>
      <c r="R1188" s="573">
        <v>6</v>
      </c>
      <c r="S1188" s="582" t="s">
        <v>2469</v>
      </c>
      <c r="T1188" s="573" t="s">
        <v>2183</v>
      </c>
      <c r="U1188" s="573">
        <v>178</v>
      </c>
      <c r="V1188" s="573">
        <v>25</v>
      </c>
      <c r="W1188" s="616">
        <v>9950</v>
      </c>
      <c r="X1188" s="617" t="s">
        <v>157</v>
      </c>
      <c r="Y1188" s="617" t="s">
        <v>178</v>
      </c>
      <c r="Z1188" s="617" t="s">
        <v>178</v>
      </c>
      <c r="AA1188" s="618">
        <v>33725</v>
      </c>
      <c r="AB1188" s="618" t="s">
        <v>164</v>
      </c>
      <c r="AC1188" s="618">
        <v>25100</v>
      </c>
      <c r="AD1188" s="619">
        <v>0.01</v>
      </c>
      <c r="AE1188" s="617" t="s">
        <v>2468</v>
      </c>
    </row>
    <row r="1189" spans="1:31" s="572" customFormat="1">
      <c r="A1189" s="570" t="s">
        <v>2484</v>
      </c>
      <c r="B1189" s="569" t="s">
        <v>278</v>
      </c>
      <c r="C1189" s="580">
        <v>15</v>
      </c>
      <c r="D1189" s="569" t="s">
        <v>1516</v>
      </c>
      <c r="E1189" s="569" t="s">
        <v>1684</v>
      </c>
      <c r="F1189" s="569" t="s">
        <v>271</v>
      </c>
      <c r="G1189" s="569">
        <v>2019</v>
      </c>
      <c r="H1189" s="569" t="s">
        <v>2456</v>
      </c>
      <c r="I1189" s="569" t="s">
        <v>1686</v>
      </c>
      <c r="J1189" s="569" t="s">
        <v>236</v>
      </c>
      <c r="K1189" s="569">
        <v>2</v>
      </c>
      <c r="L1189" s="569">
        <v>0</v>
      </c>
      <c r="M1189" s="569" t="s">
        <v>157</v>
      </c>
      <c r="N1189" s="569">
        <v>1</v>
      </c>
      <c r="O1189" s="569">
        <v>86.5</v>
      </c>
      <c r="P1189" s="568" t="s">
        <v>157</v>
      </c>
      <c r="Q1189" s="569" t="s">
        <v>682</v>
      </c>
      <c r="R1189" s="569">
        <v>6</v>
      </c>
      <c r="S1189" s="569" t="s">
        <v>2460</v>
      </c>
      <c r="T1189" s="569" t="s">
        <v>2183</v>
      </c>
      <c r="U1189" s="569">
        <v>156</v>
      </c>
      <c r="V1189" s="569">
        <v>25</v>
      </c>
      <c r="W1189" s="620">
        <v>10360</v>
      </c>
      <c r="X1189" s="621" t="s">
        <v>157</v>
      </c>
      <c r="Y1189" s="621" t="s">
        <v>178</v>
      </c>
      <c r="Z1189" s="621" t="s">
        <v>178</v>
      </c>
      <c r="AA1189" s="622">
        <v>33225</v>
      </c>
      <c r="AB1189" s="622" t="s">
        <v>164</v>
      </c>
      <c r="AC1189" s="622">
        <v>24700</v>
      </c>
      <c r="AD1189" s="623">
        <v>0.01</v>
      </c>
      <c r="AE1189" s="621" t="s">
        <v>2471</v>
      </c>
    </row>
    <row r="1190" spans="1:31" s="572" customFormat="1">
      <c r="A1190" s="570" t="s">
        <v>2485</v>
      </c>
      <c r="B1190" s="573" t="s">
        <v>278</v>
      </c>
      <c r="C1190" s="578">
        <v>15</v>
      </c>
      <c r="D1190" s="573" t="s">
        <v>1516</v>
      </c>
      <c r="E1190" s="573" t="s">
        <v>1684</v>
      </c>
      <c r="F1190" s="573" t="s">
        <v>271</v>
      </c>
      <c r="G1190" s="573">
        <v>2019</v>
      </c>
      <c r="H1190" s="573" t="s">
        <v>2456</v>
      </c>
      <c r="I1190" s="573" t="s">
        <v>1686</v>
      </c>
      <c r="J1190" s="573" t="s">
        <v>236</v>
      </c>
      <c r="K1190" s="573">
        <v>2</v>
      </c>
      <c r="L1190" s="573">
        <v>0</v>
      </c>
      <c r="M1190" s="573" t="s">
        <v>157</v>
      </c>
      <c r="N1190" s="573">
        <v>1</v>
      </c>
      <c r="O1190" s="573">
        <v>86.5</v>
      </c>
      <c r="P1190" s="571" t="s">
        <v>157</v>
      </c>
      <c r="Q1190" s="573" t="s">
        <v>682</v>
      </c>
      <c r="R1190" s="573">
        <v>6</v>
      </c>
      <c r="S1190" s="582" t="s">
        <v>2463</v>
      </c>
      <c r="T1190" s="573" t="s">
        <v>2183</v>
      </c>
      <c r="U1190" s="573">
        <v>178</v>
      </c>
      <c r="V1190" s="573">
        <v>25</v>
      </c>
      <c r="W1190" s="616">
        <v>10360</v>
      </c>
      <c r="X1190" s="617" t="s">
        <v>157</v>
      </c>
      <c r="Y1190" s="617" t="s">
        <v>178</v>
      </c>
      <c r="Z1190" s="617" t="s">
        <v>178</v>
      </c>
      <c r="AA1190" s="618">
        <v>33975</v>
      </c>
      <c r="AB1190" s="618" t="s">
        <v>164</v>
      </c>
      <c r="AC1190" s="618">
        <v>25400</v>
      </c>
      <c r="AD1190" s="619">
        <v>0.01</v>
      </c>
      <c r="AE1190" s="617" t="s">
        <v>2473</v>
      </c>
    </row>
    <row r="1191" spans="1:31" s="572" customFormat="1">
      <c r="A1191" s="570" t="s">
        <v>2486</v>
      </c>
      <c r="B1191" s="569" t="s">
        <v>278</v>
      </c>
      <c r="C1191" s="580">
        <v>15</v>
      </c>
      <c r="D1191" s="569" t="s">
        <v>1516</v>
      </c>
      <c r="E1191" s="569" t="s">
        <v>1684</v>
      </c>
      <c r="F1191" s="569" t="s">
        <v>271</v>
      </c>
      <c r="G1191" s="569">
        <v>2019</v>
      </c>
      <c r="H1191" s="569" t="s">
        <v>2456</v>
      </c>
      <c r="I1191" s="569" t="s">
        <v>1686</v>
      </c>
      <c r="J1191" s="569" t="s">
        <v>236</v>
      </c>
      <c r="K1191" s="569">
        <v>2</v>
      </c>
      <c r="L1191" s="569">
        <v>0</v>
      </c>
      <c r="M1191" s="569" t="s">
        <v>157</v>
      </c>
      <c r="N1191" s="569">
        <v>1</v>
      </c>
      <c r="O1191" s="569">
        <v>86.8</v>
      </c>
      <c r="P1191" s="568" t="s">
        <v>157</v>
      </c>
      <c r="Q1191" s="569" t="s">
        <v>1917</v>
      </c>
      <c r="R1191" s="569">
        <v>5</v>
      </c>
      <c r="S1191" s="569" t="s">
        <v>2476</v>
      </c>
      <c r="T1191" s="569" t="s">
        <v>2183</v>
      </c>
      <c r="U1191" s="569">
        <v>138</v>
      </c>
      <c r="V1191" s="569">
        <v>25</v>
      </c>
      <c r="W1191" s="620">
        <v>10360</v>
      </c>
      <c r="X1191" s="621" t="s">
        <v>157</v>
      </c>
      <c r="Y1191" s="621" t="s">
        <v>728</v>
      </c>
      <c r="Z1191" s="621" t="s">
        <v>1523</v>
      </c>
      <c r="AA1191" s="622">
        <v>36775</v>
      </c>
      <c r="AB1191" s="622" t="s">
        <v>164</v>
      </c>
      <c r="AC1191" s="622">
        <v>27900</v>
      </c>
      <c r="AD1191" s="623">
        <v>0.01</v>
      </c>
      <c r="AE1191" s="621" t="s">
        <v>2475</v>
      </c>
    </row>
    <row r="1192" spans="1:31" s="572" customFormat="1">
      <c r="A1192" s="570" t="s">
        <v>2487</v>
      </c>
      <c r="B1192" s="573" t="s">
        <v>278</v>
      </c>
      <c r="C1192" s="578">
        <v>15</v>
      </c>
      <c r="D1192" s="573" t="s">
        <v>1516</v>
      </c>
      <c r="E1192" s="573" t="s">
        <v>1684</v>
      </c>
      <c r="F1192" s="573" t="s">
        <v>271</v>
      </c>
      <c r="G1192" s="573">
        <v>2019</v>
      </c>
      <c r="H1192" s="573" t="s">
        <v>2456</v>
      </c>
      <c r="I1192" s="573" t="s">
        <v>1686</v>
      </c>
      <c r="J1192" s="573" t="s">
        <v>236</v>
      </c>
      <c r="K1192" s="573">
        <v>2</v>
      </c>
      <c r="L1192" s="573">
        <v>0</v>
      </c>
      <c r="M1192" s="573" t="s">
        <v>157</v>
      </c>
      <c r="N1192" s="573">
        <v>1</v>
      </c>
      <c r="O1192" s="573">
        <v>86.8</v>
      </c>
      <c r="P1192" s="571" t="s">
        <v>157</v>
      </c>
      <c r="Q1192" s="573" t="s">
        <v>682</v>
      </c>
      <c r="R1192" s="573">
        <v>6</v>
      </c>
      <c r="S1192" s="582" t="s">
        <v>2476</v>
      </c>
      <c r="T1192" s="573" t="s">
        <v>2183</v>
      </c>
      <c r="U1192" s="573">
        <v>138</v>
      </c>
      <c r="V1192" s="573">
        <v>25</v>
      </c>
      <c r="W1192" s="616">
        <v>10360</v>
      </c>
      <c r="X1192" s="617" t="s">
        <v>157</v>
      </c>
      <c r="Y1192" s="617" t="s">
        <v>178</v>
      </c>
      <c r="Z1192" s="617" t="s">
        <v>178</v>
      </c>
      <c r="AA1192" s="618">
        <v>32780</v>
      </c>
      <c r="AB1192" s="618" t="s">
        <v>164</v>
      </c>
      <c r="AC1192" s="618">
        <v>24300</v>
      </c>
      <c r="AD1192" s="619">
        <v>0.01</v>
      </c>
      <c r="AE1192" s="617" t="s">
        <v>2478</v>
      </c>
    </row>
    <row r="1193" spans="1:31" s="572" customFormat="1">
      <c r="A1193" s="570" t="s">
        <v>2488</v>
      </c>
      <c r="B1193" s="569" t="s">
        <v>287</v>
      </c>
      <c r="C1193" s="580">
        <v>26</v>
      </c>
      <c r="D1193" s="569" t="s">
        <v>1516</v>
      </c>
      <c r="E1193" s="569" t="s">
        <v>1684</v>
      </c>
      <c r="F1193" s="569" t="s">
        <v>271</v>
      </c>
      <c r="G1193" s="569">
        <v>2019</v>
      </c>
      <c r="H1193" s="569" t="s">
        <v>2456</v>
      </c>
      <c r="I1193" s="569" t="s">
        <v>1686</v>
      </c>
      <c r="J1193" s="569" t="s">
        <v>236</v>
      </c>
      <c r="K1193" s="569">
        <v>2</v>
      </c>
      <c r="L1193" s="569">
        <v>0</v>
      </c>
      <c r="M1193" s="569" t="s">
        <v>157</v>
      </c>
      <c r="N1193" s="569">
        <v>1</v>
      </c>
      <c r="O1193" s="569">
        <v>82.6</v>
      </c>
      <c r="P1193" s="568" t="s">
        <v>157</v>
      </c>
      <c r="Q1193" s="569" t="s">
        <v>1917</v>
      </c>
      <c r="R1193" s="569">
        <v>5</v>
      </c>
      <c r="S1193" s="569" t="s">
        <v>2457</v>
      </c>
      <c r="T1193" s="569" t="s">
        <v>2183</v>
      </c>
      <c r="U1193" s="569">
        <v>138</v>
      </c>
      <c r="V1193" s="569">
        <v>25</v>
      </c>
      <c r="W1193" s="620">
        <v>9950</v>
      </c>
      <c r="X1193" s="621" t="s">
        <v>157</v>
      </c>
      <c r="Y1193" s="621" t="s">
        <v>728</v>
      </c>
      <c r="Z1193" s="621" t="s">
        <v>1523</v>
      </c>
      <c r="AA1193" s="622">
        <v>36520</v>
      </c>
      <c r="AB1193" s="622" t="s">
        <v>164</v>
      </c>
      <c r="AC1193" s="622">
        <v>27906</v>
      </c>
      <c r="AD1193" s="623">
        <v>0.05</v>
      </c>
      <c r="AE1193" s="621" t="s">
        <v>2489</v>
      </c>
    </row>
    <row r="1194" spans="1:31" s="572" customFormat="1">
      <c r="A1194" s="570" t="s">
        <v>2490</v>
      </c>
      <c r="B1194" s="573" t="s">
        <v>287</v>
      </c>
      <c r="C1194" s="578">
        <v>26</v>
      </c>
      <c r="D1194" s="573" t="s">
        <v>1516</v>
      </c>
      <c r="E1194" s="573" t="s">
        <v>1684</v>
      </c>
      <c r="F1194" s="573" t="s">
        <v>271</v>
      </c>
      <c r="G1194" s="573">
        <v>2019</v>
      </c>
      <c r="H1194" s="573" t="s">
        <v>2456</v>
      </c>
      <c r="I1194" s="573" t="s">
        <v>1686</v>
      </c>
      <c r="J1194" s="573" t="s">
        <v>236</v>
      </c>
      <c r="K1194" s="573">
        <v>2</v>
      </c>
      <c r="L1194" s="573">
        <v>0</v>
      </c>
      <c r="M1194" s="573" t="s">
        <v>157</v>
      </c>
      <c r="N1194" s="573">
        <v>1</v>
      </c>
      <c r="O1194" s="573">
        <v>82.6</v>
      </c>
      <c r="P1194" s="571" t="s">
        <v>157</v>
      </c>
      <c r="Q1194" s="573" t="s">
        <v>682</v>
      </c>
      <c r="R1194" s="573">
        <v>6</v>
      </c>
      <c r="S1194" s="582" t="s">
        <v>2457</v>
      </c>
      <c r="T1194" s="573" t="s">
        <v>2183</v>
      </c>
      <c r="U1194" s="573">
        <v>138</v>
      </c>
      <c r="V1194" s="573">
        <v>25</v>
      </c>
      <c r="W1194" s="616">
        <v>9950</v>
      </c>
      <c r="X1194" s="617" t="s">
        <v>157</v>
      </c>
      <c r="Y1194" s="617" t="s">
        <v>178</v>
      </c>
      <c r="Z1194" s="617" t="s">
        <v>178</v>
      </c>
      <c r="AA1194" s="618">
        <v>32525</v>
      </c>
      <c r="AB1194" s="618" t="s">
        <v>164</v>
      </c>
      <c r="AC1194" s="618">
        <v>24268</v>
      </c>
      <c r="AD1194" s="619">
        <v>0.05</v>
      </c>
      <c r="AE1194" s="617" t="s">
        <v>2455</v>
      </c>
    </row>
    <row r="1195" spans="1:31" s="572" customFormat="1">
      <c r="A1195" s="570" t="s">
        <v>2491</v>
      </c>
      <c r="B1195" s="569" t="s">
        <v>287</v>
      </c>
      <c r="C1195" s="580">
        <v>26</v>
      </c>
      <c r="D1195" s="569" t="s">
        <v>1516</v>
      </c>
      <c r="E1195" s="569" t="s">
        <v>1684</v>
      </c>
      <c r="F1195" s="569" t="s">
        <v>271</v>
      </c>
      <c r="G1195" s="569">
        <v>2019</v>
      </c>
      <c r="H1195" s="569" t="s">
        <v>2456</v>
      </c>
      <c r="I1195" s="569" t="s">
        <v>1686</v>
      </c>
      <c r="J1195" s="569" t="s">
        <v>236</v>
      </c>
      <c r="K1195" s="569">
        <v>2</v>
      </c>
      <c r="L1195" s="569">
        <v>0</v>
      </c>
      <c r="M1195" s="569" t="s">
        <v>157</v>
      </c>
      <c r="N1195" s="569">
        <v>1</v>
      </c>
      <c r="O1195" s="569">
        <v>86.5</v>
      </c>
      <c r="P1195" s="568" t="s">
        <v>157</v>
      </c>
      <c r="Q1195" s="569" t="s">
        <v>1917</v>
      </c>
      <c r="R1195" s="569">
        <v>5</v>
      </c>
      <c r="S1195" s="569" t="s">
        <v>2466</v>
      </c>
      <c r="T1195" s="569" t="s">
        <v>2183</v>
      </c>
      <c r="U1195" s="569">
        <v>156</v>
      </c>
      <c r="V1195" s="569">
        <v>25</v>
      </c>
      <c r="W1195" s="620">
        <v>9950</v>
      </c>
      <c r="X1195" s="621" t="s">
        <v>157</v>
      </c>
      <c r="Y1195" s="621" t="s">
        <v>728</v>
      </c>
      <c r="Z1195" s="621" t="s">
        <v>1523</v>
      </c>
      <c r="AA1195" s="622">
        <v>36970</v>
      </c>
      <c r="AB1195" s="622" t="s">
        <v>164</v>
      </c>
      <c r="AC1195" s="622">
        <v>28328</v>
      </c>
      <c r="AD1195" s="623">
        <v>0.05</v>
      </c>
      <c r="AE1195" s="621" t="s">
        <v>2492</v>
      </c>
    </row>
    <row r="1196" spans="1:31" s="572" customFormat="1">
      <c r="A1196" s="570" t="s">
        <v>2493</v>
      </c>
      <c r="B1196" s="573" t="s">
        <v>287</v>
      </c>
      <c r="C1196" s="578">
        <v>26</v>
      </c>
      <c r="D1196" s="573" t="s">
        <v>1516</v>
      </c>
      <c r="E1196" s="573" t="s">
        <v>1684</v>
      </c>
      <c r="F1196" s="573" t="s">
        <v>271</v>
      </c>
      <c r="G1196" s="573">
        <v>2019</v>
      </c>
      <c r="H1196" s="573" t="s">
        <v>2456</v>
      </c>
      <c r="I1196" s="573" t="s">
        <v>1686</v>
      </c>
      <c r="J1196" s="573" t="s">
        <v>236</v>
      </c>
      <c r="K1196" s="573">
        <v>2</v>
      </c>
      <c r="L1196" s="573">
        <v>0</v>
      </c>
      <c r="M1196" s="573" t="s">
        <v>157</v>
      </c>
      <c r="N1196" s="573">
        <v>1</v>
      </c>
      <c r="O1196" s="573">
        <v>86.5</v>
      </c>
      <c r="P1196" s="571" t="s">
        <v>157</v>
      </c>
      <c r="Q1196" s="573" t="s">
        <v>1917</v>
      </c>
      <c r="R1196" s="573">
        <v>5</v>
      </c>
      <c r="S1196" s="582" t="s">
        <v>2469</v>
      </c>
      <c r="T1196" s="573" t="s">
        <v>2183</v>
      </c>
      <c r="U1196" s="573">
        <v>178</v>
      </c>
      <c r="V1196" s="573">
        <v>25</v>
      </c>
      <c r="W1196" s="616">
        <v>9950</v>
      </c>
      <c r="X1196" s="617" t="s">
        <v>157</v>
      </c>
      <c r="Y1196" s="617" t="s">
        <v>728</v>
      </c>
      <c r="Z1196" s="617" t="s">
        <v>1523</v>
      </c>
      <c r="AA1196" s="618">
        <v>37720</v>
      </c>
      <c r="AB1196" s="618" t="s">
        <v>164</v>
      </c>
      <c r="AC1196" s="618">
        <v>29032</v>
      </c>
      <c r="AD1196" s="619">
        <v>0.05</v>
      </c>
      <c r="AE1196" s="617" t="s">
        <v>2494</v>
      </c>
    </row>
    <row r="1197" spans="1:31" s="572" customFormat="1">
      <c r="A1197" s="570" t="s">
        <v>2495</v>
      </c>
      <c r="B1197" s="569" t="s">
        <v>287</v>
      </c>
      <c r="C1197" s="580">
        <v>26</v>
      </c>
      <c r="D1197" s="569" t="s">
        <v>1516</v>
      </c>
      <c r="E1197" s="569" t="s">
        <v>1684</v>
      </c>
      <c r="F1197" s="569" t="s">
        <v>271</v>
      </c>
      <c r="G1197" s="569">
        <v>2019</v>
      </c>
      <c r="H1197" s="569" t="s">
        <v>2456</v>
      </c>
      <c r="I1197" s="569" t="s">
        <v>1686</v>
      </c>
      <c r="J1197" s="569" t="s">
        <v>236</v>
      </c>
      <c r="K1197" s="569">
        <v>2</v>
      </c>
      <c r="L1197" s="569">
        <v>0</v>
      </c>
      <c r="M1197" s="569" t="s">
        <v>157</v>
      </c>
      <c r="N1197" s="569">
        <v>1</v>
      </c>
      <c r="O1197" s="569">
        <v>86.5</v>
      </c>
      <c r="P1197" s="568" t="s">
        <v>157</v>
      </c>
      <c r="Q1197" s="569" t="s">
        <v>1917</v>
      </c>
      <c r="R1197" s="569">
        <v>5</v>
      </c>
      <c r="S1197" s="569" t="s">
        <v>2460</v>
      </c>
      <c r="T1197" s="569" t="s">
        <v>2183</v>
      </c>
      <c r="U1197" s="569">
        <v>156</v>
      </c>
      <c r="V1197" s="569">
        <v>25</v>
      </c>
      <c r="W1197" s="620">
        <v>10360</v>
      </c>
      <c r="X1197" s="621" t="s">
        <v>157</v>
      </c>
      <c r="Y1197" s="621" t="s">
        <v>728</v>
      </c>
      <c r="Z1197" s="621" t="s">
        <v>1523</v>
      </c>
      <c r="AA1197" s="622">
        <v>37220</v>
      </c>
      <c r="AB1197" s="622" t="s">
        <v>164</v>
      </c>
      <c r="AC1197" s="622">
        <v>28562</v>
      </c>
      <c r="AD1197" s="623">
        <v>0.05</v>
      </c>
      <c r="AE1197" s="621" t="s">
        <v>2459</v>
      </c>
    </row>
    <row r="1198" spans="1:31" s="572" customFormat="1">
      <c r="A1198" s="570" t="s">
        <v>2496</v>
      </c>
      <c r="B1198" s="573" t="s">
        <v>287</v>
      </c>
      <c r="C1198" s="578">
        <v>26</v>
      </c>
      <c r="D1198" s="573" t="s">
        <v>1516</v>
      </c>
      <c r="E1198" s="573" t="s">
        <v>1684</v>
      </c>
      <c r="F1198" s="573" t="s">
        <v>271</v>
      </c>
      <c r="G1198" s="573">
        <v>2019</v>
      </c>
      <c r="H1198" s="573" t="s">
        <v>2456</v>
      </c>
      <c r="I1198" s="573" t="s">
        <v>1686</v>
      </c>
      <c r="J1198" s="573" t="s">
        <v>236</v>
      </c>
      <c r="K1198" s="573">
        <v>2</v>
      </c>
      <c r="L1198" s="573">
        <v>0</v>
      </c>
      <c r="M1198" s="573" t="s">
        <v>157</v>
      </c>
      <c r="N1198" s="573">
        <v>1</v>
      </c>
      <c r="O1198" s="573">
        <v>86.5</v>
      </c>
      <c r="P1198" s="571" t="s">
        <v>157</v>
      </c>
      <c r="Q1198" s="573" t="s">
        <v>1917</v>
      </c>
      <c r="R1198" s="573">
        <v>5</v>
      </c>
      <c r="S1198" s="582" t="s">
        <v>2463</v>
      </c>
      <c r="T1198" s="573" t="s">
        <v>2183</v>
      </c>
      <c r="U1198" s="573">
        <v>178</v>
      </c>
      <c r="V1198" s="573">
        <v>25</v>
      </c>
      <c r="W1198" s="616">
        <v>10360</v>
      </c>
      <c r="X1198" s="617" t="s">
        <v>157</v>
      </c>
      <c r="Y1198" s="617" t="s">
        <v>728</v>
      </c>
      <c r="Z1198" s="617" t="s">
        <v>1523</v>
      </c>
      <c r="AA1198" s="618">
        <v>37970</v>
      </c>
      <c r="AB1198" s="618" t="s">
        <v>164</v>
      </c>
      <c r="AC1198" s="618">
        <v>29266</v>
      </c>
      <c r="AD1198" s="619">
        <v>0.05</v>
      </c>
      <c r="AE1198" s="617" t="s">
        <v>2462</v>
      </c>
    </row>
    <row r="1199" spans="1:31" s="572" customFormat="1">
      <c r="A1199" s="570" t="s">
        <v>2497</v>
      </c>
      <c r="B1199" s="569" t="s">
        <v>287</v>
      </c>
      <c r="C1199" s="580">
        <v>26</v>
      </c>
      <c r="D1199" s="569" t="s">
        <v>1516</v>
      </c>
      <c r="E1199" s="569" t="s">
        <v>1684</v>
      </c>
      <c r="F1199" s="569" t="s">
        <v>271</v>
      </c>
      <c r="G1199" s="569">
        <v>2019</v>
      </c>
      <c r="H1199" s="569" t="s">
        <v>2456</v>
      </c>
      <c r="I1199" s="569" t="s">
        <v>1686</v>
      </c>
      <c r="J1199" s="569" t="s">
        <v>236</v>
      </c>
      <c r="K1199" s="569">
        <v>2</v>
      </c>
      <c r="L1199" s="569">
        <v>0</v>
      </c>
      <c r="M1199" s="569" t="s">
        <v>157</v>
      </c>
      <c r="N1199" s="569">
        <v>1</v>
      </c>
      <c r="O1199" s="569">
        <v>86.5</v>
      </c>
      <c r="P1199" s="568" t="s">
        <v>157</v>
      </c>
      <c r="Q1199" s="569" t="s">
        <v>682</v>
      </c>
      <c r="R1199" s="569">
        <v>6</v>
      </c>
      <c r="S1199" s="569" t="s">
        <v>2466</v>
      </c>
      <c r="T1199" s="569" t="s">
        <v>2183</v>
      </c>
      <c r="U1199" s="569">
        <v>156</v>
      </c>
      <c r="V1199" s="569">
        <v>25</v>
      </c>
      <c r="W1199" s="620">
        <v>9950</v>
      </c>
      <c r="X1199" s="621" t="s">
        <v>157</v>
      </c>
      <c r="Y1199" s="621" t="s">
        <v>178</v>
      </c>
      <c r="Z1199" s="621" t="s">
        <v>178</v>
      </c>
      <c r="AA1199" s="622">
        <v>32975</v>
      </c>
      <c r="AB1199" s="622" t="s">
        <v>164</v>
      </c>
      <c r="AC1199" s="622">
        <v>24689</v>
      </c>
      <c r="AD1199" s="623">
        <v>0.05</v>
      </c>
      <c r="AE1199" s="621" t="s">
        <v>2465</v>
      </c>
    </row>
    <row r="1200" spans="1:31" s="572" customFormat="1">
      <c r="A1200" s="570" t="s">
        <v>2498</v>
      </c>
      <c r="B1200" s="573" t="s">
        <v>287</v>
      </c>
      <c r="C1200" s="578">
        <v>26</v>
      </c>
      <c r="D1200" s="573" t="s">
        <v>1516</v>
      </c>
      <c r="E1200" s="573" t="s">
        <v>1684</v>
      </c>
      <c r="F1200" s="573" t="s">
        <v>271</v>
      </c>
      <c r="G1200" s="573">
        <v>2019</v>
      </c>
      <c r="H1200" s="573" t="s">
        <v>2456</v>
      </c>
      <c r="I1200" s="573" t="s">
        <v>1686</v>
      </c>
      <c r="J1200" s="573" t="s">
        <v>236</v>
      </c>
      <c r="K1200" s="573">
        <v>2</v>
      </c>
      <c r="L1200" s="573">
        <v>0</v>
      </c>
      <c r="M1200" s="573" t="s">
        <v>157</v>
      </c>
      <c r="N1200" s="573">
        <v>1</v>
      </c>
      <c r="O1200" s="573">
        <v>86.5</v>
      </c>
      <c r="P1200" s="571" t="s">
        <v>157</v>
      </c>
      <c r="Q1200" s="573" t="s">
        <v>682</v>
      </c>
      <c r="R1200" s="573">
        <v>6</v>
      </c>
      <c r="S1200" s="582" t="s">
        <v>2469</v>
      </c>
      <c r="T1200" s="573" t="s">
        <v>2183</v>
      </c>
      <c r="U1200" s="573">
        <v>178</v>
      </c>
      <c r="V1200" s="573">
        <v>25</v>
      </c>
      <c r="W1200" s="616">
        <v>9950</v>
      </c>
      <c r="X1200" s="617" t="s">
        <v>157</v>
      </c>
      <c r="Y1200" s="617" t="s">
        <v>178</v>
      </c>
      <c r="Z1200" s="617" t="s">
        <v>178</v>
      </c>
      <c r="AA1200" s="618">
        <v>33725</v>
      </c>
      <c r="AB1200" s="618" t="s">
        <v>164</v>
      </c>
      <c r="AC1200" s="618">
        <v>25393</v>
      </c>
      <c r="AD1200" s="619">
        <v>0.05</v>
      </c>
      <c r="AE1200" s="617" t="s">
        <v>2468</v>
      </c>
    </row>
    <row r="1201" spans="1:31" s="572" customFormat="1">
      <c r="A1201" s="570" t="s">
        <v>2499</v>
      </c>
      <c r="B1201" s="569" t="s">
        <v>287</v>
      </c>
      <c r="C1201" s="580">
        <v>26</v>
      </c>
      <c r="D1201" s="569" t="s">
        <v>1516</v>
      </c>
      <c r="E1201" s="569" t="s">
        <v>1684</v>
      </c>
      <c r="F1201" s="569" t="s">
        <v>271</v>
      </c>
      <c r="G1201" s="569">
        <v>2019</v>
      </c>
      <c r="H1201" s="569" t="s">
        <v>2456</v>
      </c>
      <c r="I1201" s="569" t="s">
        <v>1686</v>
      </c>
      <c r="J1201" s="569" t="s">
        <v>236</v>
      </c>
      <c r="K1201" s="569">
        <v>2</v>
      </c>
      <c r="L1201" s="569">
        <v>0</v>
      </c>
      <c r="M1201" s="569" t="s">
        <v>157</v>
      </c>
      <c r="N1201" s="569">
        <v>1</v>
      </c>
      <c r="O1201" s="569">
        <v>86.5</v>
      </c>
      <c r="P1201" s="568" t="s">
        <v>157</v>
      </c>
      <c r="Q1201" s="569" t="s">
        <v>682</v>
      </c>
      <c r="R1201" s="569">
        <v>6</v>
      </c>
      <c r="S1201" s="569" t="s">
        <v>2460</v>
      </c>
      <c r="T1201" s="569" t="s">
        <v>2183</v>
      </c>
      <c r="U1201" s="569">
        <v>156</v>
      </c>
      <c r="V1201" s="569">
        <v>25</v>
      </c>
      <c r="W1201" s="620">
        <v>10360</v>
      </c>
      <c r="X1201" s="621" t="s">
        <v>157</v>
      </c>
      <c r="Y1201" s="621" t="s">
        <v>178</v>
      </c>
      <c r="Z1201" s="621" t="s">
        <v>178</v>
      </c>
      <c r="AA1201" s="622">
        <v>33225</v>
      </c>
      <c r="AB1201" s="622" t="s">
        <v>164</v>
      </c>
      <c r="AC1201" s="622">
        <v>24924</v>
      </c>
      <c r="AD1201" s="623">
        <v>0.05</v>
      </c>
      <c r="AE1201" s="621" t="s">
        <v>2471</v>
      </c>
    </row>
    <row r="1202" spans="1:31" s="572" customFormat="1">
      <c r="A1202" s="570" t="s">
        <v>2500</v>
      </c>
      <c r="B1202" s="573" t="s">
        <v>287</v>
      </c>
      <c r="C1202" s="578">
        <v>26</v>
      </c>
      <c r="D1202" s="573" t="s">
        <v>1516</v>
      </c>
      <c r="E1202" s="573" t="s">
        <v>1684</v>
      </c>
      <c r="F1202" s="573" t="s">
        <v>271</v>
      </c>
      <c r="G1202" s="573">
        <v>2019</v>
      </c>
      <c r="H1202" s="573" t="s">
        <v>2456</v>
      </c>
      <c r="I1202" s="573" t="s">
        <v>1686</v>
      </c>
      <c r="J1202" s="573" t="s">
        <v>236</v>
      </c>
      <c r="K1202" s="573">
        <v>2</v>
      </c>
      <c r="L1202" s="573">
        <v>0</v>
      </c>
      <c r="M1202" s="573" t="s">
        <v>157</v>
      </c>
      <c r="N1202" s="573">
        <v>1</v>
      </c>
      <c r="O1202" s="573">
        <v>86.5</v>
      </c>
      <c r="P1202" s="571" t="s">
        <v>157</v>
      </c>
      <c r="Q1202" s="573" t="s">
        <v>682</v>
      </c>
      <c r="R1202" s="573">
        <v>6</v>
      </c>
      <c r="S1202" s="582" t="s">
        <v>2463</v>
      </c>
      <c r="T1202" s="573" t="s">
        <v>2183</v>
      </c>
      <c r="U1202" s="573">
        <v>178</v>
      </c>
      <c r="V1202" s="573">
        <v>25</v>
      </c>
      <c r="W1202" s="616">
        <v>10360</v>
      </c>
      <c r="X1202" s="617" t="s">
        <v>157</v>
      </c>
      <c r="Y1202" s="617" t="s">
        <v>178</v>
      </c>
      <c r="Z1202" s="617" t="s">
        <v>178</v>
      </c>
      <c r="AA1202" s="618">
        <v>33975</v>
      </c>
      <c r="AB1202" s="618" t="s">
        <v>164</v>
      </c>
      <c r="AC1202" s="618">
        <v>25627</v>
      </c>
      <c r="AD1202" s="619">
        <v>0.05</v>
      </c>
      <c r="AE1202" s="617" t="s">
        <v>2473</v>
      </c>
    </row>
    <row r="1203" spans="1:31" s="572" customFormat="1">
      <c r="A1203" s="570" t="s">
        <v>2501</v>
      </c>
      <c r="B1203" s="569" t="s">
        <v>287</v>
      </c>
      <c r="C1203" s="580">
        <v>26</v>
      </c>
      <c r="D1203" s="569" t="s">
        <v>1516</v>
      </c>
      <c r="E1203" s="569" t="s">
        <v>1684</v>
      </c>
      <c r="F1203" s="569" t="s">
        <v>271</v>
      </c>
      <c r="G1203" s="569">
        <v>2019</v>
      </c>
      <c r="H1203" s="569" t="s">
        <v>2456</v>
      </c>
      <c r="I1203" s="569" t="s">
        <v>1686</v>
      </c>
      <c r="J1203" s="569" t="s">
        <v>236</v>
      </c>
      <c r="K1203" s="569">
        <v>2</v>
      </c>
      <c r="L1203" s="569">
        <v>0</v>
      </c>
      <c r="M1203" s="569" t="s">
        <v>157</v>
      </c>
      <c r="N1203" s="569">
        <v>1</v>
      </c>
      <c r="O1203" s="569">
        <v>86.8</v>
      </c>
      <c r="P1203" s="568" t="s">
        <v>157</v>
      </c>
      <c r="Q1203" s="569" t="s">
        <v>1917</v>
      </c>
      <c r="R1203" s="569">
        <v>5</v>
      </c>
      <c r="S1203" s="569" t="s">
        <v>2476</v>
      </c>
      <c r="T1203" s="569" t="s">
        <v>2183</v>
      </c>
      <c r="U1203" s="569">
        <v>138</v>
      </c>
      <c r="V1203" s="569">
        <v>25</v>
      </c>
      <c r="W1203" s="620">
        <v>10360</v>
      </c>
      <c r="X1203" s="621" t="s">
        <v>157</v>
      </c>
      <c r="Y1203" s="621" t="s">
        <v>728</v>
      </c>
      <c r="Z1203" s="621" t="s">
        <v>1523</v>
      </c>
      <c r="AA1203" s="622">
        <v>36775</v>
      </c>
      <c r="AB1203" s="622" t="s">
        <v>164</v>
      </c>
      <c r="AC1203" s="622">
        <v>28146</v>
      </c>
      <c r="AD1203" s="623">
        <v>0.05</v>
      </c>
      <c r="AE1203" s="621" t="s">
        <v>2475</v>
      </c>
    </row>
    <row r="1204" spans="1:31" s="572" customFormat="1">
      <c r="A1204" s="570" t="s">
        <v>2502</v>
      </c>
      <c r="B1204" s="573" t="s">
        <v>287</v>
      </c>
      <c r="C1204" s="578">
        <v>26</v>
      </c>
      <c r="D1204" s="573" t="s">
        <v>1516</v>
      </c>
      <c r="E1204" s="573" t="s">
        <v>1684</v>
      </c>
      <c r="F1204" s="573" t="s">
        <v>271</v>
      </c>
      <c r="G1204" s="573">
        <v>2019</v>
      </c>
      <c r="H1204" s="573" t="s">
        <v>2456</v>
      </c>
      <c r="I1204" s="573" t="s">
        <v>1686</v>
      </c>
      <c r="J1204" s="573" t="s">
        <v>236</v>
      </c>
      <c r="K1204" s="573">
        <v>2</v>
      </c>
      <c r="L1204" s="573">
        <v>0</v>
      </c>
      <c r="M1204" s="573" t="s">
        <v>157</v>
      </c>
      <c r="N1204" s="573">
        <v>1</v>
      </c>
      <c r="O1204" s="573">
        <v>86.8</v>
      </c>
      <c r="P1204" s="571" t="s">
        <v>157</v>
      </c>
      <c r="Q1204" s="573" t="s">
        <v>682</v>
      </c>
      <c r="R1204" s="573">
        <v>6</v>
      </c>
      <c r="S1204" s="582" t="s">
        <v>2476</v>
      </c>
      <c r="T1204" s="573" t="s">
        <v>2183</v>
      </c>
      <c r="U1204" s="573">
        <v>138</v>
      </c>
      <c r="V1204" s="573">
        <v>25</v>
      </c>
      <c r="W1204" s="616">
        <v>10360</v>
      </c>
      <c r="X1204" s="617" t="s">
        <v>157</v>
      </c>
      <c r="Y1204" s="617" t="s">
        <v>178</v>
      </c>
      <c r="Z1204" s="617" t="s">
        <v>178</v>
      </c>
      <c r="AA1204" s="618">
        <v>32780</v>
      </c>
      <c r="AB1204" s="618" t="s">
        <v>164</v>
      </c>
      <c r="AC1204" s="618">
        <v>24507</v>
      </c>
      <c r="AD1204" s="619">
        <v>0.05</v>
      </c>
      <c r="AE1204" s="617" t="s">
        <v>2478</v>
      </c>
    </row>
    <row r="1205" spans="1:31" s="572" customFormat="1">
      <c r="A1205" s="570" t="s">
        <v>2503</v>
      </c>
      <c r="B1205" s="569" t="s">
        <v>280</v>
      </c>
      <c r="C1205" s="580">
        <v>27</v>
      </c>
      <c r="D1205" s="569" t="s">
        <v>1516</v>
      </c>
      <c r="E1205" s="569" t="s">
        <v>1684</v>
      </c>
      <c r="F1205" s="569" t="s">
        <v>271</v>
      </c>
      <c r="G1205" s="569">
        <v>2019</v>
      </c>
      <c r="H1205" s="569" t="s">
        <v>2456</v>
      </c>
      <c r="I1205" s="569" t="s">
        <v>1686</v>
      </c>
      <c r="J1205" s="569" t="s">
        <v>236</v>
      </c>
      <c r="K1205" s="569">
        <v>2</v>
      </c>
      <c r="L1205" s="569">
        <v>0</v>
      </c>
      <c r="M1205" s="569" t="s">
        <v>157</v>
      </c>
      <c r="N1205" s="569">
        <v>1</v>
      </c>
      <c r="O1205" s="569">
        <v>82.6</v>
      </c>
      <c r="P1205" s="568" t="s">
        <v>157</v>
      </c>
      <c r="Q1205" s="569" t="s">
        <v>682</v>
      </c>
      <c r="R1205" s="569">
        <v>6</v>
      </c>
      <c r="S1205" s="569" t="s">
        <v>2457</v>
      </c>
      <c r="T1205" s="569" t="s">
        <v>2183</v>
      </c>
      <c r="U1205" s="569">
        <v>138</v>
      </c>
      <c r="V1205" s="569">
        <v>25</v>
      </c>
      <c r="W1205" s="620">
        <v>9950</v>
      </c>
      <c r="X1205" s="621" t="s">
        <v>157</v>
      </c>
      <c r="Y1205" s="621" t="s">
        <v>178</v>
      </c>
      <c r="Z1205" s="621" t="s">
        <v>178</v>
      </c>
      <c r="AA1205" s="622">
        <v>32525</v>
      </c>
      <c r="AB1205" s="622" t="s">
        <v>164</v>
      </c>
      <c r="AC1205" s="622">
        <v>23572.583333333336</v>
      </c>
      <c r="AD1205" s="623">
        <v>0.03</v>
      </c>
      <c r="AE1205" s="621" t="s">
        <v>2455</v>
      </c>
    </row>
    <row r="1206" spans="1:31" s="572" customFormat="1">
      <c r="A1206" s="570" t="s">
        <v>2504</v>
      </c>
      <c r="B1206" s="573" t="s">
        <v>280</v>
      </c>
      <c r="C1206" s="578">
        <v>27</v>
      </c>
      <c r="D1206" s="573" t="s">
        <v>1516</v>
      </c>
      <c r="E1206" s="573" t="s">
        <v>1684</v>
      </c>
      <c r="F1206" s="573" t="s">
        <v>271</v>
      </c>
      <c r="G1206" s="573">
        <v>2019</v>
      </c>
      <c r="H1206" s="573" t="s">
        <v>2456</v>
      </c>
      <c r="I1206" s="573" t="s">
        <v>1686</v>
      </c>
      <c r="J1206" s="573" t="s">
        <v>236</v>
      </c>
      <c r="K1206" s="573">
        <v>2</v>
      </c>
      <c r="L1206" s="573">
        <v>0</v>
      </c>
      <c r="M1206" s="573" t="s">
        <v>157</v>
      </c>
      <c r="N1206" s="573">
        <v>1</v>
      </c>
      <c r="O1206" s="573">
        <v>86.5</v>
      </c>
      <c r="P1206" s="571" t="s">
        <v>157</v>
      </c>
      <c r="Q1206" s="573" t="s">
        <v>1917</v>
      </c>
      <c r="R1206" s="573">
        <v>5</v>
      </c>
      <c r="S1206" s="582" t="s">
        <v>2460</v>
      </c>
      <c r="T1206" s="573" t="s">
        <v>2183</v>
      </c>
      <c r="U1206" s="573">
        <v>156</v>
      </c>
      <c r="V1206" s="573">
        <v>25</v>
      </c>
      <c r="W1206" s="616">
        <v>10360</v>
      </c>
      <c r="X1206" s="617" t="s">
        <v>157</v>
      </c>
      <c r="Y1206" s="617" t="s">
        <v>728</v>
      </c>
      <c r="Z1206" s="617" t="s">
        <v>1523</v>
      </c>
      <c r="AA1206" s="618">
        <v>37220</v>
      </c>
      <c r="AB1206" s="618" t="s">
        <v>164</v>
      </c>
      <c r="AC1206" s="618">
        <v>27761.708333333336</v>
      </c>
      <c r="AD1206" s="619">
        <v>0.03</v>
      </c>
      <c r="AE1206" s="617" t="s">
        <v>2459</v>
      </c>
    </row>
    <row r="1207" spans="1:31" s="572" customFormat="1">
      <c r="A1207" s="570" t="s">
        <v>2505</v>
      </c>
      <c r="B1207" s="569" t="s">
        <v>280</v>
      </c>
      <c r="C1207" s="580">
        <v>27</v>
      </c>
      <c r="D1207" s="569" t="s">
        <v>1516</v>
      </c>
      <c r="E1207" s="569" t="s">
        <v>1684</v>
      </c>
      <c r="F1207" s="569" t="s">
        <v>271</v>
      </c>
      <c r="G1207" s="569">
        <v>2019</v>
      </c>
      <c r="H1207" s="569" t="s">
        <v>2456</v>
      </c>
      <c r="I1207" s="569" t="s">
        <v>1686</v>
      </c>
      <c r="J1207" s="569" t="s">
        <v>236</v>
      </c>
      <c r="K1207" s="569">
        <v>2</v>
      </c>
      <c r="L1207" s="569">
        <v>0</v>
      </c>
      <c r="M1207" s="569" t="s">
        <v>157</v>
      </c>
      <c r="N1207" s="569">
        <v>1</v>
      </c>
      <c r="O1207" s="569">
        <v>86.5</v>
      </c>
      <c r="P1207" s="568" t="s">
        <v>157</v>
      </c>
      <c r="Q1207" s="569" t="s">
        <v>1917</v>
      </c>
      <c r="R1207" s="569">
        <v>5</v>
      </c>
      <c r="S1207" s="569" t="s">
        <v>2463</v>
      </c>
      <c r="T1207" s="569" t="s">
        <v>2183</v>
      </c>
      <c r="U1207" s="569">
        <v>178</v>
      </c>
      <c r="V1207" s="569">
        <v>25</v>
      </c>
      <c r="W1207" s="620">
        <v>10360</v>
      </c>
      <c r="X1207" s="621" t="s">
        <v>157</v>
      </c>
      <c r="Y1207" s="621" t="s">
        <v>728</v>
      </c>
      <c r="Z1207" s="621" t="s">
        <v>1523</v>
      </c>
      <c r="AA1207" s="622">
        <v>37970</v>
      </c>
      <c r="AB1207" s="622" t="s">
        <v>164</v>
      </c>
      <c r="AC1207" s="622">
        <v>28447.125</v>
      </c>
      <c r="AD1207" s="623">
        <v>0.03</v>
      </c>
      <c r="AE1207" s="621" t="s">
        <v>2462</v>
      </c>
    </row>
    <row r="1208" spans="1:31" s="572" customFormat="1">
      <c r="A1208" s="570" t="s">
        <v>2506</v>
      </c>
      <c r="B1208" s="573" t="s">
        <v>280</v>
      </c>
      <c r="C1208" s="578">
        <v>27</v>
      </c>
      <c r="D1208" s="573" t="s">
        <v>1516</v>
      </c>
      <c r="E1208" s="573" t="s">
        <v>1684</v>
      </c>
      <c r="F1208" s="573" t="s">
        <v>271</v>
      </c>
      <c r="G1208" s="573">
        <v>2019</v>
      </c>
      <c r="H1208" s="573" t="s">
        <v>2456</v>
      </c>
      <c r="I1208" s="573" t="s">
        <v>1686</v>
      </c>
      <c r="J1208" s="573" t="s">
        <v>236</v>
      </c>
      <c r="K1208" s="573">
        <v>2</v>
      </c>
      <c r="L1208" s="573">
        <v>0</v>
      </c>
      <c r="M1208" s="573" t="s">
        <v>157</v>
      </c>
      <c r="N1208" s="573">
        <v>1</v>
      </c>
      <c r="O1208" s="573">
        <v>86.5</v>
      </c>
      <c r="P1208" s="571" t="s">
        <v>157</v>
      </c>
      <c r="Q1208" s="573" t="s">
        <v>682</v>
      </c>
      <c r="R1208" s="573">
        <v>6</v>
      </c>
      <c r="S1208" s="582" t="s">
        <v>2466</v>
      </c>
      <c r="T1208" s="573" t="s">
        <v>2183</v>
      </c>
      <c r="U1208" s="573">
        <v>156</v>
      </c>
      <c r="V1208" s="573">
        <v>25</v>
      </c>
      <c r="W1208" s="616">
        <v>9950</v>
      </c>
      <c r="X1208" s="617" t="s">
        <v>157</v>
      </c>
      <c r="Y1208" s="617" t="s">
        <v>178</v>
      </c>
      <c r="Z1208" s="617" t="s">
        <v>178</v>
      </c>
      <c r="AA1208" s="618">
        <v>32975</v>
      </c>
      <c r="AB1208" s="618" t="s">
        <v>164</v>
      </c>
      <c r="AC1208" s="618">
        <v>23984.041666666668</v>
      </c>
      <c r="AD1208" s="619">
        <v>0.03</v>
      </c>
      <c r="AE1208" s="617" t="s">
        <v>2465</v>
      </c>
    </row>
    <row r="1209" spans="1:31" s="572" customFormat="1">
      <c r="A1209" s="570" t="s">
        <v>2507</v>
      </c>
      <c r="B1209" s="569" t="s">
        <v>280</v>
      </c>
      <c r="C1209" s="580">
        <v>27</v>
      </c>
      <c r="D1209" s="569" t="s">
        <v>1516</v>
      </c>
      <c r="E1209" s="569" t="s">
        <v>1684</v>
      </c>
      <c r="F1209" s="569" t="s">
        <v>271</v>
      </c>
      <c r="G1209" s="569">
        <v>2019</v>
      </c>
      <c r="H1209" s="569" t="s">
        <v>2456</v>
      </c>
      <c r="I1209" s="569" t="s">
        <v>1686</v>
      </c>
      <c r="J1209" s="569" t="s">
        <v>236</v>
      </c>
      <c r="K1209" s="569">
        <v>2</v>
      </c>
      <c r="L1209" s="569">
        <v>0</v>
      </c>
      <c r="M1209" s="569" t="s">
        <v>157</v>
      </c>
      <c r="N1209" s="569">
        <v>1</v>
      </c>
      <c r="O1209" s="569">
        <v>86.5</v>
      </c>
      <c r="P1209" s="568" t="s">
        <v>157</v>
      </c>
      <c r="Q1209" s="569" t="s">
        <v>682</v>
      </c>
      <c r="R1209" s="569">
        <v>6</v>
      </c>
      <c r="S1209" s="569" t="s">
        <v>2469</v>
      </c>
      <c r="T1209" s="569" t="s">
        <v>2183</v>
      </c>
      <c r="U1209" s="569">
        <v>178</v>
      </c>
      <c r="V1209" s="569">
        <v>25</v>
      </c>
      <c r="W1209" s="620">
        <v>9950</v>
      </c>
      <c r="X1209" s="621" t="s">
        <v>157</v>
      </c>
      <c r="Y1209" s="621" t="s">
        <v>178</v>
      </c>
      <c r="Z1209" s="621" t="s">
        <v>178</v>
      </c>
      <c r="AA1209" s="622">
        <v>33725</v>
      </c>
      <c r="AB1209" s="622" t="s">
        <v>164</v>
      </c>
      <c r="AC1209" s="622">
        <v>24669.458333333336</v>
      </c>
      <c r="AD1209" s="623">
        <v>0.03</v>
      </c>
      <c r="AE1209" s="621" t="s">
        <v>2468</v>
      </c>
    </row>
    <row r="1210" spans="1:31" s="572" customFormat="1">
      <c r="A1210" s="570" t="s">
        <v>2508</v>
      </c>
      <c r="B1210" s="573" t="s">
        <v>280</v>
      </c>
      <c r="C1210" s="578">
        <v>27</v>
      </c>
      <c r="D1210" s="573" t="s">
        <v>1516</v>
      </c>
      <c r="E1210" s="573" t="s">
        <v>1684</v>
      </c>
      <c r="F1210" s="573" t="s">
        <v>271</v>
      </c>
      <c r="G1210" s="573">
        <v>2019</v>
      </c>
      <c r="H1210" s="573" t="s">
        <v>2456</v>
      </c>
      <c r="I1210" s="573" t="s">
        <v>1686</v>
      </c>
      <c r="J1210" s="573" t="s">
        <v>236</v>
      </c>
      <c r="K1210" s="573">
        <v>2</v>
      </c>
      <c r="L1210" s="573">
        <v>0</v>
      </c>
      <c r="M1210" s="573" t="s">
        <v>157</v>
      </c>
      <c r="N1210" s="573">
        <v>1</v>
      </c>
      <c r="O1210" s="573">
        <v>86.5</v>
      </c>
      <c r="P1210" s="571" t="s">
        <v>157</v>
      </c>
      <c r="Q1210" s="573" t="s">
        <v>682</v>
      </c>
      <c r="R1210" s="573">
        <v>6</v>
      </c>
      <c r="S1210" s="582" t="s">
        <v>2460</v>
      </c>
      <c r="T1210" s="573" t="s">
        <v>2183</v>
      </c>
      <c r="U1210" s="573">
        <v>156</v>
      </c>
      <c r="V1210" s="573">
        <v>25</v>
      </c>
      <c r="W1210" s="616">
        <v>10360</v>
      </c>
      <c r="X1210" s="617" t="s">
        <v>157</v>
      </c>
      <c r="Y1210" s="617" t="s">
        <v>178</v>
      </c>
      <c r="Z1210" s="617" t="s">
        <v>178</v>
      </c>
      <c r="AA1210" s="618">
        <v>33225</v>
      </c>
      <c r="AB1210" s="618" t="s">
        <v>164</v>
      </c>
      <c r="AC1210" s="618">
        <v>24212.166666666668</v>
      </c>
      <c r="AD1210" s="619">
        <v>0.03</v>
      </c>
      <c r="AE1210" s="617" t="s">
        <v>2471</v>
      </c>
    </row>
    <row r="1211" spans="1:31" s="572" customFormat="1">
      <c r="A1211" s="570" t="s">
        <v>2509</v>
      </c>
      <c r="B1211" s="569" t="s">
        <v>280</v>
      </c>
      <c r="C1211" s="580">
        <v>27</v>
      </c>
      <c r="D1211" s="569" t="s">
        <v>1516</v>
      </c>
      <c r="E1211" s="569" t="s">
        <v>1684</v>
      </c>
      <c r="F1211" s="569" t="s">
        <v>271</v>
      </c>
      <c r="G1211" s="569">
        <v>2019</v>
      </c>
      <c r="H1211" s="569" t="s">
        <v>2456</v>
      </c>
      <c r="I1211" s="569" t="s">
        <v>1686</v>
      </c>
      <c r="J1211" s="569" t="s">
        <v>236</v>
      </c>
      <c r="K1211" s="569">
        <v>2</v>
      </c>
      <c r="L1211" s="569">
        <v>0</v>
      </c>
      <c r="M1211" s="569" t="s">
        <v>157</v>
      </c>
      <c r="N1211" s="569">
        <v>1</v>
      </c>
      <c r="O1211" s="569">
        <v>86.5</v>
      </c>
      <c r="P1211" s="568" t="s">
        <v>157</v>
      </c>
      <c r="Q1211" s="569" t="s">
        <v>682</v>
      </c>
      <c r="R1211" s="569">
        <v>6</v>
      </c>
      <c r="S1211" s="569" t="s">
        <v>2463</v>
      </c>
      <c r="T1211" s="569" t="s">
        <v>2183</v>
      </c>
      <c r="U1211" s="569">
        <v>178</v>
      </c>
      <c r="V1211" s="569">
        <v>25</v>
      </c>
      <c r="W1211" s="620">
        <v>10360</v>
      </c>
      <c r="X1211" s="621" t="s">
        <v>157</v>
      </c>
      <c r="Y1211" s="621" t="s">
        <v>178</v>
      </c>
      <c r="Z1211" s="621" t="s">
        <v>178</v>
      </c>
      <c r="AA1211" s="622">
        <v>33975</v>
      </c>
      <c r="AB1211" s="622" t="s">
        <v>164</v>
      </c>
      <c r="AC1211" s="622">
        <v>24897.583333333336</v>
      </c>
      <c r="AD1211" s="623">
        <v>0.03</v>
      </c>
      <c r="AE1211" s="621" t="s">
        <v>2473</v>
      </c>
    </row>
    <row r="1212" spans="1:31" s="572" customFormat="1">
      <c r="A1212" s="570" t="s">
        <v>2510</v>
      </c>
      <c r="B1212" s="573" t="s">
        <v>280</v>
      </c>
      <c r="C1212" s="578">
        <v>27</v>
      </c>
      <c r="D1212" s="573" t="s">
        <v>1516</v>
      </c>
      <c r="E1212" s="573" t="s">
        <v>1684</v>
      </c>
      <c r="F1212" s="573" t="s">
        <v>271</v>
      </c>
      <c r="G1212" s="573">
        <v>2019</v>
      </c>
      <c r="H1212" s="573" t="s">
        <v>2456</v>
      </c>
      <c r="I1212" s="573" t="s">
        <v>1686</v>
      </c>
      <c r="J1212" s="573" t="s">
        <v>236</v>
      </c>
      <c r="K1212" s="573">
        <v>2</v>
      </c>
      <c r="L1212" s="573">
        <v>0</v>
      </c>
      <c r="M1212" s="573" t="s">
        <v>157</v>
      </c>
      <c r="N1212" s="573">
        <v>1</v>
      </c>
      <c r="O1212" s="573">
        <v>86.8</v>
      </c>
      <c r="P1212" s="571" t="s">
        <v>157</v>
      </c>
      <c r="Q1212" s="573" t="s">
        <v>1917</v>
      </c>
      <c r="R1212" s="573">
        <v>5</v>
      </c>
      <c r="S1212" s="582" t="s">
        <v>2476</v>
      </c>
      <c r="T1212" s="573" t="s">
        <v>2183</v>
      </c>
      <c r="U1212" s="573">
        <v>138</v>
      </c>
      <c r="V1212" s="573">
        <v>25</v>
      </c>
      <c r="W1212" s="616">
        <v>10360</v>
      </c>
      <c r="X1212" s="617" t="s">
        <v>157</v>
      </c>
      <c r="Y1212" s="617" t="s">
        <v>728</v>
      </c>
      <c r="Z1212" s="617" t="s">
        <v>1523</v>
      </c>
      <c r="AA1212" s="618">
        <v>36775</v>
      </c>
      <c r="AB1212" s="618" t="s">
        <v>164</v>
      </c>
      <c r="AC1212" s="618">
        <v>27354.416666666668</v>
      </c>
      <c r="AD1212" s="619">
        <v>0.03</v>
      </c>
      <c r="AE1212" s="617" t="s">
        <v>2475</v>
      </c>
    </row>
    <row r="1213" spans="1:31" s="572" customFormat="1">
      <c r="A1213" s="570" t="s">
        <v>2511</v>
      </c>
      <c r="B1213" s="569" t="s">
        <v>280</v>
      </c>
      <c r="C1213" s="580">
        <v>27</v>
      </c>
      <c r="D1213" s="569" t="s">
        <v>1516</v>
      </c>
      <c r="E1213" s="569" t="s">
        <v>1684</v>
      </c>
      <c r="F1213" s="569" t="s">
        <v>271</v>
      </c>
      <c r="G1213" s="569">
        <v>2019</v>
      </c>
      <c r="H1213" s="569" t="s">
        <v>2456</v>
      </c>
      <c r="I1213" s="569" t="s">
        <v>1686</v>
      </c>
      <c r="J1213" s="569" t="s">
        <v>236</v>
      </c>
      <c r="K1213" s="569">
        <v>2</v>
      </c>
      <c r="L1213" s="569">
        <v>0</v>
      </c>
      <c r="M1213" s="569" t="s">
        <v>157</v>
      </c>
      <c r="N1213" s="569">
        <v>1</v>
      </c>
      <c r="O1213" s="569">
        <v>86.8</v>
      </c>
      <c r="P1213" s="568" t="s">
        <v>157</v>
      </c>
      <c r="Q1213" s="569" t="s">
        <v>682</v>
      </c>
      <c r="R1213" s="569">
        <v>6</v>
      </c>
      <c r="S1213" s="569" t="s">
        <v>2476</v>
      </c>
      <c r="T1213" s="569" t="s">
        <v>2183</v>
      </c>
      <c r="U1213" s="569">
        <v>138</v>
      </c>
      <c r="V1213" s="569">
        <v>25</v>
      </c>
      <c r="W1213" s="620">
        <v>10360</v>
      </c>
      <c r="X1213" s="621" t="s">
        <v>157</v>
      </c>
      <c r="Y1213" s="621" t="s">
        <v>178</v>
      </c>
      <c r="Z1213" s="621" t="s">
        <v>178</v>
      </c>
      <c r="AA1213" s="622">
        <v>32780</v>
      </c>
      <c r="AB1213" s="622" t="s">
        <v>164</v>
      </c>
      <c r="AC1213" s="622">
        <v>23804.875</v>
      </c>
      <c r="AD1213" s="623">
        <v>0.03</v>
      </c>
      <c r="AE1213" s="621" t="s">
        <v>2478</v>
      </c>
    </row>
    <row r="1214" spans="1:31" s="572" customFormat="1">
      <c r="A1214" s="570" t="s">
        <v>2512</v>
      </c>
      <c r="B1214" s="573" t="s">
        <v>269</v>
      </c>
      <c r="C1214" s="578" t="s">
        <v>270</v>
      </c>
      <c r="D1214" s="573" t="s">
        <v>1516</v>
      </c>
      <c r="E1214" s="573" t="s">
        <v>1684</v>
      </c>
      <c r="F1214" s="573" t="s">
        <v>271</v>
      </c>
      <c r="G1214" s="573">
        <v>2019</v>
      </c>
      <c r="H1214" s="573" t="s">
        <v>2456</v>
      </c>
      <c r="I1214" s="573" t="s">
        <v>1757</v>
      </c>
      <c r="J1214" s="573" t="s">
        <v>236</v>
      </c>
      <c r="K1214" s="573">
        <v>2</v>
      </c>
      <c r="L1214" s="573">
        <v>0</v>
      </c>
      <c r="M1214" s="573" t="s">
        <v>157</v>
      </c>
      <c r="N1214" s="573">
        <v>1</v>
      </c>
      <c r="O1214" s="573">
        <v>87</v>
      </c>
      <c r="P1214" s="571" t="s">
        <v>157</v>
      </c>
      <c r="Q1214" s="573" t="s">
        <v>682</v>
      </c>
      <c r="R1214" s="573">
        <v>6</v>
      </c>
      <c r="S1214" s="582" t="s">
        <v>2514</v>
      </c>
      <c r="T1214" s="573" t="s">
        <v>2183</v>
      </c>
      <c r="U1214" s="573">
        <v>156</v>
      </c>
      <c r="V1214" s="573">
        <v>25</v>
      </c>
      <c r="W1214" s="616">
        <v>9500</v>
      </c>
      <c r="X1214" s="617" t="s">
        <v>157</v>
      </c>
      <c r="Y1214" s="617" t="s">
        <v>178</v>
      </c>
      <c r="Z1214" s="617" t="s">
        <v>178</v>
      </c>
      <c r="AA1214" s="618">
        <v>31775</v>
      </c>
      <c r="AB1214" s="618" t="s">
        <v>164</v>
      </c>
      <c r="AC1214" s="618">
        <v>22887.166666666668</v>
      </c>
      <c r="AD1214" s="619">
        <v>0.03</v>
      </c>
      <c r="AE1214" s="617" t="s">
        <v>2513</v>
      </c>
    </row>
    <row r="1215" spans="1:31" s="572" customFormat="1">
      <c r="A1215" s="570" t="s">
        <v>2515</v>
      </c>
      <c r="B1215" s="569" t="s">
        <v>278</v>
      </c>
      <c r="C1215" s="580">
        <v>15</v>
      </c>
      <c r="D1215" s="569" t="s">
        <v>1516</v>
      </c>
      <c r="E1215" s="569" t="s">
        <v>1684</v>
      </c>
      <c r="F1215" s="569" t="s">
        <v>271</v>
      </c>
      <c r="G1215" s="569">
        <v>2019</v>
      </c>
      <c r="H1215" s="569" t="s">
        <v>2456</v>
      </c>
      <c r="I1215" s="569" t="s">
        <v>1757</v>
      </c>
      <c r="J1215" s="569" t="s">
        <v>236</v>
      </c>
      <c r="K1215" s="569">
        <v>2</v>
      </c>
      <c r="L1215" s="569">
        <v>0</v>
      </c>
      <c r="M1215" s="569" t="s">
        <v>157</v>
      </c>
      <c r="N1215" s="569">
        <v>1</v>
      </c>
      <c r="O1215" s="569">
        <v>87.3</v>
      </c>
      <c r="P1215" s="568" t="s">
        <v>157</v>
      </c>
      <c r="Q1215" s="569" t="s">
        <v>682</v>
      </c>
      <c r="R1215" s="569">
        <v>6</v>
      </c>
      <c r="S1215" s="569" t="s">
        <v>2517</v>
      </c>
      <c r="T1215" s="569" t="s">
        <v>2183</v>
      </c>
      <c r="U1215" s="569">
        <v>138</v>
      </c>
      <c r="V1215" s="569">
        <v>25</v>
      </c>
      <c r="W1215" s="620">
        <v>9500</v>
      </c>
      <c r="X1215" s="621" t="s">
        <v>157</v>
      </c>
      <c r="Y1215" s="621" t="s">
        <v>178</v>
      </c>
      <c r="Z1215" s="621" t="s">
        <v>178</v>
      </c>
      <c r="AA1215" s="622">
        <v>31575</v>
      </c>
      <c r="AB1215" s="622" t="s">
        <v>164</v>
      </c>
      <c r="AC1215" s="622">
        <v>23100</v>
      </c>
      <c r="AD1215" s="623">
        <v>0.01</v>
      </c>
      <c r="AE1215" s="621" t="s">
        <v>2516</v>
      </c>
    </row>
    <row r="1216" spans="1:31" s="572" customFormat="1">
      <c r="A1216" s="570" t="s">
        <v>2518</v>
      </c>
      <c r="B1216" s="573" t="s">
        <v>278</v>
      </c>
      <c r="C1216" s="578">
        <v>15</v>
      </c>
      <c r="D1216" s="573" t="s">
        <v>1516</v>
      </c>
      <c r="E1216" s="573" t="s">
        <v>1684</v>
      </c>
      <c r="F1216" s="573" t="s">
        <v>271</v>
      </c>
      <c r="G1216" s="573">
        <v>2019</v>
      </c>
      <c r="H1216" s="573" t="s">
        <v>2456</v>
      </c>
      <c r="I1216" s="573" t="s">
        <v>1757</v>
      </c>
      <c r="J1216" s="573" t="s">
        <v>236</v>
      </c>
      <c r="K1216" s="573">
        <v>2</v>
      </c>
      <c r="L1216" s="573">
        <v>0</v>
      </c>
      <c r="M1216" s="573" t="s">
        <v>157</v>
      </c>
      <c r="N1216" s="573">
        <v>1</v>
      </c>
      <c r="O1216" s="573">
        <v>87</v>
      </c>
      <c r="P1216" s="571" t="s">
        <v>157</v>
      </c>
      <c r="Q1216" s="573" t="s">
        <v>682</v>
      </c>
      <c r="R1216" s="573">
        <v>6</v>
      </c>
      <c r="S1216" s="582" t="s">
        <v>2514</v>
      </c>
      <c r="T1216" s="573" t="s">
        <v>2183</v>
      </c>
      <c r="U1216" s="573">
        <v>156</v>
      </c>
      <c r="V1216" s="573">
        <v>25</v>
      </c>
      <c r="W1216" s="616">
        <v>9500</v>
      </c>
      <c r="X1216" s="617" t="s">
        <v>157</v>
      </c>
      <c r="Y1216" s="617" t="s">
        <v>178</v>
      </c>
      <c r="Z1216" s="617" t="s">
        <v>178</v>
      </c>
      <c r="AA1216" s="618">
        <v>31775</v>
      </c>
      <c r="AB1216" s="618" t="s">
        <v>164</v>
      </c>
      <c r="AC1216" s="618">
        <v>23300</v>
      </c>
      <c r="AD1216" s="619">
        <v>0.01</v>
      </c>
      <c r="AE1216" s="617" t="s">
        <v>2513</v>
      </c>
    </row>
    <row r="1217" spans="1:31" s="572" customFormat="1">
      <c r="A1217" s="570" t="s">
        <v>2519</v>
      </c>
      <c r="B1217" s="569" t="s">
        <v>287</v>
      </c>
      <c r="C1217" s="580">
        <v>26</v>
      </c>
      <c r="D1217" s="569" t="s">
        <v>1516</v>
      </c>
      <c r="E1217" s="569" t="s">
        <v>1684</v>
      </c>
      <c r="F1217" s="569" t="s">
        <v>271</v>
      </c>
      <c r="G1217" s="569">
        <v>2019</v>
      </c>
      <c r="H1217" s="569" t="s">
        <v>2456</v>
      </c>
      <c r="I1217" s="569" t="s">
        <v>1757</v>
      </c>
      <c r="J1217" s="569" t="s">
        <v>236</v>
      </c>
      <c r="K1217" s="569">
        <v>2</v>
      </c>
      <c r="L1217" s="569">
        <v>0</v>
      </c>
      <c r="M1217" s="569" t="s">
        <v>157</v>
      </c>
      <c r="N1217" s="569">
        <v>1</v>
      </c>
      <c r="O1217" s="569">
        <v>87.3</v>
      </c>
      <c r="P1217" s="568" t="s">
        <v>157</v>
      </c>
      <c r="Q1217" s="569" t="s">
        <v>1917</v>
      </c>
      <c r="R1217" s="569">
        <v>5</v>
      </c>
      <c r="S1217" s="569" t="s">
        <v>2517</v>
      </c>
      <c r="T1217" s="569" t="s">
        <v>2183</v>
      </c>
      <c r="U1217" s="569">
        <v>138</v>
      </c>
      <c r="V1217" s="569">
        <v>25</v>
      </c>
      <c r="W1217" s="620">
        <v>9500</v>
      </c>
      <c r="X1217" s="621" t="s">
        <v>157</v>
      </c>
      <c r="Y1217" s="621" t="s">
        <v>728</v>
      </c>
      <c r="Z1217" s="621" t="s">
        <v>1523</v>
      </c>
      <c r="AA1217" s="622">
        <v>35770</v>
      </c>
      <c r="AB1217" s="622" t="s">
        <v>164</v>
      </c>
      <c r="AC1217" s="622">
        <v>27203</v>
      </c>
      <c r="AD1217" s="623">
        <v>0.05</v>
      </c>
      <c r="AE1217" s="621" t="s">
        <v>2520</v>
      </c>
    </row>
    <row r="1218" spans="1:31" s="572" customFormat="1">
      <c r="A1218" s="570" t="s">
        <v>2521</v>
      </c>
      <c r="B1218" s="573" t="s">
        <v>287</v>
      </c>
      <c r="C1218" s="578">
        <v>26</v>
      </c>
      <c r="D1218" s="573" t="s">
        <v>1516</v>
      </c>
      <c r="E1218" s="573" t="s">
        <v>1684</v>
      </c>
      <c r="F1218" s="573" t="s">
        <v>271</v>
      </c>
      <c r="G1218" s="573">
        <v>2019</v>
      </c>
      <c r="H1218" s="573" t="s">
        <v>2456</v>
      </c>
      <c r="I1218" s="573" t="s">
        <v>1757</v>
      </c>
      <c r="J1218" s="573" t="s">
        <v>236</v>
      </c>
      <c r="K1218" s="573">
        <v>2</v>
      </c>
      <c r="L1218" s="573">
        <v>0</v>
      </c>
      <c r="M1218" s="573" t="s">
        <v>157</v>
      </c>
      <c r="N1218" s="573">
        <v>1</v>
      </c>
      <c r="O1218" s="573">
        <v>87.3</v>
      </c>
      <c r="P1218" s="571" t="s">
        <v>157</v>
      </c>
      <c r="Q1218" s="573" t="s">
        <v>682</v>
      </c>
      <c r="R1218" s="573">
        <v>6</v>
      </c>
      <c r="S1218" s="582" t="s">
        <v>2517</v>
      </c>
      <c r="T1218" s="573" t="s">
        <v>2183</v>
      </c>
      <c r="U1218" s="573">
        <v>138</v>
      </c>
      <c r="V1218" s="573">
        <v>25</v>
      </c>
      <c r="W1218" s="616">
        <v>9500</v>
      </c>
      <c r="X1218" s="617" t="s">
        <v>157</v>
      </c>
      <c r="Y1218" s="617" t="s">
        <v>178</v>
      </c>
      <c r="Z1218" s="617" t="s">
        <v>178</v>
      </c>
      <c r="AA1218" s="618">
        <v>31775</v>
      </c>
      <c r="AB1218" s="618" t="s">
        <v>164</v>
      </c>
      <c r="AC1218" s="618">
        <v>23564</v>
      </c>
      <c r="AD1218" s="619">
        <v>0.05</v>
      </c>
      <c r="AE1218" s="617" t="s">
        <v>2516</v>
      </c>
    </row>
    <row r="1219" spans="1:31" s="572" customFormat="1">
      <c r="A1219" s="570" t="s">
        <v>2522</v>
      </c>
      <c r="B1219" s="569" t="s">
        <v>287</v>
      </c>
      <c r="C1219" s="580">
        <v>26</v>
      </c>
      <c r="D1219" s="569" t="s">
        <v>1516</v>
      </c>
      <c r="E1219" s="569" t="s">
        <v>1684</v>
      </c>
      <c r="F1219" s="569" t="s">
        <v>271</v>
      </c>
      <c r="G1219" s="569">
        <v>2019</v>
      </c>
      <c r="H1219" s="569" t="s">
        <v>2456</v>
      </c>
      <c r="I1219" s="569" t="s">
        <v>1757</v>
      </c>
      <c r="J1219" s="569" t="s">
        <v>236</v>
      </c>
      <c r="K1219" s="569">
        <v>2</v>
      </c>
      <c r="L1219" s="569">
        <v>0</v>
      </c>
      <c r="M1219" s="569" t="s">
        <v>157</v>
      </c>
      <c r="N1219" s="569">
        <v>1</v>
      </c>
      <c r="O1219" s="569">
        <v>87</v>
      </c>
      <c r="P1219" s="568" t="s">
        <v>157</v>
      </c>
      <c r="Q1219" s="569" t="s">
        <v>1917</v>
      </c>
      <c r="R1219" s="569">
        <v>5</v>
      </c>
      <c r="S1219" s="569" t="s">
        <v>2514</v>
      </c>
      <c r="T1219" s="569" t="s">
        <v>2183</v>
      </c>
      <c r="U1219" s="569">
        <v>156</v>
      </c>
      <c r="V1219" s="569">
        <v>25</v>
      </c>
      <c r="W1219" s="620">
        <v>9500</v>
      </c>
      <c r="X1219" s="621" t="s">
        <v>157</v>
      </c>
      <c r="Y1219" s="621" t="s">
        <v>728</v>
      </c>
      <c r="Z1219" s="621" t="s">
        <v>1523</v>
      </c>
      <c r="AA1219" s="622">
        <v>35570</v>
      </c>
      <c r="AB1219" s="622" t="s">
        <v>164</v>
      </c>
      <c r="AC1219" s="622">
        <v>27015</v>
      </c>
      <c r="AD1219" s="623">
        <v>0.05</v>
      </c>
      <c r="AE1219" s="621" t="s">
        <v>2523</v>
      </c>
    </row>
    <row r="1220" spans="1:31" s="572" customFormat="1">
      <c r="A1220" s="570" t="s">
        <v>2524</v>
      </c>
      <c r="B1220" s="573" t="s">
        <v>287</v>
      </c>
      <c r="C1220" s="578">
        <v>26</v>
      </c>
      <c r="D1220" s="573" t="s">
        <v>1516</v>
      </c>
      <c r="E1220" s="573" t="s">
        <v>1684</v>
      </c>
      <c r="F1220" s="573" t="s">
        <v>271</v>
      </c>
      <c r="G1220" s="573">
        <v>2019</v>
      </c>
      <c r="H1220" s="573" t="s">
        <v>2456</v>
      </c>
      <c r="I1220" s="573" t="s">
        <v>1757</v>
      </c>
      <c r="J1220" s="573" t="s">
        <v>236</v>
      </c>
      <c r="K1220" s="573">
        <v>2</v>
      </c>
      <c r="L1220" s="573">
        <v>0</v>
      </c>
      <c r="M1220" s="573" t="s">
        <v>157</v>
      </c>
      <c r="N1220" s="573">
        <v>1</v>
      </c>
      <c r="O1220" s="573">
        <v>87</v>
      </c>
      <c r="P1220" s="571" t="s">
        <v>157</v>
      </c>
      <c r="Q1220" s="573" t="s">
        <v>682</v>
      </c>
      <c r="R1220" s="573">
        <v>6</v>
      </c>
      <c r="S1220" s="582" t="s">
        <v>2514</v>
      </c>
      <c r="T1220" s="573" t="s">
        <v>2183</v>
      </c>
      <c r="U1220" s="573">
        <v>156</v>
      </c>
      <c r="V1220" s="573">
        <v>25</v>
      </c>
      <c r="W1220" s="616">
        <v>9500</v>
      </c>
      <c r="X1220" s="617" t="s">
        <v>157</v>
      </c>
      <c r="Y1220" s="617" t="s">
        <v>178</v>
      </c>
      <c r="Z1220" s="617" t="s">
        <v>178</v>
      </c>
      <c r="AA1220" s="618">
        <v>31775</v>
      </c>
      <c r="AB1220" s="618" t="s">
        <v>164</v>
      </c>
      <c r="AC1220" s="618">
        <v>23377</v>
      </c>
      <c r="AD1220" s="619">
        <v>0.05</v>
      </c>
      <c r="AE1220" s="617" t="s">
        <v>2513</v>
      </c>
    </row>
    <row r="1221" spans="1:31" s="572" customFormat="1">
      <c r="A1221" s="570" t="s">
        <v>2525</v>
      </c>
      <c r="B1221" s="569" t="s">
        <v>280</v>
      </c>
      <c r="C1221" s="580">
        <v>27</v>
      </c>
      <c r="D1221" s="569" t="s">
        <v>1516</v>
      </c>
      <c r="E1221" s="569" t="s">
        <v>1684</v>
      </c>
      <c r="F1221" s="569" t="s">
        <v>271</v>
      </c>
      <c r="G1221" s="569">
        <v>2019</v>
      </c>
      <c r="H1221" s="569" t="s">
        <v>2456</v>
      </c>
      <c r="I1221" s="569" t="s">
        <v>1757</v>
      </c>
      <c r="J1221" s="569" t="s">
        <v>236</v>
      </c>
      <c r="K1221" s="569">
        <v>2</v>
      </c>
      <c r="L1221" s="569">
        <v>0</v>
      </c>
      <c r="M1221" s="569" t="s">
        <v>157</v>
      </c>
      <c r="N1221" s="569">
        <v>1</v>
      </c>
      <c r="O1221" s="569">
        <v>87</v>
      </c>
      <c r="P1221" s="568" t="s">
        <v>157</v>
      </c>
      <c r="Q1221" s="569" t="s">
        <v>682</v>
      </c>
      <c r="R1221" s="569">
        <v>6</v>
      </c>
      <c r="S1221" s="569" t="s">
        <v>2514</v>
      </c>
      <c r="T1221" s="569" t="s">
        <v>2183</v>
      </c>
      <c r="U1221" s="569">
        <v>156</v>
      </c>
      <c r="V1221" s="569">
        <v>25</v>
      </c>
      <c r="W1221" s="620">
        <v>9500</v>
      </c>
      <c r="X1221" s="621" t="s">
        <v>157</v>
      </c>
      <c r="Y1221" s="621" t="s">
        <v>178</v>
      </c>
      <c r="Z1221" s="621" t="s">
        <v>178</v>
      </c>
      <c r="AA1221" s="622">
        <v>31775</v>
      </c>
      <c r="AB1221" s="622" t="s">
        <v>164</v>
      </c>
      <c r="AC1221" s="622">
        <v>22887.166666666668</v>
      </c>
      <c r="AD1221" s="623">
        <v>0.03</v>
      </c>
      <c r="AE1221" s="621" t="s">
        <v>2513</v>
      </c>
    </row>
    <row r="1222" spans="1:31" s="572" customFormat="1">
      <c r="A1222" s="570" t="s">
        <v>2526</v>
      </c>
      <c r="B1222" s="573" t="s">
        <v>269</v>
      </c>
      <c r="C1222" s="578" t="s">
        <v>270</v>
      </c>
      <c r="D1222" s="573" t="s">
        <v>1516</v>
      </c>
      <c r="E1222" s="573" t="s">
        <v>1571</v>
      </c>
      <c r="F1222" s="573" t="s">
        <v>271</v>
      </c>
      <c r="G1222" s="573">
        <v>2019</v>
      </c>
      <c r="H1222" s="573" t="s">
        <v>2528</v>
      </c>
      <c r="I1222" s="573" t="s">
        <v>2529</v>
      </c>
      <c r="J1222" s="573" t="s">
        <v>236</v>
      </c>
      <c r="K1222" s="573">
        <v>2</v>
      </c>
      <c r="L1222" s="573">
        <v>0</v>
      </c>
      <c r="M1222" s="573" t="s">
        <v>157</v>
      </c>
      <c r="N1222" s="573">
        <v>1</v>
      </c>
      <c r="O1222" s="573">
        <v>109.4</v>
      </c>
      <c r="P1222" s="571" t="s">
        <v>157</v>
      </c>
      <c r="Q1222" s="573" t="s">
        <v>1917</v>
      </c>
      <c r="R1222" s="573">
        <v>5</v>
      </c>
      <c r="S1222" s="582" t="s">
        <v>2530</v>
      </c>
      <c r="T1222" s="573" t="s">
        <v>1894</v>
      </c>
      <c r="U1222" s="573">
        <v>147.6</v>
      </c>
      <c r="V1222" s="573">
        <v>25</v>
      </c>
      <c r="W1222" s="616">
        <v>9950</v>
      </c>
      <c r="X1222" s="617" t="s">
        <v>157</v>
      </c>
      <c r="Y1222" s="617" t="s">
        <v>728</v>
      </c>
      <c r="Z1222" s="617" t="s">
        <v>1523</v>
      </c>
      <c r="AA1222" s="618">
        <v>47245</v>
      </c>
      <c r="AB1222" s="618" t="s">
        <v>164</v>
      </c>
      <c r="AC1222" s="618">
        <v>36925.25</v>
      </c>
      <c r="AD1222" s="619">
        <v>0.03</v>
      </c>
      <c r="AE1222" s="617" t="s">
        <v>2527</v>
      </c>
    </row>
    <row r="1223" spans="1:31" s="572" customFormat="1">
      <c r="A1223" s="570" t="s">
        <v>2531</v>
      </c>
      <c r="B1223" s="569" t="s">
        <v>269</v>
      </c>
      <c r="C1223" s="580" t="s">
        <v>270</v>
      </c>
      <c r="D1223" s="569" t="s">
        <v>1516</v>
      </c>
      <c r="E1223" s="569" t="s">
        <v>1571</v>
      </c>
      <c r="F1223" s="569" t="s">
        <v>271</v>
      </c>
      <c r="G1223" s="569">
        <v>2019</v>
      </c>
      <c r="H1223" s="569" t="s">
        <v>2528</v>
      </c>
      <c r="I1223" s="569" t="s">
        <v>2529</v>
      </c>
      <c r="J1223" s="569" t="s">
        <v>236</v>
      </c>
      <c r="K1223" s="569">
        <v>2</v>
      </c>
      <c r="L1223" s="569">
        <v>0</v>
      </c>
      <c r="M1223" s="569" t="s">
        <v>157</v>
      </c>
      <c r="N1223" s="569">
        <v>1</v>
      </c>
      <c r="O1223" s="569">
        <v>109.4</v>
      </c>
      <c r="P1223" s="568" t="s">
        <v>157</v>
      </c>
      <c r="Q1223" s="569" t="s">
        <v>1917</v>
      </c>
      <c r="R1223" s="569">
        <v>5</v>
      </c>
      <c r="S1223" s="569" t="s">
        <v>2533</v>
      </c>
      <c r="T1223" s="569" t="s">
        <v>1894</v>
      </c>
      <c r="U1223" s="569">
        <v>147.6</v>
      </c>
      <c r="V1223" s="569">
        <v>25</v>
      </c>
      <c r="W1223" s="620">
        <v>10360</v>
      </c>
      <c r="X1223" s="621" t="s">
        <v>157</v>
      </c>
      <c r="Y1223" s="621" t="s">
        <v>728</v>
      </c>
      <c r="Z1223" s="621" t="s">
        <v>1523</v>
      </c>
      <c r="AA1223" s="622">
        <v>47595</v>
      </c>
      <c r="AB1223" s="622" t="s">
        <v>164</v>
      </c>
      <c r="AC1223" s="622">
        <v>37245.041666666664</v>
      </c>
      <c r="AD1223" s="623">
        <v>0.03</v>
      </c>
      <c r="AE1223" s="621" t="s">
        <v>2532</v>
      </c>
    </row>
    <row r="1224" spans="1:31" s="572" customFormat="1">
      <c r="A1224" s="570" t="s">
        <v>2534</v>
      </c>
      <c r="B1224" s="573" t="s">
        <v>269</v>
      </c>
      <c r="C1224" s="578" t="s">
        <v>270</v>
      </c>
      <c r="D1224" s="573" t="s">
        <v>1516</v>
      </c>
      <c r="E1224" s="573" t="s">
        <v>1571</v>
      </c>
      <c r="F1224" s="573" t="s">
        <v>271</v>
      </c>
      <c r="G1224" s="573">
        <v>2019</v>
      </c>
      <c r="H1224" s="573" t="s">
        <v>2528</v>
      </c>
      <c r="I1224" s="573" t="s">
        <v>2529</v>
      </c>
      <c r="J1224" s="573" t="s">
        <v>236</v>
      </c>
      <c r="K1224" s="573">
        <v>2</v>
      </c>
      <c r="L1224" s="573">
        <v>0</v>
      </c>
      <c r="M1224" s="573" t="s">
        <v>157</v>
      </c>
      <c r="N1224" s="573">
        <v>1</v>
      </c>
      <c r="O1224" s="573">
        <v>109.4</v>
      </c>
      <c r="P1224" s="571" t="s">
        <v>157</v>
      </c>
      <c r="Q1224" s="573" t="s">
        <v>1259</v>
      </c>
      <c r="R1224" s="573">
        <v>6</v>
      </c>
      <c r="S1224" s="582" t="s">
        <v>2530</v>
      </c>
      <c r="T1224" s="573" t="s">
        <v>1894</v>
      </c>
      <c r="U1224" s="573">
        <v>147.6</v>
      </c>
      <c r="V1224" s="573">
        <v>25</v>
      </c>
      <c r="W1224" s="616">
        <v>9950</v>
      </c>
      <c r="X1224" s="617" t="s">
        <v>157</v>
      </c>
      <c r="Y1224" s="617" t="s">
        <v>178</v>
      </c>
      <c r="Z1224" s="617" t="s">
        <v>178</v>
      </c>
      <c r="AA1224" s="618">
        <v>45115</v>
      </c>
      <c r="AB1224" s="618" t="s">
        <v>164</v>
      </c>
      <c r="AC1224" s="618">
        <v>35031.958333333336</v>
      </c>
      <c r="AD1224" s="619">
        <v>0.03</v>
      </c>
      <c r="AE1224" s="617" t="s">
        <v>2535</v>
      </c>
    </row>
    <row r="1225" spans="1:31" s="572" customFormat="1">
      <c r="A1225" s="570" t="s">
        <v>2536</v>
      </c>
      <c r="B1225" s="569" t="s">
        <v>269</v>
      </c>
      <c r="C1225" s="580" t="s">
        <v>270</v>
      </c>
      <c r="D1225" s="569" t="s">
        <v>1516</v>
      </c>
      <c r="E1225" s="569" t="s">
        <v>1571</v>
      </c>
      <c r="F1225" s="569" t="s">
        <v>271</v>
      </c>
      <c r="G1225" s="569">
        <v>2019</v>
      </c>
      <c r="H1225" s="569" t="s">
        <v>2528</v>
      </c>
      <c r="I1225" s="569" t="s">
        <v>2529</v>
      </c>
      <c r="J1225" s="569" t="s">
        <v>236</v>
      </c>
      <c r="K1225" s="569">
        <v>2</v>
      </c>
      <c r="L1225" s="569">
        <v>0</v>
      </c>
      <c r="M1225" s="569" t="s">
        <v>157</v>
      </c>
      <c r="N1225" s="569">
        <v>1</v>
      </c>
      <c r="O1225" s="569">
        <v>109.4</v>
      </c>
      <c r="P1225" s="568" t="s">
        <v>157</v>
      </c>
      <c r="Q1225" s="569" t="s">
        <v>1259</v>
      </c>
      <c r="R1225" s="569">
        <v>6</v>
      </c>
      <c r="S1225" s="569" t="s">
        <v>2533</v>
      </c>
      <c r="T1225" s="569" t="s">
        <v>1894</v>
      </c>
      <c r="U1225" s="569">
        <v>147.6</v>
      </c>
      <c r="V1225" s="569">
        <v>25</v>
      </c>
      <c r="W1225" s="620">
        <v>10360</v>
      </c>
      <c r="X1225" s="621" t="s">
        <v>157</v>
      </c>
      <c r="Y1225" s="621" t="s">
        <v>178</v>
      </c>
      <c r="Z1225" s="621" t="s">
        <v>178</v>
      </c>
      <c r="AA1225" s="622">
        <v>45465</v>
      </c>
      <c r="AB1225" s="622" t="s">
        <v>164</v>
      </c>
      <c r="AC1225" s="622">
        <v>35351.75</v>
      </c>
      <c r="AD1225" s="623">
        <v>0.03</v>
      </c>
      <c r="AE1225" s="621" t="s">
        <v>2537</v>
      </c>
    </row>
    <row r="1226" spans="1:31" s="572" customFormat="1">
      <c r="A1226" s="570" t="s">
        <v>2538</v>
      </c>
      <c r="B1226" s="573" t="s">
        <v>269</v>
      </c>
      <c r="C1226" s="578" t="s">
        <v>270</v>
      </c>
      <c r="D1226" s="573" t="s">
        <v>1516</v>
      </c>
      <c r="E1226" s="573" t="s">
        <v>1571</v>
      </c>
      <c r="F1226" s="573" t="s">
        <v>271</v>
      </c>
      <c r="G1226" s="573">
        <v>2019</v>
      </c>
      <c r="H1226" s="573" t="s">
        <v>2528</v>
      </c>
      <c r="I1226" s="573" t="s">
        <v>2529</v>
      </c>
      <c r="J1226" s="573" t="s">
        <v>236</v>
      </c>
      <c r="K1226" s="573">
        <v>2</v>
      </c>
      <c r="L1226" s="573">
        <v>0</v>
      </c>
      <c r="M1226" s="573" t="s">
        <v>157</v>
      </c>
      <c r="N1226" s="573">
        <v>1</v>
      </c>
      <c r="O1226" s="573">
        <v>109.4</v>
      </c>
      <c r="P1226" s="571" t="s">
        <v>157</v>
      </c>
      <c r="Q1226" s="573" t="s">
        <v>682</v>
      </c>
      <c r="R1226" s="573">
        <v>6</v>
      </c>
      <c r="S1226" s="582" t="s">
        <v>2530</v>
      </c>
      <c r="T1226" s="573" t="s">
        <v>1894</v>
      </c>
      <c r="U1226" s="573">
        <v>147.6</v>
      </c>
      <c r="V1226" s="573">
        <v>25</v>
      </c>
      <c r="W1226" s="616">
        <v>9500</v>
      </c>
      <c r="X1226" s="617" t="s">
        <v>157</v>
      </c>
      <c r="Y1226" s="617" t="s">
        <v>178</v>
      </c>
      <c r="Z1226" s="617" t="s">
        <v>178</v>
      </c>
      <c r="AA1226" s="618">
        <v>43250</v>
      </c>
      <c r="AB1226" s="618" t="s">
        <v>164</v>
      </c>
      <c r="AC1226" s="618">
        <v>33375.708333333336</v>
      </c>
      <c r="AD1226" s="619">
        <v>0.03</v>
      </c>
      <c r="AE1226" s="617" t="s">
        <v>2539</v>
      </c>
    </row>
    <row r="1227" spans="1:31" s="572" customFormat="1">
      <c r="A1227" s="570" t="s">
        <v>2540</v>
      </c>
      <c r="B1227" s="569" t="s">
        <v>269</v>
      </c>
      <c r="C1227" s="580" t="s">
        <v>270</v>
      </c>
      <c r="D1227" s="569" t="s">
        <v>1516</v>
      </c>
      <c r="E1227" s="569" t="s">
        <v>1571</v>
      </c>
      <c r="F1227" s="569" t="s">
        <v>271</v>
      </c>
      <c r="G1227" s="569">
        <v>2019</v>
      </c>
      <c r="H1227" s="569" t="s">
        <v>2528</v>
      </c>
      <c r="I1227" s="569" t="s">
        <v>2529</v>
      </c>
      <c r="J1227" s="569" t="s">
        <v>236</v>
      </c>
      <c r="K1227" s="569">
        <v>2</v>
      </c>
      <c r="L1227" s="569">
        <v>0</v>
      </c>
      <c r="M1227" s="569" t="s">
        <v>157</v>
      </c>
      <c r="N1227" s="569">
        <v>1</v>
      </c>
      <c r="O1227" s="569">
        <v>109.4</v>
      </c>
      <c r="P1227" s="568" t="s">
        <v>157</v>
      </c>
      <c r="Q1227" s="569" t="s">
        <v>682</v>
      </c>
      <c r="R1227" s="569">
        <v>6</v>
      </c>
      <c r="S1227" s="569" t="s">
        <v>2533</v>
      </c>
      <c r="T1227" s="569" t="s">
        <v>1894</v>
      </c>
      <c r="U1227" s="569">
        <v>147.6</v>
      </c>
      <c r="V1227" s="569">
        <v>25</v>
      </c>
      <c r="W1227" s="620">
        <v>10360</v>
      </c>
      <c r="X1227" s="621" t="s">
        <v>157</v>
      </c>
      <c r="Y1227" s="621" t="s">
        <v>178</v>
      </c>
      <c r="Z1227" s="621" t="s">
        <v>178</v>
      </c>
      <c r="AA1227" s="622">
        <v>43600</v>
      </c>
      <c r="AB1227" s="622" t="s">
        <v>164</v>
      </c>
      <c r="AC1227" s="622">
        <v>33695.5</v>
      </c>
      <c r="AD1227" s="623">
        <v>0.03</v>
      </c>
      <c r="AE1227" s="621" t="s">
        <v>2541</v>
      </c>
    </row>
    <row r="1228" spans="1:31" s="572" customFormat="1">
      <c r="A1228" s="570" t="s">
        <v>2542</v>
      </c>
      <c r="B1228" s="573" t="s">
        <v>278</v>
      </c>
      <c r="C1228" s="578">
        <v>15</v>
      </c>
      <c r="D1228" s="573" t="s">
        <v>1516</v>
      </c>
      <c r="E1228" s="573" t="s">
        <v>1571</v>
      </c>
      <c r="F1228" s="573" t="s">
        <v>271</v>
      </c>
      <c r="G1228" s="573">
        <v>2019</v>
      </c>
      <c r="H1228" s="573" t="s">
        <v>2528</v>
      </c>
      <c r="I1228" s="573" t="s">
        <v>2529</v>
      </c>
      <c r="J1228" s="573" t="s">
        <v>236</v>
      </c>
      <c r="K1228" s="573">
        <v>2</v>
      </c>
      <c r="L1228" s="573">
        <v>0</v>
      </c>
      <c r="M1228" s="573" t="s">
        <v>157</v>
      </c>
      <c r="N1228" s="573">
        <v>1</v>
      </c>
      <c r="O1228" s="573">
        <v>109.4</v>
      </c>
      <c r="P1228" s="571" t="s">
        <v>157</v>
      </c>
      <c r="Q1228" s="573" t="s">
        <v>1917</v>
      </c>
      <c r="R1228" s="573">
        <v>5</v>
      </c>
      <c r="S1228" s="582" t="s">
        <v>2530</v>
      </c>
      <c r="T1228" s="573" t="s">
        <v>1894</v>
      </c>
      <c r="U1228" s="573">
        <v>147.6</v>
      </c>
      <c r="V1228" s="573">
        <v>25</v>
      </c>
      <c r="W1228" s="616">
        <v>9950</v>
      </c>
      <c r="X1228" s="617" t="s">
        <v>157</v>
      </c>
      <c r="Y1228" s="617" t="s">
        <v>728</v>
      </c>
      <c r="Z1228" s="617" t="s">
        <v>1523</v>
      </c>
      <c r="AA1228" s="618">
        <v>47245</v>
      </c>
      <c r="AB1228" s="618" t="s">
        <v>164</v>
      </c>
      <c r="AC1228" s="618">
        <v>37700</v>
      </c>
      <c r="AD1228" s="619">
        <v>0.01</v>
      </c>
      <c r="AE1228" s="617" t="s">
        <v>2527</v>
      </c>
    </row>
    <row r="1229" spans="1:31" s="572" customFormat="1">
      <c r="A1229" s="570" t="s">
        <v>2543</v>
      </c>
      <c r="B1229" s="569" t="s">
        <v>278</v>
      </c>
      <c r="C1229" s="580">
        <v>15</v>
      </c>
      <c r="D1229" s="569" t="s">
        <v>1516</v>
      </c>
      <c r="E1229" s="569" t="s">
        <v>1571</v>
      </c>
      <c r="F1229" s="569" t="s">
        <v>271</v>
      </c>
      <c r="G1229" s="569">
        <v>2019</v>
      </c>
      <c r="H1229" s="569" t="s">
        <v>2528</v>
      </c>
      <c r="I1229" s="569" t="s">
        <v>2529</v>
      </c>
      <c r="J1229" s="569" t="s">
        <v>236</v>
      </c>
      <c r="K1229" s="569">
        <v>2</v>
      </c>
      <c r="L1229" s="569">
        <v>0</v>
      </c>
      <c r="M1229" s="569" t="s">
        <v>157</v>
      </c>
      <c r="N1229" s="569">
        <v>1</v>
      </c>
      <c r="O1229" s="569">
        <v>109.4</v>
      </c>
      <c r="P1229" s="568" t="s">
        <v>157</v>
      </c>
      <c r="Q1229" s="569" t="s">
        <v>1917</v>
      </c>
      <c r="R1229" s="569">
        <v>5</v>
      </c>
      <c r="S1229" s="569" t="s">
        <v>2533</v>
      </c>
      <c r="T1229" s="569" t="s">
        <v>1894</v>
      </c>
      <c r="U1229" s="569">
        <v>147.6</v>
      </c>
      <c r="V1229" s="569">
        <v>25</v>
      </c>
      <c r="W1229" s="620">
        <v>10360</v>
      </c>
      <c r="X1229" s="621" t="s">
        <v>157</v>
      </c>
      <c r="Y1229" s="621" t="s">
        <v>728</v>
      </c>
      <c r="Z1229" s="621" t="s">
        <v>1523</v>
      </c>
      <c r="AA1229" s="622">
        <v>47595</v>
      </c>
      <c r="AB1229" s="622" t="s">
        <v>164</v>
      </c>
      <c r="AC1229" s="622">
        <v>38000</v>
      </c>
      <c r="AD1229" s="623">
        <v>0.01</v>
      </c>
      <c r="AE1229" s="621" t="s">
        <v>2532</v>
      </c>
    </row>
    <row r="1230" spans="1:31" s="572" customFormat="1">
      <c r="A1230" s="570" t="s">
        <v>2544</v>
      </c>
      <c r="B1230" s="573" t="s">
        <v>278</v>
      </c>
      <c r="C1230" s="578">
        <v>15</v>
      </c>
      <c r="D1230" s="573" t="s">
        <v>1516</v>
      </c>
      <c r="E1230" s="573" t="s">
        <v>1571</v>
      </c>
      <c r="F1230" s="573" t="s">
        <v>271</v>
      </c>
      <c r="G1230" s="573">
        <v>2019</v>
      </c>
      <c r="H1230" s="573" t="s">
        <v>2528</v>
      </c>
      <c r="I1230" s="573" t="s">
        <v>2529</v>
      </c>
      <c r="J1230" s="573" t="s">
        <v>236</v>
      </c>
      <c r="K1230" s="573">
        <v>2</v>
      </c>
      <c r="L1230" s="573">
        <v>0</v>
      </c>
      <c r="M1230" s="573" t="s">
        <v>157</v>
      </c>
      <c r="N1230" s="573">
        <v>1</v>
      </c>
      <c r="O1230" s="573">
        <v>109.4</v>
      </c>
      <c r="P1230" s="571" t="s">
        <v>157</v>
      </c>
      <c r="Q1230" s="573" t="s">
        <v>1259</v>
      </c>
      <c r="R1230" s="573">
        <v>6</v>
      </c>
      <c r="S1230" s="582" t="s">
        <v>2530</v>
      </c>
      <c r="T1230" s="573" t="s">
        <v>1894</v>
      </c>
      <c r="U1230" s="573">
        <v>147.6</v>
      </c>
      <c r="V1230" s="573">
        <v>25</v>
      </c>
      <c r="W1230" s="616">
        <v>9950</v>
      </c>
      <c r="X1230" s="617" t="s">
        <v>157</v>
      </c>
      <c r="Y1230" s="617" t="s">
        <v>178</v>
      </c>
      <c r="Z1230" s="617" t="s">
        <v>178</v>
      </c>
      <c r="AA1230" s="618">
        <v>45115</v>
      </c>
      <c r="AB1230" s="618" t="s">
        <v>164</v>
      </c>
      <c r="AC1230" s="618">
        <v>35700</v>
      </c>
      <c r="AD1230" s="619">
        <v>0.01</v>
      </c>
      <c r="AE1230" s="617" t="s">
        <v>2535</v>
      </c>
    </row>
    <row r="1231" spans="1:31" s="572" customFormat="1">
      <c r="A1231" s="570" t="s">
        <v>2545</v>
      </c>
      <c r="B1231" s="569" t="s">
        <v>278</v>
      </c>
      <c r="C1231" s="580">
        <v>15</v>
      </c>
      <c r="D1231" s="569" t="s">
        <v>1516</v>
      </c>
      <c r="E1231" s="569" t="s">
        <v>1571</v>
      </c>
      <c r="F1231" s="569" t="s">
        <v>271</v>
      </c>
      <c r="G1231" s="569">
        <v>2019</v>
      </c>
      <c r="H1231" s="569" t="s">
        <v>2528</v>
      </c>
      <c r="I1231" s="569" t="s">
        <v>2529</v>
      </c>
      <c r="J1231" s="569" t="s">
        <v>236</v>
      </c>
      <c r="K1231" s="569">
        <v>2</v>
      </c>
      <c r="L1231" s="569">
        <v>0</v>
      </c>
      <c r="M1231" s="569" t="s">
        <v>157</v>
      </c>
      <c r="N1231" s="569">
        <v>1</v>
      </c>
      <c r="O1231" s="569">
        <v>109.4</v>
      </c>
      <c r="P1231" s="568" t="s">
        <v>157</v>
      </c>
      <c r="Q1231" s="569" t="s">
        <v>1259</v>
      </c>
      <c r="R1231" s="569">
        <v>6</v>
      </c>
      <c r="S1231" s="569" t="s">
        <v>2533</v>
      </c>
      <c r="T1231" s="569" t="s">
        <v>1894</v>
      </c>
      <c r="U1231" s="569">
        <v>147.6</v>
      </c>
      <c r="V1231" s="569">
        <v>25</v>
      </c>
      <c r="W1231" s="620">
        <v>10360</v>
      </c>
      <c r="X1231" s="621" t="s">
        <v>157</v>
      </c>
      <c r="Y1231" s="621" t="s">
        <v>178</v>
      </c>
      <c r="Z1231" s="621" t="s">
        <v>178</v>
      </c>
      <c r="AA1231" s="622">
        <v>45465</v>
      </c>
      <c r="AB1231" s="622" t="s">
        <v>164</v>
      </c>
      <c r="AC1231" s="622">
        <v>36100</v>
      </c>
      <c r="AD1231" s="623">
        <v>0.01</v>
      </c>
      <c r="AE1231" s="621" t="s">
        <v>2537</v>
      </c>
    </row>
    <row r="1232" spans="1:31" s="572" customFormat="1">
      <c r="A1232" s="570" t="s">
        <v>2546</v>
      </c>
      <c r="B1232" s="573" t="s">
        <v>278</v>
      </c>
      <c r="C1232" s="578">
        <v>15</v>
      </c>
      <c r="D1232" s="573" t="s">
        <v>1516</v>
      </c>
      <c r="E1232" s="573" t="s">
        <v>1571</v>
      </c>
      <c r="F1232" s="573" t="s">
        <v>271</v>
      </c>
      <c r="G1232" s="573">
        <v>2019</v>
      </c>
      <c r="H1232" s="573" t="s">
        <v>2528</v>
      </c>
      <c r="I1232" s="573" t="s">
        <v>2529</v>
      </c>
      <c r="J1232" s="573" t="s">
        <v>236</v>
      </c>
      <c r="K1232" s="573">
        <v>2</v>
      </c>
      <c r="L1232" s="573">
        <v>0</v>
      </c>
      <c r="M1232" s="573" t="s">
        <v>157</v>
      </c>
      <c r="N1232" s="573">
        <v>1</v>
      </c>
      <c r="O1232" s="573">
        <v>109.4</v>
      </c>
      <c r="P1232" s="571" t="s">
        <v>157</v>
      </c>
      <c r="Q1232" s="573" t="s">
        <v>682</v>
      </c>
      <c r="R1232" s="573">
        <v>6</v>
      </c>
      <c r="S1232" s="582" t="s">
        <v>2530</v>
      </c>
      <c r="T1232" s="573" t="s">
        <v>1894</v>
      </c>
      <c r="U1232" s="573">
        <v>147.6</v>
      </c>
      <c r="V1232" s="573">
        <v>25</v>
      </c>
      <c r="W1232" s="616">
        <v>9950</v>
      </c>
      <c r="X1232" s="617" t="s">
        <v>157</v>
      </c>
      <c r="Y1232" s="617" t="s">
        <v>178</v>
      </c>
      <c r="Z1232" s="617" t="s">
        <v>178</v>
      </c>
      <c r="AA1232" s="618">
        <v>43250</v>
      </c>
      <c r="AB1232" s="618" t="s">
        <v>164</v>
      </c>
      <c r="AC1232" s="618">
        <v>34000</v>
      </c>
      <c r="AD1232" s="619">
        <v>0.01</v>
      </c>
      <c r="AE1232" s="617" t="s">
        <v>2539</v>
      </c>
    </row>
    <row r="1233" spans="1:31" s="572" customFormat="1">
      <c r="A1233" s="570" t="s">
        <v>2547</v>
      </c>
      <c r="B1233" s="569" t="s">
        <v>278</v>
      </c>
      <c r="C1233" s="580">
        <v>15</v>
      </c>
      <c r="D1233" s="569" t="s">
        <v>1516</v>
      </c>
      <c r="E1233" s="569" t="s">
        <v>1571</v>
      </c>
      <c r="F1233" s="569" t="s">
        <v>271</v>
      </c>
      <c r="G1233" s="569">
        <v>2019</v>
      </c>
      <c r="H1233" s="569" t="s">
        <v>2528</v>
      </c>
      <c r="I1233" s="569" t="s">
        <v>2529</v>
      </c>
      <c r="J1233" s="569" t="s">
        <v>236</v>
      </c>
      <c r="K1233" s="569">
        <v>2</v>
      </c>
      <c r="L1233" s="569">
        <v>0</v>
      </c>
      <c r="M1233" s="569" t="s">
        <v>157</v>
      </c>
      <c r="N1233" s="569">
        <v>1</v>
      </c>
      <c r="O1233" s="569">
        <v>109.4</v>
      </c>
      <c r="P1233" s="568" t="s">
        <v>157</v>
      </c>
      <c r="Q1233" s="569" t="s">
        <v>682</v>
      </c>
      <c r="R1233" s="569">
        <v>6</v>
      </c>
      <c r="S1233" s="569" t="s">
        <v>2533</v>
      </c>
      <c r="T1233" s="569" t="s">
        <v>1894</v>
      </c>
      <c r="U1233" s="569">
        <v>147.6</v>
      </c>
      <c r="V1233" s="569">
        <v>25</v>
      </c>
      <c r="W1233" s="620">
        <v>10360</v>
      </c>
      <c r="X1233" s="621" t="s">
        <v>157</v>
      </c>
      <c r="Y1233" s="621" t="s">
        <v>178</v>
      </c>
      <c r="Z1233" s="621" t="s">
        <v>178</v>
      </c>
      <c r="AA1233" s="622">
        <v>43600</v>
      </c>
      <c r="AB1233" s="622" t="s">
        <v>164</v>
      </c>
      <c r="AC1233" s="622">
        <v>34400</v>
      </c>
      <c r="AD1233" s="623">
        <v>0.01</v>
      </c>
      <c r="AE1233" s="621" t="s">
        <v>2541</v>
      </c>
    </row>
    <row r="1234" spans="1:31" s="572" customFormat="1">
      <c r="A1234" s="570" t="s">
        <v>2548</v>
      </c>
      <c r="B1234" s="573" t="s">
        <v>287</v>
      </c>
      <c r="C1234" s="578">
        <v>26</v>
      </c>
      <c r="D1234" s="573" t="s">
        <v>1516</v>
      </c>
      <c r="E1234" s="573" t="s">
        <v>1571</v>
      </c>
      <c r="F1234" s="573" t="s">
        <v>271</v>
      </c>
      <c r="G1234" s="573">
        <v>2019</v>
      </c>
      <c r="H1234" s="573" t="s">
        <v>2528</v>
      </c>
      <c r="I1234" s="573" t="s">
        <v>2529</v>
      </c>
      <c r="J1234" s="573" t="s">
        <v>236</v>
      </c>
      <c r="K1234" s="573">
        <v>2</v>
      </c>
      <c r="L1234" s="573">
        <v>0</v>
      </c>
      <c r="M1234" s="573" t="s">
        <v>157</v>
      </c>
      <c r="N1234" s="573">
        <v>1</v>
      </c>
      <c r="O1234" s="573">
        <v>109.4</v>
      </c>
      <c r="P1234" s="571" t="s">
        <v>157</v>
      </c>
      <c r="Q1234" s="573" t="s">
        <v>1917</v>
      </c>
      <c r="R1234" s="573">
        <v>5</v>
      </c>
      <c r="S1234" s="582" t="s">
        <v>2530</v>
      </c>
      <c r="T1234" s="573" t="s">
        <v>1894</v>
      </c>
      <c r="U1234" s="573">
        <v>147.6</v>
      </c>
      <c r="V1234" s="573">
        <v>25</v>
      </c>
      <c r="W1234" s="616">
        <v>9950</v>
      </c>
      <c r="X1234" s="617" t="s">
        <v>157</v>
      </c>
      <c r="Y1234" s="617" t="s">
        <v>728</v>
      </c>
      <c r="Z1234" s="617" t="s">
        <v>1523</v>
      </c>
      <c r="AA1234" s="618">
        <v>47245</v>
      </c>
      <c r="AB1234" s="618" t="s">
        <v>164</v>
      </c>
      <c r="AC1234" s="618">
        <v>38232</v>
      </c>
      <c r="AD1234" s="619">
        <v>0.05</v>
      </c>
      <c r="AE1234" s="617" t="s">
        <v>2527</v>
      </c>
    </row>
    <row r="1235" spans="1:31" s="572" customFormat="1">
      <c r="A1235" s="570" t="s">
        <v>2549</v>
      </c>
      <c r="B1235" s="569" t="s">
        <v>287</v>
      </c>
      <c r="C1235" s="580">
        <v>26</v>
      </c>
      <c r="D1235" s="569" t="s">
        <v>1516</v>
      </c>
      <c r="E1235" s="569" t="s">
        <v>1571</v>
      </c>
      <c r="F1235" s="569" t="s">
        <v>271</v>
      </c>
      <c r="G1235" s="569">
        <v>2019</v>
      </c>
      <c r="H1235" s="569" t="s">
        <v>2528</v>
      </c>
      <c r="I1235" s="569" t="s">
        <v>2529</v>
      </c>
      <c r="J1235" s="569" t="s">
        <v>236</v>
      </c>
      <c r="K1235" s="569">
        <v>2</v>
      </c>
      <c r="L1235" s="569">
        <v>0</v>
      </c>
      <c r="M1235" s="569" t="s">
        <v>157</v>
      </c>
      <c r="N1235" s="569">
        <v>1</v>
      </c>
      <c r="O1235" s="569">
        <v>109.4</v>
      </c>
      <c r="P1235" s="568" t="s">
        <v>157</v>
      </c>
      <c r="Q1235" s="569" t="s">
        <v>1917</v>
      </c>
      <c r="R1235" s="569">
        <v>5</v>
      </c>
      <c r="S1235" s="569" t="s">
        <v>2533</v>
      </c>
      <c r="T1235" s="569" t="s">
        <v>1894</v>
      </c>
      <c r="U1235" s="569">
        <v>147.6</v>
      </c>
      <c r="V1235" s="569">
        <v>25</v>
      </c>
      <c r="W1235" s="620">
        <v>10360</v>
      </c>
      <c r="X1235" s="621" t="s">
        <v>157</v>
      </c>
      <c r="Y1235" s="621" t="s">
        <v>728</v>
      </c>
      <c r="Z1235" s="621" t="s">
        <v>1523</v>
      </c>
      <c r="AA1235" s="622">
        <v>47595</v>
      </c>
      <c r="AB1235" s="622" t="s">
        <v>164</v>
      </c>
      <c r="AC1235" s="622">
        <v>38561</v>
      </c>
      <c r="AD1235" s="623">
        <v>0.05</v>
      </c>
      <c r="AE1235" s="621" t="s">
        <v>2532</v>
      </c>
    </row>
    <row r="1236" spans="1:31" s="572" customFormat="1">
      <c r="A1236" s="570" t="s">
        <v>2550</v>
      </c>
      <c r="B1236" s="573" t="s">
        <v>287</v>
      </c>
      <c r="C1236" s="578">
        <v>26</v>
      </c>
      <c r="D1236" s="573" t="s">
        <v>1516</v>
      </c>
      <c r="E1236" s="573" t="s">
        <v>1571</v>
      </c>
      <c r="F1236" s="573" t="s">
        <v>271</v>
      </c>
      <c r="G1236" s="573">
        <v>2019</v>
      </c>
      <c r="H1236" s="573" t="s">
        <v>2528</v>
      </c>
      <c r="I1236" s="573" t="s">
        <v>2529</v>
      </c>
      <c r="J1236" s="573" t="s">
        <v>236</v>
      </c>
      <c r="K1236" s="573">
        <v>2</v>
      </c>
      <c r="L1236" s="573">
        <v>0</v>
      </c>
      <c r="M1236" s="573" t="s">
        <v>157</v>
      </c>
      <c r="N1236" s="573">
        <v>1</v>
      </c>
      <c r="O1236" s="573">
        <v>109.4</v>
      </c>
      <c r="P1236" s="571" t="s">
        <v>157</v>
      </c>
      <c r="Q1236" s="573" t="s">
        <v>1259</v>
      </c>
      <c r="R1236" s="573">
        <v>6</v>
      </c>
      <c r="S1236" s="582" t="s">
        <v>2530</v>
      </c>
      <c r="T1236" s="573" t="s">
        <v>1894</v>
      </c>
      <c r="U1236" s="573">
        <v>147.6</v>
      </c>
      <c r="V1236" s="573">
        <v>25</v>
      </c>
      <c r="W1236" s="616">
        <v>9950</v>
      </c>
      <c r="X1236" s="617" t="s">
        <v>157</v>
      </c>
      <c r="Y1236" s="617" t="s">
        <v>178</v>
      </c>
      <c r="Z1236" s="617" t="s">
        <v>178</v>
      </c>
      <c r="AA1236" s="618">
        <v>45115</v>
      </c>
      <c r="AB1236" s="618" t="s">
        <v>164</v>
      </c>
      <c r="AC1236" s="618">
        <v>36278</v>
      </c>
      <c r="AD1236" s="619">
        <v>0.05</v>
      </c>
      <c r="AE1236" s="617" t="s">
        <v>2535</v>
      </c>
    </row>
    <row r="1237" spans="1:31" s="572" customFormat="1">
      <c r="A1237" s="570" t="s">
        <v>2551</v>
      </c>
      <c r="B1237" s="569" t="s">
        <v>287</v>
      </c>
      <c r="C1237" s="580">
        <v>26</v>
      </c>
      <c r="D1237" s="569" t="s">
        <v>1516</v>
      </c>
      <c r="E1237" s="569" t="s">
        <v>1571</v>
      </c>
      <c r="F1237" s="569" t="s">
        <v>271</v>
      </c>
      <c r="G1237" s="569">
        <v>2019</v>
      </c>
      <c r="H1237" s="569" t="s">
        <v>2528</v>
      </c>
      <c r="I1237" s="569" t="s">
        <v>2529</v>
      </c>
      <c r="J1237" s="569" t="s">
        <v>236</v>
      </c>
      <c r="K1237" s="569">
        <v>2</v>
      </c>
      <c r="L1237" s="569">
        <v>0</v>
      </c>
      <c r="M1237" s="569" t="s">
        <v>157</v>
      </c>
      <c r="N1237" s="569">
        <v>1</v>
      </c>
      <c r="O1237" s="569">
        <v>109.4</v>
      </c>
      <c r="P1237" s="568" t="s">
        <v>157</v>
      </c>
      <c r="Q1237" s="569" t="s">
        <v>1259</v>
      </c>
      <c r="R1237" s="569">
        <v>6</v>
      </c>
      <c r="S1237" s="569" t="s">
        <v>2533</v>
      </c>
      <c r="T1237" s="569" t="s">
        <v>1894</v>
      </c>
      <c r="U1237" s="569">
        <v>147.6</v>
      </c>
      <c r="V1237" s="569">
        <v>25</v>
      </c>
      <c r="W1237" s="620">
        <v>10360</v>
      </c>
      <c r="X1237" s="621" t="s">
        <v>157</v>
      </c>
      <c r="Y1237" s="621" t="s">
        <v>178</v>
      </c>
      <c r="Z1237" s="621" t="s">
        <v>178</v>
      </c>
      <c r="AA1237" s="622">
        <v>45465</v>
      </c>
      <c r="AB1237" s="622" t="s">
        <v>164</v>
      </c>
      <c r="AC1237" s="622">
        <v>36608</v>
      </c>
      <c r="AD1237" s="623">
        <v>0.05</v>
      </c>
      <c r="AE1237" s="621" t="s">
        <v>2537</v>
      </c>
    </row>
    <row r="1238" spans="1:31" s="572" customFormat="1">
      <c r="A1238" s="570" t="s">
        <v>2552</v>
      </c>
      <c r="B1238" s="573" t="s">
        <v>287</v>
      </c>
      <c r="C1238" s="578">
        <v>26</v>
      </c>
      <c r="D1238" s="573" t="s">
        <v>1516</v>
      </c>
      <c r="E1238" s="573" t="s">
        <v>1571</v>
      </c>
      <c r="F1238" s="573" t="s">
        <v>271</v>
      </c>
      <c r="G1238" s="573">
        <v>2019</v>
      </c>
      <c r="H1238" s="573" t="s">
        <v>2528</v>
      </c>
      <c r="I1238" s="573" t="s">
        <v>2529</v>
      </c>
      <c r="J1238" s="573" t="s">
        <v>236</v>
      </c>
      <c r="K1238" s="573">
        <v>2</v>
      </c>
      <c r="L1238" s="573">
        <v>0</v>
      </c>
      <c r="M1238" s="573" t="s">
        <v>157</v>
      </c>
      <c r="N1238" s="573">
        <v>1</v>
      </c>
      <c r="O1238" s="573">
        <v>109.4</v>
      </c>
      <c r="P1238" s="571" t="s">
        <v>157</v>
      </c>
      <c r="Q1238" s="573" t="s">
        <v>682</v>
      </c>
      <c r="R1238" s="573">
        <v>6</v>
      </c>
      <c r="S1238" s="582" t="s">
        <v>2530</v>
      </c>
      <c r="T1238" s="573" t="s">
        <v>1894</v>
      </c>
      <c r="U1238" s="573">
        <v>147.6</v>
      </c>
      <c r="V1238" s="573">
        <v>25</v>
      </c>
      <c r="W1238" s="616">
        <v>9500</v>
      </c>
      <c r="X1238" s="617" t="s">
        <v>157</v>
      </c>
      <c r="Y1238" s="617" t="s">
        <v>178</v>
      </c>
      <c r="Z1238" s="617" t="s">
        <v>178</v>
      </c>
      <c r="AA1238" s="618">
        <v>43250</v>
      </c>
      <c r="AB1238" s="618" t="s">
        <v>164</v>
      </c>
      <c r="AC1238" s="618">
        <v>34568</v>
      </c>
      <c r="AD1238" s="619">
        <v>0.05</v>
      </c>
      <c r="AE1238" s="617" t="s">
        <v>2539</v>
      </c>
    </row>
    <row r="1239" spans="1:31" s="572" customFormat="1">
      <c r="A1239" s="570" t="s">
        <v>2553</v>
      </c>
      <c r="B1239" s="569" t="s">
        <v>287</v>
      </c>
      <c r="C1239" s="580">
        <v>26</v>
      </c>
      <c r="D1239" s="569" t="s">
        <v>1516</v>
      </c>
      <c r="E1239" s="569" t="s">
        <v>1571</v>
      </c>
      <c r="F1239" s="569" t="s">
        <v>271</v>
      </c>
      <c r="G1239" s="569">
        <v>2019</v>
      </c>
      <c r="H1239" s="569" t="s">
        <v>2528</v>
      </c>
      <c r="I1239" s="569" t="s">
        <v>2529</v>
      </c>
      <c r="J1239" s="569" t="s">
        <v>236</v>
      </c>
      <c r="K1239" s="569">
        <v>2</v>
      </c>
      <c r="L1239" s="569">
        <v>0</v>
      </c>
      <c r="M1239" s="569" t="s">
        <v>157</v>
      </c>
      <c r="N1239" s="569">
        <v>1</v>
      </c>
      <c r="O1239" s="569">
        <v>109.4</v>
      </c>
      <c r="P1239" s="568" t="s">
        <v>157</v>
      </c>
      <c r="Q1239" s="569" t="s">
        <v>682</v>
      </c>
      <c r="R1239" s="569">
        <v>6</v>
      </c>
      <c r="S1239" s="569" t="s">
        <v>2533</v>
      </c>
      <c r="T1239" s="569" t="s">
        <v>1894</v>
      </c>
      <c r="U1239" s="569">
        <v>147.6</v>
      </c>
      <c r="V1239" s="569">
        <v>25</v>
      </c>
      <c r="W1239" s="620">
        <v>9500</v>
      </c>
      <c r="X1239" s="621" t="s">
        <v>157</v>
      </c>
      <c r="Y1239" s="621" t="s">
        <v>178</v>
      </c>
      <c r="Z1239" s="621" t="s">
        <v>178</v>
      </c>
      <c r="AA1239" s="622">
        <v>43600</v>
      </c>
      <c r="AB1239" s="622" t="s">
        <v>164</v>
      </c>
      <c r="AC1239" s="622">
        <v>34898</v>
      </c>
      <c r="AD1239" s="623">
        <v>0.05</v>
      </c>
      <c r="AE1239" s="621" t="s">
        <v>2541</v>
      </c>
    </row>
    <row r="1240" spans="1:31" s="572" customFormat="1">
      <c r="A1240" s="570" t="s">
        <v>2554</v>
      </c>
      <c r="B1240" s="573" t="s">
        <v>280</v>
      </c>
      <c r="C1240" s="578">
        <v>27</v>
      </c>
      <c r="D1240" s="573" t="s">
        <v>1516</v>
      </c>
      <c r="E1240" s="573" t="s">
        <v>1571</v>
      </c>
      <c r="F1240" s="573" t="s">
        <v>271</v>
      </c>
      <c r="G1240" s="573">
        <v>2019</v>
      </c>
      <c r="H1240" s="573" t="s">
        <v>2528</v>
      </c>
      <c r="I1240" s="573" t="s">
        <v>2529</v>
      </c>
      <c r="J1240" s="573" t="s">
        <v>236</v>
      </c>
      <c r="K1240" s="573">
        <v>2</v>
      </c>
      <c r="L1240" s="573">
        <v>0</v>
      </c>
      <c r="M1240" s="573" t="s">
        <v>157</v>
      </c>
      <c r="N1240" s="573">
        <v>1</v>
      </c>
      <c r="O1240" s="573">
        <v>109.4</v>
      </c>
      <c r="P1240" s="571" t="s">
        <v>157</v>
      </c>
      <c r="Q1240" s="573" t="s">
        <v>1917</v>
      </c>
      <c r="R1240" s="573">
        <v>5</v>
      </c>
      <c r="S1240" s="582" t="s">
        <v>2530</v>
      </c>
      <c r="T1240" s="573" t="s">
        <v>1894</v>
      </c>
      <c r="U1240" s="573">
        <v>147.6</v>
      </c>
      <c r="V1240" s="573">
        <v>25</v>
      </c>
      <c r="W1240" s="616">
        <v>9950</v>
      </c>
      <c r="X1240" s="617" t="s">
        <v>157</v>
      </c>
      <c r="Y1240" s="617" t="s">
        <v>728</v>
      </c>
      <c r="Z1240" s="617" t="s">
        <v>1523</v>
      </c>
      <c r="AA1240" s="618">
        <v>47245</v>
      </c>
      <c r="AB1240" s="618" t="s">
        <v>164</v>
      </c>
      <c r="AC1240" s="618">
        <v>36925.25</v>
      </c>
      <c r="AD1240" s="619">
        <v>0.03</v>
      </c>
      <c r="AE1240" s="617" t="s">
        <v>2527</v>
      </c>
    </row>
    <row r="1241" spans="1:31" s="572" customFormat="1">
      <c r="A1241" s="570" t="s">
        <v>2555</v>
      </c>
      <c r="B1241" s="569" t="s">
        <v>280</v>
      </c>
      <c r="C1241" s="580">
        <v>27</v>
      </c>
      <c r="D1241" s="569" t="s">
        <v>1516</v>
      </c>
      <c r="E1241" s="569" t="s">
        <v>1571</v>
      </c>
      <c r="F1241" s="569" t="s">
        <v>271</v>
      </c>
      <c r="G1241" s="569">
        <v>2019</v>
      </c>
      <c r="H1241" s="569" t="s">
        <v>2528</v>
      </c>
      <c r="I1241" s="569" t="s">
        <v>2529</v>
      </c>
      <c r="J1241" s="569" t="s">
        <v>236</v>
      </c>
      <c r="K1241" s="569">
        <v>2</v>
      </c>
      <c r="L1241" s="569">
        <v>0</v>
      </c>
      <c r="M1241" s="569" t="s">
        <v>157</v>
      </c>
      <c r="N1241" s="569">
        <v>1</v>
      </c>
      <c r="O1241" s="569">
        <v>109.4</v>
      </c>
      <c r="P1241" s="568" t="s">
        <v>157</v>
      </c>
      <c r="Q1241" s="569" t="s">
        <v>1917</v>
      </c>
      <c r="R1241" s="569">
        <v>5</v>
      </c>
      <c r="S1241" s="569" t="s">
        <v>2533</v>
      </c>
      <c r="T1241" s="569" t="s">
        <v>1894</v>
      </c>
      <c r="U1241" s="569">
        <v>147.6</v>
      </c>
      <c r="V1241" s="569">
        <v>25</v>
      </c>
      <c r="W1241" s="620">
        <v>10360</v>
      </c>
      <c r="X1241" s="621" t="s">
        <v>157</v>
      </c>
      <c r="Y1241" s="621" t="s">
        <v>728</v>
      </c>
      <c r="Z1241" s="621" t="s">
        <v>1523</v>
      </c>
      <c r="AA1241" s="622">
        <v>47595</v>
      </c>
      <c r="AB1241" s="622" t="s">
        <v>164</v>
      </c>
      <c r="AC1241" s="622">
        <v>37245.041666666664</v>
      </c>
      <c r="AD1241" s="623">
        <v>0.03</v>
      </c>
      <c r="AE1241" s="621" t="s">
        <v>2532</v>
      </c>
    </row>
    <row r="1242" spans="1:31" s="572" customFormat="1">
      <c r="A1242" s="570" t="s">
        <v>2556</v>
      </c>
      <c r="B1242" s="573" t="s">
        <v>280</v>
      </c>
      <c r="C1242" s="578">
        <v>27</v>
      </c>
      <c r="D1242" s="573" t="s">
        <v>1516</v>
      </c>
      <c r="E1242" s="573" t="s">
        <v>1571</v>
      </c>
      <c r="F1242" s="573" t="s">
        <v>271</v>
      </c>
      <c r="G1242" s="573">
        <v>2019</v>
      </c>
      <c r="H1242" s="573" t="s">
        <v>2528</v>
      </c>
      <c r="I1242" s="573" t="s">
        <v>2529</v>
      </c>
      <c r="J1242" s="573" t="s">
        <v>236</v>
      </c>
      <c r="K1242" s="573">
        <v>2</v>
      </c>
      <c r="L1242" s="573">
        <v>0</v>
      </c>
      <c r="M1242" s="573" t="s">
        <v>157</v>
      </c>
      <c r="N1242" s="573">
        <v>1</v>
      </c>
      <c r="O1242" s="573">
        <v>109.4</v>
      </c>
      <c r="P1242" s="571" t="s">
        <v>157</v>
      </c>
      <c r="Q1242" s="573" t="s">
        <v>1259</v>
      </c>
      <c r="R1242" s="573">
        <v>6</v>
      </c>
      <c r="S1242" s="582" t="s">
        <v>2530</v>
      </c>
      <c r="T1242" s="573" t="s">
        <v>1894</v>
      </c>
      <c r="U1242" s="573">
        <v>147.6</v>
      </c>
      <c r="V1242" s="573">
        <v>25</v>
      </c>
      <c r="W1242" s="616">
        <v>9950</v>
      </c>
      <c r="X1242" s="617" t="s">
        <v>157</v>
      </c>
      <c r="Y1242" s="617" t="s">
        <v>178</v>
      </c>
      <c r="Z1242" s="617" t="s">
        <v>178</v>
      </c>
      <c r="AA1242" s="618">
        <v>45115</v>
      </c>
      <c r="AB1242" s="618" t="s">
        <v>164</v>
      </c>
      <c r="AC1242" s="618">
        <v>35031.958333333336</v>
      </c>
      <c r="AD1242" s="619">
        <v>0.03</v>
      </c>
      <c r="AE1242" s="617" t="s">
        <v>2535</v>
      </c>
    </row>
    <row r="1243" spans="1:31" s="572" customFormat="1">
      <c r="A1243" s="570" t="s">
        <v>2557</v>
      </c>
      <c r="B1243" s="569" t="s">
        <v>280</v>
      </c>
      <c r="C1243" s="580">
        <v>27</v>
      </c>
      <c r="D1243" s="569" t="s">
        <v>1516</v>
      </c>
      <c r="E1243" s="569" t="s">
        <v>1571</v>
      </c>
      <c r="F1243" s="569" t="s">
        <v>271</v>
      </c>
      <c r="G1243" s="569">
        <v>2019</v>
      </c>
      <c r="H1243" s="569" t="s">
        <v>2528</v>
      </c>
      <c r="I1243" s="569" t="s">
        <v>2529</v>
      </c>
      <c r="J1243" s="569" t="s">
        <v>236</v>
      </c>
      <c r="K1243" s="569">
        <v>2</v>
      </c>
      <c r="L1243" s="569">
        <v>0</v>
      </c>
      <c r="M1243" s="569" t="s">
        <v>157</v>
      </c>
      <c r="N1243" s="569">
        <v>1</v>
      </c>
      <c r="O1243" s="569">
        <v>109.4</v>
      </c>
      <c r="P1243" s="568" t="s">
        <v>157</v>
      </c>
      <c r="Q1243" s="569" t="s">
        <v>1259</v>
      </c>
      <c r="R1243" s="569">
        <v>6</v>
      </c>
      <c r="S1243" s="569" t="s">
        <v>2533</v>
      </c>
      <c r="T1243" s="569" t="s">
        <v>1894</v>
      </c>
      <c r="U1243" s="569">
        <v>147.6</v>
      </c>
      <c r="V1243" s="569">
        <v>25</v>
      </c>
      <c r="W1243" s="620">
        <v>10360</v>
      </c>
      <c r="X1243" s="621" t="s">
        <v>157</v>
      </c>
      <c r="Y1243" s="621" t="s">
        <v>178</v>
      </c>
      <c r="Z1243" s="621" t="s">
        <v>178</v>
      </c>
      <c r="AA1243" s="622">
        <v>45465</v>
      </c>
      <c r="AB1243" s="622" t="s">
        <v>164</v>
      </c>
      <c r="AC1243" s="622">
        <v>35351.75</v>
      </c>
      <c r="AD1243" s="623">
        <v>0.03</v>
      </c>
      <c r="AE1243" s="621" t="s">
        <v>2537</v>
      </c>
    </row>
    <row r="1244" spans="1:31" s="572" customFormat="1">
      <c r="A1244" s="570" t="s">
        <v>2558</v>
      </c>
      <c r="B1244" s="573" t="s">
        <v>280</v>
      </c>
      <c r="C1244" s="578">
        <v>27</v>
      </c>
      <c r="D1244" s="573" t="s">
        <v>1516</v>
      </c>
      <c r="E1244" s="573" t="s">
        <v>1571</v>
      </c>
      <c r="F1244" s="573" t="s">
        <v>271</v>
      </c>
      <c r="G1244" s="573">
        <v>2019</v>
      </c>
      <c r="H1244" s="573" t="s">
        <v>2528</v>
      </c>
      <c r="I1244" s="573" t="s">
        <v>2529</v>
      </c>
      <c r="J1244" s="573" t="s">
        <v>236</v>
      </c>
      <c r="K1244" s="573">
        <v>2</v>
      </c>
      <c r="L1244" s="573">
        <v>0</v>
      </c>
      <c r="M1244" s="573" t="s">
        <v>157</v>
      </c>
      <c r="N1244" s="573">
        <v>1</v>
      </c>
      <c r="O1244" s="573">
        <v>109.4</v>
      </c>
      <c r="P1244" s="571" t="s">
        <v>157</v>
      </c>
      <c r="Q1244" s="573" t="s">
        <v>682</v>
      </c>
      <c r="R1244" s="573">
        <v>6</v>
      </c>
      <c r="S1244" s="582" t="s">
        <v>2530</v>
      </c>
      <c r="T1244" s="573" t="s">
        <v>1894</v>
      </c>
      <c r="U1244" s="573">
        <v>147.6</v>
      </c>
      <c r="V1244" s="573">
        <v>25</v>
      </c>
      <c r="W1244" s="616">
        <v>9500</v>
      </c>
      <c r="X1244" s="617" t="s">
        <v>157</v>
      </c>
      <c r="Y1244" s="617" t="s">
        <v>178</v>
      </c>
      <c r="Z1244" s="617" t="s">
        <v>178</v>
      </c>
      <c r="AA1244" s="618">
        <v>43250</v>
      </c>
      <c r="AB1244" s="618" t="s">
        <v>164</v>
      </c>
      <c r="AC1244" s="618">
        <v>33375.708333333336</v>
      </c>
      <c r="AD1244" s="619">
        <v>0.03</v>
      </c>
      <c r="AE1244" s="617" t="s">
        <v>2539</v>
      </c>
    </row>
    <row r="1245" spans="1:31" s="572" customFormat="1">
      <c r="A1245" s="570" t="s">
        <v>2559</v>
      </c>
      <c r="B1245" s="569" t="s">
        <v>280</v>
      </c>
      <c r="C1245" s="580">
        <v>27</v>
      </c>
      <c r="D1245" s="569" t="s">
        <v>1516</v>
      </c>
      <c r="E1245" s="569" t="s">
        <v>1571</v>
      </c>
      <c r="F1245" s="569" t="s">
        <v>271</v>
      </c>
      <c r="G1245" s="569">
        <v>2019</v>
      </c>
      <c r="H1245" s="569" t="s">
        <v>2528</v>
      </c>
      <c r="I1245" s="569" t="s">
        <v>2529</v>
      </c>
      <c r="J1245" s="569" t="s">
        <v>236</v>
      </c>
      <c r="K1245" s="569">
        <v>2</v>
      </c>
      <c r="L1245" s="569">
        <v>0</v>
      </c>
      <c r="M1245" s="569" t="s">
        <v>157</v>
      </c>
      <c r="N1245" s="569">
        <v>1</v>
      </c>
      <c r="O1245" s="569">
        <v>109.4</v>
      </c>
      <c r="P1245" s="568" t="s">
        <v>157</v>
      </c>
      <c r="Q1245" s="569" t="s">
        <v>682</v>
      </c>
      <c r="R1245" s="569">
        <v>6</v>
      </c>
      <c r="S1245" s="569" t="s">
        <v>2533</v>
      </c>
      <c r="T1245" s="569" t="s">
        <v>1894</v>
      </c>
      <c r="U1245" s="569">
        <v>147.6</v>
      </c>
      <c r="V1245" s="569">
        <v>25</v>
      </c>
      <c r="W1245" s="620">
        <v>10360</v>
      </c>
      <c r="X1245" s="621" t="s">
        <v>157</v>
      </c>
      <c r="Y1245" s="621" t="s">
        <v>178</v>
      </c>
      <c r="Z1245" s="621" t="s">
        <v>178</v>
      </c>
      <c r="AA1245" s="622">
        <v>43600</v>
      </c>
      <c r="AB1245" s="622" t="s">
        <v>164</v>
      </c>
      <c r="AC1245" s="622">
        <v>33695.5</v>
      </c>
      <c r="AD1245" s="623">
        <v>0.03</v>
      </c>
      <c r="AE1245" s="621" t="s">
        <v>2541</v>
      </c>
    </row>
    <row r="1246" spans="1:31" s="572" customFormat="1">
      <c r="A1246" s="570" t="s">
        <v>2560</v>
      </c>
      <c r="B1246" s="573" t="s">
        <v>269</v>
      </c>
      <c r="C1246" s="578" t="s">
        <v>270</v>
      </c>
      <c r="D1246" s="573" t="s">
        <v>1516</v>
      </c>
      <c r="E1246" s="573" t="s">
        <v>1571</v>
      </c>
      <c r="F1246" s="573" t="s">
        <v>271</v>
      </c>
      <c r="G1246" s="573">
        <v>2019</v>
      </c>
      <c r="H1246" s="573" t="s">
        <v>2528</v>
      </c>
      <c r="I1246" s="573" t="s">
        <v>2562</v>
      </c>
      <c r="J1246" s="573" t="s">
        <v>236</v>
      </c>
      <c r="K1246" s="573">
        <v>2</v>
      </c>
      <c r="L1246" s="573">
        <v>0</v>
      </c>
      <c r="M1246" s="573" t="s">
        <v>157</v>
      </c>
      <c r="N1246" s="573">
        <v>1</v>
      </c>
      <c r="O1246" s="573">
        <v>109.4</v>
      </c>
      <c r="P1246" s="571" t="s">
        <v>157</v>
      </c>
      <c r="Q1246" s="573" t="s">
        <v>1917</v>
      </c>
      <c r="R1246" s="573">
        <v>5</v>
      </c>
      <c r="S1246" s="582" t="s">
        <v>2563</v>
      </c>
      <c r="T1246" s="573" t="s">
        <v>1894</v>
      </c>
      <c r="U1246" s="573">
        <v>147.6</v>
      </c>
      <c r="V1246" s="573">
        <v>25</v>
      </c>
      <c r="W1246" s="616">
        <v>9950</v>
      </c>
      <c r="X1246" s="617" t="s">
        <v>157</v>
      </c>
      <c r="Y1246" s="617" t="s">
        <v>728</v>
      </c>
      <c r="Z1246" s="617" t="s">
        <v>1523</v>
      </c>
      <c r="AA1246" s="618">
        <v>46595</v>
      </c>
      <c r="AB1246" s="618" t="s">
        <v>164</v>
      </c>
      <c r="AC1246" s="618">
        <v>36331.5</v>
      </c>
      <c r="AD1246" s="619">
        <v>0.03</v>
      </c>
      <c r="AE1246" s="617" t="s">
        <v>2561</v>
      </c>
    </row>
    <row r="1247" spans="1:31" s="572" customFormat="1">
      <c r="A1247" s="570" t="s">
        <v>2564</v>
      </c>
      <c r="B1247" s="569" t="s">
        <v>269</v>
      </c>
      <c r="C1247" s="580" t="s">
        <v>270</v>
      </c>
      <c r="D1247" s="569" t="s">
        <v>1516</v>
      </c>
      <c r="E1247" s="569" t="s">
        <v>1571</v>
      </c>
      <c r="F1247" s="569" t="s">
        <v>271</v>
      </c>
      <c r="G1247" s="569">
        <v>2019</v>
      </c>
      <c r="H1247" s="569" t="s">
        <v>2528</v>
      </c>
      <c r="I1247" s="569" t="s">
        <v>2562</v>
      </c>
      <c r="J1247" s="569" t="s">
        <v>236</v>
      </c>
      <c r="K1247" s="569">
        <v>2</v>
      </c>
      <c r="L1247" s="569">
        <v>0</v>
      </c>
      <c r="M1247" s="569" t="s">
        <v>157</v>
      </c>
      <c r="N1247" s="569">
        <v>1</v>
      </c>
      <c r="O1247" s="569">
        <v>109.4</v>
      </c>
      <c r="P1247" s="568" t="s">
        <v>157</v>
      </c>
      <c r="Q1247" s="569" t="s">
        <v>1917</v>
      </c>
      <c r="R1247" s="569">
        <v>5</v>
      </c>
      <c r="S1247" s="569" t="s">
        <v>2566</v>
      </c>
      <c r="T1247" s="569" t="s">
        <v>1894</v>
      </c>
      <c r="U1247" s="569">
        <v>147.6</v>
      </c>
      <c r="V1247" s="569">
        <v>25</v>
      </c>
      <c r="W1247" s="620">
        <v>10360</v>
      </c>
      <c r="X1247" s="621" t="s">
        <v>157</v>
      </c>
      <c r="Y1247" s="621" t="s">
        <v>728</v>
      </c>
      <c r="Z1247" s="621" t="s">
        <v>1523</v>
      </c>
      <c r="AA1247" s="622">
        <v>46945</v>
      </c>
      <c r="AB1247" s="622" t="s">
        <v>164</v>
      </c>
      <c r="AC1247" s="622">
        <v>36650.25</v>
      </c>
      <c r="AD1247" s="623">
        <v>0.03</v>
      </c>
      <c r="AE1247" s="621" t="s">
        <v>2565</v>
      </c>
    </row>
    <row r="1248" spans="1:31" s="572" customFormat="1">
      <c r="A1248" s="570" t="s">
        <v>2567</v>
      </c>
      <c r="B1248" s="573" t="s">
        <v>269</v>
      </c>
      <c r="C1248" s="578" t="s">
        <v>270</v>
      </c>
      <c r="D1248" s="573" t="s">
        <v>1516</v>
      </c>
      <c r="E1248" s="573" t="s">
        <v>1571</v>
      </c>
      <c r="F1248" s="573" t="s">
        <v>271</v>
      </c>
      <c r="G1248" s="573">
        <v>2019</v>
      </c>
      <c r="H1248" s="573" t="s">
        <v>2528</v>
      </c>
      <c r="I1248" s="573" t="s">
        <v>2562</v>
      </c>
      <c r="J1248" s="573" t="s">
        <v>236</v>
      </c>
      <c r="K1248" s="573">
        <v>2</v>
      </c>
      <c r="L1248" s="573">
        <v>0</v>
      </c>
      <c r="M1248" s="573" t="s">
        <v>157</v>
      </c>
      <c r="N1248" s="573">
        <v>1</v>
      </c>
      <c r="O1248" s="573">
        <v>109.4</v>
      </c>
      <c r="P1248" s="571" t="s">
        <v>157</v>
      </c>
      <c r="Q1248" s="573" t="s">
        <v>1259</v>
      </c>
      <c r="R1248" s="573">
        <v>6</v>
      </c>
      <c r="S1248" s="582" t="s">
        <v>2563</v>
      </c>
      <c r="T1248" s="573" t="s">
        <v>1894</v>
      </c>
      <c r="U1248" s="573">
        <v>147.6</v>
      </c>
      <c r="V1248" s="573">
        <v>25</v>
      </c>
      <c r="W1248" s="616">
        <v>9950</v>
      </c>
      <c r="X1248" s="617" t="s">
        <v>157</v>
      </c>
      <c r="Y1248" s="617" t="s">
        <v>178</v>
      </c>
      <c r="Z1248" s="617" t="s">
        <v>178</v>
      </c>
      <c r="AA1248" s="618">
        <v>44465</v>
      </c>
      <c r="AB1248" s="618" t="s">
        <v>164</v>
      </c>
      <c r="AC1248" s="618">
        <v>34438.208333333336</v>
      </c>
      <c r="AD1248" s="619">
        <v>0.03</v>
      </c>
      <c r="AE1248" s="617" t="s">
        <v>2568</v>
      </c>
    </row>
    <row r="1249" spans="1:31" s="572" customFormat="1">
      <c r="A1249" s="570" t="s">
        <v>2569</v>
      </c>
      <c r="B1249" s="569" t="s">
        <v>269</v>
      </c>
      <c r="C1249" s="580" t="s">
        <v>270</v>
      </c>
      <c r="D1249" s="569" t="s">
        <v>1516</v>
      </c>
      <c r="E1249" s="569" t="s">
        <v>1571</v>
      </c>
      <c r="F1249" s="569" t="s">
        <v>271</v>
      </c>
      <c r="G1249" s="569">
        <v>2019</v>
      </c>
      <c r="H1249" s="569" t="s">
        <v>2528</v>
      </c>
      <c r="I1249" s="569" t="s">
        <v>2562</v>
      </c>
      <c r="J1249" s="569" t="s">
        <v>236</v>
      </c>
      <c r="K1249" s="569">
        <v>2</v>
      </c>
      <c r="L1249" s="569">
        <v>0</v>
      </c>
      <c r="M1249" s="569" t="s">
        <v>157</v>
      </c>
      <c r="N1249" s="569">
        <v>1</v>
      </c>
      <c r="O1249" s="569">
        <v>109.4</v>
      </c>
      <c r="P1249" s="568" t="s">
        <v>157</v>
      </c>
      <c r="Q1249" s="569" t="s">
        <v>1259</v>
      </c>
      <c r="R1249" s="569">
        <v>6</v>
      </c>
      <c r="S1249" s="569" t="s">
        <v>2566</v>
      </c>
      <c r="T1249" s="569" t="s">
        <v>1894</v>
      </c>
      <c r="U1249" s="569">
        <v>147.6</v>
      </c>
      <c r="V1249" s="569">
        <v>25</v>
      </c>
      <c r="W1249" s="620">
        <v>10360</v>
      </c>
      <c r="X1249" s="621" t="s">
        <v>157</v>
      </c>
      <c r="Y1249" s="621" t="s">
        <v>178</v>
      </c>
      <c r="Z1249" s="621" t="s">
        <v>178</v>
      </c>
      <c r="AA1249" s="622">
        <v>44815</v>
      </c>
      <c r="AB1249" s="622" t="s">
        <v>164</v>
      </c>
      <c r="AC1249" s="622">
        <v>34756.958333333336</v>
      </c>
      <c r="AD1249" s="623">
        <v>0.03</v>
      </c>
      <c r="AE1249" s="621" t="s">
        <v>2570</v>
      </c>
    </row>
    <row r="1250" spans="1:31" s="572" customFormat="1">
      <c r="A1250" s="570" t="s">
        <v>2571</v>
      </c>
      <c r="B1250" s="573" t="s">
        <v>269</v>
      </c>
      <c r="C1250" s="578" t="s">
        <v>270</v>
      </c>
      <c r="D1250" s="573" t="s">
        <v>1516</v>
      </c>
      <c r="E1250" s="573" t="s">
        <v>1571</v>
      </c>
      <c r="F1250" s="573" t="s">
        <v>271</v>
      </c>
      <c r="G1250" s="573">
        <v>2019</v>
      </c>
      <c r="H1250" s="573" t="s">
        <v>2528</v>
      </c>
      <c r="I1250" s="573" t="s">
        <v>2562</v>
      </c>
      <c r="J1250" s="573" t="s">
        <v>236</v>
      </c>
      <c r="K1250" s="573">
        <v>2</v>
      </c>
      <c r="L1250" s="573">
        <v>0</v>
      </c>
      <c r="M1250" s="573" t="s">
        <v>157</v>
      </c>
      <c r="N1250" s="573">
        <v>1</v>
      </c>
      <c r="O1250" s="573">
        <v>109.4</v>
      </c>
      <c r="P1250" s="571" t="s">
        <v>157</v>
      </c>
      <c r="Q1250" s="573" t="s">
        <v>682</v>
      </c>
      <c r="R1250" s="573">
        <v>6</v>
      </c>
      <c r="S1250" s="582" t="s">
        <v>2563</v>
      </c>
      <c r="T1250" s="573" t="s">
        <v>1894</v>
      </c>
      <c r="U1250" s="573">
        <v>147.6</v>
      </c>
      <c r="V1250" s="573">
        <v>25</v>
      </c>
      <c r="W1250" s="616">
        <v>9950</v>
      </c>
      <c r="X1250" s="617" t="s">
        <v>157</v>
      </c>
      <c r="Y1250" s="617" t="s">
        <v>178</v>
      </c>
      <c r="Z1250" s="617" t="s">
        <v>178</v>
      </c>
      <c r="AA1250" s="618">
        <v>42600</v>
      </c>
      <c r="AB1250" s="618" t="s">
        <v>164</v>
      </c>
      <c r="AC1250" s="618">
        <v>32781.958333333336</v>
      </c>
      <c r="AD1250" s="619">
        <v>0.03</v>
      </c>
      <c r="AE1250" s="617" t="s">
        <v>2572</v>
      </c>
    </row>
    <row r="1251" spans="1:31" s="572" customFormat="1">
      <c r="A1251" s="570" t="s">
        <v>2573</v>
      </c>
      <c r="B1251" s="569" t="s">
        <v>269</v>
      </c>
      <c r="C1251" s="580" t="s">
        <v>270</v>
      </c>
      <c r="D1251" s="569" t="s">
        <v>1516</v>
      </c>
      <c r="E1251" s="569" t="s">
        <v>1571</v>
      </c>
      <c r="F1251" s="569" t="s">
        <v>271</v>
      </c>
      <c r="G1251" s="569">
        <v>2019</v>
      </c>
      <c r="H1251" s="569" t="s">
        <v>2528</v>
      </c>
      <c r="I1251" s="569" t="s">
        <v>2562</v>
      </c>
      <c r="J1251" s="569" t="s">
        <v>236</v>
      </c>
      <c r="K1251" s="569">
        <v>2</v>
      </c>
      <c r="L1251" s="569">
        <v>0</v>
      </c>
      <c r="M1251" s="569" t="s">
        <v>157</v>
      </c>
      <c r="N1251" s="569">
        <v>1</v>
      </c>
      <c r="O1251" s="569">
        <v>109.4</v>
      </c>
      <c r="P1251" s="568" t="s">
        <v>157</v>
      </c>
      <c r="Q1251" s="569" t="s">
        <v>682</v>
      </c>
      <c r="R1251" s="569">
        <v>6</v>
      </c>
      <c r="S1251" s="569" t="s">
        <v>2566</v>
      </c>
      <c r="T1251" s="569" t="s">
        <v>1894</v>
      </c>
      <c r="U1251" s="569">
        <v>147.6</v>
      </c>
      <c r="V1251" s="569">
        <v>25</v>
      </c>
      <c r="W1251" s="620">
        <v>10360</v>
      </c>
      <c r="X1251" s="621" t="s">
        <v>157</v>
      </c>
      <c r="Y1251" s="621" t="s">
        <v>178</v>
      </c>
      <c r="Z1251" s="621" t="s">
        <v>178</v>
      </c>
      <c r="AA1251" s="622">
        <v>42950</v>
      </c>
      <c r="AB1251" s="622" t="s">
        <v>164</v>
      </c>
      <c r="AC1251" s="622">
        <v>33100.708333333336</v>
      </c>
      <c r="AD1251" s="623">
        <v>0.03</v>
      </c>
      <c r="AE1251" s="621" t="s">
        <v>2574</v>
      </c>
    </row>
    <row r="1252" spans="1:31" s="572" customFormat="1">
      <c r="A1252" s="570" t="s">
        <v>2575</v>
      </c>
      <c r="B1252" s="573" t="s">
        <v>278</v>
      </c>
      <c r="C1252" s="578">
        <v>15</v>
      </c>
      <c r="D1252" s="573" t="s">
        <v>1516</v>
      </c>
      <c r="E1252" s="573" t="s">
        <v>1571</v>
      </c>
      <c r="F1252" s="573" t="s">
        <v>271</v>
      </c>
      <c r="G1252" s="573">
        <v>2019</v>
      </c>
      <c r="H1252" s="573" t="s">
        <v>2528</v>
      </c>
      <c r="I1252" s="573" t="s">
        <v>2562</v>
      </c>
      <c r="J1252" s="573" t="s">
        <v>236</v>
      </c>
      <c r="K1252" s="573">
        <v>2</v>
      </c>
      <c r="L1252" s="573">
        <v>0</v>
      </c>
      <c r="M1252" s="573" t="s">
        <v>157</v>
      </c>
      <c r="N1252" s="573">
        <v>1</v>
      </c>
      <c r="O1252" s="573">
        <v>109.4</v>
      </c>
      <c r="P1252" s="571" t="s">
        <v>157</v>
      </c>
      <c r="Q1252" s="573" t="s">
        <v>1917</v>
      </c>
      <c r="R1252" s="573">
        <v>5</v>
      </c>
      <c r="S1252" s="582" t="s">
        <v>2563</v>
      </c>
      <c r="T1252" s="573" t="s">
        <v>1894</v>
      </c>
      <c r="U1252" s="573">
        <v>147.6</v>
      </c>
      <c r="V1252" s="573">
        <v>25</v>
      </c>
      <c r="W1252" s="616">
        <v>9950</v>
      </c>
      <c r="X1252" s="617" t="s">
        <v>157</v>
      </c>
      <c r="Y1252" s="617" t="s">
        <v>728</v>
      </c>
      <c r="Z1252" s="617" t="s">
        <v>1523</v>
      </c>
      <c r="AA1252" s="618">
        <v>46595</v>
      </c>
      <c r="AB1252" s="618" t="s">
        <v>164</v>
      </c>
      <c r="AC1252" s="618">
        <v>37100</v>
      </c>
      <c r="AD1252" s="619">
        <v>0.01</v>
      </c>
      <c r="AE1252" s="617" t="s">
        <v>2561</v>
      </c>
    </row>
    <row r="1253" spans="1:31" s="572" customFormat="1">
      <c r="A1253" s="570" t="s">
        <v>2576</v>
      </c>
      <c r="B1253" s="569" t="s">
        <v>278</v>
      </c>
      <c r="C1253" s="580">
        <v>15</v>
      </c>
      <c r="D1253" s="569" t="s">
        <v>1516</v>
      </c>
      <c r="E1253" s="569" t="s">
        <v>1571</v>
      </c>
      <c r="F1253" s="569" t="s">
        <v>271</v>
      </c>
      <c r="G1253" s="569">
        <v>2019</v>
      </c>
      <c r="H1253" s="569" t="s">
        <v>2528</v>
      </c>
      <c r="I1253" s="569" t="s">
        <v>2562</v>
      </c>
      <c r="J1253" s="569" t="s">
        <v>236</v>
      </c>
      <c r="K1253" s="569">
        <v>2</v>
      </c>
      <c r="L1253" s="569">
        <v>0</v>
      </c>
      <c r="M1253" s="569" t="s">
        <v>157</v>
      </c>
      <c r="N1253" s="569">
        <v>1</v>
      </c>
      <c r="O1253" s="569">
        <v>109.4</v>
      </c>
      <c r="P1253" s="568" t="s">
        <v>157</v>
      </c>
      <c r="Q1253" s="569" t="s">
        <v>1917</v>
      </c>
      <c r="R1253" s="569">
        <v>5</v>
      </c>
      <c r="S1253" s="569" t="s">
        <v>2566</v>
      </c>
      <c r="T1253" s="569" t="s">
        <v>1894</v>
      </c>
      <c r="U1253" s="569">
        <v>147.6</v>
      </c>
      <c r="V1253" s="569">
        <v>25</v>
      </c>
      <c r="W1253" s="620">
        <v>10360</v>
      </c>
      <c r="X1253" s="621" t="s">
        <v>157</v>
      </c>
      <c r="Y1253" s="621" t="s">
        <v>728</v>
      </c>
      <c r="Z1253" s="621" t="s">
        <v>1523</v>
      </c>
      <c r="AA1253" s="622">
        <v>46945</v>
      </c>
      <c r="AB1253" s="622" t="s">
        <v>164</v>
      </c>
      <c r="AC1253" s="622">
        <v>37400</v>
      </c>
      <c r="AD1253" s="623">
        <v>0.01</v>
      </c>
      <c r="AE1253" s="621" t="s">
        <v>2565</v>
      </c>
    </row>
    <row r="1254" spans="1:31" s="572" customFormat="1">
      <c r="A1254" s="570" t="s">
        <v>2577</v>
      </c>
      <c r="B1254" s="573" t="s">
        <v>278</v>
      </c>
      <c r="C1254" s="578">
        <v>15</v>
      </c>
      <c r="D1254" s="573" t="s">
        <v>1516</v>
      </c>
      <c r="E1254" s="573" t="s">
        <v>1571</v>
      </c>
      <c r="F1254" s="573" t="s">
        <v>271</v>
      </c>
      <c r="G1254" s="573">
        <v>2019</v>
      </c>
      <c r="H1254" s="573" t="s">
        <v>2528</v>
      </c>
      <c r="I1254" s="573" t="s">
        <v>2562</v>
      </c>
      <c r="J1254" s="573" t="s">
        <v>236</v>
      </c>
      <c r="K1254" s="573">
        <v>2</v>
      </c>
      <c r="L1254" s="573">
        <v>0</v>
      </c>
      <c r="M1254" s="573" t="s">
        <v>157</v>
      </c>
      <c r="N1254" s="573">
        <v>1</v>
      </c>
      <c r="O1254" s="573">
        <v>109.4</v>
      </c>
      <c r="P1254" s="571" t="s">
        <v>157</v>
      </c>
      <c r="Q1254" s="573" t="s">
        <v>1259</v>
      </c>
      <c r="R1254" s="573">
        <v>6</v>
      </c>
      <c r="S1254" s="582" t="s">
        <v>2563</v>
      </c>
      <c r="T1254" s="573" t="s">
        <v>1894</v>
      </c>
      <c r="U1254" s="573">
        <v>147.6</v>
      </c>
      <c r="V1254" s="573">
        <v>25</v>
      </c>
      <c r="W1254" s="616">
        <v>9950</v>
      </c>
      <c r="X1254" s="617" t="s">
        <v>157</v>
      </c>
      <c r="Y1254" s="617" t="s">
        <v>178</v>
      </c>
      <c r="Z1254" s="617" t="s">
        <v>178</v>
      </c>
      <c r="AA1254" s="618">
        <v>44465</v>
      </c>
      <c r="AB1254" s="618" t="s">
        <v>164</v>
      </c>
      <c r="AC1254" s="618">
        <v>35100</v>
      </c>
      <c r="AD1254" s="619">
        <v>0.01</v>
      </c>
      <c r="AE1254" s="617" t="s">
        <v>2568</v>
      </c>
    </row>
    <row r="1255" spans="1:31" s="572" customFormat="1">
      <c r="A1255" s="570" t="s">
        <v>2578</v>
      </c>
      <c r="B1255" s="569" t="s">
        <v>278</v>
      </c>
      <c r="C1255" s="580">
        <v>15</v>
      </c>
      <c r="D1255" s="569" t="s">
        <v>1516</v>
      </c>
      <c r="E1255" s="569" t="s">
        <v>1571</v>
      </c>
      <c r="F1255" s="569" t="s">
        <v>271</v>
      </c>
      <c r="G1255" s="569">
        <v>2019</v>
      </c>
      <c r="H1255" s="569" t="s">
        <v>2528</v>
      </c>
      <c r="I1255" s="569" t="s">
        <v>2562</v>
      </c>
      <c r="J1255" s="569" t="s">
        <v>236</v>
      </c>
      <c r="K1255" s="569">
        <v>2</v>
      </c>
      <c r="L1255" s="569">
        <v>0</v>
      </c>
      <c r="M1255" s="569" t="s">
        <v>157</v>
      </c>
      <c r="N1255" s="569">
        <v>1</v>
      </c>
      <c r="O1255" s="569">
        <v>109.4</v>
      </c>
      <c r="P1255" s="568" t="s">
        <v>157</v>
      </c>
      <c r="Q1255" s="569" t="s">
        <v>1259</v>
      </c>
      <c r="R1255" s="569">
        <v>6</v>
      </c>
      <c r="S1255" s="569" t="s">
        <v>2566</v>
      </c>
      <c r="T1255" s="569" t="s">
        <v>1894</v>
      </c>
      <c r="U1255" s="569">
        <v>147.6</v>
      </c>
      <c r="V1255" s="569">
        <v>25</v>
      </c>
      <c r="W1255" s="620">
        <v>10360</v>
      </c>
      <c r="X1255" s="621" t="s">
        <v>157</v>
      </c>
      <c r="Y1255" s="621" t="s">
        <v>178</v>
      </c>
      <c r="Z1255" s="621" t="s">
        <v>178</v>
      </c>
      <c r="AA1255" s="622">
        <v>44815</v>
      </c>
      <c r="AB1255" s="622" t="s">
        <v>164</v>
      </c>
      <c r="AC1255" s="622">
        <v>35500</v>
      </c>
      <c r="AD1255" s="623">
        <v>0.01</v>
      </c>
      <c r="AE1255" s="621" t="s">
        <v>2570</v>
      </c>
    </row>
    <row r="1256" spans="1:31" s="572" customFormat="1">
      <c r="A1256" s="570" t="s">
        <v>2579</v>
      </c>
      <c r="B1256" s="573" t="s">
        <v>278</v>
      </c>
      <c r="C1256" s="578">
        <v>15</v>
      </c>
      <c r="D1256" s="573" t="s">
        <v>1516</v>
      </c>
      <c r="E1256" s="573" t="s">
        <v>1571</v>
      </c>
      <c r="F1256" s="573" t="s">
        <v>271</v>
      </c>
      <c r="G1256" s="573">
        <v>2019</v>
      </c>
      <c r="H1256" s="573" t="s">
        <v>2528</v>
      </c>
      <c r="I1256" s="573" t="s">
        <v>2562</v>
      </c>
      <c r="J1256" s="573" t="s">
        <v>236</v>
      </c>
      <c r="K1256" s="573">
        <v>2</v>
      </c>
      <c r="L1256" s="573">
        <v>0</v>
      </c>
      <c r="M1256" s="573" t="s">
        <v>157</v>
      </c>
      <c r="N1256" s="573">
        <v>1</v>
      </c>
      <c r="O1256" s="573">
        <v>109.4</v>
      </c>
      <c r="P1256" s="571" t="s">
        <v>157</v>
      </c>
      <c r="Q1256" s="573" t="s">
        <v>682</v>
      </c>
      <c r="R1256" s="573">
        <v>6</v>
      </c>
      <c r="S1256" s="582" t="s">
        <v>2563</v>
      </c>
      <c r="T1256" s="573" t="s">
        <v>1894</v>
      </c>
      <c r="U1256" s="573">
        <v>147.6</v>
      </c>
      <c r="V1256" s="573">
        <v>25</v>
      </c>
      <c r="W1256" s="616">
        <v>9500</v>
      </c>
      <c r="X1256" s="617" t="s">
        <v>157</v>
      </c>
      <c r="Y1256" s="617" t="s">
        <v>178</v>
      </c>
      <c r="Z1256" s="617" t="s">
        <v>178</v>
      </c>
      <c r="AA1256" s="618">
        <v>42600</v>
      </c>
      <c r="AB1256" s="618" t="s">
        <v>164</v>
      </c>
      <c r="AC1256" s="618">
        <v>33500</v>
      </c>
      <c r="AD1256" s="619">
        <v>0.01</v>
      </c>
      <c r="AE1256" s="617" t="s">
        <v>2572</v>
      </c>
    </row>
    <row r="1257" spans="1:31" s="572" customFormat="1">
      <c r="A1257" s="570" t="s">
        <v>2580</v>
      </c>
      <c r="B1257" s="569" t="s">
        <v>278</v>
      </c>
      <c r="C1257" s="580">
        <v>15</v>
      </c>
      <c r="D1257" s="569" t="s">
        <v>1516</v>
      </c>
      <c r="E1257" s="569" t="s">
        <v>1571</v>
      </c>
      <c r="F1257" s="569" t="s">
        <v>271</v>
      </c>
      <c r="G1257" s="569">
        <v>2019</v>
      </c>
      <c r="H1257" s="569" t="s">
        <v>2528</v>
      </c>
      <c r="I1257" s="569" t="s">
        <v>2562</v>
      </c>
      <c r="J1257" s="569" t="s">
        <v>236</v>
      </c>
      <c r="K1257" s="569">
        <v>2</v>
      </c>
      <c r="L1257" s="569">
        <v>0</v>
      </c>
      <c r="M1257" s="569" t="s">
        <v>157</v>
      </c>
      <c r="N1257" s="569">
        <v>1</v>
      </c>
      <c r="O1257" s="569">
        <v>109.4</v>
      </c>
      <c r="P1257" s="568" t="s">
        <v>157</v>
      </c>
      <c r="Q1257" s="569" t="s">
        <v>682</v>
      </c>
      <c r="R1257" s="569">
        <v>6</v>
      </c>
      <c r="S1257" s="569" t="s">
        <v>2566</v>
      </c>
      <c r="T1257" s="569" t="s">
        <v>1894</v>
      </c>
      <c r="U1257" s="569">
        <v>147.6</v>
      </c>
      <c r="V1257" s="569">
        <v>25</v>
      </c>
      <c r="W1257" s="620">
        <v>10360</v>
      </c>
      <c r="X1257" s="621" t="s">
        <v>157</v>
      </c>
      <c r="Y1257" s="621" t="s">
        <v>178</v>
      </c>
      <c r="Z1257" s="621" t="s">
        <v>178</v>
      </c>
      <c r="AA1257" s="622">
        <v>42950</v>
      </c>
      <c r="AB1257" s="622" t="s">
        <v>164</v>
      </c>
      <c r="AC1257" s="622">
        <v>33700</v>
      </c>
      <c r="AD1257" s="623">
        <v>0.01</v>
      </c>
      <c r="AE1257" s="621" t="s">
        <v>2574</v>
      </c>
    </row>
    <row r="1258" spans="1:31" s="572" customFormat="1">
      <c r="A1258" s="570" t="s">
        <v>2581</v>
      </c>
      <c r="B1258" s="573" t="s">
        <v>287</v>
      </c>
      <c r="C1258" s="578">
        <v>26</v>
      </c>
      <c r="D1258" s="573" t="s">
        <v>1516</v>
      </c>
      <c r="E1258" s="573" t="s">
        <v>1571</v>
      </c>
      <c r="F1258" s="573" t="s">
        <v>271</v>
      </c>
      <c r="G1258" s="573">
        <v>2019</v>
      </c>
      <c r="H1258" s="573" t="s">
        <v>2528</v>
      </c>
      <c r="I1258" s="573" t="s">
        <v>2562</v>
      </c>
      <c r="J1258" s="573" t="s">
        <v>236</v>
      </c>
      <c r="K1258" s="573">
        <v>2</v>
      </c>
      <c r="L1258" s="573">
        <v>0</v>
      </c>
      <c r="M1258" s="573" t="s">
        <v>157</v>
      </c>
      <c r="N1258" s="573">
        <v>1</v>
      </c>
      <c r="O1258" s="573">
        <v>109.4</v>
      </c>
      <c r="P1258" s="571" t="s">
        <v>157</v>
      </c>
      <c r="Q1258" s="573" t="s">
        <v>1917</v>
      </c>
      <c r="R1258" s="573">
        <v>5</v>
      </c>
      <c r="S1258" s="582" t="s">
        <v>2563</v>
      </c>
      <c r="T1258" s="573" t="s">
        <v>1894</v>
      </c>
      <c r="U1258" s="573">
        <v>147.6</v>
      </c>
      <c r="V1258" s="573">
        <v>25</v>
      </c>
      <c r="W1258" s="616">
        <v>9950</v>
      </c>
      <c r="X1258" s="617" t="s">
        <v>157</v>
      </c>
      <c r="Y1258" s="617" t="s">
        <v>728</v>
      </c>
      <c r="Z1258" s="617" t="s">
        <v>1523</v>
      </c>
      <c r="AA1258" s="618">
        <v>46595</v>
      </c>
      <c r="AB1258" s="618" t="s">
        <v>164</v>
      </c>
      <c r="AC1258" s="618">
        <v>37617</v>
      </c>
      <c r="AD1258" s="619">
        <v>0.05</v>
      </c>
      <c r="AE1258" s="617" t="s">
        <v>2561</v>
      </c>
    </row>
    <row r="1259" spans="1:31" s="572" customFormat="1">
      <c r="A1259" s="570" t="s">
        <v>2582</v>
      </c>
      <c r="B1259" s="569" t="s">
        <v>287</v>
      </c>
      <c r="C1259" s="580">
        <v>26</v>
      </c>
      <c r="D1259" s="569" t="s">
        <v>1516</v>
      </c>
      <c r="E1259" s="569" t="s">
        <v>1571</v>
      </c>
      <c r="F1259" s="569" t="s">
        <v>271</v>
      </c>
      <c r="G1259" s="569">
        <v>2019</v>
      </c>
      <c r="H1259" s="569" t="s">
        <v>2528</v>
      </c>
      <c r="I1259" s="569" t="s">
        <v>2562</v>
      </c>
      <c r="J1259" s="569" t="s">
        <v>236</v>
      </c>
      <c r="K1259" s="569">
        <v>2</v>
      </c>
      <c r="L1259" s="569">
        <v>0</v>
      </c>
      <c r="M1259" s="569" t="s">
        <v>157</v>
      </c>
      <c r="N1259" s="569">
        <v>1</v>
      </c>
      <c r="O1259" s="569">
        <v>109.4</v>
      </c>
      <c r="P1259" s="568" t="s">
        <v>157</v>
      </c>
      <c r="Q1259" s="569" t="s">
        <v>1917</v>
      </c>
      <c r="R1259" s="569">
        <v>5</v>
      </c>
      <c r="S1259" s="569" t="s">
        <v>2566</v>
      </c>
      <c r="T1259" s="569" t="s">
        <v>1894</v>
      </c>
      <c r="U1259" s="569">
        <v>147.6</v>
      </c>
      <c r="V1259" s="569">
        <v>25</v>
      </c>
      <c r="W1259" s="620">
        <v>10360</v>
      </c>
      <c r="X1259" s="621" t="s">
        <v>157</v>
      </c>
      <c r="Y1259" s="621" t="s">
        <v>728</v>
      </c>
      <c r="Z1259" s="621" t="s">
        <v>1523</v>
      </c>
      <c r="AA1259" s="622">
        <v>46945</v>
      </c>
      <c r="AB1259" s="622" t="s">
        <v>164</v>
      </c>
      <c r="AC1259" s="622">
        <v>37948</v>
      </c>
      <c r="AD1259" s="623">
        <v>0.05</v>
      </c>
      <c r="AE1259" s="621" t="s">
        <v>2565</v>
      </c>
    </row>
    <row r="1260" spans="1:31" s="572" customFormat="1">
      <c r="A1260" s="570" t="s">
        <v>2583</v>
      </c>
      <c r="B1260" s="573" t="s">
        <v>287</v>
      </c>
      <c r="C1260" s="578">
        <v>26</v>
      </c>
      <c r="D1260" s="573" t="s">
        <v>1516</v>
      </c>
      <c r="E1260" s="573" t="s">
        <v>1571</v>
      </c>
      <c r="F1260" s="573" t="s">
        <v>271</v>
      </c>
      <c r="G1260" s="573">
        <v>2019</v>
      </c>
      <c r="H1260" s="573" t="s">
        <v>2528</v>
      </c>
      <c r="I1260" s="573" t="s">
        <v>2562</v>
      </c>
      <c r="J1260" s="573" t="s">
        <v>236</v>
      </c>
      <c r="K1260" s="573">
        <v>2</v>
      </c>
      <c r="L1260" s="573">
        <v>0</v>
      </c>
      <c r="M1260" s="573" t="s">
        <v>157</v>
      </c>
      <c r="N1260" s="573">
        <v>1</v>
      </c>
      <c r="O1260" s="573">
        <v>109.4</v>
      </c>
      <c r="P1260" s="571" t="s">
        <v>157</v>
      </c>
      <c r="Q1260" s="573" t="s">
        <v>1259</v>
      </c>
      <c r="R1260" s="573">
        <v>6</v>
      </c>
      <c r="S1260" s="582" t="s">
        <v>2563</v>
      </c>
      <c r="T1260" s="573" t="s">
        <v>1894</v>
      </c>
      <c r="U1260" s="573">
        <v>147.6</v>
      </c>
      <c r="V1260" s="573">
        <v>25</v>
      </c>
      <c r="W1260" s="616">
        <v>9950</v>
      </c>
      <c r="X1260" s="617" t="s">
        <v>157</v>
      </c>
      <c r="Y1260" s="617" t="s">
        <v>178</v>
      </c>
      <c r="Z1260" s="617" t="s">
        <v>178</v>
      </c>
      <c r="AA1260" s="618">
        <v>44465</v>
      </c>
      <c r="AB1260" s="618" t="s">
        <v>164</v>
      </c>
      <c r="AC1260" s="618">
        <v>35664</v>
      </c>
      <c r="AD1260" s="619">
        <v>0.05</v>
      </c>
      <c r="AE1260" s="617" t="s">
        <v>2568</v>
      </c>
    </row>
    <row r="1261" spans="1:31" s="572" customFormat="1">
      <c r="A1261" s="570" t="s">
        <v>2584</v>
      </c>
      <c r="B1261" s="569" t="s">
        <v>287</v>
      </c>
      <c r="C1261" s="580">
        <v>26</v>
      </c>
      <c r="D1261" s="569" t="s">
        <v>1516</v>
      </c>
      <c r="E1261" s="569" t="s">
        <v>1571</v>
      </c>
      <c r="F1261" s="569" t="s">
        <v>271</v>
      </c>
      <c r="G1261" s="569">
        <v>2019</v>
      </c>
      <c r="H1261" s="569" t="s">
        <v>2528</v>
      </c>
      <c r="I1261" s="569" t="s">
        <v>2562</v>
      </c>
      <c r="J1261" s="569" t="s">
        <v>236</v>
      </c>
      <c r="K1261" s="569">
        <v>2</v>
      </c>
      <c r="L1261" s="569">
        <v>0</v>
      </c>
      <c r="M1261" s="569" t="s">
        <v>157</v>
      </c>
      <c r="N1261" s="569">
        <v>1</v>
      </c>
      <c r="O1261" s="569">
        <v>109.4</v>
      </c>
      <c r="P1261" s="568" t="s">
        <v>157</v>
      </c>
      <c r="Q1261" s="569" t="s">
        <v>1259</v>
      </c>
      <c r="R1261" s="569">
        <v>6</v>
      </c>
      <c r="S1261" s="569" t="s">
        <v>2566</v>
      </c>
      <c r="T1261" s="569" t="s">
        <v>1894</v>
      </c>
      <c r="U1261" s="569">
        <v>147.6</v>
      </c>
      <c r="V1261" s="569">
        <v>25</v>
      </c>
      <c r="W1261" s="620">
        <v>10360</v>
      </c>
      <c r="X1261" s="621" t="s">
        <v>157</v>
      </c>
      <c r="Y1261" s="621" t="s">
        <v>178</v>
      </c>
      <c r="Z1261" s="621" t="s">
        <v>178</v>
      </c>
      <c r="AA1261" s="622">
        <v>44815</v>
      </c>
      <c r="AB1261" s="622" t="s">
        <v>164</v>
      </c>
      <c r="AC1261" s="622">
        <v>35994</v>
      </c>
      <c r="AD1261" s="623">
        <v>0.05</v>
      </c>
      <c r="AE1261" s="621" t="s">
        <v>2570</v>
      </c>
    </row>
    <row r="1262" spans="1:31" s="572" customFormat="1">
      <c r="A1262" s="570" t="s">
        <v>2585</v>
      </c>
      <c r="B1262" s="573" t="s">
        <v>287</v>
      </c>
      <c r="C1262" s="578">
        <v>26</v>
      </c>
      <c r="D1262" s="573" t="s">
        <v>1516</v>
      </c>
      <c r="E1262" s="573" t="s">
        <v>1571</v>
      </c>
      <c r="F1262" s="573" t="s">
        <v>271</v>
      </c>
      <c r="G1262" s="573">
        <v>2019</v>
      </c>
      <c r="H1262" s="573" t="s">
        <v>2528</v>
      </c>
      <c r="I1262" s="573" t="s">
        <v>2562</v>
      </c>
      <c r="J1262" s="573" t="s">
        <v>236</v>
      </c>
      <c r="K1262" s="573">
        <v>2</v>
      </c>
      <c r="L1262" s="573">
        <v>0</v>
      </c>
      <c r="M1262" s="573" t="s">
        <v>157</v>
      </c>
      <c r="N1262" s="573">
        <v>1</v>
      </c>
      <c r="O1262" s="573">
        <v>109.4</v>
      </c>
      <c r="P1262" s="571" t="s">
        <v>157</v>
      </c>
      <c r="Q1262" s="573" t="s">
        <v>682</v>
      </c>
      <c r="R1262" s="573">
        <v>6</v>
      </c>
      <c r="S1262" s="582" t="s">
        <v>2563</v>
      </c>
      <c r="T1262" s="573" t="s">
        <v>1894</v>
      </c>
      <c r="U1262" s="573">
        <v>147.6</v>
      </c>
      <c r="V1262" s="573">
        <v>25</v>
      </c>
      <c r="W1262" s="616">
        <v>9500</v>
      </c>
      <c r="X1262" s="617" t="s">
        <v>157</v>
      </c>
      <c r="Y1262" s="617" t="s">
        <v>178</v>
      </c>
      <c r="Z1262" s="617" t="s">
        <v>178</v>
      </c>
      <c r="AA1262" s="618">
        <v>42600</v>
      </c>
      <c r="AB1262" s="618" t="s">
        <v>164</v>
      </c>
      <c r="AC1262" s="618">
        <v>33954</v>
      </c>
      <c r="AD1262" s="619">
        <v>0.05</v>
      </c>
      <c r="AE1262" s="617" t="s">
        <v>2572</v>
      </c>
    </row>
    <row r="1263" spans="1:31" s="572" customFormat="1">
      <c r="A1263" s="570" t="s">
        <v>2586</v>
      </c>
      <c r="B1263" s="569" t="s">
        <v>287</v>
      </c>
      <c r="C1263" s="580">
        <v>26</v>
      </c>
      <c r="D1263" s="569" t="s">
        <v>1516</v>
      </c>
      <c r="E1263" s="569" t="s">
        <v>1571</v>
      </c>
      <c r="F1263" s="569" t="s">
        <v>271</v>
      </c>
      <c r="G1263" s="569">
        <v>2019</v>
      </c>
      <c r="H1263" s="569" t="s">
        <v>2528</v>
      </c>
      <c r="I1263" s="569" t="s">
        <v>2562</v>
      </c>
      <c r="J1263" s="569" t="s">
        <v>236</v>
      </c>
      <c r="K1263" s="569">
        <v>2</v>
      </c>
      <c r="L1263" s="569">
        <v>0</v>
      </c>
      <c r="M1263" s="569" t="s">
        <v>157</v>
      </c>
      <c r="N1263" s="569">
        <v>1</v>
      </c>
      <c r="O1263" s="569">
        <v>109.4</v>
      </c>
      <c r="P1263" s="568" t="s">
        <v>157</v>
      </c>
      <c r="Q1263" s="569" t="s">
        <v>682</v>
      </c>
      <c r="R1263" s="569">
        <v>6</v>
      </c>
      <c r="S1263" s="569" t="s">
        <v>2566</v>
      </c>
      <c r="T1263" s="569" t="s">
        <v>1894</v>
      </c>
      <c r="U1263" s="569">
        <v>147.6</v>
      </c>
      <c r="V1263" s="569">
        <v>25</v>
      </c>
      <c r="W1263" s="620">
        <v>9500</v>
      </c>
      <c r="X1263" s="621" t="s">
        <v>157</v>
      </c>
      <c r="Y1263" s="621" t="s">
        <v>178</v>
      </c>
      <c r="Z1263" s="621" t="s">
        <v>178</v>
      </c>
      <c r="AA1263" s="622">
        <v>42950</v>
      </c>
      <c r="AB1263" s="622" t="s">
        <v>164</v>
      </c>
      <c r="AC1263" s="622">
        <v>34284</v>
      </c>
      <c r="AD1263" s="623">
        <v>0.05</v>
      </c>
      <c r="AE1263" s="621" t="s">
        <v>2574</v>
      </c>
    </row>
    <row r="1264" spans="1:31" s="572" customFormat="1">
      <c r="A1264" s="570" t="s">
        <v>2587</v>
      </c>
      <c r="B1264" s="573" t="s">
        <v>280</v>
      </c>
      <c r="C1264" s="578">
        <v>27</v>
      </c>
      <c r="D1264" s="573" t="s">
        <v>1516</v>
      </c>
      <c r="E1264" s="573" t="s">
        <v>1571</v>
      </c>
      <c r="F1264" s="573" t="s">
        <v>271</v>
      </c>
      <c r="G1264" s="573">
        <v>2019</v>
      </c>
      <c r="H1264" s="573" t="s">
        <v>2528</v>
      </c>
      <c r="I1264" s="573" t="s">
        <v>2562</v>
      </c>
      <c r="J1264" s="573" t="s">
        <v>236</v>
      </c>
      <c r="K1264" s="573">
        <v>2</v>
      </c>
      <c r="L1264" s="573">
        <v>0</v>
      </c>
      <c r="M1264" s="573" t="s">
        <v>157</v>
      </c>
      <c r="N1264" s="573">
        <v>1</v>
      </c>
      <c r="O1264" s="573">
        <v>109.4</v>
      </c>
      <c r="P1264" s="571" t="s">
        <v>157</v>
      </c>
      <c r="Q1264" s="573" t="s">
        <v>1917</v>
      </c>
      <c r="R1264" s="573">
        <v>5</v>
      </c>
      <c r="S1264" s="582" t="s">
        <v>2563</v>
      </c>
      <c r="T1264" s="573" t="s">
        <v>1894</v>
      </c>
      <c r="U1264" s="573">
        <v>147.6</v>
      </c>
      <c r="V1264" s="573">
        <v>25</v>
      </c>
      <c r="W1264" s="616">
        <v>9950</v>
      </c>
      <c r="X1264" s="617" t="s">
        <v>157</v>
      </c>
      <c r="Y1264" s="617" t="s">
        <v>728</v>
      </c>
      <c r="Z1264" s="617" t="s">
        <v>1523</v>
      </c>
      <c r="AA1264" s="618">
        <v>46595</v>
      </c>
      <c r="AB1264" s="618" t="s">
        <v>164</v>
      </c>
      <c r="AC1264" s="618">
        <v>36331.5</v>
      </c>
      <c r="AD1264" s="619">
        <v>0.03</v>
      </c>
      <c r="AE1264" s="617" t="s">
        <v>2561</v>
      </c>
    </row>
    <row r="1265" spans="1:31" s="572" customFormat="1">
      <c r="A1265" s="570" t="s">
        <v>2588</v>
      </c>
      <c r="B1265" s="569" t="s">
        <v>280</v>
      </c>
      <c r="C1265" s="580">
        <v>27</v>
      </c>
      <c r="D1265" s="569" t="s">
        <v>1516</v>
      </c>
      <c r="E1265" s="569" t="s">
        <v>1571</v>
      </c>
      <c r="F1265" s="569" t="s">
        <v>271</v>
      </c>
      <c r="G1265" s="569">
        <v>2019</v>
      </c>
      <c r="H1265" s="569" t="s">
        <v>2528</v>
      </c>
      <c r="I1265" s="569" t="s">
        <v>2562</v>
      </c>
      <c r="J1265" s="569" t="s">
        <v>236</v>
      </c>
      <c r="K1265" s="569">
        <v>2</v>
      </c>
      <c r="L1265" s="569">
        <v>0</v>
      </c>
      <c r="M1265" s="569" t="s">
        <v>157</v>
      </c>
      <c r="N1265" s="569">
        <v>1</v>
      </c>
      <c r="O1265" s="569">
        <v>109.4</v>
      </c>
      <c r="P1265" s="568" t="s">
        <v>157</v>
      </c>
      <c r="Q1265" s="569" t="s">
        <v>1917</v>
      </c>
      <c r="R1265" s="569">
        <v>5</v>
      </c>
      <c r="S1265" s="569" t="s">
        <v>2566</v>
      </c>
      <c r="T1265" s="569" t="s">
        <v>1894</v>
      </c>
      <c r="U1265" s="569">
        <v>147.6</v>
      </c>
      <c r="V1265" s="569">
        <v>25</v>
      </c>
      <c r="W1265" s="620">
        <v>10360</v>
      </c>
      <c r="X1265" s="621" t="s">
        <v>157</v>
      </c>
      <c r="Y1265" s="621" t="s">
        <v>728</v>
      </c>
      <c r="Z1265" s="621" t="s">
        <v>1523</v>
      </c>
      <c r="AA1265" s="622">
        <v>46945</v>
      </c>
      <c r="AB1265" s="622" t="s">
        <v>164</v>
      </c>
      <c r="AC1265" s="622">
        <v>36650.25</v>
      </c>
      <c r="AD1265" s="623">
        <v>0.03</v>
      </c>
      <c r="AE1265" s="621" t="s">
        <v>2565</v>
      </c>
    </row>
    <row r="1266" spans="1:31" s="572" customFormat="1">
      <c r="A1266" s="570" t="s">
        <v>2589</v>
      </c>
      <c r="B1266" s="573" t="s">
        <v>280</v>
      </c>
      <c r="C1266" s="578">
        <v>27</v>
      </c>
      <c r="D1266" s="573" t="s">
        <v>1516</v>
      </c>
      <c r="E1266" s="573" t="s">
        <v>1571</v>
      </c>
      <c r="F1266" s="573" t="s">
        <v>271</v>
      </c>
      <c r="G1266" s="573">
        <v>2019</v>
      </c>
      <c r="H1266" s="573" t="s">
        <v>2528</v>
      </c>
      <c r="I1266" s="573" t="s">
        <v>2562</v>
      </c>
      <c r="J1266" s="573" t="s">
        <v>236</v>
      </c>
      <c r="K1266" s="573">
        <v>2</v>
      </c>
      <c r="L1266" s="573">
        <v>0</v>
      </c>
      <c r="M1266" s="573" t="s">
        <v>157</v>
      </c>
      <c r="N1266" s="573">
        <v>1</v>
      </c>
      <c r="O1266" s="573">
        <v>109.4</v>
      </c>
      <c r="P1266" s="571" t="s">
        <v>157</v>
      </c>
      <c r="Q1266" s="573" t="s">
        <v>1259</v>
      </c>
      <c r="R1266" s="573">
        <v>6</v>
      </c>
      <c r="S1266" s="582" t="s">
        <v>2563</v>
      </c>
      <c r="T1266" s="573" t="s">
        <v>1894</v>
      </c>
      <c r="U1266" s="573">
        <v>147.6</v>
      </c>
      <c r="V1266" s="573">
        <v>25</v>
      </c>
      <c r="W1266" s="616">
        <v>9950</v>
      </c>
      <c r="X1266" s="617" t="s">
        <v>157</v>
      </c>
      <c r="Y1266" s="617" t="s">
        <v>178</v>
      </c>
      <c r="Z1266" s="617" t="s">
        <v>178</v>
      </c>
      <c r="AA1266" s="618">
        <v>44465</v>
      </c>
      <c r="AB1266" s="618" t="s">
        <v>164</v>
      </c>
      <c r="AC1266" s="618">
        <v>34438.208333333336</v>
      </c>
      <c r="AD1266" s="619">
        <v>0.03</v>
      </c>
      <c r="AE1266" s="617" t="s">
        <v>2568</v>
      </c>
    </row>
    <row r="1267" spans="1:31" s="572" customFormat="1">
      <c r="A1267" s="570" t="s">
        <v>2590</v>
      </c>
      <c r="B1267" s="569" t="s">
        <v>280</v>
      </c>
      <c r="C1267" s="580">
        <v>27</v>
      </c>
      <c r="D1267" s="569" t="s">
        <v>1516</v>
      </c>
      <c r="E1267" s="569" t="s">
        <v>1571</v>
      </c>
      <c r="F1267" s="569" t="s">
        <v>271</v>
      </c>
      <c r="G1267" s="569">
        <v>2019</v>
      </c>
      <c r="H1267" s="569" t="s">
        <v>2528</v>
      </c>
      <c r="I1267" s="569" t="s">
        <v>2562</v>
      </c>
      <c r="J1267" s="569" t="s">
        <v>236</v>
      </c>
      <c r="K1267" s="569">
        <v>2</v>
      </c>
      <c r="L1267" s="569">
        <v>0</v>
      </c>
      <c r="M1267" s="569" t="s">
        <v>157</v>
      </c>
      <c r="N1267" s="569">
        <v>1</v>
      </c>
      <c r="O1267" s="569">
        <v>109.4</v>
      </c>
      <c r="P1267" s="568" t="s">
        <v>157</v>
      </c>
      <c r="Q1267" s="569" t="s">
        <v>1259</v>
      </c>
      <c r="R1267" s="569">
        <v>6</v>
      </c>
      <c r="S1267" s="569" t="s">
        <v>2566</v>
      </c>
      <c r="T1267" s="569" t="s">
        <v>1894</v>
      </c>
      <c r="U1267" s="569">
        <v>147.6</v>
      </c>
      <c r="V1267" s="569">
        <v>25</v>
      </c>
      <c r="W1267" s="620">
        <v>10360</v>
      </c>
      <c r="X1267" s="621" t="s">
        <v>157</v>
      </c>
      <c r="Y1267" s="621" t="s">
        <v>178</v>
      </c>
      <c r="Z1267" s="621" t="s">
        <v>178</v>
      </c>
      <c r="AA1267" s="622">
        <v>44815</v>
      </c>
      <c r="AB1267" s="622" t="s">
        <v>164</v>
      </c>
      <c r="AC1267" s="622">
        <v>34756.958333333336</v>
      </c>
      <c r="AD1267" s="623">
        <v>0.03</v>
      </c>
      <c r="AE1267" s="621" t="s">
        <v>2570</v>
      </c>
    </row>
    <row r="1268" spans="1:31" s="572" customFormat="1">
      <c r="A1268" s="570" t="s">
        <v>2591</v>
      </c>
      <c r="B1268" s="573" t="s">
        <v>280</v>
      </c>
      <c r="C1268" s="578">
        <v>27</v>
      </c>
      <c r="D1268" s="573" t="s">
        <v>1516</v>
      </c>
      <c r="E1268" s="573" t="s">
        <v>1571</v>
      </c>
      <c r="F1268" s="573" t="s">
        <v>271</v>
      </c>
      <c r="G1268" s="573">
        <v>2019</v>
      </c>
      <c r="H1268" s="573" t="s">
        <v>2528</v>
      </c>
      <c r="I1268" s="573" t="s">
        <v>2562</v>
      </c>
      <c r="J1268" s="573" t="s">
        <v>236</v>
      </c>
      <c r="K1268" s="573">
        <v>2</v>
      </c>
      <c r="L1268" s="573">
        <v>0</v>
      </c>
      <c r="M1268" s="573" t="s">
        <v>157</v>
      </c>
      <c r="N1268" s="573">
        <v>1</v>
      </c>
      <c r="O1268" s="573">
        <v>109.4</v>
      </c>
      <c r="P1268" s="571" t="s">
        <v>157</v>
      </c>
      <c r="Q1268" s="573" t="s">
        <v>682</v>
      </c>
      <c r="R1268" s="573">
        <v>6</v>
      </c>
      <c r="S1268" s="582" t="s">
        <v>2563</v>
      </c>
      <c r="T1268" s="573" t="s">
        <v>1894</v>
      </c>
      <c r="U1268" s="573">
        <v>147.6</v>
      </c>
      <c r="V1268" s="573">
        <v>25</v>
      </c>
      <c r="W1268" s="616">
        <v>9950</v>
      </c>
      <c r="X1268" s="617" t="s">
        <v>157</v>
      </c>
      <c r="Y1268" s="617" t="s">
        <v>178</v>
      </c>
      <c r="Z1268" s="617" t="s">
        <v>178</v>
      </c>
      <c r="AA1268" s="618">
        <v>42600</v>
      </c>
      <c r="AB1268" s="618" t="s">
        <v>164</v>
      </c>
      <c r="AC1268" s="618">
        <v>32781.958333333336</v>
      </c>
      <c r="AD1268" s="619">
        <v>0.03</v>
      </c>
      <c r="AE1268" s="617" t="s">
        <v>2572</v>
      </c>
    </row>
    <row r="1269" spans="1:31" s="572" customFormat="1">
      <c r="A1269" s="570" t="s">
        <v>2592</v>
      </c>
      <c r="B1269" s="569" t="s">
        <v>280</v>
      </c>
      <c r="C1269" s="580">
        <v>27</v>
      </c>
      <c r="D1269" s="569" t="s">
        <v>1516</v>
      </c>
      <c r="E1269" s="569" t="s">
        <v>1571</v>
      </c>
      <c r="F1269" s="569" t="s">
        <v>271</v>
      </c>
      <c r="G1269" s="569">
        <v>2019</v>
      </c>
      <c r="H1269" s="569" t="s">
        <v>2528</v>
      </c>
      <c r="I1269" s="569" t="s">
        <v>2562</v>
      </c>
      <c r="J1269" s="569" t="s">
        <v>236</v>
      </c>
      <c r="K1269" s="569">
        <v>2</v>
      </c>
      <c r="L1269" s="569">
        <v>0</v>
      </c>
      <c r="M1269" s="569" t="s">
        <v>157</v>
      </c>
      <c r="N1269" s="569">
        <v>1</v>
      </c>
      <c r="O1269" s="569">
        <v>109.4</v>
      </c>
      <c r="P1269" s="568" t="s">
        <v>157</v>
      </c>
      <c r="Q1269" s="569" t="s">
        <v>682</v>
      </c>
      <c r="R1269" s="569">
        <v>6</v>
      </c>
      <c r="S1269" s="569" t="s">
        <v>2566</v>
      </c>
      <c r="T1269" s="569" t="s">
        <v>1894</v>
      </c>
      <c r="U1269" s="569">
        <v>147.6</v>
      </c>
      <c r="V1269" s="569">
        <v>25</v>
      </c>
      <c r="W1269" s="620">
        <v>10360</v>
      </c>
      <c r="X1269" s="621" t="s">
        <v>157</v>
      </c>
      <c r="Y1269" s="621" t="s">
        <v>178</v>
      </c>
      <c r="Z1269" s="621" t="s">
        <v>178</v>
      </c>
      <c r="AA1269" s="622">
        <v>42950</v>
      </c>
      <c r="AB1269" s="622" t="s">
        <v>164</v>
      </c>
      <c r="AC1269" s="622">
        <v>33100.708333333336</v>
      </c>
      <c r="AD1269" s="623">
        <v>0.03</v>
      </c>
      <c r="AE1269" s="621" t="s">
        <v>2574</v>
      </c>
    </row>
    <row r="1270" spans="1:31" s="572" customFormat="1" ht="45">
      <c r="A1270" s="570" t="s">
        <v>2593</v>
      </c>
      <c r="B1270" s="573" t="s">
        <v>269</v>
      </c>
      <c r="C1270" s="578" t="s">
        <v>270</v>
      </c>
      <c r="D1270" s="573" t="s">
        <v>1516</v>
      </c>
      <c r="E1270" s="573" t="s">
        <v>1897</v>
      </c>
      <c r="F1270" s="573" t="s">
        <v>271</v>
      </c>
      <c r="G1270" s="573">
        <v>2019</v>
      </c>
      <c r="H1270" s="573" t="s">
        <v>2595</v>
      </c>
      <c r="I1270" s="573" t="s">
        <v>1201</v>
      </c>
      <c r="J1270" s="573" t="s">
        <v>236</v>
      </c>
      <c r="K1270" s="573">
        <v>15</v>
      </c>
      <c r="L1270" s="573">
        <v>3</v>
      </c>
      <c r="M1270" s="573" t="s">
        <v>2596</v>
      </c>
      <c r="N1270" s="573" t="s">
        <v>2597</v>
      </c>
      <c r="O1270" s="573">
        <v>107.7</v>
      </c>
      <c r="P1270" s="571" t="s">
        <v>157</v>
      </c>
      <c r="Q1270" s="573" t="s">
        <v>2598</v>
      </c>
      <c r="R1270" s="573">
        <v>6</v>
      </c>
      <c r="S1270" s="582" t="s">
        <v>2599</v>
      </c>
      <c r="T1270" s="573" t="s">
        <v>434</v>
      </c>
      <c r="U1270" s="573">
        <v>147.6</v>
      </c>
      <c r="V1270" s="573">
        <v>25</v>
      </c>
      <c r="W1270" s="616">
        <v>10360</v>
      </c>
      <c r="X1270" s="617" t="s">
        <v>157</v>
      </c>
      <c r="Y1270" s="617" t="s">
        <v>178</v>
      </c>
      <c r="Z1270" s="617" t="s">
        <v>178</v>
      </c>
      <c r="AA1270" s="618">
        <v>45165</v>
      </c>
      <c r="AB1270" s="618" t="s">
        <v>164</v>
      </c>
      <c r="AC1270" s="618">
        <v>35125.708333333336</v>
      </c>
      <c r="AD1270" s="619">
        <v>0.03</v>
      </c>
      <c r="AE1270" s="617" t="s">
        <v>2594</v>
      </c>
    </row>
    <row r="1271" spans="1:31" s="572" customFormat="1" ht="30">
      <c r="A1271" s="570" t="s">
        <v>2600</v>
      </c>
      <c r="B1271" s="569" t="s">
        <v>1889</v>
      </c>
      <c r="C1271" s="580">
        <v>25</v>
      </c>
      <c r="D1271" s="569" t="s">
        <v>1516</v>
      </c>
      <c r="E1271" s="569" t="s">
        <v>1607</v>
      </c>
      <c r="F1271" s="569" t="s">
        <v>271</v>
      </c>
      <c r="G1271" s="569">
        <v>2019</v>
      </c>
      <c r="H1271" s="569" t="s">
        <v>2595</v>
      </c>
      <c r="I1271" s="569" t="s">
        <v>1201</v>
      </c>
      <c r="J1271" s="569" t="s">
        <v>236</v>
      </c>
      <c r="K1271" s="569">
        <v>14</v>
      </c>
      <c r="L1271" s="569">
        <v>0</v>
      </c>
      <c r="M1271" s="569" t="s">
        <v>164</v>
      </c>
      <c r="N1271" s="569" t="s">
        <v>2602</v>
      </c>
      <c r="O1271" s="569">
        <v>110</v>
      </c>
      <c r="P1271" s="568" t="s">
        <v>164</v>
      </c>
      <c r="Q1271" s="569" t="s">
        <v>682</v>
      </c>
      <c r="R1271" s="569">
        <v>6</v>
      </c>
      <c r="S1271" s="569" t="s">
        <v>2599</v>
      </c>
      <c r="T1271" s="569" t="s">
        <v>434</v>
      </c>
      <c r="U1271" s="569">
        <v>148</v>
      </c>
      <c r="V1271" s="569">
        <v>25</v>
      </c>
      <c r="W1271" s="620">
        <v>10360</v>
      </c>
      <c r="X1271" s="621" t="s">
        <v>157</v>
      </c>
      <c r="Y1271" s="621" t="s">
        <v>2603</v>
      </c>
      <c r="Z1271" s="621" t="s">
        <v>450</v>
      </c>
      <c r="AA1271" s="622">
        <v>44700</v>
      </c>
      <c r="AB1271" s="622">
        <v>60893</v>
      </c>
      <c r="AC1271" s="622">
        <v>47477</v>
      </c>
      <c r="AD1271" s="623">
        <v>0.05</v>
      </c>
      <c r="AE1271" s="621" t="s">
        <v>2601</v>
      </c>
    </row>
    <row r="1272" spans="1:31" s="572" customFormat="1" ht="30">
      <c r="A1272" s="570" t="s">
        <v>2604</v>
      </c>
      <c r="B1272" s="573" t="s">
        <v>1889</v>
      </c>
      <c r="C1272" s="578">
        <v>25</v>
      </c>
      <c r="D1272" s="573" t="s">
        <v>1516</v>
      </c>
      <c r="E1272" s="573" t="s">
        <v>1607</v>
      </c>
      <c r="F1272" s="573" t="s">
        <v>271</v>
      </c>
      <c r="G1272" s="573">
        <v>2019</v>
      </c>
      <c r="H1272" s="573" t="s">
        <v>2595</v>
      </c>
      <c r="I1272" s="573" t="s">
        <v>1201</v>
      </c>
      <c r="J1272" s="573" t="s">
        <v>236</v>
      </c>
      <c r="K1272" s="573">
        <v>15</v>
      </c>
      <c r="L1272" s="573">
        <v>0</v>
      </c>
      <c r="M1272" s="573" t="s">
        <v>164</v>
      </c>
      <c r="N1272" s="573" t="s">
        <v>2606</v>
      </c>
      <c r="O1272" s="573">
        <v>110</v>
      </c>
      <c r="P1272" s="571" t="s">
        <v>164</v>
      </c>
      <c r="Q1272" s="573" t="s">
        <v>682</v>
      </c>
      <c r="R1272" s="573">
        <v>6</v>
      </c>
      <c r="S1272" s="582" t="s">
        <v>2599</v>
      </c>
      <c r="T1272" s="573" t="s">
        <v>434</v>
      </c>
      <c r="U1272" s="573">
        <v>148</v>
      </c>
      <c r="V1272" s="573">
        <v>25</v>
      </c>
      <c r="W1272" s="616">
        <v>10360</v>
      </c>
      <c r="X1272" s="617" t="s">
        <v>157</v>
      </c>
      <c r="Y1272" s="617" t="s">
        <v>2603</v>
      </c>
      <c r="Z1272" s="617" t="s">
        <v>450</v>
      </c>
      <c r="AA1272" s="618">
        <v>44700</v>
      </c>
      <c r="AB1272" s="618">
        <v>56803</v>
      </c>
      <c r="AC1272" s="618">
        <v>43387</v>
      </c>
      <c r="AD1272" s="619">
        <v>0.05</v>
      </c>
      <c r="AE1272" s="617" t="s">
        <v>2605</v>
      </c>
    </row>
    <row r="1273" spans="1:31" s="572" customFormat="1" ht="45">
      <c r="A1273" s="570" t="s">
        <v>2607</v>
      </c>
      <c r="B1273" s="569" t="s">
        <v>1889</v>
      </c>
      <c r="C1273" s="580">
        <v>25</v>
      </c>
      <c r="D1273" s="569" t="s">
        <v>1516</v>
      </c>
      <c r="E1273" s="569" t="s">
        <v>1897</v>
      </c>
      <c r="F1273" s="569" t="s">
        <v>271</v>
      </c>
      <c r="G1273" s="569">
        <v>2019</v>
      </c>
      <c r="H1273" s="569" t="s">
        <v>2595</v>
      </c>
      <c r="I1273" s="569" t="s">
        <v>1201</v>
      </c>
      <c r="J1273" s="569" t="s">
        <v>236</v>
      </c>
      <c r="K1273" s="569">
        <v>10</v>
      </c>
      <c r="L1273" s="569">
        <v>3</v>
      </c>
      <c r="M1273" s="569" t="s">
        <v>1898</v>
      </c>
      <c r="N1273" s="569" t="s">
        <v>2597</v>
      </c>
      <c r="O1273" s="569">
        <v>110</v>
      </c>
      <c r="P1273" s="568" t="s">
        <v>164</v>
      </c>
      <c r="Q1273" s="569" t="s">
        <v>682</v>
      </c>
      <c r="R1273" s="569">
        <v>6</v>
      </c>
      <c r="S1273" s="569" t="s">
        <v>2599</v>
      </c>
      <c r="T1273" s="569" t="s">
        <v>434</v>
      </c>
      <c r="U1273" s="569">
        <v>148</v>
      </c>
      <c r="V1273" s="569">
        <v>25</v>
      </c>
      <c r="W1273" s="620">
        <v>10360</v>
      </c>
      <c r="X1273" s="621" t="s">
        <v>157</v>
      </c>
      <c r="Y1273" s="621" t="s">
        <v>2603</v>
      </c>
      <c r="Z1273" s="621" t="s">
        <v>450</v>
      </c>
      <c r="AA1273" s="622">
        <v>44700</v>
      </c>
      <c r="AB1273" s="622">
        <v>66720</v>
      </c>
      <c r="AC1273" s="622">
        <v>53304</v>
      </c>
      <c r="AD1273" s="623">
        <v>0.05</v>
      </c>
      <c r="AE1273" s="621" t="s">
        <v>2608</v>
      </c>
    </row>
    <row r="1274" spans="1:31" s="572" customFormat="1" ht="30">
      <c r="A1274" s="570" t="s">
        <v>2609</v>
      </c>
      <c r="B1274" s="573" t="s">
        <v>1889</v>
      </c>
      <c r="C1274" s="578">
        <v>25</v>
      </c>
      <c r="D1274" s="573" t="s">
        <v>1516</v>
      </c>
      <c r="E1274" s="573" t="s">
        <v>1897</v>
      </c>
      <c r="F1274" s="573" t="s">
        <v>271</v>
      </c>
      <c r="G1274" s="573">
        <v>2019</v>
      </c>
      <c r="H1274" s="573" t="s">
        <v>2595</v>
      </c>
      <c r="I1274" s="573" t="s">
        <v>1201</v>
      </c>
      <c r="J1274" s="573" t="s">
        <v>236</v>
      </c>
      <c r="K1274" s="573">
        <v>11</v>
      </c>
      <c r="L1274" s="573">
        <v>2</v>
      </c>
      <c r="M1274" s="573" t="s">
        <v>1898</v>
      </c>
      <c r="N1274" s="573" t="s">
        <v>2611</v>
      </c>
      <c r="O1274" s="573">
        <v>110</v>
      </c>
      <c r="P1274" s="571" t="s">
        <v>164</v>
      </c>
      <c r="Q1274" s="573" t="s">
        <v>682</v>
      </c>
      <c r="R1274" s="573">
        <v>6</v>
      </c>
      <c r="S1274" s="582" t="s">
        <v>2599</v>
      </c>
      <c r="T1274" s="573" t="s">
        <v>434</v>
      </c>
      <c r="U1274" s="573">
        <v>148</v>
      </c>
      <c r="V1274" s="573">
        <v>25</v>
      </c>
      <c r="W1274" s="616">
        <v>10360</v>
      </c>
      <c r="X1274" s="617" t="s">
        <v>157</v>
      </c>
      <c r="Y1274" s="617" t="s">
        <v>2603</v>
      </c>
      <c r="Z1274" s="617" t="s">
        <v>450</v>
      </c>
      <c r="AA1274" s="618">
        <v>44700</v>
      </c>
      <c r="AB1274" s="618">
        <v>61785</v>
      </c>
      <c r="AC1274" s="618">
        <v>48369</v>
      </c>
      <c r="AD1274" s="619">
        <v>0.05</v>
      </c>
      <c r="AE1274" s="617" t="s">
        <v>2610</v>
      </c>
    </row>
    <row r="1275" spans="1:31" s="572" customFormat="1" ht="45">
      <c r="A1275" s="570" t="s">
        <v>2612</v>
      </c>
      <c r="B1275" s="569" t="s">
        <v>280</v>
      </c>
      <c r="C1275" s="580">
        <v>27</v>
      </c>
      <c r="D1275" s="569" t="s">
        <v>1516</v>
      </c>
      <c r="E1275" s="569" t="s">
        <v>1897</v>
      </c>
      <c r="F1275" s="569" t="s">
        <v>271</v>
      </c>
      <c r="G1275" s="569">
        <v>2019</v>
      </c>
      <c r="H1275" s="569" t="s">
        <v>2595</v>
      </c>
      <c r="I1275" s="569" t="s">
        <v>1201</v>
      </c>
      <c r="J1275" s="569" t="s">
        <v>236</v>
      </c>
      <c r="K1275" s="569">
        <v>15</v>
      </c>
      <c r="L1275" s="569">
        <v>3</v>
      </c>
      <c r="M1275" s="569" t="s">
        <v>2596</v>
      </c>
      <c r="N1275" s="569" t="s">
        <v>2597</v>
      </c>
      <c r="O1275" s="569">
        <v>107.7</v>
      </c>
      <c r="P1275" s="568" t="s">
        <v>157</v>
      </c>
      <c r="Q1275" s="569" t="s">
        <v>2598</v>
      </c>
      <c r="R1275" s="569">
        <v>6</v>
      </c>
      <c r="S1275" s="569" t="s">
        <v>2599</v>
      </c>
      <c r="T1275" s="569" t="s">
        <v>434</v>
      </c>
      <c r="U1275" s="569">
        <v>147.6</v>
      </c>
      <c r="V1275" s="569">
        <v>25</v>
      </c>
      <c r="W1275" s="620">
        <v>10360</v>
      </c>
      <c r="X1275" s="621" t="s">
        <v>157</v>
      </c>
      <c r="Y1275" s="621" t="s">
        <v>178</v>
      </c>
      <c r="Z1275" s="621" t="s">
        <v>178</v>
      </c>
      <c r="AA1275" s="622">
        <v>45165</v>
      </c>
      <c r="AB1275" s="622" t="s">
        <v>164</v>
      </c>
      <c r="AC1275" s="622">
        <v>35125.708333333336</v>
      </c>
      <c r="AD1275" s="623">
        <v>0.03</v>
      </c>
      <c r="AE1275" s="621" t="s">
        <v>2594</v>
      </c>
    </row>
    <row r="1276" spans="1:31" s="572" customFormat="1" ht="30">
      <c r="A1276" s="570" t="s">
        <v>2613</v>
      </c>
      <c r="B1276" s="573" t="s">
        <v>1889</v>
      </c>
      <c r="C1276" s="578">
        <v>25</v>
      </c>
      <c r="D1276" s="573" t="s">
        <v>1516</v>
      </c>
      <c r="E1276" s="573" t="s">
        <v>1607</v>
      </c>
      <c r="F1276" s="573" t="s">
        <v>271</v>
      </c>
      <c r="G1276" s="573">
        <v>2019</v>
      </c>
      <c r="H1276" s="573" t="s">
        <v>2615</v>
      </c>
      <c r="I1276" s="573" t="s">
        <v>1201</v>
      </c>
      <c r="J1276" s="573" t="s">
        <v>236</v>
      </c>
      <c r="K1276" s="573">
        <v>12</v>
      </c>
      <c r="L1276" s="573">
        <v>0</v>
      </c>
      <c r="M1276" s="573" t="s">
        <v>164</v>
      </c>
      <c r="N1276" s="573" t="s">
        <v>2616</v>
      </c>
      <c r="O1276" s="573">
        <v>100.7</v>
      </c>
      <c r="P1276" s="571" t="s">
        <v>164</v>
      </c>
      <c r="Q1276" s="573" t="s">
        <v>682</v>
      </c>
      <c r="R1276" s="573">
        <v>6</v>
      </c>
      <c r="S1276" s="582" t="s">
        <v>2617</v>
      </c>
      <c r="T1276" s="573" t="s">
        <v>434</v>
      </c>
      <c r="U1276" s="573">
        <v>148</v>
      </c>
      <c r="V1276" s="573">
        <v>25</v>
      </c>
      <c r="W1276" s="616">
        <v>9000</v>
      </c>
      <c r="X1276" s="617" t="s">
        <v>157</v>
      </c>
      <c r="Y1276" s="617" t="s">
        <v>450</v>
      </c>
      <c r="Z1276" s="617" t="s">
        <v>178</v>
      </c>
      <c r="AA1276" s="618">
        <v>43325</v>
      </c>
      <c r="AB1276" s="618">
        <v>49096</v>
      </c>
      <c r="AC1276" s="618">
        <v>35902</v>
      </c>
      <c r="AD1276" s="619">
        <v>0.05</v>
      </c>
      <c r="AE1276" s="617" t="s">
        <v>2614</v>
      </c>
    </row>
    <row r="1277" spans="1:31" s="572" customFormat="1" ht="30">
      <c r="A1277" s="570" t="s">
        <v>2618</v>
      </c>
      <c r="B1277" s="569" t="s">
        <v>1889</v>
      </c>
      <c r="C1277" s="580">
        <v>25</v>
      </c>
      <c r="D1277" s="569" t="s">
        <v>1516</v>
      </c>
      <c r="E1277" s="569" t="s">
        <v>1897</v>
      </c>
      <c r="F1277" s="569" t="s">
        <v>271</v>
      </c>
      <c r="G1277" s="569">
        <v>2019</v>
      </c>
      <c r="H1277" s="569" t="s">
        <v>2615</v>
      </c>
      <c r="I1277" s="569" t="s">
        <v>1201</v>
      </c>
      <c r="J1277" s="569" t="s">
        <v>236</v>
      </c>
      <c r="K1277" s="569">
        <v>10</v>
      </c>
      <c r="L1277" s="569">
        <v>2</v>
      </c>
      <c r="M1277" s="569" t="s">
        <v>1898</v>
      </c>
      <c r="N1277" s="569" t="s">
        <v>2620</v>
      </c>
      <c r="O1277" s="569">
        <v>100.7</v>
      </c>
      <c r="P1277" s="568" t="s">
        <v>164</v>
      </c>
      <c r="Q1277" s="569" t="s">
        <v>682</v>
      </c>
      <c r="R1277" s="569">
        <v>6</v>
      </c>
      <c r="S1277" s="569" t="s">
        <v>2617</v>
      </c>
      <c r="T1277" s="569" t="s">
        <v>434</v>
      </c>
      <c r="U1277" s="569">
        <v>148</v>
      </c>
      <c r="V1277" s="569">
        <v>25</v>
      </c>
      <c r="W1277" s="620">
        <v>9000</v>
      </c>
      <c r="X1277" s="621" t="s">
        <v>157</v>
      </c>
      <c r="Y1277" s="621" t="s">
        <v>450</v>
      </c>
      <c r="Z1277" s="621" t="s">
        <v>178</v>
      </c>
      <c r="AA1277" s="622">
        <v>42380</v>
      </c>
      <c r="AB1277" s="622">
        <v>60463</v>
      </c>
      <c r="AC1277" s="622">
        <v>47321</v>
      </c>
      <c r="AD1277" s="623">
        <v>0.05</v>
      </c>
      <c r="AE1277" s="621" t="s">
        <v>2619</v>
      </c>
    </row>
    <row r="1278" spans="1:31" s="572" customFormat="1" ht="30">
      <c r="A1278" s="570" t="s">
        <v>2618</v>
      </c>
      <c r="B1278" s="573" t="s">
        <v>1889</v>
      </c>
      <c r="C1278" s="578">
        <v>25</v>
      </c>
      <c r="D1278" s="573" t="s">
        <v>1516</v>
      </c>
      <c r="E1278" s="573" t="s">
        <v>1897</v>
      </c>
      <c r="F1278" s="573" t="s">
        <v>271</v>
      </c>
      <c r="G1278" s="573">
        <v>2019</v>
      </c>
      <c r="H1278" s="573" t="s">
        <v>2615</v>
      </c>
      <c r="I1278" s="573" t="s">
        <v>1201</v>
      </c>
      <c r="J1278" s="573" t="s">
        <v>236</v>
      </c>
      <c r="K1278" s="573">
        <v>10</v>
      </c>
      <c r="L1278" s="573">
        <v>2</v>
      </c>
      <c r="M1278" s="573" t="s">
        <v>1898</v>
      </c>
      <c r="N1278" s="573" t="s">
        <v>2621</v>
      </c>
      <c r="O1278" s="573">
        <v>100.7</v>
      </c>
      <c r="P1278" s="571" t="s">
        <v>164</v>
      </c>
      <c r="Q1278" s="573" t="s">
        <v>682</v>
      </c>
      <c r="R1278" s="573">
        <v>6</v>
      </c>
      <c r="S1278" s="582" t="s">
        <v>2617</v>
      </c>
      <c r="T1278" s="573" t="s">
        <v>434</v>
      </c>
      <c r="U1278" s="573">
        <v>148</v>
      </c>
      <c r="V1278" s="573">
        <v>25</v>
      </c>
      <c r="W1278" s="616">
        <v>9000</v>
      </c>
      <c r="X1278" s="617" t="s">
        <v>157</v>
      </c>
      <c r="Y1278" s="617" t="s">
        <v>450</v>
      </c>
      <c r="Z1278" s="617" t="s">
        <v>178</v>
      </c>
      <c r="AA1278" s="618">
        <v>42380</v>
      </c>
      <c r="AB1278" s="618">
        <v>58373</v>
      </c>
      <c r="AC1278" s="618">
        <v>45231</v>
      </c>
      <c r="AD1278" s="619">
        <v>0.05</v>
      </c>
      <c r="AE1278" s="617" t="s">
        <v>2619</v>
      </c>
    </row>
    <row r="1279" spans="1:31" s="572" customFormat="1" ht="30">
      <c r="A1279" s="570" t="s">
        <v>2622</v>
      </c>
      <c r="B1279" s="569" t="s">
        <v>1889</v>
      </c>
      <c r="C1279" s="580">
        <v>25</v>
      </c>
      <c r="D1279" s="569" t="s">
        <v>1516</v>
      </c>
      <c r="E1279" s="569" t="s">
        <v>1897</v>
      </c>
      <c r="F1279" s="569" t="s">
        <v>271</v>
      </c>
      <c r="G1279" s="569">
        <v>2019</v>
      </c>
      <c r="H1279" s="569" t="s">
        <v>2615</v>
      </c>
      <c r="I1279" s="569" t="s">
        <v>1201</v>
      </c>
      <c r="J1279" s="569" t="s">
        <v>236</v>
      </c>
      <c r="K1279" s="569">
        <v>8</v>
      </c>
      <c r="L1279" s="569">
        <v>2</v>
      </c>
      <c r="M1279" s="569" t="s">
        <v>1900</v>
      </c>
      <c r="N1279" s="569" t="s">
        <v>2624</v>
      </c>
      <c r="O1279" s="569">
        <v>100.7</v>
      </c>
      <c r="P1279" s="568" t="s">
        <v>164</v>
      </c>
      <c r="Q1279" s="569" t="s">
        <v>682</v>
      </c>
      <c r="R1279" s="569">
        <v>6</v>
      </c>
      <c r="S1279" s="569" t="s">
        <v>2617</v>
      </c>
      <c r="T1279" s="569" t="s">
        <v>434</v>
      </c>
      <c r="U1279" s="569">
        <v>148</v>
      </c>
      <c r="V1279" s="569">
        <v>25</v>
      </c>
      <c r="W1279" s="620">
        <v>9000</v>
      </c>
      <c r="X1279" s="621" t="s">
        <v>157</v>
      </c>
      <c r="Y1279" s="621" t="s">
        <v>450</v>
      </c>
      <c r="Z1279" s="621" t="s">
        <v>178</v>
      </c>
      <c r="AA1279" s="622">
        <v>42380</v>
      </c>
      <c r="AB1279" s="622">
        <v>58210</v>
      </c>
      <c r="AC1279" s="622">
        <v>45068</v>
      </c>
      <c r="AD1279" s="623">
        <v>0.05</v>
      </c>
      <c r="AE1279" s="621" t="s">
        <v>2623</v>
      </c>
    </row>
    <row r="1280" spans="1:31" s="572" customFormat="1" ht="30">
      <c r="A1280" s="570" t="s">
        <v>2622</v>
      </c>
      <c r="B1280" s="573" t="s">
        <v>1889</v>
      </c>
      <c r="C1280" s="578">
        <v>25</v>
      </c>
      <c r="D1280" s="573" t="s">
        <v>1516</v>
      </c>
      <c r="E1280" s="573" t="s">
        <v>1897</v>
      </c>
      <c r="F1280" s="573" t="s">
        <v>271</v>
      </c>
      <c r="G1280" s="573">
        <v>2019</v>
      </c>
      <c r="H1280" s="573" t="s">
        <v>2615</v>
      </c>
      <c r="I1280" s="573" t="s">
        <v>1201</v>
      </c>
      <c r="J1280" s="573" t="s">
        <v>236</v>
      </c>
      <c r="K1280" s="573">
        <v>8</v>
      </c>
      <c r="L1280" s="573">
        <v>2</v>
      </c>
      <c r="M1280" s="573" t="s">
        <v>1898</v>
      </c>
      <c r="N1280" s="573" t="s">
        <v>2625</v>
      </c>
      <c r="O1280" s="573">
        <v>100.7</v>
      </c>
      <c r="P1280" s="571" t="s">
        <v>164</v>
      </c>
      <c r="Q1280" s="573" t="s">
        <v>682</v>
      </c>
      <c r="R1280" s="573">
        <v>6</v>
      </c>
      <c r="S1280" s="582" t="s">
        <v>2617</v>
      </c>
      <c r="T1280" s="573" t="s">
        <v>434</v>
      </c>
      <c r="U1280" s="573">
        <v>148</v>
      </c>
      <c r="V1280" s="573">
        <v>25</v>
      </c>
      <c r="W1280" s="616">
        <v>9000</v>
      </c>
      <c r="X1280" s="617" t="s">
        <v>157</v>
      </c>
      <c r="Y1280" s="617" t="s">
        <v>450</v>
      </c>
      <c r="Z1280" s="617" t="s">
        <v>178</v>
      </c>
      <c r="AA1280" s="618">
        <v>42380</v>
      </c>
      <c r="AB1280" s="618">
        <v>57743</v>
      </c>
      <c r="AC1280" s="618">
        <v>44601</v>
      </c>
      <c r="AD1280" s="619">
        <v>0.05</v>
      </c>
      <c r="AE1280" s="617" t="s">
        <v>2623</v>
      </c>
    </row>
    <row r="1281" spans="1:31" s="572" customFormat="1">
      <c r="A1281" s="570" t="s">
        <v>2626</v>
      </c>
      <c r="B1281" s="569" t="s">
        <v>269</v>
      </c>
      <c r="C1281" s="580" t="s">
        <v>270</v>
      </c>
      <c r="D1281" s="569" t="s">
        <v>1516</v>
      </c>
      <c r="E1281" s="569" t="s">
        <v>1571</v>
      </c>
      <c r="F1281" s="569" t="s">
        <v>271</v>
      </c>
      <c r="G1281" s="569">
        <v>2019</v>
      </c>
      <c r="H1281" s="569" t="s">
        <v>2628</v>
      </c>
      <c r="I1281" s="569" t="s">
        <v>1916</v>
      </c>
      <c r="J1281" s="569" t="s">
        <v>236</v>
      </c>
      <c r="K1281" s="569">
        <v>2</v>
      </c>
      <c r="L1281" s="569">
        <v>0</v>
      </c>
      <c r="M1281" s="569" t="s">
        <v>157</v>
      </c>
      <c r="N1281" s="569">
        <v>1</v>
      </c>
      <c r="O1281" s="569">
        <v>100.7</v>
      </c>
      <c r="P1281" s="568" t="s">
        <v>157</v>
      </c>
      <c r="Q1281" s="569" t="s">
        <v>1259</v>
      </c>
      <c r="R1281" s="569">
        <v>6</v>
      </c>
      <c r="S1281" s="569" t="s">
        <v>2629</v>
      </c>
      <c r="T1281" s="569" t="s">
        <v>1894</v>
      </c>
      <c r="U1281" s="569">
        <v>147.6</v>
      </c>
      <c r="V1281" s="569">
        <v>25</v>
      </c>
      <c r="W1281" s="620">
        <v>9500</v>
      </c>
      <c r="X1281" s="621" t="s">
        <v>157</v>
      </c>
      <c r="Y1281" s="621" t="s">
        <v>178</v>
      </c>
      <c r="Z1281" s="621" t="s">
        <v>178</v>
      </c>
      <c r="AA1281" s="622">
        <v>41425</v>
      </c>
      <c r="AB1281" s="622" t="s">
        <v>164</v>
      </c>
      <c r="AC1281" s="622">
        <v>31658</v>
      </c>
      <c r="AD1281" s="623">
        <v>0.03</v>
      </c>
      <c r="AE1281" s="621" t="s">
        <v>2627</v>
      </c>
    </row>
    <row r="1282" spans="1:31" s="572" customFormat="1">
      <c r="A1282" s="570" t="s">
        <v>2626</v>
      </c>
      <c r="B1282" s="573" t="s">
        <v>269</v>
      </c>
      <c r="C1282" s="578" t="s">
        <v>270</v>
      </c>
      <c r="D1282" s="573" t="s">
        <v>1516</v>
      </c>
      <c r="E1282" s="573" t="s">
        <v>1571</v>
      </c>
      <c r="F1282" s="573" t="s">
        <v>271</v>
      </c>
      <c r="G1282" s="573">
        <v>2019</v>
      </c>
      <c r="H1282" s="573" t="s">
        <v>2628</v>
      </c>
      <c r="I1282" s="573" t="s">
        <v>1916</v>
      </c>
      <c r="J1282" s="573" t="s">
        <v>236</v>
      </c>
      <c r="K1282" s="573">
        <v>2</v>
      </c>
      <c r="L1282" s="573">
        <v>0</v>
      </c>
      <c r="M1282" s="573" t="s">
        <v>157</v>
      </c>
      <c r="N1282" s="573">
        <v>1</v>
      </c>
      <c r="O1282" s="573">
        <v>100.7</v>
      </c>
      <c r="P1282" s="571" t="s">
        <v>157</v>
      </c>
      <c r="Q1282" s="573" t="s">
        <v>682</v>
      </c>
      <c r="R1282" s="573">
        <v>6</v>
      </c>
      <c r="S1282" s="582" t="s">
        <v>2629</v>
      </c>
      <c r="T1282" s="573" t="s">
        <v>1894</v>
      </c>
      <c r="U1282" s="573">
        <v>147.6</v>
      </c>
      <c r="V1282" s="573">
        <v>25</v>
      </c>
      <c r="W1282" s="616">
        <v>9500</v>
      </c>
      <c r="X1282" s="617" t="s">
        <v>157</v>
      </c>
      <c r="Y1282" s="617" t="s">
        <v>178</v>
      </c>
      <c r="Z1282" s="617" t="s">
        <v>178</v>
      </c>
      <c r="AA1282" s="618">
        <v>39560</v>
      </c>
      <c r="AB1282" s="618" t="s">
        <v>164</v>
      </c>
      <c r="AC1282" s="618">
        <v>30001.75</v>
      </c>
      <c r="AD1282" s="619">
        <v>0.03</v>
      </c>
      <c r="AE1282" s="617" t="s">
        <v>2627</v>
      </c>
    </row>
    <row r="1283" spans="1:31" s="572" customFormat="1">
      <c r="A1283" s="570" t="s">
        <v>2630</v>
      </c>
      <c r="B1283" s="569" t="s">
        <v>269</v>
      </c>
      <c r="C1283" s="580" t="s">
        <v>270</v>
      </c>
      <c r="D1283" s="569" t="s">
        <v>1516</v>
      </c>
      <c r="E1283" s="569" t="s">
        <v>1571</v>
      </c>
      <c r="F1283" s="569" t="s">
        <v>271</v>
      </c>
      <c r="G1283" s="569">
        <v>2019</v>
      </c>
      <c r="H1283" s="569" t="s">
        <v>2628</v>
      </c>
      <c r="I1283" s="569" t="s">
        <v>1916</v>
      </c>
      <c r="J1283" s="569" t="s">
        <v>236</v>
      </c>
      <c r="K1283" s="569">
        <v>2</v>
      </c>
      <c r="L1283" s="569">
        <v>0</v>
      </c>
      <c r="M1283" s="569" t="s">
        <v>157</v>
      </c>
      <c r="N1283" s="569">
        <v>1</v>
      </c>
      <c r="O1283" s="569">
        <v>100.8</v>
      </c>
      <c r="P1283" s="568" t="s">
        <v>157</v>
      </c>
      <c r="Q1283" s="569" t="s">
        <v>1259</v>
      </c>
      <c r="R1283" s="569">
        <v>6</v>
      </c>
      <c r="S1283" s="569" t="s">
        <v>2632</v>
      </c>
      <c r="T1283" s="569" t="s">
        <v>1894</v>
      </c>
      <c r="U1283" s="569">
        <v>129.9</v>
      </c>
      <c r="V1283" s="569">
        <v>25</v>
      </c>
      <c r="W1283" s="620">
        <v>9500</v>
      </c>
      <c r="X1283" s="621" t="s">
        <v>157</v>
      </c>
      <c r="Y1283" s="621" t="s">
        <v>178</v>
      </c>
      <c r="Z1283" s="621" t="s">
        <v>178</v>
      </c>
      <c r="AA1283" s="622">
        <v>39700</v>
      </c>
      <c r="AB1283" s="622" t="s">
        <v>164</v>
      </c>
      <c r="AC1283" s="622">
        <v>30081.958333333336</v>
      </c>
      <c r="AD1283" s="623">
        <v>0.03</v>
      </c>
      <c r="AE1283" s="621" t="s">
        <v>2631</v>
      </c>
    </row>
    <row r="1284" spans="1:31" s="572" customFormat="1">
      <c r="A1284" s="570" t="s">
        <v>2633</v>
      </c>
      <c r="B1284" s="573" t="s">
        <v>269</v>
      </c>
      <c r="C1284" s="578" t="s">
        <v>270</v>
      </c>
      <c r="D1284" s="573" t="s">
        <v>1516</v>
      </c>
      <c r="E1284" s="573" t="s">
        <v>1571</v>
      </c>
      <c r="F1284" s="573" t="s">
        <v>271</v>
      </c>
      <c r="G1284" s="573">
        <v>2019</v>
      </c>
      <c r="H1284" s="573" t="s">
        <v>2628</v>
      </c>
      <c r="I1284" s="573" t="s">
        <v>1916</v>
      </c>
      <c r="J1284" s="573" t="s">
        <v>236</v>
      </c>
      <c r="K1284" s="573">
        <v>2</v>
      </c>
      <c r="L1284" s="573">
        <v>0</v>
      </c>
      <c r="M1284" s="573" t="s">
        <v>157</v>
      </c>
      <c r="N1284" s="573">
        <v>1</v>
      </c>
      <c r="O1284" s="573">
        <v>100.8</v>
      </c>
      <c r="P1284" s="571" t="s">
        <v>157</v>
      </c>
      <c r="Q1284" s="573" t="s">
        <v>682</v>
      </c>
      <c r="R1284" s="573">
        <v>6</v>
      </c>
      <c r="S1284" s="582" t="s">
        <v>2632</v>
      </c>
      <c r="T1284" s="573" t="s">
        <v>1894</v>
      </c>
      <c r="U1284" s="573">
        <v>129.9</v>
      </c>
      <c r="V1284" s="573">
        <v>25</v>
      </c>
      <c r="W1284" s="616">
        <v>9500</v>
      </c>
      <c r="X1284" s="617" t="s">
        <v>157</v>
      </c>
      <c r="Y1284" s="617" t="s">
        <v>178</v>
      </c>
      <c r="Z1284" s="617" t="s">
        <v>178</v>
      </c>
      <c r="AA1284" s="618">
        <v>37835</v>
      </c>
      <c r="AB1284" s="618" t="s">
        <v>164</v>
      </c>
      <c r="AC1284" s="618">
        <v>28425.708333333336</v>
      </c>
      <c r="AD1284" s="619">
        <v>0.03</v>
      </c>
      <c r="AE1284" s="617" t="s">
        <v>2634</v>
      </c>
    </row>
    <row r="1285" spans="1:31" s="572" customFormat="1">
      <c r="A1285" s="570" t="s">
        <v>2635</v>
      </c>
      <c r="B1285" s="569" t="s">
        <v>269</v>
      </c>
      <c r="C1285" s="580" t="s">
        <v>270</v>
      </c>
      <c r="D1285" s="569" t="s">
        <v>1516</v>
      </c>
      <c r="E1285" s="569" t="s">
        <v>1571</v>
      </c>
      <c r="F1285" s="569" t="s">
        <v>271</v>
      </c>
      <c r="G1285" s="569">
        <v>2019</v>
      </c>
      <c r="H1285" s="569" t="s">
        <v>2628</v>
      </c>
      <c r="I1285" s="569" t="s">
        <v>1916</v>
      </c>
      <c r="J1285" s="569" t="s">
        <v>236</v>
      </c>
      <c r="K1285" s="569">
        <v>2</v>
      </c>
      <c r="L1285" s="569">
        <v>0</v>
      </c>
      <c r="M1285" s="569" t="s">
        <v>157</v>
      </c>
      <c r="N1285" s="569">
        <v>1</v>
      </c>
      <c r="O1285" s="569">
        <v>109.4</v>
      </c>
      <c r="P1285" s="568" t="s">
        <v>157</v>
      </c>
      <c r="Q1285" s="569" t="s">
        <v>1917</v>
      </c>
      <c r="R1285" s="569">
        <v>5</v>
      </c>
      <c r="S1285" s="569" t="s">
        <v>2637</v>
      </c>
      <c r="T1285" s="569" t="s">
        <v>1894</v>
      </c>
      <c r="U1285" s="569">
        <v>147.6</v>
      </c>
      <c r="V1285" s="569">
        <v>25</v>
      </c>
      <c r="W1285" s="620">
        <v>9500</v>
      </c>
      <c r="X1285" s="621" t="s">
        <v>157</v>
      </c>
      <c r="Y1285" s="621" t="s">
        <v>728</v>
      </c>
      <c r="Z1285" s="621" t="s">
        <v>1523</v>
      </c>
      <c r="AA1285" s="622">
        <v>47005</v>
      </c>
      <c r="AB1285" s="622" t="s">
        <v>164</v>
      </c>
      <c r="AC1285" s="622">
        <v>36706.5</v>
      </c>
      <c r="AD1285" s="623">
        <v>0.03</v>
      </c>
      <c r="AE1285" s="621" t="s">
        <v>2636</v>
      </c>
    </row>
    <row r="1286" spans="1:31" s="572" customFormat="1">
      <c r="A1286" s="570" t="s">
        <v>2638</v>
      </c>
      <c r="B1286" s="573" t="s">
        <v>269</v>
      </c>
      <c r="C1286" s="578" t="s">
        <v>270</v>
      </c>
      <c r="D1286" s="573" t="s">
        <v>1516</v>
      </c>
      <c r="E1286" s="573" t="s">
        <v>1571</v>
      </c>
      <c r="F1286" s="573" t="s">
        <v>271</v>
      </c>
      <c r="G1286" s="573">
        <v>2019</v>
      </c>
      <c r="H1286" s="573" t="s">
        <v>2628</v>
      </c>
      <c r="I1286" s="573" t="s">
        <v>1916</v>
      </c>
      <c r="J1286" s="573" t="s">
        <v>236</v>
      </c>
      <c r="K1286" s="573">
        <v>2</v>
      </c>
      <c r="L1286" s="573">
        <v>0</v>
      </c>
      <c r="M1286" s="573" t="s">
        <v>157</v>
      </c>
      <c r="N1286" s="573">
        <v>1</v>
      </c>
      <c r="O1286" s="573">
        <v>109.4</v>
      </c>
      <c r="P1286" s="571" t="s">
        <v>157</v>
      </c>
      <c r="Q1286" s="573" t="s">
        <v>1259</v>
      </c>
      <c r="R1286" s="573">
        <v>6</v>
      </c>
      <c r="S1286" s="582" t="s">
        <v>2637</v>
      </c>
      <c r="T1286" s="573" t="s">
        <v>1894</v>
      </c>
      <c r="U1286" s="573">
        <v>147.6</v>
      </c>
      <c r="V1286" s="573">
        <v>25</v>
      </c>
      <c r="W1286" s="616">
        <v>9500</v>
      </c>
      <c r="X1286" s="617" t="s">
        <v>157</v>
      </c>
      <c r="Y1286" s="617" t="s">
        <v>178</v>
      </c>
      <c r="Z1286" s="617" t="s">
        <v>178</v>
      </c>
      <c r="AA1286" s="618">
        <v>44875</v>
      </c>
      <c r="AB1286" s="618" t="s">
        <v>164</v>
      </c>
      <c r="AC1286" s="618">
        <v>34813.208333333336</v>
      </c>
      <c r="AD1286" s="619">
        <v>0.03</v>
      </c>
      <c r="AE1286" s="617" t="s">
        <v>2639</v>
      </c>
    </row>
    <row r="1287" spans="1:31" s="572" customFormat="1">
      <c r="A1287" s="570" t="s">
        <v>2640</v>
      </c>
      <c r="B1287" s="569" t="s">
        <v>269</v>
      </c>
      <c r="C1287" s="580" t="s">
        <v>270</v>
      </c>
      <c r="D1287" s="569" t="s">
        <v>1516</v>
      </c>
      <c r="E1287" s="569" t="s">
        <v>1571</v>
      </c>
      <c r="F1287" s="569" t="s">
        <v>271</v>
      </c>
      <c r="G1287" s="569">
        <v>2019</v>
      </c>
      <c r="H1287" s="569" t="s">
        <v>2628</v>
      </c>
      <c r="I1287" s="569" t="s">
        <v>1916</v>
      </c>
      <c r="J1287" s="569" t="s">
        <v>236</v>
      </c>
      <c r="K1287" s="569">
        <v>2</v>
      </c>
      <c r="L1287" s="569">
        <v>0</v>
      </c>
      <c r="M1287" s="569" t="s">
        <v>157</v>
      </c>
      <c r="N1287" s="569">
        <v>1</v>
      </c>
      <c r="O1287" s="569">
        <v>109.4</v>
      </c>
      <c r="P1287" s="568" t="s">
        <v>157</v>
      </c>
      <c r="Q1287" s="569" t="s">
        <v>682</v>
      </c>
      <c r="R1287" s="569">
        <v>6</v>
      </c>
      <c r="S1287" s="569" t="s">
        <v>2637</v>
      </c>
      <c r="T1287" s="569" t="s">
        <v>1894</v>
      </c>
      <c r="U1287" s="569">
        <v>147.6</v>
      </c>
      <c r="V1287" s="569">
        <v>25</v>
      </c>
      <c r="W1287" s="620">
        <v>9500</v>
      </c>
      <c r="X1287" s="621" t="s">
        <v>157</v>
      </c>
      <c r="Y1287" s="621" t="s">
        <v>178</v>
      </c>
      <c r="Z1287" s="621" t="s">
        <v>178</v>
      </c>
      <c r="AA1287" s="622">
        <v>43010</v>
      </c>
      <c r="AB1287" s="622" t="s">
        <v>164</v>
      </c>
      <c r="AC1287" s="622">
        <v>33156.958333333336</v>
      </c>
      <c r="AD1287" s="623">
        <v>0.03</v>
      </c>
      <c r="AE1287" s="621" t="s">
        <v>2641</v>
      </c>
    </row>
    <row r="1288" spans="1:31" s="572" customFormat="1">
      <c r="A1288" s="570" t="s">
        <v>2642</v>
      </c>
      <c r="B1288" s="573" t="s">
        <v>269</v>
      </c>
      <c r="C1288" s="578" t="s">
        <v>270</v>
      </c>
      <c r="D1288" s="573" t="s">
        <v>1516</v>
      </c>
      <c r="E1288" s="573" t="s">
        <v>1571</v>
      </c>
      <c r="F1288" s="573" t="s">
        <v>271</v>
      </c>
      <c r="G1288" s="573">
        <v>2019</v>
      </c>
      <c r="H1288" s="573" t="s">
        <v>2628</v>
      </c>
      <c r="I1288" s="573" t="s">
        <v>1916</v>
      </c>
      <c r="J1288" s="573" t="s">
        <v>236</v>
      </c>
      <c r="K1288" s="573">
        <v>2</v>
      </c>
      <c r="L1288" s="573">
        <v>0</v>
      </c>
      <c r="M1288" s="573" t="s">
        <v>157</v>
      </c>
      <c r="N1288" s="573">
        <v>1</v>
      </c>
      <c r="O1288" s="573">
        <v>110.1</v>
      </c>
      <c r="P1288" s="571" t="s">
        <v>157</v>
      </c>
      <c r="Q1288" s="573" t="s">
        <v>1259</v>
      </c>
      <c r="R1288" s="573">
        <v>6</v>
      </c>
      <c r="S1288" s="582" t="s">
        <v>2644</v>
      </c>
      <c r="T1288" s="573" t="s">
        <v>1894</v>
      </c>
      <c r="U1288" s="573">
        <v>147.6</v>
      </c>
      <c r="V1288" s="573">
        <v>25</v>
      </c>
      <c r="W1288" s="616">
        <v>9500</v>
      </c>
      <c r="X1288" s="617" t="s">
        <v>157</v>
      </c>
      <c r="Y1288" s="617" t="s">
        <v>178</v>
      </c>
      <c r="Z1288" s="617" t="s">
        <v>178</v>
      </c>
      <c r="AA1288" s="618">
        <v>43575</v>
      </c>
      <c r="AB1288" s="618" t="s">
        <v>164</v>
      </c>
      <c r="AC1288" s="618">
        <v>33623.625</v>
      </c>
      <c r="AD1288" s="619">
        <v>0.03</v>
      </c>
      <c r="AE1288" s="617" t="s">
        <v>2643</v>
      </c>
    </row>
    <row r="1289" spans="1:31" s="572" customFormat="1">
      <c r="A1289" s="570" t="s">
        <v>2645</v>
      </c>
      <c r="B1289" s="569" t="s">
        <v>269</v>
      </c>
      <c r="C1289" s="580" t="s">
        <v>270</v>
      </c>
      <c r="D1289" s="569" t="s">
        <v>1516</v>
      </c>
      <c r="E1289" s="569" t="s">
        <v>1571</v>
      </c>
      <c r="F1289" s="569" t="s">
        <v>271</v>
      </c>
      <c r="G1289" s="569">
        <v>2019</v>
      </c>
      <c r="H1289" s="569" t="s">
        <v>2628</v>
      </c>
      <c r="I1289" s="569" t="s">
        <v>1916</v>
      </c>
      <c r="J1289" s="569" t="s">
        <v>236</v>
      </c>
      <c r="K1289" s="569">
        <v>2</v>
      </c>
      <c r="L1289" s="569">
        <v>0</v>
      </c>
      <c r="M1289" s="569" t="s">
        <v>157</v>
      </c>
      <c r="N1289" s="569">
        <v>1</v>
      </c>
      <c r="O1289" s="569">
        <v>110.1</v>
      </c>
      <c r="P1289" s="568" t="s">
        <v>157</v>
      </c>
      <c r="Q1289" s="569" t="s">
        <v>682</v>
      </c>
      <c r="R1289" s="569">
        <v>6</v>
      </c>
      <c r="S1289" s="569" t="s">
        <v>2644</v>
      </c>
      <c r="T1289" s="569" t="s">
        <v>1894</v>
      </c>
      <c r="U1289" s="569">
        <v>147.6</v>
      </c>
      <c r="V1289" s="569">
        <v>25</v>
      </c>
      <c r="W1289" s="620">
        <v>9500</v>
      </c>
      <c r="X1289" s="621" t="s">
        <v>157</v>
      </c>
      <c r="Y1289" s="621" t="s">
        <v>178</v>
      </c>
      <c r="Z1289" s="621" t="s">
        <v>178</v>
      </c>
      <c r="AA1289" s="622">
        <v>41710</v>
      </c>
      <c r="AB1289" s="622" t="s">
        <v>164</v>
      </c>
      <c r="AC1289" s="622">
        <v>31967.375</v>
      </c>
      <c r="AD1289" s="623">
        <v>0.03</v>
      </c>
      <c r="AE1289" s="621" t="s">
        <v>2646</v>
      </c>
    </row>
    <row r="1290" spans="1:31" s="572" customFormat="1">
      <c r="A1290" s="570" t="s">
        <v>2647</v>
      </c>
      <c r="B1290" s="573" t="s">
        <v>278</v>
      </c>
      <c r="C1290" s="578">
        <v>15</v>
      </c>
      <c r="D1290" s="573" t="s">
        <v>1516</v>
      </c>
      <c r="E1290" s="573" t="s">
        <v>1571</v>
      </c>
      <c r="F1290" s="573" t="s">
        <v>271</v>
      </c>
      <c r="G1290" s="573">
        <v>2019</v>
      </c>
      <c r="H1290" s="573" t="s">
        <v>2628</v>
      </c>
      <c r="I1290" s="573" t="s">
        <v>1916</v>
      </c>
      <c r="J1290" s="573" t="s">
        <v>236</v>
      </c>
      <c r="K1290" s="573">
        <v>2</v>
      </c>
      <c r="L1290" s="573">
        <v>0</v>
      </c>
      <c r="M1290" s="573" t="s">
        <v>157</v>
      </c>
      <c r="N1290" s="573">
        <v>1</v>
      </c>
      <c r="O1290" s="573">
        <v>100.7</v>
      </c>
      <c r="P1290" s="571" t="s">
        <v>157</v>
      </c>
      <c r="Q1290" s="573" t="s">
        <v>1259</v>
      </c>
      <c r="R1290" s="573">
        <v>6</v>
      </c>
      <c r="S1290" s="582" t="s">
        <v>2629</v>
      </c>
      <c r="T1290" s="573" t="s">
        <v>1894</v>
      </c>
      <c r="U1290" s="573">
        <v>147.6</v>
      </c>
      <c r="V1290" s="573">
        <v>25</v>
      </c>
      <c r="W1290" s="616">
        <v>9500</v>
      </c>
      <c r="X1290" s="617" t="s">
        <v>157</v>
      </c>
      <c r="Y1290" s="617" t="s">
        <v>178</v>
      </c>
      <c r="Z1290" s="617" t="s">
        <v>178</v>
      </c>
      <c r="AA1290" s="618">
        <v>41425</v>
      </c>
      <c r="AB1290" s="618" t="s">
        <v>164</v>
      </c>
      <c r="AC1290" s="618">
        <v>32300</v>
      </c>
      <c r="AD1290" s="619">
        <v>0.01</v>
      </c>
      <c r="AE1290" s="617" t="s">
        <v>2627</v>
      </c>
    </row>
    <row r="1291" spans="1:31" s="572" customFormat="1">
      <c r="A1291" s="570" t="s">
        <v>2648</v>
      </c>
      <c r="B1291" s="569" t="s">
        <v>278</v>
      </c>
      <c r="C1291" s="580">
        <v>15</v>
      </c>
      <c r="D1291" s="569" t="s">
        <v>1516</v>
      </c>
      <c r="E1291" s="569" t="s">
        <v>1571</v>
      </c>
      <c r="F1291" s="569" t="s">
        <v>271</v>
      </c>
      <c r="G1291" s="569">
        <v>2019</v>
      </c>
      <c r="H1291" s="569" t="s">
        <v>2628</v>
      </c>
      <c r="I1291" s="569" t="s">
        <v>1916</v>
      </c>
      <c r="J1291" s="569" t="s">
        <v>236</v>
      </c>
      <c r="K1291" s="569">
        <v>2</v>
      </c>
      <c r="L1291" s="569">
        <v>0</v>
      </c>
      <c r="M1291" s="569" t="s">
        <v>157</v>
      </c>
      <c r="N1291" s="569">
        <v>1</v>
      </c>
      <c r="O1291" s="569">
        <v>100.7</v>
      </c>
      <c r="P1291" s="568" t="s">
        <v>157</v>
      </c>
      <c r="Q1291" s="569" t="s">
        <v>682</v>
      </c>
      <c r="R1291" s="569">
        <v>6</v>
      </c>
      <c r="S1291" s="569" t="s">
        <v>2629</v>
      </c>
      <c r="T1291" s="569" t="s">
        <v>1894</v>
      </c>
      <c r="U1291" s="569">
        <v>147.6</v>
      </c>
      <c r="V1291" s="569">
        <v>25</v>
      </c>
      <c r="W1291" s="620">
        <v>9500</v>
      </c>
      <c r="X1291" s="621" t="s">
        <v>157</v>
      </c>
      <c r="Y1291" s="621" t="s">
        <v>178</v>
      </c>
      <c r="Z1291" s="621" t="s">
        <v>178</v>
      </c>
      <c r="AA1291" s="622">
        <v>39560</v>
      </c>
      <c r="AB1291" s="622" t="s">
        <v>164</v>
      </c>
      <c r="AC1291" s="622">
        <v>30600</v>
      </c>
      <c r="AD1291" s="623">
        <v>0.01</v>
      </c>
      <c r="AE1291" s="621" t="s">
        <v>2649</v>
      </c>
    </row>
    <row r="1292" spans="1:31" s="572" customFormat="1">
      <c r="A1292" s="570" t="s">
        <v>2650</v>
      </c>
      <c r="B1292" s="573" t="s">
        <v>278</v>
      </c>
      <c r="C1292" s="578">
        <v>15</v>
      </c>
      <c r="D1292" s="573" t="s">
        <v>1516</v>
      </c>
      <c r="E1292" s="573" t="s">
        <v>1571</v>
      </c>
      <c r="F1292" s="573" t="s">
        <v>271</v>
      </c>
      <c r="G1292" s="573">
        <v>2019</v>
      </c>
      <c r="H1292" s="573" t="s">
        <v>2628</v>
      </c>
      <c r="I1292" s="573" t="s">
        <v>1916</v>
      </c>
      <c r="J1292" s="573" t="s">
        <v>236</v>
      </c>
      <c r="K1292" s="573">
        <v>2</v>
      </c>
      <c r="L1292" s="573">
        <v>0</v>
      </c>
      <c r="M1292" s="573" t="s">
        <v>157</v>
      </c>
      <c r="N1292" s="573">
        <v>1</v>
      </c>
      <c r="O1292" s="573">
        <v>100.8</v>
      </c>
      <c r="P1292" s="571" t="s">
        <v>157</v>
      </c>
      <c r="Q1292" s="573" t="s">
        <v>1259</v>
      </c>
      <c r="R1292" s="573">
        <v>6</v>
      </c>
      <c r="S1292" s="582" t="s">
        <v>2632</v>
      </c>
      <c r="T1292" s="573" t="s">
        <v>1894</v>
      </c>
      <c r="U1292" s="573">
        <v>129.9</v>
      </c>
      <c r="V1292" s="573">
        <v>25</v>
      </c>
      <c r="W1292" s="616">
        <v>9500</v>
      </c>
      <c r="X1292" s="617" t="s">
        <v>157</v>
      </c>
      <c r="Y1292" s="617" t="s">
        <v>178</v>
      </c>
      <c r="Z1292" s="617" t="s">
        <v>178</v>
      </c>
      <c r="AA1292" s="618">
        <v>39700</v>
      </c>
      <c r="AB1292" s="618" t="s">
        <v>164</v>
      </c>
      <c r="AC1292" s="618">
        <v>30700</v>
      </c>
      <c r="AD1292" s="619">
        <v>0.01</v>
      </c>
      <c r="AE1292" s="617" t="s">
        <v>2631</v>
      </c>
    </row>
    <row r="1293" spans="1:31" s="572" customFormat="1">
      <c r="A1293" s="570" t="s">
        <v>2651</v>
      </c>
      <c r="B1293" s="569" t="s">
        <v>278</v>
      </c>
      <c r="C1293" s="580">
        <v>15</v>
      </c>
      <c r="D1293" s="569" t="s">
        <v>1516</v>
      </c>
      <c r="E1293" s="569" t="s">
        <v>1571</v>
      </c>
      <c r="F1293" s="569" t="s">
        <v>271</v>
      </c>
      <c r="G1293" s="569">
        <v>2019</v>
      </c>
      <c r="H1293" s="569" t="s">
        <v>2628</v>
      </c>
      <c r="I1293" s="569" t="s">
        <v>1916</v>
      </c>
      <c r="J1293" s="569" t="s">
        <v>236</v>
      </c>
      <c r="K1293" s="569">
        <v>2</v>
      </c>
      <c r="L1293" s="569">
        <v>0</v>
      </c>
      <c r="M1293" s="569" t="s">
        <v>157</v>
      </c>
      <c r="N1293" s="569">
        <v>1</v>
      </c>
      <c r="O1293" s="569">
        <v>100.8</v>
      </c>
      <c r="P1293" s="568" t="s">
        <v>157</v>
      </c>
      <c r="Q1293" s="569" t="s">
        <v>682</v>
      </c>
      <c r="R1293" s="569">
        <v>6</v>
      </c>
      <c r="S1293" s="569" t="s">
        <v>2632</v>
      </c>
      <c r="T1293" s="569" t="s">
        <v>1894</v>
      </c>
      <c r="U1293" s="569">
        <v>129.9</v>
      </c>
      <c r="V1293" s="569">
        <v>25</v>
      </c>
      <c r="W1293" s="620">
        <v>9500</v>
      </c>
      <c r="X1293" s="621" t="s">
        <v>157</v>
      </c>
      <c r="Y1293" s="621" t="s">
        <v>178</v>
      </c>
      <c r="Z1293" s="621" t="s">
        <v>178</v>
      </c>
      <c r="AA1293" s="622">
        <v>37835</v>
      </c>
      <c r="AB1293" s="622" t="s">
        <v>164</v>
      </c>
      <c r="AC1293" s="622">
        <v>29000</v>
      </c>
      <c r="AD1293" s="623">
        <v>0.01</v>
      </c>
      <c r="AE1293" s="621" t="s">
        <v>2634</v>
      </c>
    </row>
    <row r="1294" spans="1:31" s="572" customFormat="1">
      <c r="A1294" s="570" t="s">
        <v>2652</v>
      </c>
      <c r="B1294" s="573" t="s">
        <v>278</v>
      </c>
      <c r="C1294" s="578">
        <v>15</v>
      </c>
      <c r="D1294" s="573" t="s">
        <v>1516</v>
      </c>
      <c r="E1294" s="573" t="s">
        <v>1571</v>
      </c>
      <c r="F1294" s="573" t="s">
        <v>271</v>
      </c>
      <c r="G1294" s="573">
        <v>2019</v>
      </c>
      <c r="H1294" s="573" t="s">
        <v>2628</v>
      </c>
      <c r="I1294" s="573" t="s">
        <v>1916</v>
      </c>
      <c r="J1294" s="573" t="s">
        <v>236</v>
      </c>
      <c r="K1294" s="573">
        <v>2</v>
      </c>
      <c r="L1294" s="573">
        <v>0</v>
      </c>
      <c r="M1294" s="573" t="s">
        <v>157</v>
      </c>
      <c r="N1294" s="573">
        <v>1</v>
      </c>
      <c r="O1294" s="573">
        <v>109.4</v>
      </c>
      <c r="P1294" s="571" t="s">
        <v>157</v>
      </c>
      <c r="Q1294" s="573" t="s">
        <v>1917</v>
      </c>
      <c r="R1294" s="573">
        <v>5</v>
      </c>
      <c r="S1294" s="582" t="s">
        <v>2637</v>
      </c>
      <c r="T1294" s="573" t="s">
        <v>1894</v>
      </c>
      <c r="U1294" s="573">
        <v>147.6</v>
      </c>
      <c r="V1294" s="573">
        <v>25</v>
      </c>
      <c r="W1294" s="616">
        <v>9500</v>
      </c>
      <c r="X1294" s="617" t="s">
        <v>157</v>
      </c>
      <c r="Y1294" s="617" t="s">
        <v>728</v>
      </c>
      <c r="Z1294" s="617" t="s">
        <v>1523</v>
      </c>
      <c r="AA1294" s="618">
        <v>47005</v>
      </c>
      <c r="AB1294" s="618" t="s">
        <v>164</v>
      </c>
      <c r="AC1294" s="618">
        <v>37500</v>
      </c>
      <c r="AD1294" s="619">
        <v>0.01</v>
      </c>
      <c r="AE1294" s="617" t="s">
        <v>2636</v>
      </c>
    </row>
    <row r="1295" spans="1:31" s="572" customFormat="1">
      <c r="A1295" s="570" t="s">
        <v>2653</v>
      </c>
      <c r="B1295" s="569" t="s">
        <v>278</v>
      </c>
      <c r="C1295" s="580">
        <v>15</v>
      </c>
      <c r="D1295" s="569" t="s">
        <v>1516</v>
      </c>
      <c r="E1295" s="569" t="s">
        <v>1571</v>
      </c>
      <c r="F1295" s="569" t="s">
        <v>271</v>
      </c>
      <c r="G1295" s="569">
        <v>2019</v>
      </c>
      <c r="H1295" s="569" t="s">
        <v>2628</v>
      </c>
      <c r="I1295" s="569" t="s">
        <v>1916</v>
      </c>
      <c r="J1295" s="569" t="s">
        <v>236</v>
      </c>
      <c r="K1295" s="569">
        <v>2</v>
      </c>
      <c r="L1295" s="569">
        <v>0</v>
      </c>
      <c r="M1295" s="569" t="s">
        <v>157</v>
      </c>
      <c r="N1295" s="569">
        <v>1</v>
      </c>
      <c r="O1295" s="569">
        <v>109.4</v>
      </c>
      <c r="P1295" s="568" t="s">
        <v>157</v>
      </c>
      <c r="Q1295" s="569" t="s">
        <v>1259</v>
      </c>
      <c r="R1295" s="569">
        <v>6</v>
      </c>
      <c r="S1295" s="569" t="s">
        <v>2637</v>
      </c>
      <c r="T1295" s="569" t="s">
        <v>1894</v>
      </c>
      <c r="U1295" s="569">
        <v>147.6</v>
      </c>
      <c r="V1295" s="569">
        <v>25</v>
      </c>
      <c r="W1295" s="620">
        <v>9500</v>
      </c>
      <c r="X1295" s="621" t="s">
        <v>157</v>
      </c>
      <c r="Y1295" s="621" t="s">
        <v>178</v>
      </c>
      <c r="Z1295" s="621" t="s">
        <v>178</v>
      </c>
      <c r="AA1295" s="622">
        <v>44875</v>
      </c>
      <c r="AB1295" s="622" t="s">
        <v>164</v>
      </c>
      <c r="AC1295" s="622">
        <v>35500</v>
      </c>
      <c r="AD1295" s="623">
        <v>0.01</v>
      </c>
      <c r="AE1295" s="621" t="s">
        <v>2639</v>
      </c>
    </row>
    <row r="1296" spans="1:31" s="572" customFormat="1">
      <c r="A1296" s="570" t="s">
        <v>2654</v>
      </c>
      <c r="B1296" s="573" t="s">
        <v>278</v>
      </c>
      <c r="C1296" s="578">
        <v>15</v>
      </c>
      <c r="D1296" s="573" t="s">
        <v>1516</v>
      </c>
      <c r="E1296" s="573" t="s">
        <v>1571</v>
      </c>
      <c r="F1296" s="573" t="s">
        <v>271</v>
      </c>
      <c r="G1296" s="573">
        <v>2019</v>
      </c>
      <c r="H1296" s="573" t="s">
        <v>2628</v>
      </c>
      <c r="I1296" s="573" t="s">
        <v>1916</v>
      </c>
      <c r="J1296" s="573" t="s">
        <v>236</v>
      </c>
      <c r="K1296" s="573">
        <v>2</v>
      </c>
      <c r="L1296" s="573">
        <v>0</v>
      </c>
      <c r="M1296" s="573" t="s">
        <v>157</v>
      </c>
      <c r="N1296" s="573">
        <v>1</v>
      </c>
      <c r="O1296" s="573">
        <v>109.4</v>
      </c>
      <c r="P1296" s="571" t="s">
        <v>157</v>
      </c>
      <c r="Q1296" s="573" t="s">
        <v>682</v>
      </c>
      <c r="R1296" s="573">
        <v>6</v>
      </c>
      <c r="S1296" s="582" t="s">
        <v>2637</v>
      </c>
      <c r="T1296" s="573" t="s">
        <v>1894</v>
      </c>
      <c r="U1296" s="573">
        <v>147.6</v>
      </c>
      <c r="V1296" s="573">
        <v>25</v>
      </c>
      <c r="W1296" s="616">
        <v>9500</v>
      </c>
      <c r="X1296" s="617" t="s">
        <v>157</v>
      </c>
      <c r="Y1296" s="617" t="s">
        <v>178</v>
      </c>
      <c r="Z1296" s="617" t="s">
        <v>178</v>
      </c>
      <c r="AA1296" s="618">
        <v>43010</v>
      </c>
      <c r="AB1296" s="618" t="s">
        <v>164</v>
      </c>
      <c r="AC1296" s="618">
        <v>33850</v>
      </c>
      <c r="AD1296" s="619">
        <v>0.01</v>
      </c>
      <c r="AE1296" s="617" t="s">
        <v>2641</v>
      </c>
    </row>
    <row r="1297" spans="1:31" s="572" customFormat="1">
      <c r="A1297" s="570" t="s">
        <v>2655</v>
      </c>
      <c r="B1297" s="569" t="s">
        <v>278</v>
      </c>
      <c r="C1297" s="580">
        <v>15</v>
      </c>
      <c r="D1297" s="569" t="s">
        <v>1516</v>
      </c>
      <c r="E1297" s="569" t="s">
        <v>1571</v>
      </c>
      <c r="F1297" s="569" t="s">
        <v>271</v>
      </c>
      <c r="G1297" s="569">
        <v>2019</v>
      </c>
      <c r="H1297" s="569" t="s">
        <v>2628</v>
      </c>
      <c r="I1297" s="569" t="s">
        <v>1916</v>
      </c>
      <c r="J1297" s="569" t="s">
        <v>236</v>
      </c>
      <c r="K1297" s="569">
        <v>2</v>
      </c>
      <c r="L1297" s="569">
        <v>0</v>
      </c>
      <c r="M1297" s="569" t="s">
        <v>157</v>
      </c>
      <c r="N1297" s="569">
        <v>1</v>
      </c>
      <c r="O1297" s="569">
        <v>110.1</v>
      </c>
      <c r="P1297" s="568" t="s">
        <v>157</v>
      </c>
      <c r="Q1297" s="569" t="s">
        <v>1259</v>
      </c>
      <c r="R1297" s="569">
        <v>6</v>
      </c>
      <c r="S1297" s="569" t="s">
        <v>2644</v>
      </c>
      <c r="T1297" s="569" t="s">
        <v>1894</v>
      </c>
      <c r="U1297" s="569">
        <v>147.6</v>
      </c>
      <c r="V1297" s="569">
        <v>25</v>
      </c>
      <c r="W1297" s="620">
        <v>9500</v>
      </c>
      <c r="X1297" s="621" t="s">
        <v>157</v>
      </c>
      <c r="Y1297" s="621" t="s">
        <v>178</v>
      </c>
      <c r="Z1297" s="621" t="s">
        <v>178</v>
      </c>
      <c r="AA1297" s="622">
        <v>43575</v>
      </c>
      <c r="AB1297" s="622" t="s">
        <v>164</v>
      </c>
      <c r="AC1297" s="622">
        <v>34300</v>
      </c>
      <c r="AD1297" s="623">
        <v>0.01</v>
      </c>
      <c r="AE1297" s="621" t="s">
        <v>2643</v>
      </c>
    </row>
    <row r="1298" spans="1:31" s="572" customFormat="1">
      <c r="A1298" s="570" t="s">
        <v>2656</v>
      </c>
      <c r="B1298" s="573" t="s">
        <v>278</v>
      </c>
      <c r="C1298" s="578">
        <v>15</v>
      </c>
      <c r="D1298" s="573" t="s">
        <v>1516</v>
      </c>
      <c r="E1298" s="573" t="s">
        <v>1571</v>
      </c>
      <c r="F1298" s="573" t="s">
        <v>271</v>
      </c>
      <c r="G1298" s="573">
        <v>2019</v>
      </c>
      <c r="H1298" s="573" t="s">
        <v>2628</v>
      </c>
      <c r="I1298" s="573" t="s">
        <v>1916</v>
      </c>
      <c r="J1298" s="573" t="s">
        <v>236</v>
      </c>
      <c r="K1298" s="573">
        <v>2</v>
      </c>
      <c r="L1298" s="573">
        <v>0</v>
      </c>
      <c r="M1298" s="573" t="s">
        <v>157</v>
      </c>
      <c r="N1298" s="573">
        <v>1</v>
      </c>
      <c r="O1298" s="573">
        <v>110.1</v>
      </c>
      <c r="P1298" s="571" t="s">
        <v>157</v>
      </c>
      <c r="Q1298" s="573" t="s">
        <v>682</v>
      </c>
      <c r="R1298" s="573">
        <v>6</v>
      </c>
      <c r="S1298" s="582" t="s">
        <v>2644</v>
      </c>
      <c r="T1298" s="573" t="s">
        <v>1894</v>
      </c>
      <c r="U1298" s="573">
        <v>147.6</v>
      </c>
      <c r="V1298" s="573">
        <v>25</v>
      </c>
      <c r="W1298" s="616">
        <v>9500</v>
      </c>
      <c r="X1298" s="617" t="s">
        <v>157</v>
      </c>
      <c r="Y1298" s="617" t="s">
        <v>178</v>
      </c>
      <c r="Z1298" s="617" t="s">
        <v>178</v>
      </c>
      <c r="AA1298" s="618">
        <v>41710</v>
      </c>
      <c r="AB1298" s="618" t="s">
        <v>164</v>
      </c>
      <c r="AC1298" s="618">
        <v>32600</v>
      </c>
      <c r="AD1298" s="619">
        <v>0.01</v>
      </c>
      <c r="AE1298" s="617" t="s">
        <v>2646</v>
      </c>
    </row>
    <row r="1299" spans="1:31" s="572" customFormat="1">
      <c r="A1299" s="570" t="s">
        <v>2657</v>
      </c>
      <c r="B1299" s="569" t="s">
        <v>287</v>
      </c>
      <c r="C1299" s="580">
        <v>26</v>
      </c>
      <c r="D1299" s="569" t="s">
        <v>1516</v>
      </c>
      <c r="E1299" s="569" t="s">
        <v>1571</v>
      </c>
      <c r="F1299" s="569" t="s">
        <v>271</v>
      </c>
      <c r="G1299" s="569">
        <v>2019</v>
      </c>
      <c r="H1299" s="569" t="s">
        <v>2628</v>
      </c>
      <c r="I1299" s="569" t="s">
        <v>1916</v>
      </c>
      <c r="J1299" s="569" t="s">
        <v>236</v>
      </c>
      <c r="K1299" s="569">
        <v>2</v>
      </c>
      <c r="L1299" s="569">
        <v>0</v>
      </c>
      <c r="M1299" s="569" t="s">
        <v>157</v>
      </c>
      <c r="N1299" s="569">
        <v>1</v>
      </c>
      <c r="O1299" s="569">
        <v>100.7</v>
      </c>
      <c r="P1299" s="568" t="s">
        <v>157</v>
      </c>
      <c r="Q1299" s="569" t="s">
        <v>1259</v>
      </c>
      <c r="R1299" s="569">
        <v>6</v>
      </c>
      <c r="S1299" s="569" t="s">
        <v>2629</v>
      </c>
      <c r="T1299" s="569" t="s">
        <v>1894</v>
      </c>
      <c r="U1299" s="569">
        <v>147.6</v>
      </c>
      <c r="V1299" s="569">
        <v>25</v>
      </c>
      <c r="W1299" s="620">
        <v>9500</v>
      </c>
      <c r="X1299" s="621" t="s">
        <v>157</v>
      </c>
      <c r="Y1299" s="621" t="s">
        <v>178</v>
      </c>
      <c r="Z1299" s="621" t="s">
        <v>178</v>
      </c>
      <c r="AA1299" s="622">
        <v>41425</v>
      </c>
      <c r="AB1299" s="622" t="s">
        <v>164</v>
      </c>
      <c r="AC1299" s="622">
        <v>32793</v>
      </c>
      <c r="AD1299" s="623">
        <v>0.05</v>
      </c>
      <c r="AE1299" s="621" t="s">
        <v>2627</v>
      </c>
    </row>
    <row r="1300" spans="1:31" s="572" customFormat="1">
      <c r="A1300" s="570" t="s">
        <v>2657</v>
      </c>
      <c r="B1300" s="573" t="s">
        <v>287</v>
      </c>
      <c r="C1300" s="578">
        <v>26</v>
      </c>
      <c r="D1300" s="573" t="s">
        <v>1516</v>
      </c>
      <c r="E1300" s="573" t="s">
        <v>1571</v>
      </c>
      <c r="F1300" s="573" t="s">
        <v>271</v>
      </c>
      <c r="G1300" s="573">
        <v>2019</v>
      </c>
      <c r="H1300" s="573" t="s">
        <v>2628</v>
      </c>
      <c r="I1300" s="573" t="s">
        <v>1916</v>
      </c>
      <c r="J1300" s="573" t="s">
        <v>236</v>
      </c>
      <c r="K1300" s="573">
        <v>2</v>
      </c>
      <c r="L1300" s="573">
        <v>0</v>
      </c>
      <c r="M1300" s="573" t="s">
        <v>157</v>
      </c>
      <c r="N1300" s="573">
        <v>1</v>
      </c>
      <c r="O1300" s="573">
        <v>100.7</v>
      </c>
      <c r="P1300" s="571" t="s">
        <v>157</v>
      </c>
      <c r="Q1300" s="573" t="s">
        <v>682</v>
      </c>
      <c r="R1300" s="573">
        <v>6</v>
      </c>
      <c r="S1300" s="582" t="s">
        <v>2629</v>
      </c>
      <c r="T1300" s="573" t="s">
        <v>1894</v>
      </c>
      <c r="U1300" s="573">
        <v>147.6</v>
      </c>
      <c r="V1300" s="573">
        <v>25</v>
      </c>
      <c r="W1300" s="616">
        <v>9500</v>
      </c>
      <c r="X1300" s="617" t="s">
        <v>157</v>
      </c>
      <c r="Y1300" s="617" t="s">
        <v>178</v>
      </c>
      <c r="Z1300" s="617" t="s">
        <v>178</v>
      </c>
      <c r="AA1300" s="618">
        <v>39560</v>
      </c>
      <c r="AB1300" s="618" t="s">
        <v>164</v>
      </c>
      <c r="AC1300" s="618">
        <v>31083</v>
      </c>
      <c r="AD1300" s="619">
        <v>0.05</v>
      </c>
      <c r="AE1300" s="617" t="s">
        <v>2627</v>
      </c>
    </row>
    <row r="1301" spans="1:31" s="572" customFormat="1">
      <c r="A1301" s="570" t="s">
        <v>2658</v>
      </c>
      <c r="B1301" s="569" t="s">
        <v>287</v>
      </c>
      <c r="C1301" s="580">
        <v>26</v>
      </c>
      <c r="D1301" s="569" t="s">
        <v>1516</v>
      </c>
      <c r="E1301" s="569" t="s">
        <v>1571</v>
      </c>
      <c r="F1301" s="569" t="s">
        <v>271</v>
      </c>
      <c r="G1301" s="569">
        <v>2019</v>
      </c>
      <c r="H1301" s="569" t="s">
        <v>2628</v>
      </c>
      <c r="I1301" s="569" t="s">
        <v>1916</v>
      </c>
      <c r="J1301" s="569" t="s">
        <v>236</v>
      </c>
      <c r="K1301" s="569">
        <v>2</v>
      </c>
      <c r="L1301" s="569">
        <v>0</v>
      </c>
      <c r="M1301" s="569" t="s">
        <v>157</v>
      </c>
      <c r="N1301" s="569">
        <v>1</v>
      </c>
      <c r="O1301" s="569">
        <v>100.8</v>
      </c>
      <c r="P1301" s="568" t="s">
        <v>157</v>
      </c>
      <c r="Q1301" s="569" t="s">
        <v>1259</v>
      </c>
      <c r="R1301" s="569">
        <v>6</v>
      </c>
      <c r="S1301" s="569" t="s">
        <v>2632</v>
      </c>
      <c r="T1301" s="569" t="s">
        <v>1894</v>
      </c>
      <c r="U1301" s="569">
        <v>129.9</v>
      </c>
      <c r="V1301" s="569">
        <v>25</v>
      </c>
      <c r="W1301" s="620">
        <v>9500</v>
      </c>
      <c r="X1301" s="621" t="s">
        <v>157</v>
      </c>
      <c r="Y1301" s="621" t="s">
        <v>178</v>
      </c>
      <c r="Z1301" s="621" t="s">
        <v>178</v>
      </c>
      <c r="AA1301" s="622">
        <v>39700</v>
      </c>
      <c r="AB1301" s="622" t="s">
        <v>164</v>
      </c>
      <c r="AC1301" s="622">
        <v>31163</v>
      </c>
      <c r="AD1301" s="623">
        <v>0.05</v>
      </c>
      <c r="AE1301" s="621" t="s">
        <v>2631</v>
      </c>
    </row>
    <row r="1302" spans="1:31" s="572" customFormat="1">
      <c r="A1302" s="570" t="s">
        <v>2659</v>
      </c>
      <c r="B1302" s="573" t="s">
        <v>287</v>
      </c>
      <c r="C1302" s="578">
        <v>26</v>
      </c>
      <c r="D1302" s="573" t="s">
        <v>1516</v>
      </c>
      <c r="E1302" s="573" t="s">
        <v>1571</v>
      </c>
      <c r="F1302" s="573" t="s">
        <v>271</v>
      </c>
      <c r="G1302" s="573">
        <v>2019</v>
      </c>
      <c r="H1302" s="573" t="s">
        <v>2628</v>
      </c>
      <c r="I1302" s="573" t="s">
        <v>1916</v>
      </c>
      <c r="J1302" s="573" t="s">
        <v>236</v>
      </c>
      <c r="K1302" s="573">
        <v>2</v>
      </c>
      <c r="L1302" s="573">
        <v>0</v>
      </c>
      <c r="M1302" s="573" t="s">
        <v>157</v>
      </c>
      <c r="N1302" s="573">
        <v>1</v>
      </c>
      <c r="O1302" s="573">
        <v>100.8</v>
      </c>
      <c r="P1302" s="571" t="s">
        <v>157</v>
      </c>
      <c r="Q1302" s="573" t="s">
        <v>682</v>
      </c>
      <c r="R1302" s="573">
        <v>6</v>
      </c>
      <c r="S1302" s="582" t="s">
        <v>2632</v>
      </c>
      <c r="T1302" s="573" t="s">
        <v>1894</v>
      </c>
      <c r="U1302" s="573">
        <v>129.9</v>
      </c>
      <c r="V1302" s="573">
        <v>25</v>
      </c>
      <c r="W1302" s="616">
        <v>9500</v>
      </c>
      <c r="X1302" s="617" t="s">
        <v>157</v>
      </c>
      <c r="Y1302" s="617" t="s">
        <v>178</v>
      </c>
      <c r="Z1302" s="617" t="s">
        <v>178</v>
      </c>
      <c r="AA1302" s="618">
        <v>37835</v>
      </c>
      <c r="AB1302" s="618" t="s">
        <v>164</v>
      </c>
      <c r="AC1302" s="618">
        <v>29453</v>
      </c>
      <c r="AD1302" s="619">
        <v>0.05</v>
      </c>
      <c r="AE1302" s="617" t="s">
        <v>2634</v>
      </c>
    </row>
    <row r="1303" spans="1:31" s="572" customFormat="1">
      <c r="A1303" s="570" t="s">
        <v>2660</v>
      </c>
      <c r="B1303" s="569" t="s">
        <v>287</v>
      </c>
      <c r="C1303" s="580">
        <v>26</v>
      </c>
      <c r="D1303" s="569" t="s">
        <v>1516</v>
      </c>
      <c r="E1303" s="569" t="s">
        <v>1571</v>
      </c>
      <c r="F1303" s="569" t="s">
        <v>271</v>
      </c>
      <c r="G1303" s="569">
        <v>2019</v>
      </c>
      <c r="H1303" s="569" t="s">
        <v>2628</v>
      </c>
      <c r="I1303" s="569" t="s">
        <v>1916</v>
      </c>
      <c r="J1303" s="569" t="s">
        <v>236</v>
      </c>
      <c r="K1303" s="569">
        <v>2</v>
      </c>
      <c r="L1303" s="569">
        <v>0</v>
      </c>
      <c r="M1303" s="569" t="s">
        <v>157</v>
      </c>
      <c r="N1303" s="569">
        <v>1</v>
      </c>
      <c r="O1303" s="569">
        <v>109.4</v>
      </c>
      <c r="P1303" s="568" t="s">
        <v>157</v>
      </c>
      <c r="Q1303" s="569" t="s">
        <v>1917</v>
      </c>
      <c r="R1303" s="569">
        <v>5</v>
      </c>
      <c r="S1303" s="569" t="s">
        <v>2637</v>
      </c>
      <c r="T1303" s="569" t="s">
        <v>1894</v>
      </c>
      <c r="U1303" s="569">
        <v>147.6</v>
      </c>
      <c r="V1303" s="569">
        <v>25</v>
      </c>
      <c r="W1303" s="620">
        <v>9500</v>
      </c>
      <c r="X1303" s="621" t="s">
        <v>157</v>
      </c>
      <c r="Y1303" s="621" t="s">
        <v>728</v>
      </c>
      <c r="Z1303" s="621" t="s">
        <v>1523</v>
      </c>
      <c r="AA1303" s="622">
        <v>47005</v>
      </c>
      <c r="AB1303" s="622" t="s">
        <v>164</v>
      </c>
      <c r="AC1303" s="622">
        <v>38004</v>
      </c>
      <c r="AD1303" s="623">
        <v>0.05</v>
      </c>
      <c r="AE1303" s="621" t="s">
        <v>2636</v>
      </c>
    </row>
    <row r="1304" spans="1:31" s="572" customFormat="1">
      <c r="A1304" s="570" t="s">
        <v>2661</v>
      </c>
      <c r="B1304" s="573" t="s">
        <v>287</v>
      </c>
      <c r="C1304" s="578">
        <v>26</v>
      </c>
      <c r="D1304" s="573" t="s">
        <v>1516</v>
      </c>
      <c r="E1304" s="573" t="s">
        <v>1571</v>
      </c>
      <c r="F1304" s="573" t="s">
        <v>271</v>
      </c>
      <c r="G1304" s="573">
        <v>2019</v>
      </c>
      <c r="H1304" s="573" t="s">
        <v>2628</v>
      </c>
      <c r="I1304" s="573" t="s">
        <v>1916</v>
      </c>
      <c r="J1304" s="573" t="s">
        <v>236</v>
      </c>
      <c r="K1304" s="573">
        <v>2</v>
      </c>
      <c r="L1304" s="573">
        <v>0</v>
      </c>
      <c r="M1304" s="573" t="s">
        <v>157</v>
      </c>
      <c r="N1304" s="573">
        <v>1</v>
      </c>
      <c r="O1304" s="573">
        <v>109.4</v>
      </c>
      <c r="P1304" s="571" t="s">
        <v>157</v>
      </c>
      <c r="Q1304" s="573" t="s">
        <v>1259</v>
      </c>
      <c r="R1304" s="573">
        <v>6</v>
      </c>
      <c r="S1304" s="582" t="s">
        <v>2637</v>
      </c>
      <c r="T1304" s="573" t="s">
        <v>1894</v>
      </c>
      <c r="U1304" s="573">
        <v>147.6</v>
      </c>
      <c r="V1304" s="573">
        <v>25</v>
      </c>
      <c r="W1304" s="616">
        <v>9500</v>
      </c>
      <c r="X1304" s="617" t="s">
        <v>157</v>
      </c>
      <c r="Y1304" s="617" t="s">
        <v>178</v>
      </c>
      <c r="Z1304" s="617" t="s">
        <v>178</v>
      </c>
      <c r="AA1304" s="618">
        <v>44875</v>
      </c>
      <c r="AB1304" s="618" t="s">
        <v>164</v>
      </c>
      <c r="AC1304" s="618">
        <v>36050</v>
      </c>
      <c r="AD1304" s="619">
        <v>0.05</v>
      </c>
      <c r="AE1304" s="617" t="s">
        <v>2639</v>
      </c>
    </row>
    <row r="1305" spans="1:31" s="572" customFormat="1">
      <c r="A1305" s="570" t="s">
        <v>2662</v>
      </c>
      <c r="B1305" s="569" t="s">
        <v>287</v>
      </c>
      <c r="C1305" s="580">
        <v>26</v>
      </c>
      <c r="D1305" s="569" t="s">
        <v>1516</v>
      </c>
      <c r="E1305" s="569" t="s">
        <v>1571</v>
      </c>
      <c r="F1305" s="569" t="s">
        <v>271</v>
      </c>
      <c r="G1305" s="569">
        <v>2019</v>
      </c>
      <c r="H1305" s="569" t="s">
        <v>2628</v>
      </c>
      <c r="I1305" s="569" t="s">
        <v>1916</v>
      </c>
      <c r="J1305" s="569" t="s">
        <v>236</v>
      </c>
      <c r="K1305" s="569">
        <v>2</v>
      </c>
      <c r="L1305" s="569">
        <v>0</v>
      </c>
      <c r="M1305" s="569" t="s">
        <v>157</v>
      </c>
      <c r="N1305" s="569">
        <v>1</v>
      </c>
      <c r="O1305" s="569">
        <v>109.4</v>
      </c>
      <c r="P1305" s="568" t="s">
        <v>157</v>
      </c>
      <c r="Q1305" s="569" t="s">
        <v>682</v>
      </c>
      <c r="R1305" s="569">
        <v>6</v>
      </c>
      <c r="S1305" s="569" t="s">
        <v>2637</v>
      </c>
      <c r="T1305" s="569" t="s">
        <v>1894</v>
      </c>
      <c r="U1305" s="569">
        <v>147.6</v>
      </c>
      <c r="V1305" s="569">
        <v>25</v>
      </c>
      <c r="W1305" s="620">
        <v>9500</v>
      </c>
      <c r="X1305" s="621" t="s">
        <v>157</v>
      </c>
      <c r="Y1305" s="621" t="s">
        <v>178</v>
      </c>
      <c r="Z1305" s="621" t="s">
        <v>178</v>
      </c>
      <c r="AA1305" s="622">
        <v>43010</v>
      </c>
      <c r="AB1305" s="622" t="s">
        <v>164</v>
      </c>
      <c r="AC1305" s="622">
        <v>34340</v>
      </c>
      <c r="AD1305" s="623">
        <v>0.05</v>
      </c>
      <c r="AE1305" s="621" t="s">
        <v>2641</v>
      </c>
    </row>
    <row r="1306" spans="1:31" s="572" customFormat="1">
      <c r="A1306" s="570" t="s">
        <v>2663</v>
      </c>
      <c r="B1306" s="573" t="s">
        <v>287</v>
      </c>
      <c r="C1306" s="578">
        <v>26</v>
      </c>
      <c r="D1306" s="573" t="s">
        <v>1516</v>
      </c>
      <c r="E1306" s="573" t="s">
        <v>1571</v>
      </c>
      <c r="F1306" s="573" t="s">
        <v>271</v>
      </c>
      <c r="G1306" s="573">
        <v>2019</v>
      </c>
      <c r="H1306" s="573" t="s">
        <v>2628</v>
      </c>
      <c r="I1306" s="573" t="s">
        <v>1916</v>
      </c>
      <c r="J1306" s="573" t="s">
        <v>236</v>
      </c>
      <c r="K1306" s="573">
        <v>2</v>
      </c>
      <c r="L1306" s="573">
        <v>0</v>
      </c>
      <c r="M1306" s="573" t="s">
        <v>157</v>
      </c>
      <c r="N1306" s="573">
        <v>1</v>
      </c>
      <c r="O1306" s="573">
        <v>110.1</v>
      </c>
      <c r="P1306" s="571" t="s">
        <v>157</v>
      </c>
      <c r="Q1306" s="573" t="s">
        <v>1259</v>
      </c>
      <c r="R1306" s="573">
        <v>6</v>
      </c>
      <c r="S1306" s="582" t="s">
        <v>2644</v>
      </c>
      <c r="T1306" s="573" t="s">
        <v>1894</v>
      </c>
      <c r="U1306" s="573">
        <v>147.6</v>
      </c>
      <c r="V1306" s="573">
        <v>25</v>
      </c>
      <c r="W1306" s="616">
        <v>9500</v>
      </c>
      <c r="X1306" s="617" t="s">
        <v>157</v>
      </c>
      <c r="Y1306" s="617" t="s">
        <v>178</v>
      </c>
      <c r="Z1306" s="617" t="s">
        <v>178</v>
      </c>
      <c r="AA1306" s="618">
        <v>43575</v>
      </c>
      <c r="AB1306" s="618" t="s">
        <v>164</v>
      </c>
      <c r="AC1306" s="618">
        <v>34822</v>
      </c>
      <c r="AD1306" s="619">
        <v>0.05</v>
      </c>
      <c r="AE1306" s="617" t="s">
        <v>2643</v>
      </c>
    </row>
    <row r="1307" spans="1:31" s="572" customFormat="1">
      <c r="A1307" s="570" t="s">
        <v>2664</v>
      </c>
      <c r="B1307" s="569" t="s">
        <v>287</v>
      </c>
      <c r="C1307" s="580">
        <v>26</v>
      </c>
      <c r="D1307" s="569" t="s">
        <v>1516</v>
      </c>
      <c r="E1307" s="569" t="s">
        <v>1571</v>
      </c>
      <c r="F1307" s="569" t="s">
        <v>271</v>
      </c>
      <c r="G1307" s="569">
        <v>2019</v>
      </c>
      <c r="H1307" s="569" t="s">
        <v>2628</v>
      </c>
      <c r="I1307" s="569" t="s">
        <v>1916</v>
      </c>
      <c r="J1307" s="569" t="s">
        <v>236</v>
      </c>
      <c r="K1307" s="569">
        <v>2</v>
      </c>
      <c r="L1307" s="569">
        <v>0</v>
      </c>
      <c r="M1307" s="569" t="s">
        <v>157</v>
      </c>
      <c r="N1307" s="569">
        <v>1</v>
      </c>
      <c r="O1307" s="569">
        <v>110.1</v>
      </c>
      <c r="P1307" s="568" t="s">
        <v>157</v>
      </c>
      <c r="Q1307" s="569" t="s">
        <v>682</v>
      </c>
      <c r="R1307" s="569">
        <v>6</v>
      </c>
      <c r="S1307" s="569" t="s">
        <v>2644</v>
      </c>
      <c r="T1307" s="569" t="s">
        <v>1894</v>
      </c>
      <c r="U1307" s="569">
        <v>147.6</v>
      </c>
      <c r="V1307" s="569">
        <v>25</v>
      </c>
      <c r="W1307" s="620">
        <v>9500</v>
      </c>
      <c r="X1307" s="621" t="s">
        <v>157</v>
      </c>
      <c r="Y1307" s="621" t="s">
        <v>178</v>
      </c>
      <c r="Z1307" s="621" t="s">
        <v>178</v>
      </c>
      <c r="AA1307" s="622">
        <v>41710</v>
      </c>
      <c r="AB1307" s="622" t="s">
        <v>164</v>
      </c>
      <c r="AC1307" s="622">
        <v>33112</v>
      </c>
      <c r="AD1307" s="623">
        <v>0.05</v>
      </c>
      <c r="AE1307" s="621" t="s">
        <v>2646</v>
      </c>
    </row>
    <row r="1308" spans="1:31" s="572" customFormat="1">
      <c r="A1308" s="570" t="s">
        <v>2665</v>
      </c>
      <c r="B1308" s="573" t="s">
        <v>280</v>
      </c>
      <c r="C1308" s="578">
        <v>27</v>
      </c>
      <c r="D1308" s="573" t="s">
        <v>1516</v>
      </c>
      <c r="E1308" s="573" t="s">
        <v>1571</v>
      </c>
      <c r="F1308" s="573" t="s">
        <v>271</v>
      </c>
      <c r="G1308" s="573">
        <v>2019</v>
      </c>
      <c r="H1308" s="573" t="s">
        <v>2628</v>
      </c>
      <c r="I1308" s="573" t="s">
        <v>1916</v>
      </c>
      <c r="J1308" s="573" t="s">
        <v>236</v>
      </c>
      <c r="K1308" s="573">
        <v>2</v>
      </c>
      <c r="L1308" s="573">
        <v>0</v>
      </c>
      <c r="M1308" s="573" t="s">
        <v>157</v>
      </c>
      <c r="N1308" s="573">
        <v>1</v>
      </c>
      <c r="O1308" s="573">
        <v>100.7</v>
      </c>
      <c r="P1308" s="571" t="s">
        <v>157</v>
      </c>
      <c r="Q1308" s="573" t="s">
        <v>1259</v>
      </c>
      <c r="R1308" s="573">
        <v>6</v>
      </c>
      <c r="S1308" s="582" t="s">
        <v>2629</v>
      </c>
      <c r="T1308" s="573" t="s">
        <v>1894</v>
      </c>
      <c r="U1308" s="573">
        <v>147.6</v>
      </c>
      <c r="V1308" s="573">
        <v>25</v>
      </c>
      <c r="W1308" s="616">
        <v>9500</v>
      </c>
      <c r="X1308" s="617" t="s">
        <v>157</v>
      </c>
      <c r="Y1308" s="617" t="s">
        <v>178</v>
      </c>
      <c r="Z1308" s="617" t="s">
        <v>178</v>
      </c>
      <c r="AA1308" s="618">
        <v>41425</v>
      </c>
      <c r="AB1308" s="618" t="s">
        <v>164</v>
      </c>
      <c r="AC1308" s="618">
        <v>31658</v>
      </c>
      <c r="AD1308" s="619">
        <v>0.03</v>
      </c>
      <c r="AE1308" s="617" t="s">
        <v>2627</v>
      </c>
    </row>
    <row r="1309" spans="1:31" s="572" customFormat="1">
      <c r="A1309" s="570" t="s">
        <v>2665</v>
      </c>
      <c r="B1309" s="569" t="s">
        <v>280</v>
      </c>
      <c r="C1309" s="580">
        <v>27</v>
      </c>
      <c r="D1309" s="569" t="s">
        <v>1516</v>
      </c>
      <c r="E1309" s="569" t="s">
        <v>1571</v>
      </c>
      <c r="F1309" s="569" t="s">
        <v>271</v>
      </c>
      <c r="G1309" s="569">
        <v>2019</v>
      </c>
      <c r="H1309" s="569" t="s">
        <v>2628</v>
      </c>
      <c r="I1309" s="569" t="s">
        <v>1916</v>
      </c>
      <c r="J1309" s="569" t="s">
        <v>236</v>
      </c>
      <c r="K1309" s="569">
        <v>2</v>
      </c>
      <c r="L1309" s="569">
        <v>0</v>
      </c>
      <c r="M1309" s="569" t="s">
        <v>157</v>
      </c>
      <c r="N1309" s="569">
        <v>1</v>
      </c>
      <c r="O1309" s="569">
        <v>100.7</v>
      </c>
      <c r="P1309" s="568" t="s">
        <v>157</v>
      </c>
      <c r="Q1309" s="569" t="s">
        <v>682</v>
      </c>
      <c r="R1309" s="569">
        <v>6</v>
      </c>
      <c r="S1309" s="569" t="s">
        <v>2629</v>
      </c>
      <c r="T1309" s="569" t="s">
        <v>1894</v>
      </c>
      <c r="U1309" s="569">
        <v>147.6</v>
      </c>
      <c r="V1309" s="569">
        <v>25</v>
      </c>
      <c r="W1309" s="620">
        <v>9500</v>
      </c>
      <c r="X1309" s="621" t="s">
        <v>157</v>
      </c>
      <c r="Y1309" s="621" t="s">
        <v>178</v>
      </c>
      <c r="Z1309" s="621" t="s">
        <v>178</v>
      </c>
      <c r="AA1309" s="622">
        <v>39560</v>
      </c>
      <c r="AB1309" s="622" t="s">
        <v>164</v>
      </c>
      <c r="AC1309" s="622">
        <v>30001.75</v>
      </c>
      <c r="AD1309" s="623">
        <v>0.03</v>
      </c>
      <c r="AE1309" s="621" t="s">
        <v>2627</v>
      </c>
    </row>
    <row r="1310" spans="1:31" s="572" customFormat="1">
      <c r="A1310" s="570" t="s">
        <v>2666</v>
      </c>
      <c r="B1310" s="573" t="s">
        <v>280</v>
      </c>
      <c r="C1310" s="578">
        <v>27</v>
      </c>
      <c r="D1310" s="573" t="s">
        <v>1516</v>
      </c>
      <c r="E1310" s="573" t="s">
        <v>1571</v>
      </c>
      <c r="F1310" s="573" t="s">
        <v>271</v>
      </c>
      <c r="G1310" s="573">
        <v>2019</v>
      </c>
      <c r="H1310" s="573" t="s">
        <v>2628</v>
      </c>
      <c r="I1310" s="573" t="s">
        <v>1916</v>
      </c>
      <c r="J1310" s="573" t="s">
        <v>236</v>
      </c>
      <c r="K1310" s="573">
        <v>2</v>
      </c>
      <c r="L1310" s="573">
        <v>0</v>
      </c>
      <c r="M1310" s="573" t="s">
        <v>157</v>
      </c>
      <c r="N1310" s="573">
        <v>1</v>
      </c>
      <c r="O1310" s="573">
        <v>100.8</v>
      </c>
      <c r="P1310" s="571" t="s">
        <v>157</v>
      </c>
      <c r="Q1310" s="573" t="s">
        <v>1259</v>
      </c>
      <c r="R1310" s="573">
        <v>6</v>
      </c>
      <c r="S1310" s="582" t="s">
        <v>2632</v>
      </c>
      <c r="T1310" s="573" t="s">
        <v>1894</v>
      </c>
      <c r="U1310" s="573">
        <v>129.9</v>
      </c>
      <c r="V1310" s="573">
        <v>25</v>
      </c>
      <c r="W1310" s="616">
        <v>9500</v>
      </c>
      <c r="X1310" s="617" t="s">
        <v>157</v>
      </c>
      <c r="Y1310" s="617" t="s">
        <v>178</v>
      </c>
      <c r="Z1310" s="617" t="s">
        <v>178</v>
      </c>
      <c r="AA1310" s="618">
        <v>39700</v>
      </c>
      <c r="AB1310" s="618" t="s">
        <v>164</v>
      </c>
      <c r="AC1310" s="618">
        <v>30081.958333333336</v>
      </c>
      <c r="AD1310" s="619">
        <v>0.03</v>
      </c>
      <c r="AE1310" s="617" t="s">
        <v>2631</v>
      </c>
    </row>
    <row r="1311" spans="1:31" s="572" customFormat="1">
      <c r="A1311" s="570" t="s">
        <v>2667</v>
      </c>
      <c r="B1311" s="569" t="s">
        <v>280</v>
      </c>
      <c r="C1311" s="580">
        <v>27</v>
      </c>
      <c r="D1311" s="569" t="s">
        <v>1516</v>
      </c>
      <c r="E1311" s="569" t="s">
        <v>1571</v>
      </c>
      <c r="F1311" s="569" t="s">
        <v>271</v>
      </c>
      <c r="G1311" s="569">
        <v>2019</v>
      </c>
      <c r="H1311" s="569" t="s">
        <v>2628</v>
      </c>
      <c r="I1311" s="569" t="s">
        <v>1916</v>
      </c>
      <c r="J1311" s="569" t="s">
        <v>236</v>
      </c>
      <c r="K1311" s="569">
        <v>2</v>
      </c>
      <c r="L1311" s="569">
        <v>0</v>
      </c>
      <c r="M1311" s="569" t="s">
        <v>157</v>
      </c>
      <c r="N1311" s="569">
        <v>1</v>
      </c>
      <c r="O1311" s="569">
        <v>100.8</v>
      </c>
      <c r="P1311" s="568" t="s">
        <v>157</v>
      </c>
      <c r="Q1311" s="569" t="s">
        <v>682</v>
      </c>
      <c r="R1311" s="569">
        <v>6</v>
      </c>
      <c r="S1311" s="569" t="s">
        <v>2632</v>
      </c>
      <c r="T1311" s="569" t="s">
        <v>1894</v>
      </c>
      <c r="U1311" s="569">
        <v>129.9</v>
      </c>
      <c r="V1311" s="569">
        <v>25</v>
      </c>
      <c r="W1311" s="620">
        <v>9500</v>
      </c>
      <c r="X1311" s="621" t="s">
        <v>157</v>
      </c>
      <c r="Y1311" s="621" t="s">
        <v>178</v>
      </c>
      <c r="Z1311" s="621" t="s">
        <v>178</v>
      </c>
      <c r="AA1311" s="622">
        <v>37835</v>
      </c>
      <c r="AB1311" s="622" t="s">
        <v>164</v>
      </c>
      <c r="AC1311" s="622">
        <v>28425.708333333336</v>
      </c>
      <c r="AD1311" s="623">
        <v>0.03</v>
      </c>
      <c r="AE1311" s="621" t="s">
        <v>2634</v>
      </c>
    </row>
    <row r="1312" spans="1:31" s="572" customFormat="1">
      <c r="A1312" s="570" t="s">
        <v>2668</v>
      </c>
      <c r="B1312" s="573" t="s">
        <v>280</v>
      </c>
      <c r="C1312" s="578">
        <v>27</v>
      </c>
      <c r="D1312" s="573" t="s">
        <v>1516</v>
      </c>
      <c r="E1312" s="573" t="s">
        <v>1571</v>
      </c>
      <c r="F1312" s="573" t="s">
        <v>271</v>
      </c>
      <c r="G1312" s="573">
        <v>2019</v>
      </c>
      <c r="H1312" s="573" t="s">
        <v>2628</v>
      </c>
      <c r="I1312" s="573" t="s">
        <v>1916</v>
      </c>
      <c r="J1312" s="573" t="s">
        <v>236</v>
      </c>
      <c r="K1312" s="573">
        <v>2</v>
      </c>
      <c r="L1312" s="573">
        <v>0</v>
      </c>
      <c r="M1312" s="573" t="s">
        <v>157</v>
      </c>
      <c r="N1312" s="573">
        <v>1</v>
      </c>
      <c r="O1312" s="573">
        <v>109.4</v>
      </c>
      <c r="P1312" s="571" t="s">
        <v>157</v>
      </c>
      <c r="Q1312" s="573" t="s">
        <v>1917</v>
      </c>
      <c r="R1312" s="573">
        <v>5</v>
      </c>
      <c r="S1312" s="582" t="s">
        <v>2637</v>
      </c>
      <c r="T1312" s="573" t="s">
        <v>1894</v>
      </c>
      <c r="U1312" s="573">
        <v>147.6</v>
      </c>
      <c r="V1312" s="573">
        <v>25</v>
      </c>
      <c r="W1312" s="616">
        <v>9500</v>
      </c>
      <c r="X1312" s="617" t="s">
        <v>157</v>
      </c>
      <c r="Y1312" s="617" t="s">
        <v>728</v>
      </c>
      <c r="Z1312" s="617" t="s">
        <v>1523</v>
      </c>
      <c r="AA1312" s="618">
        <v>47005</v>
      </c>
      <c r="AB1312" s="618" t="s">
        <v>164</v>
      </c>
      <c r="AC1312" s="618">
        <v>36706.5</v>
      </c>
      <c r="AD1312" s="619">
        <v>0.03</v>
      </c>
      <c r="AE1312" s="617" t="s">
        <v>2636</v>
      </c>
    </row>
    <row r="1313" spans="1:31" s="572" customFormat="1">
      <c r="A1313" s="570" t="s">
        <v>2669</v>
      </c>
      <c r="B1313" s="569" t="s">
        <v>280</v>
      </c>
      <c r="C1313" s="580">
        <v>27</v>
      </c>
      <c r="D1313" s="569" t="s">
        <v>1516</v>
      </c>
      <c r="E1313" s="569" t="s">
        <v>1571</v>
      </c>
      <c r="F1313" s="569" t="s">
        <v>271</v>
      </c>
      <c r="G1313" s="569">
        <v>2019</v>
      </c>
      <c r="H1313" s="569" t="s">
        <v>2628</v>
      </c>
      <c r="I1313" s="569" t="s">
        <v>1916</v>
      </c>
      <c r="J1313" s="569" t="s">
        <v>236</v>
      </c>
      <c r="K1313" s="569">
        <v>2</v>
      </c>
      <c r="L1313" s="569">
        <v>0</v>
      </c>
      <c r="M1313" s="569" t="s">
        <v>157</v>
      </c>
      <c r="N1313" s="569">
        <v>1</v>
      </c>
      <c r="O1313" s="569">
        <v>109.4</v>
      </c>
      <c r="P1313" s="568" t="s">
        <v>157</v>
      </c>
      <c r="Q1313" s="569" t="s">
        <v>1259</v>
      </c>
      <c r="R1313" s="569">
        <v>6</v>
      </c>
      <c r="S1313" s="569" t="s">
        <v>2637</v>
      </c>
      <c r="T1313" s="569" t="s">
        <v>1894</v>
      </c>
      <c r="U1313" s="569">
        <v>147.6</v>
      </c>
      <c r="V1313" s="569">
        <v>25</v>
      </c>
      <c r="W1313" s="620">
        <v>9500</v>
      </c>
      <c r="X1313" s="621" t="s">
        <v>157</v>
      </c>
      <c r="Y1313" s="621" t="s">
        <v>178</v>
      </c>
      <c r="Z1313" s="621" t="s">
        <v>178</v>
      </c>
      <c r="AA1313" s="622">
        <v>44875</v>
      </c>
      <c r="AB1313" s="622" t="s">
        <v>164</v>
      </c>
      <c r="AC1313" s="622">
        <v>34813.208333333336</v>
      </c>
      <c r="AD1313" s="623">
        <v>0.03</v>
      </c>
      <c r="AE1313" s="621" t="s">
        <v>2639</v>
      </c>
    </row>
    <row r="1314" spans="1:31" s="572" customFormat="1">
      <c r="A1314" s="570" t="s">
        <v>2670</v>
      </c>
      <c r="B1314" s="573" t="s">
        <v>280</v>
      </c>
      <c r="C1314" s="578">
        <v>27</v>
      </c>
      <c r="D1314" s="573" t="s">
        <v>1516</v>
      </c>
      <c r="E1314" s="573" t="s">
        <v>1571</v>
      </c>
      <c r="F1314" s="573" t="s">
        <v>271</v>
      </c>
      <c r="G1314" s="573">
        <v>2019</v>
      </c>
      <c r="H1314" s="573" t="s">
        <v>2628</v>
      </c>
      <c r="I1314" s="573" t="s">
        <v>1916</v>
      </c>
      <c r="J1314" s="573" t="s">
        <v>236</v>
      </c>
      <c r="K1314" s="573">
        <v>2</v>
      </c>
      <c r="L1314" s="573">
        <v>0</v>
      </c>
      <c r="M1314" s="573" t="s">
        <v>157</v>
      </c>
      <c r="N1314" s="573">
        <v>1</v>
      </c>
      <c r="O1314" s="573">
        <v>109.4</v>
      </c>
      <c r="P1314" s="571" t="s">
        <v>157</v>
      </c>
      <c r="Q1314" s="573" t="s">
        <v>682</v>
      </c>
      <c r="R1314" s="573">
        <v>6</v>
      </c>
      <c r="S1314" s="582" t="s">
        <v>2637</v>
      </c>
      <c r="T1314" s="573" t="s">
        <v>1894</v>
      </c>
      <c r="U1314" s="573">
        <v>147.6</v>
      </c>
      <c r="V1314" s="573">
        <v>25</v>
      </c>
      <c r="W1314" s="616">
        <v>9500</v>
      </c>
      <c r="X1314" s="617" t="s">
        <v>157</v>
      </c>
      <c r="Y1314" s="617" t="s">
        <v>178</v>
      </c>
      <c r="Z1314" s="617" t="s">
        <v>178</v>
      </c>
      <c r="AA1314" s="618">
        <v>43010</v>
      </c>
      <c r="AB1314" s="618" t="s">
        <v>164</v>
      </c>
      <c r="AC1314" s="618">
        <v>33156.958333333336</v>
      </c>
      <c r="AD1314" s="619">
        <v>0.03</v>
      </c>
      <c r="AE1314" s="617" t="s">
        <v>2641</v>
      </c>
    </row>
    <row r="1315" spans="1:31" s="572" customFormat="1">
      <c r="A1315" s="570" t="s">
        <v>2671</v>
      </c>
      <c r="B1315" s="569" t="s">
        <v>280</v>
      </c>
      <c r="C1315" s="580">
        <v>27</v>
      </c>
      <c r="D1315" s="569" t="s">
        <v>1516</v>
      </c>
      <c r="E1315" s="569" t="s">
        <v>1571</v>
      </c>
      <c r="F1315" s="569" t="s">
        <v>271</v>
      </c>
      <c r="G1315" s="569">
        <v>2019</v>
      </c>
      <c r="H1315" s="569" t="s">
        <v>2628</v>
      </c>
      <c r="I1315" s="569" t="s">
        <v>1916</v>
      </c>
      <c r="J1315" s="569" t="s">
        <v>236</v>
      </c>
      <c r="K1315" s="569">
        <v>2</v>
      </c>
      <c r="L1315" s="569">
        <v>0</v>
      </c>
      <c r="M1315" s="569" t="s">
        <v>157</v>
      </c>
      <c r="N1315" s="569">
        <v>1</v>
      </c>
      <c r="O1315" s="569">
        <v>110.1</v>
      </c>
      <c r="P1315" s="568" t="s">
        <v>157</v>
      </c>
      <c r="Q1315" s="569" t="s">
        <v>1259</v>
      </c>
      <c r="R1315" s="569">
        <v>6</v>
      </c>
      <c r="S1315" s="569" t="s">
        <v>2644</v>
      </c>
      <c r="T1315" s="569" t="s">
        <v>1894</v>
      </c>
      <c r="U1315" s="569">
        <v>147.6</v>
      </c>
      <c r="V1315" s="569">
        <v>25</v>
      </c>
      <c r="W1315" s="620">
        <v>9500</v>
      </c>
      <c r="X1315" s="621" t="s">
        <v>157</v>
      </c>
      <c r="Y1315" s="621" t="s">
        <v>178</v>
      </c>
      <c r="Z1315" s="621" t="s">
        <v>178</v>
      </c>
      <c r="AA1315" s="622">
        <v>43575</v>
      </c>
      <c r="AB1315" s="622" t="s">
        <v>164</v>
      </c>
      <c r="AC1315" s="622">
        <v>33623.625</v>
      </c>
      <c r="AD1315" s="623">
        <v>0.03</v>
      </c>
      <c r="AE1315" s="621" t="s">
        <v>2643</v>
      </c>
    </row>
    <row r="1316" spans="1:31" s="572" customFormat="1">
      <c r="A1316" s="570" t="s">
        <v>2672</v>
      </c>
      <c r="B1316" s="573" t="s">
        <v>280</v>
      </c>
      <c r="C1316" s="578">
        <v>27</v>
      </c>
      <c r="D1316" s="573" t="s">
        <v>1516</v>
      </c>
      <c r="E1316" s="573" t="s">
        <v>1571</v>
      </c>
      <c r="F1316" s="573" t="s">
        <v>271</v>
      </c>
      <c r="G1316" s="573">
        <v>2019</v>
      </c>
      <c r="H1316" s="573" t="s">
        <v>2628</v>
      </c>
      <c r="I1316" s="573" t="s">
        <v>1916</v>
      </c>
      <c r="J1316" s="573" t="s">
        <v>236</v>
      </c>
      <c r="K1316" s="573">
        <v>2</v>
      </c>
      <c r="L1316" s="573">
        <v>0</v>
      </c>
      <c r="M1316" s="573" t="s">
        <v>157</v>
      </c>
      <c r="N1316" s="573">
        <v>1</v>
      </c>
      <c r="O1316" s="573">
        <v>110.1</v>
      </c>
      <c r="P1316" s="571" t="s">
        <v>157</v>
      </c>
      <c r="Q1316" s="573" t="s">
        <v>682</v>
      </c>
      <c r="R1316" s="573">
        <v>6</v>
      </c>
      <c r="S1316" s="582" t="s">
        <v>2644</v>
      </c>
      <c r="T1316" s="573" t="s">
        <v>1894</v>
      </c>
      <c r="U1316" s="573">
        <v>147.6</v>
      </c>
      <c r="V1316" s="573">
        <v>25</v>
      </c>
      <c r="W1316" s="616">
        <v>9500</v>
      </c>
      <c r="X1316" s="617" t="s">
        <v>157</v>
      </c>
      <c r="Y1316" s="617" t="s">
        <v>178</v>
      </c>
      <c r="Z1316" s="617" t="s">
        <v>178</v>
      </c>
      <c r="AA1316" s="618">
        <v>41710</v>
      </c>
      <c r="AB1316" s="618" t="s">
        <v>164</v>
      </c>
      <c r="AC1316" s="618">
        <v>31967.375</v>
      </c>
      <c r="AD1316" s="619">
        <v>0.03</v>
      </c>
      <c r="AE1316" s="617" t="s">
        <v>2646</v>
      </c>
    </row>
    <row r="1317" spans="1:31" s="572" customFormat="1">
      <c r="A1317" s="570" t="s">
        <v>2673</v>
      </c>
      <c r="B1317" s="569" t="s">
        <v>269</v>
      </c>
      <c r="C1317" s="580" t="s">
        <v>270</v>
      </c>
      <c r="D1317" s="569" t="s">
        <v>1516</v>
      </c>
      <c r="E1317" s="569" t="s">
        <v>1571</v>
      </c>
      <c r="F1317" s="569" t="s">
        <v>271</v>
      </c>
      <c r="G1317" s="569">
        <v>2019</v>
      </c>
      <c r="H1317" s="569" t="s">
        <v>2628</v>
      </c>
      <c r="I1317" s="569" t="s">
        <v>1950</v>
      </c>
      <c r="J1317" s="569" t="s">
        <v>236</v>
      </c>
      <c r="K1317" s="569">
        <v>2</v>
      </c>
      <c r="L1317" s="569">
        <v>0</v>
      </c>
      <c r="M1317" s="569" t="s">
        <v>157</v>
      </c>
      <c r="N1317" s="569">
        <v>1</v>
      </c>
      <c r="O1317" s="569">
        <v>100.7</v>
      </c>
      <c r="P1317" s="568" t="s">
        <v>157</v>
      </c>
      <c r="Q1317" s="569" t="s">
        <v>1259</v>
      </c>
      <c r="R1317" s="569">
        <v>6</v>
      </c>
      <c r="S1317" s="569" t="s">
        <v>2675</v>
      </c>
      <c r="T1317" s="569" t="s">
        <v>1894</v>
      </c>
      <c r="U1317" s="569">
        <v>147.6</v>
      </c>
      <c r="V1317" s="569">
        <v>25</v>
      </c>
      <c r="W1317" s="620">
        <v>9500</v>
      </c>
      <c r="X1317" s="621" t="s">
        <v>157</v>
      </c>
      <c r="Y1317" s="621" t="s">
        <v>178</v>
      </c>
      <c r="Z1317" s="621" t="s">
        <v>178</v>
      </c>
      <c r="AA1317" s="622">
        <v>40775</v>
      </c>
      <c r="AB1317" s="622" t="s">
        <v>164</v>
      </c>
      <c r="AC1317" s="622">
        <v>31064.25</v>
      </c>
      <c r="AD1317" s="623">
        <v>0.03</v>
      </c>
      <c r="AE1317" s="621" t="s">
        <v>2674</v>
      </c>
    </row>
    <row r="1318" spans="1:31" s="572" customFormat="1">
      <c r="A1318" s="570" t="s">
        <v>2676</v>
      </c>
      <c r="B1318" s="573" t="s">
        <v>269</v>
      </c>
      <c r="C1318" s="578" t="s">
        <v>270</v>
      </c>
      <c r="D1318" s="573" t="s">
        <v>1516</v>
      </c>
      <c r="E1318" s="573" t="s">
        <v>1571</v>
      </c>
      <c r="F1318" s="573" t="s">
        <v>271</v>
      </c>
      <c r="G1318" s="573">
        <v>2019</v>
      </c>
      <c r="H1318" s="573" t="s">
        <v>2628</v>
      </c>
      <c r="I1318" s="573" t="s">
        <v>1950</v>
      </c>
      <c r="J1318" s="573" t="s">
        <v>236</v>
      </c>
      <c r="K1318" s="573">
        <v>2</v>
      </c>
      <c r="L1318" s="573">
        <v>0</v>
      </c>
      <c r="M1318" s="573" t="s">
        <v>157</v>
      </c>
      <c r="N1318" s="573">
        <v>1</v>
      </c>
      <c r="O1318" s="573">
        <v>100.7</v>
      </c>
      <c r="P1318" s="571" t="s">
        <v>157</v>
      </c>
      <c r="Q1318" s="573" t="s">
        <v>682</v>
      </c>
      <c r="R1318" s="573">
        <v>6</v>
      </c>
      <c r="S1318" s="582" t="s">
        <v>2675</v>
      </c>
      <c r="T1318" s="573" t="s">
        <v>1894</v>
      </c>
      <c r="U1318" s="573">
        <v>147.6</v>
      </c>
      <c r="V1318" s="573">
        <v>25</v>
      </c>
      <c r="W1318" s="616">
        <v>9500</v>
      </c>
      <c r="X1318" s="617" t="s">
        <v>157</v>
      </c>
      <c r="Y1318" s="617" t="s">
        <v>178</v>
      </c>
      <c r="Z1318" s="617" t="s">
        <v>178</v>
      </c>
      <c r="AA1318" s="618">
        <v>38910</v>
      </c>
      <c r="AB1318" s="618" t="s">
        <v>164</v>
      </c>
      <c r="AC1318" s="618">
        <v>29407.291666666668</v>
      </c>
      <c r="AD1318" s="619">
        <v>0.03</v>
      </c>
      <c r="AE1318" s="617" t="s">
        <v>2677</v>
      </c>
    </row>
    <row r="1319" spans="1:31" s="572" customFormat="1">
      <c r="A1319" s="570" t="s">
        <v>2678</v>
      </c>
      <c r="B1319" s="569" t="s">
        <v>269</v>
      </c>
      <c r="C1319" s="580" t="s">
        <v>270</v>
      </c>
      <c r="D1319" s="569" t="s">
        <v>1516</v>
      </c>
      <c r="E1319" s="569" t="s">
        <v>1571</v>
      </c>
      <c r="F1319" s="569" t="s">
        <v>271</v>
      </c>
      <c r="G1319" s="569">
        <v>2019</v>
      </c>
      <c r="H1319" s="569" t="s">
        <v>2628</v>
      </c>
      <c r="I1319" s="569" t="s">
        <v>1950</v>
      </c>
      <c r="J1319" s="569" t="s">
        <v>236</v>
      </c>
      <c r="K1319" s="569">
        <v>2</v>
      </c>
      <c r="L1319" s="569">
        <v>0</v>
      </c>
      <c r="M1319" s="569" t="s">
        <v>157</v>
      </c>
      <c r="N1319" s="569">
        <v>1</v>
      </c>
      <c r="O1319" s="569">
        <v>100.8</v>
      </c>
      <c r="P1319" s="568" t="s">
        <v>157</v>
      </c>
      <c r="Q1319" s="569" t="s">
        <v>1259</v>
      </c>
      <c r="R1319" s="569">
        <v>6</v>
      </c>
      <c r="S1319" s="569" t="s">
        <v>2680</v>
      </c>
      <c r="T1319" s="569" t="s">
        <v>1894</v>
      </c>
      <c r="U1319" s="569">
        <v>129.9</v>
      </c>
      <c r="V1319" s="569">
        <v>25</v>
      </c>
      <c r="W1319" s="620">
        <v>9500</v>
      </c>
      <c r="X1319" s="621" t="s">
        <v>157</v>
      </c>
      <c r="Y1319" s="621" t="s">
        <v>178</v>
      </c>
      <c r="Z1319" s="621" t="s">
        <v>178</v>
      </c>
      <c r="AA1319" s="622">
        <v>39050</v>
      </c>
      <c r="AB1319" s="622" t="s">
        <v>164</v>
      </c>
      <c r="AC1319" s="622">
        <v>29488.208333333336</v>
      </c>
      <c r="AD1319" s="623">
        <v>0.03</v>
      </c>
      <c r="AE1319" s="621" t="s">
        <v>2679</v>
      </c>
    </row>
    <row r="1320" spans="1:31" s="572" customFormat="1">
      <c r="A1320" s="570" t="s">
        <v>2681</v>
      </c>
      <c r="B1320" s="573" t="s">
        <v>269</v>
      </c>
      <c r="C1320" s="578" t="s">
        <v>270</v>
      </c>
      <c r="D1320" s="573" t="s">
        <v>1516</v>
      </c>
      <c r="E1320" s="573" t="s">
        <v>1571</v>
      </c>
      <c r="F1320" s="573" t="s">
        <v>271</v>
      </c>
      <c r="G1320" s="573">
        <v>2019</v>
      </c>
      <c r="H1320" s="573" t="s">
        <v>2628</v>
      </c>
      <c r="I1320" s="573" t="s">
        <v>1950</v>
      </c>
      <c r="J1320" s="573" t="s">
        <v>236</v>
      </c>
      <c r="K1320" s="573">
        <v>2</v>
      </c>
      <c r="L1320" s="573">
        <v>0</v>
      </c>
      <c r="M1320" s="573" t="s">
        <v>157</v>
      </c>
      <c r="N1320" s="573">
        <v>1</v>
      </c>
      <c r="O1320" s="573">
        <v>100.8</v>
      </c>
      <c r="P1320" s="571" t="s">
        <v>157</v>
      </c>
      <c r="Q1320" s="573" t="s">
        <v>682</v>
      </c>
      <c r="R1320" s="573">
        <v>6</v>
      </c>
      <c r="S1320" s="582" t="s">
        <v>2680</v>
      </c>
      <c r="T1320" s="573" t="s">
        <v>1894</v>
      </c>
      <c r="U1320" s="573">
        <v>129.9</v>
      </c>
      <c r="V1320" s="573">
        <v>25</v>
      </c>
      <c r="W1320" s="616">
        <v>9500</v>
      </c>
      <c r="X1320" s="617" t="s">
        <v>157</v>
      </c>
      <c r="Y1320" s="617" t="s">
        <v>178</v>
      </c>
      <c r="Z1320" s="617" t="s">
        <v>178</v>
      </c>
      <c r="AA1320" s="618">
        <v>37185</v>
      </c>
      <c r="AB1320" s="618" t="s">
        <v>164</v>
      </c>
      <c r="AC1320" s="618">
        <v>27831.958333333336</v>
      </c>
      <c r="AD1320" s="619">
        <v>0.03</v>
      </c>
      <c r="AE1320" s="617" t="s">
        <v>2682</v>
      </c>
    </row>
    <row r="1321" spans="1:31" s="572" customFormat="1">
      <c r="A1321" s="570" t="s">
        <v>2683</v>
      </c>
      <c r="B1321" s="569" t="s">
        <v>269</v>
      </c>
      <c r="C1321" s="580" t="s">
        <v>270</v>
      </c>
      <c r="D1321" s="569" t="s">
        <v>1516</v>
      </c>
      <c r="E1321" s="569" t="s">
        <v>1571</v>
      </c>
      <c r="F1321" s="569" t="s">
        <v>271</v>
      </c>
      <c r="G1321" s="569">
        <v>2019</v>
      </c>
      <c r="H1321" s="569" t="s">
        <v>2628</v>
      </c>
      <c r="I1321" s="569" t="s">
        <v>1950</v>
      </c>
      <c r="J1321" s="569" t="s">
        <v>236</v>
      </c>
      <c r="K1321" s="569">
        <v>2</v>
      </c>
      <c r="L1321" s="569">
        <v>0</v>
      </c>
      <c r="M1321" s="569" t="s">
        <v>157</v>
      </c>
      <c r="N1321" s="569">
        <v>1</v>
      </c>
      <c r="O1321" s="569">
        <v>109.4</v>
      </c>
      <c r="P1321" s="568" t="s">
        <v>157</v>
      </c>
      <c r="Q1321" s="569" t="s">
        <v>1917</v>
      </c>
      <c r="R1321" s="569">
        <v>5</v>
      </c>
      <c r="S1321" s="569" t="s">
        <v>2685</v>
      </c>
      <c r="T1321" s="569" t="s">
        <v>1894</v>
      </c>
      <c r="U1321" s="569">
        <v>147.6</v>
      </c>
      <c r="V1321" s="569">
        <v>25</v>
      </c>
      <c r="W1321" s="620">
        <v>9500</v>
      </c>
      <c r="X1321" s="621" t="s">
        <v>157</v>
      </c>
      <c r="Y1321" s="621" t="s">
        <v>728</v>
      </c>
      <c r="Z1321" s="621" t="s">
        <v>1523</v>
      </c>
      <c r="AA1321" s="622">
        <v>46355</v>
      </c>
      <c r="AB1321" s="622" t="s">
        <v>164</v>
      </c>
      <c r="AC1321" s="622">
        <v>36110.666666666664</v>
      </c>
      <c r="AD1321" s="623">
        <v>0.03</v>
      </c>
      <c r="AE1321" s="621" t="s">
        <v>2684</v>
      </c>
    </row>
    <row r="1322" spans="1:31" s="572" customFormat="1">
      <c r="A1322" s="570" t="s">
        <v>2686</v>
      </c>
      <c r="B1322" s="573" t="s">
        <v>269</v>
      </c>
      <c r="C1322" s="578" t="s">
        <v>270</v>
      </c>
      <c r="D1322" s="573" t="s">
        <v>1516</v>
      </c>
      <c r="E1322" s="573" t="s">
        <v>1571</v>
      </c>
      <c r="F1322" s="573" t="s">
        <v>271</v>
      </c>
      <c r="G1322" s="573">
        <v>2019</v>
      </c>
      <c r="H1322" s="573" t="s">
        <v>2628</v>
      </c>
      <c r="I1322" s="573" t="s">
        <v>1950</v>
      </c>
      <c r="J1322" s="573" t="s">
        <v>236</v>
      </c>
      <c r="K1322" s="573">
        <v>2</v>
      </c>
      <c r="L1322" s="573">
        <v>0</v>
      </c>
      <c r="M1322" s="573" t="s">
        <v>157</v>
      </c>
      <c r="N1322" s="573">
        <v>1</v>
      </c>
      <c r="O1322" s="573">
        <v>109.4</v>
      </c>
      <c r="P1322" s="571" t="s">
        <v>157</v>
      </c>
      <c r="Q1322" s="573" t="s">
        <v>1259</v>
      </c>
      <c r="R1322" s="573">
        <v>6</v>
      </c>
      <c r="S1322" s="582" t="s">
        <v>2685</v>
      </c>
      <c r="T1322" s="573" t="s">
        <v>1894</v>
      </c>
      <c r="U1322" s="573">
        <v>147.6</v>
      </c>
      <c r="V1322" s="573">
        <v>25</v>
      </c>
      <c r="W1322" s="616">
        <v>9500</v>
      </c>
      <c r="X1322" s="617" t="s">
        <v>157</v>
      </c>
      <c r="Y1322" s="617" t="s">
        <v>178</v>
      </c>
      <c r="Z1322" s="617" t="s">
        <v>178</v>
      </c>
      <c r="AA1322" s="618">
        <v>44225</v>
      </c>
      <c r="AB1322" s="618" t="s">
        <v>164</v>
      </c>
      <c r="AC1322" s="618">
        <v>34217.375</v>
      </c>
      <c r="AD1322" s="619">
        <v>0.03</v>
      </c>
      <c r="AE1322" s="617" t="s">
        <v>2687</v>
      </c>
    </row>
    <row r="1323" spans="1:31" s="572" customFormat="1">
      <c r="A1323" s="570" t="s">
        <v>2688</v>
      </c>
      <c r="B1323" s="569" t="s">
        <v>269</v>
      </c>
      <c r="C1323" s="580" t="s">
        <v>270</v>
      </c>
      <c r="D1323" s="569" t="s">
        <v>1516</v>
      </c>
      <c r="E1323" s="569" t="s">
        <v>1571</v>
      </c>
      <c r="F1323" s="569" t="s">
        <v>271</v>
      </c>
      <c r="G1323" s="569">
        <v>2019</v>
      </c>
      <c r="H1323" s="569" t="s">
        <v>2628</v>
      </c>
      <c r="I1323" s="569" t="s">
        <v>1950</v>
      </c>
      <c r="J1323" s="569" t="s">
        <v>236</v>
      </c>
      <c r="K1323" s="569">
        <v>2</v>
      </c>
      <c r="L1323" s="569">
        <v>0</v>
      </c>
      <c r="M1323" s="569" t="s">
        <v>157</v>
      </c>
      <c r="N1323" s="569">
        <v>1</v>
      </c>
      <c r="O1323" s="569">
        <v>109.4</v>
      </c>
      <c r="P1323" s="568" t="s">
        <v>157</v>
      </c>
      <c r="Q1323" s="569" t="s">
        <v>682</v>
      </c>
      <c r="R1323" s="569">
        <v>6</v>
      </c>
      <c r="S1323" s="569" t="s">
        <v>2685</v>
      </c>
      <c r="T1323" s="569" t="s">
        <v>1894</v>
      </c>
      <c r="U1323" s="569">
        <v>147.6</v>
      </c>
      <c r="V1323" s="569">
        <v>25</v>
      </c>
      <c r="W1323" s="620">
        <v>9500</v>
      </c>
      <c r="X1323" s="621" t="s">
        <v>157</v>
      </c>
      <c r="Y1323" s="621" t="s">
        <v>178</v>
      </c>
      <c r="Z1323" s="621" t="s">
        <v>178</v>
      </c>
      <c r="AA1323" s="622">
        <v>42360</v>
      </c>
      <c r="AB1323" s="622" t="s">
        <v>164</v>
      </c>
      <c r="AC1323" s="622">
        <v>32561.125</v>
      </c>
      <c r="AD1323" s="623">
        <v>0.03</v>
      </c>
      <c r="AE1323" s="621" t="s">
        <v>2689</v>
      </c>
    </row>
    <row r="1324" spans="1:31" s="572" customFormat="1">
      <c r="A1324" s="570" t="s">
        <v>2690</v>
      </c>
      <c r="B1324" s="573" t="s">
        <v>269</v>
      </c>
      <c r="C1324" s="578" t="s">
        <v>270</v>
      </c>
      <c r="D1324" s="573" t="s">
        <v>1516</v>
      </c>
      <c r="E1324" s="573" t="s">
        <v>1571</v>
      </c>
      <c r="F1324" s="573" t="s">
        <v>271</v>
      </c>
      <c r="G1324" s="573">
        <v>2019</v>
      </c>
      <c r="H1324" s="573" t="s">
        <v>2628</v>
      </c>
      <c r="I1324" s="573" t="s">
        <v>1950</v>
      </c>
      <c r="J1324" s="573" t="s">
        <v>236</v>
      </c>
      <c r="K1324" s="573">
        <v>2</v>
      </c>
      <c r="L1324" s="573">
        <v>0</v>
      </c>
      <c r="M1324" s="573" t="s">
        <v>157</v>
      </c>
      <c r="N1324" s="573">
        <v>1</v>
      </c>
      <c r="O1324" s="573">
        <v>110.1</v>
      </c>
      <c r="P1324" s="571" t="s">
        <v>157</v>
      </c>
      <c r="Q1324" s="573" t="s">
        <v>1917</v>
      </c>
      <c r="R1324" s="573">
        <v>6</v>
      </c>
      <c r="S1324" s="582" t="s">
        <v>2692</v>
      </c>
      <c r="T1324" s="573" t="s">
        <v>1894</v>
      </c>
      <c r="U1324" s="573">
        <v>147.6</v>
      </c>
      <c r="V1324" s="573">
        <v>25</v>
      </c>
      <c r="W1324" s="616">
        <v>9250</v>
      </c>
      <c r="X1324" s="617" t="s">
        <v>157</v>
      </c>
      <c r="Y1324" s="617" t="s">
        <v>728</v>
      </c>
      <c r="Z1324" s="617" t="s">
        <v>1523</v>
      </c>
      <c r="AA1324" s="618">
        <v>45055</v>
      </c>
      <c r="AB1324" s="618" t="s">
        <v>164</v>
      </c>
      <c r="AC1324" s="618">
        <v>34923.166666666664</v>
      </c>
      <c r="AD1324" s="619">
        <v>0.03</v>
      </c>
      <c r="AE1324" s="617" t="s">
        <v>2691</v>
      </c>
    </row>
    <row r="1325" spans="1:31" s="572" customFormat="1">
      <c r="A1325" s="570" t="s">
        <v>2693</v>
      </c>
      <c r="B1325" s="569" t="s">
        <v>269</v>
      </c>
      <c r="C1325" s="580" t="s">
        <v>270</v>
      </c>
      <c r="D1325" s="569" t="s">
        <v>1516</v>
      </c>
      <c r="E1325" s="569" t="s">
        <v>1571</v>
      </c>
      <c r="F1325" s="569" t="s">
        <v>271</v>
      </c>
      <c r="G1325" s="569">
        <v>2019</v>
      </c>
      <c r="H1325" s="569" t="s">
        <v>2628</v>
      </c>
      <c r="I1325" s="569" t="s">
        <v>1950</v>
      </c>
      <c r="J1325" s="569" t="s">
        <v>236</v>
      </c>
      <c r="K1325" s="569">
        <v>2</v>
      </c>
      <c r="L1325" s="569">
        <v>0</v>
      </c>
      <c r="M1325" s="569" t="s">
        <v>157</v>
      </c>
      <c r="N1325" s="569">
        <v>1</v>
      </c>
      <c r="O1325" s="569">
        <v>110.1</v>
      </c>
      <c r="P1325" s="568" t="s">
        <v>157</v>
      </c>
      <c r="Q1325" s="569" t="s">
        <v>1259</v>
      </c>
      <c r="R1325" s="569">
        <v>6</v>
      </c>
      <c r="S1325" s="569" t="s">
        <v>2692</v>
      </c>
      <c r="T1325" s="569" t="s">
        <v>1894</v>
      </c>
      <c r="U1325" s="569">
        <v>147.6</v>
      </c>
      <c r="V1325" s="569">
        <v>25</v>
      </c>
      <c r="W1325" s="620">
        <v>9500</v>
      </c>
      <c r="X1325" s="621" t="s">
        <v>157</v>
      </c>
      <c r="Y1325" s="621" t="s">
        <v>178</v>
      </c>
      <c r="Z1325" s="621" t="s">
        <v>178</v>
      </c>
      <c r="AA1325" s="622">
        <v>42925</v>
      </c>
      <c r="AB1325" s="622" t="s">
        <v>164</v>
      </c>
      <c r="AC1325" s="622">
        <v>33029.875</v>
      </c>
      <c r="AD1325" s="623">
        <v>0.03</v>
      </c>
      <c r="AE1325" s="621" t="s">
        <v>2694</v>
      </c>
    </row>
    <row r="1326" spans="1:31" s="572" customFormat="1">
      <c r="A1326" s="570" t="s">
        <v>2695</v>
      </c>
      <c r="B1326" s="573" t="s">
        <v>269</v>
      </c>
      <c r="C1326" s="578" t="s">
        <v>270</v>
      </c>
      <c r="D1326" s="573" t="s">
        <v>1516</v>
      </c>
      <c r="E1326" s="573" t="s">
        <v>1571</v>
      </c>
      <c r="F1326" s="573" t="s">
        <v>271</v>
      </c>
      <c r="G1326" s="573">
        <v>2019</v>
      </c>
      <c r="H1326" s="573" t="s">
        <v>2628</v>
      </c>
      <c r="I1326" s="573" t="s">
        <v>1950</v>
      </c>
      <c r="J1326" s="573" t="s">
        <v>236</v>
      </c>
      <c r="K1326" s="573">
        <v>2</v>
      </c>
      <c r="L1326" s="573">
        <v>0</v>
      </c>
      <c r="M1326" s="573" t="s">
        <v>157</v>
      </c>
      <c r="N1326" s="573">
        <v>1</v>
      </c>
      <c r="O1326" s="573">
        <v>110.1</v>
      </c>
      <c r="P1326" s="571" t="s">
        <v>157</v>
      </c>
      <c r="Q1326" s="573" t="s">
        <v>682</v>
      </c>
      <c r="R1326" s="573">
        <v>6</v>
      </c>
      <c r="S1326" s="582" t="s">
        <v>2692</v>
      </c>
      <c r="T1326" s="573" t="s">
        <v>1894</v>
      </c>
      <c r="U1326" s="573">
        <v>147.6</v>
      </c>
      <c r="V1326" s="573">
        <v>25</v>
      </c>
      <c r="W1326" s="616">
        <v>9500</v>
      </c>
      <c r="X1326" s="617" t="s">
        <v>157</v>
      </c>
      <c r="Y1326" s="617" t="s">
        <v>178</v>
      </c>
      <c r="Z1326" s="617" t="s">
        <v>178</v>
      </c>
      <c r="AA1326" s="618">
        <v>41060</v>
      </c>
      <c r="AB1326" s="618" t="s">
        <v>164</v>
      </c>
      <c r="AC1326" s="618">
        <v>31373.625</v>
      </c>
      <c r="AD1326" s="619">
        <v>0.03</v>
      </c>
      <c r="AE1326" s="617" t="s">
        <v>2696</v>
      </c>
    </row>
    <row r="1327" spans="1:31" s="572" customFormat="1">
      <c r="A1327" s="570" t="s">
        <v>2697</v>
      </c>
      <c r="B1327" s="569" t="s">
        <v>269</v>
      </c>
      <c r="C1327" s="580" t="s">
        <v>270</v>
      </c>
      <c r="D1327" s="569" t="s">
        <v>1516</v>
      </c>
      <c r="E1327" s="569" t="s">
        <v>1571</v>
      </c>
      <c r="F1327" s="569" t="s">
        <v>271</v>
      </c>
      <c r="G1327" s="569">
        <v>2019</v>
      </c>
      <c r="H1327" s="569" t="s">
        <v>2628</v>
      </c>
      <c r="I1327" s="569" t="s">
        <v>1950</v>
      </c>
      <c r="J1327" s="569" t="s">
        <v>236</v>
      </c>
      <c r="K1327" s="569">
        <v>2</v>
      </c>
      <c r="L1327" s="569">
        <v>0</v>
      </c>
      <c r="M1327" s="569" t="s">
        <v>157</v>
      </c>
      <c r="N1327" s="569">
        <v>1</v>
      </c>
      <c r="O1327" s="569">
        <v>83.2</v>
      </c>
      <c r="P1327" s="568" t="s">
        <v>157</v>
      </c>
      <c r="Q1327" s="569" t="s">
        <v>1259</v>
      </c>
      <c r="R1327" s="569">
        <v>6</v>
      </c>
      <c r="S1327" s="569" t="s">
        <v>2699</v>
      </c>
      <c r="T1327" s="569" t="s">
        <v>1894</v>
      </c>
      <c r="U1327" s="569">
        <v>147.6</v>
      </c>
      <c r="V1327" s="569">
        <v>25</v>
      </c>
      <c r="W1327" s="620">
        <v>9500</v>
      </c>
      <c r="X1327" s="621" t="s">
        <v>157</v>
      </c>
      <c r="Y1327" s="621" t="s">
        <v>178</v>
      </c>
      <c r="Z1327" s="621" t="s">
        <v>178</v>
      </c>
      <c r="AA1327" s="622">
        <v>40430</v>
      </c>
      <c r="AB1327" s="622" t="s">
        <v>164</v>
      </c>
      <c r="AC1327" s="622">
        <v>28666.333333333336</v>
      </c>
      <c r="AD1327" s="623">
        <v>0.03</v>
      </c>
      <c r="AE1327" s="621" t="s">
        <v>2698</v>
      </c>
    </row>
    <row r="1328" spans="1:31" s="572" customFormat="1">
      <c r="A1328" s="570" t="s">
        <v>2700</v>
      </c>
      <c r="B1328" s="573" t="s">
        <v>269</v>
      </c>
      <c r="C1328" s="578" t="s">
        <v>270</v>
      </c>
      <c r="D1328" s="573" t="s">
        <v>1516</v>
      </c>
      <c r="E1328" s="573" t="s">
        <v>1571</v>
      </c>
      <c r="F1328" s="573" t="s">
        <v>271</v>
      </c>
      <c r="G1328" s="573">
        <v>2019</v>
      </c>
      <c r="H1328" s="573" t="s">
        <v>2628</v>
      </c>
      <c r="I1328" s="573" t="s">
        <v>1950</v>
      </c>
      <c r="J1328" s="573" t="s">
        <v>236</v>
      </c>
      <c r="K1328" s="573">
        <v>2</v>
      </c>
      <c r="L1328" s="573">
        <v>0</v>
      </c>
      <c r="M1328" s="573" t="s">
        <v>157</v>
      </c>
      <c r="N1328" s="573">
        <v>1</v>
      </c>
      <c r="O1328" s="573">
        <v>83.2</v>
      </c>
      <c r="P1328" s="571" t="s">
        <v>157</v>
      </c>
      <c r="Q1328" s="573" t="s">
        <v>682</v>
      </c>
      <c r="R1328" s="573">
        <v>6</v>
      </c>
      <c r="S1328" s="582" t="s">
        <v>2699</v>
      </c>
      <c r="T1328" s="573" t="s">
        <v>1894</v>
      </c>
      <c r="U1328" s="573">
        <v>147.6</v>
      </c>
      <c r="V1328" s="573">
        <v>25</v>
      </c>
      <c r="W1328" s="616">
        <v>9500</v>
      </c>
      <c r="X1328" s="617" t="s">
        <v>157</v>
      </c>
      <c r="Y1328" s="617" t="s">
        <v>178</v>
      </c>
      <c r="Z1328" s="617" t="s">
        <v>178</v>
      </c>
      <c r="AA1328" s="618">
        <v>38565</v>
      </c>
      <c r="AB1328" s="618" t="s">
        <v>164</v>
      </c>
      <c r="AC1328" s="618">
        <v>27010.083333333336</v>
      </c>
      <c r="AD1328" s="619">
        <v>0.03</v>
      </c>
      <c r="AE1328" s="617" t="s">
        <v>2701</v>
      </c>
    </row>
    <row r="1329" spans="1:31" s="572" customFormat="1">
      <c r="A1329" s="570" t="s">
        <v>2702</v>
      </c>
      <c r="B1329" s="569" t="s">
        <v>269</v>
      </c>
      <c r="C1329" s="580" t="s">
        <v>270</v>
      </c>
      <c r="D1329" s="569" t="s">
        <v>1516</v>
      </c>
      <c r="E1329" s="569" t="s">
        <v>1571</v>
      </c>
      <c r="F1329" s="569" t="s">
        <v>271</v>
      </c>
      <c r="G1329" s="569">
        <v>2019</v>
      </c>
      <c r="H1329" s="569" t="s">
        <v>2628</v>
      </c>
      <c r="I1329" s="569" t="s">
        <v>1950</v>
      </c>
      <c r="J1329" s="569" t="s">
        <v>236</v>
      </c>
      <c r="K1329" s="569">
        <v>2</v>
      </c>
      <c r="L1329" s="569">
        <v>0</v>
      </c>
      <c r="M1329" s="569" t="s">
        <v>157</v>
      </c>
      <c r="N1329" s="569">
        <v>1</v>
      </c>
      <c r="O1329" s="569">
        <v>83.6</v>
      </c>
      <c r="P1329" s="568" t="s">
        <v>157</v>
      </c>
      <c r="Q1329" s="569" t="s">
        <v>1259</v>
      </c>
      <c r="R1329" s="569">
        <v>6</v>
      </c>
      <c r="S1329" s="569" t="s">
        <v>2704</v>
      </c>
      <c r="T1329" s="569" t="s">
        <v>1894</v>
      </c>
      <c r="U1329" s="569">
        <v>129.9</v>
      </c>
      <c r="V1329" s="569">
        <v>25</v>
      </c>
      <c r="W1329" s="620">
        <v>9500</v>
      </c>
      <c r="X1329" s="621" t="s">
        <v>157</v>
      </c>
      <c r="Y1329" s="621" t="s">
        <v>178</v>
      </c>
      <c r="Z1329" s="621" t="s">
        <v>178</v>
      </c>
      <c r="AA1329" s="622">
        <v>39550</v>
      </c>
      <c r="AB1329" s="622" t="s">
        <v>164</v>
      </c>
      <c r="AC1329" s="622">
        <v>27861.125</v>
      </c>
      <c r="AD1329" s="623">
        <v>0.03</v>
      </c>
      <c r="AE1329" s="621" t="s">
        <v>2703</v>
      </c>
    </row>
    <row r="1330" spans="1:31" s="572" customFormat="1">
      <c r="A1330" s="570" t="s">
        <v>2705</v>
      </c>
      <c r="B1330" s="573" t="s">
        <v>269</v>
      </c>
      <c r="C1330" s="578" t="s">
        <v>270</v>
      </c>
      <c r="D1330" s="573" t="s">
        <v>1516</v>
      </c>
      <c r="E1330" s="573" t="s">
        <v>1571</v>
      </c>
      <c r="F1330" s="573" t="s">
        <v>271</v>
      </c>
      <c r="G1330" s="573">
        <v>2019</v>
      </c>
      <c r="H1330" s="573" t="s">
        <v>2628</v>
      </c>
      <c r="I1330" s="573" t="s">
        <v>1950</v>
      </c>
      <c r="J1330" s="573" t="s">
        <v>236</v>
      </c>
      <c r="K1330" s="573">
        <v>2</v>
      </c>
      <c r="L1330" s="573">
        <v>0</v>
      </c>
      <c r="M1330" s="573" t="s">
        <v>157</v>
      </c>
      <c r="N1330" s="573">
        <v>1</v>
      </c>
      <c r="O1330" s="573">
        <v>83.6</v>
      </c>
      <c r="P1330" s="571" t="s">
        <v>157</v>
      </c>
      <c r="Q1330" s="573" t="s">
        <v>682</v>
      </c>
      <c r="R1330" s="573">
        <v>6</v>
      </c>
      <c r="S1330" s="582" t="s">
        <v>2704</v>
      </c>
      <c r="T1330" s="573" t="s">
        <v>1894</v>
      </c>
      <c r="U1330" s="573">
        <v>129.9</v>
      </c>
      <c r="V1330" s="573">
        <v>25</v>
      </c>
      <c r="W1330" s="616">
        <v>9500</v>
      </c>
      <c r="X1330" s="617" t="s">
        <v>157</v>
      </c>
      <c r="Y1330" s="617" t="s">
        <v>178</v>
      </c>
      <c r="Z1330" s="617" t="s">
        <v>178</v>
      </c>
      <c r="AA1330" s="618">
        <v>37685</v>
      </c>
      <c r="AB1330" s="618" t="s">
        <v>164</v>
      </c>
      <c r="AC1330" s="618">
        <v>26204.875</v>
      </c>
      <c r="AD1330" s="619">
        <v>0.03</v>
      </c>
      <c r="AE1330" s="617" t="s">
        <v>2706</v>
      </c>
    </row>
    <row r="1331" spans="1:31" s="572" customFormat="1">
      <c r="A1331" s="570" t="s">
        <v>2707</v>
      </c>
      <c r="B1331" s="569" t="s">
        <v>278</v>
      </c>
      <c r="C1331" s="580">
        <v>15</v>
      </c>
      <c r="D1331" s="569" t="s">
        <v>1516</v>
      </c>
      <c r="E1331" s="569" t="s">
        <v>1571</v>
      </c>
      <c r="F1331" s="569" t="s">
        <v>271</v>
      </c>
      <c r="G1331" s="569">
        <v>2019</v>
      </c>
      <c r="H1331" s="569" t="s">
        <v>2628</v>
      </c>
      <c r="I1331" s="569" t="s">
        <v>1950</v>
      </c>
      <c r="J1331" s="569" t="s">
        <v>236</v>
      </c>
      <c r="K1331" s="569">
        <v>2</v>
      </c>
      <c r="L1331" s="569">
        <v>0</v>
      </c>
      <c r="M1331" s="569" t="s">
        <v>157</v>
      </c>
      <c r="N1331" s="569">
        <v>1</v>
      </c>
      <c r="O1331" s="569">
        <v>100.7</v>
      </c>
      <c r="P1331" s="568" t="s">
        <v>157</v>
      </c>
      <c r="Q1331" s="569" t="s">
        <v>1259</v>
      </c>
      <c r="R1331" s="569">
        <v>6</v>
      </c>
      <c r="S1331" s="569" t="s">
        <v>2675</v>
      </c>
      <c r="T1331" s="569" t="s">
        <v>1894</v>
      </c>
      <c r="U1331" s="569">
        <v>147.6</v>
      </c>
      <c r="V1331" s="569">
        <v>25</v>
      </c>
      <c r="W1331" s="620">
        <v>9500</v>
      </c>
      <c r="X1331" s="621" t="s">
        <v>157</v>
      </c>
      <c r="Y1331" s="621" t="s">
        <v>178</v>
      </c>
      <c r="Z1331" s="621" t="s">
        <v>178</v>
      </c>
      <c r="AA1331" s="622">
        <v>40775</v>
      </c>
      <c r="AB1331" s="622" t="s">
        <v>164</v>
      </c>
      <c r="AC1331" s="622">
        <v>31700</v>
      </c>
      <c r="AD1331" s="623">
        <v>0.01</v>
      </c>
      <c r="AE1331" s="621" t="s">
        <v>2674</v>
      </c>
    </row>
    <row r="1332" spans="1:31" s="572" customFormat="1">
      <c r="A1332" s="570" t="s">
        <v>2708</v>
      </c>
      <c r="B1332" s="573" t="s">
        <v>278</v>
      </c>
      <c r="C1332" s="578">
        <v>15</v>
      </c>
      <c r="D1332" s="573" t="s">
        <v>1516</v>
      </c>
      <c r="E1332" s="573" t="s">
        <v>1571</v>
      </c>
      <c r="F1332" s="573" t="s">
        <v>271</v>
      </c>
      <c r="G1332" s="573">
        <v>2019</v>
      </c>
      <c r="H1332" s="573" t="s">
        <v>2628</v>
      </c>
      <c r="I1332" s="573" t="s">
        <v>1950</v>
      </c>
      <c r="J1332" s="573" t="s">
        <v>236</v>
      </c>
      <c r="K1332" s="573">
        <v>2</v>
      </c>
      <c r="L1332" s="573">
        <v>0</v>
      </c>
      <c r="M1332" s="573" t="s">
        <v>157</v>
      </c>
      <c r="N1332" s="573">
        <v>1</v>
      </c>
      <c r="O1332" s="573">
        <v>100.7</v>
      </c>
      <c r="P1332" s="571" t="s">
        <v>157</v>
      </c>
      <c r="Q1332" s="573" t="s">
        <v>682</v>
      </c>
      <c r="R1332" s="573">
        <v>6</v>
      </c>
      <c r="S1332" s="582" t="s">
        <v>2675</v>
      </c>
      <c r="T1332" s="573" t="s">
        <v>1894</v>
      </c>
      <c r="U1332" s="573">
        <v>147.6</v>
      </c>
      <c r="V1332" s="573">
        <v>25</v>
      </c>
      <c r="W1332" s="616">
        <v>9500</v>
      </c>
      <c r="X1332" s="617" t="s">
        <v>157</v>
      </c>
      <c r="Y1332" s="617" t="s">
        <v>178</v>
      </c>
      <c r="Z1332" s="617" t="s">
        <v>178</v>
      </c>
      <c r="AA1332" s="618">
        <v>38910</v>
      </c>
      <c r="AB1332" s="618" t="s">
        <v>164</v>
      </c>
      <c r="AC1332" s="618">
        <v>30000</v>
      </c>
      <c r="AD1332" s="619">
        <v>0.01</v>
      </c>
      <c r="AE1332" s="617" t="s">
        <v>2677</v>
      </c>
    </row>
    <row r="1333" spans="1:31" s="572" customFormat="1">
      <c r="A1333" s="570" t="s">
        <v>2709</v>
      </c>
      <c r="B1333" s="569" t="s">
        <v>278</v>
      </c>
      <c r="C1333" s="580">
        <v>15</v>
      </c>
      <c r="D1333" s="569" t="s">
        <v>1516</v>
      </c>
      <c r="E1333" s="569" t="s">
        <v>1571</v>
      </c>
      <c r="F1333" s="569" t="s">
        <v>271</v>
      </c>
      <c r="G1333" s="569">
        <v>2019</v>
      </c>
      <c r="H1333" s="569" t="s">
        <v>2628</v>
      </c>
      <c r="I1333" s="569" t="s">
        <v>1950</v>
      </c>
      <c r="J1333" s="569" t="s">
        <v>236</v>
      </c>
      <c r="K1333" s="569">
        <v>2</v>
      </c>
      <c r="L1333" s="569">
        <v>0</v>
      </c>
      <c r="M1333" s="569" t="s">
        <v>157</v>
      </c>
      <c r="N1333" s="569">
        <v>1</v>
      </c>
      <c r="O1333" s="569">
        <v>100.8</v>
      </c>
      <c r="P1333" s="568" t="s">
        <v>157</v>
      </c>
      <c r="Q1333" s="569" t="s">
        <v>1259</v>
      </c>
      <c r="R1333" s="569">
        <v>6</v>
      </c>
      <c r="S1333" s="569" t="s">
        <v>2680</v>
      </c>
      <c r="T1333" s="569" t="s">
        <v>1894</v>
      </c>
      <c r="U1333" s="569">
        <v>129.9</v>
      </c>
      <c r="V1333" s="569">
        <v>25</v>
      </c>
      <c r="W1333" s="620">
        <v>9500</v>
      </c>
      <c r="X1333" s="621" t="s">
        <v>157</v>
      </c>
      <c r="Y1333" s="621" t="s">
        <v>178</v>
      </c>
      <c r="Z1333" s="621" t="s">
        <v>178</v>
      </c>
      <c r="AA1333" s="622">
        <v>39050</v>
      </c>
      <c r="AB1333" s="622" t="s">
        <v>164</v>
      </c>
      <c r="AC1333" s="622">
        <v>30100</v>
      </c>
      <c r="AD1333" s="623">
        <v>0.01</v>
      </c>
      <c r="AE1333" s="621" t="s">
        <v>2679</v>
      </c>
    </row>
    <row r="1334" spans="1:31" s="572" customFormat="1">
      <c r="A1334" s="570" t="s">
        <v>2710</v>
      </c>
      <c r="B1334" s="573" t="s">
        <v>278</v>
      </c>
      <c r="C1334" s="578">
        <v>15</v>
      </c>
      <c r="D1334" s="573" t="s">
        <v>1516</v>
      </c>
      <c r="E1334" s="573" t="s">
        <v>1571</v>
      </c>
      <c r="F1334" s="573" t="s">
        <v>271</v>
      </c>
      <c r="G1334" s="573">
        <v>2019</v>
      </c>
      <c r="H1334" s="573" t="s">
        <v>2628</v>
      </c>
      <c r="I1334" s="573" t="s">
        <v>1950</v>
      </c>
      <c r="J1334" s="573" t="s">
        <v>236</v>
      </c>
      <c r="K1334" s="573">
        <v>2</v>
      </c>
      <c r="L1334" s="573">
        <v>0</v>
      </c>
      <c r="M1334" s="573" t="s">
        <v>157</v>
      </c>
      <c r="N1334" s="573">
        <v>1</v>
      </c>
      <c r="O1334" s="573">
        <v>100.8</v>
      </c>
      <c r="P1334" s="571" t="s">
        <v>157</v>
      </c>
      <c r="Q1334" s="573" t="s">
        <v>682</v>
      </c>
      <c r="R1334" s="573">
        <v>6</v>
      </c>
      <c r="S1334" s="582" t="s">
        <v>2680</v>
      </c>
      <c r="T1334" s="573" t="s">
        <v>1894</v>
      </c>
      <c r="U1334" s="573">
        <v>129.9</v>
      </c>
      <c r="V1334" s="573">
        <v>25</v>
      </c>
      <c r="W1334" s="616">
        <v>9500</v>
      </c>
      <c r="X1334" s="617" t="s">
        <v>157</v>
      </c>
      <c r="Y1334" s="617" t="s">
        <v>178</v>
      </c>
      <c r="Z1334" s="617" t="s">
        <v>178</v>
      </c>
      <c r="AA1334" s="618">
        <v>37185</v>
      </c>
      <c r="AB1334" s="618" t="s">
        <v>164</v>
      </c>
      <c r="AC1334" s="618">
        <v>28400</v>
      </c>
      <c r="AD1334" s="619">
        <v>0.01</v>
      </c>
      <c r="AE1334" s="617" t="s">
        <v>2682</v>
      </c>
    </row>
    <row r="1335" spans="1:31" s="572" customFormat="1">
      <c r="A1335" s="570" t="s">
        <v>2711</v>
      </c>
      <c r="B1335" s="569" t="s">
        <v>278</v>
      </c>
      <c r="C1335" s="580">
        <v>15</v>
      </c>
      <c r="D1335" s="569" t="s">
        <v>1516</v>
      </c>
      <c r="E1335" s="569" t="s">
        <v>1571</v>
      </c>
      <c r="F1335" s="569" t="s">
        <v>271</v>
      </c>
      <c r="G1335" s="569">
        <v>2019</v>
      </c>
      <c r="H1335" s="569" t="s">
        <v>2628</v>
      </c>
      <c r="I1335" s="569" t="s">
        <v>1950</v>
      </c>
      <c r="J1335" s="569" t="s">
        <v>236</v>
      </c>
      <c r="K1335" s="569">
        <v>2</v>
      </c>
      <c r="L1335" s="569">
        <v>0</v>
      </c>
      <c r="M1335" s="569" t="s">
        <v>157</v>
      </c>
      <c r="N1335" s="569">
        <v>1</v>
      </c>
      <c r="O1335" s="569">
        <v>109.4</v>
      </c>
      <c r="P1335" s="568" t="s">
        <v>157</v>
      </c>
      <c r="Q1335" s="569" t="s">
        <v>1917</v>
      </c>
      <c r="R1335" s="569">
        <v>5</v>
      </c>
      <c r="S1335" s="569" t="s">
        <v>2685</v>
      </c>
      <c r="T1335" s="569" t="s">
        <v>1894</v>
      </c>
      <c r="U1335" s="569">
        <v>147.6</v>
      </c>
      <c r="V1335" s="569">
        <v>25</v>
      </c>
      <c r="W1335" s="620">
        <v>9500</v>
      </c>
      <c r="X1335" s="621" t="s">
        <v>157</v>
      </c>
      <c r="Y1335" s="621" t="s">
        <v>728</v>
      </c>
      <c r="Z1335" s="621" t="s">
        <v>1523</v>
      </c>
      <c r="AA1335" s="622">
        <v>46355</v>
      </c>
      <c r="AB1335" s="622" t="s">
        <v>164</v>
      </c>
      <c r="AC1335" s="622">
        <v>36900</v>
      </c>
      <c r="AD1335" s="623">
        <v>0.01</v>
      </c>
      <c r="AE1335" s="621" t="s">
        <v>2684</v>
      </c>
    </row>
    <row r="1336" spans="1:31" s="572" customFormat="1">
      <c r="A1336" s="570" t="s">
        <v>2712</v>
      </c>
      <c r="B1336" s="573" t="s">
        <v>278</v>
      </c>
      <c r="C1336" s="578">
        <v>15</v>
      </c>
      <c r="D1336" s="573" t="s">
        <v>1516</v>
      </c>
      <c r="E1336" s="573" t="s">
        <v>1571</v>
      </c>
      <c r="F1336" s="573" t="s">
        <v>271</v>
      </c>
      <c r="G1336" s="573">
        <v>2019</v>
      </c>
      <c r="H1336" s="573" t="s">
        <v>2628</v>
      </c>
      <c r="I1336" s="573" t="s">
        <v>1950</v>
      </c>
      <c r="J1336" s="573" t="s">
        <v>236</v>
      </c>
      <c r="K1336" s="573">
        <v>2</v>
      </c>
      <c r="L1336" s="573">
        <v>0</v>
      </c>
      <c r="M1336" s="573" t="s">
        <v>157</v>
      </c>
      <c r="N1336" s="573">
        <v>1</v>
      </c>
      <c r="O1336" s="573">
        <v>109.4</v>
      </c>
      <c r="P1336" s="571" t="s">
        <v>157</v>
      </c>
      <c r="Q1336" s="573" t="s">
        <v>1259</v>
      </c>
      <c r="R1336" s="573">
        <v>6</v>
      </c>
      <c r="S1336" s="582" t="s">
        <v>2685</v>
      </c>
      <c r="T1336" s="573" t="s">
        <v>1894</v>
      </c>
      <c r="U1336" s="573">
        <v>147.6</v>
      </c>
      <c r="V1336" s="573">
        <v>25</v>
      </c>
      <c r="W1336" s="616">
        <v>9500</v>
      </c>
      <c r="X1336" s="617" t="s">
        <v>157</v>
      </c>
      <c r="Y1336" s="617" t="s">
        <v>178</v>
      </c>
      <c r="Z1336" s="617" t="s">
        <v>178</v>
      </c>
      <c r="AA1336" s="618">
        <v>44225</v>
      </c>
      <c r="AB1336" s="618" t="s">
        <v>164</v>
      </c>
      <c r="AC1336" s="618">
        <v>34900</v>
      </c>
      <c r="AD1336" s="619">
        <v>0.01</v>
      </c>
      <c r="AE1336" s="617" t="s">
        <v>2687</v>
      </c>
    </row>
    <row r="1337" spans="1:31" s="572" customFormat="1">
      <c r="A1337" s="570" t="s">
        <v>2713</v>
      </c>
      <c r="B1337" s="569" t="s">
        <v>278</v>
      </c>
      <c r="C1337" s="580">
        <v>15</v>
      </c>
      <c r="D1337" s="569" t="s">
        <v>1516</v>
      </c>
      <c r="E1337" s="569" t="s">
        <v>1571</v>
      </c>
      <c r="F1337" s="569" t="s">
        <v>271</v>
      </c>
      <c r="G1337" s="569">
        <v>2019</v>
      </c>
      <c r="H1337" s="569" t="s">
        <v>2628</v>
      </c>
      <c r="I1337" s="569" t="s">
        <v>1950</v>
      </c>
      <c r="J1337" s="569" t="s">
        <v>236</v>
      </c>
      <c r="K1337" s="569">
        <v>2</v>
      </c>
      <c r="L1337" s="569">
        <v>0</v>
      </c>
      <c r="M1337" s="569" t="s">
        <v>157</v>
      </c>
      <c r="N1337" s="569">
        <v>1</v>
      </c>
      <c r="O1337" s="569">
        <v>109.4</v>
      </c>
      <c r="P1337" s="568" t="s">
        <v>157</v>
      </c>
      <c r="Q1337" s="569" t="s">
        <v>682</v>
      </c>
      <c r="R1337" s="569">
        <v>6</v>
      </c>
      <c r="S1337" s="569" t="s">
        <v>2685</v>
      </c>
      <c r="T1337" s="569" t="s">
        <v>1894</v>
      </c>
      <c r="U1337" s="569">
        <v>147.6</v>
      </c>
      <c r="V1337" s="569">
        <v>25</v>
      </c>
      <c r="W1337" s="620">
        <v>9500</v>
      </c>
      <c r="X1337" s="621" t="s">
        <v>157</v>
      </c>
      <c r="Y1337" s="621" t="s">
        <v>178</v>
      </c>
      <c r="Z1337" s="621" t="s">
        <v>178</v>
      </c>
      <c r="AA1337" s="622">
        <v>42360</v>
      </c>
      <c r="AB1337" s="622" t="s">
        <v>164</v>
      </c>
      <c r="AC1337" s="622">
        <v>33300</v>
      </c>
      <c r="AD1337" s="623">
        <v>0.01</v>
      </c>
      <c r="AE1337" s="621" t="s">
        <v>2689</v>
      </c>
    </row>
    <row r="1338" spans="1:31" s="572" customFormat="1">
      <c r="A1338" s="570" t="s">
        <v>2714</v>
      </c>
      <c r="B1338" s="573" t="s">
        <v>278</v>
      </c>
      <c r="C1338" s="578">
        <v>15</v>
      </c>
      <c r="D1338" s="573" t="s">
        <v>1516</v>
      </c>
      <c r="E1338" s="573" t="s">
        <v>1571</v>
      </c>
      <c r="F1338" s="573" t="s">
        <v>271</v>
      </c>
      <c r="G1338" s="573">
        <v>2019</v>
      </c>
      <c r="H1338" s="573" t="s">
        <v>2628</v>
      </c>
      <c r="I1338" s="573" t="s">
        <v>1950</v>
      </c>
      <c r="J1338" s="573" t="s">
        <v>236</v>
      </c>
      <c r="K1338" s="573">
        <v>2</v>
      </c>
      <c r="L1338" s="573">
        <v>0</v>
      </c>
      <c r="M1338" s="573" t="s">
        <v>157</v>
      </c>
      <c r="N1338" s="573">
        <v>1</v>
      </c>
      <c r="O1338" s="573">
        <v>110.1</v>
      </c>
      <c r="P1338" s="571" t="s">
        <v>157</v>
      </c>
      <c r="Q1338" s="573" t="s">
        <v>1917</v>
      </c>
      <c r="R1338" s="573">
        <v>6</v>
      </c>
      <c r="S1338" s="582" t="s">
        <v>2692</v>
      </c>
      <c r="T1338" s="573" t="s">
        <v>1894</v>
      </c>
      <c r="U1338" s="573">
        <v>147.6</v>
      </c>
      <c r="V1338" s="573">
        <v>25</v>
      </c>
      <c r="W1338" s="616">
        <v>9500</v>
      </c>
      <c r="X1338" s="617" t="s">
        <v>157</v>
      </c>
      <c r="Y1338" s="617" t="s">
        <v>178</v>
      </c>
      <c r="Z1338" s="617" t="s">
        <v>178</v>
      </c>
      <c r="AA1338" s="618">
        <v>45055</v>
      </c>
      <c r="AB1338" s="618" t="s">
        <v>164</v>
      </c>
      <c r="AC1338" s="618">
        <v>35600</v>
      </c>
      <c r="AD1338" s="619">
        <v>0.01</v>
      </c>
      <c r="AE1338" s="617" t="s">
        <v>2715</v>
      </c>
    </row>
    <row r="1339" spans="1:31" s="572" customFormat="1">
      <c r="A1339" s="570" t="s">
        <v>2716</v>
      </c>
      <c r="B1339" s="569" t="s">
        <v>278</v>
      </c>
      <c r="C1339" s="580">
        <v>15</v>
      </c>
      <c r="D1339" s="569" t="s">
        <v>1516</v>
      </c>
      <c r="E1339" s="569" t="s">
        <v>1571</v>
      </c>
      <c r="F1339" s="569" t="s">
        <v>271</v>
      </c>
      <c r="G1339" s="569">
        <v>2019</v>
      </c>
      <c r="H1339" s="569" t="s">
        <v>2628</v>
      </c>
      <c r="I1339" s="569" t="s">
        <v>1950</v>
      </c>
      <c r="J1339" s="569" t="s">
        <v>236</v>
      </c>
      <c r="K1339" s="569">
        <v>2</v>
      </c>
      <c r="L1339" s="569">
        <v>0</v>
      </c>
      <c r="M1339" s="569" t="s">
        <v>157</v>
      </c>
      <c r="N1339" s="569">
        <v>1</v>
      </c>
      <c r="O1339" s="569">
        <v>110.1</v>
      </c>
      <c r="P1339" s="568" t="s">
        <v>157</v>
      </c>
      <c r="Q1339" s="569" t="s">
        <v>1259</v>
      </c>
      <c r="R1339" s="569">
        <v>6</v>
      </c>
      <c r="S1339" s="569" t="s">
        <v>2692</v>
      </c>
      <c r="T1339" s="569" t="s">
        <v>1894</v>
      </c>
      <c r="U1339" s="569">
        <v>147.6</v>
      </c>
      <c r="V1339" s="569">
        <v>25</v>
      </c>
      <c r="W1339" s="620">
        <v>9500</v>
      </c>
      <c r="X1339" s="621" t="s">
        <v>157</v>
      </c>
      <c r="Y1339" s="621" t="s">
        <v>178</v>
      </c>
      <c r="Z1339" s="621" t="s">
        <v>178</v>
      </c>
      <c r="AA1339" s="622">
        <v>42925</v>
      </c>
      <c r="AB1339" s="622" t="s">
        <v>164</v>
      </c>
      <c r="AC1339" s="622">
        <v>33700</v>
      </c>
      <c r="AD1339" s="623">
        <v>0.01</v>
      </c>
      <c r="AE1339" s="621" t="s">
        <v>2694</v>
      </c>
    </row>
    <row r="1340" spans="1:31" s="572" customFormat="1">
      <c r="A1340" s="570" t="s">
        <v>2717</v>
      </c>
      <c r="B1340" s="573" t="s">
        <v>278</v>
      </c>
      <c r="C1340" s="578">
        <v>15</v>
      </c>
      <c r="D1340" s="573" t="s">
        <v>1516</v>
      </c>
      <c r="E1340" s="573" t="s">
        <v>1571</v>
      </c>
      <c r="F1340" s="573" t="s">
        <v>271</v>
      </c>
      <c r="G1340" s="573">
        <v>2019</v>
      </c>
      <c r="H1340" s="573" t="s">
        <v>2628</v>
      </c>
      <c r="I1340" s="573" t="s">
        <v>1950</v>
      </c>
      <c r="J1340" s="573" t="s">
        <v>236</v>
      </c>
      <c r="K1340" s="573">
        <v>2</v>
      </c>
      <c r="L1340" s="573">
        <v>0</v>
      </c>
      <c r="M1340" s="573" t="s">
        <v>157</v>
      </c>
      <c r="N1340" s="573">
        <v>1</v>
      </c>
      <c r="O1340" s="573">
        <v>110.1</v>
      </c>
      <c r="P1340" s="571" t="s">
        <v>157</v>
      </c>
      <c r="Q1340" s="573" t="s">
        <v>682</v>
      </c>
      <c r="R1340" s="573">
        <v>6</v>
      </c>
      <c r="S1340" s="582" t="s">
        <v>2692</v>
      </c>
      <c r="T1340" s="573" t="s">
        <v>1894</v>
      </c>
      <c r="U1340" s="573">
        <v>147.6</v>
      </c>
      <c r="V1340" s="573">
        <v>25</v>
      </c>
      <c r="W1340" s="616">
        <v>9500</v>
      </c>
      <c r="X1340" s="617" t="s">
        <v>157</v>
      </c>
      <c r="Y1340" s="617" t="s">
        <v>178</v>
      </c>
      <c r="Z1340" s="617" t="s">
        <v>178</v>
      </c>
      <c r="AA1340" s="618">
        <v>41060</v>
      </c>
      <c r="AB1340" s="618" t="s">
        <v>164</v>
      </c>
      <c r="AC1340" s="618">
        <v>32000</v>
      </c>
      <c r="AD1340" s="619">
        <v>0.01</v>
      </c>
      <c r="AE1340" s="617" t="s">
        <v>2696</v>
      </c>
    </row>
    <row r="1341" spans="1:31" s="572" customFormat="1">
      <c r="A1341" s="570" t="s">
        <v>2718</v>
      </c>
      <c r="B1341" s="569" t="s">
        <v>278</v>
      </c>
      <c r="C1341" s="580">
        <v>15</v>
      </c>
      <c r="D1341" s="569" t="s">
        <v>1516</v>
      </c>
      <c r="E1341" s="569" t="s">
        <v>1571</v>
      </c>
      <c r="F1341" s="569" t="s">
        <v>271</v>
      </c>
      <c r="G1341" s="569">
        <v>2019</v>
      </c>
      <c r="H1341" s="569" t="s">
        <v>2628</v>
      </c>
      <c r="I1341" s="569" t="s">
        <v>1950</v>
      </c>
      <c r="J1341" s="569" t="s">
        <v>236</v>
      </c>
      <c r="K1341" s="569">
        <v>2</v>
      </c>
      <c r="L1341" s="569">
        <v>0</v>
      </c>
      <c r="M1341" s="569" t="s">
        <v>157</v>
      </c>
      <c r="N1341" s="569">
        <v>1</v>
      </c>
      <c r="O1341" s="569">
        <v>83.2</v>
      </c>
      <c r="P1341" s="568" t="s">
        <v>157</v>
      </c>
      <c r="Q1341" s="569" t="s">
        <v>1259</v>
      </c>
      <c r="R1341" s="569">
        <v>6</v>
      </c>
      <c r="S1341" s="569" t="s">
        <v>2699</v>
      </c>
      <c r="T1341" s="569" t="s">
        <v>1894</v>
      </c>
      <c r="U1341" s="569">
        <v>147.6</v>
      </c>
      <c r="V1341" s="569">
        <v>25</v>
      </c>
      <c r="W1341" s="620">
        <v>9500</v>
      </c>
      <c r="X1341" s="621" t="s">
        <v>157</v>
      </c>
      <c r="Y1341" s="621" t="s">
        <v>178</v>
      </c>
      <c r="Z1341" s="621" t="s">
        <v>178</v>
      </c>
      <c r="AA1341" s="622">
        <v>40430</v>
      </c>
      <c r="AB1341" s="622" t="s">
        <v>164</v>
      </c>
      <c r="AC1341" s="622">
        <v>29250</v>
      </c>
      <c r="AD1341" s="623">
        <v>0.01</v>
      </c>
      <c r="AE1341" s="621" t="s">
        <v>2698</v>
      </c>
    </row>
    <row r="1342" spans="1:31" s="572" customFormat="1">
      <c r="A1342" s="570" t="s">
        <v>2719</v>
      </c>
      <c r="B1342" s="573" t="s">
        <v>278</v>
      </c>
      <c r="C1342" s="578">
        <v>15</v>
      </c>
      <c r="D1342" s="573" t="s">
        <v>1516</v>
      </c>
      <c r="E1342" s="573" t="s">
        <v>1571</v>
      </c>
      <c r="F1342" s="573" t="s">
        <v>271</v>
      </c>
      <c r="G1342" s="573">
        <v>2019</v>
      </c>
      <c r="H1342" s="573" t="s">
        <v>2628</v>
      </c>
      <c r="I1342" s="573" t="s">
        <v>1950</v>
      </c>
      <c r="J1342" s="573" t="s">
        <v>236</v>
      </c>
      <c r="K1342" s="573">
        <v>2</v>
      </c>
      <c r="L1342" s="573">
        <v>0</v>
      </c>
      <c r="M1342" s="573" t="s">
        <v>157</v>
      </c>
      <c r="N1342" s="573">
        <v>1</v>
      </c>
      <c r="O1342" s="573">
        <v>83.2</v>
      </c>
      <c r="P1342" s="571" t="s">
        <v>157</v>
      </c>
      <c r="Q1342" s="573" t="s">
        <v>682</v>
      </c>
      <c r="R1342" s="573">
        <v>6</v>
      </c>
      <c r="S1342" s="582" t="s">
        <v>2699</v>
      </c>
      <c r="T1342" s="573" t="s">
        <v>1894</v>
      </c>
      <c r="U1342" s="573">
        <v>147.6</v>
      </c>
      <c r="V1342" s="573">
        <v>25</v>
      </c>
      <c r="W1342" s="616">
        <v>9500</v>
      </c>
      <c r="X1342" s="617" t="s">
        <v>157</v>
      </c>
      <c r="Y1342" s="617" t="s">
        <v>178</v>
      </c>
      <c r="Z1342" s="617" t="s">
        <v>178</v>
      </c>
      <c r="AA1342" s="618">
        <v>38565</v>
      </c>
      <c r="AB1342" s="618" t="s">
        <v>164</v>
      </c>
      <c r="AC1342" s="618">
        <v>27550</v>
      </c>
      <c r="AD1342" s="619">
        <v>0.01</v>
      </c>
      <c r="AE1342" s="617" t="s">
        <v>2701</v>
      </c>
    </row>
    <row r="1343" spans="1:31" s="572" customFormat="1">
      <c r="A1343" s="570" t="s">
        <v>2720</v>
      </c>
      <c r="B1343" s="569" t="s">
        <v>278</v>
      </c>
      <c r="C1343" s="580">
        <v>15</v>
      </c>
      <c r="D1343" s="569" t="s">
        <v>1516</v>
      </c>
      <c r="E1343" s="569" t="s">
        <v>1571</v>
      </c>
      <c r="F1343" s="569" t="s">
        <v>271</v>
      </c>
      <c r="G1343" s="569">
        <v>2019</v>
      </c>
      <c r="H1343" s="569" t="s">
        <v>2628</v>
      </c>
      <c r="I1343" s="569" t="s">
        <v>1950</v>
      </c>
      <c r="J1343" s="569" t="s">
        <v>236</v>
      </c>
      <c r="K1343" s="569">
        <v>2</v>
      </c>
      <c r="L1343" s="569">
        <v>0</v>
      </c>
      <c r="M1343" s="569" t="s">
        <v>157</v>
      </c>
      <c r="N1343" s="569">
        <v>1</v>
      </c>
      <c r="O1343" s="569">
        <v>83.6</v>
      </c>
      <c r="P1343" s="568" t="s">
        <v>157</v>
      </c>
      <c r="Q1343" s="569" t="s">
        <v>1259</v>
      </c>
      <c r="R1343" s="569">
        <v>6</v>
      </c>
      <c r="S1343" s="569" t="s">
        <v>2704</v>
      </c>
      <c r="T1343" s="569" t="s">
        <v>1894</v>
      </c>
      <c r="U1343" s="569">
        <v>129.9</v>
      </c>
      <c r="V1343" s="569">
        <v>25</v>
      </c>
      <c r="W1343" s="620">
        <v>9500</v>
      </c>
      <c r="X1343" s="621" t="s">
        <v>157</v>
      </c>
      <c r="Y1343" s="621" t="s">
        <v>178</v>
      </c>
      <c r="Z1343" s="621" t="s">
        <v>178</v>
      </c>
      <c r="AA1343" s="622">
        <v>39550</v>
      </c>
      <c r="AB1343" s="622" t="s">
        <v>164</v>
      </c>
      <c r="AC1343" s="622">
        <v>28400</v>
      </c>
      <c r="AD1343" s="623">
        <v>0.01</v>
      </c>
      <c r="AE1343" s="621" t="s">
        <v>2703</v>
      </c>
    </row>
    <row r="1344" spans="1:31" s="572" customFormat="1">
      <c r="A1344" s="570" t="s">
        <v>2721</v>
      </c>
      <c r="B1344" s="573" t="s">
        <v>278</v>
      </c>
      <c r="C1344" s="578">
        <v>15</v>
      </c>
      <c r="D1344" s="573" t="s">
        <v>1516</v>
      </c>
      <c r="E1344" s="573" t="s">
        <v>1571</v>
      </c>
      <c r="F1344" s="573" t="s">
        <v>271</v>
      </c>
      <c r="G1344" s="573">
        <v>2019</v>
      </c>
      <c r="H1344" s="573" t="s">
        <v>2628</v>
      </c>
      <c r="I1344" s="573" t="s">
        <v>1950</v>
      </c>
      <c r="J1344" s="573" t="s">
        <v>236</v>
      </c>
      <c r="K1344" s="573">
        <v>2</v>
      </c>
      <c r="L1344" s="573">
        <v>0</v>
      </c>
      <c r="M1344" s="573" t="s">
        <v>157</v>
      </c>
      <c r="N1344" s="573">
        <v>1</v>
      </c>
      <c r="O1344" s="573">
        <v>83.6</v>
      </c>
      <c r="P1344" s="571" t="s">
        <v>157</v>
      </c>
      <c r="Q1344" s="573" t="s">
        <v>682</v>
      </c>
      <c r="R1344" s="573">
        <v>6</v>
      </c>
      <c r="S1344" s="582" t="s">
        <v>2704</v>
      </c>
      <c r="T1344" s="573" t="s">
        <v>1894</v>
      </c>
      <c r="U1344" s="573">
        <v>129.9</v>
      </c>
      <c r="V1344" s="573">
        <v>25</v>
      </c>
      <c r="W1344" s="616">
        <v>9500</v>
      </c>
      <c r="X1344" s="617" t="s">
        <v>157</v>
      </c>
      <c r="Y1344" s="617" t="s">
        <v>178</v>
      </c>
      <c r="Z1344" s="617" t="s">
        <v>178</v>
      </c>
      <c r="AA1344" s="618">
        <v>37685</v>
      </c>
      <c r="AB1344" s="618" t="s">
        <v>164</v>
      </c>
      <c r="AC1344" s="618">
        <v>26700</v>
      </c>
      <c r="AD1344" s="619">
        <v>0.01</v>
      </c>
      <c r="AE1344" s="617" t="s">
        <v>2706</v>
      </c>
    </row>
    <row r="1345" spans="1:31" s="572" customFormat="1">
      <c r="A1345" s="570" t="s">
        <v>2722</v>
      </c>
      <c r="B1345" s="569" t="s">
        <v>287</v>
      </c>
      <c r="C1345" s="580">
        <v>26</v>
      </c>
      <c r="D1345" s="569" t="s">
        <v>1516</v>
      </c>
      <c r="E1345" s="569" t="s">
        <v>1571</v>
      </c>
      <c r="F1345" s="569" t="s">
        <v>271</v>
      </c>
      <c r="G1345" s="569">
        <v>2019</v>
      </c>
      <c r="H1345" s="569" t="s">
        <v>2628</v>
      </c>
      <c r="I1345" s="569" t="s">
        <v>1950</v>
      </c>
      <c r="J1345" s="569" t="s">
        <v>236</v>
      </c>
      <c r="K1345" s="569">
        <v>2</v>
      </c>
      <c r="L1345" s="569">
        <v>0</v>
      </c>
      <c r="M1345" s="569" t="s">
        <v>157</v>
      </c>
      <c r="N1345" s="569">
        <v>1</v>
      </c>
      <c r="O1345" s="569">
        <v>100.7</v>
      </c>
      <c r="P1345" s="568" t="s">
        <v>157</v>
      </c>
      <c r="Q1345" s="569" t="s">
        <v>1259</v>
      </c>
      <c r="R1345" s="569">
        <v>6</v>
      </c>
      <c r="S1345" s="569" t="s">
        <v>2675</v>
      </c>
      <c r="T1345" s="569" t="s">
        <v>1894</v>
      </c>
      <c r="U1345" s="569">
        <v>147.6</v>
      </c>
      <c r="V1345" s="569">
        <v>25</v>
      </c>
      <c r="W1345" s="620">
        <v>9500</v>
      </c>
      <c r="X1345" s="621" t="s">
        <v>157</v>
      </c>
      <c r="Y1345" s="621" t="s">
        <v>178</v>
      </c>
      <c r="Z1345" s="621" t="s">
        <v>178</v>
      </c>
      <c r="AA1345" s="622">
        <v>40775</v>
      </c>
      <c r="AB1345" s="622" t="s">
        <v>164</v>
      </c>
      <c r="AC1345" s="622">
        <v>32178</v>
      </c>
      <c r="AD1345" s="623">
        <v>0.05</v>
      </c>
      <c r="AE1345" s="621" t="s">
        <v>2674</v>
      </c>
    </row>
    <row r="1346" spans="1:31" s="572" customFormat="1">
      <c r="A1346" s="570" t="s">
        <v>2723</v>
      </c>
      <c r="B1346" s="573" t="s">
        <v>287</v>
      </c>
      <c r="C1346" s="578">
        <v>26</v>
      </c>
      <c r="D1346" s="573" t="s">
        <v>1516</v>
      </c>
      <c r="E1346" s="573" t="s">
        <v>1571</v>
      </c>
      <c r="F1346" s="573" t="s">
        <v>271</v>
      </c>
      <c r="G1346" s="573">
        <v>2019</v>
      </c>
      <c r="H1346" s="573" t="s">
        <v>2628</v>
      </c>
      <c r="I1346" s="573" t="s">
        <v>1950</v>
      </c>
      <c r="J1346" s="573" t="s">
        <v>236</v>
      </c>
      <c r="K1346" s="573">
        <v>2</v>
      </c>
      <c r="L1346" s="573">
        <v>0</v>
      </c>
      <c r="M1346" s="573" t="s">
        <v>157</v>
      </c>
      <c r="N1346" s="573">
        <v>1</v>
      </c>
      <c r="O1346" s="573">
        <v>100.7</v>
      </c>
      <c r="P1346" s="571" t="s">
        <v>157</v>
      </c>
      <c r="Q1346" s="573" t="s">
        <v>682</v>
      </c>
      <c r="R1346" s="573">
        <v>6</v>
      </c>
      <c r="S1346" s="582" t="s">
        <v>2675</v>
      </c>
      <c r="T1346" s="573" t="s">
        <v>1894</v>
      </c>
      <c r="U1346" s="573">
        <v>147.6</v>
      </c>
      <c r="V1346" s="573">
        <v>25</v>
      </c>
      <c r="W1346" s="616">
        <v>9500</v>
      </c>
      <c r="X1346" s="617" t="s">
        <v>157</v>
      </c>
      <c r="Y1346" s="617" t="s">
        <v>178</v>
      </c>
      <c r="Z1346" s="617" t="s">
        <v>178</v>
      </c>
      <c r="AA1346" s="618">
        <v>38910</v>
      </c>
      <c r="AB1346" s="618" t="s">
        <v>164</v>
      </c>
      <c r="AC1346" s="618">
        <v>30468</v>
      </c>
      <c r="AD1346" s="619">
        <v>0.05</v>
      </c>
      <c r="AE1346" s="617" t="s">
        <v>2677</v>
      </c>
    </row>
    <row r="1347" spans="1:31" s="572" customFormat="1">
      <c r="A1347" s="570" t="s">
        <v>2724</v>
      </c>
      <c r="B1347" s="569" t="s">
        <v>287</v>
      </c>
      <c r="C1347" s="580">
        <v>26</v>
      </c>
      <c r="D1347" s="569" t="s">
        <v>1516</v>
      </c>
      <c r="E1347" s="569" t="s">
        <v>1571</v>
      </c>
      <c r="F1347" s="569" t="s">
        <v>271</v>
      </c>
      <c r="G1347" s="569">
        <v>2019</v>
      </c>
      <c r="H1347" s="569" t="s">
        <v>2628</v>
      </c>
      <c r="I1347" s="569" t="s">
        <v>1950</v>
      </c>
      <c r="J1347" s="569" t="s">
        <v>236</v>
      </c>
      <c r="K1347" s="569">
        <v>2</v>
      </c>
      <c r="L1347" s="569">
        <v>0</v>
      </c>
      <c r="M1347" s="569" t="s">
        <v>157</v>
      </c>
      <c r="N1347" s="569">
        <v>1</v>
      </c>
      <c r="O1347" s="569">
        <v>100.8</v>
      </c>
      <c r="P1347" s="568" t="s">
        <v>157</v>
      </c>
      <c r="Q1347" s="569" t="s">
        <v>1259</v>
      </c>
      <c r="R1347" s="569">
        <v>6</v>
      </c>
      <c r="S1347" s="569" t="s">
        <v>2680</v>
      </c>
      <c r="T1347" s="569" t="s">
        <v>1894</v>
      </c>
      <c r="U1347" s="569">
        <v>129.9</v>
      </c>
      <c r="V1347" s="569">
        <v>25</v>
      </c>
      <c r="W1347" s="620">
        <v>9500</v>
      </c>
      <c r="X1347" s="621" t="s">
        <v>157</v>
      </c>
      <c r="Y1347" s="621" t="s">
        <v>178</v>
      </c>
      <c r="Z1347" s="621" t="s">
        <v>178</v>
      </c>
      <c r="AA1347" s="622">
        <v>39050</v>
      </c>
      <c r="AB1347" s="622" t="s">
        <v>164</v>
      </c>
      <c r="AC1347" s="622">
        <v>30551</v>
      </c>
      <c r="AD1347" s="623">
        <v>0.05</v>
      </c>
      <c r="AE1347" s="621" t="s">
        <v>2679</v>
      </c>
    </row>
    <row r="1348" spans="1:31" s="572" customFormat="1">
      <c r="A1348" s="570" t="s">
        <v>2725</v>
      </c>
      <c r="B1348" s="573" t="s">
        <v>287</v>
      </c>
      <c r="C1348" s="578">
        <v>26</v>
      </c>
      <c r="D1348" s="573" t="s">
        <v>1516</v>
      </c>
      <c r="E1348" s="573" t="s">
        <v>1571</v>
      </c>
      <c r="F1348" s="573" t="s">
        <v>271</v>
      </c>
      <c r="G1348" s="573">
        <v>2019</v>
      </c>
      <c r="H1348" s="573" t="s">
        <v>2628</v>
      </c>
      <c r="I1348" s="573" t="s">
        <v>1950</v>
      </c>
      <c r="J1348" s="573" t="s">
        <v>236</v>
      </c>
      <c r="K1348" s="573">
        <v>2</v>
      </c>
      <c r="L1348" s="573">
        <v>0</v>
      </c>
      <c r="M1348" s="573" t="s">
        <v>157</v>
      </c>
      <c r="N1348" s="573">
        <v>1</v>
      </c>
      <c r="O1348" s="573">
        <v>100.8</v>
      </c>
      <c r="P1348" s="571" t="s">
        <v>157</v>
      </c>
      <c r="Q1348" s="573" t="s">
        <v>682</v>
      </c>
      <c r="R1348" s="573">
        <v>6</v>
      </c>
      <c r="S1348" s="582" t="s">
        <v>2680</v>
      </c>
      <c r="T1348" s="573" t="s">
        <v>1894</v>
      </c>
      <c r="U1348" s="573">
        <v>129.9</v>
      </c>
      <c r="V1348" s="573">
        <v>25</v>
      </c>
      <c r="W1348" s="616">
        <v>9500</v>
      </c>
      <c r="X1348" s="617" t="s">
        <v>157</v>
      </c>
      <c r="Y1348" s="617" t="s">
        <v>178</v>
      </c>
      <c r="Z1348" s="617" t="s">
        <v>178</v>
      </c>
      <c r="AA1348" s="618">
        <v>37185</v>
      </c>
      <c r="AB1348" s="618" t="s">
        <v>164</v>
      </c>
      <c r="AC1348" s="618">
        <v>28841</v>
      </c>
      <c r="AD1348" s="619">
        <v>0.05</v>
      </c>
      <c r="AE1348" s="617" t="s">
        <v>2682</v>
      </c>
    </row>
    <row r="1349" spans="1:31" s="572" customFormat="1">
      <c r="A1349" s="570" t="s">
        <v>2726</v>
      </c>
      <c r="B1349" s="569" t="s">
        <v>287</v>
      </c>
      <c r="C1349" s="580">
        <v>26</v>
      </c>
      <c r="D1349" s="569" t="s">
        <v>1516</v>
      </c>
      <c r="E1349" s="569" t="s">
        <v>1571</v>
      </c>
      <c r="F1349" s="569" t="s">
        <v>271</v>
      </c>
      <c r="G1349" s="569">
        <v>2019</v>
      </c>
      <c r="H1349" s="569" t="s">
        <v>2628</v>
      </c>
      <c r="I1349" s="569" t="s">
        <v>1950</v>
      </c>
      <c r="J1349" s="569" t="s">
        <v>236</v>
      </c>
      <c r="K1349" s="569">
        <v>2</v>
      </c>
      <c r="L1349" s="569">
        <v>0</v>
      </c>
      <c r="M1349" s="569" t="s">
        <v>157</v>
      </c>
      <c r="N1349" s="569">
        <v>1</v>
      </c>
      <c r="O1349" s="569">
        <v>109.4</v>
      </c>
      <c r="P1349" s="568" t="s">
        <v>157</v>
      </c>
      <c r="Q1349" s="569" t="s">
        <v>1917</v>
      </c>
      <c r="R1349" s="569">
        <v>5</v>
      </c>
      <c r="S1349" s="569" t="s">
        <v>2685</v>
      </c>
      <c r="T1349" s="569" t="s">
        <v>1894</v>
      </c>
      <c r="U1349" s="569">
        <v>147.6</v>
      </c>
      <c r="V1349" s="569">
        <v>25</v>
      </c>
      <c r="W1349" s="620">
        <v>9500</v>
      </c>
      <c r="X1349" s="621" t="s">
        <v>157</v>
      </c>
      <c r="Y1349" s="621" t="s">
        <v>728</v>
      </c>
      <c r="Z1349" s="621" t="s">
        <v>1523</v>
      </c>
      <c r="AA1349" s="622">
        <v>46355</v>
      </c>
      <c r="AB1349" s="622" t="s">
        <v>164</v>
      </c>
      <c r="AC1349" s="622">
        <v>37390</v>
      </c>
      <c r="AD1349" s="623">
        <v>0.05</v>
      </c>
      <c r="AE1349" s="621" t="s">
        <v>2684</v>
      </c>
    </row>
    <row r="1350" spans="1:31" s="572" customFormat="1">
      <c r="A1350" s="570" t="s">
        <v>2727</v>
      </c>
      <c r="B1350" s="573" t="s">
        <v>287</v>
      </c>
      <c r="C1350" s="578">
        <v>26</v>
      </c>
      <c r="D1350" s="573" t="s">
        <v>1516</v>
      </c>
      <c r="E1350" s="573" t="s">
        <v>1571</v>
      </c>
      <c r="F1350" s="573" t="s">
        <v>271</v>
      </c>
      <c r="G1350" s="573">
        <v>2019</v>
      </c>
      <c r="H1350" s="573" t="s">
        <v>2628</v>
      </c>
      <c r="I1350" s="573" t="s">
        <v>1950</v>
      </c>
      <c r="J1350" s="573" t="s">
        <v>236</v>
      </c>
      <c r="K1350" s="573">
        <v>2</v>
      </c>
      <c r="L1350" s="573">
        <v>0</v>
      </c>
      <c r="M1350" s="573" t="s">
        <v>157</v>
      </c>
      <c r="N1350" s="573">
        <v>1</v>
      </c>
      <c r="O1350" s="573">
        <v>109.4</v>
      </c>
      <c r="P1350" s="571" t="s">
        <v>157</v>
      </c>
      <c r="Q1350" s="573" t="s">
        <v>1259</v>
      </c>
      <c r="R1350" s="573">
        <v>6</v>
      </c>
      <c r="S1350" s="582" t="s">
        <v>2685</v>
      </c>
      <c r="T1350" s="573" t="s">
        <v>1894</v>
      </c>
      <c r="U1350" s="573">
        <v>147.6</v>
      </c>
      <c r="V1350" s="573">
        <v>25</v>
      </c>
      <c r="W1350" s="616">
        <v>9500</v>
      </c>
      <c r="X1350" s="617" t="s">
        <v>157</v>
      </c>
      <c r="Y1350" s="617" t="s">
        <v>178</v>
      </c>
      <c r="Z1350" s="617" t="s">
        <v>178</v>
      </c>
      <c r="AA1350" s="618">
        <v>44225</v>
      </c>
      <c r="AB1350" s="618" t="s">
        <v>164</v>
      </c>
      <c r="AC1350" s="618">
        <v>35437</v>
      </c>
      <c r="AD1350" s="619">
        <v>0.05</v>
      </c>
      <c r="AE1350" s="617" t="s">
        <v>2687</v>
      </c>
    </row>
    <row r="1351" spans="1:31" s="572" customFormat="1">
      <c r="A1351" s="570" t="s">
        <v>2728</v>
      </c>
      <c r="B1351" s="569" t="s">
        <v>287</v>
      </c>
      <c r="C1351" s="580">
        <v>26</v>
      </c>
      <c r="D1351" s="569" t="s">
        <v>1516</v>
      </c>
      <c r="E1351" s="569" t="s">
        <v>1571</v>
      </c>
      <c r="F1351" s="569" t="s">
        <v>271</v>
      </c>
      <c r="G1351" s="569">
        <v>2019</v>
      </c>
      <c r="H1351" s="569" t="s">
        <v>2628</v>
      </c>
      <c r="I1351" s="569" t="s">
        <v>1950</v>
      </c>
      <c r="J1351" s="569" t="s">
        <v>236</v>
      </c>
      <c r="K1351" s="569">
        <v>2</v>
      </c>
      <c r="L1351" s="569">
        <v>0</v>
      </c>
      <c r="M1351" s="569" t="s">
        <v>157</v>
      </c>
      <c r="N1351" s="569">
        <v>1</v>
      </c>
      <c r="O1351" s="569">
        <v>109.4</v>
      </c>
      <c r="P1351" s="568" t="s">
        <v>157</v>
      </c>
      <c r="Q1351" s="569" t="s">
        <v>682</v>
      </c>
      <c r="R1351" s="569">
        <v>6</v>
      </c>
      <c r="S1351" s="569" t="s">
        <v>2685</v>
      </c>
      <c r="T1351" s="569" t="s">
        <v>1894</v>
      </c>
      <c r="U1351" s="569">
        <v>147.6</v>
      </c>
      <c r="V1351" s="569">
        <v>25</v>
      </c>
      <c r="W1351" s="620">
        <v>9500</v>
      </c>
      <c r="X1351" s="621" t="s">
        <v>157</v>
      </c>
      <c r="Y1351" s="621" t="s">
        <v>178</v>
      </c>
      <c r="Z1351" s="621" t="s">
        <v>178</v>
      </c>
      <c r="AA1351" s="622">
        <v>42360</v>
      </c>
      <c r="AB1351" s="622" t="s">
        <v>164</v>
      </c>
      <c r="AC1351" s="622">
        <v>33727</v>
      </c>
      <c r="AD1351" s="623">
        <v>0.05</v>
      </c>
      <c r="AE1351" s="621" t="s">
        <v>2689</v>
      </c>
    </row>
    <row r="1352" spans="1:31" s="572" customFormat="1">
      <c r="A1352" s="570" t="s">
        <v>2729</v>
      </c>
      <c r="B1352" s="573" t="s">
        <v>287</v>
      </c>
      <c r="C1352" s="578">
        <v>26</v>
      </c>
      <c r="D1352" s="573" t="s">
        <v>1516</v>
      </c>
      <c r="E1352" s="573" t="s">
        <v>1571</v>
      </c>
      <c r="F1352" s="573" t="s">
        <v>271</v>
      </c>
      <c r="G1352" s="573">
        <v>2019</v>
      </c>
      <c r="H1352" s="573" t="s">
        <v>2628</v>
      </c>
      <c r="I1352" s="573" t="s">
        <v>1950</v>
      </c>
      <c r="J1352" s="573" t="s">
        <v>236</v>
      </c>
      <c r="K1352" s="573">
        <v>2</v>
      </c>
      <c r="L1352" s="573">
        <v>0</v>
      </c>
      <c r="M1352" s="573" t="s">
        <v>157</v>
      </c>
      <c r="N1352" s="573">
        <v>1</v>
      </c>
      <c r="O1352" s="573">
        <v>110.1</v>
      </c>
      <c r="P1352" s="571" t="s">
        <v>157</v>
      </c>
      <c r="Q1352" s="573" t="s">
        <v>1259</v>
      </c>
      <c r="R1352" s="573">
        <v>6</v>
      </c>
      <c r="S1352" s="582" t="s">
        <v>2692</v>
      </c>
      <c r="T1352" s="573" t="s">
        <v>1894</v>
      </c>
      <c r="U1352" s="573">
        <v>147.6</v>
      </c>
      <c r="V1352" s="573">
        <v>25</v>
      </c>
      <c r="W1352" s="616">
        <v>9500</v>
      </c>
      <c r="X1352" s="617" t="s">
        <v>157</v>
      </c>
      <c r="Y1352" s="617" t="s">
        <v>178</v>
      </c>
      <c r="Z1352" s="617" t="s">
        <v>178</v>
      </c>
      <c r="AA1352" s="618">
        <v>42925</v>
      </c>
      <c r="AB1352" s="618" t="s">
        <v>164</v>
      </c>
      <c r="AC1352" s="618">
        <v>34210</v>
      </c>
      <c r="AD1352" s="619">
        <v>0.05</v>
      </c>
      <c r="AE1352" s="617" t="s">
        <v>2694</v>
      </c>
    </row>
    <row r="1353" spans="1:31" s="572" customFormat="1">
      <c r="A1353" s="570" t="s">
        <v>2730</v>
      </c>
      <c r="B1353" s="569" t="s">
        <v>287</v>
      </c>
      <c r="C1353" s="580">
        <v>26</v>
      </c>
      <c r="D1353" s="569" t="s">
        <v>1516</v>
      </c>
      <c r="E1353" s="569" t="s">
        <v>1571</v>
      </c>
      <c r="F1353" s="569" t="s">
        <v>271</v>
      </c>
      <c r="G1353" s="569">
        <v>2019</v>
      </c>
      <c r="H1353" s="569" t="s">
        <v>2628</v>
      </c>
      <c r="I1353" s="569" t="s">
        <v>1950</v>
      </c>
      <c r="J1353" s="569" t="s">
        <v>236</v>
      </c>
      <c r="K1353" s="569">
        <v>2</v>
      </c>
      <c r="L1353" s="569">
        <v>0</v>
      </c>
      <c r="M1353" s="569" t="s">
        <v>157</v>
      </c>
      <c r="N1353" s="569">
        <v>1</v>
      </c>
      <c r="O1353" s="569">
        <v>110.1</v>
      </c>
      <c r="P1353" s="568" t="s">
        <v>157</v>
      </c>
      <c r="Q1353" s="569" t="s">
        <v>682</v>
      </c>
      <c r="R1353" s="569">
        <v>6</v>
      </c>
      <c r="S1353" s="569" t="s">
        <v>2692</v>
      </c>
      <c r="T1353" s="569" t="s">
        <v>1894</v>
      </c>
      <c r="U1353" s="569">
        <v>147.6</v>
      </c>
      <c r="V1353" s="569">
        <v>25</v>
      </c>
      <c r="W1353" s="620">
        <v>9500</v>
      </c>
      <c r="X1353" s="621" t="s">
        <v>157</v>
      </c>
      <c r="Y1353" s="621" t="s">
        <v>178</v>
      </c>
      <c r="Z1353" s="621" t="s">
        <v>178</v>
      </c>
      <c r="AA1353" s="622">
        <v>41060</v>
      </c>
      <c r="AB1353" s="622" t="s">
        <v>164</v>
      </c>
      <c r="AC1353" s="622">
        <v>32500</v>
      </c>
      <c r="AD1353" s="623">
        <v>0.05</v>
      </c>
      <c r="AE1353" s="621" t="s">
        <v>2696</v>
      </c>
    </row>
    <row r="1354" spans="1:31" s="572" customFormat="1">
      <c r="A1354" s="570" t="s">
        <v>2731</v>
      </c>
      <c r="B1354" s="573" t="s">
        <v>287</v>
      </c>
      <c r="C1354" s="578">
        <v>26</v>
      </c>
      <c r="D1354" s="573" t="s">
        <v>1516</v>
      </c>
      <c r="E1354" s="573" t="s">
        <v>1571</v>
      </c>
      <c r="F1354" s="573" t="s">
        <v>271</v>
      </c>
      <c r="G1354" s="573">
        <v>2019</v>
      </c>
      <c r="H1354" s="573" t="s">
        <v>2628</v>
      </c>
      <c r="I1354" s="573" t="s">
        <v>1950</v>
      </c>
      <c r="J1354" s="573" t="s">
        <v>236</v>
      </c>
      <c r="K1354" s="573">
        <v>2</v>
      </c>
      <c r="L1354" s="573">
        <v>0</v>
      </c>
      <c r="M1354" s="573" t="s">
        <v>157</v>
      </c>
      <c r="N1354" s="573">
        <v>1</v>
      </c>
      <c r="O1354" s="573">
        <v>83.2</v>
      </c>
      <c r="P1354" s="571" t="s">
        <v>157</v>
      </c>
      <c r="Q1354" s="573" t="s">
        <v>682</v>
      </c>
      <c r="R1354" s="573">
        <v>6</v>
      </c>
      <c r="S1354" s="582" t="s">
        <v>2699</v>
      </c>
      <c r="T1354" s="573" t="s">
        <v>1894</v>
      </c>
      <c r="U1354" s="573">
        <v>147.6</v>
      </c>
      <c r="V1354" s="573">
        <v>25</v>
      </c>
      <c r="W1354" s="616">
        <v>9500</v>
      </c>
      <c r="X1354" s="617" t="s">
        <v>157</v>
      </c>
      <c r="Y1354" s="617" t="s">
        <v>178</v>
      </c>
      <c r="Z1354" s="617" t="s">
        <v>178</v>
      </c>
      <c r="AA1354" s="618">
        <v>38565</v>
      </c>
      <c r="AB1354" s="618" t="s">
        <v>164</v>
      </c>
      <c r="AC1354" s="618">
        <v>27991</v>
      </c>
      <c r="AD1354" s="619">
        <v>0.05</v>
      </c>
      <c r="AE1354" s="617" t="s">
        <v>2701</v>
      </c>
    </row>
    <row r="1355" spans="1:31" s="572" customFormat="1">
      <c r="A1355" s="570" t="s">
        <v>2732</v>
      </c>
      <c r="B1355" s="569" t="s">
        <v>287</v>
      </c>
      <c r="C1355" s="580">
        <v>26</v>
      </c>
      <c r="D1355" s="569" t="s">
        <v>1516</v>
      </c>
      <c r="E1355" s="569" t="s">
        <v>1571</v>
      </c>
      <c r="F1355" s="569" t="s">
        <v>271</v>
      </c>
      <c r="G1355" s="569">
        <v>2019</v>
      </c>
      <c r="H1355" s="569" t="s">
        <v>2628</v>
      </c>
      <c r="I1355" s="569" t="s">
        <v>1950</v>
      </c>
      <c r="J1355" s="569" t="s">
        <v>236</v>
      </c>
      <c r="K1355" s="569">
        <v>2</v>
      </c>
      <c r="L1355" s="569">
        <v>0</v>
      </c>
      <c r="M1355" s="569" t="s">
        <v>157</v>
      </c>
      <c r="N1355" s="569">
        <v>1</v>
      </c>
      <c r="O1355" s="569">
        <v>83.6</v>
      </c>
      <c r="P1355" s="568" t="s">
        <v>157</v>
      </c>
      <c r="Q1355" s="569" t="s">
        <v>682</v>
      </c>
      <c r="R1355" s="569">
        <v>6</v>
      </c>
      <c r="S1355" s="569" t="s">
        <v>2704</v>
      </c>
      <c r="T1355" s="569" t="s">
        <v>1894</v>
      </c>
      <c r="U1355" s="569">
        <v>129.9</v>
      </c>
      <c r="V1355" s="569">
        <v>25</v>
      </c>
      <c r="W1355" s="620">
        <v>9500</v>
      </c>
      <c r="X1355" s="621" t="s">
        <v>157</v>
      </c>
      <c r="Y1355" s="621" t="s">
        <v>178</v>
      </c>
      <c r="Z1355" s="621" t="s">
        <v>178</v>
      </c>
      <c r="AA1355" s="622">
        <v>37685</v>
      </c>
      <c r="AB1355" s="622" t="s">
        <v>164</v>
      </c>
      <c r="AC1355" s="622">
        <v>27160</v>
      </c>
      <c r="AD1355" s="623">
        <v>0.05</v>
      </c>
      <c r="AE1355" s="621" t="s">
        <v>2706</v>
      </c>
    </row>
    <row r="1356" spans="1:31" s="572" customFormat="1">
      <c r="A1356" s="570" t="s">
        <v>2733</v>
      </c>
      <c r="B1356" s="573" t="s">
        <v>280</v>
      </c>
      <c r="C1356" s="578">
        <v>27</v>
      </c>
      <c r="D1356" s="573" t="s">
        <v>1516</v>
      </c>
      <c r="E1356" s="573" t="s">
        <v>1571</v>
      </c>
      <c r="F1356" s="573" t="s">
        <v>271</v>
      </c>
      <c r="G1356" s="573">
        <v>2019</v>
      </c>
      <c r="H1356" s="573" t="s">
        <v>2628</v>
      </c>
      <c r="I1356" s="573" t="s">
        <v>1950</v>
      </c>
      <c r="J1356" s="573" t="s">
        <v>236</v>
      </c>
      <c r="K1356" s="573">
        <v>2</v>
      </c>
      <c r="L1356" s="573">
        <v>0</v>
      </c>
      <c r="M1356" s="573" t="s">
        <v>157</v>
      </c>
      <c r="N1356" s="573">
        <v>1</v>
      </c>
      <c r="O1356" s="573">
        <v>100.7</v>
      </c>
      <c r="P1356" s="571" t="s">
        <v>157</v>
      </c>
      <c r="Q1356" s="573" t="s">
        <v>1259</v>
      </c>
      <c r="R1356" s="573">
        <v>6</v>
      </c>
      <c r="S1356" s="582" t="s">
        <v>2675</v>
      </c>
      <c r="T1356" s="573" t="s">
        <v>1894</v>
      </c>
      <c r="U1356" s="573">
        <v>147.6</v>
      </c>
      <c r="V1356" s="573">
        <v>25</v>
      </c>
      <c r="W1356" s="616">
        <v>9500</v>
      </c>
      <c r="X1356" s="617" t="s">
        <v>157</v>
      </c>
      <c r="Y1356" s="617" t="s">
        <v>178</v>
      </c>
      <c r="Z1356" s="617" t="s">
        <v>178</v>
      </c>
      <c r="AA1356" s="618">
        <v>40775</v>
      </c>
      <c r="AB1356" s="618" t="s">
        <v>164</v>
      </c>
      <c r="AC1356" s="618">
        <v>31064.25</v>
      </c>
      <c r="AD1356" s="619">
        <v>0.03</v>
      </c>
      <c r="AE1356" s="617" t="s">
        <v>2674</v>
      </c>
    </row>
    <row r="1357" spans="1:31" s="572" customFormat="1">
      <c r="A1357" s="570" t="s">
        <v>2734</v>
      </c>
      <c r="B1357" s="569" t="s">
        <v>280</v>
      </c>
      <c r="C1357" s="580">
        <v>27</v>
      </c>
      <c r="D1357" s="569" t="s">
        <v>1516</v>
      </c>
      <c r="E1357" s="569" t="s">
        <v>1571</v>
      </c>
      <c r="F1357" s="569" t="s">
        <v>271</v>
      </c>
      <c r="G1357" s="569">
        <v>2019</v>
      </c>
      <c r="H1357" s="569" t="s">
        <v>2628</v>
      </c>
      <c r="I1357" s="569" t="s">
        <v>1950</v>
      </c>
      <c r="J1357" s="569" t="s">
        <v>236</v>
      </c>
      <c r="K1357" s="569">
        <v>2</v>
      </c>
      <c r="L1357" s="569">
        <v>0</v>
      </c>
      <c r="M1357" s="569" t="s">
        <v>157</v>
      </c>
      <c r="N1357" s="569">
        <v>1</v>
      </c>
      <c r="O1357" s="569">
        <v>100.7</v>
      </c>
      <c r="P1357" s="568" t="s">
        <v>157</v>
      </c>
      <c r="Q1357" s="569" t="s">
        <v>682</v>
      </c>
      <c r="R1357" s="569">
        <v>6</v>
      </c>
      <c r="S1357" s="569" t="s">
        <v>2675</v>
      </c>
      <c r="T1357" s="569" t="s">
        <v>1894</v>
      </c>
      <c r="U1357" s="569">
        <v>147.6</v>
      </c>
      <c r="V1357" s="569">
        <v>25</v>
      </c>
      <c r="W1357" s="620">
        <v>9500</v>
      </c>
      <c r="X1357" s="621" t="s">
        <v>157</v>
      </c>
      <c r="Y1357" s="621" t="s">
        <v>178</v>
      </c>
      <c r="Z1357" s="621" t="s">
        <v>178</v>
      </c>
      <c r="AA1357" s="622">
        <v>38910</v>
      </c>
      <c r="AB1357" s="622" t="s">
        <v>164</v>
      </c>
      <c r="AC1357" s="622">
        <v>29407.291666666668</v>
      </c>
      <c r="AD1357" s="623">
        <v>0.03</v>
      </c>
      <c r="AE1357" s="621" t="s">
        <v>2677</v>
      </c>
    </row>
    <row r="1358" spans="1:31" s="572" customFormat="1">
      <c r="A1358" s="570" t="s">
        <v>2735</v>
      </c>
      <c r="B1358" s="573" t="s">
        <v>280</v>
      </c>
      <c r="C1358" s="578">
        <v>27</v>
      </c>
      <c r="D1358" s="573" t="s">
        <v>1516</v>
      </c>
      <c r="E1358" s="573" t="s">
        <v>1571</v>
      </c>
      <c r="F1358" s="573" t="s">
        <v>271</v>
      </c>
      <c r="G1358" s="573">
        <v>2019</v>
      </c>
      <c r="H1358" s="573" t="s">
        <v>2628</v>
      </c>
      <c r="I1358" s="573" t="s">
        <v>1950</v>
      </c>
      <c r="J1358" s="573" t="s">
        <v>236</v>
      </c>
      <c r="K1358" s="573">
        <v>2</v>
      </c>
      <c r="L1358" s="573">
        <v>0</v>
      </c>
      <c r="M1358" s="573" t="s">
        <v>157</v>
      </c>
      <c r="N1358" s="573">
        <v>1</v>
      </c>
      <c r="O1358" s="573">
        <v>100.8</v>
      </c>
      <c r="P1358" s="571" t="s">
        <v>157</v>
      </c>
      <c r="Q1358" s="573" t="s">
        <v>1259</v>
      </c>
      <c r="R1358" s="573">
        <v>6</v>
      </c>
      <c r="S1358" s="582" t="s">
        <v>2680</v>
      </c>
      <c r="T1358" s="573" t="s">
        <v>1894</v>
      </c>
      <c r="U1358" s="573">
        <v>129.9</v>
      </c>
      <c r="V1358" s="573">
        <v>25</v>
      </c>
      <c r="W1358" s="616">
        <v>9500</v>
      </c>
      <c r="X1358" s="617" t="s">
        <v>157</v>
      </c>
      <c r="Y1358" s="617" t="s">
        <v>178</v>
      </c>
      <c r="Z1358" s="617" t="s">
        <v>178</v>
      </c>
      <c r="AA1358" s="618">
        <v>39050</v>
      </c>
      <c r="AB1358" s="618" t="s">
        <v>164</v>
      </c>
      <c r="AC1358" s="618">
        <v>29488.208333333336</v>
      </c>
      <c r="AD1358" s="619">
        <v>0.03</v>
      </c>
      <c r="AE1358" s="617" t="s">
        <v>2679</v>
      </c>
    </row>
    <row r="1359" spans="1:31" s="572" customFormat="1">
      <c r="A1359" s="570" t="s">
        <v>2736</v>
      </c>
      <c r="B1359" s="569" t="s">
        <v>280</v>
      </c>
      <c r="C1359" s="580">
        <v>27</v>
      </c>
      <c r="D1359" s="569" t="s">
        <v>1516</v>
      </c>
      <c r="E1359" s="569" t="s">
        <v>1571</v>
      </c>
      <c r="F1359" s="569" t="s">
        <v>271</v>
      </c>
      <c r="G1359" s="569">
        <v>2019</v>
      </c>
      <c r="H1359" s="569" t="s">
        <v>2628</v>
      </c>
      <c r="I1359" s="569" t="s">
        <v>1950</v>
      </c>
      <c r="J1359" s="569" t="s">
        <v>236</v>
      </c>
      <c r="K1359" s="569">
        <v>2</v>
      </c>
      <c r="L1359" s="569">
        <v>0</v>
      </c>
      <c r="M1359" s="569" t="s">
        <v>157</v>
      </c>
      <c r="N1359" s="569">
        <v>1</v>
      </c>
      <c r="O1359" s="569">
        <v>100.8</v>
      </c>
      <c r="P1359" s="568" t="s">
        <v>157</v>
      </c>
      <c r="Q1359" s="569" t="s">
        <v>682</v>
      </c>
      <c r="R1359" s="569">
        <v>6</v>
      </c>
      <c r="S1359" s="569" t="s">
        <v>2680</v>
      </c>
      <c r="T1359" s="569" t="s">
        <v>1894</v>
      </c>
      <c r="U1359" s="569">
        <v>129.9</v>
      </c>
      <c r="V1359" s="569">
        <v>25</v>
      </c>
      <c r="W1359" s="620">
        <v>9500</v>
      </c>
      <c r="X1359" s="621" t="s">
        <v>157</v>
      </c>
      <c r="Y1359" s="621" t="s">
        <v>178</v>
      </c>
      <c r="Z1359" s="621" t="s">
        <v>178</v>
      </c>
      <c r="AA1359" s="622">
        <v>37185</v>
      </c>
      <c r="AB1359" s="622" t="s">
        <v>164</v>
      </c>
      <c r="AC1359" s="622">
        <v>27831.958333333336</v>
      </c>
      <c r="AD1359" s="623">
        <v>0.03</v>
      </c>
      <c r="AE1359" s="621" t="s">
        <v>2682</v>
      </c>
    </row>
    <row r="1360" spans="1:31" s="572" customFormat="1">
      <c r="A1360" s="570" t="s">
        <v>2737</v>
      </c>
      <c r="B1360" s="573" t="s">
        <v>280</v>
      </c>
      <c r="C1360" s="578">
        <v>27</v>
      </c>
      <c r="D1360" s="573" t="s">
        <v>1516</v>
      </c>
      <c r="E1360" s="573" t="s">
        <v>1571</v>
      </c>
      <c r="F1360" s="573" t="s">
        <v>271</v>
      </c>
      <c r="G1360" s="573">
        <v>2019</v>
      </c>
      <c r="H1360" s="573" t="s">
        <v>2628</v>
      </c>
      <c r="I1360" s="573" t="s">
        <v>1950</v>
      </c>
      <c r="J1360" s="573" t="s">
        <v>236</v>
      </c>
      <c r="K1360" s="573">
        <v>2</v>
      </c>
      <c r="L1360" s="573">
        <v>0</v>
      </c>
      <c r="M1360" s="573" t="s">
        <v>157</v>
      </c>
      <c r="N1360" s="573">
        <v>1</v>
      </c>
      <c r="O1360" s="573">
        <v>109.4</v>
      </c>
      <c r="P1360" s="571" t="s">
        <v>157</v>
      </c>
      <c r="Q1360" s="573" t="s">
        <v>1917</v>
      </c>
      <c r="R1360" s="573">
        <v>5</v>
      </c>
      <c r="S1360" s="582" t="s">
        <v>2685</v>
      </c>
      <c r="T1360" s="573" t="s">
        <v>1894</v>
      </c>
      <c r="U1360" s="573">
        <v>147.6</v>
      </c>
      <c r="V1360" s="573">
        <v>25</v>
      </c>
      <c r="W1360" s="616">
        <v>9500</v>
      </c>
      <c r="X1360" s="617" t="s">
        <v>157</v>
      </c>
      <c r="Y1360" s="617" t="s">
        <v>728</v>
      </c>
      <c r="Z1360" s="617" t="s">
        <v>1523</v>
      </c>
      <c r="AA1360" s="618">
        <v>46355</v>
      </c>
      <c r="AB1360" s="618" t="s">
        <v>164</v>
      </c>
      <c r="AC1360" s="618">
        <v>36110.666666666664</v>
      </c>
      <c r="AD1360" s="619">
        <v>0.03</v>
      </c>
      <c r="AE1360" s="617" t="s">
        <v>2684</v>
      </c>
    </row>
    <row r="1361" spans="1:31" s="572" customFormat="1">
      <c r="A1361" s="570" t="s">
        <v>2738</v>
      </c>
      <c r="B1361" s="569" t="s">
        <v>280</v>
      </c>
      <c r="C1361" s="580">
        <v>27</v>
      </c>
      <c r="D1361" s="569" t="s">
        <v>1516</v>
      </c>
      <c r="E1361" s="569" t="s">
        <v>1571</v>
      </c>
      <c r="F1361" s="569" t="s">
        <v>271</v>
      </c>
      <c r="G1361" s="569">
        <v>2019</v>
      </c>
      <c r="H1361" s="569" t="s">
        <v>2628</v>
      </c>
      <c r="I1361" s="569" t="s">
        <v>1950</v>
      </c>
      <c r="J1361" s="569" t="s">
        <v>236</v>
      </c>
      <c r="K1361" s="569">
        <v>2</v>
      </c>
      <c r="L1361" s="569">
        <v>0</v>
      </c>
      <c r="M1361" s="569" t="s">
        <v>157</v>
      </c>
      <c r="N1361" s="569">
        <v>1</v>
      </c>
      <c r="O1361" s="569">
        <v>109.4</v>
      </c>
      <c r="P1361" s="568" t="s">
        <v>157</v>
      </c>
      <c r="Q1361" s="569" t="s">
        <v>1259</v>
      </c>
      <c r="R1361" s="569">
        <v>6</v>
      </c>
      <c r="S1361" s="569" t="s">
        <v>2685</v>
      </c>
      <c r="T1361" s="569" t="s">
        <v>1894</v>
      </c>
      <c r="U1361" s="569">
        <v>147.6</v>
      </c>
      <c r="V1361" s="569">
        <v>25</v>
      </c>
      <c r="W1361" s="620">
        <v>9500</v>
      </c>
      <c r="X1361" s="621" t="s">
        <v>157</v>
      </c>
      <c r="Y1361" s="621" t="s">
        <v>178</v>
      </c>
      <c r="Z1361" s="621" t="s">
        <v>178</v>
      </c>
      <c r="AA1361" s="622">
        <v>44225</v>
      </c>
      <c r="AB1361" s="622" t="s">
        <v>164</v>
      </c>
      <c r="AC1361" s="622">
        <v>34217.375</v>
      </c>
      <c r="AD1361" s="623">
        <v>0.03</v>
      </c>
      <c r="AE1361" s="621" t="s">
        <v>2687</v>
      </c>
    </row>
    <row r="1362" spans="1:31" s="572" customFormat="1">
      <c r="A1362" s="570" t="s">
        <v>2739</v>
      </c>
      <c r="B1362" s="573" t="s">
        <v>280</v>
      </c>
      <c r="C1362" s="578">
        <v>27</v>
      </c>
      <c r="D1362" s="573" t="s">
        <v>1516</v>
      </c>
      <c r="E1362" s="573" t="s">
        <v>1571</v>
      </c>
      <c r="F1362" s="573" t="s">
        <v>271</v>
      </c>
      <c r="G1362" s="573">
        <v>2019</v>
      </c>
      <c r="H1362" s="573" t="s">
        <v>2628</v>
      </c>
      <c r="I1362" s="573" t="s">
        <v>1950</v>
      </c>
      <c r="J1362" s="573" t="s">
        <v>236</v>
      </c>
      <c r="K1362" s="573">
        <v>2</v>
      </c>
      <c r="L1362" s="573">
        <v>0</v>
      </c>
      <c r="M1362" s="573" t="s">
        <v>157</v>
      </c>
      <c r="N1362" s="573">
        <v>1</v>
      </c>
      <c r="O1362" s="573">
        <v>109.4</v>
      </c>
      <c r="P1362" s="571" t="s">
        <v>157</v>
      </c>
      <c r="Q1362" s="573" t="s">
        <v>682</v>
      </c>
      <c r="R1362" s="573">
        <v>6</v>
      </c>
      <c r="S1362" s="582" t="s">
        <v>2685</v>
      </c>
      <c r="T1362" s="573" t="s">
        <v>1894</v>
      </c>
      <c r="U1362" s="573">
        <v>147.6</v>
      </c>
      <c r="V1362" s="573">
        <v>25</v>
      </c>
      <c r="W1362" s="616">
        <v>9500</v>
      </c>
      <c r="X1362" s="617" t="s">
        <v>157</v>
      </c>
      <c r="Y1362" s="617" t="s">
        <v>178</v>
      </c>
      <c r="Z1362" s="617" t="s">
        <v>178</v>
      </c>
      <c r="AA1362" s="618">
        <v>42360</v>
      </c>
      <c r="AB1362" s="618" t="s">
        <v>164</v>
      </c>
      <c r="AC1362" s="618">
        <v>32561.125</v>
      </c>
      <c r="AD1362" s="619">
        <v>0.03</v>
      </c>
      <c r="AE1362" s="617" t="s">
        <v>2689</v>
      </c>
    </row>
    <row r="1363" spans="1:31" s="572" customFormat="1">
      <c r="A1363" s="570" t="s">
        <v>2740</v>
      </c>
      <c r="B1363" s="569" t="s">
        <v>280</v>
      </c>
      <c r="C1363" s="580">
        <v>27</v>
      </c>
      <c r="D1363" s="569" t="s">
        <v>1516</v>
      </c>
      <c r="E1363" s="569" t="s">
        <v>1571</v>
      </c>
      <c r="F1363" s="569" t="s">
        <v>271</v>
      </c>
      <c r="G1363" s="569">
        <v>2019</v>
      </c>
      <c r="H1363" s="569" t="s">
        <v>2628</v>
      </c>
      <c r="I1363" s="569" t="s">
        <v>1950</v>
      </c>
      <c r="J1363" s="569" t="s">
        <v>236</v>
      </c>
      <c r="K1363" s="569">
        <v>2</v>
      </c>
      <c r="L1363" s="569">
        <v>0</v>
      </c>
      <c r="M1363" s="569" t="s">
        <v>157</v>
      </c>
      <c r="N1363" s="569">
        <v>1</v>
      </c>
      <c r="O1363" s="569">
        <v>110.1</v>
      </c>
      <c r="P1363" s="568" t="s">
        <v>157</v>
      </c>
      <c r="Q1363" s="569" t="s">
        <v>1917</v>
      </c>
      <c r="R1363" s="569">
        <v>6</v>
      </c>
      <c r="S1363" s="569" t="s">
        <v>2692</v>
      </c>
      <c r="T1363" s="569" t="s">
        <v>1894</v>
      </c>
      <c r="U1363" s="569">
        <v>147.6</v>
      </c>
      <c r="V1363" s="569">
        <v>25</v>
      </c>
      <c r="W1363" s="620">
        <v>9250</v>
      </c>
      <c r="X1363" s="621" t="s">
        <v>157</v>
      </c>
      <c r="Y1363" s="621" t="s">
        <v>728</v>
      </c>
      <c r="Z1363" s="621" t="s">
        <v>1523</v>
      </c>
      <c r="AA1363" s="622">
        <v>45055</v>
      </c>
      <c r="AB1363" s="622" t="s">
        <v>164</v>
      </c>
      <c r="AC1363" s="622">
        <v>34923.166666666664</v>
      </c>
      <c r="AD1363" s="623">
        <v>0.03</v>
      </c>
      <c r="AE1363" s="621" t="s">
        <v>2691</v>
      </c>
    </row>
    <row r="1364" spans="1:31" s="572" customFormat="1">
      <c r="A1364" s="570" t="s">
        <v>2741</v>
      </c>
      <c r="B1364" s="573" t="s">
        <v>280</v>
      </c>
      <c r="C1364" s="578">
        <v>27</v>
      </c>
      <c r="D1364" s="573" t="s">
        <v>1516</v>
      </c>
      <c r="E1364" s="573" t="s">
        <v>1571</v>
      </c>
      <c r="F1364" s="573" t="s">
        <v>271</v>
      </c>
      <c r="G1364" s="573">
        <v>2019</v>
      </c>
      <c r="H1364" s="573" t="s">
        <v>2628</v>
      </c>
      <c r="I1364" s="573" t="s">
        <v>1950</v>
      </c>
      <c r="J1364" s="573" t="s">
        <v>236</v>
      </c>
      <c r="K1364" s="573">
        <v>2</v>
      </c>
      <c r="L1364" s="573">
        <v>0</v>
      </c>
      <c r="M1364" s="573" t="s">
        <v>157</v>
      </c>
      <c r="N1364" s="573">
        <v>1</v>
      </c>
      <c r="O1364" s="573">
        <v>110.1</v>
      </c>
      <c r="P1364" s="571" t="s">
        <v>157</v>
      </c>
      <c r="Q1364" s="573" t="s">
        <v>1259</v>
      </c>
      <c r="R1364" s="573">
        <v>6</v>
      </c>
      <c r="S1364" s="582" t="s">
        <v>2692</v>
      </c>
      <c r="T1364" s="573" t="s">
        <v>1894</v>
      </c>
      <c r="U1364" s="573">
        <v>147.6</v>
      </c>
      <c r="V1364" s="573">
        <v>25</v>
      </c>
      <c r="W1364" s="616">
        <v>9500</v>
      </c>
      <c r="X1364" s="617" t="s">
        <v>157</v>
      </c>
      <c r="Y1364" s="617" t="s">
        <v>178</v>
      </c>
      <c r="Z1364" s="617" t="s">
        <v>178</v>
      </c>
      <c r="AA1364" s="618">
        <v>42925</v>
      </c>
      <c r="AB1364" s="618" t="s">
        <v>164</v>
      </c>
      <c r="AC1364" s="618">
        <v>33029.875</v>
      </c>
      <c r="AD1364" s="619">
        <v>0.03</v>
      </c>
      <c r="AE1364" s="617" t="s">
        <v>2694</v>
      </c>
    </row>
    <row r="1365" spans="1:31" s="572" customFormat="1">
      <c r="A1365" s="570" t="s">
        <v>2742</v>
      </c>
      <c r="B1365" s="569" t="s">
        <v>280</v>
      </c>
      <c r="C1365" s="580">
        <v>27</v>
      </c>
      <c r="D1365" s="569" t="s">
        <v>1516</v>
      </c>
      <c r="E1365" s="569" t="s">
        <v>1571</v>
      </c>
      <c r="F1365" s="569" t="s">
        <v>271</v>
      </c>
      <c r="G1365" s="569">
        <v>2019</v>
      </c>
      <c r="H1365" s="569" t="s">
        <v>2628</v>
      </c>
      <c r="I1365" s="569" t="s">
        <v>1950</v>
      </c>
      <c r="J1365" s="569" t="s">
        <v>236</v>
      </c>
      <c r="K1365" s="569">
        <v>2</v>
      </c>
      <c r="L1365" s="569">
        <v>0</v>
      </c>
      <c r="M1365" s="569" t="s">
        <v>157</v>
      </c>
      <c r="N1365" s="569">
        <v>1</v>
      </c>
      <c r="O1365" s="569">
        <v>110.1</v>
      </c>
      <c r="P1365" s="568" t="s">
        <v>157</v>
      </c>
      <c r="Q1365" s="569" t="s">
        <v>682</v>
      </c>
      <c r="R1365" s="569">
        <v>6</v>
      </c>
      <c r="S1365" s="569" t="s">
        <v>2692</v>
      </c>
      <c r="T1365" s="569" t="s">
        <v>1894</v>
      </c>
      <c r="U1365" s="569">
        <v>147.6</v>
      </c>
      <c r="V1365" s="569">
        <v>25</v>
      </c>
      <c r="W1365" s="620">
        <v>9500</v>
      </c>
      <c r="X1365" s="621" t="s">
        <v>157</v>
      </c>
      <c r="Y1365" s="621" t="s">
        <v>178</v>
      </c>
      <c r="Z1365" s="621" t="s">
        <v>178</v>
      </c>
      <c r="AA1365" s="622">
        <v>41060</v>
      </c>
      <c r="AB1365" s="622" t="s">
        <v>164</v>
      </c>
      <c r="AC1365" s="622">
        <v>31373.625</v>
      </c>
      <c r="AD1365" s="623">
        <v>0.03</v>
      </c>
      <c r="AE1365" s="621" t="s">
        <v>2696</v>
      </c>
    </row>
    <row r="1366" spans="1:31" s="572" customFormat="1">
      <c r="A1366" s="570" t="s">
        <v>2743</v>
      </c>
      <c r="B1366" s="573" t="s">
        <v>280</v>
      </c>
      <c r="C1366" s="578">
        <v>27</v>
      </c>
      <c r="D1366" s="573" t="s">
        <v>1516</v>
      </c>
      <c r="E1366" s="573" t="s">
        <v>1571</v>
      </c>
      <c r="F1366" s="573" t="s">
        <v>271</v>
      </c>
      <c r="G1366" s="573">
        <v>2019</v>
      </c>
      <c r="H1366" s="573" t="s">
        <v>2628</v>
      </c>
      <c r="I1366" s="573" t="s">
        <v>1950</v>
      </c>
      <c r="J1366" s="573" t="s">
        <v>236</v>
      </c>
      <c r="K1366" s="573">
        <v>2</v>
      </c>
      <c r="L1366" s="573">
        <v>0</v>
      </c>
      <c r="M1366" s="573" t="s">
        <v>157</v>
      </c>
      <c r="N1366" s="573">
        <v>1</v>
      </c>
      <c r="O1366" s="573">
        <v>83.2</v>
      </c>
      <c r="P1366" s="571" t="s">
        <v>157</v>
      </c>
      <c r="Q1366" s="573" t="s">
        <v>1259</v>
      </c>
      <c r="R1366" s="573">
        <v>6</v>
      </c>
      <c r="S1366" s="582" t="s">
        <v>2699</v>
      </c>
      <c r="T1366" s="573" t="s">
        <v>1894</v>
      </c>
      <c r="U1366" s="573">
        <v>147.6</v>
      </c>
      <c r="V1366" s="573">
        <v>25</v>
      </c>
      <c r="W1366" s="616">
        <v>9500</v>
      </c>
      <c r="X1366" s="617" t="s">
        <v>157</v>
      </c>
      <c r="Y1366" s="617" t="s">
        <v>178</v>
      </c>
      <c r="Z1366" s="617" t="s">
        <v>178</v>
      </c>
      <c r="AA1366" s="618">
        <v>40430</v>
      </c>
      <c r="AB1366" s="618" t="s">
        <v>164</v>
      </c>
      <c r="AC1366" s="618">
        <v>28666.333333333336</v>
      </c>
      <c r="AD1366" s="619">
        <v>0.03</v>
      </c>
      <c r="AE1366" s="617" t="s">
        <v>2698</v>
      </c>
    </row>
    <row r="1367" spans="1:31" s="572" customFormat="1">
      <c r="A1367" s="570" t="s">
        <v>2744</v>
      </c>
      <c r="B1367" s="569" t="s">
        <v>280</v>
      </c>
      <c r="C1367" s="580">
        <v>27</v>
      </c>
      <c r="D1367" s="569" t="s">
        <v>1516</v>
      </c>
      <c r="E1367" s="569" t="s">
        <v>1571</v>
      </c>
      <c r="F1367" s="569" t="s">
        <v>271</v>
      </c>
      <c r="G1367" s="569">
        <v>2019</v>
      </c>
      <c r="H1367" s="569" t="s">
        <v>2628</v>
      </c>
      <c r="I1367" s="569" t="s">
        <v>1950</v>
      </c>
      <c r="J1367" s="569" t="s">
        <v>236</v>
      </c>
      <c r="K1367" s="569">
        <v>2</v>
      </c>
      <c r="L1367" s="569">
        <v>0</v>
      </c>
      <c r="M1367" s="569" t="s">
        <v>157</v>
      </c>
      <c r="N1367" s="569">
        <v>1</v>
      </c>
      <c r="O1367" s="569">
        <v>83.2</v>
      </c>
      <c r="P1367" s="568" t="s">
        <v>157</v>
      </c>
      <c r="Q1367" s="569" t="s">
        <v>682</v>
      </c>
      <c r="R1367" s="569">
        <v>6</v>
      </c>
      <c r="S1367" s="569" t="s">
        <v>2699</v>
      </c>
      <c r="T1367" s="569" t="s">
        <v>1894</v>
      </c>
      <c r="U1367" s="569">
        <v>147.6</v>
      </c>
      <c r="V1367" s="569">
        <v>25</v>
      </c>
      <c r="W1367" s="620">
        <v>9500</v>
      </c>
      <c r="X1367" s="621" t="s">
        <v>157</v>
      </c>
      <c r="Y1367" s="621" t="s">
        <v>178</v>
      </c>
      <c r="Z1367" s="621" t="s">
        <v>178</v>
      </c>
      <c r="AA1367" s="622">
        <v>38565</v>
      </c>
      <c r="AB1367" s="622" t="s">
        <v>164</v>
      </c>
      <c r="AC1367" s="622">
        <v>27010.083333333336</v>
      </c>
      <c r="AD1367" s="623">
        <v>0.03</v>
      </c>
      <c r="AE1367" s="621" t="s">
        <v>2701</v>
      </c>
    </row>
    <row r="1368" spans="1:31" s="572" customFormat="1">
      <c r="A1368" s="570" t="s">
        <v>2745</v>
      </c>
      <c r="B1368" s="573" t="s">
        <v>280</v>
      </c>
      <c r="C1368" s="578">
        <v>27</v>
      </c>
      <c r="D1368" s="573" t="s">
        <v>1516</v>
      </c>
      <c r="E1368" s="573" t="s">
        <v>1571</v>
      </c>
      <c r="F1368" s="573" t="s">
        <v>271</v>
      </c>
      <c r="G1368" s="573">
        <v>2019</v>
      </c>
      <c r="H1368" s="573" t="s">
        <v>2628</v>
      </c>
      <c r="I1368" s="573" t="s">
        <v>1950</v>
      </c>
      <c r="J1368" s="573" t="s">
        <v>236</v>
      </c>
      <c r="K1368" s="573">
        <v>2</v>
      </c>
      <c r="L1368" s="573">
        <v>0</v>
      </c>
      <c r="M1368" s="573" t="s">
        <v>157</v>
      </c>
      <c r="N1368" s="573">
        <v>1</v>
      </c>
      <c r="O1368" s="573">
        <v>83.6</v>
      </c>
      <c r="P1368" s="571" t="s">
        <v>157</v>
      </c>
      <c r="Q1368" s="573" t="s">
        <v>1259</v>
      </c>
      <c r="R1368" s="573">
        <v>6</v>
      </c>
      <c r="S1368" s="582" t="s">
        <v>2704</v>
      </c>
      <c r="T1368" s="573" t="s">
        <v>1894</v>
      </c>
      <c r="U1368" s="573">
        <v>129.9</v>
      </c>
      <c r="V1368" s="573">
        <v>25</v>
      </c>
      <c r="W1368" s="616">
        <v>9500</v>
      </c>
      <c r="X1368" s="617" t="s">
        <v>157</v>
      </c>
      <c r="Y1368" s="617" t="s">
        <v>178</v>
      </c>
      <c r="Z1368" s="617" t="s">
        <v>178</v>
      </c>
      <c r="AA1368" s="618">
        <v>39550</v>
      </c>
      <c r="AB1368" s="618" t="s">
        <v>164</v>
      </c>
      <c r="AC1368" s="618">
        <v>27861.125</v>
      </c>
      <c r="AD1368" s="619">
        <v>0.03</v>
      </c>
      <c r="AE1368" s="617" t="s">
        <v>2703</v>
      </c>
    </row>
    <row r="1369" spans="1:31" s="572" customFormat="1">
      <c r="A1369" s="570" t="s">
        <v>2746</v>
      </c>
      <c r="B1369" s="569" t="s">
        <v>280</v>
      </c>
      <c r="C1369" s="580">
        <v>27</v>
      </c>
      <c r="D1369" s="569" t="s">
        <v>1516</v>
      </c>
      <c r="E1369" s="569" t="s">
        <v>1571</v>
      </c>
      <c r="F1369" s="569" t="s">
        <v>271</v>
      </c>
      <c r="G1369" s="569">
        <v>2019</v>
      </c>
      <c r="H1369" s="569" t="s">
        <v>2628</v>
      </c>
      <c r="I1369" s="569" t="s">
        <v>1950</v>
      </c>
      <c r="J1369" s="569" t="s">
        <v>236</v>
      </c>
      <c r="K1369" s="569">
        <v>2</v>
      </c>
      <c r="L1369" s="569">
        <v>0</v>
      </c>
      <c r="M1369" s="569" t="s">
        <v>157</v>
      </c>
      <c r="N1369" s="569">
        <v>1</v>
      </c>
      <c r="O1369" s="569">
        <v>83.6</v>
      </c>
      <c r="P1369" s="568" t="s">
        <v>157</v>
      </c>
      <c r="Q1369" s="569" t="s">
        <v>682</v>
      </c>
      <c r="R1369" s="569">
        <v>6</v>
      </c>
      <c r="S1369" s="569" t="s">
        <v>2704</v>
      </c>
      <c r="T1369" s="569" t="s">
        <v>1894</v>
      </c>
      <c r="U1369" s="569">
        <v>129.9</v>
      </c>
      <c r="V1369" s="569">
        <v>25</v>
      </c>
      <c r="W1369" s="620">
        <v>9500</v>
      </c>
      <c r="X1369" s="621" t="s">
        <v>157</v>
      </c>
      <c r="Y1369" s="621" t="s">
        <v>178</v>
      </c>
      <c r="Z1369" s="621" t="s">
        <v>178</v>
      </c>
      <c r="AA1369" s="622">
        <v>37685</v>
      </c>
      <c r="AB1369" s="622" t="s">
        <v>164</v>
      </c>
      <c r="AC1369" s="622">
        <v>26204.875</v>
      </c>
      <c r="AD1369" s="623">
        <v>0.03</v>
      </c>
      <c r="AE1369" s="621" t="s">
        <v>2706</v>
      </c>
    </row>
    <row r="1370" spans="1:31" s="572" customFormat="1">
      <c r="A1370" s="570" t="s">
        <v>2747</v>
      </c>
      <c r="B1370" s="573" t="s">
        <v>269</v>
      </c>
      <c r="C1370" s="578" t="s">
        <v>270</v>
      </c>
      <c r="D1370" s="573" t="s">
        <v>1516</v>
      </c>
      <c r="E1370" s="573" t="s">
        <v>1571</v>
      </c>
      <c r="F1370" s="573" t="s">
        <v>271</v>
      </c>
      <c r="G1370" s="573">
        <v>2019</v>
      </c>
      <c r="H1370" s="573" t="s">
        <v>2628</v>
      </c>
      <c r="I1370" s="573" t="s">
        <v>2014</v>
      </c>
      <c r="J1370" s="573" t="s">
        <v>236</v>
      </c>
      <c r="K1370" s="573">
        <v>2</v>
      </c>
      <c r="L1370" s="573">
        <v>0</v>
      </c>
      <c r="M1370" s="573" t="s">
        <v>157</v>
      </c>
      <c r="N1370" s="573">
        <v>1</v>
      </c>
      <c r="O1370" s="573">
        <v>83.2</v>
      </c>
      <c r="P1370" s="571" t="s">
        <v>157</v>
      </c>
      <c r="Q1370" s="573" t="s">
        <v>1259</v>
      </c>
      <c r="R1370" s="573">
        <v>6</v>
      </c>
      <c r="S1370" s="582" t="s">
        <v>2749</v>
      </c>
      <c r="T1370" s="573" t="s">
        <v>1894</v>
      </c>
      <c r="U1370" s="573">
        <v>129.9</v>
      </c>
      <c r="V1370" s="573">
        <v>25</v>
      </c>
      <c r="W1370" s="616">
        <v>9500</v>
      </c>
      <c r="X1370" s="617" t="s">
        <v>157</v>
      </c>
      <c r="Y1370" s="617" t="s">
        <v>178</v>
      </c>
      <c r="Z1370" s="617" t="s">
        <v>178</v>
      </c>
      <c r="AA1370" s="618">
        <v>39400</v>
      </c>
      <c r="AB1370" s="618" t="s">
        <v>164</v>
      </c>
      <c r="AC1370" s="618">
        <v>27724.666666666668</v>
      </c>
      <c r="AD1370" s="619">
        <v>0.03</v>
      </c>
      <c r="AE1370" s="617" t="s">
        <v>2748</v>
      </c>
    </row>
    <row r="1371" spans="1:31" s="572" customFormat="1">
      <c r="A1371" s="570" t="s">
        <v>2750</v>
      </c>
      <c r="B1371" s="569" t="s">
        <v>269</v>
      </c>
      <c r="C1371" s="580" t="s">
        <v>270</v>
      </c>
      <c r="D1371" s="569" t="s">
        <v>1516</v>
      </c>
      <c r="E1371" s="569" t="s">
        <v>1571</v>
      </c>
      <c r="F1371" s="569" t="s">
        <v>271</v>
      </c>
      <c r="G1371" s="569">
        <v>2019</v>
      </c>
      <c r="H1371" s="569" t="s">
        <v>2628</v>
      </c>
      <c r="I1371" s="569" t="s">
        <v>2014</v>
      </c>
      <c r="J1371" s="569" t="s">
        <v>236</v>
      </c>
      <c r="K1371" s="569">
        <v>2</v>
      </c>
      <c r="L1371" s="569">
        <v>0</v>
      </c>
      <c r="M1371" s="569" t="s">
        <v>157</v>
      </c>
      <c r="N1371" s="569">
        <v>1</v>
      </c>
      <c r="O1371" s="569">
        <v>83.2</v>
      </c>
      <c r="P1371" s="568" t="s">
        <v>157</v>
      </c>
      <c r="Q1371" s="569" t="s">
        <v>1259</v>
      </c>
      <c r="R1371" s="569">
        <v>6</v>
      </c>
      <c r="S1371" s="569" t="s">
        <v>2752</v>
      </c>
      <c r="T1371" s="569" t="s">
        <v>1894</v>
      </c>
      <c r="U1371" s="569">
        <v>147.6</v>
      </c>
      <c r="V1371" s="569">
        <v>25</v>
      </c>
      <c r="W1371" s="620">
        <v>9500</v>
      </c>
      <c r="X1371" s="621" t="s">
        <v>157</v>
      </c>
      <c r="Y1371" s="621" t="s">
        <v>178</v>
      </c>
      <c r="Z1371" s="621" t="s">
        <v>178</v>
      </c>
      <c r="AA1371" s="622">
        <v>40280</v>
      </c>
      <c r="AB1371" s="622" t="s">
        <v>164</v>
      </c>
      <c r="AC1371" s="622">
        <v>28528.833333333336</v>
      </c>
      <c r="AD1371" s="623">
        <v>0.03</v>
      </c>
      <c r="AE1371" s="621" t="s">
        <v>2751</v>
      </c>
    </row>
    <row r="1372" spans="1:31" s="572" customFormat="1">
      <c r="A1372" s="570" t="s">
        <v>2753</v>
      </c>
      <c r="B1372" s="573" t="s">
        <v>269</v>
      </c>
      <c r="C1372" s="578" t="s">
        <v>270</v>
      </c>
      <c r="D1372" s="573" t="s">
        <v>1516</v>
      </c>
      <c r="E1372" s="573" t="s">
        <v>1571</v>
      </c>
      <c r="F1372" s="573" t="s">
        <v>271</v>
      </c>
      <c r="G1372" s="573">
        <v>2019</v>
      </c>
      <c r="H1372" s="573" t="s">
        <v>2628</v>
      </c>
      <c r="I1372" s="573" t="s">
        <v>2014</v>
      </c>
      <c r="J1372" s="573" t="s">
        <v>236</v>
      </c>
      <c r="K1372" s="573">
        <v>2</v>
      </c>
      <c r="L1372" s="573">
        <v>0</v>
      </c>
      <c r="M1372" s="573" t="s">
        <v>157</v>
      </c>
      <c r="N1372" s="573">
        <v>1</v>
      </c>
      <c r="O1372" s="573">
        <v>83.2</v>
      </c>
      <c r="P1372" s="571" t="s">
        <v>157</v>
      </c>
      <c r="Q1372" s="573" t="s">
        <v>682</v>
      </c>
      <c r="R1372" s="573">
        <v>6</v>
      </c>
      <c r="S1372" s="582" t="s">
        <v>2749</v>
      </c>
      <c r="T1372" s="573" t="s">
        <v>1894</v>
      </c>
      <c r="U1372" s="573">
        <v>129.9</v>
      </c>
      <c r="V1372" s="573">
        <v>25</v>
      </c>
      <c r="W1372" s="616">
        <v>9500</v>
      </c>
      <c r="X1372" s="617" t="s">
        <v>157</v>
      </c>
      <c r="Y1372" s="617" t="s">
        <v>178</v>
      </c>
      <c r="Z1372" s="617" t="s">
        <v>178</v>
      </c>
      <c r="AA1372" s="618">
        <v>37535</v>
      </c>
      <c r="AB1372" s="618" t="s">
        <v>164</v>
      </c>
      <c r="AC1372" s="618">
        <v>26068.416666666668</v>
      </c>
      <c r="AD1372" s="619">
        <v>0.03</v>
      </c>
      <c r="AE1372" s="617" t="s">
        <v>2754</v>
      </c>
    </row>
    <row r="1373" spans="1:31" s="572" customFormat="1">
      <c r="A1373" s="570" t="s">
        <v>2755</v>
      </c>
      <c r="B1373" s="569" t="s">
        <v>269</v>
      </c>
      <c r="C1373" s="580" t="s">
        <v>270</v>
      </c>
      <c r="D1373" s="569" t="s">
        <v>1516</v>
      </c>
      <c r="E1373" s="569" t="s">
        <v>1571</v>
      </c>
      <c r="F1373" s="569" t="s">
        <v>271</v>
      </c>
      <c r="G1373" s="569">
        <v>2019</v>
      </c>
      <c r="H1373" s="569" t="s">
        <v>2628</v>
      </c>
      <c r="I1373" s="569" t="s">
        <v>2014</v>
      </c>
      <c r="J1373" s="569" t="s">
        <v>236</v>
      </c>
      <c r="K1373" s="569">
        <v>2</v>
      </c>
      <c r="L1373" s="569">
        <v>0</v>
      </c>
      <c r="M1373" s="569" t="s">
        <v>157</v>
      </c>
      <c r="N1373" s="569">
        <v>1</v>
      </c>
      <c r="O1373" s="569">
        <v>83.2</v>
      </c>
      <c r="P1373" s="568" t="s">
        <v>157</v>
      </c>
      <c r="Q1373" s="569" t="s">
        <v>682</v>
      </c>
      <c r="R1373" s="569">
        <v>6</v>
      </c>
      <c r="S1373" s="569" t="s">
        <v>2752</v>
      </c>
      <c r="T1373" s="569" t="s">
        <v>1894</v>
      </c>
      <c r="U1373" s="569">
        <v>147.6</v>
      </c>
      <c r="V1373" s="569">
        <v>25</v>
      </c>
      <c r="W1373" s="620">
        <v>9500</v>
      </c>
      <c r="X1373" s="621" t="s">
        <v>157</v>
      </c>
      <c r="Y1373" s="621" t="s">
        <v>178</v>
      </c>
      <c r="Z1373" s="621" t="s">
        <v>178</v>
      </c>
      <c r="AA1373" s="622">
        <v>38415</v>
      </c>
      <c r="AB1373" s="622" t="s">
        <v>164</v>
      </c>
      <c r="AC1373" s="622">
        <v>26872.583333333336</v>
      </c>
      <c r="AD1373" s="623">
        <v>0.03</v>
      </c>
      <c r="AE1373" s="621" t="s">
        <v>2756</v>
      </c>
    </row>
    <row r="1374" spans="1:31" s="572" customFormat="1">
      <c r="A1374" s="570" t="s">
        <v>2757</v>
      </c>
      <c r="B1374" s="573" t="s">
        <v>278</v>
      </c>
      <c r="C1374" s="578">
        <v>15</v>
      </c>
      <c r="D1374" s="573" t="s">
        <v>1516</v>
      </c>
      <c r="E1374" s="573" t="s">
        <v>1571</v>
      </c>
      <c r="F1374" s="573" t="s">
        <v>271</v>
      </c>
      <c r="G1374" s="573">
        <v>2019</v>
      </c>
      <c r="H1374" s="573" t="s">
        <v>2628</v>
      </c>
      <c r="I1374" s="573" t="s">
        <v>2014</v>
      </c>
      <c r="J1374" s="573" t="s">
        <v>236</v>
      </c>
      <c r="K1374" s="573">
        <v>2</v>
      </c>
      <c r="L1374" s="573">
        <v>0</v>
      </c>
      <c r="M1374" s="573" t="s">
        <v>157</v>
      </c>
      <c r="N1374" s="573">
        <v>1</v>
      </c>
      <c r="O1374" s="573">
        <v>83.2</v>
      </c>
      <c r="P1374" s="571" t="s">
        <v>157</v>
      </c>
      <c r="Q1374" s="573" t="s">
        <v>1259</v>
      </c>
      <c r="R1374" s="573">
        <v>6</v>
      </c>
      <c r="S1374" s="582" t="s">
        <v>2749</v>
      </c>
      <c r="T1374" s="573" t="s">
        <v>1894</v>
      </c>
      <c r="U1374" s="573">
        <v>129.9</v>
      </c>
      <c r="V1374" s="573">
        <v>25</v>
      </c>
      <c r="W1374" s="616">
        <v>9500</v>
      </c>
      <c r="X1374" s="617" t="s">
        <v>157</v>
      </c>
      <c r="Y1374" s="617" t="s">
        <v>178</v>
      </c>
      <c r="Z1374" s="617" t="s">
        <v>178</v>
      </c>
      <c r="AA1374" s="618">
        <v>39400</v>
      </c>
      <c r="AB1374" s="618" t="s">
        <v>164</v>
      </c>
      <c r="AC1374" s="618">
        <v>28300</v>
      </c>
      <c r="AD1374" s="619">
        <v>0.01</v>
      </c>
      <c r="AE1374" s="617" t="s">
        <v>2748</v>
      </c>
    </row>
    <row r="1375" spans="1:31" s="572" customFormat="1">
      <c r="A1375" s="570" t="s">
        <v>2758</v>
      </c>
      <c r="B1375" s="569" t="s">
        <v>278</v>
      </c>
      <c r="C1375" s="580">
        <v>15</v>
      </c>
      <c r="D1375" s="569" t="s">
        <v>1516</v>
      </c>
      <c r="E1375" s="569" t="s">
        <v>1571</v>
      </c>
      <c r="F1375" s="569" t="s">
        <v>271</v>
      </c>
      <c r="G1375" s="569">
        <v>2019</v>
      </c>
      <c r="H1375" s="569" t="s">
        <v>2628</v>
      </c>
      <c r="I1375" s="569" t="s">
        <v>2014</v>
      </c>
      <c r="J1375" s="569" t="s">
        <v>236</v>
      </c>
      <c r="K1375" s="569">
        <v>2</v>
      </c>
      <c r="L1375" s="569">
        <v>0</v>
      </c>
      <c r="M1375" s="569" t="s">
        <v>157</v>
      </c>
      <c r="N1375" s="569">
        <v>1</v>
      </c>
      <c r="O1375" s="569">
        <v>83.2</v>
      </c>
      <c r="P1375" s="568" t="s">
        <v>157</v>
      </c>
      <c r="Q1375" s="569" t="s">
        <v>1259</v>
      </c>
      <c r="R1375" s="569">
        <v>6</v>
      </c>
      <c r="S1375" s="569" t="s">
        <v>2752</v>
      </c>
      <c r="T1375" s="569" t="s">
        <v>1894</v>
      </c>
      <c r="U1375" s="569">
        <v>147.6</v>
      </c>
      <c r="V1375" s="569">
        <v>25</v>
      </c>
      <c r="W1375" s="620">
        <v>9500</v>
      </c>
      <c r="X1375" s="621" t="s">
        <v>157</v>
      </c>
      <c r="Y1375" s="621" t="s">
        <v>178</v>
      </c>
      <c r="Z1375" s="621" t="s">
        <v>178</v>
      </c>
      <c r="AA1375" s="622">
        <v>40280</v>
      </c>
      <c r="AB1375" s="622" t="s">
        <v>164</v>
      </c>
      <c r="AC1375" s="622">
        <v>29100</v>
      </c>
      <c r="AD1375" s="623">
        <v>0.01</v>
      </c>
      <c r="AE1375" s="621" t="s">
        <v>2751</v>
      </c>
    </row>
    <row r="1376" spans="1:31" s="572" customFormat="1">
      <c r="A1376" s="570" t="s">
        <v>2759</v>
      </c>
      <c r="B1376" s="573" t="s">
        <v>278</v>
      </c>
      <c r="C1376" s="578">
        <v>15</v>
      </c>
      <c r="D1376" s="573" t="s">
        <v>1516</v>
      </c>
      <c r="E1376" s="573" t="s">
        <v>1571</v>
      </c>
      <c r="F1376" s="573" t="s">
        <v>271</v>
      </c>
      <c r="G1376" s="573">
        <v>2019</v>
      </c>
      <c r="H1376" s="573" t="s">
        <v>2628</v>
      </c>
      <c r="I1376" s="573" t="s">
        <v>2014</v>
      </c>
      <c r="J1376" s="573" t="s">
        <v>236</v>
      </c>
      <c r="K1376" s="573">
        <v>2</v>
      </c>
      <c r="L1376" s="573">
        <v>0</v>
      </c>
      <c r="M1376" s="573" t="s">
        <v>157</v>
      </c>
      <c r="N1376" s="573">
        <v>1</v>
      </c>
      <c r="O1376" s="573">
        <v>83.2</v>
      </c>
      <c r="P1376" s="571" t="s">
        <v>157</v>
      </c>
      <c r="Q1376" s="573" t="s">
        <v>682</v>
      </c>
      <c r="R1376" s="573">
        <v>6</v>
      </c>
      <c r="S1376" s="582" t="s">
        <v>2749</v>
      </c>
      <c r="T1376" s="573" t="s">
        <v>1894</v>
      </c>
      <c r="U1376" s="573">
        <v>129.9</v>
      </c>
      <c r="V1376" s="573">
        <v>25</v>
      </c>
      <c r="W1376" s="616">
        <v>9500</v>
      </c>
      <c r="X1376" s="617" t="s">
        <v>157</v>
      </c>
      <c r="Y1376" s="617" t="s">
        <v>178</v>
      </c>
      <c r="Z1376" s="617" t="s">
        <v>178</v>
      </c>
      <c r="AA1376" s="618">
        <v>37535</v>
      </c>
      <c r="AB1376" s="618" t="s">
        <v>164</v>
      </c>
      <c r="AC1376" s="618">
        <v>26550</v>
      </c>
      <c r="AD1376" s="619">
        <v>0.01</v>
      </c>
      <c r="AE1376" s="617" t="s">
        <v>2754</v>
      </c>
    </row>
    <row r="1377" spans="1:31" s="572" customFormat="1">
      <c r="A1377" s="570" t="s">
        <v>2760</v>
      </c>
      <c r="B1377" s="569" t="s">
        <v>278</v>
      </c>
      <c r="C1377" s="580">
        <v>15</v>
      </c>
      <c r="D1377" s="569" t="s">
        <v>1516</v>
      </c>
      <c r="E1377" s="569" t="s">
        <v>1571</v>
      </c>
      <c r="F1377" s="569" t="s">
        <v>271</v>
      </c>
      <c r="G1377" s="569">
        <v>2019</v>
      </c>
      <c r="H1377" s="569" t="s">
        <v>2628</v>
      </c>
      <c r="I1377" s="569" t="s">
        <v>2014</v>
      </c>
      <c r="J1377" s="569" t="s">
        <v>236</v>
      </c>
      <c r="K1377" s="569">
        <v>2</v>
      </c>
      <c r="L1377" s="569">
        <v>0</v>
      </c>
      <c r="M1377" s="569" t="s">
        <v>157</v>
      </c>
      <c r="N1377" s="569">
        <v>1</v>
      </c>
      <c r="O1377" s="569">
        <v>83.2</v>
      </c>
      <c r="P1377" s="568" t="s">
        <v>157</v>
      </c>
      <c r="Q1377" s="569" t="s">
        <v>682</v>
      </c>
      <c r="R1377" s="569">
        <v>6</v>
      </c>
      <c r="S1377" s="569" t="s">
        <v>2752</v>
      </c>
      <c r="T1377" s="569" t="s">
        <v>1894</v>
      </c>
      <c r="U1377" s="569">
        <v>147.6</v>
      </c>
      <c r="V1377" s="569">
        <v>25</v>
      </c>
      <c r="W1377" s="620">
        <v>9500</v>
      </c>
      <c r="X1377" s="621" t="s">
        <v>157</v>
      </c>
      <c r="Y1377" s="621" t="s">
        <v>178</v>
      </c>
      <c r="Z1377" s="621" t="s">
        <v>178</v>
      </c>
      <c r="AA1377" s="622">
        <v>38415</v>
      </c>
      <c r="AB1377" s="622" t="s">
        <v>164</v>
      </c>
      <c r="AC1377" s="622">
        <v>27400</v>
      </c>
      <c r="AD1377" s="623">
        <v>0.01</v>
      </c>
      <c r="AE1377" s="621" t="s">
        <v>2756</v>
      </c>
    </row>
    <row r="1378" spans="1:31" s="572" customFormat="1">
      <c r="A1378" s="570" t="s">
        <v>2761</v>
      </c>
      <c r="B1378" s="573" t="s">
        <v>287</v>
      </c>
      <c r="C1378" s="578">
        <v>26</v>
      </c>
      <c r="D1378" s="573" t="s">
        <v>1516</v>
      </c>
      <c r="E1378" s="573" t="s">
        <v>1571</v>
      </c>
      <c r="F1378" s="573" t="s">
        <v>271</v>
      </c>
      <c r="G1378" s="573">
        <v>2019</v>
      </c>
      <c r="H1378" s="573" t="s">
        <v>2628</v>
      </c>
      <c r="I1378" s="573" t="s">
        <v>2014</v>
      </c>
      <c r="J1378" s="573" t="s">
        <v>236</v>
      </c>
      <c r="K1378" s="573">
        <v>2</v>
      </c>
      <c r="L1378" s="573">
        <v>0</v>
      </c>
      <c r="M1378" s="573" t="s">
        <v>157</v>
      </c>
      <c r="N1378" s="573">
        <v>1</v>
      </c>
      <c r="O1378" s="573">
        <v>83.2</v>
      </c>
      <c r="P1378" s="571" t="s">
        <v>157</v>
      </c>
      <c r="Q1378" s="573" t="s">
        <v>682</v>
      </c>
      <c r="R1378" s="573">
        <v>6</v>
      </c>
      <c r="S1378" s="582" t="s">
        <v>2749</v>
      </c>
      <c r="T1378" s="573" t="s">
        <v>1894</v>
      </c>
      <c r="U1378" s="573">
        <v>129.9</v>
      </c>
      <c r="V1378" s="573">
        <v>25</v>
      </c>
      <c r="W1378" s="616">
        <v>9500</v>
      </c>
      <c r="X1378" s="617" t="s">
        <v>157</v>
      </c>
      <c r="Y1378" s="617" t="s">
        <v>178</v>
      </c>
      <c r="Z1378" s="617" t="s">
        <v>178</v>
      </c>
      <c r="AA1378" s="618">
        <v>37535</v>
      </c>
      <c r="AB1378" s="618" t="s">
        <v>164</v>
      </c>
      <c r="AC1378" s="618">
        <v>27018</v>
      </c>
      <c r="AD1378" s="619">
        <v>0.05</v>
      </c>
      <c r="AE1378" s="617" t="s">
        <v>2754</v>
      </c>
    </row>
    <row r="1379" spans="1:31" s="572" customFormat="1">
      <c r="A1379" s="570" t="s">
        <v>2762</v>
      </c>
      <c r="B1379" s="569" t="s">
        <v>287</v>
      </c>
      <c r="C1379" s="580">
        <v>26</v>
      </c>
      <c r="D1379" s="569" t="s">
        <v>1516</v>
      </c>
      <c r="E1379" s="569" t="s">
        <v>1571</v>
      </c>
      <c r="F1379" s="569" t="s">
        <v>271</v>
      </c>
      <c r="G1379" s="569">
        <v>2019</v>
      </c>
      <c r="H1379" s="569" t="s">
        <v>2628</v>
      </c>
      <c r="I1379" s="569" t="s">
        <v>2014</v>
      </c>
      <c r="J1379" s="569" t="s">
        <v>236</v>
      </c>
      <c r="K1379" s="569">
        <v>2</v>
      </c>
      <c r="L1379" s="569">
        <v>0</v>
      </c>
      <c r="M1379" s="569" t="s">
        <v>157</v>
      </c>
      <c r="N1379" s="569">
        <v>1</v>
      </c>
      <c r="O1379" s="569">
        <v>83.2</v>
      </c>
      <c r="P1379" s="568" t="s">
        <v>157</v>
      </c>
      <c r="Q1379" s="569" t="s">
        <v>682</v>
      </c>
      <c r="R1379" s="569">
        <v>6</v>
      </c>
      <c r="S1379" s="569" t="s">
        <v>2752</v>
      </c>
      <c r="T1379" s="569" t="s">
        <v>1894</v>
      </c>
      <c r="U1379" s="569">
        <v>147.6</v>
      </c>
      <c r="V1379" s="569">
        <v>25</v>
      </c>
      <c r="W1379" s="620">
        <v>9500</v>
      </c>
      <c r="X1379" s="621" t="s">
        <v>157</v>
      </c>
      <c r="Y1379" s="621" t="s">
        <v>178</v>
      </c>
      <c r="Z1379" s="621" t="s">
        <v>178</v>
      </c>
      <c r="AA1379" s="622">
        <v>38415</v>
      </c>
      <c r="AB1379" s="622" t="s">
        <v>164</v>
      </c>
      <c r="AC1379" s="622">
        <v>27849</v>
      </c>
      <c r="AD1379" s="623">
        <v>0.05</v>
      </c>
      <c r="AE1379" s="621" t="s">
        <v>2756</v>
      </c>
    </row>
    <row r="1380" spans="1:31" s="572" customFormat="1">
      <c r="A1380" s="570" t="s">
        <v>2763</v>
      </c>
      <c r="B1380" s="573" t="s">
        <v>280</v>
      </c>
      <c r="C1380" s="578">
        <v>27</v>
      </c>
      <c r="D1380" s="573" t="s">
        <v>1516</v>
      </c>
      <c r="E1380" s="573" t="s">
        <v>1571</v>
      </c>
      <c r="F1380" s="573" t="s">
        <v>271</v>
      </c>
      <c r="G1380" s="573">
        <v>2019</v>
      </c>
      <c r="H1380" s="573" t="s">
        <v>2628</v>
      </c>
      <c r="I1380" s="573" t="s">
        <v>2014</v>
      </c>
      <c r="J1380" s="573" t="s">
        <v>236</v>
      </c>
      <c r="K1380" s="573">
        <v>2</v>
      </c>
      <c r="L1380" s="573">
        <v>0</v>
      </c>
      <c r="M1380" s="573" t="s">
        <v>157</v>
      </c>
      <c r="N1380" s="573">
        <v>1</v>
      </c>
      <c r="O1380" s="573">
        <v>83.2</v>
      </c>
      <c r="P1380" s="571" t="s">
        <v>157</v>
      </c>
      <c r="Q1380" s="573" t="s">
        <v>1259</v>
      </c>
      <c r="R1380" s="573">
        <v>6</v>
      </c>
      <c r="S1380" s="582" t="s">
        <v>2749</v>
      </c>
      <c r="T1380" s="573" t="s">
        <v>1894</v>
      </c>
      <c r="U1380" s="573">
        <v>129.9</v>
      </c>
      <c r="V1380" s="573">
        <v>25</v>
      </c>
      <c r="W1380" s="616">
        <v>9500</v>
      </c>
      <c r="X1380" s="617" t="s">
        <v>157</v>
      </c>
      <c r="Y1380" s="617" t="s">
        <v>178</v>
      </c>
      <c r="Z1380" s="617" t="s">
        <v>178</v>
      </c>
      <c r="AA1380" s="618">
        <v>39400</v>
      </c>
      <c r="AB1380" s="618" t="s">
        <v>164</v>
      </c>
      <c r="AC1380" s="618">
        <v>27724.666666666668</v>
      </c>
      <c r="AD1380" s="619">
        <v>0.03</v>
      </c>
      <c r="AE1380" s="617" t="s">
        <v>2748</v>
      </c>
    </row>
    <row r="1381" spans="1:31" s="572" customFormat="1">
      <c r="A1381" s="570" t="s">
        <v>2764</v>
      </c>
      <c r="B1381" s="569" t="s">
        <v>280</v>
      </c>
      <c r="C1381" s="580">
        <v>27</v>
      </c>
      <c r="D1381" s="569" t="s">
        <v>1516</v>
      </c>
      <c r="E1381" s="569" t="s">
        <v>1571</v>
      </c>
      <c r="F1381" s="569" t="s">
        <v>271</v>
      </c>
      <c r="G1381" s="569">
        <v>2019</v>
      </c>
      <c r="H1381" s="569" t="s">
        <v>2628</v>
      </c>
      <c r="I1381" s="569" t="s">
        <v>2014</v>
      </c>
      <c r="J1381" s="569" t="s">
        <v>236</v>
      </c>
      <c r="K1381" s="569">
        <v>2</v>
      </c>
      <c r="L1381" s="569">
        <v>0</v>
      </c>
      <c r="M1381" s="569" t="s">
        <v>157</v>
      </c>
      <c r="N1381" s="569">
        <v>1</v>
      </c>
      <c r="O1381" s="569">
        <v>83.2</v>
      </c>
      <c r="P1381" s="568" t="s">
        <v>157</v>
      </c>
      <c r="Q1381" s="569" t="s">
        <v>1259</v>
      </c>
      <c r="R1381" s="569">
        <v>6</v>
      </c>
      <c r="S1381" s="569" t="s">
        <v>2752</v>
      </c>
      <c r="T1381" s="569" t="s">
        <v>1894</v>
      </c>
      <c r="U1381" s="569">
        <v>147.6</v>
      </c>
      <c r="V1381" s="569">
        <v>25</v>
      </c>
      <c r="W1381" s="620">
        <v>9500</v>
      </c>
      <c r="X1381" s="621" t="s">
        <v>157</v>
      </c>
      <c r="Y1381" s="621" t="s">
        <v>178</v>
      </c>
      <c r="Z1381" s="621" t="s">
        <v>178</v>
      </c>
      <c r="AA1381" s="622">
        <v>40280</v>
      </c>
      <c r="AB1381" s="622" t="s">
        <v>164</v>
      </c>
      <c r="AC1381" s="622">
        <v>28528.833333333336</v>
      </c>
      <c r="AD1381" s="623">
        <v>0.03</v>
      </c>
      <c r="AE1381" s="621" t="s">
        <v>2751</v>
      </c>
    </row>
    <row r="1382" spans="1:31" s="572" customFormat="1">
      <c r="A1382" s="570" t="s">
        <v>2765</v>
      </c>
      <c r="B1382" s="573" t="s">
        <v>280</v>
      </c>
      <c r="C1382" s="578">
        <v>27</v>
      </c>
      <c r="D1382" s="573" t="s">
        <v>1516</v>
      </c>
      <c r="E1382" s="573" t="s">
        <v>1571</v>
      </c>
      <c r="F1382" s="573" t="s">
        <v>271</v>
      </c>
      <c r="G1382" s="573">
        <v>2019</v>
      </c>
      <c r="H1382" s="573" t="s">
        <v>2628</v>
      </c>
      <c r="I1382" s="573" t="s">
        <v>2014</v>
      </c>
      <c r="J1382" s="573" t="s">
        <v>236</v>
      </c>
      <c r="K1382" s="573">
        <v>2</v>
      </c>
      <c r="L1382" s="573">
        <v>0</v>
      </c>
      <c r="M1382" s="573" t="s">
        <v>157</v>
      </c>
      <c r="N1382" s="573">
        <v>1</v>
      </c>
      <c r="O1382" s="573">
        <v>83.2</v>
      </c>
      <c r="P1382" s="571" t="s">
        <v>157</v>
      </c>
      <c r="Q1382" s="573" t="s">
        <v>682</v>
      </c>
      <c r="R1382" s="573">
        <v>6</v>
      </c>
      <c r="S1382" s="582" t="s">
        <v>2749</v>
      </c>
      <c r="T1382" s="573" t="s">
        <v>1894</v>
      </c>
      <c r="U1382" s="573">
        <v>129.9</v>
      </c>
      <c r="V1382" s="573">
        <v>25</v>
      </c>
      <c r="W1382" s="616">
        <v>9500</v>
      </c>
      <c r="X1382" s="617" t="s">
        <v>157</v>
      </c>
      <c r="Y1382" s="617" t="s">
        <v>178</v>
      </c>
      <c r="Z1382" s="617" t="s">
        <v>178</v>
      </c>
      <c r="AA1382" s="618">
        <v>37535</v>
      </c>
      <c r="AB1382" s="618" t="s">
        <v>164</v>
      </c>
      <c r="AC1382" s="618">
        <v>26068.416666666668</v>
      </c>
      <c r="AD1382" s="619">
        <v>0.03</v>
      </c>
      <c r="AE1382" s="617" t="s">
        <v>2754</v>
      </c>
    </row>
    <row r="1383" spans="1:31" s="572" customFormat="1">
      <c r="A1383" s="570" t="s">
        <v>2766</v>
      </c>
      <c r="B1383" s="569" t="s">
        <v>280</v>
      </c>
      <c r="C1383" s="580">
        <v>27</v>
      </c>
      <c r="D1383" s="569" t="s">
        <v>1516</v>
      </c>
      <c r="E1383" s="569" t="s">
        <v>1571</v>
      </c>
      <c r="F1383" s="569" t="s">
        <v>271</v>
      </c>
      <c r="G1383" s="569">
        <v>2019</v>
      </c>
      <c r="H1383" s="569" t="s">
        <v>2628</v>
      </c>
      <c r="I1383" s="569" t="s">
        <v>2014</v>
      </c>
      <c r="J1383" s="569" t="s">
        <v>236</v>
      </c>
      <c r="K1383" s="569">
        <v>2</v>
      </c>
      <c r="L1383" s="569">
        <v>0</v>
      </c>
      <c r="M1383" s="569" t="s">
        <v>157</v>
      </c>
      <c r="N1383" s="569">
        <v>1</v>
      </c>
      <c r="O1383" s="569">
        <v>83.2</v>
      </c>
      <c r="P1383" s="568" t="s">
        <v>157</v>
      </c>
      <c r="Q1383" s="569" t="s">
        <v>682</v>
      </c>
      <c r="R1383" s="569">
        <v>6</v>
      </c>
      <c r="S1383" s="569" t="s">
        <v>2752</v>
      </c>
      <c r="T1383" s="569" t="s">
        <v>1894</v>
      </c>
      <c r="U1383" s="569">
        <v>147.6</v>
      </c>
      <c r="V1383" s="569">
        <v>25</v>
      </c>
      <c r="W1383" s="620">
        <v>9500</v>
      </c>
      <c r="X1383" s="621" t="s">
        <v>157</v>
      </c>
      <c r="Y1383" s="621" t="s">
        <v>178</v>
      </c>
      <c r="Z1383" s="621" t="s">
        <v>178</v>
      </c>
      <c r="AA1383" s="622">
        <v>38415</v>
      </c>
      <c r="AB1383" s="622" t="s">
        <v>164</v>
      </c>
      <c r="AC1383" s="622">
        <v>26872.583333333336</v>
      </c>
      <c r="AD1383" s="623">
        <v>0.03</v>
      </c>
      <c r="AE1383" s="621" t="s">
        <v>2756</v>
      </c>
    </row>
    <row r="1384" spans="1:31" s="572" customFormat="1">
      <c r="A1384" s="570" t="s">
        <v>2767</v>
      </c>
      <c r="B1384" s="573" t="s">
        <v>269</v>
      </c>
      <c r="C1384" s="578" t="s">
        <v>270</v>
      </c>
      <c r="D1384" s="573" t="s">
        <v>1516</v>
      </c>
      <c r="E1384" s="573" t="s">
        <v>1607</v>
      </c>
      <c r="F1384" s="573" t="s">
        <v>271</v>
      </c>
      <c r="G1384" s="573">
        <v>2019</v>
      </c>
      <c r="H1384" s="573" t="s">
        <v>2769</v>
      </c>
      <c r="I1384" s="573" t="s">
        <v>2048</v>
      </c>
      <c r="J1384" s="573" t="s">
        <v>236</v>
      </c>
      <c r="K1384" s="573">
        <v>12</v>
      </c>
      <c r="L1384" s="573">
        <v>0</v>
      </c>
      <c r="M1384" s="573" t="s">
        <v>157</v>
      </c>
      <c r="N1384" s="573">
        <v>4</v>
      </c>
      <c r="O1384" s="573">
        <v>108.6</v>
      </c>
      <c r="P1384" s="571" t="s">
        <v>157</v>
      </c>
      <c r="Q1384" s="573" t="s">
        <v>1917</v>
      </c>
      <c r="R1384" s="573">
        <v>5</v>
      </c>
      <c r="S1384" s="582" t="s">
        <v>2770</v>
      </c>
      <c r="T1384" s="573" t="s">
        <v>434</v>
      </c>
      <c r="U1384" s="573">
        <v>147.6</v>
      </c>
      <c r="V1384" s="573">
        <v>25</v>
      </c>
      <c r="W1384" s="616">
        <v>9250</v>
      </c>
      <c r="X1384" s="617">
        <v>12</v>
      </c>
      <c r="Y1384" s="617" t="s">
        <v>728</v>
      </c>
      <c r="Z1384" s="617" t="s">
        <v>1523</v>
      </c>
      <c r="AA1384" s="618">
        <v>48010</v>
      </c>
      <c r="AB1384" s="618" t="s">
        <v>164</v>
      </c>
      <c r="AC1384" s="618">
        <v>37624.208333333336</v>
      </c>
      <c r="AD1384" s="619">
        <v>0.03</v>
      </c>
      <c r="AE1384" s="617" t="s">
        <v>2768</v>
      </c>
    </row>
    <row r="1385" spans="1:31" s="572" customFormat="1">
      <c r="A1385" s="570" t="s">
        <v>2771</v>
      </c>
      <c r="B1385" s="569" t="s">
        <v>269</v>
      </c>
      <c r="C1385" s="580" t="s">
        <v>270</v>
      </c>
      <c r="D1385" s="569" t="s">
        <v>1516</v>
      </c>
      <c r="E1385" s="569" t="s">
        <v>1607</v>
      </c>
      <c r="F1385" s="569" t="s">
        <v>271</v>
      </c>
      <c r="G1385" s="569">
        <v>2019</v>
      </c>
      <c r="H1385" s="569" t="s">
        <v>2769</v>
      </c>
      <c r="I1385" s="569" t="s">
        <v>2048</v>
      </c>
      <c r="J1385" s="569" t="s">
        <v>236</v>
      </c>
      <c r="K1385" s="569">
        <v>12</v>
      </c>
      <c r="L1385" s="569">
        <v>0</v>
      </c>
      <c r="M1385" s="569" t="s">
        <v>157</v>
      </c>
      <c r="N1385" s="569">
        <v>4</v>
      </c>
      <c r="O1385" s="569">
        <v>108.6</v>
      </c>
      <c r="P1385" s="568" t="s">
        <v>157</v>
      </c>
      <c r="Q1385" s="569" t="s">
        <v>1259</v>
      </c>
      <c r="R1385" s="569">
        <v>6</v>
      </c>
      <c r="S1385" s="569" t="s">
        <v>2770</v>
      </c>
      <c r="T1385" s="569" t="s">
        <v>434</v>
      </c>
      <c r="U1385" s="569">
        <v>147.6</v>
      </c>
      <c r="V1385" s="569">
        <v>25</v>
      </c>
      <c r="W1385" s="620">
        <v>9000</v>
      </c>
      <c r="X1385" s="621">
        <v>12</v>
      </c>
      <c r="Y1385" s="621" t="s">
        <v>178</v>
      </c>
      <c r="Z1385" s="621" t="s">
        <v>178</v>
      </c>
      <c r="AA1385" s="622">
        <v>45880</v>
      </c>
      <c r="AB1385" s="622" t="s">
        <v>164</v>
      </c>
      <c r="AC1385" s="622">
        <v>35730.916666666672</v>
      </c>
      <c r="AD1385" s="623">
        <v>0.03</v>
      </c>
      <c r="AE1385" s="621" t="s">
        <v>2772</v>
      </c>
    </row>
    <row r="1386" spans="1:31" s="572" customFormat="1">
      <c r="A1386" s="570" t="s">
        <v>2773</v>
      </c>
      <c r="B1386" s="573" t="s">
        <v>269</v>
      </c>
      <c r="C1386" s="578" t="s">
        <v>270</v>
      </c>
      <c r="D1386" s="573" t="s">
        <v>1516</v>
      </c>
      <c r="E1386" s="573" t="s">
        <v>1607</v>
      </c>
      <c r="F1386" s="573" t="s">
        <v>271</v>
      </c>
      <c r="G1386" s="573">
        <v>2019</v>
      </c>
      <c r="H1386" s="573" t="s">
        <v>2769</v>
      </c>
      <c r="I1386" s="573" t="s">
        <v>2048</v>
      </c>
      <c r="J1386" s="573" t="s">
        <v>236</v>
      </c>
      <c r="K1386" s="573">
        <v>12</v>
      </c>
      <c r="L1386" s="573">
        <v>0</v>
      </c>
      <c r="M1386" s="573" t="s">
        <v>157</v>
      </c>
      <c r="N1386" s="573">
        <v>4</v>
      </c>
      <c r="O1386" s="573">
        <v>108.6</v>
      </c>
      <c r="P1386" s="571" t="s">
        <v>157</v>
      </c>
      <c r="Q1386" s="573" t="s">
        <v>682</v>
      </c>
      <c r="R1386" s="573">
        <v>6</v>
      </c>
      <c r="S1386" s="582" t="s">
        <v>2770</v>
      </c>
      <c r="T1386" s="573" t="s">
        <v>434</v>
      </c>
      <c r="U1386" s="573">
        <v>147.6</v>
      </c>
      <c r="V1386" s="573">
        <v>25</v>
      </c>
      <c r="W1386" s="616">
        <v>9000</v>
      </c>
      <c r="X1386" s="617">
        <v>12</v>
      </c>
      <c r="Y1386" s="617" t="s">
        <v>178</v>
      </c>
      <c r="Z1386" s="617" t="s">
        <v>178</v>
      </c>
      <c r="AA1386" s="618">
        <v>44015</v>
      </c>
      <c r="AB1386" s="618" t="s">
        <v>164</v>
      </c>
      <c r="AC1386" s="618">
        <v>34074.666666666672</v>
      </c>
      <c r="AD1386" s="619">
        <v>0.03</v>
      </c>
      <c r="AE1386" s="617" t="s">
        <v>2774</v>
      </c>
    </row>
    <row r="1387" spans="1:31" s="572" customFormat="1">
      <c r="A1387" s="570" t="s">
        <v>2775</v>
      </c>
      <c r="B1387" s="569" t="s">
        <v>269</v>
      </c>
      <c r="C1387" s="580" t="s">
        <v>270</v>
      </c>
      <c r="D1387" s="569" t="s">
        <v>1516</v>
      </c>
      <c r="E1387" s="569" t="s">
        <v>1607</v>
      </c>
      <c r="F1387" s="569" t="s">
        <v>271</v>
      </c>
      <c r="G1387" s="569">
        <v>2019</v>
      </c>
      <c r="H1387" s="569" t="s">
        <v>2769</v>
      </c>
      <c r="I1387" s="569" t="s">
        <v>2048</v>
      </c>
      <c r="J1387" s="569" t="s">
        <v>236</v>
      </c>
      <c r="K1387" s="569">
        <v>12</v>
      </c>
      <c r="L1387" s="569">
        <v>0</v>
      </c>
      <c r="M1387" s="569" t="s">
        <v>157</v>
      </c>
      <c r="N1387" s="569">
        <v>4</v>
      </c>
      <c r="O1387" s="569">
        <v>82.4</v>
      </c>
      <c r="P1387" s="568" t="s">
        <v>157</v>
      </c>
      <c r="Q1387" s="569" t="s">
        <v>1917</v>
      </c>
      <c r="R1387" s="569">
        <v>5</v>
      </c>
      <c r="S1387" s="569" t="s">
        <v>2777</v>
      </c>
      <c r="T1387" s="569" t="s">
        <v>434</v>
      </c>
      <c r="U1387" s="569">
        <v>147.6</v>
      </c>
      <c r="V1387" s="569">
        <v>25</v>
      </c>
      <c r="W1387" s="620">
        <v>9250</v>
      </c>
      <c r="X1387" s="621">
        <v>12</v>
      </c>
      <c r="Y1387" s="621" t="s">
        <v>728</v>
      </c>
      <c r="Z1387" s="621" t="s">
        <v>1523</v>
      </c>
      <c r="AA1387" s="622">
        <v>45110</v>
      </c>
      <c r="AB1387" s="622" t="s">
        <v>164</v>
      </c>
      <c r="AC1387" s="622">
        <v>32890.875</v>
      </c>
      <c r="AD1387" s="623">
        <v>0.03</v>
      </c>
      <c r="AE1387" s="621" t="s">
        <v>2776</v>
      </c>
    </row>
    <row r="1388" spans="1:31" s="572" customFormat="1">
      <c r="A1388" s="570" t="s">
        <v>2778</v>
      </c>
      <c r="B1388" s="573" t="s">
        <v>269</v>
      </c>
      <c r="C1388" s="578" t="s">
        <v>270</v>
      </c>
      <c r="D1388" s="573" t="s">
        <v>1516</v>
      </c>
      <c r="E1388" s="573" t="s">
        <v>1607</v>
      </c>
      <c r="F1388" s="573" t="s">
        <v>271</v>
      </c>
      <c r="G1388" s="573">
        <v>2019</v>
      </c>
      <c r="H1388" s="573" t="s">
        <v>2769</v>
      </c>
      <c r="I1388" s="573" t="s">
        <v>2048</v>
      </c>
      <c r="J1388" s="573" t="s">
        <v>236</v>
      </c>
      <c r="K1388" s="573">
        <v>12</v>
      </c>
      <c r="L1388" s="573">
        <v>0</v>
      </c>
      <c r="M1388" s="573" t="s">
        <v>157</v>
      </c>
      <c r="N1388" s="573">
        <v>4</v>
      </c>
      <c r="O1388" s="573">
        <v>82.4</v>
      </c>
      <c r="P1388" s="571" t="s">
        <v>157</v>
      </c>
      <c r="Q1388" s="573" t="s">
        <v>1259</v>
      </c>
      <c r="R1388" s="573">
        <v>6</v>
      </c>
      <c r="S1388" s="582" t="s">
        <v>2777</v>
      </c>
      <c r="T1388" s="573" t="s">
        <v>434</v>
      </c>
      <c r="U1388" s="573">
        <v>147.6</v>
      </c>
      <c r="V1388" s="573">
        <v>25</v>
      </c>
      <c r="W1388" s="616">
        <v>9000</v>
      </c>
      <c r="X1388" s="617">
        <v>12</v>
      </c>
      <c r="Y1388" s="617" t="s">
        <v>178</v>
      </c>
      <c r="Z1388" s="617" t="s">
        <v>178</v>
      </c>
      <c r="AA1388" s="618">
        <v>42980</v>
      </c>
      <c r="AB1388" s="618" t="s">
        <v>164</v>
      </c>
      <c r="AC1388" s="618">
        <v>30997.583333333336</v>
      </c>
      <c r="AD1388" s="619">
        <v>0.03</v>
      </c>
      <c r="AE1388" s="617" t="s">
        <v>2779</v>
      </c>
    </row>
    <row r="1389" spans="1:31" s="572" customFormat="1">
      <c r="A1389" s="570" t="s">
        <v>2780</v>
      </c>
      <c r="B1389" s="569" t="s">
        <v>269</v>
      </c>
      <c r="C1389" s="580" t="s">
        <v>270</v>
      </c>
      <c r="D1389" s="569" t="s">
        <v>1516</v>
      </c>
      <c r="E1389" s="569" t="s">
        <v>1607</v>
      </c>
      <c r="F1389" s="569" t="s">
        <v>271</v>
      </c>
      <c r="G1389" s="569">
        <v>2019</v>
      </c>
      <c r="H1389" s="569" t="s">
        <v>2769</v>
      </c>
      <c r="I1389" s="569" t="s">
        <v>2048</v>
      </c>
      <c r="J1389" s="569" t="s">
        <v>236</v>
      </c>
      <c r="K1389" s="569">
        <v>12</v>
      </c>
      <c r="L1389" s="569">
        <v>0</v>
      </c>
      <c r="M1389" s="569" t="s">
        <v>157</v>
      </c>
      <c r="N1389" s="569">
        <v>4</v>
      </c>
      <c r="O1389" s="569">
        <v>82.4</v>
      </c>
      <c r="P1389" s="568" t="s">
        <v>157</v>
      </c>
      <c r="Q1389" s="569" t="s">
        <v>682</v>
      </c>
      <c r="R1389" s="569">
        <v>6</v>
      </c>
      <c r="S1389" s="569" t="s">
        <v>2777</v>
      </c>
      <c r="T1389" s="569" t="s">
        <v>434</v>
      </c>
      <c r="U1389" s="569">
        <v>147.6</v>
      </c>
      <c r="V1389" s="569">
        <v>25</v>
      </c>
      <c r="W1389" s="620">
        <v>9000</v>
      </c>
      <c r="X1389" s="621">
        <v>12</v>
      </c>
      <c r="Y1389" s="621" t="s">
        <v>178</v>
      </c>
      <c r="Z1389" s="621" t="s">
        <v>178</v>
      </c>
      <c r="AA1389" s="622">
        <v>41115</v>
      </c>
      <c r="AB1389" s="622" t="s">
        <v>164</v>
      </c>
      <c r="AC1389" s="622">
        <v>29341.333333333336</v>
      </c>
      <c r="AD1389" s="623">
        <v>0.03</v>
      </c>
      <c r="AE1389" s="621" t="s">
        <v>2781</v>
      </c>
    </row>
    <row r="1390" spans="1:31" s="572" customFormat="1">
      <c r="A1390" s="570" t="s">
        <v>2782</v>
      </c>
      <c r="B1390" s="573" t="s">
        <v>269</v>
      </c>
      <c r="C1390" s="578" t="s">
        <v>270</v>
      </c>
      <c r="D1390" s="573" t="s">
        <v>1516</v>
      </c>
      <c r="E1390" s="573" t="s">
        <v>1607</v>
      </c>
      <c r="F1390" s="573" t="s">
        <v>271</v>
      </c>
      <c r="G1390" s="573">
        <v>2019</v>
      </c>
      <c r="H1390" s="573" t="s">
        <v>2769</v>
      </c>
      <c r="I1390" s="573" t="s">
        <v>2048</v>
      </c>
      <c r="J1390" s="573" t="s">
        <v>236</v>
      </c>
      <c r="K1390" s="573">
        <v>12</v>
      </c>
      <c r="L1390" s="573">
        <v>0</v>
      </c>
      <c r="M1390" s="573" t="s">
        <v>157</v>
      </c>
      <c r="N1390" s="573">
        <v>4</v>
      </c>
      <c r="O1390" s="573">
        <v>99.2</v>
      </c>
      <c r="P1390" s="571" t="s">
        <v>157</v>
      </c>
      <c r="Q1390" s="573" t="s">
        <v>1917</v>
      </c>
      <c r="R1390" s="573">
        <v>5</v>
      </c>
      <c r="S1390" s="582" t="s">
        <v>2617</v>
      </c>
      <c r="T1390" s="573" t="s">
        <v>434</v>
      </c>
      <c r="U1390" s="573">
        <v>147.6</v>
      </c>
      <c r="V1390" s="573">
        <v>25</v>
      </c>
      <c r="W1390" s="616">
        <v>9250</v>
      </c>
      <c r="X1390" s="617">
        <v>12</v>
      </c>
      <c r="Y1390" s="617" t="s">
        <v>728</v>
      </c>
      <c r="Z1390" s="617" t="s">
        <v>1523</v>
      </c>
      <c r="AA1390" s="618">
        <v>46560</v>
      </c>
      <c r="AB1390" s="618" t="s">
        <v>164</v>
      </c>
      <c r="AC1390" s="618">
        <v>36299.208333333336</v>
      </c>
      <c r="AD1390" s="619">
        <v>0.03</v>
      </c>
      <c r="AE1390" s="617" t="s">
        <v>2783</v>
      </c>
    </row>
    <row r="1391" spans="1:31" s="572" customFormat="1">
      <c r="A1391" s="570" t="s">
        <v>2784</v>
      </c>
      <c r="B1391" s="569" t="s">
        <v>269</v>
      </c>
      <c r="C1391" s="580" t="s">
        <v>270</v>
      </c>
      <c r="D1391" s="569" t="s">
        <v>1516</v>
      </c>
      <c r="E1391" s="569" t="s">
        <v>1607</v>
      </c>
      <c r="F1391" s="569" t="s">
        <v>271</v>
      </c>
      <c r="G1391" s="569">
        <v>2019</v>
      </c>
      <c r="H1391" s="569" t="s">
        <v>2769</v>
      </c>
      <c r="I1391" s="569" t="s">
        <v>2048</v>
      </c>
      <c r="J1391" s="569" t="s">
        <v>236</v>
      </c>
      <c r="K1391" s="569">
        <v>12</v>
      </c>
      <c r="L1391" s="569">
        <v>0</v>
      </c>
      <c r="M1391" s="569" t="s">
        <v>157</v>
      </c>
      <c r="N1391" s="569">
        <v>4</v>
      </c>
      <c r="O1391" s="569">
        <v>99.2</v>
      </c>
      <c r="P1391" s="568" t="s">
        <v>157</v>
      </c>
      <c r="Q1391" s="569" t="s">
        <v>1259</v>
      </c>
      <c r="R1391" s="569">
        <v>6</v>
      </c>
      <c r="S1391" s="569" t="s">
        <v>2617</v>
      </c>
      <c r="T1391" s="569" t="s">
        <v>434</v>
      </c>
      <c r="U1391" s="569">
        <v>147.6</v>
      </c>
      <c r="V1391" s="569">
        <v>25</v>
      </c>
      <c r="W1391" s="620">
        <v>9000</v>
      </c>
      <c r="X1391" s="621">
        <v>12</v>
      </c>
      <c r="Y1391" s="621" t="s">
        <v>178</v>
      </c>
      <c r="Z1391" s="621" t="s">
        <v>178</v>
      </c>
      <c r="AA1391" s="622">
        <v>44430</v>
      </c>
      <c r="AB1391" s="622" t="s">
        <v>164</v>
      </c>
      <c r="AC1391" s="622">
        <v>34405.916666666672</v>
      </c>
      <c r="AD1391" s="623">
        <v>0.03</v>
      </c>
      <c r="AE1391" s="621" t="s">
        <v>2785</v>
      </c>
    </row>
    <row r="1392" spans="1:31" s="572" customFormat="1">
      <c r="A1392" s="570" t="s">
        <v>2786</v>
      </c>
      <c r="B1392" s="573" t="s">
        <v>269</v>
      </c>
      <c r="C1392" s="578" t="s">
        <v>270</v>
      </c>
      <c r="D1392" s="573" t="s">
        <v>1516</v>
      </c>
      <c r="E1392" s="573" t="s">
        <v>1607</v>
      </c>
      <c r="F1392" s="573" t="s">
        <v>271</v>
      </c>
      <c r="G1392" s="573">
        <v>2019</v>
      </c>
      <c r="H1392" s="573" t="s">
        <v>2769</v>
      </c>
      <c r="I1392" s="573" t="s">
        <v>2048</v>
      </c>
      <c r="J1392" s="573" t="s">
        <v>236</v>
      </c>
      <c r="K1392" s="573">
        <v>12</v>
      </c>
      <c r="L1392" s="573">
        <v>0</v>
      </c>
      <c r="M1392" s="573" t="s">
        <v>157</v>
      </c>
      <c r="N1392" s="573">
        <v>4</v>
      </c>
      <c r="O1392" s="573">
        <v>99.2</v>
      </c>
      <c r="P1392" s="571" t="s">
        <v>157</v>
      </c>
      <c r="Q1392" s="573" t="s">
        <v>682</v>
      </c>
      <c r="R1392" s="573">
        <v>6</v>
      </c>
      <c r="S1392" s="582" t="s">
        <v>2617</v>
      </c>
      <c r="T1392" s="573" t="s">
        <v>434</v>
      </c>
      <c r="U1392" s="573">
        <v>147.6</v>
      </c>
      <c r="V1392" s="573">
        <v>25</v>
      </c>
      <c r="W1392" s="616">
        <v>9000</v>
      </c>
      <c r="X1392" s="617">
        <v>12</v>
      </c>
      <c r="Y1392" s="617" t="s">
        <v>178</v>
      </c>
      <c r="Z1392" s="617" t="s">
        <v>178</v>
      </c>
      <c r="AA1392" s="618">
        <v>42565</v>
      </c>
      <c r="AB1392" s="618" t="s">
        <v>164</v>
      </c>
      <c r="AC1392" s="618">
        <v>33933</v>
      </c>
      <c r="AD1392" s="619">
        <v>0.03</v>
      </c>
      <c r="AE1392" s="617" t="s">
        <v>2787</v>
      </c>
    </row>
    <row r="1393" spans="1:31" s="572" customFormat="1">
      <c r="A1393" s="570" t="s">
        <v>2788</v>
      </c>
      <c r="B1393" s="569" t="s">
        <v>269</v>
      </c>
      <c r="C1393" s="580" t="s">
        <v>270</v>
      </c>
      <c r="D1393" s="569" t="s">
        <v>1516</v>
      </c>
      <c r="E1393" s="569" t="s">
        <v>1607</v>
      </c>
      <c r="F1393" s="569" t="s">
        <v>271</v>
      </c>
      <c r="G1393" s="569">
        <v>2019</v>
      </c>
      <c r="H1393" s="569" t="s">
        <v>2769</v>
      </c>
      <c r="I1393" s="569" t="s">
        <v>2048</v>
      </c>
      <c r="J1393" s="569" t="s">
        <v>236</v>
      </c>
      <c r="K1393" s="569">
        <v>15</v>
      </c>
      <c r="L1393" s="569">
        <v>0</v>
      </c>
      <c r="M1393" s="569" t="s">
        <v>157</v>
      </c>
      <c r="N1393" s="569">
        <v>5</v>
      </c>
      <c r="O1393" s="569">
        <v>107.7</v>
      </c>
      <c r="P1393" s="568" t="s">
        <v>157</v>
      </c>
      <c r="Q1393" s="569" t="s">
        <v>1917</v>
      </c>
      <c r="R1393" s="569">
        <v>5</v>
      </c>
      <c r="S1393" s="569" t="s">
        <v>2599</v>
      </c>
      <c r="T1393" s="569" t="s">
        <v>434</v>
      </c>
      <c r="U1393" s="569">
        <v>147.6</v>
      </c>
      <c r="V1393" s="569">
        <v>25</v>
      </c>
      <c r="W1393" s="620">
        <v>10360</v>
      </c>
      <c r="X1393" s="621">
        <v>12</v>
      </c>
      <c r="Y1393" s="621" t="s">
        <v>728</v>
      </c>
      <c r="Z1393" s="621" t="s">
        <v>1523</v>
      </c>
      <c r="AA1393" s="622">
        <v>49160</v>
      </c>
      <c r="AB1393" s="622" t="s">
        <v>164</v>
      </c>
      <c r="AC1393" s="622">
        <v>38675.25</v>
      </c>
      <c r="AD1393" s="623">
        <v>0.03</v>
      </c>
      <c r="AE1393" s="621" t="s">
        <v>2789</v>
      </c>
    </row>
    <row r="1394" spans="1:31" s="572" customFormat="1">
      <c r="A1394" s="570" t="s">
        <v>2790</v>
      </c>
      <c r="B1394" s="573" t="s">
        <v>269</v>
      </c>
      <c r="C1394" s="578" t="s">
        <v>270</v>
      </c>
      <c r="D1394" s="573" t="s">
        <v>1516</v>
      </c>
      <c r="E1394" s="573" t="s">
        <v>1607</v>
      </c>
      <c r="F1394" s="573" t="s">
        <v>271</v>
      </c>
      <c r="G1394" s="573">
        <v>2019</v>
      </c>
      <c r="H1394" s="573" t="s">
        <v>2769</v>
      </c>
      <c r="I1394" s="573" t="s">
        <v>2048</v>
      </c>
      <c r="J1394" s="573" t="s">
        <v>236</v>
      </c>
      <c r="K1394" s="573">
        <v>15</v>
      </c>
      <c r="L1394" s="573">
        <v>0</v>
      </c>
      <c r="M1394" s="573" t="s">
        <v>157</v>
      </c>
      <c r="N1394" s="573">
        <v>5</v>
      </c>
      <c r="O1394" s="573">
        <v>107.7</v>
      </c>
      <c r="P1394" s="571" t="s">
        <v>157</v>
      </c>
      <c r="Q1394" s="573" t="s">
        <v>1259</v>
      </c>
      <c r="R1394" s="573">
        <v>6</v>
      </c>
      <c r="S1394" s="582" t="s">
        <v>2599</v>
      </c>
      <c r="T1394" s="573" t="s">
        <v>434</v>
      </c>
      <c r="U1394" s="573">
        <v>147.6</v>
      </c>
      <c r="V1394" s="573">
        <v>25</v>
      </c>
      <c r="W1394" s="616">
        <v>10360</v>
      </c>
      <c r="X1394" s="617" t="s">
        <v>157</v>
      </c>
      <c r="Y1394" s="617" t="s">
        <v>178</v>
      </c>
      <c r="Z1394" s="617" t="s">
        <v>178</v>
      </c>
      <c r="AA1394" s="618">
        <v>47030</v>
      </c>
      <c r="AB1394" s="618" t="s">
        <v>164</v>
      </c>
      <c r="AC1394" s="618">
        <v>36781.958333333336</v>
      </c>
      <c r="AD1394" s="619">
        <v>0.03</v>
      </c>
      <c r="AE1394" s="617" t="s">
        <v>2791</v>
      </c>
    </row>
    <row r="1395" spans="1:31" s="572" customFormat="1">
      <c r="A1395" s="570" t="s">
        <v>2792</v>
      </c>
      <c r="B1395" s="569" t="s">
        <v>269</v>
      </c>
      <c r="C1395" s="580" t="s">
        <v>270</v>
      </c>
      <c r="D1395" s="569" t="s">
        <v>1516</v>
      </c>
      <c r="E1395" s="569" t="s">
        <v>1607</v>
      </c>
      <c r="F1395" s="569" t="s">
        <v>271</v>
      </c>
      <c r="G1395" s="569">
        <v>2019</v>
      </c>
      <c r="H1395" s="569" t="s">
        <v>2769</v>
      </c>
      <c r="I1395" s="569" t="s">
        <v>2048</v>
      </c>
      <c r="J1395" s="569" t="s">
        <v>236</v>
      </c>
      <c r="K1395" s="569">
        <v>15</v>
      </c>
      <c r="L1395" s="569">
        <v>0</v>
      </c>
      <c r="M1395" s="569" t="s">
        <v>157</v>
      </c>
      <c r="N1395" s="569">
        <v>5</v>
      </c>
      <c r="O1395" s="569">
        <v>107.7</v>
      </c>
      <c r="P1395" s="568" t="s">
        <v>157</v>
      </c>
      <c r="Q1395" s="569" t="s">
        <v>682</v>
      </c>
      <c r="R1395" s="569">
        <v>6</v>
      </c>
      <c r="S1395" s="569" t="s">
        <v>2599</v>
      </c>
      <c r="T1395" s="569" t="s">
        <v>434</v>
      </c>
      <c r="U1395" s="569">
        <v>147.6</v>
      </c>
      <c r="V1395" s="569">
        <v>25</v>
      </c>
      <c r="W1395" s="620">
        <v>10360</v>
      </c>
      <c r="X1395" s="621" t="s">
        <v>157</v>
      </c>
      <c r="Y1395" s="621" t="s">
        <v>178</v>
      </c>
      <c r="Z1395" s="621" t="s">
        <v>178</v>
      </c>
      <c r="AA1395" s="622">
        <v>45165</v>
      </c>
      <c r="AB1395" s="622" t="s">
        <v>164</v>
      </c>
      <c r="AC1395" s="622">
        <v>35125.708333333336</v>
      </c>
      <c r="AD1395" s="623">
        <v>0.03</v>
      </c>
      <c r="AE1395" s="621" t="s">
        <v>2793</v>
      </c>
    </row>
    <row r="1396" spans="1:31" s="572" customFormat="1">
      <c r="A1396" s="570" t="s">
        <v>2794</v>
      </c>
      <c r="B1396" s="573" t="s">
        <v>269</v>
      </c>
      <c r="C1396" s="578" t="s">
        <v>270</v>
      </c>
      <c r="D1396" s="573" t="s">
        <v>1516</v>
      </c>
      <c r="E1396" s="573" t="s">
        <v>1607</v>
      </c>
      <c r="F1396" s="573" t="s">
        <v>271</v>
      </c>
      <c r="G1396" s="573">
        <v>2019</v>
      </c>
      <c r="H1396" s="573" t="s">
        <v>2769</v>
      </c>
      <c r="I1396" s="573" t="s">
        <v>2048</v>
      </c>
      <c r="J1396" s="573" t="s">
        <v>236</v>
      </c>
      <c r="K1396" s="573">
        <v>15</v>
      </c>
      <c r="L1396" s="573">
        <v>0</v>
      </c>
      <c r="M1396" s="573" t="s">
        <v>157</v>
      </c>
      <c r="N1396" s="573">
        <v>5</v>
      </c>
      <c r="O1396" s="573">
        <v>108.6</v>
      </c>
      <c r="P1396" s="571" t="s">
        <v>157</v>
      </c>
      <c r="Q1396" s="573" t="s">
        <v>1917</v>
      </c>
      <c r="R1396" s="573">
        <v>5</v>
      </c>
      <c r="S1396" s="582" t="s">
        <v>2770</v>
      </c>
      <c r="T1396" s="573" t="s">
        <v>434</v>
      </c>
      <c r="U1396" s="573">
        <v>147.6</v>
      </c>
      <c r="V1396" s="573">
        <v>25</v>
      </c>
      <c r="W1396" s="616">
        <v>9400</v>
      </c>
      <c r="X1396" s="617">
        <v>12</v>
      </c>
      <c r="Y1396" s="617" t="s">
        <v>728</v>
      </c>
      <c r="Z1396" s="617" t="s">
        <v>1523</v>
      </c>
      <c r="AA1396" s="618">
        <v>49505</v>
      </c>
      <c r="AB1396" s="618" t="s">
        <v>164</v>
      </c>
      <c r="AC1396" s="618">
        <v>38952.333333333336</v>
      </c>
      <c r="AD1396" s="619">
        <v>0.03</v>
      </c>
      <c r="AE1396" s="617" t="s">
        <v>2795</v>
      </c>
    </row>
    <row r="1397" spans="1:31" s="572" customFormat="1">
      <c r="A1397" s="570" t="s">
        <v>2796</v>
      </c>
      <c r="B1397" s="569" t="s">
        <v>269</v>
      </c>
      <c r="C1397" s="580" t="s">
        <v>270</v>
      </c>
      <c r="D1397" s="569" t="s">
        <v>1516</v>
      </c>
      <c r="E1397" s="569" t="s">
        <v>1607</v>
      </c>
      <c r="F1397" s="569" t="s">
        <v>271</v>
      </c>
      <c r="G1397" s="569">
        <v>2019</v>
      </c>
      <c r="H1397" s="569" t="s">
        <v>2769</v>
      </c>
      <c r="I1397" s="569" t="s">
        <v>2048</v>
      </c>
      <c r="J1397" s="569" t="s">
        <v>236</v>
      </c>
      <c r="K1397" s="569">
        <v>15</v>
      </c>
      <c r="L1397" s="569">
        <v>0</v>
      </c>
      <c r="M1397" s="569" t="s">
        <v>157</v>
      </c>
      <c r="N1397" s="569">
        <v>5</v>
      </c>
      <c r="O1397" s="569">
        <v>108.6</v>
      </c>
      <c r="P1397" s="568" t="s">
        <v>157</v>
      </c>
      <c r="Q1397" s="569" t="s">
        <v>1259</v>
      </c>
      <c r="R1397" s="569">
        <v>6</v>
      </c>
      <c r="S1397" s="569" t="s">
        <v>2770</v>
      </c>
      <c r="T1397" s="569" t="s">
        <v>434</v>
      </c>
      <c r="U1397" s="569">
        <v>147.6</v>
      </c>
      <c r="V1397" s="569">
        <v>25</v>
      </c>
      <c r="W1397" s="620">
        <v>9150</v>
      </c>
      <c r="X1397" s="621">
        <v>12</v>
      </c>
      <c r="Y1397" s="621" t="s">
        <v>178</v>
      </c>
      <c r="Z1397" s="621" t="s">
        <v>178</v>
      </c>
      <c r="AA1397" s="622">
        <v>47375</v>
      </c>
      <c r="AB1397" s="622" t="s">
        <v>164</v>
      </c>
      <c r="AC1397" s="622">
        <v>37059.041666666672</v>
      </c>
      <c r="AD1397" s="623">
        <v>0.03</v>
      </c>
      <c r="AE1397" s="621" t="s">
        <v>2797</v>
      </c>
    </row>
    <row r="1398" spans="1:31" s="572" customFormat="1">
      <c r="A1398" s="570" t="s">
        <v>2798</v>
      </c>
      <c r="B1398" s="573" t="s">
        <v>269</v>
      </c>
      <c r="C1398" s="578" t="s">
        <v>270</v>
      </c>
      <c r="D1398" s="573" t="s">
        <v>1516</v>
      </c>
      <c r="E1398" s="573" t="s">
        <v>1607</v>
      </c>
      <c r="F1398" s="573" t="s">
        <v>271</v>
      </c>
      <c r="G1398" s="573">
        <v>2019</v>
      </c>
      <c r="H1398" s="573" t="s">
        <v>2769</v>
      </c>
      <c r="I1398" s="573" t="s">
        <v>2048</v>
      </c>
      <c r="J1398" s="573" t="s">
        <v>236</v>
      </c>
      <c r="K1398" s="573">
        <v>15</v>
      </c>
      <c r="L1398" s="573">
        <v>0</v>
      </c>
      <c r="M1398" s="573" t="s">
        <v>157</v>
      </c>
      <c r="N1398" s="573">
        <v>5</v>
      </c>
      <c r="O1398" s="573">
        <v>108.6</v>
      </c>
      <c r="P1398" s="571" t="s">
        <v>157</v>
      </c>
      <c r="Q1398" s="573" t="s">
        <v>682</v>
      </c>
      <c r="R1398" s="573">
        <v>6</v>
      </c>
      <c r="S1398" s="582" t="s">
        <v>2770</v>
      </c>
      <c r="T1398" s="573" t="s">
        <v>434</v>
      </c>
      <c r="U1398" s="573">
        <v>147.6</v>
      </c>
      <c r="V1398" s="573">
        <v>25</v>
      </c>
      <c r="W1398" s="616">
        <v>9150</v>
      </c>
      <c r="X1398" s="617">
        <v>12</v>
      </c>
      <c r="Y1398" s="617" t="s">
        <v>178</v>
      </c>
      <c r="Z1398" s="617" t="s">
        <v>178</v>
      </c>
      <c r="AA1398" s="618">
        <v>45510</v>
      </c>
      <c r="AB1398" s="618" t="s">
        <v>164</v>
      </c>
      <c r="AC1398" s="618">
        <v>35402.791666666672</v>
      </c>
      <c r="AD1398" s="619">
        <v>0.03</v>
      </c>
      <c r="AE1398" s="617" t="s">
        <v>2799</v>
      </c>
    </row>
    <row r="1399" spans="1:31" s="572" customFormat="1">
      <c r="A1399" s="570" t="s">
        <v>2800</v>
      </c>
      <c r="B1399" s="569" t="s">
        <v>269</v>
      </c>
      <c r="C1399" s="580" t="s">
        <v>270</v>
      </c>
      <c r="D1399" s="569" t="s">
        <v>1516</v>
      </c>
      <c r="E1399" s="569" t="s">
        <v>1607</v>
      </c>
      <c r="F1399" s="569" t="s">
        <v>271</v>
      </c>
      <c r="G1399" s="569">
        <v>2019</v>
      </c>
      <c r="H1399" s="569" t="s">
        <v>2769</v>
      </c>
      <c r="I1399" s="569" t="s">
        <v>2048</v>
      </c>
      <c r="J1399" s="569" t="s">
        <v>236</v>
      </c>
      <c r="K1399" s="569">
        <v>15</v>
      </c>
      <c r="L1399" s="569">
        <v>0</v>
      </c>
      <c r="M1399" s="569" t="s">
        <v>157</v>
      </c>
      <c r="N1399" s="569">
        <v>5</v>
      </c>
      <c r="O1399" s="569">
        <v>82.4</v>
      </c>
      <c r="P1399" s="568" t="s">
        <v>157</v>
      </c>
      <c r="Q1399" s="569" t="s">
        <v>1917</v>
      </c>
      <c r="R1399" s="569">
        <v>5</v>
      </c>
      <c r="S1399" s="569" t="s">
        <v>2777</v>
      </c>
      <c r="T1399" s="569" t="s">
        <v>434</v>
      </c>
      <c r="U1399" s="569">
        <v>147.6</v>
      </c>
      <c r="V1399" s="569">
        <v>25</v>
      </c>
      <c r="W1399" s="620">
        <v>9250</v>
      </c>
      <c r="X1399" s="621">
        <v>12</v>
      </c>
      <c r="Y1399" s="621" t="s">
        <v>728</v>
      </c>
      <c r="Z1399" s="621" t="s">
        <v>1523</v>
      </c>
      <c r="AA1399" s="622">
        <v>46605</v>
      </c>
      <c r="AB1399" s="622" t="s">
        <v>164</v>
      </c>
      <c r="AC1399" s="622">
        <v>34219</v>
      </c>
      <c r="AD1399" s="623">
        <v>0.03</v>
      </c>
      <c r="AE1399" s="621" t="s">
        <v>2801</v>
      </c>
    </row>
    <row r="1400" spans="1:31" s="572" customFormat="1">
      <c r="A1400" s="570" t="s">
        <v>2802</v>
      </c>
      <c r="B1400" s="573" t="s">
        <v>269</v>
      </c>
      <c r="C1400" s="578" t="s">
        <v>270</v>
      </c>
      <c r="D1400" s="573" t="s">
        <v>1516</v>
      </c>
      <c r="E1400" s="573" t="s">
        <v>1607</v>
      </c>
      <c r="F1400" s="573" t="s">
        <v>271</v>
      </c>
      <c r="G1400" s="573">
        <v>2019</v>
      </c>
      <c r="H1400" s="573" t="s">
        <v>2769</v>
      </c>
      <c r="I1400" s="573" t="s">
        <v>2048</v>
      </c>
      <c r="J1400" s="573" t="s">
        <v>236</v>
      </c>
      <c r="K1400" s="573">
        <v>15</v>
      </c>
      <c r="L1400" s="573">
        <v>0</v>
      </c>
      <c r="M1400" s="573" t="s">
        <v>157</v>
      </c>
      <c r="N1400" s="573">
        <v>5</v>
      </c>
      <c r="O1400" s="573">
        <v>82.4</v>
      </c>
      <c r="P1400" s="571" t="s">
        <v>157</v>
      </c>
      <c r="Q1400" s="573" t="s">
        <v>1259</v>
      </c>
      <c r="R1400" s="573">
        <v>6</v>
      </c>
      <c r="S1400" s="582" t="s">
        <v>2777</v>
      </c>
      <c r="T1400" s="573" t="s">
        <v>434</v>
      </c>
      <c r="U1400" s="573">
        <v>147.6</v>
      </c>
      <c r="V1400" s="573">
        <v>25</v>
      </c>
      <c r="W1400" s="616">
        <v>9000</v>
      </c>
      <c r="X1400" s="617">
        <v>12</v>
      </c>
      <c r="Y1400" s="617" t="s">
        <v>178</v>
      </c>
      <c r="Z1400" s="617" t="s">
        <v>178</v>
      </c>
      <c r="AA1400" s="618">
        <v>44475</v>
      </c>
      <c r="AB1400" s="618" t="s">
        <v>164</v>
      </c>
      <c r="AC1400" s="618">
        <v>32325.708333333336</v>
      </c>
      <c r="AD1400" s="619">
        <v>0.03</v>
      </c>
      <c r="AE1400" s="617" t="s">
        <v>2803</v>
      </c>
    </row>
    <row r="1401" spans="1:31" s="572" customFormat="1">
      <c r="A1401" s="570" t="s">
        <v>2804</v>
      </c>
      <c r="B1401" s="569" t="s">
        <v>269</v>
      </c>
      <c r="C1401" s="580" t="s">
        <v>270</v>
      </c>
      <c r="D1401" s="569" t="s">
        <v>1516</v>
      </c>
      <c r="E1401" s="569" t="s">
        <v>1607</v>
      </c>
      <c r="F1401" s="569" t="s">
        <v>271</v>
      </c>
      <c r="G1401" s="569">
        <v>2019</v>
      </c>
      <c r="H1401" s="569" t="s">
        <v>2769</v>
      </c>
      <c r="I1401" s="569" t="s">
        <v>2048</v>
      </c>
      <c r="J1401" s="569" t="s">
        <v>236</v>
      </c>
      <c r="K1401" s="569">
        <v>15</v>
      </c>
      <c r="L1401" s="569">
        <v>0</v>
      </c>
      <c r="M1401" s="569" t="s">
        <v>157</v>
      </c>
      <c r="N1401" s="569">
        <v>5</v>
      </c>
      <c r="O1401" s="569">
        <v>82.4</v>
      </c>
      <c r="P1401" s="568" t="s">
        <v>157</v>
      </c>
      <c r="Q1401" s="569" t="s">
        <v>682</v>
      </c>
      <c r="R1401" s="569">
        <v>6</v>
      </c>
      <c r="S1401" s="569" t="s">
        <v>2777</v>
      </c>
      <c r="T1401" s="569" t="s">
        <v>434</v>
      </c>
      <c r="U1401" s="569">
        <v>147.6</v>
      </c>
      <c r="V1401" s="569">
        <v>25</v>
      </c>
      <c r="W1401" s="620">
        <v>9000</v>
      </c>
      <c r="X1401" s="621">
        <v>12</v>
      </c>
      <c r="Y1401" s="621" t="s">
        <v>178</v>
      </c>
      <c r="Z1401" s="621" t="s">
        <v>178</v>
      </c>
      <c r="AA1401" s="622">
        <v>42610</v>
      </c>
      <c r="AB1401" s="622" t="s">
        <v>164</v>
      </c>
      <c r="AC1401" s="622">
        <v>30669.458333333336</v>
      </c>
      <c r="AD1401" s="623">
        <v>0.03</v>
      </c>
      <c r="AE1401" s="621" t="s">
        <v>2805</v>
      </c>
    </row>
    <row r="1402" spans="1:31" s="572" customFormat="1">
      <c r="A1402" s="570" t="s">
        <v>2806</v>
      </c>
      <c r="B1402" s="573" t="s">
        <v>269</v>
      </c>
      <c r="C1402" s="578" t="s">
        <v>270</v>
      </c>
      <c r="D1402" s="573" t="s">
        <v>1516</v>
      </c>
      <c r="E1402" s="573" t="s">
        <v>1607</v>
      </c>
      <c r="F1402" s="573" t="s">
        <v>271</v>
      </c>
      <c r="G1402" s="573">
        <v>2019</v>
      </c>
      <c r="H1402" s="573" t="s">
        <v>2769</v>
      </c>
      <c r="I1402" s="573" t="s">
        <v>2048</v>
      </c>
      <c r="J1402" s="573" t="s">
        <v>236</v>
      </c>
      <c r="K1402" s="573">
        <v>15</v>
      </c>
      <c r="L1402" s="573">
        <v>0</v>
      </c>
      <c r="M1402" s="573" t="s">
        <v>157</v>
      </c>
      <c r="N1402" s="573">
        <v>5</v>
      </c>
      <c r="O1402" s="573">
        <v>99.2</v>
      </c>
      <c r="P1402" s="571" t="s">
        <v>157</v>
      </c>
      <c r="Q1402" s="573" t="s">
        <v>1917</v>
      </c>
      <c r="R1402" s="573">
        <v>5</v>
      </c>
      <c r="S1402" s="582" t="s">
        <v>2617</v>
      </c>
      <c r="T1402" s="573" t="s">
        <v>434</v>
      </c>
      <c r="U1402" s="573">
        <v>147.6</v>
      </c>
      <c r="V1402" s="573">
        <v>25</v>
      </c>
      <c r="W1402" s="616">
        <v>9400</v>
      </c>
      <c r="X1402" s="617">
        <v>12</v>
      </c>
      <c r="Y1402" s="617" t="s">
        <v>728</v>
      </c>
      <c r="Z1402" s="617" t="s">
        <v>1523</v>
      </c>
      <c r="AA1402" s="618">
        <v>48055</v>
      </c>
      <c r="AB1402" s="618" t="s">
        <v>164</v>
      </c>
      <c r="AC1402" s="618">
        <v>37627.333333333336</v>
      </c>
      <c r="AD1402" s="619">
        <v>0.03</v>
      </c>
      <c r="AE1402" s="617" t="s">
        <v>2807</v>
      </c>
    </row>
    <row r="1403" spans="1:31" s="572" customFormat="1">
      <c r="A1403" s="570" t="s">
        <v>2808</v>
      </c>
      <c r="B1403" s="569" t="s">
        <v>269</v>
      </c>
      <c r="C1403" s="580" t="s">
        <v>270</v>
      </c>
      <c r="D1403" s="569" t="s">
        <v>1516</v>
      </c>
      <c r="E1403" s="569" t="s">
        <v>1607</v>
      </c>
      <c r="F1403" s="569" t="s">
        <v>271</v>
      </c>
      <c r="G1403" s="569">
        <v>2019</v>
      </c>
      <c r="H1403" s="569" t="s">
        <v>2769</v>
      </c>
      <c r="I1403" s="569" t="s">
        <v>2048</v>
      </c>
      <c r="J1403" s="569" t="s">
        <v>236</v>
      </c>
      <c r="K1403" s="569">
        <v>15</v>
      </c>
      <c r="L1403" s="569">
        <v>0</v>
      </c>
      <c r="M1403" s="569" t="s">
        <v>157</v>
      </c>
      <c r="N1403" s="569">
        <v>5</v>
      </c>
      <c r="O1403" s="569">
        <v>99.2</v>
      </c>
      <c r="P1403" s="568" t="s">
        <v>157</v>
      </c>
      <c r="Q1403" s="569" t="s">
        <v>1259</v>
      </c>
      <c r="R1403" s="569">
        <v>6</v>
      </c>
      <c r="S1403" s="569" t="s">
        <v>2617</v>
      </c>
      <c r="T1403" s="569" t="s">
        <v>434</v>
      </c>
      <c r="U1403" s="569">
        <v>147.6</v>
      </c>
      <c r="V1403" s="569">
        <v>25</v>
      </c>
      <c r="W1403" s="620">
        <v>9150</v>
      </c>
      <c r="X1403" s="621">
        <v>12</v>
      </c>
      <c r="Y1403" s="621" t="s">
        <v>178</v>
      </c>
      <c r="Z1403" s="621" t="s">
        <v>178</v>
      </c>
      <c r="AA1403" s="622">
        <v>45925</v>
      </c>
      <c r="AB1403" s="622" t="s">
        <v>164</v>
      </c>
      <c r="AC1403" s="622">
        <v>35734.041666666672</v>
      </c>
      <c r="AD1403" s="623">
        <v>0.03</v>
      </c>
      <c r="AE1403" s="621" t="s">
        <v>2809</v>
      </c>
    </row>
    <row r="1404" spans="1:31" s="572" customFormat="1">
      <c r="A1404" s="570" t="s">
        <v>2810</v>
      </c>
      <c r="B1404" s="573" t="s">
        <v>269</v>
      </c>
      <c r="C1404" s="578" t="s">
        <v>270</v>
      </c>
      <c r="D1404" s="573" t="s">
        <v>1516</v>
      </c>
      <c r="E1404" s="573" t="s">
        <v>1607</v>
      </c>
      <c r="F1404" s="573" t="s">
        <v>271</v>
      </c>
      <c r="G1404" s="573">
        <v>2019</v>
      </c>
      <c r="H1404" s="573" t="s">
        <v>2769</v>
      </c>
      <c r="I1404" s="573" t="s">
        <v>2048</v>
      </c>
      <c r="J1404" s="573" t="s">
        <v>236</v>
      </c>
      <c r="K1404" s="573">
        <v>15</v>
      </c>
      <c r="L1404" s="573">
        <v>0</v>
      </c>
      <c r="M1404" s="573" t="s">
        <v>157</v>
      </c>
      <c r="N1404" s="573">
        <v>5</v>
      </c>
      <c r="O1404" s="573">
        <v>99.2</v>
      </c>
      <c r="P1404" s="571" t="s">
        <v>157</v>
      </c>
      <c r="Q1404" s="573" t="s">
        <v>682</v>
      </c>
      <c r="R1404" s="573">
        <v>6</v>
      </c>
      <c r="S1404" s="582" t="s">
        <v>2617</v>
      </c>
      <c r="T1404" s="573" t="s">
        <v>434</v>
      </c>
      <c r="U1404" s="573">
        <v>147.6</v>
      </c>
      <c r="V1404" s="573">
        <v>25</v>
      </c>
      <c r="W1404" s="616">
        <v>9150</v>
      </c>
      <c r="X1404" s="617">
        <v>12</v>
      </c>
      <c r="Y1404" s="617" t="s">
        <v>178</v>
      </c>
      <c r="Z1404" s="617" t="s">
        <v>178</v>
      </c>
      <c r="AA1404" s="618">
        <v>44060</v>
      </c>
      <c r="AB1404" s="618" t="s">
        <v>164</v>
      </c>
      <c r="AC1404" s="618">
        <v>34077.791666666672</v>
      </c>
      <c r="AD1404" s="619">
        <v>0.03</v>
      </c>
      <c r="AE1404" s="617" t="s">
        <v>2811</v>
      </c>
    </row>
    <row r="1405" spans="1:31" s="572" customFormat="1">
      <c r="A1405" s="570" t="s">
        <v>2812</v>
      </c>
      <c r="B1405" s="569" t="s">
        <v>278</v>
      </c>
      <c r="C1405" s="580">
        <v>15</v>
      </c>
      <c r="D1405" s="569" t="s">
        <v>1516</v>
      </c>
      <c r="E1405" s="569" t="s">
        <v>1607</v>
      </c>
      <c r="F1405" s="569" t="s">
        <v>271</v>
      </c>
      <c r="G1405" s="569">
        <v>2019</v>
      </c>
      <c r="H1405" s="569" t="s">
        <v>2769</v>
      </c>
      <c r="I1405" s="569" t="s">
        <v>2048</v>
      </c>
      <c r="J1405" s="569" t="s">
        <v>236</v>
      </c>
      <c r="K1405" s="569">
        <v>12</v>
      </c>
      <c r="L1405" s="569">
        <v>0</v>
      </c>
      <c r="M1405" s="569" t="s">
        <v>157</v>
      </c>
      <c r="N1405" s="569">
        <v>4</v>
      </c>
      <c r="O1405" s="569">
        <v>108.6</v>
      </c>
      <c r="P1405" s="568" t="s">
        <v>157</v>
      </c>
      <c r="Q1405" s="569" t="s">
        <v>1917</v>
      </c>
      <c r="R1405" s="569">
        <v>5</v>
      </c>
      <c r="S1405" s="569" t="s">
        <v>2770</v>
      </c>
      <c r="T1405" s="569" t="s">
        <v>434</v>
      </c>
      <c r="U1405" s="569">
        <v>147.6</v>
      </c>
      <c r="V1405" s="569">
        <v>25</v>
      </c>
      <c r="W1405" s="620">
        <v>9250</v>
      </c>
      <c r="X1405" s="621">
        <v>12</v>
      </c>
      <c r="Y1405" s="621" t="s">
        <v>728</v>
      </c>
      <c r="Z1405" s="621" t="s">
        <v>1523</v>
      </c>
      <c r="AA1405" s="622">
        <v>48010</v>
      </c>
      <c r="AB1405" s="622" t="s">
        <v>164</v>
      </c>
      <c r="AC1405" s="622">
        <v>38400</v>
      </c>
      <c r="AD1405" s="623">
        <v>0.01</v>
      </c>
      <c r="AE1405" s="621" t="s">
        <v>2768</v>
      </c>
    </row>
    <row r="1406" spans="1:31" s="572" customFormat="1">
      <c r="A1406" s="570" t="s">
        <v>2813</v>
      </c>
      <c r="B1406" s="573" t="s">
        <v>278</v>
      </c>
      <c r="C1406" s="578">
        <v>15</v>
      </c>
      <c r="D1406" s="573" t="s">
        <v>1516</v>
      </c>
      <c r="E1406" s="573" t="s">
        <v>1607</v>
      </c>
      <c r="F1406" s="573" t="s">
        <v>271</v>
      </c>
      <c r="G1406" s="573">
        <v>2019</v>
      </c>
      <c r="H1406" s="573" t="s">
        <v>2769</v>
      </c>
      <c r="I1406" s="573" t="s">
        <v>2048</v>
      </c>
      <c r="J1406" s="573" t="s">
        <v>236</v>
      </c>
      <c r="K1406" s="573">
        <v>12</v>
      </c>
      <c r="L1406" s="573">
        <v>0</v>
      </c>
      <c r="M1406" s="573" t="s">
        <v>157</v>
      </c>
      <c r="N1406" s="573">
        <v>4</v>
      </c>
      <c r="O1406" s="573">
        <v>108.6</v>
      </c>
      <c r="P1406" s="571" t="s">
        <v>157</v>
      </c>
      <c r="Q1406" s="573" t="s">
        <v>1259</v>
      </c>
      <c r="R1406" s="573">
        <v>6</v>
      </c>
      <c r="S1406" s="582" t="s">
        <v>2770</v>
      </c>
      <c r="T1406" s="573" t="s">
        <v>434</v>
      </c>
      <c r="U1406" s="573">
        <v>147.6</v>
      </c>
      <c r="V1406" s="573">
        <v>25</v>
      </c>
      <c r="W1406" s="616">
        <v>9000</v>
      </c>
      <c r="X1406" s="617">
        <v>12</v>
      </c>
      <c r="Y1406" s="617" t="s">
        <v>178</v>
      </c>
      <c r="Z1406" s="617" t="s">
        <v>178</v>
      </c>
      <c r="AA1406" s="618">
        <v>45880</v>
      </c>
      <c r="AB1406" s="618" t="s">
        <v>164</v>
      </c>
      <c r="AC1406" s="618">
        <v>36500</v>
      </c>
      <c r="AD1406" s="619">
        <v>0.01</v>
      </c>
      <c r="AE1406" s="617" t="s">
        <v>2772</v>
      </c>
    </row>
    <row r="1407" spans="1:31" s="572" customFormat="1">
      <c r="A1407" s="570" t="s">
        <v>2814</v>
      </c>
      <c r="B1407" s="569" t="s">
        <v>278</v>
      </c>
      <c r="C1407" s="580">
        <v>15</v>
      </c>
      <c r="D1407" s="569" t="s">
        <v>1516</v>
      </c>
      <c r="E1407" s="569" t="s">
        <v>1607</v>
      </c>
      <c r="F1407" s="569" t="s">
        <v>271</v>
      </c>
      <c r="G1407" s="569">
        <v>2019</v>
      </c>
      <c r="H1407" s="569" t="s">
        <v>2769</v>
      </c>
      <c r="I1407" s="569" t="s">
        <v>2048</v>
      </c>
      <c r="J1407" s="569" t="s">
        <v>236</v>
      </c>
      <c r="K1407" s="569">
        <v>12</v>
      </c>
      <c r="L1407" s="569">
        <v>0</v>
      </c>
      <c r="M1407" s="569" t="s">
        <v>157</v>
      </c>
      <c r="N1407" s="569">
        <v>4</v>
      </c>
      <c r="O1407" s="569">
        <v>108.6</v>
      </c>
      <c r="P1407" s="568" t="s">
        <v>157</v>
      </c>
      <c r="Q1407" s="569" t="s">
        <v>682</v>
      </c>
      <c r="R1407" s="569">
        <v>6</v>
      </c>
      <c r="S1407" s="569" t="s">
        <v>2770</v>
      </c>
      <c r="T1407" s="569" t="s">
        <v>434</v>
      </c>
      <c r="U1407" s="569">
        <v>147.6</v>
      </c>
      <c r="V1407" s="569">
        <v>25</v>
      </c>
      <c r="W1407" s="620">
        <v>9000</v>
      </c>
      <c r="X1407" s="621">
        <v>12</v>
      </c>
      <c r="Y1407" s="621" t="s">
        <v>178</v>
      </c>
      <c r="Z1407" s="621" t="s">
        <v>178</v>
      </c>
      <c r="AA1407" s="622">
        <v>44015</v>
      </c>
      <c r="AB1407" s="622" t="s">
        <v>164</v>
      </c>
      <c r="AC1407" s="622">
        <v>34800</v>
      </c>
      <c r="AD1407" s="623">
        <v>0.01</v>
      </c>
      <c r="AE1407" s="621" t="s">
        <v>2774</v>
      </c>
    </row>
    <row r="1408" spans="1:31" s="572" customFormat="1">
      <c r="A1408" s="570" t="s">
        <v>2815</v>
      </c>
      <c r="B1408" s="573" t="s">
        <v>278</v>
      </c>
      <c r="C1408" s="578">
        <v>15</v>
      </c>
      <c r="D1408" s="573" t="s">
        <v>1516</v>
      </c>
      <c r="E1408" s="573" t="s">
        <v>1607</v>
      </c>
      <c r="F1408" s="573" t="s">
        <v>271</v>
      </c>
      <c r="G1408" s="573">
        <v>2019</v>
      </c>
      <c r="H1408" s="573" t="s">
        <v>2769</v>
      </c>
      <c r="I1408" s="573" t="s">
        <v>2048</v>
      </c>
      <c r="J1408" s="573" t="s">
        <v>236</v>
      </c>
      <c r="K1408" s="573">
        <v>12</v>
      </c>
      <c r="L1408" s="573">
        <v>0</v>
      </c>
      <c r="M1408" s="573" t="s">
        <v>157</v>
      </c>
      <c r="N1408" s="573">
        <v>4</v>
      </c>
      <c r="O1408" s="573">
        <v>82.4</v>
      </c>
      <c r="P1408" s="571" t="s">
        <v>157</v>
      </c>
      <c r="Q1408" s="573" t="s">
        <v>1917</v>
      </c>
      <c r="R1408" s="573">
        <v>5</v>
      </c>
      <c r="S1408" s="582" t="s">
        <v>2777</v>
      </c>
      <c r="T1408" s="573" t="s">
        <v>434</v>
      </c>
      <c r="U1408" s="573">
        <v>147.6</v>
      </c>
      <c r="V1408" s="573">
        <v>25</v>
      </c>
      <c r="W1408" s="616">
        <v>9000</v>
      </c>
      <c r="X1408" s="617">
        <v>12</v>
      </c>
      <c r="Y1408" s="617" t="s">
        <v>728</v>
      </c>
      <c r="Z1408" s="617" t="s">
        <v>1523</v>
      </c>
      <c r="AA1408" s="618">
        <v>45110</v>
      </c>
      <c r="AB1408" s="618" t="s">
        <v>164</v>
      </c>
      <c r="AC1408" s="618">
        <v>33600</v>
      </c>
      <c r="AD1408" s="619">
        <v>0.01</v>
      </c>
      <c r="AE1408" s="617" t="s">
        <v>2776</v>
      </c>
    </row>
    <row r="1409" spans="1:31" s="572" customFormat="1">
      <c r="A1409" s="570" t="s">
        <v>2816</v>
      </c>
      <c r="B1409" s="569" t="s">
        <v>278</v>
      </c>
      <c r="C1409" s="580">
        <v>15</v>
      </c>
      <c r="D1409" s="569" t="s">
        <v>1516</v>
      </c>
      <c r="E1409" s="569" t="s">
        <v>1607</v>
      </c>
      <c r="F1409" s="569" t="s">
        <v>271</v>
      </c>
      <c r="G1409" s="569">
        <v>2019</v>
      </c>
      <c r="H1409" s="569" t="s">
        <v>2769</v>
      </c>
      <c r="I1409" s="569" t="s">
        <v>2048</v>
      </c>
      <c r="J1409" s="569" t="s">
        <v>236</v>
      </c>
      <c r="K1409" s="569">
        <v>12</v>
      </c>
      <c r="L1409" s="569">
        <v>0</v>
      </c>
      <c r="M1409" s="569" t="s">
        <v>157</v>
      </c>
      <c r="N1409" s="569">
        <v>4</v>
      </c>
      <c r="O1409" s="569">
        <v>82.4</v>
      </c>
      <c r="P1409" s="568" t="s">
        <v>157</v>
      </c>
      <c r="Q1409" s="569" t="s">
        <v>682</v>
      </c>
      <c r="R1409" s="569">
        <v>6</v>
      </c>
      <c r="S1409" s="569" t="s">
        <v>2777</v>
      </c>
      <c r="T1409" s="569" t="s">
        <v>434</v>
      </c>
      <c r="U1409" s="569">
        <v>147.6</v>
      </c>
      <c r="V1409" s="569">
        <v>25</v>
      </c>
      <c r="W1409" s="620">
        <v>9000</v>
      </c>
      <c r="X1409" s="621">
        <v>12</v>
      </c>
      <c r="Y1409" s="621" t="s">
        <v>178</v>
      </c>
      <c r="Z1409" s="621" t="s">
        <v>178</v>
      </c>
      <c r="AA1409" s="622">
        <v>41115</v>
      </c>
      <c r="AB1409" s="622" t="s">
        <v>164</v>
      </c>
      <c r="AC1409" s="622">
        <v>29900</v>
      </c>
      <c r="AD1409" s="623">
        <v>0.01</v>
      </c>
      <c r="AE1409" s="621" t="s">
        <v>2781</v>
      </c>
    </row>
    <row r="1410" spans="1:31" s="572" customFormat="1">
      <c r="A1410" s="570" t="s">
        <v>2817</v>
      </c>
      <c r="B1410" s="573" t="s">
        <v>278</v>
      </c>
      <c r="C1410" s="578">
        <v>15</v>
      </c>
      <c r="D1410" s="573" t="s">
        <v>1516</v>
      </c>
      <c r="E1410" s="573" t="s">
        <v>1607</v>
      </c>
      <c r="F1410" s="573" t="s">
        <v>271</v>
      </c>
      <c r="G1410" s="573">
        <v>2019</v>
      </c>
      <c r="H1410" s="573" t="s">
        <v>2769</v>
      </c>
      <c r="I1410" s="573" t="s">
        <v>2048</v>
      </c>
      <c r="J1410" s="573" t="s">
        <v>236</v>
      </c>
      <c r="K1410" s="573">
        <v>12</v>
      </c>
      <c r="L1410" s="573">
        <v>0</v>
      </c>
      <c r="M1410" s="573" t="s">
        <v>157</v>
      </c>
      <c r="N1410" s="573">
        <v>4</v>
      </c>
      <c r="O1410" s="573">
        <v>99.2</v>
      </c>
      <c r="P1410" s="571" t="s">
        <v>157</v>
      </c>
      <c r="Q1410" s="573" t="s">
        <v>1917</v>
      </c>
      <c r="R1410" s="573">
        <v>5</v>
      </c>
      <c r="S1410" s="582" t="s">
        <v>2617</v>
      </c>
      <c r="T1410" s="573" t="s">
        <v>434</v>
      </c>
      <c r="U1410" s="573">
        <v>147.6</v>
      </c>
      <c r="V1410" s="573">
        <v>25</v>
      </c>
      <c r="W1410" s="616">
        <v>9250</v>
      </c>
      <c r="X1410" s="617">
        <v>12</v>
      </c>
      <c r="Y1410" s="617" t="s">
        <v>728</v>
      </c>
      <c r="Z1410" s="617" t="s">
        <v>1523</v>
      </c>
      <c r="AA1410" s="618">
        <v>46560</v>
      </c>
      <c r="AB1410" s="618" t="s">
        <v>164</v>
      </c>
      <c r="AC1410" s="618">
        <v>37100</v>
      </c>
      <c r="AD1410" s="619">
        <v>0.01</v>
      </c>
      <c r="AE1410" s="617" t="s">
        <v>2783</v>
      </c>
    </row>
    <row r="1411" spans="1:31" s="572" customFormat="1">
      <c r="A1411" s="570" t="s">
        <v>2818</v>
      </c>
      <c r="B1411" s="569" t="s">
        <v>278</v>
      </c>
      <c r="C1411" s="580">
        <v>15</v>
      </c>
      <c r="D1411" s="569" t="s">
        <v>1516</v>
      </c>
      <c r="E1411" s="569" t="s">
        <v>1607</v>
      </c>
      <c r="F1411" s="569" t="s">
        <v>271</v>
      </c>
      <c r="G1411" s="569">
        <v>2019</v>
      </c>
      <c r="H1411" s="569" t="s">
        <v>2769</v>
      </c>
      <c r="I1411" s="569" t="s">
        <v>2048</v>
      </c>
      <c r="J1411" s="569" t="s">
        <v>236</v>
      </c>
      <c r="K1411" s="569">
        <v>12</v>
      </c>
      <c r="L1411" s="569">
        <v>0</v>
      </c>
      <c r="M1411" s="569" t="s">
        <v>157</v>
      </c>
      <c r="N1411" s="569">
        <v>4</v>
      </c>
      <c r="O1411" s="569">
        <v>99.2</v>
      </c>
      <c r="P1411" s="568" t="s">
        <v>157</v>
      </c>
      <c r="Q1411" s="569" t="s">
        <v>1259</v>
      </c>
      <c r="R1411" s="569">
        <v>6</v>
      </c>
      <c r="S1411" s="569" t="s">
        <v>2617</v>
      </c>
      <c r="T1411" s="569" t="s">
        <v>434</v>
      </c>
      <c r="U1411" s="569">
        <v>147.6</v>
      </c>
      <c r="V1411" s="569">
        <v>25</v>
      </c>
      <c r="W1411" s="620">
        <v>9000</v>
      </c>
      <c r="X1411" s="621">
        <v>12</v>
      </c>
      <c r="Y1411" s="621" t="s">
        <v>178</v>
      </c>
      <c r="Z1411" s="621" t="s">
        <v>178</v>
      </c>
      <c r="AA1411" s="622">
        <v>44430</v>
      </c>
      <c r="AB1411" s="622" t="s">
        <v>164</v>
      </c>
      <c r="AC1411" s="622">
        <v>35100</v>
      </c>
      <c r="AD1411" s="623">
        <v>0.01</v>
      </c>
      <c r="AE1411" s="621" t="s">
        <v>2785</v>
      </c>
    </row>
    <row r="1412" spans="1:31" s="572" customFormat="1">
      <c r="A1412" s="570" t="s">
        <v>2819</v>
      </c>
      <c r="B1412" s="573" t="s">
        <v>278</v>
      </c>
      <c r="C1412" s="578">
        <v>15</v>
      </c>
      <c r="D1412" s="573" t="s">
        <v>1516</v>
      </c>
      <c r="E1412" s="573" t="s">
        <v>1607</v>
      </c>
      <c r="F1412" s="573" t="s">
        <v>271</v>
      </c>
      <c r="G1412" s="573">
        <v>2019</v>
      </c>
      <c r="H1412" s="573" t="s">
        <v>2769</v>
      </c>
      <c r="I1412" s="573" t="s">
        <v>2048</v>
      </c>
      <c r="J1412" s="573" t="s">
        <v>236</v>
      </c>
      <c r="K1412" s="573">
        <v>12</v>
      </c>
      <c r="L1412" s="573">
        <v>0</v>
      </c>
      <c r="M1412" s="573" t="s">
        <v>157</v>
      </c>
      <c r="N1412" s="573">
        <v>4</v>
      </c>
      <c r="O1412" s="573">
        <v>99.2</v>
      </c>
      <c r="P1412" s="571" t="s">
        <v>157</v>
      </c>
      <c r="Q1412" s="573" t="s">
        <v>682</v>
      </c>
      <c r="R1412" s="573">
        <v>6</v>
      </c>
      <c r="S1412" s="582" t="s">
        <v>2617</v>
      </c>
      <c r="T1412" s="573" t="s">
        <v>434</v>
      </c>
      <c r="U1412" s="573">
        <v>147.6</v>
      </c>
      <c r="V1412" s="573">
        <v>25</v>
      </c>
      <c r="W1412" s="616">
        <v>9000</v>
      </c>
      <c r="X1412" s="617">
        <v>12</v>
      </c>
      <c r="Y1412" s="617" t="s">
        <v>178</v>
      </c>
      <c r="Z1412" s="617" t="s">
        <v>178</v>
      </c>
      <c r="AA1412" s="618">
        <v>42565</v>
      </c>
      <c r="AB1412" s="618" t="s">
        <v>164</v>
      </c>
      <c r="AC1412" s="618">
        <v>33400</v>
      </c>
      <c r="AD1412" s="619">
        <v>0.01</v>
      </c>
      <c r="AE1412" s="617" t="s">
        <v>2787</v>
      </c>
    </row>
    <row r="1413" spans="1:31" s="572" customFormat="1">
      <c r="A1413" s="570" t="s">
        <v>2820</v>
      </c>
      <c r="B1413" s="569" t="s">
        <v>278</v>
      </c>
      <c r="C1413" s="580">
        <v>15</v>
      </c>
      <c r="D1413" s="569" t="s">
        <v>1516</v>
      </c>
      <c r="E1413" s="569" t="s">
        <v>1607</v>
      </c>
      <c r="F1413" s="569" t="s">
        <v>271</v>
      </c>
      <c r="G1413" s="569">
        <v>2019</v>
      </c>
      <c r="H1413" s="569" t="s">
        <v>2769</v>
      </c>
      <c r="I1413" s="569" t="s">
        <v>2048</v>
      </c>
      <c r="J1413" s="569" t="s">
        <v>236</v>
      </c>
      <c r="K1413" s="569">
        <v>15</v>
      </c>
      <c r="L1413" s="569">
        <v>0</v>
      </c>
      <c r="M1413" s="569" t="s">
        <v>157</v>
      </c>
      <c r="N1413" s="569">
        <v>5</v>
      </c>
      <c r="O1413" s="569">
        <v>107.7</v>
      </c>
      <c r="P1413" s="568" t="s">
        <v>157</v>
      </c>
      <c r="Q1413" s="569" t="s">
        <v>1917</v>
      </c>
      <c r="R1413" s="569">
        <v>5</v>
      </c>
      <c r="S1413" s="569" t="s">
        <v>2599</v>
      </c>
      <c r="T1413" s="569" t="s">
        <v>434</v>
      </c>
      <c r="U1413" s="569">
        <v>147.6</v>
      </c>
      <c r="V1413" s="569">
        <v>25</v>
      </c>
      <c r="W1413" s="620">
        <v>10360</v>
      </c>
      <c r="X1413" s="621">
        <v>12</v>
      </c>
      <c r="Y1413" s="621" t="s">
        <v>728</v>
      </c>
      <c r="Z1413" s="621" t="s">
        <v>1523</v>
      </c>
      <c r="AA1413" s="622">
        <v>49160</v>
      </c>
      <c r="AB1413" s="622" t="s">
        <v>164</v>
      </c>
      <c r="AC1413" s="622">
        <v>39500</v>
      </c>
      <c r="AD1413" s="623">
        <v>0.01</v>
      </c>
      <c r="AE1413" s="621" t="s">
        <v>2789</v>
      </c>
    </row>
    <row r="1414" spans="1:31" s="572" customFormat="1">
      <c r="A1414" s="570" t="s">
        <v>2821</v>
      </c>
      <c r="B1414" s="573" t="s">
        <v>278</v>
      </c>
      <c r="C1414" s="578">
        <v>15</v>
      </c>
      <c r="D1414" s="573" t="s">
        <v>1516</v>
      </c>
      <c r="E1414" s="573" t="s">
        <v>1607</v>
      </c>
      <c r="F1414" s="573" t="s">
        <v>271</v>
      </c>
      <c r="G1414" s="573">
        <v>2019</v>
      </c>
      <c r="H1414" s="573" t="s">
        <v>2769</v>
      </c>
      <c r="I1414" s="573" t="s">
        <v>2048</v>
      </c>
      <c r="J1414" s="573" t="s">
        <v>236</v>
      </c>
      <c r="K1414" s="573">
        <v>15</v>
      </c>
      <c r="L1414" s="573">
        <v>0</v>
      </c>
      <c r="M1414" s="573" t="s">
        <v>157</v>
      </c>
      <c r="N1414" s="573">
        <v>5</v>
      </c>
      <c r="O1414" s="573">
        <v>107.7</v>
      </c>
      <c r="P1414" s="571" t="s">
        <v>157</v>
      </c>
      <c r="Q1414" s="573" t="s">
        <v>1259</v>
      </c>
      <c r="R1414" s="573">
        <v>6</v>
      </c>
      <c r="S1414" s="582" t="s">
        <v>2599</v>
      </c>
      <c r="T1414" s="573" t="s">
        <v>434</v>
      </c>
      <c r="U1414" s="573">
        <v>147.6</v>
      </c>
      <c r="V1414" s="573">
        <v>25</v>
      </c>
      <c r="W1414" s="616">
        <v>10360</v>
      </c>
      <c r="X1414" s="617" t="s">
        <v>157</v>
      </c>
      <c r="Y1414" s="617" t="s">
        <v>178</v>
      </c>
      <c r="Z1414" s="617" t="s">
        <v>178</v>
      </c>
      <c r="AA1414" s="618">
        <v>47030</v>
      </c>
      <c r="AB1414" s="618" t="s">
        <v>164</v>
      </c>
      <c r="AC1414" s="618">
        <v>37500</v>
      </c>
      <c r="AD1414" s="619">
        <v>0.01</v>
      </c>
      <c r="AE1414" s="617" t="s">
        <v>2791</v>
      </c>
    </row>
    <row r="1415" spans="1:31" s="572" customFormat="1">
      <c r="A1415" s="570" t="s">
        <v>2822</v>
      </c>
      <c r="B1415" s="569" t="s">
        <v>278</v>
      </c>
      <c r="C1415" s="580">
        <v>15</v>
      </c>
      <c r="D1415" s="569" t="s">
        <v>1516</v>
      </c>
      <c r="E1415" s="569" t="s">
        <v>1607</v>
      </c>
      <c r="F1415" s="569" t="s">
        <v>271</v>
      </c>
      <c r="G1415" s="569">
        <v>2019</v>
      </c>
      <c r="H1415" s="569" t="s">
        <v>2769</v>
      </c>
      <c r="I1415" s="569" t="s">
        <v>2048</v>
      </c>
      <c r="J1415" s="569" t="s">
        <v>236</v>
      </c>
      <c r="K1415" s="569">
        <v>15</v>
      </c>
      <c r="L1415" s="569">
        <v>0</v>
      </c>
      <c r="M1415" s="569" t="s">
        <v>157</v>
      </c>
      <c r="N1415" s="569">
        <v>5</v>
      </c>
      <c r="O1415" s="569">
        <v>107.7</v>
      </c>
      <c r="P1415" s="568" t="s">
        <v>157</v>
      </c>
      <c r="Q1415" s="569" t="s">
        <v>682</v>
      </c>
      <c r="R1415" s="569">
        <v>6</v>
      </c>
      <c r="S1415" s="569" t="s">
        <v>2599</v>
      </c>
      <c r="T1415" s="569" t="s">
        <v>434</v>
      </c>
      <c r="U1415" s="569">
        <v>147.6</v>
      </c>
      <c r="V1415" s="569">
        <v>25</v>
      </c>
      <c r="W1415" s="620">
        <v>10360</v>
      </c>
      <c r="X1415" s="621" t="s">
        <v>157</v>
      </c>
      <c r="Y1415" s="621" t="s">
        <v>178</v>
      </c>
      <c r="Z1415" s="621" t="s">
        <v>178</v>
      </c>
      <c r="AA1415" s="622">
        <v>45165</v>
      </c>
      <c r="AB1415" s="622" t="s">
        <v>164</v>
      </c>
      <c r="AC1415" s="622">
        <v>35900</v>
      </c>
      <c r="AD1415" s="623">
        <v>0.01</v>
      </c>
      <c r="AE1415" s="621" t="s">
        <v>2793</v>
      </c>
    </row>
    <row r="1416" spans="1:31" s="572" customFormat="1">
      <c r="A1416" s="570" t="s">
        <v>2823</v>
      </c>
      <c r="B1416" s="573" t="s">
        <v>278</v>
      </c>
      <c r="C1416" s="578">
        <v>15</v>
      </c>
      <c r="D1416" s="573" t="s">
        <v>1516</v>
      </c>
      <c r="E1416" s="573" t="s">
        <v>1607</v>
      </c>
      <c r="F1416" s="573" t="s">
        <v>271</v>
      </c>
      <c r="G1416" s="573">
        <v>2019</v>
      </c>
      <c r="H1416" s="573" t="s">
        <v>2769</v>
      </c>
      <c r="I1416" s="573" t="s">
        <v>2048</v>
      </c>
      <c r="J1416" s="573" t="s">
        <v>236</v>
      </c>
      <c r="K1416" s="573">
        <v>15</v>
      </c>
      <c r="L1416" s="573">
        <v>0</v>
      </c>
      <c r="M1416" s="573" t="s">
        <v>157</v>
      </c>
      <c r="N1416" s="573">
        <v>5</v>
      </c>
      <c r="O1416" s="573">
        <v>108.6</v>
      </c>
      <c r="P1416" s="571" t="s">
        <v>157</v>
      </c>
      <c r="Q1416" s="573" t="s">
        <v>1917</v>
      </c>
      <c r="R1416" s="573">
        <v>5</v>
      </c>
      <c r="S1416" s="582" t="s">
        <v>2770</v>
      </c>
      <c r="T1416" s="573" t="s">
        <v>434</v>
      </c>
      <c r="U1416" s="573">
        <v>147.6</v>
      </c>
      <c r="V1416" s="573">
        <v>25</v>
      </c>
      <c r="W1416" s="616">
        <v>9400</v>
      </c>
      <c r="X1416" s="617">
        <v>12</v>
      </c>
      <c r="Y1416" s="617" t="s">
        <v>728</v>
      </c>
      <c r="Z1416" s="617" t="s">
        <v>1523</v>
      </c>
      <c r="AA1416" s="618">
        <v>49505</v>
      </c>
      <c r="AB1416" s="618" t="s">
        <v>164</v>
      </c>
      <c r="AC1416" s="618">
        <v>39800</v>
      </c>
      <c r="AD1416" s="619">
        <v>0.01</v>
      </c>
      <c r="AE1416" s="617" t="s">
        <v>2795</v>
      </c>
    </row>
    <row r="1417" spans="1:31" s="572" customFormat="1">
      <c r="A1417" s="570" t="s">
        <v>2824</v>
      </c>
      <c r="B1417" s="569" t="s">
        <v>278</v>
      </c>
      <c r="C1417" s="580">
        <v>15</v>
      </c>
      <c r="D1417" s="569" t="s">
        <v>1516</v>
      </c>
      <c r="E1417" s="569" t="s">
        <v>1607</v>
      </c>
      <c r="F1417" s="569" t="s">
        <v>271</v>
      </c>
      <c r="G1417" s="569">
        <v>2019</v>
      </c>
      <c r="H1417" s="569" t="s">
        <v>2769</v>
      </c>
      <c r="I1417" s="569" t="s">
        <v>2048</v>
      </c>
      <c r="J1417" s="569" t="s">
        <v>236</v>
      </c>
      <c r="K1417" s="569">
        <v>15</v>
      </c>
      <c r="L1417" s="569">
        <v>0</v>
      </c>
      <c r="M1417" s="569" t="s">
        <v>157</v>
      </c>
      <c r="N1417" s="569">
        <v>5</v>
      </c>
      <c r="O1417" s="569">
        <v>108.6</v>
      </c>
      <c r="P1417" s="568" t="s">
        <v>157</v>
      </c>
      <c r="Q1417" s="569" t="s">
        <v>1259</v>
      </c>
      <c r="R1417" s="569">
        <v>6</v>
      </c>
      <c r="S1417" s="569" t="s">
        <v>2770</v>
      </c>
      <c r="T1417" s="569" t="s">
        <v>434</v>
      </c>
      <c r="U1417" s="569">
        <v>147.6</v>
      </c>
      <c r="V1417" s="569">
        <v>25</v>
      </c>
      <c r="W1417" s="620">
        <v>9150</v>
      </c>
      <c r="X1417" s="621">
        <v>12</v>
      </c>
      <c r="Y1417" s="621" t="s">
        <v>178</v>
      </c>
      <c r="Z1417" s="621" t="s">
        <v>178</v>
      </c>
      <c r="AA1417" s="622">
        <v>47375</v>
      </c>
      <c r="AB1417" s="622" t="s">
        <v>164</v>
      </c>
      <c r="AC1417" s="622">
        <v>37800</v>
      </c>
      <c r="AD1417" s="623">
        <v>0.01</v>
      </c>
      <c r="AE1417" s="621" t="s">
        <v>2797</v>
      </c>
    </row>
    <row r="1418" spans="1:31" s="572" customFormat="1">
      <c r="A1418" s="570" t="s">
        <v>2825</v>
      </c>
      <c r="B1418" s="573" t="s">
        <v>278</v>
      </c>
      <c r="C1418" s="578">
        <v>15</v>
      </c>
      <c r="D1418" s="573" t="s">
        <v>1516</v>
      </c>
      <c r="E1418" s="573" t="s">
        <v>1607</v>
      </c>
      <c r="F1418" s="573" t="s">
        <v>271</v>
      </c>
      <c r="G1418" s="573">
        <v>2019</v>
      </c>
      <c r="H1418" s="573" t="s">
        <v>2769</v>
      </c>
      <c r="I1418" s="573" t="s">
        <v>2048</v>
      </c>
      <c r="J1418" s="573" t="s">
        <v>236</v>
      </c>
      <c r="K1418" s="573">
        <v>15</v>
      </c>
      <c r="L1418" s="573">
        <v>0</v>
      </c>
      <c r="M1418" s="573" t="s">
        <v>157</v>
      </c>
      <c r="N1418" s="573">
        <v>5</v>
      </c>
      <c r="O1418" s="573">
        <v>108.6</v>
      </c>
      <c r="P1418" s="571" t="s">
        <v>157</v>
      </c>
      <c r="Q1418" s="573" t="s">
        <v>682</v>
      </c>
      <c r="R1418" s="573">
        <v>6</v>
      </c>
      <c r="S1418" s="582" t="s">
        <v>2770</v>
      </c>
      <c r="T1418" s="573" t="s">
        <v>434</v>
      </c>
      <c r="U1418" s="573">
        <v>147.6</v>
      </c>
      <c r="V1418" s="573">
        <v>25</v>
      </c>
      <c r="W1418" s="616">
        <v>9150</v>
      </c>
      <c r="X1418" s="617">
        <v>12</v>
      </c>
      <c r="Y1418" s="617" t="s">
        <v>178</v>
      </c>
      <c r="Z1418" s="617" t="s">
        <v>178</v>
      </c>
      <c r="AA1418" s="618">
        <v>45510</v>
      </c>
      <c r="AB1418" s="618" t="s">
        <v>164</v>
      </c>
      <c r="AC1418" s="618">
        <v>36100</v>
      </c>
      <c r="AD1418" s="619">
        <v>0.01</v>
      </c>
      <c r="AE1418" s="617" t="s">
        <v>2799</v>
      </c>
    </row>
    <row r="1419" spans="1:31" s="572" customFormat="1">
      <c r="A1419" s="570" t="s">
        <v>2826</v>
      </c>
      <c r="B1419" s="569" t="s">
        <v>278</v>
      </c>
      <c r="C1419" s="580">
        <v>15</v>
      </c>
      <c r="D1419" s="569" t="s">
        <v>1516</v>
      </c>
      <c r="E1419" s="569" t="s">
        <v>1607</v>
      </c>
      <c r="F1419" s="569" t="s">
        <v>271</v>
      </c>
      <c r="G1419" s="569">
        <v>2019</v>
      </c>
      <c r="H1419" s="569" t="s">
        <v>2769</v>
      </c>
      <c r="I1419" s="569" t="s">
        <v>2048</v>
      </c>
      <c r="J1419" s="569" t="s">
        <v>236</v>
      </c>
      <c r="K1419" s="569">
        <v>15</v>
      </c>
      <c r="L1419" s="569">
        <v>0</v>
      </c>
      <c r="M1419" s="569" t="s">
        <v>157</v>
      </c>
      <c r="N1419" s="569">
        <v>5</v>
      </c>
      <c r="O1419" s="569">
        <v>82.4</v>
      </c>
      <c r="P1419" s="568" t="s">
        <v>157</v>
      </c>
      <c r="Q1419" s="569" t="s">
        <v>1259</v>
      </c>
      <c r="R1419" s="569">
        <v>6</v>
      </c>
      <c r="S1419" s="569" t="s">
        <v>2777</v>
      </c>
      <c r="T1419" s="569" t="s">
        <v>434</v>
      </c>
      <c r="U1419" s="569">
        <v>147.6</v>
      </c>
      <c r="V1419" s="569">
        <v>25</v>
      </c>
      <c r="W1419" s="620">
        <v>9000</v>
      </c>
      <c r="X1419" s="621">
        <v>12</v>
      </c>
      <c r="Y1419" s="621" t="s">
        <v>178</v>
      </c>
      <c r="Z1419" s="621" t="s">
        <v>178</v>
      </c>
      <c r="AA1419" s="622">
        <v>44475</v>
      </c>
      <c r="AB1419" s="622" t="s">
        <v>164</v>
      </c>
      <c r="AC1419" s="622">
        <v>33000</v>
      </c>
      <c r="AD1419" s="623">
        <v>0.01</v>
      </c>
      <c r="AE1419" s="621" t="s">
        <v>2803</v>
      </c>
    </row>
    <row r="1420" spans="1:31" s="572" customFormat="1">
      <c r="A1420" s="570" t="s">
        <v>2827</v>
      </c>
      <c r="B1420" s="573" t="s">
        <v>278</v>
      </c>
      <c r="C1420" s="578">
        <v>15</v>
      </c>
      <c r="D1420" s="573" t="s">
        <v>1516</v>
      </c>
      <c r="E1420" s="573" t="s">
        <v>1607</v>
      </c>
      <c r="F1420" s="573" t="s">
        <v>271</v>
      </c>
      <c r="G1420" s="573">
        <v>2019</v>
      </c>
      <c r="H1420" s="573" t="s">
        <v>2769</v>
      </c>
      <c r="I1420" s="573" t="s">
        <v>2048</v>
      </c>
      <c r="J1420" s="573" t="s">
        <v>236</v>
      </c>
      <c r="K1420" s="573">
        <v>15</v>
      </c>
      <c r="L1420" s="573">
        <v>0</v>
      </c>
      <c r="M1420" s="573" t="s">
        <v>157</v>
      </c>
      <c r="N1420" s="573">
        <v>5</v>
      </c>
      <c r="O1420" s="573">
        <v>99.2</v>
      </c>
      <c r="P1420" s="571" t="s">
        <v>157</v>
      </c>
      <c r="Q1420" s="573" t="s">
        <v>1917</v>
      </c>
      <c r="R1420" s="573">
        <v>5</v>
      </c>
      <c r="S1420" s="582" t="s">
        <v>2617</v>
      </c>
      <c r="T1420" s="573" t="s">
        <v>434</v>
      </c>
      <c r="U1420" s="573">
        <v>147.6</v>
      </c>
      <c r="V1420" s="573">
        <v>25</v>
      </c>
      <c r="W1420" s="616">
        <v>9400</v>
      </c>
      <c r="X1420" s="617">
        <v>12</v>
      </c>
      <c r="Y1420" s="617" t="s">
        <v>728</v>
      </c>
      <c r="Z1420" s="617" t="s">
        <v>1523</v>
      </c>
      <c r="AA1420" s="618">
        <v>48055</v>
      </c>
      <c r="AB1420" s="618" t="s">
        <v>164</v>
      </c>
      <c r="AC1420" s="618">
        <v>38400</v>
      </c>
      <c r="AD1420" s="619">
        <v>0.01</v>
      </c>
      <c r="AE1420" s="617" t="s">
        <v>2807</v>
      </c>
    </row>
    <row r="1421" spans="1:31" s="572" customFormat="1">
      <c r="A1421" s="570" t="s">
        <v>2828</v>
      </c>
      <c r="B1421" s="569" t="s">
        <v>278</v>
      </c>
      <c r="C1421" s="580">
        <v>15</v>
      </c>
      <c r="D1421" s="569" t="s">
        <v>1516</v>
      </c>
      <c r="E1421" s="569" t="s">
        <v>1607</v>
      </c>
      <c r="F1421" s="569" t="s">
        <v>271</v>
      </c>
      <c r="G1421" s="569">
        <v>2019</v>
      </c>
      <c r="H1421" s="569" t="s">
        <v>2769</v>
      </c>
      <c r="I1421" s="569" t="s">
        <v>2048</v>
      </c>
      <c r="J1421" s="569" t="s">
        <v>236</v>
      </c>
      <c r="K1421" s="569">
        <v>15</v>
      </c>
      <c r="L1421" s="569">
        <v>0</v>
      </c>
      <c r="M1421" s="569" t="s">
        <v>157</v>
      </c>
      <c r="N1421" s="569">
        <v>5</v>
      </c>
      <c r="O1421" s="569">
        <v>99.2</v>
      </c>
      <c r="P1421" s="568" t="s">
        <v>157</v>
      </c>
      <c r="Q1421" s="569" t="s">
        <v>1259</v>
      </c>
      <c r="R1421" s="569">
        <v>6</v>
      </c>
      <c r="S1421" s="569" t="s">
        <v>2617</v>
      </c>
      <c r="T1421" s="569" t="s">
        <v>434</v>
      </c>
      <c r="U1421" s="569">
        <v>147.6</v>
      </c>
      <c r="V1421" s="569">
        <v>25</v>
      </c>
      <c r="W1421" s="620">
        <v>9150</v>
      </c>
      <c r="X1421" s="621">
        <v>12</v>
      </c>
      <c r="Y1421" s="621" t="s">
        <v>178</v>
      </c>
      <c r="Z1421" s="621" t="s">
        <v>178</v>
      </c>
      <c r="AA1421" s="622">
        <v>45925</v>
      </c>
      <c r="AB1421" s="622" t="s">
        <v>164</v>
      </c>
      <c r="AC1421" s="622">
        <v>36500</v>
      </c>
      <c r="AD1421" s="623">
        <v>0.01</v>
      </c>
      <c r="AE1421" s="621" t="s">
        <v>2809</v>
      </c>
    </row>
    <row r="1422" spans="1:31" s="572" customFormat="1">
      <c r="A1422" s="570" t="s">
        <v>2829</v>
      </c>
      <c r="B1422" s="573" t="s">
        <v>278</v>
      </c>
      <c r="C1422" s="578">
        <v>15</v>
      </c>
      <c r="D1422" s="573" t="s">
        <v>1516</v>
      </c>
      <c r="E1422" s="573" t="s">
        <v>1607</v>
      </c>
      <c r="F1422" s="573" t="s">
        <v>271</v>
      </c>
      <c r="G1422" s="573">
        <v>2019</v>
      </c>
      <c r="H1422" s="573" t="s">
        <v>2769</v>
      </c>
      <c r="I1422" s="573" t="s">
        <v>2048</v>
      </c>
      <c r="J1422" s="573" t="s">
        <v>236</v>
      </c>
      <c r="K1422" s="573">
        <v>15</v>
      </c>
      <c r="L1422" s="573">
        <v>0</v>
      </c>
      <c r="M1422" s="573" t="s">
        <v>157</v>
      </c>
      <c r="N1422" s="573">
        <v>5</v>
      </c>
      <c r="O1422" s="573">
        <v>99.2</v>
      </c>
      <c r="P1422" s="571" t="s">
        <v>157</v>
      </c>
      <c r="Q1422" s="573" t="s">
        <v>682</v>
      </c>
      <c r="R1422" s="573">
        <v>6</v>
      </c>
      <c r="S1422" s="582" t="s">
        <v>2617</v>
      </c>
      <c r="T1422" s="573" t="s">
        <v>434</v>
      </c>
      <c r="U1422" s="573">
        <v>147.6</v>
      </c>
      <c r="V1422" s="573">
        <v>25</v>
      </c>
      <c r="W1422" s="616">
        <v>9150</v>
      </c>
      <c r="X1422" s="617">
        <v>12</v>
      </c>
      <c r="Y1422" s="617" t="s">
        <v>178</v>
      </c>
      <c r="Z1422" s="617" t="s">
        <v>178</v>
      </c>
      <c r="AA1422" s="618">
        <v>44060</v>
      </c>
      <c r="AB1422" s="618" t="s">
        <v>164</v>
      </c>
      <c r="AC1422" s="618">
        <v>34800</v>
      </c>
      <c r="AD1422" s="619">
        <v>0.01</v>
      </c>
      <c r="AE1422" s="617" t="s">
        <v>2811</v>
      </c>
    </row>
    <row r="1423" spans="1:31" s="572" customFormat="1">
      <c r="A1423" s="570" t="s">
        <v>2830</v>
      </c>
      <c r="B1423" s="569" t="s">
        <v>287</v>
      </c>
      <c r="C1423" s="580">
        <v>26</v>
      </c>
      <c r="D1423" s="569" t="s">
        <v>1516</v>
      </c>
      <c r="E1423" s="569" t="s">
        <v>1607</v>
      </c>
      <c r="F1423" s="569" t="s">
        <v>271</v>
      </c>
      <c r="G1423" s="569">
        <v>2019</v>
      </c>
      <c r="H1423" s="569" t="s">
        <v>2769</v>
      </c>
      <c r="I1423" s="569" t="s">
        <v>2048</v>
      </c>
      <c r="J1423" s="569" t="s">
        <v>236</v>
      </c>
      <c r="K1423" s="569">
        <v>12</v>
      </c>
      <c r="L1423" s="569">
        <v>0</v>
      </c>
      <c r="M1423" s="569" t="s">
        <v>157</v>
      </c>
      <c r="N1423" s="569">
        <v>4</v>
      </c>
      <c r="O1423" s="569">
        <v>108.6</v>
      </c>
      <c r="P1423" s="568" t="s">
        <v>157</v>
      </c>
      <c r="Q1423" s="569" t="s">
        <v>1917</v>
      </c>
      <c r="R1423" s="569">
        <v>5</v>
      </c>
      <c r="S1423" s="569" t="s">
        <v>2770</v>
      </c>
      <c r="T1423" s="569" t="s">
        <v>434</v>
      </c>
      <c r="U1423" s="569">
        <v>147.6</v>
      </c>
      <c r="V1423" s="569">
        <v>25</v>
      </c>
      <c r="W1423" s="620">
        <v>9250</v>
      </c>
      <c r="X1423" s="621">
        <v>12</v>
      </c>
      <c r="Y1423" s="621" t="s">
        <v>728</v>
      </c>
      <c r="Z1423" s="621" t="s">
        <v>1523</v>
      </c>
      <c r="AA1423" s="622">
        <v>48010</v>
      </c>
      <c r="AB1423" s="622" t="s">
        <v>164</v>
      </c>
      <c r="AC1423" s="622">
        <v>38679</v>
      </c>
      <c r="AD1423" s="623">
        <v>0.05</v>
      </c>
      <c r="AE1423" s="621" t="s">
        <v>2768</v>
      </c>
    </row>
    <row r="1424" spans="1:31" s="572" customFormat="1">
      <c r="A1424" s="570" t="s">
        <v>2831</v>
      </c>
      <c r="B1424" s="573" t="s">
        <v>287</v>
      </c>
      <c r="C1424" s="578">
        <v>26</v>
      </c>
      <c r="D1424" s="573" t="s">
        <v>1516</v>
      </c>
      <c r="E1424" s="573" t="s">
        <v>1607</v>
      </c>
      <c r="F1424" s="573" t="s">
        <v>271</v>
      </c>
      <c r="G1424" s="573">
        <v>2019</v>
      </c>
      <c r="H1424" s="573" t="s">
        <v>2769</v>
      </c>
      <c r="I1424" s="573" t="s">
        <v>2048</v>
      </c>
      <c r="J1424" s="573" t="s">
        <v>236</v>
      </c>
      <c r="K1424" s="573">
        <v>12</v>
      </c>
      <c r="L1424" s="573">
        <v>0</v>
      </c>
      <c r="M1424" s="573" t="s">
        <v>157</v>
      </c>
      <c r="N1424" s="573">
        <v>4</v>
      </c>
      <c r="O1424" s="573">
        <v>108.6</v>
      </c>
      <c r="P1424" s="571" t="s">
        <v>157</v>
      </c>
      <c r="Q1424" s="573" t="s">
        <v>1259</v>
      </c>
      <c r="R1424" s="573">
        <v>6</v>
      </c>
      <c r="S1424" s="582" t="s">
        <v>2770</v>
      </c>
      <c r="T1424" s="573" t="s">
        <v>434</v>
      </c>
      <c r="U1424" s="573">
        <v>147.6</v>
      </c>
      <c r="V1424" s="573">
        <v>25</v>
      </c>
      <c r="W1424" s="616">
        <v>9000</v>
      </c>
      <c r="X1424" s="617">
        <v>12</v>
      </c>
      <c r="Y1424" s="617" t="s">
        <v>178</v>
      </c>
      <c r="Z1424" s="617" t="s">
        <v>178</v>
      </c>
      <c r="AA1424" s="618">
        <v>45880</v>
      </c>
      <c r="AB1424" s="618" t="s">
        <v>164</v>
      </c>
      <c r="AC1424" s="618">
        <v>36739</v>
      </c>
      <c r="AD1424" s="619">
        <v>0.05</v>
      </c>
      <c r="AE1424" s="617" t="s">
        <v>2772</v>
      </c>
    </row>
    <row r="1425" spans="1:31" s="572" customFormat="1">
      <c r="A1425" s="570" t="s">
        <v>2832</v>
      </c>
      <c r="B1425" s="569" t="s">
        <v>287</v>
      </c>
      <c r="C1425" s="580">
        <v>26</v>
      </c>
      <c r="D1425" s="569" t="s">
        <v>1516</v>
      </c>
      <c r="E1425" s="569" t="s">
        <v>1607</v>
      </c>
      <c r="F1425" s="569" t="s">
        <v>271</v>
      </c>
      <c r="G1425" s="569">
        <v>2019</v>
      </c>
      <c r="H1425" s="569" t="s">
        <v>2769</v>
      </c>
      <c r="I1425" s="569" t="s">
        <v>2048</v>
      </c>
      <c r="J1425" s="569" t="s">
        <v>236</v>
      </c>
      <c r="K1425" s="569">
        <v>12</v>
      </c>
      <c r="L1425" s="569">
        <v>0</v>
      </c>
      <c r="M1425" s="569" t="s">
        <v>157</v>
      </c>
      <c r="N1425" s="569">
        <v>4</v>
      </c>
      <c r="O1425" s="569">
        <v>108.6</v>
      </c>
      <c r="P1425" s="568" t="s">
        <v>157</v>
      </c>
      <c r="Q1425" s="569" t="s">
        <v>682</v>
      </c>
      <c r="R1425" s="569">
        <v>6</v>
      </c>
      <c r="S1425" s="569" t="s">
        <v>2770</v>
      </c>
      <c r="T1425" s="569" t="s">
        <v>434</v>
      </c>
      <c r="U1425" s="569">
        <v>147.6</v>
      </c>
      <c r="V1425" s="569">
        <v>25</v>
      </c>
      <c r="W1425" s="620">
        <v>9000</v>
      </c>
      <c r="X1425" s="621">
        <v>12</v>
      </c>
      <c r="Y1425" s="621" t="s">
        <v>178</v>
      </c>
      <c r="Z1425" s="621" t="s">
        <v>178</v>
      </c>
      <c r="AA1425" s="622">
        <v>44015</v>
      </c>
      <c r="AB1425" s="622" t="s">
        <v>164</v>
      </c>
      <c r="AC1425" s="622">
        <v>35041</v>
      </c>
      <c r="AD1425" s="623">
        <v>0.05</v>
      </c>
      <c r="AE1425" s="621" t="s">
        <v>2774</v>
      </c>
    </row>
    <row r="1426" spans="1:31" s="572" customFormat="1">
      <c r="A1426" s="570" t="s">
        <v>2833</v>
      </c>
      <c r="B1426" s="573" t="s">
        <v>287</v>
      </c>
      <c r="C1426" s="578">
        <v>26</v>
      </c>
      <c r="D1426" s="573" t="s">
        <v>1516</v>
      </c>
      <c r="E1426" s="573" t="s">
        <v>1607</v>
      </c>
      <c r="F1426" s="573" t="s">
        <v>271</v>
      </c>
      <c r="G1426" s="573">
        <v>2019</v>
      </c>
      <c r="H1426" s="573" t="s">
        <v>2769</v>
      </c>
      <c r="I1426" s="573" t="s">
        <v>2048</v>
      </c>
      <c r="J1426" s="573" t="s">
        <v>236</v>
      </c>
      <c r="K1426" s="573">
        <v>12</v>
      </c>
      <c r="L1426" s="573">
        <v>0</v>
      </c>
      <c r="M1426" s="573" t="s">
        <v>157</v>
      </c>
      <c r="N1426" s="573">
        <v>4</v>
      </c>
      <c r="O1426" s="573">
        <v>82.4</v>
      </c>
      <c r="P1426" s="571" t="s">
        <v>157</v>
      </c>
      <c r="Q1426" s="573" t="s">
        <v>1917</v>
      </c>
      <c r="R1426" s="573">
        <v>5</v>
      </c>
      <c r="S1426" s="582" t="s">
        <v>2777</v>
      </c>
      <c r="T1426" s="573" t="s">
        <v>434</v>
      </c>
      <c r="U1426" s="573">
        <v>147.6</v>
      </c>
      <c r="V1426" s="573">
        <v>25</v>
      </c>
      <c r="W1426" s="616">
        <v>9000</v>
      </c>
      <c r="X1426" s="617">
        <v>12</v>
      </c>
      <c r="Y1426" s="617" t="s">
        <v>728</v>
      </c>
      <c r="Z1426" s="617" t="s">
        <v>1523</v>
      </c>
      <c r="AA1426" s="618">
        <v>45110</v>
      </c>
      <c r="AB1426" s="618" t="s">
        <v>164</v>
      </c>
      <c r="AC1426" s="618">
        <v>33823</v>
      </c>
      <c r="AD1426" s="619">
        <v>0.05</v>
      </c>
      <c r="AE1426" s="617" t="s">
        <v>2776</v>
      </c>
    </row>
    <row r="1427" spans="1:31" s="572" customFormat="1">
      <c r="A1427" s="570" t="s">
        <v>2834</v>
      </c>
      <c r="B1427" s="569" t="s">
        <v>287</v>
      </c>
      <c r="C1427" s="580">
        <v>26</v>
      </c>
      <c r="D1427" s="569" t="s">
        <v>1516</v>
      </c>
      <c r="E1427" s="569" t="s">
        <v>1607</v>
      </c>
      <c r="F1427" s="569" t="s">
        <v>271</v>
      </c>
      <c r="G1427" s="569">
        <v>2019</v>
      </c>
      <c r="H1427" s="569" t="s">
        <v>2769</v>
      </c>
      <c r="I1427" s="569" t="s">
        <v>2048</v>
      </c>
      <c r="J1427" s="569" t="s">
        <v>236</v>
      </c>
      <c r="K1427" s="569">
        <v>12</v>
      </c>
      <c r="L1427" s="569">
        <v>0</v>
      </c>
      <c r="M1427" s="569" t="s">
        <v>157</v>
      </c>
      <c r="N1427" s="569">
        <v>4</v>
      </c>
      <c r="O1427" s="569">
        <v>82.4</v>
      </c>
      <c r="P1427" s="568" t="s">
        <v>157</v>
      </c>
      <c r="Q1427" s="569" t="s">
        <v>316</v>
      </c>
      <c r="R1427" s="569">
        <v>6</v>
      </c>
      <c r="S1427" s="569" t="s">
        <v>2777</v>
      </c>
      <c r="T1427" s="569" t="s">
        <v>434</v>
      </c>
      <c r="U1427" s="569">
        <v>147.6</v>
      </c>
      <c r="V1427" s="569">
        <v>25</v>
      </c>
      <c r="W1427" s="620">
        <v>9000</v>
      </c>
      <c r="X1427" s="621">
        <v>12</v>
      </c>
      <c r="Y1427" s="621" t="s">
        <v>728</v>
      </c>
      <c r="Z1427" s="621" t="s">
        <v>1523</v>
      </c>
      <c r="AA1427" s="622">
        <v>42980</v>
      </c>
      <c r="AB1427" s="622" t="s">
        <v>164</v>
      </c>
      <c r="AC1427" s="622">
        <v>31883</v>
      </c>
      <c r="AD1427" s="623">
        <v>0.05</v>
      </c>
      <c r="AE1427" s="621" t="s">
        <v>2835</v>
      </c>
    </row>
    <row r="1428" spans="1:31" s="572" customFormat="1">
      <c r="A1428" s="570" t="s">
        <v>2836</v>
      </c>
      <c r="B1428" s="573" t="s">
        <v>287</v>
      </c>
      <c r="C1428" s="578">
        <v>26</v>
      </c>
      <c r="D1428" s="573" t="s">
        <v>1516</v>
      </c>
      <c r="E1428" s="573" t="s">
        <v>1607</v>
      </c>
      <c r="F1428" s="573" t="s">
        <v>271</v>
      </c>
      <c r="G1428" s="573">
        <v>2019</v>
      </c>
      <c r="H1428" s="573" t="s">
        <v>2769</v>
      </c>
      <c r="I1428" s="573" t="s">
        <v>2048</v>
      </c>
      <c r="J1428" s="573" t="s">
        <v>236</v>
      </c>
      <c r="K1428" s="573">
        <v>12</v>
      </c>
      <c r="L1428" s="573">
        <v>0</v>
      </c>
      <c r="M1428" s="573" t="s">
        <v>157</v>
      </c>
      <c r="N1428" s="573">
        <v>4</v>
      </c>
      <c r="O1428" s="573">
        <v>82.4</v>
      </c>
      <c r="P1428" s="571" t="s">
        <v>157</v>
      </c>
      <c r="Q1428" s="573" t="s">
        <v>682</v>
      </c>
      <c r="R1428" s="573">
        <v>6</v>
      </c>
      <c r="S1428" s="582" t="s">
        <v>2777</v>
      </c>
      <c r="T1428" s="573" t="s">
        <v>434</v>
      </c>
      <c r="U1428" s="573">
        <v>147.6</v>
      </c>
      <c r="V1428" s="573">
        <v>25</v>
      </c>
      <c r="W1428" s="616">
        <v>9000</v>
      </c>
      <c r="X1428" s="617">
        <v>12</v>
      </c>
      <c r="Y1428" s="617" t="s">
        <v>178</v>
      </c>
      <c r="Z1428" s="617" t="s">
        <v>178</v>
      </c>
      <c r="AA1428" s="618">
        <v>41115</v>
      </c>
      <c r="AB1428" s="618" t="s">
        <v>164</v>
      </c>
      <c r="AC1428" s="618">
        <v>30185</v>
      </c>
      <c r="AD1428" s="619">
        <v>0.05</v>
      </c>
      <c r="AE1428" s="617" t="s">
        <v>2781</v>
      </c>
    </row>
    <row r="1429" spans="1:31" s="572" customFormat="1">
      <c r="A1429" s="570" t="s">
        <v>2837</v>
      </c>
      <c r="B1429" s="569" t="s">
        <v>287</v>
      </c>
      <c r="C1429" s="580">
        <v>26</v>
      </c>
      <c r="D1429" s="569" t="s">
        <v>1516</v>
      </c>
      <c r="E1429" s="569" t="s">
        <v>1607</v>
      </c>
      <c r="F1429" s="569" t="s">
        <v>271</v>
      </c>
      <c r="G1429" s="569">
        <v>2019</v>
      </c>
      <c r="H1429" s="569" t="s">
        <v>2769</v>
      </c>
      <c r="I1429" s="569" t="s">
        <v>2048</v>
      </c>
      <c r="J1429" s="569" t="s">
        <v>236</v>
      </c>
      <c r="K1429" s="569">
        <v>12</v>
      </c>
      <c r="L1429" s="569">
        <v>0</v>
      </c>
      <c r="M1429" s="569" t="s">
        <v>157</v>
      </c>
      <c r="N1429" s="569">
        <v>4</v>
      </c>
      <c r="O1429" s="569">
        <v>99.2</v>
      </c>
      <c r="P1429" s="568" t="s">
        <v>157</v>
      </c>
      <c r="Q1429" s="569" t="s">
        <v>1917</v>
      </c>
      <c r="R1429" s="569">
        <v>5</v>
      </c>
      <c r="S1429" s="569" t="s">
        <v>2617</v>
      </c>
      <c r="T1429" s="569" t="s">
        <v>434</v>
      </c>
      <c r="U1429" s="569">
        <v>147.6</v>
      </c>
      <c r="V1429" s="569">
        <v>25</v>
      </c>
      <c r="W1429" s="620">
        <v>9250</v>
      </c>
      <c r="X1429" s="621">
        <v>12</v>
      </c>
      <c r="Y1429" s="621" t="s">
        <v>728</v>
      </c>
      <c r="Z1429" s="621" t="s">
        <v>1523</v>
      </c>
      <c r="AA1429" s="622">
        <v>46560</v>
      </c>
      <c r="AB1429" s="622" t="s">
        <v>164</v>
      </c>
      <c r="AC1429" s="622">
        <v>37319</v>
      </c>
      <c r="AD1429" s="623">
        <v>0.05</v>
      </c>
      <c r="AE1429" s="621" t="s">
        <v>2783</v>
      </c>
    </row>
    <row r="1430" spans="1:31" s="572" customFormat="1">
      <c r="A1430" s="570" t="s">
        <v>2838</v>
      </c>
      <c r="B1430" s="573" t="s">
        <v>287</v>
      </c>
      <c r="C1430" s="578">
        <v>26</v>
      </c>
      <c r="D1430" s="573" t="s">
        <v>1516</v>
      </c>
      <c r="E1430" s="573" t="s">
        <v>1607</v>
      </c>
      <c r="F1430" s="573" t="s">
        <v>271</v>
      </c>
      <c r="G1430" s="573">
        <v>2019</v>
      </c>
      <c r="H1430" s="573" t="s">
        <v>2769</v>
      </c>
      <c r="I1430" s="573" t="s">
        <v>2048</v>
      </c>
      <c r="J1430" s="573" t="s">
        <v>236</v>
      </c>
      <c r="K1430" s="573">
        <v>12</v>
      </c>
      <c r="L1430" s="573">
        <v>0</v>
      </c>
      <c r="M1430" s="573" t="s">
        <v>157</v>
      </c>
      <c r="N1430" s="573">
        <v>4</v>
      </c>
      <c r="O1430" s="573">
        <v>99.2</v>
      </c>
      <c r="P1430" s="571" t="s">
        <v>157</v>
      </c>
      <c r="Q1430" s="573" t="s">
        <v>1259</v>
      </c>
      <c r="R1430" s="573">
        <v>6</v>
      </c>
      <c r="S1430" s="582" t="s">
        <v>2617</v>
      </c>
      <c r="T1430" s="573" t="s">
        <v>434</v>
      </c>
      <c r="U1430" s="573">
        <v>147.6</v>
      </c>
      <c r="V1430" s="573">
        <v>25</v>
      </c>
      <c r="W1430" s="616">
        <v>9000</v>
      </c>
      <c r="X1430" s="617">
        <v>12</v>
      </c>
      <c r="Y1430" s="617" t="s">
        <v>178</v>
      </c>
      <c r="Z1430" s="617" t="s">
        <v>178</v>
      </c>
      <c r="AA1430" s="618">
        <v>44430</v>
      </c>
      <c r="AB1430" s="618" t="s">
        <v>164</v>
      </c>
      <c r="AC1430" s="618">
        <v>35380</v>
      </c>
      <c r="AD1430" s="619">
        <v>0.05</v>
      </c>
      <c r="AE1430" s="617" t="s">
        <v>2785</v>
      </c>
    </row>
    <row r="1431" spans="1:31" s="572" customFormat="1">
      <c r="A1431" s="570" t="s">
        <v>2839</v>
      </c>
      <c r="B1431" s="569" t="s">
        <v>287</v>
      </c>
      <c r="C1431" s="580">
        <v>26</v>
      </c>
      <c r="D1431" s="569" t="s">
        <v>1516</v>
      </c>
      <c r="E1431" s="569" t="s">
        <v>1607</v>
      </c>
      <c r="F1431" s="569" t="s">
        <v>271</v>
      </c>
      <c r="G1431" s="569">
        <v>2019</v>
      </c>
      <c r="H1431" s="569" t="s">
        <v>2769</v>
      </c>
      <c r="I1431" s="569" t="s">
        <v>2048</v>
      </c>
      <c r="J1431" s="569" t="s">
        <v>236</v>
      </c>
      <c r="K1431" s="569">
        <v>12</v>
      </c>
      <c r="L1431" s="569">
        <v>0</v>
      </c>
      <c r="M1431" s="569" t="s">
        <v>157</v>
      </c>
      <c r="N1431" s="569">
        <v>4</v>
      </c>
      <c r="O1431" s="569">
        <v>99.2</v>
      </c>
      <c r="P1431" s="568" t="s">
        <v>157</v>
      </c>
      <c r="Q1431" s="569" t="s">
        <v>682</v>
      </c>
      <c r="R1431" s="569">
        <v>6</v>
      </c>
      <c r="S1431" s="569" t="s">
        <v>2617</v>
      </c>
      <c r="T1431" s="569" t="s">
        <v>434</v>
      </c>
      <c r="U1431" s="569">
        <v>147.6</v>
      </c>
      <c r="V1431" s="569">
        <v>25</v>
      </c>
      <c r="W1431" s="620">
        <v>9000</v>
      </c>
      <c r="X1431" s="621">
        <v>12</v>
      </c>
      <c r="Y1431" s="621" t="s">
        <v>178</v>
      </c>
      <c r="Z1431" s="621" t="s">
        <v>178</v>
      </c>
      <c r="AA1431" s="622">
        <v>44060</v>
      </c>
      <c r="AB1431" s="622" t="s">
        <v>164</v>
      </c>
      <c r="AC1431" s="622">
        <v>33682</v>
      </c>
      <c r="AD1431" s="623">
        <v>0.05</v>
      </c>
      <c r="AE1431" s="621" t="s">
        <v>2787</v>
      </c>
    </row>
    <row r="1432" spans="1:31" s="572" customFormat="1">
      <c r="A1432" s="570" t="s">
        <v>2840</v>
      </c>
      <c r="B1432" s="573" t="s">
        <v>287</v>
      </c>
      <c r="C1432" s="578">
        <v>26</v>
      </c>
      <c r="D1432" s="573" t="s">
        <v>1516</v>
      </c>
      <c r="E1432" s="573" t="s">
        <v>1607</v>
      </c>
      <c r="F1432" s="573" t="s">
        <v>271</v>
      </c>
      <c r="G1432" s="573">
        <v>2019</v>
      </c>
      <c r="H1432" s="573" t="s">
        <v>2769</v>
      </c>
      <c r="I1432" s="573" t="s">
        <v>2048</v>
      </c>
      <c r="J1432" s="573" t="s">
        <v>236</v>
      </c>
      <c r="K1432" s="573">
        <v>15</v>
      </c>
      <c r="L1432" s="573">
        <v>0</v>
      </c>
      <c r="M1432" s="573" t="s">
        <v>157</v>
      </c>
      <c r="N1432" s="573">
        <v>5</v>
      </c>
      <c r="O1432" s="573">
        <v>107.7</v>
      </c>
      <c r="P1432" s="571" t="s">
        <v>157</v>
      </c>
      <c r="Q1432" s="573" t="s">
        <v>1917</v>
      </c>
      <c r="R1432" s="573">
        <v>5</v>
      </c>
      <c r="S1432" s="582" t="s">
        <v>2599</v>
      </c>
      <c r="T1432" s="573" t="s">
        <v>434</v>
      </c>
      <c r="U1432" s="573">
        <v>147.6</v>
      </c>
      <c r="V1432" s="573">
        <v>25</v>
      </c>
      <c r="W1432" s="616">
        <v>10360</v>
      </c>
      <c r="X1432" s="617">
        <v>12</v>
      </c>
      <c r="Y1432" s="617" t="s">
        <v>728</v>
      </c>
      <c r="Z1432" s="617" t="s">
        <v>1523</v>
      </c>
      <c r="AA1432" s="618">
        <v>49160</v>
      </c>
      <c r="AB1432" s="618" t="s">
        <v>164</v>
      </c>
      <c r="AC1432" s="618">
        <v>39757</v>
      </c>
      <c r="AD1432" s="619">
        <v>0.05</v>
      </c>
      <c r="AE1432" s="617" t="s">
        <v>2789</v>
      </c>
    </row>
    <row r="1433" spans="1:31" s="572" customFormat="1">
      <c r="A1433" s="570" t="s">
        <v>2841</v>
      </c>
      <c r="B1433" s="569" t="s">
        <v>287</v>
      </c>
      <c r="C1433" s="580">
        <v>26</v>
      </c>
      <c r="D1433" s="569" t="s">
        <v>1516</v>
      </c>
      <c r="E1433" s="569" t="s">
        <v>1607</v>
      </c>
      <c r="F1433" s="569" t="s">
        <v>271</v>
      </c>
      <c r="G1433" s="569">
        <v>2019</v>
      </c>
      <c r="H1433" s="569" t="s">
        <v>2769</v>
      </c>
      <c r="I1433" s="569" t="s">
        <v>2048</v>
      </c>
      <c r="J1433" s="569" t="s">
        <v>236</v>
      </c>
      <c r="K1433" s="569">
        <v>15</v>
      </c>
      <c r="L1433" s="569">
        <v>0</v>
      </c>
      <c r="M1433" s="569" t="s">
        <v>157</v>
      </c>
      <c r="N1433" s="569">
        <v>5</v>
      </c>
      <c r="O1433" s="569">
        <v>107.7</v>
      </c>
      <c r="P1433" s="568" t="s">
        <v>157</v>
      </c>
      <c r="Q1433" s="569" t="s">
        <v>1259</v>
      </c>
      <c r="R1433" s="569">
        <v>6</v>
      </c>
      <c r="S1433" s="569" t="s">
        <v>2599</v>
      </c>
      <c r="T1433" s="569" t="s">
        <v>434</v>
      </c>
      <c r="U1433" s="569">
        <v>147.6</v>
      </c>
      <c r="V1433" s="569">
        <v>25</v>
      </c>
      <c r="W1433" s="620">
        <v>10360</v>
      </c>
      <c r="X1433" s="621" t="s">
        <v>157</v>
      </c>
      <c r="Y1433" s="621" t="s">
        <v>178</v>
      </c>
      <c r="Z1433" s="621" t="s">
        <v>178</v>
      </c>
      <c r="AA1433" s="622">
        <v>47030</v>
      </c>
      <c r="AB1433" s="622" t="s">
        <v>164</v>
      </c>
      <c r="AC1433" s="622">
        <v>37818</v>
      </c>
      <c r="AD1433" s="623">
        <v>0.05</v>
      </c>
      <c r="AE1433" s="621" t="s">
        <v>2791</v>
      </c>
    </row>
    <row r="1434" spans="1:31" s="572" customFormat="1">
      <c r="A1434" s="570" t="s">
        <v>2842</v>
      </c>
      <c r="B1434" s="573" t="s">
        <v>287</v>
      </c>
      <c r="C1434" s="578">
        <v>26</v>
      </c>
      <c r="D1434" s="573" t="s">
        <v>1516</v>
      </c>
      <c r="E1434" s="573" t="s">
        <v>1607</v>
      </c>
      <c r="F1434" s="573" t="s">
        <v>271</v>
      </c>
      <c r="G1434" s="573">
        <v>2019</v>
      </c>
      <c r="H1434" s="573" t="s">
        <v>2769</v>
      </c>
      <c r="I1434" s="573" t="s">
        <v>2048</v>
      </c>
      <c r="J1434" s="573" t="s">
        <v>236</v>
      </c>
      <c r="K1434" s="573">
        <v>15</v>
      </c>
      <c r="L1434" s="573">
        <v>0</v>
      </c>
      <c r="M1434" s="573" t="s">
        <v>157</v>
      </c>
      <c r="N1434" s="573">
        <v>5</v>
      </c>
      <c r="O1434" s="573">
        <v>107.7</v>
      </c>
      <c r="P1434" s="571" t="s">
        <v>157</v>
      </c>
      <c r="Q1434" s="573" t="s">
        <v>682</v>
      </c>
      <c r="R1434" s="573">
        <v>6</v>
      </c>
      <c r="S1434" s="582" t="s">
        <v>2599</v>
      </c>
      <c r="T1434" s="573" t="s">
        <v>434</v>
      </c>
      <c r="U1434" s="573">
        <v>147.6</v>
      </c>
      <c r="V1434" s="573">
        <v>25</v>
      </c>
      <c r="W1434" s="616">
        <v>10360</v>
      </c>
      <c r="X1434" s="617" t="s">
        <v>157</v>
      </c>
      <c r="Y1434" s="617" t="s">
        <v>178</v>
      </c>
      <c r="Z1434" s="617" t="s">
        <v>178</v>
      </c>
      <c r="AA1434" s="618">
        <v>45165</v>
      </c>
      <c r="AB1434" s="618" t="s">
        <v>164</v>
      </c>
      <c r="AC1434" s="618">
        <v>36120</v>
      </c>
      <c r="AD1434" s="619">
        <v>0.05</v>
      </c>
      <c r="AE1434" s="617" t="s">
        <v>2793</v>
      </c>
    </row>
    <row r="1435" spans="1:31" s="572" customFormat="1">
      <c r="A1435" s="570" t="s">
        <v>2843</v>
      </c>
      <c r="B1435" s="569" t="s">
        <v>280</v>
      </c>
      <c r="C1435" s="580">
        <v>27</v>
      </c>
      <c r="D1435" s="569" t="s">
        <v>1516</v>
      </c>
      <c r="E1435" s="569" t="s">
        <v>1607</v>
      </c>
      <c r="F1435" s="569" t="s">
        <v>271</v>
      </c>
      <c r="G1435" s="569">
        <v>2019</v>
      </c>
      <c r="H1435" s="569" t="s">
        <v>2769</v>
      </c>
      <c r="I1435" s="569" t="s">
        <v>2048</v>
      </c>
      <c r="J1435" s="569" t="s">
        <v>236</v>
      </c>
      <c r="K1435" s="569">
        <v>12</v>
      </c>
      <c r="L1435" s="569">
        <v>0</v>
      </c>
      <c r="M1435" s="569" t="s">
        <v>157</v>
      </c>
      <c r="N1435" s="569">
        <v>4</v>
      </c>
      <c r="O1435" s="569">
        <v>108.6</v>
      </c>
      <c r="P1435" s="568" t="s">
        <v>157</v>
      </c>
      <c r="Q1435" s="569" t="s">
        <v>1917</v>
      </c>
      <c r="R1435" s="569">
        <v>5</v>
      </c>
      <c r="S1435" s="569" t="s">
        <v>2770</v>
      </c>
      <c r="T1435" s="569" t="s">
        <v>434</v>
      </c>
      <c r="U1435" s="569">
        <v>147.6</v>
      </c>
      <c r="V1435" s="569">
        <v>25</v>
      </c>
      <c r="W1435" s="620">
        <v>9250</v>
      </c>
      <c r="X1435" s="621">
        <v>12</v>
      </c>
      <c r="Y1435" s="621" t="s">
        <v>728</v>
      </c>
      <c r="Z1435" s="621" t="s">
        <v>1523</v>
      </c>
      <c r="AA1435" s="622">
        <v>48010</v>
      </c>
      <c r="AB1435" s="622" t="s">
        <v>164</v>
      </c>
      <c r="AC1435" s="622">
        <v>37624.208333333336</v>
      </c>
      <c r="AD1435" s="623">
        <v>0.03</v>
      </c>
      <c r="AE1435" s="621" t="s">
        <v>2768</v>
      </c>
    </row>
    <row r="1436" spans="1:31" s="572" customFormat="1">
      <c r="A1436" s="570" t="s">
        <v>2844</v>
      </c>
      <c r="B1436" s="573" t="s">
        <v>280</v>
      </c>
      <c r="C1436" s="578">
        <v>27</v>
      </c>
      <c r="D1436" s="573" t="s">
        <v>1516</v>
      </c>
      <c r="E1436" s="573" t="s">
        <v>1607</v>
      </c>
      <c r="F1436" s="573" t="s">
        <v>271</v>
      </c>
      <c r="G1436" s="573">
        <v>2019</v>
      </c>
      <c r="H1436" s="573" t="s">
        <v>2769</v>
      </c>
      <c r="I1436" s="573" t="s">
        <v>2048</v>
      </c>
      <c r="J1436" s="573" t="s">
        <v>236</v>
      </c>
      <c r="K1436" s="573">
        <v>12</v>
      </c>
      <c r="L1436" s="573">
        <v>0</v>
      </c>
      <c r="M1436" s="573" t="s">
        <v>157</v>
      </c>
      <c r="N1436" s="573">
        <v>4</v>
      </c>
      <c r="O1436" s="573">
        <v>108.6</v>
      </c>
      <c r="P1436" s="571" t="s">
        <v>157</v>
      </c>
      <c r="Q1436" s="573" t="s">
        <v>1259</v>
      </c>
      <c r="R1436" s="573">
        <v>6</v>
      </c>
      <c r="S1436" s="582" t="s">
        <v>2770</v>
      </c>
      <c r="T1436" s="573" t="s">
        <v>434</v>
      </c>
      <c r="U1436" s="573">
        <v>147.6</v>
      </c>
      <c r="V1436" s="573">
        <v>25</v>
      </c>
      <c r="W1436" s="616">
        <v>9000</v>
      </c>
      <c r="X1436" s="617">
        <v>12</v>
      </c>
      <c r="Y1436" s="617" t="s">
        <v>178</v>
      </c>
      <c r="Z1436" s="617" t="s">
        <v>178</v>
      </c>
      <c r="AA1436" s="618">
        <v>45880</v>
      </c>
      <c r="AB1436" s="618" t="s">
        <v>164</v>
      </c>
      <c r="AC1436" s="618">
        <v>35730.916666666672</v>
      </c>
      <c r="AD1436" s="619">
        <v>0.03</v>
      </c>
      <c r="AE1436" s="617" t="s">
        <v>2772</v>
      </c>
    </row>
    <row r="1437" spans="1:31" s="572" customFormat="1">
      <c r="A1437" s="570" t="s">
        <v>2845</v>
      </c>
      <c r="B1437" s="569" t="s">
        <v>280</v>
      </c>
      <c r="C1437" s="580">
        <v>27</v>
      </c>
      <c r="D1437" s="569" t="s">
        <v>1516</v>
      </c>
      <c r="E1437" s="569" t="s">
        <v>1607</v>
      </c>
      <c r="F1437" s="569" t="s">
        <v>271</v>
      </c>
      <c r="G1437" s="569">
        <v>2019</v>
      </c>
      <c r="H1437" s="569" t="s">
        <v>2769</v>
      </c>
      <c r="I1437" s="569" t="s">
        <v>2048</v>
      </c>
      <c r="J1437" s="569" t="s">
        <v>236</v>
      </c>
      <c r="K1437" s="569">
        <v>12</v>
      </c>
      <c r="L1437" s="569">
        <v>0</v>
      </c>
      <c r="M1437" s="569" t="s">
        <v>157</v>
      </c>
      <c r="N1437" s="569">
        <v>4</v>
      </c>
      <c r="O1437" s="569">
        <v>108.6</v>
      </c>
      <c r="P1437" s="568" t="s">
        <v>157</v>
      </c>
      <c r="Q1437" s="569" t="s">
        <v>682</v>
      </c>
      <c r="R1437" s="569">
        <v>6</v>
      </c>
      <c r="S1437" s="569" t="s">
        <v>2770</v>
      </c>
      <c r="T1437" s="569" t="s">
        <v>434</v>
      </c>
      <c r="U1437" s="569">
        <v>147.6</v>
      </c>
      <c r="V1437" s="569">
        <v>25</v>
      </c>
      <c r="W1437" s="620">
        <v>9000</v>
      </c>
      <c r="X1437" s="621">
        <v>12</v>
      </c>
      <c r="Y1437" s="621" t="s">
        <v>178</v>
      </c>
      <c r="Z1437" s="621" t="s">
        <v>178</v>
      </c>
      <c r="AA1437" s="622">
        <v>44015</v>
      </c>
      <c r="AB1437" s="622" t="s">
        <v>164</v>
      </c>
      <c r="AC1437" s="622">
        <v>34074.666666666672</v>
      </c>
      <c r="AD1437" s="623">
        <v>0.03</v>
      </c>
      <c r="AE1437" s="621" t="s">
        <v>2774</v>
      </c>
    </row>
    <row r="1438" spans="1:31" s="572" customFormat="1">
      <c r="A1438" s="570" t="s">
        <v>2846</v>
      </c>
      <c r="B1438" s="573" t="s">
        <v>280</v>
      </c>
      <c r="C1438" s="578">
        <v>27</v>
      </c>
      <c r="D1438" s="573" t="s">
        <v>1516</v>
      </c>
      <c r="E1438" s="573" t="s">
        <v>1607</v>
      </c>
      <c r="F1438" s="573" t="s">
        <v>271</v>
      </c>
      <c r="G1438" s="573">
        <v>2019</v>
      </c>
      <c r="H1438" s="573" t="s">
        <v>2769</v>
      </c>
      <c r="I1438" s="573" t="s">
        <v>2048</v>
      </c>
      <c r="J1438" s="573" t="s">
        <v>236</v>
      </c>
      <c r="K1438" s="573">
        <v>12</v>
      </c>
      <c r="L1438" s="573">
        <v>0</v>
      </c>
      <c r="M1438" s="573" t="s">
        <v>157</v>
      </c>
      <c r="N1438" s="573">
        <v>4</v>
      </c>
      <c r="O1438" s="573">
        <v>82.4</v>
      </c>
      <c r="P1438" s="571" t="s">
        <v>157</v>
      </c>
      <c r="Q1438" s="573" t="s">
        <v>1917</v>
      </c>
      <c r="R1438" s="573">
        <v>5</v>
      </c>
      <c r="S1438" s="582" t="s">
        <v>2777</v>
      </c>
      <c r="T1438" s="573" t="s">
        <v>434</v>
      </c>
      <c r="U1438" s="573">
        <v>147.6</v>
      </c>
      <c r="V1438" s="573">
        <v>25</v>
      </c>
      <c r="W1438" s="616">
        <v>9250</v>
      </c>
      <c r="X1438" s="617">
        <v>12</v>
      </c>
      <c r="Y1438" s="617" t="s">
        <v>728</v>
      </c>
      <c r="Z1438" s="617" t="s">
        <v>1523</v>
      </c>
      <c r="AA1438" s="618">
        <v>45110</v>
      </c>
      <c r="AB1438" s="618" t="s">
        <v>164</v>
      </c>
      <c r="AC1438" s="618">
        <v>32890.875</v>
      </c>
      <c r="AD1438" s="619">
        <v>0.03</v>
      </c>
      <c r="AE1438" s="617" t="s">
        <v>2776</v>
      </c>
    </row>
    <row r="1439" spans="1:31" s="572" customFormat="1">
      <c r="A1439" s="570" t="s">
        <v>2847</v>
      </c>
      <c r="B1439" s="569" t="s">
        <v>280</v>
      </c>
      <c r="C1439" s="580">
        <v>27</v>
      </c>
      <c r="D1439" s="569" t="s">
        <v>1516</v>
      </c>
      <c r="E1439" s="569" t="s">
        <v>1607</v>
      </c>
      <c r="F1439" s="569" t="s">
        <v>271</v>
      </c>
      <c r="G1439" s="569">
        <v>2019</v>
      </c>
      <c r="H1439" s="569" t="s">
        <v>2769</v>
      </c>
      <c r="I1439" s="569" t="s">
        <v>2048</v>
      </c>
      <c r="J1439" s="569" t="s">
        <v>236</v>
      </c>
      <c r="K1439" s="569">
        <v>12</v>
      </c>
      <c r="L1439" s="569">
        <v>0</v>
      </c>
      <c r="M1439" s="569" t="s">
        <v>157</v>
      </c>
      <c r="N1439" s="569">
        <v>4</v>
      </c>
      <c r="O1439" s="569">
        <v>82.4</v>
      </c>
      <c r="P1439" s="568" t="s">
        <v>157</v>
      </c>
      <c r="Q1439" s="569" t="s">
        <v>1259</v>
      </c>
      <c r="R1439" s="569">
        <v>6</v>
      </c>
      <c r="S1439" s="569" t="s">
        <v>2777</v>
      </c>
      <c r="T1439" s="569" t="s">
        <v>434</v>
      </c>
      <c r="U1439" s="569">
        <v>147.6</v>
      </c>
      <c r="V1439" s="569">
        <v>25</v>
      </c>
      <c r="W1439" s="620">
        <v>9000</v>
      </c>
      <c r="X1439" s="621">
        <v>12</v>
      </c>
      <c r="Y1439" s="621" t="s">
        <v>178</v>
      </c>
      <c r="Z1439" s="621" t="s">
        <v>178</v>
      </c>
      <c r="AA1439" s="622">
        <v>42980</v>
      </c>
      <c r="AB1439" s="622" t="s">
        <v>164</v>
      </c>
      <c r="AC1439" s="622">
        <v>30997.583333333336</v>
      </c>
      <c r="AD1439" s="623">
        <v>0.03</v>
      </c>
      <c r="AE1439" s="621" t="s">
        <v>2779</v>
      </c>
    </row>
    <row r="1440" spans="1:31" s="572" customFormat="1">
      <c r="A1440" s="570" t="s">
        <v>2848</v>
      </c>
      <c r="B1440" s="573" t="s">
        <v>280</v>
      </c>
      <c r="C1440" s="578">
        <v>27</v>
      </c>
      <c r="D1440" s="573" t="s">
        <v>1516</v>
      </c>
      <c r="E1440" s="573" t="s">
        <v>1607</v>
      </c>
      <c r="F1440" s="573" t="s">
        <v>271</v>
      </c>
      <c r="G1440" s="573">
        <v>2019</v>
      </c>
      <c r="H1440" s="573" t="s">
        <v>2769</v>
      </c>
      <c r="I1440" s="573" t="s">
        <v>2048</v>
      </c>
      <c r="J1440" s="573" t="s">
        <v>236</v>
      </c>
      <c r="K1440" s="573">
        <v>12</v>
      </c>
      <c r="L1440" s="573">
        <v>0</v>
      </c>
      <c r="M1440" s="573" t="s">
        <v>157</v>
      </c>
      <c r="N1440" s="573">
        <v>4</v>
      </c>
      <c r="O1440" s="573">
        <v>82.4</v>
      </c>
      <c r="P1440" s="571" t="s">
        <v>157</v>
      </c>
      <c r="Q1440" s="573" t="s">
        <v>682</v>
      </c>
      <c r="R1440" s="573">
        <v>6</v>
      </c>
      <c r="S1440" s="582" t="s">
        <v>2777</v>
      </c>
      <c r="T1440" s="573" t="s">
        <v>434</v>
      </c>
      <c r="U1440" s="573">
        <v>147.6</v>
      </c>
      <c r="V1440" s="573">
        <v>25</v>
      </c>
      <c r="W1440" s="616">
        <v>9000</v>
      </c>
      <c r="X1440" s="617">
        <v>12</v>
      </c>
      <c r="Y1440" s="617" t="s">
        <v>178</v>
      </c>
      <c r="Z1440" s="617" t="s">
        <v>178</v>
      </c>
      <c r="AA1440" s="618">
        <v>41115</v>
      </c>
      <c r="AB1440" s="618" t="s">
        <v>164</v>
      </c>
      <c r="AC1440" s="618">
        <v>29341.333333333336</v>
      </c>
      <c r="AD1440" s="619">
        <v>0.03</v>
      </c>
      <c r="AE1440" s="617" t="s">
        <v>2781</v>
      </c>
    </row>
    <row r="1441" spans="1:31" s="572" customFormat="1">
      <c r="A1441" s="570" t="s">
        <v>2849</v>
      </c>
      <c r="B1441" s="569" t="s">
        <v>280</v>
      </c>
      <c r="C1441" s="580">
        <v>27</v>
      </c>
      <c r="D1441" s="569" t="s">
        <v>1516</v>
      </c>
      <c r="E1441" s="569" t="s">
        <v>1607</v>
      </c>
      <c r="F1441" s="569" t="s">
        <v>271</v>
      </c>
      <c r="G1441" s="569">
        <v>2019</v>
      </c>
      <c r="H1441" s="569" t="s">
        <v>2769</v>
      </c>
      <c r="I1441" s="569" t="s">
        <v>2048</v>
      </c>
      <c r="J1441" s="569" t="s">
        <v>236</v>
      </c>
      <c r="K1441" s="569">
        <v>12</v>
      </c>
      <c r="L1441" s="569">
        <v>0</v>
      </c>
      <c r="M1441" s="569" t="s">
        <v>157</v>
      </c>
      <c r="N1441" s="569">
        <v>4</v>
      </c>
      <c r="O1441" s="569">
        <v>99.2</v>
      </c>
      <c r="P1441" s="568" t="s">
        <v>157</v>
      </c>
      <c r="Q1441" s="569" t="s">
        <v>1917</v>
      </c>
      <c r="R1441" s="569">
        <v>5</v>
      </c>
      <c r="S1441" s="569" t="s">
        <v>2617</v>
      </c>
      <c r="T1441" s="569" t="s">
        <v>434</v>
      </c>
      <c r="U1441" s="569">
        <v>147.6</v>
      </c>
      <c r="V1441" s="569">
        <v>25</v>
      </c>
      <c r="W1441" s="620">
        <v>9250</v>
      </c>
      <c r="X1441" s="621">
        <v>12</v>
      </c>
      <c r="Y1441" s="621" t="s">
        <v>728</v>
      </c>
      <c r="Z1441" s="621" t="s">
        <v>1523</v>
      </c>
      <c r="AA1441" s="622">
        <v>46560</v>
      </c>
      <c r="AB1441" s="622" t="s">
        <v>164</v>
      </c>
      <c r="AC1441" s="622">
        <v>36299.208333333336</v>
      </c>
      <c r="AD1441" s="623">
        <v>0.03</v>
      </c>
      <c r="AE1441" s="621" t="s">
        <v>2783</v>
      </c>
    </row>
    <row r="1442" spans="1:31" s="572" customFormat="1">
      <c r="A1442" s="570" t="s">
        <v>2850</v>
      </c>
      <c r="B1442" s="573" t="s">
        <v>280</v>
      </c>
      <c r="C1442" s="578">
        <v>27</v>
      </c>
      <c r="D1442" s="573" t="s">
        <v>1516</v>
      </c>
      <c r="E1442" s="573" t="s">
        <v>1607</v>
      </c>
      <c r="F1442" s="573" t="s">
        <v>271</v>
      </c>
      <c r="G1442" s="573">
        <v>2019</v>
      </c>
      <c r="H1442" s="573" t="s">
        <v>2769</v>
      </c>
      <c r="I1442" s="573" t="s">
        <v>2048</v>
      </c>
      <c r="J1442" s="573" t="s">
        <v>236</v>
      </c>
      <c r="K1442" s="573">
        <v>12</v>
      </c>
      <c r="L1442" s="573">
        <v>0</v>
      </c>
      <c r="M1442" s="573" t="s">
        <v>157</v>
      </c>
      <c r="N1442" s="573">
        <v>4</v>
      </c>
      <c r="O1442" s="573">
        <v>99.2</v>
      </c>
      <c r="P1442" s="571" t="s">
        <v>157</v>
      </c>
      <c r="Q1442" s="573" t="s">
        <v>1259</v>
      </c>
      <c r="R1442" s="573">
        <v>6</v>
      </c>
      <c r="S1442" s="582" t="s">
        <v>2617</v>
      </c>
      <c r="T1442" s="573" t="s">
        <v>434</v>
      </c>
      <c r="U1442" s="573">
        <v>147.6</v>
      </c>
      <c r="V1442" s="573">
        <v>25</v>
      </c>
      <c r="W1442" s="616">
        <v>9000</v>
      </c>
      <c r="X1442" s="617">
        <v>12</v>
      </c>
      <c r="Y1442" s="617" t="s">
        <v>178</v>
      </c>
      <c r="Z1442" s="617" t="s">
        <v>178</v>
      </c>
      <c r="AA1442" s="618">
        <v>44430</v>
      </c>
      <c r="AB1442" s="618" t="s">
        <v>164</v>
      </c>
      <c r="AC1442" s="618">
        <v>34405.916666666672</v>
      </c>
      <c r="AD1442" s="619">
        <v>0.03</v>
      </c>
      <c r="AE1442" s="617" t="s">
        <v>2785</v>
      </c>
    </row>
    <row r="1443" spans="1:31" s="572" customFormat="1">
      <c r="A1443" s="570" t="s">
        <v>2851</v>
      </c>
      <c r="B1443" s="569" t="s">
        <v>280</v>
      </c>
      <c r="C1443" s="580">
        <v>27</v>
      </c>
      <c r="D1443" s="569" t="s">
        <v>1516</v>
      </c>
      <c r="E1443" s="569" t="s">
        <v>1607</v>
      </c>
      <c r="F1443" s="569" t="s">
        <v>271</v>
      </c>
      <c r="G1443" s="569">
        <v>2019</v>
      </c>
      <c r="H1443" s="569" t="s">
        <v>2769</v>
      </c>
      <c r="I1443" s="569" t="s">
        <v>2048</v>
      </c>
      <c r="J1443" s="569" t="s">
        <v>236</v>
      </c>
      <c r="K1443" s="569">
        <v>12</v>
      </c>
      <c r="L1443" s="569">
        <v>0</v>
      </c>
      <c r="M1443" s="569" t="s">
        <v>157</v>
      </c>
      <c r="N1443" s="569">
        <v>4</v>
      </c>
      <c r="O1443" s="569">
        <v>99.2</v>
      </c>
      <c r="P1443" s="568" t="s">
        <v>157</v>
      </c>
      <c r="Q1443" s="569" t="s">
        <v>682</v>
      </c>
      <c r="R1443" s="569">
        <v>6</v>
      </c>
      <c r="S1443" s="569" t="s">
        <v>2617</v>
      </c>
      <c r="T1443" s="569" t="s">
        <v>434</v>
      </c>
      <c r="U1443" s="569">
        <v>147.6</v>
      </c>
      <c r="V1443" s="569">
        <v>25</v>
      </c>
      <c r="W1443" s="620">
        <v>9000</v>
      </c>
      <c r="X1443" s="621">
        <v>12</v>
      </c>
      <c r="Y1443" s="621" t="s">
        <v>178</v>
      </c>
      <c r="Z1443" s="621" t="s">
        <v>178</v>
      </c>
      <c r="AA1443" s="622">
        <v>42565</v>
      </c>
      <c r="AB1443" s="622" t="s">
        <v>164</v>
      </c>
      <c r="AC1443" s="622">
        <v>33933</v>
      </c>
      <c r="AD1443" s="623">
        <v>0.03</v>
      </c>
      <c r="AE1443" s="621" t="s">
        <v>2787</v>
      </c>
    </row>
    <row r="1444" spans="1:31" s="572" customFormat="1">
      <c r="A1444" s="570" t="s">
        <v>2852</v>
      </c>
      <c r="B1444" s="573" t="s">
        <v>280</v>
      </c>
      <c r="C1444" s="578">
        <v>27</v>
      </c>
      <c r="D1444" s="573" t="s">
        <v>1516</v>
      </c>
      <c r="E1444" s="573" t="s">
        <v>1607</v>
      </c>
      <c r="F1444" s="573" t="s">
        <v>271</v>
      </c>
      <c r="G1444" s="573">
        <v>2019</v>
      </c>
      <c r="H1444" s="573" t="s">
        <v>2769</v>
      </c>
      <c r="I1444" s="573" t="s">
        <v>2048</v>
      </c>
      <c r="J1444" s="573" t="s">
        <v>236</v>
      </c>
      <c r="K1444" s="573">
        <v>15</v>
      </c>
      <c r="L1444" s="573">
        <v>0</v>
      </c>
      <c r="M1444" s="573" t="s">
        <v>157</v>
      </c>
      <c r="N1444" s="573">
        <v>5</v>
      </c>
      <c r="O1444" s="573">
        <v>107.7</v>
      </c>
      <c r="P1444" s="571" t="s">
        <v>157</v>
      </c>
      <c r="Q1444" s="573" t="s">
        <v>1917</v>
      </c>
      <c r="R1444" s="573">
        <v>5</v>
      </c>
      <c r="S1444" s="582" t="s">
        <v>2599</v>
      </c>
      <c r="T1444" s="573" t="s">
        <v>434</v>
      </c>
      <c r="U1444" s="573">
        <v>147.6</v>
      </c>
      <c r="V1444" s="573">
        <v>25</v>
      </c>
      <c r="W1444" s="616">
        <v>10360</v>
      </c>
      <c r="X1444" s="617">
        <v>12</v>
      </c>
      <c r="Y1444" s="617" t="s">
        <v>728</v>
      </c>
      <c r="Z1444" s="617" t="s">
        <v>1523</v>
      </c>
      <c r="AA1444" s="618">
        <v>49160</v>
      </c>
      <c r="AB1444" s="618" t="s">
        <v>164</v>
      </c>
      <c r="AC1444" s="618">
        <v>38675.25</v>
      </c>
      <c r="AD1444" s="619">
        <v>0.03</v>
      </c>
      <c r="AE1444" s="617" t="s">
        <v>2789</v>
      </c>
    </row>
    <row r="1445" spans="1:31" s="572" customFormat="1">
      <c r="A1445" s="570" t="s">
        <v>2853</v>
      </c>
      <c r="B1445" s="569" t="s">
        <v>280</v>
      </c>
      <c r="C1445" s="580">
        <v>27</v>
      </c>
      <c r="D1445" s="569" t="s">
        <v>1516</v>
      </c>
      <c r="E1445" s="569" t="s">
        <v>1607</v>
      </c>
      <c r="F1445" s="569" t="s">
        <v>271</v>
      </c>
      <c r="G1445" s="569">
        <v>2019</v>
      </c>
      <c r="H1445" s="569" t="s">
        <v>2769</v>
      </c>
      <c r="I1445" s="569" t="s">
        <v>2048</v>
      </c>
      <c r="J1445" s="569" t="s">
        <v>236</v>
      </c>
      <c r="K1445" s="569">
        <v>15</v>
      </c>
      <c r="L1445" s="569">
        <v>0</v>
      </c>
      <c r="M1445" s="569" t="s">
        <v>157</v>
      </c>
      <c r="N1445" s="569">
        <v>5</v>
      </c>
      <c r="O1445" s="569">
        <v>107.7</v>
      </c>
      <c r="P1445" s="568" t="s">
        <v>157</v>
      </c>
      <c r="Q1445" s="569" t="s">
        <v>1259</v>
      </c>
      <c r="R1445" s="569">
        <v>6</v>
      </c>
      <c r="S1445" s="569" t="s">
        <v>2599</v>
      </c>
      <c r="T1445" s="569" t="s">
        <v>434</v>
      </c>
      <c r="U1445" s="569">
        <v>147.6</v>
      </c>
      <c r="V1445" s="569">
        <v>25</v>
      </c>
      <c r="W1445" s="620">
        <v>10360</v>
      </c>
      <c r="X1445" s="621" t="s">
        <v>157</v>
      </c>
      <c r="Y1445" s="621" t="s">
        <v>178</v>
      </c>
      <c r="Z1445" s="621" t="s">
        <v>178</v>
      </c>
      <c r="AA1445" s="622">
        <v>47030</v>
      </c>
      <c r="AB1445" s="622" t="s">
        <v>164</v>
      </c>
      <c r="AC1445" s="622">
        <v>36781.958333333336</v>
      </c>
      <c r="AD1445" s="623">
        <v>0.03</v>
      </c>
      <c r="AE1445" s="621" t="s">
        <v>2791</v>
      </c>
    </row>
    <row r="1446" spans="1:31" s="572" customFormat="1">
      <c r="A1446" s="570" t="s">
        <v>2854</v>
      </c>
      <c r="B1446" s="573" t="s">
        <v>280</v>
      </c>
      <c r="C1446" s="578">
        <v>27</v>
      </c>
      <c r="D1446" s="573" t="s">
        <v>1516</v>
      </c>
      <c r="E1446" s="573" t="s">
        <v>1607</v>
      </c>
      <c r="F1446" s="573" t="s">
        <v>271</v>
      </c>
      <c r="G1446" s="573">
        <v>2019</v>
      </c>
      <c r="H1446" s="573" t="s">
        <v>2769</v>
      </c>
      <c r="I1446" s="573" t="s">
        <v>2048</v>
      </c>
      <c r="J1446" s="573" t="s">
        <v>236</v>
      </c>
      <c r="K1446" s="573">
        <v>15</v>
      </c>
      <c r="L1446" s="573">
        <v>0</v>
      </c>
      <c r="M1446" s="573" t="s">
        <v>157</v>
      </c>
      <c r="N1446" s="573">
        <v>5</v>
      </c>
      <c r="O1446" s="573">
        <v>107.7</v>
      </c>
      <c r="P1446" s="571" t="s">
        <v>157</v>
      </c>
      <c r="Q1446" s="573" t="s">
        <v>682</v>
      </c>
      <c r="R1446" s="573">
        <v>6</v>
      </c>
      <c r="S1446" s="582" t="s">
        <v>2599</v>
      </c>
      <c r="T1446" s="573" t="s">
        <v>434</v>
      </c>
      <c r="U1446" s="573">
        <v>147.6</v>
      </c>
      <c r="V1446" s="573">
        <v>25</v>
      </c>
      <c r="W1446" s="616">
        <v>10360</v>
      </c>
      <c r="X1446" s="617" t="s">
        <v>157</v>
      </c>
      <c r="Y1446" s="617" t="s">
        <v>178</v>
      </c>
      <c r="Z1446" s="617" t="s">
        <v>178</v>
      </c>
      <c r="AA1446" s="618">
        <v>45165</v>
      </c>
      <c r="AB1446" s="618" t="s">
        <v>164</v>
      </c>
      <c r="AC1446" s="618">
        <v>35125.708333333336</v>
      </c>
      <c r="AD1446" s="619">
        <v>0.03</v>
      </c>
      <c r="AE1446" s="617" t="s">
        <v>2793</v>
      </c>
    </row>
    <row r="1447" spans="1:31" s="572" customFormat="1">
      <c r="A1447" s="570" t="s">
        <v>2855</v>
      </c>
      <c r="B1447" s="569" t="s">
        <v>280</v>
      </c>
      <c r="C1447" s="580">
        <v>27</v>
      </c>
      <c r="D1447" s="569" t="s">
        <v>1516</v>
      </c>
      <c r="E1447" s="569" t="s">
        <v>1607</v>
      </c>
      <c r="F1447" s="569" t="s">
        <v>271</v>
      </c>
      <c r="G1447" s="569">
        <v>2019</v>
      </c>
      <c r="H1447" s="569" t="s">
        <v>2769</v>
      </c>
      <c r="I1447" s="569" t="s">
        <v>2048</v>
      </c>
      <c r="J1447" s="569" t="s">
        <v>236</v>
      </c>
      <c r="K1447" s="569">
        <v>15</v>
      </c>
      <c r="L1447" s="569">
        <v>0</v>
      </c>
      <c r="M1447" s="569" t="s">
        <v>157</v>
      </c>
      <c r="N1447" s="569">
        <v>5</v>
      </c>
      <c r="O1447" s="569">
        <v>108.6</v>
      </c>
      <c r="P1447" s="568" t="s">
        <v>157</v>
      </c>
      <c r="Q1447" s="569" t="s">
        <v>1917</v>
      </c>
      <c r="R1447" s="569">
        <v>5</v>
      </c>
      <c r="S1447" s="569" t="s">
        <v>2770</v>
      </c>
      <c r="T1447" s="569" t="s">
        <v>434</v>
      </c>
      <c r="U1447" s="569">
        <v>147.6</v>
      </c>
      <c r="V1447" s="569">
        <v>25</v>
      </c>
      <c r="W1447" s="620">
        <v>9400</v>
      </c>
      <c r="X1447" s="621">
        <v>12</v>
      </c>
      <c r="Y1447" s="621" t="s">
        <v>728</v>
      </c>
      <c r="Z1447" s="621" t="s">
        <v>1523</v>
      </c>
      <c r="AA1447" s="622">
        <v>49505</v>
      </c>
      <c r="AB1447" s="622" t="s">
        <v>164</v>
      </c>
      <c r="AC1447" s="622">
        <v>38952.333333333336</v>
      </c>
      <c r="AD1447" s="623">
        <v>0.03</v>
      </c>
      <c r="AE1447" s="621" t="s">
        <v>2795</v>
      </c>
    </row>
    <row r="1448" spans="1:31" s="572" customFormat="1">
      <c r="A1448" s="570" t="s">
        <v>2856</v>
      </c>
      <c r="B1448" s="573" t="s">
        <v>280</v>
      </c>
      <c r="C1448" s="578">
        <v>27</v>
      </c>
      <c r="D1448" s="573" t="s">
        <v>1516</v>
      </c>
      <c r="E1448" s="573" t="s">
        <v>1607</v>
      </c>
      <c r="F1448" s="573" t="s">
        <v>271</v>
      </c>
      <c r="G1448" s="573">
        <v>2019</v>
      </c>
      <c r="H1448" s="573" t="s">
        <v>2769</v>
      </c>
      <c r="I1448" s="573" t="s">
        <v>2048</v>
      </c>
      <c r="J1448" s="573" t="s">
        <v>236</v>
      </c>
      <c r="K1448" s="573">
        <v>15</v>
      </c>
      <c r="L1448" s="573">
        <v>0</v>
      </c>
      <c r="M1448" s="573" t="s">
        <v>157</v>
      </c>
      <c r="N1448" s="573">
        <v>5</v>
      </c>
      <c r="O1448" s="573">
        <v>108.6</v>
      </c>
      <c r="P1448" s="571" t="s">
        <v>157</v>
      </c>
      <c r="Q1448" s="573" t="s">
        <v>1259</v>
      </c>
      <c r="R1448" s="573">
        <v>6</v>
      </c>
      <c r="S1448" s="582" t="s">
        <v>2770</v>
      </c>
      <c r="T1448" s="573" t="s">
        <v>434</v>
      </c>
      <c r="U1448" s="573">
        <v>147.6</v>
      </c>
      <c r="V1448" s="573">
        <v>25</v>
      </c>
      <c r="W1448" s="616">
        <v>9150</v>
      </c>
      <c r="X1448" s="617">
        <v>12</v>
      </c>
      <c r="Y1448" s="617" t="s">
        <v>178</v>
      </c>
      <c r="Z1448" s="617" t="s">
        <v>178</v>
      </c>
      <c r="AA1448" s="618">
        <v>47375</v>
      </c>
      <c r="AB1448" s="618" t="s">
        <v>164</v>
      </c>
      <c r="AC1448" s="618">
        <v>37059.041666666672</v>
      </c>
      <c r="AD1448" s="619">
        <v>0.03</v>
      </c>
      <c r="AE1448" s="617" t="s">
        <v>2797</v>
      </c>
    </row>
    <row r="1449" spans="1:31" s="572" customFormat="1">
      <c r="A1449" s="570" t="s">
        <v>2857</v>
      </c>
      <c r="B1449" s="569" t="s">
        <v>280</v>
      </c>
      <c r="C1449" s="580">
        <v>27</v>
      </c>
      <c r="D1449" s="569" t="s">
        <v>1516</v>
      </c>
      <c r="E1449" s="569" t="s">
        <v>1607</v>
      </c>
      <c r="F1449" s="569" t="s">
        <v>271</v>
      </c>
      <c r="G1449" s="569">
        <v>2019</v>
      </c>
      <c r="H1449" s="569" t="s">
        <v>2769</v>
      </c>
      <c r="I1449" s="569" t="s">
        <v>2048</v>
      </c>
      <c r="J1449" s="569" t="s">
        <v>236</v>
      </c>
      <c r="K1449" s="569">
        <v>15</v>
      </c>
      <c r="L1449" s="569">
        <v>0</v>
      </c>
      <c r="M1449" s="569" t="s">
        <v>157</v>
      </c>
      <c r="N1449" s="569">
        <v>5</v>
      </c>
      <c r="O1449" s="569">
        <v>108.6</v>
      </c>
      <c r="P1449" s="568" t="s">
        <v>157</v>
      </c>
      <c r="Q1449" s="569" t="s">
        <v>682</v>
      </c>
      <c r="R1449" s="569">
        <v>6</v>
      </c>
      <c r="S1449" s="569" t="s">
        <v>2770</v>
      </c>
      <c r="T1449" s="569" t="s">
        <v>434</v>
      </c>
      <c r="U1449" s="569">
        <v>147.6</v>
      </c>
      <c r="V1449" s="569">
        <v>25</v>
      </c>
      <c r="W1449" s="620">
        <v>9150</v>
      </c>
      <c r="X1449" s="621">
        <v>12</v>
      </c>
      <c r="Y1449" s="621" t="s">
        <v>178</v>
      </c>
      <c r="Z1449" s="621" t="s">
        <v>178</v>
      </c>
      <c r="AA1449" s="622">
        <v>45510</v>
      </c>
      <c r="AB1449" s="622" t="s">
        <v>164</v>
      </c>
      <c r="AC1449" s="622">
        <v>35402.791666666672</v>
      </c>
      <c r="AD1449" s="623">
        <v>0.03</v>
      </c>
      <c r="AE1449" s="621" t="s">
        <v>2799</v>
      </c>
    </row>
    <row r="1450" spans="1:31" s="572" customFormat="1">
      <c r="A1450" s="570" t="s">
        <v>2858</v>
      </c>
      <c r="B1450" s="573" t="s">
        <v>280</v>
      </c>
      <c r="C1450" s="578">
        <v>27</v>
      </c>
      <c r="D1450" s="573" t="s">
        <v>1516</v>
      </c>
      <c r="E1450" s="573" t="s">
        <v>1607</v>
      </c>
      <c r="F1450" s="573" t="s">
        <v>271</v>
      </c>
      <c r="G1450" s="573">
        <v>2019</v>
      </c>
      <c r="H1450" s="573" t="s">
        <v>2769</v>
      </c>
      <c r="I1450" s="573" t="s">
        <v>2048</v>
      </c>
      <c r="J1450" s="573" t="s">
        <v>236</v>
      </c>
      <c r="K1450" s="573">
        <v>15</v>
      </c>
      <c r="L1450" s="573">
        <v>0</v>
      </c>
      <c r="M1450" s="573" t="s">
        <v>157</v>
      </c>
      <c r="N1450" s="573">
        <v>5</v>
      </c>
      <c r="O1450" s="573">
        <v>82.4</v>
      </c>
      <c r="P1450" s="571" t="s">
        <v>157</v>
      </c>
      <c r="Q1450" s="573" t="s">
        <v>1917</v>
      </c>
      <c r="R1450" s="573">
        <v>5</v>
      </c>
      <c r="S1450" s="582" t="s">
        <v>2777</v>
      </c>
      <c r="T1450" s="573" t="s">
        <v>434</v>
      </c>
      <c r="U1450" s="573">
        <v>147.6</v>
      </c>
      <c r="V1450" s="573">
        <v>25</v>
      </c>
      <c r="W1450" s="616">
        <v>9250</v>
      </c>
      <c r="X1450" s="617">
        <v>12</v>
      </c>
      <c r="Y1450" s="617" t="s">
        <v>728</v>
      </c>
      <c r="Z1450" s="617" t="s">
        <v>1523</v>
      </c>
      <c r="AA1450" s="618">
        <v>46605</v>
      </c>
      <c r="AB1450" s="618" t="s">
        <v>164</v>
      </c>
      <c r="AC1450" s="618">
        <v>34219</v>
      </c>
      <c r="AD1450" s="619">
        <v>0.03</v>
      </c>
      <c r="AE1450" s="617" t="s">
        <v>2801</v>
      </c>
    </row>
    <row r="1451" spans="1:31" s="572" customFormat="1">
      <c r="A1451" s="570" t="s">
        <v>2859</v>
      </c>
      <c r="B1451" s="569" t="s">
        <v>280</v>
      </c>
      <c r="C1451" s="580">
        <v>27</v>
      </c>
      <c r="D1451" s="569" t="s">
        <v>1516</v>
      </c>
      <c r="E1451" s="569" t="s">
        <v>1607</v>
      </c>
      <c r="F1451" s="569" t="s">
        <v>271</v>
      </c>
      <c r="G1451" s="569">
        <v>2019</v>
      </c>
      <c r="H1451" s="569" t="s">
        <v>2769</v>
      </c>
      <c r="I1451" s="569" t="s">
        <v>2048</v>
      </c>
      <c r="J1451" s="569" t="s">
        <v>236</v>
      </c>
      <c r="K1451" s="569">
        <v>15</v>
      </c>
      <c r="L1451" s="569">
        <v>0</v>
      </c>
      <c r="M1451" s="569" t="s">
        <v>157</v>
      </c>
      <c r="N1451" s="569">
        <v>5</v>
      </c>
      <c r="O1451" s="569">
        <v>82.4</v>
      </c>
      <c r="P1451" s="568" t="s">
        <v>157</v>
      </c>
      <c r="Q1451" s="569" t="s">
        <v>1259</v>
      </c>
      <c r="R1451" s="569">
        <v>6</v>
      </c>
      <c r="S1451" s="569" t="s">
        <v>2777</v>
      </c>
      <c r="T1451" s="569" t="s">
        <v>434</v>
      </c>
      <c r="U1451" s="569">
        <v>147.6</v>
      </c>
      <c r="V1451" s="569">
        <v>25</v>
      </c>
      <c r="W1451" s="620">
        <v>9000</v>
      </c>
      <c r="X1451" s="621">
        <v>12</v>
      </c>
      <c r="Y1451" s="621" t="s">
        <v>178</v>
      </c>
      <c r="Z1451" s="621" t="s">
        <v>178</v>
      </c>
      <c r="AA1451" s="622">
        <v>44475</v>
      </c>
      <c r="AB1451" s="622" t="s">
        <v>164</v>
      </c>
      <c r="AC1451" s="622">
        <v>32325.708333333336</v>
      </c>
      <c r="AD1451" s="623">
        <v>0.03</v>
      </c>
      <c r="AE1451" s="621" t="s">
        <v>2803</v>
      </c>
    </row>
    <row r="1452" spans="1:31" s="572" customFormat="1">
      <c r="A1452" s="570" t="s">
        <v>2860</v>
      </c>
      <c r="B1452" s="573" t="s">
        <v>280</v>
      </c>
      <c r="C1452" s="578">
        <v>27</v>
      </c>
      <c r="D1452" s="573" t="s">
        <v>1516</v>
      </c>
      <c r="E1452" s="573" t="s">
        <v>1607</v>
      </c>
      <c r="F1452" s="573" t="s">
        <v>271</v>
      </c>
      <c r="G1452" s="573">
        <v>2019</v>
      </c>
      <c r="H1452" s="573" t="s">
        <v>2769</v>
      </c>
      <c r="I1452" s="573" t="s">
        <v>2048</v>
      </c>
      <c r="J1452" s="573" t="s">
        <v>236</v>
      </c>
      <c r="K1452" s="573">
        <v>15</v>
      </c>
      <c r="L1452" s="573">
        <v>0</v>
      </c>
      <c r="M1452" s="573" t="s">
        <v>157</v>
      </c>
      <c r="N1452" s="573">
        <v>5</v>
      </c>
      <c r="O1452" s="573">
        <v>82.4</v>
      </c>
      <c r="P1452" s="571" t="s">
        <v>157</v>
      </c>
      <c r="Q1452" s="573" t="s">
        <v>682</v>
      </c>
      <c r="R1452" s="573">
        <v>6</v>
      </c>
      <c r="S1452" s="582" t="s">
        <v>2777</v>
      </c>
      <c r="T1452" s="573" t="s">
        <v>434</v>
      </c>
      <c r="U1452" s="573">
        <v>147.6</v>
      </c>
      <c r="V1452" s="573">
        <v>25</v>
      </c>
      <c r="W1452" s="616">
        <v>9000</v>
      </c>
      <c r="X1452" s="617">
        <v>12</v>
      </c>
      <c r="Y1452" s="617" t="s">
        <v>178</v>
      </c>
      <c r="Z1452" s="617" t="s">
        <v>178</v>
      </c>
      <c r="AA1452" s="618">
        <v>42610</v>
      </c>
      <c r="AB1452" s="618" t="s">
        <v>164</v>
      </c>
      <c r="AC1452" s="618">
        <v>30669.458333333336</v>
      </c>
      <c r="AD1452" s="619">
        <v>0.03</v>
      </c>
      <c r="AE1452" s="617" t="s">
        <v>2805</v>
      </c>
    </row>
    <row r="1453" spans="1:31" s="572" customFormat="1">
      <c r="A1453" s="570" t="s">
        <v>2861</v>
      </c>
      <c r="B1453" s="569" t="s">
        <v>280</v>
      </c>
      <c r="C1453" s="580">
        <v>27</v>
      </c>
      <c r="D1453" s="569" t="s">
        <v>1516</v>
      </c>
      <c r="E1453" s="569" t="s">
        <v>1607</v>
      </c>
      <c r="F1453" s="569" t="s">
        <v>271</v>
      </c>
      <c r="G1453" s="569">
        <v>2019</v>
      </c>
      <c r="H1453" s="569" t="s">
        <v>2769</v>
      </c>
      <c r="I1453" s="569" t="s">
        <v>2048</v>
      </c>
      <c r="J1453" s="569" t="s">
        <v>236</v>
      </c>
      <c r="K1453" s="569">
        <v>15</v>
      </c>
      <c r="L1453" s="569">
        <v>0</v>
      </c>
      <c r="M1453" s="569" t="s">
        <v>157</v>
      </c>
      <c r="N1453" s="569">
        <v>5</v>
      </c>
      <c r="O1453" s="569">
        <v>99.2</v>
      </c>
      <c r="P1453" s="568" t="s">
        <v>157</v>
      </c>
      <c r="Q1453" s="569" t="s">
        <v>1917</v>
      </c>
      <c r="R1453" s="569">
        <v>5</v>
      </c>
      <c r="S1453" s="569" t="s">
        <v>2617</v>
      </c>
      <c r="T1453" s="569" t="s">
        <v>434</v>
      </c>
      <c r="U1453" s="569">
        <v>147.6</v>
      </c>
      <c r="V1453" s="569">
        <v>25</v>
      </c>
      <c r="W1453" s="620">
        <v>9400</v>
      </c>
      <c r="X1453" s="621">
        <v>12</v>
      </c>
      <c r="Y1453" s="621" t="s">
        <v>728</v>
      </c>
      <c r="Z1453" s="621" t="s">
        <v>1523</v>
      </c>
      <c r="AA1453" s="622">
        <v>48055</v>
      </c>
      <c r="AB1453" s="622" t="s">
        <v>164</v>
      </c>
      <c r="AC1453" s="622">
        <v>37627.333333333336</v>
      </c>
      <c r="AD1453" s="623">
        <v>0.03</v>
      </c>
      <c r="AE1453" s="621" t="s">
        <v>2807</v>
      </c>
    </row>
    <row r="1454" spans="1:31" s="572" customFormat="1">
      <c r="A1454" s="570" t="s">
        <v>2862</v>
      </c>
      <c r="B1454" s="573" t="s">
        <v>280</v>
      </c>
      <c r="C1454" s="578">
        <v>27</v>
      </c>
      <c r="D1454" s="573" t="s">
        <v>1516</v>
      </c>
      <c r="E1454" s="573" t="s">
        <v>1607</v>
      </c>
      <c r="F1454" s="573" t="s">
        <v>271</v>
      </c>
      <c r="G1454" s="573">
        <v>2019</v>
      </c>
      <c r="H1454" s="573" t="s">
        <v>2769</v>
      </c>
      <c r="I1454" s="573" t="s">
        <v>2048</v>
      </c>
      <c r="J1454" s="573" t="s">
        <v>236</v>
      </c>
      <c r="K1454" s="573">
        <v>15</v>
      </c>
      <c r="L1454" s="573">
        <v>0</v>
      </c>
      <c r="M1454" s="573" t="s">
        <v>157</v>
      </c>
      <c r="N1454" s="573">
        <v>5</v>
      </c>
      <c r="O1454" s="573">
        <v>99.2</v>
      </c>
      <c r="P1454" s="571" t="s">
        <v>157</v>
      </c>
      <c r="Q1454" s="573" t="s">
        <v>1259</v>
      </c>
      <c r="R1454" s="573">
        <v>6</v>
      </c>
      <c r="S1454" s="582" t="s">
        <v>2617</v>
      </c>
      <c r="T1454" s="573" t="s">
        <v>434</v>
      </c>
      <c r="U1454" s="573">
        <v>147.6</v>
      </c>
      <c r="V1454" s="573">
        <v>25</v>
      </c>
      <c r="W1454" s="616">
        <v>9150</v>
      </c>
      <c r="X1454" s="617">
        <v>12</v>
      </c>
      <c r="Y1454" s="617" t="s">
        <v>178</v>
      </c>
      <c r="Z1454" s="617" t="s">
        <v>178</v>
      </c>
      <c r="AA1454" s="618">
        <v>45925</v>
      </c>
      <c r="AB1454" s="618" t="s">
        <v>164</v>
      </c>
      <c r="AC1454" s="618">
        <v>35734.041666666672</v>
      </c>
      <c r="AD1454" s="619">
        <v>0.03</v>
      </c>
      <c r="AE1454" s="617" t="s">
        <v>2809</v>
      </c>
    </row>
    <row r="1455" spans="1:31" s="572" customFormat="1">
      <c r="A1455" s="570" t="s">
        <v>2863</v>
      </c>
      <c r="B1455" s="569" t="s">
        <v>280</v>
      </c>
      <c r="C1455" s="580">
        <v>27</v>
      </c>
      <c r="D1455" s="569" t="s">
        <v>1516</v>
      </c>
      <c r="E1455" s="569" t="s">
        <v>1607</v>
      </c>
      <c r="F1455" s="569" t="s">
        <v>271</v>
      </c>
      <c r="G1455" s="569">
        <v>2019</v>
      </c>
      <c r="H1455" s="569" t="s">
        <v>2769</v>
      </c>
      <c r="I1455" s="569" t="s">
        <v>2048</v>
      </c>
      <c r="J1455" s="569" t="s">
        <v>236</v>
      </c>
      <c r="K1455" s="569">
        <v>15</v>
      </c>
      <c r="L1455" s="569">
        <v>0</v>
      </c>
      <c r="M1455" s="569" t="s">
        <v>157</v>
      </c>
      <c r="N1455" s="569">
        <v>5</v>
      </c>
      <c r="O1455" s="569">
        <v>99.2</v>
      </c>
      <c r="P1455" s="568" t="s">
        <v>157</v>
      </c>
      <c r="Q1455" s="569" t="s">
        <v>682</v>
      </c>
      <c r="R1455" s="569">
        <v>6</v>
      </c>
      <c r="S1455" s="569" t="s">
        <v>2617</v>
      </c>
      <c r="T1455" s="569" t="s">
        <v>434</v>
      </c>
      <c r="U1455" s="569">
        <v>147.6</v>
      </c>
      <c r="V1455" s="569">
        <v>25</v>
      </c>
      <c r="W1455" s="620">
        <v>9150</v>
      </c>
      <c r="X1455" s="621">
        <v>12</v>
      </c>
      <c r="Y1455" s="621" t="s">
        <v>178</v>
      </c>
      <c r="Z1455" s="621" t="s">
        <v>178</v>
      </c>
      <c r="AA1455" s="622">
        <v>44060</v>
      </c>
      <c r="AB1455" s="622" t="s">
        <v>164</v>
      </c>
      <c r="AC1455" s="622">
        <v>34077.791666666672</v>
      </c>
      <c r="AD1455" s="623">
        <v>0.03</v>
      </c>
      <c r="AE1455" s="621" t="s">
        <v>2811</v>
      </c>
    </row>
    <row r="1456" spans="1:31" s="572" customFormat="1">
      <c r="A1456" s="570" t="s">
        <v>2864</v>
      </c>
      <c r="B1456" s="573" t="s">
        <v>269</v>
      </c>
      <c r="C1456" s="578" t="s">
        <v>270</v>
      </c>
      <c r="D1456" s="573" t="s">
        <v>1516</v>
      </c>
      <c r="E1456" s="573" t="s">
        <v>1607</v>
      </c>
      <c r="F1456" s="573" t="s">
        <v>271</v>
      </c>
      <c r="G1456" s="573">
        <v>2019</v>
      </c>
      <c r="H1456" s="573" t="s">
        <v>2769</v>
      </c>
      <c r="I1456" s="573" t="s">
        <v>2086</v>
      </c>
      <c r="J1456" s="573" t="s">
        <v>236</v>
      </c>
      <c r="K1456" s="573">
        <v>12</v>
      </c>
      <c r="L1456" s="573">
        <v>0</v>
      </c>
      <c r="M1456" s="573" t="s">
        <v>157</v>
      </c>
      <c r="N1456" s="573">
        <v>4</v>
      </c>
      <c r="O1456" s="573">
        <v>82.4</v>
      </c>
      <c r="P1456" s="571" t="s">
        <v>157</v>
      </c>
      <c r="Q1456" s="573" t="s">
        <v>1917</v>
      </c>
      <c r="R1456" s="573">
        <v>5</v>
      </c>
      <c r="S1456" s="582" t="s">
        <v>2866</v>
      </c>
      <c r="T1456" s="573" t="s">
        <v>434</v>
      </c>
      <c r="U1456" s="573">
        <v>147.6</v>
      </c>
      <c r="V1456" s="573">
        <v>25</v>
      </c>
      <c r="W1456" s="616">
        <v>9250</v>
      </c>
      <c r="X1456" s="617">
        <v>12</v>
      </c>
      <c r="Y1456" s="617" t="s">
        <v>728</v>
      </c>
      <c r="Z1456" s="617" t="s">
        <v>1523</v>
      </c>
      <c r="AA1456" s="618">
        <v>44960</v>
      </c>
      <c r="AB1456" s="618" t="s">
        <v>164</v>
      </c>
      <c r="AC1456" s="618">
        <v>32753.375</v>
      </c>
      <c r="AD1456" s="619">
        <v>0.03</v>
      </c>
      <c r="AE1456" s="617" t="s">
        <v>2865</v>
      </c>
    </row>
    <row r="1457" spans="1:31" s="572" customFormat="1">
      <c r="A1457" s="570" t="s">
        <v>2867</v>
      </c>
      <c r="B1457" s="569" t="s">
        <v>269</v>
      </c>
      <c r="C1457" s="580" t="s">
        <v>270</v>
      </c>
      <c r="D1457" s="569" t="s">
        <v>1516</v>
      </c>
      <c r="E1457" s="569" t="s">
        <v>1607</v>
      </c>
      <c r="F1457" s="569" t="s">
        <v>271</v>
      </c>
      <c r="G1457" s="569">
        <v>2019</v>
      </c>
      <c r="H1457" s="569" t="s">
        <v>2769</v>
      </c>
      <c r="I1457" s="569" t="s">
        <v>2086</v>
      </c>
      <c r="J1457" s="569" t="s">
        <v>236</v>
      </c>
      <c r="K1457" s="569">
        <v>12</v>
      </c>
      <c r="L1457" s="569">
        <v>0</v>
      </c>
      <c r="M1457" s="569" t="s">
        <v>157</v>
      </c>
      <c r="N1457" s="569">
        <v>4</v>
      </c>
      <c r="O1457" s="569">
        <v>82.4</v>
      </c>
      <c r="P1457" s="568" t="s">
        <v>157</v>
      </c>
      <c r="Q1457" s="569" t="s">
        <v>1259</v>
      </c>
      <c r="R1457" s="569">
        <v>6</v>
      </c>
      <c r="S1457" s="569" t="s">
        <v>2866</v>
      </c>
      <c r="T1457" s="569" t="s">
        <v>434</v>
      </c>
      <c r="U1457" s="569">
        <v>147.6</v>
      </c>
      <c r="V1457" s="569">
        <v>25</v>
      </c>
      <c r="W1457" s="620">
        <v>9000</v>
      </c>
      <c r="X1457" s="621">
        <v>12</v>
      </c>
      <c r="Y1457" s="621" t="s">
        <v>178</v>
      </c>
      <c r="Z1457" s="621" t="s">
        <v>178</v>
      </c>
      <c r="AA1457" s="622">
        <v>42830</v>
      </c>
      <c r="AB1457" s="622" t="s">
        <v>164</v>
      </c>
      <c r="AC1457" s="622">
        <v>30860.083333333336</v>
      </c>
      <c r="AD1457" s="623">
        <v>0.03</v>
      </c>
      <c r="AE1457" s="621" t="s">
        <v>2868</v>
      </c>
    </row>
    <row r="1458" spans="1:31" s="572" customFormat="1">
      <c r="A1458" s="570" t="s">
        <v>2869</v>
      </c>
      <c r="B1458" s="573" t="s">
        <v>269</v>
      </c>
      <c r="C1458" s="578" t="s">
        <v>270</v>
      </c>
      <c r="D1458" s="573" t="s">
        <v>1516</v>
      </c>
      <c r="E1458" s="573" t="s">
        <v>1607</v>
      </c>
      <c r="F1458" s="573" t="s">
        <v>271</v>
      </c>
      <c r="G1458" s="573">
        <v>2019</v>
      </c>
      <c r="H1458" s="573" t="s">
        <v>2769</v>
      </c>
      <c r="I1458" s="573" t="s">
        <v>2086</v>
      </c>
      <c r="J1458" s="573" t="s">
        <v>236</v>
      </c>
      <c r="K1458" s="573">
        <v>12</v>
      </c>
      <c r="L1458" s="573">
        <v>0</v>
      </c>
      <c r="M1458" s="573" t="s">
        <v>157</v>
      </c>
      <c r="N1458" s="573">
        <v>4</v>
      </c>
      <c r="O1458" s="573">
        <v>82.4</v>
      </c>
      <c r="P1458" s="571" t="s">
        <v>157</v>
      </c>
      <c r="Q1458" s="573" t="s">
        <v>682</v>
      </c>
      <c r="R1458" s="573">
        <v>6</v>
      </c>
      <c r="S1458" s="582" t="s">
        <v>2866</v>
      </c>
      <c r="T1458" s="573" t="s">
        <v>434</v>
      </c>
      <c r="U1458" s="573">
        <v>147.6</v>
      </c>
      <c r="V1458" s="573">
        <v>25</v>
      </c>
      <c r="W1458" s="616">
        <v>9000</v>
      </c>
      <c r="X1458" s="617">
        <v>12</v>
      </c>
      <c r="Y1458" s="617" t="s">
        <v>178</v>
      </c>
      <c r="Z1458" s="617" t="s">
        <v>178</v>
      </c>
      <c r="AA1458" s="618">
        <v>40965</v>
      </c>
      <c r="AB1458" s="618" t="s">
        <v>164</v>
      </c>
      <c r="AC1458" s="618">
        <v>29203.833333333336</v>
      </c>
      <c r="AD1458" s="619">
        <v>0.03</v>
      </c>
      <c r="AE1458" s="617" t="s">
        <v>2870</v>
      </c>
    </row>
    <row r="1459" spans="1:31" s="572" customFormat="1">
      <c r="A1459" s="570" t="s">
        <v>2871</v>
      </c>
      <c r="B1459" s="569" t="s">
        <v>269</v>
      </c>
      <c r="C1459" s="580" t="s">
        <v>270</v>
      </c>
      <c r="D1459" s="569" t="s">
        <v>1516</v>
      </c>
      <c r="E1459" s="569" t="s">
        <v>1607</v>
      </c>
      <c r="F1459" s="569" t="s">
        <v>271</v>
      </c>
      <c r="G1459" s="569">
        <v>2019</v>
      </c>
      <c r="H1459" s="569" t="s">
        <v>2769</v>
      </c>
      <c r="I1459" s="569" t="s">
        <v>2086</v>
      </c>
      <c r="J1459" s="569" t="s">
        <v>236</v>
      </c>
      <c r="K1459" s="569">
        <v>15</v>
      </c>
      <c r="L1459" s="569">
        <v>0</v>
      </c>
      <c r="M1459" s="569" t="s">
        <v>157</v>
      </c>
      <c r="N1459" s="569">
        <v>5</v>
      </c>
      <c r="O1459" s="569">
        <v>82.4</v>
      </c>
      <c r="P1459" s="568" t="s">
        <v>157</v>
      </c>
      <c r="Q1459" s="569" t="s">
        <v>1917</v>
      </c>
      <c r="R1459" s="569">
        <v>5</v>
      </c>
      <c r="S1459" s="569" t="s">
        <v>2866</v>
      </c>
      <c r="T1459" s="569" t="s">
        <v>434</v>
      </c>
      <c r="U1459" s="569">
        <v>147.6</v>
      </c>
      <c r="V1459" s="569">
        <v>25</v>
      </c>
      <c r="W1459" s="620">
        <v>9250</v>
      </c>
      <c r="X1459" s="621">
        <v>12</v>
      </c>
      <c r="Y1459" s="621" t="s">
        <v>728</v>
      </c>
      <c r="Z1459" s="621" t="s">
        <v>1523</v>
      </c>
      <c r="AA1459" s="622">
        <v>44960</v>
      </c>
      <c r="AB1459" s="622" t="s">
        <v>164</v>
      </c>
      <c r="AC1459" s="622">
        <v>32753.375</v>
      </c>
      <c r="AD1459" s="623">
        <v>0.03</v>
      </c>
      <c r="AE1459" s="621" t="s">
        <v>2872</v>
      </c>
    </row>
    <row r="1460" spans="1:31" s="572" customFormat="1">
      <c r="A1460" s="570" t="s">
        <v>2873</v>
      </c>
      <c r="B1460" s="573" t="s">
        <v>269</v>
      </c>
      <c r="C1460" s="578" t="s">
        <v>270</v>
      </c>
      <c r="D1460" s="573" t="s">
        <v>1516</v>
      </c>
      <c r="E1460" s="573" t="s">
        <v>1607</v>
      </c>
      <c r="F1460" s="573" t="s">
        <v>271</v>
      </c>
      <c r="G1460" s="573">
        <v>2019</v>
      </c>
      <c r="H1460" s="573" t="s">
        <v>2769</v>
      </c>
      <c r="I1460" s="573" t="s">
        <v>2086</v>
      </c>
      <c r="J1460" s="573" t="s">
        <v>236</v>
      </c>
      <c r="K1460" s="573">
        <v>15</v>
      </c>
      <c r="L1460" s="573">
        <v>0</v>
      </c>
      <c r="M1460" s="573" t="s">
        <v>157</v>
      </c>
      <c r="N1460" s="573">
        <v>5</v>
      </c>
      <c r="O1460" s="573">
        <v>82.4</v>
      </c>
      <c r="P1460" s="571" t="s">
        <v>157</v>
      </c>
      <c r="Q1460" s="573" t="s">
        <v>1259</v>
      </c>
      <c r="R1460" s="573">
        <v>6</v>
      </c>
      <c r="S1460" s="582" t="s">
        <v>2866</v>
      </c>
      <c r="T1460" s="573" t="s">
        <v>434</v>
      </c>
      <c r="U1460" s="573">
        <v>147.6</v>
      </c>
      <c r="V1460" s="573">
        <v>25</v>
      </c>
      <c r="W1460" s="616">
        <v>9000</v>
      </c>
      <c r="X1460" s="617">
        <v>12</v>
      </c>
      <c r="Y1460" s="617" t="s">
        <v>178</v>
      </c>
      <c r="Z1460" s="617" t="s">
        <v>178</v>
      </c>
      <c r="AA1460" s="618">
        <v>42830</v>
      </c>
      <c r="AB1460" s="618" t="s">
        <v>164</v>
      </c>
      <c r="AC1460" s="618">
        <v>30860.083333333336</v>
      </c>
      <c r="AD1460" s="619">
        <v>0.03</v>
      </c>
      <c r="AE1460" s="617" t="s">
        <v>2874</v>
      </c>
    </row>
    <row r="1461" spans="1:31" s="572" customFormat="1">
      <c r="A1461" s="570" t="s">
        <v>2875</v>
      </c>
      <c r="B1461" s="569" t="s">
        <v>278</v>
      </c>
      <c r="C1461" s="580">
        <v>15</v>
      </c>
      <c r="D1461" s="569" t="s">
        <v>1516</v>
      </c>
      <c r="E1461" s="569" t="s">
        <v>1607</v>
      </c>
      <c r="F1461" s="569" t="s">
        <v>271</v>
      </c>
      <c r="G1461" s="569">
        <v>2019</v>
      </c>
      <c r="H1461" s="569" t="s">
        <v>2769</v>
      </c>
      <c r="I1461" s="569" t="s">
        <v>2086</v>
      </c>
      <c r="J1461" s="569" t="s">
        <v>236</v>
      </c>
      <c r="K1461" s="569">
        <v>12</v>
      </c>
      <c r="L1461" s="569">
        <v>0</v>
      </c>
      <c r="M1461" s="569" t="s">
        <v>157</v>
      </c>
      <c r="N1461" s="569">
        <v>4</v>
      </c>
      <c r="O1461" s="569">
        <v>82.4</v>
      </c>
      <c r="P1461" s="568" t="s">
        <v>157</v>
      </c>
      <c r="Q1461" s="569" t="s">
        <v>1917</v>
      </c>
      <c r="R1461" s="569">
        <v>5</v>
      </c>
      <c r="S1461" s="569" t="s">
        <v>2866</v>
      </c>
      <c r="T1461" s="569" t="s">
        <v>434</v>
      </c>
      <c r="U1461" s="569">
        <v>147.6</v>
      </c>
      <c r="V1461" s="569">
        <v>25</v>
      </c>
      <c r="W1461" s="620">
        <v>9250</v>
      </c>
      <c r="X1461" s="621">
        <v>12</v>
      </c>
      <c r="Y1461" s="621" t="s">
        <v>728</v>
      </c>
      <c r="Z1461" s="621" t="s">
        <v>1523</v>
      </c>
      <c r="AA1461" s="622">
        <v>44960</v>
      </c>
      <c r="AB1461" s="622" t="s">
        <v>164</v>
      </c>
      <c r="AC1461" s="622">
        <v>33400</v>
      </c>
      <c r="AD1461" s="623">
        <v>0.01</v>
      </c>
      <c r="AE1461" s="621" t="s">
        <v>2865</v>
      </c>
    </row>
    <row r="1462" spans="1:31" s="572" customFormat="1">
      <c r="A1462" s="570" t="s">
        <v>2876</v>
      </c>
      <c r="B1462" s="573" t="s">
        <v>278</v>
      </c>
      <c r="C1462" s="578">
        <v>15</v>
      </c>
      <c r="D1462" s="573" t="s">
        <v>1516</v>
      </c>
      <c r="E1462" s="573" t="s">
        <v>1607</v>
      </c>
      <c r="F1462" s="573" t="s">
        <v>271</v>
      </c>
      <c r="G1462" s="573">
        <v>2019</v>
      </c>
      <c r="H1462" s="573" t="s">
        <v>2769</v>
      </c>
      <c r="I1462" s="573" t="s">
        <v>2086</v>
      </c>
      <c r="J1462" s="573" t="s">
        <v>236</v>
      </c>
      <c r="K1462" s="573">
        <v>12</v>
      </c>
      <c r="L1462" s="573">
        <v>0</v>
      </c>
      <c r="M1462" s="573" t="s">
        <v>157</v>
      </c>
      <c r="N1462" s="573">
        <v>4</v>
      </c>
      <c r="O1462" s="573">
        <v>82.4</v>
      </c>
      <c r="P1462" s="571" t="s">
        <v>157</v>
      </c>
      <c r="Q1462" s="573" t="s">
        <v>1259</v>
      </c>
      <c r="R1462" s="573">
        <v>6</v>
      </c>
      <c r="S1462" s="582" t="s">
        <v>2866</v>
      </c>
      <c r="T1462" s="573" t="s">
        <v>434</v>
      </c>
      <c r="U1462" s="573">
        <v>147.6</v>
      </c>
      <c r="V1462" s="573">
        <v>25</v>
      </c>
      <c r="W1462" s="616">
        <v>9000</v>
      </c>
      <c r="X1462" s="617">
        <v>12</v>
      </c>
      <c r="Y1462" s="617" t="s">
        <v>178</v>
      </c>
      <c r="Z1462" s="617" t="s">
        <v>178</v>
      </c>
      <c r="AA1462" s="618">
        <v>42830</v>
      </c>
      <c r="AB1462" s="618" t="s">
        <v>164</v>
      </c>
      <c r="AC1462" s="618">
        <v>31500</v>
      </c>
      <c r="AD1462" s="619">
        <v>0.01</v>
      </c>
      <c r="AE1462" s="617" t="s">
        <v>2868</v>
      </c>
    </row>
    <row r="1463" spans="1:31" s="572" customFormat="1">
      <c r="A1463" s="570" t="s">
        <v>2877</v>
      </c>
      <c r="B1463" s="569" t="s">
        <v>278</v>
      </c>
      <c r="C1463" s="580">
        <v>15</v>
      </c>
      <c r="D1463" s="569" t="s">
        <v>1516</v>
      </c>
      <c r="E1463" s="569" t="s">
        <v>1607</v>
      </c>
      <c r="F1463" s="569" t="s">
        <v>271</v>
      </c>
      <c r="G1463" s="569">
        <v>2019</v>
      </c>
      <c r="H1463" s="569" t="s">
        <v>2769</v>
      </c>
      <c r="I1463" s="569" t="s">
        <v>2086</v>
      </c>
      <c r="J1463" s="569" t="s">
        <v>236</v>
      </c>
      <c r="K1463" s="569">
        <v>12</v>
      </c>
      <c r="L1463" s="569">
        <v>0</v>
      </c>
      <c r="M1463" s="569" t="s">
        <v>157</v>
      </c>
      <c r="N1463" s="569">
        <v>4</v>
      </c>
      <c r="O1463" s="569">
        <v>82.4</v>
      </c>
      <c r="P1463" s="568" t="s">
        <v>157</v>
      </c>
      <c r="Q1463" s="569" t="s">
        <v>682</v>
      </c>
      <c r="R1463" s="569">
        <v>6</v>
      </c>
      <c r="S1463" s="569" t="s">
        <v>2866</v>
      </c>
      <c r="T1463" s="569" t="s">
        <v>434</v>
      </c>
      <c r="U1463" s="569">
        <v>147.6</v>
      </c>
      <c r="V1463" s="569">
        <v>25</v>
      </c>
      <c r="W1463" s="620">
        <v>9000</v>
      </c>
      <c r="X1463" s="621">
        <v>12</v>
      </c>
      <c r="Y1463" s="621" t="s">
        <v>178</v>
      </c>
      <c r="Z1463" s="621" t="s">
        <v>178</v>
      </c>
      <c r="AA1463" s="622">
        <v>40965</v>
      </c>
      <c r="AB1463" s="622" t="s">
        <v>164</v>
      </c>
      <c r="AC1463" s="622">
        <v>29800</v>
      </c>
      <c r="AD1463" s="623">
        <v>0.01</v>
      </c>
      <c r="AE1463" s="621" t="s">
        <v>2870</v>
      </c>
    </row>
    <row r="1464" spans="1:31" s="572" customFormat="1">
      <c r="A1464" s="570" t="s">
        <v>2878</v>
      </c>
      <c r="B1464" s="573" t="s">
        <v>278</v>
      </c>
      <c r="C1464" s="578">
        <v>15</v>
      </c>
      <c r="D1464" s="573" t="s">
        <v>1516</v>
      </c>
      <c r="E1464" s="573" t="s">
        <v>1607</v>
      </c>
      <c r="F1464" s="573" t="s">
        <v>271</v>
      </c>
      <c r="G1464" s="573">
        <v>2019</v>
      </c>
      <c r="H1464" s="573" t="s">
        <v>2769</v>
      </c>
      <c r="I1464" s="573" t="s">
        <v>2086</v>
      </c>
      <c r="J1464" s="573" t="s">
        <v>236</v>
      </c>
      <c r="K1464" s="573">
        <v>15</v>
      </c>
      <c r="L1464" s="573">
        <v>0</v>
      </c>
      <c r="M1464" s="573" t="s">
        <v>157</v>
      </c>
      <c r="N1464" s="573">
        <v>5</v>
      </c>
      <c r="O1464" s="573">
        <v>82.4</v>
      </c>
      <c r="P1464" s="571" t="s">
        <v>157</v>
      </c>
      <c r="Q1464" s="573" t="s">
        <v>1917</v>
      </c>
      <c r="R1464" s="573">
        <v>5</v>
      </c>
      <c r="S1464" s="582" t="s">
        <v>2866</v>
      </c>
      <c r="T1464" s="573" t="s">
        <v>434</v>
      </c>
      <c r="U1464" s="573">
        <v>147.6</v>
      </c>
      <c r="V1464" s="573">
        <v>25</v>
      </c>
      <c r="W1464" s="616">
        <v>9250</v>
      </c>
      <c r="X1464" s="617">
        <v>12</v>
      </c>
      <c r="Y1464" s="617" t="s">
        <v>728</v>
      </c>
      <c r="Z1464" s="617" t="s">
        <v>1523</v>
      </c>
      <c r="AA1464" s="618">
        <v>46455</v>
      </c>
      <c r="AB1464" s="618" t="s">
        <v>164</v>
      </c>
      <c r="AC1464" s="618">
        <v>34800</v>
      </c>
      <c r="AD1464" s="619">
        <v>0.01</v>
      </c>
      <c r="AE1464" s="617" t="s">
        <v>2872</v>
      </c>
    </row>
    <row r="1465" spans="1:31" s="572" customFormat="1">
      <c r="A1465" s="570" t="s">
        <v>2879</v>
      </c>
      <c r="B1465" s="569" t="s">
        <v>278</v>
      </c>
      <c r="C1465" s="580">
        <v>15</v>
      </c>
      <c r="D1465" s="569" t="s">
        <v>1516</v>
      </c>
      <c r="E1465" s="569" t="s">
        <v>1607</v>
      </c>
      <c r="F1465" s="569" t="s">
        <v>271</v>
      </c>
      <c r="G1465" s="569">
        <v>2019</v>
      </c>
      <c r="H1465" s="569" t="s">
        <v>2769</v>
      </c>
      <c r="I1465" s="569" t="s">
        <v>2086</v>
      </c>
      <c r="J1465" s="569" t="s">
        <v>236</v>
      </c>
      <c r="K1465" s="569">
        <v>15</v>
      </c>
      <c r="L1465" s="569">
        <v>0</v>
      </c>
      <c r="M1465" s="569" t="s">
        <v>157</v>
      </c>
      <c r="N1465" s="569">
        <v>5</v>
      </c>
      <c r="O1465" s="569">
        <v>82.4</v>
      </c>
      <c r="P1465" s="568" t="s">
        <v>157</v>
      </c>
      <c r="Q1465" s="569" t="s">
        <v>1259</v>
      </c>
      <c r="R1465" s="569">
        <v>6</v>
      </c>
      <c r="S1465" s="569" t="s">
        <v>2866</v>
      </c>
      <c r="T1465" s="569" t="s">
        <v>434</v>
      </c>
      <c r="U1465" s="569">
        <v>147.6</v>
      </c>
      <c r="V1465" s="569">
        <v>25</v>
      </c>
      <c r="W1465" s="620">
        <v>9000</v>
      </c>
      <c r="X1465" s="621">
        <v>12</v>
      </c>
      <c r="Y1465" s="621" t="s">
        <v>178</v>
      </c>
      <c r="Z1465" s="621" t="s">
        <v>178</v>
      </c>
      <c r="AA1465" s="622">
        <v>42830</v>
      </c>
      <c r="AB1465" s="622" t="s">
        <v>164</v>
      </c>
      <c r="AC1465" s="622">
        <v>32800</v>
      </c>
      <c r="AD1465" s="623">
        <v>0.01</v>
      </c>
      <c r="AE1465" s="621" t="s">
        <v>2874</v>
      </c>
    </row>
    <row r="1466" spans="1:31" s="572" customFormat="1">
      <c r="A1466" s="570" t="s">
        <v>2880</v>
      </c>
      <c r="B1466" s="573" t="s">
        <v>278</v>
      </c>
      <c r="C1466" s="578">
        <v>15</v>
      </c>
      <c r="D1466" s="573" t="s">
        <v>1516</v>
      </c>
      <c r="E1466" s="573" t="s">
        <v>1607</v>
      </c>
      <c r="F1466" s="573" t="s">
        <v>271</v>
      </c>
      <c r="G1466" s="573">
        <v>2019</v>
      </c>
      <c r="H1466" s="573" t="s">
        <v>2769</v>
      </c>
      <c r="I1466" s="573" t="s">
        <v>2086</v>
      </c>
      <c r="J1466" s="573" t="s">
        <v>236</v>
      </c>
      <c r="K1466" s="573">
        <v>15</v>
      </c>
      <c r="L1466" s="573">
        <v>0</v>
      </c>
      <c r="M1466" s="573" t="s">
        <v>157</v>
      </c>
      <c r="N1466" s="573">
        <v>5</v>
      </c>
      <c r="O1466" s="573">
        <v>82.4</v>
      </c>
      <c r="P1466" s="571" t="s">
        <v>157</v>
      </c>
      <c r="Q1466" s="573" t="s">
        <v>682</v>
      </c>
      <c r="R1466" s="573">
        <v>6</v>
      </c>
      <c r="S1466" s="582" t="s">
        <v>2866</v>
      </c>
      <c r="T1466" s="573" t="s">
        <v>434</v>
      </c>
      <c r="U1466" s="573">
        <v>147.6</v>
      </c>
      <c r="V1466" s="573">
        <v>25</v>
      </c>
      <c r="W1466" s="616">
        <v>9000</v>
      </c>
      <c r="X1466" s="617">
        <v>12</v>
      </c>
      <c r="Y1466" s="617" t="s">
        <v>178</v>
      </c>
      <c r="Z1466" s="617" t="s">
        <v>178</v>
      </c>
      <c r="AA1466" s="618">
        <v>42460</v>
      </c>
      <c r="AB1466" s="618" t="s">
        <v>164</v>
      </c>
      <c r="AC1466" s="618">
        <v>31200</v>
      </c>
      <c r="AD1466" s="619">
        <v>0.01</v>
      </c>
      <c r="AE1466" s="617" t="s">
        <v>2881</v>
      </c>
    </row>
    <row r="1467" spans="1:31" s="572" customFormat="1">
      <c r="A1467" s="570" t="s">
        <v>2882</v>
      </c>
      <c r="B1467" s="569" t="s">
        <v>287</v>
      </c>
      <c r="C1467" s="580">
        <v>26</v>
      </c>
      <c r="D1467" s="569" t="s">
        <v>1516</v>
      </c>
      <c r="E1467" s="569" t="s">
        <v>1607</v>
      </c>
      <c r="F1467" s="569" t="s">
        <v>271</v>
      </c>
      <c r="G1467" s="569">
        <v>2019</v>
      </c>
      <c r="H1467" s="569" t="s">
        <v>2769</v>
      </c>
      <c r="I1467" s="569" t="s">
        <v>2086</v>
      </c>
      <c r="J1467" s="569" t="s">
        <v>236</v>
      </c>
      <c r="K1467" s="569">
        <v>12</v>
      </c>
      <c r="L1467" s="569">
        <v>0</v>
      </c>
      <c r="M1467" s="569" t="s">
        <v>157</v>
      </c>
      <c r="N1467" s="569">
        <v>4</v>
      </c>
      <c r="O1467" s="569">
        <v>82.4</v>
      </c>
      <c r="P1467" s="568" t="s">
        <v>157</v>
      </c>
      <c r="Q1467" s="569" t="s">
        <v>1917</v>
      </c>
      <c r="R1467" s="569">
        <v>5</v>
      </c>
      <c r="S1467" s="569" t="s">
        <v>2866</v>
      </c>
      <c r="T1467" s="569" t="s">
        <v>434</v>
      </c>
      <c r="U1467" s="569">
        <v>147.6</v>
      </c>
      <c r="V1467" s="569">
        <v>25</v>
      </c>
      <c r="W1467" s="620">
        <v>9250</v>
      </c>
      <c r="X1467" s="621">
        <v>12</v>
      </c>
      <c r="Y1467" s="621" t="s">
        <v>728</v>
      </c>
      <c r="Z1467" s="621" t="s">
        <v>1523</v>
      </c>
      <c r="AA1467" s="622">
        <v>44641</v>
      </c>
      <c r="AB1467" s="622" t="s">
        <v>164</v>
      </c>
      <c r="AC1467" s="622">
        <v>33705</v>
      </c>
      <c r="AD1467" s="623">
        <v>0.05</v>
      </c>
      <c r="AE1467" s="621" t="s">
        <v>2865</v>
      </c>
    </row>
    <row r="1468" spans="1:31" s="572" customFormat="1">
      <c r="A1468" s="570" t="s">
        <v>2883</v>
      </c>
      <c r="B1468" s="573" t="s">
        <v>287</v>
      </c>
      <c r="C1468" s="578">
        <v>26</v>
      </c>
      <c r="D1468" s="573" t="s">
        <v>1516</v>
      </c>
      <c r="E1468" s="573" t="s">
        <v>1607</v>
      </c>
      <c r="F1468" s="573" t="s">
        <v>271</v>
      </c>
      <c r="G1468" s="573">
        <v>2019</v>
      </c>
      <c r="H1468" s="573" t="s">
        <v>2769</v>
      </c>
      <c r="I1468" s="573" t="s">
        <v>2086</v>
      </c>
      <c r="J1468" s="573" t="s">
        <v>236</v>
      </c>
      <c r="K1468" s="573">
        <v>12</v>
      </c>
      <c r="L1468" s="573">
        <v>0</v>
      </c>
      <c r="M1468" s="573" t="s">
        <v>157</v>
      </c>
      <c r="N1468" s="573">
        <v>4</v>
      </c>
      <c r="O1468" s="573">
        <v>82.4</v>
      </c>
      <c r="P1468" s="571" t="s">
        <v>157</v>
      </c>
      <c r="Q1468" s="573" t="s">
        <v>1259</v>
      </c>
      <c r="R1468" s="573">
        <v>6</v>
      </c>
      <c r="S1468" s="582" t="s">
        <v>2866</v>
      </c>
      <c r="T1468" s="573" t="s">
        <v>434</v>
      </c>
      <c r="U1468" s="573">
        <v>147.6</v>
      </c>
      <c r="V1468" s="573">
        <v>25</v>
      </c>
      <c r="W1468" s="616">
        <v>9000</v>
      </c>
      <c r="X1468" s="617">
        <v>12</v>
      </c>
      <c r="Y1468" s="617" t="s">
        <v>178</v>
      </c>
      <c r="Z1468" s="617" t="s">
        <v>178</v>
      </c>
      <c r="AA1468" s="618">
        <v>42830</v>
      </c>
      <c r="AB1468" s="618" t="s">
        <v>164</v>
      </c>
      <c r="AC1468" s="618">
        <v>31612</v>
      </c>
      <c r="AD1468" s="619">
        <v>0.05</v>
      </c>
      <c r="AE1468" s="617" t="s">
        <v>2868</v>
      </c>
    </row>
    <row r="1469" spans="1:31" s="572" customFormat="1">
      <c r="A1469" s="570" t="s">
        <v>2884</v>
      </c>
      <c r="B1469" s="569" t="s">
        <v>287</v>
      </c>
      <c r="C1469" s="580">
        <v>26</v>
      </c>
      <c r="D1469" s="569" t="s">
        <v>1516</v>
      </c>
      <c r="E1469" s="569" t="s">
        <v>1607</v>
      </c>
      <c r="F1469" s="569" t="s">
        <v>271</v>
      </c>
      <c r="G1469" s="569">
        <v>2019</v>
      </c>
      <c r="H1469" s="569" t="s">
        <v>2769</v>
      </c>
      <c r="I1469" s="569" t="s">
        <v>2086</v>
      </c>
      <c r="J1469" s="569" t="s">
        <v>236</v>
      </c>
      <c r="K1469" s="569">
        <v>12</v>
      </c>
      <c r="L1469" s="569">
        <v>0</v>
      </c>
      <c r="M1469" s="569" t="s">
        <v>157</v>
      </c>
      <c r="N1469" s="569">
        <v>4</v>
      </c>
      <c r="O1469" s="569">
        <v>82.4</v>
      </c>
      <c r="P1469" s="568" t="s">
        <v>157</v>
      </c>
      <c r="Q1469" s="569" t="s">
        <v>682</v>
      </c>
      <c r="R1469" s="569">
        <v>6</v>
      </c>
      <c r="S1469" s="569" t="s">
        <v>2866</v>
      </c>
      <c r="T1469" s="569" t="s">
        <v>434</v>
      </c>
      <c r="U1469" s="569">
        <v>147.6</v>
      </c>
      <c r="V1469" s="569">
        <v>25</v>
      </c>
      <c r="W1469" s="620">
        <v>9000</v>
      </c>
      <c r="X1469" s="621">
        <v>12</v>
      </c>
      <c r="Y1469" s="621" t="s">
        <v>178</v>
      </c>
      <c r="Z1469" s="621" t="s">
        <v>178</v>
      </c>
      <c r="AA1469" s="622">
        <v>40965</v>
      </c>
      <c r="AB1469" s="622" t="s">
        <v>164</v>
      </c>
      <c r="AC1469" s="622">
        <v>30045</v>
      </c>
      <c r="AD1469" s="623">
        <v>0.05</v>
      </c>
      <c r="AE1469" s="621" t="s">
        <v>2870</v>
      </c>
    </row>
    <row r="1470" spans="1:31" s="572" customFormat="1">
      <c r="A1470" s="570" t="s">
        <v>2885</v>
      </c>
      <c r="B1470" s="573" t="s">
        <v>280</v>
      </c>
      <c r="C1470" s="578">
        <v>27</v>
      </c>
      <c r="D1470" s="573" t="s">
        <v>1516</v>
      </c>
      <c r="E1470" s="573" t="s">
        <v>1607</v>
      </c>
      <c r="F1470" s="573" t="s">
        <v>271</v>
      </c>
      <c r="G1470" s="573">
        <v>2019</v>
      </c>
      <c r="H1470" s="573" t="s">
        <v>2769</v>
      </c>
      <c r="I1470" s="573" t="s">
        <v>2086</v>
      </c>
      <c r="J1470" s="573" t="s">
        <v>236</v>
      </c>
      <c r="K1470" s="573">
        <v>12</v>
      </c>
      <c r="L1470" s="573">
        <v>0</v>
      </c>
      <c r="M1470" s="573" t="s">
        <v>157</v>
      </c>
      <c r="N1470" s="573">
        <v>4</v>
      </c>
      <c r="O1470" s="573">
        <v>82.4</v>
      </c>
      <c r="P1470" s="571" t="s">
        <v>157</v>
      </c>
      <c r="Q1470" s="573" t="s">
        <v>1917</v>
      </c>
      <c r="R1470" s="573">
        <v>5</v>
      </c>
      <c r="S1470" s="582" t="s">
        <v>2866</v>
      </c>
      <c r="T1470" s="573" t="s">
        <v>434</v>
      </c>
      <c r="U1470" s="573">
        <v>147.6</v>
      </c>
      <c r="V1470" s="573">
        <v>25</v>
      </c>
      <c r="W1470" s="616">
        <v>9250</v>
      </c>
      <c r="X1470" s="617">
        <v>12</v>
      </c>
      <c r="Y1470" s="617" t="s">
        <v>728</v>
      </c>
      <c r="Z1470" s="617" t="s">
        <v>1523</v>
      </c>
      <c r="AA1470" s="618">
        <v>44960</v>
      </c>
      <c r="AB1470" s="618" t="s">
        <v>164</v>
      </c>
      <c r="AC1470" s="618">
        <v>32753.375</v>
      </c>
      <c r="AD1470" s="619">
        <v>0.03</v>
      </c>
      <c r="AE1470" s="617" t="s">
        <v>2865</v>
      </c>
    </row>
    <row r="1471" spans="1:31" s="572" customFormat="1">
      <c r="A1471" s="570" t="s">
        <v>2886</v>
      </c>
      <c r="B1471" s="569" t="s">
        <v>280</v>
      </c>
      <c r="C1471" s="580">
        <v>27</v>
      </c>
      <c r="D1471" s="569" t="s">
        <v>1516</v>
      </c>
      <c r="E1471" s="569" t="s">
        <v>1607</v>
      </c>
      <c r="F1471" s="569" t="s">
        <v>271</v>
      </c>
      <c r="G1471" s="569">
        <v>2019</v>
      </c>
      <c r="H1471" s="569" t="s">
        <v>2769</v>
      </c>
      <c r="I1471" s="569" t="s">
        <v>2086</v>
      </c>
      <c r="J1471" s="569" t="s">
        <v>236</v>
      </c>
      <c r="K1471" s="569">
        <v>12</v>
      </c>
      <c r="L1471" s="569">
        <v>0</v>
      </c>
      <c r="M1471" s="569" t="s">
        <v>157</v>
      </c>
      <c r="N1471" s="569">
        <v>4</v>
      </c>
      <c r="O1471" s="569">
        <v>82.4</v>
      </c>
      <c r="P1471" s="568" t="s">
        <v>157</v>
      </c>
      <c r="Q1471" s="569" t="s">
        <v>1259</v>
      </c>
      <c r="R1471" s="569">
        <v>6</v>
      </c>
      <c r="S1471" s="569" t="s">
        <v>2866</v>
      </c>
      <c r="T1471" s="569" t="s">
        <v>434</v>
      </c>
      <c r="U1471" s="569">
        <v>147.6</v>
      </c>
      <c r="V1471" s="569">
        <v>25</v>
      </c>
      <c r="W1471" s="620">
        <v>9000</v>
      </c>
      <c r="X1471" s="621">
        <v>12</v>
      </c>
      <c r="Y1471" s="621" t="s">
        <v>178</v>
      </c>
      <c r="Z1471" s="621" t="s">
        <v>178</v>
      </c>
      <c r="AA1471" s="622">
        <v>42830</v>
      </c>
      <c r="AB1471" s="622" t="s">
        <v>164</v>
      </c>
      <c r="AC1471" s="622">
        <v>30860.083333333336</v>
      </c>
      <c r="AD1471" s="623">
        <v>0.03</v>
      </c>
      <c r="AE1471" s="621" t="s">
        <v>2868</v>
      </c>
    </row>
    <row r="1472" spans="1:31" s="572" customFormat="1">
      <c r="A1472" s="570" t="s">
        <v>2887</v>
      </c>
      <c r="B1472" s="573" t="s">
        <v>280</v>
      </c>
      <c r="C1472" s="578">
        <v>27</v>
      </c>
      <c r="D1472" s="573" t="s">
        <v>1516</v>
      </c>
      <c r="E1472" s="573" t="s">
        <v>1607</v>
      </c>
      <c r="F1472" s="573" t="s">
        <v>271</v>
      </c>
      <c r="G1472" s="573">
        <v>2019</v>
      </c>
      <c r="H1472" s="573" t="s">
        <v>2769</v>
      </c>
      <c r="I1472" s="573" t="s">
        <v>2086</v>
      </c>
      <c r="J1472" s="573" t="s">
        <v>236</v>
      </c>
      <c r="K1472" s="573">
        <v>12</v>
      </c>
      <c r="L1472" s="573">
        <v>0</v>
      </c>
      <c r="M1472" s="573" t="s">
        <v>157</v>
      </c>
      <c r="N1472" s="573">
        <v>4</v>
      </c>
      <c r="O1472" s="573">
        <v>82.4</v>
      </c>
      <c r="P1472" s="571" t="s">
        <v>157</v>
      </c>
      <c r="Q1472" s="573" t="s">
        <v>682</v>
      </c>
      <c r="R1472" s="573">
        <v>6</v>
      </c>
      <c r="S1472" s="582" t="s">
        <v>2866</v>
      </c>
      <c r="T1472" s="573" t="s">
        <v>434</v>
      </c>
      <c r="U1472" s="573">
        <v>147.6</v>
      </c>
      <c r="V1472" s="573">
        <v>25</v>
      </c>
      <c r="W1472" s="616">
        <v>9000</v>
      </c>
      <c r="X1472" s="617">
        <v>12</v>
      </c>
      <c r="Y1472" s="617" t="s">
        <v>178</v>
      </c>
      <c r="Z1472" s="617" t="s">
        <v>178</v>
      </c>
      <c r="AA1472" s="618">
        <v>40965</v>
      </c>
      <c r="AB1472" s="618" t="s">
        <v>164</v>
      </c>
      <c r="AC1472" s="618">
        <v>29203.833333333336</v>
      </c>
      <c r="AD1472" s="619">
        <v>0.03</v>
      </c>
      <c r="AE1472" s="617" t="s">
        <v>2870</v>
      </c>
    </row>
    <row r="1473" spans="1:31" s="572" customFormat="1">
      <c r="A1473" s="570" t="s">
        <v>2888</v>
      </c>
      <c r="B1473" s="569" t="s">
        <v>280</v>
      </c>
      <c r="C1473" s="580">
        <v>27</v>
      </c>
      <c r="D1473" s="569" t="s">
        <v>1516</v>
      </c>
      <c r="E1473" s="569" t="s">
        <v>1607</v>
      </c>
      <c r="F1473" s="569" t="s">
        <v>271</v>
      </c>
      <c r="G1473" s="569">
        <v>2019</v>
      </c>
      <c r="H1473" s="569" t="s">
        <v>2769</v>
      </c>
      <c r="I1473" s="569" t="s">
        <v>2086</v>
      </c>
      <c r="J1473" s="569" t="s">
        <v>236</v>
      </c>
      <c r="K1473" s="569">
        <v>15</v>
      </c>
      <c r="L1473" s="569">
        <v>0</v>
      </c>
      <c r="M1473" s="569" t="s">
        <v>157</v>
      </c>
      <c r="N1473" s="569">
        <v>5</v>
      </c>
      <c r="O1473" s="569">
        <v>82.4</v>
      </c>
      <c r="P1473" s="568" t="s">
        <v>157</v>
      </c>
      <c r="Q1473" s="569" t="s">
        <v>1917</v>
      </c>
      <c r="R1473" s="569">
        <v>5</v>
      </c>
      <c r="S1473" s="569" t="s">
        <v>2866</v>
      </c>
      <c r="T1473" s="569" t="s">
        <v>434</v>
      </c>
      <c r="U1473" s="569">
        <v>147.6</v>
      </c>
      <c r="V1473" s="569">
        <v>25</v>
      </c>
      <c r="W1473" s="620">
        <v>9250</v>
      </c>
      <c r="X1473" s="621">
        <v>12</v>
      </c>
      <c r="Y1473" s="621" t="s">
        <v>728</v>
      </c>
      <c r="Z1473" s="621" t="s">
        <v>1523</v>
      </c>
      <c r="AA1473" s="622">
        <v>44960</v>
      </c>
      <c r="AB1473" s="622" t="s">
        <v>164</v>
      </c>
      <c r="AC1473" s="622">
        <v>32753.375</v>
      </c>
      <c r="AD1473" s="623">
        <v>0.03</v>
      </c>
      <c r="AE1473" s="621" t="s">
        <v>2872</v>
      </c>
    </row>
    <row r="1474" spans="1:31" s="572" customFormat="1">
      <c r="A1474" s="570" t="s">
        <v>2889</v>
      </c>
      <c r="B1474" s="573" t="s">
        <v>280</v>
      </c>
      <c r="C1474" s="578">
        <v>27</v>
      </c>
      <c r="D1474" s="573" t="s">
        <v>1516</v>
      </c>
      <c r="E1474" s="573" t="s">
        <v>1607</v>
      </c>
      <c r="F1474" s="573" t="s">
        <v>271</v>
      </c>
      <c r="G1474" s="573">
        <v>2019</v>
      </c>
      <c r="H1474" s="573" t="s">
        <v>2769</v>
      </c>
      <c r="I1474" s="573" t="s">
        <v>2086</v>
      </c>
      <c r="J1474" s="573" t="s">
        <v>236</v>
      </c>
      <c r="K1474" s="573">
        <v>15</v>
      </c>
      <c r="L1474" s="573">
        <v>0</v>
      </c>
      <c r="M1474" s="573" t="s">
        <v>157</v>
      </c>
      <c r="N1474" s="573">
        <v>5</v>
      </c>
      <c r="O1474" s="573">
        <v>82.4</v>
      </c>
      <c r="P1474" s="571" t="s">
        <v>157</v>
      </c>
      <c r="Q1474" s="573" t="s">
        <v>1259</v>
      </c>
      <c r="R1474" s="573">
        <v>6</v>
      </c>
      <c r="S1474" s="582" t="s">
        <v>2866</v>
      </c>
      <c r="T1474" s="573" t="s">
        <v>434</v>
      </c>
      <c r="U1474" s="573">
        <v>147.6</v>
      </c>
      <c r="V1474" s="573">
        <v>25</v>
      </c>
      <c r="W1474" s="616">
        <v>9000</v>
      </c>
      <c r="X1474" s="617">
        <v>12</v>
      </c>
      <c r="Y1474" s="617" t="s">
        <v>178</v>
      </c>
      <c r="Z1474" s="617" t="s">
        <v>178</v>
      </c>
      <c r="AA1474" s="618">
        <v>42830</v>
      </c>
      <c r="AB1474" s="618" t="s">
        <v>164</v>
      </c>
      <c r="AC1474" s="618">
        <v>30860.083333333336</v>
      </c>
      <c r="AD1474" s="619">
        <v>0.03</v>
      </c>
      <c r="AE1474" s="617" t="s">
        <v>2874</v>
      </c>
    </row>
    <row r="1475" spans="1:31" s="572" customFormat="1">
      <c r="A1475" s="570" t="s">
        <v>2890</v>
      </c>
      <c r="B1475" s="569" t="s">
        <v>269</v>
      </c>
      <c r="C1475" s="580" t="s">
        <v>270</v>
      </c>
      <c r="D1475" s="569" t="s">
        <v>1516</v>
      </c>
      <c r="E1475" s="569" t="s">
        <v>1607</v>
      </c>
      <c r="F1475" s="569" t="s">
        <v>271</v>
      </c>
      <c r="G1475" s="569">
        <v>2019</v>
      </c>
      <c r="H1475" s="569" t="s">
        <v>2769</v>
      </c>
      <c r="I1475" s="569" t="s">
        <v>2106</v>
      </c>
      <c r="J1475" s="569" t="s">
        <v>236</v>
      </c>
      <c r="K1475" s="569">
        <v>12</v>
      </c>
      <c r="L1475" s="569">
        <v>0</v>
      </c>
      <c r="M1475" s="569" t="s">
        <v>157</v>
      </c>
      <c r="N1475" s="569">
        <v>4</v>
      </c>
      <c r="O1475" s="569">
        <v>108.6</v>
      </c>
      <c r="P1475" s="568" t="s">
        <v>157</v>
      </c>
      <c r="Q1475" s="569" t="s">
        <v>1917</v>
      </c>
      <c r="R1475" s="569">
        <v>5</v>
      </c>
      <c r="S1475" s="569" t="s">
        <v>2770</v>
      </c>
      <c r="T1475" s="569" t="s">
        <v>2107</v>
      </c>
      <c r="U1475" s="569">
        <v>147.6</v>
      </c>
      <c r="V1475" s="569">
        <v>25</v>
      </c>
      <c r="W1475" s="620">
        <v>9250</v>
      </c>
      <c r="X1475" s="621">
        <v>12</v>
      </c>
      <c r="Y1475" s="621" t="s">
        <v>728</v>
      </c>
      <c r="Z1475" s="621" t="s">
        <v>1523</v>
      </c>
      <c r="AA1475" s="622">
        <v>49305</v>
      </c>
      <c r="AB1475" s="622" t="s">
        <v>164</v>
      </c>
      <c r="AC1475" s="622">
        <v>38807.541666666664</v>
      </c>
      <c r="AD1475" s="623">
        <v>0.03</v>
      </c>
      <c r="AE1475" s="621" t="s">
        <v>2891</v>
      </c>
    </row>
    <row r="1476" spans="1:31" s="572" customFormat="1">
      <c r="A1476" s="570" t="s">
        <v>2892</v>
      </c>
      <c r="B1476" s="573" t="s">
        <v>269</v>
      </c>
      <c r="C1476" s="578" t="s">
        <v>270</v>
      </c>
      <c r="D1476" s="573" t="s">
        <v>1516</v>
      </c>
      <c r="E1476" s="573" t="s">
        <v>1607</v>
      </c>
      <c r="F1476" s="573" t="s">
        <v>271</v>
      </c>
      <c r="G1476" s="573">
        <v>2019</v>
      </c>
      <c r="H1476" s="573" t="s">
        <v>2769</v>
      </c>
      <c r="I1476" s="573" t="s">
        <v>2106</v>
      </c>
      <c r="J1476" s="573" t="s">
        <v>236</v>
      </c>
      <c r="K1476" s="573">
        <v>12</v>
      </c>
      <c r="L1476" s="573">
        <v>0</v>
      </c>
      <c r="M1476" s="573" t="s">
        <v>157</v>
      </c>
      <c r="N1476" s="573">
        <v>4</v>
      </c>
      <c r="O1476" s="573">
        <v>108.6</v>
      </c>
      <c r="P1476" s="571" t="s">
        <v>157</v>
      </c>
      <c r="Q1476" s="573" t="s">
        <v>1259</v>
      </c>
      <c r="R1476" s="573">
        <v>6</v>
      </c>
      <c r="S1476" s="582" t="s">
        <v>2770</v>
      </c>
      <c r="T1476" s="573" t="s">
        <v>2107</v>
      </c>
      <c r="U1476" s="573">
        <v>147.6</v>
      </c>
      <c r="V1476" s="573">
        <v>25</v>
      </c>
      <c r="W1476" s="616">
        <v>9000</v>
      </c>
      <c r="X1476" s="617">
        <v>12</v>
      </c>
      <c r="Y1476" s="617" t="s">
        <v>178</v>
      </c>
      <c r="Z1476" s="617" t="s">
        <v>178</v>
      </c>
      <c r="AA1476" s="618">
        <v>47175</v>
      </c>
      <c r="AB1476" s="618" t="s">
        <v>164</v>
      </c>
      <c r="AC1476" s="618">
        <v>36914.25</v>
      </c>
      <c r="AD1476" s="619">
        <v>0.03</v>
      </c>
      <c r="AE1476" s="617" t="s">
        <v>2893</v>
      </c>
    </row>
    <row r="1477" spans="1:31" s="572" customFormat="1">
      <c r="A1477" s="570" t="s">
        <v>2894</v>
      </c>
      <c r="B1477" s="569" t="s">
        <v>269</v>
      </c>
      <c r="C1477" s="580" t="s">
        <v>270</v>
      </c>
      <c r="D1477" s="569" t="s">
        <v>1516</v>
      </c>
      <c r="E1477" s="569" t="s">
        <v>1607</v>
      </c>
      <c r="F1477" s="569" t="s">
        <v>271</v>
      </c>
      <c r="G1477" s="569">
        <v>2019</v>
      </c>
      <c r="H1477" s="569" t="s">
        <v>2769</v>
      </c>
      <c r="I1477" s="569" t="s">
        <v>2106</v>
      </c>
      <c r="J1477" s="569" t="s">
        <v>236</v>
      </c>
      <c r="K1477" s="569">
        <v>12</v>
      </c>
      <c r="L1477" s="569">
        <v>0</v>
      </c>
      <c r="M1477" s="569" t="s">
        <v>157</v>
      </c>
      <c r="N1477" s="569">
        <v>4</v>
      </c>
      <c r="O1477" s="569">
        <v>108.6</v>
      </c>
      <c r="P1477" s="568" t="s">
        <v>157</v>
      </c>
      <c r="Q1477" s="569" t="s">
        <v>682</v>
      </c>
      <c r="R1477" s="569">
        <v>6</v>
      </c>
      <c r="S1477" s="569" t="s">
        <v>2770</v>
      </c>
      <c r="T1477" s="569" t="s">
        <v>2107</v>
      </c>
      <c r="U1477" s="569">
        <v>147.6</v>
      </c>
      <c r="V1477" s="569">
        <v>25</v>
      </c>
      <c r="W1477" s="620">
        <v>9000</v>
      </c>
      <c r="X1477" s="621">
        <v>12</v>
      </c>
      <c r="Y1477" s="621" t="s">
        <v>178</v>
      </c>
      <c r="Z1477" s="621" t="s">
        <v>178</v>
      </c>
      <c r="AA1477" s="622">
        <v>45310</v>
      </c>
      <c r="AB1477" s="622" t="s">
        <v>164</v>
      </c>
      <c r="AC1477" s="622">
        <v>35258</v>
      </c>
      <c r="AD1477" s="623">
        <v>0.03</v>
      </c>
      <c r="AE1477" s="621" t="s">
        <v>2895</v>
      </c>
    </row>
    <row r="1478" spans="1:31" s="572" customFormat="1">
      <c r="A1478" s="570" t="s">
        <v>2896</v>
      </c>
      <c r="B1478" s="573" t="s">
        <v>269</v>
      </c>
      <c r="C1478" s="578" t="s">
        <v>270</v>
      </c>
      <c r="D1478" s="573" t="s">
        <v>1516</v>
      </c>
      <c r="E1478" s="573" t="s">
        <v>1607</v>
      </c>
      <c r="F1478" s="573" t="s">
        <v>271</v>
      </c>
      <c r="G1478" s="573">
        <v>2019</v>
      </c>
      <c r="H1478" s="573" t="s">
        <v>2769</v>
      </c>
      <c r="I1478" s="573" t="s">
        <v>2106</v>
      </c>
      <c r="J1478" s="573" t="s">
        <v>236</v>
      </c>
      <c r="K1478" s="573">
        <v>12</v>
      </c>
      <c r="L1478" s="573">
        <v>0</v>
      </c>
      <c r="M1478" s="573" t="s">
        <v>157</v>
      </c>
      <c r="N1478" s="573">
        <v>4</v>
      </c>
      <c r="O1478" s="573">
        <v>82.4</v>
      </c>
      <c r="P1478" s="571" t="s">
        <v>157</v>
      </c>
      <c r="Q1478" s="573" t="s">
        <v>1917</v>
      </c>
      <c r="R1478" s="573">
        <v>5</v>
      </c>
      <c r="S1478" s="582" t="s">
        <v>2777</v>
      </c>
      <c r="T1478" s="573" t="s">
        <v>2107</v>
      </c>
      <c r="U1478" s="573">
        <v>147.6</v>
      </c>
      <c r="V1478" s="573">
        <v>25</v>
      </c>
      <c r="W1478" s="616">
        <v>9250</v>
      </c>
      <c r="X1478" s="617">
        <v>12</v>
      </c>
      <c r="Y1478" s="617" t="s">
        <v>728</v>
      </c>
      <c r="Z1478" s="617" t="s">
        <v>1523</v>
      </c>
      <c r="AA1478" s="618">
        <v>46405</v>
      </c>
      <c r="AB1478" s="618" t="s">
        <v>164</v>
      </c>
      <c r="AC1478" s="618">
        <v>34074.208333333336</v>
      </c>
      <c r="AD1478" s="619">
        <v>0.03</v>
      </c>
      <c r="AE1478" s="617" t="s">
        <v>2897</v>
      </c>
    </row>
    <row r="1479" spans="1:31" s="572" customFormat="1">
      <c r="A1479" s="570" t="s">
        <v>2898</v>
      </c>
      <c r="B1479" s="569" t="s">
        <v>269</v>
      </c>
      <c r="C1479" s="580" t="s">
        <v>270</v>
      </c>
      <c r="D1479" s="569" t="s">
        <v>1516</v>
      </c>
      <c r="E1479" s="569" t="s">
        <v>1607</v>
      </c>
      <c r="F1479" s="569" t="s">
        <v>271</v>
      </c>
      <c r="G1479" s="569">
        <v>2019</v>
      </c>
      <c r="H1479" s="569" t="s">
        <v>2769</v>
      </c>
      <c r="I1479" s="569" t="s">
        <v>2106</v>
      </c>
      <c r="J1479" s="569" t="s">
        <v>236</v>
      </c>
      <c r="K1479" s="569">
        <v>12</v>
      </c>
      <c r="L1479" s="569">
        <v>0</v>
      </c>
      <c r="M1479" s="569" t="s">
        <v>157</v>
      </c>
      <c r="N1479" s="569">
        <v>4</v>
      </c>
      <c r="O1479" s="569">
        <v>82.4</v>
      </c>
      <c r="P1479" s="568" t="s">
        <v>157</v>
      </c>
      <c r="Q1479" s="569" t="s">
        <v>1259</v>
      </c>
      <c r="R1479" s="569">
        <v>6</v>
      </c>
      <c r="S1479" s="569" t="s">
        <v>2777</v>
      </c>
      <c r="T1479" s="569" t="s">
        <v>434</v>
      </c>
      <c r="U1479" s="569">
        <v>147.6</v>
      </c>
      <c r="V1479" s="569">
        <v>25</v>
      </c>
      <c r="W1479" s="620">
        <v>9000</v>
      </c>
      <c r="X1479" s="621">
        <v>12</v>
      </c>
      <c r="Y1479" s="621" t="s">
        <v>178</v>
      </c>
      <c r="Z1479" s="621" t="s">
        <v>178</v>
      </c>
      <c r="AA1479" s="622">
        <v>44275</v>
      </c>
      <c r="AB1479" s="622" t="s">
        <v>164</v>
      </c>
      <c r="AC1479" s="622">
        <v>32180.916666666668</v>
      </c>
      <c r="AD1479" s="623">
        <v>0.03</v>
      </c>
      <c r="AE1479" s="621" t="s">
        <v>2899</v>
      </c>
    </row>
    <row r="1480" spans="1:31" s="572" customFormat="1">
      <c r="A1480" s="570" t="s">
        <v>2900</v>
      </c>
      <c r="B1480" s="573" t="s">
        <v>269</v>
      </c>
      <c r="C1480" s="578" t="s">
        <v>270</v>
      </c>
      <c r="D1480" s="573" t="s">
        <v>1516</v>
      </c>
      <c r="E1480" s="573" t="s">
        <v>1607</v>
      </c>
      <c r="F1480" s="573" t="s">
        <v>271</v>
      </c>
      <c r="G1480" s="573">
        <v>2019</v>
      </c>
      <c r="H1480" s="573" t="s">
        <v>2769</v>
      </c>
      <c r="I1480" s="573" t="s">
        <v>2106</v>
      </c>
      <c r="J1480" s="573" t="s">
        <v>236</v>
      </c>
      <c r="K1480" s="573">
        <v>12</v>
      </c>
      <c r="L1480" s="573">
        <v>0</v>
      </c>
      <c r="M1480" s="573" t="s">
        <v>157</v>
      </c>
      <c r="N1480" s="573">
        <v>4</v>
      </c>
      <c r="O1480" s="573">
        <v>82.4</v>
      </c>
      <c r="P1480" s="571" t="s">
        <v>157</v>
      </c>
      <c r="Q1480" s="573" t="s">
        <v>682</v>
      </c>
      <c r="R1480" s="573">
        <v>6</v>
      </c>
      <c r="S1480" s="582" t="s">
        <v>2777</v>
      </c>
      <c r="T1480" s="573" t="s">
        <v>2107</v>
      </c>
      <c r="U1480" s="573">
        <v>147.6</v>
      </c>
      <c r="V1480" s="573">
        <v>25</v>
      </c>
      <c r="W1480" s="616">
        <v>9000</v>
      </c>
      <c r="X1480" s="617">
        <v>12</v>
      </c>
      <c r="Y1480" s="617" t="s">
        <v>178</v>
      </c>
      <c r="Z1480" s="617" t="s">
        <v>178</v>
      </c>
      <c r="AA1480" s="618">
        <v>42410</v>
      </c>
      <c r="AB1480" s="618" t="s">
        <v>164</v>
      </c>
      <c r="AC1480" s="618">
        <v>30524.666666666668</v>
      </c>
      <c r="AD1480" s="619">
        <v>0.03</v>
      </c>
      <c r="AE1480" s="617" t="s">
        <v>2901</v>
      </c>
    </row>
    <row r="1481" spans="1:31" s="572" customFormat="1">
      <c r="A1481" s="570" t="s">
        <v>2902</v>
      </c>
      <c r="B1481" s="569" t="s">
        <v>269</v>
      </c>
      <c r="C1481" s="580" t="s">
        <v>270</v>
      </c>
      <c r="D1481" s="569" t="s">
        <v>1516</v>
      </c>
      <c r="E1481" s="569" t="s">
        <v>1607</v>
      </c>
      <c r="F1481" s="569" t="s">
        <v>271</v>
      </c>
      <c r="G1481" s="569">
        <v>2019</v>
      </c>
      <c r="H1481" s="569" t="s">
        <v>2769</v>
      </c>
      <c r="I1481" s="569" t="s">
        <v>2106</v>
      </c>
      <c r="J1481" s="569" t="s">
        <v>236</v>
      </c>
      <c r="K1481" s="569">
        <v>12</v>
      </c>
      <c r="L1481" s="569">
        <v>0</v>
      </c>
      <c r="M1481" s="569" t="s">
        <v>157</v>
      </c>
      <c r="N1481" s="569">
        <v>4</v>
      </c>
      <c r="O1481" s="569">
        <v>99.2</v>
      </c>
      <c r="P1481" s="568" t="s">
        <v>157</v>
      </c>
      <c r="Q1481" s="569" t="s">
        <v>1917</v>
      </c>
      <c r="R1481" s="569">
        <v>5</v>
      </c>
      <c r="S1481" s="569" t="s">
        <v>2617</v>
      </c>
      <c r="T1481" s="569" t="s">
        <v>2107</v>
      </c>
      <c r="U1481" s="569">
        <v>147.6</v>
      </c>
      <c r="V1481" s="569">
        <v>25</v>
      </c>
      <c r="W1481" s="620">
        <v>9250</v>
      </c>
      <c r="X1481" s="621">
        <v>12</v>
      </c>
      <c r="Y1481" s="621" t="s">
        <v>728</v>
      </c>
      <c r="Z1481" s="621" t="s">
        <v>1523</v>
      </c>
      <c r="AA1481" s="622">
        <v>47855</v>
      </c>
      <c r="AB1481" s="622" t="s">
        <v>164</v>
      </c>
      <c r="AC1481" s="622">
        <v>37482.541666666664</v>
      </c>
      <c r="AD1481" s="623">
        <v>0.03</v>
      </c>
      <c r="AE1481" s="621" t="s">
        <v>2903</v>
      </c>
    </row>
    <row r="1482" spans="1:31" s="572" customFormat="1">
      <c r="A1482" s="570" t="s">
        <v>2904</v>
      </c>
      <c r="B1482" s="573" t="s">
        <v>269</v>
      </c>
      <c r="C1482" s="578" t="s">
        <v>270</v>
      </c>
      <c r="D1482" s="573" t="s">
        <v>1516</v>
      </c>
      <c r="E1482" s="573" t="s">
        <v>1607</v>
      </c>
      <c r="F1482" s="573" t="s">
        <v>271</v>
      </c>
      <c r="G1482" s="573">
        <v>2019</v>
      </c>
      <c r="H1482" s="573" t="s">
        <v>2769</v>
      </c>
      <c r="I1482" s="573" t="s">
        <v>2106</v>
      </c>
      <c r="J1482" s="573" t="s">
        <v>236</v>
      </c>
      <c r="K1482" s="573">
        <v>12</v>
      </c>
      <c r="L1482" s="573">
        <v>0</v>
      </c>
      <c r="M1482" s="573" t="s">
        <v>157</v>
      </c>
      <c r="N1482" s="573">
        <v>4</v>
      </c>
      <c r="O1482" s="573">
        <v>99.2</v>
      </c>
      <c r="P1482" s="571" t="s">
        <v>157</v>
      </c>
      <c r="Q1482" s="573" t="s">
        <v>1259</v>
      </c>
      <c r="R1482" s="573">
        <v>6</v>
      </c>
      <c r="S1482" s="582" t="s">
        <v>2617</v>
      </c>
      <c r="T1482" s="573" t="s">
        <v>2107</v>
      </c>
      <c r="U1482" s="573">
        <v>147.6</v>
      </c>
      <c r="V1482" s="573">
        <v>25</v>
      </c>
      <c r="W1482" s="616">
        <v>9000</v>
      </c>
      <c r="X1482" s="617">
        <v>12</v>
      </c>
      <c r="Y1482" s="617" t="s">
        <v>178</v>
      </c>
      <c r="Z1482" s="617" t="s">
        <v>178</v>
      </c>
      <c r="AA1482" s="618">
        <v>45725</v>
      </c>
      <c r="AB1482" s="618" t="s">
        <v>164</v>
      </c>
      <c r="AC1482" s="618">
        <v>35589.25</v>
      </c>
      <c r="AD1482" s="619">
        <v>0.03</v>
      </c>
      <c r="AE1482" s="617" t="s">
        <v>2905</v>
      </c>
    </row>
    <row r="1483" spans="1:31" s="572" customFormat="1">
      <c r="A1483" s="570" t="s">
        <v>2906</v>
      </c>
      <c r="B1483" s="569" t="s">
        <v>269</v>
      </c>
      <c r="C1483" s="580" t="s">
        <v>270</v>
      </c>
      <c r="D1483" s="569" t="s">
        <v>1516</v>
      </c>
      <c r="E1483" s="569" t="s">
        <v>1607</v>
      </c>
      <c r="F1483" s="569" t="s">
        <v>271</v>
      </c>
      <c r="G1483" s="569">
        <v>2019</v>
      </c>
      <c r="H1483" s="569" t="s">
        <v>2769</v>
      </c>
      <c r="I1483" s="569" t="s">
        <v>2106</v>
      </c>
      <c r="J1483" s="569" t="s">
        <v>236</v>
      </c>
      <c r="K1483" s="569">
        <v>12</v>
      </c>
      <c r="L1483" s="569">
        <v>0</v>
      </c>
      <c r="M1483" s="569" t="s">
        <v>157</v>
      </c>
      <c r="N1483" s="569">
        <v>4</v>
      </c>
      <c r="O1483" s="569">
        <v>99.2</v>
      </c>
      <c r="P1483" s="568" t="s">
        <v>157</v>
      </c>
      <c r="Q1483" s="569" t="s">
        <v>682</v>
      </c>
      <c r="R1483" s="569">
        <v>6</v>
      </c>
      <c r="S1483" s="569" t="s">
        <v>2617</v>
      </c>
      <c r="T1483" s="569" t="s">
        <v>2107</v>
      </c>
      <c r="U1483" s="569">
        <v>147.6</v>
      </c>
      <c r="V1483" s="569">
        <v>25</v>
      </c>
      <c r="W1483" s="620">
        <v>9000</v>
      </c>
      <c r="X1483" s="621">
        <v>12</v>
      </c>
      <c r="Y1483" s="621" t="s">
        <v>178</v>
      </c>
      <c r="Z1483" s="621" t="s">
        <v>178</v>
      </c>
      <c r="AA1483" s="622">
        <v>43860</v>
      </c>
      <c r="AB1483" s="622" t="s">
        <v>164</v>
      </c>
      <c r="AC1483" s="622">
        <v>33933</v>
      </c>
      <c r="AD1483" s="623">
        <v>0.03</v>
      </c>
      <c r="AE1483" s="621" t="s">
        <v>2907</v>
      </c>
    </row>
    <row r="1484" spans="1:31" s="572" customFormat="1">
      <c r="A1484" s="570" t="s">
        <v>2908</v>
      </c>
      <c r="B1484" s="573" t="s">
        <v>269</v>
      </c>
      <c r="C1484" s="578" t="s">
        <v>270</v>
      </c>
      <c r="D1484" s="573" t="s">
        <v>1516</v>
      </c>
      <c r="E1484" s="573" t="s">
        <v>1607</v>
      </c>
      <c r="F1484" s="573" t="s">
        <v>271</v>
      </c>
      <c r="G1484" s="573">
        <v>2019</v>
      </c>
      <c r="H1484" s="573" t="s">
        <v>2769</v>
      </c>
      <c r="I1484" s="573" t="s">
        <v>2106</v>
      </c>
      <c r="J1484" s="573" t="s">
        <v>236</v>
      </c>
      <c r="K1484" s="573">
        <v>15</v>
      </c>
      <c r="L1484" s="573">
        <v>0</v>
      </c>
      <c r="M1484" s="573" t="s">
        <v>157</v>
      </c>
      <c r="N1484" s="573">
        <v>5</v>
      </c>
      <c r="O1484" s="573">
        <v>107.7</v>
      </c>
      <c r="P1484" s="571" t="s">
        <v>157</v>
      </c>
      <c r="Q1484" s="573" t="s">
        <v>1917</v>
      </c>
      <c r="R1484" s="573">
        <v>5</v>
      </c>
      <c r="S1484" s="582" t="s">
        <v>2599</v>
      </c>
      <c r="T1484" s="573" t="s">
        <v>2107</v>
      </c>
      <c r="U1484" s="573">
        <v>147.6</v>
      </c>
      <c r="V1484" s="573">
        <v>25</v>
      </c>
      <c r="W1484" s="616">
        <v>10360</v>
      </c>
      <c r="X1484" s="617">
        <v>12</v>
      </c>
      <c r="Y1484" s="617" t="s">
        <v>728</v>
      </c>
      <c r="Z1484" s="617" t="s">
        <v>1523</v>
      </c>
      <c r="AA1484" s="618">
        <v>50455</v>
      </c>
      <c r="AB1484" s="618" t="s">
        <v>164</v>
      </c>
      <c r="AC1484" s="618">
        <v>39859.625</v>
      </c>
      <c r="AD1484" s="619">
        <v>0.03</v>
      </c>
      <c r="AE1484" s="617" t="s">
        <v>2909</v>
      </c>
    </row>
    <row r="1485" spans="1:31" s="572" customFormat="1">
      <c r="A1485" s="570" t="s">
        <v>2910</v>
      </c>
      <c r="B1485" s="569" t="s">
        <v>269</v>
      </c>
      <c r="C1485" s="580" t="s">
        <v>270</v>
      </c>
      <c r="D1485" s="569" t="s">
        <v>1516</v>
      </c>
      <c r="E1485" s="569" t="s">
        <v>1607</v>
      </c>
      <c r="F1485" s="569" t="s">
        <v>271</v>
      </c>
      <c r="G1485" s="569">
        <v>2019</v>
      </c>
      <c r="H1485" s="569" t="s">
        <v>2769</v>
      </c>
      <c r="I1485" s="569" t="s">
        <v>2106</v>
      </c>
      <c r="J1485" s="569" t="s">
        <v>236</v>
      </c>
      <c r="K1485" s="569">
        <v>15</v>
      </c>
      <c r="L1485" s="569">
        <v>0</v>
      </c>
      <c r="M1485" s="569" t="s">
        <v>157</v>
      </c>
      <c r="N1485" s="569">
        <v>5</v>
      </c>
      <c r="O1485" s="569">
        <v>107.7</v>
      </c>
      <c r="P1485" s="568" t="s">
        <v>157</v>
      </c>
      <c r="Q1485" s="569" t="s">
        <v>1259</v>
      </c>
      <c r="R1485" s="569">
        <v>6</v>
      </c>
      <c r="S1485" s="569" t="s">
        <v>2599</v>
      </c>
      <c r="T1485" s="569" t="s">
        <v>2107</v>
      </c>
      <c r="U1485" s="569">
        <v>147.6</v>
      </c>
      <c r="V1485" s="569">
        <v>25</v>
      </c>
      <c r="W1485" s="620">
        <v>10360</v>
      </c>
      <c r="X1485" s="621" t="s">
        <v>157</v>
      </c>
      <c r="Y1485" s="621" t="s">
        <v>178</v>
      </c>
      <c r="Z1485" s="621" t="s">
        <v>178</v>
      </c>
      <c r="AA1485" s="622">
        <v>48325</v>
      </c>
      <c r="AB1485" s="622" t="s">
        <v>164</v>
      </c>
      <c r="AC1485" s="622">
        <v>37966.333333333336</v>
      </c>
      <c r="AD1485" s="623">
        <v>0.03</v>
      </c>
      <c r="AE1485" s="621" t="s">
        <v>2911</v>
      </c>
    </row>
    <row r="1486" spans="1:31" s="572" customFormat="1">
      <c r="A1486" s="570" t="s">
        <v>2912</v>
      </c>
      <c r="B1486" s="573" t="s">
        <v>269</v>
      </c>
      <c r="C1486" s="578" t="s">
        <v>270</v>
      </c>
      <c r="D1486" s="573" t="s">
        <v>1516</v>
      </c>
      <c r="E1486" s="573" t="s">
        <v>1607</v>
      </c>
      <c r="F1486" s="573" t="s">
        <v>271</v>
      </c>
      <c r="G1486" s="573">
        <v>2019</v>
      </c>
      <c r="H1486" s="573" t="s">
        <v>2769</v>
      </c>
      <c r="I1486" s="573" t="s">
        <v>2106</v>
      </c>
      <c r="J1486" s="573" t="s">
        <v>236</v>
      </c>
      <c r="K1486" s="573">
        <v>15</v>
      </c>
      <c r="L1486" s="573">
        <v>0</v>
      </c>
      <c r="M1486" s="573" t="s">
        <v>157</v>
      </c>
      <c r="N1486" s="573">
        <v>5</v>
      </c>
      <c r="O1486" s="573">
        <v>107.7</v>
      </c>
      <c r="P1486" s="571" t="s">
        <v>157</v>
      </c>
      <c r="Q1486" s="573" t="s">
        <v>682</v>
      </c>
      <c r="R1486" s="573">
        <v>6</v>
      </c>
      <c r="S1486" s="582" t="s">
        <v>2599</v>
      </c>
      <c r="T1486" s="573" t="s">
        <v>2107</v>
      </c>
      <c r="U1486" s="573">
        <v>147.6</v>
      </c>
      <c r="V1486" s="573">
        <v>25</v>
      </c>
      <c r="W1486" s="616">
        <v>10360</v>
      </c>
      <c r="X1486" s="617" t="s">
        <v>157</v>
      </c>
      <c r="Y1486" s="617" t="s">
        <v>178</v>
      </c>
      <c r="Z1486" s="617" t="s">
        <v>178</v>
      </c>
      <c r="AA1486" s="618">
        <v>46460</v>
      </c>
      <c r="AB1486" s="618" t="s">
        <v>164</v>
      </c>
      <c r="AC1486" s="618">
        <v>36310.083333333336</v>
      </c>
      <c r="AD1486" s="619">
        <v>0.03</v>
      </c>
      <c r="AE1486" s="617" t="s">
        <v>2913</v>
      </c>
    </row>
    <row r="1487" spans="1:31" s="572" customFormat="1">
      <c r="A1487" s="570" t="s">
        <v>2914</v>
      </c>
      <c r="B1487" s="569" t="s">
        <v>269</v>
      </c>
      <c r="C1487" s="580" t="s">
        <v>270</v>
      </c>
      <c r="D1487" s="569" t="s">
        <v>1516</v>
      </c>
      <c r="E1487" s="569" t="s">
        <v>1607</v>
      </c>
      <c r="F1487" s="569" t="s">
        <v>271</v>
      </c>
      <c r="G1487" s="569">
        <v>2019</v>
      </c>
      <c r="H1487" s="569" t="s">
        <v>2769</v>
      </c>
      <c r="I1487" s="569" t="s">
        <v>2106</v>
      </c>
      <c r="J1487" s="569" t="s">
        <v>236</v>
      </c>
      <c r="K1487" s="569">
        <v>15</v>
      </c>
      <c r="L1487" s="569">
        <v>0</v>
      </c>
      <c r="M1487" s="569" t="s">
        <v>157</v>
      </c>
      <c r="N1487" s="569">
        <v>5</v>
      </c>
      <c r="O1487" s="569">
        <v>108.6</v>
      </c>
      <c r="P1487" s="568" t="s">
        <v>157</v>
      </c>
      <c r="Q1487" s="569" t="s">
        <v>1917</v>
      </c>
      <c r="R1487" s="569">
        <v>5</v>
      </c>
      <c r="S1487" s="569" t="s">
        <v>2770</v>
      </c>
      <c r="T1487" s="569" t="s">
        <v>2107</v>
      </c>
      <c r="U1487" s="569">
        <v>147.6</v>
      </c>
      <c r="V1487" s="569">
        <v>25</v>
      </c>
      <c r="W1487" s="620">
        <v>9400</v>
      </c>
      <c r="X1487" s="621">
        <v>12</v>
      </c>
      <c r="Y1487" s="621" t="s">
        <v>728</v>
      </c>
      <c r="Z1487" s="621" t="s">
        <v>1523</v>
      </c>
      <c r="AA1487" s="622">
        <v>50800</v>
      </c>
      <c r="AB1487" s="622" t="s">
        <v>164</v>
      </c>
      <c r="AC1487" s="622">
        <v>40135.666666666664</v>
      </c>
      <c r="AD1487" s="623">
        <v>0.03</v>
      </c>
      <c r="AE1487" s="621" t="s">
        <v>2915</v>
      </c>
    </row>
    <row r="1488" spans="1:31" s="572" customFormat="1">
      <c r="A1488" s="570" t="s">
        <v>2916</v>
      </c>
      <c r="B1488" s="573" t="s">
        <v>269</v>
      </c>
      <c r="C1488" s="578" t="s">
        <v>270</v>
      </c>
      <c r="D1488" s="573" t="s">
        <v>1516</v>
      </c>
      <c r="E1488" s="573" t="s">
        <v>1607</v>
      </c>
      <c r="F1488" s="573" t="s">
        <v>271</v>
      </c>
      <c r="G1488" s="573">
        <v>2019</v>
      </c>
      <c r="H1488" s="573" t="s">
        <v>2769</v>
      </c>
      <c r="I1488" s="573" t="s">
        <v>2106</v>
      </c>
      <c r="J1488" s="573" t="s">
        <v>236</v>
      </c>
      <c r="K1488" s="573">
        <v>15</v>
      </c>
      <c r="L1488" s="573">
        <v>0</v>
      </c>
      <c r="M1488" s="573" t="s">
        <v>157</v>
      </c>
      <c r="N1488" s="573">
        <v>5</v>
      </c>
      <c r="O1488" s="573">
        <v>108.6</v>
      </c>
      <c r="P1488" s="571" t="s">
        <v>157</v>
      </c>
      <c r="Q1488" s="573" t="s">
        <v>1259</v>
      </c>
      <c r="R1488" s="573">
        <v>6</v>
      </c>
      <c r="S1488" s="582" t="s">
        <v>2770</v>
      </c>
      <c r="T1488" s="573" t="s">
        <v>2107</v>
      </c>
      <c r="U1488" s="573">
        <v>147.6</v>
      </c>
      <c r="V1488" s="573">
        <v>25</v>
      </c>
      <c r="W1488" s="616">
        <v>9150</v>
      </c>
      <c r="X1488" s="617">
        <v>12</v>
      </c>
      <c r="Y1488" s="617" t="s">
        <v>178</v>
      </c>
      <c r="Z1488" s="617" t="s">
        <v>178</v>
      </c>
      <c r="AA1488" s="618">
        <v>48670</v>
      </c>
      <c r="AB1488" s="618" t="s">
        <v>164</v>
      </c>
      <c r="AC1488" s="618">
        <v>38242.375</v>
      </c>
      <c r="AD1488" s="619">
        <v>0.03</v>
      </c>
      <c r="AE1488" s="617" t="s">
        <v>2917</v>
      </c>
    </row>
    <row r="1489" spans="1:31" s="572" customFormat="1">
      <c r="A1489" s="570" t="s">
        <v>2918</v>
      </c>
      <c r="B1489" s="569" t="s">
        <v>269</v>
      </c>
      <c r="C1489" s="580" t="s">
        <v>270</v>
      </c>
      <c r="D1489" s="569" t="s">
        <v>1516</v>
      </c>
      <c r="E1489" s="569" t="s">
        <v>1607</v>
      </c>
      <c r="F1489" s="569" t="s">
        <v>271</v>
      </c>
      <c r="G1489" s="569">
        <v>2019</v>
      </c>
      <c r="H1489" s="569" t="s">
        <v>2769</v>
      </c>
      <c r="I1489" s="569" t="s">
        <v>2106</v>
      </c>
      <c r="J1489" s="569" t="s">
        <v>236</v>
      </c>
      <c r="K1489" s="569">
        <v>15</v>
      </c>
      <c r="L1489" s="569">
        <v>0</v>
      </c>
      <c r="M1489" s="569" t="s">
        <v>157</v>
      </c>
      <c r="N1489" s="569">
        <v>5</v>
      </c>
      <c r="O1489" s="569">
        <v>108.6</v>
      </c>
      <c r="P1489" s="568" t="s">
        <v>157</v>
      </c>
      <c r="Q1489" s="569" t="s">
        <v>682</v>
      </c>
      <c r="R1489" s="569">
        <v>6</v>
      </c>
      <c r="S1489" s="569" t="s">
        <v>2770</v>
      </c>
      <c r="T1489" s="569" t="s">
        <v>2107</v>
      </c>
      <c r="U1489" s="569">
        <v>147.6</v>
      </c>
      <c r="V1489" s="569">
        <v>25</v>
      </c>
      <c r="W1489" s="620">
        <v>9150</v>
      </c>
      <c r="X1489" s="621">
        <v>12</v>
      </c>
      <c r="Y1489" s="621" t="s">
        <v>178</v>
      </c>
      <c r="Z1489" s="621" t="s">
        <v>178</v>
      </c>
      <c r="AA1489" s="622">
        <v>46805</v>
      </c>
      <c r="AB1489" s="622" t="s">
        <v>164</v>
      </c>
      <c r="AC1489" s="622">
        <v>36586.125</v>
      </c>
      <c r="AD1489" s="623">
        <v>0.03</v>
      </c>
      <c r="AE1489" s="621" t="s">
        <v>2919</v>
      </c>
    </row>
    <row r="1490" spans="1:31" s="572" customFormat="1">
      <c r="A1490" s="570" t="s">
        <v>2920</v>
      </c>
      <c r="B1490" s="573" t="s">
        <v>269</v>
      </c>
      <c r="C1490" s="578" t="s">
        <v>270</v>
      </c>
      <c r="D1490" s="573" t="s">
        <v>1516</v>
      </c>
      <c r="E1490" s="573" t="s">
        <v>1607</v>
      </c>
      <c r="F1490" s="573" t="s">
        <v>271</v>
      </c>
      <c r="G1490" s="573">
        <v>2019</v>
      </c>
      <c r="H1490" s="573" t="s">
        <v>2769</v>
      </c>
      <c r="I1490" s="573" t="s">
        <v>2106</v>
      </c>
      <c r="J1490" s="573" t="s">
        <v>236</v>
      </c>
      <c r="K1490" s="573">
        <v>15</v>
      </c>
      <c r="L1490" s="573">
        <v>0</v>
      </c>
      <c r="M1490" s="573" t="s">
        <v>157</v>
      </c>
      <c r="N1490" s="573">
        <v>5</v>
      </c>
      <c r="O1490" s="573">
        <v>82.4</v>
      </c>
      <c r="P1490" s="571" t="s">
        <v>157</v>
      </c>
      <c r="Q1490" s="573" t="s">
        <v>1917</v>
      </c>
      <c r="R1490" s="573">
        <v>5</v>
      </c>
      <c r="S1490" s="582" t="s">
        <v>2777</v>
      </c>
      <c r="T1490" s="573" t="s">
        <v>2107</v>
      </c>
      <c r="U1490" s="573">
        <v>147.6</v>
      </c>
      <c r="V1490" s="573">
        <v>25</v>
      </c>
      <c r="W1490" s="616">
        <v>9250</v>
      </c>
      <c r="X1490" s="617">
        <v>12</v>
      </c>
      <c r="Y1490" s="617" t="s">
        <v>728</v>
      </c>
      <c r="Z1490" s="617" t="s">
        <v>1523</v>
      </c>
      <c r="AA1490" s="618">
        <v>47900</v>
      </c>
      <c r="AB1490" s="618" t="s">
        <v>164</v>
      </c>
      <c r="AC1490" s="618">
        <v>35402.333333333336</v>
      </c>
      <c r="AD1490" s="619">
        <v>0.03</v>
      </c>
      <c r="AE1490" s="617" t="s">
        <v>2921</v>
      </c>
    </row>
    <row r="1491" spans="1:31" s="572" customFormat="1">
      <c r="A1491" s="570" t="s">
        <v>2922</v>
      </c>
      <c r="B1491" s="569" t="s">
        <v>269</v>
      </c>
      <c r="C1491" s="580" t="s">
        <v>270</v>
      </c>
      <c r="D1491" s="569" t="s">
        <v>1516</v>
      </c>
      <c r="E1491" s="569" t="s">
        <v>1607</v>
      </c>
      <c r="F1491" s="569" t="s">
        <v>271</v>
      </c>
      <c r="G1491" s="569">
        <v>2019</v>
      </c>
      <c r="H1491" s="569" t="s">
        <v>2769</v>
      </c>
      <c r="I1491" s="569" t="s">
        <v>2106</v>
      </c>
      <c r="J1491" s="569" t="s">
        <v>236</v>
      </c>
      <c r="K1491" s="569">
        <v>15</v>
      </c>
      <c r="L1491" s="569">
        <v>0</v>
      </c>
      <c r="M1491" s="569" t="s">
        <v>157</v>
      </c>
      <c r="N1491" s="569">
        <v>5</v>
      </c>
      <c r="O1491" s="569">
        <v>82.4</v>
      </c>
      <c r="P1491" s="568" t="s">
        <v>157</v>
      </c>
      <c r="Q1491" s="569" t="s">
        <v>1259</v>
      </c>
      <c r="R1491" s="569">
        <v>6</v>
      </c>
      <c r="S1491" s="569" t="s">
        <v>2777</v>
      </c>
      <c r="T1491" s="569" t="s">
        <v>434</v>
      </c>
      <c r="U1491" s="569">
        <v>147.6</v>
      </c>
      <c r="V1491" s="569">
        <v>25</v>
      </c>
      <c r="W1491" s="620">
        <v>9000</v>
      </c>
      <c r="X1491" s="621">
        <v>12</v>
      </c>
      <c r="Y1491" s="621" t="s">
        <v>178</v>
      </c>
      <c r="Z1491" s="621" t="s">
        <v>178</v>
      </c>
      <c r="AA1491" s="622">
        <v>45770</v>
      </c>
      <c r="AB1491" s="622" t="s">
        <v>164</v>
      </c>
      <c r="AC1491" s="622">
        <v>33509.041666666672</v>
      </c>
      <c r="AD1491" s="623">
        <v>0.03</v>
      </c>
      <c r="AE1491" s="621" t="s">
        <v>2923</v>
      </c>
    </row>
    <row r="1492" spans="1:31" s="572" customFormat="1">
      <c r="A1492" s="570" t="s">
        <v>2924</v>
      </c>
      <c r="B1492" s="573" t="s">
        <v>269</v>
      </c>
      <c r="C1492" s="578" t="s">
        <v>270</v>
      </c>
      <c r="D1492" s="573" t="s">
        <v>1516</v>
      </c>
      <c r="E1492" s="573" t="s">
        <v>1607</v>
      </c>
      <c r="F1492" s="573" t="s">
        <v>271</v>
      </c>
      <c r="G1492" s="573">
        <v>2019</v>
      </c>
      <c r="H1492" s="573" t="s">
        <v>2769</v>
      </c>
      <c r="I1492" s="573" t="s">
        <v>2106</v>
      </c>
      <c r="J1492" s="573" t="s">
        <v>236</v>
      </c>
      <c r="K1492" s="573">
        <v>15</v>
      </c>
      <c r="L1492" s="573">
        <v>0</v>
      </c>
      <c r="M1492" s="573" t="s">
        <v>157</v>
      </c>
      <c r="N1492" s="573">
        <v>5</v>
      </c>
      <c r="O1492" s="573">
        <v>82.4</v>
      </c>
      <c r="P1492" s="571" t="s">
        <v>157</v>
      </c>
      <c r="Q1492" s="573" t="s">
        <v>682</v>
      </c>
      <c r="R1492" s="573">
        <v>6</v>
      </c>
      <c r="S1492" s="582" t="s">
        <v>2777</v>
      </c>
      <c r="T1492" s="573" t="s">
        <v>2107</v>
      </c>
      <c r="U1492" s="573">
        <v>147.6</v>
      </c>
      <c r="V1492" s="573">
        <v>25</v>
      </c>
      <c r="W1492" s="616">
        <v>9000</v>
      </c>
      <c r="X1492" s="617">
        <v>12</v>
      </c>
      <c r="Y1492" s="617" t="s">
        <v>178</v>
      </c>
      <c r="Z1492" s="617" t="s">
        <v>178</v>
      </c>
      <c r="AA1492" s="618">
        <v>43905</v>
      </c>
      <c r="AB1492" s="618" t="s">
        <v>164</v>
      </c>
      <c r="AC1492" s="618">
        <v>31852.791666666668</v>
      </c>
      <c r="AD1492" s="619">
        <v>0.03</v>
      </c>
      <c r="AE1492" s="617" t="s">
        <v>2925</v>
      </c>
    </row>
    <row r="1493" spans="1:31" s="572" customFormat="1">
      <c r="A1493" s="570" t="s">
        <v>2926</v>
      </c>
      <c r="B1493" s="569" t="s">
        <v>269</v>
      </c>
      <c r="C1493" s="580" t="s">
        <v>270</v>
      </c>
      <c r="D1493" s="569" t="s">
        <v>1516</v>
      </c>
      <c r="E1493" s="569" t="s">
        <v>1607</v>
      </c>
      <c r="F1493" s="569" t="s">
        <v>271</v>
      </c>
      <c r="G1493" s="569">
        <v>2019</v>
      </c>
      <c r="H1493" s="569" t="s">
        <v>2769</v>
      </c>
      <c r="I1493" s="569" t="s">
        <v>2106</v>
      </c>
      <c r="J1493" s="569" t="s">
        <v>236</v>
      </c>
      <c r="K1493" s="569">
        <v>15</v>
      </c>
      <c r="L1493" s="569">
        <v>0</v>
      </c>
      <c r="M1493" s="569" t="s">
        <v>157</v>
      </c>
      <c r="N1493" s="569">
        <v>5</v>
      </c>
      <c r="O1493" s="569">
        <v>99.2</v>
      </c>
      <c r="P1493" s="568" t="s">
        <v>157</v>
      </c>
      <c r="Q1493" s="569" t="s">
        <v>1917</v>
      </c>
      <c r="R1493" s="569">
        <v>5</v>
      </c>
      <c r="S1493" s="569" t="s">
        <v>2617</v>
      </c>
      <c r="T1493" s="569" t="s">
        <v>2107</v>
      </c>
      <c r="U1493" s="569">
        <v>147.6</v>
      </c>
      <c r="V1493" s="569">
        <v>25</v>
      </c>
      <c r="W1493" s="620">
        <v>9400</v>
      </c>
      <c r="X1493" s="621">
        <v>12</v>
      </c>
      <c r="Y1493" s="621" t="s">
        <v>728</v>
      </c>
      <c r="Z1493" s="621" t="s">
        <v>1523</v>
      </c>
      <c r="AA1493" s="622">
        <v>49350</v>
      </c>
      <c r="AB1493" s="622" t="s">
        <v>164</v>
      </c>
      <c r="AC1493" s="622">
        <v>38810.666666666664</v>
      </c>
      <c r="AD1493" s="623">
        <v>0.03</v>
      </c>
      <c r="AE1493" s="621" t="s">
        <v>2927</v>
      </c>
    </row>
    <row r="1494" spans="1:31" s="572" customFormat="1">
      <c r="A1494" s="570" t="s">
        <v>2928</v>
      </c>
      <c r="B1494" s="573" t="s">
        <v>269</v>
      </c>
      <c r="C1494" s="578" t="s">
        <v>270</v>
      </c>
      <c r="D1494" s="573" t="s">
        <v>1516</v>
      </c>
      <c r="E1494" s="573" t="s">
        <v>1607</v>
      </c>
      <c r="F1494" s="573" t="s">
        <v>271</v>
      </c>
      <c r="G1494" s="573">
        <v>2019</v>
      </c>
      <c r="H1494" s="573" t="s">
        <v>2769</v>
      </c>
      <c r="I1494" s="573" t="s">
        <v>2106</v>
      </c>
      <c r="J1494" s="573" t="s">
        <v>236</v>
      </c>
      <c r="K1494" s="573">
        <v>15</v>
      </c>
      <c r="L1494" s="573">
        <v>0</v>
      </c>
      <c r="M1494" s="573" t="s">
        <v>157</v>
      </c>
      <c r="N1494" s="573">
        <v>5</v>
      </c>
      <c r="O1494" s="573">
        <v>99.2</v>
      </c>
      <c r="P1494" s="571" t="s">
        <v>157</v>
      </c>
      <c r="Q1494" s="573" t="s">
        <v>1259</v>
      </c>
      <c r="R1494" s="573">
        <v>6</v>
      </c>
      <c r="S1494" s="582" t="s">
        <v>2617</v>
      </c>
      <c r="T1494" s="573" t="s">
        <v>2107</v>
      </c>
      <c r="U1494" s="573">
        <v>147.6</v>
      </c>
      <c r="V1494" s="573">
        <v>25</v>
      </c>
      <c r="W1494" s="616">
        <v>9150</v>
      </c>
      <c r="X1494" s="617">
        <v>12</v>
      </c>
      <c r="Y1494" s="617" t="s">
        <v>178</v>
      </c>
      <c r="Z1494" s="617" t="s">
        <v>178</v>
      </c>
      <c r="AA1494" s="618">
        <v>47220</v>
      </c>
      <c r="AB1494" s="618" t="s">
        <v>164</v>
      </c>
      <c r="AC1494" s="618">
        <v>36917.375</v>
      </c>
      <c r="AD1494" s="619">
        <v>0.03</v>
      </c>
      <c r="AE1494" s="617" t="s">
        <v>2929</v>
      </c>
    </row>
    <row r="1495" spans="1:31" s="572" customFormat="1">
      <c r="A1495" s="570" t="s">
        <v>2930</v>
      </c>
      <c r="B1495" s="569" t="s">
        <v>269</v>
      </c>
      <c r="C1495" s="580" t="s">
        <v>270</v>
      </c>
      <c r="D1495" s="569" t="s">
        <v>1516</v>
      </c>
      <c r="E1495" s="569" t="s">
        <v>1607</v>
      </c>
      <c r="F1495" s="569" t="s">
        <v>271</v>
      </c>
      <c r="G1495" s="569">
        <v>2019</v>
      </c>
      <c r="H1495" s="569" t="s">
        <v>2769</v>
      </c>
      <c r="I1495" s="569" t="s">
        <v>2106</v>
      </c>
      <c r="J1495" s="569" t="s">
        <v>236</v>
      </c>
      <c r="K1495" s="569">
        <v>15</v>
      </c>
      <c r="L1495" s="569">
        <v>0</v>
      </c>
      <c r="M1495" s="569" t="s">
        <v>157</v>
      </c>
      <c r="N1495" s="569">
        <v>5</v>
      </c>
      <c r="O1495" s="569">
        <v>99.2</v>
      </c>
      <c r="P1495" s="568" t="s">
        <v>157</v>
      </c>
      <c r="Q1495" s="569" t="s">
        <v>682</v>
      </c>
      <c r="R1495" s="569">
        <v>6</v>
      </c>
      <c r="S1495" s="569" t="s">
        <v>2617</v>
      </c>
      <c r="T1495" s="569" t="s">
        <v>2107</v>
      </c>
      <c r="U1495" s="569">
        <v>147.6</v>
      </c>
      <c r="V1495" s="569">
        <v>25</v>
      </c>
      <c r="W1495" s="620">
        <v>9150</v>
      </c>
      <c r="X1495" s="621">
        <v>12</v>
      </c>
      <c r="Y1495" s="621" t="s">
        <v>178</v>
      </c>
      <c r="Z1495" s="621" t="s">
        <v>178</v>
      </c>
      <c r="AA1495" s="622">
        <v>45355</v>
      </c>
      <c r="AB1495" s="622" t="s">
        <v>164</v>
      </c>
      <c r="AC1495" s="622">
        <v>34077.791666666672</v>
      </c>
      <c r="AD1495" s="623">
        <v>0.03</v>
      </c>
      <c r="AE1495" s="621" t="s">
        <v>2931</v>
      </c>
    </row>
    <row r="1496" spans="1:31" s="572" customFormat="1">
      <c r="A1496" s="570" t="s">
        <v>2932</v>
      </c>
      <c r="B1496" s="573" t="s">
        <v>278</v>
      </c>
      <c r="C1496" s="578">
        <v>15</v>
      </c>
      <c r="D1496" s="573" t="s">
        <v>1516</v>
      </c>
      <c r="E1496" s="573" t="s">
        <v>1607</v>
      </c>
      <c r="F1496" s="573" t="s">
        <v>271</v>
      </c>
      <c r="G1496" s="573">
        <v>2019</v>
      </c>
      <c r="H1496" s="573" t="s">
        <v>2769</v>
      </c>
      <c r="I1496" s="573" t="s">
        <v>2106</v>
      </c>
      <c r="J1496" s="573" t="s">
        <v>236</v>
      </c>
      <c r="K1496" s="573">
        <v>12</v>
      </c>
      <c r="L1496" s="573">
        <v>0</v>
      </c>
      <c r="M1496" s="573" t="s">
        <v>157</v>
      </c>
      <c r="N1496" s="573">
        <v>4</v>
      </c>
      <c r="O1496" s="573">
        <v>108.6</v>
      </c>
      <c r="P1496" s="571" t="s">
        <v>157</v>
      </c>
      <c r="Q1496" s="573" t="s">
        <v>1917</v>
      </c>
      <c r="R1496" s="573">
        <v>5</v>
      </c>
      <c r="S1496" s="582" t="s">
        <v>2770</v>
      </c>
      <c r="T1496" s="573" t="s">
        <v>2107</v>
      </c>
      <c r="U1496" s="573">
        <v>147.6</v>
      </c>
      <c r="V1496" s="573">
        <v>25</v>
      </c>
      <c r="W1496" s="616">
        <v>9250</v>
      </c>
      <c r="X1496" s="617">
        <v>12</v>
      </c>
      <c r="Y1496" s="617" t="s">
        <v>728</v>
      </c>
      <c r="Z1496" s="617" t="s">
        <v>1523</v>
      </c>
      <c r="AA1496" s="618">
        <v>49305</v>
      </c>
      <c r="AB1496" s="618" t="s">
        <v>164</v>
      </c>
      <c r="AC1496" s="618">
        <v>39700</v>
      </c>
      <c r="AD1496" s="619">
        <v>0.01</v>
      </c>
      <c r="AE1496" s="617" t="s">
        <v>2891</v>
      </c>
    </row>
    <row r="1497" spans="1:31" s="572" customFormat="1">
      <c r="A1497" s="570" t="s">
        <v>2933</v>
      </c>
      <c r="B1497" s="569" t="s">
        <v>278</v>
      </c>
      <c r="C1497" s="580">
        <v>15</v>
      </c>
      <c r="D1497" s="569" t="s">
        <v>1516</v>
      </c>
      <c r="E1497" s="569" t="s">
        <v>1607</v>
      </c>
      <c r="F1497" s="569" t="s">
        <v>271</v>
      </c>
      <c r="G1497" s="569">
        <v>2019</v>
      </c>
      <c r="H1497" s="569" t="s">
        <v>2769</v>
      </c>
      <c r="I1497" s="569" t="s">
        <v>2106</v>
      </c>
      <c r="J1497" s="569" t="s">
        <v>236</v>
      </c>
      <c r="K1497" s="569">
        <v>12</v>
      </c>
      <c r="L1497" s="569">
        <v>0</v>
      </c>
      <c r="M1497" s="569" t="s">
        <v>157</v>
      </c>
      <c r="N1497" s="569">
        <v>4</v>
      </c>
      <c r="O1497" s="569">
        <v>108.6</v>
      </c>
      <c r="P1497" s="568" t="s">
        <v>157</v>
      </c>
      <c r="Q1497" s="569" t="s">
        <v>1259</v>
      </c>
      <c r="R1497" s="569">
        <v>6</v>
      </c>
      <c r="S1497" s="569" t="s">
        <v>2770</v>
      </c>
      <c r="T1497" s="569" t="s">
        <v>2107</v>
      </c>
      <c r="U1497" s="569">
        <v>147.6</v>
      </c>
      <c r="V1497" s="569">
        <v>25</v>
      </c>
      <c r="W1497" s="620">
        <v>9000</v>
      </c>
      <c r="X1497" s="621">
        <v>12</v>
      </c>
      <c r="Y1497" s="621" t="s">
        <v>178</v>
      </c>
      <c r="Z1497" s="621" t="s">
        <v>178</v>
      </c>
      <c r="AA1497" s="622">
        <v>47175</v>
      </c>
      <c r="AB1497" s="622" t="s">
        <v>164</v>
      </c>
      <c r="AC1497" s="622">
        <v>37700</v>
      </c>
      <c r="AD1497" s="623">
        <v>0.01</v>
      </c>
      <c r="AE1497" s="621" t="s">
        <v>2893</v>
      </c>
    </row>
    <row r="1498" spans="1:31" s="572" customFormat="1">
      <c r="A1498" s="570" t="s">
        <v>2934</v>
      </c>
      <c r="B1498" s="573" t="s">
        <v>278</v>
      </c>
      <c r="C1498" s="578">
        <v>15</v>
      </c>
      <c r="D1498" s="573" t="s">
        <v>1516</v>
      </c>
      <c r="E1498" s="573" t="s">
        <v>1607</v>
      </c>
      <c r="F1498" s="573" t="s">
        <v>271</v>
      </c>
      <c r="G1498" s="573">
        <v>2019</v>
      </c>
      <c r="H1498" s="573" t="s">
        <v>2769</v>
      </c>
      <c r="I1498" s="573" t="s">
        <v>2106</v>
      </c>
      <c r="J1498" s="573" t="s">
        <v>236</v>
      </c>
      <c r="K1498" s="573">
        <v>12</v>
      </c>
      <c r="L1498" s="573">
        <v>0</v>
      </c>
      <c r="M1498" s="573" t="s">
        <v>157</v>
      </c>
      <c r="N1498" s="573">
        <v>4</v>
      </c>
      <c r="O1498" s="573">
        <v>108.6</v>
      </c>
      <c r="P1498" s="571" t="s">
        <v>157</v>
      </c>
      <c r="Q1498" s="573" t="s">
        <v>682</v>
      </c>
      <c r="R1498" s="573">
        <v>6</v>
      </c>
      <c r="S1498" s="582" t="s">
        <v>2770</v>
      </c>
      <c r="T1498" s="573" t="s">
        <v>2107</v>
      </c>
      <c r="U1498" s="573">
        <v>147.6</v>
      </c>
      <c r="V1498" s="573">
        <v>25</v>
      </c>
      <c r="W1498" s="616">
        <v>9000</v>
      </c>
      <c r="X1498" s="617">
        <v>12</v>
      </c>
      <c r="Y1498" s="617" t="s">
        <v>178</v>
      </c>
      <c r="Z1498" s="617" t="s">
        <v>178</v>
      </c>
      <c r="AA1498" s="618">
        <v>45310</v>
      </c>
      <c r="AB1498" s="618" t="s">
        <v>164</v>
      </c>
      <c r="AC1498" s="618">
        <v>36000</v>
      </c>
      <c r="AD1498" s="619">
        <v>0.01</v>
      </c>
      <c r="AE1498" s="617" t="s">
        <v>2895</v>
      </c>
    </row>
    <row r="1499" spans="1:31" s="572" customFormat="1">
      <c r="A1499" s="570" t="s">
        <v>2935</v>
      </c>
      <c r="B1499" s="569" t="s">
        <v>278</v>
      </c>
      <c r="C1499" s="580">
        <v>15</v>
      </c>
      <c r="D1499" s="569" t="s">
        <v>1516</v>
      </c>
      <c r="E1499" s="569" t="s">
        <v>1607</v>
      </c>
      <c r="F1499" s="569" t="s">
        <v>271</v>
      </c>
      <c r="G1499" s="569">
        <v>2019</v>
      </c>
      <c r="H1499" s="569" t="s">
        <v>2769</v>
      </c>
      <c r="I1499" s="569" t="s">
        <v>2106</v>
      </c>
      <c r="J1499" s="569" t="s">
        <v>236</v>
      </c>
      <c r="K1499" s="569">
        <v>12</v>
      </c>
      <c r="L1499" s="569">
        <v>0</v>
      </c>
      <c r="M1499" s="569" t="s">
        <v>157</v>
      </c>
      <c r="N1499" s="569">
        <v>4</v>
      </c>
      <c r="O1499" s="569">
        <v>82.4</v>
      </c>
      <c r="P1499" s="568" t="s">
        <v>157</v>
      </c>
      <c r="Q1499" s="569" t="s">
        <v>1917</v>
      </c>
      <c r="R1499" s="569">
        <v>5</v>
      </c>
      <c r="S1499" s="569" t="s">
        <v>2777</v>
      </c>
      <c r="T1499" s="569" t="s">
        <v>434</v>
      </c>
      <c r="U1499" s="569">
        <v>147.6</v>
      </c>
      <c r="V1499" s="569">
        <v>25</v>
      </c>
      <c r="W1499" s="620">
        <v>9000</v>
      </c>
      <c r="X1499" s="621">
        <v>12</v>
      </c>
      <c r="Y1499" s="621" t="s">
        <v>728</v>
      </c>
      <c r="Z1499" s="621" t="s">
        <v>1523</v>
      </c>
      <c r="AA1499" s="622">
        <v>46405</v>
      </c>
      <c r="AB1499" s="622" t="s">
        <v>164</v>
      </c>
      <c r="AC1499" s="622">
        <v>34800</v>
      </c>
      <c r="AD1499" s="623">
        <v>0.01</v>
      </c>
      <c r="AE1499" s="621" t="s">
        <v>2936</v>
      </c>
    </row>
    <row r="1500" spans="1:31" s="572" customFormat="1">
      <c r="A1500" s="570" t="s">
        <v>2937</v>
      </c>
      <c r="B1500" s="573" t="s">
        <v>278</v>
      </c>
      <c r="C1500" s="578">
        <v>15</v>
      </c>
      <c r="D1500" s="573" t="s">
        <v>1516</v>
      </c>
      <c r="E1500" s="573" t="s">
        <v>1607</v>
      </c>
      <c r="F1500" s="573" t="s">
        <v>271</v>
      </c>
      <c r="G1500" s="573">
        <v>2019</v>
      </c>
      <c r="H1500" s="573" t="s">
        <v>2769</v>
      </c>
      <c r="I1500" s="573" t="s">
        <v>2106</v>
      </c>
      <c r="J1500" s="573" t="s">
        <v>236</v>
      </c>
      <c r="K1500" s="573">
        <v>12</v>
      </c>
      <c r="L1500" s="573">
        <v>0</v>
      </c>
      <c r="M1500" s="573" t="s">
        <v>157</v>
      </c>
      <c r="N1500" s="573">
        <v>4</v>
      </c>
      <c r="O1500" s="573">
        <v>82.4</v>
      </c>
      <c r="P1500" s="571" t="s">
        <v>157</v>
      </c>
      <c r="Q1500" s="573" t="s">
        <v>682</v>
      </c>
      <c r="R1500" s="573">
        <v>6</v>
      </c>
      <c r="S1500" s="582" t="s">
        <v>2777</v>
      </c>
      <c r="T1500" s="573" t="s">
        <v>2107</v>
      </c>
      <c r="U1500" s="573">
        <v>147.6</v>
      </c>
      <c r="V1500" s="573">
        <v>25</v>
      </c>
      <c r="W1500" s="616">
        <v>9000</v>
      </c>
      <c r="X1500" s="617">
        <v>12</v>
      </c>
      <c r="Y1500" s="617" t="s">
        <v>178</v>
      </c>
      <c r="Z1500" s="617" t="s">
        <v>178</v>
      </c>
      <c r="AA1500" s="618">
        <v>42410</v>
      </c>
      <c r="AB1500" s="618" t="s">
        <v>164</v>
      </c>
      <c r="AC1500" s="618">
        <v>31200</v>
      </c>
      <c r="AD1500" s="619">
        <v>0.01</v>
      </c>
      <c r="AE1500" s="617" t="s">
        <v>2901</v>
      </c>
    </row>
    <row r="1501" spans="1:31" s="572" customFormat="1">
      <c r="A1501" s="570" t="s">
        <v>2938</v>
      </c>
      <c r="B1501" s="569" t="s">
        <v>278</v>
      </c>
      <c r="C1501" s="580">
        <v>15</v>
      </c>
      <c r="D1501" s="569" t="s">
        <v>1516</v>
      </c>
      <c r="E1501" s="569" t="s">
        <v>1607</v>
      </c>
      <c r="F1501" s="569" t="s">
        <v>271</v>
      </c>
      <c r="G1501" s="569">
        <v>2019</v>
      </c>
      <c r="H1501" s="569" t="s">
        <v>2769</v>
      </c>
      <c r="I1501" s="569" t="s">
        <v>2106</v>
      </c>
      <c r="J1501" s="569" t="s">
        <v>236</v>
      </c>
      <c r="K1501" s="569">
        <v>12</v>
      </c>
      <c r="L1501" s="569">
        <v>0</v>
      </c>
      <c r="M1501" s="569" t="s">
        <v>157</v>
      </c>
      <c r="N1501" s="569">
        <v>4</v>
      </c>
      <c r="O1501" s="569">
        <v>99.2</v>
      </c>
      <c r="P1501" s="568" t="s">
        <v>157</v>
      </c>
      <c r="Q1501" s="569" t="s">
        <v>1917</v>
      </c>
      <c r="R1501" s="569">
        <v>5</v>
      </c>
      <c r="S1501" s="569" t="s">
        <v>2617</v>
      </c>
      <c r="T1501" s="569" t="s">
        <v>2107</v>
      </c>
      <c r="U1501" s="569">
        <v>147.6</v>
      </c>
      <c r="V1501" s="569">
        <v>25</v>
      </c>
      <c r="W1501" s="620">
        <v>9250</v>
      </c>
      <c r="X1501" s="621">
        <v>12</v>
      </c>
      <c r="Y1501" s="621" t="s">
        <v>728</v>
      </c>
      <c r="Z1501" s="621" t="s">
        <v>1523</v>
      </c>
      <c r="AA1501" s="622">
        <v>47855</v>
      </c>
      <c r="AB1501" s="622" t="s">
        <v>164</v>
      </c>
      <c r="AC1501" s="622">
        <v>38300</v>
      </c>
      <c r="AD1501" s="623">
        <v>0.01</v>
      </c>
      <c r="AE1501" s="621" t="s">
        <v>2903</v>
      </c>
    </row>
    <row r="1502" spans="1:31" s="572" customFormat="1">
      <c r="A1502" s="570" t="s">
        <v>2939</v>
      </c>
      <c r="B1502" s="573" t="s">
        <v>278</v>
      </c>
      <c r="C1502" s="578">
        <v>15</v>
      </c>
      <c r="D1502" s="573" t="s">
        <v>1516</v>
      </c>
      <c r="E1502" s="573" t="s">
        <v>1607</v>
      </c>
      <c r="F1502" s="573" t="s">
        <v>271</v>
      </c>
      <c r="G1502" s="573">
        <v>2019</v>
      </c>
      <c r="H1502" s="573" t="s">
        <v>2769</v>
      </c>
      <c r="I1502" s="573" t="s">
        <v>2106</v>
      </c>
      <c r="J1502" s="573" t="s">
        <v>236</v>
      </c>
      <c r="K1502" s="573">
        <v>12</v>
      </c>
      <c r="L1502" s="573">
        <v>0</v>
      </c>
      <c r="M1502" s="573" t="s">
        <v>157</v>
      </c>
      <c r="N1502" s="573">
        <v>4</v>
      </c>
      <c r="O1502" s="573">
        <v>99.2</v>
      </c>
      <c r="P1502" s="571" t="s">
        <v>157</v>
      </c>
      <c r="Q1502" s="573" t="s">
        <v>1259</v>
      </c>
      <c r="R1502" s="573">
        <v>6</v>
      </c>
      <c r="S1502" s="582" t="s">
        <v>2617</v>
      </c>
      <c r="T1502" s="573" t="s">
        <v>2107</v>
      </c>
      <c r="U1502" s="573">
        <v>147.6</v>
      </c>
      <c r="V1502" s="573">
        <v>25</v>
      </c>
      <c r="W1502" s="616">
        <v>9000</v>
      </c>
      <c r="X1502" s="617">
        <v>12</v>
      </c>
      <c r="Y1502" s="617" t="s">
        <v>178</v>
      </c>
      <c r="Z1502" s="617" t="s">
        <v>178</v>
      </c>
      <c r="AA1502" s="618">
        <v>45725</v>
      </c>
      <c r="AB1502" s="618" t="s">
        <v>164</v>
      </c>
      <c r="AC1502" s="618">
        <v>36300</v>
      </c>
      <c r="AD1502" s="619">
        <v>0.01</v>
      </c>
      <c r="AE1502" s="617" t="s">
        <v>2905</v>
      </c>
    </row>
    <row r="1503" spans="1:31" s="572" customFormat="1">
      <c r="A1503" s="570" t="s">
        <v>2940</v>
      </c>
      <c r="B1503" s="569" t="s">
        <v>278</v>
      </c>
      <c r="C1503" s="580">
        <v>15</v>
      </c>
      <c r="D1503" s="569" t="s">
        <v>1516</v>
      </c>
      <c r="E1503" s="569" t="s">
        <v>1607</v>
      </c>
      <c r="F1503" s="569" t="s">
        <v>271</v>
      </c>
      <c r="G1503" s="569">
        <v>2019</v>
      </c>
      <c r="H1503" s="569" t="s">
        <v>2769</v>
      </c>
      <c r="I1503" s="569" t="s">
        <v>2106</v>
      </c>
      <c r="J1503" s="569" t="s">
        <v>236</v>
      </c>
      <c r="K1503" s="569">
        <v>12</v>
      </c>
      <c r="L1503" s="569">
        <v>0</v>
      </c>
      <c r="M1503" s="569" t="s">
        <v>157</v>
      </c>
      <c r="N1503" s="569">
        <v>4</v>
      </c>
      <c r="O1503" s="569">
        <v>99.2</v>
      </c>
      <c r="P1503" s="568" t="s">
        <v>157</v>
      </c>
      <c r="Q1503" s="569" t="s">
        <v>682</v>
      </c>
      <c r="R1503" s="569">
        <v>6</v>
      </c>
      <c r="S1503" s="569" t="s">
        <v>2617</v>
      </c>
      <c r="T1503" s="569" t="s">
        <v>2107</v>
      </c>
      <c r="U1503" s="569">
        <v>147.6</v>
      </c>
      <c r="V1503" s="569">
        <v>25</v>
      </c>
      <c r="W1503" s="620">
        <v>9000</v>
      </c>
      <c r="X1503" s="621">
        <v>12</v>
      </c>
      <c r="Y1503" s="621" t="s">
        <v>178</v>
      </c>
      <c r="Z1503" s="621" t="s">
        <v>178</v>
      </c>
      <c r="AA1503" s="622">
        <v>43860</v>
      </c>
      <c r="AB1503" s="622" t="s">
        <v>164</v>
      </c>
      <c r="AC1503" s="622">
        <v>34700</v>
      </c>
      <c r="AD1503" s="623">
        <v>0.01</v>
      </c>
      <c r="AE1503" s="621" t="s">
        <v>2907</v>
      </c>
    </row>
    <row r="1504" spans="1:31" s="572" customFormat="1">
      <c r="A1504" s="570" t="s">
        <v>2941</v>
      </c>
      <c r="B1504" s="573" t="s">
        <v>278</v>
      </c>
      <c r="C1504" s="578">
        <v>15</v>
      </c>
      <c r="D1504" s="573" t="s">
        <v>1516</v>
      </c>
      <c r="E1504" s="573" t="s">
        <v>1607</v>
      </c>
      <c r="F1504" s="573" t="s">
        <v>271</v>
      </c>
      <c r="G1504" s="573">
        <v>2019</v>
      </c>
      <c r="H1504" s="573" t="s">
        <v>2769</v>
      </c>
      <c r="I1504" s="573" t="s">
        <v>2106</v>
      </c>
      <c r="J1504" s="573" t="s">
        <v>236</v>
      </c>
      <c r="K1504" s="573">
        <v>15</v>
      </c>
      <c r="L1504" s="573">
        <v>0</v>
      </c>
      <c r="M1504" s="573" t="s">
        <v>157</v>
      </c>
      <c r="N1504" s="573">
        <v>5</v>
      </c>
      <c r="O1504" s="573">
        <v>107.7</v>
      </c>
      <c r="P1504" s="571" t="s">
        <v>157</v>
      </c>
      <c r="Q1504" s="573" t="s">
        <v>1917</v>
      </c>
      <c r="R1504" s="573">
        <v>5</v>
      </c>
      <c r="S1504" s="582" t="s">
        <v>2599</v>
      </c>
      <c r="T1504" s="573" t="s">
        <v>2107</v>
      </c>
      <c r="U1504" s="573">
        <v>147.6</v>
      </c>
      <c r="V1504" s="573">
        <v>25</v>
      </c>
      <c r="W1504" s="616">
        <v>10360</v>
      </c>
      <c r="X1504" s="617">
        <v>12</v>
      </c>
      <c r="Y1504" s="617" t="s">
        <v>728</v>
      </c>
      <c r="Z1504" s="617" t="s">
        <v>1523</v>
      </c>
      <c r="AA1504" s="618">
        <v>50455</v>
      </c>
      <c r="AB1504" s="618" t="s">
        <v>164</v>
      </c>
      <c r="AC1504" s="618">
        <v>40700</v>
      </c>
      <c r="AD1504" s="619">
        <v>0.01</v>
      </c>
      <c r="AE1504" s="617" t="s">
        <v>2909</v>
      </c>
    </row>
    <row r="1505" spans="1:31" s="572" customFormat="1">
      <c r="A1505" s="570" t="s">
        <v>2942</v>
      </c>
      <c r="B1505" s="569" t="s">
        <v>278</v>
      </c>
      <c r="C1505" s="580">
        <v>15</v>
      </c>
      <c r="D1505" s="569" t="s">
        <v>1516</v>
      </c>
      <c r="E1505" s="569" t="s">
        <v>1607</v>
      </c>
      <c r="F1505" s="569" t="s">
        <v>271</v>
      </c>
      <c r="G1505" s="569">
        <v>2019</v>
      </c>
      <c r="H1505" s="569" t="s">
        <v>2769</v>
      </c>
      <c r="I1505" s="569" t="s">
        <v>2106</v>
      </c>
      <c r="J1505" s="569" t="s">
        <v>236</v>
      </c>
      <c r="K1505" s="569">
        <v>15</v>
      </c>
      <c r="L1505" s="569">
        <v>0</v>
      </c>
      <c r="M1505" s="569" t="s">
        <v>157</v>
      </c>
      <c r="N1505" s="569">
        <v>5</v>
      </c>
      <c r="O1505" s="569">
        <v>107.7</v>
      </c>
      <c r="P1505" s="568" t="s">
        <v>157</v>
      </c>
      <c r="Q1505" s="569" t="s">
        <v>1259</v>
      </c>
      <c r="R1505" s="569">
        <v>6</v>
      </c>
      <c r="S1505" s="569" t="s">
        <v>2599</v>
      </c>
      <c r="T1505" s="569" t="s">
        <v>2107</v>
      </c>
      <c r="U1505" s="569">
        <v>147.6</v>
      </c>
      <c r="V1505" s="569">
        <v>25</v>
      </c>
      <c r="W1505" s="620">
        <v>10360</v>
      </c>
      <c r="X1505" s="621" t="s">
        <v>157</v>
      </c>
      <c r="Y1505" s="621" t="s">
        <v>178</v>
      </c>
      <c r="Z1505" s="621" t="s">
        <v>178</v>
      </c>
      <c r="AA1505" s="622">
        <v>48325</v>
      </c>
      <c r="AB1505" s="622" t="s">
        <v>164</v>
      </c>
      <c r="AC1505" s="622">
        <v>38750</v>
      </c>
      <c r="AD1505" s="623">
        <v>0.01</v>
      </c>
      <c r="AE1505" s="621" t="s">
        <v>2911</v>
      </c>
    </row>
    <row r="1506" spans="1:31" s="572" customFormat="1">
      <c r="A1506" s="570" t="s">
        <v>2943</v>
      </c>
      <c r="B1506" s="573" t="s">
        <v>278</v>
      </c>
      <c r="C1506" s="578">
        <v>15</v>
      </c>
      <c r="D1506" s="573" t="s">
        <v>1516</v>
      </c>
      <c r="E1506" s="573" t="s">
        <v>1607</v>
      </c>
      <c r="F1506" s="573" t="s">
        <v>271</v>
      </c>
      <c r="G1506" s="573">
        <v>2019</v>
      </c>
      <c r="H1506" s="573" t="s">
        <v>2769</v>
      </c>
      <c r="I1506" s="573" t="s">
        <v>2106</v>
      </c>
      <c r="J1506" s="573" t="s">
        <v>236</v>
      </c>
      <c r="K1506" s="573">
        <v>15</v>
      </c>
      <c r="L1506" s="573">
        <v>0</v>
      </c>
      <c r="M1506" s="573" t="s">
        <v>157</v>
      </c>
      <c r="N1506" s="573">
        <v>5</v>
      </c>
      <c r="O1506" s="573">
        <v>107.7</v>
      </c>
      <c r="P1506" s="571" t="s">
        <v>157</v>
      </c>
      <c r="Q1506" s="573" t="s">
        <v>682</v>
      </c>
      <c r="R1506" s="573">
        <v>6</v>
      </c>
      <c r="S1506" s="582" t="s">
        <v>2599</v>
      </c>
      <c r="T1506" s="573" t="s">
        <v>2107</v>
      </c>
      <c r="U1506" s="573">
        <v>147.6</v>
      </c>
      <c r="V1506" s="573">
        <v>25</v>
      </c>
      <c r="W1506" s="616">
        <v>10360</v>
      </c>
      <c r="X1506" s="617" t="s">
        <v>157</v>
      </c>
      <c r="Y1506" s="617" t="s">
        <v>178</v>
      </c>
      <c r="Z1506" s="617" t="s">
        <v>178</v>
      </c>
      <c r="AA1506" s="618">
        <v>46460</v>
      </c>
      <c r="AB1506" s="618" t="s">
        <v>164</v>
      </c>
      <c r="AC1506" s="618">
        <v>37100</v>
      </c>
      <c r="AD1506" s="619">
        <v>0.01</v>
      </c>
      <c r="AE1506" s="617" t="s">
        <v>2913</v>
      </c>
    </row>
    <row r="1507" spans="1:31" s="572" customFormat="1">
      <c r="A1507" s="570" t="s">
        <v>2944</v>
      </c>
      <c r="B1507" s="569" t="s">
        <v>278</v>
      </c>
      <c r="C1507" s="580">
        <v>15</v>
      </c>
      <c r="D1507" s="569" t="s">
        <v>1516</v>
      </c>
      <c r="E1507" s="569" t="s">
        <v>1607</v>
      </c>
      <c r="F1507" s="569" t="s">
        <v>271</v>
      </c>
      <c r="G1507" s="569">
        <v>2019</v>
      </c>
      <c r="H1507" s="569" t="s">
        <v>2769</v>
      </c>
      <c r="I1507" s="569" t="s">
        <v>2106</v>
      </c>
      <c r="J1507" s="569" t="s">
        <v>236</v>
      </c>
      <c r="K1507" s="569">
        <v>15</v>
      </c>
      <c r="L1507" s="569">
        <v>0</v>
      </c>
      <c r="M1507" s="569" t="s">
        <v>157</v>
      </c>
      <c r="N1507" s="569">
        <v>5</v>
      </c>
      <c r="O1507" s="569">
        <v>108.6</v>
      </c>
      <c r="P1507" s="568" t="s">
        <v>157</v>
      </c>
      <c r="Q1507" s="569" t="s">
        <v>1917</v>
      </c>
      <c r="R1507" s="569">
        <v>5</v>
      </c>
      <c r="S1507" s="569" t="s">
        <v>2770</v>
      </c>
      <c r="T1507" s="569" t="s">
        <v>2107</v>
      </c>
      <c r="U1507" s="569">
        <v>147.6</v>
      </c>
      <c r="V1507" s="569">
        <v>25</v>
      </c>
      <c r="W1507" s="620">
        <v>9400</v>
      </c>
      <c r="X1507" s="621">
        <v>12</v>
      </c>
      <c r="Y1507" s="621" t="s">
        <v>728</v>
      </c>
      <c r="Z1507" s="621" t="s">
        <v>1523</v>
      </c>
      <c r="AA1507" s="622">
        <v>50800</v>
      </c>
      <c r="AB1507" s="622" t="s">
        <v>164</v>
      </c>
      <c r="AC1507" s="622">
        <v>41000</v>
      </c>
      <c r="AD1507" s="623">
        <v>0.01</v>
      </c>
      <c r="AE1507" s="621" t="s">
        <v>2915</v>
      </c>
    </row>
    <row r="1508" spans="1:31" s="572" customFormat="1">
      <c r="A1508" s="570" t="s">
        <v>2945</v>
      </c>
      <c r="B1508" s="573" t="s">
        <v>278</v>
      </c>
      <c r="C1508" s="578">
        <v>15</v>
      </c>
      <c r="D1508" s="573" t="s">
        <v>1516</v>
      </c>
      <c r="E1508" s="573" t="s">
        <v>1607</v>
      </c>
      <c r="F1508" s="573" t="s">
        <v>271</v>
      </c>
      <c r="G1508" s="573">
        <v>2019</v>
      </c>
      <c r="H1508" s="573" t="s">
        <v>2769</v>
      </c>
      <c r="I1508" s="573" t="s">
        <v>2106</v>
      </c>
      <c r="J1508" s="573" t="s">
        <v>236</v>
      </c>
      <c r="K1508" s="573">
        <v>15</v>
      </c>
      <c r="L1508" s="573">
        <v>0</v>
      </c>
      <c r="M1508" s="573" t="s">
        <v>157</v>
      </c>
      <c r="N1508" s="573">
        <v>5</v>
      </c>
      <c r="O1508" s="573">
        <v>108.6</v>
      </c>
      <c r="P1508" s="571" t="s">
        <v>157</v>
      </c>
      <c r="Q1508" s="573" t="s">
        <v>1259</v>
      </c>
      <c r="R1508" s="573">
        <v>6</v>
      </c>
      <c r="S1508" s="582" t="s">
        <v>2770</v>
      </c>
      <c r="T1508" s="573" t="s">
        <v>2107</v>
      </c>
      <c r="U1508" s="573">
        <v>147.6</v>
      </c>
      <c r="V1508" s="573">
        <v>25</v>
      </c>
      <c r="W1508" s="616">
        <v>9150</v>
      </c>
      <c r="X1508" s="617">
        <v>12</v>
      </c>
      <c r="Y1508" s="617" t="s">
        <v>178</v>
      </c>
      <c r="Z1508" s="617" t="s">
        <v>178</v>
      </c>
      <c r="AA1508" s="618">
        <v>48670</v>
      </c>
      <c r="AB1508" s="618" t="s">
        <v>164</v>
      </c>
      <c r="AC1508" s="618">
        <v>39100</v>
      </c>
      <c r="AD1508" s="619">
        <v>0.01</v>
      </c>
      <c r="AE1508" s="617" t="s">
        <v>2917</v>
      </c>
    </row>
    <row r="1509" spans="1:31" s="572" customFormat="1">
      <c r="A1509" s="570" t="s">
        <v>2946</v>
      </c>
      <c r="B1509" s="569" t="s">
        <v>278</v>
      </c>
      <c r="C1509" s="580">
        <v>15</v>
      </c>
      <c r="D1509" s="569" t="s">
        <v>1516</v>
      </c>
      <c r="E1509" s="569" t="s">
        <v>1607</v>
      </c>
      <c r="F1509" s="569" t="s">
        <v>271</v>
      </c>
      <c r="G1509" s="569">
        <v>2019</v>
      </c>
      <c r="H1509" s="569" t="s">
        <v>2769</v>
      </c>
      <c r="I1509" s="569" t="s">
        <v>2106</v>
      </c>
      <c r="J1509" s="569" t="s">
        <v>236</v>
      </c>
      <c r="K1509" s="569">
        <v>15</v>
      </c>
      <c r="L1509" s="569">
        <v>0</v>
      </c>
      <c r="M1509" s="569" t="s">
        <v>157</v>
      </c>
      <c r="N1509" s="569">
        <v>5</v>
      </c>
      <c r="O1509" s="569">
        <v>108.6</v>
      </c>
      <c r="P1509" s="568" t="s">
        <v>157</v>
      </c>
      <c r="Q1509" s="569" t="s">
        <v>682</v>
      </c>
      <c r="R1509" s="569">
        <v>6</v>
      </c>
      <c r="S1509" s="569" t="s">
        <v>2770</v>
      </c>
      <c r="T1509" s="569" t="s">
        <v>2107</v>
      </c>
      <c r="U1509" s="569">
        <v>147.6</v>
      </c>
      <c r="V1509" s="569">
        <v>25</v>
      </c>
      <c r="W1509" s="620">
        <v>9150</v>
      </c>
      <c r="X1509" s="621">
        <v>12</v>
      </c>
      <c r="Y1509" s="621" t="s">
        <v>178</v>
      </c>
      <c r="Z1509" s="621" t="s">
        <v>178</v>
      </c>
      <c r="AA1509" s="622">
        <v>46805</v>
      </c>
      <c r="AB1509" s="622" t="s">
        <v>164</v>
      </c>
      <c r="AC1509" s="622">
        <v>37400</v>
      </c>
      <c r="AD1509" s="623">
        <v>0.01</v>
      </c>
      <c r="AE1509" s="621" t="s">
        <v>2919</v>
      </c>
    </row>
    <row r="1510" spans="1:31" s="572" customFormat="1">
      <c r="A1510" s="570" t="s">
        <v>2947</v>
      </c>
      <c r="B1510" s="573" t="s">
        <v>278</v>
      </c>
      <c r="C1510" s="578">
        <v>15</v>
      </c>
      <c r="D1510" s="573" t="s">
        <v>1516</v>
      </c>
      <c r="E1510" s="573" t="s">
        <v>1607</v>
      </c>
      <c r="F1510" s="573" t="s">
        <v>271</v>
      </c>
      <c r="G1510" s="573">
        <v>2019</v>
      </c>
      <c r="H1510" s="573" t="s">
        <v>2769</v>
      </c>
      <c r="I1510" s="573" t="s">
        <v>2106</v>
      </c>
      <c r="J1510" s="573" t="s">
        <v>236</v>
      </c>
      <c r="K1510" s="573">
        <v>15</v>
      </c>
      <c r="L1510" s="573">
        <v>0</v>
      </c>
      <c r="M1510" s="573" t="s">
        <v>157</v>
      </c>
      <c r="N1510" s="573">
        <v>5</v>
      </c>
      <c r="O1510" s="573">
        <v>82.4</v>
      </c>
      <c r="P1510" s="571" t="s">
        <v>157</v>
      </c>
      <c r="Q1510" s="573" t="s">
        <v>1259</v>
      </c>
      <c r="R1510" s="573">
        <v>6</v>
      </c>
      <c r="S1510" s="582" t="s">
        <v>2777</v>
      </c>
      <c r="T1510" s="573" t="s">
        <v>434</v>
      </c>
      <c r="U1510" s="573">
        <v>147.6</v>
      </c>
      <c r="V1510" s="573">
        <v>25</v>
      </c>
      <c r="W1510" s="616">
        <v>9000</v>
      </c>
      <c r="X1510" s="617">
        <v>12</v>
      </c>
      <c r="Y1510" s="617" t="s">
        <v>178</v>
      </c>
      <c r="Z1510" s="617" t="s">
        <v>178</v>
      </c>
      <c r="AA1510" s="618">
        <v>45770</v>
      </c>
      <c r="AB1510" s="618" t="s">
        <v>164</v>
      </c>
      <c r="AC1510" s="618">
        <v>34200</v>
      </c>
      <c r="AD1510" s="619">
        <v>0.01</v>
      </c>
      <c r="AE1510" s="617" t="s">
        <v>2923</v>
      </c>
    </row>
    <row r="1511" spans="1:31" s="572" customFormat="1">
      <c r="A1511" s="570" t="s">
        <v>2948</v>
      </c>
      <c r="B1511" s="569" t="s">
        <v>278</v>
      </c>
      <c r="C1511" s="580">
        <v>15</v>
      </c>
      <c r="D1511" s="569" t="s">
        <v>1516</v>
      </c>
      <c r="E1511" s="569" t="s">
        <v>1607</v>
      </c>
      <c r="F1511" s="569" t="s">
        <v>271</v>
      </c>
      <c r="G1511" s="569">
        <v>2019</v>
      </c>
      <c r="H1511" s="569" t="s">
        <v>2769</v>
      </c>
      <c r="I1511" s="569" t="s">
        <v>2106</v>
      </c>
      <c r="J1511" s="569" t="s">
        <v>236</v>
      </c>
      <c r="K1511" s="569">
        <v>15</v>
      </c>
      <c r="L1511" s="569">
        <v>0</v>
      </c>
      <c r="M1511" s="569" t="s">
        <v>157</v>
      </c>
      <c r="N1511" s="569">
        <v>5</v>
      </c>
      <c r="O1511" s="569">
        <v>99.2</v>
      </c>
      <c r="P1511" s="568" t="s">
        <v>157</v>
      </c>
      <c r="Q1511" s="569" t="s">
        <v>1917</v>
      </c>
      <c r="R1511" s="569">
        <v>5</v>
      </c>
      <c r="S1511" s="569" t="s">
        <v>2617</v>
      </c>
      <c r="T1511" s="569" t="s">
        <v>2107</v>
      </c>
      <c r="U1511" s="569">
        <v>147.6</v>
      </c>
      <c r="V1511" s="569">
        <v>25</v>
      </c>
      <c r="W1511" s="620">
        <v>9400</v>
      </c>
      <c r="X1511" s="621">
        <v>12</v>
      </c>
      <c r="Y1511" s="621" t="s">
        <v>728</v>
      </c>
      <c r="Z1511" s="621" t="s">
        <v>1523</v>
      </c>
      <c r="AA1511" s="622">
        <v>49350</v>
      </c>
      <c r="AB1511" s="622" t="s">
        <v>164</v>
      </c>
      <c r="AC1511" s="622">
        <v>39600</v>
      </c>
      <c r="AD1511" s="623">
        <v>0.01</v>
      </c>
      <c r="AE1511" s="621" t="s">
        <v>2927</v>
      </c>
    </row>
    <row r="1512" spans="1:31" s="572" customFormat="1">
      <c r="A1512" s="570" t="s">
        <v>2949</v>
      </c>
      <c r="B1512" s="573" t="s">
        <v>278</v>
      </c>
      <c r="C1512" s="578">
        <v>15</v>
      </c>
      <c r="D1512" s="573" t="s">
        <v>1516</v>
      </c>
      <c r="E1512" s="573" t="s">
        <v>1607</v>
      </c>
      <c r="F1512" s="573" t="s">
        <v>271</v>
      </c>
      <c r="G1512" s="573">
        <v>2019</v>
      </c>
      <c r="H1512" s="573" t="s">
        <v>2769</v>
      </c>
      <c r="I1512" s="573" t="s">
        <v>2106</v>
      </c>
      <c r="J1512" s="573" t="s">
        <v>236</v>
      </c>
      <c r="K1512" s="573">
        <v>15</v>
      </c>
      <c r="L1512" s="573">
        <v>0</v>
      </c>
      <c r="M1512" s="573" t="s">
        <v>157</v>
      </c>
      <c r="N1512" s="573">
        <v>5</v>
      </c>
      <c r="O1512" s="573">
        <v>99.2</v>
      </c>
      <c r="P1512" s="571" t="s">
        <v>157</v>
      </c>
      <c r="Q1512" s="573" t="s">
        <v>1259</v>
      </c>
      <c r="R1512" s="573">
        <v>6</v>
      </c>
      <c r="S1512" s="582" t="s">
        <v>2617</v>
      </c>
      <c r="T1512" s="573" t="s">
        <v>2107</v>
      </c>
      <c r="U1512" s="573">
        <v>147.6</v>
      </c>
      <c r="V1512" s="573">
        <v>25</v>
      </c>
      <c r="W1512" s="616">
        <v>9150</v>
      </c>
      <c r="X1512" s="617">
        <v>12</v>
      </c>
      <c r="Y1512" s="617" t="s">
        <v>178</v>
      </c>
      <c r="Z1512" s="617" t="s">
        <v>178</v>
      </c>
      <c r="AA1512" s="618">
        <v>47220</v>
      </c>
      <c r="AB1512" s="618" t="s">
        <v>164</v>
      </c>
      <c r="AC1512" s="618">
        <v>37700</v>
      </c>
      <c r="AD1512" s="619">
        <v>0.01</v>
      </c>
      <c r="AE1512" s="617" t="s">
        <v>2929</v>
      </c>
    </row>
    <row r="1513" spans="1:31" s="572" customFormat="1">
      <c r="A1513" s="570" t="s">
        <v>2950</v>
      </c>
      <c r="B1513" s="569" t="s">
        <v>278</v>
      </c>
      <c r="C1513" s="580">
        <v>15</v>
      </c>
      <c r="D1513" s="569" t="s">
        <v>1516</v>
      </c>
      <c r="E1513" s="569" t="s">
        <v>1607</v>
      </c>
      <c r="F1513" s="569" t="s">
        <v>271</v>
      </c>
      <c r="G1513" s="569">
        <v>2019</v>
      </c>
      <c r="H1513" s="569" t="s">
        <v>2769</v>
      </c>
      <c r="I1513" s="569" t="s">
        <v>2106</v>
      </c>
      <c r="J1513" s="569" t="s">
        <v>236</v>
      </c>
      <c r="K1513" s="569">
        <v>15</v>
      </c>
      <c r="L1513" s="569">
        <v>0</v>
      </c>
      <c r="M1513" s="569" t="s">
        <v>157</v>
      </c>
      <c r="N1513" s="569">
        <v>5</v>
      </c>
      <c r="O1513" s="569">
        <v>99.2</v>
      </c>
      <c r="P1513" s="568" t="s">
        <v>157</v>
      </c>
      <c r="Q1513" s="569" t="s">
        <v>682</v>
      </c>
      <c r="R1513" s="569">
        <v>6</v>
      </c>
      <c r="S1513" s="569" t="s">
        <v>2617</v>
      </c>
      <c r="T1513" s="569" t="s">
        <v>2107</v>
      </c>
      <c r="U1513" s="569">
        <v>147.6</v>
      </c>
      <c r="V1513" s="569">
        <v>25</v>
      </c>
      <c r="W1513" s="620">
        <v>9150</v>
      </c>
      <c r="X1513" s="621">
        <v>12</v>
      </c>
      <c r="Y1513" s="621" t="s">
        <v>178</v>
      </c>
      <c r="Z1513" s="621" t="s">
        <v>178</v>
      </c>
      <c r="AA1513" s="622">
        <v>45355</v>
      </c>
      <c r="AB1513" s="622" t="s">
        <v>164</v>
      </c>
      <c r="AC1513" s="622">
        <v>36000</v>
      </c>
      <c r="AD1513" s="623">
        <v>0.01</v>
      </c>
      <c r="AE1513" s="621" t="s">
        <v>2931</v>
      </c>
    </row>
    <row r="1514" spans="1:31" s="572" customFormat="1">
      <c r="A1514" s="570" t="s">
        <v>2951</v>
      </c>
      <c r="B1514" s="573" t="s">
        <v>287</v>
      </c>
      <c r="C1514" s="578">
        <v>26</v>
      </c>
      <c r="D1514" s="573" t="s">
        <v>1516</v>
      </c>
      <c r="E1514" s="573" t="s">
        <v>1607</v>
      </c>
      <c r="F1514" s="573" t="s">
        <v>271</v>
      </c>
      <c r="G1514" s="573">
        <v>2018</v>
      </c>
      <c r="H1514" s="573" t="s">
        <v>2769</v>
      </c>
      <c r="I1514" s="573" t="s">
        <v>2106</v>
      </c>
      <c r="J1514" s="573" t="s">
        <v>236</v>
      </c>
      <c r="K1514" s="573">
        <v>12</v>
      </c>
      <c r="L1514" s="573">
        <v>0</v>
      </c>
      <c r="M1514" s="573" t="s">
        <v>157</v>
      </c>
      <c r="N1514" s="573">
        <v>4</v>
      </c>
      <c r="O1514" s="573">
        <v>82.4</v>
      </c>
      <c r="P1514" s="571" t="s">
        <v>157</v>
      </c>
      <c r="Q1514" s="573" t="s">
        <v>1917</v>
      </c>
      <c r="R1514" s="573">
        <v>5</v>
      </c>
      <c r="S1514" s="582" t="s">
        <v>2777</v>
      </c>
      <c r="T1514" s="573" t="s">
        <v>434</v>
      </c>
      <c r="U1514" s="573">
        <v>147.6</v>
      </c>
      <c r="V1514" s="573">
        <v>25</v>
      </c>
      <c r="W1514" s="616">
        <v>9000</v>
      </c>
      <c r="X1514" s="617">
        <v>12</v>
      </c>
      <c r="Y1514" s="617" t="s">
        <v>178</v>
      </c>
      <c r="Z1514" s="617" t="s">
        <v>178</v>
      </c>
      <c r="AA1514" s="618">
        <v>46405</v>
      </c>
      <c r="AB1514" s="618" t="s">
        <v>164</v>
      </c>
      <c r="AC1514" s="618">
        <v>35036</v>
      </c>
      <c r="AD1514" s="619">
        <v>0.05</v>
      </c>
      <c r="AE1514" s="617" t="s">
        <v>2952</v>
      </c>
    </row>
    <row r="1515" spans="1:31" s="572" customFormat="1">
      <c r="A1515" s="570" t="s">
        <v>2953</v>
      </c>
      <c r="B1515" s="569" t="s">
        <v>287</v>
      </c>
      <c r="C1515" s="580">
        <v>26</v>
      </c>
      <c r="D1515" s="569" t="s">
        <v>1516</v>
      </c>
      <c r="E1515" s="569" t="s">
        <v>1607</v>
      </c>
      <c r="F1515" s="569" t="s">
        <v>271</v>
      </c>
      <c r="G1515" s="569">
        <v>2018</v>
      </c>
      <c r="H1515" s="569" t="s">
        <v>2769</v>
      </c>
      <c r="I1515" s="569" t="s">
        <v>2106</v>
      </c>
      <c r="J1515" s="569" t="s">
        <v>236</v>
      </c>
      <c r="K1515" s="569">
        <v>12</v>
      </c>
      <c r="L1515" s="569">
        <v>0</v>
      </c>
      <c r="M1515" s="569" t="s">
        <v>157</v>
      </c>
      <c r="N1515" s="569">
        <v>4</v>
      </c>
      <c r="O1515" s="569">
        <v>82.4</v>
      </c>
      <c r="P1515" s="568" t="s">
        <v>157</v>
      </c>
      <c r="Q1515" s="569" t="s">
        <v>1259</v>
      </c>
      <c r="R1515" s="569">
        <v>6</v>
      </c>
      <c r="S1515" s="569" t="s">
        <v>2777</v>
      </c>
      <c r="T1515" s="569" t="s">
        <v>434</v>
      </c>
      <c r="U1515" s="569">
        <v>147.6</v>
      </c>
      <c r="V1515" s="569">
        <v>25</v>
      </c>
      <c r="W1515" s="620">
        <v>9000</v>
      </c>
      <c r="X1515" s="621">
        <v>12</v>
      </c>
      <c r="Y1515" s="621" t="s">
        <v>178</v>
      </c>
      <c r="Z1515" s="621" t="s">
        <v>178</v>
      </c>
      <c r="AA1515" s="622">
        <v>44275</v>
      </c>
      <c r="AB1515" s="622" t="s">
        <v>164</v>
      </c>
      <c r="AC1515" s="622">
        <v>33097</v>
      </c>
      <c r="AD1515" s="623">
        <v>0.05</v>
      </c>
      <c r="AE1515" s="621" t="s">
        <v>2899</v>
      </c>
    </row>
    <row r="1516" spans="1:31" s="572" customFormat="1">
      <c r="A1516" s="570" t="s">
        <v>2954</v>
      </c>
      <c r="B1516" s="573" t="s">
        <v>287</v>
      </c>
      <c r="C1516" s="578">
        <v>26</v>
      </c>
      <c r="D1516" s="573" t="s">
        <v>1516</v>
      </c>
      <c r="E1516" s="573" t="s">
        <v>1607</v>
      </c>
      <c r="F1516" s="573" t="s">
        <v>271</v>
      </c>
      <c r="G1516" s="573">
        <v>2019</v>
      </c>
      <c r="H1516" s="573" t="s">
        <v>2769</v>
      </c>
      <c r="I1516" s="573" t="s">
        <v>2106</v>
      </c>
      <c r="J1516" s="573" t="s">
        <v>236</v>
      </c>
      <c r="K1516" s="573">
        <v>12</v>
      </c>
      <c r="L1516" s="573">
        <v>0</v>
      </c>
      <c r="M1516" s="573" t="s">
        <v>157</v>
      </c>
      <c r="N1516" s="573">
        <v>4</v>
      </c>
      <c r="O1516" s="573">
        <v>108.6</v>
      </c>
      <c r="P1516" s="571" t="s">
        <v>157</v>
      </c>
      <c r="Q1516" s="573" t="s">
        <v>1917</v>
      </c>
      <c r="R1516" s="573">
        <v>5</v>
      </c>
      <c r="S1516" s="582" t="s">
        <v>2770</v>
      </c>
      <c r="T1516" s="573" t="s">
        <v>2107</v>
      </c>
      <c r="U1516" s="573">
        <v>147.6</v>
      </c>
      <c r="V1516" s="573">
        <v>25</v>
      </c>
      <c r="W1516" s="616">
        <v>9250</v>
      </c>
      <c r="X1516" s="617">
        <v>12</v>
      </c>
      <c r="Y1516" s="617" t="s">
        <v>728</v>
      </c>
      <c r="Z1516" s="617" t="s">
        <v>1523</v>
      </c>
      <c r="AA1516" s="618">
        <v>49305</v>
      </c>
      <c r="AB1516" s="618" t="s">
        <v>164</v>
      </c>
      <c r="AC1516" s="618">
        <v>39892</v>
      </c>
      <c r="AD1516" s="619">
        <v>0.05</v>
      </c>
      <c r="AE1516" s="617" t="s">
        <v>2891</v>
      </c>
    </row>
    <row r="1517" spans="1:31" s="572" customFormat="1">
      <c r="A1517" s="570" t="s">
        <v>2955</v>
      </c>
      <c r="B1517" s="569" t="s">
        <v>287</v>
      </c>
      <c r="C1517" s="580">
        <v>26</v>
      </c>
      <c r="D1517" s="569" t="s">
        <v>1516</v>
      </c>
      <c r="E1517" s="569" t="s">
        <v>1607</v>
      </c>
      <c r="F1517" s="569" t="s">
        <v>271</v>
      </c>
      <c r="G1517" s="569">
        <v>2019</v>
      </c>
      <c r="H1517" s="569" t="s">
        <v>2769</v>
      </c>
      <c r="I1517" s="569" t="s">
        <v>2106</v>
      </c>
      <c r="J1517" s="569" t="s">
        <v>236</v>
      </c>
      <c r="K1517" s="569">
        <v>12</v>
      </c>
      <c r="L1517" s="569">
        <v>0</v>
      </c>
      <c r="M1517" s="569" t="s">
        <v>157</v>
      </c>
      <c r="N1517" s="569">
        <v>4</v>
      </c>
      <c r="O1517" s="569">
        <v>108.6</v>
      </c>
      <c r="P1517" s="568" t="s">
        <v>157</v>
      </c>
      <c r="Q1517" s="569" t="s">
        <v>1259</v>
      </c>
      <c r="R1517" s="569">
        <v>6</v>
      </c>
      <c r="S1517" s="569" t="s">
        <v>2770</v>
      </c>
      <c r="T1517" s="569" t="s">
        <v>2107</v>
      </c>
      <c r="U1517" s="569">
        <v>147.6</v>
      </c>
      <c r="V1517" s="569">
        <v>25</v>
      </c>
      <c r="W1517" s="620">
        <v>9000</v>
      </c>
      <c r="X1517" s="621">
        <v>12</v>
      </c>
      <c r="Y1517" s="621" t="s">
        <v>178</v>
      </c>
      <c r="Z1517" s="621" t="s">
        <v>178</v>
      </c>
      <c r="AA1517" s="622">
        <v>47175</v>
      </c>
      <c r="AB1517" s="622" t="s">
        <v>164</v>
      </c>
      <c r="AC1517" s="622">
        <v>37952</v>
      </c>
      <c r="AD1517" s="623">
        <v>0.05</v>
      </c>
      <c r="AE1517" s="621" t="s">
        <v>2893</v>
      </c>
    </row>
    <row r="1518" spans="1:31" s="572" customFormat="1">
      <c r="A1518" s="570" t="s">
        <v>2956</v>
      </c>
      <c r="B1518" s="573" t="s">
        <v>287</v>
      </c>
      <c r="C1518" s="578">
        <v>26</v>
      </c>
      <c r="D1518" s="573" t="s">
        <v>1516</v>
      </c>
      <c r="E1518" s="573" t="s">
        <v>1607</v>
      </c>
      <c r="F1518" s="573" t="s">
        <v>271</v>
      </c>
      <c r="G1518" s="573">
        <v>2019</v>
      </c>
      <c r="H1518" s="573" t="s">
        <v>2769</v>
      </c>
      <c r="I1518" s="573" t="s">
        <v>2106</v>
      </c>
      <c r="J1518" s="573" t="s">
        <v>236</v>
      </c>
      <c r="K1518" s="573">
        <v>12</v>
      </c>
      <c r="L1518" s="573">
        <v>0</v>
      </c>
      <c r="M1518" s="573" t="s">
        <v>157</v>
      </c>
      <c r="N1518" s="573">
        <v>4</v>
      </c>
      <c r="O1518" s="573">
        <v>108.6</v>
      </c>
      <c r="P1518" s="571" t="s">
        <v>157</v>
      </c>
      <c r="Q1518" s="573" t="s">
        <v>682</v>
      </c>
      <c r="R1518" s="573">
        <v>6</v>
      </c>
      <c r="S1518" s="582" t="s">
        <v>2770</v>
      </c>
      <c r="T1518" s="573" t="s">
        <v>2107</v>
      </c>
      <c r="U1518" s="573">
        <v>147.6</v>
      </c>
      <c r="V1518" s="573">
        <v>25</v>
      </c>
      <c r="W1518" s="616">
        <v>9000</v>
      </c>
      <c r="X1518" s="617">
        <v>12</v>
      </c>
      <c r="Y1518" s="617" t="s">
        <v>178</v>
      </c>
      <c r="Z1518" s="617" t="s">
        <v>178</v>
      </c>
      <c r="AA1518" s="618">
        <v>45310</v>
      </c>
      <c r="AB1518" s="618" t="s">
        <v>164</v>
      </c>
      <c r="AC1518" s="618">
        <v>36254</v>
      </c>
      <c r="AD1518" s="619">
        <v>0.05</v>
      </c>
      <c r="AE1518" s="617" t="s">
        <v>2895</v>
      </c>
    </row>
    <row r="1519" spans="1:31" s="572" customFormat="1">
      <c r="A1519" s="570" t="s">
        <v>2957</v>
      </c>
      <c r="B1519" s="569" t="s">
        <v>287</v>
      </c>
      <c r="C1519" s="580">
        <v>26</v>
      </c>
      <c r="D1519" s="569" t="s">
        <v>1516</v>
      </c>
      <c r="E1519" s="569" t="s">
        <v>1607</v>
      </c>
      <c r="F1519" s="569" t="s">
        <v>271</v>
      </c>
      <c r="G1519" s="569">
        <v>2019</v>
      </c>
      <c r="H1519" s="569" t="s">
        <v>2769</v>
      </c>
      <c r="I1519" s="569" t="s">
        <v>2106</v>
      </c>
      <c r="J1519" s="569" t="s">
        <v>236</v>
      </c>
      <c r="K1519" s="569">
        <v>12</v>
      </c>
      <c r="L1519" s="569">
        <v>0</v>
      </c>
      <c r="M1519" s="569" t="s">
        <v>157</v>
      </c>
      <c r="N1519" s="569">
        <v>4</v>
      </c>
      <c r="O1519" s="569">
        <v>82.4</v>
      </c>
      <c r="P1519" s="568" t="s">
        <v>157</v>
      </c>
      <c r="Q1519" s="569" t="s">
        <v>682</v>
      </c>
      <c r="R1519" s="569">
        <v>6</v>
      </c>
      <c r="S1519" s="569" t="s">
        <v>2777</v>
      </c>
      <c r="T1519" s="569" t="s">
        <v>2107</v>
      </c>
      <c r="U1519" s="569">
        <v>147.6</v>
      </c>
      <c r="V1519" s="569">
        <v>25</v>
      </c>
      <c r="W1519" s="620">
        <v>9000</v>
      </c>
      <c r="X1519" s="621">
        <v>12</v>
      </c>
      <c r="Y1519" s="621" t="s">
        <v>178</v>
      </c>
      <c r="Z1519" s="621" t="s">
        <v>178</v>
      </c>
      <c r="AA1519" s="622">
        <v>42410</v>
      </c>
      <c r="AB1519" s="622" t="s">
        <v>164</v>
      </c>
      <c r="AC1519" s="622">
        <v>31399</v>
      </c>
      <c r="AD1519" s="623">
        <v>0.05</v>
      </c>
      <c r="AE1519" s="621" t="s">
        <v>2901</v>
      </c>
    </row>
    <row r="1520" spans="1:31" s="572" customFormat="1">
      <c r="A1520" s="570" t="s">
        <v>2958</v>
      </c>
      <c r="B1520" s="573" t="s">
        <v>287</v>
      </c>
      <c r="C1520" s="578">
        <v>26</v>
      </c>
      <c r="D1520" s="573" t="s">
        <v>1516</v>
      </c>
      <c r="E1520" s="573" t="s">
        <v>1607</v>
      </c>
      <c r="F1520" s="573" t="s">
        <v>271</v>
      </c>
      <c r="G1520" s="573">
        <v>2019</v>
      </c>
      <c r="H1520" s="573" t="s">
        <v>2769</v>
      </c>
      <c r="I1520" s="573" t="s">
        <v>2106</v>
      </c>
      <c r="J1520" s="573" t="s">
        <v>236</v>
      </c>
      <c r="K1520" s="573">
        <v>12</v>
      </c>
      <c r="L1520" s="573">
        <v>0</v>
      </c>
      <c r="M1520" s="573" t="s">
        <v>157</v>
      </c>
      <c r="N1520" s="573">
        <v>4</v>
      </c>
      <c r="O1520" s="573">
        <v>99.2</v>
      </c>
      <c r="P1520" s="571" t="s">
        <v>157</v>
      </c>
      <c r="Q1520" s="573" t="s">
        <v>1917</v>
      </c>
      <c r="R1520" s="573">
        <v>5</v>
      </c>
      <c r="S1520" s="582" t="s">
        <v>2617</v>
      </c>
      <c r="T1520" s="573" t="s">
        <v>2107</v>
      </c>
      <c r="U1520" s="573">
        <v>147.6</v>
      </c>
      <c r="V1520" s="573">
        <v>25</v>
      </c>
      <c r="W1520" s="616">
        <v>9250</v>
      </c>
      <c r="X1520" s="617">
        <v>12</v>
      </c>
      <c r="Y1520" s="617" t="s">
        <v>728</v>
      </c>
      <c r="Z1520" s="617" t="s">
        <v>1523</v>
      </c>
      <c r="AA1520" s="618">
        <v>47885</v>
      </c>
      <c r="AB1520" s="618" t="s">
        <v>164</v>
      </c>
      <c r="AC1520" s="618">
        <v>38534</v>
      </c>
      <c r="AD1520" s="619">
        <v>0.05</v>
      </c>
      <c r="AE1520" s="617" t="s">
        <v>2903</v>
      </c>
    </row>
    <row r="1521" spans="1:31" s="572" customFormat="1">
      <c r="A1521" s="570" t="s">
        <v>2959</v>
      </c>
      <c r="B1521" s="569" t="s">
        <v>287</v>
      </c>
      <c r="C1521" s="580">
        <v>26</v>
      </c>
      <c r="D1521" s="569" t="s">
        <v>1516</v>
      </c>
      <c r="E1521" s="569" t="s">
        <v>1607</v>
      </c>
      <c r="F1521" s="569" t="s">
        <v>271</v>
      </c>
      <c r="G1521" s="569">
        <v>2019</v>
      </c>
      <c r="H1521" s="569" t="s">
        <v>2769</v>
      </c>
      <c r="I1521" s="569" t="s">
        <v>2106</v>
      </c>
      <c r="J1521" s="569" t="s">
        <v>236</v>
      </c>
      <c r="K1521" s="569">
        <v>12</v>
      </c>
      <c r="L1521" s="569">
        <v>0</v>
      </c>
      <c r="M1521" s="569" t="s">
        <v>157</v>
      </c>
      <c r="N1521" s="569">
        <v>4</v>
      </c>
      <c r="O1521" s="569">
        <v>99.2</v>
      </c>
      <c r="P1521" s="568" t="s">
        <v>157</v>
      </c>
      <c r="Q1521" s="569" t="s">
        <v>1259</v>
      </c>
      <c r="R1521" s="569">
        <v>6</v>
      </c>
      <c r="S1521" s="569" t="s">
        <v>2617</v>
      </c>
      <c r="T1521" s="569" t="s">
        <v>2107</v>
      </c>
      <c r="U1521" s="569">
        <v>147.6</v>
      </c>
      <c r="V1521" s="569">
        <v>25</v>
      </c>
      <c r="W1521" s="620">
        <v>9000</v>
      </c>
      <c r="X1521" s="621">
        <v>12</v>
      </c>
      <c r="Y1521" s="621" t="s">
        <v>178</v>
      </c>
      <c r="Z1521" s="621" t="s">
        <v>178</v>
      </c>
      <c r="AA1521" s="622">
        <v>45725</v>
      </c>
      <c r="AB1521" s="622" t="s">
        <v>164</v>
      </c>
      <c r="AC1521" s="622">
        <v>36594</v>
      </c>
      <c r="AD1521" s="623">
        <v>0.05</v>
      </c>
      <c r="AE1521" s="621" t="s">
        <v>2905</v>
      </c>
    </row>
    <row r="1522" spans="1:31" s="572" customFormat="1">
      <c r="A1522" s="570" t="s">
        <v>2960</v>
      </c>
      <c r="B1522" s="573" t="s">
        <v>287</v>
      </c>
      <c r="C1522" s="578">
        <v>26</v>
      </c>
      <c r="D1522" s="573" t="s">
        <v>1516</v>
      </c>
      <c r="E1522" s="573" t="s">
        <v>1607</v>
      </c>
      <c r="F1522" s="573" t="s">
        <v>271</v>
      </c>
      <c r="G1522" s="573">
        <v>2019</v>
      </c>
      <c r="H1522" s="573" t="s">
        <v>2769</v>
      </c>
      <c r="I1522" s="573" t="s">
        <v>2106</v>
      </c>
      <c r="J1522" s="573" t="s">
        <v>236</v>
      </c>
      <c r="K1522" s="573">
        <v>12</v>
      </c>
      <c r="L1522" s="573">
        <v>0</v>
      </c>
      <c r="M1522" s="573" t="s">
        <v>157</v>
      </c>
      <c r="N1522" s="573">
        <v>4</v>
      </c>
      <c r="O1522" s="573">
        <v>99.2</v>
      </c>
      <c r="P1522" s="571" t="s">
        <v>157</v>
      </c>
      <c r="Q1522" s="573" t="s">
        <v>682</v>
      </c>
      <c r="R1522" s="573">
        <v>6</v>
      </c>
      <c r="S1522" s="582" t="s">
        <v>2617</v>
      </c>
      <c r="T1522" s="573" t="s">
        <v>2107</v>
      </c>
      <c r="U1522" s="573">
        <v>147.6</v>
      </c>
      <c r="V1522" s="573">
        <v>25</v>
      </c>
      <c r="W1522" s="616">
        <v>9000</v>
      </c>
      <c r="X1522" s="617">
        <v>12</v>
      </c>
      <c r="Y1522" s="617" t="s">
        <v>178</v>
      </c>
      <c r="Z1522" s="617" t="s">
        <v>178</v>
      </c>
      <c r="AA1522" s="618">
        <v>43860</v>
      </c>
      <c r="AB1522" s="618" t="s">
        <v>164</v>
      </c>
      <c r="AC1522" s="618">
        <v>34896</v>
      </c>
      <c r="AD1522" s="619">
        <v>0.05</v>
      </c>
      <c r="AE1522" s="617" t="s">
        <v>2907</v>
      </c>
    </row>
    <row r="1523" spans="1:31" s="572" customFormat="1">
      <c r="A1523" s="570" t="s">
        <v>2961</v>
      </c>
      <c r="B1523" s="569" t="s">
        <v>287</v>
      </c>
      <c r="C1523" s="580">
        <v>26</v>
      </c>
      <c r="D1523" s="569" t="s">
        <v>1516</v>
      </c>
      <c r="E1523" s="569" t="s">
        <v>1607</v>
      </c>
      <c r="F1523" s="569" t="s">
        <v>271</v>
      </c>
      <c r="G1523" s="569">
        <v>2019</v>
      </c>
      <c r="H1523" s="569" t="s">
        <v>2769</v>
      </c>
      <c r="I1523" s="569" t="s">
        <v>2106</v>
      </c>
      <c r="J1523" s="569" t="s">
        <v>236</v>
      </c>
      <c r="K1523" s="569">
        <v>15</v>
      </c>
      <c r="L1523" s="569">
        <v>0</v>
      </c>
      <c r="M1523" s="569" t="s">
        <v>157</v>
      </c>
      <c r="N1523" s="569">
        <v>5</v>
      </c>
      <c r="O1523" s="569">
        <v>107.7</v>
      </c>
      <c r="P1523" s="568" t="s">
        <v>157</v>
      </c>
      <c r="Q1523" s="569" t="s">
        <v>1917</v>
      </c>
      <c r="R1523" s="569">
        <v>5</v>
      </c>
      <c r="S1523" s="569" t="s">
        <v>2599</v>
      </c>
      <c r="T1523" s="569" t="s">
        <v>2107</v>
      </c>
      <c r="U1523" s="569">
        <v>147.6</v>
      </c>
      <c r="V1523" s="569">
        <v>25</v>
      </c>
      <c r="W1523" s="620">
        <v>10360</v>
      </c>
      <c r="X1523" s="621">
        <v>12</v>
      </c>
      <c r="Y1523" s="621" t="s">
        <v>728</v>
      </c>
      <c r="Z1523" s="621" t="s">
        <v>1523</v>
      </c>
      <c r="AA1523" s="622">
        <v>50455</v>
      </c>
      <c r="AB1523" s="622" t="s">
        <v>164</v>
      </c>
      <c r="AC1523" s="622">
        <v>40972</v>
      </c>
      <c r="AD1523" s="623">
        <v>0.05</v>
      </c>
      <c r="AE1523" s="621" t="s">
        <v>2909</v>
      </c>
    </row>
    <row r="1524" spans="1:31" s="572" customFormat="1">
      <c r="A1524" s="570" t="s">
        <v>2962</v>
      </c>
      <c r="B1524" s="573" t="s">
        <v>287</v>
      </c>
      <c r="C1524" s="578">
        <v>26</v>
      </c>
      <c r="D1524" s="573" t="s">
        <v>1516</v>
      </c>
      <c r="E1524" s="573" t="s">
        <v>1607</v>
      </c>
      <c r="F1524" s="573" t="s">
        <v>271</v>
      </c>
      <c r="G1524" s="573">
        <v>2019</v>
      </c>
      <c r="H1524" s="573" t="s">
        <v>2769</v>
      </c>
      <c r="I1524" s="573" t="s">
        <v>2106</v>
      </c>
      <c r="J1524" s="573" t="s">
        <v>236</v>
      </c>
      <c r="K1524" s="573">
        <v>15</v>
      </c>
      <c r="L1524" s="573">
        <v>0</v>
      </c>
      <c r="M1524" s="573" t="s">
        <v>157</v>
      </c>
      <c r="N1524" s="573">
        <v>5</v>
      </c>
      <c r="O1524" s="573">
        <v>107.7</v>
      </c>
      <c r="P1524" s="571" t="s">
        <v>157</v>
      </c>
      <c r="Q1524" s="573" t="s">
        <v>1259</v>
      </c>
      <c r="R1524" s="573">
        <v>6</v>
      </c>
      <c r="S1524" s="582" t="s">
        <v>2599</v>
      </c>
      <c r="T1524" s="573" t="s">
        <v>2107</v>
      </c>
      <c r="U1524" s="573">
        <v>147.6</v>
      </c>
      <c r="V1524" s="573">
        <v>25</v>
      </c>
      <c r="W1524" s="616">
        <v>10360</v>
      </c>
      <c r="X1524" s="617" t="s">
        <v>157</v>
      </c>
      <c r="Y1524" s="617" t="s">
        <v>178</v>
      </c>
      <c r="Z1524" s="617" t="s">
        <v>178</v>
      </c>
      <c r="AA1524" s="618">
        <v>48325</v>
      </c>
      <c r="AB1524" s="618" t="s">
        <v>164</v>
      </c>
      <c r="AC1524" s="618">
        <v>39032</v>
      </c>
      <c r="AD1524" s="619">
        <v>0.05</v>
      </c>
      <c r="AE1524" s="617" t="s">
        <v>2911</v>
      </c>
    </row>
    <row r="1525" spans="1:31" s="572" customFormat="1">
      <c r="A1525" s="570" t="s">
        <v>2963</v>
      </c>
      <c r="B1525" s="569" t="s">
        <v>287</v>
      </c>
      <c r="C1525" s="580">
        <v>26</v>
      </c>
      <c r="D1525" s="569" t="s">
        <v>1516</v>
      </c>
      <c r="E1525" s="569" t="s">
        <v>1607</v>
      </c>
      <c r="F1525" s="569" t="s">
        <v>271</v>
      </c>
      <c r="G1525" s="569">
        <v>2019</v>
      </c>
      <c r="H1525" s="569" t="s">
        <v>2769</v>
      </c>
      <c r="I1525" s="569" t="s">
        <v>2106</v>
      </c>
      <c r="J1525" s="569" t="s">
        <v>236</v>
      </c>
      <c r="K1525" s="569">
        <v>15</v>
      </c>
      <c r="L1525" s="569">
        <v>0</v>
      </c>
      <c r="M1525" s="569" t="s">
        <v>157</v>
      </c>
      <c r="N1525" s="569">
        <v>5</v>
      </c>
      <c r="O1525" s="569">
        <v>107.7</v>
      </c>
      <c r="P1525" s="568" t="s">
        <v>157</v>
      </c>
      <c r="Q1525" s="569" t="s">
        <v>682</v>
      </c>
      <c r="R1525" s="569">
        <v>6</v>
      </c>
      <c r="S1525" s="569" t="s">
        <v>2599</v>
      </c>
      <c r="T1525" s="569" t="s">
        <v>2107</v>
      </c>
      <c r="U1525" s="569">
        <v>147.6</v>
      </c>
      <c r="V1525" s="569">
        <v>25</v>
      </c>
      <c r="W1525" s="620">
        <v>10360</v>
      </c>
      <c r="X1525" s="621" t="s">
        <v>157</v>
      </c>
      <c r="Y1525" s="621" t="s">
        <v>178</v>
      </c>
      <c r="Z1525" s="621" t="s">
        <v>178</v>
      </c>
      <c r="AA1525" s="622">
        <v>46460</v>
      </c>
      <c r="AB1525" s="622" t="s">
        <v>164</v>
      </c>
      <c r="AC1525" s="622">
        <v>37334</v>
      </c>
      <c r="AD1525" s="623">
        <v>0.05</v>
      </c>
      <c r="AE1525" s="621" t="s">
        <v>2913</v>
      </c>
    </row>
    <row r="1526" spans="1:31" s="572" customFormat="1">
      <c r="A1526" s="570" t="s">
        <v>2964</v>
      </c>
      <c r="B1526" s="573" t="s">
        <v>280</v>
      </c>
      <c r="C1526" s="578">
        <v>27</v>
      </c>
      <c r="D1526" s="573" t="s">
        <v>1516</v>
      </c>
      <c r="E1526" s="573" t="s">
        <v>1607</v>
      </c>
      <c r="F1526" s="573" t="s">
        <v>271</v>
      </c>
      <c r="G1526" s="573">
        <v>2019</v>
      </c>
      <c r="H1526" s="573" t="s">
        <v>2769</v>
      </c>
      <c r="I1526" s="573" t="s">
        <v>2106</v>
      </c>
      <c r="J1526" s="573" t="s">
        <v>236</v>
      </c>
      <c r="K1526" s="573">
        <v>12</v>
      </c>
      <c r="L1526" s="573">
        <v>0</v>
      </c>
      <c r="M1526" s="573" t="s">
        <v>157</v>
      </c>
      <c r="N1526" s="573">
        <v>4</v>
      </c>
      <c r="O1526" s="573">
        <v>108.6</v>
      </c>
      <c r="P1526" s="571" t="s">
        <v>157</v>
      </c>
      <c r="Q1526" s="573" t="s">
        <v>1917</v>
      </c>
      <c r="R1526" s="573">
        <v>5</v>
      </c>
      <c r="S1526" s="582" t="s">
        <v>2770</v>
      </c>
      <c r="T1526" s="573" t="s">
        <v>2107</v>
      </c>
      <c r="U1526" s="573">
        <v>147.6</v>
      </c>
      <c r="V1526" s="573">
        <v>25</v>
      </c>
      <c r="W1526" s="616">
        <v>9250</v>
      </c>
      <c r="X1526" s="617">
        <v>12</v>
      </c>
      <c r="Y1526" s="617" t="s">
        <v>728</v>
      </c>
      <c r="Z1526" s="617" t="s">
        <v>1523</v>
      </c>
      <c r="AA1526" s="618">
        <v>49305</v>
      </c>
      <c r="AB1526" s="618" t="s">
        <v>164</v>
      </c>
      <c r="AC1526" s="618">
        <v>38807.541666666664</v>
      </c>
      <c r="AD1526" s="619">
        <v>0.03</v>
      </c>
      <c r="AE1526" s="617" t="s">
        <v>2891</v>
      </c>
    </row>
    <row r="1527" spans="1:31" s="572" customFormat="1">
      <c r="A1527" s="570" t="s">
        <v>2965</v>
      </c>
      <c r="B1527" s="569" t="s">
        <v>280</v>
      </c>
      <c r="C1527" s="580">
        <v>27</v>
      </c>
      <c r="D1527" s="569" t="s">
        <v>1516</v>
      </c>
      <c r="E1527" s="569" t="s">
        <v>1607</v>
      </c>
      <c r="F1527" s="569" t="s">
        <v>271</v>
      </c>
      <c r="G1527" s="569">
        <v>2019</v>
      </c>
      <c r="H1527" s="569" t="s">
        <v>2769</v>
      </c>
      <c r="I1527" s="569" t="s">
        <v>2106</v>
      </c>
      <c r="J1527" s="569" t="s">
        <v>236</v>
      </c>
      <c r="K1527" s="569">
        <v>12</v>
      </c>
      <c r="L1527" s="569">
        <v>0</v>
      </c>
      <c r="M1527" s="569" t="s">
        <v>157</v>
      </c>
      <c r="N1527" s="569">
        <v>4</v>
      </c>
      <c r="O1527" s="569">
        <v>108.6</v>
      </c>
      <c r="P1527" s="568" t="s">
        <v>157</v>
      </c>
      <c r="Q1527" s="569" t="s">
        <v>1259</v>
      </c>
      <c r="R1527" s="569">
        <v>6</v>
      </c>
      <c r="S1527" s="569" t="s">
        <v>2770</v>
      </c>
      <c r="T1527" s="569" t="s">
        <v>2107</v>
      </c>
      <c r="U1527" s="569">
        <v>147.6</v>
      </c>
      <c r="V1527" s="569">
        <v>25</v>
      </c>
      <c r="W1527" s="620">
        <v>9000</v>
      </c>
      <c r="X1527" s="621">
        <v>12</v>
      </c>
      <c r="Y1527" s="621" t="s">
        <v>178</v>
      </c>
      <c r="Z1527" s="621" t="s">
        <v>178</v>
      </c>
      <c r="AA1527" s="622">
        <v>47175</v>
      </c>
      <c r="AB1527" s="622" t="s">
        <v>164</v>
      </c>
      <c r="AC1527" s="622">
        <v>36914.25</v>
      </c>
      <c r="AD1527" s="623">
        <v>0.03</v>
      </c>
      <c r="AE1527" s="621" t="s">
        <v>2893</v>
      </c>
    </row>
    <row r="1528" spans="1:31" s="572" customFormat="1">
      <c r="A1528" s="570" t="s">
        <v>2966</v>
      </c>
      <c r="B1528" s="573" t="s">
        <v>280</v>
      </c>
      <c r="C1528" s="578">
        <v>27</v>
      </c>
      <c r="D1528" s="573" t="s">
        <v>1516</v>
      </c>
      <c r="E1528" s="573" t="s">
        <v>1607</v>
      </c>
      <c r="F1528" s="573" t="s">
        <v>271</v>
      </c>
      <c r="G1528" s="573">
        <v>2019</v>
      </c>
      <c r="H1528" s="573" t="s">
        <v>2769</v>
      </c>
      <c r="I1528" s="573" t="s">
        <v>2106</v>
      </c>
      <c r="J1528" s="573" t="s">
        <v>236</v>
      </c>
      <c r="K1528" s="573">
        <v>12</v>
      </c>
      <c r="L1528" s="573">
        <v>0</v>
      </c>
      <c r="M1528" s="573" t="s">
        <v>157</v>
      </c>
      <c r="N1528" s="573">
        <v>4</v>
      </c>
      <c r="O1528" s="573">
        <v>108.6</v>
      </c>
      <c r="P1528" s="571" t="s">
        <v>157</v>
      </c>
      <c r="Q1528" s="573" t="s">
        <v>682</v>
      </c>
      <c r="R1528" s="573">
        <v>6</v>
      </c>
      <c r="S1528" s="582" t="s">
        <v>2770</v>
      </c>
      <c r="T1528" s="573" t="s">
        <v>2107</v>
      </c>
      <c r="U1528" s="573">
        <v>147.6</v>
      </c>
      <c r="V1528" s="573">
        <v>25</v>
      </c>
      <c r="W1528" s="616">
        <v>9000</v>
      </c>
      <c r="X1528" s="617">
        <v>12</v>
      </c>
      <c r="Y1528" s="617" t="s">
        <v>178</v>
      </c>
      <c r="Z1528" s="617" t="s">
        <v>178</v>
      </c>
      <c r="AA1528" s="618">
        <v>45310</v>
      </c>
      <c r="AB1528" s="618" t="s">
        <v>164</v>
      </c>
      <c r="AC1528" s="618">
        <v>35258</v>
      </c>
      <c r="AD1528" s="619">
        <v>0.03</v>
      </c>
      <c r="AE1528" s="617" t="s">
        <v>2895</v>
      </c>
    </row>
    <row r="1529" spans="1:31" s="572" customFormat="1">
      <c r="A1529" s="570" t="s">
        <v>2967</v>
      </c>
      <c r="B1529" s="569" t="s">
        <v>280</v>
      </c>
      <c r="C1529" s="580">
        <v>27</v>
      </c>
      <c r="D1529" s="569" t="s">
        <v>1516</v>
      </c>
      <c r="E1529" s="569" t="s">
        <v>1607</v>
      </c>
      <c r="F1529" s="569" t="s">
        <v>271</v>
      </c>
      <c r="G1529" s="569">
        <v>2019</v>
      </c>
      <c r="H1529" s="569" t="s">
        <v>2769</v>
      </c>
      <c r="I1529" s="569" t="s">
        <v>2106</v>
      </c>
      <c r="J1529" s="569" t="s">
        <v>236</v>
      </c>
      <c r="K1529" s="569">
        <v>12</v>
      </c>
      <c r="L1529" s="569">
        <v>0</v>
      </c>
      <c r="M1529" s="569" t="s">
        <v>157</v>
      </c>
      <c r="N1529" s="569">
        <v>4</v>
      </c>
      <c r="O1529" s="569">
        <v>82.4</v>
      </c>
      <c r="P1529" s="568" t="s">
        <v>157</v>
      </c>
      <c r="Q1529" s="569" t="s">
        <v>1917</v>
      </c>
      <c r="R1529" s="569">
        <v>5</v>
      </c>
      <c r="S1529" s="569" t="s">
        <v>2777</v>
      </c>
      <c r="T1529" s="569" t="s">
        <v>2107</v>
      </c>
      <c r="U1529" s="569">
        <v>147.6</v>
      </c>
      <c r="V1529" s="569">
        <v>25</v>
      </c>
      <c r="W1529" s="620">
        <v>9250</v>
      </c>
      <c r="X1529" s="621">
        <v>12</v>
      </c>
      <c r="Y1529" s="621" t="s">
        <v>728</v>
      </c>
      <c r="Z1529" s="621" t="s">
        <v>1523</v>
      </c>
      <c r="AA1529" s="622">
        <v>46405</v>
      </c>
      <c r="AB1529" s="622" t="s">
        <v>164</v>
      </c>
      <c r="AC1529" s="622">
        <v>34074.208333333336</v>
      </c>
      <c r="AD1529" s="623">
        <v>0.03</v>
      </c>
      <c r="AE1529" s="621" t="s">
        <v>2897</v>
      </c>
    </row>
    <row r="1530" spans="1:31" s="572" customFormat="1">
      <c r="A1530" s="570" t="s">
        <v>2968</v>
      </c>
      <c r="B1530" s="573" t="s">
        <v>280</v>
      </c>
      <c r="C1530" s="578">
        <v>27</v>
      </c>
      <c r="D1530" s="573" t="s">
        <v>1516</v>
      </c>
      <c r="E1530" s="573" t="s">
        <v>1607</v>
      </c>
      <c r="F1530" s="573" t="s">
        <v>271</v>
      </c>
      <c r="G1530" s="573">
        <v>2019</v>
      </c>
      <c r="H1530" s="573" t="s">
        <v>2769</v>
      </c>
      <c r="I1530" s="573" t="s">
        <v>2106</v>
      </c>
      <c r="J1530" s="573" t="s">
        <v>236</v>
      </c>
      <c r="K1530" s="573">
        <v>12</v>
      </c>
      <c r="L1530" s="573">
        <v>0</v>
      </c>
      <c r="M1530" s="573" t="s">
        <v>157</v>
      </c>
      <c r="N1530" s="573">
        <v>4</v>
      </c>
      <c r="O1530" s="573">
        <v>82.4</v>
      </c>
      <c r="P1530" s="571" t="s">
        <v>157</v>
      </c>
      <c r="Q1530" s="573" t="s">
        <v>1259</v>
      </c>
      <c r="R1530" s="573">
        <v>6</v>
      </c>
      <c r="S1530" s="582" t="s">
        <v>2777</v>
      </c>
      <c r="T1530" s="573" t="s">
        <v>434</v>
      </c>
      <c r="U1530" s="573">
        <v>147.6</v>
      </c>
      <c r="V1530" s="573">
        <v>25</v>
      </c>
      <c r="W1530" s="616">
        <v>9000</v>
      </c>
      <c r="X1530" s="617">
        <v>12</v>
      </c>
      <c r="Y1530" s="617" t="s">
        <v>178</v>
      </c>
      <c r="Z1530" s="617" t="s">
        <v>178</v>
      </c>
      <c r="AA1530" s="618">
        <v>44275</v>
      </c>
      <c r="AB1530" s="618" t="s">
        <v>164</v>
      </c>
      <c r="AC1530" s="618">
        <v>32180.916666666668</v>
      </c>
      <c r="AD1530" s="619">
        <v>0.03</v>
      </c>
      <c r="AE1530" s="617" t="s">
        <v>2899</v>
      </c>
    </row>
    <row r="1531" spans="1:31" s="572" customFormat="1">
      <c r="A1531" s="570" t="s">
        <v>2969</v>
      </c>
      <c r="B1531" s="569" t="s">
        <v>280</v>
      </c>
      <c r="C1531" s="580">
        <v>27</v>
      </c>
      <c r="D1531" s="569" t="s">
        <v>1516</v>
      </c>
      <c r="E1531" s="569" t="s">
        <v>1607</v>
      </c>
      <c r="F1531" s="569" t="s">
        <v>271</v>
      </c>
      <c r="G1531" s="569">
        <v>2019</v>
      </c>
      <c r="H1531" s="569" t="s">
        <v>2769</v>
      </c>
      <c r="I1531" s="569" t="s">
        <v>2106</v>
      </c>
      <c r="J1531" s="569" t="s">
        <v>236</v>
      </c>
      <c r="K1531" s="569">
        <v>12</v>
      </c>
      <c r="L1531" s="569">
        <v>0</v>
      </c>
      <c r="M1531" s="569" t="s">
        <v>157</v>
      </c>
      <c r="N1531" s="569">
        <v>4</v>
      </c>
      <c r="O1531" s="569">
        <v>82.4</v>
      </c>
      <c r="P1531" s="568" t="s">
        <v>157</v>
      </c>
      <c r="Q1531" s="569" t="s">
        <v>682</v>
      </c>
      <c r="R1531" s="569">
        <v>6</v>
      </c>
      <c r="S1531" s="569" t="s">
        <v>2777</v>
      </c>
      <c r="T1531" s="569" t="s">
        <v>2107</v>
      </c>
      <c r="U1531" s="569">
        <v>147.6</v>
      </c>
      <c r="V1531" s="569">
        <v>25</v>
      </c>
      <c r="W1531" s="620">
        <v>9000</v>
      </c>
      <c r="X1531" s="621">
        <v>12</v>
      </c>
      <c r="Y1531" s="621" t="s">
        <v>178</v>
      </c>
      <c r="Z1531" s="621" t="s">
        <v>178</v>
      </c>
      <c r="AA1531" s="622">
        <v>42410</v>
      </c>
      <c r="AB1531" s="622" t="s">
        <v>164</v>
      </c>
      <c r="AC1531" s="622">
        <v>30524.666666666668</v>
      </c>
      <c r="AD1531" s="623">
        <v>0.03</v>
      </c>
      <c r="AE1531" s="621" t="s">
        <v>2901</v>
      </c>
    </row>
    <row r="1532" spans="1:31" s="572" customFormat="1">
      <c r="A1532" s="570" t="s">
        <v>2970</v>
      </c>
      <c r="B1532" s="573" t="s">
        <v>280</v>
      </c>
      <c r="C1532" s="578">
        <v>27</v>
      </c>
      <c r="D1532" s="573" t="s">
        <v>1516</v>
      </c>
      <c r="E1532" s="573" t="s">
        <v>1607</v>
      </c>
      <c r="F1532" s="573" t="s">
        <v>271</v>
      </c>
      <c r="G1532" s="573">
        <v>2019</v>
      </c>
      <c r="H1532" s="573" t="s">
        <v>2769</v>
      </c>
      <c r="I1532" s="573" t="s">
        <v>2106</v>
      </c>
      <c r="J1532" s="573" t="s">
        <v>236</v>
      </c>
      <c r="K1532" s="573">
        <v>12</v>
      </c>
      <c r="L1532" s="573">
        <v>0</v>
      </c>
      <c r="M1532" s="573" t="s">
        <v>157</v>
      </c>
      <c r="N1532" s="573">
        <v>4</v>
      </c>
      <c r="O1532" s="573">
        <v>99.2</v>
      </c>
      <c r="P1532" s="571" t="s">
        <v>157</v>
      </c>
      <c r="Q1532" s="573" t="s">
        <v>1917</v>
      </c>
      <c r="R1532" s="573">
        <v>5</v>
      </c>
      <c r="S1532" s="582" t="s">
        <v>2617</v>
      </c>
      <c r="T1532" s="573" t="s">
        <v>2107</v>
      </c>
      <c r="U1532" s="573">
        <v>147.6</v>
      </c>
      <c r="V1532" s="573">
        <v>25</v>
      </c>
      <c r="W1532" s="616">
        <v>9250</v>
      </c>
      <c r="X1532" s="617">
        <v>12</v>
      </c>
      <c r="Y1532" s="617" t="s">
        <v>728</v>
      </c>
      <c r="Z1532" s="617" t="s">
        <v>1523</v>
      </c>
      <c r="AA1532" s="618">
        <v>47855</v>
      </c>
      <c r="AB1532" s="618" t="s">
        <v>164</v>
      </c>
      <c r="AC1532" s="618">
        <v>37482.541666666664</v>
      </c>
      <c r="AD1532" s="619">
        <v>0.03</v>
      </c>
      <c r="AE1532" s="617" t="s">
        <v>2903</v>
      </c>
    </row>
    <row r="1533" spans="1:31" s="572" customFormat="1">
      <c r="A1533" s="570" t="s">
        <v>2971</v>
      </c>
      <c r="B1533" s="569" t="s">
        <v>280</v>
      </c>
      <c r="C1533" s="580">
        <v>27</v>
      </c>
      <c r="D1533" s="569" t="s">
        <v>1516</v>
      </c>
      <c r="E1533" s="569" t="s">
        <v>1607</v>
      </c>
      <c r="F1533" s="569" t="s">
        <v>271</v>
      </c>
      <c r="G1533" s="569">
        <v>2019</v>
      </c>
      <c r="H1533" s="569" t="s">
        <v>2769</v>
      </c>
      <c r="I1533" s="569" t="s">
        <v>2106</v>
      </c>
      <c r="J1533" s="569" t="s">
        <v>236</v>
      </c>
      <c r="K1533" s="569">
        <v>12</v>
      </c>
      <c r="L1533" s="569">
        <v>0</v>
      </c>
      <c r="M1533" s="569" t="s">
        <v>157</v>
      </c>
      <c r="N1533" s="569">
        <v>4</v>
      </c>
      <c r="O1533" s="569">
        <v>99.2</v>
      </c>
      <c r="P1533" s="568" t="s">
        <v>157</v>
      </c>
      <c r="Q1533" s="569" t="s">
        <v>1259</v>
      </c>
      <c r="R1533" s="569">
        <v>6</v>
      </c>
      <c r="S1533" s="569" t="s">
        <v>2617</v>
      </c>
      <c r="T1533" s="569" t="s">
        <v>2107</v>
      </c>
      <c r="U1533" s="569">
        <v>147.6</v>
      </c>
      <c r="V1533" s="569">
        <v>25</v>
      </c>
      <c r="W1533" s="620">
        <v>9000</v>
      </c>
      <c r="X1533" s="621">
        <v>12</v>
      </c>
      <c r="Y1533" s="621" t="s">
        <v>178</v>
      </c>
      <c r="Z1533" s="621" t="s">
        <v>178</v>
      </c>
      <c r="AA1533" s="622">
        <v>45725</v>
      </c>
      <c r="AB1533" s="622" t="s">
        <v>164</v>
      </c>
      <c r="AC1533" s="622">
        <v>35589.25</v>
      </c>
      <c r="AD1533" s="623">
        <v>0.03</v>
      </c>
      <c r="AE1533" s="621" t="s">
        <v>2905</v>
      </c>
    </row>
    <row r="1534" spans="1:31" s="572" customFormat="1">
      <c r="A1534" s="570" t="s">
        <v>2972</v>
      </c>
      <c r="B1534" s="573" t="s">
        <v>280</v>
      </c>
      <c r="C1534" s="578">
        <v>27</v>
      </c>
      <c r="D1534" s="573" t="s">
        <v>1516</v>
      </c>
      <c r="E1534" s="573" t="s">
        <v>1607</v>
      </c>
      <c r="F1534" s="573" t="s">
        <v>271</v>
      </c>
      <c r="G1534" s="573">
        <v>2019</v>
      </c>
      <c r="H1534" s="573" t="s">
        <v>2769</v>
      </c>
      <c r="I1534" s="573" t="s">
        <v>2106</v>
      </c>
      <c r="J1534" s="573" t="s">
        <v>236</v>
      </c>
      <c r="K1534" s="573">
        <v>12</v>
      </c>
      <c r="L1534" s="573">
        <v>0</v>
      </c>
      <c r="M1534" s="573" t="s">
        <v>157</v>
      </c>
      <c r="N1534" s="573">
        <v>4</v>
      </c>
      <c r="O1534" s="573">
        <v>99.2</v>
      </c>
      <c r="P1534" s="571" t="s">
        <v>157</v>
      </c>
      <c r="Q1534" s="573" t="s">
        <v>682</v>
      </c>
      <c r="R1534" s="573">
        <v>6</v>
      </c>
      <c r="S1534" s="582" t="s">
        <v>2617</v>
      </c>
      <c r="T1534" s="573" t="s">
        <v>2107</v>
      </c>
      <c r="U1534" s="573">
        <v>147.6</v>
      </c>
      <c r="V1534" s="573">
        <v>25</v>
      </c>
      <c r="W1534" s="616">
        <v>9000</v>
      </c>
      <c r="X1534" s="617">
        <v>12</v>
      </c>
      <c r="Y1534" s="617" t="s">
        <v>178</v>
      </c>
      <c r="Z1534" s="617" t="s">
        <v>178</v>
      </c>
      <c r="AA1534" s="618">
        <v>43860</v>
      </c>
      <c r="AB1534" s="618" t="s">
        <v>164</v>
      </c>
      <c r="AC1534" s="618">
        <v>33933</v>
      </c>
      <c r="AD1534" s="619">
        <v>0.03</v>
      </c>
      <c r="AE1534" s="617" t="s">
        <v>2907</v>
      </c>
    </row>
    <row r="1535" spans="1:31" s="572" customFormat="1">
      <c r="A1535" s="570" t="s">
        <v>2973</v>
      </c>
      <c r="B1535" s="569" t="s">
        <v>280</v>
      </c>
      <c r="C1535" s="580">
        <v>27</v>
      </c>
      <c r="D1535" s="569" t="s">
        <v>1516</v>
      </c>
      <c r="E1535" s="569" t="s">
        <v>1607</v>
      </c>
      <c r="F1535" s="569" t="s">
        <v>271</v>
      </c>
      <c r="G1535" s="569">
        <v>2019</v>
      </c>
      <c r="H1535" s="569" t="s">
        <v>2769</v>
      </c>
      <c r="I1535" s="569" t="s">
        <v>2106</v>
      </c>
      <c r="J1535" s="569" t="s">
        <v>236</v>
      </c>
      <c r="K1535" s="569">
        <v>15</v>
      </c>
      <c r="L1535" s="569">
        <v>0</v>
      </c>
      <c r="M1535" s="569" t="s">
        <v>157</v>
      </c>
      <c r="N1535" s="569">
        <v>5</v>
      </c>
      <c r="O1535" s="569">
        <v>107.7</v>
      </c>
      <c r="P1535" s="568" t="s">
        <v>157</v>
      </c>
      <c r="Q1535" s="569" t="s">
        <v>1917</v>
      </c>
      <c r="R1535" s="569">
        <v>5</v>
      </c>
      <c r="S1535" s="569" t="s">
        <v>2599</v>
      </c>
      <c r="T1535" s="569" t="s">
        <v>2107</v>
      </c>
      <c r="U1535" s="569">
        <v>147.6</v>
      </c>
      <c r="V1535" s="569">
        <v>25</v>
      </c>
      <c r="W1535" s="620">
        <v>10360</v>
      </c>
      <c r="X1535" s="621">
        <v>12</v>
      </c>
      <c r="Y1535" s="621" t="s">
        <v>728</v>
      </c>
      <c r="Z1535" s="621" t="s">
        <v>1523</v>
      </c>
      <c r="AA1535" s="622">
        <v>50455</v>
      </c>
      <c r="AB1535" s="622" t="s">
        <v>164</v>
      </c>
      <c r="AC1535" s="622">
        <v>39859.625</v>
      </c>
      <c r="AD1535" s="623">
        <v>0.03</v>
      </c>
      <c r="AE1535" s="621" t="s">
        <v>2909</v>
      </c>
    </row>
    <row r="1536" spans="1:31" s="572" customFormat="1">
      <c r="A1536" s="570" t="s">
        <v>2974</v>
      </c>
      <c r="B1536" s="573" t="s">
        <v>280</v>
      </c>
      <c r="C1536" s="578">
        <v>27</v>
      </c>
      <c r="D1536" s="573" t="s">
        <v>1516</v>
      </c>
      <c r="E1536" s="573" t="s">
        <v>1607</v>
      </c>
      <c r="F1536" s="573" t="s">
        <v>271</v>
      </c>
      <c r="G1536" s="573">
        <v>2019</v>
      </c>
      <c r="H1536" s="573" t="s">
        <v>2769</v>
      </c>
      <c r="I1536" s="573" t="s">
        <v>2106</v>
      </c>
      <c r="J1536" s="573" t="s">
        <v>236</v>
      </c>
      <c r="K1536" s="573">
        <v>15</v>
      </c>
      <c r="L1536" s="573">
        <v>0</v>
      </c>
      <c r="M1536" s="573" t="s">
        <v>157</v>
      </c>
      <c r="N1536" s="573">
        <v>5</v>
      </c>
      <c r="O1536" s="573">
        <v>107.7</v>
      </c>
      <c r="P1536" s="571" t="s">
        <v>157</v>
      </c>
      <c r="Q1536" s="573" t="s">
        <v>1259</v>
      </c>
      <c r="R1536" s="573">
        <v>6</v>
      </c>
      <c r="S1536" s="582" t="s">
        <v>2599</v>
      </c>
      <c r="T1536" s="573" t="s">
        <v>2107</v>
      </c>
      <c r="U1536" s="573">
        <v>147.6</v>
      </c>
      <c r="V1536" s="573">
        <v>25</v>
      </c>
      <c r="W1536" s="616">
        <v>10360</v>
      </c>
      <c r="X1536" s="617" t="s">
        <v>157</v>
      </c>
      <c r="Y1536" s="617" t="s">
        <v>178</v>
      </c>
      <c r="Z1536" s="617" t="s">
        <v>178</v>
      </c>
      <c r="AA1536" s="618">
        <v>48325</v>
      </c>
      <c r="AB1536" s="618" t="s">
        <v>164</v>
      </c>
      <c r="AC1536" s="618">
        <v>37966.333333333336</v>
      </c>
      <c r="AD1536" s="619">
        <v>0.03</v>
      </c>
      <c r="AE1536" s="617" t="s">
        <v>2911</v>
      </c>
    </row>
    <row r="1537" spans="1:31" s="572" customFormat="1">
      <c r="A1537" s="570" t="s">
        <v>2975</v>
      </c>
      <c r="B1537" s="569" t="s">
        <v>280</v>
      </c>
      <c r="C1537" s="580">
        <v>27</v>
      </c>
      <c r="D1537" s="569" t="s">
        <v>1516</v>
      </c>
      <c r="E1537" s="569" t="s">
        <v>1607</v>
      </c>
      <c r="F1537" s="569" t="s">
        <v>271</v>
      </c>
      <c r="G1537" s="569">
        <v>2019</v>
      </c>
      <c r="H1537" s="569" t="s">
        <v>2769</v>
      </c>
      <c r="I1537" s="569" t="s">
        <v>2106</v>
      </c>
      <c r="J1537" s="569" t="s">
        <v>236</v>
      </c>
      <c r="K1537" s="569">
        <v>15</v>
      </c>
      <c r="L1537" s="569">
        <v>0</v>
      </c>
      <c r="M1537" s="569" t="s">
        <v>157</v>
      </c>
      <c r="N1537" s="569">
        <v>5</v>
      </c>
      <c r="O1537" s="569">
        <v>107.7</v>
      </c>
      <c r="P1537" s="568" t="s">
        <v>157</v>
      </c>
      <c r="Q1537" s="569" t="s">
        <v>682</v>
      </c>
      <c r="R1537" s="569">
        <v>6</v>
      </c>
      <c r="S1537" s="569" t="s">
        <v>2599</v>
      </c>
      <c r="T1537" s="569" t="s">
        <v>2107</v>
      </c>
      <c r="U1537" s="569">
        <v>147.6</v>
      </c>
      <c r="V1537" s="569">
        <v>25</v>
      </c>
      <c r="W1537" s="620">
        <v>10360</v>
      </c>
      <c r="X1537" s="621" t="s">
        <v>157</v>
      </c>
      <c r="Y1537" s="621" t="s">
        <v>178</v>
      </c>
      <c r="Z1537" s="621" t="s">
        <v>178</v>
      </c>
      <c r="AA1537" s="622">
        <v>46460</v>
      </c>
      <c r="AB1537" s="622" t="s">
        <v>164</v>
      </c>
      <c r="AC1537" s="622">
        <v>36310.083333333336</v>
      </c>
      <c r="AD1537" s="623">
        <v>0.03</v>
      </c>
      <c r="AE1537" s="621" t="s">
        <v>2913</v>
      </c>
    </row>
    <row r="1538" spans="1:31" s="572" customFormat="1">
      <c r="A1538" s="570" t="s">
        <v>2976</v>
      </c>
      <c r="B1538" s="573" t="s">
        <v>280</v>
      </c>
      <c r="C1538" s="578">
        <v>27</v>
      </c>
      <c r="D1538" s="573" t="s">
        <v>1516</v>
      </c>
      <c r="E1538" s="573" t="s">
        <v>1607</v>
      </c>
      <c r="F1538" s="573" t="s">
        <v>271</v>
      </c>
      <c r="G1538" s="573">
        <v>2019</v>
      </c>
      <c r="H1538" s="573" t="s">
        <v>2769</v>
      </c>
      <c r="I1538" s="573" t="s">
        <v>2106</v>
      </c>
      <c r="J1538" s="573" t="s">
        <v>236</v>
      </c>
      <c r="K1538" s="573">
        <v>15</v>
      </c>
      <c r="L1538" s="573">
        <v>0</v>
      </c>
      <c r="M1538" s="573" t="s">
        <v>157</v>
      </c>
      <c r="N1538" s="573">
        <v>5</v>
      </c>
      <c r="O1538" s="573">
        <v>108.6</v>
      </c>
      <c r="P1538" s="571" t="s">
        <v>157</v>
      </c>
      <c r="Q1538" s="573" t="s">
        <v>1917</v>
      </c>
      <c r="R1538" s="573">
        <v>5</v>
      </c>
      <c r="S1538" s="582" t="s">
        <v>2770</v>
      </c>
      <c r="T1538" s="573" t="s">
        <v>2107</v>
      </c>
      <c r="U1538" s="573">
        <v>147.6</v>
      </c>
      <c r="V1538" s="573">
        <v>25</v>
      </c>
      <c r="W1538" s="616">
        <v>9400</v>
      </c>
      <c r="X1538" s="617">
        <v>12</v>
      </c>
      <c r="Y1538" s="617" t="s">
        <v>728</v>
      </c>
      <c r="Z1538" s="617" t="s">
        <v>1523</v>
      </c>
      <c r="AA1538" s="618">
        <v>50800</v>
      </c>
      <c r="AB1538" s="618" t="s">
        <v>164</v>
      </c>
      <c r="AC1538" s="618">
        <v>40135.666666666664</v>
      </c>
      <c r="AD1538" s="619">
        <v>0.03</v>
      </c>
      <c r="AE1538" s="617" t="s">
        <v>2915</v>
      </c>
    </row>
    <row r="1539" spans="1:31" s="572" customFormat="1">
      <c r="A1539" s="570" t="s">
        <v>2977</v>
      </c>
      <c r="B1539" s="569" t="s">
        <v>280</v>
      </c>
      <c r="C1539" s="580">
        <v>27</v>
      </c>
      <c r="D1539" s="569" t="s">
        <v>1516</v>
      </c>
      <c r="E1539" s="569" t="s">
        <v>1607</v>
      </c>
      <c r="F1539" s="569" t="s">
        <v>271</v>
      </c>
      <c r="G1539" s="569">
        <v>2019</v>
      </c>
      <c r="H1539" s="569" t="s">
        <v>2769</v>
      </c>
      <c r="I1539" s="569" t="s">
        <v>2106</v>
      </c>
      <c r="J1539" s="569" t="s">
        <v>236</v>
      </c>
      <c r="K1539" s="569">
        <v>15</v>
      </c>
      <c r="L1539" s="569">
        <v>0</v>
      </c>
      <c r="M1539" s="569" t="s">
        <v>157</v>
      </c>
      <c r="N1539" s="569">
        <v>5</v>
      </c>
      <c r="O1539" s="569">
        <v>108.6</v>
      </c>
      <c r="P1539" s="568" t="s">
        <v>157</v>
      </c>
      <c r="Q1539" s="569" t="s">
        <v>1259</v>
      </c>
      <c r="R1539" s="569">
        <v>6</v>
      </c>
      <c r="S1539" s="569" t="s">
        <v>2770</v>
      </c>
      <c r="T1539" s="569" t="s">
        <v>2107</v>
      </c>
      <c r="U1539" s="569">
        <v>147.6</v>
      </c>
      <c r="V1539" s="569">
        <v>25</v>
      </c>
      <c r="W1539" s="620">
        <v>9150</v>
      </c>
      <c r="X1539" s="621">
        <v>12</v>
      </c>
      <c r="Y1539" s="621" t="s">
        <v>178</v>
      </c>
      <c r="Z1539" s="621" t="s">
        <v>178</v>
      </c>
      <c r="AA1539" s="622">
        <v>48670</v>
      </c>
      <c r="AB1539" s="622" t="s">
        <v>164</v>
      </c>
      <c r="AC1539" s="622">
        <v>38242.375</v>
      </c>
      <c r="AD1539" s="623">
        <v>0.03</v>
      </c>
      <c r="AE1539" s="621" t="s">
        <v>2917</v>
      </c>
    </row>
    <row r="1540" spans="1:31" s="572" customFormat="1">
      <c r="A1540" s="570" t="s">
        <v>2978</v>
      </c>
      <c r="B1540" s="573" t="s">
        <v>280</v>
      </c>
      <c r="C1540" s="578">
        <v>27</v>
      </c>
      <c r="D1540" s="573" t="s">
        <v>1516</v>
      </c>
      <c r="E1540" s="573" t="s">
        <v>1607</v>
      </c>
      <c r="F1540" s="573" t="s">
        <v>271</v>
      </c>
      <c r="G1540" s="573">
        <v>2019</v>
      </c>
      <c r="H1540" s="573" t="s">
        <v>2769</v>
      </c>
      <c r="I1540" s="573" t="s">
        <v>2106</v>
      </c>
      <c r="J1540" s="573" t="s">
        <v>236</v>
      </c>
      <c r="K1540" s="573">
        <v>15</v>
      </c>
      <c r="L1540" s="573">
        <v>0</v>
      </c>
      <c r="M1540" s="573" t="s">
        <v>157</v>
      </c>
      <c r="N1540" s="573">
        <v>5</v>
      </c>
      <c r="O1540" s="573">
        <v>108.6</v>
      </c>
      <c r="P1540" s="571" t="s">
        <v>157</v>
      </c>
      <c r="Q1540" s="573" t="s">
        <v>682</v>
      </c>
      <c r="R1540" s="573">
        <v>6</v>
      </c>
      <c r="S1540" s="582" t="s">
        <v>2770</v>
      </c>
      <c r="T1540" s="573" t="s">
        <v>2107</v>
      </c>
      <c r="U1540" s="573">
        <v>147.6</v>
      </c>
      <c r="V1540" s="573">
        <v>25</v>
      </c>
      <c r="W1540" s="616">
        <v>9150</v>
      </c>
      <c r="X1540" s="617">
        <v>12</v>
      </c>
      <c r="Y1540" s="617" t="s">
        <v>178</v>
      </c>
      <c r="Z1540" s="617" t="s">
        <v>178</v>
      </c>
      <c r="AA1540" s="618">
        <v>46805</v>
      </c>
      <c r="AB1540" s="618" t="s">
        <v>164</v>
      </c>
      <c r="AC1540" s="618">
        <v>36586.125</v>
      </c>
      <c r="AD1540" s="619">
        <v>0.03</v>
      </c>
      <c r="AE1540" s="617" t="s">
        <v>2919</v>
      </c>
    </row>
    <row r="1541" spans="1:31" s="572" customFormat="1">
      <c r="A1541" s="570" t="s">
        <v>2979</v>
      </c>
      <c r="B1541" s="569" t="s">
        <v>280</v>
      </c>
      <c r="C1541" s="580">
        <v>27</v>
      </c>
      <c r="D1541" s="569" t="s">
        <v>1516</v>
      </c>
      <c r="E1541" s="569" t="s">
        <v>1607</v>
      </c>
      <c r="F1541" s="569" t="s">
        <v>271</v>
      </c>
      <c r="G1541" s="569">
        <v>2019</v>
      </c>
      <c r="H1541" s="569" t="s">
        <v>2769</v>
      </c>
      <c r="I1541" s="569" t="s">
        <v>2106</v>
      </c>
      <c r="J1541" s="569" t="s">
        <v>236</v>
      </c>
      <c r="K1541" s="569">
        <v>15</v>
      </c>
      <c r="L1541" s="569">
        <v>0</v>
      </c>
      <c r="M1541" s="569" t="s">
        <v>157</v>
      </c>
      <c r="N1541" s="569">
        <v>5</v>
      </c>
      <c r="O1541" s="569">
        <v>82.4</v>
      </c>
      <c r="P1541" s="568" t="s">
        <v>157</v>
      </c>
      <c r="Q1541" s="569" t="s">
        <v>1917</v>
      </c>
      <c r="R1541" s="569">
        <v>5</v>
      </c>
      <c r="S1541" s="569" t="s">
        <v>2777</v>
      </c>
      <c r="T1541" s="569" t="s">
        <v>2107</v>
      </c>
      <c r="U1541" s="569">
        <v>147.6</v>
      </c>
      <c r="V1541" s="569">
        <v>25</v>
      </c>
      <c r="W1541" s="620">
        <v>9250</v>
      </c>
      <c r="X1541" s="621">
        <v>12</v>
      </c>
      <c r="Y1541" s="621" t="s">
        <v>728</v>
      </c>
      <c r="Z1541" s="621" t="s">
        <v>1523</v>
      </c>
      <c r="AA1541" s="622">
        <v>47900</v>
      </c>
      <c r="AB1541" s="622" t="s">
        <v>164</v>
      </c>
      <c r="AC1541" s="622">
        <v>35402.333333333336</v>
      </c>
      <c r="AD1541" s="623">
        <v>0.03</v>
      </c>
      <c r="AE1541" s="621" t="s">
        <v>2921</v>
      </c>
    </row>
    <row r="1542" spans="1:31" s="572" customFormat="1">
      <c r="A1542" s="570" t="s">
        <v>2980</v>
      </c>
      <c r="B1542" s="573" t="s">
        <v>280</v>
      </c>
      <c r="C1542" s="578">
        <v>27</v>
      </c>
      <c r="D1542" s="573" t="s">
        <v>1516</v>
      </c>
      <c r="E1542" s="573" t="s">
        <v>1607</v>
      </c>
      <c r="F1542" s="573" t="s">
        <v>271</v>
      </c>
      <c r="G1542" s="573">
        <v>2019</v>
      </c>
      <c r="H1542" s="573" t="s">
        <v>2769</v>
      </c>
      <c r="I1542" s="573" t="s">
        <v>2106</v>
      </c>
      <c r="J1542" s="573" t="s">
        <v>236</v>
      </c>
      <c r="K1542" s="573">
        <v>15</v>
      </c>
      <c r="L1542" s="573">
        <v>0</v>
      </c>
      <c r="M1542" s="573" t="s">
        <v>157</v>
      </c>
      <c r="N1542" s="573">
        <v>5</v>
      </c>
      <c r="O1542" s="573">
        <v>82.4</v>
      </c>
      <c r="P1542" s="571" t="s">
        <v>157</v>
      </c>
      <c r="Q1542" s="573" t="s">
        <v>1259</v>
      </c>
      <c r="R1542" s="573">
        <v>6</v>
      </c>
      <c r="S1542" s="582" t="s">
        <v>2777</v>
      </c>
      <c r="T1542" s="573" t="s">
        <v>434</v>
      </c>
      <c r="U1542" s="573">
        <v>147.6</v>
      </c>
      <c r="V1542" s="573">
        <v>25</v>
      </c>
      <c r="W1542" s="616">
        <v>9000</v>
      </c>
      <c r="X1542" s="617">
        <v>12</v>
      </c>
      <c r="Y1542" s="617" t="s">
        <v>178</v>
      </c>
      <c r="Z1542" s="617" t="s">
        <v>178</v>
      </c>
      <c r="AA1542" s="618">
        <v>45770</v>
      </c>
      <c r="AB1542" s="618" t="s">
        <v>164</v>
      </c>
      <c r="AC1542" s="618">
        <v>33509.041666666672</v>
      </c>
      <c r="AD1542" s="619">
        <v>0.03</v>
      </c>
      <c r="AE1542" s="617" t="s">
        <v>2923</v>
      </c>
    </row>
    <row r="1543" spans="1:31" s="572" customFormat="1">
      <c r="A1543" s="570" t="s">
        <v>2981</v>
      </c>
      <c r="B1543" s="569" t="s">
        <v>280</v>
      </c>
      <c r="C1543" s="580">
        <v>27</v>
      </c>
      <c r="D1543" s="569" t="s">
        <v>1516</v>
      </c>
      <c r="E1543" s="569" t="s">
        <v>1607</v>
      </c>
      <c r="F1543" s="569" t="s">
        <v>271</v>
      </c>
      <c r="G1543" s="569">
        <v>2019</v>
      </c>
      <c r="H1543" s="569" t="s">
        <v>2769</v>
      </c>
      <c r="I1543" s="569" t="s">
        <v>2106</v>
      </c>
      <c r="J1543" s="569" t="s">
        <v>236</v>
      </c>
      <c r="K1543" s="569">
        <v>15</v>
      </c>
      <c r="L1543" s="569">
        <v>0</v>
      </c>
      <c r="M1543" s="569" t="s">
        <v>157</v>
      </c>
      <c r="N1543" s="569">
        <v>5</v>
      </c>
      <c r="O1543" s="569">
        <v>82.4</v>
      </c>
      <c r="P1543" s="568" t="s">
        <v>157</v>
      </c>
      <c r="Q1543" s="569" t="s">
        <v>682</v>
      </c>
      <c r="R1543" s="569">
        <v>6</v>
      </c>
      <c r="S1543" s="569" t="s">
        <v>2777</v>
      </c>
      <c r="T1543" s="569" t="s">
        <v>2107</v>
      </c>
      <c r="U1543" s="569">
        <v>147.6</v>
      </c>
      <c r="V1543" s="569">
        <v>25</v>
      </c>
      <c r="W1543" s="620">
        <v>9000</v>
      </c>
      <c r="X1543" s="621">
        <v>12</v>
      </c>
      <c r="Y1543" s="621" t="s">
        <v>178</v>
      </c>
      <c r="Z1543" s="621" t="s">
        <v>178</v>
      </c>
      <c r="AA1543" s="622">
        <v>43905</v>
      </c>
      <c r="AB1543" s="622" t="s">
        <v>164</v>
      </c>
      <c r="AC1543" s="622">
        <v>31852.791666666668</v>
      </c>
      <c r="AD1543" s="623">
        <v>0.03</v>
      </c>
      <c r="AE1543" s="621" t="s">
        <v>2925</v>
      </c>
    </row>
    <row r="1544" spans="1:31" s="572" customFormat="1">
      <c r="A1544" s="570" t="s">
        <v>2982</v>
      </c>
      <c r="B1544" s="573" t="s">
        <v>280</v>
      </c>
      <c r="C1544" s="578">
        <v>27</v>
      </c>
      <c r="D1544" s="573" t="s">
        <v>1516</v>
      </c>
      <c r="E1544" s="573" t="s">
        <v>1607</v>
      </c>
      <c r="F1544" s="573" t="s">
        <v>271</v>
      </c>
      <c r="G1544" s="573">
        <v>2019</v>
      </c>
      <c r="H1544" s="573" t="s">
        <v>2769</v>
      </c>
      <c r="I1544" s="573" t="s">
        <v>2106</v>
      </c>
      <c r="J1544" s="573" t="s">
        <v>236</v>
      </c>
      <c r="K1544" s="573">
        <v>15</v>
      </c>
      <c r="L1544" s="573">
        <v>0</v>
      </c>
      <c r="M1544" s="573" t="s">
        <v>157</v>
      </c>
      <c r="N1544" s="573">
        <v>5</v>
      </c>
      <c r="O1544" s="573">
        <v>99.2</v>
      </c>
      <c r="P1544" s="571" t="s">
        <v>157</v>
      </c>
      <c r="Q1544" s="573" t="s">
        <v>1917</v>
      </c>
      <c r="R1544" s="573">
        <v>5</v>
      </c>
      <c r="S1544" s="582" t="s">
        <v>2617</v>
      </c>
      <c r="T1544" s="573" t="s">
        <v>2107</v>
      </c>
      <c r="U1544" s="573">
        <v>147.6</v>
      </c>
      <c r="V1544" s="573">
        <v>25</v>
      </c>
      <c r="W1544" s="616">
        <v>9400</v>
      </c>
      <c r="X1544" s="617">
        <v>12</v>
      </c>
      <c r="Y1544" s="617" t="s">
        <v>728</v>
      </c>
      <c r="Z1544" s="617" t="s">
        <v>1523</v>
      </c>
      <c r="AA1544" s="618">
        <v>49350</v>
      </c>
      <c r="AB1544" s="618" t="s">
        <v>164</v>
      </c>
      <c r="AC1544" s="618">
        <v>38810.666666666664</v>
      </c>
      <c r="AD1544" s="619">
        <v>0.03</v>
      </c>
      <c r="AE1544" s="617" t="s">
        <v>2927</v>
      </c>
    </row>
    <row r="1545" spans="1:31" s="572" customFormat="1">
      <c r="A1545" s="570" t="s">
        <v>2983</v>
      </c>
      <c r="B1545" s="569" t="s">
        <v>280</v>
      </c>
      <c r="C1545" s="580">
        <v>27</v>
      </c>
      <c r="D1545" s="569" t="s">
        <v>1516</v>
      </c>
      <c r="E1545" s="569" t="s">
        <v>1607</v>
      </c>
      <c r="F1545" s="569" t="s">
        <v>271</v>
      </c>
      <c r="G1545" s="569">
        <v>2019</v>
      </c>
      <c r="H1545" s="569" t="s">
        <v>2769</v>
      </c>
      <c r="I1545" s="569" t="s">
        <v>2106</v>
      </c>
      <c r="J1545" s="569" t="s">
        <v>236</v>
      </c>
      <c r="K1545" s="569">
        <v>15</v>
      </c>
      <c r="L1545" s="569">
        <v>0</v>
      </c>
      <c r="M1545" s="569" t="s">
        <v>157</v>
      </c>
      <c r="N1545" s="569">
        <v>5</v>
      </c>
      <c r="O1545" s="569">
        <v>99.2</v>
      </c>
      <c r="P1545" s="568" t="s">
        <v>157</v>
      </c>
      <c r="Q1545" s="569" t="s">
        <v>1259</v>
      </c>
      <c r="R1545" s="569">
        <v>6</v>
      </c>
      <c r="S1545" s="569" t="s">
        <v>2617</v>
      </c>
      <c r="T1545" s="569" t="s">
        <v>2107</v>
      </c>
      <c r="U1545" s="569">
        <v>147.6</v>
      </c>
      <c r="V1545" s="569">
        <v>25</v>
      </c>
      <c r="W1545" s="620">
        <v>9150</v>
      </c>
      <c r="X1545" s="621">
        <v>12</v>
      </c>
      <c r="Y1545" s="621" t="s">
        <v>178</v>
      </c>
      <c r="Z1545" s="621" t="s">
        <v>178</v>
      </c>
      <c r="AA1545" s="622">
        <v>47220</v>
      </c>
      <c r="AB1545" s="622" t="s">
        <v>164</v>
      </c>
      <c r="AC1545" s="622">
        <v>36917.375</v>
      </c>
      <c r="AD1545" s="623">
        <v>0.03</v>
      </c>
      <c r="AE1545" s="621" t="s">
        <v>2929</v>
      </c>
    </row>
    <row r="1546" spans="1:31" s="572" customFormat="1">
      <c r="A1546" s="570" t="s">
        <v>2984</v>
      </c>
      <c r="B1546" s="573" t="s">
        <v>280</v>
      </c>
      <c r="C1546" s="578">
        <v>27</v>
      </c>
      <c r="D1546" s="573" t="s">
        <v>1516</v>
      </c>
      <c r="E1546" s="573" t="s">
        <v>1607</v>
      </c>
      <c r="F1546" s="573" t="s">
        <v>271</v>
      </c>
      <c r="G1546" s="573">
        <v>2019</v>
      </c>
      <c r="H1546" s="573" t="s">
        <v>2769</v>
      </c>
      <c r="I1546" s="573" t="s">
        <v>2106</v>
      </c>
      <c r="J1546" s="573" t="s">
        <v>236</v>
      </c>
      <c r="K1546" s="573">
        <v>15</v>
      </c>
      <c r="L1546" s="573">
        <v>0</v>
      </c>
      <c r="M1546" s="573" t="s">
        <v>157</v>
      </c>
      <c r="N1546" s="573">
        <v>5</v>
      </c>
      <c r="O1546" s="573">
        <v>99.2</v>
      </c>
      <c r="P1546" s="571" t="s">
        <v>157</v>
      </c>
      <c r="Q1546" s="573" t="s">
        <v>682</v>
      </c>
      <c r="R1546" s="573">
        <v>6</v>
      </c>
      <c r="S1546" s="582" t="s">
        <v>2617</v>
      </c>
      <c r="T1546" s="573" t="s">
        <v>2107</v>
      </c>
      <c r="U1546" s="573">
        <v>147.6</v>
      </c>
      <c r="V1546" s="573">
        <v>25</v>
      </c>
      <c r="W1546" s="616">
        <v>9150</v>
      </c>
      <c r="X1546" s="617">
        <v>12</v>
      </c>
      <c r="Y1546" s="617" t="s">
        <v>178</v>
      </c>
      <c r="Z1546" s="617" t="s">
        <v>178</v>
      </c>
      <c r="AA1546" s="618">
        <v>45355</v>
      </c>
      <c r="AB1546" s="618" t="s">
        <v>164</v>
      </c>
      <c r="AC1546" s="618">
        <v>34077.791666666672</v>
      </c>
      <c r="AD1546" s="619">
        <v>0.03</v>
      </c>
      <c r="AE1546" s="617" t="s">
        <v>2931</v>
      </c>
    </row>
    <row r="1547" spans="1:31" s="572" customFormat="1">
      <c r="A1547" s="570" t="s">
        <v>2985</v>
      </c>
      <c r="B1547" s="569" t="s">
        <v>269</v>
      </c>
      <c r="C1547" s="580" t="s">
        <v>270</v>
      </c>
      <c r="D1547" s="569" t="s">
        <v>1516</v>
      </c>
      <c r="E1547" s="569" t="s">
        <v>1607</v>
      </c>
      <c r="F1547" s="569" t="s">
        <v>271</v>
      </c>
      <c r="G1547" s="569">
        <v>2019</v>
      </c>
      <c r="H1547" s="569" t="s">
        <v>2769</v>
      </c>
      <c r="I1547" s="569" t="s">
        <v>2144</v>
      </c>
      <c r="J1547" s="569" t="s">
        <v>236</v>
      </c>
      <c r="K1547" s="569">
        <v>12</v>
      </c>
      <c r="L1547" s="569">
        <v>0</v>
      </c>
      <c r="M1547" s="569" t="s">
        <v>157</v>
      </c>
      <c r="N1547" s="569">
        <v>4</v>
      </c>
      <c r="O1547" s="569">
        <v>82.4</v>
      </c>
      <c r="P1547" s="568" t="s">
        <v>157</v>
      </c>
      <c r="Q1547" s="569" t="s">
        <v>1259</v>
      </c>
      <c r="R1547" s="569">
        <v>6</v>
      </c>
      <c r="S1547" s="569" t="s">
        <v>2866</v>
      </c>
      <c r="T1547" s="569" t="s">
        <v>2107</v>
      </c>
      <c r="U1547" s="569">
        <v>147.6</v>
      </c>
      <c r="V1547" s="569">
        <v>25</v>
      </c>
      <c r="W1547" s="620">
        <v>9000</v>
      </c>
      <c r="X1547" s="621">
        <v>12</v>
      </c>
      <c r="Y1547" s="621" t="s">
        <v>178</v>
      </c>
      <c r="Z1547" s="621" t="s">
        <v>178</v>
      </c>
      <c r="AA1547" s="622">
        <v>44125</v>
      </c>
      <c r="AB1547" s="622" t="s">
        <v>164</v>
      </c>
      <c r="AC1547" s="622">
        <v>32043.416666666668</v>
      </c>
      <c r="AD1547" s="623">
        <v>0.03</v>
      </c>
      <c r="AE1547" s="621" t="s">
        <v>2986</v>
      </c>
    </row>
    <row r="1548" spans="1:31" s="572" customFormat="1">
      <c r="A1548" s="570" t="s">
        <v>2987</v>
      </c>
      <c r="B1548" s="573" t="s">
        <v>269</v>
      </c>
      <c r="C1548" s="578" t="s">
        <v>270</v>
      </c>
      <c r="D1548" s="573" t="s">
        <v>1516</v>
      </c>
      <c r="E1548" s="573" t="s">
        <v>1607</v>
      </c>
      <c r="F1548" s="573" t="s">
        <v>271</v>
      </c>
      <c r="G1548" s="573">
        <v>2019</v>
      </c>
      <c r="H1548" s="573" t="s">
        <v>2769</v>
      </c>
      <c r="I1548" s="573" t="s">
        <v>2144</v>
      </c>
      <c r="J1548" s="573" t="s">
        <v>236</v>
      </c>
      <c r="K1548" s="573">
        <v>12</v>
      </c>
      <c r="L1548" s="573">
        <v>0</v>
      </c>
      <c r="M1548" s="573" t="s">
        <v>157</v>
      </c>
      <c r="N1548" s="573">
        <v>4</v>
      </c>
      <c r="O1548" s="573">
        <v>82.4</v>
      </c>
      <c r="P1548" s="571" t="s">
        <v>157</v>
      </c>
      <c r="Q1548" s="573" t="s">
        <v>682</v>
      </c>
      <c r="R1548" s="573">
        <v>6</v>
      </c>
      <c r="S1548" s="582" t="s">
        <v>2866</v>
      </c>
      <c r="T1548" s="573" t="s">
        <v>2107</v>
      </c>
      <c r="U1548" s="573">
        <v>147.6</v>
      </c>
      <c r="V1548" s="573">
        <v>25</v>
      </c>
      <c r="W1548" s="616">
        <v>9000</v>
      </c>
      <c r="X1548" s="617">
        <v>12</v>
      </c>
      <c r="Y1548" s="617" t="s">
        <v>178</v>
      </c>
      <c r="Z1548" s="617" t="s">
        <v>178</v>
      </c>
      <c r="AA1548" s="618">
        <v>42260</v>
      </c>
      <c r="AB1548" s="618" t="s">
        <v>164</v>
      </c>
      <c r="AC1548" s="618">
        <v>30387.166666666668</v>
      </c>
      <c r="AD1548" s="619">
        <v>0.03</v>
      </c>
      <c r="AE1548" s="617" t="s">
        <v>2988</v>
      </c>
    </row>
    <row r="1549" spans="1:31" s="572" customFormat="1">
      <c r="A1549" s="570" t="s">
        <v>2989</v>
      </c>
      <c r="B1549" s="569" t="s">
        <v>269</v>
      </c>
      <c r="C1549" s="580" t="s">
        <v>270</v>
      </c>
      <c r="D1549" s="569" t="s">
        <v>1516</v>
      </c>
      <c r="E1549" s="569" t="s">
        <v>1607</v>
      </c>
      <c r="F1549" s="569" t="s">
        <v>271</v>
      </c>
      <c r="G1549" s="569">
        <v>2019</v>
      </c>
      <c r="H1549" s="569" t="s">
        <v>2769</v>
      </c>
      <c r="I1549" s="569" t="s">
        <v>2144</v>
      </c>
      <c r="J1549" s="569" t="s">
        <v>236</v>
      </c>
      <c r="K1549" s="569">
        <v>15</v>
      </c>
      <c r="L1549" s="569">
        <v>0</v>
      </c>
      <c r="M1549" s="569" t="s">
        <v>157</v>
      </c>
      <c r="N1549" s="569">
        <v>5</v>
      </c>
      <c r="O1549" s="569">
        <v>82.4</v>
      </c>
      <c r="P1549" s="568" t="s">
        <v>157</v>
      </c>
      <c r="Q1549" s="569" t="s">
        <v>1917</v>
      </c>
      <c r="R1549" s="569">
        <v>5</v>
      </c>
      <c r="S1549" s="569" t="s">
        <v>2866</v>
      </c>
      <c r="T1549" s="569" t="s">
        <v>2107</v>
      </c>
      <c r="U1549" s="569">
        <v>147.6</v>
      </c>
      <c r="V1549" s="569">
        <v>25</v>
      </c>
      <c r="W1549" s="620">
        <v>9250</v>
      </c>
      <c r="X1549" s="621">
        <v>12</v>
      </c>
      <c r="Y1549" s="621" t="s">
        <v>728</v>
      </c>
      <c r="Z1549" s="621" t="s">
        <v>1523</v>
      </c>
      <c r="AA1549" s="622">
        <v>46255</v>
      </c>
      <c r="AB1549" s="622" t="s">
        <v>164</v>
      </c>
      <c r="AC1549" s="622">
        <v>33936.708333333336</v>
      </c>
      <c r="AD1549" s="623">
        <v>0.03</v>
      </c>
      <c r="AE1549" s="621" t="s">
        <v>2990</v>
      </c>
    </row>
    <row r="1550" spans="1:31" s="572" customFormat="1">
      <c r="A1550" s="570" t="s">
        <v>2991</v>
      </c>
      <c r="B1550" s="573" t="s">
        <v>269</v>
      </c>
      <c r="C1550" s="578" t="s">
        <v>270</v>
      </c>
      <c r="D1550" s="573" t="s">
        <v>1516</v>
      </c>
      <c r="E1550" s="573" t="s">
        <v>1607</v>
      </c>
      <c r="F1550" s="573" t="s">
        <v>271</v>
      </c>
      <c r="G1550" s="573">
        <v>2019</v>
      </c>
      <c r="H1550" s="573" t="s">
        <v>2769</v>
      </c>
      <c r="I1550" s="573" t="s">
        <v>2144</v>
      </c>
      <c r="J1550" s="573" t="s">
        <v>236</v>
      </c>
      <c r="K1550" s="573">
        <v>15</v>
      </c>
      <c r="L1550" s="573">
        <v>0</v>
      </c>
      <c r="M1550" s="573" t="s">
        <v>157</v>
      </c>
      <c r="N1550" s="573">
        <v>5</v>
      </c>
      <c r="O1550" s="573">
        <v>82.4</v>
      </c>
      <c r="P1550" s="571" t="s">
        <v>157</v>
      </c>
      <c r="Q1550" s="573" t="s">
        <v>1259</v>
      </c>
      <c r="R1550" s="573">
        <v>6</v>
      </c>
      <c r="S1550" s="582" t="s">
        <v>2866</v>
      </c>
      <c r="T1550" s="573" t="s">
        <v>2107</v>
      </c>
      <c r="U1550" s="573">
        <v>147.6</v>
      </c>
      <c r="V1550" s="573">
        <v>25</v>
      </c>
      <c r="W1550" s="616">
        <v>9000</v>
      </c>
      <c r="X1550" s="617">
        <v>12</v>
      </c>
      <c r="Y1550" s="617" t="s">
        <v>178</v>
      </c>
      <c r="Z1550" s="617" t="s">
        <v>178</v>
      </c>
      <c r="AA1550" s="618">
        <v>44125</v>
      </c>
      <c r="AB1550" s="618" t="s">
        <v>164</v>
      </c>
      <c r="AC1550" s="618">
        <v>32043.416666666668</v>
      </c>
      <c r="AD1550" s="619">
        <v>0.03</v>
      </c>
      <c r="AE1550" s="617" t="s">
        <v>2992</v>
      </c>
    </row>
    <row r="1551" spans="1:31" s="572" customFormat="1">
      <c r="A1551" s="570" t="s">
        <v>2993</v>
      </c>
      <c r="B1551" s="569" t="s">
        <v>269</v>
      </c>
      <c r="C1551" s="580" t="s">
        <v>270</v>
      </c>
      <c r="D1551" s="569" t="s">
        <v>1516</v>
      </c>
      <c r="E1551" s="569" t="s">
        <v>1607</v>
      </c>
      <c r="F1551" s="569" t="s">
        <v>271</v>
      </c>
      <c r="G1551" s="569">
        <v>2019</v>
      </c>
      <c r="H1551" s="569" t="s">
        <v>2769</v>
      </c>
      <c r="I1551" s="569" t="s">
        <v>2144</v>
      </c>
      <c r="J1551" s="569" t="s">
        <v>236</v>
      </c>
      <c r="K1551" s="569">
        <v>15</v>
      </c>
      <c r="L1551" s="569">
        <v>0</v>
      </c>
      <c r="M1551" s="569" t="s">
        <v>157</v>
      </c>
      <c r="N1551" s="569">
        <v>5</v>
      </c>
      <c r="O1551" s="569">
        <v>82.4</v>
      </c>
      <c r="P1551" s="568" t="s">
        <v>157</v>
      </c>
      <c r="Q1551" s="569" t="s">
        <v>682</v>
      </c>
      <c r="R1551" s="569">
        <v>6</v>
      </c>
      <c r="S1551" s="569" t="s">
        <v>2866</v>
      </c>
      <c r="T1551" s="569" t="s">
        <v>2107</v>
      </c>
      <c r="U1551" s="569">
        <v>147.6</v>
      </c>
      <c r="V1551" s="569">
        <v>25</v>
      </c>
      <c r="W1551" s="620">
        <v>9000</v>
      </c>
      <c r="X1551" s="621">
        <v>12</v>
      </c>
      <c r="Y1551" s="621" t="s">
        <v>178</v>
      </c>
      <c r="Z1551" s="621" t="s">
        <v>178</v>
      </c>
      <c r="AA1551" s="622">
        <v>42260</v>
      </c>
      <c r="AB1551" s="622" t="s">
        <v>164</v>
      </c>
      <c r="AC1551" s="622">
        <v>30387.166666666668</v>
      </c>
      <c r="AD1551" s="623">
        <v>0.03</v>
      </c>
      <c r="AE1551" s="621" t="s">
        <v>2994</v>
      </c>
    </row>
    <row r="1552" spans="1:31" s="572" customFormat="1">
      <c r="A1552" s="570" t="s">
        <v>2995</v>
      </c>
      <c r="B1552" s="573" t="s">
        <v>278</v>
      </c>
      <c r="C1552" s="578">
        <v>15</v>
      </c>
      <c r="D1552" s="573" t="s">
        <v>1516</v>
      </c>
      <c r="E1552" s="573" t="s">
        <v>1607</v>
      </c>
      <c r="F1552" s="573" t="s">
        <v>271</v>
      </c>
      <c r="G1552" s="573">
        <v>2019</v>
      </c>
      <c r="H1552" s="573" t="s">
        <v>2769</v>
      </c>
      <c r="I1552" s="573" t="s">
        <v>2144</v>
      </c>
      <c r="J1552" s="573" t="s">
        <v>236</v>
      </c>
      <c r="K1552" s="573">
        <v>12</v>
      </c>
      <c r="L1552" s="573">
        <v>0</v>
      </c>
      <c r="M1552" s="573" t="s">
        <v>157</v>
      </c>
      <c r="N1552" s="573">
        <v>4</v>
      </c>
      <c r="O1552" s="573">
        <v>82.4</v>
      </c>
      <c r="P1552" s="571" t="s">
        <v>157</v>
      </c>
      <c r="Q1552" s="573" t="s">
        <v>1917</v>
      </c>
      <c r="R1552" s="573">
        <v>5</v>
      </c>
      <c r="S1552" s="582" t="s">
        <v>2866</v>
      </c>
      <c r="T1552" s="573" t="s">
        <v>2107</v>
      </c>
      <c r="U1552" s="573">
        <v>147.6</v>
      </c>
      <c r="V1552" s="573">
        <v>25</v>
      </c>
      <c r="W1552" s="616">
        <v>9250</v>
      </c>
      <c r="X1552" s="617">
        <v>12</v>
      </c>
      <c r="Y1552" s="617" t="s">
        <v>728</v>
      </c>
      <c r="Z1552" s="617" t="s">
        <v>1523</v>
      </c>
      <c r="AA1552" s="618">
        <v>46255</v>
      </c>
      <c r="AB1552" s="618" t="s">
        <v>164</v>
      </c>
      <c r="AC1552" s="618">
        <v>34700</v>
      </c>
      <c r="AD1552" s="619">
        <v>0.01</v>
      </c>
      <c r="AE1552" s="617" t="s">
        <v>2996</v>
      </c>
    </row>
    <row r="1553" spans="1:31" s="572" customFormat="1">
      <c r="A1553" s="570" t="s">
        <v>2997</v>
      </c>
      <c r="B1553" s="569" t="s">
        <v>278</v>
      </c>
      <c r="C1553" s="580">
        <v>15</v>
      </c>
      <c r="D1553" s="569" t="s">
        <v>1516</v>
      </c>
      <c r="E1553" s="569" t="s">
        <v>1607</v>
      </c>
      <c r="F1553" s="569" t="s">
        <v>271</v>
      </c>
      <c r="G1553" s="569">
        <v>2019</v>
      </c>
      <c r="H1553" s="569" t="s">
        <v>2769</v>
      </c>
      <c r="I1553" s="569" t="s">
        <v>2144</v>
      </c>
      <c r="J1553" s="569" t="s">
        <v>236</v>
      </c>
      <c r="K1553" s="569">
        <v>12</v>
      </c>
      <c r="L1553" s="569">
        <v>0</v>
      </c>
      <c r="M1553" s="569" t="s">
        <v>157</v>
      </c>
      <c r="N1553" s="569">
        <v>4</v>
      </c>
      <c r="O1553" s="569">
        <v>82.4</v>
      </c>
      <c r="P1553" s="568" t="s">
        <v>157</v>
      </c>
      <c r="Q1553" s="569" t="s">
        <v>1259</v>
      </c>
      <c r="R1553" s="569">
        <v>6</v>
      </c>
      <c r="S1553" s="569" t="s">
        <v>2866</v>
      </c>
      <c r="T1553" s="569" t="s">
        <v>2107</v>
      </c>
      <c r="U1553" s="569">
        <v>147.6</v>
      </c>
      <c r="V1553" s="569">
        <v>25</v>
      </c>
      <c r="W1553" s="620">
        <v>9000</v>
      </c>
      <c r="X1553" s="621">
        <v>12</v>
      </c>
      <c r="Y1553" s="621" t="s">
        <v>178</v>
      </c>
      <c r="Z1553" s="621" t="s">
        <v>178</v>
      </c>
      <c r="AA1553" s="622">
        <v>44125</v>
      </c>
      <c r="AB1553" s="622" t="s">
        <v>164</v>
      </c>
      <c r="AC1553" s="622">
        <v>32700</v>
      </c>
      <c r="AD1553" s="623">
        <v>0.01</v>
      </c>
      <c r="AE1553" s="621" t="s">
        <v>2986</v>
      </c>
    </row>
    <row r="1554" spans="1:31" s="572" customFormat="1">
      <c r="A1554" s="570" t="s">
        <v>2998</v>
      </c>
      <c r="B1554" s="573" t="s">
        <v>278</v>
      </c>
      <c r="C1554" s="578">
        <v>15</v>
      </c>
      <c r="D1554" s="573" t="s">
        <v>1516</v>
      </c>
      <c r="E1554" s="573" t="s">
        <v>1607</v>
      </c>
      <c r="F1554" s="573" t="s">
        <v>271</v>
      </c>
      <c r="G1554" s="573">
        <v>2019</v>
      </c>
      <c r="H1554" s="573" t="s">
        <v>2769</v>
      </c>
      <c r="I1554" s="573" t="s">
        <v>2144</v>
      </c>
      <c r="J1554" s="573" t="s">
        <v>236</v>
      </c>
      <c r="K1554" s="573">
        <v>12</v>
      </c>
      <c r="L1554" s="573">
        <v>0</v>
      </c>
      <c r="M1554" s="573" t="s">
        <v>157</v>
      </c>
      <c r="N1554" s="573">
        <v>4</v>
      </c>
      <c r="O1554" s="573">
        <v>82.4</v>
      </c>
      <c r="P1554" s="571" t="s">
        <v>157</v>
      </c>
      <c r="Q1554" s="573" t="s">
        <v>682</v>
      </c>
      <c r="R1554" s="573">
        <v>6</v>
      </c>
      <c r="S1554" s="582" t="s">
        <v>2866</v>
      </c>
      <c r="T1554" s="573" t="s">
        <v>2107</v>
      </c>
      <c r="U1554" s="573">
        <v>147.6</v>
      </c>
      <c r="V1554" s="573">
        <v>25</v>
      </c>
      <c r="W1554" s="616">
        <v>9000</v>
      </c>
      <c r="X1554" s="617">
        <v>12</v>
      </c>
      <c r="Y1554" s="617" t="s">
        <v>178</v>
      </c>
      <c r="Z1554" s="617" t="s">
        <v>178</v>
      </c>
      <c r="AA1554" s="618">
        <v>42260</v>
      </c>
      <c r="AB1554" s="618" t="s">
        <v>164</v>
      </c>
      <c r="AC1554" s="618">
        <v>31100</v>
      </c>
      <c r="AD1554" s="619">
        <v>0.01</v>
      </c>
      <c r="AE1554" s="617" t="s">
        <v>2988</v>
      </c>
    </row>
    <row r="1555" spans="1:31" s="572" customFormat="1">
      <c r="A1555" s="570" t="s">
        <v>2999</v>
      </c>
      <c r="B1555" s="569" t="s">
        <v>278</v>
      </c>
      <c r="C1555" s="580">
        <v>15</v>
      </c>
      <c r="D1555" s="569" t="s">
        <v>1516</v>
      </c>
      <c r="E1555" s="569" t="s">
        <v>1607</v>
      </c>
      <c r="F1555" s="569" t="s">
        <v>271</v>
      </c>
      <c r="G1555" s="569">
        <v>2019</v>
      </c>
      <c r="H1555" s="569" t="s">
        <v>2769</v>
      </c>
      <c r="I1555" s="569" t="s">
        <v>2144</v>
      </c>
      <c r="J1555" s="569" t="s">
        <v>236</v>
      </c>
      <c r="K1555" s="569">
        <v>15</v>
      </c>
      <c r="L1555" s="569">
        <v>0</v>
      </c>
      <c r="M1555" s="569" t="s">
        <v>157</v>
      </c>
      <c r="N1555" s="569">
        <v>5</v>
      </c>
      <c r="O1555" s="569">
        <v>82.4</v>
      </c>
      <c r="P1555" s="568" t="s">
        <v>157</v>
      </c>
      <c r="Q1555" s="569" t="s">
        <v>1917</v>
      </c>
      <c r="R1555" s="569">
        <v>5</v>
      </c>
      <c r="S1555" s="569" t="s">
        <v>2866</v>
      </c>
      <c r="T1555" s="569" t="s">
        <v>2107</v>
      </c>
      <c r="U1555" s="569">
        <v>147.6</v>
      </c>
      <c r="V1555" s="569">
        <v>25</v>
      </c>
      <c r="W1555" s="620">
        <v>9250</v>
      </c>
      <c r="X1555" s="621">
        <v>12</v>
      </c>
      <c r="Y1555" s="621" t="s">
        <v>728</v>
      </c>
      <c r="Z1555" s="621" t="s">
        <v>1523</v>
      </c>
      <c r="AA1555" s="622">
        <v>47750</v>
      </c>
      <c r="AB1555" s="622" t="s">
        <v>164</v>
      </c>
      <c r="AC1555" s="622">
        <v>36000</v>
      </c>
      <c r="AD1555" s="623">
        <v>0.01</v>
      </c>
      <c r="AE1555" s="621" t="s">
        <v>2990</v>
      </c>
    </row>
    <row r="1556" spans="1:31" s="572" customFormat="1">
      <c r="A1556" s="570" t="s">
        <v>3000</v>
      </c>
      <c r="B1556" s="573" t="s">
        <v>278</v>
      </c>
      <c r="C1556" s="578">
        <v>15</v>
      </c>
      <c r="D1556" s="573" t="s">
        <v>1516</v>
      </c>
      <c r="E1556" s="573" t="s">
        <v>1607</v>
      </c>
      <c r="F1556" s="573" t="s">
        <v>271</v>
      </c>
      <c r="G1556" s="573">
        <v>2019</v>
      </c>
      <c r="H1556" s="573" t="s">
        <v>2769</v>
      </c>
      <c r="I1556" s="573" t="s">
        <v>2144</v>
      </c>
      <c r="J1556" s="573" t="s">
        <v>236</v>
      </c>
      <c r="K1556" s="573">
        <v>15</v>
      </c>
      <c r="L1556" s="573">
        <v>0</v>
      </c>
      <c r="M1556" s="573" t="s">
        <v>157</v>
      </c>
      <c r="N1556" s="573">
        <v>5</v>
      </c>
      <c r="O1556" s="573">
        <v>82.4</v>
      </c>
      <c r="P1556" s="571" t="s">
        <v>157</v>
      </c>
      <c r="Q1556" s="573" t="s">
        <v>1259</v>
      </c>
      <c r="R1556" s="573">
        <v>6</v>
      </c>
      <c r="S1556" s="582" t="s">
        <v>2866</v>
      </c>
      <c r="T1556" s="573" t="s">
        <v>2107</v>
      </c>
      <c r="U1556" s="573">
        <v>147.6</v>
      </c>
      <c r="V1556" s="573">
        <v>25</v>
      </c>
      <c r="W1556" s="616">
        <v>9000</v>
      </c>
      <c r="X1556" s="617">
        <v>12</v>
      </c>
      <c r="Y1556" s="617" t="s">
        <v>178</v>
      </c>
      <c r="Z1556" s="617" t="s">
        <v>178</v>
      </c>
      <c r="AA1556" s="618">
        <v>45620</v>
      </c>
      <c r="AB1556" s="618" t="s">
        <v>164</v>
      </c>
      <c r="AC1556" s="618">
        <v>34100</v>
      </c>
      <c r="AD1556" s="619">
        <v>0.01</v>
      </c>
      <c r="AE1556" s="617" t="s">
        <v>2992</v>
      </c>
    </row>
    <row r="1557" spans="1:31" s="572" customFormat="1">
      <c r="A1557" s="570" t="s">
        <v>3001</v>
      </c>
      <c r="B1557" s="569" t="s">
        <v>278</v>
      </c>
      <c r="C1557" s="580">
        <v>15</v>
      </c>
      <c r="D1557" s="569" t="s">
        <v>1516</v>
      </c>
      <c r="E1557" s="569" t="s">
        <v>1607</v>
      </c>
      <c r="F1557" s="569" t="s">
        <v>271</v>
      </c>
      <c r="G1557" s="569">
        <v>2019</v>
      </c>
      <c r="H1557" s="569" t="s">
        <v>2769</v>
      </c>
      <c r="I1557" s="569" t="s">
        <v>2144</v>
      </c>
      <c r="J1557" s="569" t="s">
        <v>236</v>
      </c>
      <c r="K1557" s="569">
        <v>15</v>
      </c>
      <c r="L1557" s="569">
        <v>0</v>
      </c>
      <c r="M1557" s="569" t="s">
        <v>157</v>
      </c>
      <c r="N1557" s="569">
        <v>5</v>
      </c>
      <c r="O1557" s="569">
        <v>82.4</v>
      </c>
      <c r="P1557" s="568" t="s">
        <v>157</v>
      </c>
      <c r="Q1557" s="569" t="s">
        <v>682</v>
      </c>
      <c r="R1557" s="569">
        <v>6</v>
      </c>
      <c r="S1557" s="569" t="s">
        <v>2866</v>
      </c>
      <c r="T1557" s="569" t="s">
        <v>2107</v>
      </c>
      <c r="U1557" s="569">
        <v>147.6</v>
      </c>
      <c r="V1557" s="569">
        <v>25</v>
      </c>
      <c r="W1557" s="620">
        <v>9000</v>
      </c>
      <c r="X1557" s="621">
        <v>12</v>
      </c>
      <c r="Y1557" s="621" t="s">
        <v>178</v>
      </c>
      <c r="Z1557" s="621" t="s">
        <v>178</v>
      </c>
      <c r="AA1557" s="622">
        <v>43755</v>
      </c>
      <c r="AB1557" s="622" t="s">
        <v>164</v>
      </c>
      <c r="AC1557" s="622">
        <v>32400</v>
      </c>
      <c r="AD1557" s="623">
        <v>0.01</v>
      </c>
      <c r="AE1557" s="621" t="s">
        <v>2994</v>
      </c>
    </row>
    <row r="1558" spans="1:31" s="572" customFormat="1">
      <c r="A1558" s="570" t="s">
        <v>3002</v>
      </c>
      <c r="B1558" s="573" t="s">
        <v>280</v>
      </c>
      <c r="C1558" s="578">
        <v>27</v>
      </c>
      <c r="D1558" s="573" t="s">
        <v>1516</v>
      </c>
      <c r="E1558" s="573" t="s">
        <v>1607</v>
      </c>
      <c r="F1558" s="573" t="s">
        <v>271</v>
      </c>
      <c r="G1558" s="573">
        <v>2019</v>
      </c>
      <c r="H1558" s="573" t="s">
        <v>2769</v>
      </c>
      <c r="I1558" s="573" t="s">
        <v>2144</v>
      </c>
      <c r="J1558" s="573" t="s">
        <v>236</v>
      </c>
      <c r="K1558" s="573">
        <v>12</v>
      </c>
      <c r="L1558" s="573">
        <v>0</v>
      </c>
      <c r="M1558" s="573" t="s">
        <v>157</v>
      </c>
      <c r="N1558" s="573">
        <v>4</v>
      </c>
      <c r="O1558" s="573">
        <v>82.4</v>
      </c>
      <c r="P1558" s="571" t="s">
        <v>157</v>
      </c>
      <c r="Q1558" s="573" t="s">
        <v>1259</v>
      </c>
      <c r="R1558" s="573">
        <v>6</v>
      </c>
      <c r="S1558" s="582" t="s">
        <v>2866</v>
      </c>
      <c r="T1558" s="573" t="s">
        <v>2107</v>
      </c>
      <c r="U1558" s="573">
        <v>147.6</v>
      </c>
      <c r="V1558" s="573">
        <v>25</v>
      </c>
      <c r="W1558" s="616">
        <v>9000</v>
      </c>
      <c r="X1558" s="617">
        <v>12</v>
      </c>
      <c r="Y1558" s="617" t="s">
        <v>178</v>
      </c>
      <c r="Z1558" s="617" t="s">
        <v>178</v>
      </c>
      <c r="AA1558" s="618">
        <v>44125</v>
      </c>
      <c r="AB1558" s="618" t="s">
        <v>164</v>
      </c>
      <c r="AC1558" s="618">
        <v>32043.416666666668</v>
      </c>
      <c r="AD1558" s="619">
        <v>0.03</v>
      </c>
      <c r="AE1558" s="617" t="s">
        <v>2986</v>
      </c>
    </row>
    <row r="1559" spans="1:31" s="572" customFormat="1">
      <c r="A1559" s="570" t="s">
        <v>3003</v>
      </c>
      <c r="B1559" s="569" t="s">
        <v>280</v>
      </c>
      <c r="C1559" s="580">
        <v>27</v>
      </c>
      <c r="D1559" s="569" t="s">
        <v>1516</v>
      </c>
      <c r="E1559" s="569" t="s">
        <v>1607</v>
      </c>
      <c r="F1559" s="569" t="s">
        <v>271</v>
      </c>
      <c r="G1559" s="569">
        <v>2019</v>
      </c>
      <c r="H1559" s="569" t="s">
        <v>2769</v>
      </c>
      <c r="I1559" s="569" t="s">
        <v>2144</v>
      </c>
      <c r="J1559" s="569" t="s">
        <v>236</v>
      </c>
      <c r="K1559" s="569">
        <v>12</v>
      </c>
      <c r="L1559" s="569">
        <v>0</v>
      </c>
      <c r="M1559" s="569" t="s">
        <v>157</v>
      </c>
      <c r="N1559" s="569">
        <v>4</v>
      </c>
      <c r="O1559" s="569">
        <v>82.4</v>
      </c>
      <c r="P1559" s="568" t="s">
        <v>157</v>
      </c>
      <c r="Q1559" s="569" t="s">
        <v>682</v>
      </c>
      <c r="R1559" s="569">
        <v>6</v>
      </c>
      <c r="S1559" s="569" t="s">
        <v>2866</v>
      </c>
      <c r="T1559" s="569" t="s">
        <v>2107</v>
      </c>
      <c r="U1559" s="569">
        <v>147.6</v>
      </c>
      <c r="V1559" s="569">
        <v>25</v>
      </c>
      <c r="W1559" s="620">
        <v>9000</v>
      </c>
      <c r="X1559" s="621">
        <v>12</v>
      </c>
      <c r="Y1559" s="621" t="s">
        <v>178</v>
      </c>
      <c r="Z1559" s="621" t="s">
        <v>178</v>
      </c>
      <c r="AA1559" s="622">
        <v>42260</v>
      </c>
      <c r="AB1559" s="622" t="s">
        <v>164</v>
      </c>
      <c r="AC1559" s="622">
        <v>30387.166666666668</v>
      </c>
      <c r="AD1559" s="623">
        <v>0.03</v>
      </c>
      <c r="AE1559" s="621" t="s">
        <v>2988</v>
      </c>
    </row>
    <row r="1560" spans="1:31" s="572" customFormat="1">
      <c r="A1560" s="570" t="s">
        <v>3004</v>
      </c>
      <c r="B1560" s="573" t="s">
        <v>280</v>
      </c>
      <c r="C1560" s="578">
        <v>27</v>
      </c>
      <c r="D1560" s="573" t="s">
        <v>1516</v>
      </c>
      <c r="E1560" s="573" t="s">
        <v>1607</v>
      </c>
      <c r="F1560" s="573" t="s">
        <v>271</v>
      </c>
      <c r="G1560" s="573">
        <v>2019</v>
      </c>
      <c r="H1560" s="573" t="s">
        <v>2769</v>
      </c>
      <c r="I1560" s="573" t="s">
        <v>2144</v>
      </c>
      <c r="J1560" s="573" t="s">
        <v>236</v>
      </c>
      <c r="K1560" s="573">
        <v>15</v>
      </c>
      <c r="L1560" s="573">
        <v>0</v>
      </c>
      <c r="M1560" s="573" t="s">
        <v>157</v>
      </c>
      <c r="N1560" s="573">
        <v>5</v>
      </c>
      <c r="O1560" s="573">
        <v>82.4</v>
      </c>
      <c r="P1560" s="571" t="s">
        <v>157</v>
      </c>
      <c r="Q1560" s="573" t="s">
        <v>1917</v>
      </c>
      <c r="R1560" s="573">
        <v>5</v>
      </c>
      <c r="S1560" s="582" t="s">
        <v>2866</v>
      </c>
      <c r="T1560" s="573" t="s">
        <v>2107</v>
      </c>
      <c r="U1560" s="573">
        <v>147.6</v>
      </c>
      <c r="V1560" s="573">
        <v>25</v>
      </c>
      <c r="W1560" s="616">
        <v>9250</v>
      </c>
      <c r="X1560" s="617">
        <v>12</v>
      </c>
      <c r="Y1560" s="617" t="s">
        <v>728</v>
      </c>
      <c r="Z1560" s="617" t="s">
        <v>1523</v>
      </c>
      <c r="AA1560" s="618">
        <v>46255</v>
      </c>
      <c r="AB1560" s="618" t="s">
        <v>164</v>
      </c>
      <c r="AC1560" s="618">
        <v>33936.708333333336</v>
      </c>
      <c r="AD1560" s="619">
        <v>0.03</v>
      </c>
      <c r="AE1560" s="617" t="s">
        <v>2990</v>
      </c>
    </row>
    <row r="1561" spans="1:31" s="572" customFormat="1">
      <c r="A1561" s="570" t="s">
        <v>3005</v>
      </c>
      <c r="B1561" s="569" t="s">
        <v>280</v>
      </c>
      <c r="C1561" s="580">
        <v>27</v>
      </c>
      <c r="D1561" s="569" t="s">
        <v>1516</v>
      </c>
      <c r="E1561" s="569" t="s">
        <v>1607</v>
      </c>
      <c r="F1561" s="569" t="s">
        <v>271</v>
      </c>
      <c r="G1561" s="569">
        <v>2019</v>
      </c>
      <c r="H1561" s="569" t="s">
        <v>2769</v>
      </c>
      <c r="I1561" s="569" t="s">
        <v>2144</v>
      </c>
      <c r="J1561" s="569" t="s">
        <v>236</v>
      </c>
      <c r="K1561" s="569">
        <v>15</v>
      </c>
      <c r="L1561" s="569">
        <v>0</v>
      </c>
      <c r="M1561" s="569" t="s">
        <v>157</v>
      </c>
      <c r="N1561" s="569">
        <v>5</v>
      </c>
      <c r="O1561" s="569">
        <v>82.4</v>
      </c>
      <c r="P1561" s="568" t="s">
        <v>157</v>
      </c>
      <c r="Q1561" s="569" t="s">
        <v>1259</v>
      </c>
      <c r="R1561" s="569">
        <v>6</v>
      </c>
      <c r="S1561" s="569" t="s">
        <v>2866</v>
      </c>
      <c r="T1561" s="569" t="s">
        <v>2107</v>
      </c>
      <c r="U1561" s="569">
        <v>147.6</v>
      </c>
      <c r="V1561" s="569">
        <v>25</v>
      </c>
      <c r="W1561" s="620">
        <v>9000</v>
      </c>
      <c r="X1561" s="621">
        <v>12</v>
      </c>
      <c r="Y1561" s="621" t="s">
        <v>178</v>
      </c>
      <c r="Z1561" s="621" t="s">
        <v>178</v>
      </c>
      <c r="AA1561" s="622">
        <v>44125</v>
      </c>
      <c r="AB1561" s="622" t="s">
        <v>164</v>
      </c>
      <c r="AC1561" s="622">
        <v>32043.416666666668</v>
      </c>
      <c r="AD1561" s="623">
        <v>0.03</v>
      </c>
      <c r="AE1561" s="621" t="s">
        <v>2992</v>
      </c>
    </row>
    <row r="1562" spans="1:31" s="572" customFormat="1">
      <c r="A1562" s="570" t="s">
        <v>3006</v>
      </c>
      <c r="B1562" s="573" t="s">
        <v>280</v>
      </c>
      <c r="C1562" s="578">
        <v>27</v>
      </c>
      <c r="D1562" s="573" t="s">
        <v>1516</v>
      </c>
      <c r="E1562" s="573" t="s">
        <v>1607</v>
      </c>
      <c r="F1562" s="573" t="s">
        <v>271</v>
      </c>
      <c r="G1562" s="573">
        <v>2019</v>
      </c>
      <c r="H1562" s="573" t="s">
        <v>2769</v>
      </c>
      <c r="I1562" s="573" t="s">
        <v>2144</v>
      </c>
      <c r="J1562" s="573" t="s">
        <v>236</v>
      </c>
      <c r="K1562" s="573">
        <v>15</v>
      </c>
      <c r="L1562" s="573">
        <v>0</v>
      </c>
      <c r="M1562" s="573" t="s">
        <v>157</v>
      </c>
      <c r="N1562" s="573">
        <v>5</v>
      </c>
      <c r="O1562" s="573">
        <v>82.4</v>
      </c>
      <c r="P1562" s="571" t="s">
        <v>157</v>
      </c>
      <c r="Q1562" s="573" t="s">
        <v>682</v>
      </c>
      <c r="R1562" s="573">
        <v>6</v>
      </c>
      <c r="S1562" s="582" t="s">
        <v>2866</v>
      </c>
      <c r="T1562" s="573" t="s">
        <v>2107</v>
      </c>
      <c r="U1562" s="573">
        <v>147.6</v>
      </c>
      <c r="V1562" s="573">
        <v>25</v>
      </c>
      <c r="W1562" s="616">
        <v>9000</v>
      </c>
      <c r="X1562" s="617">
        <v>12</v>
      </c>
      <c r="Y1562" s="617" t="s">
        <v>178</v>
      </c>
      <c r="Z1562" s="617" t="s">
        <v>178</v>
      </c>
      <c r="AA1562" s="618">
        <v>42260</v>
      </c>
      <c r="AB1562" s="618" t="s">
        <v>164</v>
      </c>
      <c r="AC1562" s="618">
        <v>30387.166666666668</v>
      </c>
      <c r="AD1562" s="619">
        <v>0.03</v>
      </c>
      <c r="AE1562" s="617" t="s">
        <v>2994</v>
      </c>
    </row>
    <row r="1563" spans="1:31" s="572" customFormat="1">
      <c r="A1563" s="570" t="s">
        <v>3007</v>
      </c>
      <c r="B1563" s="569" t="s">
        <v>269</v>
      </c>
      <c r="C1563" s="580" t="s">
        <v>270</v>
      </c>
      <c r="D1563" s="569" t="s">
        <v>1516</v>
      </c>
      <c r="E1563" s="569" t="s">
        <v>3009</v>
      </c>
      <c r="F1563" s="569" t="s">
        <v>271</v>
      </c>
      <c r="G1563" s="569">
        <v>2019</v>
      </c>
      <c r="H1563" s="569" t="s">
        <v>3010</v>
      </c>
      <c r="I1563" s="569" t="s">
        <v>3011</v>
      </c>
      <c r="J1563" s="569" t="s">
        <v>156</v>
      </c>
      <c r="K1563" s="569">
        <v>2</v>
      </c>
      <c r="L1563" s="569">
        <v>0</v>
      </c>
      <c r="M1563" s="569" t="s">
        <v>157</v>
      </c>
      <c r="N1563" s="569">
        <v>1</v>
      </c>
      <c r="O1563" s="569">
        <v>72.5</v>
      </c>
      <c r="P1563" s="568" t="s">
        <v>157</v>
      </c>
      <c r="Q1563" s="569" t="s">
        <v>3012</v>
      </c>
      <c r="R1563" s="569">
        <v>4</v>
      </c>
      <c r="S1563" s="569" t="s">
        <v>3013</v>
      </c>
      <c r="T1563" s="569" t="s">
        <v>276</v>
      </c>
      <c r="U1563" s="569">
        <v>104.8</v>
      </c>
      <c r="V1563" s="569">
        <v>15.8</v>
      </c>
      <c r="W1563" s="620">
        <v>5240</v>
      </c>
      <c r="X1563" s="621" t="s">
        <v>157</v>
      </c>
      <c r="Y1563" s="621" t="s">
        <v>728</v>
      </c>
      <c r="Z1563" s="621" t="s">
        <v>728</v>
      </c>
      <c r="AA1563" s="622">
        <v>27290</v>
      </c>
      <c r="AB1563" s="622" t="s">
        <v>164</v>
      </c>
      <c r="AC1563" s="622">
        <v>24059.729166666668</v>
      </c>
      <c r="AD1563" s="623">
        <v>0.03</v>
      </c>
      <c r="AE1563" s="621" t="s">
        <v>3008</v>
      </c>
    </row>
    <row r="1564" spans="1:31" s="572" customFormat="1">
      <c r="A1564" s="570" t="s">
        <v>3014</v>
      </c>
      <c r="B1564" s="573" t="s">
        <v>269</v>
      </c>
      <c r="C1564" s="578" t="s">
        <v>270</v>
      </c>
      <c r="D1564" s="573" t="s">
        <v>1516</v>
      </c>
      <c r="E1564" s="573" t="s">
        <v>3009</v>
      </c>
      <c r="F1564" s="573" t="s">
        <v>271</v>
      </c>
      <c r="G1564" s="573">
        <v>2019</v>
      </c>
      <c r="H1564" s="573" t="s">
        <v>3010</v>
      </c>
      <c r="I1564" s="573" t="s">
        <v>3011</v>
      </c>
      <c r="J1564" s="573" t="s">
        <v>156</v>
      </c>
      <c r="K1564" s="573">
        <v>2</v>
      </c>
      <c r="L1564" s="573">
        <v>0</v>
      </c>
      <c r="M1564" s="573" t="s">
        <v>157</v>
      </c>
      <c r="N1564" s="573">
        <v>1</v>
      </c>
      <c r="O1564" s="573">
        <v>72.5</v>
      </c>
      <c r="P1564" s="571" t="s">
        <v>157</v>
      </c>
      <c r="Q1564" s="573" t="s">
        <v>3016</v>
      </c>
      <c r="R1564" s="573">
        <v>4</v>
      </c>
      <c r="S1564" s="582" t="s">
        <v>3013</v>
      </c>
      <c r="T1564" s="573" t="s">
        <v>276</v>
      </c>
      <c r="U1564" s="573">
        <v>104.8</v>
      </c>
      <c r="V1564" s="573">
        <v>15.8</v>
      </c>
      <c r="W1564" s="616">
        <v>5130</v>
      </c>
      <c r="X1564" s="617">
        <v>24</v>
      </c>
      <c r="Y1564" s="617" t="s">
        <v>178</v>
      </c>
      <c r="Z1564" s="617" t="s">
        <v>178</v>
      </c>
      <c r="AA1564" s="618">
        <v>25295</v>
      </c>
      <c r="AB1564" s="618" t="s">
        <v>164</v>
      </c>
      <c r="AC1564" s="618">
        <v>22287.6875</v>
      </c>
      <c r="AD1564" s="619">
        <v>0.03</v>
      </c>
      <c r="AE1564" s="617" t="s">
        <v>3015</v>
      </c>
    </row>
    <row r="1565" spans="1:31" s="572" customFormat="1">
      <c r="A1565" s="570" t="s">
        <v>3017</v>
      </c>
      <c r="B1565" s="569" t="s">
        <v>269</v>
      </c>
      <c r="C1565" s="580" t="s">
        <v>270</v>
      </c>
      <c r="D1565" s="569" t="s">
        <v>1516</v>
      </c>
      <c r="E1565" s="569" t="s">
        <v>3009</v>
      </c>
      <c r="F1565" s="569" t="s">
        <v>271</v>
      </c>
      <c r="G1565" s="569">
        <v>2019</v>
      </c>
      <c r="H1565" s="569" t="s">
        <v>3010</v>
      </c>
      <c r="I1565" s="569" t="s">
        <v>3011</v>
      </c>
      <c r="J1565" s="569" t="s">
        <v>156</v>
      </c>
      <c r="K1565" s="569">
        <v>2</v>
      </c>
      <c r="L1565" s="569">
        <v>0</v>
      </c>
      <c r="M1565" s="569" t="s">
        <v>157</v>
      </c>
      <c r="N1565" s="569">
        <v>1</v>
      </c>
      <c r="O1565" s="569">
        <v>72.5</v>
      </c>
      <c r="P1565" s="568" t="s">
        <v>157</v>
      </c>
      <c r="Q1565" s="569" t="s">
        <v>3019</v>
      </c>
      <c r="R1565" s="569">
        <v>4</v>
      </c>
      <c r="S1565" s="569" t="s">
        <v>3013</v>
      </c>
      <c r="T1565" s="569" t="s">
        <v>276</v>
      </c>
      <c r="U1565" s="569">
        <v>104.8</v>
      </c>
      <c r="V1565" s="569">
        <v>15.8</v>
      </c>
      <c r="W1565" s="620">
        <v>5110</v>
      </c>
      <c r="X1565" s="621">
        <v>24</v>
      </c>
      <c r="Y1565" s="621" t="s">
        <v>178</v>
      </c>
      <c r="Z1565" s="621" t="s">
        <v>178</v>
      </c>
      <c r="AA1565" s="622">
        <v>25610</v>
      </c>
      <c r="AB1565" s="622" t="s">
        <v>164</v>
      </c>
      <c r="AC1565" s="622">
        <v>22567.020833333336</v>
      </c>
      <c r="AD1565" s="623">
        <v>0.03</v>
      </c>
      <c r="AE1565" s="621" t="s">
        <v>3018</v>
      </c>
    </row>
    <row r="1566" spans="1:31" s="572" customFormat="1">
      <c r="A1566" s="570" t="s">
        <v>3020</v>
      </c>
      <c r="B1566" s="573" t="s">
        <v>269</v>
      </c>
      <c r="C1566" s="578" t="s">
        <v>270</v>
      </c>
      <c r="D1566" s="573" t="s">
        <v>1516</v>
      </c>
      <c r="E1566" s="573" t="s">
        <v>3009</v>
      </c>
      <c r="F1566" s="573" t="s">
        <v>271</v>
      </c>
      <c r="G1566" s="573">
        <v>2019</v>
      </c>
      <c r="H1566" s="573" t="s">
        <v>3010</v>
      </c>
      <c r="I1566" s="573" t="s">
        <v>3011</v>
      </c>
      <c r="J1566" s="573" t="s">
        <v>156</v>
      </c>
      <c r="K1566" s="573">
        <v>2</v>
      </c>
      <c r="L1566" s="573">
        <v>0</v>
      </c>
      <c r="M1566" s="573" t="s">
        <v>157</v>
      </c>
      <c r="N1566" s="573">
        <v>1</v>
      </c>
      <c r="O1566" s="573">
        <v>72.8</v>
      </c>
      <c r="P1566" s="571" t="s">
        <v>157</v>
      </c>
      <c r="Q1566" s="573" t="s">
        <v>3012</v>
      </c>
      <c r="R1566" s="573">
        <v>4</v>
      </c>
      <c r="S1566" s="582" t="s">
        <v>3022</v>
      </c>
      <c r="T1566" s="573" t="s">
        <v>276</v>
      </c>
      <c r="U1566" s="573">
        <v>120.6</v>
      </c>
      <c r="V1566" s="573">
        <v>15.8</v>
      </c>
      <c r="W1566" s="616">
        <v>5260</v>
      </c>
      <c r="X1566" s="617" t="s">
        <v>157</v>
      </c>
      <c r="Y1566" s="617" t="s">
        <v>728</v>
      </c>
      <c r="Z1566" s="617" t="s">
        <v>728</v>
      </c>
      <c r="AA1566" s="618">
        <v>28290</v>
      </c>
      <c r="AB1566" s="618" t="s">
        <v>164</v>
      </c>
      <c r="AC1566" s="618">
        <v>24984.729166666668</v>
      </c>
      <c r="AD1566" s="619">
        <v>0.03</v>
      </c>
      <c r="AE1566" s="617" t="s">
        <v>3021</v>
      </c>
    </row>
    <row r="1567" spans="1:31" s="572" customFormat="1">
      <c r="A1567" s="570" t="s">
        <v>3023</v>
      </c>
      <c r="B1567" s="569" t="s">
        <v>269</v>
      </c>
      <c r="C1567" s="580" t="s">
        <v>270</v>
      </c>
      <c r="D1567" s="569" t="s">
        <v>1516</v>
      </c>
      <c r="E1567" s="569" t="s">
        <v>3009</v>
      </c>
      <c r="F1567" s="569" t="s">
        <v>271</v>
      </c>
      <c r="G1567" s="569">
        <v>2019</v>
      </c>
      <c r="H1567" s="569" t="s">
        <v>3010</v>
      </c>
      <c r="I1567" s="569" t="s">
        <v>3011</v>
      </c>
      <c r="J1567" s="569" t="s">
        <v>156</v>
      </c>
      <c r="K1567" s="569">
        <v>2</v>
      </c>
      <c r="L1567" s="569">
        <v>0</v>
      </c>
      <c r="M1567" s="569" t="s">
        <v>157</v>
      </c>
      <c r="N1567" s="569">
        <v>1</v>
      </c>
      <c r="O1567" s="569">
        <v>72.8</v>
      </c>
      <c r="P1567" s="568" t="s">
        <v>157</v>
      </c>
      <c r="Q1567" s="569" t="s">
        <v>3016</v>
      </c>
      <c r="R1567" s="569">
        <v>4</v>
      </c>
      <c r="S1567" s="569" t="s">
        <v>3022</v>
      </c>
      <c r="T1567" s="569" t="s">
        <v>276</v>
      </c>
      <c r="U1567" s="569">
        <v>120.6</v>
      </c>
      <c r="V1567" s="569">
        <v>15.8</v>
      </c>
      <c r="W1567" s="620">
        <v>5302</v>
      </c>
      <c r="X1567" s="621">
        <v>24</v>
      </c>
      <c r="Y1567" s="621" t="s">
        <v>178</v>
      </c>
      <c r="Z1567" s="621" t="s">
        <v>178</v>
      </c>
      <c r="AA1567" s="622">
        <v>26295</v>
      </c>
      <c r="AB1567" s="622" t="s">
        <v>164</v>
      </c>
      <c r="AC1567" s="622">
        <v>23212.854166666668</v>
      </c>
      <c r="AD1567" s="623">
        <v>0.03</v>
      </c>
      <c r="AE1567" s="621" t="s">
        <v>3024</v>
      </c>
    </row>
    <row r="1568" spans="1:31" s="572" customFormat="1">
      <c r="A1568" s="570" t="s">
        <v>3025</v>
      </c>
      <c r="B1568" s="573" t="s">
        <v>269</v>
      </c>
      <c r="C1568" s="578" t="s">
        <v>270</v>
      </c>
      <c r="D1568" s="573" t="s">
        <v>1516</v>
      </c>
      <c r="E1568" s="573" t="s">
        <v>3009</v>
      </c>
      <c r="F1568" s="573" t="s">
        <v>271</v>
      </c>
      <c r="G1568" s="573">
        <v>2019</v>
      </c>
      <c r="H1568" s="573" t="s">
        <v>3010</v>
      </c>
      <c r="I1568" s="573" t="s">
        <v>3011</v>
      </c>
      <c r="J1568" s="573" t="s">
        <v>156</v>
      </c>
      <c r="K1568" s="573">
        <v>2</v>
      </c>
      <c r="L1568" s="573">
        <v>0</v>
      </c>
      <c r="M1568" s="573" t="s">
        <v>157</v>
      </c>
      <c r="N1568" s="573">
        <v>1</v>
      </c>
      <c r="O1568" s="573">
        <v>72.8</v>
      </c>
      <c r="P1568" s="571" t="s">
        <v>157</v>
      </c>
      <c r="Q1568" s="573" t="s">
        <v>3019</v>
      </c>
      <c r="R1568" s="573">
        <v>4</v>
      </c>
      <c r="S1568" s="582" t="s">
        <v>3022</v>
      </c>
      <c r="T1568" s="573" t="s">
        <v>276</v>
      </c>
      <c r="U1568" s="573">
        <v>120.6</v>
      </c>
      <c r="V1568" s="573">
        <v>15.8</v>
      </c>
      <c r="W1568" s="616">
        <v>5302</v>
      </c>
      <c r="X1568" s="617">
        <v>24</v>
      </c>
      <c r="Y1568" s="617" t="s">
        <v>178</v>
      </c>
      <c r="Z1568" s="617" t="s">
        <v>178</v>
      </c>
      <c r="AA1568" s="618">
        <v>26610</v>
      </c>
      <c r="AB1568" s="618" t="s">
        <v>164</v>
      </c>
      <c r="AC1568" s="618">
        <v>23492.020833333336</v>
      </c>
      <c r="AD1568" s="619">
        <v>0.03</v>
      </c>
      <c r="AE1568" s="617" t="s">
        <v>3026</v>
      </c>
    </row>
    <row r="1569" spans="1:31" s="572" customFormat="1">
      <c r="A1569" s="570" t="s">
        <v>3027</v>
      </c>
      <c r="B1569" s="569" t="s">
        <v>278</v>
      </c>
      <c r="C1569" s="580">
        <v>15</v>
      </c>
      <c r="D1569" s="569" t="s">
        <v>1516</v>
      </c>
      <c r="E1569" s="569" t="s">
        <v>3009</v>
      </c>
      <c r="F1569" s="569" t="s">
        <v>271</v>
      </c>
      <c r="G1569" s="569">
        <v>2019</v>
      </c>
      <c r="H1569" s="569" t="s">
        <v>3010</v>
      </c>
      <c r="I1569" s="569" t="s">
        <v>3011</v>
      </c>
      <c r="J1569" s="569" t="s">
        <v>156</v>
      </c>
      <c r="K1569" s="569">
        <v>2</v>
      </c>
      <c r="L1569" s="569">
        <v>0</v>
      </c>
      <c r="M1569" s="569" t="s">
        <v>157</v>
      </c>
      <c r="N1569" s="569">
        <v>1</v>
      </c>
      <c r="O1569" s="569">
        <v>72.5</v>
      </c>
      <c r="P1569" s="568" t="s">
        <v>157</v>
      </c>
      <c r="Q1569" s="569" t="s">
        <v>352</v>
      </c>
      <c r="R1569" s="569">
        <v>4</v>
      </c>
      <c r="S1569" s="569" t="s">
        <v>3013</v>
      </c>
      <c r="T1569" s="569" t="s">
        <v>276</v>
      </c>
      <c r="U1569" s="569">
        <v>104.8</v>
      </c>
      <c r="V1569" s="569">
        <v>15.8</v>
      </c>
      <c r="W1569" s="620">
        <v>5020</v>
      </c>
      <c r="X1569" s="621">
        <v>24</v>
      </c>
      <c r="Y1569" s="621" t="s">
        <v>178</v>
      </c>
      <c r="Z1569" s="621" t="s">
        <v>178</v>
      </c>
      <c r="AA1569" s="622">
        <v>25295</v>
      </c>
      <c r="AB1569" s="622" t="s">
        <v>164</v>
      </c>
      <c r="AC1569" s="622">
        <v>22700</v>
      </c>
      <c r="AD1569" s="623">
        <v>0.01</v>
      </c>
      <c r="AE1569" s="621" t="s">
        <v>3015</v>
      </c>
    </row>
    <row r="1570" spans="1:31" s="572" customFormat="1">
      <c r="A1570" s="570" t="s">
        <v>3028</v>
      </c>
      <c r="B1570" s="573" t="s">
        <v>278</v>
      </c>
      <c r="C1570" s="578">
        <v>15</v>
      </c>
      <c r="D1570" s="573" t="s">
        <v>1516</v>
      </c>
      <c r="E1570" s="573" t="s">
        <v>3009</v>
      </c>
      <c r="F1570" s="573" t="s">
        <v>271</v>
      </c>
      <c r="G1570" s="573">
        <v>2019</v>
      </c>
      <c r="H1570" s="573" t="s">
        <v>3010</v>
      </c>
      <c r="I1570" s="573" t="s">
        <v>3011</v>
      </c>
      <c r="J1570" s="573" t="s">
        <v>156</v>
      </c>
      <c r="K1570" s="573">
        <v>2</v>
      </c>
      <c r="L1570" s="573">
        <v>0</v>
      </c>
      <c r="M1570" s="573" t="s">
        <v>157</v>
      </c>
      <c r="N1570" s="573">
        <v>1</v>
      </c>
      <c r="O1570" s="573">
        <v>72.8</v>
      </c>
      <c r="P1570" s="571" t="s">
        <v>157</v>
      </c>
      <c r="Q1570" s="573" t="s">
        <v>352</v>
      </c>
      <c r="R1570" s="573">
        <v>4</v>
      </c>
      <c r="S1570" s="582" t="s">
        <v>3022</v>
      </c>
      <c r="T1570" s="573" t="s">
        <v>276</v>
      </c>
      <c r="U1570" s="573">
        <v>120.6</v>
      </c>
      <c r="V1570" s="573">
        <v>15.8</v>
      </c>
      <c r="W1570" s="616">
        <v>5270</v>
      </c>
      <c r="X1570" s="617">
        <v>24</v>
      </c>
      <c r="Y1570" s="617" t="s">
        <v>178</v>
      </c>
      <c r="Z1570" s="617" t="s">
        <v>178</v>
      </c>
      <c r="AA1570" s="618">
        <v>26295</v>
      </c>
      <c r="AB1570" s="618" t="s">
        <v>164</v>
      </c>
      <c r="AC1570" s="618">
        <v>23700</v>
      </c>
      <c r="AD1570" s="619">
        <v>0.01</v>
      </c>
      <c r="AE1570" s="617" t="s">
        <v>3024</v>
      </c>
    </row>
    <row r="1571" spans="1:31" s="572" customFormat="1">
      <c r="A1571" s="570" t="s">
        <v>3029</v>
      </c>
      <c r="B1571" s="569" t="s">
        <v>287</v>
      </c>
      <c r="C1571" s="580">
        <v>26</v>
      </c>
      <c r="D1571" s="569" t="s">
        <v>1516</v>
      </c>
      <c r="E1571" s="569" t="s">
        <v>3009</v>
      </c>
      <c r="F1571" s="569" t="s">
        <v>271</v>
      </c>
      <c r="G1571" s="569">
        <v>2019</v>
      </c>
      <c r="H1571" s="569" t="s">
        <v>3010</v>
      </c>
      <c r="I1571" s="569" t="s">
        <v>3011</v>
      </c>
      <c r="J1571" s="569" t="s">
        <v>156</v>
      </c>
      <c r="K1571" s="569">
        <v>2</v>
      </c>
      <c r="L1571" s="569">
        <v>0</v>
      </c>
      <c r="M1571" s="569" t="s">
        <v>157</v>
      </c>
      <c r="N1571" s="569">
        <v>1</v>
      </c>
      <c r="O1571" s="569">
        <v>72.5</v>
      </c>
      <c r="P1571" s="568" t="s">
        <v>157</v>
      </c>
      <c r="Q1571" s="569" t="s">
        <v>189</v>
      </c>
      <c r="R1571" s="569">
        <v>4</v>
      </c>
      <c r="S1571" s="569" t="s">
        <v>3013</v>
      </c>
      <c r="T1571" s="569" t="s">
        <v>276</v>
      </c>
      <c r="U1571" s="569">
        <v>104.8</v>
      </c>
      <c r="V1571" s="569">
        <v>15.8</v>
      </c>
      <c r="W1571" s="620">
        <v>5020</v>
      </c>
      <c r="X1571" s="621">
        <v>24</v>
      </c>
      <c r="Y1571" s="621" t="s">
        <v>178</v>
      </c>
      <c r="Z1571" s="621" t="s">
        <v>178</v>
      </c>
      <c r="AA1571" s="622">
        <v>25220</v>
      </c>
      <c r="AB1571" s="622" t="s">
        <v>164</v>
      </c>
      <c r="AC1571" s="622">
        <v>23092</v>
      </c>
      <c r="AD1571" s="623">
        <v>0.05</v>
      </c>
      <c r="AE1571" s="621" t="s">
        <v>3015</v>
      </c>
    </row>
    <row r="1572" spans="1:31" s="572" customFormat="1">
      <c r="A1572" s="570" t="s">
        <v>3030</v>
      </c>
      <c r="B1572" s="573" t="s">
        <v>287</v>
      </c>
      <c r="C1572" s="578">
        <v>26</v>
      </c>
      <c r="D1572" s="573" t="s">
        <v>1516</v>
      </c>
      <c r="E1572" s="573" t="s">
        <v>3009</v>
      </c>
      <c r="F1572" s="573" t="s">
        <v>271</v>
      </c>
      <c r="G1572" s="573">
        <v>2019</v>
      </c>
      <c r="H1572" s="573" t="s">
        <v>3010</v>
      </c>
      <c r="I1572" s="573" t="s">
        <v>3011</v>
      </c>
      <c r="J1572" s="573" t="s">
        <v>156</v>
      </c>
      <c r="K1572" s="573">
        <v>2</v>
      </c>
      <c r="L1572" s="573">
        <v>0</v>
      </c>
      <c r="M1572" s="573" t="s">
        <v>157</v>
      </c>
      <c r="N1572" s="573">
        <v>1</v>
      </c>
      <c r="O1572" s="573">
        <v>72.8</v>
      </c>
      <c r="P1572" s="571" t="s">
        <v>157</v>
      </c>
      <c r="Q1572" s="573" t="s">
        <v>189</v>
      </c>
      <c r="R1572" s="573">
        <v>4</v>
      </c>
      <c r="S1572" s="582" t="s">
        <v>3022</v>
      </c>
      <c r="T1572" s="573" t="s">
        <v>276</v>
      </c>
      <c r="U1572" s="573">
        <v>120.6</v>
      </c>
      <c r="V1572" s="573">
        <v>15.8</v>
      </c>
      <c r="W1572" s="616">
        <v>5270</v>
      </c>
      <c r="X1572" s="617">
        <v>24</v>
      </c>
      <c r="Y1572" s="617" t="s">
        <v>178</v>
      </c>
      <c r="Z1572" s="617" t="s">
        <v>178</v>
      </c>
      <c r="AA1572" s="618">
        <v>26220</v>
      </c>
      <c r="AB1572" s="618" t="s">
        <v>164</v>
      </c>
      <c r="AC1572" s="618">
        <v>24050</v>
      </c>
      <c r="AD1572" s="619">
        <v>0.05</v>
      </c>
      <c r="AE1572" s="617" t="s">
        <v>3024</v>
      </c>
    </row>
    <row r="1573" spans="1:31" s="572" customFormat="1">
      <c r="A1573" s="570" t="s">
        <v>3031</v>
      </c>
      <c r="B1573" s="569" t="s">
        <v>280</v>
      </c>
      <c r="C1573" s="580">
        <v>27</v>
      </c>
      <c r="D1573" s="569" t="s">
        <v>1516</v>
      </c>
      <c r="E1573" s="569" t="s">
        <v>3009</v>
      </c>
      <c r="F1573" s="569" t="s">
        <v>271</v>
      </c>
      <c r="G1573" s="569">
        <v>2019</v>
      </c>
      <c r="H1573" s="569" t="s">
        <v>3010</v>
      </c>
      <c r="I1573" s="569" t="s">
        <v>3011</v>
      </c>
      <c r="J1573" s="569" t="s">
        <v>156</v>
      </c>
      <c r="K1573" s="569">
        <v>2</v>
      </c>
      <c r="L1573" s="569">
        <v>0</v>
      </c>
      <c r="M1573" s="569" t="s">
        <v>157</v>
      </c>
      <c r="N1573" s="569">
        <v>1</v>
      </c>
      <c r="O1573" s="569">
        <v>72.5</v>
      </c>
      <c r="P1573" s="568" t="s">
        <v>157</v>
      </c>
      <c r="Q1573" s="569" t="s">
        <v>3012</v>
      </c>
      <c r="R1573" s="569">
        <v>4</v>
      </c>
      <c r="S1573" s="569" t="s">
        <v>3013</v>
      </c>
      <c r="T1573" s="569" t="s">
        <v>276</v>
      </c>
      <c r="U1573" s="569">
        <v>104.8</v>
      </c>
      <c r="V1573" s="569">
        <v>15.8</v>
      </c>
      <c r="W1573" s="620">
        <v>5240</v>
      </c>
      <c r="X1573" s="621" t="s">
        <v>157</v>
      </c>
      <c r="Y1573" s="621" t="s">
        <v>728</v>
      </c>
      <c r="Z1573" s="621" t="s">
        <v>728</v>
      </c>
      <c r="AA1573" s="622">
        <v>27290</v>
      </c>
      <c r="AB1573" s="622" t="s">
        <v>164</v>
      </c>
      <c r="AC1573" s="622">
        <v>24059.729166666668</v>
      </c>
      <c r="AD1573" s="623">
        <v>0.03</v>
      </c>
      <c r="AE1573" s="621" t="s">
        <v>3008</v>
      </c>
    </row>
    <row r="1574" spans="1:31" s="572" customFormat="1">
      <c r="A1574" s="570" t="s">
        <v>3032</v>
      </c>
      <c r="B1574" s="573" t="s">
        <v>280</v>
      </c>
      <c r="C1574" s="578">
        <v>27</v>
      </c>
      <c r="D1574" s="573" t="s">
        <v>1516</v>
      </c>
      <c r="E1574" s="573" t="s">
        <v>3009</v>
      </c>
      <c r="F1574" s="573" t="s">
        <v>271</v>
      </c>
      <c r="G1574" s="573">
        <v>2019</v>
      </c>
      <c r="H1574" s="573" t="s">
        <v>3010</v>
      </c>
      <c r="I1574" s="573" t="s">
        <v>3011</v>
      </c>
      <c r="J1574" s="573" t="s">
        <v>156</v>
      </c>
      <c r="K1574" s="573">
        <v>2</v>
      </c>
      <c r="L1574" s="573">
        <v>0</v>
      </c>
      <c r="M1574" s="573" t="s">
        <v>157</v>
      </c>
      <c r="N1574" s="573">
        <v>1</v>
      </c>
      <c r="O1574" s="573">
        <v>72.5</v>
      </c>
      <c r="P1574" s="571" t="s">
        <v>157</v>
      </c>
      <c r="Q1574" s="573" t="s">
        <v>3016</v>
      </c>
      <c r="R1574" s="573">
        <v>4</v>
      </c>
      <c r="S1574" s="582" t="s">
        <v>3013</v>
      </c>
      <c r="T1574" s="573" t="s">
        <v>276</v>
      </c>
      <c r="U1574" s="573">
        <v>104.8</v>
      </c>
      <c r="V1574" s="573">
        <v>15.8</v>
      </c>
      <c r="W1574" s="616">
        <v>5130</v>
      </c>
      <c r="X1574" s="617">
        <v>24</v>
      </c>
      <c r="Y1574" s="617" t="s">
        <v>178</v>
      </c>
      <c r="Z1574" s="617" t="s">
        <v>178</v>
      </c>
      <c r="AA1574" s="618">
        <v>25295</v>
      </c>
      <c r="AB1574" s="618" t="s">
        <v>164</v>
      </c>
      <c r="AC1574" s="618">
        <v>22287.6875</v>
      </c>
      <c r="AD1574" s="619">
        <v>0.03</v>
      </c>
      <c r="AE1574" s="617" t="s">
        <v>3015</v>
      </c>
    </row>
    <row r="1575" spans="1:31" s="572" customFormat="1">
      <c r="A1575" s="570" t="s">
        <v>3033</v>
      </c>
      <c r="B1575" s="569" t="s">
        <v>280</v>
      </c>
      <c r="C1575" s="580">
        <v>27</v>
      </c>
      <c r="D1575" s="569" t="s">
        <v>1516</v>
      </c>
      <c r="E1575" s="569" t="s">
        <v>3009</v>
      </c>
      <c r="F1575" s="569" t="s">
        <v>271</v>
      </c>
      <c r="G1575" s="569">
        <v>2019</v>
      </c>
      <c r="H1575" s="569" t="s">
        <v>3010</v>
      </c>
      <c r="I1575" s="569" t="s">
        <v>3011</v>
      </c>
      <c r="J1575" s="569" t="s">
        <v>156</v>
      </c>
      <c r="K1575" s="569">
        <v>2</v>
      </c>
      <c r="L1575" s="569">
        <v>0</v>
      </c>
      <c r="M1575" s="569" t="s">
        <v>157</v>
      </c>
      <c r="N1575" s="569">
        <v>1</v>
      </c>
      <c r="O1575" s="569">
        <v>72.5</v>
      </c>
      <c r="P1575" s="568" t="s">
        <v>157</v>
      </c>
      <c r="Q1575" s="569" t="s">
        <v>3019</v>
      </c>
      <c r="R1575" s="569">
        <v>4</v>
      </c>
      <c r="S1575" s="569" t="s">
        <v>3013</v>
      </c>
      <c r="T1575" s="569" t="s">
        <v>276</v>
      </c>
      <c r="U1575" s="569">
        <v>104.8</v>
      </c>
      <c r="V1575" s="569">
        <v>15.8</v>
      </c>
      <c r="W1575" s="620">
        <v>5110</v>
      </c>
      <c r="X1575" s="621">
        <v>24</v>
      </c>
      <c r="Y1575" s="621" t="s">
        <v>178</v>
      </c>
      <c r="Z1575" s="621" t="s">
        <v>178</v>
      </c>
      <c r="AA1575" s="622">
        <v>25610</v>
      </c>
      <c r="AB1575" s="622" t="s">
        <v>164</v>
      </c>
      <c r="AC1575" s="622">
        <v>22567.020833333336</v>
      </c>
      <c r="AD1575" s="623">
        <v>0.03</v>
      </c>
      <c r="AE1575" s="621" t="s">
        <v>3018</v>
      </c>
    </row>
    <row r="1576" spans="1:31" s="572" customFormat="1">
      <c r="A1576" s="570" t="s">
        <v>3034</v>
      </c>
      <c r="B1576" s="573" t="s">
        <v>280</v>
      </c>
      <c r="C1576" s="578">
        <v>27</v>
      </c>
      <c r="D1576" s="573" t="s">
        <v>1516</v>
      </c>
      <c r="E1576" s="573" t="s">
        <v>3009</v>
      </c>
      <c r="F1576" s="573" t="s">
        <v>271</v>
      </c>
      <c r="G1576" s="573">
        <v>2019</v>
      </c>
      <c r="H1576" s="573" t="s">
        <v>3010</v>
      </c>
      <c r="I1576" s="573" t="s">
        <v>3011</v>
      </c>
      <c r="J1576" s="573" t="s">
        <v>156</v>
      </c>
      <c r="K1576" s="573">
        <v>2</v>
      </c>
      <c r="L1576" s="573">
        <v>0</v>
      </c>
      <c r="M1576" s="573" t="s">
        <v>157</v>
      </c>
      <c r="N1576" s="573">
        <v>1</v>
      </c>
      <c r="O1576" s="573">
        <v>72.8</v>
      </c>
      <c r="P1576" s="571" t="s">
        <v>157</v>
      </c>
      <c r="Q1576" s="573" t="s">
        <v>3012</v>
      </c>
      <c r="R1576" s="573">
        <v>4</v>
      </c>
      <c r="S1576" s="582" t="s">
        <v>3022</v>
      </c>
      <c r="T1576" s="573" t="s">
        <v>276</v>
      </c>
      <c r="U1576" s="573">
        <v>120.6</v>
      </c>
      <c r="V1576" s="573">
        <v>15.8</v>
      </c>
      <c r="W1576" s="616">
        <v>5260</v>
      </c>
      <c r="X1576" s="617" t="s">
        <v>157</v>
      </c>
      <c r="Y1576" s="617" t="s">
        <v>728</v>
      </c>
      <c r="Z1576" s="617" t="s">
        <v>728</v>
      </c>
      <c r="AA1576" s="618">
        <v>28290</v>
      </c>
      <c r="AB1576" s="618" t="s">
        <v>164</v>
      </c>
      <c r="AC1576" s="618">
        <v>24984.729166666668</v>
      </c>
      <c r="AD1576" s="619">
        <v>0.03</v>
      </c>
      <c r="AE1576" s="617" t="s">
        <v>3021</v>
      </c>
    </row>
    <row r="1577" spans="1:31" s="572" customFormat="1">
      <c r="A1577" s="570" t="s">
        <v>3035</v>
      </c>
      <c r="B1577" s="569" t="s">
        <v>280</v>
      </c>
      <c r="C1577" s="580">
        <v>27</v>
      </c>
      <c r="D1577" s="569" t="s">
        <v>1516</v>
      </c>
      <c r="E1577" s="569" t="s">
        <v>3009</v>
      </c>
      <c r="F1577" s="569" t="s">
        <v>271</v>
      </c>
      <c r="G1577" s="569">
        <v>2019</v>
      </c>
      <c r="H1577" s="569" t="s">
        <v>3010</v>
      </c>
      <c r="I1577" s="569" t="s">
        <v>3011</v>
      </c>
      <c r="J1577" s="569" t="s">
        <v>156</v>
      </c>
      <c r="K1577" s="569">
        <v>2</v>
      </c>
      <c r="L1577" s="569">
        <v>0</v>
      </c>
      <c r="M1577" s="569" t="s">
        <v>157</v>
      </c>
      <c r="N1577" s="569">
        <v>1</v>
      </c>
      <c r="O1577" s="569">
        <v>72.8</v>
      </c>
      <c r="P1577" s="568" t="s">
        <v>157</v>
      </c>
      <c r="Q1577" s="569" t="s">
        <v>3016</v>
      </c>
      <c r="R1577" s="569">
        <v>4</v>
      </c>
      <c r="S1577" s="569" t="s">
        <v>3022</v>
      </c>
      <c r="T1577" s="569" t="s">
        <v>276</v>
      </c>
      <c r="U1577" s="569">
        <v>120.6</v>
      </c>
      <c r="V1577" s="569">
        <v>15.8</v>
      </c>
      <c r="W1577" s="620">
        <v>5302</v>
      </c>
      <c r="X1577" s="621">
        <v>24</v>
      </c>
      <c r="Y1577" s="621" t="s">
        <v>178</v>
      </c>
      <c r="Z1577" s="621" t="s">
        <v>178</v>
      </c>
      <c r="AA1577" s="622">
        <v>26295</v>
      </c>
      <c r="AB1577" s="622" t="s">
        <v>164</v>
      </c>
      <c r="AC1577" s="622">
        <v>23212.854166666668</v>
      </c>
      <c r="AD1577" s="623">
        <v>0.03</v>
      </c>
      <c r="AE1577" s="621" t="s">
        <v>3024</v>
      </c>
    </row>
    <row r="1578" spans="1:31" s="572" customFormat="1">
      <c r="A1578" s="570" t="s">
        <v>3036</v>
      </c>
      <c r="B1578" s="573" t="s">
        <v>280</v>
      </c>
      <c r="C1578" s="578">
        <v>27</v>
      </c>
      <c r="D1578" s="573" t="s">
        <v>1516</v>
      </c>
      <c r="E1578" s="573" t="s">
        <v>3009</v>
      </c>
      <c r="F1578" s="573" t="s">
        <v>271</v>
      </c>
      <c r="G1578" s="573">
        <v>2019</v>
      </c>
      <c r="H1578" s="573" t="s">
        <v>3010</v>
      </c>
      <c r="I1578" s="573" t="s">
        <v>3011</v>
      </c>
      <c r="J1578" s="573" t="s">
        <v>156</v>
      </c>
      <c r="K1578" s="573">
        <v>2</v>
      </c>
      <c r="L1578" s="573">
        <v>0</v>
      </c>
      <c r="M1578" s="573" t="s">
        <v>157</v>
      </c>
      <c r="N1578" s="573">
        <v>1</v>
      </c>
      <c r="O1578" s="573">
        <v>72.8</v>
      </c>
      <c r="P1578" s="571" t="s">
        <v>157</v>
      </c>
      <c r="Q1578" s="573" t="s">
        <v>3019</v>
      </c>
      <c r="R1578" s="573">
        <v>4</v>
      </c>
      <c r="S1578" s="582" t="s">
        <v>3022</v>
      </c>
      <c r="T1578" s="573" t="s">
        <v>276</v>
      </c>
      <c r="U1578" s="573">
        <v>120.6</v>
      </c>
      <c r="V1578" s="573">
        <v>15.8</v>
      </c>
      <c r="W1578" s="616">
        <v>5302</v>
      </c>
      <c r="X1578" s="617">
        <v>24</v>
      </c>
      <c r="Y1578" s="617" t="s">
        <v>178</v>
      </c>
      <c r="Z1578" s="617" t="s">
        <v>178</v>
      </c>
      <c r="AA1578" s="618">
        <v>26610</v>
      </c>
      <c r="AB1578" s="618" t="s">
        <v>164</v>
      </c>
      <c r="AC1578" s="618">
        <v>23492.020833333336</v>
      </c>
      <c r="AD1578" s="619">
        <v>0.03</v>
      </c>
      <c r="AE1578" s="617" t="s">
        <v>3026</v>
      </c>
    </row>
    <row r="1579" spans="1:31" s="572" customFormat="1">
      <c r="A1579" s="570" t="s">
        <v>3037</v>
      </c>
      <c r="B1579" s="569" t="s">
        <v>269</v>
      </c>
      <c r="C1579" s="580" t="s">
        <v>270</v>
      </c>
      <c r="D1579" s="569" t="s">
        <v>1516</v>
      </c>
      <c r="E1579" s="569" t="s">
        <v>3009</v>
      </c>
      <c r="F1579" s="569" t="s">
        <v>271</v>
      </c>
      <c r="G1579" s="569">
        <v>2019</v>
      </c>
      <c r="H1579" s="569" t="s">
        <v>3010</v>
      </c>
      <c r="I1579" s="569" t="s">
        <v>3039</v>
      </c>
      <c r="J1579" s="569" t="s">
        <v>156</v>
      </c>
      <c r="K1579" s="569">
        <v>2</v>
      </c>
      <c r="L1579" s="569">
        <v>0</v>
      </c>
      <c r="M1579" s="569" t="s">
        <v>157</v>
      </c>
      <c r="N1579" s="569">
        <v>1</v>
      </c>
      <c r="O1579" s="569">
        <v>72.5</v>
      </c>
      <c r="P1579" s="568" t="s">
        <v>157</v>
      </c>
      <c r="Q1579" s="569" t="s">
        <v>3012</v>
      </c>
      <c r="R1579" s="569">
        <v>4</v>
      </c>
      <c r="S1579" s="569" t="s">
        <v>3040</v>
      </c>
      <c r="T1579" s="569" t="s">
        <v>276</v>
      </c>
      <c r="U1579" s="569">
        <v>104.8</v>
      </c>
      <c r="V1579" s="569">
        <v>15.8</v>
      </c>
      <c r="W1579" s="620">
        <v>5240</v>
      </c>
      <c r="X1579" s="621" t="s">
        <v>157</v>
      </c>
      <c r="Y1579" s="621" t="s">
        <v>728</v>
      </c>
      <c r="Z1579" s="621" t="s">
        <v>728</v>
      </c>
      <c r="AA1579" s="622">
        <v>27290</v>
      </c>
      <c r="AB1579" s="622" t="s">
        <v>164</v>
      </c>
      <c r="AC1579" s="622">
        <v>24059.729166666668</v>
      </c>
      <c r="AD1579" s="623">
        <v>0.03</v>
      </c>
      <c r="AE1579" s="621" t="s">
        <v>3038</v>
      </c>
    </row>
    <row r="1580" spans="1:31" s="572" customFormat="1">
      <c r="A1580" s="570" t="s">
        <v>3041</v>
      </c>
      <c r="B1580" s="573" t="s">
        <v>269</v>
      </c>
      <c r="C1580" s="578" t="s">
        <v>270</v>
      </c>
      <c r="D1580" s="573" t="s">
        <v>1516</v>
      </c>
      <c r="E1580" s="573" t="s">
        <v>3009</v>
      </c>
      <c r="F1580" s="573" t="s">
        <v>271</v>
      </c>
      <c r="G1580" s="573">
        <v>2019</v>
      </c>
      <c r="H1580" s="573" t="s">
        <v>3010</v>
      </c>
      <c r="I1580" s="573" t="s">
        <v>3039</v>
      </c>
      <c r="J1580" s="573" t="s">
        <v>156</v>
      </c>
      <c r="K1580" s="573">
        <v>2</v>
      </c>
      <c r="L1580" s="573">
        <v>0</v>
      </c>
      <c r="M1580" s="573" t="s">
        <v>157</v>
      </c>
      <c r="N1580" s="573">
        <v>1</v>
      </c>
      <c r="O1580" s="573">
        <v>72.5</v>
      </c>
      <c r="P1580" s="571" t="s">
        <v>157</v>
      </c>
      <c r="Q1580" s="573" t="s">
        <v>3016</v>
      </c>
      <c r="R1580" s="573">
        <v>4</v>
      </c>
      <c r="S1580" s="582" t="s">
        <v>3040</v>
      </c>
      <c r="T1580" s="573" t="s">
        <v>276</v>
      </c>
      <c r="U1580" s="573">
        <v>104.8</v>
      </c>
      <c r="V1580" s="573">
        <v>15.8</v>
      </c>
      <c r="W1580" s="616">
        <v>5130</v>
      </c>
      <c r="X1580" s="617">
        <v>24</v>
      </c>
      <c r="Y1580" s="617" t="s">
        <v>178</v>
      </c>
      <c r="Z1580" s="617" t="s">
        <v>178</v>
      </c>
      <c r="AA1580" s="618">
        <v>25295</v>
      </c>
      <c r="AB1580" s="618" t="s">
        <v>164</v>
      </c>
      <c r="AC1580" s="618">
        <v>22287.6875</v>
      </c>
      <c r="AD1580" s="619">
        <v>0.03</v>
      </c>
      <c r="AE1580" s="617" t="s">
        <v>3042</v>
      </c>
    </row>
    <row r="1581" spans="1:31" s="572" customFormat="1">
      <c r="A1581" s="570" t="s">
        <v>3043</v>
      </c>
      <c r="B1581" s="569" t="s">
        <v>269</v>
      </c>
      <c r="C1581" s="580" t="s">
        <v>270</v>
      </c>
      <c r="D1581" s="569" t="s">
        <v>1516</v>
      </c>
      <c r="E1581" s="569" t="s">
        <v>3009</v>
      </c>
      <c r="F1581" s="569" t="s">
        <v>271</v>
      </c>
      <c r="G1581" s="569">
        <v>2019</v>
      </c>
      <c r="H1581" s="569" t="s">
        <v>3010</v>
      </c>
      <c r="I1581" s="569" t="s">
        <v>3039</v>
      </c>
      <c r="J1581" s="569" t="s">
        <v>156</v>
      </c>
      <c r="K1581" s="569">
        <v>2</v>
      </c>
      <c r="L1581" s="569">
        <v>0</v>
      </c>
      <c r="M1581" s="569" t="s">
        <v>157</v>
      </c>
      <c r="N1581" s="569">
        <v>1</v>
      </c>
      <c r="O1581" s="569">
        <v>72.5</v>
      </c>
      <c r="P1581" s="568" t="s">
        <v>157</v>
      </c>
      <c r="Q1581" s="569" t="s">
        <v>3019</v>
      </c>
      <c r="R1581" s="569">
        <v>4</v>
      </c>
      <c r="S1581" s="569" t="s">
        <v>3040</v>
      </c>
      <c r="T1581" s="569" t="s">
        <v>276</v>
      </c>
      <c r="U1581" s="569">
        <v>104.8</v>
      </c>
      <c r="V1581" s="569">
        <v>15.8</v>
      </c>
      <c r="W1581" s="620">
        <v>5110</v>
      </c>
      <c r="X1581" s="621">
        <v>24</v>
      </c>
      <c r="Y1581" s="621" t="s">
        <v>178</v>
      </c>
      <c r="Z1581" s="621" t="s">
        <v>178</v>
      </c>
      <c r="AA1581" s="622">
        <v>25610</v>
      </c>
      <c r="AB1581" s="622" t="s">
        <v>164</v>
      </c>
      <c r="AC1581" s="622">
        <v>22567.020833333336</v>
      </c>
      <c r="AD1581" s="623">
        <v>0.03</v>
      </c>
      <c r="AE1581" s="621" t="s">
        <v>3044</v>
      </c>
    </row>
    <row r="1582" spans="1:31" s="572" customFormat="1">
      <c r="A1582" s="570" t="s">
        <v>3045</v>
      </c>
      <c r="B1582" s="573" t="s">
        <v>269</v>
      </c>
      <c r="C1582" s="578" t="s">
        <v>270</v>
      </c>
      <c r="D1582" s="573" t="s">
        <v>1516</v>
      </c>
      <c r="E1582" s="573" t="s">
        <v>3009</v>
      </c>
      <c r="F1582" s="573" t="s">
        <v>271</v>
      </c>
      <c r="G1582" s="573">
        <v>2019</v>
      </c>
      <c r="H1582" s="573" t="s">
        <v>3010</v>
      </c>
      <c r="I1582" s="573" t="s">
        <v>3039</v>
      </c>
      <c r="J1582" s="573" t="s">
        <v>156</v>
      </c>
      <c r="K1582" s="573">
        <v>2</v>
      </c>
      <c r="L1582" s="573">
        <v>0</v>
      </c>
      <c r="M1582" s="573" t="s">
        <v>157</v>
      </c>
      <c r="N1582" s="573">
        <v>1</v>
      </c>
      <c r="O1582" s="573">
        <v>72.8</v>
      </c>
      <c r="P1582" s="571" t="s">
        <v>157</v>
      </c>
      <c r="Q1582" s="573" t="s">
        <v>3012</v>
      </c>
      <c r="R1582" s="573">
        <v>4</v>
      </c>
      <c r="S1582" s="582" t="s">
        <v>3047</v>
      </c>
      <c r="T1582" s="573" t="s">
        <v>276</v>
      </c>
      <c r="U1582" s="573">
        <v>120.6</v>
      </c>
      <c r="V1582" s="573">
        <v>15.8</v>
      </c>
      <c r="W1582" s="616">
        <v>5260</v>
      </c>
      <c r="X1582" s="617" t="s">
        <v>157</v>
      </c>
      <c r="Y1582" s="617" t="s">
        <v>728</v>
      </c>
      <c r="Z1582" s="617" t="s">
        <v>728</v>
      </c>
      <c r="AA1582" s="618">
        <v>28290</v>
      </c>
      <c r="AB1582" s="618" t="s">
        <v>164</v>
      </c>
      <c r="AC1582" s="618">
        <v>24984.729166666668</v>
      </c>
      <c r="AD1582" s="619">
        <v>0.03</v>
      </c>
      <c r="AE1582" s="617" t="s">
        <v>3046</v>
      </c>
    </row>
    <row r="1583" spans="1:31" s="572" customFormat="1">
      <c r="A1583" s="570" t="s">
        <v>3048</v>
      </c>
      <c r="B1583" s="569" t="s">
        <v>269</v>
      </c>
      <c r="C1583" s="580" t="s">
        <v>270</v>
      </c>
      <c r="D1583" s="569" t="s">
        <v>1516</v>
      </c>
      <c r="E1583" s="569" t="s">
        <v>3009</v>
      </c>
      <c r="F1583" s="569" t="s">
        <v>271</v>
      </c>
      <c r="G1583" s="569">
        <v>2019</v>
      </c>
      <c r="H1583" s="569" t="s">
        <v>3010</v>
      </c>
      <c r="I1583" s="569" t="s">
        <v>3039</v>
      </c>
      <c r="J1583" s="569" t="s">
        <v>156</v>
      </c>
      <c r="K1583" s="569">
        <v>2</v>
      </c>
      <c r="L1583" s="569">
        <v>0</v>
      </c>
      <c r="M1583" s="569" t="s">
        <v>157</v>
      </c>
      <c r="N1583" s="569">
        <v>1</v>
      </c>
      <c r="O1583" s="569">
        <v>72.8</v>
      </c>
      <c r="P1583" s="568" t="s">
        <v>157</v>
      </c>
      <c r="Q1583" s="569" t="s">
        <v>3016</v>
      </c>
      <c r="R1583" s="569">
        <v>4</v>
      </c>
      <c r="S1583" s="569" t="s">
        <v>3047</v>
      </c>
      <c r="T1583" s="569" t="s">
        <v>276</v>
      </c>
      <c r="U1583" s="569">
        <v>120.6</v>
      </c>
      <c r="V1583" s="569">
        <v>15.8</v>
      </c>
      <c r="W1583" s="620">
        <v>5302</v>
      </c>
      <c r="X1583" s="621">
        <v>24</v>
      </c>
      <c r="Y1583" s="621" t="s">
        <v>178</v>
      </c>
      <c r="Z1583" s="621" t="s">
        <v>178</v>
      </c>
      <c r="AA1583" s="622">
        <v>26295</v>
      </c>
      <c r="AB1583" s="622" t="s">
        <v>164</v>
      </c>
      <c r="AC1583" s="622">
        <v>23212.6875</v>
      </c>
      <c r="AD1583" s="623">
        <v>0.03</v>
      </c>
      <c r="AE1583" s="621" t="s">
        <v>3049</v>
      </c>
    </row>
    <row r="1584" spans="1:31" s="572" customFormat="1">
      <c r="A1584" s="570" t="s">
        <v>3050</v>
      </c>
      <c r="B1584" s="573" t="s">
        <v>269</v>
      </c>
      <c r="C1584" s="578" t="s">
        <v>270</v>
      </c>
      <c r="D1584" s="573" t="s">
        <v>1516</v>
      </c>
      <c r="E1584" s="573" t="s">
        <v>3009</v>
      </c>
      <c r="F1584" s="573" t="s">
        <v>271</v>
      </c>
      <c r="G1584" s="573">
        <v>2019</v>
      </c>
      <c r="H1584" s="573" t="s">
        <v>3010</v>
      </c>
      <c r="I1584" s="573" t="s">
        <v>3039</v>
      </c>
      <c r="J1584" s="573" t="s">
        <v>156</v>
      </c>
      <c r="K1584" s="573">
        <v>2</v>
      </c>
      <c r="L1584" s="573">
        <v>0</v>
      </c>
      <c r="M1584" s="573" t="s">
        <v>157</v>
      </c>
      <c r="N1584" s="573">
        <v>1</v>
      </c>
      <c r="O1584" s="573">
        <v>72.8</v>
      </c>
      <c r="P1584" s="571" t="s">
        <v>157</v>
      </c>
      <c r="Q1584" s="573" t="s">
        <v>3019</v>
      </c>
      <c r="R1584" s="573">
        <v>4</v>
      </c>
      <c r="S1584" s="582" t="s">
        <v>3047</v>
      </c>
      <c r="T1584" s="573" t="s">
        <v>276</v>
      </c>
      <c r="U1584" s="573">
        <v>120.6</v>
      </c>
      <c r="V1584" s="573">
        <v>15.8</v>
      </c>
      <c r="W1584" s="616">
        <v>5302</v>
      </c>
      <c r="X1584" s="617">
        <v>24</v>
      </c>
      <c r="Y1584" s="617" t="s">
        <v>178</v>
      </c>
      <c r="Z1584" s="617" t="s">
        <v>178</v>
      </c>
      <c r="AA1584" s="618">
        <v>26610</v>
      </c>
      <c r="AB1584" s="618" t="s">
        <v>164</v>
      </c>
      <c r="AC1584" s="618">
        <v>23492.020833333336</v>
      </c>
      <c r="AD1584" s="619">
        <v>0.03</v>
      </c>
      <c r="AE1584" s="617" t="s">
        <v>3051</v>
      </c>
    </row>
    <row r="1585" spans="1:31" s="572" customFormat="1">
      <c r="A1585" s="570" t="s">
        <v>3052</v>
      </c>
      <c r="B1585" s="569" t="s">
        <v>278</v>
      </c>
      <c r="C1585" s="580">
        <v>15</v>
      </c>
      <c r="D1585" s="569" t="s">
        <v>1516</v>
      </c>
      <c r="E1585" s="569" t="s">
        <v>3009</v>
      </c>
      <c r="F1585" s="569" t="s">
        <v>271</v>
      </c>
      <c r="G1585" s="569">
        <v>2019</v>
      </c>
      <c r="H1585" s="569" t="s">
        <v>3010</v>
      </c>
      <c r="I1585" s="569" t="s">
        <v>3039</v>
      </c>
      <c r="J1585" s="569" t="s">
        <v>156</v>
      </c>
      <c r="K1585" s="569">
        <v>2</v>
      </c>
      <c r="L1585" s="569">
        <v>0</v>
      </c>
      <c r="M1585" s="569" t="s">
        <v>157</v>
      </c>
      <c r="N1585" s="569">
        <v>1</v>
      </c>
      <c r="O1585" s="569">
        <v>72.5</v>
      </c>
      <c r="P1585" s="568" t="s">
        <v>157</v>
      </c>
      <c r="Q1585" s="569" t="s">
        <v>352</v>
      </c>
      <c r="R1585" s="569">
        <v>4</v>
      </c>
      <c r="S1585" s="569" t="s">
        <v>3040</v>
      </c>
      <c r="T1585" s="569" t="s">
        <v>276</v>
      </c>
      <c r="U1585" s="569">
        <v>104.8</v>
      </c>
      <c r="V1585" s="569">
        <v>15.8</v>
      </c>
      <c r="W1585" s="620">
        <v>5020</v>
      </c>
      <c r="X1585" s="621">
        <v>24</v>
      </c>
      <c r="Y1585" s="621" t="s">
        <v>178</v>
      </c>
      <c r="Z1585" s="621" t="s">
        <v>178</v>
      </c>
      <c r="AA1585" s="622">
        <v>25295</v>
      </c>
      <c r="AB1585" s="622" t="s">
        <v>164</v>
      </c>
      <c r="AC1585" s="622">
        <v>22700</v>
      </c>
      <c r="AD1585" s="623">
        <v>0.01</v>
      </c>
      <c r="AE1585" s="621" t="s">
        <v>3042</v>
      </c>
    </row>
    <row r="1586" spans="1:31" s="572" customFormat="1">
      <c r="A1586" s="570" t="s">
        <v>3053</v>
      </c>
      <c r="B1586" s="573" t="s">
        <v>278</v>
      </c>
      <c r="C1586" s="578">
        <v>15</v>
      </c>
      <c r="D1586" s="573" t="s">
        <v>1516</v>
      </c>
      <c r="E1586" s="573" t="s">
        <v>3009</v>
      </c>
      <c r="F1586" s="573" t="s">
        <v>271</v>
      </c>
      <c r="G1586" s="573">
        <v>2019</v>
      </c>
      <c r="H1586" s="573" t="s">
        <v>3010</v>
      </c>
      <c r="I1586" s="573" t="s">
        <v>3039</v>
      </c>
      <c r="J1586" s="573" t="s">
        <v>156</v>
      </c>
      <c r="K1586" s="573">
        <v>2</v>
      </c>
      <c r="L1586" s="573">
        <v>0</v>
      </c>
      <c r="M1586" s="573" t="s">
        <v>157</v>
      </c>
      <c r="N1586" s="573">
        <v>1</v>
      </c>
      <c r="O1586" s="573">
        <v>72.8</v>
      </c>
      <c r="P1586" s="571" t="s">
        <v>157</v>
      </c>
      <c r="Q1586" s="573" t="s">
        <v>352</v>
      </c>
      <c r="R1586" s="573">
        <v>4</v>
      </c>
      <c r="S1586" s="582" t="s">
        <v>3047</v>
      </c>
      <c r="T1586" s="573" t="s">
        <v>276</v>
      </c>
      <c r="U1586" s="573">
        <v>120.6</v>
      </c>
      <c r="V1586" s="573">
        <v>15.8</v>
      </c>
      <c r="W1586" s="616">
        <v>5270</v>
      </c>
      <c r="X1586" s="617">
        <v>24</v>
      </c>
      <c r="Y1586" s="617" t="s">
        <v>178</v>
      </c>
      <c r="Z1586" s="617" t="s">
        <v>178</v>
      </c>
      <c r="AA1586" s="618">
        <v>26295</v>
      </c>
      <c r="AB1586" s="618" t="s">
        <v>164</v>
      </c>
      <c r="AC1586" s="618">
        <v>23700</v>
      </c>
      <c r="AD1586" s="619">
        <v>0.01</v>
      </c>
      <c r="AE1586" s="617" t="s">
        <v>3049</v>
      </c>
    </row>
    <row r="1587" spans="1:31" s="572" customFormat="1">
      <c r="A1587" s="570" t="s">
        <v>3054</v>
      </c>
      <c r="B1587" s="569" t="s">
        <v>287</v>
      </c>
      <c r="C1587" s="580">
        <v>26</v>
      </c>
      <c r="D1587" s="569" t="s">
        <v>1516</v>
      </c>
      <c r="E1587" s="569" t="s">
        <v>3009</v>
      </c>
      <c r="F1587" s="569" t="s">
        <v>271</v>
      </c>
      <c r="G1587" s="569">
        <v>2019</v>
      </c>
      <c r="H1587" s="569" t="s">
        <v>3010</v>
      </c>
      <c r="I1587" s="569" t="s">
        <v>3039</v>
      </c>
      <c r="J1587" s="569" t="s">
        <v>156</v>
      </c>
      <c r="K1587" s="569">
        <v>2</v>
      </c>
      <c r="L1587" s="569">
        <v>0</v>
      </c>
      <c r="M1587" s="569" t="s">
        <v>157</v>
      </c>
      <c r="N1587" s="569">
        <v>1</v>
      </c>
      <c r="O1587" s="569">
        <v>72.5</v>
      </c>
      <c r="P1587" s="568" t="s">
        <v>157</v>
      </c>
      <c r="Q1587" s="569" t="s">
        <v>189</v>
      </c>
      <c r="R1587" s="569">
        <v>4</v>
      </c>
      <c r="S1587" s="569" t="s">
        <v>3040</v>
      </c>
      <c r="T1587" s="569" t="s">
        <v>276</v>
      </c>
      <c r="U1587" s="569">
        <v>104.8</v>
      </c>
      <c r="V1587" s="569">
        <v>15.8</v>
      </c>
      <c r="W1587" s="620">
        <v>5020</v>
      </c>
      <c r="X1587" s="621">
        <v>24</v>
      </c>
      <c r="Y1587" s="621" t="s">
        <v>178</v>
      </c>
      <c r="Z1587" s="621" t="s">
        <v>178</v>
      </c>
      <c r="AA1587" s="622">
        <v>25220</v>
      </c>
      <c r="AB1587" s="622" t="s">
        <v>164</v>
      </c>
      <c r="AC1587" s="622">
        <v>23092</v>
      </c>
      <c r="AD1587" s="623">
        <v>0.05</v>
      </c>
      <c r="AE1587" s="621" t="s">
        <v>3042</v>
      </c>
    </row>
    <row r="1588" spans="1:31" s="572" customFormat="1">
      <c r="A1588" s="570" t="s">
        <v>3055</v>
      </c>
      <c r="B1588" s="573" t="s">
        <v>287</v>
      </c>
      <c r="C1588" s="578">
        <v>26</v>
      </c>
      <c r="D1588" s="573" t="s">
        <v>1516</v>
      </c>
      <c r="E1588" s="573" t="s">
        <v>3009</v>
      </c>
      <c r="F1588" s="573" t="s">
        <v>271</v>
      </c>
      <c r="G1588" s="573">
        <v>2019</v>
      </c>
      <c r="H1588" s="573" t="s">
        <v>3010</v>
      </c>
      <c r="I1588" s="573" t="s">
        <v>3039</v>
      </c>
      <c r="J1588" s="573" t="s">
        <v>156</v>
      </c>
      <c r="K1588" s="573">
        <v>2</v>
      </c>
      <c r="L1588" s="573">
        <v>0</v>
      </c>
      <c r="M1588" s="573" t="s">
        <v>157</v>
      </c>
      <c r="N1588" s="573">
        <v>1</v>
      </c>
      <c r="O1588" s="573">
        <v>72.8</v>
      </c>
      <c r="P1588" s="571" t="s">
        <v>157</v>
      </c>
      <c r="Q1588" s="573" t="s">
        <v>189</v>
      </c>
      <c r="R1588" s="573">
        <v>4</v>
      </c>
      <c r="S1588" s="582" t="s">
        <v>3047</v>
      </c>
      <c r="T1588" s="573" t="s">
        <v>276</v>
      </c>
      <c r="U1588" s="573">
        <v>120.6</v>
      </c>
      <c r="V1588" s="573">
        <v>15.8</v>
      </c>
      <c r="W1588" s="616">
        <v>5270</v>
      </c>
      <c r="X1588" s="617">
        <v>24</v>
      </c>
      <c r="Y1588" s="617" t="s">
        <v>178</v>
      </c>
      <c r="Z1588" s="617" t="s">
        <v>178</v>
      </c>
      <c r="AA1588" s="618">
        <v>26220</v>
      </c>
      <c r="AB1588" s="618" t="s">
        <v>164</v>
      </c>
      <c r="AC1588" s="618">
        <v>24050</v>
      </c>
      <c r="AD1588" s="619">
        <v>0.05</v>
      </c>
      <c r="AE1588" s="617" t="s">
        <v>3049</v>
      </c>
    </row>
    <row r="1589" spans="1:31" s="572" customFormat="1">
      <c r="A1589" s="570" t="s">
        <v>3056</v>
      </c>
      <c r="B1589" s="569" t="s">
        <v>280</v>
      </c>
      <c r="C1589" s="580">
        <v>27</v>
      </c>
      <c r="D1589" s="569" t="s">
        <v>1516</v>
      </c>
      <c r="E1589" s="569" t="s">
        <v>3009</v>
      </c>
      <c r="F1589" s="569" t="s">
        <v>271</v>
      </c>
      <c r="G1589" s="569">
        <v>2019</v>
      </c>
      <c r="H1589" s="569" t="s">
        <v>3010</v>
      </c>
      <c r="I1589" s="569" t="s">
        <v>3039</v>
      </c>
      <c r="J1589" s="569" t="s">
        <v>156</v>
      </c>
      <c r="K1589" s="569">
        <v>2</v>
      </c>
      <c r="L1589" s="569">
        <v>0</v>
      </c>
      <c r="M1589" s="569" t="s">
        <v>157</v>
      </c>
      <c r="N1589" s="569">
        <v>1</v>
      </c>
      <c r="O1589" s="569">
        <v>72.5</v>
      </c>
      <c r="P1589" s="568" t="s">
        <v>157</v>
      </c>
      <c r="Q1589" s="569" t="s">
        <v>3012</v>
      </c>
      <c r="R1589" s="569">
        <v>4</v>
      </c>
      <c r="S1589" s="569" t="s">
        <v>3040</v>
      </c>
      <c r="T1589" s="569" t="s">
        <v>276</v>
      </c>
      <c r="U1589" s="569">
        <v>104.8</v>
      </c>
      <c r="V1589" s="569">
        <v>15.8</v>
      </c>
      <c r="W1589" s="620">
        <v>5240</v>
      </c>
      <c r="X1589" s="621" t="s">
        <v>157</v>
      </c>
      <c r="Y1589" s="621" t="s">
        <v>728</v>
      </c>
      <c r="Z1589" s="621" t="s">
        <v>728</v>
      </c>
      <c r="AA1589" s="622">
        <v>27290</v>
      </c>
      <c r="AB1589" s="622" t="s">
        <v>164</v>
      </c>
      <c r="AC1589" s="622">
        <v>24059.729166666668</v>
      </c>
      <c r="AD1589" s="623">
        <v>0.03</v>
      </c>
      <c r="AE1589" s="621" t="s">
        <v>3038</v>
      </c>
    </row>
    <row r="1590" spans="1:31" s="572" customFormat="1">
      <c r="A1590" s="570" t="s">
        <v>3057</v>
      </c>
      <c r="B1590" s="573" t="s">
        <v>280</v>
      </c>
      <c r="C1590" s="578">
        <v>27</v>
      </c>
      <c r="D1590" s="573" t="s">
        <v>1516</v>
      </c>
      <c r="E1590" s="573" t="s">
        <v>3009</v>
      </c>
      <c r="F1590" s="573" t="s">
        <v>271</v>
      </c>
      <c r="G1590" s="573">
        <v>2019</v>
      </c>
      <c r="H1590" s="573" t="s">
        <v>3010</v>
      </c>
      <c r="I1590" s="573" t="s">
        <v>3039</v>
      </c>
      <c r="J1590" s="573" t="s">
        <v>156</v>
      </c>
      <c r="K1590" s="573">
        <v>2</v>
      </c>
      <c r="L1590" s="573">
        <v>0</v>
      </c>
      <c r="M1590" s="573" t="s">
        <v>157</v>
      </c>
      <c r="N1590" s="573">
        <v>1</v>
      </c>
      <c r="O1590" s="573">
        <v>72.5</v>
      </c>
      <c r="P1590" s="571" t="s">
        <v>157</v>
      </c>
      <c r="Q1590" s="573" t="s">
        <v>3016</v>
      </c>
      <c r="R1590" s="573">
        <v>4</v>
      </c>
      <c r="S1590" s="582" t="s">
        <v>3040</v>
      </c>
      <c r="T1590" s="573" t="s">
        <v>276</v>
      </c>
      <c r="U1590" s="573">
        <v>104.8</v>
      </c>
      <c r="V1590" s="573">
        <v>15.8</v>
      </c>
      <c r="W1590" s="616">
        <v>5130</v>
      </c>
      <c r="X1590" s="617">
        <v>24</v>
      </c>
      <c r="Y1590" s="617" t="s">
        <v>178</v>
      </c>
      <c r="Z1590" s="617" t="s">
        <v>178</v>
      </c>
      <c r="AA1590" s="618">
        <v>25295</v>
      </c>
      <c r="AB1590" s="618" t="s">
        <v>164</v>
      </c>
      <c r="AC1590" s="618">
        <v>22287.6875</v>
      </c>
      <c r="AD1590" s="619">
        <v>0.03</v>
      </c>
      <c r="AE1590" s="617" t="s">
        <v>3042</v>
      </c>
    </row>
    <row r="1591" spans="1:31" s="572" customFormat="1">
      <c r="A1591" s="570" t="s">
        <v>3058</v>
      </c>
      <c r="B1591" s="569" t="s">
        <v>280</v>
      </c>
      <c r="C1591" s="580">
        <v>27</v>
      </c>
      <c r="D1591" s="569" t="s">
        <v>1516</v>
      </c>
      <c r="E1591" s="569" t="s">
        <v>3009</v>
      </c>
      <c r="F1591" s="569" t="s">
        <v>271</v>
      </c>
      <c r="G1591" s="569">
        <v>2019</v>
      </c>
      <c r="H1591" s="569" t="s">
        <v>3010</v>
      </c>
      <c r="I1591" s="569" t="s">
        <v>3039</v>
      </c>
      <c r="J1591" s="569" t="s">
        <v>156</v>
      </c>
      <c r="K1591" s="569">
        <v>2</v>
      </c>
      <c r="L1591" s="569">
        <v>0</v>
      </c>
      <c r="M1591" s="569" t="s">
        <v>157</v>
      </c>
      <c r="N1591" s="569">
        <v>1</v>
      </c>
      <c r="O1591" s="569">
        <v>72.5</v>
      </c>
      <c r="P1591" s="568" t="s">
        <v>157</v>
      </c>
      <c r="Q1591" s="569" t="s">
        <v>3019</v>
      </c>
      <c r="R1591" s="569">
        <v>4</v>
      </c>
      <c r="S1591" s="569" t="s">
        <v>3040</v>
      </c>
      <c r="T1591" s="569" t="s">
        <v>276</v>
      </c>
      <c r="U1591" s="569">
        <v>104.8</v>
      </c>
      <c r="V1591" s="569">
        <v>15.8</v>
      </c>
      <c r="W1591" s="620">
        <v>5110</v>
      </c>
      <c r="X1591" s="621">
        <v>24</v>
      </c>
      <c r="Y1591" s="621" t="s">
        <v>178</v>
      </c>
      <c r="Z1591" s="621" t="s">
        <v>178</v>
      </c>
      <c r="AA1591" s="622">
        <v>25610</v>
      </c>
      <c r="AB1591" s="622" t="s">
        <v>164</v>
      </c>
      <c r="AC1591" s="622">
        <v>22567.020833333336</v>
      </c>
      <c r="AD1591" s="623">
        <v>0.03</v>
      </c>
      <c r="AE1591" s="621" t="s">
        <v>3044</v>
      </c>
    </row>
    <row r="1592" spans="1:31" s="572" customFormat="1">
      <c r="A1592" s="570" t="s">
        <v>3059</v>
      </c>
      <c r="B1592" s="573" t="s">
        <v>280</v>
      </c>
      <c r="C1592" s="578">
        <v>27</v>
      </c>
      <c r="D1592" s="573" t="s">
        <v>1516</v>
      </c>
      <c r="E1592" s="573" t="s">
        <v>3009</v>
      </c>
      <c r="F1592" s="573" t="s">
        <v>271</v>
      </c>
      <c r="G1592" s="573">
        <v>2019</v>
      </c>
      <c r="H1592" s="573" t="s">
        <v>3010</v>
      </c>
      <c r="I1592" s="573" t="s">
        <v>3039</v>
      </c>
      <c r="J1592" s="573" t="s">
        <v>156</v>
      </c>
      <c r="K1592" s="573">
        <v>2</v>
      </c>
      <c r="L1592" s="573">
        <v>0</v>
      </c>
      <c r="M1592" s="573" t="s">
        <v>157</v>
      </c>
      <c r="N1592" s="573">
        <v>1</v>
      </c>
      <c r="O1592" s="573">
        <v>72.8</v>
      </c>
      <c r="P1592" s="571" t="s">
        <v>157</v>
      </c>
      <c r="Q1592" s="573" t="s">
        <v>3012</v>
      </c>
      <c r="R1592" s="573">
        <v>4</v>
      </c>
      <c r="S1592" s="582" t="s">
        <v>3047</v>
      </c>
      <c r="T1592" s="573" t="s">
        <v>276</v>
      </c>
      <c r="U1592" s="573">
        <v>120.6</v>
      </c>
      <c r="V1592" s="573">
        <v>15.8</v>
      </c>
      <c r="W1592" s="616">
        <v>5260</v>
      </c>
      <c r="X1592" s="617" t="s">
        <v>157</v>
      </c>
      <c r="Y1592" s="617" t="s">
        <v>728</v>
      </c>
      <c r="Z1592" s="617" t="s">
        <v>728</v>
      </c>
      <c r="AA1592" s="618">
        <v>28290</v>
      </c>
      <c r="AB1592" s="618" t="s">
        <v>164</v>
      </c>
      <c r="AC1592" s="618">
        <v>24984.729166666668</v>
      </c>
      <c r="AD1592" s="619">
        <v>0.03</v>
      </c>
      <c r="AE1592" s="617" t="s">
        <v>3046</v>
      </c>
    </row>
    <row r="1593" spans="1:31" s="572" customFormat="1">
      <c r="A1593" s="570" t="s">
        <v>3060</v>
      </c>
      <c r="B1593" s="569" t="s">
        <v>280</v>
      </c>
      <c r="C1593" s="580">
        <v>27</v>
      </c>
      <c r="D1593" s="569" t="s">
        <v>1516</v>
      </c>
      <c r="E1593" s="569" t="s">
        <v>3009</v>
      </c>
      <c r="F1593" s="569" t="s">
        <v>271</v>
      </c>
      <c r="G1593" s="569">
        <v>2019</v>
      </c>
      <c r="H1593" s="569" t="s">
        <v>3010</v>
      </c>
      <c r="I1593" s="569" t="s">
        <v>3039</v>
      </c>
      <c r="J1593" s="569" t="s">
        <v>156</v>
      </c>
      <c r="K1593" s="569">
        <v>2</v>
      </c>
      <c r="L1593" s="569">
        <v>0</v>
      </c>
      <c r="M1593" s="569" t="s">
        <v>157</v>
      </c>
      <c r="N1593" s="569">
        <v>1</v>
      </c>
      <c r="O1593" s="569">
        <v>72.8</v>
      </c>
      <c r="P1593" s="568" t="s">
        <v>157</v>
      </c>
      <c r="Q1593" s="569" t="s">
        <v>3016</v>
      </c>
      <c r="R1593" s="569">
        <v>4</v>
      </c>
      <c r="S1593" s="569" t="s">
        <v>3047</v>
      </c>
      <c r="T1593" s="569" t="s">
        <v>276</v>
      </c>
      <c r="U1593" s="569">
        <v>120.6</v>
      </c>
      <c r="V1593" s="569">
        <v>15.8</v>
      </c>
      <c r="W1593" s="620">
        <v>5302</v>
      </c>
      <c r="X1593" s="621">
        <v>24</v>
      </c>
      <c r="Y1593" s="621" t="s">
        <v>178</v>
      </c>
      <c r="Z1593" s="621" t="s">
        <v>178</v>
      </c>
      <c r="AA1593" s="622">
        <v>26295</v>
      </c>
      <c r="AB1593" s="622" t="s">
        <v>164</v>
      </c>
      <c r="AC1593" s="622">
        <v>23212.6875</v>
      </c>
      <c r="AD1593" s="623">
        <v>0.03</v>
      </c>
      <c r="AE1593" s="621" t="s">
        <v>3049</v>
      </c>
    </row>
    <row r="1594" spans="1:31" s="572" customFormat="1">
      <c r="A1594" s="570" t="s">
        <v>3061</v>
      </c>
      <c r="B1594" s="573" t="s">
        <v>280</v>
      </c>
      <c r="C1594" s="578">
        <v>27</v>
      </c>
      <c r="D1594" s="573" t="s">
        <v>1516</v>
      </c>
      <c r="E1594" s="573" t="s">
        <v>3009</v>
      </c>
      <c r="F1594" s="573" t="s">
        <v>271</v>
      </c>
      <c r="G1594" s="573">
        <v>2019</v>
      </c>
      <c r="H1594" s="573" t="s">
        <v>3010</v>
      </c>
      <c r="I1594" s="573" t="s">
        <v>3039</v>
      </c>
      <c r="J1594" s="573" t="s">
        <v>156</v>
      </c>
      <c r="K1594" s="573">
        <v>2</v>
      </c>
      <c r="L1594" s="573">
        <v>0</v>
      </c>
      <c r="M1594" s="573" t="s">
        <v>157</v>
      </c>
      <c r="N1594" s="573">
        <v>1</v>
      </c>
      <c r="O1594" s="573">
        <v>72.8</v>
      </c>
      <c r="P1594" s="571" t="s">
        <v>157</v>
      </c>
      <c r="Q1594" s="573" t="s">
        <v>3019</v>
      </c>
      <c r="R1594" s="573">
        <v>4</v>
      </c>
      <c r="S1594" s="582" t="s">
        <v>3047</v>
      </c>
      <c r="T1594" s="573" t="s">
        <v>276</v>
      </c>
      <c r="U1594" s="573">
        <v>120.6</v>
      </c>
      <c r="V1594" s="573">
        <v>15.8</v>
      </c>
      <c r="W1594" s="616">
        <v>5302</v>
      </c>
      <c r="X1594" s="617">
        <v>24</v>
      </c>
      <c r="Y1594" s="617" t="s">
        <v>178</v>
      </c>
      <c r="Z1594" s="617" t="s">
        <v>178</v>
      </c>
      <c r="AA1594" s="618">
        <v>26610</v>
      </c>
      <c r="AB1594" s="618" t="s">
        <v>164</v>
      </c>
      <c r="AC1594" s="618">
        <v>23492.020833333336</v>
      </c>
      <c r="AD1594" s="619">
        <v>0.03</v>
      </c>
      <c r="AE1594" s="617" t="s">
        <v>3051</v>
      </c>
    </row>
    <row r="1595" spans="1:31" s="572" customFormat="1">
      <c r="A1595" s="570" t="s">
        <v>3062</v>
      </c>
      <c r="B1595" s="569" t="s">
        <v>269</v>
      </c>
      <c r="C1595" s="580" t="s">
        <v>270</v>
      </c>
      <c r="D1595" s="569" t="s">
        <v>1516</v>
      </c>
      <c r="E1595" s="569" t="s">
        <v>3009</v>
      </c>
      <c r="F1595" s="569" t="s">
        <v>271</v>
      </c>
      <c r="G1595" s="569">
        <v>2019</v>
      </c>
      <c r="H1595" s="569" t="s">
        <v>3010</v>
      </c>
      <c r="I1595" s="569" t="s">
        <v>3064</v>
      </c>
      <c r="J1595" s="569" t="s">
        <v>156</v>
      </c>
      <c r="K1595" s="569">
        <v>2</v>
      </c>
      <c r="L1595" s="569">
        <v>0</v>
      </c>
      <c r="M1595" s="569" t="s">
        <v>157</v>
      </c>
      <c r="N1595" s="569">
        <v>1</v>
      </c>
      <c r="O1595" s="569">
        <v>72.5</v>
      </c>
      <c r="P1595" s="568" t="s">
        <v>157</v>
      </c>
      <c r="Q1595" s="569" t="s">
        <v>3012</v>
      </c>
      <c r="R1595" s="569">
        <v>4</v>
      </c>
      <c r="S1595" s="569" t="s">
        <v>3065</v>
      </c>
      <c r="T1595" s="569" t="s">
        <v>3066</v>
      </c>
      <c r="U1595" s="569">
        <v>104.8</v>
      </c>
      <c r="V1595" s="569">
        <v>15.8</v>
      </c>
      <c r="W1595" s="620">
        <v>5240</v>
      </c>
      <c r="X1595" s="621" t="s">
        <v>157</v>
      </c>
      <c r="Y1595" s="621" t="s">
        <v>728</v>
      </c>
      <c r="Z1595" s="621" t="s">
        <v>728</v>
      </c>
      <c r="AA1595" s="622">
        <v>29235</v>
      </c>
      <c r="AB1595" s="622" t="s">
        <v>164</v>
      </c>
      <c r="AC1595" s="622">
        <v>25857.645833333336</v>
      </c>
      <c r="AD1595" s="623">
        <v>0.03</v>
      </c>
      <c r="AE1595" s="621" t="s">
        <v>3063</v>
      </c>
    </row>
    <row r="1596" spans="1:31" s="572" customFormat="1">
      <c r="A1596" s="570" t="s">
        <v>3067</v>
      </c>
      <c r="B1596" s="573" t="s">
        <v>269</v>
      </c>
      <c r="C1596" s="578" t="s">
        <v>270</v>
      </c>
      <c r="D1596" s="573" t="s">
        <v>1516</v>
      </c>
      <c r="E1596" s="573" t="s">
        <v>3009</v>
      </c>
      <c r="F1596" s="573" t="s">
        <v>271</v>
      </c>
      <c r="G1596" s="573">
        <v>2019</v>
      </c>
      <c r="H1596" s="573" t="s">
        <v>3010</v>
      </c>
      <c r="I1596" s="573" t="s">
        <v>3064</v>
      </c>
      <c r="J1596" s="573" t="s">
        <v>156</v>
      </c>
      <c r="K1596" s="573">
        <v>2</v>
      </c>
      <c r="L1596" s="573">
        <v>0</v>
      </c>
      <c r="M1596" s="573" t="s">
        <v>157</v>
      </c>
      <c r="N1596" s="573">
        <v>1</v>
      </c>
      <c r="O1596" s="573">
        <v>72.5</v>
      </c>
      <c r="P1596" s="571" t="s">
        <v>157</v>
      </c>
      <c r="Q1596" s="573" t="s">
        <v>3016</v>
      </c>
      <c r="R1596" s="573">
        <v>4</v>
      </c>
      <c r="S1596" s="582" t="s">
        <v>3065</v>
      </c>
      <c r="T1596" s="573" t="s">
        <v>3066</v>
      </c>
      <c r="U1596" s="573">
        <v>104.8</v>
      </c>
      <c r="V1596" s="573">
        <v>15.8</v>
      </c>
      <c r="W1596" s="616">
        <v>5130</v>
      </c>
      <c r="X1596" s="617">
        <v>24</v>
      </c>
      <c r="Y1596" s="617" t="s">
        <v>178</v>
      </c>
      <c r="Z1596" s="617" t="s">
        <v>178</v>
      </c>
      <c r="AA1596" s="618">
        <v>27240</v>
      </c>
      <c r="AB1596" s="618" t="s">
        <v>164</v>
      </c>
      <c r="AC1596" s="618">
        <v>24085.604166666668</v>
      </c>
      <c r="AD1596" s="619">
        <v>0.03</v>
      </c>
      <c r="AE1596" s="617" t="s">
        <v>3068</v>
      </c>
    </row>
    <row r="1597" spans="1:31" s="572" customFormat="1">
      <c r="A1597" s="570" t="s">
        <v>3069</v>
      </c>
      <c r="B1597" s="569" t="s">
        <v>269</v>
      </c>
      <c r="C1597" s="580" t="s">
        <v>270</v>
      </c>
      <c r="D1597" s="569" t="s">
        <v>1516</v>
      </c>
      <c r="E1597" s="569" t="s">
        <v>3009</v>
      </c>
      <c r="F1597" s="569" t="s">
        <v>271</v>
      </c>
      <c r="G1597" s="569">
        <v>2019</v>
      </c>
      <c r="H1597" s="569" t="s">
        <v>3010</v>
      </c>
      <c r="I1597" s="569" t="s">
        <v>3064</v>
      </c>
      <c r="J1597" s="569" t="s">
        <v>156</v>
      </c>
      <c r="K1597" s="569">
        <v>2</v>
      </c>
      <c r="L1597" s="569">
        <v>0</v>
      </c>
      <c r="M1597" s="569" t="s">
        <v>157</v>
      </c>
      <c r="N1597" s="569">
        <v>1</v>
      </c>
      <c r="O1597" s="569">
        <v>72.5</v>
      </c>
      <c r="P1597" s="568" t="s">
        <v>157</v>
      </c>
      <c r="Q1597" s="569" t="s">
        <v>3019</v>
      </c>
      <c r="R1597" s="569">
        <v>4</v>
      </c>
      <c r="S1597" s="569" t="s">
        <v>3065</v>
      </c>
      <c r="T1597" s="569" t="s">
        <v>3066</v>
      </c>
      <c r="U1597" s="569">
        <v>104.8</v>
      </c>
      <c r="V1597" s="569">
        <v>15.8</v>
      </c>
      <c r="W1597" s="620">
        <v>5110</v>
      </c>
      <c r="X1597" s="621" t="s">
        <v>157</v>
      </c>
      <c r="Y1597" s="621" t="s">
        <v>178</v>
      </c>
      <c r="Z1597" s="621" t="s">
        <v>178</v>
      </c>
      <c r="AA1597" s="622">
        <v>27555</v>
      </c>
      <c r="AB1597" s="622" t="s">
        <v>164</v>
      </c>
      <c r="AC1597" s="622">
        <v>24364.9375</v>
      </c>
      <c r="AD1597" s="623">
        <v>0.03</v>
      </c>
      <c r="AE1597" s="621" t="s">
        <v>3070</v>
      </c>
    </row>
    <row r="1598" spans="1:31" s="572" customFormat="1">
      <c r="A1598" s="570" t="s">
        <v>3071</v>
      </c>
      <c r="B1598" s="573" t="s">
        <v>269</v>
      </c>
      <c r="C1598" s="578" t="s">
        <v>270</v>
      </c>
      <c r="D1598" s="573" t="s">
        <v>1516</v>
      </c>
      <c r="E1598" s="573" t="s">
        <v>3009</v>
      </c>
      <c r="F1598" s="573" t="s">
        <v>271</v>
      </c>
      <c r="G1598" s="573">
        <v>2019</v>
      </c>
      <c r="H1598" s="573" t="s">
        <v>3010</v>
      </c>
      <c r="I1598" s="573" t="s">
        <v>3064</v>
      </c>
      <c r="J1598" s="573" t="s">
        <v>156</v>
      </c>
      <c r="K1598" s="573">
        <v>2</v>
      </c>
      <c r="L1598" s="573">
        <v>0</v>
      </c>
      <c r="M1598" s="573" t="s">
        <v>157</v>
      </c>
      <c r="N1598" s="573">
        <v>1</v>
      </c>
      <c r="O1598" s="573">
        <v>72.8</v>
      </c>
      <c r="P1598" s="571" t="s">
        <v>157</v>
      </c>
      <c r="Q1598" s="573" t="s">
        <v>3012</v>
      </c>
      <c r="R1598" s="573">
        <v>4</v>
      </c>
      <c r="S1598" s="582" t="s">
        <v>3073</v>
      </c>
      <c r="T1598" s="573" t="s">
        <v>3066</v>
      </c>
      <c r="U1598" s="573">
        <v>120.6</v>
      </c>
      <c r="V1598" s="573">
        <v>15.8</v>
      </c>
      <c r="W1598" s="616">
        <v>5260</v>
      </c>
      <c r="X1598" s="617" t="s">
        <v>157</v>
      </c>
      <c r="Y1598" s="617" t="s">
        <v>728</v>
      </c>
      <c r="Z1598" s="617"/>
      <c r="AA1598" s="618">
        <v>30235</v>
      </c>
      <c r="AB1598" s="618" t="s">
        <v>164</v>
      </c>
      <c r="AC1598" s="618">
        <v>26781.604166666668</v>
      </c>
      <c r="AD1598" s="619">
        <v>0.03</v>
      </c>
      <c r="AE1598" s="617" t="s">
        <v>3072</v>
      </c>
    </row>
    <row r="1599" spans="1:31" s="572" customFormat="1">
      <c r="A1599" s="570" t="s">
        <v>3074</v>
      </c>
      <c r="B1599" s="569" t="s">
        <v>269</v>
      </c>
      <c r="C1599" s="580" t="s">
        <v>270</v>
      </c>
      <c r="D1599" s="569" t="s">
        <v>1516</v>
      </c>
      <c r="E1599" s="569" t="s">
        <v>3009</v>
      </c>
      <c r="F1599" s="569" t="s">
        <v>271</v>
      </c>
      <c r="G1599" s="569">
        <v>2019</v>
      </c>
      <c r="H1599" s="569" t="s">
        <v>3010</v>
      </c>
      <c r="I1599" s="569" t="s">
        <v>3064</v>
      </c>
      <c r="J1599" s="569" t="s">
        <v>156</v>
      </c>
      <c r="K1599" s="569">
        <v>2</v>
      </c>
      <c r="L1599" s="569">
        <v>0</v>
      </c>
      <c r="M1599" s="569" t="s">
        <v>157</v>
      </c>
      <c r="N1599" s="569">
        <v>1</v>
      </c>
      <c r="O1599" s="569">
        <v>72.8</v>
      </c>
      <c r="P1599" s="568" t="s">
        <v>157</v>
      </c>
      <c r="Q1599" s="569" t="s">
        <v>3016</v>
      </c>
      <c r="R1599" s="569">
        <v>4</v>
      </c>
      <c r="S1599" s="569" t="s">
        <v>3073</v>
      </c>
      <c r="T1599" s="569" t="s">
        <v>3066</v>
      </c>
      <c r="U1599" s="569">
        <v>120.6</v>
      </c>
      <c r="V1599" s="569">
        <v>15.8</v>
      </c>
      <c r="W1599" s="620">
        <v>5302</v>
      </c>
      <c r="X1599" s="621">
        <v>24</v>
      </c>
      <c r="Y1599" s="621" t="s">
        <v>178</v>
      </c>
      <c r="Z1599" s="621" t="s">
        <v>178</v>
      </c>
      <c r="AA1599" s="622">
        <v>28240</v>
      </c>
      <c r="AB1599" s="622" t="s">
        <v>164</v>
      </c>
      <c r="AC1599" s="622">
        <v>25009.5625</v>
      </c>
      <c r="AD1599" s="623">
        <v>0.03</v>
      </c>
      <c r="AE1599" s="621" t="s">
        <v>3075</v>
      </c>
    </row>
    <row r="1600" spans="1:31" s="572" customFormat="1">
      <c r="A1600" s="570" t="s">
        <v>3076</v>
      </c>
      <c r="B1600" s="573" t="s">
        <v>269</v>
      </c>
      <c r="C1600" s="578" t="s">
        <v>270</v>
      </c>
      <c r="D1600" s="573" t="s">
        <v>1516</v>
      </c>
      <c r="E1600" s="573" t="s">
        <v>3009</v>
      </c>
      <c r="F1600" s="573" t="s">
        <v>271</v>
      </c>
      <c r="G1600" s="573">
        <v>2019</v>
      </c>
      <c r="H1600" s="573" t="s">
        <v>3010</v>
      </c>
      <c r="I1600" s="573" t="s">
        <v>3064</v>
      </c>
      <c r="J1600" s="573" t="s">
        <v>156</v>
      </c>
      <c r="K1600" s="573">
        <v>2</v>
      </c>
      <c r="L1600" s="573">
        <v>0</v>
      </c>
      <c r="M1600" s="573" t="s">
        <v>157</v>
      </c>
      <c r="N1600" s="573">
        <v>1</v>
      </c>
      <c r="O1600" s="573">
        <v>72.8</v>
      </c>
      <c r="P1600" s="571" t="s">
        <v>157</v>
      </c>
      <c r="Q1600" s="573" t="s">
        <v>3019</v>
      </c>
      <c r="R1600" s="573">
        <v>4</v>
      </c>
      <c r="S1600" s="582" t="s">
        <v>3073</v>
      </c>
      <c r="T1600" s="573" t="s">
        <v>3066</v>
      </c>
      <c r="U1600" s="573">
        <v>120.6</v>
      </c>
      <c r="V1600" s="573">
        <v>15.8</v>
      </c>
      <c r="W1600" s="616">
        <v>5302</v>
      </c>
      <c r="X1600" s="617">
        <v>24</v>
      </c>
      <c r="Y1600" s="617" t="s">
        <v>178</v>
      </c>
      <c r="Z1600" s="617" t="s">
        <v>178</v>
      </c>
      <c r="AA1600" s="618">
        <v>28555</v>
      </c>
      <c r="AB1600" s="618" t="s">
        <v>164</v>
      </c>
      <c r="AC1600" s="618">
        <v>25288.895833333336</v>
      </c>
      <c r="AD1600" s="619">
        <v>0.03</v>
      </c>
      <c r="AE1600" s="617" t="s">
        <v>3077</v>
      </c>
    </row>
    <row r="1601" spans="1:31" s="572" customFormat="1">
      <c r="A1601" s="570" t="s">
        <v>3078</v>
      </c>
      <c r="B1601" s="569" t="s">
        <v>278</v>
      </c>
      <c r="C1601" s="580">
        <v>15</v>
      </c>
      <c r="D1601" s="569" t="s">
        <v>1516</v>
      </c>
      <c r="E1601" s="569" t="s">
        <v>3009</v>
      </c>
      <c r="F1601" s="569" t="s">
        <v>271</v>
      </c>
      <c r="G1601" s="569">
        <v>2019</v>
      </c>
      <c r="H1601" s="569" t="s">
        <v>3010</v>
      </c>
      <c r="I1601" s="569" t="s">
        <v>3064</v>
      </c>
      <c r="J1601" s="569" t="s">
        <v>156</v>
      </c>
      <c r="K1601" s="569">
        <v>2</v>
      </c>
      <c r="L1601" s="569">
        <v>0</v>
      </c>
      <c r="M1601" s="569" t="s">
        <v>157</v>
      </c>
      <c r="N1601" s="569">
        <v>1</v>
      </c>
      <c r="O1601" s="569">
        <v>72.5</v>
      </c>
      <c r="P1601" s="568" t="s">
        <v>157</v>
      </c>
      <c r="Q1601" s="569" t="s">
        <v>352</v>
      </c>
      <c r="R1601" s="569">
        <v>4</v>
      </c>
      <c r="S1601" s="569" t="s">
        <v>3065</v>
      </c>
      <c r="T1601" s="569" t="s">
        <v>3066</v>
      </c>
      <c r="U1601" s="569">
        <v>104.8</v>
      </c>
      <c r="V1601" s="569">
        <v>15.8</v>
      </c>
      <c r="W1601" s="620">
        <v>5020</v>
      </c>
      <c r="X1601" s="621">
        <v>24</v>
      </c>
      <c r="Y1601" s="621" t="s">
        <v>178</v>
      </c>
      <c r="Z1601" s="621" t="s">
        <v>178</v>
      </c>
      <c r="AA1601" s="622">
        <v>27240</v>
      </c>
      <c r="AB1601" s="622" t="s">
        <v>164</v>
      </c>
      <c r="AC1601" s="622">
        <v>24600</v>
      </c>
      <c r="AD1601" s="623">
        <v>0.01</v>
      </c>
      <c r="AE1601" s="621" t="s">
        <v>3068</v>
      </c>
    </row>
    <row r="1602" spans="1:31" s="572" customFormat="1">
      <c r="A1602" s="570" t="s">
        <v>3079</v>
      </c>
      <c r="B1602" s="573" t="s">
        <v>278</v>
      </c>
      <c r="C1602" s="578">
        <v>15</v>
      </c>
      <c r="D1602" s="573" t="s">
        <v>1516</v>
      </c>
      <c r="E1602" s="573" t="s">
        <v>3009</v>
      </c>
      <c r="F1602" s="573" t="s">
        <v>271</v>
      </c>
      <c r="G1602" s="573">
        <v>2019</v>
      </c>
      <c r="H1602" s="573" t="s">
        <v>3010</v>
      </c>
      <c r="I1602" s="573" t="s">
        <v>3064</v>
      </c>
      <c r="J1602" s="573" t="s">
        <v>156</v>
      </c>
      <c r="K1602" s="573">
        <v>2</v>
      </c>
      <c r="L1602" s="573">
        <v>0</v>
      </c>
      <c r="M1602" s="573" t="s">
        <v>157</v>
      </c>
      <c r="N1602" s="573">
        <v>1</v>
      </c>
      <c r="O1602" s="573">
        <v>72.8</v>
      </c>
      <c r="P1602" s="571" t="s">
        <v>157</v>
      </c>
      <c r="Q1602" s="573" t="s">
        <v>352</v>
      </c>
      <c r="R1602" s="573">
        <v>4</v>
      </c>
      <c r="S1602" s="582" t="s">
        <v>3073</v>
      </c>
      <c r="T1602" s="573" t="s">
        <v>3066</v>
      </c>
      <c r="U1602" s="573">
        <v>120.6</v>
      </c>
      <c r="V1602" s="573">
        <v>15.8</v>
      </c>
      <c r="W1602" s="616">
        <v>5270</v>
      </c>
      <c r="X1602" s="617">
        <v>24</v>
      </c>
      <c r="Y1602" s="617" t="s">
        <v>178</v>
      </c>
      <c r="Z1602" s="617" t="s">
        <v>178</v>
      </c>
      <c r="AA1602" s="618">
        <v>28240</v>
      </c>
      <c r="AB1602" s="618" t="s">
        <v>164</v>
      </c>
      <c r="AC1602" s="618">
        <v>25500</v>
      </c>
      <c r="AD1602" s="619">
        <v>0.01</v>
      </c>
      <c r="AE1602" s="617" t="s">
        <v>3075</v>
      </c>
    </row>
    <row r="1603" spans="1:31" s="572" customFormat="1">
      <c r="A1603" s="570" t="s">
        <v>3080</v>
      </c>
      <c r="B1603" s="569" t="s">
        <v>287</v>
      </c>
      <c r="C1603" s="580">
        <v>26</v>
      </c>
      <c r="D1603" s="569" t="s">
        <v>1516</v>
      </c>
      <c r="E1603" s="569" t="s">
        <v>3009</v>
      </c>
      <c r="F1603" s="569" t="s">
        <v>271</v>
      </c>
      <c r="G1603" s="569">
        <v>2019</v>
      </c>
      <c r="H1603" s="569" t="s">
        <v>3010</v>
      </c>
      <c r="I1603" s="569" t="s">
        <v>3064</v>
      </c>
      <c r="J1603" s="569" t="s">
        <v>156</v>
      </c>
      <c r="K1603" s="569">
        <v>2</v>
      </c>
      <c r="L1603" s="569">
        <v>0</v>
      </c>
      <c r="M1603" s="569" t="s">
        <v>157</v>
      </c>
      <c r="N1603" s="569">
        <v>1</v>
      </c>
      <c r="O1603" s="569">
        <v>72.5</v>
      </c>
      <c r="P1603" s="568" t="s">
        <v>157</v>
      </c>
      <c r="Q1603" s="569" t="s">
        <v>189</v>
      </c>
      <c r="R1603" s="569">
        <v>4</v>
      </c>
      <c r="S1603" s="569" t="s">
        <v>3065</v>
      </c>
      <c r="T1603" s="569" t="s">
        <v>3066</v>
      </c>
      <c r="U1603" s="569">
        <v>104.8</v>
      </c>
      <c r="V1603" s="569">
        <v>15.8</v>
      </c>
      <c r="W1603" s="620">
        <v>5020</v>
      </c>
      <c r="X1603" s="621">
        <v>24</v>
      </c>
      <c r="Y1603" s="621" t="s">
        <v>178</v>
      </c>
      <c r="Z1603" s="621" t="s">
        <v>178</v>
      </c>
      <c r="AA1603" s="622">
        <v>27165</v>
      </c>
      <c r="AB1603" s="622" t="s">
        <v>164</v>
      </c>
      <c r="AC1603" s="622">
        <v>24953</v>
      </c>
      <c r="AD1603" s="623">
        <v>0.05</v>
      </c>
      <c r="AE1603" s="621" t="s">
        <v>3068</v>
      </c>
    </row>
    <row r="1604" spans="1:31" s="572" customFormat="1">
      <c r="A1604" s="570" t="s">
        <v>3081</v>
      </c>
      <c r="B1604" s="573" t="s">
        <v>287</v>
      </c>
      <c r="C1604" s="578">
        <v>26</v>
      </c>
      <c r="D1604" s="573" t="s">
        <v>1516</v>
      </c>
      <c r="E1604" s="573" t="s">
        <v>3009</v>
      </c>
      <c r="F1604" s="573" t="s">
        <v>271</v>
      </c>
      <c r="G1604" s="573">
        <v>2019</v>
      </c>
      <c r="H1604" s="573" t="s">
        <v>3010</v>
      </c>
      <c r="I1604" s="573" t="s">
        <v>3064</v>
      </c>
      <c r="J1604" s="573" t="s">
        <v>156</v>
      </c>
      <c r="K1604" s="573">
        <v>2</v>
      </c>
      <c r="L1604" s="573">
        <v>0</v>
      </c>
      <c r="M1604" s="573" t="s">
        <v>157</v>
      </c>
      <c r="N1604" s="573">
        <v>1</v>
      </c>
      <c r="O1604" s="573">
        <v>72.8</v>
      </c>
      <c r="P1604" s="571" t="s">
        <v>157</v>
      </c>
      <c r="Q1604" s="573" t="s">
        <v>189</v>
      </c>
      <c r="R1604" s="573">
        <v>4</v>
      </c>
      <c r="S1604" s="582" t="s">
        <v>3073</v>
      </c>
      <c r="T1604" s="573" t="s">
        <v>3066</v>
      </c>
      <c r="U1604" s="573">
        <v>120.6</v>
      </c>
      <c r="V1604" s="573">
        <v>15.8</v>
      </c>
      <c r="W1604" s="616">
        <v>5270</v>
      </c>
      <c r="X1604" s="617">
        <v>24</v>
      </c>
      <c r="Y1604" s="617" t="s">
        <v>178</v>
      </c>
      <c r="Z1604" s="617" t="s">
        <v>178</v>
      </c>
      <c r="AA1604" s="618">
        <v>28165</v>
      </c>
      <c r="AB1604" s="618" t="s">
        <v>164</v>
      </c>
      <c r="AC1604" s="618">
        <v>24831</v>
      </c>
      <c r="AD1604" s="619">
        <v>0.05</v>
      </c>
      <c r="AE1604" s="617" t="s">
        <v>3075</v>
      </c>
    </row>
    <row r="1605" spans="1:31" s="572" customFormat="1">
      <c r="A1605" s="570" t="s">
        <v>3082</v>
      </c>
      <c r="B1605" s="569" t="s">
        <v>280</v>
      </c>
      <c r="C1605" s="580">
        <v>27</v>
      </c>
      <c r="D1605" s="569" t="s">
        <v>1516</v>
      </c>
      <c r="E1605" s="569" t="s">
        <v>3009</v>
      </c>
      <c r="F1605" s="569" t="s">
        <v>271</v>
      </c>
      <c r="G1605" s="569">
        <v>2019</v>
      </c>
      <c r="H1605" s="569" t="s">
        <v>3010</v>
      </c>
      <c r="I1605" s="569" t="s">
        <v>3064</v>
      </c>
      <c r="J1605" s="569" t="s">
        <v>156</v>
      </c>
      <c r="K1605" s="569">
        <v>2</v>
      </c>
      <c r="L1605" s="569">
        <v>0</v>
      </c>
      <c r="M1605" s="569" t="s">
        <v>157</v>
      </c>
      <c r="N1605" s="569">
        <v>1</v>
      </c>
      <c r="O1605" s="569">
        <v>72.5</v>
      </c>
      <c r="P1605" s="568" t="s">
        <v>157</v>
      </c>
      <c r="Q1605" s="569" t="s">
        <v>3012</v>
      </c>
      <c r="R1605" s="569">
        <v>4</v>
      </c>
      <c r="S1605" s="569" t="s">
        <v>3065</v>
      </c>
      <c r="T1605" s="569" t="s">
        <v>3066</v>
      </c>
      <c r="U1605" s="569">
        <v>104.8</v>
      </c>
      <c r="V1605" s="569">
        <v>15.8</v>
      </c>
      <c r="W1605" s="620">
        <v>5240</v>
      </c>
      <c r="X1605" s="621" t="s">
        <v>157</v>
      </c>
      <c r="Y1605" s="621" t="s">
        <v>728</v>
      </c>
      <c r="Z1605" s="621" t="s">
        <v>728</v>
      </c>
      <c r="AA1605" s="622">
        <v>29235</v>
      </c>
      <c r="AB1605" s="622" t="s">
        <v>164</v>
      </c>
      <c r="AC1605" s="622">
        <v>25857.645833333336</v>
      </c>
      <c r="AD1605" s="623">
        <v>0.03</v>
      </c>
      <c r="AE1605" s="621" t="s">
        <v>3063</v>
      </c>
    </row>
    <row r="1606" spans="1:31" s="572" customFormat="1">
      <c r="A1606" s="570" t="s">
        <v>3083</v>
      </c>
      <c r="B1606" s="573" t="s">
        <v>280</v>
      </c>
      <c r="C1606" s="578">
        <v>27</v>
      </c>
      <c r="D1606" s="573" t="s">
        <v>1516</v>
      </c>
      <c r="E1606" s="573" t="s">
        <v>3009</v>
      </c>
      <c r="F1606" s="573" t="s">
        <v>271</v>
      </c>
      <c r="G1606" s="573">
        <v>2019</v>
      </c>
      <c r="H1606" s="573" t="s">
        <v>3010</v>
      </c>
      <c r="I1606" s="573" t="s">
        <v>3064</v>
      </c>
      <c r="J1606" s="573" t="s">
        <v>156</v>
      </c>
      <c r="K1606" s="573">
        <v>2</v>
      </c>
      <c r="L1606" s="573">
        <v>0</v>
      </c>
      <c r="M1606" s="573" t="s">
        <v>157</v>
      </c>
      <c r="N1606" s="573">
        <v>1</v>
      </c>
      <c r="O1606" s="573">
        <v>72.5</v>
      </c>
      <c r="P1606" s="571" t="s">
        <v>157</v>
      </c>
      <c r="Q1606" s="573" t="s">
        <v>3016</v>
      </c>
      <c r="R1606" s="573">
        <v>4</v>
      </c>
      <c r="S1606" s="582" t="s">
        <v>3065</v>
      </c>
      <c r="T1606" s="573" t="s">
        <v>3066</v>
      </c>
      <c r="U1606" s="573">
        <v>104.8</v>
      </c>
      <c r="V1606" s="573">
        <v>15.8</v>
      </c>
      <c r="W1606" s="616">
        <v>5130</v>
      </c>
      <c r="X1606" s="617">
        <v>24</v>
      </c>
      <c r="Y1606" s="617" t="s">
        <v>178</v>
      </c>
      <c r="Z1606" s="617" t="s">
        <v>178</v>
      </c>
      <c r="AA1606" s="618">
        <v>27240</v>
      </c>
      <c r="AB1606" s="618" t="s">
        <v>164</v>
      </c>
      <c r="AC1606" s="618">
        <v>24085.604166666668</v>
      </c>
      <c r="AD1606" s="619">
        <v>0.03</v>
      </c>
      <c r="AE1606" s="617" t="s">
        <v>3068</v>
      </c>
    </row>
    <row r="1607" spans="1:31" s="572" customFormat="1">
      <c r="A1607" s="570" t="s">
        <v>3084</v>
      </c>
      <c r="B1607" s="569" t="s">
        <v>280</v>
      </c>
      <c r="C1607" s="580">
        <v>27</v>
      </c>
      <c r="D1607" s="569" t="s">
        <v>1516</v>
      </c>
      <c r="E1607" s="569" t="s">
        <v>3009</v>
      </c>
      <c r="F1607" s="569" t="s">
        <v>271</v>
      </c>
      <c r="G1607" s="569">
        <v>2019</v>
      </c>
      <c r="H1607" s="569" t="s">
        <v>3010</v>
      </c>
      <c r="I1607" s="569" t="s">
        <v>3064</v>
      </c>
      <c r="J1607" s="569" t="s">
        <v>156</v>
      </c>
      <c r="K1607" s="569">
        <v>2</v>
      </c>
      <c r="L1607" s="569">
        <v>0</v>
      </c>
      <c r="M1607" s="569" t="s">
        <v>157</v>
      </c>
      <c r="N1607" s="569">
        <v>1</v>
      </c>
      <c r="O1607" s="569">
        <v>72.5</v>
      </c>
      <c r="P1607" s="568" t="s">
        <v>157</v>
      </c>
      <c r="Q1607" s="569" t="s">
        <v>3019</v>
      </c>
      <c r="R1607" s="569">
        <v>4</v>
      </c>
      <c r="S1607" s="569" t="s">
        <v>3065</v>
      </c>
      <c r="T1607" s="569" t="s">
        <v>3066</v>
      </c>
      <c r="U1607" s="569">
        <v>104.8</v>
      </c>
      <c r="V1607" s="569">
        <v>15.8</v>
      </c>
      <c r="W1607" s="620">
        <v>5110</v>
      </c>
      <c r="X1607" s="621" t="s">
        <v>157</v>
      </c>
      <c r="Y1607" s="621" t="s">
        <v>178</v>
      </c>
      <c r="Z1607" s="621" t="s">
        <v>178</v>
      </c>
      <c r="AA1607" s="622">
        <v>27555</v>
      </c>
      <c r="AB1607" s="622" t="s">
        <v>164</v>
      </c>
      <c r="AC1607" s="622">
        <v>24364.9375</v>
      </c>
      <c r="AD1607" s="623">
        <v>0.03</v>
      </c>
      <c r="AE1607" s="621" t="s">
        <v>3070</v>
      </c>
    </row>
    <row r="1608" spans="1:31" s="572" customFormat="1">
      <c r="A1608" s="570" t="s">
        <v>3085</v>
      </c>
      <c r="B1608" s="573" t="s">
        <v>280</v>
      </c>
      <c r="C1608" s="578">
        <v>27</v>
      </c>
      <c r="D1608" s="573" t="s">
        <v>1516</v>
      </c>
      <c r="E1608" s="573" t="s">
        <v>3009</v>
      </c>
      <c r="F1608" s="573" t="s">
        <v>271</v>
      </c>
      <c r="G1608" s="573">
        <v>2019</v>
      </c>
      <c r="H1608" s="573" t="s">
        <v>3010</v>
      </c>
      <c r="I1608" s="573" t="s">
        <v>3064</v>
      </c>
      <c r="J1608" s="573" t="s">
        <v>156</v>
      </c>
      <c r="K1608" s="573">
        <v>2</v>
      </c>
      <c r="L1608" s="573">
        <v>0</v>
      </c>
      <c r="M1608" s="573" t="s">
        <v>157</v>
      </c>
      <c r="N1608" s="573">
        <v>1</v>
      </c>
      <c r="O1608" s="573">
        <v>72.8</v>
      </c>
      <c r="P1608" s="571" t="s">
        <v>157</v>
      </c>
      <c r="Q1608" s="573" t="s">
        <v>3012</v>
      </c>
      <c r="R1608" s="573">
        <v>4</v>
      </c>
      <c r="S1608" s="582" t="s">
        <v>3073</v>
      </c>
      <c r="T1608" s="573" t="s">
        <v>3066</v>
      </c>
      <c r="U1608" s="573">
        <v>120.6</v>
      </c>
      <c r="V1608" s="573">
        <v>15.8</v>
      </c>
      <c r="W1608" s="616">
        <v>5260</v>
      </c>
      <c r="X1608" s="617" t="s">
        <v>157</v>
      </c>
      <c r="Y1608" s="617" t="s">
        <v>728</v>
      </c>
      <c r="Z1608" s="617"/>
      <c r="AA1608" s="618">
        <v>30235</v>
      </c>
      <c r="AB1608" s="618" t="s">
        <v>164</v>
      </c>
      <c r="AC1608" s="618">
        <v>26781.604166666668</v>
      </c>
      <c r="AD1608" s="619">
        <v>0.03</v>
      </c>
      <c r="AE1608" s="617" t="s">
        <v>3072</v>
      </c>
    </row>
    <row r="1609" spans="1:31" s="572" customFormat="1">
      <c r="A1609" s="570" t="s">
        <v>3086</v>
      </c>
      <c r="B1609" s="569" t="s">
        <v>280</v>
      </c>
      <c r="C1609" s="580">
        <v>27</v>
      </c>
      <c r="D1609" s="569" t="s">
        <v>1516</v>
      </c>
      <c r="E1609" s="569" t="s">
        <v>3009</v>
      </c>
      <c r="F1609" s="569" t="s">
        <v>271</v>
      </c>
      <c r="G1609" s="569">
        <v>2019</v>
      </c>
      <c r="H1609" s="569" t="s">
        <v>3010</v>
      </c>
      <c r="I1609" s="569" t="s">
        <v>3064</v>
      </c>
      <c r="J1609" s="569" t="s">
        <v>156</v>
      </c>
      <c r="K1609" s="569">
        <v>2</v>
      </c>
      <c r="L1609" s="569">
        <v>0</v>
      </c>
      <c r="M1609" s="569" t="s">
        <v>157</v>
      </c>
      <c r="N1609" s="569">
        <v>1</v>
      </c>
      <c r="O1609" s="569">
        <v>72.8</v>
      </c>
      <c r="P1609" s="568" t="s">
        <v>157</v>
      </c>
      <c r="Q1609" s="569" t="s">
        <v>3016</v>
      </c>
      <c r="R1609" s="569">
        <v>4</v>
      </c>
      <c r="S1609" s="569" t="s">
        <v>3073</v>
      </c>
      <c r="T1609" s="569" t="s">
        <v>3066</v>
      </c>
      <c r="U1609" s="569">
        <v>120.6</v>
      </c>
      <c r="V1609" s="569">
        <v>15.8</v>
      </c>
      <c r="W1609" s="620">
        <v>5302</v>
      </c>
      <c r="X1609" s="621">
        <v>24</v>
      </c>
      <c r="Y1609" s="621" t="s">
        <v>178</v>
      </c>
      <c r="Z1609" s="621" t="s">
        <v>178</v>
      </c>
      <c r="AA1609" s="622">
        <v>28240</v>
      </c>
      <c r="AB1609" s="622" t="s">
        <v>164</v>
      </c>
      <c r="AC1609" s="622">
        <v>25009.5625</v>
      </c>
      <c r="AD1609" s="623">
        <v>0.03</v>
      </c>
      <c r="AE1609" s="621" t="s">
        <v>3075</v>
      </c>
    </row>
    <row r="1610" spans="1:31" s="572" customFormat="1">
      <c r="A1610" s="570" t="s">
        <v>3087</v>
      </c>
      <c r="B1610" s="573" t="s">
        <v>280</v>
      </c>
      <c r="C1610" s="578">
        <v>27</v>
      </c>
      <c r="D1610" s="573" t="s">
        <v>1516</v>
      </c>
      <c r="E1610" s="573" t="s">
        <v>3009</v>
      </c>
      <c r="F1610" s="573" t="s">
        <v>271</v>
      </c>
      <c r="G1610" s="573">
        <v>2019</v>
      </c>
      <c r="H1610" s="573" t="s">
        <v>3010</v>
      </c>
      <c r="I1610" s="573" t="s">
        <v>3064</v>
      </c>
      <c r="J1610" s="573" t="s">
        <v>156</v>
      </c>
      <c r="K1610" s="573">
        <v>2</v>
      </c>
      <c r="L1610" s="573">
        <v>0</v>
      </c>
      <c r="M1610" s="573" t="s">
        <v>157</v>
      </c>
      <c r="N1610" s="573">
        <v>1</v>
      </c>
      <c r="O1610" s="573">
        <v>72.8</v>
      </c>
      <c r="P1610" s="571" t="s">
        <v>157</v>
      </c>
      <c r="Q1610" s="573" t="s">
        <v>3019</v>
      </c>
      <c r="R1610" s="573">
        <v>4</v>
      </c>
      <c r="S1610" s="582" t="s">
        <v>3073</v>
      </c>
      <c r="T1610" s="573" t="s">
        <v>3066</v>
      </c>
      <c r="U1610" s="573">
        <v>120.6</v>
      </c>
      <c r="V1610" s="573">
        <v>15.8</v>
      </c>
      <c r="W1610" s="616">
        <v>5302</v>
      </c>
      <c r="X1610" s="617">
        <v>24</v>
      </c>
      <c r="Y1610" s="617" t="s">
        <v>178</v>
      </c>
      <c r="Z1610" s="617" t="s">
        <v>178</v>
      </c>
      <c r="AA1610" s="618">
        <v>28555</v>
      </c>
      <c r="AB1610" s="618" t="s">
        <v>164</v>
      </c>
      <c r="AC1610" s="618">
        <v>25288.895833333336</v>
      </c>
      <c r="AD1610" s="619">
        <v>0.03</v>
      </c>
      <c r="AE1610" s="617" t="s">
        <v>3077</v>
      </c>
    </row>
    <row r="1611" spans="1:31" s="572" customFormat="1">
      <c r="A1611" s="570" t="s">
        <v>3088</v>
      </c>
      <c r="B1611" s="569" t="s">
        <v>269</v>
      </c>
      <c r="C1611" s="580" t="s">
        <v>270</v>
      </c>
      <c r="D1611" s="569" t="s">
        <v>1516</v>
      </c>
      <c r="E1611" s="569" t="s">
        <v>3009</v>
      </c>
      <c r="F1611" s="569" t="s">
        <v>271</v>
      </c>
      <c r="G1611" s="569">
        <v>2019</v>
      </c>
      <c r="H1611" s="569" t="s">
        <v>3010</v>
      </c>
      <c r="I1611" s="569" t="s">
        <v>3090</v>
      </c>
      <c r="J1611" s="569" t="s">
        <v>156</v>
      </c>
      <c r="K1611" s="569">
        <v>2</v>
      </c>
      <c r="L1611" s="569">
        <v>0</v>
      </c>
      <c r="M1611" s="569" t="s">
        <v>157</v>
      </c>
      <c r="N1611" s="569">
        <v>1</v>
      </c>
      <c r="O1611" s="569">
        <v>72.5</v>
      </c>
      <c r="P1611" s="568" t="s">
        <v>157</v>
      </c>
      <c r="Q1611" s="569" t="s">
        <v>3012</v>
      </c>
      <c r="R1611" s="569">
        <v>4</v>
      </c>
      <c r="S1611" s="569" t="s">
        <v>3091</v>
      </c>
      <c r="T1611" s="569" t="s">
        <v>3066</v>
      </c>
      <c r="U1611" s="569">
        <v>104.8</v>
      </c>
      <c r="V1611" s="569">
        <v>15.8</v>
      </c>
      <c r="W1611" s="620">
        <v>5240</v>
      </c>
      <c r="X1611" s="621" t="s">
        <v>157</v>
      </c>
      <c r="Y1611" s="621" t="s">
        <v>728</v>
      </c>
      <c r="Z1611" s="621" t="s">
        <v>728</v>
      </c>
      <c r="AA1611" s="622">
        <v>29235</v>
      </c>
      <c r="AB1611" s="622" t="s">
        <v>164</v>
      </c>
      <c r="AC1611" s="622">
        <v>25857.645833333336</v>
      </c>
      <c r="AD1611" s="623">
        <v>0.03</v>
      </c>
      <c r="AE1611" s="621" t="s">
        <v>3089</v>
      </c>
    </row>
    <row r="1612" spans="1:31" s="572" customFormat="1">
      <c r="A1612" s="570" t="s">
        <v>3092</v>
      </c>
      <c r="B1612" s="573" t="s">
        <v>269</v>
      </c>
      <c r="C1612" s="578" t="s">
        <v>270</v>
      </c>
      <c r="D1612" s="573" t="s">
        <v>1516</v>
      </c>
      <c r="E1612" s="573" t="s">
        <v>3009</v>
      </c>
      <c r="F1612" s="573" t="s">
        <v>271</v>
      </c>
      <c r="G1612" s="573">
        <v>2019</v>
      </c>
      <c r="H1612" s="573" t="s">
        <v>3010</v>
      </c>
      <c r="I1612" s="573" t="s">
        <v>3090</v>
      </c>
      <c r="J1612" s="573" t="s">
        <v>156</v>
      </c>
      <c r="K1612" s="573">
        <v>2</v>
      </c>
      <c r="L1612" s="573">
        <v>0</v>
      </c>
      <c r="M1612" s="573" t="s">
        <v>157</v>
      </c>
      <c r="N1612" s="573">
        <v>1</v>
      </c>
      <c r="O1612" s="573">
        <v>72.5</v>
      </c>
      <c r="P1612" s="571" t="s">
        <v>157</v>
      </c>
      <c r="Q1612" s="573" t="s">
        <v>3016</v>
      </c>
      <c r="R1612" s="573">
        <v>4</v>
      </c>
      <c r="S1612" s="582" t="s">
        <v>3091</v>
      </c>
      <c r="T1612" s="573" t="s">
        <v>3066</v>
      </c>
      <c r="U1612" s="573">
        <v>104.8</v>
      </c>
      <c r="V1612" s="573">
        <v>15.8</v>
      </c>
      <c r="W1612" s="616">
        <v>5130</v>
      </c>
      <c r="X1612" s="617">
        <v>24</v>
      </c>
      <c r="Y1612" s="617" t="s">
        <v>178</v>
      </c>
      <c r="Z1612" s="617" t="s">
        <v>178</v>
      </c>
      <c r="AA1612" s="618">
        <v>27240</v>
      </c>
      <c r="AB1612" s="618" t="s">
        <v>164</v>
      </c>
      <c r="AC1612" s="618">
        <v>24085.604166666668</v>
      </c>
      <c r="AD1612" s="619">
        <v>0.03</v>
      </c>
      <c r="AE1612" s="617" t="s">
        <v>3093</v>
      </c>
    </row>
    <row r="1613" spans="1:31" s="572" customFormat="1">
      <c r="A1613" s="570" t="s">
        <v>3094</v>
      </c>
      <c r="B1613" s="569" t="s">
        <v>269</v>
      </c>
      <c r="C1613" s="580" t="s">
        <v>270</v>
      </c>
      <c r="D1613" s="569" t="s">
        <v>1516</v>
      </c>
      <c r="E1613" s="569" t="s">
        <v>3009</v>
      </c>
      <c r="F1613" s="569" t="s">
        <v>271</v>
      </c>
      <c r="G1613" s="569">
        <v>2019</v>
      </c>
      <c r="H1613" s="569" t="s">
        <v>3010</v>
      </c>
      <c r="I1613" s="569" t="s">
        <v>3090</v>
      </c>
      <c r="J1613" s="569" t="s">
        <v>156</v>
      </c>
      <c r="K1613" s="569">
        <v>2</v>
      </c>
      <c r="L1613" s="569">
        <v>0</v>
      </c>
      <c r="M1613" s="569" t="s">
        <v>157</v>
      </c>
      <c r="N1613" s="569">
        <v>1</v>
      </c>
      <c r="O1613" s="569">
        <v>72.5</v>
      </c>
      <c r="P1613" s="568" t="s">
        <v>157</v>
      </c>
      <c r="Q1613" s="569" t="s">
        <v>3019</v>
      </c>
      <c r="R1613" s="569">
        <v>4</v>
      </c>
      <c r="S1613" s="569" t="s">
        <v>3091</v>
      </c>
      <c r="T1613" s="569" t="s">
        <v>3066</v>
      </c>
      <c r="U1613" s="569">
        <v>104.8</v>
      </c>
      <c r="V1613" s="569">
        <v>15.8</v>
      </c>
      <c r="W1613" s="620">
        <v>5110</v>
      </c>
      <c r="X1613" s="621" t="s">
        <v>157</v>
      </c>
      <c r="Y1613" s="621" t="s">
        <v>178</v>
      </c>
      <c r="Z1613" s="621" t="s">
        <v>178</v>
      </c>
      <c r="AA1613" s="622">
        <v>27555</v>
      </c>
      <c r="AB1613" s="622" t="s">
        <v>164</v>
      </c>
      <c r="AC1613" s="622">
        <v>24364.9375</v>
      </c>
      <c r="AD1613" s="623">
        <v>0.03</v>
      </c>
      <c r="AE1613" s="621" t="s">
        <v>3095</v>
      </c>
    </row>
    <row r="1614" spans="1:31" s="572" customFormat="1">
      <c r="A1614" s="570" t="s">
        <v>3096</v>
      </c>
      <c r="B1614" s="573" t="s">
        <v>269</v>
      </c>
      <c r="C1614" s="578" t="s">
        <v>270</v>
      </c>
      <c r="D1614" s="573" t="s">
        <v>1516</v>
      </c>
      <c r="E1614" s="573" t="s">
        <v>3009</v>
      </c>
      <c r="F1614" s="573" t="s">
        <v>271</v>
      </c>
      <c r="G1614" s="573">
        <v>2019</v>
      </c>
      <c r="H1614" s="573" t="s">
        <v>3010</v>
      </c>
      <c r="I1614" s="573" t="s">
        <v>3090</v>
      </c>
      <c r="J1614" s="573" t="s">
        <v>156</v>
      </c>
      <c r="K1614" s="573">
        <v>2</v>
      </c>
      <c r="L1614" s="573">
        <v>0</v>
      </c>
      <c r="M1614" s="573" t="s">
        <v>157</v>
      </c>
      <c r="N1614" s="573">
        <v>1</v>
      </c>
      <c r="O1614" s="573">
        <v>72.8</v>
      </c>
      <c r="P1614" s="571" t="s">
        <v>157</v>
      </c>
      <c r="Q1614" s="573" t="s">
        <v>3012</v>
      </c>
      <c r="R1614" s="573">
        <v>4</v>
      </c>
      <c r="S1614" s="582" t="s">
        <v>3098</v>
      </c>
      <c r="T1614" s="573" t="s">
        <v>3066</v>
      </c>
      <c r="U1614" s="573">
        <v>120.6</v>
      </c>
      <c r="V1614" s="573">
        <v>15.8</v>
      </c>
      <c r="W1614" s="616">
        <v>5260</v>
      </c>
      <c r="X1614" s="617" t="s">
        <v>157</v>
      </c>
      <c r="Y1614" s="617" t="s">
        <v>728</v>
      </c>
      <c r="Z1614" s="617" t="s">
        <v>728</v>
      </c>
      <c r="AA1614" s="618">
        <v>30235</v>
      </c>
      <c r="AB1614" s="618" t="s">
        <v>164</v>
      </c>
      <c r="AC1614" s="618">
        <v>26781.604166666668</v>
      </c>
      <c r="AD1614" s="619">
        <v>0.03</v>
      </c>
      <c r="AE1614" s="617" t="s">
        <v>3097</v>
      </c>
    </row>
    <row r="1615" spans="1:31" s="572" customFormat="1">
      <c r="A1615" s="570" t="s">
        <v>3099</v>
      </c>
      <c r="B1615" s="569" t="s">
        <v>269</v>
      </c>
      <c r="C1615" s="580" t="s">
        <v>270</v>
      </c>
      <c r="D1615" s="569" t="s">
        <v>1516</v>
      </c>
      <c r="E1615" s="569" t="s">
        <v>3009</v>
      </c>
      <c r="F1615" s="569" t="s">
        <v>271</v>
      </c>
      <c r="G1615" s="569">
        <v>2019</v>
      </c>
      <c r="H1615" s="569" t="s">
        <v>3010</v>
      </c>
      <c r="I1615" s="569" t="s">
        <v>3090</v>
      </c>
      <c r="J1615" s="569" t="s">
        <v>156</v>
      </c>
      <c r="K1615" s="569">
        <v>2</v>
      </c>
      <c r="L1615" s="569">
        <v>0</v>
      </c>
      <c r="M1615" s="569" t="s">
        <v>157</v>
      </c>
      <c r="N1615" s="569">
        <v>1</v>
      </c>
      <c r="O1615" s="569">
        <v>72.8</v>
      </c>
      <c r="P1615" s="568" t="s">
        <v>157</v>
      </c>
      <c r="Q1615" s="569" t="s">
        <v>3016</v>
      </c>
      <c r="R1615" s="569">
        <v>4</v>
      </c>
      <c r="S1615" s="569" t="s">
        <v>3098</v>
      </c>
      <c r="T1615" s="569" t="s">
        <v>3066</v>
      </c>
      <c r="U1615" s="569">
        <v>120.6</v>
      </c>
      <c r="V1615" s="569">
        <v>15.8</v>
      </c>
      <c r="W1615" s="620">
        <v>5302</v>
      </c>
      <c r="X1615" s="621">
        <v>24</v>
      </c>
      <c r="Y1615" s="621" t="s">
        <v>178</v>
      </c>
      <c r="Z1615" s="621" t="s">
        <v>178</v>
      </c>
      <c r="AA1615" s="622">
        <v>28240</v>
      </c>
      <c r="AB1615" s="622" t="s">
        <v>164</v>
      </c>
      <c r="AC1615" s="622">
        <v>25009.5625</v>
      </c>
      <c r="AD1615" s="623">
        <v>0.03</v>
      </c>
      <c r="AE1615" s="621" t="s">
        <v>3100</v>
      </c>
    </row>
    <row r="1616" spans="1:31" s="572" customFormat="1">
      <c r="A1616" s="570" t="s">
        <v>3101</v>
      </c>
      <c r="B1616" s="573" t="s">
        <v>269</v>
      </c>
      <c r="C1616" s="578" t="s">
        <v>270</v>
      </c>
      <c r="D1616" s="573" t="s">
        <v>1516</v>
      </c>
      <c r="E1616" s="573" t="s">
        <v>3009</v>
      </c>
      <c r="F1616" s="573" t="s">
        <v>271</v>
      </c>
      <c r="G1616" s="573">
        <v>2019</v>
      </c>
      <c r="H1616" s="573" t="s">
        <v>3010</v>
      </c>
      <c r="I1616" s="573" t="s">
        <v>3090</v>
      </c>
      <c r="J1616" s="573" t="s">
        <v>156</v>
      </c>
      <c r="K1616" s="573">
        <v>2</v>
      </c>
      <c r="L1616" s="573">
        <v>0</v>
      </c>
      <c r="M1616" s="573" t="s">
        <v>157</v>
      </c>
      <c r="N1616" s="573">
        <v>1</v>
      </c>
      <c r="O1616" s="573">
        <v>72.8</v>
      </c>
      <c r="P1616" s="571" t="s">
        <v>157</v>
      </c>
      <c r="Q1616" s="573" t="s">
        <v>3019</v>
      </c>
      <c r="R1616" s="573">
        <v>4</v>
      </c>
      <c r="S1616" s="582" t="s">
        <v>3098</v>
      </c>
      <c r="T1616" s="573" t="s">
        <v>3066</v>
      </c>
      <c r="U1616" s="573">
        <v>120.6</v>
      </c>
      <c r="V1616" s="573">
        <v>15.8</v>
      </c>
      <c r="W1616" s="616">
        <v>5302</v>
      </c>
      <c r="X1616" s="617">
        <v>24</v>
      </c>
      <c r="Y1616" s="617" t="s">
        <v>178</v>
      </c>
      <c r="Z1616" s="617" t="s">
        <v>178</v>
      </c>
      <c r="AA1616" s="618">
        <v>28555</v>
      </c>
      <c r="AB1616" s="618" t="s">
        <v>164</v>
      </c>
      <c r="AC1616" s="618">
        <v>25288.895833333336</v>
      </c>
      <c r="AD1616" s="619">
        <v>0.03</v>
      </c>
      <c r="AE1616" s="617" t="s">
        <v>3102</v>
      </c>
    </row>
    <row r="1617" spans="1:31" s="572" customFormat="1">
      <c r="A1617" s="570" t="s">
        <v>3103</v>
      </c>
      <c r="B1617" s="569" t="s">
        <v>278</v>
      </c>
      <c r="C1617" s="580">
        <v>15</v>
      </c>
      <c r="D1617" s="569" t="s">
        <v>1516</v>
      </c>
      <c r="E1617" s="569" t="s">
        <v>3009</v>
      </c>
      <c r="F1617" s="569" t="s">
        <v>271</v>
      </c>
      <c r="G1617" s="569">
        <v>2019</v>
      </c>
      <c r="H1617" s="569" t="s">
        <v>3010</v>
      </c>
      <c r="I1617" s="569" t="s">
        <v>3090</v>
      </c>
      <c r="J1617" s="569" t="s">
        <v>156</v>
      </c>
      <c r="K1617" s="569">
        <v>2</v>
      </c>
      <c r="L1617" s="569">
        <v>0</v>
      </c>
      <c r="M1617" s="569" t="s">
        <v>157</v>
      </c>
      <c r="N1617" s="569">
        <v>1</v>
      </c>
      <c r="O1617" s="569">
        <v>72.5</v>
      </c>
      <c r="P1617" s="568" t="s">
        <v>157</v>
      </c>
      <c r="Q1617" s="569" t="s">
        <v>352</v>
      </c>
      <c r="R1617" s="569">
        <v>4</v>
      </c>
      <c r="S1617" s="569" t="s">
        <v>3091</v>
      </c>
      <c r="T1617" s="569" t="s">
        <v>3066</v>
      </c>
      <c r="U1617" s="569">
        <v>104.8</v>
      </c>
      <c r="V1617" s="569">
        <v>15.8</v>
      </c>
      <c r="W1617" s="620">
        <v>5020</v>
      </c>
      <c r="X1617" s="621">
        <v>24</v>
      </c>
      <c r="Y1617" s="621" t="s">
        <v>178</v>
      </c>
      <c r="Z1617" s="621" t="s">
        <v>178</v>
      </c>
      <c r="AA1617" s="622">
        <v>27240</v>
      </c>
      <c r="AB1617" s="622" t="s">
        <v>164</v>
      </c>
      <c r="AC1617" s="622">
        <v>24600</v>
      </c>
      <c r="AD1617" s="623">
        <v>0.01</v>
      </c>
      <c r="AE1617" s="621" t="s">
        <v>3093</v>
      </c>
    </row>
    <row r="1618" spans="1:31" s="572" customFormat="1">
      <c r="A1618" s="570" t="s">
        <v>3104</v>
      </c>
      <c r="B1618" s="573" t="s">
        <v>278</v>
      </c>
      <c r="C1618" s="578">
        <v>15</v>
      </c>
      <c r="D1618" s="573" t="s">
        <v>1516</v>
      </c>
      <c r="E1618" s="573" t="s">
        <v>3009</v>
      </c>
      <c r="F1618" s="573" t="s">
        <v>271</v>
      </c>
      <c r="G1618" s="573">
        <v>2019</v>
      </c>
      <c r="H1618" s="573" t="s">
        <v>3010</v>
      </c>
      <c r="I1618" s="573" t="s">
        <v>3090</v>
      </c>
      <c r="J1618" s="573" t="s">
        <v>156</v>
      </c>
      <c r="K1618" s="573">
        <v>2</v>
      </c>
      <c r="L1618" s="573">
        <v>0</v>
      </c>
      <c r="M1618" s="573" t="s">
        <v>157</v>
      </c>
      <c r="N1618" s="573">
        <v>1</v>
      </c>
      <c r="O1618" s="573">
        <v>72.8</v>
      </c>
      <c r="P1618" s="571" t="s">
        <v>157</v>
      </c>
      <c r="Q1618" s="573" t="s">
        <v>352</v>
      </c>
      <c r="R1618" s="573">
        <v>4</v>
      </c>
      <c r="S1618" s="582" t="s">
        <v>3098</v>
      </c>
      <c r="T1618" s="573" t="s">
        <v>3066</v>
      </c>
      <c r="U1618" s="573">
        <v>120.6</v>
      </c>
      <c r="V1618" s="573">
        <v>15.8</v>
      </c>
      <c r="W1618" s="616">
        <v>5270</v>
      </c>
      <c r="X1618" s="617">
        <v>24</v>
      </c>
      <c r="Y1618" s="617" t="s">
        <v>178</v>
      </c>
      <c r="Z1618" s="617" t="s">
        <v>178</v>
      </c>
      <c r="AA1618" s="618">
        <v>28240</v>
      </c>
      <c r="AB1618" s="618" t="s">
        <v>164</v>
      </c>
      <c r="AC1618" s="618">
        <v>25500</v>
      </c>
      <c r="AD1618" s="619">
        <v>0.01</v>
      </c>
      <c r="AE1618" s="617" t="s">
        <v>3100</v>
      </c>
    </row>
    <row r="1619" spans="1:31" s="572" customFormat="1">
      <c r="A1619" s="570" t="s">
        <v>3105</v>
      </c>
      <c r="B1619" s="569" t="s">
        <v>287</v>
      </c>
      <c r="C1619" s="580">
        <v>26</v>
      </c>
      <c r="D1619" s="569" t="s">
        <v>1516</v>
      </c>
      <c r="E1619" s="569" t="s">
        <v>3009</v>
      </c>
      <c r="F1619" s="569" t="s">
        <v>271</v>
      </c>
      <c r="G1619" s="569">
        <v>2019</v>
      </c>
      <c r="H1619" s="569" t="s">
        <v>3010</v>
      </c>
      <c r="I1619" s="569" t="s">
        <v>3090</v>
      </c>
      <c r="J1619" s="569" t="s">
        <v>156</v>
      </c>
      <c r="K1619" s="569">
        <v>2</v>
      </c>
      <c r="L1619" s="569">
        <v>0</v>
      </c>
      <c r="M1619" s="569" t="s">
        <v>157</v>
      </c>
      <c r="N1619" s="569">
        <v>1</v>
      </c>
      <c r="O1619" s="569">
        <v>72.5</v>
      </c>
      <c r="P1619" s="568" t="s">
        <v>157</v>
      </c>
      <c r="Q1619" s="569" t="s">
        <v>189</v>
      </c>
      <c r="R1619" s="569">
        <v>4</v>
      </c>
      <c r="S1619" s="569" t="s">
        <v>3091</v>
      </c>
      <c r="T1619" s="569" t="s">
        <v>3066</v>
      </c>
      <c r="U1619" s="569">
        <v>104.8</v>
      </c>
      <c r="V1619" s="569">
        <v>15.8</v>
      </c>
      <c r="W1619" s="620">
        <v>5020</v>
      </c>
      <c r="X1619" s="621">
        <v>24</v>
      </c>
      <c r="Y1619" s="621" t="s">
        <v>178</v>
      </c>
      <c r="Z1619" s="621" t="s">
        <v>178</v>
      </c>
      <c r="AA1619" s="622">
        <v>27165</v>
      </c>
      <c r="AB1619" s="622" t="s">
        <v>164</v>
      </c>
      <c r="AC1619" s="622">
        <v>24953</v>
      </c>
      <c r="AD1619" s="623">
        <v>0.05</v>
      </c>
      <c r="AE1619" s="621" t="s">
        <v>3093</v>
      </c>
    </row>
    <row r="1620" spans="1:31" s="572" customFormat="1">
      <c r="A1620" s="570" t="s">
        <v>3106</v>
      </c>
      <c r="B1620" s="573" t="s">
        <v>287</v>
      </c>
      <c r="C1620" s="578">
        <v>26</v>
      </c>
      <c r="D1620" s="573" t="s">
        <v>1516</v>
      </c>
      <c r="E1620" s="573" t="s">
        <v>3009</v>
      </c>
      <c r="F1620" s="573" t="s">
        <v>271</v>
      </c>
      <c r="G1620" s="573">
        <v>2019</v>
      </c>
      <c r="H1620" s="573" t="s">
        <v>3010</v>
      </c>
      <c r="I1620" s="573" t="s">
        <v>3090</v>
      </c>
      <c r="J1620" s="573" t="s">
        <v>156</v>
      </c>
      <c r="K1620" s="573">
        <v>2</v>
      </c>
      <c r="L1620" s="573">
        <v>0</v>
      </c>
      <c r="M1620" s="573" t="s">
        <v>157</v>
      </c>
      <c r="N1620" s="573">
        <v>1</v>
      </c>
      <c r="O1620" s="573">
        <v>72.8</v>
      </c>
      <c r="P1620" s="571" t="s">
        <v>157</v>
      </c>
      <c r="Q1620" s="573" t="s">
        <v>189</v>
      </c>
      <c r="R1620" s="573">
        <v>4</v>
      </c>
      <c r="S1620" s="582" t="s">
        <v>3098</v>
      </c>
      <c r="T1620" s="573" t="s">
        <v>3066</v>
      </c>
      <c r="U1620" s="573">
        <v>120.6</v>
      </c>
      <c r="V1620" s="573">
        <v>15.8</v>
      </c>
      <c r="W1620" s="616">
        <v>5270</v>
      </c>
      <c r="X1620" s="617">
        <v>24</v>
      </c>
      <c r="Y1620" s="617" t="s">
        <v>178</v>
      </c>
      <c r="Z1620" s="617" t="s">
        <v>178</v>
      </c>
      <c r="AA1620" s="618">
        <v>28165</v>
      </c>
      <c r="AB1620" s="618" t="s">
        <v>164</v>
      </c>
      <c r="AC1620" s="618">
        <v>25910</v>
      </c>
      <c r="AD1620" s="619">
        <v>0.05</v>
      </c>
      <c r="AE1620" s="617" t="s">
        <v>3100</v>
      </c>
    </row>
    <row r="1621" spans="1:31" s="572" customFormat="1">
      <c r="A1621" s="570" t="s">
        <v>3107</v>
      </c>
      <c r="B1621" s="569" t="s">
        <v>280</v>
      </c>
      <c r="C1621" s="580">
        <v>27</v>
      </c>
      <c r="D1621" s="569" t="s">
        <v>1516</v>
      </c>
      <c r="E1621" s="569" t="s">
        <v>3009</v>
      </c>
      <c r="F1621" s="569" t="s">
        <v>271</v>
      </c>
      <c r="G1621" s="569">
        <v>2019</v>
      </c>
      <c r="H1621" s="569" t="s">
        <v>3010</v>
      </c>
      <c r="I1621" s="569" t="s">
        <v>3090</v>
      </c>
      <c r="J1621" s="569" t="s">
        <v>156</v>
      </c>
      <c r="K1621" s="569">
        <v>2</v>
      </c>
      <c r="L1621" s="569">
        <v>0</v>
      </c>
      <c r="M1621" s="569" t="s">
        <v>157</v>
      </c>
      <c r="N1621" s="569">
        <v>1</v>
      </c>
      <c r="O1621" s="569">
        <v>72.5</v>
      </c>
      <c r="P1621" s="568" t="s">
        <v>157</v>
      </c>
      <c r="Q1621" s="569" t="s">
        <v>3012</v>
      </c>
      <c r="R1621" s="569">
        <v>4</v>
      </c>
      <c r="S1621" s="569" t="s">
        <v>3091</v>
      </c>
      <c r="T1621" s="569" t="s">
        <v>3066</v>
      </c>
      <c r="U1621" s="569">
        <v>104.8</v>
      </c>
      <c r="V1621" s="569">
        <v>15.8</v>
      </c>
      <c r="W1621" s="620">
        <v>5240</v>
      </c>
      <c r="X1621" s="621" t="s">
        <v>157</v>
      </c>
      <c r="Y1621" s="621" t="s">
        <v>728</v>
      </c>
      <c r="Z1621" s="621" t="s">
        <v>728</v>
      </c>
      <c r="AA1621" s="622">
        <v>29235</v>
      </c>
      <c r="AB1621" s="622" t="s">
        <v>164</v>
      </c>
      <c r="AC1621" s="622">
        <v>25857.645833333336</v>
      </c>
      <c r="AD1621" s="623">
        <v>0.03</v>
      </c>
      <c r="AE1621" s="621" t="s">
        <v>3089</v>
      </c>
    </row>
    <row r="1622" spans="1:31" s="572" customFormat="1">
      <c r="A1622" s="570" t="s">
        <v>3108</v>
      </c>
      <c r="B1622" s="573" t="s">
        <v>280</v>
      </c>
      <c r="C1622" s="578">
        <v>27</v>
      </c>
      <c r="D1622" s="573" t="s">
        <v>1516</v>
      </c>
      <c r="E1622" s="573" t="s">
        <v>3009</v>
      </c>
      <c r="F1622" s="573" t="s">
        <v>271</v>
      </c>
      <c r="G1622" s="573">
        <v>2019</v>
      </c>
      <c r="H1622" s="573" t="s">
        <v>3010</v>
      </c>
      <c r="I1622" s="573" t="s">
        <v>3090</v>
      </c>
      <c r="J1622" s="573" t="s">
        <v>156</v>
      </c>
      <c r="K1622" s="573">
        <v>2</v>
      </c>
      <c r="L1622" s="573">
        <v>0</v>
      </c>
      <c r="M1622" s="573" t="s">
        <v>157</v>
      </c>
      <c r="N1622" s="573">
        <v>1</v>
      </c>
      <c r="O1622" s="573">
        <v>72.5</v>
      </c>
      <c r="P1622" s="571" t="s">
        <v>157</v>
      </c>
      <c r="Q1622" s="573" t="s">
        <v>3016</v>
      </c>
      <c r="R1622" s="573">
        <v>4</v>
      </c>
      <c r="S1622" s="582" t="s">
        <v>3091</v>
      </c>
      <c r="T1622" s="573" t="s">
        <v>3066</v>
      </c>
      <c r="U1622" s="573">
        <v>104.8</v>
      </c>
      <c r="V1622" s="573">
        <v>15.8</v>
      </c>
      <c r="W1622" s="616">
        <v>5130</v>
      </c>
      <c r="X1622" s="617">
        <v>24</v>
      </c>
      <c r="Y1622" s="617" t="s">
        <v>178</v>
      </c>
      <c r="Z1622" s="617" t="s">
        <v>178</v>
      </c>
      <c r="AA1622" s="618">
        <v>27240</v>
      </c>
      <c r="AB1622" s="618" t="s">
        <v>164</v>
      </c>
      <c r="AC1622" s="618">
        <v>24085.604166666668</v>
      </c>
      <c r="AD1622" s="619">
        <v>0.03</v>
      </c>
      <c r="AE1622" s="617" t="s">
        <v>3093</v>
      </c>
    </row>
    <row r="1623" spans="1:31" s="572" customFormat="1">
      <c r="A1623" s="570" t="s">
        <v>3109</v>
      </c>
      <c r="B1623" s="569" t="s">
        <v>280</v>
      </c>
      <c r="C1623" s="580">
        <v>27</v>
      </c>
      <c r="D1623" s="569" t="s">
        <v>1516</v>
      </c>
      <c r="E1623" s="569" t="s">
        <v>3009</v>
      </c>
      <c r="F1623" s="569" t="s">
        <v>271</v>
      </c>
      <c r="G1623" s="569">
        <v>2019</v>
      </c>
      <c r="H1623" s="569" t="s">
        <v>3010</v>
      </c>
      <c r="I1623" s="569" t="s">
        <v>3090</v>
      </c>
      <c r="J1623" s="569" t="s">
        <v>156</v>
      </c>
      <c r="K1623" s="569">
        <v>2</v>
      </c>
      <c r="L1623" s="569">
        <v>0</v>
      </c>
      <c r="M1623" s="569" t="s">
        <v>157</v>
      </c>
      <c r="N1623" s="569">
        <v>1</v>
      </c>
      <c r="O1623" s="569">
        <v>72.5</v>
      </c>
      <c r="P1623" s="568" t="s">
        <v>157</v>
      </c>
      <c r="Q1623" s="569" t="s">
        <v>3019</v>
      </c>
      <c r="R1623" s="569">
        <v>4</v>
      </c>
      <c r="S1623" s="569" t="s">
        <v>3091</v>
      </c>
      <c r="T1623" s="569" t="s">
        <v>3066</v>
      </c>
      <c r="U1623" s="569">
        <v>104.8</v>
      </c>
      <c r="V1623" s="569">
        <v>15.8</v>
      </c>
      <c r="W1623" s="620">
        <v>5110</v>
      </c>
      <c r="X1623" s="621" t="s">
        <v>157</v>
      </c>
      <c r="Y1623" s="621" t="s">
        <v>178</v>
      </c>
      <c r="Z1623" s="621" t="s">
        <v>178</v>
      </c>
      <c r="AA1623" s="622">
        <v>27555</v>
      </c>
      <c r="AB1623" s="622" t="s">
        <v>164</v>
      </c>
      <c r="AC1623" s="622">
        <v>24364.9375</v>
      </c>
      <c r="AD1623" s="623">
        <v>0.03</v>
      </c>
      <c r="AE1623" s="621" t="s">
        <v>3095</v>
      </c>
    </row>
    <row r="1624" spans="1:31" s="572" customFormat="1">
      <c r="A1624" s="570" t="s">
        <v>3110</v>
      </c>
      <c r="B1624" s="573" t="s">
        <v>280</v>
      </c>
      <c r="C1624" s="578">
        <v>27</v>
      </c>
      <c r="D1624" s="573" t="s">
        <v>1516</v>
      </c>
      <c r="E1624" s="573" t="s">
        <v>3009</v>
      </c>
      <c r="F1624" s="573" t="s">
        <v>271</v>
      </c>
      <c r="G1624" s="573">
        <v>2019</v>
      </c>
      <c r="H1624" s="573" t="s">
        <v>3010</v>
      </c>
      <c r="I1624" s="573" t="s">
        <v>3090</v>
      </c>
      <c r="J1624" s="573" t="s">
        <v>156</v>
      </c>
      <c r="K1624" s="573">
        <v>2</v>
      </c>
      <c r="L1624" s="573">
        <v>0</v>
      </c>
      <c r="M1624" s="573" t="s">
        <v>157</v>
      </c>
      <c r="N1624" s="573">
        <v>1</v>
      </c>
      <c r="O1624" s="573">
        <v>72.8</v>
      </c>
      <c r="P1624" s="571" t="s">
        <v>157</v>
      </c>
      <c r="Q1624" s="573" t="s">
        <v>3012</v>
      </c>
      <c r="R1624" s="573">
        <v>4</v>
      </c>
      <c r="S1624" s="582" t="s">
        <v>3098</v>
      </c>
      <c r="T1624" s="573" t="s">
        <v>3066</v>
      </c>
      <c r="U1624" s="573">
        <v>120.6</v>
      </c>
      <c r="V1624" s="573">
        <v>15.8</v>
      </c>
      <c r="W1624" s="616">
        <v>5260</v>
      </c>
      <c r="X1624" s="617" t="s">
        <v>157</v>
      </c>
      <c r="Y1624" s="617" t="s">
        <v>728</v>
      </c>
      <c r="Z1624" s="617" t="s">
        <v>728</v>
      </c>
      <c r="AA1624" s="618">
        <v>30235</v>
      </c>
      <c r="AB1624" s="618" t="s">
        <v>164</v>
      </c>
      <c r="AC1624" s="618">
        <v>26781.604166666668</v>
      </c>
      <c r="AD1624" s="619">
        <v>0.03</v>
      </c>
      <c r="AE1624" s="617" t="s">
        <v>3097</v>
      </c>
    </row>
    <row r="1625" spans="1:31" s="572" customFormat="1">
      <c r="A1625" s="570" t="s">
        <v>3111</v>
      </c>
      <c r="B1625" s="569" t="s">
        <v>280</v>
      </c>
      <c r="C1625" s="580">
        <v>27</v>
      </c>
      <c r="D1625" s="569" t="s">
        <v>1516</v>
      </c>
      <c r="E1625" s="569" t="s">
        <v>3009</v>
      </c>
      <c r="F1625" s="569" t="s">
        <v>271</v>
      </c>
      <c r="G1625" s="569">
        <v>2019</v>
      </c>
      <c r="H1625" s="569" t="s">
        <v>3010</v>
      </c>
      <c r="I1625" s="569" t="s">
        <v>3090</v>
      </c>
      <c r="J1625" s="569" t="s">
        <v>156</v>
      </c>
      <c r="K1625" s="569">
        <v>2</v>
      </c>
      <c r="L1625" s="569">
        <v>0</v>
      </c>
      <c r="M1625" s="569" t="s">
        <v>157</v>
      </c>
      <c r="N1625" s="569">
        <v>1</v>
      </c>
      <c r="O1625" s="569">
        <v>72.8</v>
      </c>
      <c r="P1625" s="568" t="s">
        <v>157</v>
      </c>
      <c r="Q1625" s="569" t="s">
        <v>3016</v>
      </c>
      <c r="R1625" s="569">
        <v>4</v>
      </c>
      <c r="S1625" s="569" t="s">
        <v>3098</v>
      </c>
      <c r="T1625" s="569" t="s">
        <v>3066</v>
      </c>
      <c r="U1625" s="569">
        <v>120.6</v>
      </c>
      <c r="V1625" s="569">
        <v>15.8</v>
      </c>
      <c r="W1625" s="620">
        <v>5302</v>
      </c>
      <c r="X1625" s="621">
        <v>24</v>
      </c>
      <c r="Y1625" s="621" t="s">
        <v>178</v>
      </c>
      <c r="Z1625" s="621" t="s">
        <v>178</v>
      </c>
      <c r="AA1625" s="622">
        <v>28240</v>
      </c>
      <c r="AB1625" s="622" t="s">
        <v>164</v>
      </c>
      <c r="AC1625" s="622">
        <v>25009.5625</v>
      </c>
      <c r="AD1625" s="623">
        <v>0.03</v>
      </c>
      <c r="AE1625" s="621" t="s">
        <v>3100</v>
      </c>
    </row>
    <row r="1626" spans="1:31" s="572" customFormat="1">
      <c r="A1626" s="570" t="s">
        <v>3112</v>
      </c>
      <c r="B1626" s="573" t="s">
        <v>280</v>
      </c>
      <c r="C1626" s="578">
        <v>27</v>
      </c>
      <c r="D1626" s="573" t="s">
        <v>1516</v>
      </c>
      <c r="E1626" s="573" t="s">
        <v>3009</v>
      </c>
      <c r="F1626" s="573" t="s">
        <v>271</v>
      </c>
      <c r="G1626" s="573">
        <v>2019</v>
      </c>
      <c r="H1626" s="573" t="s">
        <v>3010</v>
      </c>
      <c r="I1626" s="573" t="s">
        <v>3090</v>
      </c>
      <c r="J1626" s="573" t="s">
        <v>156</v>
      </c>
      <c r="K1626" s="573">
        <v>2</v>
      </c>
      <c r="L1626" s="573">
        <v>0</v>
      </c>
      <c r="M1626" s="573" t="s">
        <v>157</v>
      </c>
      <c r="N1626" s="573">
        <v>1</v>
      </c>
      <c r="O1626" s="573">
        <v>72.8</v>
      </c>
      <c r="P1626" s="571" t="s">
        <v>157</v>
      </c>
      <c r="Q1626" s="573" t="s">
        <v>3019</v>
      </c>
      <c r="R1626" s="573">
        <v>4</v>
      </c>
      <c r="S1626" s="582" t="s">
        <v>3098</v>
      </c>
      <c r="T1626" s="573" t="s">
        <v>3066</v>
      </c>
      <c r="U1626" s="573">
        <v>120.6</v>
      </c>
      <c r="V1626" s="573">
        <v>15.8</v>
      </c>
      <c r="W1626" s="616">
        <v>5302</v>
      </c>
      <c r="X1626" s="617">
        <v>24</v>
      </c>
      <c r="Y1626" s="617" t="s">
        <v>178</v>
      </c>
      <c r="Z1626" s="617" t="s">
        <v>178</v>
      </c>
      <c r="AA1626" s="618">
        <v>28555</v>
      </c>
      <c r="AB1626" s="618" t="s">
        <v>164</v>
      </c>
      <c r="AC1626" s="618">
        <v>25288.895833333336</v>
      </c>
      <c r="AD1626" s="619">
        <v>0.03</v>
      </c>
      <c r="AE1626" s="617" t="s">
        <v>3102</v>
      </c>
    </row>
    <row r="1627" spans="1:31" s="572" customFormat="1">
      <c r="A1627" s="570" t="s">
        <v>3113</v>
      </c>
      <c r="B1627" s="569" t="s">
        <v>269</v>
      </c>
      <c r="C1627" s="580" t="s">
        <v>270</v>
      </c>
      <c r="D1627" s="569" t="s">
        <v>1516</v>
      </c>
      <c r="E1627" s="569" t="s">
        <v>3115</v>
      </c>
      <c r="F1627" s="569" t="s">
        <v>271</v>
      </c>
      <c r="G1627" s="569">
        <v>2019</v>
      </c>
      <c r="H1627" s="569" t="s">
        <v>3116</v>
      </c>
      <c r="I1627" s="569" t="s">
        <v>418</v>
      </c>
      <c r="J1627" s="569" t="s">
        <v>156</v>
      </c>
      <c r="K1627" s="569">
        <v>7</v>
      </c>
      <c r="L1627" s="569">
        <v>0</v>
      </c>
      <c r="M1627" s="569" t="s">
        <v>157</v>
      </c>
      <c r="N1627" s="569">
        <v>3</v>
      </c>
      <c r="O1627" s="569">
        <v>73</v>
      </c>
      <c r="P1627" s="568" t="s">
        <v>157</v>
      </c>
      <c r="Q1627" s="569" t="s">
        <v>189</v>
      </c>
      <c r="R1627" s="569">
        <v>4</v>
      </c>
      <c r="S1627" s="569" t="s">
        <v>3117</v>
      </c>
      <c r="T1627" s="569" t="s">
        <v>3118</v>
      </c>
      <c r="U1627" s="569">
        <v>104.8</v>
      </c>
      <c r="V1627" s="569">
        <v>15.8</v>
      </c>
      <c r="W1627" s="620">
        <v>4820</v>
      </c>
      <c r="X1627" s="621">
        <v>24</v>
      </c>
      <c r="Y1627" s="621" t="s">
        <v>178</v>
      </c>
      <c r="Z1627" s="621" t="s">
        <v>178</v>
      </c>
      <c r="AA1627" s="622">
        <v>31410</v>
      </c>
      <c r="AB1627" s="622" t="s">
        <v>164</v>
      </c>
      <c r="AC1627" s="622">
        <v>27940.979166666668</v>
      </c>
      <c r="AD1627" s="623">
        <v>0.03</v>
      </c>
      <c r="AE1627" s="621" t="s">
        <v>3114</v>
      </c>
    </row>
    <row r="1628" spans="1:31" s="572" customFormat="1">
      <c r="A1628" s="570" t="s">
        <v>3119</v>
      </c>
      <c r="B1628" s="573" t="s">
        <v>269</v>
      </c>
      <c r="C1628" s="578" t="s">
        <v>270</v>
      </c>
      <c r="D1628" s="573" t="s">
        <v>1516</v>
      </c>
      <c r="E1628" s="573" t="s">
        <v>3115</v>
      </c>
      <c r="F1628" s="573" t="s">
        <v>271</v>
      </c>
      <c r="G1628" s="573">
        <v>2019</v>
      </c>
      <c r="H1628" s="573" t="s">
        <v>3116</v>
      </c>
      <c r="I1628" s="573" t="s">
        <v>418</v>
      </c>
      <c r="J1628" s="573" t="s">
        <v>156</v>
      </c>
      <c r="K1628" s="573">
        <v>7</v>
      </c>
      <c r="L1628" s="573">
        <v>0</v>
      </c>
      <c r="M1628" s="573" t="s">
        <v>157</v>
      </c>
      <c r="N1628" s="573">
        <v>3</v>
      </c>
      <c r="O1628" s="573">
        <v>73</v>
      </c>
      <c r="P1628" s="571" t="s">
        <v>157</v>
      </c>
      <c r="Q1628" s="573" t="s">
        <v>189</v>
      </c>
      <c r="R1628" s="573">
        <v>4</v>
      </c>
      <c r="S1628" s="582" t="s">
        <v>3121</v>
      </c>
      <c r="T1628" s="573" t="s">
        <v>3118</v>
      </c>
      <c r="U1628" s="573">
        <v>120.6</v>
      </c>
      <c r="V1628" s="573">
        <v>15.8</v>
      </c>
      <c r="W1628" s="616">
        <v>4820</v>
      </c>
      <c r="X1628" s="617">
        <v>24</v>
      </c>
      <c r="Y1628" s="617" t="s">
        <v>178</v>
      </c>
      <c r="Z1628" s="617" t="s">
        <v>178</v>
      </c>
      <c r="AA1628" s="618">
        <v>32790</v>
      </c>
      <c r="AB1628" s="618" t="s">
        <v>164</v>
      </c>
      <c r="AC1628" s="618">
        <v>29215.979166666668</v>
      </c>
      <c r="AD1628" s="619">
        <v>0.03</v>
      </c>
      <c r="AE1628" s="617" t="s">
        <v>3120</v>
      </c>
    </row>
    <row r="1629" spans="1:31" s="572" customFormat="1">
      <c r="A1629" s="570" t="s">
        <v>3122</v>
      </c>
      <c r="B1629" s="569" t="s">
        <v>278</v>
      </c>
      <c r="C1629" s="580">
        <v>15</v>
      </c>
      <c r="D1629" s="569" t="s">
        <v>1516</v>
      </c>
      <c r="E1629" s="569" t="s">
        <v>3115</v>
      </c>
      <c r="F1629" s="569" t="s">
        <v>271</v>
      </c>
      <c r="G1629" s="569">
        <v>2019</v>
      </c>
      <c r="H1629" s="569" t="s">
        <v>3116</v>
      </c>
      <c r="I1629" s="569" t="s">
        <v>418</v>
      </c>
      <c r="J1629" s="569" t="s">
        <v>156</v>
      </c>
      <c r="K1629" s="569">
        <v>7</v>
      </c>
      <c r="L1629" s="569">
        <v>0</v>
      </c>
      <c r="M1629" s="569" t="s">
        <v>157</v>
      </c>
      <c r="N1629" s="569">
        <v>3</v>
      </c>
      <c r="O1629" s="569">
        <v>73</v>
      </c>
      <c r="P1629" s="568" t="s">
        <v>157</v>
      </c>
      <c r="Q1629" s="569" t="s">
        <v>205</v>
      </c>
      <c r="R1629" s="569">
        <v>4</v>
      </c>
      <c r="S1629" s="569" t="s">
        <v>3117</v>
      </c>
      <c r="T1629" s="569" t="s">
        <v>3118</v>
      </c>
      <c r="U1629" s="569">
        <v>104.8</v>
      </c>
      <c r="V1629" s="569">
        <v>15.8</v>
      </c>
      <c r="W1629" s="620">
        <v>4820</v>
      </c>
      <c r="X1629" s="621">
        <v>22</v>
      </c>
      <c r="Y1629" s="621" t="s">
        <v>178</v>
      </c>
      <c r="Z1629" s="621" t="s">
        <v>178</v>
      </c>
      <c r="AA1629" s="622">
        <v>31410</v>
      </c>
      <c r="AB1629" s="622" t="s">
        <v>164</v>
      </c>
      <c r="AC1629" s="622">
        <v>28500</v>
      </c>
      <c r="AD1629" s="623">
        <v>0.01</v>
      </c>
      <c r="AE1629" s="621" t="s">
        <v>3114</v>
      </c>
    </row>
    <row r="1630" spans="1:31" s="572" customFormat="1">
      <c r="A1630" s="570" t="s">
        <v>3123</v>
      </c>
      <c r="B1630" s="573" t="s">
        <v>278</v>
      </c>
      <c r="C1630" s="578">
        <v>15</v>
      </c>
      <c r="D1630" s="573" t="s">
        <v>1516</v>
      </c>
      <c r="E1630" s="573" t="s">
        <v>3115</v>
      </c>
      <c r="F1630" s="573" t="s">
        <v>271</v>
      </c>
      <c r="G1630" s="573">
        <v>2019</v>
      </c>
      <c r="H1630" s="573" t="s">
        <v>3116</v>
      </c>
      <c r="I1630" s="573" t="s">
        <v>418</v>
      </c>
      <c r="J1630" s="573" t="s">
        <v>156</v>
      </c>
      <c r="K1630" s="573">
        <v>7</v>
      </c>
      <c r="L1630" s="573">
        <v>0</v>
      </c>
      <c r="M1630" s="573" t="s">
        <v>157</v>
      </c>
      <c r="N1630" s="573">
        <v>3</v>
      </c>
      <c r="O1630" s="573">
        <v>73</v>
      </c>
      <c r="P1630" s="571" t="s">
        <v>157</v>
      </c>
      <c r="Q1630" s="573" t="s">
        <v>352</v>
      </c>
      <c r="R1630" s="573">
        <v>4</v>
      </c>
      <c r="S1630" s="582" t="s">
        <v>3121</v>
      </c>
      <c r="T1630" s="573" t="s">
        <v>3118</v>
      </c>
      <c r="U1630" s="573">
        <v>120.6</v>
      </c>
      <c r="V1630" s="573">
        <v>15.8</v>
      </c>
      <c r="W1630" s="616">
        <v>5280</v>
      </c>
      <c r="X1630" s="617">
        <v>23</v>
      </c>
      <c r="Y1630" s="617" t="s">
        <v>178</v>
      </c>
      <c r="Z1630" s="617" t="s">
        <v>178</v>
      </c>
      <c r="AA1630" s="618">
        <v>32790</v>
      </c>
      <c r="AB1630" s="618" t="s">
        <v>164</v>
      </c>
      <c r="AC1630" s="618">
        <v>29800</v>
      </c>
      <c r="AD1630" s="619">
        <v>0.01</v>
      </c>
      <c r="AE1630" s="617" t="s">
        <v>3120</v>
      </c>
    </row>
    <row r="1631" spans="1:31" s="572" customFormat="1">
      <c r="A1631" s="570" t="s">
        <v>3124</v>
      </c>
      <c r="B1631" s="569" t="s">
        <v>287</v>
      </c>
      <c r="C1631" s="580">
        <v>26</v>
      </c>
      <c r="D1631" s="569" t="s">
        <v>1516</v>
      </c>
      <c r="E1631" s="569" t="s">
        <v>3115</v>
      </c>
      <c r="F1631" s="569" t="s">
        <v>271</v>
      </c>
      <c r="G1631" s="569">
        <v>2019</v>
      </c>
      <c r="H1631" s="569" t="s">
        <v>3116</v>
      </c>
      <c r="I1631" s="569" t="s">
        <v>418</v>
      </c>
      <c r="J1631" s="569" t="s">
        <v>156</v>
      </c>
      <c r="K1631" s="569">
        <v>7</v>
      </c>
      <c r="L1631" s="569">
        <v>0</v>
      </c>
      <c r="M1631" s="569" t="s">
        <v>157</v>
      </c>
      <c r="N1631" s="569">
        <v>3</v>
      </c>
      <c r="O1631" s="569">
        <v>73</v>
      </c>
      <c r="P1631" s="568" t="s">
        <v>157</v>
      </c>
      <c r="Q1631" s="569" t="s">
        <v>189</v>
      </c>
      <c r="R1631" s="569">
        <v>4</v>
      </c>
      <c r="S1631" s="569" t="s">
        <v>3121</v>
      </c>
      <c r="T1631" s="569" t="s">
        <v>3118</v>
      </c>
      <c r="U1631" s="569">
        <v>120.6</v>
      </c>
      <c r="V1631" s="569">
        <v>15.8</v>
      </c>
      <c r="W1631" s="620">
        <v>5280</v>
      </c>
      <c r="X1631" s="621">
        <v>23</v>
      </c>
      <c r="Y1631" s="621" t="s">
        <v>178</v>
      </c>
      <c r="Z1631" s="621" t="s">
        <v>178</v>
      </c>
      <c r="AA1631" s="622">
        <v>32715</v>
      </c>
      <c r="AB1631" s="622" t="s">
        <v>164</v>
      </c>
      <c r="AC1631" s="622">
        <v>30266</v>
      </c>
      <c r="AD1631" s="623">
        <v>0.05</v>
      </c>
      <c r="AE1631" s="621" t="s">
        <v>3120</v>
      </c>
    </row>
    <row r="1632" spans="1:31" s="572" customFormat="1">
      <c r="A1632" s="570" t="s">
        <v>3125</v>
      </c>
      <c r="B1632" s="573" t="s">
        <v>280</v>
      </c>
      <c r="C1632" s="578">
        <v>27</v>
      </c>
      <c r="D1632" s="573" t="s">
        <v>1516</v>
      </c>
      <c r="E1632" s="573" t="s">
        <v>3115</v>
      </c>
      <c r="F1632" s="573" t="s">
        <v>271</v>
      </c>
      <c r="G1632" s="573">
        <v>2019</v>
      </c>
      <c r="H1632" s="573" t="s">
        <v>3116</v>
      </c>
      <c r="I1632" s="573" t="s">
        <v>418</v>
      </c>
      <c r="J1632" s="573" t="s">
        <v>156</v>
      </c>
      <c r="K1632" s="573">
        <v>7</v>
      </c>
      <c r="L1632" s="573">
        <v>0</v>
      </c>
      <c r="M1632" s="573" t="s">
        <v>157</v>
      </c>
      <c r="N1632" s="573">
        <v>3</v>
      </c>
      <c r="O1632" s="573">
        <v>73</v>
      </c>
      <c r="P1632" s="571" t="s">
        <v>157</v>
      </c>
      <c r="Q1632" s="573" t="s">
        <v>189</v>
      </c>
      <c r="R1632" s="573">
        <v>4</v>
      </c>
      <c r="S1632" s="582" t="s">
        <v>3117</v>
      </c>
      <c r="T1632" s="573" t="s">
        <v>3118</v>
      </c>
      <c r="U1632" s="573">
        <v>104.8</v>
      </c>
      <c r="V1632" s="573">
        <v>15.8</v>
      </c>
      <c r="W1632" s="616">
        <v>4820</v>
      </c>
      <c r="X1632" s="617">
        <v>24</v>
      </c>
      <c r="Y1632" s="617" t="s">
        <v>178</v>
      </c>
      <c r="Z1632" s="617" t="s">
        <v>178</v>
      </c>
      <c r="AA1632" s="618">
        <v>31410</v>
      </c>
      <c r="AB1632" s="618" t="s">
        <v>164</v>
      </c>
      <c r="AC1632" s="618">
        <v>27940.979166666668</v>
      </c>
      <c r="AD1632" s="619">
        <v>0.03</v>
      </c>
      <c r="AE1632" s="617" t="s">
        <v>3114</v>
      </c>
    </row>
    <row r="1633" spans="1:31" s="572" customFormat="1">
      <c r="A1633" s="570" t="s">
        <v>3126</v>
      </c>
      <c r="B1633" s="569" t="s">
        <v>280</v>
      </c>
      <c r="C1633" s="580">
        <v>27</v>
      </c>
      <c r="D1633" s="569" t="s">
        <v>1516</v>
      </c>
      <c r="E1633" s="569" t="s">
        <v>3115</v>
      </c>
      <c r="F1633" s="569" t="s">
        <v>271</v>
      </c>
      <c r="G1633" s="569">
        <v>2019</v>
      </c>
      <c r="H1633" s="569" t="s">
        <v>3116</v>
      </c>
      <c r="I1633" s="569" t="s">
        <v>418</v>
      </c>
      <c r="J1633" s="569" t="s">
        <v>156</v>
      </c>
      <c r="K1633" s="569">
        <v>7</v>
      </c>
      <c r="L1633" s="569">
        <v>0</v>
      </c>
      <c r="M1633" s="569" t="s">
        <v>157</v>
      </c>
      <c r="N1633" s="569">
        <v>3</v>
      </c>
      <c r="O1633" s="569">
        <v>73</v>
      </c>
      <c r="P1633" s="568" t="s">
        <v>157</v>
      </c>
      <c r="Q1633" s="569" t="s">
        <v>189</v>
      </c>
      <c r="R1633" s="569">
        <v>4</v>
      </c>
      <c r="S1633" s="569" t="s">
        <v>3121</v>
      </c>
      <c r="T1633" s="569" t="s">
        <v>3118</v>
      </c>
      <c r="U1633" s="569">
        <v>120.6</v>
      </c>
      <c r="V1633" s="569">
        <v>15.8</v>
      </c>
      <c r="W1633" s="620">
        <v>4820</v>
      </c>
      <c r="X1633" s="621">
        <v>24</v>
      </c>
      <c r="Y1633" s="621" t="s">
        <v>178</v>
      </c>
      <c r="Z1633" s="621" t="s">
        <v>178</v>
      </c>
      <c r="AA1633" s="622">
        <v>32790</v>
      </c>
      <c r="AB1633" s="622" t="s">
        <v>164</v>
      </c>
      <c r="AC1633" s="622">
        <v>29215.979166666668</v>
      </c>
      <c r="AD1633" s="623">
        <v>0.03</v>
      </c>
      <c r="AE1633" s="621" t="s">
        <v>3120</v>
      </c>
    </row>
    <row r="1634" spans="1:31" s="572" customFormat="1">
      <c r="A1634" s="570" t="s">
        <v>3127</v>
      </c>
      <c r="B1634" s="573" t="s">
        <v>269</v>
      </c>
      <c r="C1634" s="578" t="s">
        <v>270</v>
      </c>
      <c r="D1634" s="573" t="s">
        <v>1516</v>
      </c>
      <c r="E1634" s="573" t="s">
        <v>3115</v>
      </c>
      <c r="F1634" s="573" t="s">
        <v>271</v>
      </c>
      <c r="G1634" s="573">
        <v>2019</v>
      </c>
      <c r="H1634" s="573" t="s">
        <v>3116</v>
      </c>
      <c r="I1634" s="573" t="s">
        <v>3011</v>
      </c>
      <c r="J1634" s="573" t="s">
        <v>156</v>
      </c>
      <c r="K1634" s="573">
        <v>7</v>
      </c>
      <c r="L1634" s="573">
        <v>0</v>
      </c>
      <c r="M1634" s="573" t="s">
        <v>157</v>
      </c>
      <c r="N1634" s="573">
        <v>3</v>
      </c>
      <c r="O1634" s="573">
        <v>73</v>
      </c>
      <c r="P1634" s="571" t="s">
        <v>157</v>
      </c>
      <c r="Q1634" s="573" t="s">
        <v>3012</v>
      </c>
      <c r="R1634" s="573">
        <v>4</v>
      </c>
      <c r="S1634" s="582" t="s">
        <v>3129</v>
      </c>
      <c r="T1634" s="573" t="s">
        <v>295</v>
      </c>
      <c r="U1634" s="573">
        <v>120.6</v>
      </c>
      <c r="V1634" s="573">
        <v>15.8</v>
      </c>
      <c r="W1634" s="616">
        <v>5450</v>
      </c>
      <c r="X1634" s="617" t="s">
        <v>157</v>
      </c>
      <c r="Y1634" s="617" t="s">
        <v>728</v>
      </c>
      <c r="Z1634" s="617" t="s">
        <v>728</v>
      </c>
      <c r="AA1634" s="618">
        <v>30035</v>
      </c>
      <c r="AB1634" s="618" t="s">
        <v>164</v>
      </c>
      <c r="AC1634" s="618">
        <v>26597.229166666668</v>
      </c>
      <c r="AD1634" s="619">
        <v>0.03</v>
      </c>
      <c r="AE1634" s="617" t="s">
        <v>3128</v>
      </c>
    </row>
    <row r="1635" spans="1:31" s="572" customFormat="1">
      <c r="A1635" s="570" t="s">
        <v>3130</v>
      </c>
      <c r="B1635" s="569" t="s">
        <v>269</v>
      </c>
      <c r="C1635" s="580" t="s">
        <v>270</v>
      </c>
      <c r="D1635" s="569" t="s">
        <v>1516</v>
      </c>
      <c r="E1635" s="569" t="s">
        <v>3115</v>
      </c>
      <c r="F1635" s="569" t="s">
        <v>271</v>
      </c>
      <c r="G1635" s="569">
        <v>2019</v>
      </c>
      <c r="H1635" s="569" t="s">
        <v>3116</v>
      </c>
      <c r="I1635" s="569" t="s">
        <v>3011</v>
      </c>
      <c r="J1635" s="569" t="s">
        <v>156</v>
      </c>
      <c r="K1635" s="569">
        <v>7</v>
      </c>
      <c r="L1635" s="569">
        <v>0</v>
      </c>
      <c r="M1635" s="569" t="s">
        <v>157</v>
      </c>
      <c r="N1635" s="569">
        <v>3</v>
      </c>
      <c r="O1635" s="569">
        <v>73</v>
      </c>
      <c r="P1635" s="568" t="s">
        <v>157</v>
      </c>
      <c r="Q1635" s="569" t="s">
        <v>3016</v>
      </c>
      <c r="R1635" s="569">
        <v>4</v>
      </c>
      <c r="S1635" s="569" t="s">
        <v>3129</v>
      </c>
      <c r="T1635" s="569" t="s">
        <v>295</v>
      </c>
      <c r="U1635" s="569">
        <v>120.6</v>
      </c>
      <c r="V1635" s="569">
        <v>15.8</v>
      </c>
      <c r="W1635" s="620">
        <v>5302</v>
      </c>
      <c r="X1635" s="621" t="s">
        <v>157</v>
      </c>
      <c r="Y1635" s="621" t="s">
        <v>178</v>
      </c>
      <c r="Z1635" s="621" t="s">
        <v>178</v>
      </c>
      <c r="AA1635" s="622">
        <v>28040</v>
      </c>
      <c r="AB1635" s="622" t="s">
        <v>164</v>
      </c>
      <c r="AC1635" s="622">
        <v>24825.1875</v>
      </c>
      <c r="AD1635" s="623">
        <v>0.03</v>
      </c>
      <c r="AE1635" s="621" t="s">
        <v>3131</v>
      </c>
    </row>
    <row r="1636" spans="1:31" s="572" customFormat="1">
      <c r="A1636" s="570" t="s">
        <v>3132</v>
      </c>
      <c r="B1636" s="573" t="s">
        <v>269</v>
      </c>
      <c r="C1636" s="578" t="s">
        <v>270</v>
      </c>
      <c r="D1636" s="573" t="s">
        <v>1516</v>
      </c>
      <c r="E1636" s="573" t="s">
        <v>3115</v>
      </c>
      <c r="F1636" s="573" t="s">
        <v>271</v>
      </c>
      <c r="G1636" s="573">
        <v>2019</v>
      </c>
      <c r="H1636" s="573" t="s">
        <v>3116</v>
      </c>
      <c r="I1636" s="573" t="s">
        <v>3011</v>
      </c>
      <c r="J1636" s="573" t="s">
        <v>156</v>
      </c>
      <c r="K1636" s="573">
        <v>7</v>
      </c>
      <c r="L1636" s="573">
        <v>0</v>
      </c>
      <c r="M1636" s="573" t="s">
        <v>157</v>
      </c>
      <c r="N1636" s="573">
        <v>3</v>
      </c>
      <c r="O1636" s="573">
        <v>73</v>
      </c>
      <c r="P1636" s="571" t="s">
        <v>157</v>
      </c>
      <c r="Q1636" s="573" t="s">
        <v>3019</v>
      </c>
      <c r="R1636" s="573">
        <v>4</v>
      </c>
      <c r="S1636" s="582" t="s">
        <v>3129</v>
      </c>
      <c r="T1636" s="573" t="s">
        <v>295</v>
      </c>
      <c r="U1636" s="573">
        <v>120.6</v>
      </c>
      <c r="V1636" s="573">
        <v>15.8</v>
      </c>
      <c r="W1636" s="616">
        <v>5302</v>
      </c>
      <c r="X1636" s="617">
        <v>24</v>
      </c>
      <c r="Y1636" s="617" t="s">
        <v>178</v>
      </c>
      <c r="Z1636" s="617" t="s">
        <v>178</v>
      </c>
      <c r="AA1636" s="618">
        <v>28355</v>
      </c>
      <c r="AB1636" s="618" t="s">
        <v>164</v>
      </c>
      <c r="AC1636" s="618">
        <v>25104.520833333336</v>
      </c>
      <c r="AD1636" s="619">
        <v>0.03</v>
      </c>
      <c r="AE1636" s="617" t="s">
        <v>3133</v>
      </c>
    </row>
    <row r="1637" spans="1:31" s="572" customFormat="1">
      <c r="A1637" s="570" t="s">
        <v>3134</v>
      </c>
      <c r="B1637" s="569" t="s">
        <v>278</v>
      </c>
      <c r="C1637" s="580">
        <v>15</v>
      </c>
      <c r="D1637" s="569" t="s">
        <v>1516</v>
      </c>
      <c r="E1637" s="569" t="s">
        <v>3115</v>
      </c>
      <c r="F1637" s="569" t="s">
        <v>271</v>
      </c>
      <c r="G1637" s="569">
        <v>2019</v>
      </c>
      <c r="H1637" s="569" t="s">
        <v>3116</v>
      </c>
      <c r="I1637" s="569" t="s">
        <v>3011</v>
      </c>
      <c r="J1637" s="569" t="s">
        <v>156</v>
      </c>
      <c r="K1637" s="569">
        <v>7</v>
      </c>
      <c r="L1637" s="569">
        <v>0</v>
      </c>
      <c r="M1637" s="569" t="s">
        <v>157</v>
      </c>
      <c r="N1637" s="569">
        <v>3</v>
      </c>
      <c r="O1637" s="569">
        <v>73</v>
      </c>
      <c r="P1637" s="568" t="s">
        <v>157</v>
      </c>
      <c r="Q1637" s="569" t="s">
        <v>352</v>
      </c>
      <c r="R1637" s="569">
        <v>4</v>
      </c>
      <c r="S1637" s="569" t="s">
        <v>3129</v>
      </c>
      <c r="T1637" s="569" t="s">
        <v>295</v>
      </c>
      <c r="U1637" s="569">
        <v>120.6</v>
      </c>
      <c r="V1637" s="569">
        <v>15.8</v>
      </c>
      <c r="W1637" s="620">
        <v>5280</v>
      </c>
      <c r="X1637" s="621">
        <v>22</v>
      </c>
      <c r="Y1637" s="621" t="s">
        <v>178</v>
      </c>
      <c r="Z1637" s="621" t="s">
        <v>178</v>
      </c>
      <c r="AA1637" s="622">
        <v>28040</v>
      </c>
      <c r="AB1637" s="622" t="s">
        <v>164</v>
      </c>
      <c r="AC1637" s="622">
        <v>25350</v>
      </c>
      <c r="AD1637" s="623">
        <v>0.01</v>
      </c>
      <c r="AE1637" s="621" t="s">
        <v>3131</v>
      </c>
    </row>
    <row r="1638" spans="1:31" s="572" customFormat="1">
      <c r="A1638" s="570" t="s">
        <v>3135</v>
      </c>
      <c r="B1638" s="573" t="s">
        <v>287</v>
      </c>
      <c r="C1638" s="578">
        <v>26</v>
      </c>
      <c r="D1638" s="573" t="s">
        <v>1516</v>
      </c>
      <c r="E1638" s="573" t="s">
        <v>3115</v>
      </c>
      <c r="F1638" s="573" t="s">
        <v>271</v>
      </c>
      <c r="G1638" s="573">
        <v>2019</v>
      </c>
      <c r="H1638" s="573" t="s">
        <v>3116</v>
      </c>
      <c r="I1638" s="573" t="s">
        <v>3011</v>
      </c>
      <c r="J1638" s="573" t="s">
        <v>156</v>
      </c>
      <c r="K1638" s="573">
        <v>7</v>
      </c>
      <c r="L1638" s="573">
        <v>0</v>
      </c>
      <c r="M1638" s="573" t="s">
        <v>157</v>
      </c>
      <c r="N1638" s="573">
        <v>3</v>
      </c>
      <c r="O1638" s="573">
        <v>73</v>
      </c>
      <c r="P1638" s="571" t="s">
        <v>157</v>
      </c>
      <c r="Q1638" s="573" t="s">
        <v>189</v>
      </c>
      <c r="R1638" s="573">
        <v>4</v>
      </c>
      <c r="S1638" s="582" t="s">
        <v>3129</v>
      </c>
      <c r="T1638" s="573" t="s">
        <v>295</v>
      </c>
      <c r="U1638" s="573">
        <v>120.6</v>
      </c>
      <c r="V1638" s="573">
        <v>15.8</v>
      </c>
      <c r="W1638" s="616">
        <v>5280</v>
      </c>
      <c r="X1638" s="617">
        <v>22</v>
      </c>
      <c r="Y1638" s="617" t="s">
        <v>178</v>
      </c>
      <c r="Z1638" s="617" t="s">
        <v>178</v>
      </c>
      <c r="AA1638" s="618">
        <v>27965</v>
      </c>
      <c r="AB1638" s="618" t="s">
        <v>164</v>
      </c>
      <c r="AC1638" s="618">
        <v>25719</v>
      </c>
      <c r="AD1638" s="619">
        <v>0.05</v>
      </c>
      <c r="AE1638" s="617" t="s">
        <v>3131</v>
      </c>
    </row>
    <row r="1639" spans="1:31" s="572" customFormat="1">
      <c r="A1639" s="570" t="s">
        <v>3136</v>
      </c>
      <c r="B1639" s="569" t="s">
        <v>280</v>
      </c>
      <c r="C1639" s="580">
        <v>27</v>
      </c>
      <c r="D1639" s="569" t="s">
        <v>1516</v>
      </c>
      <c r="E1639" s="569" t="s">
        <v>3115</v>
      </c>
      <c r="F1639" s="569" t="s">
        <v>271</v>
      </c>
      <c r="G1639" s="569">
        <v>2019</v>
      </c>
      <c r="H1639" s="569" t="s">
        <v>3116</v>
      </c>
      <c r="I1639" s="569" t="s">
        <v>3011</v>
      </c>
      <c r="J1639" s="569" t="s">
        <v>156</v>
      </c>
      <c r="K1639" s="569">
        <v>7</v>
      </c>
      <c r="L1639" s="569">
        <v>0</v>
      </c>
      <c r="M1639" s="569" t="s">
        <v>157</v>
      </c>
      <c r="N1639" s="569">
        <v>3</v>
      </c>
      <c r="O1639" s="569">
        <v>73</v>
      </c>
      <c r="P1639" s="568" t="s">
        <v>157</v>
      </c>
      <c r="Q1639" s="569" t="s">
        <v>3012</v>
      </c>
      <c r="R1639" s="569">
        <v>4</v>
      </c>
      <c r="S1639" s="569" t="s">
        <v>3129</v>
      </c>
      <c r="T1639" s="569" t="s">
        <v>295</v>
      </c>
      <c r="U1639" s="569">
        <v>120.6</v>
      </c>
      <c r="V1639" s="569">
        <v>15.8</v>
      </c>
      <c r="W1639" s="620">
        <v>5450</v>
      </c>
      <c r="X1639" s="621" t="s">
        <v>157</v>
      </c>
      <c r="Y1639" s="621" t="s">
        <v>728</v>
      </c>
      <c r="Z1639" s="621" t="s">
        <v>728</v>
      </c>
      <c r="AA1639" s="622">
        <v>30035</v>
      </c>
      <c r="AB1639" s="622" t="s">
        <v>164</v>
      </c>
      <c r="AC1639" s="622">
        <v>26597.229166666668</v>
      </c>
      <c r="AD1639" s="623">
        <v>0.03</v>
      </c>
      <c r="AE1639" s="621" t="s">
        <v>3128</v>
      </c>
    </row>
    <row r="1640" spans="1:31" s="572" customFormat="1">
      <c r="A1640" s="570" t="s">
        <v>3137</v>
      </c>
      <c r="B1640" s="573" t="s">
        <v>280</v>
      </c>
      <c r="C1640" s="578">
        <v>27</v>
      </c>
      <c r="D1640" s="573" t="s">
        <v>1516</v>
      </c>
      <c r="E1640" s="573" t="s">
        <v>3115</v>
      </c>
      <c r="F1640" s="573" t="s">
        <v>271</v>
      </c>
      <c r="G1640" s="573">
        <v>2019</v>
      </c>
      <c r="H1640" s="573" t="s">
        <v>3116</v>
      </c>
      <c r="I1640" s="573" t="s">
        <v>3011</v>
      </c>
      <c r="J1640" s="573" t="s">
        <v>156</v>
      </c>
      <c r="K1640" s="573">
        <v>7</v>
      </c>
      <c r="L1640" s="573">
        <v>0</v>
      </c>
      <c r="M1640" s="573" t="s">
        <v>157</v>
      </c>
      <c r="N1640" s="573">
        <v>3</v>
      </c>
      <c r="O1640" s="573">
        <v>73</v>
      </c>
      <c r="P1640" s="571" t="s">
        <v>157</v>
      </c>
      <c r="Q1640" s="573" t="s">
        <v>3016</v>
      </c>
      <c r="R1640" s="573">
        <v>4</v>
      </c>
      <c r="S1640" s="582" t="s">
        <v>3129</v>
      </c>
      <c r="T1640" s="573" t="s">
        <v>295</v>
      </c>
      <c r="U1640" s="573">
        <v>120.6</v>
      </c>
      <c r="V1640" s="573">
        <v>15.8</v>
      </c>
      <c r="W1640" s="616">
        <v>5302</v>
      </c>
      <c r="X1640" s="617" t="s">
        <v>157</v>
      </c>
      <c r="Y1640" s="617" t="s">
        <v>178</v>
      </c>
      <c r="Z1640" s="617" t="s">
        <v>178</v>
      </c>
      <c r="AA1640" s="618">
        <v>28040</v>
      </c>
      <c r="AB1640" s="618" t="s">
        <v>164</v>
      </c>
      <c r="AC1640" s="618">
        <v>24825.1875</v>
      </c>
      <c r="AD1640" s="619">
        <v>0.03</v>
      </c>
      <c r="AE1640" s="617" t="s">
        <v>3131</v>
      </c>
    </row>
    <row r="1641" spans="1:31" s="572" customFormat="1">
      <c r="A1641" s="570" t="s">
        <v>3138</v>
      </c>
      <c r="B1641" s="569" t="s">
        <v>280</v>
      </c>
      <c r="C1641" s="580">
        <v>27</v>
      </c>
      <c r="D1641" s="569" t="s">
        <v>1516</v>
      </c>
      <c r="E1641" s="569" t="s">
        <v>3115</v>
      </c>
      <c r="F1641" s="569" t="s">
        <v>271</v>
      </c>
      <c r="G1641" s="569">
        <v>2019</v>
      </c>
      <c r="H1641" s="569" t="s">
        <v>3116</v>
      </c>
      <c r="I1641" s="569" t="s">
        <v>3011</v>
      </c>
      <c r="J1641" s="569" t="s">
        <v>156</v>
      </c>
      <c r="K1641" s="569">
        <v>7</v>
      </c>
      <c r="L1641" s="569">
        <v>0</v>
      </c>
      <c r="M1641" s="569" t="s">
        <v>157</v>
      </c>
      <c r="N1641" s="569">
        <v>3</v>
      </c>
      <c r="O1641" s="569">
        <v>73</v>
      </c>
      <c r="P1641" s="568" t="s">
        <v>157</v>
      </c>
      <c r="Q1641" s="569" t="s">
        <v>3019</v>
      </c>
      <c r="R1641" s="569">
        <v>4</v>
      </c>
      <c r="S1641" s="569" t="s">
        <v>3129</v>
      </c>
      <c r="T1641" s="569" t="s">
        <v>295</v>
      </c>
      <c r="U1641" s="569">
        <v>120.6</v>
      </c>
      <c r="V1641" s="569">
        <v>15.8</v>
      </c>
      <c r="W1641" s="620">
        <v>5302</v>
      </c>
      <c r="X1641" s="621">
        <v>24</v>
      </c>
      <c r="Y1641" s="621" t="s">
        <v>178</v>
      </c>
      <c r="Z1641" s="621" t="s">
        <v>178</v>
      </c>
      <c r="AA1641" s="622">
        <v>28355</v>
      </c>
      <c r="AB1641" s="622" t="s">
        <v>164</v>
      </c>
      <c r="AC1641" s="622">
        <v>25104.520833333336</v>
      </c>
      <c r="AD1641" s="623">
        <v>0.03</v>
      </c>
      <c r="AE1641" s="621" t="s">
        <v>3133</v>
      </c>
    </row>
    <row r="1642" spans="1:31" s="572" customFormat="1">
      <c r="A1642" s="570" t="s">
        <v>3139</v>
      </c>
      <c r="B1642" s="573" t="s">
        <v>269</v>
      </c>
      <c r="C1642" s="578" t="s">
        <v>270</v>
      </c>
      <c r="D1642" s="573" t="s">
        <v>1516</v>
      </c>
      <c r="E1642" s="573" t="s">
        <v>3115</v>
      </c>
      <c r="F1642" s="573" t="s">
        <v>271</v>
      </c>
      <c r="G1642" s="573">
        <v>2019</v>
      </c>
      <c r="H1642" s="573" t="s">
        <v>3116</v>
      </c>
      <c r="I1642" s="573" t="s">
        <v>3039</v>
      </c>
      <c r="J1642" s="573" t="s">
        <v>156</v>
      </c>
      <c r="K1642" s="573">
        <v>7</v>
      </c>
      <c r="L1642" s="573">
        <v>0</v>
      </c>
      <c r="M1642" s="573" t="s">
        <v>157</v>
      </c>
      <c r="N1642" s="573">
        <v>3</v>
      </c>
      <c r="O1642" s="573">
        <v>72</v>
      </c>
      <c r="P1642" s="571" t="s">
        <v>157</v>
      </c>
      <c r="Q1642" s="573" t="s">
        <v>3012</v>
      </c>
      <c r="R1642" s="573">
        <v>4</v>
      </c>
      <c r="S1642" s="582" t="s">
        <v>3141</v>
      </c>
      <c r="T1642" s="573" t="s">
        <v>295</v>
      </c>
      <c r="U1642" s="573">
        <v>120.6</v>
      </c>
      <c r="V1642" s="573">
        <v>15.8</v>
      </c>
      <c r="W1642" s="616">
        <v>5450</v>
      </c>
      <c r="X1642" s="617" t="s">
        <v>157</v>
      </c>
      <c r="Y1642" s="617" t="s">
        <v>728</v>
      </c>
      <c r="Z1642" s="617" t="s">
        <v>728</v>
      </c>
      <c r="AA1642" s="618">
        <v>30035</v>
      </c>
      <c r="AB1642" s="618" t="s">
        <v>164</v>
      </c>
      <c r="AC1642" s="618">
        <v>26597.229166666668</v>
      </c>
      <c r="AD1642" s="619">
        <v>0.03</v>
      </c>
      <c r="AE1642" s="617" t="s">
        <v>3140</v>
      </c>
    </row>
    <row r="1643" spans="1:31" s="572" customFormat="1">
      <c r="A1643" s="570" t="s">
        <v>3142</v>
      </c>
      <c r="B1643" s="569" t="s">
        <v>269</v>
      </c>
      <c r="C1643" s="580" t="s">
        <v>270</v>
      </c>
      <c r="D1643" s="569" t="s">
        <v>1516</v>
      </c>
      <c r="E1643" s="569" t="s">
        <v>3115</v>
      </c>
      <c r="F1643" s="569" t="s">
        <v>271</v>
      </c>
      <c r="G1643" s="569">
        <v>2019</v>
      </c>
      <c r="H1643" s="569" t="s">
        <v>3116</v>
      </c>
      <c r="I1643" s="569" t="s">
        <v>3039</v>
      </c>
      <c r="J1643" s="569" t="s">
        <v>156</v>
      </c>
      <c r="K1643" s="569">
        <v>7</v>
      </c>
      <c r="L1643" s="569">
        <v>0</v>
      </c>
      <c r="M1643" s="569" t="s">
        <v>157</v>
      </c>
      <c r="N1643" s="569">
        <v>3</v>
      </c>
      <c r="O1643" s="569">
        <v>72</v>
      </c>
      <c r="P1643" s="568" t="s">
        <v>157</v>
      </c>
      <c r="Q1643" s="569" t="s">
        <v>3016</v>
      </c>
      <c r="R1643" s="569">
        <v>4</v>
      </c>
      <c r="S1643" s="569" t="s">
        <v>3141</v>
      </c>
      <c r="T1643" s="569" t="s">
        <v>295</v>
      </c>
      <c r="U1643" s="569">
        <v>120.6</v>
      </c>
      <c r="V1643" s="569">
        <v>15.8</v>
      </c>
      <c r="W1643" s="620">
        <v>5302</v>
      </c>
      <c r="X1643" s="621" t="s">
        <v>157</v>
      </c>
      <c r="Y1643" s="621" t="s">
        <v>178</v>
      </c>
      <c r="Z1643" s="621" t="s">
        <v>178</v>
      </c>
      <c r="AA1643" s="622">
        <v>28040</v>
      </c>
      <c r="AB1643" s="622" t="s">
        <v>164</v>
      </c>
      <c r="AC1643" s="622">
        <v>24825.1875</v>
      </c>
      <c r="AD1643" s="623">
        <v>0.03</v>
      </c>
      <c r="AE1643" s="621" t="s">
        <v>3143</v>
      </c>
    </row>
    <row r="1644" spans="1:31" s="572" customFormat="1">
      <c r="A1644" s="570" t="s">
        <v>3144</v>
      </c>
      <c r="B1644" s="573" t="s">
        <v>269</v>
      </c>
      <c r="C1644" s="578" t="s">
        <v>270</v>
      </c>
      <c r="D1644" s="573" t="s">
        <v>1516</v>
      </c>
      <c r="E1644" s="573" t="s">
        <v>3115</v>
      </c>
      <c r="F1644" s="573" t="s">
        <v>271</v>
      </c>
      <c r="G1644" s="573">
        <v>2019</v>
      </c>
      <c r="H1644" s="573" t="s">
        <v>3116</v>
      </c>
      <c r="I1644" s="573" t="s">
        <v>3039</v>
      </c>
      <c r="J1644" s="573" t="s">
        <v>156</v>
      </c>
      <c r="K1644" s="573">
        <v>7</v>
      </c>
      <c r="L1644" s="573">
        <v>0</v>
      </c>
      <c r="M1644" s="573" t="s">
        <v>157</v>
      </c>
      <c r="N1644" s="573">
        <v>3</v>
      </c>
      <c r="O1644" s="573">
        <v>72</v>
      </c>
      <c r="P1644" s="571" t="s">
        <v>157</v>
      </c>
      <c r="Q1644" s="573" t="s">
        <v>3019</v>
      </c>
      <c r="R1644" s="573">
        <v>4</v>
      </c>
      <c r="S1644" s="582" t="s">
        <v>3141</v>
      </c>
      <c r="T1644" s="573" t="s">
        <v>295</v>
      </c>
      <c r="U1644" s="573">
        <v>120.6</v>
      </c>
      <c r="V1644" s="573">
        <v>15.8</v>
      </c>
      <c r="W1644" s="616">
        <v>5302</v>
      </c>
      <c r="X1644" s="617">
        <v>24</v>
      </c>
      <c r="Y1644" s="617" t="s">
        <v>178</v>
      </c>
      <c r="Z1644" s="617" t="s">
        <v>178</v>
      </c>
      <c r="AA1644" s="618">
        <v>28355</v>
      </c>
      <c r="AB1644" s="618" t="s">
        <v>164</v>
      </c>
      <c r="AC1644" s="618">
        <v>25104.520833333336</v>
      </c>
      <c r="AD1644" s="619">
        <v>0.03</v>
      </c>
      <c r="AE1644" s="617" t="s">
        <v>3145</v>
      </c>
    </row>
    <row r="1645" spans="1:31" s="572" customFormat="1">
      <c r="A1645" s="570" t="s">
        <v>3146</v>
      </c>
      <c r="B1645" s="569" t="s">
        <v>278</v>
      </c>
      <c r="C1645" s="580">
        <v>15</v>
      </c>
      <c r="D1645" s="569" t="s">
        <v>1516</v>
      </c>
      <c r="E1645" s="569" t="s">
        <v>3115</v>
      </c>
      <c r="F1645" s="569" t="s">
        <v>271</v>
      </c>
      <c r="G1645" s="569">
        <v>2019</v>
      </c>
      <c r="H1645" s="569" t="s">
        <v>3116</v>
      </c>
      <c r="I1645" s="569" t="s">
        <v>3039</v>
      </c>
      <c r="J1645" s="569" t="s">
        <v>156</v>
      </c>
      <c r="K1645" s="569">
        <v>7</v>
      </c>
      <c r="L1645" s="569">
        <v>0</v>
      </c>
      <c r="M1645" s="569" t="s">
        <v>157</v>
      </c>
      <c r="N1645" s="569">
        <v>3</v>
      </c>
      <c r="O1645" s="569">
        <v>72</v>
      </c>
      <c r="P1645" s="568" t="s">
        <v>157</v>
      </c>
      <c r="Q1645" s="569" t="s">
        <v>352</v>
      </c>
      <c r="R1645" s="569">
        <v>4</v>
      </c>
      <c r="S1645" s="569" t="s">
        <v>3141</v>
      </c>
      <c r="T1645" s="569" t="s">
        <v>295</v>
      </c>
      <c r="U1645" s="569">
        <v>120.6</v>
      </c>
      <c r="V1645" s="569">
        <v>15.8</v>
      </c>
      <c r="W1645" s="620">
        <v>5280</v>
      </c>
      <c r="X1645" s="621">
        <v>22</v>
      </c>
      <c r="Y1645" s="621" t="s">
        <v>178</v>
      </c>
      <c r="Z1645" s="621" t="s">
        <v>178</v>
      </c>
      <c r="AA1645" s="622">
        <v>28040</v>
      </c>
      <c r="AB1645" s="622" t="s">
        <v>164</v>
      </c>
      <c r="AC1645" s="622">
        <v>25350</v>
      </c>
      <c r="AD1645" s="623">
        <v>0.01</v>
      </c>
      <c r="AE1645" s="621" t="s">
        <v>3143</v>
      </c>
    </row>
    <row r="1646" spans="1:31" s="572" customFormat="1">
      <c r="A1646" s="570" t="s">
        <v>3147</v>
      </c>
      <c r="B1646" s="573" t="s">
        <v>287</v>
      </c>
      <c r="C1646" s="578">
        <v>26</v>
      </c>
      <c r="D1646" s="573" t="s">
        <v>1516</v>
      </c>
      <c r="E1646" s="573" t="s">
        <v>3115</v>
      </c>
      <c r="F1646" s="573" t="s">
        <v>271</v>
      </c>
      <c r="G1646" s="573">
        <v>2019</v>
      </c>
      <c r="H1646" s="573" t="s">
        <v>3116</v>
      </c>
      <c r="I1646" s="573" t="s">
        <v>3039</v>
      </c>
      <c r="J1646" s="573" t="s">
        <v>156</v>
      </c>
      <c r="K1646" s="573">
        <v>7</v>
      </c>
      <c r="L1646" s="573">
        <v>0</v>
      </c>
      <c r="M1646" s="573" t="s">
        <v>157</v>
      </c>
      <c r="N1646" s="573">
        <v>3</v>
      </c>
      <c r="O1646" s="573">
        <v>72</v>
      </c>
      <c r="P1646" s="571" t="s">
        <v>157</v>
      </c>
      <c r="Q1646" s="573" t="s">
        <v>189</v>
      </c>
      <c r="R1646" s="573">
        <v>4</v>
      </c>
      <c r="S1646" s="582" t="s">
        <v>3141</v>
      </c>
      <c r="T1646" s="573" t="s">
        <v>295</v>
      </c>
      <c r="U1646" s="573">
        <v>120.6</v>
      </c>
      <c r="V1646" s="573">
        <v>15.8</v>
      </c>
      <c r="W1646" s="616">
        <v>5280</v>
      </c>
      <c r="X1646" s="617">
        <v>22</v>
      </c>
      <c r="Y1646" s="617" t="s">
        <v>178</v>
      </c>
      <c r="Z1646" s="617" t="s">
        <v>178</v>
      </c>
      <c r="AA1646" s="618">
        <v>27965</v>
      </c>
      <c r="AB1646" s="618" t="s">
        <v>164</v>
      </c>
      <c r="AC1646" s="618">
        <v>25719</v>
      </c>
      <c r="AD1646" s="619">
        <v>0.05</v>
      </c>
      <c r="AE1646" s="617" t="s">
        <v>3143</v>
      </c>
    </row>
    <row r="1647" spans="1:31" s="572" customFormat="1">
      <c r="A1647" s="570" t="s">
        <v>3148</v>
      </c>
      <c r="B1647" s="569" t="s">
        <v>280</v>
      </c>
      <c r="C1647" s="580">
        <v>27</v>
      </c>
      <c r="D1647" s="569" t="s">
        <v>1516</v>
      </c>
      <c r="E1647" s="569" t="s">
        <v>3115</v>
      </c>
      <c r="F1647" s="569" t="s">
        <v>271</v>
      </c>
      <c r="G1647" s="569">
        <v>2019</v>
      </c>
      <c r="H1647" s="569" t="s">
        <v>3116</v>
      </c>
      <c r="I1647" s="569" t="s">
        <v>3039</v>
      </c>
      <c r="J1647" s="569" t="s">
        <v>156</v>
      </c>
      <c r="K1647" s="569">
        <v>7</v>
      </c>
      <c r="L1647" s="569">
        <v>0</v>
      </c>
      <c r="M1647" s="569" t="s">
        <v>157</v>
      </c>
      <c r="N1647" s="569">
        <v>3</v>
      </c>
      <c r="O1647" s="569">
        <v>72</v>
      </c>
      <c r="P1647" s="568" t="s">
        <v>157</v>
      </c>
      <c r="Q1647" s="569" t="s">
        <v>3012</v>
      </c>
      <c r="R1647" s="569">
        <v>4</v>
      </c>
      <c r="S1647" s="569" t="s">
        <v>3141</v>
      </c>
      <c r="T1647" s="569" t="s">
        <v>295</v>
      </c>
      <c r="U1647" s="569">
        <v>120.6</v>
      </c>
      <c r="V1647" s="569">
        <v>15.8</v>
      </c>
      <c r="W1647" s="620">
        <v>5450</v>
      </c>
      <c r="X1647" s="621" t="s">
        <v>157</v>
      </c>
      <c r="Y1647" s="621" t="s">
        <v>728</v>
      </c>
      <c r="Z1647" s="621" t="s">
        <v>728</v>
      </c>
      <c r="AA1647" s="622">
        <v>30035</v>
      </c>
      <c r="AB1647" s="622" t="s">
        <v>164</v>
      </c>
      <c r="AC1647" s="622">
        <v>26597.229166666668</v>
      </c>
      <c r="AD1647" s="623">
        <v>0.03</v>
      </c>
      <c r="AE1647" s="621" t="s">
        <v>3140</v>
      </c>
    </row>
    <row r="1648" spans="1:31" s="572" customFormat="1">
      <c r="A1648" s="570" t="s">
        <v>3149</v>
      </c>
      <c r="B1648" s="573" t="s">
        <v>280</v>
      </c>
      <c r="C1648" s="578">
        <v>27</v>
      </c>
      <c r="D1648" s="573" t="s">
        <v>1516</v>
      </c>
      <c r="E1648" s="573" t="s">
        <v>3115</v>
      </c>
      <c r="F1648" s="573" t="s">
        <v>271</v>
      </c>
      <c r="G1648" s="573">
        <v>2019</v>
      </c>
      <c r="H1648" s="573" t="s">
        <v>3116</v>
      </c>
      <c r="I1648" s="573" t="s">
        <v>3039</v>
      </c>
      <c r="J1648" s="573" t="s">
        <v>156</v>
      </c>
      <c r="K1648" s="573">
        <v>7</v>
      </c>
      <c r="L1648" s="573">
        <v>0</v>
      </c>
      <c r="M1648" s="573" t="s">
        <v>157</v>
      </c>
      <c r="N1648" s="573">
        <v>3</v>
      </c>
      <c r="O1648" s="573">
        <v>72</v>
      </c>
      <c r="P1648" s="571" t="s">
        <v>157</v>
      </c>
      <c r="Q1648" s="573" t="s">
        <v>3016</v>
      </c>
      <c r="R1648" s="573">
        <v>4</v>
      </c>
      <c r="S1648" s="582" t="s">
        <v>3141</v>
      </c>
      <c r="T1648" s="573" t="s">
        <v>295</v>
      </c>
      <c r="U1648" s="573">
        <v>120.6</v>
      </c>
      <c r="V1648" s="573">
        <v>15.8</v>
      </c>
      <c r="W1648" s="616">
        <v>5302</v>
      </c>
      <c r="X1648" s="617" t="s">
        <v>157</v>
      </c>
      <c r="Y1648" s="617" t="s">
        <v>178</v>
      </c>
      <c r="Z1648" s="617" t="s">
        <v>178</v>
      </c>
      <c r="AA1648" s="618">
        <v>28040</v>
      </c>
      <c r="AB1648" s="618" t="s">
        <v>164</v>
      </c>
      <c r="AC1648" s="618">
        <v>24825.1875</v>
      </c>
      <c r="AD1648" s="619">
        <v>0.03</v>
      </c>
      <c r="AE1648" s="617" t="s">
        <v>3143</v>
      </c>
    </row>
    <row r="1649" spans="1:31" s="572" customFormat="1">
      <c r="A1649" s="570" t="s">
        <v>3150</v>
      </c>
      <c r="B1649" s="569" t="s">
        <v>280</v>
      </c>
      <c r="C1649" s="580">
        <v>27</v>
      </c>
      <c r="D1649" s="569" t="s">
        <v>1516</v>
      </c>
      <c r="E1649" s="569" t="s">
        <v>3115</v>
      </c>
      <c r="F1649" s="569" t="s">
        <v>271</v>
      </c>
      <c r="G1649" s="569">
        <v>2019</v>
      </c>
      <c r="H1649" s="569" t="s">
        <v>3116</v>
      </c>
      <c r="I1649" s="569" t="s">
        <v>3039</v>
      </c>
      <c r="J1649" s="569" t="s">
        <v>156</v>
      </c>
      <c r="K1649" s="569">
        <v>7</v>
      </c>
      <c r="L1649" s="569">
        <v>0</v>
      </c>
      <c r="M1649" s="569" t="s">
        <v>157</v>
      </c>
      <c r="N1649" s="569">
        <v>3</v>
      </c>
      <c r="O1649" s="569">
        <v>72</v>
      </c>
      <c r="P1649" s="568" t="s">
        <v>157</v>
      </c>
      <c r="Q1649" s="569" t="s">
        <v>3019</v>
      </c>
      <c r="R1649" s="569">
        <v>4</v>
      </c>
      <c r="S1649" s="569" t="s">
        <v>3141</v>
      </c>
      <c r="T1649" s="569" t="s">
        <v>295</v>
      </c>
      <c r="U1649" s="569">
        <v>120.6</v>
      </c>
      <c r="V1649" s="569">
        <v>15.8</v>
      </c>
      <c r="W1649" s="620">
        <v>5302</v>
      </c>
      <c r="X1649" s="621">
        <v>24</v>
      </c>
      <c r="Y1649" s="621" t="s">
        <v>178</v>
      </c>
      <c r="Z1649" s="621" t="s">
        <v>178</v>
      </c>
      <c r="AA1649" s="622">
        <v>28355</v>
      </c>
      <c r="AB1649" s="622" t="s">
        <v>164</v>
      </c>
      <c r="AC1649" s="622">
        <v>25104.520833333336</v>
      </c>
      <c r="AD1649" s="623">
        <v>0.03</v>
      </c>
      <c r="AE1649" s="621" t="s">
        <v>3145</v>
      </c>
    </row>
    <row r="1650" spans="1:31" s="572" customFormat="1">
      <c r="A1650" s="570" t="s">
        <v>3151</v>
      </c>
      <c r="B1650" s="573" t="s">
        <v>269</v>
      </c>
      <c r="C1650" s="578" t="s">
        <v>270</v>
      </c>
      <c r="D1650" s="573" t="s">
        <v>1516</v>
      </c>
      <c r="E1650" s="573" t="s">
        <v>3115</v>
      </c>
      <c r="F1650" s="573" t="s">
        <v>271</v>
      </c>
      <c r="G1650" s="573">
        <v>2019</v>
      </c>
      <c r="H1650" s="573" t="s">
        <v>3116</v>
      </c>
      <c r="I1650" s="573" t="s">
        <v>3064</v>
      </c>
      <c r="J1650" s="573" t="s">
        <v>156</v>
      </c>
      <c r="K1650" s="573">
        <v>7</v>
      </c>
      <c r="L1650" s="573">
        <v>0</v>
      </c>
      <c r="M1650" s="573" t="s">
        <v>157</v>
      </c>
      <c r="N1650" s="573">
        <v>3</v>
      </c>
      <c r="O1650" s="573">
        <v>72.599999999999994</v>
      </c>
      <c r="P1650" s="571" t="s">
        <v>157</v>
      </c>
      <c r="Q1650" s="573" t="s">
        <v>3012</v>
      </c>
      <c r="R1650" s="573">
        <v>4</v>
      </c>
      <c r="S1650" s="582" t="s">
        <v>3153</v>
      </c>
      <c r="T1650" s="573" t="s">
        <v>3154</v>
      </c>
      <c r="U1650" s="573">
        <v>104.8</v>
      </c>
      <c r="V1650" s="573">
        <v>15.8</v>
      </c>
      <c r="W1650" s="616">
        <v>5060</v>
      </c>
      <c r="X1650" s="617" t="s">
        <v>157</v>
      </c>
      <c r="Y1650" s="617" t="s">
        <v>728</v>
      </c>
      <c r="Z1650" s="617" t="s">
        <v>728</v>
      </c>
      <c r="AA1650" s="618">
        <v>28295</v>
      </c>
      <c r="AB1650" s="618" t="s">
        <v>164</v>
      </c>
      <c r="AC1650" s="618">
        <v>25061.8125</v>
      </c>
      <c r="AD1650" s="619">
        <v>0.03</v>
      </c>
      <c r="AE1650" s="617" t="s">
        <v>3152</v>
      </c>
    </row>
    <row r="1651" spans="1:31" s="572" customFormat="1">
      <c r="A1651" s="570" t="s">
        <v>3155</v>
      </c>
      <c r="B1651" s="569" t="s">
        <v>269</v>
      </c>
      <c r="C1651" s="580" t="s">
        <v>270</v>
      </c>
      <c r="D1651" s="569" t="s">
        <v>1516</v>
      </c>
      <c r="E1651" s="569" t="s">
        <v>3115</v>
      </c>
      <c r="F1651" s="569" t="s">
        <v>271</v>
      </c>
      <c r="G1651" s="569">
        <v>2019</v>
      </c>
      <c r="H1651" s="569" t="s">
        <v>3116</v>
      </c>
      <c r="I1651" s="569" t="s">
        <v>3064</v>
      </c>
      <c r="J1651" s="569" t="s">
        <v>156</v>
      </c>
      <c r="K1651" s="569">
        <v>7</v>
      </c>
      <c r="L1651" s="569">
        <v>0</v>
      </c>
      <c r="M1651" s="569" t="s">
        <v>157</v>
      </c>
      <c r="N1651" s="569">
        <v>3</v>
      </c>
      <c r="O1651" s="569">
        <v>73</v>
      </c>
      <c r="P1651" s="568" t="s">
        <v>157</v>
      </c>
      <c r="Q1651" s="569" t="s">
        <v>3012</v>
      </c>
      <c r="R1651" s="569">
        <v>4</v>
      </c>
      <c r="S1651" s="569" t="s">
        <v>3157</v>
      </c>
      <c r="T1651" s="569" t="s">
        <v>3154</v>
      </c>
      <c r="U1651" s="569">
        <v>120.6</v>
      </c>
      <c r="V1651" s="569">
        <v>15.8</v>
      </c>
      <c r="W1651" s="620">
        <v>5450</v>
      </c>
      <c r="X1651" s="621" t="s">
        <v>157</v>
      </c>
      <c r="Y1651" s="621" t="s">
        <v>728</v>
      </c>
      <c r="Z1651" s="621" t="s">
        <v>728</v>
      </c>
      <c r="AA1651" s="622">
        <v>31670</v>
      </c>
      <c r="AB1651" s="622" t="s">
        <v>164</v>
      </c>
      <c r="AC1651" s="622">
        <v>28108.6875</v>
      </c>
      <c r="AD1651" s="623">
        <v>0.03</v>
      </c>
      <c r="AE1651" s="621" t="s">
        <v>3156</v>
      </c>
    </row>
    <row r="1652" spans="1:31" s="572" customFormat="1">
      <c r="A1652" s="570" t="s">
        <v>3158</v>
      </c>
      <c r="B1652" s="573" t="s">
        <v>269</v>
      </c>
      <c r="C1652" s="578" t="s">
        <v>270</v>
      </c>
      <c r="D1652" s="573" t="s">
        <v>1516</v>
      </c>
      <c r="E1652" s="573" t="s">
        <v>3115</v>
      </c>
      <c r="F1652" s="573" t="s">
        <v>271</v>
      </c>
      <c r="G1652" s="573">
        <v>2019</v>
      </c>
      <c r="H1652" s="573" t="s">
        <v>3116</v>
      </c>
      <c r="I1652" s="573" t="s">
        <v>3064</v>
      </c>
      <c r="J1652" s="573" t="s">
        <v>156</v>
      </c>
      <c r="K1652" s="573">
        <v>7</v>
      </c>
      <c r="L1652" s="573">
        <v>0</v>
      </c>
      <c r="M1652" s="573" t="s">
        <v>157</v>
      </c>
      <c r="N1652" s="573">
        <v>3</v>
      </c>
      <c r="O1652" s="573">
        <v>73</v>
      </c>
      <c r="P1652" s="571" t="s">
        <v>157</v>
      </c>
      <c r="Q1652" s="573" t="s">
        <v>3016</v>
      </c>
      <c r="R1652" s="573">
        <v>4</v>
      </c>
      <c r="S1652" s="582" t="s">
        <v>3157</v>
      </c>
      <c r="T1652" s="573" t="s">
        <v>3154</v>
      </c>
      <c r="U1652" s="573">
        <v>120.6</v>
      </c>
      <c r="V1652" s="573">
        <v>15.8</v>
      </c>
      <c r="W1652" s="616">
        <v>5302</v>
      </c>
      <c r="X1652" s="617">
        <v>24</v>
      </c>
      <c r="Y1652" s="617" t="s">
        <v>178</v>
      </c>
      <c r="Z1652" s="617" t="s">
        <v>178</v>
      </c>
      <c r="AA1652" s="618">
        <v>29675</v>
      </c>
      <c r="AB1652" s="618" t="s">
        <v>164</v>
      </c>
      <c r="AC1652" s="618">
        <v>26336.645833333336</v>
      </c>
      <c r="AD1652" s="619">
        <v>0.03</v>
      </c>
      <c r="AE1652" s="617" t="s">
        <v>3159</v>
      </c>
    </row>
    <row r="1653" spans="1:31" s="572" customFormat="1">
      <c r="A1653" s="570" t="s">
        <v>3160</v>
      </c>
      <c r="B1653" s="569" t="s">
        <v>278</v>
      </c>
      <c r="C1653" s="580">
        <v>15</v>
      </c>
      <c r="D1653" s="569" t="s">
        <v>1516</v>
      </c>
      <c r="E1653" s="569" t="s">
        <v>3115</v>
      </c>
      <c r="F1653" s="569" t="s">
        <v>271</v>
      </c>
      <c r="G1653" s="569">
        <v>2019</v>
      </c>
      <c r="H1653" s="569" t="s">
        <v>3116</v>
      </c>
      <c r="I1653" s="569" t="s">
        <v>3064</v>
      </c>
      <c r="J1653" s="569" t="s">
        <v>156</v>
      </c>
      <c r="K1653" s="569">
        <v>7</v>
      </c>
      <c r="L1653" s="569">
        <v>0</v>
      </c>
      <c r="M1653" s="569" t="s">
        <v>157</v>
      </c>
      <c r="N1653" s="569">
        <v>3</v>
      </c>
      <c r="O1653" s="569">
        <v>72.599999999999994</v>
      </c>
      <c r="P1653" s="568" t="s">
        <v>157</v>
      </c>
      <c r="Q1653" s="569" t="s">
        <v>189</v>
      </c>
      <c r="R1653" s="569">
        <v>4</v>
      </c>
      <c r="S1653" s="569" t="s">
        <v>3153</v>
      </c>
      <c r="T1653" s="569" t="s">
        <v>3154</v>
      </c>
      <c r="U1653" s="569">
        <v>104.8</v>
      </c>
      <c r="V1653" s="569">
        <v>15.8</v>
      </c>
      <c r="W1653" s="620">
        <v>4820</v>
      </c>
      <c r="X1653" s="621">
        <v>22</v>
      </c>
      <c r="Y1653" s="621" t="s">
        <v>178</v>
      </c>
      <c r="Z1653" s="621" t="s">
        <v>178</v>
      </c>
      <c r="AA1653" s="622">
        <v>28295</v>
      </c>
      <c r="AB1653" s="622" t="s">
        <v>164</v>
      </c>
      <c r="AC1653" s="622">
        <v>25600</v>
      </c>
      <c r="AD1653" s="623">
        <v>0.01</v>
      </c>
      <c r="AE1653" s="621" t="s">
        <v>3161</v>
      </c>
    </row>
    <row r="1654" spans="1:31" s="572" customFormat="1">
      <c r="A1654" s="570" t="s">
        <v>3162</v>
      </c>
      <c r="B1654" s="573" t="s">
        <v>278</v>
      </c>
      <c r="C1654" s="578">
        <v>15</v>
      </c>
      <c r="D1654" s="573" t="s">
        <v>1516</v>
      </c>
      <c r="E1654" s="573" t="s">
        <v>3115</v>
      </c>
      <c r="F1654" s="573" t="s">
        <v>271</v>
      </c>
      <c r="G1654" s="573">
        <v>2019</v>
      </c>
      <c r="H1654" s="573" t="s">
        <v>3116</v>
      </c>
      <c r="I1654" s="573" t="s">
        <v>3064</v>
      </c>
      <c r="J1654" s="573" t="s">
        <v>156</v>
      </c>
      <c r="K1654" s="573">
        <v>7</v>
      </c>
      <c r="L1654" s="573">
        <v>0</v>
      </c>
      <c r="M1654" s="573" t="s">
        <v>157</v>
      </c>
      <c r="N1654" s="573">
        <v>3</v>
      </c>
      <c r="O1654" s="573">
        <v>73</v>
      </c>
      <c r="P1654" s="571" t="s">
        <v>157</v>
      </c>
      <c r="Q1654" s="573" t="s">
        <v>352</v>
      </c>
      <c r="R1654" s="573">
        <v>4</v>
      </c>
      <c r="S1654" s="582" t="s">
        <v>3157</v>
      </c>
      <c r="T1654" s="573" t="s">
        <v>3154</v>
      </c>
      <c r="U1654" s="573">
        <v>120.6</v>
      </c>
      <c r="V1654" s="573">
        <v>15.8</v>
      </c>
      <c r="W1654" s="616">
        <v>5280</v>
      </c>
      <c r="X1654" s="617">
        <v>22</v>
      </c>
      <c r="Y1654" s="617" t="s">
        <v>178</v>
      </c>
      <c r="Z1654" s="617" t="s">
        <v>178</v>
      </c>
      <c r="AA1654" s="618">
        <v>29675</v>
      </c>
      <c r="AB1654" s="618" t="s">
        <v>164</v>
      </c>
      <c r="AC1654" s="618">
        <v>26900</v>
      </c>
      <c r="AD1654" s="619">
        <v>0.01</v>
      </c>
      <c r="AE1654" s="617" t="s">
        <v>3159</v>
      </c>
    </row>
    <row r="1655" spans="1:31" s="572" customFormat="1">
      <c r="A1655" s="570" t="s">
        <v>3163</v>
      </c>
      <c r="B1655" s="569" t="s">
        <v>287</v>
      </c>
      <c r="C1655" s="580">
        <v>26</v>
      </c>
      <c r="D1655" s="569" t="s">
        <v>1516</v>
      </c>
      <c r="E1655" s="569" t="s">
        <v>3115</v>
      </c>
      <c r="F1655" s="569" t="s">
        <v>271</v>
      </c>
      <c r="G1655" s="569">
        <v>2019</v>
      </c>
      <c r="H1655" s="569" t="s">
        <v>3116</v>
      </c>
      <c r="I1655" s="569" t="s">
        <v>3064</v>
      </c>
      <c r="J1655" s="569" t="s">
        <v>156</v>
      </c>
      <c r="K1655" s="569">
        <v>7</v>
      </c>
      <c r="L1655" s="569">
        <v>0</v>
      </c>
      <c r="M1655" s="569" t="s">
        <v>157</v>
      </c>
      <c r="N1655" s="569">
        <v>3</v>
      </c>
      <c r="O1655" s="569">
        <v>72.599999999999994</v>
      </c>
      <c r="P1655" s="568" t="s">
        <v>157</v>
      </c>
      <c r="Q1655" s="569" t="s">
        <v>189</v>
      </c>
      <c r="R1655" s="569">
        <v>4</v>
      </c>
      <c r="S1655" s="569" t="s">
        <v>3153</v>
      </c>
      <c r="T1655" s="569" t="s">
        <v>3154</v>
      </c>
      <c r="U1655" s="569">
        <v>104.8</v>
      </c>
      <c r="V1655" s="569">
        <v>15.8</v>
      </c>
      <c r="W1655" s="620">
        <v>4820</v>
      </c>
      <c r="X1655" s="621">
        <v>22</v>
      </c>
      <c r="Y1655" s="621" t="s">
        <v>178</v>
      </c>
      <c r="Z1655" s="621" t="s">
        <v>178</v>
      </c>
      <c r="AA1655" s="622">
        <v>28220</v>
      </c>
      <c r="AB1655" s="622" t="s">
        <v>164</v>
      </c>
      <c r="AC1655" s="622">
        <v>25964</v>
      </c>
      <c r="AD1655" s="623">
        <v>0.05</v>
      </c>
      <c r="AE1655" s="621" t="s">
        <v>3161</v>
      </c>
    </row>
    <row r="1656" spans="1:31" s="572" customFormat="1">
      <c r="A1656" s="570" t="s">
        <v>3164</v>
      </c>
      <c r="B1656" s="573" t="s">
        <v>287</v>
      </c>
      <c r="C1656" s="578">
        <v>26</v>
      </c>
      <c r="D1656" s="573" t="s">
        <v>1516</v>
      </c>
      <c r="E1656" s="573" t="s">
        <v>3115</v>
      </c>
      <c r="F1656" s="573" t="s">
        <v>271</v>
      </c>
      <c r="G1656" s="573">
        <v>2019</v>
      </c>
      <c r="H1656" s="573" t="s">
        <v>3116</v>
      </c>
      <c r="I1656" s="573" t="s">
        <v>3064</v>
      </c>
      <c r="J1656" s="573" t="s">
        <v>156</v>
      </c>
      <c r="K1656" s="573">
        <v>7</v>
      </c>
      <c r="L1656" s="573">
        <v>0</v>
      </c>
      <c r="M1656" s="573" t="s">
        <v>157</v>
      </c>
      <c r="N1656" s="573">
        <v>3</v>
      </c>
      <c r="O1656" s="573">
        <v>73</v>
      </c>
      <c r="P1656" s="571" t="s">
        <v>157</v>
      </c>
      <c r="Q1656" s="573" t="s">
        <v>189</v>
      </c>
      <c r="R1656" s="573">
        <v>4</v>
      </c>
      <c r="S1656" s="582" t="s">
        <v>3157</v>
      </c>
      <c r="T1656" s="573" t="s">
        <v>3154</v>
      </c>
      <c r="U1656" s="573">
        <v>120.6</v>
      </c>
      <c r="V1656" s="573">
        <v>15.8</v>
      </c>
      <c r="W1656" s="616">
        <v>5280</v>
      </c>
      <c r="X1656" s="617">
        <v>22</v>
      </c>
      <c r="Y1656" s="617" t="s">
        <v>178</v>
      </c>
      <c r="Z1656" s="617" t="s">
        <v>178</v>
      </c>
      <c r="AA1656" s="618">
        <v>29600</v>
      </c>
      <c r="AB1656" s="618" t="s">
        <v>164</v>
      </c>
      <c r="AC1656" s="618">
        <v>27284</v>
      </c>
      <c r="AD1656" s="619">
        <v>0.05</v>
      </c>
      <c r="AE1656" s="617" t="s">
        <v>3159</v>
      </c>
    </row>
    <row r="1657" spans="1:31" s="572" customFormat="1">
      <c r="A1657" s="570" t="s">
        <v>3165</v>
      </c>
      <c r="B1657" s="569" t="s">
        <v>280</v>
      </c>
      <c r="C1657" s="580">
        <v>27</v>
      </c>
      <c r="D1657" s="569" t="s">
        <v>1516</v>
      </c>
      <c r="E1657" s="569" t="s">
        <v>3115</v>
      </c>
      <c r="F1657" s="569" t="s">
        <v>271</v>
      </c>
      <c r="G1657" s="569">
        <v>2019</v>
      </c>
      <c r="H1657" s="569" t="s">
        <v>3116</v>
      </c>
      <c r="I1657" s="569" t="s">
        <v>3064</v>
      </c>
      <c r="J1657" s="569" t="s">
        <v>156</v>
      </c>
      <c r="K1657" s="569">
        <v>7</v>
      </c>
      <c r="L1657" s="569">
        <v>0</v>
      </c>
      <c r="M1657" s="569" t="s">
        <v>157</v>
      </c>
      <c r="N1657" s="569">
        <v>3</v>
      </c>
      <c r="O1657" s="569">
        <v>72.599999999999994</v>
      </c>
      <c r="P1657" s="568" t="s">
        <v>157</v>
      </c>
      <c r="Q1657" s="569" t="s">
        <v>3012</v>
      </c>
      <c r="R1657" s="569">
        <v>4</v>
      </c>
      <c r="S1657" s="569" t="s">
        <v>3153</v>
      </c>
      <c r="T1657" s="569" t="s">
        <v>3154</v>
      </c>
      <c r="U1657" s="569">
        <v>104.8</v>
      </c>
      <c r="V1657" s="569">
        <v>15.8</v>
      </c>
      <c r="W1657" s="620">
        <v>5060</v>
      </c>
      <c r="X1657" s="621" t="s">
        <v>157</v>
      </c>
      <c r="Y1657" s="621" t="s">
        <v>728</v>
      </c>
      <c r="Z1657" s="621" t="s">
        <v>728</v>
      </c>
      <c r="AA1657" s="622">
        <v>28295</v>
      </c>
      <c r="AB1657" s="622" t="s">
        <v>164</v>
      </c>
      <c r="AC1657" s="622">
        <v>25061.8125</v>
      </c>
      <c r="AD1657" s="623">
        <v>0.03</v>
      </c>
      <c r="AE1657" s="621" t="s">
        <v>3152</v>
      </c>
    </row>
    <row r="1658" spans="1:31" s="572" customFormat="1">
      <c r="A1658" s="570" t="s">
        <v>3166</v>
      </c>
      <c r="B1658" s="573" t="s">
        <v>280</v>
      </c>
      <c r="C1658" s="578">
        <v>27</v>
      </c>
      <c r="D1658" s="573" t="s">
        <v>1516</v>
      </c>
      <c r="E1658" s="573" t="s">
        <v>3115</v>
      </c>
      <c r="F1658" s="573" t="s">
        <v>271</v>
      </c>
      <c r="G1658" s="573">
        <v>2019</v>
      </c>
      <c r="H1658" s="573" t="s">
        <v>3116</v>
      </c>
      <c r="I1658" s="573" t="s">
        <v>3064</v>
      </c>
      <c r="J1658" s="573" t="s">
        <v>156</v>
      </c>
      <c r="K1658" s="573">
        <v>7</v>
      </c>
      <c r="L1658" s="573">
        <v>0</v>
      </c>
      <c r="M1658" s="573" t="s">
        <v>157</v>
      </c>
      <c r="N1658" s="573">
        <v>3</v>
      </c>
      <c r="O1658" s="573">
        <v>73</v>
      </c>
      <c r="P1658" s="571" t="s">
        <v>157</v>
      </c>
      <c r="Q1658" s="573" t="s">
        <v>3012</v>
      </c>
      <c r="R1658" s="573">
        <v>4</v>
      </c>
      <c r="S1658" s="582" t="s">
        <v>3157</v>
      </c>
      <c r="T1658" s="573" t="s">
        <v>3154</v>
      </c>
      <c r="U1658" s="573">
        <v>120.6</v>
      </c>
      <c r="V1658" s="573">
        <v>15.8</v>
      </c>
      <c r="W1658" s="616">
        <v>5450</v>
      </c>
      <c r="X1658" s="617" t="s">
        <v>157</v>
      </c>
      <c r="Y1658" s="617" t="s">
        <v>728</v>
      </c>
      <c r="Z1658" s="617" t="s">
        <v>728</v>
      </c>
      <c r="AA1658" s="618">
        <v>31670</v>
      </c>
      <c r="AB1658" s="618" t="s">
        <v>164</v>
      </c>
      <c r="AC1658" s="618">
        <v>28108.6875</v>
      </c>
      <c r="AD1658" s="619">
        <v>0.03</v>
      </c>
      <c r="AE1658" s="617" t="s">
        <v>3156</v>
      </c>
    </row>
    <row r="1659" spans="1:31" s="572" customFormat="1">
      <c r="A1659" s="570" t="s">
        <v>3167</v>
      </c>
      <c r="B1659" s="569" t="s">
        <v>280</v>
      </c>
      <c r="C1659" s="580">
        <v>27</v>
      </c>
      <c r="D1659" s="569" t="s">
        <v>1516</v>
      </c>
      <c r="E1659" s="569" t="s">
        <v>3115</v>
      </c>
      <c r="F1659" s="569" t="s">
        <v>271</v>
      </c>
      <c r="G1659" s="569">
        <v>2019</v>
      </c>
      <c r="H1659" s="569" t="s">
        <v>3116</v>
      </c>
      <c r="I1659" s="569" t="s">
        <v>3064</v>
      </c>
      <c r="J1659" s="569" t="s">
        <v>156</v>
      </c>
      <c r="K1659" s="569">
        <v>7</v>
      </c>
      <c r="L1659" s="569">
        <v>0</v>
      </c>
      <c r="M1659" s="569" t="s">
        <v>157</v>
      </c>
      <c r="N1659" s="569">
        <v>3</v>
      </c>
      <c r="O1659" s="569">
        <v>73</v>
      </c>
      <c r="P1659" s="568" t="s">
        <v>157</v>
      </c>
      <c r="Q1659" s="569" t="s">
        <v>3016</v>
      </c>
      <c r="R1659" s="569">
        <v>4</v>
      </c>
      <c r="S1659" s="569" t="s">
        <v>3157</v>
      </c>
      <c r="T1659" s="569" t="s">
        <v>3154</v>
      </c>
      <c r="U1659" s="569">
        <v>120.6</v>
      </c>
      <c r="V1659" s="569">
        <v>15.8</v>
      </c>
      <c r="W1659" s="620">
        <v>5302</v>
      </c>
      <c r="X1659" s="621">
        <v>24</v>
      </c>
      <c r="Y1659" s="621" t="s">
        <v>178</v>
      </c>
      <c r="Z1659" s="621" t="s">
        <v>178</v>
      </c>
      <c r="AA1659" s="622">
        <v>29675</v>
      </c>
      <c r="AB1659" s="622" t="s">
        <v>164</v>
      </c>
      <c r="AC1659" s="622">
        <v>26336.645833333336</v>
      </c>
      <c r="AD1659" s="623">
        <v>0.03</v>
      </c>
      <c r="AE1659" s="621" t="s">
        <v>3159</v>
      </c>
    </row>
    <row r="1660" spans="1:31" s="572" customFormat="1">
      <c r="A1660" s="570" t="s">
        <v>3168</v>
      </c>
      <c r="B1660" s="573" t="s">
        <v>269</v>
      </c>
      <c r="C1660" s="578" t="s">
        <v>270</v>
      </c>
      <c r="D1660" s="573" t="s">
        <v>1516</v>
      </c>
      <c r="E1660" s="573" t="s">
        <v>3115</v>
      </c>
      <c r="F1660" s="573" t="s">
        <v>271</v>
      </c>
      <c r="G1660" s="573">
        <v>2019</v>
      </c>
      <c r="H1660" s="573" t="s">
        <v>3116</v>
      </c>
      <c r="I1660" s="573" t="s">
        <v>3090</v>
      </c>
      <c r="J1660" s="573" t="s">
        <v>156</v>
      </c>
      <c r="K1660" s="573">
        <v>7</v>
      </c>
      <c r="L1660" s="573">
        <v>0</v>
      </c>
      <c r="M1660" s="573" t="s">
        <v>157</v>
      </c>
      <c r="N1660" s="573">
        <v>3</v>
      </c>
      <c r="O1660" s="573">
        <v>72.599999999999994</v>
      </c>
      <c r="P1660" s="571" t="s">
        <v>157</v>
      </c>
      <c r="Q1660" s="573" t="s">
        <v>3012</v>
      </c>
      <c r="R1660" s="573">
        <v>4</v>
      </c>
      <c r="S1660" s="582" t="s">
        <v>3170</v>
      </c>
      <c r="T1660" s="573" t="s">
        <v>3154</v>
      </c>
      <c r="U1660" s="573">
        <v>104.8</v>
      </c>
      <c r="V1660" s="573">
        <v>15.8</v>
      </c>
      <c r="W1660" s="616">
        <v>4820</v>
      </c>
      <c r="X1660" s="617" t="s">
        <v>157</v>
      </c>
      <c r="Y1660" s="617" t="s">
        <v>728</v>
      </c>
      <c r="Z1660" s="617" t="s">
        <v>728</v>
      </c>
      <c r="AA1660" s="618">
        <v>28295</v>
      </c>
      <c r="AB1660" s="618" t="s">
        <v>164</v>
      </c>
      <c r="AC1660" s="618">
        <v>25061.645833333336</v>
      </c>
      <c r="AD1660" s="619">
        <v>0.03</v>
      </c>
      <c r="AE1660" s="617" t="s">
        <v>3169</v>
      </c>
    </row>
    <row r="1661" spans="1:31" s="572" customFormat="1">
      <c r="A1661" s="570" t="s">
        <v>3171</v>
      </c>
      <c r="B1661" s="569" t="s">
        <v>269</v>
      </c>
      <c r="C1661" s="580" t="s">
        <v>270</v>
      </c>
      <c r="D1661" s="569" t="s">
        <v>1516</v>
      </c>
      <c r="E1661" s="569" t="s">
        <v>3115</v>
      </c>
      <c r="F1661" s="569" t="s">
        <v>271</v>
      </c>
      <c r="G1661" s="569">
        <v>2019</v>
      </c>
      <c r="H1661" s="569" t="s">
        <v>3116</v>
      </c>
      <c r="I1661" s="569" t="s">
        <v>3090</v>
      </c>
      <c r="J1661" s="569" t="s">
        <v>156</v>
      </c>
      <c r="K1661" s="569">
        <v>7</v>
      </c>
      <c r="L1661" s="569">
        <v>0</v>
      </c>
      <c r="M1661" s="569" t="s">
        <v>157</v>
      </c>
      <c r="N1661" s="569">
        <v>3</v>
      </c>
      <c r="O1661" s="569">
        <v>72</v>
      </c>
      <c r="P1661" s="568" t="s">
        <v>157</v>
      </c>
      <c r="Q1661" s="569" t="s">
        <v>3012</v>
      </c>
      <c r="R1661" s="569">
        <v>4</v>
      </c>
      <c r="S1661" s="569" t="s">
        <v>3173</v>
      </c>
      <c r="T1661" s="569" t="s">
        <v>3154</v>
      </c>
      <c r="U1661" s="569">
        <v>120.6</v>
      </c>
      <c r="V1661" s="569">
        <v>15.8</v>
      </c>
      <c r="W1661" s="620">
        <v>5450</v>
      </c>
      <c r="X1661" s="621" t="s">
        <v>157</v>
      </c>
      <c r="Y1661" s="621" t="s">
        <v>728</v>
      </c>
      <c r="Z1661" s="621" t="s">
        <v>728</v>
      </c>
      <c r="AA1661" s="622">
        <v>31670</v>
      </c>
      <c r="AB1661" s="622" t="s">
        <v>164</v>
      </c>
      <c r="AC1661" s="622">
        <v>28108.6875</v>
      </c>
      <c r="AD1661" s="623">
        <v>0.03</v>
      </c>
      <c r="AE1661" s="621" t="s">
        <v>3172</v>
      </c>
    </row>
    <row r="1662" spans="1:31" s="572" customFormat="1">
      <c r="A1662" s="570" t="s">
        <v>3174</v>
      </c>
      <c r="B1662" s="573" t="s">
        <v>269</v>
      </c>
      <c r="C1662" s="578" t="s">
        <v>270</v>
      </c>
      <c r="D1662" s="573" t="s">
        <v>1516</v>
      </c>
      <c r="E1662" s="573" t="s">
        <v>3115</v>
      </c>
      <c r="F1662" s="573" t="s">
        <v>271</v>
      </c>
      <c r="G1662" s="573">
        <v>2019</v>
      </c>
      <c r="H1662" s="573" t="s">
        <v>3116</v>
      </c>
      <c r="I1662" s="573" t="s">
        <v>3090</v>
      </c>
      <c r="J1662" s="573" t="s">
        <v>156</v>
      </c>
      <c r="K1662" s="573">
        <v>7</v>
      </c>
      <c r="L1662" s="573">
        <v>0</v>
      </c>
      <c r="M1662" s="573" t="s">
        <v>157</v>
      </c>
      <c r="N1662" s="573">
        <v>3</v>
      </c>
      <c r="O1662" s="573">
        <v>72</v>
      </c>
      <c r="P1662" s="571" t="s">
        <v>157</v>
      </c>
      <c r="Q1662" s="573" t="s">
        <v>3016</v>
      </c>
      <c r="R1662" s="573">
        <v>4</v>
      </c>
      <c r="S1662" s="582" t="s">
        <v>3173</v>
      </c>
      <c r="T1662" s="573" t="s">
        <v>3154</v>
      </c>
      <c r="U1662" s="573">
        <v>120.6</v>
      </c>
      <c r="V1662" s="573">
        <v>15.8</v>
      </c>
      <c r="W1662" s="616">
        <v>5302</v>
      </c>
      <c r="X1662" s="617">
        <v>24</v>
      </c>
      <c r="Y1662" s="617" t="s">
        <v>178</v>
      </c>
      <c r="Z1662" s="617" t="s">
        <v>178</v>
      </c>
      <c r="AA1662" s="618">
        <v>29675</v>
      </c>
      <c r="AB1662" s="618" t="s">
        <v>164</v>
      </c>
      <c r="AC1662" s="618">
        <v>26336.645833333336</v>
      </c>
      <c r="AD1662" s="619">
        <v>0.03</v>
      </c>
      <c r="AE1662" s="617" t="s">
        <v>3175</v>
      </c>
    </row>
    <row r="1663" spans="1:31" s="572" customFormat="1">
      <c r="A1663" s="570" t="s">
        <v>3176</v>
      </c>
      <c r="B1663" s="569" t="s">
        <v>278</v>
      </c>
      <c r="C1663" s="580">
        <v>15</v>
      </c>
      <c r="D1663" s="569" t="s">
        <v>1516</v>
      </c>
      <c r="E1663" s="569" t="s">
        <v>3115</v>
      </c>
      <c r="F1663" s="569" t="s">
        <v>271</v>
      </c>
      <c r="G1663" s="569">
        <v>2019</v>
      </c>
      <c r="H1663" s="569" t="s">
        <v>3116</v>
      </c>
      <c r="I1663" s="569" t="s">
        <v>3090</v>
      </c>
      <c r="J1663" s="569" t="s">
        <v>156</v>
      </c>
      <c r="K1663" s="569">
        <v>7</v>
      </c>
      <c r="L1663" s="569">
        <v>0</v>
      </c>
      <c r="M1663" s="569" t="s">
        <v>157</v>
      </c>
      <c r="N1663" s="569">
        <v>3</v>
      </c>
      <c r="O1663" s="569">
        <v>72.599999999999994</v>
      </c>
      <c r="P1663" s="568" t="s">
        <v>157</v>
      </c>
      <c r="Q1663" s="569" t="s">
        <v>205</v>
      </c>
      <c r="R1663" s="569">
        <v>4</v>
      </c>
      <c r="S1663" s="569" t="s">
        <v>3170</v>
      </c>
      <c r="T1663" s="569" t="s">
        <v>3154</v>
      </c>
      <c r="U1663" s="569">
        <v>104.8</v>
      </c>
      <c r="V1663" s="569">
        <v>15.8</v>
      </c>
      <c r="W1663" s="620">
        <v>4820</v>
      </c>
      <c r="X1663" s="621">
        <v>22</v>
      </c>
      <c r="Y1663" s="621" t="s">
        <v>178</v>
      </c>
      <c r="Z1663" s="621" t="s">
        <v>178</v>
      </c>
      <c r="AA1663" s="622">
        <v>28295</v>
      </c>
      <c r="AB1663" s="622" t="s">
        <v>164</v>
      </c>
      <c r="AC1663" s="622">
        <v>25600</v>
      </c>
      <c r="AD1663" s="623">
        <v>0.01</v>
      </c>
      <c r="AE1663" s="621" t="s">
        <v>3177</v>
      </c>
    </row>
    <row r="1664" spans="1:31" s="572" customFormat="1">
      <c r="A1664" s="570" t="s">
        <v>3178</v>
      </c>
      <c r="B1664" s="573" t="s">
        <v>278</v>
      </c>
      <c r="C1664" s="578">
        <v>15</v>
      </c>
      <c r="D1664" s="573" t="s">
        <v>1516</v>
      </c>
      <c r="E1664" s="573" t="s">
        <v>3115</v>
      </c>
      <c r="F1664" s="573" t="s">
        <v>271</v>
      </c>
      <c r="G1664" s="573">
        <v>2019</v>
      </c>
      <c r="H1664" s="573" t="s">
        <v>3116</v>
      </c>
      <c r="I1664" s="573" t="s">
        <v>3090</v>
      </c>
      <c r="J1664" s="573" t="s">
        <v>156</v>
      </c>
      <c r="K1664" s="573">
        <v>7</v>
      </c>
      <c r="L1664" s="573">
        <v>0</v>
      </c>
      <c r="M1664" s="573" t="s">
        <v>157</v>
      </c>
      <c r="N1664" s="573">
        <v>3</v>
      </c>
      <c r="O1664" s="573">
        <v>72</v>
      </c>
      <c r="P1664" s="571" t="s">
        <v>157</v>
      </c>
      <c r="Q1664" s="573" t="s">
        <v>352</v>
      </c>
      <c r="R1664" s="573">
        <v>4</v>
      </c>
      <c r="S1664" s="582" t="s">
        <v>3173</v>
      </c>
      <c r="T1664" s="573" t="s">
        <v>3154</v>
      </c>
      <c r="U1664" s="573">
        <v>120.6</v>
      </c>
      <c r="V1664" s="573">
        <v>15.8</v>
      </c>
      <c r="W1664" s="616">
        <v>5280</v>
      </c>
      <c r="X1664" s="617">
        <v>22</v>
      </c>
      <c r="Y1664" s="617" t="s">
        <v>178</v>
      </c>
      <c r="Z1664" s="617" t="s">
        <v>178</v>
      </c>
      <c r="AA1664" s="618">
        <v>29675</v>
      </c>
      <c r="AB1664" s="618" t="s">
        <v>164</v>
      </c>
      <c r="AC1664" s="618">
        <v>26900</v>
      </c>
      <c r="AD1664" s="619">
        <v>0.01</v>
      </c>
      <c r="AE1664" s="617" t="s">
        <v>3175</v>
      </c>
    </row>
    <row r="1665" spans="1:31" s="572" customFormat="1">
      <c r="A1665" s="570" t="s">
        <v>3179</v>
      </c>
      <c r="B1665" s="569" t="s">
        <v>287</v>
      </c>
      <c r="C1665" s="580">
        <v>26</v>
      </c>
      <c r="D1665" s="569" t="s">
        <v>1516</v>
      </c>
      <c r="E1665" s="569" t="s">
        <v>3115</v>
      </c>
      <c r="F1665" s="569" t="s">
        <v>271</v>
      </c>
      <c r="G1665" s="569">
        <v>2019</v>
      </c>
      <c r="H1665" s="569" t="s">
        <v>3116</v>
      </c>
      <c r="I1665" s="569" t="s">
        <v>3090</v>
      </c>
      <c r="J1665" s="569" t="s">
        <v>156</v>
      </c>
      <c r="K1665" s="569">
        <v>7</v>
      </c>
      <c r="L1665" s="569">
        <v>0</v>
      </c>
      <c r="M1665" s="569" t="s">
        <v>157</v>
      </c>
      <c r="N1665" s="569">
        <v>3</v>
      </c>
      <c r="O1665" s="569">
        <v>72.599999999999994</v>
      </c>
      <c r="P1665" s="568" t="s">
        <v>157</v>
      </c>
      <c r="Q1665" s="569" t="s">
        <v>189</v>
      </c>
      <c r="R1665" s="569">
        <v>4</v>
      </c>
      <c r="S1665" s="569" t="s">
        <v>3170</v>
      </c>
      <c r="T1665" s="569" t="s">
        <v>3154</v>
      </c>
      <c r="U1665" s="569">
        <v>104.8</v>
      </c>
      <c r="V1665" s="569">
        <v>15.8</v>
      </c>
      <c r="W1665" s="620">
        <v>4820</v>
      </c>
      <c r="X1665" s="621">
        <v>22</v>
      </c>
      <c r="Y1665" s="621" t="s">
        <v>178</v>
      </c>
      <c r="Z1665" s="621" t="s">
        <v>178</v>
      </c>
      <c r="AA1665" s="622">
        <v>28220</v>
      </c>
      <c r="AB1665" s="622" t="s">
        <v>164</v>
      </c>
      <c r="AC1665" s="622">
        <v>25964</v>
      </c>
      <c r="AD1665" s="623">
        <v>0.05</v>
      </c>
      <c r="AE1665" s="621" t="s">
        <v>3177</v>
      </c>
    </row>
    <row r="1666" spans="1:31" s="572" customFormat="1">
      <c r="A1666" s="570" t="s">
        <v>3180</v>
      </c>
      <c r="B1666" s="573" t="s">
        <v>287</v>
      </c>
      <c r="C1666" s="578">
        <v>26</v>
      </c>
      <c r="D1666" s="573" t="s">
        <v>1516</v>
      </c>
      <c r="E1666" s="573" t="s">
        <v>3115</v>
      </c>
      <c r="F1666" s="573" t="s">
        <v>271</v>
      </c>
      <c r="G1666" s="573">
        <v>2019</v>
      </c>
      <c r="H1666" s="573" t="s">
        <v>3116</v>
      </c>
      <c r="I1666" s="573" t="s">
        <v>3090</v>
      </c>
      <c r="J1666" s="573" t="s">
        <v>156</v>
      </c>
      <c r="K1666" s="573">
        <v>7</v>
      </c>
      <c r="L1666" s="573">
        <v>0</v>
      </c>
      <c r="M1666" s="573" t="s">
        <v>157</v>
      </c>
      <c r="N1666" s="573">
        <v>3</v>
      </c>
      <c r="O1666" s="573">
        <v>72</v>
      </c>
      <c r="P1666" s="571" t="s">
        <v>157</v>
      </c>
      <c r="Q1666" s="573" t="s">
        <v>189</v>
      </c>
      <c r="R1666" s="573">
        <v>4</v>
      </c>
      <c r="S1666" s="582" t="s">
        <v>3173</v>
      </c>
      <c r="T1666" s="573" t="s">
        <v>3154</v>
      </c>
      <c r="U1666" s="573">
        <v>120.6</v>
      </c>
      <c r="V1666" s="573">
        <v>15.8</v>
      </c>
      <c r="W1666" s="616">
        <v>5280</v>
      </c>
      <c r="X1666" s="617">
        <v>22</v>
      </c>
      <c r="Y1666" s="617" t="s">
        <v>178</v>
      </c>
      <c r="Z1666" s="617" t="s">
        <v>178</v>
      </c>
      <c r="AA1666" s="618">
        <v>29600</v>
      </c>
      <c r="AB1666" s="618" t="s">
        <v>164</v>
      </c>
      <c r="AC1666" s="618">
        <v>27284</v>
      </c>
      <c r="AD1666" s="619">
        <v>0.05</v>
      </c>
      <c r="AE1666" s="617" t="s">
        <v>3175</v>
      </c>
    </row>
    <row r="1667" spans="1:31" s="572" customFormat="1">
      <c r="A1667" s="570" t="s">
        <v>3181</v>
      </c>
      <c r="B1667" s="569" t="s">
        <v>280</v>
      </c>
      <c r="C1667" s="580">
        <v>27</v>
      </c>
      <c r="D1667" s="569" t="s">
        <v>1516</v>
      </c>
      <c r="E1667" s="569" t="s">
        <v>3115</v>
      </c>
      <c r="F1667" s="569" t="s">
        <v>271</v>
      </c>
      <c r="G1667" s="569">
        <v>2019</v>
      </c>
      <c r="H1667" s="569" t="s">
        <v>3116</v>
      </c>
      <c r="I1667" s="569" t="s">
        <v>3090</v>
      </c>
      <c r="J1667" s="569" t="s">
        <v>156</v>
      </c>
      <c r="K1667" s="569">
        <v>7</v>
      </c>
      <c r="L1667" s="569">
        <v>0</v>
      </c>
      <c r="M1667" s="569" t="s">
        <v>157</v>
      </c>
      <c r="N1667" s="569">
        <v>3</v>
      </c>
      <c r="O1667" s="569">
        <v>72.599999999999994</v>
      </c>
      <c r="P1667" s="568" t="s">
        <v>157</v>
      </c>
      <c r="Q1667" s="569" t="s">
        <v>3012</v>
      </c>
      <c r="R1667" s="569">
        <v>4</v>
      </c>
      <c r="S1667" s="569" t="s">
        <v>3170</v>
      </c>
      <c r="T1667" s="569" t="s">
        <v>3154</v>
      </c>
      <c r="U1667" s="569">
        <v>104.8</v>
      </c>
      <c r="V1667" s="569">
        <v>15.8</v>
      </c>
      <c r="W1667" s="620">
        <v>4820</v>
      </c>
      <c r="X1667" s="621" t="s">
        <v>157</v>
      </c>
      <c r="Y1667" s="621" t="s">
        <v>728</v>
      </c>
      <c r="Z1667" s="621" t="s">
        <v>728</v>
      </c>
      <c r="AA1667" s="622">
        <v>28295</v>
      </c>
      <c r="AB1667" s="622" t="s">
        <v>164</v>
      </c>
      <c r="AC1667" s="622">
        <v>25061.645833333336</v>
      </c>
      <c r="AD1667" s="623">
        <v>0.03</v>
      </c>
      <c r="AE1667" s="621" t="s">
        <v>3169</v>
      </c>
    </row>
    <row r="1668" spans="1:31" s="572" customFormat="1">
      <c r="A1668" s="570" t="s">
        <v>3182</v>
      </c>
      <c r="B1668" s="573" t="s">
        <v>280</v>
      </c>
      <c r="C1668" s="578">
        <v>27</v>
      </c>
      <c r="D1668" s="573" t="s">
        <v>1516</v>
      </c>
      <c r="E1668" s="573" t="s">
        <v>3115</v>
      </c>
      <c r="F1668" s="573" t="s">
        <v>271</v>
      </c>
      <c r="G1668" s="573">
        <v>2019</v>
      </c>
      <c r="H1668" s="573" t="s">
        <v>3116</v>
      </c>
      <c r="I1668" s="573" t="s">
        <v>3090</v>
      </c>
      <c r="J1668" s="573" t="s">
        <v>156</v>
      </c>
      <c r="K1668" s="573">
        <v>7</v>
      </c>
      <c r="L1668" s="573">
        <v>0</v>
      </c>
      <c r="M1668" s="573" t="s">
        <v>157</v>
      </c>
      <c r="N1668" s="573">
        <v>3</v>
      </c>
      <c r="O1668" s="573">
        <v>72</v>
      </c>
      <c r="P1668" s="571" t="s">
        <v>157</v>
      </c>
      <c r="Q1668" s="573" t="s">
        <v>3012</v>
      </c>
      <c r="R1668" s="573">
        <v>4</v>
      </c>
      <c r="S1668" s="582" t="s">
        <v>3173</v>
      </c>
      <c r="T1668" s="573" t="s">
        <v>3154</v>
      </c>
      <c r="U1668" s="573">
        <v>120.6</v>
      </c>
      <c r="V1668" s="573">
        <v>15.8</v>
      </c>
      <c r="W1668" s="616">
        <v>5450</v>
      </c>
      <c r="X1668" s="617" t="s">
        <v>157</v>
      </c>
      <c r="Y1668" s="617" t="s">
        <v>728</v>
      </c>
      <c r="Z1668" s="617" t="s">
        <v>728</v>
      </c>
      <c r="AA1668" s="618">
        <v>31670</v>
      </c>
      <c r="AB1668" s="618" t="s">
        <v>164</v>
      </c>
      <c r="AC1668" s="618">
        <v>28108.6875</v>
      </c>
      <c r="AD1668" s="619">
        <v>0.03</v>
      </c>
      <c r="AE1668" s="617" t="s">
        <v>3172</v>
      </c>
    </row>
    <row r="1669" spans="1:31" s="572" customFormat="1">
      <c r="A1669" s="570" t="s">
        <v>3183</v>
      </c>
      <c r="B1669" s="569" t="s">
        <v>280</v>
      </c>
      <c r="C1669" s="580">
        <v>27</v>
      </c>
      <c r="D1669" s="569" t="s">
        <v>1516</v>
      </c>
      <c r="E1669" s="569" t="s">
        <v>3115</v>
      </c>
      <c r="F1669" s="569" t="s">
        <v>271</v>
      </c>
      <c r="G1669" s="569">
        <v>2019</v>
      </c>
      <c r="H1669" s="569" t="s">
        <v>3116</v>
      </c>
      <c r="I1669" s="569" t="s">
        <v>3090</v>
      </c>
      <c r="J1669" s="569" t="s">
        <v>156</v>
      </c>
      <c r="K1669" s="569">
        <v>7</v>
      </c>
      <c r="L1669" s="569">
        <v>0</v>
      </c>
      <c r="M1669" s="569" t="s">
        <v>157</v>
      </c>
      <c r="N1669" s="569">
        <v>3</v>
      </c>
      <c r="O1669" s="569">
        <v>72</v>
      </c>
      <c r="P1669" s="568" t="s">
        <v>157</v>
      </c>
      <c r="Q1669" s="569" t="s">
        <v>3016</v>
      </c>
      <c r="R1669" s="569">
        <v>4</v>
      </c>
      <c r="S1669" s="569" t="s">
        <v>3173</v>
      </c>
      <c r="T1669" s="569" t="s">
        <v>3154</v>
      </c>
      <c r="U1669" s="569">
        <v>120.6</v>
      </c>
      <c r="V1669" s="569">
        <v>15.8</v>
      </c>
      <c r="W1669" s="620">
        <v>5302</v>
      </c>
      <c r="X1669" s="621">
        <v>24</v>
      </c>
      <c r="Y1669" s="621" t="s">
        <v>178</v>
      </c>
      <c r="Z1669" s="621" t="s">
        <v>178</v>
      </c>
      <c r="AA1669" s="622">
        <v>29675</v>
      </c>
      <c r="AB1669" s="622" t="s">
        <v>164</v>
      </c>
      <c r="AC1669" s="622">
        <v>26336.645833333336</v>
      </c>
      <c r="AD1669" s="623">
        <v>0.03</v>
      </c>
      <c r="AE1669" s="621" t="s">
        <v>3175</v>
      </c>
    </row>
    <row r="1670" spans="1:31" s="572" customFormat="1" ht="30">
      <c r="A1670" s="570" t="s">
        <v>3184</v>
      </c>
      <c r="B1670" s="573" t="s">
        <v>467</v>
      </c>
      <c r="C1670" s="578" t="s">
        <v>468</v>
      </c>
      <c r="D1670" s="573" t="s">
        <v>1516</v>
      </c>
      <c r="E1670" s="573" t="s">
        <v>1646</v>
      </c>
      <c r="F1670" s="573" t="s">
        <v>469</v>
      </c>
      <c r="G1670" s="573">
        <v>2019</v>
      </c>
      <c r="H1670" s="573" t="s">
        <v>3186</v>
      </c>
      <c r="I1670" s="573" t="s">
        <v>3187</v>
      </c>
      <c r="J1670" s="573" t="s">
        <v>156</v>
      </c>
      <c r="K1670" s="573">
        <v>7</v>
      </c>
      <c r="L1670" s="573">
        <v>0</v>
      </c>
      <c r="M1670" s="573" t="s">
        <v>157</v>
      </c>
      <c r="N1670" s="573">
        <v>3</v>
      </c>
      <c r="O1670" s="573">
        <v>68.3</v>
      </c>
      <c r="P1670" s="571">
        <v>3000</v>
      </c>
      <c r="Q1670" s="573" t="s">
        <v>316</v>
      </c>
      <c r="R1670" s="573">
        <v>6</v>
      </c>
      <c r="S1670" s="582" t="s">
        <v>3188</v>
      </c>
      <c r="T1670" s="573" t="s">
        <v>157</v>
      </c>
      <c r="U1670" s="573">
        <v>118.1</v>
      </c>
      <c r="V1670" s="573">
        <v>19.5</v>
      </c>
      <c r="W1670" s="616">
        <v>4354</v>
      </c>
      <c r="X1670" s="617">
        <v>22</v>
      </c>
      <c r="Y1670" s="617" t="s">
        <v>178</v>
      </c>
      <c r="Z1670" s="617" t="s">
        <v>178</v>
      </c>
      <c r="AA1670" s="618">
        <v>31085</v>
      </c>
      <c r="AB1670" s="618" t="s">
        <v>164</v>
      </c>
      <c r="AC1670" s="618">
        <v>30199</v>
      </c>
      <c r="AD1670" s="619">
        <v>0.03</v>
      </c>
      <c r="AE1670" s="617" t="s">
        <v>3185</v>
      </c>
    </row>
    <row r="1671" spans="1:31" s="572" customFormat="1" ht="30">
      <c r="A1671" s="570" t="s">
        <v>3189</v>
      </c>
      <c r="B1671" s="569" t="s">
        <v>473</v>
      </c>
      <c r="C1671" s="580">
        <v>14</v>
      </c>
      <c r="D1671" s="569" t="s">
        <v>1516</v>
      </c>
      <c r="E1671" s="569" t="s">
        <v>1646</v>
      </c>
      <c r="F1671" s="569" t="s">
        <v>469</v>
      </c>
      <c r="G1671" s="569">
        <v>2019</v>
      </c>
      <c r="H1671" s="569" t="s">
        <v>3186</v>
      </c>
      <c r="I1671" s="569" t="s">
        <v>3187</v>
      </c>
      <c r="J1671" s="569" t="s">
        <v>156</v>
      </c>
      <c r="K1671" s="569">
        <v>7</v>
      </c>
      <c r="L1671" s="569">
        <v>0</v>
      </c>
      <c r="M1671" s="569" t="s">
        <v>157</v>
      </c>
      <c r="N1671" s="569">
        <v>3</v>
      </c>
      <c r="O1671" s="569">
        <v>68.3</v>
      </c>
      <c r="P1671" s="568">
        <v>3000</v>
      </c>
      <c r="Q1671" s="569" t="s">
        <v>316</v>
      </c>
      <c r="R1671" s="569">
        <v>6</v>
      </c>
      <c r="S1671" s="569" t="s">
        <v>3188</v>
      </c>
      <c r="T1671" s="569" t="s">
        <v>157</v>
      </c>
      <c r="U1671" s="569">
        <v>118.1</v>
      </c>
      <c r="V1671" s="569">
        <v>19.5</v>
      </c>
      <c r="W1671" s="620">
        <v>4354</v>
      </c>
      <c r="X1671" s="621">
        <v>22</v>
      </c>
      <c r="Y1671" s="621" t="s">
        <v>178</v>
      </c>
      <c r="Z1671" s="621" t="s">
        <v>178</v>
      </c>
      <c r="AA1671" s="622">
        <v>31085</v>
      </c>
      <c r="AB1671" s="622" t="s">
        <v>164</v>
      </c>
      <c r="AC1671" s="622">
        <v>28995</v>
      </c>
      <c r="AD1671" s="623">
        <v>0.1</v>
      </c>
      <c r="AE1671" s="621" t="s">
        <v>3185</v>
      </c>
    </row>
    <row r="1672" spans="1:31" s="572" customFormat="1">
      <c r="A1672" s="570" t="s">
        <v>3190</v>
      </c>
      <c r="B1672" s="573" t="s">
        <v>543</v>
      </c>
      <c r="C1672" s="578" t="s">
        <v>544</v>
      </c>
      <c r="D1672" s="573" t="s">
        <v>1516</v>
      </c>
      <c r="E1672" s="573" t="s">
        <v>1914</v>
      </c>
      <c r="F1672" s="573" t="s">
        <v>545</v>
      </c>
      <c r="G1672" s="573">
        <v>2019</v>
      </c>
      <c r="H1672" s="573" t="s">
        <v>3192</v>
      </c>
      <c r="I1672" s="573" t="s">
        <v>273</v>
      </c>
      <c r="J1672" s="573" t="s">
        <v>236</v>
      </c>
      <c r="K1672" s="573">
        <v>2</v>
      </c>
      <c r="L1672" s="573">
        <v>0</v>
      </c>
      <c r="M1672" s="573" t="s">
        <v>157</v>
      </c>
      <c r="N1672" s="573">
        <v>1</v>
      </c>
      <c r="O1672" s="573">
        <v>83.9</v>
      </c>
      <c r="P1672" s="571" t="s">
        <v>157</v>
      </c>
      <c r="Q1672" s="573" t="s">
        <v>3193</v>
      </c>
      <c r="R1672" s="573">
        <v>6</v>
      </c>
      <c r="S1672" s="582">
        <v>61019</v>
      </c>
      <c r="T1672" s="573" t="s">
        <v>157</v>
      </c>
      <c r="U1672" s="573">
        <v>146.1</v>
      </c>
      <c r="V1672" s="573">
        <v>28</v>
      </c>
      <c r="W1672" s="616">
        <v>8550</v>
      </c>
      <c r="X1672" s="617">
        <v>16</v>
      </c>
      <c r="Y1672" s="617" t="s">
        <v>178</v>
      </c>
      <c r="Z1672" s="617" t="s">
        <v>178</v>
      </c>
      <c r="AA1672" s="618">
        <v>30735</v>
      </c>
      <c r="AB1672" s="618" t="s">
        <v>164</v>
      </c>
      <c r="AC1672" s="618">
        <v>26341.599999999999</v>
      </c>
      <c r="AD1672" s="619">
        <v>0.03</v>
      </c>
      <c r="AE1672" s="617" t="s">
        <v>3191</v>
      </c>
    </row>
    <row r="1673" spans="1:31" s="572" customFormat="1">
      <c r="A1673" s="570" t="s">
        <v>3194</v>
      </c>
      <c r="B1673" s="569" t="s">
        <v>549</v>
      </c>
      <c r="C1673" s="580">
        <v>16</v>
      </c>
      <c r="D1673" s="569" t="s">
        <v>1516</v>
      </c>
      <c r="E1673" s="569" t="s">
        <v>1914</v>
      </c>
      <c r="F1673" s="569" t="s">
        <v>545</v>
      </c>
      <c r="G1673" s="569">
        <v>2019</v>
      </c>
      <c r="H1673" s="569" t="s">
        <v>3192</v>
      </c>
      <c r="I1673" s="569" t="s">
        <v>273</v>
      </c>
      <c r="J1673" s="569" t="s">
        <v>236</v>
      </c>
      <c r="K1673" s="569">
        <v>2</v>
      </c>
      <c r="L1673" s="569">
        <v>0</v>
      </c>
      <c r="M1673" s="569" t="s">
        <v>157</v>
      </c>
      <c r="N1673" s="569">
        <v>1</v>
      </c>
      <c r="O1673" s="569">
        <v>83.9</v>
      </c>
      <c r="P1673" s="568" t="s">
        <v>157</v>
      </c>
      <c r="Q1673" s="569" t="s">
        <v>3193</v>
      </c>
      <c r="R1673" s="569">
        <v>6</v>
      </c>
      <c r="S1673" s="569">
        <v>61019</v>
      </c>
      <c r="T1673" s="569" t="s">
        <v>157</v>
      </c>
      <c r="U1673" s="569">
        <v>146.1</v>
      </c>
      <c r="V1673" s="569">
        <v>28</v>
      </c>
      <c r="W1673" s="620">
        <v>8550</v>
      </c>
      <c r="X1673" s="621">
        <v>16</v>
      </c>
      <c r="Y1673" s="621" t="s">
        <v>178</v>
      </c>
      <c r="Z1673" s="621" t="s">
        <v>178</v>
      </c>
      <c r="AA1673" s="622">
        <v>30735</v>
      </c>
      <c r="AB1673" s="622" t="s">
        <v>164</v>
      </c>
      <c r="AC1673" s="622">
        <v>25990</v>
      </c>
      <c r="AD1673" s="623">
        <v>0.05</v>
      </c>
      <c r="AE1673" s="621" t="s">
        <v>3191</v>
      </c>
    </row>
    <row r="1674" spans="1:31" s="572" customFormat="1">
      <c r="A1674" s="570" t="s">
        <v>3195</v>
      </c>
      <c r="B1674" s="573" t="s">
        <v>543</v>
      </c>
      <c r="C1674" s="578" t="s">
        <v>544</v>
      </c>
      <c r="D1674" s="573" t="s">
        <v>1516</v>
      </c>
      <c r="E1674" s="573" t="s">
        <v>1914</v>
      </c>
      <c r="F1674" s="573" t="s">
        <v>545</v>
      </c>
      <c r="G1674" s="573">
        <v>2019</v>
      </c>
      <c r="H1674" s="573" t="s">
        <v>3192</v>
      </c>
      <c r="I1674" s="573" t="s">
        <v>575</v>
      </c>
      <c r="J1674" s="573" t="s">
        <v>236</v>
      </c>
      <c r="K1674" s="573">
        <v>2</v>
      </c>
      <c r="L1674" s="573">
        <v>0</v>
      </c>
      <c r="M1674" s="573" t="s">
        <v>157</v>
      </c>
      <c r="N1674" s="573">
        <v>1</v>
      </c>
      <c r="O1674" s="573">
        <v>83.9</v>
      </c>
      <c r="P1674" s="571" t="s">
        <v>157</v>
      </c>
      <c r="Q1674" s="573" t="s">
        <v>3193</v>
      </c>
      <c r="R1674" s="573">
        <v>6</v>
      </c>
      <c r="S1674" s="582">
        <v>61119</v>
      </c>
      <c r="T1674" s="573" t="s">
        <v>157</v>
      </c>
      <c r="U1674" s="573">
        <v>146.1</v>
      </c>
      <c r="V1674" s="573">
        <v>28</v>
      </c>
      <c r="W1674" s="616">
        <v>8550</v>
      </c>
      <c r="X1674" s="617">
        <v>16</v>
      </c>
      <c r="Y1674" s="617" t="s">
        <v>178</v>
      </c>
      <c r="Z1674" s="617" t="s">
        <v>178</v>
      </c>
      <c r="AA1674" s="618">
        <v>31725</v>
      </c>
      <c r="AB1674" s="618" t="s">
        <v>164</v>
      </c>
      <c r="AC1674" s="618">
        <v>27321.7</v>
      </c>
      <c r="AD1674" s="619">
        <v>0.03</v>
      </c>
      <c r="AE1674" s="617" t="s">
        <v>3196</v>
      </c>
    </row>
    <row r="1675" spans="1:31" s="572" customFormat="1">
      <c r="A1675" s="570" t="s">
        <v>3197</v>
      </c>
      <c r="B1675" s="569" t="s">
        <v>549</v>
      </c>
      <c r="C1675" s="580">
        <v>16</v>
      </c>
      <c r="D1675" s="569" t="s">
        <v>1516</v>
      </c>
      <c r="E1675" s="569" t="s">
        <v>1914</v>
      </c>
      <c r="F1675" s="569" t="s">
        <v>545</v>
      </c>
      <c r="G1675" s="569">
        <v>2019</v>
      </c>
      <c r="H1675" s="569" t="s">
        <v>3192</v>
      </c>
      <c r="I1675" s="569" t="s">
        <v>575</v>
      </c>
      <c r="J1675" s="569" t="s">
        <v>236</v>
      </c>
      <c r="K1675" s="569">
        <v>2</v>
      </c>
      <c r="L1675" s="569">
        <v>0</v>
      </c>
      <c r="M1675" s="569" t="s">
        <v>157</v>
      </c>
      <c r="N1675" s="569">
        <v>1</v>
      </c>
      <c r="O1675" s="569">
        <v>83.9</v>
      </c>
      <c r="P1675" s="568" t="s">
        <v>157</v>
      </c>
      <c r="Q1675" s="569" t="s">
        <v>3193</v>
      </c>
      <c r="R1675" s="569">
        <v>6</v>
      </c>
      <c r="S1675" s="569">
        <v>61119</v>
      </c>
      <c r="T1675" s="569" t="s">
        <v>157</v>
      </c>
      <c r="U1675" s="569">
        <v>146.1</v>
      </c>
      <c r="V1675" s="569">
        <v>28</v>
      </c>
      <c r="W1675" s="620">
        <v>8550</v>
      </c>
      <c r="X1675" s="621">
        <v>16</v>
      </c>
      <c r="Y1675" s="621" t="s">
        <v>178</v>
      </c>
      <c r="Z1675" s="621" t="s">
        <v>178</v>
      </c>
      <c r="AA1675" s="622">
        <v>31725</v>
      </c>
      <c r="AB1675" s="622" t="s">
        <v>164</v>
      </c>
      <c r="AC1675" s="622">
        <v>26990</v>
      </c>
      <c r="AD1675" s="623">
        <v>0.05</v>
      </c>
      <c r="AE1675" s="621" t="s">
        <v>3196</v>
      </c>
    </row>
    <row r="1676" spans="1:31" s="572" customFormat="1">
      <c r="A1676" s="570" t="s">
        <v>3198</v>
      </c>
      <c r="B1676" s="573" t="s">
        <v>543</v>
      </c>
      <c r="C1676" s="578" t="s">
        <v>544</v>
      </c>
      <c r="D1676" s="573" t="s">
        <v>1516</v>
      </c>
      <c r="E1676" s="573" t="s">
        <v>1517</v>
      </c>
      <c r="F1676" s="573" t="s">
        <v>545</v>
      </c>
      <c r="G1676" s="573">
        <v>2019</v>
      </c>
      <c r="H1676" s="573" t="s">
        <v>3200</v>
      </c>
      <c r="I1676" s="573" t="s">
        <v>273</v>
      </c>
      <c r="J1676" s="573" t="s">
        <v>236</v>
      </c>
      <c r="K1676" s="573">
        <v>2</v>
      </c>
      <c r="L1676" s="573">
        <v>0</v>
      </c>
      <c r="M1676" s="573" t="s">
        <v>157</v>
      </c>
      <c r="N1676" s="573">
        <v>1</v>
      </c>
      <c r="O1676" s="573">
        <v>105</v>
      </c>
      <c r="P1676" s="571" t="s">
        <v>157</v>
      </c>
      <c r="Q1676" s="573" t="s">
        <v>3193</v>
      </c>
      <c r="R1676" s="573">
        <v>6</v>
      </c>
      <c r="S1676" s="582">
        <v>62019</v>
      </c>
      <c r="T1676" s="573" t="s">
        <v>157</v>
      </c>
      <c r="U1676" s="573">
        <v>146.1</v>
      </c>
      <c r="V1676" s="573">
        <v>28</v>
      </c>
      <c r="W1676" s="616">
        <v>9100</v>
      </c>
      <c r="X1676" s="617" t="s">
        <v>157</v>
      </c>
      <c r="Y1676" s="617" t="s">
        <v>178</v>
      </c>
      <c r="Z1676" s="617" t="s">
        <v>178</v>
      </c>
      <c r="AA1676" s="618">
        <v>33885</v>
      </c>
      <c r="AB1676" s="618" t="s">
        <v>164</v>
      </c>
      <c r="AC1676" s="618">
        <v>29460.1</v>
      </c>
      <c r="AD1676" s="619">
        <v>0.03</v>
      </c>
      <c r="AE1676" s="617" t="s">
        <v>3199</v>
      </c>
    </row>
    <row r="1677" spans="1:31" s="572" customFormat="1">
      <c r="A1677" s="570" t="s">
        <v>3201</v>
      </c>
      <c r="B1677" s="569" t="s">
        <v>543</v>
      </c>
      <c r="C1677" s="580" t="s">
        <v>544</v>
      </c>
      <c r="D1677" s="569" t="s">
        <v>1516</v>
      </c>
      <c r="E1677" s="569" t="s">
        <v>1517</v>
      </c>
      <c r="F1677" s="569" t="s">
        <v>545</v>
      </c>
      <c r="G1677" s="569">
        <v>2019</v>
      </c>
      <c r="H1677" s="569" t="s">
        <v>3200</v>
      </c>
      <c r="I1677" s="569" t="s">
        <v>273</v>
      </c>
      <c r="J1677" s="569" t="s">
        <v>236</v>
      </c>
      <c r="K1677" s="569">
        <v>2</v>
      </c>
      <c r="L1677" s="569">
        <v>0</v>
      </c>
      <c r="M1677" s="569" t="s">
        <v>157</v>
      </c>
      <c r="N1677" s="569">
        <v>1</v>
      </c>
      <c r="O1677" s="569">
        <v>105</v>
      </c>
      <c r="P1677" s="568" t="s">
        <v>157</v>
      </c>
      <c r="Q1677" s="569" t="s">
        <v>3203</v>
      </c>
      <c r="R1677" s="569">
        <v>8</v>
      </c>
      <c r="S1677" s="569">
        <v>62319</v>
      </c>
      <c r="T1677" s="569" t="s">
        <v>157</v>
      </c>
      <c r="U1677" s="569">
        <v>146.1</v>
      </c>
      <c r="V1677" s="569">
        <v>28</v>
      </c>
      <c r="W1677" s="620">
        <v>9100</v>
      </c>
      <c r="X1677" s="621" t="s">
        <v>157</v>
      </c>
      <c r="Y1677" s="621" t="s">
        <v>178</v>
      </c>
      <c r="Z1677" s="621" t="s">
        <v>178</v>
      </c>
      <c r="AA1677" s="622">
        <v>35485</v>
      </c>
      <c r="AB1677" s="622" t="s">
        <v>164</v>
      </c>
      <c r="AC1677" s="622">
        <v>31044.1</v>
      </c>
      <c r="AD1677" s="623">
        <v>0.03</v>
      </c>
      <c r="AE1677" s="621" t="s">
        <v>3202</v>
      </c>
    </row>
    <row r="1678" spans="1:31" s="572" customFormat="1">
      <c r="A1678" s="570" t="s">
        <v>3204</v>
      </c>
      <c r="B1678" s="573" t="s">
        <v>543</v>
      </c>
      <c r="C1678" s="578" t="s">
        <v>544</v>
      </c>
      <c r="D1678" s="573" t="s">
        <v>1516</v>
      </c>
      <c r="E1678" s="573" t="s">
        <v>1517</v>
      </c>
      <c r="F1678" s="573" t="s">
        <v>545</v>
      </c>
      <c r="G1678" s="573">
        <v>2019</v>
      </c>
      <c r="H1678" s="573" t="s">
        <v>3200</v>
      </c>
      <c r="I1678" s="573" t="s">
        <v>273</v>
      </c>
      <c r="J1678" s="573" t="s">
        <v>236</v>
      </c>
      <c r="K1678" s="573">
        <v>2</v>
      </c>
      <c r="L1678" s="573">
        <v>0</v>
      </c>
      <c r="M1678" s="573" t="s">
        <v>157</v>
      </c>
      <c r="N1678" s="573">
        <v>1</v>
      </c>
      <c r="O1678" s="573">
        <v>83.9</v>
      </c>
      <c r="P1678" s="571" t="s">
        <v>157</v>
      </c>
      <c r="Q1678" s="573" t="s">
        <v>3193</v>
      </c>
      <c r="R1678" s="573">
        <v>6</v>
      </c>
      <c r="S1678" s="582">
        <v>61219</v>
      </c>
      <c r="T1678" s="573" t="s">
        <v>157</v>
      </c>
      <c r="U1678" s="573">
        <v>146.1</v>
      </c>
      <c r="V1678" s="573">
        <v>28</v>
      </c>
      <c r="W1678" s="616">
        <v>9100</v>
      </c>
      <c r="X1678" s="617" t="s">
        <v>157</v>
      </c>
      <c r="Y1678" s="617" t="s">
        <v>178</v>
      </c>
      <c r="Z1678" s="617" t="s">
        <v>178</v>
      </c>
      <c r="AA1678" s="618">
        <v>31735</v>
      </c>
      <c r="AB1678" s="618" t="s">
        <v>164</v>
      </c>
      <c r="AC1678" s="618">
        <v>27331.599999999999</v>
      </c>
      <c r="AD1678" s="619">
        <v>0.03</v>
      </c>
      <c r="AE1678" s="617" t="s">
        <v>3205</v>
      </c>
    </row>
    <row r="1679" spans="1:31" s="572" customFormat="1">
      <c r="A1679" s="570" t="s">
        <v>3206</v>
      </c>
      <c r="B1679" s="569" t="s">
        <v>543</v>
      </c>
      <c r="C1679" s="580" t="s">
        <v>544</v>
      </c>
      <c r="D1679" s="569" t="s">
        <v>1516</v>
      </c>
      <c r="E1679" s="569" t="s">
        <v>1517</v>
      </c>
      <c r="F1679" s="569" t="s">
        <v>545</v>
      </c>
      <c r="G1679" s="569">
        <v>2019</v>
      </c>
      <c r="H1679" s="569" t="s">
        <v>3200</v>
      </c>
      <c r="I1679" s="569" t="s">
        <v>273</v>
      </c>
      <c r="J1679" s="569" t="s">
        <v>236</v>
      </c>
      <c r="K1679" s="569">
        <v>2</v>
      </c>
      <c r="L1679" s="569">
        <v>0</v>
      </c>
      <c r="M1679" s="569" t="s">
        <v>157</v>
      </c>
      <c r="N1679" s="569">
        <v>1</v>
      </c>
      <c r="O1679" s="569">
        <v>83.9</v>
      </c>
      <c r="P1679" s="568" t="s">
        <v>157</v>
      </c>
      <c r="Q1679" s="569" t="s">
        <v>3203</v>
      </c>
      <c r="R1679" s="569">
        <v>8</v>
      </c>
      <c r="S1679" s="569">
        <v>61519</v>
      </c>
      <c r="T1679" s="569" t="s">
        <v>157</v>
      </c>
      <c r="U1679" s="569">
        <v>146.1</v>
      </c>
      <c r="V1679" s="569">
        <v>28</v>
      </c>
      <c r="W1679" s="620">
        <v>9100</v>
      </c>
      <c r="X1679" s="621" t="s">
        <v>157</v>
      </c>
      <c r="Y1679" s="621" t="s">
        <v>178</v>
      </c>
      <c r="Z1679" s="621" t="s">
        <v>178</v>
      </c>
      <c r="AA1679" s="622">
        <v>33335</v>
      </c>
      <c r="AB1679" s="622" t="s">
        <v>164</v>
      </c>
      <c r="AC1679" s="622">
        <v>28915.599999999999</v>
      </c>
      <c r="AD1679" s="623">
        <v>0.03</v>
      </c>
      <c r="AE1679" s="621" t="s">
        <v>3207</v>
      </c>
    </row>
    <row r="1680" spans="1:31" s="572" customFormat="1">
      <c r="A1680" s="570" t="s">
        <v>3208</v>
      </c>
      <c r="B1680" s="573" t="s">
        <v>549</v>
      </c>
      <c r="C1680" s="578">
        <v>16</v>
      </c>
      <c r="D1680" s="573" t="s">
        <v>1516</v>
      </c>
      <c r="E1680" s="573" t="s">
        <v>1517</v>
      </c>
      <c r="F1680" s="573" t="s">
        <v>545</v>
      </c>
      <c r="G1680" s="573">
        <v>2019</v>
      </c>
      <c r="H1680" s="573" t="s">
        <v>3200</v>
      </c>
      <c r="I1680" s="573" t="s">
        <v>273</v>
      </c>
      <c r="J1680" s="573" t="s">
        <v>236</v>
      </c>
      <c r="K1680" s="573">
        <v>2</v>
      </c>
      <c r="L1680" s="573">
        <v>0</v>
      </c>
      <c r="M1680" s="573" t="s">
        <v>157</v>
      </c>
      <c r="N1680" s="573">
        <v>1</v>
      </c>
      <c r="O1680" s="573">
        <v>83.9</v>
      </c>
      <c r="P1680" s="571" t="s">
        <v>157</v>
      </c>
      <c r="Q1680" s="573" t="s">
        <v>3193</v>
      </c>
      <c r="R1680" s="573">
        <v>6</v>
      </c>
      <c r="S1680" s="582">
        <v>61219</v>
      </c>
      <c r="T1680" s="573" t="s">
        <v>157</v>
      </c>
      <c r="U1680" s="573">
        <v>146.1</v>
      </c>
      <c r="V1680" s="573">
        <v>28</v>
      </c>
      <c r="W1680" s="616">
        <v>9100</v>
      </c>
      <c r="X1680" s="617">
        <v>14</v>
      </c>
      <c r="Y1680" s="617" t="s">
        <v>178</v>
      </c>
      <c r="Z1680" s="617" t="s">
        <v>178</v>
      </c>
      <c r="AA1680" s="618">
        <v>31735</v>
      </c>
      <c r="AB1680" s="618" t="s">
        <v>164</v>
      </c>
      <c r="AC1680" s="618">
        <v>26990</v>
      </c>
      <c r="AD1680" s="619">
        <v>0.05</v>
      </c>
      <c r="AE1680" s="617" t="s">
        <v>3205</v>
      </c>
    </row>
    <row r="1681" spans="1:31" s="572" customFormat="1">
      <c r="A1681" s="570" t="s">
        <v>3209</v>
      </c>
      <c r="B1681" s="569" t="s">
        <v>543</v>
      </c>
      <c r="C1681" s="580" t="s">
        <v>544</v>
      </c>
      <c r="D1681" s="569" t="s">
        <v>1516</v>
      </c>
      <c r="E1681" s="569" t="s">
        <v>1517</v>
      </c>
      <c r="F1681" s="569" t="s">
        <v>545</v>
      </c>
      <c r="G1681" s="569">
        <v>2019</v>
      </c>
      <c r="H1681" s="569" t="s">
        <v>3200</v>
      </c>
      <c r="I1681" s="569" t="s">
        <v>574</v>
      </c>
      <c r="J1681" s="569" t="s">
        <v>236</v>
      </c>
      <c r="K1681" s="569">
        <v>2</v>
      </c>
      <c r="L1681" s="569">
        <v>0</v>
      </c>
      <c r="M1681" s="569" t="s">
        <v>157</v>
      </c>
      <c r="N1681" s="569">
        <v>1</v>
      </c>
      <c r="O1681" s="569">
        <v>105</v>
      </c>
      <c r="P1681" s="568" t="s">
        <v>157</v>
      </c>
      <c r="Q1681" s="569" t="s">
        <v>3193</v>
      </c>
      <c r="R1681" s="569">
        <v>6</v>
      </c>
      <c r="S1681" s="569">
        <v>62219</v>
      </c>
      <c r="T1681" s="569" t="s">
        <v>157</v>
      </c>
      <c r="U1681" s="569">
        <v>146.1</v>
      </c>
      <c r="V1681" s="569">
        <v>28</v>
      </c>
      <c r="W1681" s="620">
        <v>9100</v>
      </c>
      <c r="X1681" s="621" t="s">
        <v>157</v>
      </c>
      <c r="Y1681" s="621" t="s">
        <v>178</v>
      </c>
      <c r="Z1681" s="621" t="s">
        <v>178</v>
      </c>
      <c r="AA1681" s="622">
        <v>35995</v>
      </c>
      <c r="AB1681" s="622" t="s">
        <v>164</v>
      </c>
      <c r="AC1681" s="622">
        <v>31549</v>
      </c>
      <c r="AD1681" s="623">
        <v>0.03</v>
      </c>
      <c r="AE1681" s="621" t="s">
        <v>3210</v>
      </c>
    </row>
    <row r="1682" spans="1:31" s="572" customFormat="1">
      <c r="A1682" s="570" t="s">
        <v>3211</v>
      </c>
      <c r="B1682" s="573" t="s">
        <v>543</v>
      </c>
      <c r="C1682" s="578" t="s">
        <v>544</v>
      </c>
      <c r="D1682" s="573" t="s">
        <v>1516</v>
      </c>
      <c r="E1682" s="573" t="s">
        <v>1517</v>
      </c>
      <c r="F1682" s="573" t="s">
        <v>545</v>
      </c>
      <c r="G1682" s="573">
        <v>2019</v>
      </c>
      <c r="H1682" s="573" t="s">
        <v>3200</v>
      </c>
      <c r="I1682" s="573" t="s">
        <v>574</v>
      </c>
      <c r="J1682" s="573" t="s">
        <v>236</v>
      </c>
      <c r="K1682" s="573">
        <v>2</v>
      </c>
      <c r="L1682" s="573">
        <v>0</v>
      </c>
      <c r="M1682" s="573" t="s">
        <v>157</v>
      </c>
      <c r="N1682" s="573">
        <v>1</v>
      </c>
      <c r="O1682" s="573">
        <v>83.9</v>
      </c>
      <c r="P1682" s="571" t="s">
        <v>157</v>
      </c>
      <c r="Q1682" s="573" t="s">
        <v>3193</v>
      </c>
      <c r="R1682" s="573">
        <v>6</v>
      </c>
      <c r="S1682" s="582">
        <v>61419</v>
      </c>
      <c r="T1682" s="573" t="s">
        <v>157</v>
      </c>
      <c r="U1682" s="573">
        <v>146.1</v>
      </c>
      <c r="V1682" s="573">
        <v>28</v>
      </c>
      <c r="W1682" s="616">
        <v>9100</v>
      </c>
      <c r="X1682" s="617" t="s">
        <v>157</v>
      </c>
      <c r="Y1682" s="617" t="s">
        <v>178</v>
      </c>
      <c r="Z1682" s="617" t="s">
        <v>178</v>
      </c>
      <c r="AA1682" s="618">
        <v>33845</v>
      </c>
      <c r="AB1682" s="618" t="s">
        <v>164</v>
      </c>
      <c r="AC1682" s="618">
        <v>29420.5</v>
      </c>
      <c r="AD1682" s="619">
        <v>0.03</v>
      </c>
      <c r="AE1682" s="617" t="s">
        <v>3212</v>
      </c>
    </row>
    <row r="1683" spans="1:31" s="572" customFormat="1">
      <c r="A1683" s="570" t="s">
        <v>3213</v>
      </c>
      <c r="B1683" s="569" t="s">
        <v>543</v>
      </c>
      <c r="C1683" s="580" t="s">
        <v>544</v>
      </c>
      <c r="D1683" s="569" t="s">
        <v>1516</v>
      </c>
      <c r="E1683" s="569" t="s">
        <v>1517</v>
      </c>
      <c r="F1683" s="569" t="s">
        <v>545</v>
      </c>
      <c r="G1683" s="569">
        <v>2019</v>
      </c>
      <c r="H1683" s="569" t="s">
        <v>3200</v>
      </c>
      <c r="I1683" s="569" t="s">
        <v>575</v>
      </c>
      <c r="J1683" s="569" t="s">
        <v>236</v>
      </c>
      <c r="K1683" s="569">
        <v>2</v>
      </c>
      <c r="L1683" s="569">
        <v>0</v>
      </c>
      <c r="M1683" s="569" t="s">
        <v>157</v>
      </c>
      <c r="N1683" s="569">
        <v>2</v>
      </c>
      <c r="O1683" s="569">
        <v>105</v>
      </c>
      <c r="P1683" s="568" t="s">
        <v>157</v>
      </c>
      <c r="Q1683" s="569" t="s">
        <v>3193</v>
      </c>
      <c r="R1683" s="569">
        <v>6</v>
      </c>
      <c r="S1683" s="569">
        <v>62119</v>
      </c>
      <c r="T1683" s="569" t="s">
        <v>157</v>
      </c>
      <c r="U1683" s="569">
        <v>146.1</v>
      </c>
      <c r="V1683" s="569">
        <v>28</v>
      </c>
      <c r="W1683" s="620">
        <v>9100</v>
      </c>
      <c r="X1683" s="621" t="s">
        <v>157</v>
      </c>
      <c r="Y1683" s="621" t="s">
        <v>178</v>
      </c>
      <c r="Z1683" s="621" t="s">
        <v>178</v>
      </c>
      <c r="AA1683" s="622">
        <v>34875</v>
      </c>
      <c r="AB1683" s="622" t="s">
        <v>164</v>
      </c>
      <c r="AC1683" s="622">
        <v>30440.199999999997</v>
      </c>
      <c r="AD1683" s="623">
        <v>0.03</v>
      </c>
      <c r="AE1683" s="621" t="s">
        <v>3214</v>
      </c>
    </row>
    <row r="1684" spans="1:31" s="572" customFormat="1">
      <c r="A1684" s="570" t="s">
        <v>3215</v>
      </c>
      <c r="B1684" s="573" t="s">
        <v>543</v>
      </c>
      <c r="C1684" s="578" t="s">
        <v>544</v>
      </c>
      <c r="D1684" s="573" t="s">
        <v>1516</v>
      </c>
      <c r="E1684" s="573" t="s">
        <v>1517</v>
      </c>
      <c r="F1684" s="573" t="s">
        <v>545</v>
      </c>
      <c r="G1684" s="573">
        <v>2019</v>
      </c>
      <c r="H1684" s="573" t="s">
        <v>3200</v>
      </c>
      <c r="I1684" s="573" t="s">
        <v>575</v>
      </c>
      <c r="J1684" s="573" t="s">
        <v>236</v>
      </c>
      <c r="K1684" s="573">
        <v>2</v>
      </c>
      <c r="L1684" s="573">
        <v>0</v>
      </c>
      <c r="M1684" s="573" t="s">
        <v>157</v>
      </c>
      <c r="N1684" s="573">
        <v>1</v>
      </c>
      <c r="O1684" s="573">
        <v>105</v>
      </c>
      <c r="P1684" s="571" t="s">
        <v>157</v>
      </c>
      <c r="Q1684" s="573" t="s">
        <v>3203</v>
      </c>
      <c r="R1684" s="573">
        <v>8</v>
      </c>
      <c r="S1684" s="582">
        <v>62419</v>
      </c>
      <c r="T1684" s="573" t="s">
        <v>157</v>
      </c>
      <c r="U1684" s="573">
        <v>146.1</v>
      </c>
      <c r="V1684" s="573">
        <v>28</v>
      </c>
      <c r="W1684" s="616">
        <v>9100</v>
      </c>
      <c r="X1684" s="617" t="s">
        <v>157</v>
      </c>
      <c r="Y1684" s="617" t="s">
        <v>178</v>
      </c>
      <c r="Z1684" s="617" t="s">
        <v>178</v>
      </c>
      <c r="AA1684" s="618">
        <v>36475</v>
      </c>
      <c r="AB1684" s="618" t="s">
        <v>164</v>
      </c>
      <c r="AC1684" s="618">
        <v>32024.199999999997</v>
      </c>
      <c r="AD1684" s="619">
        <v>0.03</v>
      </c>
      <c r="AE1684" s="617" t="s">
        <v>3216</v>
      </c>
    </row>
    <row r="1685" spans="1:31" s="572" customFormat="1">
      <c r="A1685" s="570" t="s">
        <v>3217</v>
      </c>
      <c r="B1685" s="569" t="s">
        <v>543</v>
      </c>
      <c r="C1685" s="580" t="s">
        <v>544</v>
      </c>
      <c r="D1685" s="569" t="s">
        <v>1516</v>
      </c>
      <c r="E1685" s="569" t="s">
        <v>1517</v>
      </c>
      <c r="F1685" s="569" t="s">
        <v>545</v>
      </c>
      <c r="G1685" s="569">
        <v>2019</v>
      </c>
      <c r="H1685" s="569" t="s">
        <v>3200</v>
      </c>
      <c r="I1685" s="569" t="s">
        <v>575</v>
      </c>
      <c r="J1685" s="569" t="s">
        <v>236</v>
      </c>
      <c r="K1685" s="569">
        <v>2</v>
      </c>
      <c r="L1685" s="569">
        <v>0</v>
      </c>
      <c r="M1685" s="569" t="s">
        <v>157</v>
      </c>
      <c r="N1685" s="569">
        <v>1</v>
      </c>
      <c r="O1685" s="569">
        <v>83.9</v>
      </c>
      <c r="P1685" s="568" t="s">
        <v>157</v>
      </c>
      <c r="Q1685" s="569" t="s">
        <v>3193</v>
      </c>
      <c r="R1685" s="569">
        <v>6</v>
      </c>
      <c r="S1685" s="569">
        <v>61319</v>
      </c>
      <c r="T1685" s="569" t="s">
        <v>157</v>
      </c>
      <c r="U1685" s="569">
        <v>146.1</v>
      </c>
      <c r="V1685" s="569">
        <v>28</v>
      </c>
      <c r="W1685" s="620">
        <v>9100</v>
      </c>
      <c r="X1685" s="621" t="s">
        <v>157</v>
      </c>
      <c r="Y1685" s="621" t="s">
        <v>178</v>
      </c>
      <c r="Z1685" s="621" t="s">
        <v>178</v>
      </c>
      <c r="AA1685" s="622">
        <v>32725</v>
      </c>
      <c r="AB1685" s="622" t="s">
        <v>164</v>
      </c>
      <c r="AC1685" s="622">
        <v>28311.7</v>
      </c>
      <c r="AD1685" s="623">
        <v>0.03</v>
      </c>
      <c r="AE1685" s="621" t="s">
        <v>3218</v>
      </c>
    </row>
    <row r="1686" spans="1:31" s="572" customFormat="1">
      <c r="A1686" s="570" t="s">
        <v>3219</v>
      </c>
      <c r="B1686" s="573" t="s">
        <v>543</v>
      </c>
      <c r="C1686" s="578" t="s">
        <v>544</v>
      </c>
      <c r="D1686" s="573" t="s">
        <v>1516</v>
      </c>
      <c r="E1686" s="573" t="s">
        <v>1517</v>
      </c>
      <c r="F1686" s="573" t="s">
        <v>545</v>
      </c>
      <c r="G1686" s="573">
        <v>2019</v>
      </c>
      <c r="H1686" s="573" t="s">
        <v>3200</v>
      </c>
      <c r="I1686" s="573" t="s">
        <v>575</v>
      </c>
      <c r="J1686" s="573" t="s">
        <v>236</v>
      </c>
      <c r="K1686" s="573">
        <v>2</v>
      </c>
      <c r="L1686" s="573">
        <v>0</v>
      </c>
      <c r="M1686" s="573" t="s">
        <v>157</v>
      </c>
      <c r="N1686" s="573">
        <v>1</v>
      </c>
      <c r="O1686" s="573">
        <v>83.9</v>
      </c>
      <c r="P1686" s="571" t="s">
        <v>157</v>
      </c>
      <c r="Q1686" s="573" t="s">
        <v>3203</v>
      </c>
      <c r="R1686" s="573">
        <v>8</v>
      </c>
      <c r="S1686" s="582">
        <v>61619</v>
      </c>
      <c r="T1686" s="573" t="s">
        <v>157</v>
      </c>
      <c r="U1686" s="573">
        <v>146.1</v>
      </c>
      <c r="V1686" s="573">
        <v>28</v>
      </c>
      <c r="W1686" s="616">
        <v>9100</v>
      </c>
      <c r="X1686" s="617" t="s">
        <v>157</v>
      </c>
      <c r="Y1686" s="617" t="s">
        <v>178</v>
      </c>
      <c r="Z1686" s="617" t="s">
        <v>178</v>
      </c>
      <c r="AA1686" s="618">
        <v>34325</v>
      </c>
      <c r="AB1686" s="618" t="s">
        <v>164</v>
      </c>
      <c r="AC1686" s="618">
        <v>29895.699999999997</v>
      </c>
      <c r="AD1686" s="619">
        <v>0.03</v>
      </c>
      <c r="AE1686" s="617" t="s">
        <v>3220</v>
      </c>
    </row>
    <row r="1687" spans="1:31" s="572" customFormat="1">
      <c r="A1687" s="570" t="s">
        <v>3221</v>
      </c>
      <c r="B1687" s="569" t="s">
        <v>549</v>
      </c>
      <c r="C1687" s="580">
        <v>16</v>
      </c>
      <c r="D1687" s="569" t="s">
        <v>1516</v>
      </c>
      <c r="E1687" s="569" t="s">
        <v>1517</v>
      </c>
      <c r="F1687" s="569" t="s">
        <v>545</v>
      </c>
      <c r="G1687" s="569">
        <v>2019</v>
      </c>
      <c r="H1687" s="569" t="s">
        <v>3200</v>
      </c>
      <c r="I1687" s="569" t="s">
        <v>575</v>
      </c>
      <c r="J1687" s="569" t="s">
        <v>236</v>
      </c>
      <c r="K1687" s="569">
        <v>2</v>
      </c>
      <c r="L1687" s="569">
        <v>0</v>
      </c>
      <c r="M1687" s="569" t="s">
        <v>157</v>
      </c>
      <c r="N1687" s="569">
        <v>1</v>
      </c>
      <c r="O1687" s="569">
        <v>83.9</v>
      </c>
      <c r="P1687" s="568" t="s">
        <v>157</v>
      </c>
      <c r="Q1687" s="569" t="s">
        <v>3193</v>
      </c>
      <c r="R1687" s="569">
        <v>6</v>
      </c>
      <c r="S1687" s="569">
        <v>61319</v>
      </c>
      <c r="T1687" s="569" t="s">
        <v>157</v>
      </c>
      <c r="U1687" s="569">
        <v>146.1</v>
      </c>
      <c r="V1687" s="569">
        <v>28</v>
      </c>
      <c r="W1687" s="620">
        <v>9100</v>
      </c>
      <c r="X1687" s="621">
        <v>14</v>
      </c>
      <c r="Y1687" s="621" t="s">
        <v>178</v>
      </c>
      <c r="Z1687" s="621" t="s">
        <v>178</v>
      </c>
      <c r="AA1687" s="622">
        <v>32725</v>
      </c>
      <c r="AB1687" s="622" t="s">
        <v>164</v>
      </c>
      <c r="AC1687" s="622">
        <v>27990</v>
      </c>
      <c r="AD1687" s="623">
        <v>0.05</v>
      </c>
      <c r="AE1687" s="621" t="s">
        <v>3218</v>
      </c>
    </row>
    <row r="1688" spans="1:31" s="572" customFormat="1">
      <c r="A1688" s="570" t="s">
        <v>3222</v>
      </c>
      <c r="B1688" s="573" t="s">
        <v>549</v>
      </c>
      <c r="C1688" s="578">
        <v>16</v>
      </c>
      <c r="D1688" s="573" t="s">
        <v>1516</v>
      </c>
      <c r="E1688" s="573" t="s">
        <v>1517</v>
      </c>
      <c r="F1688" s="573" t="s">
        <v>545</v>
      </c>
      <c r="G1688" s="573">
        <v>2019</v>
      </c>
      <c r="H1688" s="573" t="s">
        <v>3224</v>
      </c>
      <c r="I1688" s="573" t="s">
        <v>273</v>
      </c>
      <c r="J1688" s="573" t="s">
        <v>236</v>
      </c>
      <c r="K1688" s="573">
        <v>2</v>
      </c>
      <c r="L1688" s="573">
        <v>0</v>
      </c>
      <c r="M1688" s="573" t="s">
        <v>157</v>
      </c>
      <c r="N1688" s="573">
        <v>1</v>
      </c>
      <c r="O1688" s="573">
        <v>105</v>
      </c>
      <c r="P1688" s="571" t="s">
        <v>157</v>
      </c>
      <c r="Q1688" s="573" t="s">
        <v>3193</v>
      </c>
      <c r="R1688" s="573">
        <v>6</v>
      </c>
      <c r="S1688" s="582">
        <v>62019</v>
      </c>
      <c r="T1688" s="573" t="s">
        <v>157</v>
      </c>
      <c r="U1688" s="573">
        <v>146.1</v>
      </c>
      <c r="V1688" s="573">
        <v>28</v>
      </c>
      <c r="W1688" s="616">
        <v>9100</v>
      </c>
      <c r="X1688" s="617">
        <v>14</v>
      </c>
      <c r="Y1688" s="617" t="s">
        <v>178</v>
      </c>
      <c r="Z1688" s="617" t="s">
        <v>178</v>
      </c>
      <c r="AA1688" s="618">
        <v>33885</v>
      </c>
      <c r="AB1688" s="618" t="s">
        <v>164</v>
      </c>
      <c r="AC1688" s="618">
        <v>28990</v>
      </c>
      <c r="AD1688" s="619">
        <v>0.05</v>
      </c>
      <c r="AE1688" s="617" t="s">
        <v>3223</v>
      </c>
    </row>
    <row r="1689" spans="1:31" s="572" customFormat="1">
      <c r="A1689" s="570" t="s">
        <v>3225</v>
      </c>
      <c r="B1689" s="569" t="s">
        <v>549</v>
      </c>
      <c r="C1689" s="580">
        <v>16</v>
      </c>
      <c r="D1689" s="569" t="s">
        <v>1516</v>
      </c>
      <c r="E1689" s="569" t="s">
        <v>1517</v>
      </c>
      <c r="F1689" s="569" t="s">
        <v>545</v>
      </c>
      <c r="G1689" s="569">
        <v>2019</v>
      </c>
      <c r="H1689" s="569" t="s">
        <v>3224</v>
      </c>
      <c r="I1689" s="569" t="s">
        <v>575</v>
      </c>
      <c r="J1689" s="569" t="s">
        <v>236</v>
      </c>
      <c r="K1689" s="569">
        <v>2</v>
      </c>
      <c r="L1689" s="569">
        <v>0</v>
      </c>
      <c r="M1689" s="569" t="s">
        <v>157</v>
      </c>
      <c r="N1689" s="569">
        <v>1</v>
      </c>
      <c r="O1689" s="569">
        <v>105</v>
      </c>
      <c r="P1689" s="568" t="s">
        <v>157</v>
      </c>
      <c r="Q1689" s="569" t="s">
        <v>3193</v>
      </c>
      <c r="R1689" s="569">
        <v>8</v>
      </c>
      <c r="S1689" s="569">
        <v>62119</v>
      </c>
      <c r="T1689" s="569" t="s">
        <v>157</v>
      </c>
      <c r="U1689" s="569">
        <v>146.1</v>
      </c>
      <c r="V1689" s="569">
        <v>28</v>
      </c>
      <c r="W1689" s="620">
        <v>9100</v>
      </c>
      <c r="X1689" s="621">
        <v>13</v>
      </c>
      <c r="Y1689" s="621" t="s">
        <v>178</v>
      </c>
      <c r="Z1689" s="621" t="s">
        <v>178</v>
      </c>
      <c r="AA1689" s="622">
        <v>34875</v>
      </c>
      <c r="AB1689" s="622" t="s">
        <v>164</v>
      </c>
      <c r="AC1689" s="622">
        <v>29990</v>
      </c>
      <c r="AD1689" s="623">
        <v>0.05</v>
      </c>
      <c r="AE1689" s="621" t="s">
        <v>3226</v>
      </c>
    </row>
    <row r="1690" spans="1:31" s="572" customFormat="1">
      <c r="A1690" s="570" t="s">
        <v>3227</v>
      </c>
      <c r="B1690" s="573" t="s">
        <v>543</v>
      </c>
      <c r="C1690" s="578" t="s">
        <v>544</v>
      </c>
      <c r="D1690" s="573" t="s">
        <v>1516</v>
      </c>
      <c r="E1690" s="573" t="s">
        <v>1571</v>
      </c>
      <c r="F1690" s="573" t="s">
        <v>545</v>
      </c>
      <c r="G1690" s="573">
        <v>2019</v>
      </c>
      <c r="H1690" s="573" t="s">
        <v>3229</v>
      </c>
      <c r="I1690" s="573" t="s">
        <v>273</v>
      </c>
      <c r="J1690" s="573" t="s">
        <v>236</v>
      </c>
      <c r="K1690" s="573">
        <v>2</v>
      </c>
      <c r="L1690" s="573">
        <v>0</v>
      </c>
      <c r="M1690" s="573" t="s">
        <v>157</v>
      </c>
      <c r="N1690" s="573">
        <v>1</v>
      </c>
      <c r="O1690" s="573">
        <v>105.8</v>
      </c>
      <c r="P1690" s="571" t="s">
        <v>157</v>
      </c>
      <c r="Q1690" s="573" t="s">
        <v>3203</v>
      </c>
      <c r="R1690" s="573">
        <v>8</v>
      </c>
      <c r="S1690" s="582">
        <v>62519</v>
      </c>
      <c r="T1690" s="573" t="s">
        <v>157</v>
      </c>
      <c r="U1690" s="573">
        <v>146.1</v>
      </c>
      <c r="V1690" s="573">
        <v>28</v>
      </c>
      <c r="W1690" s="616">
        <v>9901</v>
      </c>
      <c r="X1690" s="617" t="s">
        <v>157</v>
      </c>
      <c r="Y1690" s="617" t="s">
        <v>178</v>
      </c>
      <c r="Z1690" s="617" t="s">
        <v>178</v>
      </c>
      <c r="AA1690" s="618">
        <v>37185</v>
      </c>
      <c r="AB1690" s="618" t="s">
        <v>164</v>
      </c>
      <c r="AC1690" s="618">
        <v>32727.1</v>
      </c>
      <c r="AD1690" s="619">
        <v>0.03</v>
      </c>
      <c r="AE1690" s="617" t="s">
        <v>3228</v>
      </c>
    </row>
    <row r="1691" spans="1:31" s="572" customFormat="1">
      <c r="A1691" s="570" t="s">
        <v>3230</v>
      </c>
      <c r="B1691" s="569" t="s">
        <v>543</v>
      </c>
      <c r="C1691" s="580" t="s">
        <v>544</v>
      </c>
      <c r="D1691" s="569" t="s">
        <v>1516</v>
      </c>
      <c r="E1691" s="569" t="s">
        <v>1571</v>
      </c>
      <c r="F1691" s="569" t="s">
        <v>545</v>
      </c>
      <c r="G1691" s="569">
        <v>2019</v>
      </c>
      <c r="H1691" s="569" t="s">
        <v>3229</v>
      </c>
      <c r="I1691" s="569" t="s">
        <v>273</v>
      </c>
      <c r="J1691" s="569" t="s">
        <v>236</v>
      </c>
      <c r="K1691" s="569">
        <v>2</v>
      </c>
      <c r="L1691" s="569">
        <v>0</v>
      </c>
      <c r="M1691" s="569" t="s">
        <v>157</v>
      </c>
      <c r="N1691" s="569">
        <v>1</v>
      </c>
      <c r="O1691" s="569">
        <v>84.9</v>
      </c>
      <c r="P1691" s="568" t="s">
        <v>157</v>
      </c>
      <c r="Q1691" s="569" t="s">
        <v>3203</v>
      </c>
      <c r="R1691" s="569">
        <v>8</v>
      </c>
      <c r="S1691" s="569">
        <v>61719</v>
      </c>
      <c r="T1691" s="569" t="s">
        <v>157</v>
      </c>
      <c r="U1691" s="569">
        <v>146.1</v>
      </c>
      <c r="V1691" s="569">
        <v>28</v>
      </c>
      <c r="W1691" s="620">
        <v>9901</v>
      </c>
      <c r="X1691" s="621" t="s">
        <v>157</v>
      </c>
      <c r="Y1691" s="621" t="s">
        <v>178</v>
      </c>
      <c r="Z1691" s="621" t="s">
        <v>178</v>
      </c>
      <c r="AA1691" s="622">
        <v>35035</v>
      </c>
      <c r="AB1691" s="622" t="s">
        <v>164</v>
      </c>
      <c r="AC1691" s="622">
        <v>30598.6</v>
      </c>
      <c r="AD1691" s="623">
        <v>0.03</v>
      </c>
      <c r="AE1691" s="621" t="s">
        <v>3231</v>
      </c>
    </row>
    <row r="1692" spans="1:31" s="572" customFormat="1">
      <c r="A1692" s="570" t="s">
        <v>3232</v>
      </c>
      <c r="B1692" s="573" t="s">
        <v>543</v>
      </c>
      <c r="C1692" s="578" t="s">
        <v>544</v>
      </c>
      <c r="D1692" s="573" t="s">
        <v>1516</v>
      </c>
      <c r="E1692" s="573" t="s">
        <v>1571</v>
      </c>
      <c r="F1692" s="573" t="s">
        <v>545</v>
      </c>
      <c r="G1692" s="573">
        <v>2019</v>
      </c>
      <c r="H1692" s="573" t="s">
        <v>3229</v>
      </c>
      <c r="I1692" s="573" t="s">
        <v>574</v>
      </c>
      <c r="J1692" s="573" t="s">
        <v>236</v>
      </c>
      <c r="K1692" s="573">
        <v>2</v>
      </c>
      <c r="L1692" s="573">
        <v>0</v>
      </c>
      <c r="M1692" s="573" t="s">
        <v>157</v>
      </c>
      <c r="N1692" s="573">
        <v>1</v>
      </c>
      <c r="O1692" s="573">
        <v>105.8</v>
      </c>
      <c r="P1692" s="571" t="s">
        <v>157</v>
      </c>
      <c r="Q1692" s="573" t="s">
        <v>3203</v>
      </c>
      <c r="R1692" s="573">
        <v>8</v>
      </c>
      <c r="S1692" s="582">
        <v>62719</v>
      </c>
      <c r="T1692" s="573" t="s">
        <v>157</v>
      </c>
      <c r="U1692" s="573">
        <v>146.1</v>
      </c>
      <c r="V1692" s="573">
        <v>28</v>
      </c>
      <c r="W1692" s="616">
        <v>9901</v>
      </c>
      <c r="X1692" s="617" t="s">
        <v>157</v>
      </c>
      <c r="Y1692" s="617" t="s">
        <v>178</v>
      </c>
      <c r="Z1692" s="617" t="s">
        <v>178</v>
      </c>
      <c r="AA1692" s="618">
        <v>39255</v>
      </c>
      <c r="AB1692" s="618" t="s">
        <v>164</v>
      </c>
      <c r="AC1692" s="618">
        <v>34776.400000000001</v>
      </c>
      <c r="AD1692" s="619">
        <v>0.03</v>
      </c>
      <c r="AE1692" s="617" t="s">
        <v>3233</v>
      </c>
    </row>
    <row r="1693" spans="1:31" s="572" customFormat="1">
      <c r="A1693" s="570" t="s">
        <v>3234</v>
      </c>
      <c r="B1693" s="569" t="s">
        <v>543</v>
      </c>
      <c r="C1693" s="580" t="s">
        <v>544</v>
      </c>
      <c r="D1693" s="569" t="s">
        <v>1516</v>
      </c>
      <c r="E1693" s="569" t="s">
        <v>1571</v>
      </c>
      <c r="F1693" s="569" t="s">
        <v>545</v>
      </c>
      <c r="G1693" s="569">
        <v>2019</v>
      </c>
      <c r="H1693" s="569" t="s">
        <v>3229</v>
      </c>
      <c r="I1693" s="569" t="s">
        <v>574</v>
      </c>
      <c r="J1693" s="569" t="s">
        <v>236</v>
      </c>
      <c r="K1693" s="569">
        <v>2</v>
      </c>
      <c r="L1693" s="569">
        <v>0</v>
      </c>
      <c r="M1693" s="569" t="s">
        <v>157</v>
      </c>
      <c r="N1693" s="569">
        <v>1</v>
      </c>
      <c r="O1693" s="569">
        <v>84.9</v>
      </c>
      <c r="P1693" s="568" t="s">
        <v>157</v>
      </c>
      <c r="Q1693" s="569" t="s">
        <v>3203</v>
      </c>
      <c r="R1693" s="569">
        <v>8</v>
      </c>
      <c r="S1693" s="569">
        <v>61919</v>
      </c>
      <c r="T1693" s="569" t="s">
        <v>157</v>
      </c>
      <c r="U1693" s="569">
        <v>146.1</v>
      </c>
      <c r="V1693" s="569">
        <v>28</v>
      </c>
      <c r="W1693" s="620">
        <v>9901</v>
      </c>
      <c r="X1693" s="621" t="s">
        <v>157</v>
      </c>
      <c r="Y1693" s="621" t="s">
        <v>178</v>
      </c>
      <c r="Z1693" s="621" t="s">
        <v>178</v>
      </c>
      <c r="AA1693" s="622">
        <v>37105</v>
      </c>
      <c r="AB1693" s="622" t="s">
        <v>164</v>
      </c>
      <c r="AC1693" s="622">
        <v>32647.9</v>
      </c>
      <c r="AD1693" s="623">
        <v>0.03</v>
      </c>
      <c r="AE1693" s="621" t="s">
        <v>3235</v>
      </c>
    </row>
    <row r="1694" spans="1:31" s="572" customFormat="1">
      <c r="A1694" s="570" t="s">
        <v>3236</v>
      </c>
      <c r="B1694" s="573" t="s">
        <v>543</v>
      </c>
      <c r="C1694" s="578" t="s">
        <v>544</v>
      </c>
      <c r="D1694" s="573" t="s">
        <v>1516</v>
      </c>
      <c r="E1694" s="573" t="s">
        <v>1571</v>
      </c>
      <c r="F1694" s="573" t="s">
        <v>545</v>
      </c>
      <c r="G1694" s="573">
        <v>2019</v>
      </c>
      <c r="H1694" s="573" t="s">
        <v>3229</v>
      </c>
      <c r="I1694" s="573" t="s">
        <v>575</v>
      </c>
      <c r="J1694" s="573" t="s">
        <v>236</v>
      </c>
      <c r="K1694" s="573">
        <v>2</v>
      </c>
      <c r="L1694" s="573">
        <v>0</v>
      </c>
      <c r="M1694" s="573" t="s">
        <v>157</v>
      </c>
      <c r="N1694" s="573">
        <v>1</v>
      </c>
      <c r="O1694" s="573">
        <v>105.8</v>
      </c>
      <c r="P1694" s="571" t="s">
        <v>157</v>
      </c>
      <c r="Q1694" s="573" t="s">
        <v>3203</v>
      </c>
      <c r="R1694" s="573">
        <v>8</v>
      </c>
      <c r="S1694" s="582">
        <v>62619</v>
      </c>
      <c r="T1694" s="573" t="s">
        <v>157</v>
      </c>
      <c r="U1694" s="573">
        <v>146.1</v>
      </c>
      <c r="V1694" s="573">
        <v>28</v>
      </c>
      <c r="W1694" s="616">
        <v>9901</v>
      </c>
      <c r="X1694" s="617" t="s">
        <v>157</v>
      </c>
      <c r="Y1694" s="617" t="s">
        <v>178</v>
      </c>
      <c r="Z1694" s="617" t="s">
        <v>178</v>
      </c>
      <c r="AA1694" s="618">
        <v>38175</v>
      </c>
      <c r="AB1694" s="618" t="s">
        <v>164</v>
      </c>
      <c r="AC1694" s="618">
        <v>33707.199999999997</v>
      </c>
      <c r="AD1694" s="619">
        <v>0.03</v>
      </c>
      <c r="AE1694" s="617" t="s">
        <v>3237</v>
      </c>
    </row>
    <row r="1695" spans="1:31" s="572" customFormat="1">
      <c r="A1695" s="570" t="s">
        <v>3238</v>
      </c>
      <c r="B1695" s="569" t="s">
        <v>543</v>
      </c>
      <c r="C1695" s="580" t="s">
        <v>544</v>
      </c>
      <c r="D1695" s="569" t="s">
        <v>1516</v>
      </c>
      <c r="E1695" s="569" t="s">
        <v>1571</v>
      </c>
      <c r="F1695" s="569" t="s">
        <v>545</v>
      </c>
      <c r="G1695" s="569">
        <v>2019</v>
      </c>
      <c r="H1695" s="569" t="s">
        <v>3229</v>
      </c>
      <c r="I1695" s="569" t="s">
        <v>575</v>
      </c>
      <c r="J1695" s="569" t="s">
        <v>236</v>
      </c>
      <c r="K1695" s="569">
        <v>2</v>
      </c>
      <c r="L1695" s="569">
        <v>0</v>
      </c>
      <c r="M1695" s="569" t="s">
        <v>157</v>
      </c>
      <c r="N1695" s="569">
        <v>1</v>
      </c>
      <c r="O1695" s="569">
        <v>84.9</v>
      </c>
      <c r="P1695" s="568" t="s">
        <v>157</v>
      </c>
      <c r="Q1695" s="569" t="s">
        <v>3203</v>
      </c>
      <c r="R1695" s="569">
        <v>8</v>
      </c>
      <c r="S1695" s="569">
        <v>61819</v>
      </c>
      <c r="T1695" s="569" t="s">
        <v>157</v>
      </c>
      <c r="U1695" s="569">
        <v>146.1</v>
      </c>
      <c r="V1695" s="569">
        <v>28</v>
      </c>
      <c r="W1695" s="620">
        <v>9901</v>
      </c>
      <c r="X1695" s="621" t="s">
        <v>157</v>
      </c>
      <c r="Y1695" s="621" t="s">
        <v>178</v>
      </c>
      <c r="Z1695" s="621" t="s">
        <v>178</v>
      </c>
      <c r="AA1695" s="622">
        <v>36025</v>
      </c>
      <c r="AB1695" s="622" t="s">
        <v>164</v>
      </c>
      <c r="AC1695" s="622">
        <v>31578.699999999997</v>
      </c>
      <c r="AD1695" s="623">
        <v>0.03</v>
      </c>
      <c r="AE1695" s="621" t="s">
        <v>3239</v>
      </c>
    </row>
    <row r="1696" spans="1:31" s="572" customFormat="1">
      <c r="A1696" s="570" t="s">
        <v>3240</v>
      </c>
      <c r="B1696" s="573" t="s">
        <v>549</v>
      </c>
      <c r="C1696" s="578">
        <v>16</v>
      </c>
      <c r="D1696" s="573" t="s">
        <v>1516</v>
      </c>
      <c r="E1696" s="573" t="s">
        <v>1571</v>
      </c>
      <c r="F1696" s="573" t="s">
        <v>545</v>
      </c>
      <c r="G1696" s="573">
        <v>2019</v>
      </c>
      <c r="H1696" s="573" t="s">
        <v>3242</v>
      </c>
      <c r="I1696" s="573" t="s">
        <v>273</v>
      </c>
      <c r="J1696" s="573" t="s">
        <v>236</v>
      </c>
      <c r="K1696" s="573">
        <v>2</v>
      </c>
      <c r="L1696" s="573">
        <v>0</v>
      </c>
      <c r="M1696" s="573" t="s">
        <v>157</v>
      </c>
      <c r="N1696" s="573">
        <v>1</v>
      </c>
      <c r="O1696" s="573">
        <v>105.8</v>
      </c>
      <c r="P1696" s="571" t="s">
        <v>157</v>
      </c>
      <c r="Q1696" s="573" t="s">
        <v>3203</v>
      </c>
      <c r="R1696" s="573">
        <v>8</v>
      </c>
      <c r="S1696" s="582">
        <v>62519</v>
      </c>
      <c r="T1696" s="573" t="s">
        <v>157</v>
      </c>
      <c r="U1696" s="573">
        <v>146.1</v>
      </c>
      <c r="V1696" s="573">
        <v>28</v>
      </c>
      <c r="W1696" s="616">
        <v>9900</v>
      </c>
      <c r="X1696" s="617">
        <v>11</v>
      </c>
      <c r="Y1696" s="617" t="s">
        <v>178</v>
      </c>
      <c r="Z1696" s="617" t="s">
        <v>178</v>
      </c>
      <c r="AA1696" s="618">
        <v>37185</v>
      </c>
      <c r="AB1696" s="618" t="s">
        <v>164</v>
      </c>
      <c r="AC1696" s="618">
        <v>32490</v>
      </c>
      <c r="AD1696" s="619">
        <v>0.05</v>
      </c>
      <c r="AE1696" s="617" t="s">
        <v>3241</v>
      </c>
    </row>
    <row r="1697" spans="1:31" s="572" customFormat="1">
      <c r="A1697" s="570" t="s">
        <v>3243</v>
      </c>
      <c r="B1697" s="569" t="s">
        <v>543</v>
      </c>
      <c r="C1697" s="580" t="s">
        <v>544</v>
      </c>
      <c r="D1697" s="569" t="s">
        <v>1516</v>
      </c>
      <c r="E1697" s="569" t="s">
        <v>3009</v>
      </c>
      <c r="F1697" s="569" t="s">
        <v>545</v>
      </c>
      <c r="G1697" s="569">
        <v>2019</v>
      </c>
      <c r="H1697" s="569" t="s">
        <v>3245</v>
      </c>
      <c r="I1697" s="569" t="s">
        <v>273</v>
      </c>
      <c r="J1697" s="569" t="s">
        <v>156</v>
      </c>
      <c r="K1697" s="569">
        <v>2</v>
      </c>
      <c r="L1697" s="569">
        <v>0</v>
      </c>
      <c r="M1697" s="569" t="s">
        <v>157</v>
      </c>
      <c r="N1697" s="569">
        <v>1</v>
      </c>
      <c r="O1697" s="569">
        <v>73.7</v>
      </c>
      <c r="P1697" s="568" t="s">
        <v>157</v>
      </c>
      <c r="Q1697" s="569" t="s">
        <v>352</v>
      </c>
      <c r="R1697" s="569">
        <v>4</v>
      </c>
      <c r="S1697" s="569">
        <v>66119</v>
      </c>
      <c r="T1697" s="569" t="s">
        <v>157</v>
      </c>
      <c r="U1697" s="569">
        <v>115.2</v>
      </c>
      <c r="V1697" s="569">
        <v>14.5</v>
      </c>
      <c r="W1697" s="620">
        <v>4751</v>
      </c>
      <c r="X1697" s="621">
        <v>25</v>
      </c>
      <c r="Y1697" s="621" t="s">
        <v>178</v>
      </c>
      <c r="Z1697" s="621" t="s">
        <v>178</v>
      </c>
      <c r="AA1697" s="622">
        <v>23245</v>
      </c>
      <c r="AB1697" s="622" t="s">
        <v>164</v>
      </c>
      <c r="AC1697" s="622">
        <v>18673</v>
      </c>
      <c r="AD1697" s="623">
        <v>0.03</v>
      </c>
      <c r="AE1697" s="621" t="s">
        <v>3244</v>
      </c>
    </row>
    <row r="1698" spans="1:31" s="572" customFormat="1">
      <c r="A1698" s="570" t="s">
        <v>3246</v>
      </c>
      <c r="B1698" s="573" t="s">
        <v>543</v>
      </c>
      <c r="C1698" s="578" t="s">
        <v>544</v>
      </c>
      <c r="D1698" s="573" t="s">
        <v>1516</v>
      </c>
      <c r="E1698" s="573" t="s">
        <v>3009</v>
      </c>
      <c r="F1698" s="573" t="s">
        <v>545</v>
      </c>
      <c r="G1698" s="573">
        <v>2019</v>
      </c>
      <c r="H1698" s="573" t="s">
        <v>3245</v>
      </c>
      <c r="I1698" s="573" t="s">
        <v>273</v>
      </c>
      <c r="J1698" s="573" t="s">
        <v>156</v>
      </c>
      <c r="K1698" s="573">
        <v>2</v>
      </c>
      <c r="L1698" s="573">
        <v>0</v>
      </c>
      <c r="M1698" s="573" t="s">
        <v>157</v>
      </c>
      <c r="N1698" s="573">
        <v>1</v>
      </c>
      <c r="O1698" s="573">
        <v>73.7</v>
      </c>
      <c r="P1698" s="571" t="s">
        <v>157</v>
      </c>
      <c r="Q1698" s="573" t="s">
        <v>352</v>
      </c>
      <c r="R1698" s="573">
        <v>4</v>
      </c>
      <c r="S1698" s="582">
        <v>66119</v>
      </c>
      <c r="T1698" s="573" t="s">
        <v>157</v>
      </c>
      <c r="U1698" s="573">
        <v>115.2</v>
      </c>
      <c r="V1698" s="573">
        <v>14.5</v>
      </c>
      <c r="W1698" s="616">
        <v>4751</v>
      </c>
      <c r="X1698" s="617">
        <v>25</v>
      </c>
      <c r="Y1698" s="617" t="s">
        <v>178</v>
      </c>
      <c r="Z1698" s="617" t="s">
        <v>178</v>
      </c>
      <c r="AA1698" s="618">
        <v>23245</v>
      </c>
      <c r="AB1698" s="618" t="s">
        <v>164</v>
      </c>
      <c r="AC1698" s="618">
        <v>18673</v>
      </c>
      <c r="AD1698" s="619">
        <v>0.03</v>
      </c>
      <c r="AE1698" s="617" t="s">
        <v>3247</v>
      </c>
    </row>
    <row r="1699" spans="1:31" s="572" customFormat="1">
      <c r="A1699" s="570" t="s">
        <v>3248</v>
      </c>
      <c r="B1699" s="569" t="s">
        <v>549</v>
      </c>
      <c r="C1699" s="580">
        <v>16</v>
      </c>
      <c r="D1699" s="569" t="s">
        <v>1516</v>
      </c>
      <c r="E1699" s="569" t="s">
        <v>3009</v>
      </c>
      <c r="F1699" s="569" t="s">
        <v>545</v>
      </c>
      <c r="G1699" s="569">
        <v>2019</v>
      </c>
      <c r="H1699" s="569" t="s">
        <v>3245</v>
      </c>
      <c r="I1699" s="569" t="s">
        <v>273</v>
      </c>
      <c r="J1699" s="569" t="s">
        <v>156</v>
      </c>
      <c r="K1699" s="569">
        <v>2</v>
      </c>
      <c r="L1699" s="569">
        <v>0</v>
      </c>
      <c r="M1699" s="569" t="s">
        <v>157</v>
      </c>
      <c r="N1699" s="569">
        <v>1</v>
      </c>
      <c r="O1699" s="569">
        <v>73.7</v>
      </c>
      <c r="P1699" s="568" t="s">
        <v>157</v>
      </c>
      <c r="Q1699" s="569" t="s">
        <v>352</v>
      </c>
      <c r="R1699" s="569">
        <v>4</v>
      </c>
      <c r="S1699" s="569">
        <v>66119</v>
      </c>
      <c r="T1699" s="569" t="s">
        <v>157</v>
      </c>
      <c r="U1699" s="569">
        <v>115.2</v>
      </c>
      <c r="V1699" s="569">
        <v>14.5</v>
      </c>
      <c r="W1699" s="620">
        <v>4751</v>
      </c>
      <c r="X1699" s="621">
        <v>25</v>
      </c>
      <c r="Y1699" s="621" t="s">
        <v>178</v>
      </c>
      <c r="Z1699" s="621" t="s">
        <v>178</v>
      </c>
      <c r="AA1699" s="622">
        <v>23195</v>
      </c>
      <c r="AB1699" s="622" t="s">
        <v>164</v>
      </c>
      <c r="AC1699" s="622">
        <v>17990</v>
      </c>
      <c r="AD1699" s="623">
        <v>0.05</v>
      </c>
      <c r="AE1699" s="621" t="s">
        <v>3244</v>
      </c>
    </row>
    <row r="1700" spans="1:31" s="572" customFormat="1">
      <c r="A1700" s="570" t="s">
        <v>3249</v>
      </c>
      <c r="B1700" s="573" t="s">
        <v>543</v>
      </c>
      <c r="C1700" s="578" t="s">
        <v>544</v>
      </c>
      <c r="D1700" s="573" t="s">
        <v>1516</v>
      </c>
      <c r="E1700" s="573" t="s">
        <v>3009</v>
      </c>
      <c r="F1700" s="573" t="s">
        <v>545</v>
      </c>
      <c r="G1700" s="573">
        <v>2019</v>
      </c>
      <c r="H1700" s="573" t="s">
        <v>3245</v>
      </c>
      <c r="I1700" s="573" t="s">
        <v>575</v>
      </c>
      <c r="J1700" s="573" t="s">
        <v>156</v>
      </c>
      <c r="K1700" s="573">
        <v>2</v>
      </c>
      <c r="L1700" s="573">
        <v>0</v>
      </c>
      <c r="M1700" s="573" t="s">
        <v>157</v>
      </c>
      <c r="N1700" s="573">
        <v>1</v>
      </c>
      <c r="O1700" s="573">
        <v>73.7</v>
      </c>
      <c r="P1700" s="571" t="s">
        <v>157</v>
      </c>
      <c r="Q1700" s="573" t="s">
        <v>352</v>
      </c>
      <c r="R1700" s="573">
        <v>4</v>
      </c>
      <c r="S1700" s="582">
        <v>66219</v>
      </c>
      <c r="T1700" s="573" t="s">
        <v>157</v>
      </c>
      <c r="U1700" s="573">
        <v>115.2</v>
      </c>
      <c r="V1700" s="573">
        <v>14.5</v>
      </c>
      <c r="W1700" s="616">
        <v>4751</v>
      </c>
      <c r="X1700" s="617">
        <v>25</v>
      </c>
      <c r="Y1700" s="617" t="s">
        <v>178</v>
      </c>
      <c r="Z1700" s="617" t="s">
        <v>178</v>
      </c>
      <c r="AA1700" s="618">
        <v>24245</v>
      </c>
      <c r="AB1700" s="618" t="s">
        <v>164</v>
      </c>
      <c r="AC1700" s="618">
        <v>19663</v>
      </c>
      <c r="AD1700" s="619">
        <v>0.03</v>
      </c>
      <c r="AE1700" s="617" t="s">
        <v>3250</v>
      </c>
    </row>
    <row r="1701" spans="1:31" s="572" customFormat="1">
      <c r="A1701" s="570" t="s">
        <v>3251</v>
      </c>
      <c r="B1701" s="569" t="s">
        <v>543</v>
      </c>
      <c r="C1701" s="580" t="s">
        <v>544</v>
      </c>
      <c r="D1701" s="569" t="s">
        <v>1516</v>
      </c>
      <c r="E1701" s="569" t="s">
        <v>3009</v>
      </c>
      <c r="F1701" s="569" t="s">
        <v>545</v>
      </c>
      <c r="G1701" s="569">
        <v>2019</v>
      </c>
      <c r="H1701" s="569" t="s">
        <v>3245</v>
      </c>
      <c r="I1701" s="569" t="s">
        <v>575</v>
      </c>
      <c r="J1701" s="569" t="s">
        <v>156</v>
      </c>
      <c r="K1701" s="569">
        <v>2</v>
      </c>
      <c r="L1701" s="569">
        <v>0</v>
      </c>
      <c r="M1701" s="569" t="s">
        <v>157</v>
      </c>
      <c r="N1701" s="569">
        <v>1</v>
      </c>
      <c r="O1701" s="569">
        <v>73.7</v>
      </c>
      <c r="P1701" s="568" t="s">
        <v>157</v>
      </c>
      <c r="Q1701" s="569" t="s">
        <v>352</v>
      </c>
      <c r="R1701" s="569">
        <v>4</v>
      </c>
      <c r="S1701" s="569">
        <v>66219</v>
      </c>
      <c r="T1701" s="569" t="s">
        <v>157</v>
      </c>
      <c r="U1701" s="569">
        <v>115.2</v>
      </c>
      <c r="V1701" s="569">
        <v>14.5</v>
      </c>
      <c r="W1701" s="620">
        <v>4751</v>
      </c>
      <c r="X1701" s="621">
        <v>25</v>
      </c>
      <c r="Y1701" s="621" t="s">
        <v>178</v>
      </c>
      <c r="Z1701" s="621" t="s">
        <v>178</v>
      </c>
      <c r="AA1701" s="622">
        <v>24245</v>
      </c>
      <c r="AB1701" s="622" t="s">
        <v>164</v>
      </c>
      <c r="AC1701" s="622">
        <v>19663</v>
      </c>
      <c r="AD1701" s="623">
        <v>0.03</v>
      </c>
      <c r="AE1701" s="621" t="s">
        <v>3252</v>
      </c>
    </row>
    <row r="1702" spans="1:31" s="572" customFormat="1">
      <c r="A1702" s="570" t="s">
        <v>3253</v>
      </c>
      <c r="B1702" s="573" t="s">
        <v>549</v>
      </c>
      <c r="C1702" s="578">
        <v>16</v>
      </c>
      <c r="D1702" s="573" t="s">
        <v>1516</v>
      </c>
      <c r="E1702" s="573" t="s">
        <v>3009</v>
      </c>
      <c r="F1702" s="573" t="s">
        <v>545</v>
      </c>
      <c r="G1702" s="573">
        <v>2019</v>
      </c>
      <c r="H1702" s="573" t="s">
        <v>3245</v>
      </c>
      <c r="I1702" s="573" t="s">
        <v>575</v>
      </c>
      <c r="J1702" s="573" t="s">
        <v>156</v>
      </c>
      <c r="K1702" s="573">
        <v>2</v>
      </c>
      <c r="L1702" s="573">
        <v>0</v>
      </c>
      <c r="M1702" s="573" t="s">
        <v>157</v>
      </c>
      <c r="N1702" s="573">
        <v>1</v>
      </c>
      <c r="O1702" s="573">
        <v>73.7</v>
      </c>
      <c r="P1702" s="571" t="s">
        <v>157</v>
      </c>
      <c r="Q1702" s="573" t="s">
        <v>352</v>
      </c>
      <c r="R1702" s="573">
        <v>4</v>
      </c>
      <c r="S1702" s="582">
        <v>66219</v>
      </c>
      <c r="T1702" s="573" t="s">
        <v>157</v>
      </c>
      <c r="U1702" s="573">
        <v>115.2</v>
      </c>
      <c r="V1702" s="573">
        <v>14.5</v>
      </c>
      <c r="W1702" s="616">
        <v>4751</v>
      </c>
      <c r="X1702" s="617">
        <v>25</v>
      </c>
      <c r="Y1702" s="617" t="s">
        <v>178</v>
      </c>
      <c r="Z1702" s="617" t="s">
        <v>178</v>
      </c>
      <c r="AA1702" s="618">
        <v>24195</v>
      </c>
      <c r="AB1702" s="618" t="s">
        <v>164</v>
      </c>
      <c r="AC1702" s="618">
        <v>18990</v>
      </c>
      <c r="AD1702" s="619">
        <v>0.05</v>
      </c>
      <c r="AE1702" s="617" t="s">
        <v>3250</v>
      </c>
    </row>
    <row r="1703" spans="1:31" s="572" customFormat="1">
      <c r="A1703" s="570" t="s">
        <v>3254</v>
      </c>
      <c r="B1703" s="569" t="s">
        <v>543</v>
      </c>
      <c r="C1703" s="580" t="s">
        <v>544</v>
      </c>
      <c r="D1703" s="569" t="s">
        <v>1516</v>
      </c>
      <c r="E1703" s="569" t="s">
        <v>1607</v>
      </c>
      <c r="F1703" s="569" t="s">
        <v>545</v>
      </c>
      <c r="G1703" s="569">
        <v>2019</v>
      </c>
      <c r="H1703" s="569" t="s">
        <v>3256</v>
      </c>
      <c r="I1703" s="569" t="s">
        <v>273</v>
      </c>
      <c r="J1703" s="569" t="s">
        <v>236</v>
      </c>
      <c r="K1703" s="569">
        <v>12</v>
      </c>
      <c r="L1703" s="569">
        <v>0</v>
      </c>
      <c r="M1703" s="569" t="s">
        <v>157</v>
      </c>
      <c r="N1703" s="569">
        <v>4</v>
      </c>
      <c r="O1703" s="569">
        <v>84</v>
      </c>
      <c r="P1703" s="568" t="s">
        <v>157</v>
      </c>
      <c r="Q1703" s="569" t="s">
        <v>3193</v>
      </c>
      <c r="R1703" s="569">
        <v>6</v>
      </c>
      <c r="S1703" s="569">
        <v>65119</v>
      </c>
      <c r="T1703" s="569" t="s">
        <v>157</v>
      </c>
      <c r="U1703" s="569">
        <v>146.1</v>
      </c>
      <c r="V1703" s="569">
        <v>28</v>
      </c>
      <c r="W1703" s="620">
        <v>9520</v>
      </c>
      <c r="X1703" s="621" t="s">
        <v>157</v>
      </c>
      <c r="Y1703" s="621" t="s">
        <v>178</v>
      </c>
      <c r="Z1703" s="621" t="s">
        <v>178</v>
      </c>
      <c r="AA1703" s="622">
        <v>37055</v>
      </c>
      <c r="AB1703" s="622" t="s">
        <v>164</v>
      </c>
      <c r="AC1703" s="622">
        <v>32348.400000000001</v>
      </c>
      <c r="AD1703" s="623">
        <v>0.03</v>
      </c>
      <c r="AE1703" s="621" t="s">
        <v>3255</v>
      </c>
    </row>
    <row r="1704" spans="1:31" s="572" customFormat="1">
      <c r="A1704" s="570" t="s">
        <v>3257</v>
      </c>
      <c r="B1704" s="573" t="s">
        <v>549</v>
      </c>
      <c r="C1704" s="578">
        <v>16</v>
      </c>
      <c r="D1704" s="573" t="s">
        <v>1516</v>
      </c>
      <c r="E1704" s="573" t="s">
        <v>1607</v>
      </c>
      <c r="F1704" s="573" t="s">
        <v>545</v>
      </c>
      <c r="G1704" s="573">
        <v>2019</v>
      </c>
      <c r="H1704" s="573" t="s">
        <v>3256</v>
      </c>
      <c r="I1704" s="573" t="s">
        <v>273</v>
      </c>
      <c r="J1704" s="573" t="s">
        <v>236</v>
      </c>
      <c r="K1704" s="573">
        <v>12</v>
      </c>
      <c r="L1704" s="573">
        <v>0</v>
      </c>
      <c r="M1704" s="573" t="s">
        <v>157</v>
      </c>
      <c r="N1704" s="573"/>
      <c r="O1704" s="573">
        <v>84</v>
      </c>
      <c r="P1704" s="571" t="s">
        <v>157</v>
      </c>
      <c r="Q1704" s="573" t="s">
        <v>3193</v>
      </c>
      <c r="R1704" s="573">
        <v>6</v>
      </c>
      <c r="S1704" s="582">
        <v>65119</v>
      </c>
      <c r="T1704" s="573" t="s">
        <v>157</v>
      </c>
      <c r="U1704" s="573">
        <v>146.1</v>
      </c>
      <c r="V1704" s="573">
        <v>28</v>
      </c>
      <c r="W1704" s="616">
        <v>9520</v>
      </c>
      <c r="X1704" s="617">
        <v>12</v>
      </c>
      <c r="Y1704" s="617" t="s">
        <v>178</v>
      </c>
      <c r="Z1704" s="617" t="s">
        <v>178</v>
      </c>
      <c r="AA1704" s="618">
        <v>37055</v>
      </c>
      <c r="AB1704" s="618" t="s">
        <v>164</v>
      </c>
      <c r="AC1704" s="618">
        <v>31990</v>
      </c>
      <c r="AD1704" s="619">
        <v>0.05</v>
      </c>
      <c r="AE1704" s="617" t="s">
        <v>3255</v>
      </c>
    </row>
    <row r="1705" spans="1:31" s="572" customFormat="1">
      <c r="A1705" s="570" t="s">
        <v>3258</v>
      </c>
      <c r="B1705" s="569" t="s">
        <v>543</v>
      </c>
      <c r="C1705" s="580" t="s">
        <v>544</v>
      </c>
      <c r="D1705" s="569" t="s">
        <v>1516</v>
      </c>
      <c r="E1705" s="569" t="s">
        <v>1607</v>
      </c>
      <c r="F1705" s="569" t="s">
        <v>545</v>
      </c>
      <c r="G1705" s="569">
        <v>2019</v>
      </c>
      <c r="H1705" s="569" t="s">
        <v>3256</v>
      </c>
      <c r="I1705" s="569" t="s">
        <v>574</v>
      </c>
      <c r="J1705" s="569" t="s">
        <v>236</v>
      </c>
      <c r="K1705" s="569">
        <v>12</v>
      </c>
      <c r="L1705" s="569">
        <v>0</v>
      </c>
      <c r="M1705" s="569" t="s">
        <v>157</v>
      </c>
      <c r="N1705" s="569">
        <v>4</v>
      </c>
      <c r="O1705" s="569">
        <v>84</v>
      </c>
      <c r="P1705" s="568" t="s">
        <v>157</v>
      </c>
      <c r="Q1705" s="569" t="s">
        <v>3203</v>
      </c>
      <c r="R1705" s="569">
        <v>8</v>
      </c>
      <c r="S1705" s="569">
        <v>65319</v>
      </c>
      <c r="T1705" s="569" t="s">
        <v>157</v>
      </c>
      <c r="U1705" s="569">
        <v>146.1</v>
      </c>
      <c r="V1705" s="569">
        <v>28</v>
      </c>
      <c r="W1705" s="620">
        <v>9480</v>
      </c>
      <c r="X1705" s="621" t="s">
        <v>157</v>
      </c>
      <c r="Y1705" s="621" t="s">
        <v>178</v>
      </c>
      <c r="Z1705" s="621" t="s">
        <v>178</v>
      </c>
      <c r="AA1705" s="622">
        <v>43805</v>
      </c>
      <c r="AB1705" s="622" t="s">
        <v>164</v>
      </c>
      <c r="AC1705" s="622">
        <v>39030.9</v>
      </c>
      <c r="AD1705" s="623">
        <v>0.03</v>
      </c>
      <c r="AE1705" s="621" t="s">
        <v>3259</v>
      </c>
    </row>
    <row r="1706" spans="1:31" s="572" customFormat="1">
      <c r="A1706" s="570" t="s">
        <v>3260</v>
      </c>
      <c r="B1706" s="573" t="s">
        <v>543</v>
      </c>
      <c r="C1706" s="578" t="s">
        <v>544</v>
      </c>
      <c r="D1706" s="573" t="s">
        <v>1516</v>
      </c>
      <c r="E1706" s="573" t="s">
        <v>1607</v>
      </c>
      <c r="F1706" s="573" t="s">
        <v>545</v>
      </c>
      <c r="G1706" s="573">
        <v>2019</v>
      </c>
      <c r="H1706" s="573" t="s">
        <v>3256</v>
      </c>
      <c r="I1706" s="573" t="s">
        <v>575</v>
      </c>
      <c r="J1706" s="573" t="s">
        <v>236</v>
      </c>
      <c r="K1706" s="573">
        <v>12</v>
      </c>
      <c r="L1706" s="573">
        <v>0</v>
      </c>
      <c r="M1706" s="573" t="s">
        <v>157</v>
      </c>
      <c r="N1706" s="573">
        <v>4</v>
      </c>
      <c r="O1706" s="573">
        <v>84</v>
      </c>
      <c r="P1706" s="571" t="s">
        <v>157</v>
      </c>
      <c r="Q1706" s="573" t="s">
        <v>3193</v>
      </c>
      <c r="R1706" s="573">
        <v>6</v>
      </c>
      <c r="S1706" s="582">
        <v>65219</v>
      </c>
      <c r="T1706" s="573" t="s">
        <v>157</v>
      </c>
      <c r="U1706" s="573">
        <v>146.1</v>
      </c>
      <c r="V1706" s="573">
        <v>28</v>
      </c>
      <c r="W1706" s="616">
        <v>9520</v>
      </c>
      <c r="X1706" s="617" t="s">
        <v>157</v>
      </c>
      <c r="Y1706" s="617" t="s">
        <v>178</v>
      </c>
      <c r="Z1706" s="617" t="s">
        <v>178</v>
      </c>
      <c r="AA1706" s="618">
        <v>39005</v>
      </c>
      <c r="AB1706" s="618" t="s">
        <v>164</v>
      </c>
      <c r="AC1706" s="618">
        <v>34278.9</v>
      </c>
      <c r="AD1706" s="619">
        <v>0.03</v>
      </c>
      <c r="AE1706" s="617" t="s">
        <v>3261</v>
      </c>
    </row>
    <row r="1707" spans="1:31" s="572" customFormat="1">
      <c r="A1707" s="570" t="s">
        <v>3262</v>
      </c>
      <c r="B1707" s="569" t="s">
        <v>549</v>
      </c>
      <c r="C1707" s="580">
        <v>16</v>
      </c>
      <c r="D1707" s="569" t="s">
        <v>1516</v>
      </c>
      <c r="E1707" s="569" t="s">
        <v>1607</v>
      </c>
      <c r="F1707" s="569" t="s">
        <v>545</v>
      </c>
      <c r="G1707" s="569">
        <v>2019</v>
      </c>
      <c r="H1707" s="569" t="s">
        <v>3256</v>
      </c>
      <c r="I1707" s="569" t="s">
        <v>575</v>
      </c>
      <c r="J1707" s="569" t="s">
        <v>236</v>
      </c>
      <c r="K1707" s="569">
        <v>12</v>
      </c>
      <c r="L1707" s="569">
        <v>0</v>
      </c>
      <c r="M1707" s="569" t="s">
        <v>157</v>
      </c>
      <c r="N1707" s="569"/>
      <c r="O1707" s="569">
        <v>84</v>
      </c>
      <c r="P1707" s="568" t="s">
        <v>157</v>
      </c>
      <c r="Q1707" s="569" t="s">
        <v>3193</v>
      </c>
      <c r="R1707" s="569">
        <v>6</v>
      </c>
      <c r="S1707" s="569">
        <v>65219</v>
      </c>
      <c r="T1707" s="569" t="s">
        <v>157</v>
      </c>
      <c r="U1707" s="569">
        <v>146.1</v>
      </c>
      <c r="V1707" s="569">
        <v>28</v>
      </c>
      <c r="W1707" s="620">
        <v>9520</v>
      </c>
      <c r="X1707" s="621">
        <v>12</v>
      </c>
      <c r="Y1707" s="621" t="s">
        <v>178</v>
      </c>
      <c r="Z1707" s="621" t="s">
        <v>178</v>
      </c>
      <c r="AA1707" s="622">
        <v>39005</v>
      </c>
      <c r="AB1707" s="622" t="s">
        <v>164</v>
      </c>
      <c r="AC1707" s="622">
        <v>33990</v>
      </c>
      <c r="AD1707" s="623">
        <v>0.05</v>
      </c>
      <c r="AE1707" s="621" t="s">
        <v>3261</v>
      </c>
    </row>
    <row r="1708" spans="1:31" s="572" customFormat="1">
      <c r="A1708" s="570" t="s">
        <v>3263</v>
      </c>
      <c r="B1708" s="573" t="s">
        <v>240</v>
      </c>
      <c r="C1708" s="578" t="s">
        <v>241</v>
      </c>
      <c r="D1708" s="573" t="s">
        <v>1516</v>
      </c>
      <c r="E1708" s="573" t="s">
        <v>1914</v>
      </c>
      <c r="F1708" s="573" t="s">
        <v>3265</v>
      </c>
      <c r="G1708" s="573">
        <v>2019</v>
      </c>
      <c r="H1708" s="573" t="s">
        <v>3266</v>
      </c>
      <c r="I1708" s="573" t="s">
        <v>1519</v>
      </c>
      <c r="J1708" s="573" t="s">
        <v>156</v>
      </c>
      <c r="K1708" s="573">
        <v>2</v>
      </c>
      <c r="L1708" s="573">
        <v>0</v>
      </c>
      <c r="M1708" s="573" t="s">
        <v>157</v>
      </c>
      <c r="N1708" s="573">
        <v>1</v>
      </c>
      <c r="O1708" s="573">
        <v>88.7</v>
      </c>
      <c r="P1708" s="571">
        <v>5100</v>
      </c>
      <c r="Q1708" s="573" t="s">
        <v>3267</v>
      </c>
      <c r="R1708" s="573">
        <v>6</v>
      </c>
      <c r="S1708" s="582" t="s">
        <v>3268</v>
      </c>
      <c r="T1708" s="573" t="s">
        <v>252</v>
      </c>
      <c r="U1708" s="573">
        <v>118</v>
      </c>
      <c r="V1708" s="573">
        <v>24</v>
      </c>
      <c r="W1708" s="616">
        <v>8550</v>
      </c>
      <c r="X1708" s="617">
        <v>16</v>
      </c>
      <c r="Y1708" s="617" t="s">
        <v>178</v>
      </c>
      <c r="Z1708" s="617" t="s">
        <v>178</v>
      </c>
      <c r="AA1708" s="618">
        <v>31840</v>
      </c>
      <c r="AB1708" s="618" t="s">
        <v>164</v>
      </c>
      <c r="AC1708" s="618">
        <v>21479</v>
      </c>
      <c r="AD1708" s="619">
        <v>0.05</v>
      </c>
      <c r="AE1708" s="617" t="s">
        <v>3264</v>
      </c>
    </row>
    <row r="1709" spans="1:31" s="572" customFormat="1">
      <c r="A1709" s="570" t="s">
        <v>3263</v>
      </c>
      <c r="B1709" s="569" t="s">
        <v>240</v>
      </c>
      <c r="C1709" s="580" t="s">
        <v>241</v>
      </c>
      <c r="D1709" s="569" t="s">
        <v>1516</v>
      </c>
      <c r="E1709" s="569" t="s">
        <v>1914</v>
      </c>
      <c r="F1709" s="569" t="s">
        <v>3265</v>
      </c>
      <c r="G1709" s="569">
        <v>2019</v>
      </c>
      <c r="H1709" s="569" t="s">
        <v>3266</v>
      </c>
      <c r="I1709" s="569" t="s">
        <v>1519</v>
      </c>
      <c r="J1709" s="569" t="s">
        <v>156</v>
      </c>
      <c r="K1709" s="569">
        <v>2</v>
      </c>
      <c r="L1709" s="569">
        <v>0</v>
      </c>
      <c r="M1709" s="569" t="s">
        <v>157</v>
      </c>
      <c r="N1709" s="569">
        <v>1</v>
      </c>
      <c r="O1709" s="569">
        <v>88.7</v>
      </c>
      <c r="P1709" s="568">
        <v>5100</v>
      </c>
      <c r="Q1709" s="569" t="s">
        <v>3267</v>
      </c>
      <c r="R1709" s="569">
        <v>6</v>
      </c>
      <c r="S1709" s="569" t="s">
        <v>3268</v>
      </c>
      <c r="T1709" s="569" t="s">
        <v>252</v>
      </c>
      <c r="U1709" s="569">
        <v>118</v>
      </c>
      <c r="V1709" s="569">
        <v>24</v>
      </c>
      <c r="W1709" s="620">
        <v>8550</v>
      </c>
      <c r="X1709" s="621">
        <v>16</v>
      </c>
      <c r="Y1709" s="621" t="s">
        <v>178</v>
      </c>
      <c r="Z1709" s="621" t="s">
        <v>178</v>
      </c>
      <c r="AA1709" s="622">
        <v>31840</v>
      </c>
      <c r="AB1709" s="622" t="s">
        <v>164</v>
      </c>
      <c r="AC1709" s="622">
        <v>21479</v>
      </c>
      <c r="AD1709" s="623">
        <v>0.05</v>
      </c>
      <c r="AE1709" s="621" t="s">
        <v>3264</v>
      </c>
    </row>
    <row r="1710" spans="1:31" s="572" customFormat="1">
      <c r="A1710" s="570" t="s">
        <v>3269</v>
      </c>
      <c r="B1710" s="573" t="s">
        <v>240</v>
      </c>
      <c r="C1710" s="578" t="s">
        <v>241</v>
      </c>
      <c r="D1710" s="573" t="s">
        <v>1516</v>
      </c>
      <c r="E1710" s="573" t="s">
        <v>1914</v>
      </c>
      <c r="F1710" s="573" t="s">
        <v>3265</v>
      </c>
      <c r="G1710" s="573">
        <v>2019</v>
      </c>
      <c r="H1710" s="573" t="s">
        <v>3266</v>
      </c>
      <c r="I1710" s="573" t="s">
        <v>1519</v>
      </c>
      <c r="J1710" s="573" t="s">
        <v>156</v>
      </c>
      <c r="K1710" s="573">
        <v>2</v>
      </c>
      <c r="L1710" s="573">
        <v>0</v>
      </c>
      <c r="M1710" s="573" t="s">
        <v>157</v>
      </c>
      <c r="N1710" s="573">
        <v>1</v>
      </c>
      <c r="O1710" s="573">
        <v>88.7</v>
      </c>
      <c r="P1710" s="571">
        <v>5100</v>
      </c>
      <c r="Q1710" s="573" t="s">
        <v>231</v>
      </c>
      <c r="R1710" s="573">
        <v>6</v>
      </c>
      <c r="S1710" s="582" t="s">
        <v>3271</v>
      </c>
      <c r="T1710" s="573" t="s">
        <v>252</v>
      </c>
      <c r="U1710" s="573">
        <v>136</v>
      </c>
      <c r="V1710" s="573">
        <v>24</v>
      </c>
      <c r="W1710" s="616">
        <v>8550</v>
      </c>
      <c r="X1710" s="617">
        <v>16</v>
      </c>
      <c r="Y1710" s="617" t="s">
        <v>178</v>
      </c>
      <c r="Z1710" s="617" t="s">
        <v>178</v>
      </c>
      <c r="AA1710" s="618">
        <v>33940</v>
      </c>
      <c r="AB1710" s="618" t="s">
        <v>164</v>
      </c>
      <c r="AC1710" s="618">
        <v>22789</v>
      </c>
      <c r="AD1710" s="619">
        <v>0.05</v>
      </c>
      <c r="AE1710" s="617" t="s">
        <v>3270</v>
      </c>
    </row>
    <row r="1711" spans="1:31" s="572" customFormat="1">
      <c r="A1711" s="570" t="s">
        <v>3269</v>
      </c>
      <c r="B1711" s="569" t="s">
        <v>240</v>
      </c>
      <c r="C1711" s="580" t="s">
        <v>241</v>
      </c>
      <c r="D1711" s="569" t="s">
        <v>1516</v>
      </c>
      <c r="E1711" s="569" t="s">
        <v>1914</v>
      </c>
      <c r="F1711" s="569" t="s">
        <v>3265</v>
      </c>
      <c r="G1711" s="569">
        <v>2019</v>
      </c>
      <c r="H1711" s="569" t="s">
        <v>3266</v>
      </c>
      <c r="I1711" s="569" t="s">
        <v>1519</v>
      </c>
      <c r="J1711" s="569" t="s">
        <v>156</v>
      </c>
      <c r="K1711" s="569">
        <v>2</v>
      </c>
      <c r="L1711" s="569">
        <v>0</v>
      </c>
      <c r="M1711" s="569" t="s">
        <v>157</v>
      </c>
      <c r="N1711" s="569">
        <v>1</v>
      </c>
      <c r="O1711" s="569">
        <v>88.7</v>
      </c>
      <c r="P1711" s="568">
        <v>5100</v>
      </c>
      <c r="Q1711" s="569" t="s">
        <v>231</v>
      </c>
      <c r="R1711" s="569">
        <v>6</v>
      </c>
      <c r="S1711" s="569" t="s">
        <v>3271</v>
      </c>
      <c r="T1711" s="569" t="s">
        <v>252</v>
      </c>
      <c r="U1711" s="569">
        <v>136</v>
      </c>
      <c r="V1711" s="569">
        <v>24</v>
      </c>
      <c r="W1711" s="620">
        <v>8550</v>
      </c>
      <c r="X1711" s="621">
        <v>16</v>
      </c>
      <c r="Y1711" s="621" t="s">
        <v>178</v>
      </c>
      <c r="Z1711" s="621" t="s">
        <v>178</v>
      </c>
      <c r="AA1711" s="622">
        <v>33940</v>
      </c>
      <c r="AB1711" s="622" t="s">
        <v>164</v>
      </c>
      <c r="AC1711" s="622">
        <v>22789</v>
      </c>
      <c r="AD1711" s="623">
        <v>0.05</v>
      </c>
      <c r="AE1711" s="621" t="s">
        <v>3270</v>
      </c>
    </row>
    <row r="1712" spans="1:31" s="572" customFormat="1">
      <c r="A1712" s="570" t="s">
        <v>3272</v>
      </c>
      <c r="B1712" s="573" t="s">
        <v>240</v>
      </c>
      <c r="C1712" s="578" t="s">
        <v>241</v>
      </c>
      <c r="D1712" s="573" t="s">
        <v>1516</v>
      </c>
      <c r="E1712" s="573" t="s">
        <v>1914</v>
      </c>
      <c r="F1712" s="573" t="s">
        <v>3265</v>
      </c>
      <c r="G1712" s="573">
        <v>2019</v>
      </c>
      <c r="H1712" s="573" t="s">
        <v>3266</v>
      </c>
      <c r="I1712" s="573" t="s">
        <v>1519</v>
      </c>
      <c r="J1712" s="573" t="s">
        <v>156</v>
      </c>
      <c r="K1712" s="573">
        <v>2</v>
      </c>
      <c r="L1712" s="573">
        <v>0</v>
      </c>
      <c r="M1712" s="573" t="s">
        <v>157</v>
      </c>
      <c r="N1712" s="573">
        <v>1</v>
      </c>
      <c r="O1712" s="573">
        <v>99.4</v>
      </c>
      <c r="P1712" s="571">
        <v>5100</v>
      </c>
      <c r="Q1712" s="573" t="s">
        <v>231</v>
      </c>
      <c r="R1712" s="573">
        <v>6</v>
      </c>
      <c r="S1712" s="582" t="s">
        <v>3274</v>
      </c>
      <c r="T1712" s="573" t="s">
        <v>252</v>
      </c>
      <c r="U1712" s="573">
        <v>136</v>
      </c>
      <c r="V1712" s="573">
        <v>24</v>
      </c>
      <c r="W1712" s="616">
        <v>8550</v>
      </c>
      <c r="X1712" s="617">
        <v>16</v>
      </c>
      <c r="Y1712" s="617" t="s">
        <v>178</v>
      </c>
      <c r="Z1712" s="617" t="s">
        <v>178</v>
      </c>
      <c r="AA1712" s="618">
        <v>34540</v>
      </c>
      <c r="AB1712" s="618" t="s">
        <v>164</v>
      </c>
      <c r="AC1712" s="618">
        <v>23269</v>
      </c>
      <c r="AD1712" s="619">
        <v>0.05</v>
      </c>
      <c r="AE1712" s="617" t="s">
        <v>3273</v>
      </c>
    </row>
    <row r="1713" spans="1:31" s="572" customFormat="1">
      <c r="A1713" s="570" t="s">
        <v>3272</v>
      </c>
      <c r="B1713" s="569" t="s">
        <v>240</v>
      </c>
      <c r="C1713" s="580" t="s">
        <v>241</v>
      </c>
      <c r="D1713" s="569" t="s">
        <v>1516</v>
      </c>
      <c r="E1713" s="569" t="s">
        <v>1914</v>
      </c>
      <c r="F1713" s="569" t="s">
        <v>3265</v>
      </c>
      <c r="G1713" s="569">
        <v>2019</v>
      </c>
      <c r="H1713" s="569" t="s">
        <v>3266</v>
      </c>
      <c r="I1713" s="569" t="s">
        <v>1519</v>
      </c>
      <c r="J1713" s="569" t="s">
        <v>156</v>
      </c>
      <c r="K1713" s="569">
        <v>2</v>
      </c>
      <c r="L1713" s="569">
        <v>0</v>
      </c>
      <c r="M1713" s="569" t="s">
        <v>157</v>
      </c>
      <c r="N1713" s="569">
        <v>1</v>
      </c>
      <c r="O1713" s="569">
        <v>99.4</v>
      </c>
      <c r="P1713" s="568">
        <v>5100</v>
      </c>
      <c r="Q1713" s="569" t="s">
        <v>231</v>
      </c>
      <c r="R1713" s="569">
        <v>6</v>
      </c>
      <c r="S1713" s="569" t="s">
        <v>3274</v>
      </c>
      <c r="T1713" s="569" t="s">
        <v>252</v>
      </c>
      <c r="U1713" s="569">
        <v>136</v>
      </c>
      <c r="V1713" s="569">
        <v>24</v>
      </c>
      <c r="W1713" s="620">
        <v>8550</v>
      </c>
      <c r="X1713" s="621">
        <v>16</v>
      </c>
      <c r="Y1713" s="621" t="s">
        <v>178</v>
      </c>
      <c r="Z1713" s="621" t="s">
        <v>178</v>
      </c>
      <c r="AA1713" s="622">
        <v>34540</v>
      </c>
      <c r="AB1713" s="622" t="s">
        <v>164</v>
      </c>
      <c r="AC1713" s="622">
        <v>23269</v>
      </c>
      <c r="AD1713" s="623">
        <v>0.05</v>
      </c>
      <c r="AE1713" s="621" t="s">
        <v>3273</v>
      </c>
    </row>
    <row r="1714" spans="1:31" s="572" customFormat="1">
      <c r="A1714" s="570" t="s">
        <v>3275</v>
      </c>
      <c r="B1714" s="573" t="s">
        <v>226</v>
      </c>
      <c r="C1714" s="578" t="s">
        <v>227</v>
      </c>
      <c r="D1714" s="573" t="s">
        <v>1516</v>
      </c>
      <c r="E1714" s="573" t="s">
        <v>1914</v>
      </c>
      <c r="F1714" s="573" t="s">
        <v>3265</v>
      </c>
      <c r="G1714" s="573">
        <v>2019</v>
      </c>
      <c r="H1714" s="573" t="s">
        <v>3266</v>
      </c>
      <c r="I1714" s="573" t="s">
        <v>3276</v>
      </c>
      <c r="J1714" s="573" t="s">
        <v>156</v>
      </c>
      <c r="K1714" s="573">
        <v>2</v>
      </c>
      <c r="L1714" s="573">
        <v>0</v>
      </c>
      <c r="M1714" s="573" t="s">
        <v>157</v>
      </c>
      <c r="N1714" s="573">
        <v>1</v>
      </c>
      <c r="O1714" s="573">
        <v>99.4</v>
      </c>
      <c r="P1714" s="571">
        <v>5100</v>
      </c>
      <c r="Q1714" s="573" t="s">
        <v>231</v>
      </c>
      <c r="R1714" s="573">
        <v>6</v>
      </c>
      <c r="S1714" s="582" t="s">
        <v>3274</v>
      </c>
      <c r="T1714" s="573" t="s">
        <v>252</v>
      </c>
      <c r="U1714" s="573">
        <v>136</v>
      </c>
      <c r="V1714" s="573">
        <v>24</v>
      </c>
      <c r="W1714" s="616">
        <v>8550</v>
      </c>
      <c r="X1714" s="617">
        <v>16</v>
      </c>
      <c r="Y1714" s="617" t="s">
        <v>178</v>
      </c>
      <c r="Z1714" s="617" t="s">
        <v>178</v>
      </c>
      <c r="AA1714" s="618">
        <v>34665</v>
      </c>
      <c r="AB1714" s="618" t="s">
        <v>164</v>
      </c>
      <c r="AC1714" s="618">
        <v>23420</v>
      </c>
      <c r="AD1714" s="619">
        <v>6.25E-2</v>
      </c>
      <c r="AE1714" s="617" t="s">
        <v>3273</v>
      </c>
    </row>
    <row r="1715" spans="1:31" s="572" customFormat="1">
      <c r="A1715" s="570" t="s">
        <v>3277</v>
      </c>
      <c r="B1715" s="569" t="s">
        <v>226</v>
      </c>
      <c r="C1715" s="580" t="s">
        <v>227</v>
      </c>
      <c r="D1715" s="569" t="s">
        <v>1516</v>
      </c>
      <c r="E1715" s="569" t="s">
        <v>1914</v>
      </c>
      <c r="F1715" s="569" t="s">
        <v>3265</v>
      </c>
      <c r="G1715" s="569">
        <v>2019</v>
      </c>
      <c r="H1715" s="569" t="s">
        <v>3266</v>
      </c>
      <c r="I1715" s="569" t="s">
        <v>3278</v>
      </c>
      <c r="J1715" s="569" t="s">
        <v>156</v>
      </c>
      <c r="K1715" s="569">
        <v>2</v>
      </c>
      <c r="L1715" s="569">
        <v>0</v>
      </c>
      <c r="M1715" s="569" t="s">
        <v>157</v>
      </c>
      <c r="N1715" s="569">
        <v>1</v>
      </c>
      <c r="O1715" s="569">
        <v>88.7</v>
      </c>
      <c r="P1715" s="568">
        <v>5100</v>
      </c>
      <c r="Q1715" s="569" t="s">
        <v>3267</v>
      </c>
      <c r="R1715" s="569">
        <v>6</v>
      </c>
      <c r="S1715" s="569" t="s">
        <v>3268</v>
      </c>
      <c r="T1715" s="569" t="s">
        <v>252</v>
      </c>
      <c r="U1715" s="569">
        <v>118</v>
      </c>
      <c r="V1715" s="569">
        <v>24</v>
      </c>
      <c r="W1715" s="620">
        <v>8550</v>
      </c>
      <c r="X1715" s="621">
        <v>16</v>
      </c>
      <c r="Y1715" s="621" t="s">
        <v>178</v>
      </c>
      <c r="Z1715" s="621" t="s">
        <v>178</v>
      </c>
      <c r="AA1715" s="622">
        <v>31965</v>
      </c>
      <c r="AB1715" s="622" t="s">
        <v>164</v>
      </c>
      <c r="AC1715" s="622">
        <v>22205</v>
      </c>
      <c r="AD1715" s="623">
        <v>6.25E-2</v>
      </c>
      <c r="AE1715" s="621" t="s">
        <v>3264</v>
      </c>
    </row>
    <row r="1716" spans="1:31" s="572" customFormat="1">
      <c r="A1716" s="570" t="s">
        <v>3279</v>
      </c>
      <c r="B1716" s="573" t="s">
        <v>226</v>
      </c>
      <c r="C1716" s="578" t="s">
        <v>227</v>
      </c>
      <c r="D1716" s="573" t="s">
        <v>1516</v>
      </c>
      <c r="E1716" s="573" t="s">
        <v>1914</v>
      </c>
      <c r="F1716" s="573" t="s">
        <v>3265</v>
      </c>
      <c r="G1716" s="573">
        <v>2019</v>
      </c>
      <c r="H1716" s="573" t="s">
        <v>3266</v>
      </c>
      <c r="I1716" s="573" t="s">
        <v>3278</v>
      </c>
      <c r="J1716" s="573" t="s">
        <v>156</v>
      </c>
      <c r="K1716" s="573">
        <v>2</v>
      </c>
      <c r="L1716" s="573">
        <v>0</v>
      </c>
      <c r="M1716" s="573" t="s">
        <v>157</v>
      </c>
      <c r="N1716" s="573">
        <v>1</v>
      </c>
      <c r="O1716" s="573">
        <v>88.7</v>
      </c>
      <c r="P1716" s="571">
        <v>5100</v>
      </c>
      <c r="Q1716" s="573" t="s">
        <v>231</v>
      </c>
      <c r="R1716" s="573">
        <v>6</v>
      </c>
      <c r="S1716" s="582" t="s">
        <v>3271</v>
      </c>
      <c r="T1716" s="573" t="s">
        <v>252</v>
      </c>
      <c r="U1716" s="573">
        <v>136</v>
      </c>
      <c r="V1716" s="573">
        <v>24</v>
      </c>
      <c r="W1716" s="616">
        <v>8550</v>
      </c>
      <c r="X1716" s="617">
        <v>16</v>
      </c>
      <c r="Y1716" s="617" t="s">
        <v>178</v>
      </c>
      <c r="Z1716" s="617" t="s">
        <v>178</v>
      </c>
      <c r="AA1716" s="618">
        <v>34065</v>
      </c>
      <c r="AB1716" s="618" t="s">
        <v>164</v>
      </c>
      <c r="AC1716" s="618">
        <v>22982</v>
      </c>
      <c r="AD1716" s="619">
        <v>6.25E-2</v>
      </c>
      <c r="AE1716" s="617" t="s">
        <v>3270</v>
      </c>
    </row>
    <row r="1717" spans="1:31" s="572" customFormat="1">
      <c r="A1717" s="570" t="s">
        <v>3280</v>
      </c>
      <c r="B1717" s="569" t="s">
        <v>240</v>
      </c>
      <c r="C1717" s="580" t="s">
        <v>241</v>
      </c>
      <c r="D1717" s="569" t="s">
        <v>1516</v>
      </c>
      <c r="E1717" s="569" t="s">
        <v>1517</v>
      </c>
      <c r="F1717" s="569" t="s">
        <v>3265</v>
      </c>
      <c r="G1717" s="569">
        <v>2019</v>
      </c>
      <c r="H1717" s="569" t="s">
        <v>3282</v>
      </c>
      <c r="I1717" s="569" t="s">
        <v>1519</v>
      </c>
      <c r="J1717" s="569" t="s">
        <v>156</v>
      </c>
      <c r="K1717" s="569">
        <v>2</v>
      </c>
      <c r="L1717" s="569">
        <v>0</v>
      </c>
      <c r="M1717" s="569" t="s">
        <v>157</v>
      </c>
      <c r="N1717" s="569">
        <v>1</v>
      </c>
      <c r="O1717" s="569">
        <v>99.4</v>
      </c>
      <c r="P1717" s="568">
        <v>5100</v>
      </c>
      <c r="Q1717" s="569" t="s">
        <v>3267</v>
      </c>
      <c r="R1717" s="569">
        <v>6</v>
      </c>
      <c r="S1717" s="569" t="s">
        <v>3283</v>
      </c>
      <c r="T1717" s="569" t="s">
        <v>252</v>
      </c>
      <c r="U1717" s="569">
        <v>136</v>
      </c>
      <c r="V1717" s="569">
        <v>24</v>
      </c>
      <c r="W1717" s="620">
        <v>8900</v>
      </c>
      <c r="X1717" s="621">
        <v>14</v>
      </c>
      <c r="Y1717" s="621" t="s">
        <v>178</v>
      </c>
      <c r="Z1717" s="621" t="s">
        <v>178</v>
      </c>
      <c r="AA1717" s="622">
        <v>35540</v>
      </c>
      <c r="AB1717" s="622" t="s">
        <v>164</v>
      </c>
      <c r="AC1717" s="622">
        <v>23009</v>
      </c>
      <c r="AD1717" s="623">
        <v>0.05</v>
      </c>
      <c r="AE1717" s="621" t="s">
        <v>3281</v>
      </c>
    </row>
    <row r="1718" spans="1:31" s="572" customFormat="1">
      <c r="A1718" s="570" t="s">
        <v>3280</v>
      </c>
      <c r="B1718" s="573" t="s">
        <v>240</v>
      </c>
      <c r="C1718" s="578" t="s">
        <v>241</v>
      </c>
      <c r="D1718" s="573" t="s">
        <v>1516</v>
      </c>
      <c r="E1718" s="573" t="s">
        <v>1517</v>
      </c>
      <c r="F1718" s="573" t="s">
        <v>3265</v>
      </c>
      <c r="G1718" s="573">
        <v>2019</v>
      </c>
      <c r="H1718" s="573" t="s">
        <v>3282</v>
      </c>
      <c r="I1718" s="573" t="s">
        <v>1519</v>
      </c>
      <c r="J1718" s="573" t="s">
        <v>156</v>
      </c>
      <c r="K1718" s="573">
        <v>2</v>
      </c>
      <c r="L1718" s="573">
        <v>0</v>
      </c>
      <c r="M1718" s="573" t="s">
        <v>157</v>
      </c>
      <c r="N1718" s="573">
        <v>1</v>
      </c>
      <c r="O1718" s="573">
        <v>99.4</v>
      </c>
      <c r="P1718" s="571">
        <v>5100</v>
      </c>
      <c r="Q1718" s="573" t="s">
        <v>3267</v>
      </c>
      <c r="R1718" s="573">
        <v>6</v>
      </c>
      <c r="S1718" s="582" t="s">
        <v>3283</v>
      </c>
      <c r="T1718" s="573" t="s">
        <v>252</v>
      </c>
      <c r="U1718" s="573">
        <v>136</v>
      </c>
      <c r="V1718" s="573">
        <v>24</v>
      </c>
      <c r="W1718" s="616">
        <v>8900</v>
      </c>
      <c r="X1718" s="617">
        <v>14</v>
      </c>
      <c r="Y1718" s="617" t="s">
        <v>178</v>
      </c>
      <c r="Z1718" s="617" t="s">
        <v>178</v>
      </c>
      <c r="AA1718" s="618">
        <v>35540</v>
      </c>
      <c r="AB1718" s="618" t="s">
        <v>164</v>
      </c>
      <c r="AC1718" s="618">
        <v>23009</v>
      </c>
      <c r="AD1718" s="619">
        <v>0.05</v>
      </c>
      <c r="AE1718" s="617" t="s">
        <v>3281</v>
      </c>
    </row>
    <row r="1719" spans="1:31" s="572" customFormat="1">
      <c r="A1719" s="570" t="s">
        <v>3284</v>
      </c>
      <c r="B1719" s="569" t="s">
        <v>240</v>
      </c>
      <c r="C1719" s="580" t="s">
        <v>241</v>
      </c>
      <c r="D1719" s="569" t="s">
        <v>1516</v>
      </c>
      <c r="E1719" s="569" t="s">
        <v>1517</v>
      </c>
      <c r="F1719" s="569" t="s">
        <v>3265</v>
      </c>
      <c r="G1719" s="569">
        <v>2019</v>
      </c>
      <c r="H1719" s="569" t="s">
        <v>3282</v>
      </c>
      <c r="I1719" s="569" t="s">
        <v>1519</v>
      </c>
      <c r="J1719" s="569" t="s">
        <v>156</v>
      </c>
      <c r="K1719" s="569">
        <v>2</v>
      </c>
      <c r="L1719" s="569">
        <v>0</v>
      </c>
      <c r="M1719" s="569" t="s">
        <v>157</v>
      </c>
      <c r="N1719" s="569">
        <v>1</v>
      </c>
      <c r="O1719" s="569">
        <v>99.4</v>
      </c>
      <c r="P1719" s="568">
        <v>5100</v>
      </c>
      <c r="Q1719" s="569" t="s">
        <v>3267</v>
      </c>
      <c r="R1719" s="569">
        <v>6</v>
      </c>
      <c r="S1719" s="569" t="s">
        <v>3286</v>
      </c>
      <c r="T1719" s="569" t="s">
        <v>252</v>
      </c>
      <c r="U1719" s="569">
        <v>159</v>
      </c>
      <c r="V1719" s="569">
        <v>24</v>
      </c>
      <c r="W1719" s="620">
        <v>8900</v>
      </c>
      <c r="X1719" s="621">
        <v>14</v>
      </c>
      <c r="Y1719" s="621" t="s">
        <v>178</v>
      </c>
      <c r="Z1719" s="621" t="s">
        <v>178</v>
      </c>
      <c r="AA1719" s="622">
        <v>37340</v>
      </c>
      <c r="AB1719" s="622" t="s">
        <v>164</v>
      </c>
      <c r="AC1719" s="622">
        <v>24649</v>
      </c>
      <c r="AD1719" s="623">
        <v>0.05</v>
      </c>
      <c r="AE1719" s="621" t="s">
        <v>3285</v>
      </c>
    </row>
    <row r="1720" spans="1:31" s="572" customFormat="1">
      <c r="A1720" s="570" t="s">
        <v>3284</v>
      </c>
      <c r="B1720" s="573" t="s">
        <v>240</v>
      </c>
      <c r="C1720" s="578" t="s">
        <v>241</v>
      </c>
      <c r="D1720" s="573" t="s">
        <v>1516</v>
      </c>
      <c r="E1720" s="573" t="s">
        <v>1517</v>
      </c>
      <c r="F1720" s="573" t="s">
        <v>3265</v>
      </c>
      <c r="G1720" s="573">
        <v>2019</v>
      </c>
      <c r="H1720" s="573" t="s">
        <v>3282</v>
      </c>
      <c r="I1720" s="573" t="s">
        <v>1519</v>
      </c>
      <c r="J1720" s="573" t="s">
        <v>156</v>
      </c>
      <c r="K1720" s="573">
        <v>2</v>
      </c>
      <c r="L1720" s="573">
        <v>0</v>
      </c>
      <c r="M1720" s="573" t="s">
        <v>157</v>
      </c>
      <c r="N1720" s="573">
        <v>1</v>
      </c>
      <c r="O1720" s="573">
        <v>99.4</v>
      </c>
      <c r="P1720" s="571">
        <v>5100</v>
      </c>
      <c r="Q1720" s="573" t="s">
        <v>3267</v>
      </c>
      <c r="R1720" s="573">
        <v>6</v>
      </c>
      <c r="S1720" s="582" t="s">
        <v>3286</v>
      </c>
      <c r="T1720" s="573" t="s">
        <v>252</v>
      </c>
      <c r="U1720" s="573">
        <v>159</v>
      </c>
      <c r="V1720" s="573">
        <v>24</v>
      </c>
      <c r="W1720" s="616">
        <v>8900</v>
      </c>
      <c r="X1720" s="617">
        <v>14</v>
      </c>
      <c r="Y1720" s="617" t="s">
        <v>178</v>
      </c>
      <c r="Z1720" s="617" t="s">
        <v>178</v>
      </c>
      <c r="AA1720" s="618">
        <v>37340</v>
      </c>
      <c r="AB1720" s="618" t="s">
        <v>164</v>
      </c>
      <c r="AC1720" s="618">
        <v>24649</v>
      </c>
      <c r="AD1720" s="619">
        <v>0.05</v>
      </c>
      <c r="AE1720" s="617" t="s">
        <v>3285</v>
      </c>
    </row>
    <row r="1721" spans="1:31" s="572" customFormat="1">
      <c r="A1721" s="570" t="s">
        <v>3275</v>
      </c>
      <c r="B1721" s="569" t="s">
        <v>226</v>
      </c>
      <c r="C1721" s="580" t="s">
        <v>227</v>
      </c>
      <c r="D1721" s="569" t="s">
        <v>1516</v>
      </c>
      <c r="E1721" s="569" t="s">
        <v>1517</v>
      </c>
      <c r="F1721" s="569" t="s">
        <v>3265</v>
      </c>
      <c r="G1721" s="569">
        <v>2019</v>
      </c>
      <c r="H1721" s="569" t="s">
        <v>3282</v>
      </c>
      <c r="I1721" s="569" t="s">
        <v>3276</v>
      </c>
      <c r="J1721" s="569" t="s">
        <v>156</v>
      </c>
      <c r="K1721" s="569">
        <v>2</v>
      </c>
      <c r="L1721" s="569">
        <v>0</v>
      </c>
      <c r="M1721" s="569" t="s">
        <v>157</v>
      </c>
      <c r="N1721" s="569">
        <v>1</v>
      </c>
      <c r="O1721" s="569">
        <v>99.4</v>
      </c>
      <c r="P1721" s="568">
        <v>5100</v>
      </c>
      <c r="Q1721" s="569" t="s">
        <v>3267</v>
      </c>
      <c r="R1721" s="569">
        <v>6</v>
      </c>
      <c r="S1721" s="569" t="s">
        <v>3283</v>
      </c>
      <c r="T1721" s="569" t="s">
        <v>252</v>
      </c>
      <c r="U1721" s="569">
        <v>136</v>
      </c>
      <c r="V1721" s="569">
        <v>24</v>
      </c>
      <c r="W1721" s="620">
        <v>8900</v>
      </c>
      <c r="X1721" s="621">
        <v>14</v>
      </c>
      <c r="Y1721" s="621" t="s">
        <v>178</v>
      </c>
      <c r="Z1721" s="621" t="s">
        <v>178</v>
      </c>
      <c r="AA1721" s="622">
        <v>35665</v>
      </c>
      <c r="AB1721" s="622" t="s">
        <v>164</v>
      </c>
      <c r="AC1721" s="622">
        <v>23208</v>
      </c>
      <c r="AD1721" s="623">
        <v>6.25E-2</v>
      </c>
      <c r="AE1721" s="621" t="s">
        <v>3273</v>
      </c>
    </row>
    <row r="1722" spans="1:31" s="572" customFormat="1">
      <c r="A1722" s="570" t="s">
        <v>3287</v>
      </c>
      <c r="B1722" s="573" t="s">
        <v>226</v>
      </c>
      <c r="C1722" s="578" t="s">
        <v>227</v>
      </c>
      <c r="D1722" s="573" t="s">
        <v>1516</v>
      </c>
      <c r="E1722" s="573" t="s">
        <v>1517</v>
      </c>
      <c r="F1722" s="573" t="s">
        <v>3265</v>
      </c>
      <c r="G1722" s="573">
        <v>2019</v>
      </c>
      <c r="H1722" s="573" t="s">
        <v>3282</v>
      </c>
      <c r="I1722" s="573" t="s">
        <v>3276</v>
      </c>
      <c r="J1722" s="573" t="s">
        <v>156</v>
      </c>
      <c r="K1722" s="573">
        <v>2</v>
      </c>
      <c r="L1722" s="573">
        <v>0</v>
      </c>
      <c r="M1722" s="573" t="s">
        <v>157</v>
      </c>
      <c r="N1722" s="573">
        <v>1</v>
      </c>
      <c r="O1722" s="573">
        <v>99.4</v>
      </c>
      <c r="P1722" s="571">
        <v>5100</v>
      </c>
      <c r="Q1722" s="573" t="s">
        <v>3267</v>
      </c>
      <c r="R1722" s="573">
        <v>6</v>
      </c>
      <c r="S1722" s="582" t="s">
        <v>3286</v>
      </c>
      <c r="T1722" s="573" t="s">
        <v>252</v>
      </c>
      <c r="U1722" s="573">
        <v>159</v>
      </c>
      <c r="V1722" s="573">
        <v>24</v>
      </c>
      <c r="W1722" s="616">
        <v>8900</v>
      </c>
      <c r="X1722" s="617">
        <v>14</v>
      </c>
      <c r="Y1722" s="617" t="s">
        <v>178</v>
      </c>
      <c r="Z1722" s="617" t="s">
        <v>178</v>
      </c>
      <c r="AA1722" s="618">
        <v>37465</v>
      </c>
      <c r="AB1722" s="618" t="s">
        <v>164</v>
      </c>
      <c r="AC1722" s="618">
        <v>24813</v>
      </c>
      <c r="AD1722" s="619">
        <v>6.25E-2</v>
      </c>
      <c r="AE1722" s="617" t="s">
        <v>3288</v>
      </c>
    </row>
    <row r="1723" spans="1:31" s="572" customFormat="1">
      <c r="A1723" s="570" t="s">
        <v>3289</v>
      </c>
      <c r="B1723" s="569" t="s">
        <v>240</v>
      </c>
      <c r="C1723" s="580" t="s">
        <v>241</v>
      </c>
      <c r="D1723" s="569" t="s">
        <v>1516</v>
      </c>
      <c r="E1723" s="569" t="s">
        <v>1517</v>
      </c>
      <c r="F1723" s="569" t="s">
        <v>3265</v>
      </c>
      <c r="G1723" s="569">
        <v>2019</v>
      </c>
      <c r="H1723" s="569" t="s">
        <v>3282</v>
      </c>
      <c r="I1723" s="569" t="s">
        <v>3291</v>
      </c>
      <c r="J1723" s="569" t="s">
        <v>156</v>
      </c>
      <c r="K1723" s="569">
        <v>2</v>
      </c>
      <c r="L1723" s="569">
        <v>0</v>
      </c>
      <c r="M1723" s="569" t="s">
        <v>157</v>
      </c>
      <c r="N1723" s="569">
        <v>1</v>
      </c>
      <c r="O1723" s="569">
        <v>99.4</v>
      </c>
      <c r="P1723" s="568">
        <v>5100</v>
      </c>
      <c r="Q1723" s="569" t="s">
        <v>231</v>
      </c>
      <c r="R1723" s="569">
        <v>6</v>
      </c>
      <c r="S1723" s="569" t="s">
        <v>3292</v>
      </c>
      <c r="T1723" s="569" t="s">
        <v>252</v>
      </c>
      <c r="U1723" s="569">
        <v>159</v>
      </c>
      <c r="V1723" s="569">
        <v>24</v>
      </c>
      <c r="W1723" s="620">
        <v>8900</v>
      </c>
      <c r="X1723" s="621">
        <v>14</v>
      </c>
      <c r="Y1723" s="621" t="s">
        <v>178</v>
      </c>
      <c r="Z1723" s="621" t="s">
        <v>178</v>
      </c>
      <c r="AA1723" s="622">
        <v>37940</v>
      </c>
      <c r="AB1723" s="622" t="s">
        <v>164</v>
      </c>
      <c r="AC1723" s="622">
        <v>27043.75</v>
      </c>
      <c r="AD1723" s="623">
        <v>0.05</v>
      </c>
      <c r="AE1723" s="621" t="s">
        <v>3290</v>
      </c>
    </row>
    <row r="1724" spans="1:31" s="572" customFormat="1">
      <c r="A1724" s="570" t="s">
        <v>3293</v>
      </c>
      <c r="B1724" s="573" t="s">
        <v>226</v>
      </c>
      <c r="C1724" s="578" t="s">
        <v>227</v>
      </c>
      <c r="D1724" s="573" t="s">
        <v>1516</v>
      </c>
      <c r="E1724" s="573" t="s">
        <v>1517</v>
      </c>
      <c r="F1724" s="573" t="s">
        <v>3265</v>
      </c>
      <c r="G1724" s="573">
        <v>2019</v>
      </c>
      <c r="H1724" s="573" t="s">
        <v>3282</v>
      </c>
      <c r="I1724" s="573" t="s">
        <v>3294</v>
      </c>
      <c r="J1724" s="573" t="s">
        <v>156</v>
      </c>
      <c r="K1724" s="573">
        <v>2</v>
      </c>
      <c r="L1724" s="573">
        <v>0</v>
      </c>
      <c r="M1724" s="573" t="s">
        <v>157</v>
      </c>
      <c r="N1724" s="573">
        <v>1</v>
      </c>
      <c r="O1724" s="573">
        <v>99.4</v>
      </c>
      <c r="P1724" s="571" t="s">
        <v>157</v>
      </c>
      <c r="Q1724" s="573" t="s">
        <v>231</v>
      </c>
      <c r="R1724" s="573">
        <v>6</v>
      </c>
      <c r="S1724" s="582" t="s">
        <v>3292</v>
      </c>
      <c r="T1724" s="573" t="s">
        <v>252</v>
      </c>
      <c r="U1724" s="573">
        <v>159</v>
      </c>
      <c r="V1724" s="573">
        <v>24</v>
      </c>
      <c r="W1724" s="616">
        <v>8900</v>
      </c>
      <c r="X1724" s="617">
        <v>14</v>
      </c>
      <c r="Y1724" s="617" t="s">
        <v>178</v>
      </c>
      <c r="Z1724" s="617" t="s">
        <v>178</v>
      </c>
      <c r="AA1724" s="618">
        <v>38065</v>
      </c>
      <c r="AB1724" s="618" t="s">
        <v>164</v>
      </c>
      <c r="AC1724" s="618">
        <v>27284</v>
      </c>
      <c r="AD1724" s="619">
        <v>6.25E-2</v>
      </c>
      <c r="AE1724" s="617" t="s">
        <v>3290</v>
      </c>
    </row>
    <row r="1725" spans="1:31" s="572" customFormat="1" ht="30">
      <c r="A1725" s="570" t="s">
        <v>3295</v>
      </c>
      <c r="B1725" s="569" t="s">
        <v>1889</v>
      </c>
      <c r="C1725" s="580">
        <v>25</v>
      </c>
      <c r="D1725" s="569" t="s">
        <v>1516</v>
      </c>
      <c r="E1725" s="569" t="s">
        <v>1561</v>
      </c>
      <c r="F1725" s="569" t="s">
        <v>3265</v>
      </c>
      <c r="G1725" s="569">
        <v>2019</v>
      </c>
      <c r="H1725" s="569" t="s">
        <v>3297</v>
      </c>
      <c r="I1725" s="569" t="s">
        <v>164</v>
      </c>
      <c r="J1725" s="569" t="s">
        <v>156</v>
      </c>
      <c r="K1725" s="569">
        <v>14</v>
      </c>
      <c r="L1725" s="569">
        <v>0</v>
      </c>
      <c r="M1725" s="569" t="s">
        <v>1900</v>
      </c>
      <c r="N1725" s="569" t="s">
        <v>3298</v>
      </c>
      <c r="O1725" s="569">
        <v>99.4</v>
      </c>
      <c r="P1725" s="568" t="s">
        <v>164</v>
      </c>
      <c r="Q1725" s="569" t="s">
        <v>682</v>
      </c>
      <c r="R1725" s="569">
        <v>6</v>
      </c>
      <c r="S1725" s="569" t="s">
        <v>3292</v>
      </c>
      <c r="T1725" s="569" t="s">
        <v>252</v>
      </c>
      <c r="U1725" s="569">
        <v>159</v>
      </c>
      <c r="V1725" s="569">
        <v>24</v>
      </c>
      <c r="W1725" s="620">
        <v>8900</v>
      </c>
      <c r="X1725" s="621" t="s">
        <v>157</v>
      </c>
      <c r="Y1725" s="621" t="s">
        <v>450</v>
      </c>
      <c r="Z1725" s="621" t="s">
        <v>178</v>
      </c>
      <c r="AA1725" s="622">
        <v>39105</v>
      </c>
      <c r="AB1725" s="622">
        <v>54071</v>
      </c>
      <c r="AC1725" s="622">
        <v>40885</v>
      </c>
      <c r="AD1725" s="623">
        <v>0.05</v>
      </c>
      <c r="AE1725" s="621" t="s">
        <v>3296</v>
      </c>
    </row>
    <row r="1726" spans="1:31" s="572" customFormat="1" ht="30">
      <c r="A1726" s="570" t="s">
        <v>3299</v>
      </c>
      <c r="B1726" s="573" t="s">
        <v>1889</v>
      </c>
      <c r="C1726" s="578">
        <v>25</v>
      </c>
      <c r="D1726" s="573" t="s">
        <v>1516</v>
      </c>
      <c r="E1726" s="573" t="s">
        <v>1897</v>
      </c>
      <c r="F1726" s="573" t="s">
        <v>3265</v>
      </c>
      <c r="G1726" s="573">
        <v>2019</v>
      </c>
      <c r="H1726" s="573" t="s">
        <v>3297</v>
      </c>
      <c r="I1726" s="573" t="s">
        <v>164</v>
      </c>
      <c r="J1726" s="573" t="s">
        <v>156</v>
      </c>
      <c r="K1726" s="573">
        <v>10</v>
      </c>
      <c r="L1726" s="573">
        <v>3</v>
      </c>
      <c r="M1726" s="573" t="s">
        <v>1898</v>
      </c>
      <c r="N1726" s="573" t="s">
        <v>3301</v>
      </c>
      <c r="O1726" s="573">
        <v>99.4</v>
      </c>
      <c r="P1726" s="571" t="s">
        <v>164</v>
      </c>
      <c r="Q1726" s="573" t="s">
        <v>682</v>
      </c>
      <c r="R1726" s="573">
        <v>6</v>
      </c>
      <c r="S1726" s="582" t="s">
        <v>3292</v>
      </c>
      <c r="T1726" s="573" t="s">
        <v>252</v>
      </c>
      <c r="U1726" s="573">
        <v>159</v>
      </c>
      <c r="V1726" s="573">
        <v>24</v>
      </c>
      <c r="W1726" s="616">
        <v>8900</v>
      </c>
      <c r="X1726" s="617" t="s">
        <v>157</v>
      </c>
      <c r="Y1726" s="617" t="s">
        <v>450</v>
      </c>
      <c r="Z1726" s="617" t="s">
        <v>178</v>
      </c>
      <c r="AA1726" s="618">
        <v>39105</v>
      </c>
      <c r="AB1726" s="618">
        <v>60778</v>
      </c>
      <c r="AC1726" s="618">
        <v>46542</v>
      </c>
      <c r="AD1726" s="619">
        <v>0.05</v>
      </c>
      <c r="AE1726" s="617" t="s">
        <v>3300</v>
      </c>
    </row>
    <row r="1727" spans="1:31" s="572" customFormat="1" ht="30">
      <c r="A1727" s="570" t="s">
        <v>3299</v>
      </c>
      <c r="B1727" s="569" t="s">
        <v>1889</v>
      </c>
      <c r="C1727" s="580">
        <v>25</v>
      </c>
      <c r="D1727" s="569" t="s">
        <v>1516</v>
      </c>
      <c r="E1727" s="569" t="s">
        <v>1897</v>
      </c>
      <c r="F1727" s="569" t="s">
        <v>3265</v>
      </c>
      <c r="G1727" s="569">
        <v>2019</v>
      </c>
      <c r="H1727" s="569" t="s">
        <v>3297</v>
      </c>
      <c r="I1727" s="569" t="s">
        <v>164</v>
      </c>
      <c r="J1727" s="569" t="s">
        <v>156</v>
      </c>
      <c r="K1727" s="569">
        <v>10</v>
      </c>
      <c r="L1727" s="569">
        <v>2</v>
      </c>
      <c r="M1727" s="569" t="s">
        <v>1898</v>
      </c>
      <c r="N1727" s="569" t="s">
        <v>3302</v>
      </c>
      <c r="O1727" s="569">
        <v>99.4</v>
      </c>
      <c r="P1727" s="568" t="s">
        <v>164</v>
      </c>
      <c r="Q1727" s="569" t="s">
        <v>682</v>
      </c>
      <c r="R1727" s="569">
        <v>6</v>
      </c>
      <c r="S1727" s="569" t="s">
        <v>3292</v>
      </c>
      <c r="T1727" s="569" t="s">
        <v>252</v>
      </c>
      <c r="U1727" s="569">
        <v>159</v>
      </c>
      <c r="V1727" s="569">
        <v>24</v>
      </c>
      <c r="W1727" s="620">
        <v>8900</v>
      </c>
      <c r="X1727" s="621" t="s">
        <v>157</v>
      </c>
      <c r="Y1727" s="621" t="s">
        <v>450</v>
      </c>
      <c r="Z1727" s="621" t="s">
        <v>178</v>
      </c>
      <c r="AA1727" s="622">
        <v>39105</v>
      </c>
      <c r="AB1727" s="622">
        <v>57858</v>
      </c>
      <c r="AC1727" s="622">
        <v>45772</v>
      </c>
      <c r="AD1727" s="623">
        <v>0.05</v>
      </c>
      <c r="AE1727" s="621" t="s">
        <v>3300</v>
      </c>
    </row>
    <row r="1728" spans="1:31" s="572" customFormat="1" ht="30">
      <c r="A1728" s="570" t="s">
        <v>3303</v>
      </c>
      <c r="B1728" s="573" t="s">
        <v>1889</v>
      </c>
      <c r="C1728" s="578">
        <v>25</v>
      </c>
      <c r="D1728" s="573" t="s">
        <v>1516</v>
      </c>
      <c r="E1728" s="573" t="s">
        <v>1897</v>
      </c>
      <c r="F1728" s="573" t="s">
        <v>3265</v>
      </c>
      <c r="G1728" s="573">
        <v>2019</v>
      </c>
      <c r="H1728" s="573" t="s">
        <v>3297</v>
      </c>
      <c r="I1728" s="573" t="s">
        <v>164</v>
      </c>
      <c r="J1728" s="573" t="s">
        <v>156</v>
      </c>
      <c r="K1728" s="573">
        <v>8</v>
      </c>
      <c r="L1728" s="573">
        <v>3</v>
      </c>
      <c r="M1728" s="573" t="s">
        <v>1900</v>
      </c>
      <c r="N1728" s="573" t="s">
        <v>3305</v>
      </c>
      <c r="O1728" s="573">
        <v>99.4</v>
      </c>
      <c r="P1728" s="571" t="s">
        <v>164</v>
      </c>
      <c r="Q1728" s="573" t="s">
        <v>682</v>
      </c>
      <c r="R1728" s="573">
        <v>6</v>
      </c>
      <c r="S1728" s="582" t="s">
        <v>3292</v>
      </c>
      <c r="T1728" s="573" t="s">
        <v>252</v>
      </c>
      <c r="U1728" s="573">
        <v>159</v>
      </c>
      <c r="V1728" s="573">
        <v>24</v>
      </c>
      <c r="W1728" s="616">
        <v>8900</v>
      </c>
      <c r="X1728" s="617" t="s">
        <v>157</v>
      </c>
      <c r="Y1728" s="617" t="s">
        <v>450</v>
      </c>
      <c r="Z1728" s="617" t="s">
        <v>178</v>
      </c>
      <c r="AA1728" s="618">
        <v>39105</v>
      </c>
      <c r="AB1728" s="618">
        <v>59078</v>
      </c>
      <c r="AC1728" s="618">
        <v>46042</v>
      </c>
      <c r="AD1728" s="619">
        <v>0.05</v>
      </c>
      <c r="AE1728" s="617" t="s">
        <v>3304</v>
      </c>
    </row>
    <row r="1729" spans="1:31" s="572" customFormat="1">
      <c r="A1729" s="570" t="s">
        <v>3306</v>
      </c>
      <c r="B1729" s="569" t="s">
        <v>240</v>
      </c>
      <c r="C1729" s="580" t="s">
        <v>241</v>
      </c>
      <c r="D1729" s="569" t="s">
        <v>1516</v>
      </c>
      <c r="E1729" s="569" t="s">
        <v>1571</v>
      </c>
      <c r="F1729" s="569" t="s">
        <v>3265</v>
      </c>
      <c r="G1729" s="569">
        <v>2019</v>
      </c>
      <c r="H1729" s="569" t="s">
        <v>3308</v>
      </c>
      <c r="I1729" s="569" t="s">
        <v>1519</v>
      </c>
      <c r="J1729" s="569" t="s">
        <v>156</v>
      </c>
      <c r="K1729" s="569">
        <v>2</v>
      </c>
      <c r="L1729" s="569">
        <v>0</v>
      </c>
      <c r="M1729" s="569" t="s">
        <v>157</v>
      </c>
      <c r="N1729" s="569">
        <v>1</v>
      </c>
      <c r="O1729" s="569">
        <v>99.4</v>
      </c>
      <c r="P1729" s="568">
        <v>5100</v>
      </c>
      <c r="Q1729" s="569" t="s">
        <v>3267</v>
      </c>
      <c r="R1729" s="569">
        <v>6</v>
      </c>
      <c r="S1729" s="569" t="s">
        <v>3309</v>
      </c>
      <c r="T1729" s="569" t="s">
        <v>252</v>
      </c>
      <c r="U1729" s="569">
        <v>159</v>
      </c>
      <c r="V1729" s="569">
        <v>24</v>
      </c>
      <c r="W1729" s="620">
        <v>9350</v>
      </c>
      <c r="X1729" s="621">
        <v>12</v>
      </c>
      <c r="Y1729" s="621" t="s">
        <v>178</v>
      </c>
      <c r="Z1729" s="621" t="s">
        <v>178</v>
      </c>
      <c r="AA1729" s="622">
        <v>41290</v>
      </c>
      <c r="AB1729" s="622" t="s">
        <v>164</v>
      </c>
      <c r="AC1729" s="622">
        <v>28467.708333333336</v>
      </c>
      <c r="AD1729" s="623">
        <v>0.05</v>
      </c>
      <c r="AE1729" s="621" t="s">
        <v>3307</v>
      </c>
    </row>
    <row r="1730" spans="1:31" s="572" customFormat="1">
      <c r="A1730" s="570" t="s">
        <v>3310</v>
      </c>
      <c r="B1730" s="573" t="s">
        <v>240</v>
      </c>
      <c r="C1730" s="578" t="s">
        <v>241</v>
      </c>
      <c r="D1730" s="573" t="s">
        <v>1516</v>
      </c>
      <c r="E1730" s="573" t="s">
        <v>1571</v>
      </c>
      <c r="F1730" s="573" t="s">
        <v>3265</v>
      </c>
      <c r="G1730" s="573">
        <v>2019</v>
      </c>
      <c r="H1730" s="573" t="s">
        <v>3308</v>
      </c>
      <c r="I1730" s="573" t="s">
        <v>1519</v>
      </c>
      <c r="J1730" s="573" t="s">
        <v>156</v>
      </c>
      <c r="K1730" s="573">
        <v>2</v>
      </c>
      <c r="L1730" s="573">
        <v>0</v>
      </c>
      <c r="M1730" s="573" t="s">
        <v>157</v>
      </c>
      <c r="N1730" s="573">
        <v>1</v>
      </c>
      <c r="O1730" s="573">
        <v>99.4</v>
      </c>
      <c r="P1730" s="571">
        <v>5100</v>
      </c>
      <c r="Q1730" s="573" t="s">
        <v>231</v>
      </c>
      <c r="R1730" s="573">
        <v>6</v>
      </c>
      <c r="S1730" s="582" t="s">
        <v>3312</v>
      </c>
      <c r="T1730" s="573" t="s">
        <v>252</v>
      </c>
      <c r="U1730" s="573">
        <v>159</v>
      </c>
      <c r="V1730" s="573">
        <v>24</v>
      </c>
      <c r="W1730" s="616">
        <v>9350</v>
      </c>
      <c r="X1730" s="617">
        <v>12</v>
      </c>
      <c r="Y1730" s="617" t="s">
        <v>178</v>
      </c>
      <c r="Z1730" s="617" t="s">
        <v>178</v>
      </c>
      <c r="AA1730" s="618">
        <v>38540</v>
      </c>
      <c r="AB1730" s="618" t="s">
        <v>164</v>
      </c>
      <c r="AC1730" s="618">
        <v>26009</v>
      </c>
      <c r="AD1730" s="619">
        <v>0.05</v>
      </c>
      <c r="AE1730" s="617" t="s">
        <v>3311</v>
      </c>
    </row>
    <row r="1731" spans="1:31" s="572" customFormat="1">
      <c r="A1731" s="570" t="s">
        <v>3310</v>
      </c>
      <c r="B1731" s="569" t="s">
        <v>240</v>
      </c>
      <c r="C1731" s="580" t="s">
        <v>241</v>
      </c>
      <c r="D1731" s="569" t="s">
        <v>1516</v>
      </c>
      <c r="E1731" s="569" t="s">
        <v>1571</v>
      </c>
      <c r="F1731" s="569" t="s">
        <v>3265</v>
      </c>
      <c r="G1731" s="569">
        <v>2019</v>
      </c>
      <c r="H1731" s="569" t="s">
        <v>3308</v>
      </c>
      <c r="I1731" s="569" t="s">
        <v>1519</v>
      </c>
      <c r="J1731" s="569" t="s">
        <v>156</v>
      </c>
      <c r="K1731" s="569">
        <v>2</v>
      </c>
      <c r="L1731" s="569">
        <v>0</v>
      </c>
      <c r="M1731" s="569" t="s">
        <v>157</v>
      </c>
      <c r="N1731" s="569">
        <v>1</v>
      </c>
      <c r="O1731" s="569">
        <v>99.4</v>
      </c>
      <c r="P1731" s="568">
        <v>5100</v>
      </c>
      <c r="Q1731" s="569" t="s">
        <v>231</v>
      </c>
      <c r="R1731" s="569">
        <v>6</v>
      </c>
      <c r="S1731" s="569" t="s">
        <v>3312</v>
      </c>
      <c r="T1731" s="569" t="s">
        <v>252</v>
      </c>
      <c r="U1731" s="569">
        <v>159</v>
      </c>
      <c r="V1731" s="569">
        <v>24</v>
      </c>
      <c r="W1731" s="620">
        <v>9350</v>
      </c>
      <c r="X1731" s="621">
        <v>12</v>
      </c>
      <c r="Y1731" s="621" t="s">
        <v>178</v>
      </c>
      <c r="Z1731" s="621" t="s">
        <v>178</v>
      </c>
      <c r="AA1731" s="622">
        <v>38540</v>
      </c>
      <c r="AB1731" s="622" t="s">
        <v>164</v>
      </c>
      <c r="AC1731" s="622">
        <v>26009</v>
      </c>
      <c r="AD1731" s="623">
        <v>0.05</v>
      </c>
      <c r="AE1731" s="621" t="s">
        <v>3311</v>
      </c>
    </row>
    <row r="1732" spans="1:31" s="572" customFormat="1">
      <c r="A1732" s="570" t="s">
        <v>3313</v>
      </c>
      <c r="B1732" s="573" t="s">
        <v>3315</v>
      </c>
      <c r="C1732" s="578" t="s">
        <v>227</v>
      </c>
      <c r="D1732" s="573" t="s">
        <v>1516</v>
      </c>
      <c r="E1732" s="573" t="s">
        <v>1571</v>
      </c>
      <c r="F1732" s="573" t="s">
        <v>3265</v>
      </c>
      <c r="G1732" s="573">
        <v>2019</v>
      </c>
      <c r="H1732" s="573" t="s">
        <v>3308</v>
      </c>
      <c r="I1732" s="573" t="s">
        <v>3316</v>
      </c>
      <c r="J1732" s="573" t="s">
        <v>156</v>
      </c>
      <c r="K1732" s="573">
        <v>2</v>
      </c>
      <c r="L1732" s="573">
        <v>0</v>
      </c>
      <c r="M1732" s="573" t="s">
        <v>157</v>
      </c>
      <c r="N1732" s="573">
        <v>1</v>
      </c>
      <c r="O1732" s="573">
        <v>99.4</v>
      </c>
      <c r="P1732" s="571">
        <v>5100</v>
      </c>
      <c r="Q1732" s="573" t="s">
        <v>3267</v>
      </c>
      <c r="R1732" s="573">
        <v>6</v>
      </c>
      <c r="S1732" s="582" t="s">
        <v>3309</v>
      </c>
      <c r="T1732" s="573" t="s">
        <v>252</v>
      </c>
      <c r="U1732" s="573">
        <v>159</v>
      </c>
      <c r="V1732" s="573">
        <v>24</v>
      </c>
      <c r="W1732" s="616">
        <v>8900</v>
      </c>
      <c r="X1732" s="617">
        <v>14</v>
      </c>
      <c r="Y1732" s="617" t="s">
        <v>178</v>
      </c>
      <c r="Z1732" s="617" t="s">
        <v>178</v>
      </c>
      <c r="AA1732" s="618">
        <v>41415</v>
      </c>
      <c r="AB1732" s="618" t="s">
        <v>164</v>
      </c>
      <c r="AC1732" s="618">
        <v>28665</v>
      </c>
      <c r="AD1732" s="619">
        <v>6.25E-2</v>
      </c>
      <c r="AE1732" s="617" t="s">
        <v>3314</v>
      </c>
    </row>
    <row r="1733" spans="1:31" s="572" customFormat="1">
      <c r="A1733" s="570" t="s">
        <v>3317</v>
      </c>
      <c r="B1733" s="569" t="s">
        <v>240</v>
      </c>
      <c r="C1733" s="580" t="s">
        <v>241</v>
      </c>
      <c r="D1733" s="569" t="s">
        <v>1516</v>
      </c>
      <c r="E1733" s="569" t="s">
        <v>1571</v>
      </c>
      <c r="F1733" s="569" t="s">
        <v>3265</v>
      </c>
      <c r="G1733" s="569">
        <v>2019</v>
      </c>
      <c r="H1733" s="569" t="s">
        <v>3308</v>
      </c>
      <c r="I1733" s="569" t="s">
        <v>3316</v>
      </c>
      <c r="J1733" s="569" t="s">
        <v>156</v>
      </c>
      <c r="K1733" s="569">
        <v>2</v>
      </c>
      <c r="L1733" s="569">
        <v>0</v>
      </c>
      <c r="M1733" s="569" t="s">
        <v>157</v>
      </c>
      <c r="N1733" s="569">
        <v>1</v>
      </c>
      <c r="O1733" s="569">
        <v>99.4</v>
      </c>
      <c r="P1733" s="568">
        <v>5100</v>
      </c>
      <c r="Q1733" s="569" t="s">
        <v>3267</v>
      </c>
      <c r="R1733" s="569">
        <v>6</v>
      </c>
      <c r="S1733" s="569" t="s">
        <v>3309</v>
      </c>
      <c r="T1733" s="569" t="s">
        <v>252</v>
      </c>
      <c r="U1733" s="569">
        <v>159</v>
      </c>
      <c r="V1733" s="569">
        <v>24</v>
      </c>
      <c r="W1733" s="620">
        <v>9350</v>
      </c>
      <c r="X1733" s="621">
        <v>12</v>
      </c>
      <c r="Y1733" s="621" t="s">
        <v>178</v>
      </c>
      <c r="Z1733" s="621" t="s">
        <v>178</v>
      </c>
      <c r="AA1733" s="622">
        <v>41290</v>
      </c>
      <c r="AB1733" s="622" t="s">
        <v>164</v>
      </c>
      <c r="AC1733" s="622">
        <v>28467.708333333336</v>
      </c>
      <c r="AD1733" s="623">
        <v>0.05</v>
      </c>
      <c r="AE1733" s="621" t="s">
        <v>3314</v>
      </c>
    </row>
    <row r="1734" spans="1:31" s="572" customFormat="1">
      <c r="A1734" s="570" t="s">
        <v>3318</v>
      </c>
      <c r="B1734" s="573" t="s">
        <v>226</v>
      </c>
      <c r="C1734" s="578" t="s">
        <v>227</v>
      </c>
      <c r="D1734" s="573" t="s">
        <v>1516</v>
      </c>
      <c r="E1734" s="573" t="s">
        <v>1571</v>
      </c>
      <c r="F1734" s="573" t="s">
        <v>3265</v>
      </c>
      <c r="G1734" s="573">
        <v>2019</v>
      </c>
      <c r="H1734" s="573" t="s">
        <v>3308</v>
      </c>
      <c r="I1734" s="573" t="s">
        <v>3276</v>
      </c>
      <c r="J1734" s="573" t="s">
        <v>156</v>
      </c>
      <c r="K1734" s="573">
        <v>2</v>
      </c>
      <c r="L1734" s="573">
        <v>0</v>
      </c>
      <c r="M1734" s="573" t="s">
        <v>157</v>
      </c>
      <c r="N1734" s="573">
        <v>1</v>
      </c>
      <c r="O1734" s="573">
        <v>99.4</v>
      </c>
      <c r="P1734" s="571">
        <v>5100</v>
      </c>
      <c r="Q1734" s="573" t="s">
        <v>231</v>
      </c>
      <c r="R1734" s="573">
        <v>6</v>
      </c>
      <c r="S1734" s="582" t="s">
        <v>3312</v>
      </c>
      <c r="T1734" s="573" t="s">
        <v>252</v>
      </c>
      <c r="U1734" s="573">
        <v>159</v>
      </c>
      <c r="V1734" s="573">
        <v>24</v>
      </c>
      <c r="W1734" s="616">
        <v>9350</v>
      </c>
      <c r="X1734" s="617">
        <v>12</v>
      </c>
      <c r="Y1734" s="617" t="s">
        <v>178</v>
      </c>
      <c r="Z1734" s="617" t="s">
        <v>178</v>
      </c>
      <c r="AA1734" s="618">
        <v>38665</v>
      </c>
      <c r="AB1734" s="618" t="s">
        <v>164</v>
      </c>
      <c r="AC1734" s="618">
        <v>26207</v>
      </c>
      <c r="AD1734" s="619">
        <v>6.25E-2</v>
      </c>
      <c r="AE1734" s="617" t="s">
        <v>3311</v>
      </c>
    </row>
    <row r="1735" spans="1:31" s="572" customFormat="1">
      <c r="A1735" s="570" t="s">
        <v>3319</v>
      </c>
      <c r="B1735" s="569" t="s">
        <v>226</v>
      </c>
      <c r="C1735" s="580" t="s">
        <v>227</v>
      </c>
      <c r="D1735" s="569" t="s">
        <v>1516</v>
      </c>
      <c r="E1735" s="569" t="s">
        <v>1571</v>
      </c>
      <c r="F1735" s="569" t="s">
        <v>3265</v>
      </c>
      <c r="G1735" s="569">
        <v>2019</v>
      </c>
      <c r="H1735" s="569" t="s">
        <v>3308</v>
      </c>
      <c r="I1735" s="569" t="s">
        <v>3321</v>
      </c>
      <c r="J1735" s="569" t="s">
        <v>156</v>
      </c>
      <c r="K1735" s="569">
        <v>2</v>
      </c>
      <c r="L1735" s="569">
        <v>0</v>
      </c>
      <c r="M1735" s="569" t="s">
        <v>157</v>
      </c>
      <c r="N1735" s="569">
        <v>1</v>
      </c>
      <c r="O1735" s="569">
        <v>99.4</v>
      </c>
      <c r="P1735" s="568">
        <v>5100</v>
      </c>
      <c r="Q1735" s="569" t="s">
        <v>231</v>
      </c>
      <c r="R1735" s="569">
        <v>6</v>
      </c>
      <c r="S1735" s="569" t="s">
        <v>3322</v>
      </c>
      <c r="T1735" s="569" t="s">
        <v>252</v>
      </c>
      <c r="U1735" s="569">
        <v>159</v>
      </c>
      <c r="V1735" s="569">
        <v>24</v>
      </c>
      <c r="W1735" s="620">
        <v>9350</v>
      </c>
      <c r="X1735" s="621">
        <v>12</v>
      </c>
      <c r="Y1735" s="621" t="s">
        <v>178</v>
      </c>
      <c r="Z1735" s="621" t="s">
        <v>178</v>
      </c>
      <c r="AA1735" s="622">
        <v>41915</v>
      </c>
      <c r="AB1735" s="622" t="s">
        <v>164</v>
      </c>
      <c r="AC1735" s="622">
        <v>30743</v>
      </c>
      <c r="AD1735" s="623">
        <v>6.25E-2</v>
      </c>
      <c r="AE1735" s="621" t="s">
        <v>3320</v>
      </c>
    </row>
    <row r="1736" spans="1:31" s="572" customFormat="1" ht="30">
      <c r="A1736" s="570" t="s">
        <v>3323</v>
      </c>
      <c r="B1736" s="573" t="s">
        <v>240</v>
      </c>
      <c r="C1736" s="578" t="s">
        <v>241</v>
      </c>
      <c r="D1736" s="573" t="s">
        <v>1516</v>
      </c>
      <c r="E1736" s="573" t="s">
        <v>1571</v>
      </c>
      <c r="F1736" s="573" t="s">
        <v>3265</v>
      </c>
      <c r="G1736" s="573">
        <v>2019</v>
      </c>
      <c r="H1736" s="573" t="s">
        <v>3308</v>
      </c>
      <c r="I1736" s="573" t="s">
        <v>3325</v>
      </c>
      <c r="J1736" s="573" t="s">
        <v>156</v>
      </c>
      <c r="K1736" s="573">
        <v>2</v>
      </c>
      <c r="L1736" s="573">
        <v>0</v>
      </c>
      <c r="M1736" s="573" t="s">
        <v>157</v>
      </c>
      <c r="N1736" s="573">
        <v>1</v>
      </c>
      <c r="O1736" s="573">
        <v>99.4</v>
      </c>
      <c r="P1736" s="571">
        <v>5100</v>
      </c>
      <c r="Q1736" s="573" t="s">
        <v>231</v>
      </c>
      <c r="R1736" s="573">
        <v>6</v>
      </c>
      <c r="S1736" s="582" t="s">
        <v>3322</v>
      </c>
      <c r="T1736" s="573" t="s">
        <v>252</v>
      </c>
      <c r="U1736" s="573">
        <v>159</v>
      </c>
      <c r="V1736" s="573">
        <v>24</v>
      </c>
      <c r="W1736" s="616">
        <v>9350</v>
      </c>
      <c r="X1736" s="617">
        <v>12</v>
      </c>
      <c r="Y1736" s="617" t="s">
        <v>178</v>
      </c>
      <c r="Z1736" s="617" t="s">
        <v>178</v>
      </c>
      <c r="AA1736" s="618">
        <v>41790</v>
      </c>
      <c r="AB1736" s="618" t="s">
        <v>164</v>
      </c>
      <c r="AC1736" s="618">
        <v>30611.458333333336</v>
      </c>
      <c r="AD1736" s="619">
        <v>0.05</v>
      </c>
      <c r="AE1736" s="617" t="s">
        <v>3324</v>
      </c>
    </row>
    <row r="1737" spans="1:31" s="572" customFormat="1" ht="30">
      <c r="A1737" s="570" t="s">
        <v>3326</v>
      </c>
      <c r="B1737" s="569" t="s">
        <v>1889</v>
      </c>
      <c r="C1737" s="580">
        <v>25</v>
      </c>
      <c r="D1737" s="569" t="s">
        <v>1516</v>
      </c>
      <c r="E1737" s="569" t="s">
        <v>1607</v>
      </c>
      <c r="F1737" s="569" t="s">
        <v>3265</v>
      </c>
      <c r="G1737" s="569">
        <v>2019</v>
      </c>
      <c r="H1737" s="569" t="s">
        <v>3328</v>
      </c>
      <c r="I1737" s="569" t="s">
        <v>164</v>
      </c>
      <c r="J1737" s="569" t="s">
        <v>156</v>
      </c>
      <c r="K1737" s="569">
        <v>10</v>
      </c>
      <c r="L1737" s="569">
        <v>3</v>
      </c>
      <c r="M1737" s="569" t="s">
        <v>1900</v>
      </c>
      <c r="N1737" s="569" t="s">
        <v>3329</v>
      </c>
      <c r="O1737" s="569">
        <v>99.4</v>
      </c>
      <c r="P1737" s="568" t="s">
        <v>164</v>
      </c>
      <c r="Q1737" s="569" t="s">
        <v>682</v>
      </c>
      <c r="R1737" s="569">
        <v>6</v>
      </c>
      <c r="S1737" s="569" t="s">
        <v>3322</v>
      </c>
      <c r="T1737" s="569" t="s">
        <v>252</v>
      </c>
      <c r="U1737" s="569" t="s">
        <v>3330</v>
      </c>
      <c r="V1737" s="569">
        <v>24</v>
      </c>
      <c r="W1737" s="620">
        <v>9350</v>
      </c>
      <c r="X1737" s="621" t="s">
        <v>157</v>
      </c>
      <c r="Y1737" s="621" t="s">
        <v>450</v>
      </c>
      <c r="Z1737" s="621" t="s">
        <v>178</v>
      </c>
      <c r="AA1737" s="622">
        <v>42865</v>
      </c>
      <c r="AB1737" s="622">
        <v>63774</v>
      </c>
      <c r="AC1737" s="622">
        <v>51087</v>
      </c>
      <c r="AD1737" s="623">
        <v>0.05</v>
      </c>
      <c r="AE1737" s="621" t="s">
        <v>3327</v>
      </c>
    </row>
    <row r="1738" spans="1:31" s="572" customFormat="1" ht="30">
      <c r="A1738" s="570" t="s">
        <v>3331</v>
      </c>
      <c r="B1738" s="573" t="s">
        <v>1889</v>
      </c>
      <c r="C1738" s="578">
        <v>25</v>
      </c>
      <c r="D1738" s="573" t="s">
        <v>1516</v>
      </c>
      <c r="E1738" s="573" t="s">
        <v>1607</v>
      </c>
      <c r="F1738" s="573" t="s">
        <v>3265</v>
      </c>
      <c r="G1738" s="573">
        <v>2019</v>
      </c>
      <c r="H1738" s="573" t="s">
        <v>3328</v>
      </c>
      <c r="I1738" s="573" t="s">
        <v>164</v>
      </c>
      <c r="J1738" s="573" t="s">
        <v>156</v>
      </c>
      <c r="K1738" s="573">
        <v>14</v>
      </c>
      <c r="L1738" s="573">
        <v>0</v>
      </c>
      <c r="M1738" s="573" t="s">
        <v>164</v>
      </c>
      <c r="N1738" s="573" t="s">
        <v>3333</v>
      </c>
      <c r="O1738" s="573">
        <v>99.4</v>
      </c>
      <c r="P1738" s="571" t="s">
        <v>164</v>
      </c>
      <c r="Q1738" s="573" t="s">
        <v>682</v>
      </c>
      <c r="R1738" s="573">
        <v>6</v>
      </c>
      <c r="S1738" s="582" t="s">
        <v>3322</v>
      </c>
      <c r="T1738" s="573" t="s">
        <v>252</v>
      </c>
      <c r="U1738" s="573" t="s">
        <v>3330</v>
      </c>
      <c r="V1738" s="573">
        <v>24</v>
      </c>
      <c r="W1738" s="616">
        <v>9350</v>
      </c>
      <c r="X1738" s="617" t="s">
        <v>157</v>
      </c>
      <c r="Y1738" s="617" t="s">
        <v>450</v>
      </c>
      <c r="Z1738" s="617" t="s">
        <v>178</v>
      </c>
      <c r="AA1738" s="618">
        <v>42865</v>
      </c>
      <c r="AB1738" s="618">
        <v>62511</v>
      </c>
      <c r="AC1738" s="618">
        <v>49470</v>
      </c>
      <c r="AD1738" s="619">
        <v>0.05</v>
      </c>
      <c r="AE1738" s="617" t="s">
        <v>3332</v>
      </c>
    </row>
    <row r="1739" spans="1:31" s="572" customFormat="1" ht="30">
      <c r="A1739" s="570" t="s">
        <v>3334</v>
      </c>
      <c r="B1739" s="569" t="s">
        <v>1889</v>
      </c>
      <c r="C1739" s="580">
        <v>25</v>
      </c>
      <c r="D1739" s="569" t="s">
        <v>1516</v>
      </c>
      <c r="E1739" s="569" t="s">
        <v>1607</v>
      </c>
      <c r="F1739" s="569" t="s">
        <v>3265</v>
      </c>
      <c r="G1739" s="569">
        <v>2019</v>
      </c>
      <c r="H1739" s="569" t="s">
        <v>3328</v>
      </c>
      <c r="I1739" s="569" t="s">
        <v>164</v>
      </c>
      <c r="J1739" s="569" t="s">
        <v>156</v>
      </c>
      <c r="K1739" s="569">
        <v>15</v>
      </c>
      <c r="L1739" s="569">
        <v>0</v>
      </c>
      <c r="M1739" s="569" t="s">
        <v>164</v>
      </c>
      <c r="N1739" s="569" t="s">
        <v>3336</v>
      </c>
      <c r="O1739" s="569">
        <v>99.4</v>
      </c>
      <c r="P1739" s="568" t="s">
        <v>164</v>
      </c>
      <c r="Q1739" s="569" t="s">
        <v>682</v>
      </c>
      <c r="R1739" s="569">
        <v>6</v>
      </c>
      <c r="S1739" s="569" t="s">
        <v>3322</v>
      </c>
      <c r="T1739" s="569" t="s">
        <v>252</v>
      </c>
      <c r="U1739" s="569" t="s">
        <v>3330</v>
      </c>
      <c r="V1739" s="569">
        <v>24</v>
      </c>
      <c r="W1739" s="620">
        <v>9350</v>
      </c>
      <c r="X1739" s="621" t="s">
        <v>157</v>
      </c>
      <c r="Y1739" s="621" t="s">
        <v>450</v>
      </c>
      <c r="Z1739" s="621" t="s">
        <v>178</v>
      </c>
      <c r="AA1739" s="622">
        <v>42865</v>
      </c>
      <c r="AB1739" s="622">
        <v>58456</v>
      </c>
      <c r="AC1739" s="622">
        <v>45415</v>
      </c>
      <c r="AD1739" s="623">
        <v>0.05</v>
      </c>
      <c r="AE1739" s="621" t="s">
        <v>3335</v>
      </c>
    </row>
    <row r="1740" spans="1:31" s="572" customFormat="1" ht="30">
      <c r="A1740" s="570" t="s">
        <v>3326</v>
      </c>
      <c r="B1740" s="573" t="s">
        <v>1889</v>
      </c>
      <c r="C1740" s="578">
        <v>25</v>
      </c>
      <c r="D1740" s="573" t="s">
        <v>1516</v>
      </c>
      <c r="E1740" s="573" t="s">
        <v>1897</v>
      </c>
      <c r="F1740" s="573" t="s">
        <v>3265</v>
      </c>
      <c r="G1740" s="573">
        <v>2019</v>
      </c>
      <c r="H1740" s="573" t="s">
        <v>3328</v>
      </c>
      <c r="I1740" s="573" t="s">
        <v>164</v>
      </c>
      <c r="J1740" s="573" t="s">
        <v>156</v>
      </c>
      <c r="K1740" s="573">
        <v>10</v>
      </c>
      <c r="L1740" s="573">
        <v>3</v>
      </c>
      <c r="M1740" s="573" t="s">
        <v>1898</v>
      </c>
      <c r="N1740" s="573" t="s">
        <v>3301</v>
      </c>
      <c r="O1740" s="573">
        <v>99.4</v>
      </c>
      <c r="P1740" s="571" t="s">
        <v>164</v>
      </c>
      <c r="Q1740" s="573" t="s">
        <v>682</v>
      </c>
      <c r="R1740" s="573">
        <v>6</v>
      </c>
      <c r="S1740" s="582" t="s">
        <v>3322</v>
      </c>
      <c r="T1740" s="573" t="s">
        <v>252</v>
      </c>
      <c r="U1740" s="573" t="s">
        <v>3330</v>
      </c>
      <c r="V1740" s="573">
        <v>24</v>
      </c>
      <c r="W1740" s="616">
        <v>9350</v>
      </c>
      <c r="X1740" s="617" t="s">
        <v>157</v>
      </c>
      <c r="Y1740" s="617" t="s">
        <v>450</v>
      </c>
      <c r="Z1740" s="617" t="s">
        <v>178</v>
      </c>
      <c r="AA1740" s="618">
        <v>42865</v>
      </c>
      <c r="AB1740" s="618">
        <v>63553</v>
      </c>
      <c r="AC1740" s="618">
        <v>50662</v>
      </c>
      <c r="AD1740" s="619">
        <v>0.05</v>
      </c>
      <c r="AE1740" s="617" t="s">
        <v>3327</v>
      </c>
    </row>
    <row r="1741" spans="1:31" s="572" customFormat="1" ht="30">
      <c r="A1741" s="570" t="s">
        <v>3326</v>
      </c>
      <c r="B1741" s="569" t="s">
        <v>1889</v>
      </c>
      <c r="C1741" s="580">
        <v>25</v>
      </c>
      <c r="D1741" s="569" t="s">
        <v>1516</v>
      </c>
      <c r="E1741" s="569" t="s">
        <v>1897</v>
      </c>
      <c r="F1741" s="569" t="s">
        <v>3265</v>
      </c>
      <c r="G1741" s="569">
        <v>2019</v>
      </c>
      <c r="H1741" s="569" t="s">
        <v>3328</v>
      </c>
      <c r="I1741" s="569" t="s">
        <v>164</v>
      </c>
      <c r="J1741" s="569" t="s">
        <v>156</v>
      </c>
      <c r="K1741" s="569">
        <v>10</v>
      </c>
      <c r="L1741" s="569">
        <v>4</v>
      </c>
      <c r="M1741" s="569" t="s">
        <v>1898</v>
      </c>
      <c r="N1741" s="569" t="s">
        <v>3337</v>
      </c>
      <c r="O1741" s="569">
        <v>99.4</v>
      </c>
      <c r="P1741" s="568" t="s">
        <v>164</v>
      </c>
      <c r="Q1741" s="569" t="s">
        <v>682</v>
      </c>
      <c r="R1741" s="569">
        <v>6</v>
      </c>
      <c r="S1741" s="569" t="s">
        <v>3322</v>
      </c>
      <c r="T1741" s="569" t="s">
        <v>252</v>
      </c>
      <c r="U1741" s="569" t="s">
        <v>3330</v>
      </c>
      <c r="V1741" s="569">
        <v>24</v>
      </c>
      <c r="W1741" s="620">
        <v>9350</v>
      </c>
      <c r="X1741" s="621" t="s">
        <v>157</v>
      </c>
      <c r="Y1741" s="621" t="s">
        <v>450</v>
      </c>
      <c r="Z1741" s="621" t="s">
        <v>178</v>
      </c>
      <c r="AA1741" s="622">
        <v>42865</v>
      </c>
      <c r="AB1741" s="622">
        <v>61598</v>
      </c>
      <c r="AC1741" s="622">
        <v>48757</v>
      </c>
      <c r="AD1741" s="623">
        <v>0.05</v>
      </c>
      <c r="AE1741" s="621" t="s">
        <v>3327</v>
      </c>
    </row>
    <row r="1742" spans="1:31" s="572" customFormat="1" ht="30">
      <c r="A1742" s="570" t="s">
        <v>3338</v>
      </c>
      <c r="B1742" s="573" t="s">
        <v>1889</v>
      </c>
      <c r="C1742" s="578">
        <v>25</v>
      </c>
      <c r="D1742" s="573" t="s">
        <v>1516</v>
      </c>
      <c r="E1742" s="573" t="s">
        <v>1897</v>
      </c>
      <c r="F1742" s="573" t="s">
        <v>3265</v>
      </c>
      <c r="G1742" s="573">
        <v>2019</v>
      </c>
      <c r="H1742" s="573" t="s">
        <v>3328</v>
      </c>
      <c r="I1742" s="573" t="s">
        <v>164</v>
      </c>
      <c r="J1742" s="573" t="s">
        <v>156</v>
      </c>
      <c r="K1742" s="573">
        <v>9</v>
      </c>
      <c r="L1742" s="573">
        <v>2</v>
      </c>
      <c r="M1742" s="573" t="s">
        <v>1900</v>
      </c>
      <c r="N1742" s="573" t="s">
        <v>3340</v>
      </c>
      <c r="O1742" s="573">
        <v>99.4</v>
      </c>
      <c r="P1742" s="571" t="s">
        <v>164</v>
      </c>
      <c r="Q1742" s="573" t="s">
        <v>682</v>
      </c>
      <c r="R1742" s="573">
        <v>6</v>
      </c>
      <c r="S1742" s="582" t="s">
        <v>3322</v>
      </c>
      <c r="T1742" s="573" t="s">
        <v>252</v>
      </c>
      <c r="U1742" s="573" t="s">
        <v>3330</v>
      </c>
      <c r="V1742" s="573">
        <v>24</v>
      </c>
      <c r="W1742" s="616">
        <v>9350</v>
      </c>
      <c r="X1742" s="617" t="s">
        <v>157</v>
      </c>
      <c r="Y1742" s="617" t="s">
        <v>450</v>
      </c>
      <c r="Z1742" s="617" t="s">
        <v>178</v>
      </c>
      <c r="AA1742" s="618">
        <v>42865</v>
      </c>
      <c r="AB1742" s="618">
        <v>62798</v>
      </c>
      <c r="AC1742" s="618">
        <v>49857</v>
      </c>
      <c r="AD1742" s="619">
        <v>0.05</v>
      </c>
      <c r="AE1742" s="617" t="s">
        <v>3339</v>
      </c>
    </row>
    <row r="1743" spans="1:31" s="572" customFormat="1">
      <c r="A1743" s="570" t="s">
        <v>3341</v>
      </c>
      <c r="B1743" s="569" t="s">
        <v>226</v>
      </c>
      <c r="C1743" s="580" t="s">
        <v>227</v>
      </c>
      <c r="D1743" s="569" t="s">
        <v>1516</v>
      </c>
      <c r="E1743" s="569" t="s">
        <v>3009</v>
      </c>
      <c r="F1743" s="569" t="s">
        <v>3265</v>
      </c>
      <c r="G1743" s="569">
        <v>2019</v>
      </c>
      <c r="H1743" s="569" t="s">
        <v>3343</v>
      </c>
      <c r="I1743" s="569" t="s">
        <v>3344</v>
      </c>
      <c r="J1743" s="569" t="s">
        <v>156</v>
      </c>
      <c r="K1743" s="569">
        <v>2</v>
      </c>
      <c r="L1743" s="569">
        <v>0</v>
      </c>
      <c r="M1743" s="569" t="s">
        <v>157</v>
      </c>
      <c r="N1743" s="569">
        <v>1</v>
      </c>
      <c r="O1743" s="569">
        <v>74</v>
      </c>
      <c r="P1743" s="568">
        <v>2000</v>
      </c>
      <c r="Q1743" s="569" t="s">
        <v>539</v>
      </c>
      <c r="R1743" s="569">
        <v>4</v>
      </c>
      <c r="S1743" s="569" t="s">
        <v>3345</v>
      </c>
      <c r="T1743" s="569" t="s">
        <v>3346</v>
      </c>
      <c r="U1743" s="569">
        <v>122.4</v>
      </c>
      <c r="V1743" s="569">
        <v>16</v>
      </c>
      <c r="W1743" s="620">
        <v>5395</v>
      </c>
      <c r="X1743" s="621">
        <v>24</v>
      </c>
      <c r="Y1743" s="621" t="s">
        <v>178</v>
      </c>
      <c r="Z1743" s="621" t="s">
        <v>178</v>
      </c>
      <c r="AA1743" s="622">
        <v>25740</v>
      </c>
      <c r="AB1743" s="622" t="s">
        <v>164</v>
      </c>
      <c r="AC1743" s="622">
        <v>20595</v>
      </c>
      <c r="AD1743" s="623">
        <v>6.25E-2</v>
      </c>
      <c r="AE1743" s="621" t="s">
        <v>3342</v>
      </c>
    </row>
    <row r="1744" spans="1:31" s="572" customFormat="1">
      <c r="A1744" s="570" t="s">
        <v>3347</v>
      </c>
      <c r="B1744" s="573" t="s">
        <v>240</v>
      </c>
      <c r="C1744" s="578" t="s">
        <v>241</v>
      </c>
      <c r="D1744" s="573" t="s">
        <v>1516</v>
      </c>
      <c r="E1744" s="573" t="s">
        <v>3009</v>
      </c>
      <c r="F1744" s="573" t="s">
        <v>3265</v>
      </c>
      <c r="G1744" s="573">
        <v>2019</v>
      </c>
      <c r="H1744" s="573" t="s">
        <v>3343</v>
      </c>
      <c r="I1744" s="573" t="s">
        <v>3344</v>
      </c>
      <c r="J1744" s="573" t="s">
        <v>156</v>
      </c>
      <c r="K1744" s="573">
        <v>2</v>
      </c>
      <c r="L1744" s="573">
        <v>0</v>
      </c>
      <c r="M1744" s="573" t="s">
        <v>157</v>
      </c>
      <c r="N1744" s="573">
        <v>1</v>
      </c>
      <c r="O1744" s="573">
        <v>74</v>
      </c>
      <c r="P1744" s="571">
        <v>2000</v>
      </c>
      <c r="Q1744" s="573" t="s">
        <v>539</v>
      </c>
      <c r="R1744" s="573">
        <v>4</v>
      </c>
      <c r="S1744" s="582" t="s">
        <v>3345</v>
      </c>
      <c r="T1744" s="573" t="s">
        <v>3346</v>
      </c>
      <c r="U1744" s="573">
        <v>122.4</v>
      </c>
      <c r="V1744" s="573">
        <v>16.100000000000001</v>
      </c>
      <c r="W1744" s="616">
        <v>5395</v>
      </c>
      <c r="X1744" s="617">
        <v>24</v>
      </c>
      <c r="Y1744" s="617" t="s">
        <v>178</v>
      </c>
      <c r="Z1744" s="617" t="s">
        <v>178</v>
      </c>
      <c r="AA1744" s="618">
        <v>25740</v>
      </c>
      <c r="AB1744" s="618" t="s">
        <v>164</v>
      </c>
      <c r="AC1744" s="618">
        <v>20999</v>
      </c>
      <c r="AD1744" s="619">
        <v>0.05</v>
      </c>
      <c r="AE1744" s="617" t="s">
        <v>3342</v>
      </c>
    </row>
    <row r="1745" spans="1:31" s="572" customFormat="1">
      <c r="A1745" s="570" t="s">
        <v>3348</v>
      </c>
      <c r="B1745" s="569" t="s">
        <v>226</v>
      </c>
      <c r="C1745" s="580" t="s">
        <v>227</v>
      </c>
      <c r="D1745" s="569" t="s">
        <v>1516</v>
      </c>
      <c r="E1745" s="569" t="s">
        <v>3009</v>
      </c>
      <c r="F1745" s="569" t="s">
        <v>3265</v>
      </c>
      <c r="G1745" s="569">
        <v>2019</v>
      </c>
      <c r="H1745" s="569" t="s">
        <v>3343</v>
      </c>
      <c r="I1745" s="569" t="s">
        <v>3350</v>
      </c>
      <c r="J1745" s="569" t="s">
        <v>156</v>
      </c>
      <c r="K1745" s="569">
        <v>2</v>
      </c>
      <c r="L1745" s="569">
        <v>0</v>
      </c>
      <c r="M1745" s="569" t="s">
        <v>157</v>
      </c>
      <c r="N1745" s="569">
        <v>1</v>
      </c>
      <c r="O1745" s="569">
        <v>74</v>
      </c>
      <c r="P1745" s="568">
        <v>2000</v>
      </c>
      <c r="Q1745" s="569" t="s">
        <v>539</v>
      </c>
      <c r="R1745" s="569">
        <v>4</v>
      </c>
      <c r="S1745" s="569" t="s">
        <v>3351</v>
      </c>
      <c r="T1745" s="569" t="s">
        <v>3352</v>
      </c>
      <c r="U1745" s="569">
        <v>122.4</v>
      </c>
      <c r="V1745" s="569">
        <v>16</v>
      </c>
      <c r="W1745" s="620">
        <v>5395</v>
      </c>
      <c r="X1745" s="621">
        <v>24</v>
      </c>
      <c r="Y1745" s="621" t="s">
        <v>178</v>
      </c>
      <c r="Z1745" s="621" t="s">
        <v>178</v>
      </c>
      <c r="AA1745" s="622">
        <v>27490</v>
      </c>
      <c r="AB1745" s="622" t="s">
        <v>164</v>
      </c>
      <c r="AC1745" s="622">
        <v>22167</v>
      </c>
      <c r="AD1745" s="623">
        <v>6.25E-2</v>
      </c>
      <c r="AE1745" s="621" t="s">
        <v>3349</v>
      </c>
    </row>
    <row r="1746" spans="1:31" s="572" customFormat="1">
      <c r="A1746" s="570" t="s">
        <v>3353</v>
      </c>
      <c r="B1746" s="573" t="s">
        <v>240</v>
      </c>
      <c r="C1746" s="578" t="s">
        <v>241</v>
      </c>
      <c r="D1746" s="573" t="s">
        <v>1516</v>
      </c>
      <c r="E1746" s="573" t="s">
        <v>3009</v>
      </c>
      <c r="F1746" s="573" t="s">
        <v>3265</v>
      </c>
      <c r="G1746" s="573">
        <v>2019</v>
      </c>
      <c r="H1746" s="573" t="s">
        <v>3343</v>
      </c>
      <c r="I1746" s="573" t="s">
        <v>3350</v>
      </c>
      <c r="J1746" s="573" t="s">
        <v>156</v>
      </c>
      <c r="K1746" s="573">
        <v>2</v>
      </c>
      <c r="L1746" s="573">
        <v>0</v>
      </c>
      <c r="M1746" s="573" t="s">
        <v>157</v>
      </c>
      <c r="N1746" s="573">
        <v>1</v>
      </c>
      <c r="O1746" s="573">
        <v>74</v>
      </c>
      <c r="P1746" s="571">
        <v>2000</v>
      </c>
      <c r="Q1746" s="573" t="s">
        <v>539</v>
      </c>
      <c r="R1746" s="573">
        <v>4</v>
      </c>
      <c r="S1746" s="582" t="s">
        <v>3351</v>
      </c>
      <c r="T1746" s="573" t="s">
        <v>3352</v>
      </c>
      <c r="U1746" s="573">
        <v>122.4</v>
      </c>
      <c r="V1746" s="573">
        <v>16.100000000000001</v>
      </c>
      <c r="W1746" s="616">
        <v>5395</v>
      </c>
      <c r="X1746" s="617">
        <v>24</v>
      </c>
      <c r="Y1746" s="617" t="s">
        <v>178</v>
      </c>
      <c r="Z1746" s="617" t="s">
        <v>178</v>
      </c>
      <c r="AA1746" s="618">
        <v>27490</v>
      </c>
      <c r="AB1746" s="618" t="s">
        <v>164</v>
      </c>
      <c r="AC1746" s="618">
        <v>22559</v>
      </c>
      <c r="AD1746" s="619">
        <v>0.05</v>
      </c>
      <c r="AE1746" s="617" t="s">
        <v>3354</v>
      </c>
    </row>
    <row r="1747" spans="1:31" s="572" customFormat="1">
      <c r="A1747" s="570" t="s">
        <v>3355</v>
      </c>
      <c r="B1747" s="569" t="s">
        <v>226</v>
      </c>
      <c r="C1747" s="580" t="s">
        <v>227</v>
      </c>
      <c r="D1747" s="569" t="s">
        <v>1516</v>
      </c>
      <c r="E1747" s="569" t="s">
        <v>3115</v>
      </c>
      <c r="F1747" s="569" t="s">
        <v>3265</v>
      </c>
      <c r="G1747" s="569">
        <v>2019</v>
      </c>
      <c r="H1747" s="569" t="s">
        <v>3343</v>
      </c>
      <c r="I1747" s="569" t="s">
        <v>3357</v>
      </c>
      <c r="J1747" s="569" t="s">
        <v>156</v>
      </c>
      <c r="K1747" s="569">
        <v>5</v>
      </c>
      <c r="L1747" s="569">
        <v>0</v>
      </c>
      <c r="M1747" s="569" t="s">
        <v>157</v>
      </c>
      <c r="N1747" s="569">
        <v>2</v>
      </c>
      <c r="O1747" s="569">
        <v>74</v>
      </c>
      <c r="P1747" s="568">
        <v>2000</v>
      </c>
      <c r="Q1747" s="569" t="s">
        <v>539</v>
      </c>
      <c r="R1747" s="569">
        <v>4</v>
      </c>
      <c r="S1747" s="569" t="s">
        <v>3345</v>
      </c>
      <c r="T1747" s="569" t="s">
        <v>3358</v>
      </c>
      <c r="U1747" s="569">
        <v>122.4</v>
      </c>
      <c r="V1747" s="569">
        <v>16</v>
      </c>
      <c r="W1747" s="620">
        <v>8900</v>
      </c>
      <c r="X1747" s="621">
        <v>24</v>
      </c>
      <c r="Y1747" s="621" t="s">
        <v>178</v>
      </c>
      <c r="Z1747" s="621" t="s">
        <v>178</v>
      </c>
      <c r="AA1747" s="622">
        <v>27515</v>
      </c>
      <c r="AB1747" s="622" t="s">
        <v>164</v>
      </c>
      <c r="AC1747" s="622">
        <v>22137</v>
      </c>
      <c r="AD1747" s="623">
        <v>6.25E-2</v>
      </c>
      <c r="AE1747" s="621" t="s">
        <v>3356</v>
      </c>
    </row>
    <row r="1748" spans="1:31" s="572" customFormat="1">
      <c r="A1748" s="570" t="s">
        <v>3348</v>
      </c>
      <c r="B1748" s="573" t="s">
        <v>226</v>
      </c>
      <c r="C1748" s="578" t="s">
        <v>227</v>
      </c>
      <c r="D1748" s="573" t="s">
        <v>1516</v>
      </c>
      <c r="E1748" s="573" t="s">
        <v>3115</v>
      </c>
      <c r="F1748" s="573" t="s">
        <v>3265</v>
      </c>
      <c r="G1748" s="573">
        <v>2019</v>
      </c>
      <c r="H1748" s="573" t="s">
        <v>3343</v>
      </c>
      <c r="I1748" s="573" t="s">
        <v>3359</v>
      </c>
      <c r="J1748" s="573" t="s">
        <v>156</v>
      </c>
      <c r="K1748" s="573">
        <v>5</v>
      </c>
      <c r="L1748" s="573">
        <v>0</v>
      </c>
      <c r="M1748" s="573" t="s">
        <v>157</v>
      </c>
      <c r="N1748" s="573">
        <v>2</v>
      </c>
      <c r="O1748" s="573">
        <v>74</v>
      </c>
      <c r="P1748" s="571">
        <v>2000</v>
      </c>
      <c r="Q1748" s="573" t="s">
        <v>539</v>
      </c>
      <c r="R1748" s="573">
        <v>4</v>
      </c>
      <c r="S1748" s="582" t="s">
        <v>3351</v>
      </c>
      <c r="T1748" s="573" t="s">
        <v>1419</v>
      </c>
      <c r="U1748" s="573">
        <v>122.4</v>
      </c>
      <c r="V1748" s="573">
        <v>16</v>
      </c>
      <c r="W1748" s="616">
        <v>5395</v>
      </c>
      <c r="X1748" s="617">
        <v>24</v>
      </c>
      <c r="Y1748" s="617" t="s">
        <v>178</v>
      </c>
      <c r="Z1748" s="617" t="s">
        <v>178</v>
      </c>
      <c r="AA1748" s="618">
        <v>29040</v>
      </c>
      <c r="AB1748" s="618" t="s">
        <v>164</v>
      </c>
      <c r="AC1748" s="618">
        <v>23514</v>
      </c>
      <c r="AD1748" s="619">
        <v>6.25E-2</v>
      </c>
      <c r="AE1748" s="617" t="s">
        <v>3349</v>
      </c>
    </row>
    <row r="1749" spans="1:31" s="572" customFormat="1">
      <c r="A1749" s="570" t="s">
        <v>3360</v>
      </c>
      <c r="B1749" s="569" t="s">
        <v>240</v>
      </c>
      <c r="C1749" s="580" t="s">
        <v>241</v>
      </c>
      <c r="D1749" s="569" t="s">
        <v>1516</v>
      </c>
      <c r="E1749" s="569" t="s">
        <v>3115</v>
      </c>
      <c r="F1749" s="569" t="s">
        <v>3265</v>
      </c>
      <c r="G1749" s="569">
        <v>2019</v>
      </c>
      <c r="H1749" s="569" t="s">
        <v>3343</v>
      </c>
      <c r="I1749" s="569" t="s">
        <v>3361</v>
      </c>
      <c r="J1749" s="569" t="s">
        <v>156</v>
      </c>
      <c r="K1749" s="569">
        <v>5</v>
      </c>
      <c r="L1749" s="569">
        <v>0</v>
      </c>
      <c r="M1749" s="569" t="s">
        <v>157</v>
      </c>
      <c r="N1749" s="569">
        <v>2</v>
      </c>
      <c r="O1749" s="569">
        <v>74</v>
      </c>
      <c r="P1749" s="568">
        <v>2000</v>
      </c>
      <c r="Q1749" s="569" t="s">
        <v>539</v>
      </c>
      <c r="R1749" s="569">
        <v>4</v>
      </c>
      <c r="S1749" s="569" t="s">
        <v>3345</v>
      </c>
      <c r="T1749" s="569" t="s">
        <v>3358</v>
      </c>
      <c r="U1749" s="569">
        <v>122.4</v>
      </c>
      <c r="V1749" s="569">
        <v>16.100000000000001</v>
      </c>
      <c r="W1749" s="620">
        <v>5395</v>
      </c>
      <c r="X1749" s="621">
        <v>24</v>
      </c>
      <c r="Y1749" s="621" t="s">
        <v>178</v>
      </c>
      <c r="Z1749" s="621" t="s">
        <v>178</v>
      </c>
      <c r="AA1749" s="622">
        <v>27390</v>
      </c>
      <c r="AB1749" s="622" t="s">
        <v>164</v>
      </c>
      <c r="AC1749" s="622">
        <v>22509</v>
      </c>
      <c r="AD1749" s="623">
        <v>0.05</v>
      </c>
      <c r="AE1749" s="621" t="s">
        <v>3356</v>
      </c>
    </row>
    <row r="1750" spans="1:31" s="572" customFormat="1">
      <c r="A1750" s="570" t="s">
        <v>3362</v>
      </c>
      <c r="B1750" s="573" t="s">
        <v>240</v>
      </c>
      <c r="C1750" s="578" t="s">
        <v>241</v>
      </c>
      <c r="D1750" s="573" t="s">
        <v>1516</v>
      </c>
      <c r="E1750" s="573" t="s">
        <v>3115</v>
      </c>
      <c r="F1750" s="573" t="s">
        <v>3265</v>
      </c>
      <c r="G1750" s="573">
        <v>2019</v>
      </c>
      <c r="H1750" s="573" t="s">
        <v>3343</v>
      </c>
      <c r="I1750" s="573" t="s">
        <v>3364</v>
      </c>
      <c r="J1750" s="573" t="s">
        <v>156</v>
      </c>
      <c r="K1750" s="573">
        <v>5</v>
      </c>
      <c r="L1750" s="573">
        <v>0</v>
      </c>
      <c r="M1750" s="573" t="s">
        <v>157</v>
      </c>
      <c r="N1750" s="573">
        <v>2</v>
      </c>
      <c r="O1750" s="573">
        <v>74</v>
      </c>
      <c r="P1750" s="571">
        <v>2000</v>
      </c>
      <c r="Q1750" s="573" t="s">
        <v>539</v>
      </c>
      <c r="R1750" s="573">
        <v>4</v>
      </c>
      <c r="S1750" s="582" t="s">
        <v>3351</v>
      </c>
      <c r="T1750" s="573" t="s">
        <v>1419</v>
      </c>
      <c r="U1750" s="573">
        <v>122.4</v>
      </c>
      <c r="V1750" s="573">
        <v>16.100000000000001</v>
      </c>
      <c r="W1750" s="616">
        <v>5395</v>
      </c>
      <c r="X1750" s="617">
        <v>24</v>
      </c>
      <c r="Y1750" s="617" t="s">
        <v>178</v>
      </c>
      <c r="Z1750" s="617" t="s">
        <v>178</v>
      </c>
      <c r="AA1750" s="618">
        <v>29040</v>
      </c>
      <c r="AB1750" s="618" t="s">
        <v>164</v>
      </c>
      <c r="AC1750" s="618">
        <v>23919</v>
      </c>
      <c r="AD1750" s="619">
        <v>0.05</v>
      </c>
      <c r="AE1750" s="617" t="s">
        <v>3363</v>
      </c>
    </row>
    <row r="1751" spans="1:31" s="572" customFormat="1">
      <c r="A1751" s="570" t="s">
        <v>3365</v>
      </c>
      <c r="B1751" s="569" t="s">
        <v>605</v>
      </c>
      <c r="C1751" s="580">
        <v>12</v>
      </c>
      <c r="D1751" s="569" t="s">
        <v>1516</v>
      </c>
      <c r="E1751" s="569" t="s">
        <v>1646</v>
      </c>
      <c r="F1751" s="569" t="s">
        <v>606</v>
      </c>
      <c r="G1751" s="569">
        <v>2019</v>
      </c>
      <c r="H1751" s="569" t="s">
        <v>3367</v>
      </c>
      <c r="I1751" s="569" t="s">
        <v>612</v>
      </c>
      <c r="J1751" s="569" t="s">
        <v>156</v>
      </c>
      <c r="K1751" s="569">
        <v>7</v>
      </c>
      <c r="L1751" s="569">
        <v>0</v>
      </c>
      <c r="M1751" s="569" t="s">
        <v>157</v>
      </c>
      <c r="N1751" s="569">
        <v>3</v>
      </c>
      <c r="O1751" s="569">
        <v>68.900000000000006</v>
      </c>
      <c r="P1751" s="568" t="s">
        <v>157</v>
      </c>
      <c r="Q1751" s="569" t="s">
        <v>316</v>
      </c>
      <c r="R1751" s="569">
        <v>6</v>
      </c>
      <c r="S1751" s="569">
        <v>5328</v>
      </c>
      <c r="T1751" s="569" t="s">
        <v>609</v>
      </c>
      <c r="U1751" s="569">
        <v>119.3</v>
      </c>
      <c r="V1751" s="569">
        <v>20</v>
      </c>
      <c r="W1751" s="620">
        <v>5995</v>
      </c>
      <c r="X1751" s="621">
        <v>22</v>
      </c>
      <c r="Y1751" s="621" t="s">
        <v>178</v>
      </c>
      <c r="Z1751" s="621" t="s">
        <v>178</v>
      </c>
      <c r="AA1751" s="622">
        <v>32210</v>
      </c>
      <c r="AB1751" s="622" t="s">
        <v>164</v>
      </c>
      <c r="AC1751" s="622">
        <v>29300</v>
      </c>
      <c r="AD1751" s="623">
        <v>0.05</v>
      </c>
      <c r="AE1751" s="621" t="s">
        <v>3366</v>
      </c>
    </row>
    <row r="1752" spans="1:31" s="572" customFormat="1">
      <c r="A1752" s="570" t="s">
        <v>3368</v>
      </c>
      <c r="B1752" s="573" t="s">
        <v>605</v>
      </c>
      <c r="C1752" s="578">
        <v>12</v>
      </c>
      <c r="D1752" s="573" t="s">
        <v>1516</v>
      </c>
      <c r="E1752" s="573" t="s">
        <v>1646</v>
      </c>
      <c r="F1752" s="573" t="s">
        <v>606</v>
      </c>
      <c r="G1752" s="573">
        <v>2019</v>
      </c>
      <c r="H1752" s="573" t="s">
        <v>3367</v>
      </c>
      <c r="I1752" s="573" t="s">
        <v>615</v>
      </c>
      <c r="J1752" s="573" t="s">
        <v>230</v>
      </c>
      <c r="K1752" s="573">
        <v>7</v>
      </c>
      <c r="L1752" s="573">
        <v>0</v>
      </c>
      <c r="M1752" s="573" t="s">
        <v>157</v>
      </c>
      <c r="N1752" s="573">
        <v>3</v>
      </c>
      <c r="O1752" s="573">
        <v>68.900000000000006</v>
      </c>
      <c r="P1752" s="571" t="s">
        <v>157</v>
      </c>
      <c r="Q1752" s="573" t="s">
        <v>316</v>
      </c>
      <c r="R1752" s="573">
        <v>6</v>
      </c>
      <c r="S1752" s="582">
        <v>5366</v>
      </c>
      <c r="T1752" s="573" t="s">
        <v>609</v>
      </c>
      <c r="U1752" s="573">
        <v>119.3</v>
      </c>
      <c r="V1752" s="573">
        <v>20</v>
      </c>
      <c r="W1752" s="616">
        <v>5995</v>
      </c>
      <c r="X1752" s="617">
        <v>20</v>
      </c>
      <c r="Y1752" s="617" t="s">
        <v>178</v>
      </c>
      <c r="Z1752" s="617" t="s">
        <v>178</v>
      </c>
      <c r="AA1752" s="618">
        <v>37570</v>
      </c>
      <c r="AB1752" s="618" t="s">
        <v>164</v>
      </c>
      <c r="AC1752" s="618">
        <v>34450</v>
      </c>
      <c r="AD1752" s="619">
        <v>0.05</v>
      </c>
      <c r="AE1752" s="617" t="s">
        <v>3369</v>
      </c>
    </row>
    <row r="1753" spans="1:31" s="572" customFormat="1">
      <c r="A1753" s="570" t="s">
        <v>3370</v>
      </c>
      <c r="B1753" s="569" t="s">
        <v>605</v>
      </c>
      <c r="C1753" s="580">
        <v>12</v>
      </c>
      <c r="D1753" s="569" t="s">
        <v>1516</v>
      </c>
      <c r="E1753" s="569" t="s">
        <v>1646</v>
      </c>
      <c r="F1753" s="569" t="s">
        <v>606</v>
      </c>
      <c r="G1753" s="569">
        <v>2019</v>
      </c>
      <c r="H1753" s="569" t="s">
        <v>3367</v>
      </c>
      <c r="I1753" s="569" t="s">
        <v>615</v>
      </c>
      <c r="J1753" s="569" t="s">
        <v>156</v>
      </c>
      <c r="K1753" s="569">
        <v>8</v>
      </c>
      <c r="L1753" s="569">
        <v>0</v>
      </c>
      <c r="M1753" s="569" t="s">
        <v>157</v>
      </c>
      <c r="N1753" s="569">
        <v>3</v>
      </c>
      <c r="O1753" s="569">
        <v>68.900000000000006</v>
      </c>
      <c r="P1753" s="568" t="s">
        <v>157</v>
      </c>
      <c r="Q1753" s="569" t="s">
        <v>316</v>
      </c>
      <c r="R1753" s="569">
        <v>6</v>
      </c>
      <c r="S1753" s="569">
        <v>5338</v>
      </c>
      <c r="T1753" s="569" t="s">
        <v>609</v>
      </c>
      <c r="U1753" s="569">
        <v>119.3</v>
      </c>
      <c r="V1753" s="569">
        <v>20</v>
      </c>
      <c r="W1753" s="620">
        <v>5995</v>
      </c>
      <c r="X1753" s="621">
        <v>22</v>
      </c>
      <c r="Y1753" s="621" t="s">
        <v>178</v>
      </c>
      <c r="Z1753" s="621" t="s">
        <v>178</v>
      </c>
      <c r="AA1753" s="622">
        <v>35030</v>
      </c>
      <c r="AB1753" s="622" t="s">
        <v>164</v>
      </c>
      <c r="AC1753" s="622">
        <v>32100</v>
      </c>
      <c r="AD1753" s="623">
        <v>0.05</v>
      </c>
      <c r="AE1753" s="621" t="s">
        <v>3371</v>
      </c>
    </row>
    <row r="1754" spans="1:31" s="572" customFormat="1">
      <c r="A1754" s="570" t="s">
        <v>3372</v>
      </c>
      <c r="B1754" s="573" t="s">
        <v>169</v>
      </c>
      <c r="C1754" s="578">
        <v>11</v>
      </c>
      <c r="D1754" s="573" t="s">
        <v>3374</v>
      </c>
      <c r="E1754" s="573" t="s">
        <v>211</v>
      </c>
      <c r="F1754" s="573" t="s">
        <v>153</v>
      </c>
      <c r="G1754" s="573">
        <v>2019</v>
      </c>
      <c r="H1754" s="573" t="s">
        <v>3375</v>
      </c>
      <c r="I1754" s="573" t="s">
        <v>3376</v>
      </c>
      <c r="J1754" s="573" t="s">
        <v>3377</v>
      </c>
      <c r="K1754" s="573">
        <v>5</v>
      </c>
      <c r="L1754" s="573">
        <v>0</v>
      </c>
      <c r="M1754" s="573" t="s">
        <v>157</v>
      </c>
      <c r="N1754" s="573">
        <v>2</v>
      </c>
      <c r="O1754" s="573" t="s">
        <v>3378</v>
      </c>
      <c r="P1754" s="571">
        <v>7700</v>
      </c>
      <c r="Q1754" s="573" t="s">
        <v>189</v>
      </c>
      <c r="R1754" s="573">
        <v>4</v>
      </c>
      <c r="S1754" s="582" t="s">
        <v>3379</v>
      </c>
      <c r="T1754" s="573" t="s">
        <v>161</v>
      </c>
      <c r="U1754" s="573">
        <v>128.30000000000001</v>
      </c>
      <c r="V1754" s="573">
        <v>21</v>
      </c>
      <c r="W1754" s="616">
        <v>5500</v>
      </c>
      <c r="X1754" s="617">
        <v>22</v>
      </c>
      <c r="Y1754" s="617" t="s">
        <v>178</v>
      </c>
      <c r="Z1754" s="617" t="s">
        <v>178</v>
      </c>
      <c r="AA1754" s="618">
        <v>30495</v>
      </c>
      <c r="AB1754" s="618" t="s">
        <v>164</v>
      </c>
      <c r="AC1754" s="618">
        <v>26607.291666666668</v>
      </c>
      <c r="AD1754" s="619">
        <v>0.05</v>
      </c>
      <c r="AE1754" s="617" t="s">
        <v>3373</v>
      </c>
    </row>
    <row r="1755" spans="1:31" s="572" customFormat="1">
      <c r="A1755" s="570" t="s">
        <v>3380</v>
      </c>
      <c r="B1755" s="569" t="s">
        <v>150</v>
      </c>
      <c r="C1755" s="580">
        <v>13</v>
      </c>
      <c r="D1755" s="569" t="s">
        <v>3374</v>
      </c>
      <c r="E1755" s="569" t="s">
        <v>211</v>
      </c>
      <c r="F1755" s="569" t="s">
        <v>153</v>
      </c>
      <c r="G1755" s="569">
        <v>2019</v>
      </c>
      <c r="H1755" s="569" t="s">
        <v>3375</v>
      </c>
      <c r="I1755" s="569" t="s">
        <v>3376</v>
      </c>
      <c r="J1755" s="569" t="s">
        <v>3377</v>
      </c>
      <c r="K1755" s="569">
        <v>5</v>
      </c>
      <c r="L1755" s="569">
        <v>0</v>
      </c>
      <c r="M1755" s="569" t="s">
        <v>157</v>
      </c>
      <c r="N1755" s="569">
        <v>2</v>
      </c>
      <c r="O1755" s="569" t="s">
        <v>3378</v>
      </c>
      <c r="P1755" s="568">
        <v>7700</v>
      </c>
      <c r="Q1755" s="569" t="s">
        <v>189</v>
      </c>
      <c r="R1755" s="569">
        <v>4</v>
      </c>
      <c r="S1755" s="569" t="s">
        <v>3379</v>
      </c>
      <c r="T1755" s="569" t="s">
        <v>161</v>
      </c>
      <c r="U1755" s="569">
        <v>128.30000000000001</v>
      </c>
      <c r="V1755" s="569">
        <v>21</v>
      </c>
      <c r="W1755" s="620">
        <v>5500</v>
      </c>
      <c r="X1755" s="621">
        <v>22</v>
      </c>
      <c r="Y1755" s="621" t="s">
        <v>178</v>
      </c>
      <c r="Z1755" s="621" t="s">
        <v>178</v>
      </c>
      <c r="AA1755" s="622">
        <v>30495</v>
      </c>
      <c r="AB1755" s="622" t="s">
        <v>164</v>
      </c>
      <c r="AC1755" s="622">
        <v>28188</v>
      </c>
      <c r="AD1755" s="623">
        <v>0.03</v>
      </c>
      <c r="AE1755" s="621" t="s">
        <v>3373</v>
      </c>
    </row>
    <row r="1756" spans="1:31" s="572" customFormat="1">
      <c r="A1756" s="570" t="s">
        <v>3381</v>
      </c>
      <c r="B1756" s="573" t="s">
        <v>166</v>
      </c>
      <c r="C1756" s="578">
        <v>17</v>
      </c>
      <c r="D1756" s="573" t="s">
        <v>3374</v>
      </c>
      <c r="E1756" s="573" t="s">
        <v>211</v>
      </c>
      <c r="F1756" s="573" t="s">
        <v>153</v>
      </c>
      <c r="G1756" s="573">
        <v>2019</v>
      </c>
      <c r="H1756" s="573" t="s">
        <v>3375</v>
      </c>
      <c r="I1756" s="573" t="s">
        <v>3376</v>
      </c>
      <c r="J1756" s="573" t="s">
        <v>3377</v>
      </c>
      <c r="K1756" s="573">
        <v>5</v>
      </c>
      <c r="L1756" s="573">
        <v>0</v>
      </c>
      <c r="M1756" s="573" t="s">
        <v>157</v>
      </c>
      <c r="N1756" s="573">
        <v>2</v>
      </c>
      <c r="O1756" s="573" t="s">
        <v>3378</v>
      </c>
      <c r="P1756" s="571">
        <v>7700</v>
      </c>
      <c r="Q1756" s="573" t="s">
        <v>189</v>
      </c>
      <c r="R1756" s="573">
        <v>4</v>
      </c>
      <c r="S1756" s="582" t="s">
        <v>3379</v>
      </c>
      <c r="T1756" s="573" t="s">
        <v>161</v>
      </c>
      <c r="U1756" s="573">
        <v>128.30000000000001</v>
      </c>
      <c r="V1756" s="573">
        <v>21</v>
      </c>
      <c r="W1756" s="616">
        <v>5500</v>
      </c>
      <c r="X1756" s="617">
        <v>22</v>
      </c>
      <c r="Y1756" s="617" t="s">
        <v>178</v>
      </c>
      <c r="Z1756" s="617" t="s">
        <v>178</v>
      </c>
      <c r="AA1756" s="618">
        <v>30495</v>
      </c>
      <c r="AB1756" s="618" t="s">
        <v>164</v>
      </c>
      <c r="AC1756" s="618">
        <v>27606.35</v>
      </c>
      <c r="AD1756" s="619">
        <v>7.1999999999999995E-2</v>
      </c>
      <c r="AE1756" s="617" t="s">
        <v>3373</v>
      </c>
    </row>
    <row r="1757" spans="1:31" s="572" customFormat="1">
      <c r="A1757" s="570" t="s">
        <v>3382</v>
      </c>
      <c r="B1757" s="569" t="s">
        <v>169</v>
      </c>
      <c r="C1757" s="580">
        <v>11</v>
      </c>
      <c r="D1757" s="569" t="s">
        <v>3374</v>
      </c>
      <c r="E1757" s="569" t="s">
        <v>211</v>
      </c>
      <c r="F1757" s="569" t="s">
        <v>153</v>
      </c>
      <c r="G1757" s="569">
        <v>2019</v>
      </c>
      <c r="H1757" s="569" t="s">
        <v>3375</v>
      </c>
      <c r="I1757" s="569" t="s">
        <v>3384</v>
      </c>
      <c r="J1757" s="569" t="s">
        <v>3377</v>
      </c>
      <c r="K1757" s="569">
        <v>5</v>
      </c>
      <c r="L1757" s="569">
        <v>0</v>
      </c>
      <c r="M1757" s="569" t="s">
        <v>157</v>
      </c>
      <c r="N1757" s="569">
        <v>2</v>
      </c>
      <c r="O1757" s="569" t="s">
        <v>3385</v>
      </c>
      <c r="P1757" s="568">
        <v>7000</v>
      </c>
      <c r="Q1757" s="569" t="s">
        <v>231</v>
      </c>
      <c r="R1757" s="569">
        <v>6</v>
      </c>
      <c r="S1757" s="569" t="s">
        <v>3386</v>
      </c>
      <c r="T1757" s="569" t="s">
        <v>161</v>
      </c>
      <c r="U1757" s="569">
        <v>140.5</v>
      </c>
      <c r="V1757" s="569">
        <v>21</v>
      </c>
      <c r="W1757" s="620">
        <v>5800</v>
      </c>
      <c r="X1757" s="621">
        <v>20</v>
      </c>
      <c r="Y1757" s="621" t="s">
        <v>178</v>
      </c>
      <c r="Z1757" s="621" t="s">
        <v>178</v>
      </c>
      <c r="AA1757" s="622">
        <v>32095</v>
      </c>
      <c r="AB1757" s="622" t="s">
        <v>164</v>
      </c>
      <c r="AC1757" s="622">
        <v>28143.958333333336</v>
      </c>
      <c r="AD1757" s="623">
        <v>0.05</v>
      </c>
      <c r="AE1757" s="621" t="s">
        <v>3383</v>
      </c>
    </row>
    <row r="1758" spans="1:31" s="572" customFormat="1">
      <c r="A1758" s="570" t="s">
        <v>3387</v>
      </c>
      <c r="B1758" s="573" t="s">
        <v>150</v>
      </c>
      <c r="C1758" s="578">
        <v>13</v>
      </c>
      <c r="D1758" s="573" t="s">
        <v>3374</v>
      </c>
      <c r="E1758" s="573" t="s">
        <v>211</v>
      </c>
      <c r="F1758" s="573" t="s">
        <v>153</v>
      </c>
      <c r="G1758" s="573">
        <v>2019</v>
      </c>
      <c r="H1758" s="573" t="s">
        <v>3375</v>
      </c>
      <c r="I1758" s="573" t="s">
        <v>3384</v>
      </c>
      <c r="J1758" s="573" t="s">
        <v>3377</v>
      </c>
      <c r="K1758" s="573">
        <v>5</v>
      </c>
      <c r="L1758" s="573">
        <v>0</v>
      </c>
      <c r="M1758" s="573" t="s">
        <v>157</v>
      </c>
      <c r="N1758" s="573">
        <v>2</v>
      </c>
      <c r="O1758" s="573" t="s">
        <v>3385</v>
      </c>
      <c r="P1758" s="571">
        <v>7000</v>
      </c>
      <c r="Q1758" s="573" t="s">
        <v>231</v>
      </c>
      <c r="R1758" s="573">
        <v>6</v>
      </c>
      <c r="S1758" s="582" t="s">
        <v>3386</v>
      </c>
      <c r="T1758" s="573" t="s">
        <v>161</v>
      </c>
      <c r="U1758" s="573">
        <v>140.5</v>
      </c>
      <c r="V1758" s="573">
        <v>21</v>
      </c>
      <c r="W1758" s="616">
        <v>5800</v>
      </c>
      <c r="X1758" s="617">
        <v>20</v>
      </c>
      <c r="Y1758" s="617" t="s">
        <v>178</v>
      </c>
      <c r="Z1758" s="617" t="s">
        <v>178</v>
      </c>
      <c r="AA1758" s="618">
        <v>32095</v>
      </c>
      <c r="AB1758" s="618" t="s">
        <v>164</v>
      </c>
      <c r="AC1758" s="618">
        <v>29725</v>
      </c>
      <c r="AD1758" s="619">
        <v>0.03</v>
      </c>
      <c r="AE1758" s="617" t="s">
        <v>3383</v>
      </c>
    </row>
    <row r="1759" spans="1:31" s="572" customFormat="1">
      <c r="A1759" s="570" t="s">
        <v>3388</v>
      </c>
      <c r="B1759" s="569" t="s">
        <v>166</v>
      </c>
      <c r="C1759" s="580">
        <v>17</v>
      </c>
      <c r="D1759" s="569" t="s">
        <v>3374</v>
      </c>
      <c r="E1759" s="569" t="s">
        <v>211</v>
      </c>
      <c r="F1759" s="569" t="s">
        <v>153</v>
      </c>
      <c r="G1759" s="569">
        <v>2019</v>
      </c>
      <c r="H1759" s="569" t="s">
        <v>3375</v>
      </c>
      <c r="I1759" s="569" t="s">
        <v>3384</v>
      </c>
      <c r="J1759" s="569" t="s">
        <v>3377</v>
      </c>
      <c r="K1759" s="569">
        <v>5</v>
      </c>
      <c r="L1759" s="569">
        <v>0</v>
      </c>
      <c r="M1759" s="569" t="s">
        <v>157</v>
      </c>
      <c r="N1759" s="569">
        <v>2</v>
      </c>
      <c r="O1759" s="569" t="s">
        <v>3385</v>
      </c>
      <c r="P1759" s="568">
        <v>7000</v>
      </c>
      <c r="Q1759" s="569" t="s">
        <v>231</v>
      </c>
      <c r="R1759" s="569">
        <v>6</v>
      </c>
      <c r="S1759" s="569" t="s">
        <v>3386</v>
      </c>
      <c r="T1759" s="569" t="s">
        <v>161</v>
      </c>
      <c r="U1759" s="569">
        <v>140.5</v>
      </c>
      <c r="V1759" s="569">
        <v>21</v>
      </c>
      <c r="W1759" s="620">
        <v>5800</v>
      </c>
      <c r="X1759" s="621">
        <v>20</v>
      </c>
      <c r="Y1759" s="621" t="s">
        <v>178</v>
      </c>
      <c r="Z1759" s="621" t="s">
        <v>178</v>
      </c>
      <c r="AA1759" s="622">
        <v>32095</v>
      </c>
      <c r="AB1759" s="622" t="s">
        <v>164</v>
      </c>
      <c r="AC1759" s="622">
        <v>29023.47</v>
      </c>
      <c r="AD1759" s="623">
        <v>7.1999999999999995E-2</v>
      </c>
      <c r="AE1759" s="621" t="s">
        <v>3383</v>
      </c>
    </row>
    <row r="1760" spans="1:31" s="572" customFormat="1">
      <c r="A1760" s="570" t="s">
        <v>3389</v>
      </c>
      <c r="B1760" s="573" t="s">
        <v>169</v>
      </c>
      <c r="C1760" s="578">
        <v>11</v>
      </c>
      <c r="D1760" s="573" t="s">
        <v>3374</v>
      </c>
      <c r="E1760" s="573" t="s">
        <v>211</v>
      </c>
      <c r="F1760" s="573" t="s">
        <v>153</v>
      </c>
      <c r="G1760" s="573">
        <v>2019</v>
      </c>
      <c r="H1760" s="573" t="s">
        <v>3375</v>
      </c>
      <c r="I1760" s="573" t="s">
        <v>3384</v>
      </c>
      <c r="J1760" s="573" t="s">
        <v>752</v>
      </c>
      <c r="K1760" s="573">
        <v>5</v>
      </c>
      <c r="L1760" s="573">
        <v>0</v>
      </c>
      <c r="M1760" s="573" t="s">
        <v>157</v>
      </c>
      <c r="N1760" s="573">
        <v>2</v>
      </c>
      <c r="O1760" s="573" t="s">
        <v>3378</v>
      </c>
      <c r="P1760" s="571">
        <v>7000</v>
      </c>
      <c r="Q1760" s="573" t="s">
        <v>231</v>
      </c>
      <c r="R1760" s="573">
        <v>6</v>
      </c>
      <c r="S1760" s="582" t="s">
        <v>3379</v>
      </c>
      <c r="T1760" s="573" t="s">
        <v>3391</v>
      </c>
      <c r="U1760" s="573">
        <v>128.30000000000001</v>
      </c>
      <c r="V1760" s="573">
        <v>21</v>
      </c>
      <c r="W1760" s="616">
        <v>6000</v>
      </c>
      <c r="X1760" s="617">
        <v>19</v>
      </c>
      <c r="Y1760" s="617" t="s">
        <v>178</v>
      </c>
      <c r="Z1760" s="617" t="s">
        <v>178</v>
      </c>
      <c r="AA1760" s="618">
        <v>35195</v>
      </c>
      <c r="AB1760" s="618" t="s">
        <v>164</v>
      </c>
      <c r="AC1760" s="618">
        <v>31121.250000000004</v>
      </c>
      <c r="AD1760" s="619">
        <v>0.05</v>
      </c>
      <c r="AE1760" s="617" t="s">
        <v>3390</v>
      </c>
    </row>
    <row r="1761" spans="1:31" s="572" customFormat="1">
      <c r="A1761" s="570" t="s">
        <v>3392</v>
      </c>
      <c r="B1761" s="569" t="s">
        <v>169</v>
      </c>
      <c r="C1761" s="580">
        <v>11</v>
      </c>
      <c r="D1761" s="569" t="s">
        <v>3374</v>
      </c>
      <c r="E1761" s="569" t="s">
        <v>211</v>
      </c>
      <c r="F1761" s="569" t="s">
        <v>153</v>
      </c>
      <c r="G1761" s="569">
        <v>2019</v>
      </c>
      <c r="H1761" s="569" t="s">
        <v>3375</v>
      </c>
      <c r="I1761" s="569" t="s">
        <v>3384</v>
      </c>
      <c r="J1761" s="569" t="s">
        <v>752</v>
      </c>
      <c r="K1761" s="569">
        <v>5</v>
      </c>
      <c r="L1761" s="569">
        <v>0</v>
      </c>
      <c r="M1761" s="569" t="s">
        <v>157</v>
      </c>
      <c r="N1761" s="569">
        <v>2</v>
      </c>
      <c r="O1761" s="569" t="s">
        <v>3385</v>
      </c>
      <c r="P1761" s="568">
        <v>7000</v>
      </c>
      <c r="Q1761" s="569" t="s">
        <v>231</v>
      </c>
      <c r="R1761" s="569">
        <v>6</v>
      </c>
      <c r="S1761" s="569" t="s">
        <v>3386</v>
      </c>
      <c r="T1761" s="569" t="s">
        <v>3391</v>
      </c>
      <c r="U1761" s="569">
        <v>140.5</v>
      </c>
      <c r="V1761" s="569">
        <v>21</v>
      </c>
      <c r="W1761" s="620">
        <v>6000</v>
      </c>
      <c r="X1761" s="621">
        <v>19</v>
      </c>
      <c r="Y1761" s="621" t="s">
        <v>178</v>
      </c>
      <c r="Z1761" s="621" t="s">
        <v>178</v>
      </c>
      <c r="AA1761" s="622">
        <v>35495</v>
      </c>
      <c r="AB1761" s="622" t="s">
        <v>164</v>
      </c>
      <c r="AC1761" s="622">
        <v>31409.375</v>
      </c>
      <c r="AD1761" s="623">
        <v>0.05</v>
      </c>
      <c r="AE1761" s="621" t="s">
        <v>3393</v>
      </c>
    </row>
    <row r="1762" spans="1:31" s="572" customFormat="1">
      <c r="A1762" s="570" t="s">
        <v>3394</v>
      </c>
      <c r="B1762" s="573" t="s">
        <v>150</v>
      </c>
      <c r="C1762" s="578">
        <v>13</v>
      </c>
      <c r="D1762" s="573" t="s">
        <v>3374</v>
      </c>
      <c r="E1762" s="573" t="s">
        <v>211</v>
      </c>
      <c r="F1762" s="573" t="s">
        <v>153</v>
      </c>
      <c r="G1762" s="573">
        <v>2019</v>
      </c>
      <c r="H1762" s="573" t="s">
        <v>3375</v>
      </c>
      <c r="I1762" s="573" t="s">
        <v>3384</v>
      </c>
      <c r="J1762" s="573" t="s">
        <v>752</v>
      </c>
      <c r="K1762" s="573">
        <v>5</v>
      </c>
      <c r="L1762" s="573">
        <v>0</v>
      </c>
      <c r="M1762" s="573" t="s">
        <v>157</v>
      </c>
      <c r="N1762" s="573">
        <v>2</v>
      </c>
      <c r="O1762" s="573" t="s">
        <v>3378</v>
      </c>
      <c r="P1762" s="571">
        <v>7000</v>
      </c>
      <c r="Q1762" s="573" t="s">
        <v>231</v>
      </c>
      <c r="R1762" s="573">
        <v>6</v>
      </c>
      <c r="S1762" s="582" t="s">
        <v>3379</v>
      </c>
      <c r="T1762" s="573" t="s">
        <v>3391</v>
      </c>
      <c r="U1762" s="573">
        <v>128.30000000000001</v>
      </c>
      <c r="V1762" s="573">
        <v>21</v>
      </c>
      <c r="W1762" s="616">
        <v>6000</v>
      </c>
      <c r="X1762" s="617">
        <v>19</v>
      </c>
      <c r="Y1762" s="617" t="s">
        <v>178</v>
      </c>
      <c r="Z1762" s="617" t="s">
        <v>178</v>
      </c>
      <c r="AA1762" s="618">
        <v>35195</v>
      </c>
      <c r="AB1762" s="618" t="s">
        <v>164</v>
      </c>
      <c r="AC1762" s="618">
        <v>32752</v>
      </c>
      <c r="AD1762" s="619">
        <v>0.03</v>
      </c>
      <c r="AE1762" s="617" t="s">
        <v>3390</v>
      </c>
    </row>
    <row r="1763" spans="1:31" s="572" customFormat="1">
      <c r="A1763" s="570" t="s">
        <v>3395</v>
      </c>
      <c r="B1763" s="569" t="s">
        <v>150</v>
      </c>
      <c r="C1763" s="580">
        <v>13</v>
      </c>
      <c r="D1763" s="569" t="s">
        <v>3374</v>
      </c>
      <c r="E1763" s="569" t="s">
        <v>211</v>
      </c>
      <c r="F1763" s="569" t="s">
        <v>153</v>
      </c>
      <c r="G1763" s="569">
        <v>2019</v>
      </c>
      <c r="H1763" s="569" t="s">
        <v>3375</v>
      </c>
      <c r="I1763" s="569" t="s">
        <v>3384</v>
      </c>
      <c r="J1763" s="569" t="s">
        <v>752</v>
      </c>
      <c r="K1763" s="569">
        <v>5</v>
      </c>
      <c r="L1763" s="569">
        <v>0</v>
      </c>
      <c r="M1763" s="569" t="s">
        <v>157</v>
      </c>
      <c r="N1763" s="569">
        <v>2</v>
      </c>
      <c r="O1763" s="569" t="s">
        <v>3385</v>
      </c>
      <c r="P1763" s="568">
        <v>7000</v>
      </c>
      <c r="Q1763" s="569" t="s">
        <v>231</v>
      </c>
      <c r="R1763" s="569">
        <v>6</v>
      </c>
      <c r="S1763" s="569" t="s">
        <v>3386</v>
      </c>
      <c r="T1763" s="569" t="s">
        <v>3391</v>
      </c>
      <c r="U1763" s="569">
        <v>140.5</v>
      </c>
      <c r="V1763" s="569">
        <v>21</v>
      </c>
      <c r="W1763" s="620">
        <v>6000</v>
      </c>
      <c r="X1763" s="621">
        <v>19</v>
      </c>
      <c r="Y1763" s="621" t="s">
        <v>178</v>
      </c>
      <c r="Z1763" s="621" t="s">
        <v>178</v>
      </c>
      <c r="AA1763" s="622">
        <v>35495</v>
      </c>
      <c r="AB1763" s="622" t="s">
        <v>164</v>
      </c>
      <c r="AC1763" s="622">
        <v>33028</v>
      </c>
      <c r="AD1763" s="623">
        <v>0.03</v>
      </c>
      <c r="AE1763" s="621" t="s">
        <v>3393</v>
      </c>
    </row>
    <row r="1764" spans="1:31" s="572" customFormat="1">
      <c r="A1764" s="570" t="s">
        <v>3396</v>
      </c>
      <c r="B1764" s="573" t="s">
        <v>166</v>
      </c>
      <c r="C1764" s="578">
        <v>17</v>
      </c>
      <c r="D1764" s="573" t="s">
        <v>3374</v>
      </c>
      <c r="E1764" s="573" t="s">
        <v>211</v>
      </c>
      <c r="F1764" s="573" t="s">
        <v>153</v>
      </c>
      <c r="G1764" s="573">
        <v>2019</v>
      </c>
      <c r="H1764" s="573" t="s">
        <v>3375</v>
      </c>
      <c r="I1764" s="573" t="s">
        <v>3384</v>
      </c>
      <c r="J1764" s="573" t="s">
        <v>752</v>
      </c>
      <c r="K1764" s="573">
        <v>5</v>
      </c>
      <c r="L1764" s="573">
        <v>0</v>
      </c>
      <c r="M1764" s="573" t="s">
        <v>157</v>
      </c>
      <c r="N1764" s="573">
        <v>2</v>
      </c>
      <c r="O1764" s="573" t="s">
        <v>3378</v>
      </c>
      <c r="P1764" s="571">
        <v>7000</v>
      </c>
      <c r="Q1764" s="573" t="s">
        <v>231</v>
      </c>
      <c r="R1764" s="573">
        <v>6</v>
      </c>
      <c r="S1764" s="582" t="s">
        <v>3379</v>
      </c>
      <c r="T1764" s="573" t="s">
        <v>3391</v>
      </c>
      <c r="U1764" s="573">
        <v>128.30000000000001</v>
      </c>
      <c r="V1764" s="573">
        <v>21</v>
      </c>
      <c r="W1764" s="616">
        <v>6000</v>
      </c>
      <c r="X1764" s="617">
        <v>19</v>
      </c>
      <c r="Y1764" s="617" t="s">
        <v>178</v>
      </c>
      <c r="Z1764" s="617" t="s">
        <v>178</v>
      </c>
      <c r="AA1764" s="618">
        <v>35195</v>
      </c>
      <c r="AB1764" s="618" t="s">
        <v>164</v>
      </c>
      <c r="AC1764" s="618">
        <v>32197</v>
      </c>
      <c r="AD1764" s="619">
        <v>7.1999999999999995E-2</v>
      </c>
      <c r="AE1764" s="617" t="s">
        <v>3390</v>
      </c>
    </row>
    <row r="1765" spans="1:31" s="572" customFormat="1">
      <c r="A1765" s="570" t="s">
        <v>3397</v>
      </c>
      <c r="B1765" s="569" t="s">
        <v>166</v>
      </c>
      <c r="C1765" s="580">
        <v>17</v>
      </c>
      <c r="D1765" s="569" t="s">
        <v>3374</v>
      </c>
      <c r="E1765" s="569" t="s">
        <v>211</v>
      </c>
      <c r="F1765" s="569" t="s">
        <v>153</v>
      </c>
      <c r="G1765" s="569">
        <v>2019</v>
      </c>
      <c r="H1765" s="569" t="s">
        <v>3375</v>
      </c>
      <c r="I1765" s="569" t="s">
        <v>3384</v>
      </c>
      <c r="J1765" s="569" t="s">
        <v>752</v>
      </c>
      <c r="K1765" s="569">
        <v>5</v>
      </c>
      <c r="L1765" s="569">
        <v>0</v>
      </c>
      <c r="M1765" s="569" t="s">
        <v>157</v>
      </c>
      <c r="N1765" s="569">
        <v>2</v>
      </c>
      <c r="O1765" s="569" t="s">
        <v>3385</v>
      </c>
      <c r="P1765" s="568">
        <v>7000</v>
      </c>
      <c r="Q1765" s="569" t="s">
        <v>231</v>
      </c>
      <c r="R1765" s="569">
        <v>6</v>
      </c>
      <c r="S1765" s="569" t="s">
        <v>3386</v>
      </c>
      <c r="T1765" s="569" t="s">
        <v>3391</v>
      </c>
      <c r="U1765" s="569">
        <v>140.5</v>
      </c>
      <c r="V1765" s="569">
        <v>21</v>
      </c>
      <c r="W1765" s="620">
        <v>6000</v>
      </c>
      <c r="X1765" s="621">
        <v>19</v>
      </c>
      <c r="Y1765" s="621" t="s">
        <v>178</v>
      </c>
      <c r="Z1765" s="621" t="s">
        <v>178</v>
      </c>
      <c r="AA1765" s="622">
        <v>35495</v>
      </c>
      <c r="AB1765" s="622" t="s">
        <v>164</v>
      </c>
      <c r="AC1765" s="622">
        <v>32524.71</v>
      </c>
      <c r="AD1765" s="623">
        <v>7.1999999999999995E-2</v>
      </c>
      <c r="AE1765" s="621" t="s">
        <v>3393</v>
      </c>
    </row>
    <row r="1766" spans="1:31" s="572" customFormat="1">
      <c r="A1766" s="570" t="s">
        <v>3398</v>
      </c>
      <c r="B1766" s="573" t="s">
        <v>169</v>
      </c>
      <c r="C1766" s="578">
        <v>11</v>
      </c>
      <c r="D1766" s="573" t="s">
        <v>3374</v>
      </c>
      <c r="E1766" s="573" t="s">
        <v>211</v>
      </c>
      <c r="F1766" s="573" t="s">
        <v>153</v>
      </c>
      <c r="G1766" s="573">
        <v>2019</v>
      </c>
      <c r="H1766" s="573" t="s">
        <v>3375</v>
      </c>
      <c r="I1766" s="573" t="s">
        <v>3400</v>
      </c>
      <c r="J1766" s="573" t="s">
        <v>3377</v>
      </c>
      <c r="K1766" s="573">
        <v>4</v>
      </c>
      <c r="L1766" s="573">
        <v>0</v>
      </c>
      <c r="M1766" s="573" t="s">
        <v>157</v>
      </c>
      <c r="N1766" s="573">
        <v>2</v>
      </c>
      <c r="O1766" s="573" t="s">
        <v>3385</v>
      </c>
      <c r="P1766" s="571">
        <v>7000</v>
      </c>
      <c r="Q1766" s="573" t="s">
        <v>189</v>
      </c>
      <c r="R1766" s="573">
        <v>4</v>
      </c>
      <c r="S1766" s="582" t="s">
        <v>3401</v>
      </c>
      <c r="T1766" s="573" t="s">
        <v>161</v>
      </c>
      <c r="U1766" s="573">
        <v>128.30000000000001</v>
      </c>
      <c r="V1766" s="573">
        <v>21</v>
      </c>
      <c r="W1766" s="616">
        <v>5400</v>
      </c>
      <c r="X1766" s="617">
        <v>22</v>
      </c>
      <c r="Y1766" s="617" t="s">
        <v>178</v>
      </c>
      <c r="Z1766" s="617" t="s">
        <v>178</v>
      </c>
      <c r="AA1766" s="618">
        <v>28495</v>
      </c>
      <c r="AB1766" s="618" t="s">
        <v>164</v>
      </c>
      <c r="AC1766" s="618">
        <v>24686.458333333336</v>
      </c>
      <c r="AD1766" s="619">
        <v>0.05</v>
      </c>
      <c r="AE1766" s="617" t="s">
        <v>3399</v>
      </c>
    </row>
    <row r="1767" spans="1:31" s="572" customFormat="1">
      <c r="A1767" s="570" t="s">
        <v>3402</v>
      </c>
      <c r="B1767" s="569" t="s">
        <v>150</v>
      </c>
      <c r="C1767" s="580">
        <v>13</v>
      </c>
      <c r="D1767" s="569" t="s">
        <v>3374</v>
      </c>
      <c r="E1767" s="569" t="s">
        <v>211</v>
      </c>
      <c r="F1767" s="569" t="s">
        <v>153</v>
      </c>
      <c r="G1767" s="569">
        <v>2019</v>
      </c>
      <c r="H1767" s="569" t="s">
        <v>3375</v>
      </c>
      <c r="I1767" s="569" t="s">
        <v>3400</v>
      </c>
      <c r="J1767" s="569" t="s">
        <v>3377</v>
      </c>
      <c r="K1767" s="569">
        <v>4</v>
      </c>
      <c r="L1767" s="569">
        <v>0</v>
      </c>
      <c r="M1767" s="569" t="s">
        <v>157</v>
      </c>
      <c r="N1767" s="569">
        <v>2</v>
      </c>
      <c r="O1767" s="569" t="s">
        <v>3385</v>
      </c>
      <c r="P1767" s="568">
        <v>7000</v>
      </c>
      <c r="Q1767" s="569" t="s">
        <v>189</v>
      </c>
      <c r="R1767" s="569">
        <v>4</v>
      </c>
      <c r="S1767" s="569" t="s">
        <v>3401</v>
      </c>
      <c r="T1767" s="569" t="s">
        <v>161</v>
      </c>
      <c r="U1767" s="569">
        <v>128.30000000000001</v>
      </c>
      <c r="V1767" s="569">
        <v>21</v>
      </c>
      <c r="W1767" s="620">
        <v>5400</v>
      </c>
      <c r="X1767" s="621">
        <v>22</v>
      </c>
      <c r="Y1767" s="621" t="s">
        <v>178</v>
      </c>
      <c r="Z1767" s="621" t="s">
        <v>178</v>
      </c>
      <c r="AA1767" s="622">
        <v>28495</v>
      </c>
      <c r="AB1767" s="622" t="s">
        <v>164</v>
      </c>
      <c r="AC1767" s="622">
        <v>26804</v>
      </c>
      <c r="AD1767" s="623">
        <v>0.03</v>
      </c>
      <c r="AE1767" s="621" t="s">
        <v>3399</v>
      </c>
    </row>
    <row r="1768" spans="1:31" s="572" customFormat="1">
      <c r="A1768" s="570" t="s">
        <v>3403</v>
      </c>
      <c r="B1768" s="573" t="s">
        <v>166</v>
      </c>
      <c r="C1768" s="578">
        <v>17</v>
      </c>
      <c r="D1768" s="573" t="s">
        <v>3374</v>
      </c>
      <c r="E1768" s="573" t="s">
        <v>211</v>
      </c>
      <c r="F1768" s="573" t="s">
        <v>153</v>
      </c>
      <c r="G1768" s="573">
        <v>2019</v>
      </c>
      <c r="H1768" s="573" t="s">
        <v>3375</v>
      </c>
      <c r="I1768" s="573" t="s">
        <v>3400</v>
      </c>
      <c r="J1768" s="573" t="s">
        <v>3377</v>
      </c>
      <c r="K1768" s="573">
        <v>4</v>
      </c>
      <c r="L1768" s="573">
        <v>0</v>
      </c>
      <c r="M1768" s="573" t="s">
        <v>157</v>
      </c>
      <c r="N1768" s="573">
        <v>2</v>
      </c>
      <c r="O1768" s="573" t="s">
        <v>3385</v>
      </c>
      <c r="P1768" s="571">
        <v>7000</v>
      </c>
      <c r="Q1768" s="573" t="s">
        <v>189</v>
      </c>
      <c r="R1768" s="573">
        <v>4</v>
      </c>
      <c r="S1768" s="582" t="s">
        <v>3401</v>
      </c>
      <c r="T1768" s="573" t="s">
        <v>161</v>
      </c>
      <c r="U1768" s="573">
        <v>128.30000000000001</v>
      </c>
      <c r="V1768" s="573">
        <v>21</v>
      </c>
      <c r="W1768" s="616">
        <v>5400</v>
      </c>
      <c r="X1768" s="617">
        <v>22</v>
      </c>
      <c r="Y1768" s="617" t="s">
        <v>178</v>
      </c>
      <c r="Z1768" s="617" t="s">
        <v>178</v>
      </c>
      <c r="AA1768" s="618">
        <v>28495</v>
      </c>
      <c r="AB1768" s="618" t="s">
        <v>164</v>
      </c>
      <c r="AC1768" s="618">
        <v>25796.639999999999</v>
      </c>
      <c r="AD1768" s="619">
        <v>7.1999999999999995E-2</v>
      </c>
      <c r="AE1768" s="617" t="s">
        <v>3399</v>
      </c>
    </row>
    <row r="1769" spans="1:31" s="572" customFormat="1">
      <c r="A1769" s="570" t="s">
        <v>3404</v>
      </c>
      <c r="B1769" s="569" t="s">
        <v>169</v>
      </c>
      <c r="C1769" s="580">
        <v>11</v>
      </c>
      <c r="D1769" s="569" t="s">
        <v>3374</v>
      </c>
      <c r="E1769" s="569" t="s">
        <v>211</v>
      </c>
      <c r="F1769" s="569" t="s">
        <v>153</v>
      </c>
      <c r="G1769" s="569">
        <v>2019</v>
      </c>
      <c r="H1769" s="569" t="s">
        <v>3375</v>
      </c>
      <c r="I1769" s="569" t="s">
        <v>3400</v>
      </c>
      <c r="J1769" s="569" t="s">
        <v>752</v>
      </c>
      <c r="K1769" s="569">
        <v>4</v>
      </c>
      <c r="L1769" s="569">
        <v>0</v>
      </c>
      <c r="M1769" s="569" t="s">
        <v>157</v>
      </c>
      <c r="N1769" s="569">
        <v>2</v>
      </c>
      <c r="O1769" s="569" t="s">
        <v>3385</v>
      </c>
      <c r="P1769" s="568">
        <v>7000</v>
      </c>
      <c r="Q1769" s="569" t="s">
        <v>189</v>
      </c>
      <c r="R1769" s="569">
        <v>4</v>
      </c>
      <c r="S1769" s="569" t="s">
        <v>3401</v>
      </c>
      <c r="T1769" s="569" t="s">
        <v>3391</v>
      </c>
      <c r="U1769" s="569">
        <v>128.30000000000001</v>
      </c>
      <c r="V1769" s="569">
        <v>21</v>
      </c>
      <c r="W1769" s="620">
        <v>5600</v>
      </c>
      <c r="X1769" s="621">
        <v>21</v>
      </c>
      <c r="Y1769" s="621" t="s">
        <v>178</v>
      </c>
      <c r="Z1769" s="621" t="s">
        <v>178</v>
      </c>
      <c r="AA1769" s="622">
        <v>32195</v>
      </c>
      <c r="AB1769" s="622" t="s">
        <v>164</v>
      </c>
      <c r="AC1769" s="622">
        <v>28240.000000000004</v>
      </c>
      <c r="AD1769" s="623">
        <v>0.05</v>
      </c>
      <c r="AE1769" s="621" t="s">
        <v>3405</v>
      </c>
    </row>
    <row r="1770" spans="1:31" s="572" customFormat="1">
      <c r="A1770" s="570" t="s">
        <v>3406</v>
      </c>
      <c r="B1770" s="573" t="s">
        <v>150</v>
      </c>
      <c r="C1770" s="578">
        <v>13</v>
      </c>
      <c r="D1770" s="573" t="s">
        <v>3374</v>
      </c>
      <c r="E1770" s="573" t="s">
        <v>211</v>
      </c>
      <c r="F1770" s="573" t="s">
        <v>153</v>
      </c>
      <c r="G1770" s="573">
        <v>2019</v>
      </c>
      <c r="H1770" s="573" t="s">
        <v>3375</v>
      </c>
      <c r="I1770" s="573" t="s">
        <v>3400</v>
      </c>
      <c r="J1770" s="573" t="s">
        <v>752</v>
      </c>
      <c r="K1770" s="573">
        <v>4</v>
      </c>
      <c r="L1770" s="573">
        <v>0</v>
      </c>
      <c r="M1770" s="573" t="s">
        <v>157</v>
      </c>
      <c r="N1770" s="573">
        <v>2</v>
      </c>
      <c r="O1770" s="573" t="s">
        <v>3385</v>
      </c>
      <c r="P1770" s="571">
        <v>7000</v>
      </c>
      <c r="Q1770" s="573" t="s">
        <v>189</v>
      </c>
      <c r="R1770" s="573">
        <v>4</v>
      </c>
      <c r="S1770" s="582" t="s">
        <v>3401</v>
      </c>
      <c r="T1770" s="573" t="s">
        <v>3391</v>
      </c>
      <c r="U1770" s="573">
        <v>128.30000000000001</v>
      </c>
      <c r="V1770" s="573">
        <v>21</v>
      </c>
      <c r="W1770" s="616">
        <v>5600</v>
      </c>
      <c r="X1770" s="617">
        <v>21</v>
      </c>
      <c r="Y1770" s="617" t="s">
        <v>178</v>
      </c>
      <c r="Z1770" s="617" t="s">
        <v>178</v>
      </c>
      <c r="AA1770" s="618">
        <v>32195</v>
      </c>
      <c r="AB1770" s="618" t="s">
        <v>164</v>
      </c>
      <c r="AC1770" s="618">
        <v>30378</v>
      </c>
      <c r="AD1770" s="619">
        <v>0.03</v>
      </c>
      <c r="AE1770" s="617" t="s">
        <v>3405</v>
      </c>
    </row>
    <row r="1771" spans="1:31" s="572" customFormat="1">
      <c r="A1771" s="570" t="s">
        <v>3407</v>
      </c>
      <c r="B1771" s="569" t="s">
        <v>166</v>
      </c>
      <c r="C1771" s="580">
        <v>17</v>
      </c>
      <c r="D1771" s="569" t="s">
        <v>3374</v>
      </c>
      <c r="E1771" s="569" t="s">
        <v>211</v>
      </c>
      <c r="F1771" s="569" t="s">
        <v>153</v>
      </c>
      <c r="G1771" s="569">
        <v>2019</v>
      </c>
      <c r="H1771" s="569" t="s">
        <v>3375</v>
      </c>
      <c r="I1771" s="569" t="s">
        <v>3400</v>
      </c>
      <c r="J1771" s="569" t="s">
        <v>752</v>
      </c>
      <c r="K1771" s="569">
        <v>4</v>
      </c>
      <c r="L1771" s="569">
        <v>0</v>
      </c>
      <c r="M1771" s="569" t="s">
        <v>157</v>
      </c>
      <c r="N1771" s="569">
        <v>2</v>
      </c>
      <c r="O1771" s="569" t="s">
        <v>3385</v>
      </c>
      <c r="P1771" s="568">
        <v>7000</v>
      </c>
      <c r="Q1771" s="569" t="s">
        <v>189</v>
      </c>
      <c r="R1771" s="569">
        <v>4</v>
      </c>
      <c r="S1771" s="569" t="s">
        <v>3401</v>
      </c>
      <c r="T1771" s="569" t="s">
        <v>3391</v>
      </c>
      <c r="U1771" s="569">
        <v>128.30000000000001</v>
      </c>
      <c r="V1771" s="569">
        <v>21</v>
      </c>
      <c r="W1771" s="620">
        <v>5600</v>
      </c>
      <c r="X1771" s="621">
        <v>21</v>
      </c>
      <c r="Y1771" s="621" t="s">
        <v>178</v>
      </c>
      <c r="Z1771" s="621" t="s">
        <v>178</v>
      </c>
      <c r="AA1771" s="622">
        <v>32195</v>
      </c>
      <c r="AB1771" s="622" t="s">
        <v>164</v>
      </c>
      <c r="AC1771" s="622">
        <v>29530</v>
      </c>
      <c r="AD1771" s="623">
        <v>7.1999999999999995E-2</v>
      </c>
      <c r="AE1771" s="621" t="s">
        <v>3405</v>
      </c>
    </row>
    <row r="1772" spans="1:31" s="572" customFormat="1">
      <c r="A1772" s="570" t="s">
        <v>3408</v>
      </c>
      <c r="B1772" s="573" t="s">
        <v>169</v>
      </c>
      <c r="C1772" s="578">
        <v>11</v>
      </c>
      <c r="D1772" s="573" t="s">
        <v>3374</v>
      </c>
      <c r="E1772" s="573" t="s">
        <v>211</v>
      </c>
      <c r="F1772" s="573" t="s">
        <v>153</v>
      </c>
      <c r="G1772" s="573">
        <v>2019</v>
      </c>
      <c r="H1772" s="573" t="s">
        <v>3375</v>
      </c>
      <c r="I1772" s="573" t="s">
        <v>3410</v>
      </c>
      <c r="J1772" s="573" t="s">
        <v>752</v>
      </c>
      <c r="K1772" s="573">
        <v>5</v>
      </c>
      <c r="L1772" s="573">
        <v>0</v>
      </c>
      <c r="M1772" s="573" t="s">
        <v>157</v>
      </c>
      <c r="N1772" s="573">
        <v>2</v>
      </c>
      <c r="O1772" s="573" t="s">
        <v>3378</v>
      </c>
      <c r="P1772" s="571">
        <v>7000</v>
      </c>
      <c r="Q1772" s="573" t="s">
        <v>231</v>
      </c>
      <c r="R1772" s="573">
        <v>6</v>
      </c>
      <c r="S1772" s="582" t="s">
        <v>3411</v>
      </c>
      <c r="T1772" s="573" t="s">
        <v>3412</v>
      </c>
      <c r="U1772" s="573">
        <v>128.30000000000001</v>
      </c>
      <c r="V1772" s="573">
        <v>21</v>
      </c>
      <c r="W1772" s="616">
        <v>6000</v>
      </c>
      <c r="X1772" s="617">
        <v>19</v>
      </c>
      <c r="Y1772" s="617" t="s">
        <v>178</v>
      </c>
      <c r="Z1772" s="617" t="s">
        <v>178</v>
      </c>
      <c r="AA1772" s="618">
        <v>32595</v>
      </c>
      <c r="AB1772" s="618" t="s">
        <v>164</v>
      </c>
      <c r="AC1772" s="618">
        <v>28623.958333333336</v>
      </c>
      <c r="AD1772" s="619">
        <v>0.05</v>
      </c>
      <c r="AE1772" s="617" t="s">
        <v>3409</v>
      </c>
    </row>
    <row r="1773" spans="1:31" s="572" customFormat="1">
      <c r="A1773" s="570" t="s">
        <v>3413</v>
      </c>
      <c r="B1773" s="569" t="s">
        <v>169</v>
      </c>
      <c r="C1773" s="580">
        <v>11</v>
      </c>
      <c r="D1773" s="569" t="s">
        <v>3374</v>
      </c>
      <c r="E1773" s="569" t="s">
        <v>211</v>
      </c>
      <c r="F1773" s="569" t="s">
        <v>153</v>
      </c>
      <c r="G1773" s="569">
        <v>2019</v>
      </c>
      <c r="H1773" s="569" t="s">
        <v>3375</v>
      </c>
      <c r="I1773" s="569" t="s">
        <v>3410</v>
      </c>
      <c r="J1773" s="569" t="s">
        <v>752</v>
      </c>
      <c r="K1773" s="569">
        <v>5</v>
      </c>
      <c r="L1773" s="569">
        <v>0</v>
      </c>
      <c r="M1773" s="569" t="s">
        <v>157</v>
      </c>
      <c r="N1773" s="569">
        <v>2</v>
      </c>
      <c r="O1773" s="569" t="s">
        <v>3385</v>
      </c>
      <c r="P1773" s="568">
        <v>7000</v>
      </c>
      <c r="Q1773" s="569" t="s">
        <v>231</v>
      </c>
      <c r="R1773" s="569">
        <v>6</v>
      </c>
      <c r="S1773" s="569" t="s">
        <v>3415</v>
      </c>
      <c r="T1773" s="569" t="s">
        <v>3412</v>
      </c>
      <c r="U1773" s="569">
        <v>140.5</v>
      </c>
      <c r="V1773" s="569">
        <v>21</v>
      </c>
      <c r="W1773" s="620">
        <v>6000</v>
      </c>
      <c r="X1773" s="621">
        <v>19</v>
      </c>
      <c r="Y1773" s="621" t="s">
        <v>178</v>
      </c>
      <c r="Z1773" s="621" t="s">
        <v>178</v>
      </c>
      <c r="AA1773" s="622">
        <v>32895</v>
      </c>
      <c r="AB1773" s="622" t="s">
        <v>164</v>
      </c>
      <c r="AC1773" s="622">
        <v>28912.291666666668</v>
      </c>
      <c r="AD1773" s="623">
        <v>0.05</v>
      </c>
      <c r="AE1773" s="621" t="s">
        <v>3414</v>
      </c>
    </row>
    <row r="1774" spans="1:31" s="572" customFormat="1">
      <c r="A1774" s="570" t="s">
        <v>3416</v>
      </c>
      <c r="B1774" s="573" t="s">
        <v>150</v>
      </c>
      <c r="C1774" s="578">
        <v>13</v>
      </c>
      <c r="D1774" s="573" t="s">
        <v>3374</v>
      </c>
      <c r="E1774" s="573" t="s">
        <v>211</v>
      </c>
      <c r="F1774" s="573" t="s">
        <v>153</v>
      </c>
      <c r="G1774" s="573">
        <v>2019</v>
      </c>
      <c r="H1774" s="573" t="s">
        <v>3375</v>
      </c>
      <c r="I1774" s="573" t="s">
        <v>3410</v>
      </c>
      <c r="J1774" s="573" t="s">
        <v>752</v>
      </c>
      <c r="K1774" s="573">
        <v>5</v>
      </c>
      <c r="L1774" s="573">
        <v>0</v>
      </c>
      <c r="M1774" s="573" t="s">
        <v>157</v>
      </c>
      <c r="N1774" s="573">
        <v>2</v>
      </c>
      <c r="O1774" s="573" t="s">
        <v>3378</v>
      </c>
      <c r="P1774" s="571">
        <v>7000</v>
      </c>
      <c r="Q1774" s="573" t="s">
        <v>231</v>
      </c>
      <c r="R1774" s="573">
        <v>6</v>
      </c>
      <c r="S1774" s="582" t="s">
        <v>3411</v>
      </c>
      <c r="T1774" s="573" t="s">
        <v>3412</v>
      </c>
      <c r="U1774" s="573">
        <v>128.30000000000001</v>
      </c>
      <c r="V1774" s="573">
        <v>21</v>
      </c>
      <c r="W1774" s="616">
        <v>6000</v>
      </c>
      <c r="X1774" s="617">
        <v>19</v>
      </c>
      <c r="Y1774" s="617" t="s">
        <v>178</v>
      </c>
      <c r="Z1774" s="617" t="s">
        <v>178</v>
      </c>
      <c r="AA1774" s="618">
        <v>32595</v>
      </c>
      <c r="AB1774" s="618" t="s">
        <v>164</v>
      </c>
      <c r="AC1774" s="618">
        <v>30401</v>
      </c>
      <c r="AD1774" s="619">
        <v>0.03</v>
      </c>
      <c r="AE1774" s="617" t="s">
        <v>3409</v>
      </c>
    </row>
    <row r="1775" spans="1:31" s="572" customFormat="1">
      <c r="A1775" s="570" t="s">
        <v>3417</v>
      </c>
      <c r="B1775" s="569" t="s">
        <v>150</v>
      </c>
      <c r="C1775" s="580">
        <v>13</v>
      </c>
      <c r="D1775" s="569" t="s">
        <v>3374</v>
      </c>
      <c r="E1775" s="569" t="s">
        <v>211</v>
      </c>
      <c r="F1775" s="569" t="s">
        <v>153</v>
      </c>
      <c r="G1775" s="569">
        <v>2019</v>
      </c>
      <c r="H1775" s="569" t="s">
        <v>3375</v>
      </c>
      <c r="I1775" s="569" t="s">
        <v>3410</v>
      </c>
      <c r="J1775" s="569" t="s">
        <v>752</v>
      </c>
      <c r="K1775" s="569">
        <v>5</v>
      </c>
      <c r="L1775" s="569">
        <v>0</v>
      </c>
      <c r="M1775" s="569" t="s">
        <v>157</v>
      </c>
      <c r="N1775" s="569">
        <v>2</v>
      </c>
      <c r="O1775" s="569" t="s">
        <v>3385</v>
      </c>
      <c r="P1775" s="568">
        <v>7000</v>
      </c>
      <c r="Q1775" s="569" t="s">
        <v>231</v>
      </c>
      <c r="R1775" s="569">
        <v>6</v>
      </c>
      <c r="S1775" s="569" t="s">
        <v>3415</v>
      </c>
      <c r="T1775" s="569" t="s">
        <v>3412</v>
      </c>
      <c r="U1775" s="569">
        <v>140.5</v>
      </c>
      <c r="V1775" s="569">
        <v>21</v>
      </c>
      <c r="W1775" s="620">
        <v>6000</v>
      </c>
      <c r="X1775" s="621">
        <v>19</v>
      </c>
      <c r="Y1775" s="621" t="s">
        <v>178</v>
      </c>
      <c r="Z1775" s="621" t="s">
        <v>178</v>
      </c>
      <c r="AA1775" s="622">
        <v>32895</v>
      </c>
      <c r="AB1775" s="622" t="s">
        <v>164</v>
      </c>
      <c r="AC1775" s="622">
        <v>30677</v>
      </c>
      <c r="AD1775" s="623">
        <v>0.03</v>
      </c>
      <c r="AE1775" s="621" t="s">
        <v>3414</v>
      </c>
    </row>
    <row r="1776" spans="1:31" s="572" customFormat="1">
      <c r="A1776" s="570" t="s">
        <v>3418</v>
      </c>
      <c r="B1776" s="573" t="s">
        <v>166</v>
      </c>
      <c r="C1776" s="578">
        <v>17</v>
      </c>
      <c r="D1776" s="573" t="s">
        <v>3374</v>
      </c>
      <c r="E1776" s="573" t="s">
        <v>211</v>
      </c>
      <c r="F1776" s="573" t="s">
        <v>153</v>
      </c>
      <c r="G1776" s="573">
        <v>2019</v>
      </c>
      <c r="H1776" s="573" t="s">
        <v>3375</v>
      </c>
      <c r="I1776" s="573" t="s">
        <v>3410</v>
      </c>
      <c r="J1776" s="573" t="s">
        <v>752</v>
      </c>
      <c r="K1776" s="573">
        <v>5</v>
      </c>
      <c r="L1776" s="573">
        <v>0</v>
      </c>
      <c r="M1776" s="573" t="s">
        <v>157</v>
      </c>
      <c r="N1776" s="573">
        <v>2</v>
      </c>
      <c r="O1776" s="573" t="s">
        <v>3378</v>
      </c>
      <c r="P1776" s="571">
        <v>7000</v>
      </c>
      <c r="Q1776" s="573" t="s">
        <v>231</v>
      </c>
      <c r="R1776" s="573">
        <v>6</v>
      </c>
      <c r="S1776" s="582" t="s">
        <v>3411</v>
      </c>
      <c r="T1776" s="573" t="s">
        <v>3412</v>
      </c>
      <c r="U1776" s="573">
        <v>128.30000000000001</v>
      </c>
      <c r="V1776" s="573">
        <v>21</v>
      </c>
      <c r="W1776" s="616">
        <v>6000</v>
      </c>
      <c r="X1776" s="617">
        <v>19</v>
      </c>
      <c r="Y1776" s="617" t="s">
        <v>178</v>
      </c>
      <c r="Z1776" s="617" t="s">
        <v>178</v>
      </c>
      <c r="AA1776" s="618">
        <v>32595</v>
      </c>
      <c r="AB1776" s="618" t="s">
        <v>164</v>
      </c>
      <c r="AC1776" s="618">
        <v>29985.91</v>
      </c>
      <c r="AD1776" s="619">
        <v>7.1999999999999995E-2</v>
      </c>
      <c r="AE1776" s="617" t="s">
        <v>3409</v>
      </c>
    </row>
    <row r="1777" spans="1:31" s="572" customFormat="1">
      <c r="A1777" s="570" t="s">
        <v>3419</v>
      </c>
      <c r="B1777" s="569" t="s">
        <v>166</v>
      </c>
      <c r="C1777" s="580">
        <v>17</v>
      </c>
      <c r="D1777" s="569" t="s">
        <v>3374</v>
      </c>
      <c r="E1777" s="569" t="s">
        <v>211</v>
      </c>
      <c r="F1777" s="569" t="s">
        <v>153</v>
      </c>
      <c r="G1777" s="569">
        <v>2019</v>
      </c>
      <c r="H1777" s="569" t="s">
        <v>3375</v>
      </c>
      <c r="I1777" s="569" t="s">
        <v>3410</v>
      </c>
      <c r="J1777" s="569" t="s">
        <v>752</v>
      </c>
      <c r="K1777" s="569">
        <v>5</v>
      </c>
      <c r="L1777" s="569">
        <v>0</v>
      </c>
      <c r="M1777" s="569" t="s">
        <v>157</v>
      </c>
      <c r="N1777" s="569">
        <v>2</v>
      </c>
      <c r="O1777" s="569" t="s">
        <v>3385</v>
      </c>
      <c r="P1777" s="568">
        <v>7000</v>
      </c>
      <c r="Q1777" s="569" t="s">
        <v>231</v>
      </c>
      <c r="R1777" s="569">
        <v>6</v>
      </c>
      <c r="S1777" s="569" t="s">
        <v>3415</v>
      </c>
      <c r="T1777" s="569" t="s">
        <v>3412</v>
      </c>
      <c r="U1777" s="569">
        <v>140.5</v>
      </c>
      <c r="V1777" s="569">
        <v>21</v>
      </c>
      <c r="W1777" s="620">
        <v>6000</v>
      </c>
      <c r="X1777" s="621">
        <v>19</v>
      </c>
      <c r="Y1777" s="621" t="s">
        <v>178</v>
      </c>
      <c r="Z1777" s="621" t="s">
        <v>178</v>
      </c>
      <c r="AA1777" s="622">
        <v>32895</v>
      </c>
      <c r="AB1777" s="622" t="s">
        <v>164</v>
      </c>
      <c r="AC1777" s="622">
        <v>30267.33</v>
      </c>
      <c r="AD1777" s="623">
        <v>7.1999999999999995E-2</v>
      </c>
      <c r="AE1777" s="621" t="s">
        <v>3414</v>
      </c>
    </row>
    <row r="1778" spans="1:31" s="572" customFormat="1">
      <c r="A1778" s="570" t="s">
        <v>3420</v>
      </c>
      <c r="B1778" s="573" t="s">
        <v>169</v>
      </c>
      <c r="C1778" s="578">
        <v>11</v>
      </c>
      <c r="D1778" s="573" t="s">
        <v>3374</v>
      </c>
      <c r="E1778" s="573" t="s">
        <v>211</v>
      </c>
      <c r="F1778" s="573" t="s">
        <v>153</v>
      </c>
      <c r="G1778" s="573">
        <v>2019</v>
      </c>
      <c r="H1778" s="573" t="s">
        <v>3375</v>
      </c>
      <c r="I1778" s="573" t="s">
        <v>3422</v>
      </c>
      <c r="J1778" s="573" t="s">
        <v>3377</v>
      </c>
      <c r="K1778" s="573">
        <v>4</v>
      </c>
      <c r="L1778" s="573">
        <v>0</v>
      </c>
      <c r="M1778" s="573" t="s">
        <v>157</v>
      </c>
      <c r="N1778" s="573">
        <v>2</v>
      </c>
      <c r="O1778" s="573" t="s">
        <v>3385</v>
      </c>
      <c r="P1778" s="571">
        <v>7000</v>
      </c>
      <c r="Q1778" s="573" t="s">
        <v>189</v>
      </c>
      <c r="R1778" s="573">
        <v>4</v>
      </c>
      <c r="S1778" s="582" t="s">
        <v>3423</v>
      </c>
      <c r="T1778" s="573" t="s">
        <v>3424</v>
      </c>
      <c r="U1778" s="573">
        <v>128.30000000000001</v>
      </c>
      <c r="V1778" s="573">
        <v>21</v>
      </c>
      <c r="W1778" s="616">
        <v>5400</v>
      </c>
      <c r="X1778" s="617">
        <v>22</v>
      </c>
      <c r="Y1778" s="617" t="s">
        <v>178</v>
      </c>
      <c r="Z1778" s="617" t="s">
        <v>178</v>
      </c>
      <c r="AA1778" s="618">
        <v>25645</v>
      </c>
      <c r="AB1778" s="618" t="s">
        <v>164</v>
      </c>
      <c r="AC1778" s="618">
        <v>22170.833333333336</v>
      </c>
      <c r="AD1778" s="619">
        <v>0.05</v>
      </c>
      <c r="AE1778" s="617" t="s">
        <v>3421</v>
      </c>
    </row>
    <row r="1779" spans="1:31" s="572" customFormat="1">
      <c r="A1779" s="570" t="s">
        <v>3425</v>
      </c>
      <c r="B1779" s="569" t="s">
        <v>150</v>
      </c>
      <c r="C1779" s="580">
        <v>13</v>
      </c>
      <c r="D1779" s="569" t="s">
        <v>3374</v>
      </c>
      <c r="E1779" s="569" t="s">
        <v>211</v>
      </c>
      <c r="F1779" s="569" t="s">
        <v>153</v>
      </c>
      <c r="G1779" s="569">
        <v>2019</v>
      </c>
      <c r="H1779" s="569" t="s">
        <v>3375</v>
      </c>
      <c r="I1779" s="569" t="s">
        <v>3422</v>
      </c>
      <c r="J1779" s="569" t="s">
        <v>3377</v>
      </c>
      <c r="K1779" s="569">
        <v>4</v>
      </c>
      <c r="L1779" s="569">
        <v>0</v>
      </c>
      <c r="M1779" s="569" t="s">
        <v>157</v>
      </c>
      <c r="N1779" s="569">
        <v>2</v>
      </c>
      <c r="O1779" s="569" t="s">
        <v>3385</v>
      </c>
      <c r="P1779" s="568">
        <v>7000</v>
      </c>
      <c r="Q1779" s="569" t="s">
        <v>189</v>
      </c>
      <c r="R1779" s="569">
        <v>4</v>
      </c>
      <c r="S1779" s="569" t="s">
        <v>3423</v>
      </c>
      <c r="T1779" s="569" t="s">
        <v>3424</v>
      </c>
      <c r="U1779" s="569">
        <v>128.30000000000001</v>
      </c>
      <c r="V1779" s="569">
        <v>21</v>
      </c>
      <c r="W1779" s="620">
        <v>5400</v>
      </c>
      <c r="X1779" s="621">
        <v>22</v>
      </c>
      <c r="Y1779" s="621" t="s">
        <v>178</v>
      </c>
      <c r="Z1779" s="621" t="s">
        <v>178</v>
      </c>
      <c r="AA1779" s="622">
        <v>24995</v>
      </c>
      <c r="AB1779" s="622" t="s">
        <v>164</v>
      </c>
      <c r="AC1779" s="622">
        <v>23917</v>
      </c>
      <c r="AD1779" s="623">
        <v>0.03</v>
      </c>
      <c r="AE1779" s="621" t="s">
        <v>3421</v>
      </c>
    </row>
    <row r="1780" spans="1:31" s="572" customFormat="1">
      <c r="A1780" s="570" t="s">
        <v>3426</v>
      </c>
      <c r="B1780" s="573" t="s">
        <v>166</v>
      </c>
      <c r="C1780" s="578">
        <v>17</v>
      </c>
      <c r="D1780" s="573" t="s">
        <v>3374</v>
      </c>
      <c r="E1780" s="573" t="s">
        <v>211</v>
      </c>
      <c r="F1780" s="573" t="s">
        <v>153</v>
      </c>
      <c r="G1780" s="573">
        <v>2019</v>
      </c>
      <c r="H1780" s="573" t="s">
        <v>3375</v>
      </c>
      <c r="I1780" s="573" t="s">
        <v>3422</v>
      </c>
      <c r="J1780" s="573" t="s">
        <v>3377</v>
      </c>
      <c r="K1780" s="573">
        <v>4</v>
      </c>
      <c r="L1780" s="573">
        <v>0</v>
      </c>
      <c r="M1780" s="573" t="s">
        <v>157</v>
      </c>
      <c r="N1780" s="573">
        <v>2</v>
      </c>
      <c r="O1780" s="573" t="s">
        <v>3385</v>
      </c>
      <c r="P1780" s="571">
        <v>7000</v>
      </c>
      <c r="Q1780" s="573" t="s">
        <v>189</v>
      </c>
      <c r="R1780" s="573">
        <v>4</v>
      </c>
      <c r="S1780" s="582" t="s">
        <v>3423</v>
      </c>
      <c r="T1780" s="573" t="s">
        <v>3424</v>
      </c>
      <c r="U1780" s="573">
        <v>128.30000000000001</v>
      </c>
      <c r="V1780" s="573">
        <v>21</v>
      </c>
      <c r="W1780" s="616">
        <v>5400</v>
      </c>
      <c r="X1780" s="617">
        <v>22</v>
      </c>
      <c r="Y1780" s="617" t="s">
        <v>178</v>
      </c>
      <c r="Z1780" s="617" t="s">
        <v>178</v>
      </c>
      <c r="AA1780" s="618">
        <v>21495</v>
      </c>
      <c r="AB1780" s="618" t="s">
        <v>164</v>
      </c>
      <c r="AC1780" s="618">
        <v>19995</v>
      </c>
      <c r="AD1780" s="619">
        <v>7.1999999999999995E-2</v>
      </c>
      <c r="AE1780" s="617" t="s">
        <v>3421</v>
      </c>
    </row>
    <row r="1781" spans="1:31" s="572" customFormat="1">
      <c r="A1781" s="570" t="s">
        <v>3427</v>
      </c>
      <c r="B1781" s="569" t="s">
        <v>169</v>
      </c>
      <c r="C1781" s="580">
        <v>11</v>
      </c>
      <c r="D1781" s="569" t="s">
        <v>3374</v>
      </c>
      <c r="E1781" s="569" t="s">
        <v>211</v>
      </c>
      <c r="F1781" s="569" t="s">
        <v>153</v>
      </c>
      <c r="G1781" s="569">
        <v>2019</v>
      </c>
      <c r="H1781" s="569" t="s">
        <v>3375</v>
      </c>
      <c r="I1781" s="569" t="s">
        <v>3422</v>
      </c>
      <c r="J1781" s="569" t="s">
        <v>752</v>
      </c>
      <c r="K1781" s="569">
        <v>4</v>
      </c>
      <c r="L1781" s="569">
        <v>0</v>
      </c>
      <c r="M1781" s="569" t="s">
        <v>157</v>
      </c>
      <c r="N1781" s="569">
        <v>2</v>
      </c>
      <c r="O1781" s="569" t="s">
        <v>3385</v>
      </c>
      <c r="P1781" s="568">
        <v>7000</v>
      </c>
      <c r="Q1781" s="569" t="s">
        <v>189</v>
      </c>
      <c r="R1781" s="569">
        <v>4</v>
      </c>
      <c r="S1781" s="569" t="s">
        <v>3423</v>
      </c>
      <c r="T1781" s="569" t="s">
        <v>3412</v>
      </c>
      <c r="U1781" s="569">
        <v>128.30000000000001</v>
      </c>
      <c r="V1781" s="569">
        <v>21</v>
      </c>
      <c r="W1781" s="620">
        <v>5600</v>
      </c>
      <c r="X1781" s="621">
        <v>21</v>
      </c>
      <c r="Y1781" s="621" t="s">
        <v>178</v>
      </c>
      <c r="Z1781" s="621" t="s">
        <v>178</v>
      </c>
      <c r="AA1781" s="622">
        <v>29595</v>
      </c>
      <c r="AB1781" s="622" t="s">
        <v>164</v>
      </c>
      <c r="AC1781" s="622">
        <v>26040.833333333336</v>
      </c>
      <c r="AD1781" s="623">
        <v>0.05</v>
      </c>
      <c r="AE1781" s="621" t="s">
        <v>3428</v>
      </c>
    </row>
    <row r="1782" spans="1:31" s="572" customFormat="1">
      <c r="A1782" s="570" t="s">
        <v>3429</v>
      </c>
      <c r="B1782" s="573" t="s">
        <v>150</v>
      </c>
      <c r="C1782" s="578">
        <v>13</v>
      </c>
      <c r="D1782" s="573" t="s">
        <v>3374</v>
      </c>
      <c r="E1782" s="573" t="s">
        <v>211</v>
      </c>
      <c r="F1782" s="573" t="s">
        <v>153</v>
      </c>
      <c r="G1782" s="573">
        <v>2019</v>
      </c>
      <c r="H1782" s="573" t="s">
        <v>3375</v>
      </c>
      <c r="I1782" s="573" t="s">
        <v>3422</v>
      </c>
      <c r="J1782" s="573" t="s">
        <v>752</v>
      </c>
      <c r="K1782" s="573">
        <v>4</v>
      </c>
      <c r="L1782" s="573">
        <v>0</v>
      </c>
      <c r="M1782" s="573" t="s">
        <v>157</v>
      </c>
      <c r="N1782" s="573">
        <v>2</v>
      </c>
      <c r="O1782" s="573" t="s">
        <v>3385</v>
      </c>
      <c r="P1782" s="571">
        <v>7000</v>
      </c>
      <c r="Q1782" s="573" t="s">
        <v>189</v>
      </c>
      <c r="R1782" s="573">
        <v>4</v>
      </c>
      <c r="S1782" s="582" t="s">
        <v>3423</v>
      </c>
      <c r="T1782" s="573" t="s">
        <v>3412</v>
      </c>
      <c r="U1782" s="573">
        <v>128.30000000000001</v>
      </c>
      <c r="V1782" s="573">
        <v>21</v>
      </c>
      <c r="W1782" s="616">
        <v>5600</v>
      </c>
      <c r="X1782" s="617">
        <v>21</v>
      </c>
      <c r="Y1782" s="617" t="s">
        <v>178</v>
      </c>
      <c r="Z1782" s="617" t="s">
        <v>178</v>
      </c>
      <c r="AA1782" s="618">
        <v>29595</v>
      </c>
      <c r="AB1782" s="618" t="s">
        <v>164</v>
      </c>
      <c r="AC1782" s="618">
        <v>28353</v>
      </c>
      <c r="AD1782" s="619">
        <v>0.03</v>
      </c>
      <c r="AE1782" s="617" t="s">
        <v>3428</v>
      </c>
    </row>
    <row r="1783" spans="1:31" s="572" customFormat="1">
      <c r="A1783" s="570" t="s">
        <v>3430</v>
      </c>
      <c r="B1783" s="569" t="s">
        <v>166</v>
      </c>
      <c r="C1783" s="580">
        <v>17</v>
      </c>
      <c r="D1783" s="569" t="s">
        <v>3374</v>
      </c>
      <c r="E1783" s="569" t="s">
        <v>211</v>
      </c>
      <c r="F1783" s="569" t="s">
        <v>153</v>
      </c>
      <c r="G1783" s="569">
        <v>2019</v>
      </c>
      <c r="H1783" s="569" t="s">
        <v>3375</v>
      </c>
      <c r="I1783" s="569" t="s">
        <v>3422</v>
      </c>
      <c r="J1783" s="569" t="s">
        <v>752</v>
      </c>
      <c r="K1783" s="569">
        <v>4</v>
      </c>
      <c r="L1783" s="569">
        <v>0</v>
      </c>
      <c r="M1783" s="569" t="s">
        <v>157</v>
      </c>
      <c r="N1783" s="569">
        <v>2</v>
      </c>
      <c r="O1783" s="569" t="s">
        <v>3385</v>
      </c>
      <c r="P1783" s="568">
        <v>7000</v>
      </c>
      <c r="Q1783" s="569" t="s">
        <v>189</v>
      </c>
      <c r="R1783" s="569">
        <v>4</v>
      </c>
      <c r="S1783" s="569" t="s">
        <v>3423</v>
      </c>
      <c r="T1783" s="569" t="s">
        <v>3412</v>
      </c>
      <c r="U1783" s="569">
        <v>128.30000000000001</v>
      </c>
      <c r="V1783" s="569">
        <v>21</v>
      </c>
      <c r="W1783" s="620">
        <v>5600</v>
      </c>
      <c r="X1783" s="621">
        <v>21</v>
      </c>
      <c r="Y1783" s="621" t="s">
        <v>178</v>
      </c>
      <c r="Z1783" s="621" t="s">
        <v>178</v>
      </c>
      <c r="AA1783" s="622">
        <v>29595</v>
      </c>
      <c r="AB1783" s="622" t="s">
        <v>164</v>
      </c>
      <c r="AC1783" s="622">
        <v>27532.240000000002</v>
      </c>
      <c r="AD1783" s="623">
        <v>7.1999999999999995E-2</v>
      </c>
      <c r="AE1783" s="621" t="s">
        <v>3428</v>
      </c>
    </row>
    <row r="1784" spans="1:31" s="572" customFormat="1">
      <c r="A1784" s="570" t="s">
        <v>3431</v>
      </c>
      <c r="B1784" s="573" t="s">
        <v>169</v>
      </c>
      <c r="C1784" s="578">
        <v>11</v>
      </c>
      <c r="D1784" s="573" t="s">
        <v>3374</v>
      </c>
      <c r="E1784" s="573" t="s">
        <v>211</v>
      </c>
      <c r="F1784" s="573" t="s">
        <v>153</v>
      </c>
      <c r="G1784" s="573">
        <v>2019</v>
      </c>
      <c r="H1784" s="573" t="s">
        <v>3375</v>
      </c>
      <c r="I1784" s="573" t="s">
        <v>3433</v>
      </c>
      <c r="J1784" s="573" t="s">
        <v>3377</v>
      </c>
      <c r="K1784" s="573">
        <v>5</v>
      </c>
      <c r="L1784" s="573">
        <v>0</v>
      </c>
      <c r="M1784" s="573" t="s">
        <v>157</v>
      </c>
      <c r="N1784" s="573">
        <v>2</v>
      </c>
      <c r="O1784" s="573" t="s">
        <v>3378</v>
      </c>
      <c r="P1784" s="571">
        <v>7000</v>
      </c>
      <c r="Q1784" s="573" t="s">
        <v>189</v>
      </c>
      <c r="R1784" s="573">
        <v>4</v>
      </c>
      <c r="S1784" s="582" t="s">
        <v>3434</v>
      </c>
      <c r="T1784" s="573" t="s">
        <v>3435</v>
      </c>
      <c r="U1784" s="573">
        <v>128.30000000000001</v>
      </c>
      <c r="V1784" s="573">
        <v>21</v>
      </c>
      <c r="W1784" s="616">
        <v>5500</v>
      </c>
      <c r="X1784" s="617">
        <v>22</v>
      </c>
      <c r="Y1784" s="617" t="s">
        <v>178</v>
      </c>
      <c r="Z1784" s="617" t="s">
        <v>178</v>
      </c>
      <c r="AA1784" s="618">
        <v>33495</v>
      </c>
      <c r="AB1784" s="618" t="s">
        <v>164</v>
      </c>
      <c r="AC1784" s="618">
        <v>29488.541666666668</v>
      </c>
      <c r="AD1784" s="619">
        <v>0.05</v>
      </c>
      <c r="AE1784" s="617" t="s">
        <v>3432</v>
      </c>
    </row>
    <row r="1785" spans="1:31" s="572" customFormat="1">
      <c r="A1785" s="570" t="s">
        <v>3436</v>
      </c>
      <c r="B1785" s="569" t="s">
        <v>169</v>
      </c>
      <c r="C1785" s="580">
        <v>11</v>
      </c>
      <c r="D1785" s="569" t="s">
        <v>3374</v>
      </c>
      <c r="E1785" s="569" t="s">
        <v>211</v>
      </c>
      <c r="F1785" s="569" t="s">
        <v>153</v>
      </c>
      <c r="G1785" s="569">
        <v>2019</v>
      </c>
      <c r="H1785" s="569" t="s">
        <v>3375</v>
      </c>
      <c r="I1785" s="569" t="s">
        <v>3433</v>
      </c>
      <c r="J1785" s="569" t="s">
        <v>3377</v>
      </c>
      <c r="K1785" s="569">
        <v>5</v>
      </c>
      <c r="L1785" s="569">
        <v>0</v>
      </c>
      <c r="M1785" s="569" t="s">
        <v>157</v>
      </c>
      <c r="N1785" s="569">
        <v>2</v>
      </c>
      <c r="O1785" s="569" t="s">
        <v>3385</v>
      </c>
      <c r="P1785" s="568">
        <v>7000</v>
      </c>
      <c r="Q1785" s="569" t="s">
        <v>231</v>
      </c>
      <c r="R1785" s="569">
        <v>6</v>
      </c>
      <c r="S1785" s="569" t="s">
        <v>3438</v>
      </c>
      <c r="T1785" s="569" t="s">
        <v>3435</v>
      </c>
      <c r="U1785" s="569">
        <v>140.5</v>
      </c>
      <c r="V1785" s="569">
        <v>21</v>
      </c>
      <c r="W1785" s="620">
        <v>5800</v>
      </c>
      <c r="X1785" s="621">
        <v>20</v>
      </c>
      <c r="Y1785" s="621" t="s">
        <v>178</v>
      </c>
      <c r="Z1785" s="621" t="s">
        <v>178</v>
      </c>
      <c r="AA1785" s="622">
        <v>34895</v>
      </c>
      <c r="AB1785" s="622" t="s">
        <v>164</v>
      </c>
      <c r="AC1785" s="622">
        <v>30833.125</v>
      </c>
      <c r="AD1785" s="623">
        <v>0.05</v>
      </c>
      <c r="AE1785" s="621" t="s">
        <v>3437</v>
      </c>
    </row>
    <row r="1786" spans="1:31" s="572" customFormat="1">
      <c r="A1786" s="570" t="s">
        <v>3439</v>
      </c>
      <c r="B1786" s="573" t="s">
        <v>150</v>
      </c>
      <c r="C1786" s="578">
        <v>13</v>
      </c>
      <c r="D1786" s="573" t="s">
        <v>3374</v>
      </c>
      <c r="E1786" s="573" t="s">
        <v>211</v>
      </c>
      <c r="F1786" s="573" t="s">
        <v>153</v>
      </c>
      <c r="G1786" s="573">
        <v>2019</v>
      </c>
      <c r="H1786" s="573" t="s">
        <v>3375</v>
      </c>
      <c r="I1786" s="573" t="s">
        <v>3433</v>
      </c>
      <c r="J1786" s="573" t="s">
        <v>3377</v>
      </c>
      <c r="K1786" s="573">
        <v>5</v>
      </c>
      <c r="L1786" s="573">
        <v>0</v>
      </c>
      <c r="M1786" s="573" t="s">
        <v>157</v>
      </c>
      <c r="N1786" s="573">
        <v>2</v>
      </c>
      <c r="O1786" s="573" t="s">
        <v>3378</v>
      </c>
      <c r="P1786" s="571">
        <v>7000</v>
      </c>
      <c r="Q1786" s="573" t="s">
        <v>189</v>
      </c>
      <c r="R1786" s="573">
        <v>4</v>
      </c>
      <c r="S1786" s="582" t="s">
        <v>3434</v>
      </c>
      <c r="T1786" s="573" t="s">
        <v>3435</v>
      </c>
      <c r="U1786" s="573">
        <v>128.30000000000001</v>
      </c>
      <c r="V1786" s="573">
        <v>21</v>
      </c>
      <c r="W1786" s="616">
        <v>5500</v>
      </c>
      <c r="X1786" s="617">
        <v>22</v>
      </c>
      <c r="Y1786" s="617" t="s">
        <v>178</v>
      </c>
      <c r="Z1786" s="617" t="s">
        <v>178</v>
      </c>
      <c r="AA1786" s="618">
        <v>33495</v>
      </c>
      <c r="AB1786" s="618" t="s">
        <v>164</v>
      </c>
      <c r="AC1786" s="618">
        <v>30457</v>
      </c>
      <c r="AD1786" s="619">
        <v>0.03</v>
      </c>
      <c r="AE1786" s="617" t="s">
        <v>3432</v>
      </c>
    </row>
    <row r="1787" spans="1:31" s="572" customFormat="1">
      <c r="A1787" s="570" t="s">
        <v>3440</v>
      </c>
      <c r="B1787" s="569" t="s">
        <v>150</v>
      </c>
      <c r="C1787" s="580">
        <v>13</v>
      </c>
      <c r="D1787" s="569" t="s">
        <v>3374</v>
      </c>
      <c r="E1787" s="569" t="s">
        <v>211</v>
      </c>
      <c r="F1787" s="569" t="s">
        <v>153</v>
      </c>
      <c r="G1787" s="569">
        <v>2019</v>
      </c>
      <c r="H1787" s="569" t="s">
        <v>3375</v>
      </c>
      <c r="I1787" s="569" t="s">
        <v>3433</v>
      </c>
      <c r="J1787" s="569" t="s">
        <v>3377</v>
      </c>
      <c r="K1787" s="569">
        <v>5</v>
      </c>
      <c r="L1787" s="569">
        <v>0</v>
      </c>
      <c r="M1787" s="569" t="s">
        <v>157</v>
      </c>
      <c r="N1787" s="569">
        <v>2</v>
      </c>
      <c r="O1787" s="569" t="s">
        <v>3385</v>
      </c>
      <c r="P1787" s="568">
        <v>7000</v>
      </c>
      <c r="Q1787" s="569" t="s">
        <v>231</v>
      </c>
      <c r="R1787" s="569">
        <v>6</v>
      </c>
      <c r="S1787" s="569" t="s">
        <v>3438</v>
      </c>
      <c r="T1787" s="569" t="s">
        <v>3435</v>
      </c>
      <c r="U1787" s="569">
        <v>140.5</v>
      </c>
      <c r="V1787" s="569">
        <v>21</v>
      </c>
      <c r="W1787" s="620">
        <v>5800</v>
      </c>
      <c r="X1787" s="621">
        <v>20</v>
      </c>
      <c r="Y1787" s="621" t="s">
        <v>178</v>
      </c>
      <c r="Z1787" s="621" t="s">
        <v>178</v>
      </c>
      <c r="AA1787" s="622">
        <v>34895</v>
      </c>
      <c r="AB1787" s="622" t="s">
        <v>164</v>
      </c>
      <c r="AC1787" s="622">
        <v>32822</v>
      </c>
      <c r="AD1787" s="623">
        <v>0.03</v>
      </c>
      <c r="AE1787" s="621" t="s">
        <v>3437</v>
      </c>
    </row>
    <row r="1788" spans="1:31" s="572" customFormat="1">
      <c r="A1788" s="570" t="s">
        <v>3441</v>
      </c>
      <c r="B1788" s="573" t="s">
        <v>166</v>
      </c>
      <c r="C1788" s="578">
        <v>17</v>
      </c>
      <c r="D1788" s="573" t="s">
        <v>3374</v>
      </c>
      <c r="E1788" s="573" t="s">
        <v>211</v>
      </c>
      <c r="F1788" s="573" t="s">
        <v>153</v>
      </c>
      <c r="G1788" s="573">
        <v>2019</v>
      </c>
      <c r="H1788" s="573" t="s">
        <v>3375</v>
      </c>
      <c r="I1788" s="573" t="s">
        <v>3433</v>
      </c>
      <c r="J1788" s="573" t="s">
        <v>3377</v>
      </c>
      <c r="K1788" s="573">
        <v>5</v>
      </c>
      <c r="L1788" s="573">
        <v>0</v>
      </c>
      <c r="M1788" s="573" t="s">
        <v>157</v>
      </c>
      <c r="N1788" s="573">
        <v>2</v>
      </c>
      <c r="O1788" s="573" t="s">
        <v>3378</v>
      </c>
      <c r="P1788" s="571">
        <v>7000</v>
      </c>
      <c r="Q1788" s="573" t="s">
        <v>189</v>
      </c>
      <c r="R1788" s="573">
        <v>4</v>
      </c>
      <c r="S1788" s="582" t="s">
        <v>3434</v>
      </c>
      <c r="T1788" s="573" t="s">
        <v>3435</v>
      </c>
      <c r="U1788" s="573">
        <v>128.30000000000001</v>
      </c>
      <c r="V1788" s="573">
        <v>21</v>
      </c>
      <c r="W1788" s="616">
        <v>5500</v>
      </c>
      <c r="X1788" s="617">
        <v>22</v>
      </c>
      <c r="Y1788" s="617" t="s">
        <v>178</v>
      </c>
      <c r="Z1788" s="617" t="s">
        <v>178</v>
      </c>
      <c r="AA1788" s="618">
        <v>33495</v>
      </c>
      <c r="AB1788" s="618" t="s">
        <v>164</v>
      </c>
      <c r="AC1788" s="618">
        <v>29906</v>
      </c>
      <c r="AD1788" s="619">
        <v>7.1999999999999995E-2</v>
      </c>
      <c r="AE1788" s="617" t="s">
        <v>3432</v>
      </c>
    </row>
    <row r="1789" spans="1:31" s="572" customFormat="1">
      <c r="A1789" s="570" t="s">
        <v>3442</v>
      </c>
      <c r="B1789" s="569" t="s">
        <v>166</v>
      </c>
      <c r="C1789" s="580">
        <v>17</v>
      </c>
      <c r="D1789" s="569" t="s">
        <v>3374</v>
      </c>
      <c r="E1789" s="569" t="s">
        <v>211</v>
      </c>
      <c r="F1789" s="569" t="s">
        <v>153</v>
      </c>
      <c r="G1789" s="569">
        <v>2019</v>
      </c>
      <c r="H1789" s="569" t="s">
        <v>3375</v>
      </c>
      <c r="I1789" s="569" t="s">
        <v>3433</v>
      </c>
      <c r="J1789" s="569" t="s">
        <v>3377</v>
      </c>
      <c r="K1789" s="569">
        <v>5</v>
      </c>
      <c r="L1789" s="569">
        <v>0</v>
      </c>
      <c r="M1789" s="569" t="s">
        <v>157</v>
      </c>
      <c r="N1789" s="569">
        <v>2</v>
      </c>
      <c r="O1789" s="569" t="s">
        <v>3385</v>
      </c>
      <c r="P1789" s="568">
        <v>7000</v>
      </c>
      <c r="Q1789" s="569" t="s">
        <v>231</v>
      </c>
      <c r="R1789" s="569">
        <v>6</v>
      </c>
      <c r="S1789" s="569" t="s">
        <v>3438</v>
      </c>
      <c r="T1789" s="569" t="s">
        <v>3435</v>
      </c>
      <c r="U1789" s="569">
        <v>140.5</v>
      </c>
      <c r="V1789" s="569">
        <v>21</v>
      </c>
      <c r="W1789" s="620">
        <v>5800</v>
      </c>
      <c r="X1789" s="621">
        <v>20</v>
      </c>
      <c r="Y1789" s="621" t="s">
        <v>178</v>
      </c>
      <c r="Z1789" s="621" t="s">
        <v>178</v>
      </c>
      <c r="AA1789" s="622">
        <v>34895</v>
      </c>
      <c r="AB1789" s="622" t="s">
        <v>164</v>
      </c>
      <c r="AC1789" s="622">
        <v>31103.59</v>
      </c>
      <c r="AD1789" s="623">
        <v>7.1999999999999995E-2</v>
      </c>
      <c r="AE1789" s="621" t="s">
        <v>3437</v>
      </c>
    </row>
    <row r="1790" spans="1:31" s="572" customFormat="1">
      <c r="A1790" s="570" t="s">
        <v>3443</v>
      </c>
      <c r="B1790" s="573" t="s">
        <v>169</v>
      </c>
      <c r="C1790" s="578">
        <v>11</v>
      </c>
      <c r="D1790" s="573" t="s">
        <v>3374</v>
      </c>
      <c r="E1790" s="573" t="s">
        <v>211</v>
      </c>
      <c r="F1790" s="573" t="s">
        <v>153</v>
      </c>
      <c r="G1790" s="573">
        <v>2019</v>
      </c>
      <c r="H1790" s="573" t="s">
        <v>3375</v>
      </c>
      <c r="I1790" s="573" t="s">
        <v>3433</v>
      </c>
      <c r="J1790" s="573" t="s">
        <v>752</v>
      </c>
      <c r="K1790" s="573">
        <v>5</v>
      </c>
      <c r="L1790" s="573">
        <v>0</v>
      </c>
      <c r="M1790" s="573" t="s">
        <v>157</v>
      </c>
      <c r="N1790" s="573">
        <v>2</v>
      </c>
      <c r="O1790" s="573" t="s">
        <v>3378</v>
      </c>
      <c r="P1790" s="571">
        <v>7000</v>
      </c>
      <c r="Q1790" s="573" t="s">
        <v>231</v>
      </c>
      <c r="R1790" s="573">
        <v>6</v>
      </c>
      <c r="S1790" s="582" t="s">
        <v>3434</v>
      </c>
      <c r="T1790" s="573" t="s">
        <v>3445</v>
      </c>
      <c r="U1790" s="573">
        <v>128.30000000000001</v>
      </c>
      <c r="V1790" s="573">
        <v>21</v>
      </c>
      <c r="W1790" s="616">
        <v>6000</v>
      </c>
      <c r="X1790" s="617">
        <v>19</v>
      </c>
      <c r="Y1790" s="617" t="s">
        <v>178</v>
      </c>
      <c r="Z1790" s="617" t="s">
        <v>178</v>
      </c>
      <c r="AA1790" s="618">
        <v>37895</v>
      </c>
      <c r="AB1790" s="618" t="s">
        <v>164</v>
      </c>
      <c r="AC1790" s="618">
        <v>33714.375000000007</v>
      </c>
      <c r="AD1790" s="619">
        <v>0.05</v>
      </c>
      <c r="AE1790" s="617" t="s">
        <v>3444</v>
      </c>
    </row>
    <row r="1791" spans="1:31" s="572" customFormat="1">
      <c r="A1791" s="570" t="s">
        <v>3446</v>
      </c>
      <c r="B1791" s="569" t="s">
        <v>169</v>
      </c>
      <c r="C1791" s="580">
        <v>11</v>
      </c>
      <c r="D1791" s="569" t="s">
        <v>3374</v>
      </c>
      <c r="E1791" s="569" t="s">
        <v>211</v>
      </c>
      <c r="F1791" s="569" t="s">
        <v>153</v>
      </c>
      <c r="G1791" s="569">
        <v>2019</v>
      </c>
      <c r="H1791" s="569" t="s">
        <v>3375</v>
      </c>
      <c r="I1791" s="569" t="s">
        <v>3433</v>
      </c>
      <c r="J1791" s="569" t="s">
        <v>752</v>
      </c>
      <c r="K1791" s="569">
        <v>5</v>
      </c>
      <c r="L1791" s="569">
        <v>0</v>
      </c>
      <c r="M1791" s="569" t="s">
        <v>157</v>
      </c>
      <c r="N1791" s="569">
        <v>2</v>
      </c>
      <c r="O1791" s="569" t="s">
        <v>3385</v>
      </c>
      <c r="P1791" s="568">
        <v>7000</v>
      </c>
      <c r="Q1791" s="569" t="s">
        <v>231</v>
      </c>
      <c r="R1791" s="569">
        <v>6</v>
      </c>
      <c r="S1791" s="569" t="s">
        <v>3438</v>
      </c>
      <c r="T1791" s="569" t="s">
        <v>3445</v>
      </c>
      <c r="U1791" s="569">
        <v>140.5</v>
      </c>
      <c r="V1791" s="569">
        <v>21</v>
      </c>
      <c r="W1791" s="620">
        <v>6000</v>
      </c>
      <c r="X1791" s="621">
        <v>19</v>
      </c>
      <c r="Y1791" s="621" t="s">
        <v>178</v>
      </c>
      <c r="Z1791" s="621" t="s">
        <v>178</v>
      </c>
      <c r="AA1791" s="622">
        <v>38195</v>
      </c>
      <c r="AB1791" s="622" t="s">
        <v>164</v>
      </c>
      <c r="AC1791" s="622">
        <v>34002.5</v>
      </c>
      <c r="AD1791" s="623">
        <v>0.05</v>
      </c>
      <c r="AE1791" s="621" t="s">
        <v>3447</v>
      </c>
    </row>
    <row r="1792" spans="1:31" s="572" customFormat="1">
      <c r="A1792" s="570" t="s">
        <v>3448</v>
      </c>
      <c r="B1792" s="573" t="s">
        <v>150</v>
      </c>
      <c r="C1792" s="578">
        <v>13</v>
      </c>
      <c r="D1792" s="573" t="s">
        <v>3374</v>
      </c>
      <c r="E1792" s="573" t="s">
        <v>211</v>
      </c>
      <c r="F1792" s="573" t="s">
        <v>153</v>
      </c>
      <c r="G1792" s="573">
        <v>2019</v>
      </c>
      <c r="H1792" s="573" t="s">
        <v>3375</v>
      </c>
      <c r="I1792" s="573" t="s">
        <v>3433</v>
      </c>
      <c r="J1792" s="573" t="s">
        <v>752</v>
      </c>
      <c r="K1792" s="573">
        <v>5</v>
      </c>
      <c r="L1792" s="573">
        <v>0</v>
      </c>
      <c r="M1792" s="573" t="s">
        <v>157</v>
      </c>
      <c r="N1792" s="573">
        <v>2</v>
      </c>
      <c r="O1792" s="573" t="s">
        <v>3378</v>
      </c>
      <c r="P1792" s="571">
        <v>7000</v>
      </c>
      <c r="Q1792" s="573" t="s">
        <v>231</v>
      </c>
      <c r="R1792" s="573">
        <v>6</v>
      </c>
      <c r="S1792" s="582" t="s">
        <v>3434</v>
      </c>
      <c r="T1792" s="573" t="s">
        <v>3445</v>
      </c>
      <c r="U1792" s="573">
        <v>128.30000000000001</v>
      </c>
      <c r="V1792" s="573">
        <v>21</v>
      </c>
      <c r="W1792" s="616">
        <v>6000</v>
      </c>
      <c r="X1792" s="617">
        <v>19</v>
      </c>
      <c r="Y1792" s="617" t="s">
        <v>178</v>
      </c>
      <c r="Z1792" s="617" t="s">
        <v>178</v>
      </c>
      <c r="AA1792" s="618">
        <v>37895</v>
      </c>
      <c r="AB1792" s="618" t="s">
        <v>164</v>
      </c>
      <c r="AC1792" s="618">
        <v>35543</v>
      </c>
      <c r="AD1792" s="619">
        <v>0.03</v>
      </c>
      <c r="AE1792" s="617" t="s">
        <v>3444</v>
      </c>
    </row>
    <row r="1793" spans="1:31" s="572" customFormat="1">
      <c r="A1793" s="570" t="s">
        <v>3449</v>
      </c>
      <c r="B1793" s="569" t="s">
        <v>150</v>
      </c>
      <c r="C1793" s="580">
        <v>13</v>
      </c>
      <c r="D1793" s="569" t="s">
        <v>3374</v>
      </c>
      <c r="E1793" s="569" t="s">
        <v>211</v>
      </c>
      <c r="F1793" s="569" t="s">
        <v>153</v>
      </c>
      <c r="G1793" s="569">
        <v>2019</v>
      </c>
      <c r="H1793" s="569" t="s">
        <v>3375</v>
      </c>
      <c r="I1793" s="569" t="s">
        <v>3433</v>
      </c>
      <c r="J1793" s="569" t="s">
        <v>752</v>
      </c>
      <c r="K1793" s="569">
        <v>5</v>
      </c>
      <c r="L1793" s="569">
        <v>0</v>
      </c>
      <c r="M1793" s="569" t="s">
        <v>157</v>
      </c>
      <c r="N1793" s="569">
        <v>2</v>
      </c>
      <c r="O1793" s="569" t="s">
        <v>3385</v>
      </c>
      <c r="P1793" s="568">
        <v>7000</v>
      </c>
      <c r="Q1793" s="569" t="s">
        <v>231</v>
      </c>
      <c r="R1793" s="569">
        <v>6</v>
      </c>
      <c r="S1793" s="569" t="s">
        <v>3438</v>
      </c>
      <c r="T1793" s="569" t="s">
        <v>3445</v>
      </c>
      <c r="U1793" s="569">
        <v>140.5</v>
      </c>
      <c r="V1793" s="569">
        <v>21</v>
      </c>
      <c r="W1793" s="620">
        <v>6000</v>
      </c>
      <c r="X1793" s="621">
        <v>19</v>
      </c>
      <c r="Y1793" s="621" t="s">
        <v>178</v>
      </c>
      <c r="Z1793" s="621" t="s">
        <v>178</v>
      </c>
      <c r="AA1793" s="622">
        <v>38195</v>
      </c>
      <c r="AB1793" s="622" t="s">
        <v>164</v>
      </c>
      <c r="AC1793" s="622">
        <v>35819</v>
      </c>
      <c r="AD1793" s="623">
        <v>0.03</v>
      </c>
      <c r="AE1793" s="621" t="s">
        <v>3447</v>
      </c>
    </row>
    <row r="1794" spans="1:31" s="572" customFormat="1">
      <c r="A1794" s="570" t="s">
        <v>3450</v>
      </c>
      <c r="B1794" s="573" t="s">
        <v>166</v>
      </c>
      <c r="C1794" s="578">
        <v>17</v>
      </c>
      <c r="D1794" s="573" t="s">
        <v>3374</v>
      </c>
      <c r="E1794" s="573" t="s">
        <v>211</v>
      </c>
      <c r="F1794" s="573" t="s">
        <v>153</v>
      </c>
      <c r="G1794" s="573">
        <v>2019</v>
      </c>
      <c r="H1794" s="573" t="s">
        <v>3375</v>
      </c>
      <c r="I1794" s="573" t="s">
        <v>3433</v>
      </c>
      <c r="J1794" s="573" t="s">
        <v>752</v>
      </c>
      <c r="K1794" s="573">
        <v>5</v>
      </c>
      <c r="L1794" s="573">
        <v>0</v>
      </c>
      <c r="M1794" s="573" t="s">
        <v>157</v>
      </c>
      <c r="N1794" s="573">
        <v>2</v>
      </c>
      <c r="O1794" s="573" t="s">
        <v>3378</v>
      </c>
      <c r="P1794" s="571">
        <v>7000</v>
      </c>
      <c r="Q1794" s="573" t="s">
        <v>231</v>
      </c>
      <c r="R1794" s="573">
        <v>6</v>
      </c>
      <c r="S1794" s="582" t="s">
        <v>3434</v>
      </c>
      <c r="T1794" s="573" t="s">
        <v>3445</v>
      </c>
      <c r="U1794" s="573">
        <v>128.30000000000001</v>
      </c>
      <c r="V1794" s="573">
        <v>21</v>
      </c>
      <c r="W1794" s="616">
        <v>6000</v>
      </c>
      <c r="X1794" s="617">
        <v>19</v>
      </c>
      <c r="Y1794" s="617" t="s">
        <v>178</v>
      </c>
      <c r="Z1794" s="617" t="s">
        <v>178</v>
      </c>
      <c r="AA1794" s="618">
        <v>37895</v>
      </c>
      <c r="AB1794" s="618" t="s">
        <v>164</v>
      </c>
      <c r="AC1794" s="618">
        <v>34208.239999999998</v>
      </c>
      <c r="AD1794" s="619">
        <v>7.1999999999999995E-2</v>
      </c>
      <c r="AE1794" s="617" t="s">
        <v>3444</v>
      </c>
    </row>
    <row r="1795" spans="1:31" s="572" customFormat="1">
      <c r="A1795" s="570" t="s">
        <v>3451</v>
      </c>
      <c r="B1795" s="569" t="s">
        <v>166</v>
      </c>
      <c r="C1795" s="580">
        <v>17</v>
      </c>
      <c r="D1795" s="569" t="s">
        <v>3374</v>
      </c>
      <c r="E1795" s="569" t="s">
        <v>211</v>
      </c>
      <c r="F1795" s="569" t="s">
        <v>153</v>
      </c>
      <c r="G1795" s="569">
        <v>2019</v>
      </c>
      <c r="H1795" s="569" t="s">
        <v>3375</v>
      </c>
      <c r="I1795" s="569" t="s">
        <v>3433</v>
      </c>
      <c r="J1795" s="569" t="s">
        <v>752</v>
      </c>
      <c r="K1795" s="569">
        <v>5</v>
      </c>
      <c r="L1795" s="569">
        <v>0</v>
      </c>
      <c r="M1795" s="569" t="s">
        <v>157</v>
      </c>
      <c r="N1795" s="569">
        <v>2</v>
      </c>
      <c r="O1795" s="569" t="s">
        <v>3385</v>
      </c>
      <c r="P1795" s="568">
        <v>7000</v>
      </c>
      <c r="Q1795" s="569" t="s">
        <v>231</v>
      </c>
      <c r="R1795" s="569">
        <v>6</v>
      </c>
      <c r="S1795" s="569" t="s">
        <v>3438</v>
      </c>
      <c r="T1795" s="569" t="s">
        <v>3445</v>
      </c>
      <c r="U1795" s="569">
        <v>140.5</v>
      </c>
      <c r="V1795" s="569">
        <v>21</v>
      </c>
      <c r="W1795" s="620">
        <v>6000</v>
      </c>
      <c r="X1795" s="621">
        <v>19</v>
      </c>
      <c r="Y1795" s="621" t="s">
        <v>178</v>
      </c>
      <c r="Z1795" s="621" t="s">
        <v>178</v>
      </c>
      <c r="AA1795" s="622">
        <v>38195</v>
      </c>
      <c r="AB1795" s="622" t="s">
        <v>164</v>
      </c>
      <c r="AC1795" s="622">
        <v>34487.65</v>
      </c>
      <c r="AD1795" s="623">
        <v>7.1999999999999995E-2</v>
      </c>
      <c r="AE1795" s="621" t="s">
        <v>3447</v>
      </c>
    </row>
    <row r="1796" spans="1:31" s="572" customFormat="1">
      <c r="A1796" s="570" t="s">
        <v>3452</v>
      </c>
      <c r="B1796" s="573" t="s">
        <v>169</v>
      </c>
      <c r="C1796" s="578">
        <v>11</v>
      </c>
      <c r="D1796" s="573" t="s">
        <v>3374</v>
      </c>
      <c r="E1796" s="573" t="s">
        <v>211</v>
      </c>
      <c r="F1796" s="573" t="s">
        <v>153</v>
      </c>
      <c r="G1796" s="573">
        <v>2019</v>
      </c>
      <c r="H1796" s="573" t="s">
        <v>3375</v>
      </c>
      <c r="I1796" s="573" t="s">
        <v>3454</v>
      </c>
      <c r="J1796" s="573" t="s">
        <v>3377</v>
      </c>
      <c r="K1796" s="573">
        <v>4</v>
      </c>
      <c r="L1796" s="573">
        <v>0</v>
      </c>
      <c r="M1796" s="573" t="s">
        <v>157</v>
      </c>
      <c r="N1796" s="573">
        <v>2</v>
      </c>
      <c r="O1796" s="573" t="s">
        <v>3385</v>
      </c>
      <c r="P1796" s="571">
        <v>7000</v>
      </c>
      <c r="Q1796" s="573" t="s">
        <v>189</v>
      </c>
      <c r="R1796" s="573">
        <v>4</v>
      </c>
      <c r="S1796" s="582" t="s">
        <v>3455</v>
      </c>
      <c r="T1796" s="573" t="s">
        <v>3435</v>
      </c>
      <c r="U1796" s="573">
        <v>128.30000000000001</v>
      </c>
      <c r="V1796" s="573">
        <v>21</v>
      </c>
      <c r="W1796" s="616">
        <v>5400</v>
      </c>
      <c r="X1796" s="617">
        <v>22</v>
      </c>
      <c r="Y1796" s="617" t="s">
        <v>178</v>
      </c>
      <c r="Z1796" s="617" t="s">
        <v>178</v>
      </c>
      <c r="AA1796" s="618">
        <v>31595</v>
      </c>
      <c r="AB1796" s="618" t="s">
        <v>164</v>
      </c>
      <c r="AC1796" s="618">
        <v>27663.75</v>
      </c>
      <c r="AD1796" s="619">
        <v>0.05</v>
      </c>
      <c r="AE1796" s="617" t="s">
        <v>3453</v>
      </c>
    </row>
    <row r="1797" spans="1:31" s="572" customFormat="1">
      <c r="A1797" s="570" t="s">
        <v>3456</v>
      </c>
      <c r="B1797" s="569" t="s">
        <v>150</v>
      </c>
      <c r="C1797" s="580">
        <v>13</v>
      </c>
      <c r="D1797" s="569" t="s">
        <v>3374</v>
      </c>
      <c r="E1797" s="569" t="s">
        <v>211</v>
      </c>
      <c r="F1797" s="569" t="s">
        <v>153</v>
      </c>
      <c r="G1797" s="569">
        <v>2019</v>
      </c>
      <c r="H1797" s="569" t="s">
        <v>3375</v>
      </c>
      <c r="I1797" s="569" t="s">
        <v>3454</v>
      </c>
      <c r="J1797" s="569" t="s">
        <v>3377</v>
      </c>
      <c r="K1797" s="569">
        <v>4</v>
      </c>
      <c r="L1797" s="569">
        <v>0</v>
      </c>
      <c r="M1797" s="569" t="s">
        <v>157</v>
      </c>
      <c r="N1797" s="569">
        <v>2</v>
      </c>
      <c r="O1797" s="569" t="s">
        <v>3385</v>
      </c>
      <c r="P1797" s="568">
        <v>7000</v>
      </c>
      <c r="Q1797" s="569" t="s">
        <v>189</v>
      </c>
      <c r="R1797" s="569">
        <v>4</v>
      </c>
      <c r="S1797" s="569" t="s">
        <v>3455</v>
      </c>
      <c r="T1797" s="569" t="s">
        <v>3435</v>
      </c>
      <c r="U1797" s="569">
        <v>128.30000000000001</v>
      </c>
      <c r="V1797" s="569">
        <v>21</v>
      </c>
      <c r="W1797" s="620">
        <v>5400</v>
      </c>
      <c r="X1797" s="621">
        <v>22</v>
      </c>
      <c r="Y1797" s="621" t="s">
        <v>178</v>
      </c>
      <c r="Z1797" s="621" t="s">
        <v>178</v>
      </c>
      <c r="AA1797" s="622">
        <v>31595</v>
      </c>
      <c r="AB1797" s="622" t="s">
        <v>164</v>
      </c>
      <c r="AC1797" s="622">
        <v>30191</v>
      </c>
      <c r="AD1797" s="623">
        <v>0.03</v>
      </c>
      <c r="AE1797" s="621" t="s">
        <v>3453</v>
      </c>
    </row>
    <row r="1798" spans="1:31" s="572" customFormat="1">
      <c r="A1798" s="570" t="s">
        <v>3457</v>
      </c>
      <c r="B1798" s="573" t="s">
        <v>166</v>
      </c>
      <c r="C1798" s="578">
        <v>17</v>
      </c>
      <c r="D1798" s="573" t="s">
        <v>3374</v>
      </c>
      <c r="E1798" s="573" t="s">
        <v>211</v>
      </c>
      <c r="F1798" s="573" t="s">
        <v>153</v>
      </c>
      <c r="G1798" s="573">
        <v>2019</v>
      </c>
      <c r="H1798" s="573" t="s">
        <v>3375</v>
      </c>
      <c r="I1798" s="573" t="s">
        <v>3454</v>
      </c>
      <c r="J1798" s="573" t="s">
        <v>3377</v>
      </c>
      <c r="K1798" s="573">
        <v>4</v>
      </c>
      <c r="L1798" s="573">
        <v>0</v>
      </c>
      <c r="M1798" s="573" t="s">
        <v>157</v>
      </c>
      <c r="N1798" s="573">
        <v>2</v>
      </c>
      <c r="O1798" s="573" t="s">
        <v>3385</v>
      </c>
      <c r="P1798" s="571">
        <v>7000</v>
      </c>
      <c r="Q1798" s="573" t="s">
        <v>189</v>
      </c>
      <c r="R1798" s="573">
        <v>4</v>
      </c>
      <c r="S1798" s="582" t="s">
        <v>3455</v>
      </c>
      <c r="T1798" s="573" t="s">
        <v>3435</v>
      </c>
      <c r="U1798" s="573">
        <v>128.30000000000001</v>
      </c>
      <c r="V1798" s="573">
        <v>21</v>
      </c>
      <c r="W1798" s="616">
        <v>5400</v>
      </c>
      <c r="X1798" s="617">
        <v>22</v>
      </c>
      <c r="Y1798" s="617" t="s">
        <v>178</v>
      </c>
      <c r="Z1798" s="617" t="s">
        <v>178</v>
      </c>
      <c r="AA1798" s="618">
        <v>31595</v>
      </c>
      <c r="AB1798" s="618" t="s">
        <v>164</v>
      </c>
      <c r="AC1798" s="618">
        <v>28162.18</v>
      </c>
      <c r="AD1798" s="619">
        <v>7.1999999999999995E-2</v>
      </c>
      <c r="AE1798" s="617" t="s">
        <v>3453</v>
      </c>
    </row>
    <row r="1799" spans="1:31" s="572" customFormat="1">
      <c r="A1799" s="570" t="s">
        <v>3458</v>
      </c>
      <c r="B1799" s="569" t="s">
        <v>169</v>
      </c>
      <c r="C1799" s="580">
        <v>11</v>
      </c>
      <c r="D1799" s="569" t="s">
        <v>3374</v>
      </c>
      <c r="E1799" s="569" t="s">
        <v>211</v>
      </c>
      <c r="F1799" s="569" t="s">
        <v>153</v>
      </c>
      <c r="G1799" s="569">
        <v>2019</v>
      </c>
      <c r="H1799" s="569" t="s">
        <v>3375</v>
      </c>
      <c r="I1799" s="569" t="s">
        <v>3454</v>
      </c>
      <c r="J1799" s="569" t="s">
        <v>752</v>
      </c>
      <c r="K1799" s="569">
        <v>4</v>
      </c>
      <c r="L1799" s="569">
        <v>0</v>
      </c>
      <c r="M1799" s="569" t="s">
        <v>157</v>
      </c>
      <c r="N1799" s="569">
        <v>2</v>
      </c>
      <c r="O1799" s="569" t="s">
        <v>3385</v>
      </c>
      <c r="P1799" s="568">
        <v>7000</v>
      </c>
      <c r="Q1799" s="569" t="s">
        <v>189</v>
      </c>
      <c r="R1799" s="569">
        <v>4</v>
      </c>
      <c r="S1799" s="569" t="s">
        <v>3455</v>
      </c>
      <c r="T1799" s="569" t="s">
        <v>3445</v>
      </c>
      <c r="U1799" s="569">
        <v>128.30000000000001</v>
      </c>
      <c r="V1799" s="569">
        <v>21</v>
      </c>
      <c r="W1799" s="620">
        <v>5600</v>
      </c>
      <c r="X1799" s="621">
        <v>21</v>
      </c>
      <c r="Y1799" s="621" t="s">
        <v>178</v>
      </c>
      <c r="Z1799" s="621" t="s">
        <v>178</v>
      </c>
      <c r="AA1799" s="622">
        <v>35195</v>
      </c>
      <c r="AB1799" s="622" t="s">
        <v>164</v>
      </c>
      <c r="AC1799" s="622">
        <v>31121.250000000004</v>
      </c>
      <c r="AD1799" s="623">
        <v>0.05</v>
      </c>
      <c r="AE1799" s="621" t="s">
        <v>3459</v>
      </c>
    </row>
    <row r="1800" spans="1:31" s="572" customFormat="1">
      <c r="A1800" s="570" t="s">
        <v>3460</v>
      </c>
      <c r="B1800" s="573" t="s">
        <v>150</v>
      </c>
      <c r="C1800" s="578">
        <v>13</v>
      </c>
      <c r="D1800" s="573" t="s">
        <v>3374</v>
      </c>
      <c r="E1800" s="573" t="s">
        <v>211</v>
      </c>
      <c r="F1800" s="573" t="s">
        <v>153</v>
      </c>
      <c r="G1800" s="573">
        <v>2019</v>
      </c>
      <c r="H1800" s="573" t="s">
        <v>3375</v>
      </c>
      <c r="I1800" s="573" t="s">
        <v>3454</v>
      </c>
      <c r="J1800" s="573" t="s">
        <v>752</v>
      </c>
      <c r="K1800" s="573">
        <v>4</v>
      </c>
      <c r="L1800" s="573">
        <v>0</v>
      </c>
      <c r="M1800" s="573" t="s">
        <v>157</v>
      </c>
      <c r="N1800" s="573">
        <v>2</v>
      </c>
      <c r="O1800" s="573" t="s">
        <v>3385</v>
      </c>
      <c r="P1800" s="571">
        <v>7000</v>
      </c>
      <c r="Q1800" s="573" t="s">
        <v>189</v>
      </c>
      <c r="R1800" s="573">
        <v>4</v>
      </c>
      <c r="S1800" s="582" t="s">
        <v>3455</v>
      </c>
      <c r="T1800" s="573" t="s">
        <v>3445</v>
      </c>
      <c r="U1800" s="573">
        <v>128.30000000000001</v>
      </c>
      <c r="V1800" s="573">
        <v>21</v>
      </c>
      <c r="W1800" s="616">
        <v>5600</v>
      </c>
      <c r="X1800" s="617">
        <v>21</v>
      </c>
      <c r="Y1800" s="617" t="s">
        <v>178</v>
      </c>
      <c r="Z1800" s="617" t="s">
        <v>178</v>
      </c>
      <c r="AA1800" s="618">
        <v>35195</v>
      </c>
      <c r="AB1800" s="618" t="s">
        <v>164</v>
      </c>
      <c r="AC1800" s="618">
        <v>33450</v>
      </c>
      <c r="AD1800" s="619">
        <v>0.03</v>
      </c>
      <c r="AE1800" s="617" t="s">
        <v>3459</v>
      </c>
    </row>
    <row r="1801" spans="1:31" s="572" customFormat="1">
      <c r="A1801" s="570" t="s">
        <v>3461</v>
      </c>
      <c r="B1801" s="569" t="s">
        <v>166</v>
      </c>
      <c r="C1801" s="580">
        <v>17</v>
      </c>
      <c r="D1801" s="569" t="s">
        <v>3374</v>
      </c>
      <c r="E1801" s="569" t="s">
        <v>211</v>
      </c>
      <c r="F1801" s="569" t="s">
        <v>153</v>
      </c>
      <c r="G1801" s="569">
        <v>2019</v>
      </c>
      <c r="H1801" s="569" t="s">
        <v>3375</v>
      </c>
      <c r="I1801" s="569" t="s">
        <v>3454</v>
      </c>
      <c r="J1801" s="569" t="s">
        <v>752</v>
      </c>
      <c r="K1801" s="569">
        <v>4</v>
      </c>
      <c r="L1801" s="569">
        <v>0</v>
      </c>
      <c r="M1801" s="569" t="s">
        <v>157</v>
      </c>
      <c r="N1801" s="569">
        <v>2</v>
      </c>
      <c r="O1801" s="569" t="s">
        <v>3385</v>
      </c>
      <c r="P1801" s="568">
        <v>7000</v>
      </c>
      <c r="Q1801" s="569" t="s">
        <v>189</v>
      </c>
      <c r="R1801" s="569">
        <v>4</v>
      </c>
      <c r="S1801" s="569" t="s">
        <v>3455</v>
      </c>
      <c r="T1801" s="569" t="s">
        <v>3445</v>
      </c>
      <c r="U1801" s="569">
        <v>128.30000000000001</v>
      </c>
      <c r="V1801" s="569">
        <v>21</v>
      </c>
      <c r="W1801" s="620">
        <v>5600</v>
      </c>
      <c r="X1801" s="621">
        <v>21</v>
      </c>
      <c r="Y1801" s="621" t="s">
        <v>178</v>
      </c>
      <c r="Z1801" s="621" t="s">
        <v>178</v>
      </c>
      <c r="AA1801" s="622">
        <v>35195</v>
      </c>
      <c r="AB1801" s="622" t="s">
        <v>164</v>
      </c>
      <c r="AC1801" s="622">
        <v>31820.66</v>
      </c>
      <c r="AD1801" s="623">
        <v>7.1999999999999995E-2</v>
      </c>
      <c r="AE1801" s="621" t="s">
        <v>3459</v>
      </c>
    </row>
    <row r="1802" spans="1:31" s="572" customFormat="1">
      <c r="A1802" s="570" t="s">
        <v>3462</v>
      </c>
      <c r="B1802" s="573" t="s">
        <v>150</v>
      </c>
      <c r="C1802" s="578">
        <v>13</v>
      </c>
      <c r="D1802" s="573" t="s">
        <v>3374</v>
      </c>
      <c r="E1802" s="573" t="s">
        <v>152</v>
      </c>
      <c r="F1802" s="573" t="s">
        <v>153</v>
      </c>
      <c r="G1802" s="573">
        <v>2019</v>
      </c>
      <c r="H1802" s="573" t="s">
        <v>3464</v>
      </c>
      <c r="I1802" s="573" t="s">
        <v>3465</v>
      </c>
      <c r="J1802" s="573" t="s">
        <v>3377</v>
      </c>
      <c r="K1802" s="573">
        <v>6</v>
      </c>
      <c r="L1802" s="573">
        <v>0</v>
      </c>
      <c r="M1802" s="573" t="s">
        <v>157</v>
      </c>
      <c r="N1802" s="573">
        <v>2</v>
      </c>
      <c r="O1802" s="573" t="s">
        <v>3466</v>
      </c>
      <c r="P1802" s="571">
        <v>11000</v>
      </c>
      <c r="Q1802" s="573" t="s">
        <v>1526</v>
      </c>
      <c r="R1802" s="573">
        <v>6</v>
      </c>
      <c r="S1802" s="582" t="s">
        <v>3467</v>
      </c>
      <c r="T1802" s="573" t="s">
        <v>3468</v>
      </c>
      <c r="U1802" s="573">
        <v>143.5</v>
      </c>
      <c r="V1802" s="573">
        <v>26</v>
      </c>
      <c r="W1802" s="616">
        <v>6900</v>
      </c>
      <c r="X1802" s="617">
        <v>20</v>
      </c>
      <c r="Y1802" s="617" t="s">
        <v>450</v>
      </c>
      <c r="Z1802" s="617" t="s">
        <v>178</v>
      </c>
      <c r="AA1802" s="618">
        <v>38495</v>
      </c>
      <c r="AB1802" s="618" t="s">
        <v>164</v>
      </c>
      <c r="AC1802" s="618">
        <v>30436</v>
      </c>
      <c r="AD1802" s="619">
        <v>0.03</v>
      </c>
      <c r="AE1802" s="617" t="s">
        <v>3463</v>
      </c>
    </row>
    <row r="1803" spans="1:31" s="572" customFormat="1">
      <c r="A1803" s="570" t="s">
        <v>3469</v>
      </c>
      <c r="B1803" s="569" t="s">
        <v>150</v>
      </c>
      <c r="C1803" s="580">
        <v>13</v>
      </c>
      <c r="D1803" s="569" t="s">
        <v>3374</v>
      </c>
      <c r="E1803" s="569" t="s">
        <v>152</v>
      </c>
      <c r="F1803" s="569" t="s">
        <v>153</v>
      </c>
      <c r="G1803" s="569">
        <v>2019</v>
      </c>
      <c r="H1803" s="569" t="s">
        <v>3464</v>
      </c>
      <c r="I1803" s="569" t="s">
        <v>3465</v>
      </c>
      <c r="J1803" s="569" t="s">
        <v>3377</v>
      </c>
      <c r="K1803" s="569">
        <v>6</v>
      </c>
      <c r="L1803" s="569">
        <v>0</v>
      </c>
      <c r="M1803" s="569" t="s">
        <v>157</v>
      </c>
      <c r="N1803" s="569">
        <v>2</v>
      </c>
      <c r="O1803" s="569" t="s">
        <v>3471</v>
      </c>
      <c r="P1803" s="568">
        <v>11000</v>
      </c>
      <c r="Q1803" s="569" t="s">
        <v>1526</v>
      </c>
      <c r="R1803" s="569">
        <v>6</v>
      </c>
      <c r="S1803" s="569" t="s">
        <v>3472</v>
      </c>
      <c r="T1803" s="569" t="s">
        <v>3468</v>
      </c>
      <c r="U1803" s="569">
        <v>153</v>
      </c>
      <c r="V1803" s="569">
        <v>26</v>
      </c>
      <c r="W1803" s="620">
        <v>6900</v>
      </c>
      <c r="X1803" s="621">
        <v>20</v>
      </c>
      <c r="Y1803" s="621" t="s">
        <v>450</v>
      </c>
      <c r="Z1803" s="621" t="s">
        <v>178</v>
      </c>
      <c r="AA1803" s="622">
        <v>38795</v>
      </c>
      <c r="AB1803" s="622" t="s">
        <v>164</v>
      </c>
      <c r="AC1803" s="622">
        <v>28726</v>
      </c>
      <c r="AD1803" s="623">
        <v>0.03</v>
      </c>
      <c r="AE1803" s="621" t="s">
        <v>3470</v>
      </c>
    </row>
    <row r="1804" spans="1:31" s="572" customFormat="1">
      <c r="A1804" s="570" t="s">
        <v>3473</v>
      </c>
      <c r="B1804" s="573" t="s">
        <v>150</v>
      </c>
      <c r="C1804" s="578">
        <v>13</v>
      </c>
      <c r="D1804" s="573" t="s">
        <v>3374</v>
      </c>
      <c r="E1804" s="573" t="s">
        <v>152</v>
      </c>
      <c r="F1804" s="573" t="s">
        <v>153</v>
      </c>
      <c r="G1804" s="573">
        <v>2019</v>
      </c>
      <c r="H1804" s="573" t="s">
        <v>3464</v>
      </c>
      <c r="I1804" s="573" t="s">
        <v>3465</v>
      </c>
      <c r="J1804" s="573" t="s">
        <v>752</v>
      </c>
      <c r="K1804" s="573">
        <v>6</v>
      </c>
      <c r="L1804" s="573">
        <v>0</v>
      </c>
      <c r="M1804" s="573" t="s">
        <v>157</v>
      </c>
      <c r="N1804" s="573">
        <v>2</v>
      </c>
      <c r="O1804" s="573" t="s">
        <v>3466</v>
      </c>
      <c r="P1804" s="571">
        <v>12800</v>
      </c>
      <c r="Q1804" s="573" t="s">
        <v>1526</v>
      </c>
      <c r="R1804" s="573">
        <v>6</v>
      </c>
      <c r="S1804" s="582" t="s">
        <v>3475</v>
      </c>
      <c r="T1804" s="573" t="s">
        <v>3468</v>
      </c>
      <c r="U1804" s="573">
        <v>143.5</v>
      </c>
      <c r="V1804" s="573">
        <v>26</v>
      </c>
      <c r="W1804" s="616">
        <v>7100</v>
      </c>
      <c r="X1804" s="617">
        <v>19</v>
      </c>
      <c r="Y1804" s="617" t="s">
        <v>450</v>
      </c>
      <c r="Z1804" s="617" t="s">
        <v>178</v>
      </c>
      <c r="AA1804" s="618">
        <v>41795</v>
      </c>
      <c r="AB1804" s="618" t="s">
        <v>164</v>
      </c>
      <c r="AC1804" s="618">
        <v>32549</v>
      </c>
      <c r="AD1804" s="619">
        <v>0.03</v>
      </c>
      <c r="AE1804" s="617" t="s">
        <v>3474</v>
      </c>
    </row>
    <row r="1805" spans="1:31" s="572" customFormat="1">
      <c r="A1805" s="570" t="s">
        <v>3476</v>
      </c>
      <c r="B1805" s="569" t="s">
        <v>150</v>
      </c>
      <c r="C1805" s="580">
        <v>13</v>
      </c>
      <c r="D1805" s="569" t="s">
        <v>3374</v>
      </c>
      <c r="E1805" s="569" t="s">
        <v>152</v>
      </c>
      <c r="F1805" s="569" t="s">
        <v>153</v>
      </c>
      <c r="G1805" s="569">
        <v>2019</v>
      </c>
      <c r="H1805" s="569" t="s">
        <v>3464</v>
      </c>
      <c r="I1805" s="569" t="s">
        <v>3465</v>
      </c>
      <c r="J1805" s="569" t="s">
        <v>752</v>
      </c>
      <c r="K1805" s="569">
        <v>6</v>
      </c>
      <c r="L1805" s="569">
        <v>0</v>
      </c>
      <c r="M1805" s="569" t="s">
        <v>157</v>
      </c>
      <c r="N1805" s="569">
        <v>2</v>
      </c>
      <c r="O1805" s="569" t="s">
        <v>3471</v>
      </c>
      <c r="P1805" s="568">
        <v>12800</v>
      </c>
      <c r="Q1805" s="569" t="s">
        <v>753</v>
      </c>
      <c r="R1805" s="569">
        <v>8</v>
      </c>
      <c r="S1805" s="569" t="s">
        <v>3478</v>
      </c>
      <c r="T1805" s="569" t="s">
        <v>3468</v>
      </c>
      <c r="U1805" s="569">
        <v>153</v>
      </c>
      <c r="V1805" s="569">
        <v>26</v>
      </c>
      <c r="W1805" s="620">
        <v>7200</v>
      </c>
      <c r="X1805" s="621">
        <v>19</v>
      </c>
      <c r="Y1805" s="621" t="s">
        <v>450</v>
      </c>
      <c r="Z1805" s="621" t="s">
        <v>178</v>
      </c>
      <c r="AA1805" s="622">
        <v>42095</v>
      </c>
      <c r="AB1805" s="622" t="s">
        <v>164</v>
      </c>
      <c r="AC1805" s="622">
        <v>33840</v>
      </c>
      <c r="AD1805" s="623">
        <v>0.03</v>
      </c>
      <c r="AE1805" s="621" t="s">
        <v>3477</v>
      </c>
    </row>
    <row r="1806" spans="1:31" s="572" customFormat="1">
      <c r="A1806" s="570" t="s">
        <v>3479</v>
      </c>
      <c r="B1806" s="573" t="s">
        <v>150</v>
      </c>
      <c r="C1806" s="578">
        <v>13</v>
      </c>
      <c r="D1806" s="573" t="s">
        <v>3374</v>
      </c>
      <c r="E1806" s="573" t="s">
        <v>152</v>
      </c>
      <c r="F1806" s="573" t="s">
        <v>153</v>
      </c>
      <c r="G1806" s="573">
        <v>2019</v>
      </c>
      <c r="H1806" s="573" t="s">
        <v>3464</v>
      </c>
      <c r="I1806" s="573" t="s">
        <v>3481</v>
      </c>
      <c r="J1806" s="573" t="s">
        <v>752</v>
      </c>
      <c r="K1806" s="573">
        <v>6</v>
      </c>
      <c r="L1806" s="573">
        <v>0</v>
      </c>
      <c r="M1806" s="573" t="s">
        <v>157</v>
      </c>
      <c r="N1806" s="573">
        <v>2</v>
      </c>
      <c r="O1806" s="573" t="s">
        <v>3471</v>
      </c>
      <c r="P1806" s="571">
        <v>12800</v>
      </c>
      <c r="Q1806" s="573" t="s">
        <v>1526</v>
      </c>
      <c r="R1806" s="573">
        <v>6</v>
      </c>
      <c r="S1806" s="582" t="s">
        <v>3482</v>
      </c>
      <c r="T1806" s="573" t="s">
        <v>3468</v>
      </c>
      <c r="U1806" s="573">
        <v>143.5</v>
      </c>
      <c r="V1806" s="573">
        <v>26</v>
      </c>
      <c r="W1806" s="616">
        <v>7100</v>
      </c>
      <c r="X1806" s="617">
        <v>19</v>
      </c>
      <c r="Y1806" s="617" t="s">
        <v>450</v>
      </c>
      <c r="Z1806" s="617" t="s">
        <v>178</v>
      </c>
      <c r="AA1806" s="618">
        <v>39395</v>
      </c>
      <c r="AB1806" s="618" t="s">
        <v>164</v>
      </c>
      <c r="AC1806" s="618">
        <v>31082</v>
      </c>
      <c r="AD1806" s="619">
        <v>0.03</v>
      </c>
      <c r="AE1806" s="617" t="s">
        <v>3480</v>
      </c>
    </row>
    <row r="1807" spans="1:31" s="572" customFormat="1">
      <c r="A1807" s="570" t="s">
        <v>3483</v>
      </c>
      <c r="B1807" s="569" t="s">
        <v>166</v>
      </c>
      <c r="C1807" s="580">
        <v>17</v>
      </c>
      <c r="D1807" s="569" t="s">
        <v>3374</v>
      </c>
      <c r="E1807" s="569" t="s">
        <v>152</v>
      </c>
      <c r="F1807" s="569" t="s">
        <v>153</v>
      </c>
      <c r="G1807" s="569">
        <v>2019</v>
      </c>
      <c r="H1807" s="569" t="s">
        <v>3464</v>
      </c>
      <c r="I1807" s="569" t="s">
        <v>3485</v>
      </c>
      <c r="J1807" s="569" t="s">
        <v>3377</v>
      </c>
      <c r="K1807" s="569">
        <v>6</v>
      </c>
      <c r="L1807" s="569">
        <v>0</v>
      </c>
      <c r="M1807" s="569" t="s">
        <v>157</v>
      </c>
      <c r="N1807" s="569">
        <v>2</v>
      </c>
      <c r="O1807" s="569" t="s">
        <v>3466</v>
      </c>
      <c r="P1807" s="568">
        <v>11000</v>
      </c>
      <c r="Q1807" s="569" t="s">
        <v>1526</v>
      </c>
      <c r="R1807" s="569">
        <v>6</v>
      </c>
      <c r="S1807" s="569" t="s">
        <v>3486</v>
      </c>
      <c r="T1807" s="569" t="s">
        <v>732</v>
      </c>
      <c r="U1807" s="569">
        <v>143.5</v>
      </c>
      <c r="V1807" s="569">
        <v>26</v>
      </c>
      <c r="W1807" s="620">
        <v>6900</v>
      </c>
      <c r="X1807" s="621">
        <v>20</v>
      </c>
      <c r="Y1807" s="621" t="s">
        <v>450</v>
      </c>
      <c r="Z1807" s="621" t="s">
        <v>178</v>
      </c>
      <c r="AA1807" s="622">
        <v>36095</v>
      </c>
      <c r="AB1807" s="622" t="s">
        <v>164</v>
      </c>
      <c r="AC1807" s="622">
        <v>34988</v>
      </c>
      <c r="AD1807" s="623">
        <v>7.1999999999999995E-2</v>
      </c>
      <c r="AE1807" s="621" t="s">
        <v>3484</v>
      </c>
    </row>
    <row r="1808" spans="1:31" s="572" customFormat="1">
      <c r="A1808" s="570" t="s">
        <v>3483</v>
      </c>
      <c r="B1808" s="573" t="s">
        <v>166</v>
      </c>
      <c r="C1808" s="578">
        <v>17</v>
      </c>
      <c r="D1808" s="573" t="s">
        <v>3374</v>
      </c>
      <c r="E1808" s="573" t="s">
        <v>152</v>
      </c>
      <c r="F1808" s="573" t="s">
        <v>153</v>
      </c>
      <c r="G1808" s="573">
        <v>2019</v>
      </c>
      <c r="H1808" s="573" t="s">
        <v>3464</v>
      </c>
      <c r="I1808" s="573" t="s">
        <v>3485</v>
      </c>
      <c r="J1808" s="573" t="s">
        <v>3377</v>
      </c>
      <c r="K1808" s="573">
        <v>6</v>
      </c>
      <c r="L1808" s="573">
        <v>0</v>
      </c>
      <c r="M1808" s="573" t="s">
        <v>157</v>
      </c>
      <c r="N1808" s="573">
        <v>2</v>
      </c>
      <c r="O1808" s="573" t="s">
        <v>3466</v>
      </c>
      <c r="P1808" s="571">
        <v>11000</v>
      </c>
      <c r="Q1808" s="573" t="s">
        <v>1526</v>
      </c>
      <c r="R1808" s="573">
        <v>6</v>
      </c>
      <c r="S1808" s="582" t="s">
        <v>3486</v>
      </c>
      <c r="T1808" s="573" t="s">
        <v>732</v>
      </c>
      <c r="U1808" s="573">
        <v>143.5</v>
      </c>
      <c r="V1808" s="573">
        <v>26</v>
      </c>
      <c r="W1808" s="616">
        <v>6900</v>
      </c>
      <c r="X1808" s="617">
        <v>20</v>
      </c>
      <c r="Y1808" s="617" t="s">
        <v>450</v>
      </c>
      <c r="Z1808" s="617" t="s">
        <v>178</v>
      </c>
      <c r="AA1808" s="618">
        <v>38495</v>
      </c>
      <c r="AB1808" s="618" t="s">
        <v>164</v>
      </c>
      <c r="AC1808" s="618">
        <v>34988</v>
      </c>
      <c r="AD1808" s="619">
        <v>7.1999999999999995E-2</v>
      </c>
      <c r="AE1808" s="617" t="s">
        <v>3484</v>
      </c>
    </row>
    <row r="1809" spans="1:31" s="572" customFormat="1">
      <c r="A1809" s="570" t="s">
        <v>3487</v>
      </c>
      <c r="B1809" s="569" t="s">
        <v>166</v>
      </c>
      <c r="C1809" s="580">
        <v>17</v>
      </c>
      <c r="D1809" s="569" t="s">
        <v>3374</v>
      </c>
      <c r="E1809" s="569" t="s">
        <v>152</v>
      </c>
      <c r="F1809" s="569" t="s">
        <v>153</v>
      </c>
      <c r="G1809" s="569">
        <v>2019</v>
      </c>
      <c r="H1809" s="569" t="s">
        <v>3464</v>
      </c>
      <c r="I1809" s="569" t="s">
        <v>3485</v>
      </c>
      <c r="J1809" s="569" t="s">
        <v>3377</v>
      </c>
      <c r="K1809" s="569">
        <v>6</v>
      </c>
      <c r="L1809" s="569">
        <v>0</v>
      </c>
      <c r="M1809" s="569" t="s">
        <v>157</v>
      </c>
      <c r="N1809" s="569">
        <v>2</v>
      </c>
      <c r="O1809" s="569" t="s">
        <v>3471</v>
      </c>
      <c r="P1809" s="568">
        <v>11000</v>
      </c>
      <c r="Q1809" s="569" t="s">
        <v>1526</v>
      </c>
      <c r="R1809" s="569">
        <v>6</v>
      </c>
      <c r="S1809" s="569" t="s">
        <v>3489</v>
      </c>
      <c r="T1809" s="569" t="s">
        <v>732</v>
      </c>
      <c r="U1809" s="569">
        <v>153</v>
      </c>
      <c r="V1809" s="569">
        <v>26</v>
      </c>
      <c r="W1809" s="620">
        <v>6900</v>
      </c>
      <c r="X1809" s="621">
        <v>20</v>
      </c>
      <c r="Y1809" s="621" t="s">
        <v>450</v>
      </c>
      <c r="Z1809" s="621" t="s">
        <v>178</v>
      </c>
      <c r="AA1809" s="622">
        <v>36395</v>
      </c>
      <c r="AB1809" s="622" t="s">
        <v>164</v>
      </c>
      <c r="AC1809" s="622">
        <v>27647.41</v>
      </c>
      <c r="AD1809" s="623">
        <v>7.1999999999999995E-2</v>
      </c>
      <c r="AE1809" s="621" t="s">
        <v>3488</v>
      </c>
    </row>
    <row r="1810" spans="1:31" s="572" customFormat="1">
      <c r="A1810" s="570" t="s">
        <v>3490</v>
      </c>
      <c r="B1810" s="573" t="s">
        <v>166</v>
      </c>
      <c r="C1810" s="578">
        <v>17</v>
      </c>
      <c r="D1810" s="573" t="s">
        <v>3374</v>
      </c>
      <c r="E1810" s="573" t="s">
        <v>152</v>
      </c>
      <c r="F1810" s="573" t="s">
        <v>153</v>
      </c>
      <c r="G1810" s="573">
        <v>2019</v>
      </c>
      <c r="H1810" s="573" t="s">
        <v>3464</v>
      </c>
      <c r="I1810" s="573" t="s">
        <v>3485</v>
      </c>
      <c r="J1810" s="573" t="s">
        <v>3377</v>
      </c>
      <c r="K1810" s="573">
        <v>6</v>
      </c>
      <c r="L1810" s="573">
        <v>0</v>
      </c>
      <c r="M1810" s="573" t="s">
        <v>157</v>
      </c>
      <c r="N1810" s="573">
        <v>2</v>
      </c>
      <c r="O1810" s="573" t="s">
        <v>3471</v>
      </c>
      <c r="P1810" s="571">
        <v>11000</v>
      </c>
      <c r="Q1810" s="573" t="s">
        <v>753</v>
      </c>
      <c r="R1810" s="573">
        <v>8</v>
      </c>
      <c r="S1810" s="582" t="s">
        <v>3489</v>
      </c>
      <c r="T1810" s="573" t="s">
        <v>732</v>
      </c>
      <c r="U1810" s="573">
        <v>153</v>
      </c>
      <c r="V1810" s="573">
        <v>26</v>
      </c>
      <c r="W1810" s="616">
        <v>6900</v>
      </c>
      <c r="X1810" s="617">
        <v>19</v>
      </c>
      <c r="Y1810" s="617" t="s">
        <v>450</v>
      </c>
      <c r="Z1810" s="617" t="s">
        <v>178</v>
      </c>
      <c r="AA1810" s="618">
        <v>38795</v>
      </c>
      <c r="AB1810" s="618" t="s">
        <v>164</v>
      </c>
      <c r="AC1810" s="618">
        <v>29453</v>
      </c>
      <c r="AD1810" s="619">
        <v>7.1999999999999995E-2</v>
      </c>
      <c r="AE1810" s="617" t="s">
        <v>3491</v>
      </c>
    </row>
    <row r="1811" spans="1:31" s="572" customFormat="1">
      <c r="A1811" s="570" t="s">
        <v>3490</v>
      </c>
      <c r="B1811" s="569" t="s">
        <v>166</v>
      </c>
      <c r="C1811" s="580">
        <v>17</v>
      </c>
      <c r="D1811" s="569" t="s">
        <v>3374</v>
      </c>
      <c r="E1811" s="569" t="s">
        <v>152</v>
      </c>
      <c r="F1811" s="569" t="s">
        <v>153</v>
      </c>
      <c r="G1811" s="569">
        <v>2019</v>
      </c>
      <c r="H1811" s="569" t="s">
        <v>3464</v>
      </c>
      <c r="I1811" s="569" t="s">
        <v>3485</v>
      </c>
      <c r="J1811" s="569" t="s">
        <v>3377</v>
      </c>
      <c r="K1811" s="569">
        <v>6</v>
      </c>
      <c r="L1811" s="569">
        <v>0</v>
      </c>
      <c r="M1811" s="569" t="s">
        <v>157</v>
      </c>
      <c r="N1811" s="569">
        <v>2</v>
      </c>
      <c r="O1811" s="569" t="s">
        <v>3471</v>
      </c>
      <c r="P1811" s="568">
        <v>11000</v>
      </c>
      <c r="Q1811" s="569" t="s">
        <v>753</v>
      </c>
      <c r="R1811" s="569">
        <v>8</v>
      </c>
      <c r="S1811" s="569" t="s">
        <v>3489</v>
      </c>
      <c r="T1811" s="569" t="s">
        <v>732</v>
      </c>
      <c r="U1811" s="569">
        <v>153</v>
      </c>
      <c r="V1811" s="569">
        <v>26</v>
      </c>
      <c r="W1811" s="620">
        <v>7000</v>
      </c>
      <c r="X1811" s="621">
        <v>19</v>
      </c>
      <c r="Y1811" s="621" t="s">
        <v>450</v>
      </c>
      <c r="Z1811" s="621" t="s">
        <v>178</v>
      </c>
      <c r="AA1811" s="622">
        <v>38795</v>
      </c>
      <c r="AB1811" s="622" t="s">
        <v>164</v>
      </c>
      <c r="AC1811" s="622">
        <v>29453</v>
      </c>
      <c r="AD1811" s="623">
        <v>7.1999999999999995E-2</v>
      </c>
      <c r="AE1811" s="621" t="s">
        <v>3491</v>
      </c>
    </row>
    <row r="1812" spans="1:31" s="572" customFormat="1">
      <c r="A1812" s="570" t="s">
        <v>3492</v>
      </c>
      <c r="B1812" s="573" t="s">
        <v>166</v>
      </c>
      <c r="C1812" s="578">
        <v>17</v>
      </c>
      <c r="D1812" s="573" t="s">
        <v>3374</v>
      </c>
      <c r="E1812" s="573" t="s">
        <v>152</v>
      </c>
      <c r="F1812" s="573" t="s">
        <v>153</v>
      </c>
      <c r="G1812" s="573">
        <v>2019</v>
      </c>
      <c r="H1812" s="573" t="s">
        <v>3464</v>
      </c>
      <c r="I1812" s="573" t="s">
        <v>3485</v>
      </c>
      <c r="J1812" s="573" t="s">
        <v>752</v>
      </c>
      <c r="K1812" s="573">
        <v>6</v>
      </c>
      <c r="L1812" s="573">
        <v>0</v>
      </c>
      <c r="M1812" s="573" t="s">
        <v>157</v>
      </c>
      <c r="N1812" s="573">
        <v>2</v>
      </c>
      <c r="O1812" s="573" t="s">
        <v>3466</v>
      </c>
      <c r="P1812" s="571">
        <v>12800</v>
      </c>
      <c r="Q1812" s="573" t="s">
        <v>1526</v>
      </c>
      <c r="R1812" s="573">
        <v>6</v>
      </c>
      <c r="S1812" s="582" t="s">
        <v>3494</v>
      </c>
      <c r="T1812" s="573" t="s">
        <v>732</v>
      </c>
      <c r="U1812" s="573">
        <v>143.5</v>
      </c>
      <c r="V1812" s="573">
        <v>26</v>
      </c>
      <c r="W1812" s="616">
        <v>7100</v>
      </c>
      <c r="X1812" s="617">
        <v>19</v>
      </c>
      <c r="Y1812" s="617" t="s">
        <v>450</v>
      </c>
      <c r="Z1812" s="617" t="s">
        <v>178</v>
      </c>
      <c r="AA1812" s="618">
        <v>39395</v>
      </c>
      <c r="AB1812" s="618" t="s">
        <v>164</v>
      </c>
      <c r="AC1812" s="618">
        <v>28479.66</v>
      </c>
      <c r="AD1812" s="619">
        <v>7.1999999999999995E-2</v>
      </c>
      <c r="AE1812" s="617" t="s">
        <v>3493</v>
      </c>
    </row>
    <row r="1813" spans="1:31" s="572" customFormat="1">
      <c r="A1813" s="570" t="s">
        <v>3495</v>
      </c>
      <c r="B1813" s="569" t="s">
        <v>166</v>
      </c>
      <c r="C1813" s="580">
        <v>17</v>
      </c>
      <c r="D1813" s="569" t="s">
        <v>3374</v>
      </c>
      <c r="E1813" s="569" t="s">
        <v>152</v>
      </c>
      <c r="F1813" s="569" t="s">
        <v>153</v>
      </c>
      <c r="G1813" s="569">
        <v>2019</v>
      </c>
      <c r="H1813" s="569" t="s">
        <v>3464</v>
      </c>
      <c r="I1813" s="569" t="s">
        <v>3485</v>
      </c>
      <c r="J1813" s="569" t="s">
        <v>752</v>
      </c>
      <c r="K1813" s="569">
        <v>6</v>
      </c>
      <c r="L1813" s="569">
        <v>0</v>
      </c>
      <c r="M1813" s="569" t="s">
        <v>157</v>
      </c>
      <c r="N1813" s="569">
        <v>2</v>
      </c>
      <c r="O1813" s="569" t="s">
        <v>3471</v>
      </c>
      <c r="P1813" s="568">
        <v>12800</v>
      </c>
      <c r="Q1813" s="569" t="s">
        <v>753</v>
      </c>
      <c r="R1813" s="569">
        <v>8</v>
      </c>
      <c r="S1813" s="569" t="s">
        <v>3497</v>
      </c>
      <c r="T1813" s="569" t="s">
        <v>732</v>
      </c>
      <c r="U1813" s="569">
        <v>153</v>
      </c>
      <c r="V1813" s="569">
        <v>26</v>
      </c>
      <c r="W1813" s="620">
        <v>7100</v>
      </c>
      <c r="X1813" s="621">
        <v>19</v>
      </c>
      <c r="Y1813" s="621" t="s">
        <v>450</v>
      </c>
      <c r="Z1813" s="621" t="s">
        <v>178</v>
      </c>
      <c r="AA1813" s="622">
        <v>41090</v>
      </c>
      <c r="AB1813" s="622" t="s">
        <v>164</v>
      </c>
      <c r="AC1813" s="622">
        <v>31205.57</v>
      </c>
      <c r="AD1813" s="623">
        <v>7.1999999999999995E-2</v>
      </c>
      <c r="AE1813" s="621" t="s">
        <v>3496</v>
      </c>
    </row>
    <row r="1814" spans="1:31" s="572" customFormat="1">
      <c r="A1814" s="570" t="s">
        <v>3495</v>
      </c>
      <c r="B1814" s="573" t="s">
        <v>166</v>
      </c>
      <c r="C1814" s="578">
        <v>17</v>
      </c>
      <c r="D1814" s="573" t="s">
        <v>3374</v>
      </c>
      <c r="E1814" s="573" t="s">
        <v>152</v>
      </c>
      <c r="F1814" s="573" t="s">
        <v>153</v>
      </c>
      <c r="G1814" s="573">
        <v>2019</v>
      </c>
      <c r="H1814" s="573" t="s">
        <v>3464</v>
      </c>
      <c r="I1814" s="573" t="s">
        <v>3485</v>
      </c>
      <c r="J1814" s="573" t="s">
        <v>752</v>
      </c>
      <c r="K1814" s="573">
        <v>6</v>
      </c>
      <c r="L1814" s="573">
        <v>0</v>
      </c>
      <c r="M1814" s="573" t="s">
        <v>157</v>
      </c>
      <c r="N1814" s="573">
        <v>2</v>
      </c>
      <c r="O1814" s="573" t="s">
        <v>3471</v>
      </c>
      <c r="P1814" s="571">
        <v>12800</v>
      </c>
      <c r="Q1814" s="573" t="s">
        <v>753</v>
      </c>
      <c r="R1814" s="573">
        <v>8</v>
      </c>
      <c r="S1814" s="582" t="s">
        <v>3497</v>
      </c>
      <c r="T1814" s="573" t="s">
        <v>732</v>
      </c>
      <c r="U1814" s="573">
        <v>153</v>
      </c>
      <c r="V1814" s="573">
        <v>26</v>
      </c>
      <c r="W1814" s="616">
        <v>7200</v>
      </c>
      <c r="X1814" s="617">
        <v>19</v>
      </c>
      <c r="Y1814" s="617" t="s">
        <v>450</v>
      </c>
      <c r="Z1814" s="617" t="s">
        <v>178</v>
      </c>
      <c r="AA1814" s="618">
        <v>41090</v>
      </c>
      <c r="AB1814" s="618" t="s">
        <v>164</v>
      </c>
      <c r="AC1814" s="618">
        <v>31205.57</v>
      </c>
      <c r="AD1814" s="619">
        <v>7.1999999999999995E-2</v>
      </c>
      <c r="AE1814" s="617" t="s">
        <v>3496</v>
      </c>
    </row>
    <row r="1815" spans="1:31" s="572" customFormat="1">
      <c r="A1815" s="570" t="s">
        <v>3498</v>
      </c>
      <c r="B1815" s="569" t="s">
        <v>166</v>
      </c>
      <c r="C1815" s="580">
        <v>17</v>
      </c>
      <c r="D1815" s="569" t="s">
        <v>3374</v>
      </c>
      <c r="E1815" s="569" t="s">
        <v>152</v>
      </c>
      <c r="F1815" s="569" t="s">
        <v>153</v>
      </c>
      <c r="G1815" s="569">
        <v>2019</v>
      </c>
      <c r="H1815" s="569" t="s">
        <v>3464</v>
      </c>
      <c r="I1815" s="569" t="s">
        <v>3500</v>
      </c>
      <c r="J1815" s="569" t="s">
        <v>3377</v>
      </c>
      <c r="K1815" s="569">
        <v>6</v>
      </c>
      <c r="L1815" s="569">
        <v>0</v>
      </c>
      <c r="M1815" s="569" t="s">
        <v>157</v>
      </c>
      <c r="N1815" s="569">
        <v>2</v>
      </c>
      <c r="O1815" s="569" t="s">
        <v>3471</v>
      </c>
      <c r="P1815" s="568">
        <v>11000</v>
      </c>
      <c r="Q1815" s="569" t="s">
        <v>1526</v>
      </c>
      <c r="R1815" s="569">
        <v>6</v>
      </c>
      <c r="S1815" s="569" t="s">
        <v>3501</v>
      </c>
      <c r="T1815" s="569" t="s">
        <v>732</v>
      </c>
      <c r="U1815" s="569">
        <v>143.5</v>
      </c>
      <c r="V1815" s="569">
        <v>26</v>
      </c>
      <c r="W1815" s="620">
        <v>6900</v>
      </c>
      <c r="X1815" s="621">
        <v>20</v>
      </c>
      <c r="Y1815" s="621" t="s">
        <v>450</v>
      </c>
      <c r="Z1815" s="621" t="s">
        <v>178</v>
      </c>
      <c r="AA1815" s="622">
        <v>36095</v>
      </c>
      <c r="AB1815" s="622" t="s">
        <v>164</v>
      </c>
      <c r="AC1815" s="622">
        <v>27411</v>
      </c>
      <c r="AD1815" s="623">
        <v>7.1999999999999995E-2</v>
      </c>
      <c r="AE1815" s="621" t="s">
        <v>3499</v>
      </c>
    </row>
    <row r="1816" spans="1:31" s="572" customFormat="1">
      <c r="A1816" s="570" t="s">
        <v>3502</v>
      </c>
      <c r="B1816" s="573" t="s">
        <v>166</v>
      </c>
      <c r="C1816" s="578">
        <v>17</v>
      </c>
      <c r="D1816" s="573" t="s">
        <v>3374</v>
      </c>
      <c r="E1816" s="573" t="s">
        <v>152</v>
      </c>
      <c r="F1816" s="573" t="s">
        <v>153</v>
      </c>
      <c r="G1816" s="573">
        <v>2019</v>
      </c>
      <c r="H1816" s="573" t="s">
        <v>3464</v>
      </c>
      <c r="I1816" s="573" t="s">
        <v>3500</v>
      </c>
      <c r="J1816" s="573" t="s">
        <v>752</v>
      </c>
      <c r="K1816" s="573">
        <v>6</v>
      </c>
      <c r="L1816" s="573">
        <v>0</v>
      </c>
      <c r="M1816" s="573" t="s">
        <v>157</v>
      </c>
      <c r="N1816" s="573">
        <v>2</v>
      </c>
      <c r="O1816" s="573" t="s">
        <v>3471</v>
      </c>
      <c r="P1816" s="571">
        <v>12800</v>
      </c>
      <c r="Q1816" s="573" t="s">
        <v>1526</v>
      </c>
      <c r="R1816" s="573">
        <v>6</v>
      </c>
      <c r="S1816" s="582" t="s">
        <v>3504</v>
      </c>
      <c r="T1816" s="573" t="s">
        <v>732</v>
      </c>
      <c r="U1816" s="573">
        <v>143.5</v>
      </c>
      <c r="V1816" s="573">
        <v>26</v>
      </c>
      <c r="W1816" s="616">
        <v>7100</v>
      </c>
      <c r="X1816" s="617">
        <v>19</v>
      </c>
      <c r="Y1816" s="617" t="s">
        <v>450</v>
      </c>
      <c r="Z1816" s="617" t="s">
        <v>178</v>
      </c>
      <c r="AA1816" s="618">
        <v>39395</v>
      </c>
      <c r="AB1816" s="618" t="s">
        <v>164</v>
      </c>
      <c r="AC1816" s="618">
        <v>29719.88</v>
      </c>
      <c r="AD1816" s="619">
        <v>7.1999999999999995E-2</v>
      </c>
      <c r="AE1816" s="617" t="s">
        <v>3503</v>
      </c>
    </row>
    <row r="1817" spans="1:31" s="572" customFormat="1">
      <c r="A1817" s="570" t="s">
        <v>3505</v>
      </c>
      <c r="B1817" s="569" t="s">
        <v>166</v>
      </c>
      <c r="C1817" s="580">
        <v>17</v>
      </c>
      <c r="D1817" s="569" t="s">
        <v>3374</v>
      </c>
      <c r="E1817" s="569" t="s">
        <v>152</v>
      </c>
      <c r="F1817" s="569" t="s">
        <v>153</v>
      </c>
      <c r="G1817" s="569">
        <v>2019</v>
      </c>
      <c r="H1817" s="569" t="s">
        <v>3464</v>
      </c>
      <c r="I1817" s="569" t="s">
        <v>3507</v>
      </c>
      <c r="J1817" s="569" t="s">
        <v>3377</v>
      </c>
      <c r="K1817" s="569">
        <v>3</v>
      </c>
      <c r="L1817" s="569">
        <v>0</v>
      </c>
      <c r="M1817" s="569" t="s">
        <v>157</v>
      </c>
      <c r="N1817" s="569">
        <v>1</v>
      </c>
      <c r="O1817" s="569" t="s">
        <v>3508</v>
      </c>
      <c r="P1817" s="568">
        <v>11000</v>
      </c>
      <c r="Q1817" s="569" t="s">
        <v>1526</v>
      </c>
      <c r="R1817" s="569">
        <v>6</v>
      </c>
      <c r="S1817" s="569" t="s">
        <v>3509</v>
      </c>
      <c r="T1817" s="569" t="s">
        <v>732</v>
      </c>
      <c r="U1817" s="569">
        <v>133</v>
      </c>
      <c r="V1817" s="569">
        <v>34</v>
      </c>
      <c r="W1817" s="620">
        <v>6700</v>
      </c>
      <c r="X1817" s="621">
        <v>20</v>
      </c>
      <c r="Y1817" s="621" t="s">
        <v>450</v>
      </c>
      <c r="Z1817" s="621" t="s">
        <v>178</v>
      </c>
      <c r="AA1817" s="622">
        <v>29795</v>
      </c>
      <c r="AB1817" s="622" t="s">
        <v>164</v>
      </c>
      <c r="AC1817" s="622">
        <v>23555</v>
      </c>
      <c r="AD1817" s="623">
        <v>7.1999999999999995E-2</v>
      </c>
      <c r="AE1817" s="621" t="s">
        <v>3506</v>
      </c>
    </row>
    <row r="1818" spans="1:31" s="572" customFormat="1">
      <c r="A1818" s="570" t="s">
        <v>3510</v>
      </c>
      <c r="B1818" s="573" t="s">
        <v>166</v>
      </c>
      <c r="C1818" s="578">
        <v>17</v>
      </c>
      <c r="D1818" s="573" t="s">
        <v>3374</v>
      </c>
      <c r="E1818" s="573" t="s">
        <v>152</v>
      </c>
      <c r="F1818" s="573" t="s">
        <v>153</v>
      </c>
      <c r="G1818" s="573">
        <v>2019</v>
      </c>
      <c r="H1818" s="573" t="s">
        <v>3464</v>
      </c>
      <c r="I1818" s="573" t="s">
        <v>3507</v>
      </c>
      <c r="J1818" s="573" t="s">
        <v>752</v>
      </c>
      <c r="K1818" s="573">
        <v>3</v>
      </c>
      <c r="L1818" s="573">
        <v>0</v>
      </c>
      <c r="M1818" s="573" t="s">
        <v>157</v>
      </c>
      <c r="N1818" s="573">
        <v>1</v>
      </c>
      <c r="O1818" s="573" t="s">
        <v>3471</v>
      </c>
      <c r="P1818" s="571">
        <v>12400</v>
      </c>
      <c r="Q1818" s="573" t="s">
        <v>1526</v>
      </c>
      <c r="R1818" s="573">
        <v>6</v>
      </c>
      <c r="S1818" s="582" t="s">
        <v>3512</v>
      </c>
      <c r="T1818" s="573" t="s">
        <v>732</v>
      </c>
      <c r="U1818" s="573">
        <v>119</v>
      </c>
      <c r="V1818" s="573">
        <v>26</v>
      </c>
      <c r="W1818" s="616">
        <v>6700</v>
      </c>
      <c r="X1818" s="617">
        <v>19</v>
      </c>
      <c r="Y1818" s="617" t="s">
        <v>450</v>
      </c>
      <c r="Z1818" s="617" t="s">
        <v>178</v>
      </c>
      <c r="AA1818" s="618">
        <v>34395</v>
      </c>
      <c r="AB1818" s="618" t="s">
        <v>164</v>
      </c>
      <c r="AC1818" s="618">
        <v>26411.77</v>
      </c>
      <c r="AD1818" s="619">
        <v>7.1999999999999995E-2</v>
      </c>
      <c r="AE1818" s="617" t="s">
        <v>3511</v>
      </c>
    </row>
    <row r="1819" spans="1:31" s="572" customFormat="1">
      <c r="A1819" s="570" t="s">
        <v>3513</v>
      </c>
      <c r="B1819" s="569" t="s">
        <v>169</v>
      </c>
      <c r="C1819" s="580">
        <v>11</v>
      </c>
      <c r="D1819" s="569" t="s">
        <v>3374</v>
      </c>
      <c r="E1819" s="569" t="s">
        <v>152</v>
      </c>
      <c r="F1819" s="569" t="s">
        <v>153</v>
      </c>
      <c r="G1819" s="569">
        <v>2019</v>
      </c>
      <c r="H1819" s="569" t="s">
        <v>3464</v>
      </c>
      <c r="I1819" s="569" t="s">
        <v>3384</v>
      </c>
      <c r="J1819" s="569" t="s">
        <v>3377</v>
      </c>
      <c r="K1819" s="569">
        <v>6</v>
      </c>
      <c r="L1819" s="569">
        <v>0</v>
      </c>
      <c r="M1819" s="569" t="s">
        <v>157</v>
      </c>
      <c r="N1819" s="569">
        <v>2</v>
      </c>
      <c r="O1819" s="569" t="s">
        <v>3515</v>
      </c>
      <c r="P1819" s="568">
        <v>11600</v>
      </c>
      <c r="Q1819" s="569" t="s">
        <v>1500</v>
      </c>
      <c r="R1819" s="569">
        <v>8</v>
      </c>
      <c r="S1819" s="569" t="s">
        <v>3467</v>
      </c>
      <c r="T1819" s="569" t="s">
        <v>213</v>
      </c>
      <c r="U1819" s="569">
        <v>147.43</v>
      </c>
      <c r="V1819" s="569">
        <v>24</v>
      </c>
      <c r="W1819" s="620">
        <v>6800</v>
      </c>
      <c r="X1819" s="621" t="s">
        <v>6563</v>
      </c>
      <c r="Y1819" s="621" t="s">
        <v>178</v>
      </c>
      <c r="Z1819" s="621" t="s">
        <v>178</v>
      </c>
      <c r="AA1819" s="622">
        <v>40795</v>
      </c>
      <c r="AB1819" s="622" t="s">
        <v>164</v>
      </c>
      <c r="AC1819" s="622">
        <v>29086.42105263158</v>
      </c>
      <c r="AD1819" s="623">
        <v>0.05</v>
      </c>
      <c r="AE1819" s="621" t="s">
        <v>3514</v>
      </c>
    </row>
    <row r="1820" spans="1:31" s="572" customFormat="1">
      <c r="A1820" s="570" t="s">
        <v>3516</v>
      </c>
      <c r="B1820" s="573" t="s">
        <v>169</v>
      </c>
      <c r="C1820" s="578">
        <v>11</v>
      </c>
      <c r="D1820" s="573" t="s">
        <v>3374</v>
      </c>
      <c r="E1820" s="573" t="s">
        <v>152</v>
      </c>
      <c r="F1820" s="573" t="s">
        <v>153</v>
      </c>
      <c r="G1820" s="573">
        <v>2019</v>
      </c>
      <c r="H1820" s="573" t="s">
        <v>3464</v>
      </c>
      <c r="I1820" s="573" t="s">
        <v>3384</v>
      </c>
      <c r="J1820" s="573" t="s">
        <v>3377</v>
      </c>
      <c r="K1820" s="573">
        <v>6</v>
      </c>
      <c r="L1820" s="573">
        <v>0</v>
      </c>
      <c r="M1820" s="573" t="s">
        <v>157</v>
      </c>
      <c r="N1820" s="573">
        <v>2</v>
      </c>
      <c r="O1820" s="573" t="s">
        <v>3471</v>
      </c>
      <c r="P1820" s="571">
        <v>11500</v>
      </c>
      <c r="Q1820" s="573" t="s">
        <v>1500</v>
      </c>
      <c r="R1820" s="573">
        <v>8</v>
      </c>
      <c r="S1820" s="582" t="s">
        <v>3472</v>
      </c>
      <c r="T1820" s="573" t="s">
        <v>213</v>
      </c>
      <c r="U1820" s="573">
        <v>156.94999999999999</v>
      </c>
      <c r="V1820" s="573">
        <v>24</v>
      </c>
      <c r="W1820" s="616">
        <v>6800</v>
      </c>
      <c r="X1820" s="617" t="s">
        <v>6563</v>
      </c>
      <c r="Y1820" s="617" t="s">
        <v>178</v>
      </c>
      <c r="Z1820" s="617" t="s">
        <v>178</v>
      </c>
      <c r="AA1820" s="618">
        <v>41095</v>
      </c>
      <c r="AB1820" s="618" t="s">
        <v>164</v>
      </c>
      <c r="AC1820" s="618">
        <v>28530.73684210526</v>
      </c>
      <c r="AD1820" s="619">
        <v>0.05</v>
      </c>
      <c r="AE1820" s="617" t="s">
        <v>3517</v>
      </c>
    </row>
    <row r="1821" spans="1:31" s="572" customFormat="1">
      <c r="A1821" s="570" t="s">
        <v>3518</v>
      </c>
      <c r="B1821" s="569" t="s">
        <v>150</v>
      </c>
      <c r="C1821" s="580">
        <v>13</v>
      </c>
      <c r="D1821" s="569" t="s">
        <v>3374</v>
      </c>
      <c r="E1821" s="569" t="s">
        <v>152</v>
      </c>
      <c r="F1821" s="569" t="s">
        <v>153</v>
      </c>
      <c r="G1821" s="569">
        <v>2019</v>
      </c>
      <c r="H1821" s="569" t="s">
        <v>3464</v>
      </c>
      <c r="I1821" s="569" t="s">
        <v>3384</v>
      </c>
      <c r="J1821" s="569" t="s">
        <v>3377</v>
      </c>
      <c r="K1821" s="569">
        <v>6</v>
      </c>
      <c r="L1821" s="569">
        <v>0</v>
      </c>
      <c r="M1821" s="569" t="s">
        <v>157</v>
      </c>
      <c r="N1821" s="569">
        <v>2</v>
      </c>
      <c r="O1821" s="569" t="s">
        <v>3466</v>
      </c>
      <c r="P1821" s="568">
        <v>11000</v>
      </c>
      <c r="Q1821" s="569" t="s">
        <v>1526</v>
      </c>
      <c r="R1821" s="569">
        <v>6</v>
      </c>
      <c r="S1821" s="569" t="s">
        <v>3467</v>
      </c>
      <c r="T1821" s="569" t="s">
        <v>213</v>
      </c>
      <c r="U1821" s="569">
        <v>143.5</v>
      </c>
      <c r="V1821" s="569">
        <v>26</v>
      </c>
      <c r="W1821" s="620">
        <v>6900</v>
      </c>
      <c r="X1821" s="621">
        <v>20</v>
      </c>
      <c r="Y1821" s="621" t="s">
        <v>450</v>
      </c>
      <c r="Z1821" s="621" t="s">
        <v>178</v>
      </c>
      <c r="AA1821" s="622">
        <v>41795</v>
      </c>
      <c r="AB1821" s="622" t="s">
        <v>164</v>
      </c>
      <c r="AC1821" s="622">
        <v>32461</v>
      </c>
      <c r="AD1821" s="623">
        <v>0.03</v>
      </c>
      <c r="AE1821" s="621" t="s">
        <v>3519</v>
      </c>
    </row>
    <row r="1822" spans="1:31" s="572" customFormat="1">
      <c r="A1822" s="570" t="s">
        <v>3520</v>
      </c>
      <c r="B1822" s="573" t="s">
        <v>150</v>
      </c>
      <c r="C1822" s="578">
        <v>13</v>
      </c>
      <c r="D1822" s="573" t="s">
        <v>3374</v>
      </c>
      <c r="E1822" s="573" t="s">
        <v>152</v>
      </c>
      <c r="F1822" s="573" t="s">
        <v>153</v>
      </c>
      <c r="G1822" s="573">
        <v>2019</v>
      </c>
      <c r="H1822" s="573" t="s">
        <v>3464</v>
      </c>
      <c r="I1822" s="573" t="s">
        <v>3384</v>
      </c>
      <c r="J1822" s="573" t="s">
        <v>3377</v>
      </c>
      <c r="K1822" s="573">
        <v>6</v>
      </c>
      <c r="L1822" s="573">
        <v>0</v>
      </c>
      <c r="M1822" s="573" t="s">
        <v>157</v>
      </c>
      <c r="N1822" s="573">
        <v>2</v>
      </c>
      <c r="O1822" s="573" t="s">
        <v>3471</v>
      </c>
      <c r="P1822" s="571">
        <v>11000</v>
      </c>
      <c r="Q1822" s="573" t="s">
        <v>753</v>
      </c>
      <c r="R1822" s="573">
        <v>8</v>
      </c>
      <c r="S1822" s="582" t="s">
        <v>3472</v>
      </c>
      <c r="T1822" s="573" t="s">
        <v>213</v>
      </c>
      <c r="U1822" s="573">
        <v>153</v>
      </c>
      <c r="V1822" s="573">
        <v>26</v>
      </c>
      <c r="W1822" s="616">
        <v>7000</v>
      </c>
      <c r="X1822" s="617">
        <v>19</v>
      </c>
      <c r="Y1822" s="617" t="s">
        <v>450</v>
      </c>
      <c r="Z1822" s="617" t="s">
        <v>178</v>
      </c>
      <c r="AA1822" s="618">
        <v>41095</v>
      </c>
      <c r="AB1822" s="618" t="s">
        <v>164</v>
      </c>
      <c r="AC1822" s="618">
        <v>33722</v>
      </c>
      <c r="AD1822" s="619">
        <v>0.03</v>
      </c>
      <c r="AE1822" s="617" t="s">
        <v>3521</v>
      </c>
    </row>
    <row r="1823" spans="1:31" s="572" customFormat="1">
      <c r="A1823" s="570" t="s">
        <v>3522</v>
      </c>
      <c r="B1823" s="569" t="s">
        <v>166</v>
      </c>
      <c r="C1823" s="580">
        <v>17</v>
      </c>
      <c r="D1823" s="569" t="s">
        <v>3374</v>
      </c>
      <c r="E1823" s="569" t="s">
        <v>152</v>
      </c>
      <c r="F1823" s="569" t="s">
        <v>153</v>
      </c>
      <c r="G1823" s="569">
        <v>2019</v>
      </c>
      <c r="H1823" s="569" t="s">
        <v>3464</v>
      </c>
      <c r="I1823" s="569" t="s">
        <v>3384</v>
      </c>
      <c r="J1823" s="569" t="s">
        <v>3377</v>
      </c>
      <c r="K1823" s="569">
        <v>6</v>
      </c>
      <c r="L1823" s="569">
        <v>0</v>
      </c>
      <c r="M1823" s="569" t="s">
        <v>157</v>
      </c>
      <c r="N1823" s="569">
        <v>2</v>
      </c>
      <c r="O1823" s="569" t="s">
        <v>3466</v>
      </c>
      <c r="P1823" s="568">
        <v>11000</v>
      </c>
      <c r="Q1823" s="569" t="s">
        <v>1526</v>
      </c>
      <c r="R1823" s="569">
        <v>6</v>
      </c>
      <c r="S1823" s="569" t="s">
        <v>3486</v>
      </c>
      <c r="T1823" s="569" t="s">
        <v>213</v>
      </c>
      <c r="U1823" s="569">
        <v>143.5</v>
      </c>
      <c r="V1823" s="569">
        <v>26</v>
      </c>
      <c r="W1823" s="620">
        <v>6900</v>
      </c>
      <c r="X1823" s="621">
        <v>20</v>
      </c>
      <c r="Y1823" s="621" t="s">
        <v>450</v>
      </c>
      <c r="Z1823" s="621" t="s">
        <v>178</v>
      </c>
      <c r="AA1823" s="622">
        <v>40995</v>
      </c>
      <c r="AB1823" s="622" t="s">
        <v>164</v>
      </c>
      <c r="AC1823" s="622">
        <v>31565</v>
      </c>
      <c r="AD1823" s="623">
        <v>7.1999999999999995E-2</v>
      </c>
      <c r="AE1823" s="621" t="s">
        <v>3519</v>
      </c>
    </row>
    <row r="1824" spans="1:31" s="572" customFormat="1">
      <c r="A1824" s="570" t="s">
        <v>3523</v>
      </c>
      <c r="B1824" s="573" t="s">
        <v>166</v>
      </c>
      <c r="C1824" s="578">
        <v>17</v>
      </c>
      <c r="D1824" s="573" t="s">
        <v>3374</v>
      </c>
      <c r="E1824" s="573" t="s">
        <v>152</v>
      </c>
      <c r="F1824" s="573" t="s">
        <v>153</v>
      </c>
      <c r="G1824" s="573">
        <v>2019</v>
      </c>
      <c r="H1824" s="573" t="s">
        <v>3464</v>
      </c>
      <c r="I1824" s="573" t="s">
        <v>3384</v>
      </c>
      <c r="J1824" s="573" t="s">
        <v>3377</v>
      </c>
      <c r="K1824" s="573">
        <v>6</v>
      </c>
      <c r="L1824" s="573">
        <v>0</v>
      </c>
      <c r="M1824" s="573" t="s">
        <v>157</v>
      </c>
      <c r="N1824" s="573">
        <v>2</v>
      </c>
      <c r="O1824" s="573" t="s">
        <v>3471</v>
      </c>
      <c r="P1824" s="571">
        <v>11000</v>
      </c>
      <c r="Q1824" s="573" t="s">
        <v>753</v>
      </c>
      <c r="R1824" s="573">
        <v>8</v>
      </c>
      <c r="S1824" s="582" t="s">
        <v>3489</v>
      </c>
      <c r="T1824" s="573" t="s">
        <v>213</v>
      </c>
      <c r="U1824" s="573">
        <v>153</v>
      </c>
      <c r="V1824" s="573">
        <v>26</v>
      </c>
      <c r="W1824" s="616">
        <v>6900</v>
      </c>
      <c r="X1824" s="617">
        <v>19</v>
      </c>
      <c r="Y1824" s="617" t="s">
        <v>450</v>
      </c>
      <c r="Z1824" s="617" t="s">
        <v>178</v>
      </c>
      <c r="AA1824" s="618">
        <v>41095</v>
      </c>
      <c r="AB1824" s="618" t="s">
        <v>164</v>
      </c>
      <c r="AC1824" s="618">
        <v>30925</v>
      </c>
      <c r="AD1824" s="619">
        <v>7.1999999999999995E-2</v>
      </c>
      <c r="AE1824" s="617" t="s">
        <v>3521</v>
      </c>
    </row>
    <row r="1825" spans="1:31" s="572" customFormat="1">
      <c r="A1825" s="570" t="s">
        <v>3523</v>
      </c>
      <c r="B1825" s="569" t="s">
        <v>166</v>
      </c>
      <c r="C1825" s="580">
        <v>17</v>
      </c>
      <c r="D1825" s="569" t="s">
        <v>3374</v>
      </c>
      <c r="E1825" s="569" t="s">
        <v>152</v>
      </c>
      <c r="F1825" s="569" t="s">
        <v>153</v>
      </c>
      <c r="G1825" s="569">
        <v>2019</v>
      </c>
      <c r="H1825" s="569" t="s">
        <v>3464</v>
      </c>
      <c r="I1825" s="569" t="s">
        <v>3384</v>
      </c>
      <c r="J1825" s="569" t="s">
        <v>3377</v>
      </c>
      <c r="K1825" s="569">
        <v>6</v>
      </c>
      <c r="L1825" s="569">
        <v>0</v>
      </c>
      <c r="M1825" s="569" t="s">
        <v>157</v>
      </c>
      <c r="N1825" s="569">
        <v>2</v>
      </c>
      <c r="O1825" s="569" t="s">
        <v>3471</v>
      </c>
      <c r="P1825" s="568">
        <v>11000</v>
      </c>
      <c r="Q1825" s="569" t="s">
        <v>753</v>
      </c>
      <c r="R1825" s="569">
        <v>8</v>
      </c>
      <c r="S1825" s="569" t="s">
        <v>3489</v>
      </c>
      <c r="T1825" s="569" t="s">
        <v>213</v>
      </c>
      <c r="U1825" s="569">
        <v>153</v>
      </c>
      <c r="V1825" s="569">
        <v>26</v>
      </c>
      <c r="W1825" s="620">
        <v>7000</v>
      </c>
      <c r="X1825" s="621">
        <v>19</v>
      </c>
      <c r="Y1825" s="621" t="s">
        <v>450</v>
      </c>
      <c r="Z1825" s="621" t="s">
        <v>178</v>
      </c>
      <c r="AA1825" s="622">
        <v>41095</v>
      </c>
      <c r="AB1825" s="622" t="s">
        <v>164</v>
      </c>
      <c r="AC1825" s="622">
        <v>30925</v>
      </c>
      <c r="AD1825" s="623">
        <v>7.1999999999999995E-2</v>
      </c>
      <c r="AE1825" s="621" t="s">
        <v>3521</v>
      </c>
    </row>
    <row r="1826" spans="1:31" s="572" customFormat="1">
      <c r="A1826" s="570" t="s">
        <v>3524</v>
      </c>
      <c r="B1826" s="573" t="s">
        <v>169</v>
      </c>
      <c r="C1826" s="578">
        <v>11</v>
      </c>
      <c r="D1826" s="573" t="s">
        <v>3374</v>
      </c>
      <c r="E1826" s="573" t="s">
        <v>152</v>
      </c>
      <c r="F1826" s="573" t="s">
        <v>153</v>
      </c>
      <c r="G1826" s="573">
        <v>2019</v>
      </c>
      <c r="H1826" s="573" t="s">
        <v>3464</v>
      </c>
      <c r="I1826" s="573" t="s">
        <v>3384</v>
      </c>
      <c r="J1826" s="573" t="s">
        <v>752</v>
      </c>
      <c r="K1826" s="573">
        <v>6</v>
      </c>
      <c r="L1826" s="573">
        <v>0</v>
      </c>
      <c r="M1826" s="573" t="s">
        <v>157</v>
      </c>
      <c r="N1826" s="573">
        <v>2</v>
      </c>
      <c r="O1826" s="573" t="s">
        <v>3515</v>
      </c>
      <c r="P1826" s="571">
        <v>11400</v>
      </c>
      <c r="Q1826" s="573" t="s">
        <v>1500</v>
      </c>
      <c r="R1826" s="573">
        <v>8</v>
      </c>
      <c r="S1826" s="582" t="s">
        <v>3475</v>
      </c>
      <c r="T1826" s="573" t="s">
        <v>213</v>
      </c>
      <c r="U1826" s="573">
        <v>147.43</v>
      </c>
      <c r="V1826" s="573">
        <v>24</v>
      </c>
      <c r="W1826" s="616">
        <v>7000</v>
      </c>
      <c r="X1826" s="617" t="s">
        <v>6563</v>
      </c>
      <c r="Y1826" s="617" t="s">
        <v>178</v>
      </c>
      <c r="Z1826" s="617" t="s">
        <v>178</v>
      </c>
      <c r="AA1826" s="618">
        <v>44095</v>
      </c>
      <c r="AB1826" s="618" t="s">
        <v>164</v>
      </c>
      <c r="AC1826" s="618">
        <v>31394.94736842105</v>
      </c>
      <c r="AD1826" s="619">
        <v>0.05</v>
      </c>
      <c r="AE1826" s="617" t="s">
        <v>3525</v>
      </c>
    </row>
    <row r="1827" spans="1:31" s="572" customFormat="1">
      <c r="A1827" s="570" t="s">
        <v>3526</v>
      </c>
      <c r="B1827" s="569" t="s">
        <v>169</v>
      </c>
      <c r="C1827" s="580">
        <v>11</v>
      </c>
      <c r="D1827" s="569" t="s">
        <v>3374</v>
      </c>
      <c r="E1827" s="569" t="s">
        <v>152</v>
      </c>
      <c r="F1827" s="569" t="s">
        <v>153</v>
      </c>
      <c r="G1827" s="569">
        <v>2019</v>
      </c>
      <c r="H1827" s="569" t="s">
        <v>3464</v>
      </c>
      <c r="I1827" s="569" t="s">
        <v>3384</v>
      </c>
      <c r="J1827" s="569" t="s">
        <v>752</v>
      </c>
      <c r="K1827" s="569">
        <v>6</v>
      </c>
      <c r="L1827" s="569">
        <v>0</v>
      </c>
      <c r="M1827" s="569" t="s">
        <v>157</v>
      </c>
      <c r="N1827" s="569">
        <v>2</v>
      </c>
      <c r="O1827" s="569" t="s">
        <v>3471</v>
      </c>
      <c r="P1827" s="568">
        <v>11300</v>
      </c>
      <c r="Q1827" s="569" t="s">
        <v>1500</v>
      </c>
      <c r="R1827" s="569">
        <v>8</v>
      </c>
      <c r="S1827" s="569" t="s">
        <v>3478</v>
      </c>
      <c r="T1827" s="569" t="s">
        <v>213</v>
      </c>
      <c r="U1827" s="569">
        <v>156.94999999999999</v>
      </c>
      <c r="V1827" s="569">
        <v>24</v>
      </c>
      <c r="W1827" s="620">
        <v>7000</v>
      </c>
      <c r="X1827" s="621" t="s">
        <v>6563</v>
      </c>
      <c r="Y1827" s="621" t="s">
        <v>178</v>
      </c>
      <c r="Z1827" s="621" t="s">
        <v>178</v>
      </c>
      <c r="AA1827" s="622">
        <v>44395</v>
      </c>
      <c r="AB1827" s="622" t="s">
        <v>164</v>
      </c>
      <c r="AC1827" s="622">
        <v>31681.368421052637</v>
      </c>
      <c r="AD1827" s="623">
        <v>0.05</v>
      </c>
      <c r="AE1827" s="621" t="s">
        <v>3527</v>
      </c>
    </row>
    <row r="1828" spans="1:31" s="572" customFormat="1">
      <c r="A1828" s="570" t="s">
        <v>3528</v>
      </c>
      <c r="B1828" s="573" t="s">
        <v>150</v>
      </c>
      <c r="C1828" s="578">
        <v>13</v>
      </c>
      <c r="D1828" s="573" t="s">
        <v>3374</v>
      </c>
      <c r="E1828" s="573" t="s">
        <v>152</v>
      </c>
      <c r="F1828" s="573" t="s">
        <v>153</v>
      </c>
      <c r="G1828" s="573">
        <v>2019</v>
      </c>
      <c r="H1828" s="573" t="s">
        <v>3464</v>
      </c>
      <c r="I1828" s="573" t="s">
        <v>3384</v>
      </c>
      <c r="J1828" s="573" t="s">
        <v>752</v>
      </c>
      <c r="K1828" s="573">
        <v>6</v>
      </c>
      <c r="L1828" s="573">
        <v>0</v>
      </c>
      <c r="M1828" s="573" t="s">
        <v>157</v>
      </c>
      <c r="N1828" s="573">
        <v>2</v>
      </c>
      <c r="O1828" s="573" t="s">
        <v>3466</v>
      </c>
      <c r="P1828" s="571">
        <v>12800</v>
      </c>
      <c r="Q1828" s="573" t="s">
        <v>1526</v>
      </c>
      <c r="R1828" s="573">
        <v>6</v>
      </c>
      <c r="S1828" s="582" t="s">
        <v>3475</v>
      </c>
      <c r="T1828" s="573" t="s">
        <v>213</v>
      </c>
      <c r="U1828" s="573">
        <v>143.5</v>
      </c>
      <c r="V1828" s="573">
        <v>26</v>
      </c>
      <c r="W1828" s="616">
        <v>7100</v>
      </c>
      <c r="X1828" s="617">
        <v>19</v>
      </c>
      <c r="Y1828" s="617" t="s">
        <v>450</v>
      </c>
      <c r="Z1828" s="617" t="s">
        <v>178</v>
      </c>
      <c r="AA1828" s="618">
        <v>44095</v>
      </c>
      <c r="AB1828" s="618" t="s">
        <v>164</v>
      </c>
      <c r="AC1828" s="618">
        <v>34895</v>
      </c>
      <c r="AD1828" s="619">
        <v>0.03</v>
      </c>
      <c r="AE1828" s="617" t="s">
        <v>3529</v>
      </c>
    </row>
    <row r="1829" spans="1:31" s="572" customFormat="1">
      <c r="A1829" s="570" t="s">
        <v>3530</v>
      </c>
      <c r="B1829" s="569" t="s">
        <v>150</v>
      </c>
      <c r="C1829" s="580">
        <v>13</v>
      </c>
      <c r="D1829" s="569" t="s">
        <v>3374</v>
      </c>
      <c r="E1829" s="569" t="s">
        <v>152</v>
      </c>
      <c r="F1829" s="569" t="s">
        <v>153</v>
      </c>
      <c r="G1829" s="569">
        <v>2019</v>
      </c>
      <c r="H1829" s="569" t="s">
        <v>3464</v>
      </c>
      <c r="I1829" s="569" t="s">
        <v>3384</v>
      </c>
      <c r="J1829" s="569" t="s">
        <v>752</v>
      </c>
      <c r="K1829" s="569">
        <v>6</v>
      </c>
      <c r="L1829" s="569">
        <v>0</v>
      </c>
      <c r="M1829" s="569" t="s">
        <v>157</v>
      </c>
      <c r="N1829" s="569">
        <v>2</v>
      </c>
      <c r="O1829" s="569" t="s">
        <v>3471</v>
      </c>
      <c r="P1829" s="568">
        <v>12800</v>
      </c>
      <c r="Q1829" s="569" t="s">
        <v>753</v>
      </c>
      <c r="R1829" s="569">
        <v>8</v>
      </c>
      <c r="S1829" s="569" t="s">
        <v>3478</v>
      </c>
      <c r="T1829" s="569" t="s">
        <v>213</v>
      </c>
      <c r="U1829" s="569">
        <v>153</v>
      </c>
      <c r="V1829" s="569">
        <v>26</v>
      </c>
      <c r="W1829" s="620">
        <v>7200</v>
      </c>
      <c r="X1829" s="621">
        <v>19</v>
      </c>
      <c r="Y1829" s="621" t="s">
        <v>450</v>
      </c>
      <c r="Z1829" s="621" t="s">
        <v>178</v>
      </c>
      <c r="AA1829" s="622">
        <v>44395</v>
      </c>
      <c r="AB1829" s="622" t="s">
        <v>164</v>
      </c>
      <c r="AC1829" s="622">
        <v>36158</v>
      </c>
      <c r="AD1829" s="623">
        <v>0.03</v>
      </c>
      <c r="AE1829" s="621" t="s">
        <v>3531</v>
      </c>
    </row>
    <row r="1830" spans="1:31" s="572" customFormat="1">
      <c r="A1830" s="570" t="s">
        <v>3532</v>
      </c>
      <c r="B1830" s="573" t="s">
        <v>166</v>
      </c>
      <c r="C1830" s="578">
        <v>17</v>
      </c>
      <c r="D1830" s="573" t="s">
        <v>3374</v>
      </c>
      <c r="E1830" s="573" t="s">
        <v>152</v>
      </c>
      <c r="F1830" s="573" t="s">
        <v>153</v>
      </c>
      <c r="G1830" s="573">
        <v>2019</v>
      </c>
      <c r="H1830" s="573" t="s">
        <v>3464</v>
      </c>
      <c r="I1830" s="573" t="s">
        <v>3384</v>
      </c>
      <c r="J1830" s="573" t="s">
        <v>752</v>
      </c>
      <c r="K1830" s="573">
        <v>6</v>
      </c>
      <c r="L1830" s="573">
        <v>0</v>
      </c>
      <c r="M1830" s="573" t="s">
        <v>157</v>
      </c>
      <c r="N1830" s="573">
        <v>2</v>
      </c>
      <c r="O1830" s="573" t="s">
        <v>3466</v>
      </c>
      <c r="P1830" s="571">
        <v>12800</v>
      </c>
      <c r="Q1830" s="573" t="s">
        <v>1526</v>
      </c>
      <c r="R1830" s="573">
        <v>6</v>
      </c>
      <c r="S1830" s="582" t="s">
        <v>3494</v>
      </c>
      <c r="T1830" s="573" t="s">
        <v>213</v>
      </c>
      <c r="U1830" s="573">
        <v>143.5</v>
      </c>
      <c r="V1830" s="573">
        <v>26</v>
      </c>
      <c r="W1830" s="616">
        <v>7100</v>
      </c>
      <c r="X1830" s="617">
        <v>19</v>
      </c>
      <c r="Y1830" s="617" t="s">
        <v>450</v>
      </c>
      <c r="Z1830" s="617" t="s">
        <v>178</v>
      </c>
      <c r="AA1830" s="618">
        <v>44095</v>
      </c>
      <c r="AB1830" s="618" t="s">
        <v>164</v>
      </c>
      <c r="AC1830" s="618">
        <v>33521</v>
      </c>
      <c r="AD1830" s="619">
        <v>7.1999999999999995E-2</v>
      </c>
      <c r="AE1830" s="617" t="s">
        <v>3529</v>
      </c>
    </row>
    <row r="1831" spans="1:31" s="572" customFormat="1">
      <c r="A1831" s="570" t="s">
        <v>3533</v>
      </c>
      <c r="B1831" s="569" t="s">
        <v>166</v>
      </c>
      <c r="C1831" s="580">
        <v>17</v>
      </c>
      <c r="D1831" s="569" t="s">
        <v>3374</v>
      </c>
      <c r="E1831" s="569" t="s">
        <v>152</v>
      </c>
      <c r="F1831" s="569" t="s">
        <v>153</v>
      </c>
      <c r="G1831" s="569">
        <v>2019</v>
      </c>
      <c r="H1831" s="569" t="s">
        <v>3464</v>
      </c>
      <c r="I1831" s="569" t="s">
        <v>3384</v>
      </c>
      <c r="J1831" s="569" t="s">
        <v>752</v>
      </c>
      <c r="K1831" s="569">
        <v>6</v>
      </c>
      <c r="L1831" s="569">
        <v>0</v>
      </c>
      <c r="M1831" s="569" t="s">
        <v>157</v>
      </c>
      <c r="N1831" s="569">
        <v>2</v>
      </c>
      <c r="O1831" s="569" t="s">
        <v>3471</v>
      </c>
      <c r="P1831" s="568">
        <v>12800</v>
      </c>
      <c r="Q1831" s="569" t="s">
        <v>753</v>
      </c>
      <c r="R1831" s="569">
        <v>8</v>
      </c>
      <c r="S1831" s="569" t="s">
        <v>3497</v>
      </c>
      <c r="T1831" s="569" t="s">
        <v>213</v>
      </c>
      <c r="U1831" s="569">
        <v>153</v>
      </c>
      <c r="V1831" s="569">
        <v>26</v>
      </c>
      <c r="W1831" s="620">
        <v>7100</v>
      </c>
      <c r="X1831" s="621">
        <v>19</v>
      </c>
      <c r="Y1831" s="621" t="s">
        <v>450</v>
      </c>
      <c r="Z1831" s="621" t="s">
        <v>178</v>
      </c>
      <c r="AA1831" s="622">
        <v>44395</v>
      </c>
      <c r="AB1831" s="622" t="s">
        <v>164</v>
      </c>
      <c r="AC1831" s="622">
        <v>33988</v>
      </c>
      <c r="AD1831" s="623">
        <v>7.1999999999999995E-2</v>
      </c>
      <c r="AE1831" s="621" t="s">
        <v>3531</v>
      </c>
    </row>
    <row r="1832" spans="1:31" s="572" customFormat="1">
      <c r="A1832" s="570" t="s">
        <v>3533</v>
      </c>
      <c r="B1832" s="573" t="s">
        <v>166</v>
      </c>
      <c r="C1832" s="578">
        <v>17</v>
      </c>
      <c r="D1832" s="573" t="s">
        <v>3374</v>
      </c>
      <c r="E1832" s="573" t="s">
        <v>152</v>
      </c>
      <c r="F1832" s="573" t="s">
        <v>153</v>
      </c>
      <c r="G1832" s="573">
        <v>2019</v>
      </c>
      <c r="H1832" s="573" t="s">
        <v>3464</v>
      </c>
      <c r="I1832" s="573" t="s">
        <v>3384</v>
      </c>
      <c r="J1832" s="573" t="s">
        <v>752</v>
      </c>
      <c r="K1832" s="573">
        <v>6</v>
      </c>
      <c r="L1832" s="573">
        <v>0</v>
      </c>
      <c r="M1832" s="573" t="s">
        <v>157</v>
      </c>
      <c r="N1832" s="573">
        <v>2</v>
      </c>
      <c r="O1832" s="573" t="s">
        <v>3471</v>
      </c>
      <c r="P1832" s="571">
        <v>12800</v>
      </c>
      <c r="Q1832" s="573" t="s">
        <v>753</v>
      </c>
      <c r="R1832" s="573">
        <v>8</v>
      </c>
      <c r="S1832" s="582" t="s">
        <v>3497</v>
      </c>
      <c r="T1832" s="573" t="s">
        <v>213</v>
      </c>
      <c r="U1832" s="573">
        <v>153</v>
      </c>
      <c r="V1832" s="573">
        <v>26</v>
      </c>
      <c r="W1832" s="616">
        <v>7200</v>
      </c>
      <c r="X1832" s="617">
        <v>19</v>
      </c>
      <c r="Y1832" s="617" t="s">
        <v>450</v>
      </c>
      <c r="Z1832" s="617" t="s">
        <v>178</v>
      </c>
      <c r="AA1832" s="618">
        <v>44395</v>
      </c>
      <c r="AB1832" s="618" t="s">
        <v>164</v>
      </c>
      <c r="AC1832" s="618">
        <v>33988</v>
      </c>
      <c r="AD1832" s="619">
        <v>7.1999999999999995E-2</v>
      </c>
      <c r="AE1832" s="617" t="s">
        <v>3531</v>
      </c>
    </row>
    <row r="1833" spans="1:31" s="572" customFormat="1">
      <c r="A1833" s="570" t="s">
        <v>3534</v>
      </c>
      <c r="B1833" s="569" t="s">
        <v>169</v>
      </c>
      <c r="C1833" s="580">
        <v>11</v>
      </c>
      <c r="D1833" s="569" t="s">
        <v>3374</v>
      </c>
      <c r="E1833" s="569" t="s">
        <v>152</v>
      </c>
      <c r="F1833" s="569" t="s">
        <v>153</v>
      </c>
      <c r="G1833" s="569">
        <v>2019</v>
      </c>
      <c r="H1833" s="569" t="s">
        <v>3464</v>
      </c>
      <c r="I1833" s="569" t="s">
        <v>3536</v>
      </c>
      <c r="J1833" s="569" t="s">
        <v>3377</v>
      </c>
      <c r="K1833" s="569">
        <v>6</v>
      </c>
      <c r="L1833" s="569">
        <v>0</v>
      </c>
      <c r="M1833" s="569" t="s">
        <v>157</v>
      </c>
      <c r="N1833" s="569">
        <v>2</v>
      </c>
      <c r="O1833" s="569" t="s">
        <v>3471</v>
      </c>
      <c r="P1833" s="568">
        <v>11600</v>
      </c>
      <c r="Q1833" s="569" t="s">
        <v>1500</v>
      </c>
      <c r="R1833" s="569">
        <v>8</v>
      </c>
      <c r="S1833" s="569" t="s">
        <v>3537</v>
      </c>
      <c r="T1833" s="569" t="s">
        <v>213</v>
      </c>
      <c r="U1833" s="569">
        <v>147.44999999999999</v>
      </c>
      <c r="V1833" s="569">
        <v>24</v>
      </c>
      <c r="W1833" s="620">
        <v>6800</v>
      </c>
      <c r="X1833" s="621" t="s">
        <v>6563</v>
      </c>
      <c r="Y1833" s="621" t="s">
        <v>178</v>
      </c>
      <c r="Z1833" s="621" t="s">
        <v>178</v>
      </c>
      <c r="AA1833" s="622">
        <v>38395</v>
      </c>
      <c r="AB1833" s="622" t="s">
        <v>164</v>
      </c>
      <c r="AC1833" s="622">
        <v>26900.315789473687</v>
      </c>
      <c r="AD1833" s="623">
        <v>0.05</v>
      </c>
      <c r="AE1833" s="621" t="s">
        <v>3535</v>
      </c>
    </row>
    <row r="1834" spans="1:31" s="572" customFormat="1">
      <c r="A1834" s="570" t="s">
        <v>3538</v>
      </c>
      <c r="B1834" s="573" t="s">
        <v>150</v>
      </c>
      <c r="C1834" s="578">
        <v>13</v>
      </c>
      <c r="D1834" s="573" t="s">
        <v>3374</v>
      </c>
      <c r="E1834" s="573" t="s">
        <v>152</v>
      </c>
      <c r="F1834" s="573" t="s">
        <v>153</v>
      </c>
      <c r="G1834" s="573">
        <v>2019</v>
      </c>
      <c r="H1834" s="573" t="s">
        <v>3464</v>
      </c>
      <c r="I1834" s="573" t="s">
        <v>3536</v>
      </c>
      <c r="J1834" s="573" t="s">
        <v>3377</v>
      </c>
      <c r="K1834" s="573">
        <v>6</v>
      </c>
      <c r="L1834" s="573">
        <v>0</v>
      </c>
      <c r="M1834" s="573" t="s">
        <v>157</v>
      </c>
      <c r="N1834" s="573">
        <v>2</v>
      </c>
      <c r="O1834" s="573" t="s">
        <v>3471</v>
      </c>
      <c r="P1834" s="571">
        <v>11000</v>
      </c>
      <c r="Q1834" s="573" t="s">
        <v>1526</v>
      </c>
      <c r="R1834" s="573">
        <v>6</v>
      </c>
      <c r="S1834" s="582" t="s">
        <v>3537</v>
      </c>
      <c r="T1834" s="573" t="s">
        <v>213</v>
      </c>
      <c r="U1834" s="573">
        <v>143.5</v>
      </c>
      <c r="V1834" s="573">
        <v>26</v>
      </c>
      <c r="W1834" s="616">
        <v>6900</v>
      </c>
      <c r="X1834" s="617">
        <v>20</v>
      </c>
      <c r="Y1834" s="617" t="s">
        <v>450</v>
      </c>
      <c r="Z1834" s="617" t="s">
        <v>178</v>
      </c>
      <c r="AA1834" s="618">
        <v>38395</v>
      </c>
      <c r="AB1834" s="618" t="s">
        <v>164</v>
      </c>
      <c r="AC1834" s="618">
        <v>32229</v>
      </c>
      <c r="AD1834" s="619">
        <v>0.03</v>
      </c>
      <c r="AE1834" s="617" t="s">
        <v>3539</v>
      </c>
    </row>
    <row r="1835" spans="1:31" s="572" customFormat="1">
      <c r="A1835" s="570" t="s">
        <v>3540</v>
      </c>
      <c r="B1835" s="569" t="s">
        <v>166</v>
      </c>
      <c r="C1835" s="580">
        <v>17</v>
      </c>
      <c r="D1835" s="569" t="s">
        <v>3374</v>
      </c>
      <c r="E1835" s="569" t="s">
        <v>152</v>
      </c>
      <c r="F1835" s="569" t="s">
        <v>153</v>
      </c>
      <c r="G1835" s="569">
        <v>2019</v>
      </c>
      <c r="H1835" s="569" t="s">
        <v>3464</v>
      </c>
      <c r="I1835" s="569" t="s">
        <v>3536</v>
      </c>
      <c r="J1835" s="569" t="s">
        <v>3377</v>
      </c>
      <c r="K1835" s="569">
        <v>6</v>
      </c>
      <c r="L1835" s="569">
        <v>0</v>
      </c>
      <c r="M1835" s="569" t="s">
        <v>157</v>
      </c>
      <c r="N1835" s="569">
        <v>2</v>
      </c>
      <c r="O1835" s="569" t="s">
        <v>3471</v>
      </c>
      <c r="P1835" s="568">
        <v>11000</v>
      </c>
      <c r="Q1835" s="569" t="s">
        <v>1526</v>
      </c>
      <c r="R1835" s="569">
        <v>6</v>
      </c>
      <c r="S1835" s="569" t="s">
        <v>3501</v>
      </c>
      <c r="T1835" s="569" t="s">
        <v>213</v>
      </c>
      <c r="U1835" s="569">
        <v>143.5</v>
      </c>
      <c r="V1835" s="569">
        <v>26</v>
      </c>
      <c r="W1835" s="620">
        <v>6900</v>
      </c>
      <c r="X1835" s="621">
        <v>20</v>
      </c>
      <c r="Y1835" s="621" t="s">
        <v>450</v>
      </c>
      <c r="Z1835" s="621" t="s">
        <v>178</v>
      </c>
      <c r="AA1835" s="622">
        <v>38395</v>
      </c>
      <c r="AB1835" s="622" t="s">
        <v>164</v>
      </c>
      <c r="AC1835" s="622">
        <v>28601</v>
      </c>
      <c r="AD1835" s="623">
        <v>7.1999999999999995E-2</v>
      </c>
      <c r="AE1835" s="621" t="s">
        <v>3539</v>
      </c>
    </row>
    <row r="1836" spans="1:31" s="572" customFormat="1">
      <c r="A1836" s="570" t="s">
        <v>3541</v>
      </c>
      <c r="B1836" s="573" t="s">
        <v>169</v>
      </c>
      <c r="C1836" s="578">
        <v>11</v>
      </c>
      <c r="D1836" s="573" t="s">
        <v>3374</v>
      </c>
      <c r="E1836" s="573" t="s">
        <v>152</v>
      </c>
      <c r="F1836" s="573" t="s">
        <v>153</v>
      </c>
      <c r="G1836" s="573">
        <v>2019</v>
      </c>
      <c r="H1836" s="573" t="s">
        <v>3464</v>
      </c>
      <c r="I1836" s="573" t="s">
        <v>3536</v>
      </c>
      <c r="J1836" s="573" t="s">
        <v>752</v>
      </c>
      <c r="K1836" s="573">
        <v>6</v>
      </c>
      <c r="L1836" s="573">
        <v>0</v>
      </c>
      <c r="M1836" s="573" t="s">
        <v>157</v>
      </c>
      <c r="N1836" s="573">
        <v>2</v>
      </c>
      <c r="O1836" s="573" t="s">
        <v>3471</v>
      </c>
      <c r="P1836" s="571">
        <v>11400</v>
      </c>
      <c r="Q1836" s="573" t="s">
        <v>1500</v>
      </c>
      <c r="R1836" s="573">
        <v>8</v>
      </c>
      <c r="S1836" s="582" t="s">
        <v>3482</v>
      </c>
      <c r="T1836" s="573" t="s">
        <v>213</v>
      </c>
      <c r="U1836" s="573">
        <v>147.44999999999999</v>
      </c>
      <c r="V1836" s="573">
        <v>24</v>
      </c>
      <c r="W1836" s="616">
        <v>7000</v>
      </c>
      <c r="X1836" s="617" t="s">
        <v>6563</v>
      </c>
      <c r="Y1836" s="617" t="s">
        <v>178</v>
      </c>
      <c r="Z1836" s="617" t="s">
        <v>178</v>
      </c>
      <c r="AA1836" s="618">
        <v>41695</v>
      </c>
      <c r="AB1836" s="618" t="s">
        <v>164</v>
      </c>
      <c r="AC1836" s="618">
        <v>29208.84210526316</v>
      </c>
      <c r="AD1836" s="619">
        <v>0.05</v>
      </c>
      <c r="AE1836" s="617" t="s">
        <v>3542</v>
      </c>
    </row>
    <row r="1837" spans="1:31" s="572" customFormat="1">
      <c r="A1837" s="570" t="s">
        <v>3543</v>
      </c>
      <c r="B1837" s="569" t="s">
        <v>150</v>
      </c>
      <c r="C1837" s="580">
        <v>13</v>
      </c>
      <c r="D1837" s="569" t="s">
        <v>3374</v>
      </c>
      <c r="E1837" s="569" t="s">
        <v>152</v>
      </c>
      <c r="F1837" s="569" t="s">
        <v>153</v>
      </c>
      <c r="G1837" s="569">
        <v>2019</v>
      </c>
      <c r="H1837" s="569" t="s">
        <v>3464</v>
      </c>
      <c r="I1837" s="569" t="s">
        <v>3536</v>
      </c>
      <c r="J1837" s="569" t="s">
        <v>752</v>
      </c>
      <c r="K1837" s="569">
        <v>6</v>
      </c>
      <c r="L1837" s="569">
        <v>0</v>
      </c>
      <c r="M1837" s="569" t="s">
        <v>157</v>
      </c>
      <c r="N1837" s="569">
        <v>2</v>
      </c>
      <c r="O1837" s="569" t="s">
        <v>3471</v>
      </c>
      <c r="P1837" s="568">
        <v>12800</v>
      </c>
      <c r="Q1837" s="569" t="s">
        <v>1526</v>
      </c>
      <c r="R1837" s="569">
        <v>6</v>
      </c>
      <c r="S1837" s="569" t="s">
        <v>3482</v>
      </c>
      <c r="T1837" s="569" t="s">
        <v>213</v>
      </c>
      <c r="U1837" s="569">
        <v>143.5</v>
      </c>
      <c r="V1837" s="569">
        <v>26</v>
      </c>
      <c r="W1837" s="620">
        <v>7100</v>
      </c>
      <c r="X1837" s="621">
        <v>19</v>
      </c>
      <c r="Y1837" s="621" t="s">
        <v>450</v>
      </c>
      <c r="Z1837" s="621" t="s">
        <v>178</v>
      </c>
      <c r="AA1837" s="622">
        <v>41695</v>
      </c>
      <c r="AB1837" s="622" t="s">
        <v>164</v>
      </c>
      <c r="AC1837" s="622">
        <v>32651</v>
      </c>
      <c r="AD1837" s="623">
        <v>0.03</v>
      </c>
      <c r="AE1837" s="621" t="s">
        <v>3544</v>
      </c>
    </row>
    <row r="1838" spans="1:31" s="572" customFormat="1">
      <c r="A1838" s="570" t="s">
        <v>3545</v>
      </c>
      <c r="B1838" s="573" t="s">
        <v>166</v>
      </c>
      <c r="C1838" s="578">
        <v>17</v>
      </c>
      <c r="D1838" s="573" t="s">
        <v>3374</v>
      </c>
      <c r="E1838" s="573" t="s">
        <v>152</v>
      </c>
      <c r="F1838" s="573" t="s">
        <v>153</v>
      </c>
      <c r="G1838" s="573">
        <v>2019</v>
      </c>
      <c r="H1838" s="573" t="s">
        <v>3464</v>
      </c>
      <c r="I1838" s="573" t="s">
        <v>3536</v>
      </c>
      <c r="J1838" s="573" t="s">
        <v>752</v>
      </c>
      <c r="K1838" s="573">
        <v>6</v>
      </c>
      <c r="L1838" s="573">
        <v>0</v>
      </c>
      <c r="M1838" s="573" t="s">
        <v>157</v>
      </c>
      <c r="N1838" s="573">
        <v>2</v>
      </c>
      <c r="O1838" s="573" t="s">
        <v>3471</v>
      </c>
      <c r="P1838" s="571">
        <v>12800</v>
      </c>
      <c r="Q1838" s="573" t="s">
        <v>1526</v>
      </c>
      <c r="R1838" s="573">
        <v>6</v>
      </c>
      <c r="S1838" s="582" t="s">
        <v>3504</v>
      </c>
      <c r="T1838" s="573" t="s">
        <v>213</v>
      </c>
      <c r="U1838" s="573">
        <v>143.5</v>
      </c>
      <c r="V1838" s="573">
        <v>26</v>
      </c>
      <c r="W1838" s="616">
        <v>7100</v>
      </c>
      <c r="X1838" s="617">
        <v>19</v>
      </c>
      <c r="Y1838" s="617" t="s">
        <v>450</v>
      </c>
      <c r="Z1838" s="617" t="s">
        <v>178</v>
      </c>
      <c r="AA1838" s="618">
        <v>41695</v>
      </c>
      <c r="AB1838" s="618" t="s">
        <v>164</v>
      </c>
      <c r="AC1838" s="618">
        <v>31455</v>
      </c>
      <c r="AD1838" s="619">
        <v>7.1999999999999995E-2</v>
      </c>
      <c r="AE1838" s="617" t="s">
        <v>3544</v>
      </c>
    </row>
    <row r="1839" spans="1:31" s="572" customFormat="1">
      <c r="A1839" s="570" t="s">
        <v>3546</v>
      </c>
      <c r="B1839" s="569" t="s">
        <v>169</v>
      </c>
      <c r="C1839" s="580">
        <v>11</v>
      </c>
      <c r="D1839" s="569" t="s">
        <v>3374</v>
      </c>
      <c r="E1839" s="569" t="s">
        <v>152</v>
      </c>
      <c r="F1839" s="569" t="s">
        <v>153</v>
      </c>
      <c r="G1839" s="569">
        <v>2019</v>
      </c>
      <c r="H1839" s="569" t="s">
        <v>3464</v>
      </c>
      <c r="I1839" s="569" t="s">
        <v>3410</v>
      </c>
      <c r="J1839" s="569" t="s">
        <v>3377</v>
      </c>
      <c r="K1839" s="569">
        <v>6</v>
      </c>
      <c r="L1839" s="569">
        <v>0</v>
      </c>
      <c r="M1839" s="569" t="s">
        <v>157</v>
      </c>
      <c r="N1839" s="569">
        <v>2</v>
      </c>
      <c r="O1839" s="569" t="s">
        <v>3515</v>
      </c>
      <c r="P1839" s="568">
        <v>9800</v>
      </c>
      <c r="Q1839" s="569" t="s">
        <v>1526</v>
      </c>
      <c r="R1839" s="569">
        <v>6</v>
      </c>
      <c r="S1839" s="569" t="s">
        <v>3467</v>
      </c>
      <c r="T1839" s="569" t="s">
        <v>1522</v>
      </c>
      <c r="U1839" s="569">
        <v>147.43</v>
      </c>
      <c r="V1839" s="569">
        <v>24</v>
      </c>
      <c r="W1839" s="620">
        <v>6800</v>
      </c>
      <c r="X1839" s="621" t="s">
        <v>6563</v>
      </c>
      <c r="Y1839" s="621" t="s">
        <v>178</v>
      </c>
      <c r="Z1839" s="621" t="s">
        <v>178</v>
      </c>
      <c r="AA1839" s="622">
        <v>36095</v>
      </c>
      <c r="AB1839" s="622" t="s">
        <v>164</v>
      </c>
      <c r="AC1839" s="622">
        <v>25327.57894736842</v>
      </c>
      <c r="AD1839" s="623">
        <v>0.05</v>
      </c>
      <c r="AE1839" s="621" t="s">
        <v>3547</v>
      </c>
    </row>
    <row r="1840" spans="1:31" s="572" customFormat="1">
      <c r="A1840" s="570" t="s">
        <v>3548</v>
      </c>
      <c r="B1840" s="573" t="s">
        <v>169</v>
      </c>
      <c r="C1840" s="578">
        <v>11</v>
      </c>
      <c r="D1840" s="573" t="s">
        <v>3374</v>
      </c>
      <c r="E1840" s="573" t="s">
        <v>152</v>
      </c>
      <c r="F1840" s="573" t="s">
        <v>153</v>
      </c>
      <c r="G1840" s="573">
        <v>2019</v>
      </c>
      <c r="H1840" s="573" t="s">
        <v>3464</v>
      </c>
      <c r="I1840" s="573" t="s">
        <v>3410</v>
      </c>
      <c r="J1840" s="573" t="s">
        <v>3377</v>
      </c>
      <c r="K1840" s="573">
        <v>6</v>
      </c>
      <c r="L1840" s="573">
        <v>0</v>
      </c>
      <c r="M1840" s="573" t="s">
        <v>157</v>
      </c>
      <c r="N1840" s="573">
        <v>2</v>
      </c>
      <c r="O1840" s="573" t="s">
        <v>3471</v>
      </c>
      <c r="P1840" s="571">
        <v>9700</v>
      </c>
      <c r="Q1840" s="573" t="s">
        <v>1526</v>
      </c>
      <c r="R1840" s="573">
        <v>6</v>
      </c>
      <c r="S1840" s="582" t="s">
        <v>3472</v>
      </c>
      <c r="T1840" s="573" t="s">
        <v>1522</v>
      </c>
      <c r="U1840" s="573">
        <v>156.94999999999999</v>
      </c>
      <c r="V1840" s="573">
        <v>24</v>
      </c>
      <c r="W1840" s="616">
        <v>6800</v>
      </c>
      <c r="X1840" s="617" t="s">
        <v>6563</v>
      </c>
      <c r="Y1840" s="617" t="s">
        <v>178</v>
      </c>
      <c r="Z1840" s="617" t="s">
        <v>178</v>
      </c>
      <c r="AA1840" s="618">
        <v>36395</v>
      </c>
      <c r="AB1840" s="618" t="s">
        <v>164</v>
      </c>
      <c r="AC1840" s="618">
        <v>24778.210526315794</v>
      </c>
      <c r="AD1840" s="619">
        <v>0.05</v>
      </c>
      <c r="AE1840" s="617" t="s">
        <v>3549</v>
      </c>
    </row>
    <row r="1841" spans="1:31" s="572" customFormat="1">
      <c r="A1841" s="570" t="s">
        <v>3550</v>
      </c>
      <c r="B1841" s="569" t="s">
        <v>150</v>
      </c>
      <c r="C1841" s="580">
        <v>13</v>
      </c>
      <c r="D1841" s="569" t="s">
        <v>3374</v>
      </c>
      <c r="E1841" s="569" t="s">
        <v>152</v>
      </c>
      <c r="F1841" s="569" t="s">
        <v>153</v>
      </c>
      <c r="G1841" s="569">
        <v>2019</v>
      </c>
      <c r="H1841" s="569" t="s">
        <v>3464</v>
      </c>
      <c r="I1841" s="569" t="s">
        <v>3410</v>
      </c>
      <c r="J1841" s="569" t="s">
        <v>3377</v>
      </c>
      <c r="K1841" s="569">
        <v>6</v>
      </c>
      <c r="L1841" s="569">
        <v>0</v>
      </c>
      <c r="M1841" s="569" t="s">
        <v>157</v>
      </c>
      <c r="N1841" s="569">
        <v>2</v>
      </c>
      <c r="O1841" s="569" t="s">
        <v>3466</v>
      </c>
      <c r="P1841" s="568">
        <v>11000</v>
      </c>
      <c r="Q1841" s="569" t="s">
        <v>1526</v>
      </c>
      <c r="R1841" s="569">
        <v>6</v>
      </c>
      <c r="S1841" s="569" t="s">
        <v>3467</v>
      </c>
      <c r="T1841" s="569" t="s">
        <v>1522</v>
      </c>
      <c r="U1841" s="569">
        <v>143.5</v>
      </c>
      <c r="V1841" s="569">
        <v>26</v>
      </c>
      <c r="W1841" s="620">
        <v>6900</v>
      </c>
      <c r="X1841" s="621">
        <v>20</v>
      </c>
      <c r="Y1841" s="621" t="s">
        <v>450</v>
      </c>
      <c r="Z1841" s="621" t="s">
        <v>178</v>
      </c>
      <c r="AA1841" s="622">
        <v>36095</v>
      </c>
      <c r="AB1841" s="622" t="s">
        <v>164</v>
      </c>
      <c r="AC1841" s="622">
        <v>28200</v>
      </c>
      <c r="AD1841" s="623">
        <v>0.03</v>
      </c>
      <c r="AE1841" s="621" t="s">
        <v>3551</v>
      </c>
    </row>
    <row r="1842" spans="1:31" s="572" customFormat="1">
      <c r="A1842" s="570" t="s">
        <v>3552</v>
      </c>
      <c r="B1842" s="573" t="s">
        <v>150</v>
      </c>
      <c r="C1842" s="578">
        <v>13</v>
      </c>
      <c r="D1842" s="573" t="s">
        <v>3374</v>
      </c>
      <c r="E1842" s="573" t="s">
        <v>152</v>
      </c>
      <c r="F1842" s="573" t="s">
        <v>153</v>
      </c>
      <c r="G1842" s="573">
        <v>2019</v>
      </c>
      <c r="H1842" s="573" t="s">
        <v>3464</v>
      </c>
      <c r="I1842" s="573" t="s">
        <v>3410</v>
      </c>
      <c r="J1842" s="573" t="s">
        <v>3377</v>
      </c>
      <c r="K1842" s="573">
        <v>6</v>
      </c>
      <c r="L1842" s="573">
        <v>0</v>
      </c>
      <c r="M1842" s="573" t="s">
        <v>157</v>
      </c>
      <c r="N1842" s="573">
        <v>2</v>
      </c>
      <c r="O1842" s="573" t="s">
        <v>3471</v>
      </c>
      <c r="P1842" s="571">
        <v>11000</v>
      </c>
      <c r="Q1842" s="573" t="s">
        <v>753</v>
      </c>
      <c r="R1842" s="573">
        <v>8</v>
      </c>
      <c r="S1842" s="582" t="s">
        <v>3472</v>
      </c>
      <c r="T1842" s="573" t="s">
        <v>1522</v>
      </c>
      <c r="U1842" s="573">
        <v>153</v>
      </c>
      <c r="V1842" s="573">
        <v>26</v>
      </c>
      <c r="W1842" s="616">
        <v>7100</v>
      </c>
      <c r="X1842" s="617">
        <v>19</v>
      </c>
      <c r="Y1842" s="617" t="s">
        <v>450</v>
      </c>
      <c r="Z1842" s="617" t="s">
        <v>178</v>
      </c>
      <c r="AA1842" s="618">
        <v>36395</v>
      </c>
      <c r="AB1842" s="618" t="s">
        <v>164</v>
      </c>
      <c r="AC1842" s="618">
        <v>30061</v>
      </c>
      <c r="AD1842" s="619">
        <v>0.03</v>
      </c>
      <c r="AE1842" s="617" t="s">
        <v>3553</v>
      </c>
    </row>
    <row r="1843" spans="1:31" s="572" customFormat="1">
      <c r="A1843" s="570" t="s">
        <v>3554</v>
      </c>
      <c r="B1843" s="569" t="s">
        <v>166</v>
      </c>
      <c r="C1843" s="580">
        <v>17</v>
      </c>
      <c r="D1843" s="569" t="s">
        <v>3374</v>
      </c>
      <c r="E1843" s="569" t="s">
        <v>152</v>
      </c>
      <c r="F1843" s="569" t="s">
        <v>153</v>
      </c>
      <c r="G1843" s="569">
        <v>2019</v>
      </c>
      <c r="H1843" s="569" t="s">
        <v>3464</v>
      </c>
      <c r="I1843" s="569" t="s">
        <v>3410</v>
      </c>
      <c r="J1843" s="569" t="s">
        <v>3377</v>
      </c>
      <c r="K1843" s="569">
        <v>6</v>
      </c>
      <c r="L1843" s="569">
        <v>0</v>
      </c>
      <c r="M1843" s="569" t="s">
        <v>157</v>
      </c>
      <c r="N1843" s="569">
        <v>2</v>
      </c>
      <c r="O1843" s="569" t="s">
        <v>3466</v>
      </c>
      <c r="P1843" s="568">
        <v>11000</v>
      </c>
      <c r="Q1843" s="569" t="s">
        <v>1526</v>
      </c>
      <c r="R1843" s="569">
        <v>6</v>
      </c>
      <c r="S1843" s="569" t="s">
        <v>3486</v>
      </c>
      <c r="T1843" s="569" t="s">
        <v>1522</v>
      </c>
      <c r="U1843" s="569">
        <v>143.5</v>
      </c>
      <c r="V1843" s="569">
        <v>26</v>
      </c>
      <c r="W1843" s="620">
        <v>6900</v>
      </c>
      <c r="X1843" s="621">
        <v>20</v>
      </c>
      <c r="Y1843" s="621" t="s">
        <v>450</v>
      </c>
      <c r="Z1843" s="621" t="s">
        <v>178</v>
      </c>
      <c r="AA1843" s="622">
        <v>36095</v>
      </c>
      <c r="AB1843" s="622" t="s">
        <v>164</v>
      </c>
      <c r="AC1843" s="622">
        <v>27455</v>
      </c>
      <c r="AD1843" s="623">
        <v>7.1999999999999995E-2</v>
      </c>
      <c r="AE1843" s="621" t="s">
        <v>3551</v>
      </c>
    </row>
    <row r="1844" spans="1:31" s="572" customFormat="1">
      <c r="A1844" s="570" t="s">
        <v>3554</v>
      </c>
      <c r="B1844" s="573" t="s">
        <v>166</v>
      </c>
      <c r="C1844" s="578">
        <v>17</v>
      </c>
      <c r="D1844" s="573" t="s">
        <v>3374</v>
      </c>
      <c r="E1844" s="573" t="s">
        <v>152</v>
      </c>
      <c r="F1844" s="573" t="s">
        <v>153</v>
      </c>
      <c r="G1844" s="573">
        <v>2019</v>
      </c>
      <c r="H1844" s="573" t="s">
        <v>3464</v>
      </c>
      <c r="I1844" s="573" t="s">
        <v>3410</v>
      </c>
      <c r="J1844" s="573" t="s">
        <v>3377</v>
      </c>
      <c r="K1844" s="573">
        <v>6</v>
      </c>
      <c r="L1844" s="573">
        <v>0</v>
      </c>
      <c r="M1844" s="573" t="s">
        <v>157</v>
      </c>
      <c r="N1844" s="573">
        <v>2</v>
      </c>
      <c r="O1844" s="573" t="s">
        <v>3466</v>
      </c>
      <c r="P1844" s="571">
        <v>11000</v>
      </c>
      <c r="Q1844" s="573" t="s">
        <v>1526</v>
      </c>
      <c r="R1844" s="573">
        <v>6</v>
      </c>
      <c r="S1844" s="582" t="s">
        <v>3486</v>
      </c>
      <c r="T1844" s="573" t="s">
        <v>1522</v>
      </c>
      <c r="U1844" s="573">
        <v>143.5</v>
      </c>
      <c r="V1844" s="573">
        <v>26</v>
      </c>
      <c r="W1844" s="616">
        <v>7100</v>
      </c>
      <c r="X1844" s="617">
        <v>20</v>
      </c>
      <c r="Y1844" s="617" t="s">
        <v>450</v>
      </c>
      <c r="Z1844" s="617" t="s">
        <v>178</v>
      </c>
      <c r="AA1844" s="618">
        <v>36095</v>
      </c>
      <c r="AB1844" s="618" t="s">
        <v>164</v>
      </c>
      <c r="AC1844" s="618">
        <v>27455</v>
      </c>
      <c r="AD1844" s="619">
        <v>7.1999999999999995E-2</v>
      </c>
      <c r="AE1844" s="617" t="s">
        <v>3551</v>
      </c>
    </row>
    <row r="1845" spans="1:31" s="572" customFormat="1">
      <c r="A1845" s="570" t="s">
        <v>3555</v>
      </c>
      <c r="B1845" s="569" t="s">
        <v>166</v>
      </c>
      <c r="C1845" s="580">
        <v>17</v>
      </c>
      <c r="D1845" s="569" t="s">
        <v>3374</v>
      </c>
      <c r="E1845" s="569" t="s">
        <v>152</v>
      </c>
      <c r="F1845" s="569" t="s">
        <v>153</v>
      </c>
      <c r="G1845" s="569">
        <v>2019</v>
      </c>
      <c r="H1845" s="569" t="s">
        <v>3464</v>
      </c>
      <c r="I1845" s="569" t="s">
        <v>3410</v>
      </c>
      <c r="J1845" s="569" t="s">
        <v>3377</v>
      </c>
      <c r="K1845" s="569">
        <v>6</v>
      </c>
      <c r="L1845" s="569">
        <v>0</v>
      </c>
      <c r="M1845" s="569" t="s">
        <v>157</v>
      </c>
      <c r="N1845" s="569">
        <v>2</v>
      </c>
      <c r="O1845" s="569" t="s">
        <v>3471</v>
      </c>
      <c r="P1845" s="568">
        <v>11000</v>
      </c>
      <c r="Q1845" s="569" t="s">
        <v>753</v>
      </c>
      <c r="R1845" s="569">
        <v>8</v>
      </c>
      <c r="S1845" s="569" t="s">
        <v>3489</v>
      </c>
      <c r="T1845" s="569" t="s">
        <v>1522</v>
      </c>
      <c r="U1845" s="569">
        <v>153</v>
      </c>
      <c r="V1845" s="569">
        <v>26</v>
      </c>
      <c r="W1845" s="620">
        <v>7000</v>
      </c>
      <c r="X1845" s="621">
        <v>19</v>
      </c>
      <c r="Y1845" s="621" t="s">
        <v>450</v>
      </c>
      <c r="Z1845" s="621" t="s">
        <v>178</v>
      </c>
      <c r="AA1845" s="622">
        <v>36395</v>
      </c>
      <c r="AB1845" s="622" t="s">
        <v>164</v>
      </c>
      <c r="AC1845" s="622">
        <v>27855</v>
      </c>
      <c r="AD1845" s="623">
        <v>7.1999999999999995E-2</v>
      </c>
      <c r="AE1845" s="621" t="s">
        <v>3556</v>
      </c>
    </row>
    <row r="1846" spans="1:31" s="572" customFormat="1">
      <c r="A1846" s="570" t="s">
        <v>3555</v>
      </c>
      <c r="B1846" s="573" t="s">
        <v>166</v>
      </c>
      <c r="C1846" s="578">
        <v>17</v>
      </c>
      <c r="D1846" s="573" t="s">
        <v>3374</v>
      </c>
      <c r="E1846" s="573" t="s">
        <v>152</v>
      </c>
      <c r="F1846" s="573" t="s">
        <v>153</v>
      </c>
      <c r="G1846" s="573">
        <v>2019</v>
      </c>
      <c r="H1846" s="573" t="s">
        <v>3464</v>
      </c>
      <c r="I1846" s="573" t="s">
        <v>3410</v>
      </c>
      <c r="J1846" s="573" t="s">
        <v>3377</v>
      </c>
      <c r="K1846" s="573">
        <v>6</v>
      </c>
      <c r="L1846" s="573">
        <v>0</v>
      </c>
      <c r="M1846" s="573" t="s">
        <v>157</v>
      </c>
      <c r="N1846" s="573">
        <v>2</v>
      </c>
      <c r="O1846" s="573" t="s">
        <v>3471</v>
      </c>
      <c r="P1846" s="571">
        <v>11000</v>
      </c>
      <c r="Q1846" s="573" t="s">
        <v>753</v>
      </c>
      <c r="R1846" s="573">
        <v>8</v>
      </c>
      <c r="S1846" s="582" t="s">
        <v>3489</v>
      </c>
      <c r="T1846" s="573" t="s">
        <v>1522</v>
      </c>
      <c r="U1846" s="573">
        <v>153</v>
      </c>
      <c r="V1846" s="573">
        <v>26</v>
      </c>
      <c r="W1846" s="616">
        <v>7100</v>
      </c>
      <c r="X1846" s="617">
        <v>19</v>
      </c>
      <c r="Y1846" s="617" t="s">
        <v>450</v>
      </c>
      <c r="Z1846" s="617" t="s">
        <v>178</v>
      </c>
      <c r="AA1846" s="618">
        <v>36395</v>
      </c>
      <c r="AB1846" s="618" t="s">
        <v>164</v>
      </c>
      <c r="AC1846" s="618">
        <v>27855</v>
      </c>
      <c r="AD1846" s="619">
        <v>7.1999999999999995E-2</v>
      </c>
      <c r="AE1846" s="617" t="s">
        <v>3556</v>
      </c>
    </row>
    <row r="1847" spans="1:31" s="572" customFormat="1">
      <c r="A1847" s="570" t="s">
        <v>3557</v>
      </c>
      <c r="B1847" s="569" t="s">
        <v>169</v>
      </c>
      <c r="C1847" s="580">
        <v>11</v>
      </c>
      <c r="D1847" s="569" t="s">
        <v>3374</v>
      </c>
      <c r="E1847" s="569" t="s">
        <v>152</v>
      </c>
      <c r="F1847" s="569" t="s">
        <v>153</v>
      </c>
      <c r="G1847" s="569">
        <v>2019</v>
      </c>
      <c r="H1847" s="569" t="s">
        <v>3464</v>
      </c>
      <c r="I1847" s="569" t="s">
        <v>3410</v>
      </c>
      <c r="J1847" s="569" t="s">
        <v>752</v>
      </c>
      <c r="K1847" s="569">
        <v>6</v>
      </c>
      <c r="L1847" s="569">
        <v>0</v>
      </c>
      <c r="M1847" s="569" t="s">
        <v>157</v>
      </c>
      <c r="N1847" s="569">
        <v>2</v>
      </c>
      <c r="O1847" s="569" t="s">
        <v>3515</v>
      </c>
      <c r="P1847" s="568">
        <v>9500</v>
      </c>
      <c r="Q1847" s="569" t="s">
        <v>1526</v>
      </c>
      <c r="R1847" s="569">
        <v>6</v>
      </c>
      <c r="S1847" s="569" t="s">
        <v>3475</v>
      </c>
      <c r="T1847" s="569" t="s">
        <v>1522</v>
      </c>
      <c r="U1847" s="569">
        <v>147.43</v>
      </c>
      <c r="V1847" s="569">
        <v>24</v>
      </c>
      <c r="W1847" s="620">
        <v>7000</v>
      </c>
      <c r="X1847" s="621" t="s">
        <v>6563</v>
      </c>
      <c r="Y1847" s="621" t="s">
        <v>178</v>
      </c>
      <c r="Z1847" s="621" t="s">
        <v>178</v>
      </c>
      <c r="AA1847" s="622">
        <v>39395</v>
      </c>
      <c r="AB1847" s="622" t="s">
        <v>164</v>
      </c>
      <c r="AC1847" s="622">
        <v>27705.578947368427</v>
      </c>
      <c r="AD1847" s="623">
        <v>0.05</v>
      </c>
      <c r="AE1847" s="621" t="s">
        <v>3558</v>
      </c>
    </row>
    <row r="1848" spans="1:31" s="572" customFormat="1">
      <c r="A1848" s="570" t="s">
        <v>3559</v>
      </c>
      <c r="B1848" s="573" t="s">
        <v>169</v>
      </c>
      <c r="C1848" s="578">
        <v>11</v>
      </c>
      <c r="D1848" s="573" t="s">
        <v>3374</v>
      </c>
      <c r="E1848" s="573" t="s">
        <v>152</v>
      </c>
      <c r="F1848" s="573" t="s">
        <v>153</v>
      </c>
      <c r="G1848" s="573">
        <v>2019</v>
      </c>
      <c r="H1848" s="573" t="s">
        <v>3464</v>
      </c>
      <c r="I1848" s="573" t="s">
        <v>3410</v>
      </c>
      <c r="J1848" s="573" t="s">
        <v>752</v>
      </c>
      <c r="K1848" s="573">
        <v>6</v>
      </c>
      <c r="L1848" s="573">
        <v>0</v>
      </c>
      <c r="M1848" s="573" t="s">
        <v>157</v>
      </c>
      <c r="N1848" s="573">
        <v>2</v>
      </c>
      <c r="O1848" s="573" t="s">
        <v>3471</v>
      </c>
      <c r="P1848" s="571">
        <v>9500</v>
      </c>
      <c r="Q1848" s="573" t="s">
        <v>1526</v>
      </c>
      <c r="R1848" s="573">
        <v>6</v>
      </c>
      <c r="S1848" s="582" t="s">
        <v>3478</v>
      </c>
      <c r="T1848" s="573" t="s">
        <v>1522</v>
      </c>
      <c r="U1848" s="573">
        <v>156.94999999999999</v>
      </c>
      <c r="V1848" s="573">
        <v>24</v>
      </c>
      <c r="W1848" s="616">
        <v>7000</v>
      </c>
      <c r="X1848" s="617" t="s">
        <v>6563</v>
      </c>
      <c r="Y1848" s="617" t="s">
        <v>178</v>
      </c>
      <c r="Z1848" s="617" t="s">
        <v>178</v>
      </c>
      <c r="AA1848" s="618">
        <v>39695</v>
      </c>
      <c r="AB1848" s="618" t="s">
        <v>164</v>
      </c>
      <c r="AC1848" s="618">
        <v>27998.315789473687</v>
      </c>
      <c r="AD1848" s="619">
        <v>0.05</v>
      </c>
      <c r="AE1848" s="617" t="s">
        <v>3560</v>
      </c>
    </row>
    <row r="1849" spans="1:31" s="572" customFormat="1">
      <c r="A1849" s="570" t="s">
        <v>3561</v>
      </c>
      <c r="B1849" s="569" t="s">
        <v>150</v>
      </c>
      <c r="C1849" s="580">
        <v>13</v>
      </c>
      <c r="D1849" s="569" t="s">
        <v>3374</v>
      </c>
      <c r="E1849" s="569" t="s">
        <v>152</v>
      </c>
      <c r="F1849" s="569" t="s">
        <v>153</v>
      </c>
      <c r="G1849" s="569">
        <v>2019</v>
      </c>
      <c r="H1849" s="569" t="s">
        <v>3464</v>
      </c>
      <c r="I1849" s="569" t="s">
        <v>3410</v>
      </c>
      <c r="J1849" s="569" t="s">
        <v>752</v>
      </c>
      <c r="K1849" s="569">
        <v>6</v>
      </c>
      <c r="L1849" s="569">
        <v>0</v>
      </c>
      <c r="M1849" s="569" t="s">
        <v>157</v>
      </c>
      <c r="N1849" s="569">
        <v>2</v>
      </c>
      <c r="O1849" s="569" t="s">
        <v>3466</v>
      </c>
      <c r="P1849" s="568">
        <v>12800</v>
      </c>
      <c r="Q1849" s="569" t="s">
        <v>1526</v>
      </c>
      <c r="R1849" s="569">
        <v>6</v>
      </c>
      <c r="S1849" s="569" t="s">
        <v>3475</v>
      </c>
      <c r="T1849" s="569" t="s">
        <v>1522</v>
      </c>
      <c r="U1849" s="569">
        <v>143.5</v>
      </c>
      <c r="V1849" s="569">
        <v>26</v>
      </c>
      <c r="W1849" s="620">
        <v>7100</v>
      </c>
      <c r="X1849" s="621">
        <v>19</v>
      </c>
      <c r="Y1849" s="621" t="s">
        <v>450</v>
      </c>
      <c r="Z1849" s="621" t="s">
        <v>178</v>
      </c>
      <c r="AA1849" s="622">
        <v>39395</v>
      </c>
      <c r="AB1849" s="622" t="s">
        <v>164</v>
      </c>
      <c r="AC1849" s="622">
        <v>31082</v>
      </c>
      <c r="AD1849" s="623">
        <v>0.03</v>
      </c>
      <c r="AE1849" s="621" t="s">
        <v>3562</v>
      </c>
    </row>
    <row r="1850" spans="1:31" s="572" customFormat="1">
      <c r="A1850" s="570" t="s">
        <v>3563</v>
      </c>
      <c r="B1850" s="573" t="s">
        <v>150</v>
      </c>
      <c r="C1850" s="578">
        <v>13</v>
      </c>
      <c r="D1850" s="573" t="s">
        <v>3374</v>
      </c>
      <c r="E1850" s="573" t="s">
        <v>152</v>
      </c>
      <c r="F1850" s="573" t="s">
        <v>153</v>
      </c>
      <c r="G1850" s="573">
        <v>2019</v>
      </c>
      <c r="H1850" s="573" t="s">
        <v>3464</v>
      </c>
      <c r="I1850" s="573" t="s">
        <v>3410</v>
      </c>
      <c r="J1850" s="573" t="s">
        <v>752</v>
      </c>
      <c r="K1850" s="573">
        <v>6</v>
      </c>
      <c r="L1850" s="573">
        <v>0</v>
      </c>
      <c r="M1850" s="573" t="s">
        <v>157</v>
      </c>
      <c r="N1850" s="573">
        <v>2</v>
      </c>
      <c r="O1850" s="573" t="s">
        <v>3471</v>
      </c>
      <c r="P1850" s="571">
        <v>12800</v>
      </c>
      <c r="Q1850" s="573" t="s">
        <v>753</v>
      </c>
      <c r="R1850" s="573">
        <v>8</v>
      </c>
      <c r="S1850" s="582" t="s">
        <v>3478</v>
      </c>
      <c r="T1850" s="573" t="s">
        <v>1522</v>
      </c>
      <c r="U1850" s="573">
        <v>153</v>
      </c>
      <c r="V1850" s="573">
        <v>26</v>
      </c>
      <c r="W1850" s="616">
        <v>7200</v>
      </c>
      <c r="X1850" s="617">
        <v>19</v>
      </c>
      <c r="Y1850" s="617" t="s">
        <v>450</v>
      </c>
      <c r="Z1850" s="617" t="s">
        <v>178</v>
      </c>
      <c r="AA1850" s="618">
        <v>39695</v>
      </c>
      <c r="AB1850" s="618" t="s">
        <v>164</v>
      </c>
      <c r="AC1850" s="618">
        <v>32175</v>
      </c>
      <c r="AD1850" s="619">
        <v>0.03</v>
      </c>
      <c r="AE1850" s="617" t="s">
        <v>3564</v>
      </c>
    </row>
    <row r="1851" spans="1:31" s="572" customFormat="1">
      <c r="A1851" s="570" t="s">
        <v>3565</v>
      </c>
      <c r="B1851" s="569" t="s">
        <v>166</v>
      </c>
      <c r="C1851" s="580">
        <v>17</v>
      </c>
      <c r="D1851" s="569" t="s">
        <v>3374</v>
      </c>
      <c r="E1851" s="569" t="s">
        <v>152</v>
      </c>
      <c r="F1851" s="569" t="s">
        <v>153</v>
      </c>
      <c r="G1851" s="569">
        <v>2019</v>
      </c>
      <c r="H1851" s="569" t="s">
        <v>3464</v>
      </c>
      <c r="I1851" s="569" t="s">
        <v>3410</v>
      </c>
      <c r="J1851" s="569" t="s">
        <v>752</v>
      </c>
      <c r="K1851" s="569">
        <v>6</v>
      </c>
      <c r="L1851" s="569">
        <v>0</v>
      </c>
      <c r="M1851" s="569" t="s">
        <v>157</v>
      </c>
      <c r="N1851" s="569">
        <v>2</v>
      </c>
      <c r="O1851" s="569" t="s">
        <v>3466</v>
      </c>
      <c r="P1851" s="568">
        <v>12800</v>
      </c>
      <c r="Q1851" s="569" t="s">
        <v>1526</v>
      </c>
      <c r="R1851" s="569">
        <v>6</v>
      </c>
      <c r="S1851" s="569" t="s">
        <v>3494</v>
      </c>
      <c r="T1851" s="569" t="s">
        <v>1522</v>
      </c>
      <c r="U1851" s="569">
        <v>143.5</v>
      </c>
      <c r="V1851" s="569">
        <v>26</v>
      </c>
      <c r="W1851" s="620">
        <v>7100</v>
      </c>
      <c r="X1851" s="621">
        <v>19</v>
      </c>
      <c r="Y1851" s="621" t="s">
        <v>450</v>
      </c>
      <c r="Z1851" s="621" t="s">
        <v>178</v>
      </c>
      <c r="AA1851" s="622">
        <v>39395</v>
      </c>
      <c r="AB1851" s="622" t="s">
        <v>164</v>
      </c>
      <c r="AC1851" s="622">
        <v>29745</v>
      </c>
      <c r="AD1851" s="623">
        <v>7.1999999999999995E-2</v>
      </c>
      <c r="AE1851" s="621" t="s">
        <v>3562</v>
      </c>
    </row>
    <row r="1852" spans="1:31" s="572" customFormat="1">
      <c r="A1852" s="570" t="s">
        <v>3566</v>
      </c>
      <c r="B1852" s="573" t="s">
        <v>166</v>
      </c>
      <c r="C1852" s="578">
        <v>17</v>
      </c>
      <c r="D1852" s="573" t="s">
        <v>3374</v>
      </c>
      <c r="E1852" s="573" t="s">
        <v>152</v>
      </c>
      <c r="F1852" s="573" t="s">
        <v>153</v>
      </c>
      <c r="G1852" s="573">
        <v>2019</v>
      </c>
      <c r="H1852" s="573" t="s">
        <v>3464</v>
      </c>
      <c r="I1852" s="573" t="s">
        <v>3410</v>
      </c>
      <c r="J1852" s="573" t="s">
        <v>752</v>
      </c>
      <c r="K1852" s="573">
        <v>6</v>
      </c>
      <c r="L1852" s="573">
        <v>0</v>
      </c>
      <c r="M1852" s="573" t="s">
        <v>157</v>
      </c>
      <c r="N1852" s="573">
        <v>2</v>
      </c>
      <c r="O1852" s="573" t="s">
        <v>3471</v>
      </c>
      <c r="P1852" s="571">
        <v>12800</v>
      </c>
      <c r="Q1852" s="573" t="s">
        <v>753</v>
      </c>
      <c r="R1852" s="573">
        <v>8</v>
      </c>
      <c r="S1852" s="582" t="s">
        <v>3497</v>
      </c>
      <c r="T1852" s="573" t="s">
        <v>1522</v>
      </c>
      <c r="U1852" s="573">
        <v>153</v>
      </c>
      <c r="V1852" s="573">
        <v>26</v>
      </c>
      <c r="W1852" s="616">
        <v>7200</v>
      </c>
      <c r="X1852" s="617">
        <v>19</v>
      </c>
      <c r="Y1852" s="617" t="s">
        <v>450</v>
      </c>
      <c r="Z1852" s="617" t="s">
        <v>178</v>
      </c>
      <c r="AA1852" s="618">
        <v>39695</v>
      </c>
      <c r="AB1852" s="618" t="s">
        <v>164</v>
      </c>
      <c r="AC1852" s="618">
        <v>29998</v>
      </c>
      <c r="AD1852" s="619">
        <v>7.1999999999999995E-2</v>
      </c>
      <c r="AE1852" s="617" t="s">
        <v>3564</v>
      </c>
    </row>
    <row r="1853" spans="1:31" s="572" customFormat="1">
      <c r="A1853" s="570" t="s">
        <v>3567</v>
      </c>
      <c r="B1853" s="569" t="s">
        <v>169</v>
      </c>
      <c r="C1853" s="580">
        <v>11</v>
      </c>
      <c r="D1853" s="569" t="s">
        <v>3374</v>
      </c>
      <c r="E1853" s="569" t="s">
        <v>152</v>
      </c>
      <c r="F1853" s="569" t="s">
        <v>153</v>
      </c>
      <c r="G1853" s="569">
        <v>2019</v>
      </c>
      <c r="H1853" s="569" t="s">
        <v>3464</v>
      </c>
      <c r="I1853" s="569" t="s">
        <v>3569</v>
      </c>
      <c r="J1853" s="569" t="s">
        <v>3377</v>
      </c>
      <c r="K1853" s="569">
        <v>6</v>
      </c>
      <c r="L1853" s="569">
        <v>0</v>
      </c>
      <c r="M1853" s="569" t="s">
        <v>157</v>
      </c>
      <c r="N1853" s="569">
        <v>2</v>
      </c>
      <c r="O1853" s="569" t="s">
        <v>3471</v>
      </c>
      <c r="P1853" s="568">
        <v>9800</v>
      </c>
      <c r="Q1853" s="569" t="s">
        <v>1526</v>
      </c>
      <c r="R1853" s="569">
        <v>6</v>
      </c>
      <c r="S1853" s="569" t="s">
        <v>3537</v>
      </c>
      <c r="T1853" s="569" t="s">
        <v>1522</v>
      </c>
      <c r="U1853" s="569">
        <v>147.44999999999999</v>
      </c>
      <c r="V1853" s="569">
        <v>24</v>
      </c>
      <c r="W1853" s="620">
        <v>6800</v>
      </c>
      <c r="X1853" s="621" t="s">
        <v>6563</v>
      </c>
      <c r="Y1853" s="621" t="s">
        <v>178</v>
      </c>
      <c r="Z1853" s="621" t="s">
        <v>178</v>
      </c>
      <c r="AA1853" s="622">
        <v>33695</v>
      </c>
      <c r="AB1853" s="622" t="s">
        <v>164</v>
      </c>
      <c r="AC1853" s="622">
        <v>23090.947368421057</v>
      </c>
      <c r="AD1853" s="623">
        <v>0.05</v>
      </c>
      <c r="AE1853" s="621" t="s">
        <v>3568</v>
      </c>
    </row>
    <row r="1854" spans="1:31" s="572" customFormat="1">
      <c r="A1854" s="570" t="s">
        <v>3570</v>
      </c>
      <c r="B1854" s="573" t="s">
        <v>150</v>
      </c>
      <c r="C1854" s="578">
        <v>13</v>
      </c>
      <c r="D1854" s="573" t="s">
        <v>3374</v>
      </c>
      <c r="E1854" s="573" t="s">
        <v>152</v>
      </c>
      <c r="F1854" s="573" t="s">
        <v>153</v>
      </c>
      <c r="G1854" s="573">
        <v>2019</v>
      </c>
      <c r="H1854" s="573" t="s">
        <v>3464</v>
      </c>
      <c r="I1854" s="573" t="s">
        <v>3569</v>
      </c>
      <c r="J1854" s="573" t="s">
        <v>3377</v>
      </c>
      <c r="K1854" s="573">
        <v>6</v>
      </c>
      <c r="L1854" s="573">
        <v>0</v>
      </c>
      <c r="M1854" s="573" t="s">
        <v>157</v>
      </c>
      <c r="N1854" s="573">
        <v>2</v>
      </c>
      <c r="O1854" s="573" t="s">
        <v>3471</v>
      </c>
      <c r="P1854" s="571">
        <v>11000</v>
      </c>
      <c r="Q1854" s="573" t="s">
        <v>1526</v>
      </c>
      <c r="R1854" s="573">
        <v>6</v>
      </c>
      <c r="S1854" s="582" t="s">
        <v>3537</v>
      </c>
      <c r="T1854" s="573" t="s">
        <v>1522</v>
      </c>
      <c r="U1854" s="573">
        <v>143.5</v>
      </c>
      <c r="V1854" s="573">
        <v>26</v>
      </c>
      <c r="W1854" s="616">
        <v>6900</v>
      </c>
      <c r="X1854" s="617">
        <v>20</v>
      </c>
      <c r="Y1854" s="617" t="s">
        <v>450</v>
      </c>
      <c r="Z1854" s="617" t="s">
        <v>178</v>
      </c>
      <c r="AA1854" s="618">
        <v>33695</v>
      </c>
      <c r="AB1854" s="618" t="s">
        <v>164</v>
      </c>
      <c r="AC1854" s="618">
        <v>26581</v>
      </c>
      <c r="AD1854" s="619">
        <v>0.03</v>
      </c>
      <c r="AE1854" s="617" t="s">
        <v>3571</v>
      </c>
    </row>
    <row r="1855" spans="1:31" s="572" customFormat="1">
      <c r="A1855" s="570" t="s">
        <v>3572</v>
      </c>
      <c r="B1855" s="569" t="s">
        <v>166</v>
      </c>
      <c r="C1855" s="580">
        <v>17</v>
      </c>
      <c r="D1855" s="569" t="s">
        <v>3374</v>
      </c>
      <c r="E1855" s="569" t="s">
        <v>152</v>
      </c>
      <c r="F1855" s="569" t="s">
        <v>153</v>
      </c>
      <c r="G1855" s="569">
        <v>2019</v>
      </c>
      <c r="H1855" s="569" t="s">
        <v>3464</v>
      </c>
      <c r="I1855" s="569" t="s">
        <v>3569</v>
      </c>
      <c r="J1855" s="569" t="s">
        <v>3377</v>
      </c>
      <c r="K1855" s="569">
        <v>6</v>
      </c>
      <c r="L1855" s="569">
        <v>0</v>
      </c>
      <c r="M1855" s="569" t="s">
        <v>157</v>
      </c>
      <c r="N1855" s="569">
        <v>2</v>
      </c>
      <c r="O1855" s="569" t="s">
        <v>3471</v>
      </c>
      <c r="P1855" s="568">
        <v>11000</v>
      </c>
      <c r="Q1855" s="569" t="s">
        <v>1526</v>
      </c>
      <c r="R1855" s="569">
        <v>6</v>
      </c>
      <c r="S1855" s="569" t="s">
        <v>3501</v>
      </c>
      <c r="T1855" s="569" t="s">
        <v>1522</v>
      </c>
      <c r="U1855" s="569">
        <v>143.5</v>
      </c>
      <c r="V1855" s="569">
        <v>26</v>
      </c>
      <c r="W1855" s="620">
        <v>6900</v>
      </c>
      <c r="X1855" s="621">
        <v>20</v>
      </c>
      <c r="Y1855" s="621" t="s">
        <v>450</v>
      </c>
      <c r="Z1855" s="621" t="s">
        <v>178</v>
      </c>
      <c r="AA1855" s="622">
        <v>33695</v>
      </c>
      <c r="AB1855" s="622" t="s">
        <v>164</v>
      </c>
      <c r="AC1855" s="622">
        <v>24885</v>
      </c>
      <c r="AD1855" s="623">
        <v>7.1999999999999995E-2</v>
      </c>
      <c r="AE1855" s="621" t="s">
        <v>3571</v>
      </c>
    </row>
    <row r="1856" spans="1:31" s="572" customFormat="1">
      <c r="A1856" s="570" t="s">
        <v>3572</v>
      </c>
      <c r="B1856" s="573" t="s">
        <v>166</v>
      </c>
      <c r="C1856" s="578">
        <v>17</v>
      </c>
      <c r="D1856" s="573" t="s">
        <v>3374</v>
      </c>
      <c r="E1856" s="573" t="s">
        <v>152</v>
      </c>
      <c r="F1856" s="573" t="s">
        <v>153</v>
      </c>
      <c r="G1856" s="573">
        <v>2019</v>
      </c>
      <c r="H1856" s="573" t="s">
        <v>3464</v>
      </c>
      <c r="I1856" s="573" t="s">
        <v>3569</v>
      </c>
      <c r="J1856" s="573" t="s">
        <v>3377</v>
      </c>
      <c r="K1856" s="573">
        <v>6</v>
      </c>
      <c r="L1856" s="573">
        <v>0</v>
      </c>
      <c r="M1856" s="573" t="s">
        <v>157</v>
      </c>
      <c r="N1856" s="573">
        <v>2</v>
      </c>
      <c r="O1856" s="573" t="s">
        <v>3471</v>
      </c>
      <c r="P1856" s="571">
        <v>11000</v>
      </c>
      <c r="Q1856" s="573" t="s">
        <v>1526</v>
      </c>
      <c r="R1856" s="573">
        <v>6</v>
      </c>
      <c r="S1856" s="582" t="s">
        <v>3501</v>
      </c>
      <c r="T1856" s="573" t="s">
        <v>1522</v>
      </c>
      <c r="U1856" s="573">
        <v>143.5</v>
      </c>
      <c r="V1856" s="573">
        <v>26</v>
      </c>
      <c r="W1856" s="616">
        <v>7100</v>
      </c>
      <c r="X1856" s="617">
        <v>20</v>
      </c>
      <c r="Y1856" s="617" t="s">
        <v>450</v>
      </c>
      <c r="Z1856" s="617" t="s">
        <v>178</v>
      </c>
      <c r="AA1856" s="618">
        <v>33695</v>
      </c>
      <c r="AB1856" s="618" t="s">
        <v>164</v>
      </c>
      <c r="AC1856" s="618">
        <v>24885</v>
      </c>
      <c r="AD1856" s="619">
        <v>7.1999999999999995E-2</v>
      </c>
      <c r="AE1856" s="617" t="s">
        <v>3571</v>
      </c>
    </row>
    <row r="1857" spans="1:31" s="572" customFormat="1">
      <c r="A1857" s="570" t="s">
        <v>3573</v>
      </c>
      <c r="B1857" s="569" t="s">
        <v>169</v>
      </c>
      <c r="C1857" s="580">
        <v>11</v>
      </c>
      <c r="D1857" s="569" t="s">
        <v>3374</v>
      </c>
      <c r="E1857" s="569" t="s">
        <v>152</v>
      </c>
      <c r="F1857" s="569" t="s">
        <v>153</v>
      </c>
      <c r="G1857" s="569">
        <v>2019</v>
      </c>
      <c r="H1857" s="569" t="s">
        <v>3464</v>
      </c>
      <c r="I1857" s="569" t="s">
        <v>3569</v>
      </c>
      <c r="J1857" s="569" t="s">
        <v>752</v>
      </c>
      <c r="K1857" s="569">
        <v>6</v>
      </c>
      <c r="L1857" s="569">
        <v>0</v>
      </c>
      <c r="M1857" s="569" t="s">
        <v>157</v>
      </c>
      <c r="N1857" s="569">
        <v>2</v>
      </c>
      <c r="O1857" s="569" t="s">
        <v>3471</v>
      </c>
      <c r="P1857" s="568">
        <v>9600</v>
      </c>
      <c r="Q1857" s="569" t="s">
        <v>1526</v>
      </c>
      <c r="R1857" s="569">
        <v>6</v>
      </c>
      <c r="S1857" s="569" t="s">
        <v>3482</v>
      </c>
      <c r="T1857" s="569" t="s">
        <v>1522</v>
      </c>
      <c r="U1857" s="569">
        <v>147.44999999999999</v>
      </c>
      <c r="V1857" s="569">
        <v>24</v>
      </c>
      <c r="W1857" s="620">
        <v>7000</v>
      </c>
      <c r="X1857" s="621" t="s">
        <v>6563</v>
      </c>
      <c r="Y1857" s="621" t="s">
        <v>178</v>
      </c>
      <c r="Z1857" s="621" t="s">
        <v>178</v>
      </c>
      <c r="AA1857" s="622">
        <v>36995</v>
      </c>
      <c r="AB1857" s="622" t="s">
        <v>164</v>
      </c>
      <c r="AC1857" s="622">
        <v>25468.947368421053</v>
      </c>
      <c r="AD1857" s="623">
        <v>0.05</v>
      </c>
      <c r="AE1857" s="621" t="s">
        <v>3574</v>
      </c>
    </row>
    <row r="1858" spans="1:31" s="572" customFormat="1">
      <c r="A1858" s="570" t="s">
        <v>3575</v>
      </c>
      <c r="B1858" s="573" t="s">
        <v>150</v>
      </c>
      <c r="C1858" s="578">
        <v>13</v>
      </c>
      <c r="D1858" s="573" t="s">
        <v>3374</v>
      </c>
      <c r="E1858" s="573" t="s">
        <v>152</v>
      </c>
      <c r="F1858" s="573" t="s">
        <v>153</v>
      </c>
      <c r="G1858" s="573">
        <v>2019</v>
      </c>
      <c r="H1858" s="573" t="s">
        <v>3464</v>
      </c>
      <c r="I1858" s="573" t="s">
        <v>3569</v>
      </c>
      <c r="J1858" s="573" t="s">
        <v>752</v>
      </c>
      <c r="K1858" s="573">
        <v>6</v>
      </c>
      <c r="L1858" s="573">
        <v>0</v>
      </c>
      <c r="M1858" s="573" t="s">
        <v>157</v>
      </c>
      <c r="N1858" s="573">
        <v>2</v>
      </c>
      <c r="O1858" s="573" t="s">
        <v>3471</v>
      </c>
      <c r="P1858" s="571">
        <v>12800</v>
      </c>
      <c r="Q1858" s="573" t="s">
        <v>1526</v>
      </c>
      <c r="R1858" s="573">
        <v>6</v>
      </c>
      <c r="S1858" s="582" t="s">
        <v>3482</v>
      </c>
      <c r="T1858" s="573" t="s">
        <v>1522</v>
      </c>
      <c r="U1858" s="573">
        <v>143.5</v>
      </c>
      <c r="V1858" s="573">
        <v>26</v>
      </c>
      <c r="W1858" s="616">
        <v>7100</v>
      </c>
      <c r="X1858" s="617">
        <v>19</v>
      </c>
      <c r="Y1858" s="617" t="s">
        <v>450</v>
      </c>
      <c r="Z1858" s="617" t="s">
        <v>178</v>
      </c>
      <c r="AA1858" s="618">
        <v>36995</v>
      </c>
      <c r="AB1858" s="618" t="s">
        <v>164</v>
      </c>
      <c r="AC1858" s="618">
        <v>29463</v>
      </c>
      <c r="AD1858" s="619">
        <v>0.03</v>
      </c>
      <c r="AE1858" s="617" t="s">
        <v>3576</v>
      </c>
    </row>
    <row r="1859" spans="1:31" s="572" customFormat="1">
      <c r="A1859" s="570" t="s">
        <v>3577</v>
      </c>
      <c r="B1859" s="569" t="s">
        <v>166</v>
      </c>
      <c r="C1859" s="580">
        <v>17</v>
      </c>
      <c r="D1859" s="569" t="s">
        <v>3374</v>
      </c>
      <c r="E1859" s="569" t="s">
        <v>152</v>
      </c>
      <c r="F1859" s="569" t="s">
        <v>153</v>
      </c>
      <c r="G1859" s="569">
        <v>2019</v>
      </c>
      <c r="H1859" s="569" t="s">
        <v>3464</v>
      </c>
      <c r="I1859" s="569" t="s">
        <v>3569</v>
      </c>
      <c r="J1859" s="569" t="s">
        <v>752</v>
      </c>
      <c r="K1859" s="569">
        <v>6</v>
      </c>
      <c r="L1859" s="569">
        <v>0</v>
      </c>
      <c r="M1859" s="569" t="s">
        <v>157</v>
      </c>
      <c r="N1859" s="569">
        <v>2</v>
      </c>
      <c r="O1859" s="569" t="s">
        <v>3471</v>
      </c>
      <c r="P1859" s="568">
        <v>12800</v>
      </c>
      <c r="Q1859" s="569" t="s">
        <v>1526</v>
      </c>
      <c r="R1859" s="569">
        <v>6</v>
      </c>
      <c r="S1859" s="569" t="s">
        <v>3504</v>
      </c>
      <c r="T1859" s="569" t="s">
        <v>1522</v>
      </c>
      <c r="U1859" s="569">
        <v>143.5</v>
      </c>
      <c r="V1859" s="569">
        <v>26</v>
      </c>
      <c r="W1859" s="620">
        <v>7100</v>
      </c>
      <c r="X1859" s="621">
        <v>19</v>
      </c>
      <c r="Y1859" s="621" t="s">
        <v>450</v>
      </c>
      <c r="Z1859" s="621" t="s">
        <v>178</v>
      </c>
      <c r="AA1859" s="622">
        <v>36995</v>
      </c>
      <c r="AB1859" s="622" t="s">
        <v>164</v>
      </c>
      <c r="AC1859" s="622">
        <v>27468</v>
      </c>
      <c r="AD1859" s="623">
        <v>7.1999999999999995E-2</v>
      </c>
      <c r="AE1859" s="621" t="s">
        <v>3576</v>
      </c>
    </row>
    <row r="1860" spans="1:31" s="572" customFormat="1">
      <c r="A1860" s="570" t="s">
        <v>3577</v>
      </c>
      <c r="B1860" s="573" t="s">
        <v>166</v>
      </c>
      <c r="C1860" s="578">
        <v>17</v>
      </c>
      <c r="D1860" s="573" t="s">
        <v>3374</v>
      </c>
      <c r="E1860" s="573" t="s">
        <v>152</v>
      </c>
      <c r="F1860" s="573" t="s">
        <v>153</v>
      </c>
      <c r="G1860" s="573">
        <v>2019</v>
      </c>
      <c r="H1860" s="573" t="s">
        <v>3464</v>
      </c>
      <c r="I1860" s="573" t="s">
        <v>3569</v>
      </c>
      <c r="J1860" s="573" t="s">
        <v>752</v>
      </c>
      <c r="K1860" s="573">
        <v>6</v>
      </c>
      <c r="L1860" s="573">
        <v>0</v>
      </c>
      <c r="M1860" s="573" t="s">
        <v>157</v>
      </c>
      <c r="N1860" s="573">
        <v>2</v>
      </c>
      <c r="O1860" s="573" t="s">
        <v>3471</v>
      </c>
      <c r="P1860" s="571">
        <v>12800</v>
      </c>
      <c r="Q1860" s="573" t="s">
        <v>1526</v>
      </c>
      <c r="R1860" s="573">
        <v>6</v>
      </c>
      <c r="S1860" s="582" t="s">
        <v>3504</v>
      </c>
      <c r="T1860" s="573" t="s">
        <v>1522</v>
      </c>
      <c r="U1860" s="573">
        <v>143.5</v>
      </c>
      <c r="V1860" s="573">
        <v>26</v>
      </c>
      <c r="W1860" s="616">
        <v>7200</v>
      </c>
      <c r="X1860" s="617">
        <v>19</v>
      </c>
      <c r="Y1860" s="617" t="s">
        <v>450</v>
      </c>
      <c r="Z1860" s="617" t="s">
        <v>178</v>
      </c>
      <c r="AA1860" s="618">
        <v>36995</v>
      </c>
      <c r="AB1860" s="618" t="s">
        <v>164</v>
      </c>
      <c r="AC1860" s="618">
        <v>27468</v>
      </c>
      <c r="AD1860" s="619">
        <v>7.1999999999999995E-2</v>
      </c>
      <c r="AE1860" s="617" t="s">
        <v>3576</v>
      </c>
    </row>
    <row r="1861" spans="1:31" s="572" customFormat="1">
      <c r="A1861" s="570" t="s">
        <v>3578</v>
      </c>
      <c r="B1861" s="569" t="s">
        <v>169</v>
      </c>
      <c r="C1861" s="580">
        <v>11</v>
      </c>
      <c r="D1861" s="569" t="s">
        <v>3374</v>
      </c>
      <c r="E1861" s="569" t="s">
        <v>152</v>
      </c>
      <c r="F1861" s="569" t="s">
        <v>153</v>
      </c>
      <c r="G1861" s="569">
        <v>2019</v>
      </c>
      <c r="H1861" s="569" t="s">
        <v>3464</v>
      </c>
      <c r="I1861" s="569" t="s">
        <v>3580</v>
      </c>
      <c r="J1861" s="569" t="s">
        <v>3377</v>
      </c>
      <c r="K1861" s="569">
        <v>3</v>
      </c>
      <c r="L1861" s="569">
        <v>0</v>
      </c>
      <c r="M1861" s="569" t="s">
        <v>157</v>
      </c>
      <c r="N1861" s="569">
        <v>1</v>
      </c>
      <c r="O1861" s="569" t="s">
        <v>3508</v>
      </c>
      <c r="P1861" s="568">
        <v>10100</v>
      </c>
      <c r="Q1861" s="569" t="s">
        <v>1526</v>
      </c>
      <c r="R1861" s="569">
        <v>6</v>
      </c>
      <c r="S1861" s="569" t="s">
        <v>3581</v>
      </c>
      <c r="T1861" s="569" t="s">
        <v>1522</v>
      </c>
      <c r="U1861" s="569">
        <v>139.56</v>
      </c>
      <c r="V1861" s="569">
        <v>28</v>
      </c>
      <c r="W1861" s="620">
        <v>6800</v>
      </c>
      <c r="X1861" s="621" t="s">
        <v>6563</v>
      </c>
      <c r="Y1861" s="621" t="s">
        <v>178</v>
      </c>
      <c r="Z1861" s="621" t="s">
        <v>178</v>
      </c>
      <c r="AA1861" s="622">
        <v>29795</v>
      </c>
      <c r="AB1861" s="622" t="s">
        <v>164</v>
      </c>
      <c r="AC1861" s="622">
        <v>21390.631578947367</v>
      </c>
      <c r="AD1861" s="623">
        <v>0.05</v>
      </c>
      <c r="AE1861" s="621" t="s">
        <v>3579</v>
      </c>
    </row>
    <row r="1862" spans="1:31" s="572" customFormat="1">
      <c r="A1862" s="570" t="s">
        <v>3582</v>
      </c>
      <c r="B1862" s="573" t="s">
        <v>150</v>
      </c>
      <c r="C1862" s="578">
        <v>13</v>
      </c>
      <c r="D1862" s="573" t="s">
        <v>3374</v>
      </c>
      <c r="E1862" s="573" t="s">
        <v>152</v>
      </c>
      <c r="F1862" s="573" t="s">
        <v>153</v>
      </c>
      <c r="G1862" s="573">
        <v>2019</v>
      </c>
      <c r="H1862" s="573" t="s">
        <v>3464</v>
      </c>
      <c r="I1862" s="573" t="s">
        <v>3580</v>
      </c>
      <c r="J1862" s="573" t="s">
        <v>3377</v>
      </c>
      <c r="K1862" s="573">
        <v>3</v>
      </c>
      <c r="L1862" s="573">
        <v>0</v>
      </c>
      <c r="M1862" s="573" t="s">
        <v>157</v>
      </c>
      <c r="N1862" s="573">
        <v>1</v>
      </c>
      <c r="O1862" s="573" t="s">
        <v>3508</v>
      </c>
      <c r="P1862" s="571">
        <v>11000</v>
      </c>
      <c r="Q1862" s="573" t="s">
        <v>1526</v>
      </c>
      <c r="R1862" s="573">
        <v>6</v>
      </c>
      <c r="S1862" s="582" t="s">
        <v>3581</v>
      </c>
      <c r="T1862" s="573" t="s">
        <v>1522</v>
      </c>
      <c r="U1862" s="573">
        <v>133</v>
      </c>
      <c r="V1862" s="573">
        <v>34</v>
      </c>
      <c r="W1862" s="616">
        <v>6700</v>
      </c>
      <c r="X1862" s="617">
        <v>20</v>
      </c>
      <c r="Y1862" s="617" t="s">
        <v>450</v>
      </c>
      <c r="Z1862" s="617" t="s">
        <v>178</v>
      </c>
      <c r="AA1862" s="618">
        <v>29795</v>
      </c>
      <c r="AB1862" s="618" t="s">
        <v>164</v>
      </c>
      <c r="AC1862" s="618">
        <v>25119</v>
      </c>
      <c r="AD1862" s="619">
        <v>0.03</v>
      </c>
      <c r="AE1862" s="617" t="s">
        <v>3583</v>
      </c>
    </row>
    <row r="1863" spans="1:31" s="572" customFormat="1">
      <c r="A1863" s="570" t="s">
        <v>3584</v>
      </c>
      <c r="B1863" s="569" t="s">
        <v>166</v>
      </c>
      <c r="C1863" s="580">
        <v>17</v>
      </c>
      <c r="D1863" s="569" t="s">
        <v>3374</v>
      </c>
      <c r="E1863" s="569" t="s">
        <v>152</v>
      </c>
      <c r="F1863" s="569" t="s">
        <v>153</v>
      </c>
      <c r="G1863" s="569">
        <v>2019</v>
      </c>
      <c r="H1863" s="569" t="s">
        <v>3464</v>
      </c>
      <c r="I1863" s="569" t="s">
        <v>3580</v>
      </c>
      <c r="J1863" s="569" t="s">
        <v>3377</v>
      </c>
      <c r="K1863" s="569">
        <v>3</v>
      </c>
      <c r="L1863" s="569">
        <v>0</v>
      </c>
      <c r="M1863" s="569" t="s">
        <v>157</v>
      </c>
      <c r="N1863" s="569">
        <v>1</v>
      </c>
      <c r="O1863" s="569" t="s">
        <v>3508</v>
      </c>
      <c r="P1863" s="568">
        <v>11000</v>
      </c>
      <c r="Q1863" s="569" t="s">
        <v>1526</v>
      </c>
      <c r="R1863" s="569">
        <v>6</v>
      </c>
      <c r="S1863" s="569" t="s">
        <v>3509</v>
      </c>
      <c r="T1863" s="569" t="s">
        <v>1522</v>
      </c>
      <c r="U1863" s="569">
        <v>133</v>
      </c>
      <c r="V1863" s="569">
        <v>34</v>
      </c>
      <c r="W1863" s="620">
        <v>6700</v>
      </c>
      <c r="X1863" s="621">
        <v>20</v>
      </c>
      <c r="Y1863" s="621" t="s">
        <v>450</v>
      </c>
      <c r="Z1863" s="621" t="s">
        <v>178</v>
      </c>
      <c r="AA1863" s="622">
        <v>29795</v>
      </c>
      <c r="AB1863" s="622" t="s">
        <v>164</v>
      </c>
      <c r="AC1863" s="622">
        <v>22788</v>
      </c>
      <c r="AD1863" s="623">
        <v>7.1999999999999995E-2</v>
      </c>
      <c r="AE1863" s="621" t="s">
        <v>3583</v>
      </c>
    </row>
    <row r="1864" spans="1:31" s="572" customFormat="1">
      <c r="A1864" s="570" t="s">
        <v>3585</v>
      </c>
      <c r="B1864" s="573" t="s">
        <v>169</v>
      </c>
      <c r="C1864" s="578">
        <v>11</v>
      </c>
      <c r="D1864" s="573" t="s">
        <v>3374</v>
      </c>
      <c r="E1864" s="573" t="s">
        <v>152</v>
      </c>
      <c r="F1864" s="573" t="s">
        <v>153</v>
      </c>
      <c r="G1864" s="573">
        <v>2019</v>
      </c>
      <c r="H1864" s="573" t="s">
        <v>3464</v>
      </c>
      <c r="I1864" s="573" t="s">
        <v>3580</v>
      </c>
      <c r="J1864" s="573" t="s">
        <v>752</v>
      </c>
      <c r="K1864" s="573">
        <v>3</v>
      </c>
      <c r="L1864" s="573">
        <v>0</v>
      </c>
      <c r="M1864" s="573" t="s">
        <v>157</v>
      </c>
      <c r="N1864" s="573">
        <v>1</v>
      </c>
      <c r="O1864" s="573" t="s">
        <v>3508</v>
      </c>
      <c r="P1864" s="571">
        <v>9900</v>
      </c>
      <c r="Q1864" s="573" t="s">
        <v>1526</v>
      </c>
      <c r="R1864" s="573">
        <v>6</v>
      </c>
      <c r="S1864" s="582" t="s">
        <v>3587</v>
      </c>
      <c r="T1864" s="573" t="s">
        <v>1522</v>
      </c>
      <c r="U1864" s="573">
        <v>139.56</v>
      </c>
      <c r="V1864" s="573">
        <v>28</v>
      </c>
      <c r="W1864" s="616">
        <v>6900</v>
      </c>
      <c r="X1864" s="617" t="s">
        <v>6563</v>
      </c>
      <c r="Y1864" s="617" t="s">
        <v>178</v>
      </c>
      <c r="Z1864" s="617" t="s">
        <v>178</v>
      </c>
      <c r="AA1864" s="618">
        <v>34395</v>
      </c>
      <c r="AB1864" s="618" t="s">
        <v>164</v>
      </c>
      <c r="AC1864" s="618">
        <v>25037.157894736843</v>
      </c>
      <c r="AD1864" s="619">
        <v>0.05</v>
      </c>
      <c r="AE1864" s="617" t="s">
        <v>3586</v>
      </c>
    </row>
    <row r="1865" spans="1:31" s="572" customFormat="1">
      <c r="A1865" s="570" t="s">
        <v>3588</v>
      </c>
      <c r="B1865" s="569" t="s">
        <v>150</v>
      </c>
      <c r="C1865" s="580">
        <v>13</v>
      </c>
      <c r="D1865" s="569" t="s">
        <v>3374</v>
      </c>
      <c r="E1865" s="569" t="s">
        <v>152</v>
      </c>
      <c r="F1865" s="569" t="s">
        <v>153</v>
      </c>
      <c r="G1865" s="569">
        <v>2019</v>
      </c>
      <c r="H1865" s="569" t="s">
        <v>3464</v>
      </c>
      <c r="I1865" s="569" t="s">
        <v>3580</v>
      </c>
      <c r="J1865" s="569" t="s">
        <v>752</v>
      </c>
      <c r="K1865" s="569">
        <v>3</v>
      </c>
      <c r="L1865" s="569">
        <v>0</v>
      </c>
      <c r="M1865" s="569" t="s">
        <v>157</v>
      </c>
      <c r="N1865" s="569">
        <v>1</v>
      </c>
      <c r="O1865" s="569" t="s">
        <v>3508</v>
      </c>
      <c r="P1865" s="568">
        <v>12800</v>
      </c>
      <c r="Q1865" s="569" t="s">
        <v>1526</v>
      </c>
      <c r="R1865" s="569">
        <v>6</v>
      </c>
      <c r="S1865" s="569" t="s">
        <v>3587</v>
      </c>
      <c r="T1865" s="569" t="s">
        <v>1522</v>
      </c>
      <c r="U1865" s="569">
        <v>133</v>
      </c>
      <c r="V1865" s="569">
        <v>34</v>
      </c>
      <c r="W1865" s="620">
        <v>6900</v>
      </c>
      <c r="X1865" s="621">
        <v>19</v>
      </c>
      <c r="Y1865" s="621" t="s">
        <v>450</v>
      </c>
      <c r="Z1865" s="621" t="s">
        <v>178</v>
      </c>
      <c r="AA1865" s="622">
        <v>34395</v>
      </c>
      <c r="AB1865" s="622" t="s">
        <v>164</v>
      </c>
      <c r="AC1865" s="622">
        <v>27880</v>
      </c>
      <c r="AD1865" s="623">
        <v>0.03</v>
      </c>
      <c r="AE1865" s="621" t="s">
        <v>3589</v>
      </c>
    </row>
    <row r="1866" spans="1:31" s="572" customFormat="1">
      <c r="A1866" s="570" t="s">
        <v>3590</v>
      </c>
      <c r="B1866" s="573" t="s">
        <v>166</v>
      </c>
      <c r="C1866" s="578">
        <v>17</v>
      </c>
      <c r="D1866" s="573" t="s">
        <v>3374</v>
      </c>
      <c r="E1866" s="573" t="s">
        <v>152</v>
      </c>
      <c r="F1866" s="573" t="s">
        <v>153</v>
      </c>
      <c r="G1866" s="573">
        <v>2019</v>
      </c>
      <c r="H1866" s="573" t="s">
        <v>3464</v>
      </c>
      <c r="I1866" s="573" t="s">
        <v>3580</v>
      </c>
      <c r="J1866" s="573" t="s">
        <v>752</v>
      </c>
      <c r="K1866" s="573">
        <v>3</v>
      </c>
      <c r="L1866" s="573">
        <v>0</v>
      </c>
      <c r="M1866" s="573" t="s">
        <v>157</v>
      </c>
      <c r="N1866" s="573">
        <v>1</v>
      </c>
      <c r="O1866" s="573" t="s">
        <v>3508</v>
      </c>
      <c r="P1866" s="571">
        <v>12800</v>
      </c>
      <c r="Q1866" s="573" t="s">
        <v>1526</v>
      </c>
      <c r="R1866" s="573">
        <v>6</v>
      </c>
      <c r="S1866" s="582" t="s">
        <v>3591</v>
      </c>
      <c r="T1866" s="573" t="s">
        <v>1522</v>
      </c>
      <c r="U1866" s="573">
        <v>133</v>
      </c>
      <c r="V1866" s="573">
        <v>34</v>
      </c>
      <c r="W1866" s="616">
        <v>6900</v>
      </c>
      <c r="X1866" s="617">
        <v>19</v>
      </c>
      <c r="Y1866" s="617" t="s">
        <v>450</v>
      </c>
      <c r="Z1866" s="617" t="s">
        <v>178</v>
      </c>
      <c r="AA1866" s="618">
        <v>34395</v>
      </c>
      <c r="AB1866" s="618" t="s">
        <v>164</v>
      </c>
      <c r="AC1866" s="618">
        <v>26225</v>
      </c>
      <c r="AD1866" s="619">
        <v>7.1999999999999995E-2</v>
      </c>
      <c r="AE1866" s="617" t="s">
        <v>3589</v>
      </c>
    </row>
    <row r="1867" spans="1:31" s="572" customFormat="1">
      <c r="A1867" s="570" t="s">
        <v>3592</v>
      </c>
      <c r="B1867" s="569" t="s">
        <v>169</v>
      </c>
      <c r="C1867" s="580">
        <v>11</v>
      </c>
      <c r="D1867" s="569" t="s">
        <v>3374</v>
      </c>
      <c r="E1867" s="569" t="s">
        <v>196</v>
      </c>
      <c r="F1867" s="569" t="s">
        <v>153</v>
      </c>
      <c r="G1867" s="569">
        <v>2019</v>
      </c>
      <c r="H1867" s="569" t="s">
        <v>3594</v>
      </c>
      <c r="I1867" s="569" t="s">
        <v>3384</v>
      </c>
      <c r="J1867" s="569" t="s">
        <v>3377</v>
      </c>
      <c r="K1867" s="569">
        <v>6</v>
      </c>
      <c r="L1867" s="569">
        <v>0</v>
      </c>
      <c r="M1867" s="569" t="s">
        <v>157</v>
      </c>
      <c r="N1867" s="569">
        <v>2</v>
      </c>
      <c r="O1867" s="569" t="s">
        <v>3471</v>
      </c>
      <c r="P1867" s="568">
        <v>13000</v>
      </c>
      <c r="Q1867" s="569" t="s">
        <v>798</v>
      </c>
      <c r="R1867" s="569">
        <v>8</v>
      </c>
      <c r="S1867" s="569" t="s">
        <v>3595</v>
      </c>
      <c r="T1867" s="569" t="s">
        <v>213</v>
      </c>
      <c r="U1867" s="569">
        <v>153.69999999999999</v>
      </c>
      <c r="V1867" s="569">
        <v>36</v>
      </c>
      <c r="W1867" s="620">
        <v>9500</v>
      </c>
      <c r="X1867" s="621">
        <v>15</v>
      </c>
      <c r="Y1867" s="621" t="s">
        <v>450</v>
      </c>
      <c r="Z1867" s="621" t="s">
        <v>178</v>
      </c>
      <c r="AA1867" s="622">
        <v>44995</v>
      </c>
      <c r="AB1867" s="622" t="s">
        <v>164</v>
      </c>
      <c r="AC1867" s="622">
        <v>34228.723404255325</v>
      </c>
      <c r="AD1867" s="623">
        <v>0.05</v>
      </c>
      <c r="AE1867" s="621" t="s">
        <v>3593</v>
      </c>
    </row>
    <row r="1868" spans="1:31" s="572" customFormat="1">
      <c r="A1868" s="570" t="s">
        <v>3596</v>
      </c>
      <c r="B1868" s="573" t="s">
        <v>169</v>
      </c>
      <c r="C1868" s="578">
        <v>11</v>
      </c>
      <c r="D1868" s="573" t="s">
        <v>3374</v>
      </c>
      <c r="E1868" s="573" t="s">
        <v>196</v>
      </c>
      <c r="F1868" s="573" t="s">
        <v>153</v>
      </c>
      <c r="G1868" s="573">
        <v>2019</v>
      </c>
      <c r="H1868" s="573" t="s">
        <v>3594</v>
      </c>
      <c r="I1868" s="573" t="s">
        <v>3384</v>
      </c>
      <c r="J1868" s="573" t="s">
        <v>3377</v>
      </c>
      <c r="K1868" s="573">
        <v>6</v>
      </c>
      <c r="L1868" s="573">
        <v>0</v>
      </c>
      <c r="M1868" s="573" t="s">
        <v>157</v>
      </c>
      <c r="N1868" s="573">
        <v>2</v>
      </c>
      <c r="O1868" s="573" t="s">
        <v>3508</v>
      </c>
      <c r="P1868" s="571">
        <v>13000</v>
      </c>
      <c r="Q1868" s="573" t="s">
        <v>798</v>
      </c>
      <c r="R1868" s="573">
        <v>8</v>
      </c>
      <c r="S1868" s="582" t="s">
        <v>3598</v>
      </c>
      <c r="T1868" s="573" t="s">
        <v>213</v>
      </c>
      <c r="U1868" s="573">
        <v>167.7</v>
      </c>
      <c r="V1868" s="573">
        <v>36</v>
      </c>
      <c r="W1868" s="616">
        <v>9500</v>
      </c>
      <c r="X1868" s="617">
        <v>15</v>
      </c>
      <c r="Y1868" s="617" t="s">
        <v>450</v>
      </c>
      <c r="Z1868" s="617" t="s">
        <v>178</v>
      </c>
      <c r="AA1868" s="618">
        <v>45195</v>
      </c>
      <c r="AB1868" s="618" t="s">
        <v>164</v>
      </c>
      <c r="AC1868" s="618">
        <v>34420.638297872341</v>
      </c>
      <c r="AD1868" s="619">
        <v>0.05</v>
      </c>
      <c r="AE1868" s="617" t="s">
        <v>3597</v>
      </c>
    </row>
    <row r="1869" spans="1:31" s="572" customFormat="1">
      <c r="A1869" s="570" t="s">
        <v>3599</v>
      </c>
      <c r="B1869" s="569" t="s">
        <v>150</v>
      </c>
      <c r="C1869" s="580">
        <v>13</v>
      </c>
      <c r="D1869" s="569" t="s">
        <v>3374</v>
      </c>
      <c r="E1869" s="569" t="s">
        <v>196</v>
      </c>
      <c r="F1869" s="569" t="s">
        <v>153</v>
      </c>
      <c r="G1869" s="569">
        <v>2019</v>
      </c>
      <c r="H1869" s="569" t="s">
        <v>3594</v>
      </c>
      <c r="I1869" s="569" t="s">
        <v>3384</v>
      </c>
      <c r="J1869" s="569" t="s">
        <v>3377</v>
      </c>
      <c r="K1869" s="569">
        <v>6</v>
      </c>
      <c r="L1869" s="569">
        <v>0</v>
      </c>
      <c r="M1869" s="569" t="s">
        <v>157</v>
      </c>
      <c r="N1869" s="569">
        <v>2</v>
      </c>
      <c r="O1869" s="569" t="s">
        <v>3471</v>
      </c>
      <c r="P1869" s="568">
        <v>13000</v>
      </c>
      <c r="Q1869" s="569" t="s">
        <v>798</v>
      </c>
      <c r="R1869" s="569">
        <v>8</v>
      </c>
      <c r="S1869" s="569" t="s">
        <v>3595</v>
      </c>
      <c r="T1869" s="569" t="s">
        <v>213</v>
      </c>
      <c r="U1869" s="569">
        <v>153.69999999999999</v>
      </c>
      <c r="V1869" s="569">
        <v>36</v>
      </c>
      <c r="W1869" s="620">
        <v>9500</v>
      </c>
      <c r="X1869" s="621">
        <v>15</v>
      </c>
      <c r="Y1869" s="621" t="s">
        <v>450</v>
      </c>
      <c r="Z1869" s="621" t="s">
        <v>178</v>
      </c>
      <c r="AA1869" s="622">
        <v>44995</v>
      </c>
      <c r="AB1869" s="622" t="s">
        <v>164</v>
      </c>
      <c r="AC1869" s="622">
        <v>36147</v>
      </c>
      <c r="AD1869" s="623">
        <v>0.03</v>
      </c>
      <c r="AE1869" s="621" t="s">
        <v>3593</v>
      </c>
    </row>
    <row r="1870" spans="1:31" s="572" customFormat="1">
      <c r="A1870" s="570" t="s">
        <v>3600</v>
      </c>
      <c r="B1870" s="573" t="s">
        <v>150</v>
      </c>
      <c r="C1870" s="578">
        <v>13</v>
      </c>
      <c r="D1870" s="573" t="s">
        <v>3374</v>
      </c>
      <c r="E1870" s="573" t="s">
        <v>196</v>
      </c>
      <c r="F1870" s="573" t="s">
        <v>153</v>
      </c>
      <c r="G1870" s="573">
        <v>2019</v>
      </c>
      <c r="H1870" s="573" t="s">
        <v>3594</v>
      </c>
      <c r="I1870" s="573" t="s">
        <v>3384</v>
      </c>
      <c r="J1870" s="573" t="s">
        <v>3377</v>
      </c>
      <c r="K1870" s="573">
        <v>6</v>
      </c>
      <c r="L1870" s="573">
        <v>0</v>
      </c>
      <c r="M1870" s="573" t="s">
        <v>157</v>
      </c>
      <c r="N1870" s="573">
        <v>2</v>
      </c>
      <c r="O1870" s="573" t="s">
        <v>3508</v>
      </c>
      <c r="P1870" s="571">
        <v>13000</v>
      </c>
      <c r="Q1870" s="573" t="s">
        <v>798</v>
      </c>
      <c r="R1870" s="573">
        <v>8</v>
      </c>
      <c r="S1870" s="582" t="s">
        <v>3598</v>
      </c>
      <c r="T1870" s="573" t="s">
        <v>213</v>
      </c>
      <c r="U1870" s="573">
        <v>167.7</v>
      </c>
      <c r="V1870" s="573">
        <v>36</v>
      </c>
      <c r="W1870" s="616">
        <v>9500</v>
      </c>
      <c r="X1870" s="617">
        <v>15</v>
      </c>
      <c r="Y1870" s="617" t="s">
        <v>450</v>
      </c>
      <c r="Z1870" s="617" t="s">
        <v>178</v>
      </c>
      <c r="AA1870" s="618">
        <v>45195</v>
      </c>
      <c r="AB1870" s="618" t="s">
        <v>164</v>
      </c>
      <c r="AC1870" s="618">
        <v>36322</v>
      </c>
      <c r="AD1870" s="619">
        <v>0.03</v>
      </c>
      <c r="AE1870" s="617" t="s">
        <v>3597</v>
      </c>
    </row>
    <row r="1871" spans="1:31" s="572" customFormat="1">
      <c r="A1871" s="570" t="s">
        <v>3601</v>
      </c>
      <c r="B1871" s="569" t="s">
        <v>166</v>
      </c>
      <c r="C1871" s="580">
        <v>17</v>
      </c>
      <c r="D1871" s="569" t="s">
        <v>3374</v>
      </c>
      <c r="E1871" s="569" t="s">
        <v>196</v>
      </c>
      <c r="F1871" s="569" t="s">
        <v>153</v>
      </c>
      <c r="G1871" s="569">
        <v>2019</v>
      </c>
      <c r="H1871" s="569" t="s">
        <v>3594</v>
      </c>
      <c r="I1871" s="569" t="s">
        <v>3384</v>
      </c>
      <c r="J1871" s="569" t="s">
        <v>3377</v>
      </c>
      <c r="K1871" s="569">
        <v>6</v>
      </c>
      <c r="L1871" s="569">
        <v>0</v>
      </c>
      <c r="M1871" s="569" t="s">
        <v>157</v>
      </c>
      <c r="N1871" s="569">
        <v>2</v>
      </c>
      <c r="O1871" s="569" t="s">
        <v>3471</v>
      </c>
      <c r="P1871" s="568">
        <v>13000</v>
      </c>
      <c r="Q1871" s="569" t="s">
        <v>798</v>
      </c>
      <c r="R1871" s="569">
        <v>8</v>
      </c>
      <c r="S1871" s="569" t="s">
        <v>3595</v>
      </c>
      <c r="T1871" s="569" t="s">
        <v>213</v>
      </c>
      <c r="U1871" s="569">
        <v>153.69999999999999</v>
      </c>
      <c r="V1871" s="569">
        <v>36</v>
      </c>
      <c r="W1871" s="620">
        <v>9500</v>
      </c>
      <c r="X1871" s="621">
        <v>15</v>
      </c>
      <c r="Y1871" s="621" t="s">
        <v>450</v>
      </c>
      <c r="Z1871" s="621" t="s">
        <v>178</v>
      </c>
      <c r="AA1871" s="622">
        <v>44995</v>
      </c>
      <c r="AB1871" s="622" t="s">
        <v>164</v>
      </c>
      <c r="AC1871" s="622">
        <v>33788</v>
      </c>
      <c r="AD1871" s="623">
        <v>7.1999999999999995E-2</v>
      </c>
      <c r="AE1871" s="621" t="s">
        <v>3593</v>
      </c>
    </row>
    <row r="1872" spans="1:31" s="572" customFormat="1">
      <c r="A1872" s="570" t="s">
        <v>3602</v>
      </c>
      <c r="B1872" s="573" t="s">
        <v>166</v>
      </c>
      <c r="C1872" s="578">
        <v>17</v>
      </c>
      <c r="D1872" s="573" t="s">
        <v>3374</v>
      </c>
      <c r="E1872" s="573" t="s">
        <v>196</v>
      </c>
      <c r="F1872" s="573" t="s">
        <v>153</v>
      </c>
      <c r="G1872" s="573">
        <v>2019</v>
      </c>
      <c r="H1872" s="573" t="s">
        <v>3594</v>
      </c>
      <c r="I1872" s="573" t="s">
        <v>3384</v>
      </c>
      <c r="J1872" s="573" t="s">
        <v>3377</v>
      </c>
      <c r="K1872" s="573">
        <v>6</v>
      </c>
      <c r="L1872" s="573">
        <v>0</v>
      </c>
      <c r="M1872" s="573" t="s">
        <v>157</v>
      </c>
      <c r="N1872" s="573">
        <v>2</v>
      </c>
      <c r="O1872" s="573" t="s">
        <v>3508</v>
      </c>
      <c r="P1872" s="571">
        <v>13000</v>
      </c>
      <c r="Q1872" s="573" t="s">
        <v>798</v>
      </c>
      <c r="R1872" s="573">
        <v>8</v>
      </c>
      <c r="S1872" s="582" t="s">
        <v>3598</v>
      </c>
      <c r="T1872" s="573" t="s">
        <v>213</v>
      </c>
      <c r="U1872" s="573">
        <v>167.7</v>
      </c>
      <c r="V1872" s="573">
        <v>36</v>
      </c>
      <c r="W1872" s="616">
        <v>9500</v>
      </c>
      <c r="X1872" s="617">
        <v>15</v>
      </c>
      <c r="Y1872" s="617" t="s">
        <v>450</v>
      </c>
      <c r="Z1872" s="617" t="s">
        <v>178</v>
      </c>
      <c r="AA1872" s="618">
        <v>45195</v>
      </c>
      <c r="AB1872" s="618" t="s">
        <v>164</v>
      </c>
      <c r="AC1872" s="618">
        <v>34885</v>
      </c>
      <c r="AD1872" s="619">
        <v>7.1999999999999995E-2</v>
      </c>
      <c r="AE1872" s="617" t="s">
        <v>3597</v>
      </c>
    </row>
    <row r="1873" spans="1:31" s="572" customFormat="1">
      <c r="A1873" s="570" t="s">
        <v>3603</v>
      </c>
      <c r="B1873" s="569" t="s">
        <v>169</v>
      </c>
      <c r="C1873" s="580">
        <v>11</v>
      </c>
      <c r="D1873" s="569" t="s">
        <v>3374</v>
      </c>
      <c r="E1873" s="569" t="s">
        <v>196</v>
      </c>
      <c r="F1873" s="569" t="s">
        <v>153</v>
      </c>
      <c r="G1873" s="569">
        <v>2019</v>
      </c>
      <c r="H1873" s="569" t="s">
        <v>3594</v>
      </c>
      <c r="I1873" s="569" t="s">
        <v>3384</v>
      </c>
      <c r="J1873" s="569" t="s">
        <v>752</v>
      </c>
      <c r="K1873" s="569">
        <v>6</v>
      </c>
      <c r="L1873" s="569">
        <v>0</v>
      </c>
      <c r="M1873" s="569" t="s">
        <v>157</v>
      </c>
      <c r="N1873" s="569">
        <v>2</v>
      </c>
      <c r="O1873" s="569" t="s">
        <v>3471</v>
      </c>
      <c r="P1873" s="568">
        <v>13000</v>
      </c>
      <c r="Q1873" s="569" t="s">
        <v>798</v>
      </c>
      <c r="R1873" s="569">
        <v>8</v>
      </c>
      <c r="S1873" s="569" t="s">
        <v>3605</v>
      </c>
      <c r="T1873" s="569" t="s">
        <v>213</v>
      </c>
      <c r="U1873" s="569">
        <v>153.69999999999999</v>
      </c>
      <c r="V1873" s="569">
        <v>36</v>
      </c>
      <c r="W1873" s="620">
        <v>9900</v>
      </c>
      <c r="X1873" s="621">
        <v>14</v>
      </c>
      <c r="Y1873" s="621" t="s">
        <v>450</v>
      </c>
      <c r="Z1873" s="621" t="s">
        <v>178</v>
      </c>
      <c r="AA1873" s="622">
        <v>48295</v>
      </c>
      <c r="AB1873" s="622" t="s">
        <v>164</v>
      </c>
      <c r="AC1873" s="622">
        <v>36757.021276595748</v>
      </c>
      <c r="AD1873" s="623">
        <v>0.05</v>
      </c>
      <c r="AE1873" s="621" t="s">
        <v>3604</v>
      </c>
    </row>
    <row r="1874" spans="1:31" s="572" customFormat="1">
      <c r="A1874" s="570" t="s">
        <v>3606</v>
      </c>
      <c r="B1874" s="573" t="s">
        <v>169</v>
      </c>
      <c r="C1874" s="578">
        <v>11</v>
      </c>
      <c r="D1874" s="573" t="s">
        <v>3374</v>
      </c>
      <c r="E1874" s="573" t="s">
        <v>196</v>
      </c>
      <c r="F1874" s="573" t="s">
        <v>153</v>
      </c>
      <c r="G1874" s="573">
        <v>2019</v>
      </c>
      <c r="H1874" s="573" t="s">
        <v>3594</v>
      </c>
      <c r="I1874" s="573" t="s">
        <v>3384</v>
      </c>
      <c r="J1874" s="573" t="s">
        <v>752</v>
      </c>
      <c r="K1874" s="573">
        <v>6</v>
      </c>
      <c r="L1874" s="573">
        <v>0</v>
      </c>
      <c r="M1874" s="573" t="s">
        <v>157</v>
      </c>
      <c r="N1874" s="573">
        <v>2</v>
      </c>
      <c r="O1874" s="573" t="s">
        <v>3508</v>
      </c>
      <c r="P1874" s="571">
        <v>13000</v>
      </c>
      <c r="Q1874" s="573" t="s">
        <v>798</v>
      </c>
      <c r="R1874" s="573">
        <v>8</v>
      </c>
      <c r="S1874" s="582" t="s">
        <v>3608</v>
      </c>
      <c r="T1874" s="573" t="s">
        <v>213</v>
      </c>
      <c r="U1874" s="573">
        <v>167.7</v>
      </c>
      <c r="V1874" s="573">
        <v>36</v>
      </c>
      <c r="W1874" s="616">
        <v>9900</v>
      </c>
      <c r="X1874" s="617">
        <v>14</v>
      </c>
      <c r="Y1874" s="617" t="s">
        <v>450</v>
      </c>
      <c r="Z1874" s="617" t="s">
        <v>178</v>
      </c>
      <c r="AA1874" s="618">
        <v>48495</v>
      </c>
      <c r="AB1874" s="618" t="s">
        <v>164</v>
      </c>
      <c r="AC1874" s="618">
        <v>36948.936170212772</v>
      </c>
      <c r="AD1874" s="619">
        <v>0.05</v>
      </c>
      <c r="AE1874" s="617" t="s">
        <v>3607</v>
      </c>
    </row>
    <row r="1875" spans="1:31" s="572" customFormat="1">
      <c r="A1875" s="570" t="s">
        <v>3609</v>
      </c>
      <c r="B1875" s="569" t="s">
        <v>150</v>
      </c>
      <c r="C1875" s="580">
        <v>13</v>
      </c>
      <c r="D1875" s="569" t="s">
        <v>3374</v>
      </c>
      <c r="E1875" s="569" t="s">
        <v>196</v>
      </c>
      <c r="F1875" s="569" t="s">
        <v>153</v>
      </c>
      <c r="G1875" s="569">
        <v>2019</v>
      </c>
      <c r="H1875" s="569" t="s">
        <v>3594</v>
      </c>
      <c r="I1875" s="569" t="s">
        <v>3384</v>
      </c>
      <c r="J1875" s="569" t="s">
        <v>752</v>
      </c>
      <c r="K1875" s="569">
        <v>6</v>
      </c>
      <c r="L1875" s="569">
        <v>0</v>
      </c>
      <c r="M1875" s="569" t="s">
        <v>157</v>
      </c>
      <c r="N1875" s="569">
        <v>2</v>
      </c>
      <c r="O1875" s="569" t="s">
        <v>3471</v>
      </c>
      <c r="P1875" s="568">
        <v>13000</v>
      </c>
      <c r="Q1875" s="569" t="s">
        <v>798</v>
      </c>
      <c r="R1875" s="569">
        <v>8</v>
      </c>
      <c r="S1875" s="569" t="s">
        <v>3605</v>
      </c>
      <c r="T1875" s="569" t="s">
        <v>213</v>
      </c>
      <c r="U1875" s="569">
        <v>153.69999999999999</v>
      </c>
      <c r="V1875" s="569">
        <v>36</v>
      </c>
      <c r="W1875" s="620">
        <v>9900</v>
      </c>
      <c r="X1875" s="621">
        <v>14</v>
      </c>
      <c r="Y1875" s="621" t="s">
        <v>450</v>
      </c>
      <c r="Z1875" s="621" t="s">
        <v>178</v>
      </c>
      <c r="AA1875" s="622">
        <v>48295</v>
      </c>
      <c r="AB1875" s="622" t="s">
        <v>164</v>
      </c>
      <c r="AC1875" s="622">
        <v>38612</v>
      </c>
      <c r="AD1875" s="623">
        <v>0.03</v>
      </c>
      <c r="AE1875" s="621" t="s">
        <v>3604</v>
      </c>
    </row>
    <row r="1876" spans="1:31" s="572" customFormat="1">
      <c r="A1876" s="570" t="s">
        <v>3610</v>
      </c>
      <c r="B1876" s="573" t="s">
        <v>150</v>
      </c>
      <c r="C1876" s="578">
        <v>13</v>
      </c>
      <c r="D1876" s="573" t="s">
        <v>3374</v>
      </c>
      <c r="E1876" s="573" t="s">
        <v>196</v>
      </c>
      <c r="F1876" s="573" t="s">
        <v>153</v>
      </c>
      <c r="G1876" s="573">
        <v>2019</v>
      </c>
      <c r="H1876" s="573" t="s">
        <v>3594</v>
      </c>
      <c r="I1876" s="573" t="s">
        <v>3384</v>
      </c>
      <c r="J1876" s="573" t="s">
        <v>752</v>
      </c>
      <c r="K1876" s="573">
        <v>6</v>
      </c>
      <c r="L1876" s="573">
        <v>0</v>
      </c>
      <c r="M1876" s="573" t="s">
        <v>157</v>
      </c>
      <c r="N1876" s="573">
        <v>2</v>
      </c>
      <c r="O1876" s="573" t="s">
        <v>3508</v>
      </c>
      <c r="P1876" s="571">
        <v>13000</v>
      </c>
      <c r="Q1876" s="573" t="s">
        <v>798</v>
      </c>
      <c r="R1876" s="573">
        <v>8</v>
      </c>
      <c r="S1876" s="582" t="s">
        <v>3608</v>
      </c>
      <c r="T1876" s="573" t="s">
        <v>213</v>
      </c>
      <c r="U1876" s="573">
        <v>167.7</v>
      </c>
      <c r="V1876" s="573">
        <v>36</v>
      </c>
      <c r="W1876" s="616">
        <v>9900</v>
      </c>
      <c r="X1876" s="617">
        <v>14</v>
      </c>
      <c r="Y1876" s="617" t="s">
        <v>450</v>
      </c>
      <c r="Z1876" s="617" t="s">
        <v>178</v>
      </c>
      <c r="AA1876" s="618">
        <v>48495</v>
      </c>
      <c r="AB1876" s="618" t="s">
        <v>164</v>
      </c>
      <c r="AC1876" s="618">
        <v>38688</v>
      </c>
      <c r="AD1876" s="619">
        <v>0.03</v>
      </c>
      <c r="AE1876" s="617" t="s">
        <v>3607</v>
      </c>
    </row>
    <row r="1877" spans="1:31" s="572" customFormat="1">
      <c r="A1877" s="570" t="s">
        <v>3611</v>
      </c>
      <c r="B1877" s="569" t="s">
        <v>166</v>
      </c>
      <c r="C1877" s="580">
        <v>17</v>
      </c>
      <c r="D1877" s="569" t="s">
        <v>3374</v>
      </c>
      <c r="E1877" s="569" t="s">
        <v>196</v>
      </c>
      <c r="F1877" s="569" t="s">
        <v>153</v>
      </c>
      <c r="G1877" s="569">
        <v>2019</v>
      </c>
      <c r="H1877" s="569" t="s">
        <v>3594</v>
      </c>
      <c r="I1877" s="569" t="s">
        <v>3384</v>
      </c>
      <c r="J1877" s="569" t="s">
        <v>752</v>
      </c>
      <c r="K1877" s="569">
        <v>6</v>
      </c>
      <c r="L1877" s="569">
        <v>0</v>
      </c>
      <c r="M1877" s="569" t="s">
        <v>157</v>
      </c>
      <c r="N1877" s="569">
        <v>2</v>
      </c>
      <c r="O1877" s="569" t="s">
        <v>3471</v>
      </c>
      <c r="P1877" s="568">
        <v>13000</v>
      </c>
      <c r="Q1877" s="569" t="s">
        <v>798</v>
      </c>
      <c r="R1877" s="569">
        <v>8</v>
      </c>
      <c r="S1877" s="569" t="s">
        <v>3605</v>
      </c>
      <c r="T1877" s="569" t="s">
        <v>213</v>
      </c>
      <c r="U1877" s="569">
        <v>153.69999999999999</v>
      </c>
      <c r="V1877" s="569">
        <v>36</v>
      </c>
      <c r="W1877" s="620">
        <v>9900</v>
      </c>
      <c r="X1877" s="621">
        <v>14</v>
      </c>
      <c r="Y1877" s="621" t="s">
        <v>450</v>
      </c>
      <c r="Z1877" s="621" t="s">
        <v>178</v>
      </c>
      <c r="AA1877" s="622">
        <v>48295</v>
      </c>
      <c r="AB1877" s="622" t="s">
        <v>164</v>
      </c>
      <c r="AC1877" s="622">
        <v>38890</v>
      </c>
      <c r="AD1877" s="623">
        <v>7.1999999999999995E-2</v>
      </c>
      <c r="AE1877" s="621" t="s">
        <v>3604</v>
      </c>
    </row>
    <row r="1878" spans="1:31" s="572" customFormat="1">
      <c r="A1878" s="570" t="s">
        <v>3612</v>
      </c>
      <c r="B1878" s="573" t="s">
        <v>166</v>
      </c>
      <c r="C1878" s="578">
        <v>17</v>
      </c>
      <c r="D1878" s="573" t="s">
        <v>3374</v>
      </c>
      <c r="E1878" s="573" t="s">
        <v>196</v>
      </c>
      <c r="F1878" s="573" t="s">
        <v>153</v>
      </c>
      <c r="G1878" s="573">
        <v>2019</v>
      </c>
      <c r="H1878" s="573" t="s">
        <v>3594</v>
      </c>
      <c r="I1878" s="573" t="s">
        <v>3384</v>
      </c>
      <c r="J1878" s="573" t="s">
        <v>752</v>
      </c>
      <c r="K1878" s="573">
        <v>6</v>
      </c>
      <c r="L1878" s="573">
        <v>0</v>
      </c>
      <c r="M1878" s="573" t="s">
        <v>157</v>
      </c>
      <c r="N1878" s="573">
        <v>2</v>
      </c>
      <c r="O1878" s="573" t="s">
        <v>3508</v>
      </c>
      <c r="P1878" s="571">
        <v>13000</v>
      </c>
      <c r="Q1878" s="573" t="s">
        <v>798</v>
      </c>
      <c r="R1878" s="573">
        <v>8</v>
      </c>
      <c r="S1878" s="582" t="s">
        <v>3608</v>
      </c>
      <c r="T1878" s="573" t="s">
        <v>213</v>
      </c>
      <c r="U1878" s="573">
        <v>167.7</v>
      </c>
      <c r="V1878" s="573">
        <v>36</v>
      </c>
      <c r="W1878" s="616">
        <v>9900</v>
      </c>
      <c r="X1878" s="617">
        <v>14</v>
      </c>
      <c r="Y1878" s="617" t="s">
        <v>450</v>
      </c>
      <c r="Z1878" s="617" t="s">
        <v>178</v>
      </c>
      <c r="AA1878" s="618">
        <v>48495</v>
      </c>
      <c r="AB1878" s="618" t="s">
        <v>164</v>
      </c>
      <c r="AC1878" s="618">
        <v>32555</v>
      </c>
      <c r="AD1878" s="619">
        <v>7.1999999999999995E-2</v>
      </c>
      <c r="AE1878" s="617" t="s">
        <v>3607</v>
      </c>
    </row>
    <row r="1879" spans="1:31" s="572" customFormat="1">
      <c r="A1879" s="570" t="s">
        <v>3613</v>
      </c>
      <c r="B1879" s="569" t="s">
        <v>169</v>
      </c>
      <c r="C1879" s="580">
        <v>11</v>
      </c>
      <c r="D1879" s="569" t="s">
        <v>3374</v>
      </c>
      <c r="E1879" s="569" t="s">
        <v>196</v>
      </c>
      <c r="F1879" s="569" t="s">
        <v>153</v>
      </c>
      <c r="G1879" s="569">
        <v>2019</v>
      </c>
      <c r="H1879" s="569" t="s">
        <v>3594</v>
      </c>
      <c r="I1879" s="569" t="s">
        <v>3536</v>
      </c>
      <c r="J1879" s="569" t="s">
        <v>3377</v>
      </c>
      <c r="K1879" s="569">
        <v>6</v>
      </c>
      <c r="L1879" s="569">
        <v>0</v>
      </c>
      <c r="M1879" s="569" t="s">
        <v>157</v>
      </c>
      <c r="N1879" s="569">
        <v>2</v>
      </c>
      <c r="O1879" s="569" t="s">
        <v>3508</v>
      </c>
      <c r="P1879" s="568">
        <v>13000</v>
      </c>
      <c r="Q1879" s="569" t="s">
        <v>798</v>
      </c>
      <c r="R1879" s="569">
        <v>8</v>
      </c>
      <c r="S1879" s="569" t="s">
        <v>3615</v>
      </c>
      <c r="T1879" s="569" t="s">
        <v>213</v>
      </c>
      <c r="U1879" s="569">
        <v>158.1</v>
      </c>
      <c r="V1879" s="569">
        <v>36</v>
      </c>
      <c r="W1879" s="620">
        <v>9500</v>
      </c>
      <c r="X1879" s="621">
        <v>15</v>
      </c>
      <c r="Y1879" s="621" t="s">
        <v>450</v>
      </c>
      <c r="Z1879" s="621" t="s">
        <v>178</v>
      </c>
      <c r="AA1879" s="622">
        <v>43895</v>
      </c>
      <c r="AB1879" s="622" t="s">
        <v>164</v>
      </c>
      <c r="AC1879" s="622">
        <v>31364.680851063833</v>
      </c>
      <c r="AD1879" s="623">
        <v>0.05</v>
      </c>
      <c r="AE1879" s="621" t="s">
        <v>3614</v>
      </c>
    </row>
    <row r="1880" spans="1:31" s="572" customFormat="1">
      <c r="A1880" s="570" t="s">
        <v>3616</v>
      </c>
      <c r="B1880" s="573" t="s">
        <v>150</v>
      </c>
      <c r="C1880" s="578">
        <v>13</v>
      </c>
      <c r="D1880" s="573" t="s">
        <v>3374</v>
      </c>
      <c r="E1880" s="573" t="s">
        <v>196</v>
      </c>
      <c r="F1880" s="573" t="s">
        <v>153</v>
      </c>
      <c r="G1880" s="573">
        <v>2019</v>
      </c>
      <c r="H1880" s="573" t="s">
        <v>3594</v>
      </c>
      <c r="I1880" s="573" t="s">
        <v>3536</v>
      </c>
      <c r="J1880" s="573" t="s">
        <v>3377</v>
      </c>
      <c r="K1880" s="573">
        <v>6</v>
      </c>
      <c r="L1880" s="573">
        <v>0</v>
      </c>
      <c r="M1880" s="573" t="s">
        <v>157</v>
      </c>
      <c r="N1880" s="573">
        <v>2</v>
      </c>
      <c r="O1880" s="573" t="s">
        <v>3508</v>
      </c>
      <c r="P1880" s="571">
        <v>13000</v>
      </c>
      <c r="Q1880" s="573" t="s">
        <v>798</v>
      </c>
      <c r="R1880" s="573">
        <v>8</v>
      </c>
      <c r="S1880" s="582" t="s">
        <v>3615</v>
      </c>
      <c r="T1880" s="573" t="s">
        <v>213</v>
      </c>
      <c r="U1880" s="573">
        <v>158.1</v>
      </c>
      <c r="V1880" s="573">
        <v>36</v>
      </c>
      <c r="W1880" s="616">
        <v>9500</v>
      </c>
      <c r="X1880" s="617">
        <v>15</v>
      </c>
      <c r="Y1880" s="617" t="s">
        <v>450</v>
      </c>
      <c r="Z1880" s="617" t="s">
        <v>178</v>
      </c>
      <c r="AA1880" s="618">
        <v>43895</v>
      </c>
      <c r="AB1880" s="618" t="s">
        <v>164</v>
      </c>
      <c r="AC1880" s="618">
        <v>34760</v>
      </c>
      <c r="AD1880" s="619">
        <v>0.03</v>
      </c>
      <c r="AE1880" s="617" t="s">
        <v>3614</v>
      </c>
    </row>
    <row r="1881" spans="1:31" s="572" customFormat="1">
      <c r="A1881" s="570" t="s">
        <v>3617</v>
      </c>
      <c r="B1881" s="569" t="s">
        <v>166</v>
      </c>
      <c r="C1881" s="580">
        <v>17</v>
      </c>
      <c r="D1881" s="569" t="s">
        <v>3374</v>
      </c>
      <c r="E1881" s="569" t="s">
        <v>196</v>
      </c>
      <c r="F1881" s="569" t="s">
        <v>153</v>
      </c>
      <c r="G1881" s="569">
        <v>2019</v>
      </c>
      <c r="H1881" s="569" t="s">
        <v>3594</v>
      </c>
      <c r="I1881" s="569" t="s">
        <v>3536</v>
      </c>
      <c r="J1881" s="569" t="s">
        <v>3377</v>
      </c>
      <c r="K1881" s="569">
        <v>6</v>
      </c>
      <c r="L1881" s="569">
        <v>0</v>
      </c>
      <c r="M1881" s="569" t="s">
        <v>157</v>
      </c>
      <c r="N1881" s="569">
        <v>2</v>
      </c>
      <c r="O1881" s="569" t="s">
        <v>3508</v>
      </c>
      <c r="P1881" s="568">
        <v>13000</v>
      </c>
      <c r="Q1881" s="569" t="s">
        <v>798</v>
      </c>
      <c r="R1881" s="569">
        <v>8</v>
      </c>
      <c r="S1881" s="569" t="s">
        <v>3615</v>
      </c>
      <c r="T1881" s="569" t="s">
        <v>213</v>
      </c>
      <c r="U1881" s="569">
        <v>158.1</v>
      </c>
      <c r="V1881" s="569">
        <v>36</v>
      </c>
      <c r="W1881" s="620">
        <v>9500</v>
      </c>
      <c r="X1881" s="621">
        <v>15</v>
      </c>
      <c r="Y1881" s="621" t="s">
        <v>450</v>
      </c>
      <c r="Z1881" s="621" t="s">
        <v>178</v>
      </c>
      <c r="AA1881" s="622">
        <v>43895</v>
      </c>
      <c r="AB1881" s="622" t="s">
        <v>164</v>
      </c>
      <c r="AC1881" s="622">
        <v>27998</v>
      </c>
      <c r="AD1881" s="623">
        <v>7.1999999999999995E-2</v>
      </c>
      <c r="AE1881" s="621" t="s">
        <v>3614</v>
      </c>
    </row>
    <row r="1882" spans="1:31" s="572" customFormat="1">
      <c r="A1882" s="570" t="s">
        <v>3618</v>
      </c>
      <c r="B1882" s="573" t="s">
        <v>169</v>
      </c>
      <c r="C1882" s="578">
        <v>11</v>
      </c>
      <c r="D1882" s="573" t="s">
        <v>3374</v>
      </c>
      <c r="E1882" s="573" t="s">
        <v>196</v>
      </c>
      <c r="F1882" s="573" t="s">
        <v>153</v>
      </c>
      <c r="G1882" s="573">
        <v>2019</v>
      </c>
      <c r="H1882" s="573" t="s">
        <v>3594</v>
      </c>
      <c r="I1882" s="573" t="s">
        <v>3536</v>
      </c>
      <c r="J1882" s="573" t="s">
        <v>752</v>
      </c>
      <c r="K1882" s="573">
        <v>6</v>
      </c>
      <c r="L1882" s="573">
        <v>0</v>
      </c>
      <c r="M1882" s="573" t="s">
        <v>157</v>
      </c>
      <c r="N1882" s="573">
        <v>2</v>
      </c>
      <c r="O1882" s="573" t="s">
        <v>3471</v>
      </c>
      <c r="P1882" s="571">
        <v>13000</v>
      </c>
      <c r="Q1882" s="573" t="s">
        <v>798</v>
      </c>
      <c r="R1882" s="573">
        <v>8</v>
      </c>
      <c r="S1882" s="582" t="s">
        <v>3620</v>
      </c>
      <c r="T1882" s="573" t="s">
        <v>213</v>
      </c>
      <c r="U1882" s="573">
        <v>144.19999999999999</v>
      </c>
      <c r="V1882" s="573">
        <v>36</v>
      </c>
      <c r="W1882" s="616">
        <v>9500</v>
      </c>
      <c r="X1882" s="617">
        <v>14</v>
      </c>
      <c r="Y1882" s="617" t="s">
        <v>450</v>
      </c>
      <c r="Z1882" s="617" t="s">
        <v>178</v>
      </c>
      <c r="AA1882" s="618">
        <v>47095</v>
      </c>
      <c r="AB1882" s="618" t="s">
        <v>164</v>
      </c>
      <c r="AC1882" s="618">
        <v>33797.02127659574</v>
      </c>
      <c r="AD1882" s="619">
        <v>0.05</v>
      </c>
      <c r="AE1882" s="617" t="s">
        <v>3619</v>
      </c>
    </row>
    <row r="1883" spans="1:31" s="572" customFormat="1">
      <c r="A1883" s="570" t="s">
        <v>3621</v>
      </c>
      <c r="B1883" s="569" t="s">
        <v>169</v>
      </c>
      <c r="C1883" s="580">
        <v>11</v>
      </c>
      <c r="D1883" s="569" t="s">
        <v>3374</v>
      </c>
      <c r="E1883" s="569" t="s">
        <v>196</v>
      </c>
      <c r="F1883" s="569" t="s">
        <v>153</v>
      </c>
      <c r="G1883" s="569">
        <v>2019</v>
      </c>
      <c r="H1883" s="569" t="s">
        <v>3594</v>
      </c>
      <c r="I1883" s="569" t="s">
        <v>3536</v>
      </c>
      <c r="J1883" s="569" t="s">
        <v>752</v>
      </c>
      <c r="K1883" s="569">
        <v>6</v>
      </c>
      <c r="L1883" s="569">
        <v>0</v>
      </c>
      <c r="M1883" s="569" t="s">
        <v>157</v>
      </c>
      <c r="N1883" s="569">
        <v>2</v>
      </c>
      <c r="O1883" s="569" t="s">
        <v>3508</v>
      </c>
      <c r="P1883" s="568">
        <v>13000</v>
      </c>
      <c r="Q1883" s="569" t="s">
        <v>798</v>
      </c>
      <c r="R1883" s="569">
        <v>8</v>
      </c>
      <c r="S1883" s="569" t="s">
        <v>3623</v>
      </c>
      <c r="T1883" s="569" t="s">
        <v>213</v>
      </c>
      <c r="U1883" s="569">
        <v>158.1</v>
      </c>
      <c r="V1883" s="569">
        <v>36</v>
      </c>
      <c r="W1883" s="620">
        <v>9500</v>
      </c>
      <c r="X1883" s="621">
        <v>14</v>
      </c>
      <c r="Y1883" s="621" t="s">
        <v>450</v>
      </c>
      <c r="Z1883" s="621" t="s">
        <v>178</v>
      </c>
      <c r="AA1883" s="622">
        <v>47295</v>
      </c>
      <c r="AB1883" s="622" t="s">
        <v>164</v>
      </c>
      <c r="AC1883" s="622">
        <v>33988.936170212764</v>
      </c>
      <c r="AD1883" s="623">
        <v>0.05</v>
      </c>
      <c r="AE1883" s="621" t="s">
        <v>3622</v>
      </c>
    </row>
    <row r="1884" spans="1:31" s="572" customFormat="1">
      <c r="A1884" s="570" t="s">
        <v>3624</v>
      </c>
      <c r="B1884" s="573" t="s">
        <v>150</v>
      </c>
      <c r="C1884" s="578">
        <v>13</v>
      </c>
      <c r="D1884" s="573" t="s">
        <v>3374</v>
      </c>
      <c r="E1884" s="573" t="s">
        <v>196</v>
      </c>
      <c r="F1884" s="573" t="s">
        <v>153</v>
      </c>
      <c r="G1884" s="573">
        <v>2019</v>
      </c>
      <c r="H1884" s="573" t="s">
        <v>3594</v>
      </c>
      <c r="I1884" s="573" t="s">
        <v>3536</v>
      </c>
      <c r="J1884" s="573" t="s">
        <v>752</v>
      </c>
      <c r="K1884" s="573">
        <v>6</v>
      </c>
      <c r="L1884" s="573">
        <v>0</v>
      </c>
      <c r="M1884" s="573" t="s">
        <v>157</v>
      </c>
      <c r="N1884" s="573">
        <v>2</v>
      </c>
      <c r="O1884" s="573" t="s">
        <v>3471</v>
      </c>
      <c r="P1884" s="571">
        <v>13000</v>
      </c>
      <c r="Q1884" s="573" t="s">
        <v>798</v>
      </c>
      <c r="R1884" s="573">
        <v>8</v>
      </c>
      <c r="S1884" s="582" t="s">
        <v>3620</v>
      </c>
      <c r="T1884" s="573" t="s">
        <v>213</v>
      </c>
      <c r="U1884" s="573">
        <v>144.19999999999999</v>
      </c>
      <c r="V1884" s="573">
        <v>36</v>
      </c>
      <c r="W1884" s="616">
        <v>9500</v>
      </c>
      <c r="X1884" s="617">
        <v>14</v>
      </c>
      <c r="Y1884" s="617" t="s">
        <v>450</v>
      </c>
      <c r="Z1884" s="617" t="s">
        <v>178</v>
      </c>
      <c r="AA1884" s="618">
        <v>47095</v>
      </c>
      <c r="AB1884" s="618" t="s">
        <v>164</v>
      </c>
      <c r="AC1884" s="618">
        <v>36995</v>
      </c>
      <c r="AD1884" s="619">
        <v>0.03</v>
      </c>
      <c r="AE1884" s="617" t="s">
        <v>3619</v>
      </c>
    </row>
    <row r="1885" spans="1:31" s="572" customFormat="1">
      <c r="A1885" s="570" t="s">
        <v>3625</v>
      </c>
      <c r="B1885" s="569" t="s">
        <v>150</v>
      </c>
      <c r="C1885" s="580">
        <v>13</v>
      </c>
      <c r="D1885" s="569" t="s">
        <v>3374</v>
      </c>
      <c r="E1885" s="569" t="s">
        <v>196</v>
      </c>
      <c r="F1885" s="569" t="s">
        <v>153</v>
      </c>
      <c r="G1885" s="569">
        <v>2019</v>
      </c>
      <c r="H1885" s="569" t="s">
        <v>3594</v>
      </c>
      <c r="I1885" s="569" t="s">
        <v>3536</v>
      </c>
      <c r="J1885" s="569" t="s">
        <v>752</v>
      </c>
      <c r="K1885" s="569">
        <v>6</v>
      </c>
      <c r="L1885" s="569">
        <v>0</v>
      </c>
      <c r="M1885" s="569" t="s">
        <v>157</v>
      </c>
      <c r="N1885" s="569">
        <v>2</v>
      </c>
      <c r="O1885" s="569" t="s">
        <v>3508</v>
      </c>
      <c r="P1885" s="568">
        <v>13000</v>
      </c>
      <c r="Q1885" s="569" t="s">
        <v>798</v>
      </c>
      <c r="R1885" s="569">
        <v>8</v>
      </c>
      <c r="S1885" s="569" t="s">
        <v>3623</v>
      </c>
      <c r="T1885" s="569" t="s">
        <v>213</v>
      </c>
      <c r="U1885" s="569">
        <v>158.1</v>
      </c>
      <c r="V1885" s="569">
        <v>36</v>
      </c>
      <c r="W1885" s="620">
        <v>9500</v>
      </c>
      <c r="X1885" s="621">
        <v>14</v>
      </c>
      <c r="Y1885" s="621" t="s">
        <v>450</v>
      </c>
      <c r="Z1885" s="621" t="s">
        <v>178</v>
      </c>
      <c r="AA1885" s="622">
        <v>47295</v>
      </c>
      <c r="AB1885" s="622" t="s">
        <v>164</v>
      </c>
      <c r="AC1885" s="622">
        <v>37271</v>
      </c>
      <c r="AD1885" s="623">
        <v>0.03</v>
      </c>
      <c r="AE1885" s="621" t="s">
        <v>3622</v>
      </c>
    </row>
    <row r="1886" spans="1:31" s="572" customFormat="1">
      <c r="A1886" s="570" t="s">
        <v>3626</v>
      </c>
      <c r="B1886" s="573" t="s">
        <v>166</v>
      </c>
      <c r="C1886" s="578">
        <v>17</v>
      </c>
      <c r="D1886" s="573" t="s">
        <v>3374</v>
      </c>
      <c r="E1886" s="573" t="s">
        <v>196</v>
      </c>
      <c r="F1886" s="573" t="s">
        <v>153</v>
      </c>
      <c r="G1886" s="573">
        <v>2019</v>
      </c>
      <c r="H1886" s="573" t="s">
        <v>3594</v>
      </c>
      <c r="I1886" s="573" t="s">
        <v>3536</v>
      </c>
      <c r="J1886" s="573" t="s">
        <v>752</v>
      </c>
      <c r="K1886" s="573">
        <v>6</v>
      </c>
      <c r="L1886" s="573">
        <v>0</v>
      </c>
      <c r="M1886" s="573" t="s">
        <v>157</v>
      </c>
      <c r="N1886" s="573">
        <v>2</v>
      </c>
      <c r="O1886" s="573" t="s">
        <v>3471</v>
      </c>
      <c r="P1886" s="571">
        <v>13000</v>
      </c>
      <c r="Q1886" s="573" t="s">
        <v>798</v>
      </c>
      <c r="R1886" s="573">
        <v>8</v>
      </c>
      <c r="S1886" s="582" t="s">
        <v>3620</v>
      </c>
      <c r="T1886" s="573" t="s">
        <v>213</v>
      </c>
      <c r="U1886" s="573">
        <v>144.19999999999999</v>
      </c>
      <c r="V1886" s="573">
        <v>36</v>
      </c>
      <c r="W1886" s="616">
        <v>9500</v>
      </c>
      <c r="X1886" s="617">
        <v>14</v>
      </c>
      <c r="Y1886" s="617" t="s">
        <v>450</v>
      </c>
      <c r="Z1886" s="617" t="s">
        <v>178</v>
      </c>
      <c r="AA1886" s="618">
        <v>47095</v>
      </c>
      <c r="AB1886" s="618" t="s">
        <v>164</v>
      </c>
      <c r="AC1886" s="618">
        <v>30125</v>
      </c>
      <c r="AD1886" s="619">
        <v>7.1999999999999995E-2</v>
      </c>
      <c r="AE1886" s="617" t="s">
        <v>3619</v>
      </c>
    </row>
    <row r="1887" spans="1:31" s="572" customFormat="1">
      <c r="A1887" s="570" t="s">
        <v>3627</v>
      </c>
      <c r="B1887" s="569" t="s">
        <v>166</v>
      </c>
      <c r="C1887" s="580">
        <v>17</v>
      </c>
      <c r="D1887" s="569" t="s">
        <v>3374</v>
      </c>
      <c r="E1887" s="569" t="s">
        <v>196</v>
      </c>
      <c r="F1887" s="569" t="s">
        <v>153</v>
      </c>
      <c r="G1887" s="569">
        <v>2019</v>
      </c>
      <c r="H1887" s="569" t="s">
        <v>3594</v>
      </c>
      <c r="I1887" s="569" t="s">
        <v>3536</v>
      </c>
      <c r="J1887" s="569" t="s">
        <v>752</v>
      </c>
      <c r="K1887" s="569">
        <v>6</v>
      </c>
      <c r="L1887" s="569">
        <v>0</v>
      </c>
      <c r="M1887" s="569" t="s">
        <v>157</v>
      </c>
      <c r="N1887" s="569">
        <v>2</v>
      </c>
      <c r="O1887" s="569" t="s">
        <v>3508</v>
      </c>
      <c r="P1887" s="568">
        <v>13000</v>
      </c>
      <c r="Q1887" s="569" t="s">
        <v>798</v>
      </c>
      <c r="R1887" s="569">
        <v>8</v>
      </c>
      <c r="S1887" s="569" t="s">
        <v>3623</v>
      </c>
      <c r="T1887" s="569" t="s">
        <v>213</v>
      </c>
      <c r="U1887" s="569">
        <v>158.1</v>
      </c>
      <c r="V1887" s="569">
        <v>36</v>
      </c>
      <c r="W1887" s="620">
        <v>9500</v>
      </c>
      <c r="X1887" s="621">
        <v>14</v>
      </c>
      <c r="Y1887" s="621" t="s">
        <v>450</v>
      </c>
      <c r="Z1887" s="621" t="s">
        <v>178</v>
      </c>
      <c r="AA1887" s="622">
        <v>47295</v>
      </c>
      <c r="AB1887" s="622" t="s">
        <v>164</v>
      </c>
      <c r="AC1887" s="622">
        <v>29755</v>
      </c>
      <c r="AD1887" s="623">
        <v>7.1999999999999995E-2</v>
      </c>
      <c r="AE1887" s="621" t="s">
        <v>3622</v>
      </c>
    </row>
    <row r="1888" spans="1:31" s="572" customFormat="1">
      <c r="A1888" s="570" t="s">
        <v>3628</v>
      </c>
      <c r="B1888" s="573" t="s">
        <v>150</v>
      </c>
      <c r="C1888" s="578">
        <v>13</v>
      </c>
      <c r="D1888" s="573" t="s">
        <v>3374</v>
      </c>
      <c r="E1888" s="573" t="s">
        <v>196</v>
      </c>
      <c r="F1888" s="573" t="s">
        <v>153</v>
      </c>
      <c r="G1888" s="573">
        <v>2019</v>
      </c>
      <c r="H1888" s="573" t="s">
        <v>3594</v>
      </c>
      <c r="I1888" s="573" t="s">
        <v>3630</v>
      </c>
      <c r="J1888" s="573" t="s">
        <v>3377</v>
      </c>
      <c r="K1888" s="573">
        <v>3</v>
      </c>
      <c r="L1888" s="573">
        <v>0</v>
      </c>
      <c r="M1888" s="573" t="s">
        <v>157</v>
      </c>
      <c r="N1888" s="573">
        <v>1</v>
      </c>
      <c r="O1888" s="573" t="s">
        <v>3508</v>
      </c>
      <c r="P1888" s="571">
        <v>13000</v>
      </c>
      <c r="Q1888" s="573" t="s">
        <v>798</v>
      </c>
      <c r="R1888" s="573">
        <v>8</v>
      </c>
      <c r="S1888" s="582" t="s">
        <v>3631</v>
      </c>
      <c r="T1888" s="573" t="s">
        <v>213</v>
      </c>
      <c r="U1888" s="573">
        <v>133.6</v>
      </c>
      <c r="V1888" s="573">
        <v>36</v>
      </c>
      <c r="W1888" s="616">
        <v>9300</v>
      </c>
      <c r="X1888" s="617">
        <v>15</v>
      </c>
      <c r="Y1888" s="617" t="s">
        <v>450</v>
      </c>
      <c r="Z1888" s="617" t="s">
        <v>178</v>
      </c>
      <c r="AA1888" s="618">
        <v>42309</v>
      </c>
      <c r="AB1888" s="618" t="s">
        <v>164</v>
      </c>
      <c r="AC1888" s="618">
        <v>37896</v>
      </c>
      <c r="AD1888" s="619">
        <v>0.03</v>
      </c>
      <c r="AE1888" s="617" t="s">
        <v>3629</v>
      </c>
    </row>
    <row r="1889" spans="1:31" s="572" customFormat="1">
      <c r="A1889" s="570" t="s">
        <v>3632</v>
      </c>
      <c r="B1889" s="569" t="s">
        <v>150</v>
      </c>
      <c r="C1889" s="580">
        <v>13</v>
      </c>
      <c r="D1889" s="569" t="s">
        <v>3374</v>
      </c>
      <c r="E1889" s="569" t="s">
        <v>196</v>
      </c>
      <c r="F1889" s="569" t="s">
        <v>153</v>
      </c>
      <c r="G1889" s="569">
        <v>2019</v>
      </c>
      <c r="H1889" s="569" t="s">
        <v>3594</v>
      </c>
      <c r="I1889" s="569" t="s">
        <v>3630</v>
      </c>
      <c r="J1889" s="569" t="s">
        <v>752</v>
      </c>
      <c r="K1889" s="569">
        <v>3</v>
      </c>
      <c r="L1889" s="569">
        <v>0</v>
      </c>
      <c r="M1889" s="569" t="s">
        <v>157</v>
      </c>
      <c r="N1889" s="569">
        <v>1</v>
      </c>
      <c r="O1889" s="569" t="s">
        <v>3508</v>
      </c>
      <c r="P1889" s="568">
        <v>13000</v>
      </c>
      <c r="Q1889" s="569" t="s">
        <v>798</v>
      </c>
      <c r="R1889" s="569">
        <v>8</v>
      </c>
      <c r="S1889" s="569" t="s">
        <v>3634</v>
      </c>
      <c r="T1889" s="569" t="s">
        <v>213</v>
      </c>
      <c r="U1889" s="569">
        <v>133.6</v>
      </c>
      <c r="V1889" s="569">
        <v>36</v>
      </c>
      <c r="W1889" s="620">
        <v>9500</v>
      </c>
      <c r="X1889" s="621">
        <v>14</v>
      </c>
      <c r="Y1889" s="621" t="s">
        <v>450</v>
      </c>
      <c r="Z1889" s="621" t="s">
        <v>178</v>
      </c>
      <c r="AA1889" s="622">
        <v>45564</v>
      </c>
      <c r="AB1889" s="622" t="s">
        <v>164</v>
      </c>
      <c r="AC1889" s="622">
        <v>39380</v>
      </c>
      <c r="AD1889" s="623">
        <v>0.03</v>
      </c>
      <c r="AE1889" s="621" t="s">
        <v>3633</v>
      </c>
    </row>
    <row r="1890" spans="1:31" s="572" customFormat="1">
      <c r="A1890" s="570" t="s">
        <v>3635</v>
      </c>
      <c r="B1890" s="573" t="s">
        <v>169</v>
      </c>
      <c r="C1890" s="578">
        <v>11</v>
      </c>
      <c r="D1890" s="573" t="s">
        <v>3374</v>
      </c>
      <c r="E1890" s="573" t="s">
        <v>196</v>
      </c>
      <c r="F1890" s="573" t="s">
        <v>153</v>
      </c>
      <c r="G1890" s="573">
        <v>2019</v>
      </c>
      <c r="H1890" s="573" t="s">
        <v>3594</v>
      </c>
      <c r="I1890" s="573" t="s">
        <v>3410</v>
      </c>
      <c r="J1890" s="573" t="s">
        <v>3377</v>
      </c>
      <c r="K1890" s="573">
        <v>6</v>
      </c>
      <c r="L1890" s="573">
        <v>0</v>
      </c>
      <c r="M1890" s="573" t="s">
        <v>157</v>
      </c>
      <c r="N1890" s="573">
        <v>2</v>
      </c>
      <c r="O1890" s="573" t="s">
        <v>3471</v>
      </c>
      <c r="P1890" s="571">
        <v>13000</v>
      </c>
      <c r="Q1890" s="573" t="s">
        <v>798</v>
      </c>
      <c r="R1890" s="573">
        <v>8</v>
      </c>
      <c r="S1890" s="582" t="s">
        <v>3595</v>
      </c>
      <c r="T1890" s="573" t="s">
        <v>1522</v>
      </c>
      <c r="U1890" s="573">
        <v>153.69999999999999</v>
      </c>
      <c r="V1890" s="573">
        <v>36</v>
      </c>
      <c r="W1890" s="616">
        <v>9500</v>
      </c>
      <c r="X1890" s="617">
        <v>15</v>
      </c>
      <c r="Y1890" s="617" t="s">
        <v>450</v>
      </c>
      <c r="Z1890" s="617" t="s">
        <v>178</v>
      </c>
      <c r="AA1890" s="618">
        <v>39695</v>
      </c>
      <c r="AB1890" s="618" t="s">
        <v>164</v>
      </c>
      <c r="AC1890" s="618">
        <v>29549.361702127662</v>
      </c>
      <c r="AD1890" s="619">
        <v>0.05</v>
      </c>
      <c r="AE1890" s="617" t="s">
        <v>3636</v>
      </c>
    </row>
    <row r="1891" spans="1:31" s="572" customFormat="1">
      <c r="A1891" s="570" t="s">
        <v>3637</v>
      </c>
      <c r="B1891" s="569" t="s">
        <v>169</v>
      </c>
      <c r="C1891" s="580">
        <v>11</v>
      </c>
      <c r="D1891" s="569" t="s">
        <v>3374</v>
      </c>
      <c r="E1891" s="569" t="s">
        <v>196</v>
      </c>
      <c r="F1891" s="569" t="s">
        <v>153</v>
      </c>
      <c r="G1891" s="569">
        <v>2019</v>
      </c>
      <c r="H1891" s="569" t="s">
        <v>3594</v>
      </c>
      <c r="I1891" s="569" t="s">
        <v>3410</v>
      </c>
      <c r="J1891" s="569" t="s">
        <v>3377</v>
      </c>
      <c r="K1891" s="569">
        <v>6</v>
      </c>
      <c r="L1891" s="569">
        <v>0</v>
      </c>
      <c r="M1891" s="569" t="s">
        <v>157</v>
      </c>
      <c r="N1891" s="569">
        <v>2</v>
      </c>
      <c r="O1891" s="569" t="s">
        <v>3508</v>
      </c>
      <c r="P1891" s="568">
        <v>13000</v>
      </c>
      <c r="Q1891" s="569" t="s">
        <v>798</v>
      </c>
      <c r="R1891" s="569">
        <v>8</v>
      </c>
      <c r="S1891" s="569" t="s">
        <v>3598</v>
      </c>
      <c r="T1891" s="569" t="s">
        <v>1522</v>
      </c>
      <c r="U1891" s="569">
        <v>167.7</v>
      </c>
      <c r="V1891" s="569">
        <v>36</v>
      </c>
      <c r="W1891" s="620">
        <v>9500</v>
      </c>
      <c r="X1891" s="621">
        <v>15</v>
      </c>
      <c r="Y1891" s="621" t="s">
        <v>450</v>
      </c>
      <c r="Z1891" s="621" t="s">
        <v>178</v>
      </c>
      <c r="AA1891" s="622">
        <v>39895</v>
      </c>
      <c r="AB1891" s="622" t="s">
        <v>164</v>
      </c>
      <c r="AC1891" s="622">
        <v>29743.404255319154</v>
      </c>
      <c r="AD1891" s="623">
        <v>0.05</v>
      </c>
      <c r="AE1891" s="621" t="s">
        <v>3638</v>
      </c>
    </row>
    <row r="1892" spans="1:31" s="572" customFormat="1">
      <c r="A1892" s="570" t="s">
        <v>3639</v>
      </c>
      <c r="B1892" s="573" t="s">
        <v>150</v>
      </c>
      <c r="C1892" s="578">
        <v>13</v>
      </c>
      <c r="D1892" s="573" t="s">
        <v>3374</v>
      </c>
      <c r="E1892" s="573" t="s">
        <v>196</v>
      </c>
      <c r="F1892" s="573" t="s">
        <v>153</v>
      </c>
      <c r="G1892" s="573">
        <v>2019</v>
      </c>
      <c r="H1892" s="573" t="s">
        <v>3594</v>
      </c>
      <c r="I1892" s="573" t="s">
        <v>3410</v>
      </c>
      <c r="J1892" s="573" t="s">
        <v>3377</v>
      </c>
      <c r="K1892" s="573">
        <v>6</v>
      </c>
      <c r="L1892" s="573">
        <v>0</v>
      </c>
      <c r="M1892" s="573" t="s">
        <v>157</v>
      </c>
      <c r="N1892" s="573">
        <v>2</v>
      </c>
      <c r="O1892" s="573" t="s">
        <v>3471</v>
      </c>
      <c r="P1892" s="571">
        <v>13000</v>
      </c>
      <c r="Q1892" s="573" t="s">
        <v>798</v>
      </c>
      <c r="R1892" s="573">
        <v>8</v>
      </c>
      <c r="S1892" s="582" t="s">
        <v>3595</v>
      </c>
      <c r="T1892" s="573" t="s">
        <v>1522</v>
      </c>
      <c r="U1892" s="573">
        <v>153.69999999999999</v>
      </c>
      <c r="V1892" s="573">
        <v>36</v>
      </c>
      <c r="W1892" s="616">
        <v>9500</v>
      </c>
      <c r="X1892" s="617">
        <v>15</v>
      </c>
      <c r="Y1892" s="617" t="s">
        <v>450</v>
      </c>
      <c r="Z1892" s="617" t="s">
        <v>178</v>
      </c>
      <c r="AA1892" s="618">
        <v>39695</v>
      </c>
      <c r="AB1892" s="618" t="s">
        <v>164</v>
      </c>
      <c r="AC1892" s="618">
        <v>31724</v>
      </c>
      <c r="AD1892" s="619">
        <v>0.03</v>
      </c>
      <c r="AE1892" s="617" t="s">
        <v>3636</v>
      </c>
    </row>
    <row r="1893" spans="1:31" s="572" customFormat="1">
      <c r="A1893" s="570" t="s">
        <v>3640</v>
      </c>
      <c r="B1893" s="569" t="s">
        <v>150</v>
      </c>
      <c r="C1893" s="580">
        <v>13</v>
      </c>
      <c r="D1893" s="569" t="s">
        <v>3374</v>
      </c>
      <c r="E1893" s="569" t="s">
        <v>196</v>
      </c>
      <c r="F1893" s="569" t="s">
        <v>153</v>
      </c>
      <c r="G1893" s="569">
        <v>2019</v>
      </c>
      <c r="H1893" s="569" t="s">
        <v>3594</v>
      </c>
      <c r="I1893" s="569" t="s">
        <v>3410</v>
      </c>
      <c r="J1893" s="569" t="s">
        <v>3377</v>
      </c>
      <c r="K1893" s="569">
        <v>6</v>
      </c>
      <c r="L1893" s="569">
        <v>0</v>
      </c>
      <c r="M1893" s="569" t="s">
        <v>157</v>
      </c>
      <c r="N1893" s="569">
        <v>2</v>
      </c>
      <c r="O1893" s="569" t="s">
        <v>3508</v>
      </c>
      <c r="P1893" s="568">
        <v>13000</v>
      </c>
      <c r="Q1893" s="569" t="s">
        <v>798</v>
      </c>
      <c r="R1893" s="569">
        <v>8</v>
      </c>
      <c r="S1893" s="569" t="s">
        <v>3598</v>
      </c>
      <c r="T1893" s="569" t="s">
        <v>1522</v>
      </c>
      <c r="U1893" s="569">
        <v>167.7</v>
      </c>
      <c r="V1893" s="569">
        <v>36</v>
      </c>
      <c r="W1893" s="620">
        <v>9500</v>
      </c>
      <c r="X1893" s="621">
        <v>15</v>
      </c>
      <c r="Y1893" s="621" t="s">
        <v>450</v>
      </c>
      <c r="Z1893" s="621" t="s">
        <v>178</v>
      </c>
      <c r="AA1893" s="622">
        <v>39895</v>
      </c>
      <c r="AB1893" s="622" t="s">
        <v>164</v>
      </c>
      <c r="AC1893" s="622">
        <v>32002</v>
      </c>
      <c r="AD1893" s="623">
        <v>0.03</v>
      </c>
      <c r="AE1893" s="621" t="s">
        <v>3638</v>
      </c>
    </row>
    <row r="1894" spans="1:31" s="572" customFormat="1">
      <c r="A1894" s="570" t="s">
        <v>3641</v>
      </c>
      <c r="B1894" s="573" t="s">
        <v>166</v>
      </c>
      <c r="C1894" s="578">
        <v>17</v>
      </c>
      <c r="D1894" s="573" t="s">
        <v>3374</v>
      </c>
      <c r="E1894" s="573" t="s">
        <v>196</v>
      </c>
      <c r="F1894" s="573" t="s">
        <v>153</v>
      </c>
      <c r="G1894" s="573">
        <v>2019</v>
      </c>
      <c r="H1894" s="573" t="s">
        <v>3594</v>
      </c>
      <c r="I1894" s="573" t="s">
        <v>3410</v>
      </c>
      <c r="J1894" s="573" t="s">
        <v>3377</v>
      </c>
      <c r="K1894" s="573">
        <v>6</v>
      </c>
      <c r="L1894" s="573">
        <v>0</v>
      </c>
      <c r="M1894" s="573" t="s">
        <v>157</v>
      </c>
      <c r="N1894" s="573">
        <v>2</v>
      </c>
      <c r="O1894" s="573" t="s">
        <v>3471</v>
      </c>
      <c r="P1894" s="571">
        <v>13000</v>
      </c>
      <c r="Q1894" s="573" t="s">
        <v>798</v>
      </c>
      <c r="R1894" s="573">
        <v>8</v>
      </c>
      <c r="S1894" s="582" t="s">
        <v>3595</v>
      </c>
      <c r="T1894" s="573" t="s">
        <v>1522</v>
      </c>
      <c r="U1894" s="573">
        <v>153.69999999999999</v>
      </c>
      <c r="V1894" s="573">
        <v>36</v>
      </c>
      <c r="W1894" s="616">
        <v>9500</v>
      </c>
      <c r="X1894" s="617">
        <v>15</v>
      </c>
      <c r="Y1894" s="617" t="s">
        <v>450</v>
      </c>
      <c r="Z1894" s="617" t="s">
        <v>178</v>
      </c>
      <c r="AA1894" s="618">
        <v>39695</v>
      </c>
      <c r="AB1894" s="618" t="s">
        <v>164</v>
      </c>
      <c r="AC1894" s="618">
        <v>30223</v>
      </c>
      <c r="AD1894" s="619">
        <v>7.1999999999999995E-2</v>
      </c>
      <c r="AE1894" s="617" t="s">
        <v>3636</v>
      </c>
    </row>
    <row r="1895" spans="1:31" s="572" customFormat="1">
      <c r="A1895" s="570" t="s">
        <v>3642</v>
      </c>
      <c r="B1895" s="569" t="s">
        <v>166</v>
      </c>
      <c r="C1895" s="580">
        <v>17</v>
      </c>
      <c r="D1895" s="569" t="s">
        <v>3374</v>
      </c>
      <c r="E1895" s="569" t="s">
        <v>196</v>
      </c>
      <c r="F1895" s="569" t="s">
        <v>153</v>
      </c>
      <c r="G1895" s="569">
        <v>2019</v>
      </c>
      <c r="H1895" s="569" t="s">
        <v>3594</v>
      </c>
      <c r="I1895" s="569" t="s">
        <v>3410</v>
      </c>
      <c r="J1895" s="569" t="s">
        <v>3377</v>
      </c>
      <c r="K1895" s="569">
        <v>6</v>
      </c>
      <c r="L1895" s="569">
        <v>0</v>
      </c>
      <c r="M1895" s="569" t="s">
        <v>157</v>
      </c>
      <c r="N1895" s="569">
        <v>2</v>
      </c>
      <c r="O1895" s="569" t="s">
        <v>3508</v>
      </c>
      <c r="P1895" s="568">
        <v>13000</v>
      </c>
      <c r="Q1895" s="569" t="s">
        <v>798</v>
      </c>
      <c r="R1895" s="569">
        <v>8</v>
      </c>
      <c r="S1895" s="569" t="s">
        <v>3598</v>
      </c>
      <c r="T1895" s="569" t="s">
        <v>1522</v>
      </c>
      <c r="U1895" s="569">
        <v>167.7</v>
      </c>
      <c r="V1895" s="569">
        <v>36</v>
      </c>
      <c r="W1895" s="620">
        <v>9500</v>
      </c>
      <c r="X1895" s="621">
        <v>15</v>
      </c>
      <c r="Y1895" s="621" t="s">
        <v>450</v>
      </c>
      <c r="Z1895" s="621" t="s">
        <v>178</v>
      </c>
      <c r="AA1895" s="622">
        <v>39895</v>
      </c>
      <c r="AB1895" s="622" t="s">
        <v>164</v>
      </c>
      <c r="AC1895" s="622">
        <v>30650</v>
      </c>
      <c r="AD1895" s="623">
        <v>7.1999999999999995E-2</v>
      </c>
      <c r="AE1895" s="621" t="s">
        <v>3638</v>
      </c>
    </row>
    <row r="1896" spans="1:31" s="572" customFormat="1">
      <c r="A1896" s="570" t="s">
        <v>3643</v>
      </c>
      <c r="B1896" s="573" t="s">
        <v>169</v>
      </c>
      <c r="C1896" s="578">
        <v>11</v>
      </c>
      <c r="D1896" s="573" t="s">
        <v>3374</v>
      </c>
      <c r="E1896" s="573" t="s">
        <v>196</v>
      </c>
      <c r="F1896" s="573" t="s">
        <v>153</v>
      </c>
      <c r="G1896" s="573">
        <v>2019</v>
      </c>
      <c r="H1896" s="573" t="s">
        <v>3594</v>
      </c>
      <c r="I1896" s="573" t="s">
        <v>3410</v>
      </c>
      <c r="J1896" s="573" t="s">
        <v>752</v>
      </c>
      <c r="K1896" s="573">
        <v>6</v>
      </c>
      <c r="L1896" s="573">
        <v>0</v>
      </c>
      <c r="M1896" s="573" t="s">
        <v>157</v>
      </c>
      <c r="N1896" s="573">
        <v>2</v>
      </c>
      <c r="O1896" s="573" t="s">
        <v>3471</v>
      </c>
      <c r="P1896" s="571">
        <v>13000</v>
      </c>
      <c r="Q1896" s="573" t="s">
        <v>798</v>
      </c>
      <c r="R1896" s="573">
        <v>8</v>
      </c>
      <c r="S1896" s="582" t="s">
        <v>3605</v>
      </c>
      <c r="T1896" s="573" t="s">
        <v>1522</v>
      </c>
      <c r="U1896" s="573">
        <v>153.69999999999999</v>
      </c>
      <c r="V1896" s="573">
        <v>36</v>
      </c>
      <c r="W1896" s="616">
        <v>9900</v>
      </c>
      <c r="X1896" s="617">
        <v>14</v>
      </c>
      <c r="Y1896" s="617" t="s">
        <v>450</v>
      </c>
      <c r="Z1896" s="617" t="s">
        <v>178</v>
      </c>
      <c r="AA1896" s="618">
        <v>42595</v>
      </c>
      <c r="AB1896" s="618" t="s">
        <v>164</v>
      </c>
      <c r="AC1896" s="618">
        <v>31724.680851063829</v>
      </c>
      <c r="AD1896" s="619">
        <v>0.05</v>
      </c>
      <c r="AE1896" s="617" t="s">
        <v>3644</v>
      </c>
    </row>
    <row r="1897" spans="1:31" s="572" customFormat="1">
      <c r="A1897" s="570" t="s">
        <v>3645</v>
      </c>
      <c r="B1897" s="569" t="s">
        <v>169</v>
      </c>
      <c r="C1897" s="580">
        <v>11</v>
      </c>
      <c r="D1897" s="569" t="s">
        <v>3374</v>
      </c>
      <c r="E1897" s="569" t="s">
        <v>196</v>
      </c>
      <c r="F1897" s="569" t="s">
        <v>153</v>
      </c>
      <c r="G1897" s="569">
        <v>2019</v>
      </c>
      <c r="H1897" s="569" t="s">
        <v>3594</v>
      </c>
      <c r="I1897" s="569" t="s">
        <v>3410</v>
      </c>
      <c r="J1897" s="569" t="s">
        <v>752</v>
      </c>
      <c r="K1897" s="569">
        <v>6</v>
      </c>
      <c r="L1897" s="569">
        <v>0</v>
      </c>
      <c r="M1897" s="569" t="s">
        <v>157</v>
      </c>
      <c r="N1897" s="569">
        <v>2</v>
      </c>
      <c r="O1897" s="569" t="s">
        <v>3508</v>
      </c>
      <c r="P1897" s="568">
        <v>13000</v>
      </c>
      <c r="Q1897" s="569" t="s">
        <v>798</v>
      </c>
      <c r="R1897" s="569">
        <v>8</v>
      </c>
      <c r="S1897" s="569" t="s">
        <v>3608</v>
      </c>
      <c r="T1897" s="569" t="s">
        <v>1522</v>
      </c>
      <c r="U1897" s="569">
        <v>167.7</v>
      </c>
      <c r="V1897" s="569">
        <v>36</v>
      </c>
      <c r="W1897" s="620">
        <v>9900</v>
      </c>
      <c r="X1897" s="621">
        <v>14</v>
      </c>
      <c r="Y1897" s="621" t="s">
        <v>450</v>
      </c>
      <c r="Z1897" s="621" t="s">
        <v>178</v>
      </c>
      <c r="AA1897" s="622">
        <v>42795</v>
      </c>
      <c r="AB1897" s="622" t="s">
        <v>164</v>
      </c>
      <c r="AC1897" s="622">
        <v>31918.723404255321</v>
      </c>
      <c r="AD1897" s="623">
        <v>0.05</v>
      </c>
      <c r="AE1897" s="621" t="s">
        <v>3646</v>
      </c>
    </row>
    <row r="1898" spans="1:31" s="572" customFormat="1">
      <c r="A1898" s="570" t="s">
        <v>3647</v>
      </c>
      <c r="B1898" s="573" t="s">
        <v>150</v>
      </c>
      <c r="C1898" s="578">
        <v>13</v>
      </c>
      <c r="D1898" s="573" t="s">
        <v>3374</v>
      </c>
      <c r="E1898" s="573" t="s">
        <v>196</v>
      </c>
      <c r="F1898" s="573" t="s">
        <v>153</v>
      </c>
      <c r="G1898" s="573">
        <v>2019</v>
      </c>
      <c r="H1898" s="573" t="s">
        <v>3594</v>
      </c>
      <c r="I1898" s="573" t="s">
        <v>3410</v>
      </c>
      <c r="J1898" s="573" t="s">
        <v>752</v>
      </c>
      <c r="K1898" s="573">
        <v>6</v>
      </c>
      <c r="L1898" s="573">
        <v>0</v>
      </c>
      <c r="M1898" s="573" t="s">
        <v>157</v>
      </c>
      <c r="N1898" s="573">
        <v>2</v>
      </c>
      <c r="O1898" s="573" t="s">
        <v>3471</v>
      </c>
      <c r="P1898" s="571">
        <v>13000</v>
      </c>
      <c r="Q1898" s="573" t="s">
        <v>798</v>
      </c>
      <c r="R1898" s="573">
        <v>8</v>
      </c>
      <c r="S1898" s="582" t="s">
        <v>3605</v>
      </c>
      <c r="T1898" s="573" t="s">
        <v>1522</v>
      </c>
      <c r="U1898" s="573">
        <v>153.69999999999999</v>
      </c>
      <c r="V1898" s="573">
        <v>36</v>
      </c>
      <c r="W1898" s="616">
        <v>9500</v>
      </c>
      <c r="X1898" s="617">
        <v>14</v>
      </c>
      <c r="Y1898" s="617" t="s">
        <v>450</v>
      </c>
      <c r="Z1898" s="617" t="s">
        <v>178</v>
      </c>
      <c r="AA1898" s="618">
        <v>42595</v>
      </c>
      <c r="AB1898" s="618" t="s">
        <v>164</v>
      </c>
      <c r="AC1898" s="618">
        <v>33714</v>
      </c>
      <c r="AD1898" s="619">
        <v>0.03</v>
      </c>
      <c r="AE1898" s="617" t="s">
        <v>3644</v>
      </c>
    </row>
    <row r="1899" spans="1:31" s="572" customFormat="1">
      <c r="A1899" s="570" t="s">
        <v>3648</v>
      </c>
      <c r="B1899" s="569" t="s">
        <v>150</v>
      </c>
      <c r="C1899" s="580">
        <v>13</v>
      </c>
      <c r="D1899" s="569" t="s">
        <v>3374</v>
      </c>
      <c r="E1899" s="569" t="s">
        <v>196</v>
      </c>
      <c r="F1899" s="569" t="s">
        <v>153</v>
      </c>
      <c r="G1899" s="569">
        <v>2019</v>
      </c>
      <c r="H1899" s="569" t="s">
        <v>3594</v>
      </c>
      <c r="I1899" s="569" t="s">
        <v>3410</v>
      </c>
      <c r="J1899" s="569" t="s">
        <v>752</v>
      </c>
      <c r="K1899" s="569">
        <v>6</v>
      </c>
      <c r="L1899" s="569">
        <v>0</v>
      </c>
      <c r="M1899" s="569" t="s">
        <v>157</v>
      </c>
      <c r="N1899" s="569">
        <v>2</v>
      </c>
      <c r="O1899" s="569" t="s">
        <v>3508</v>
      </c>
      <c r="P1899" s="568">
        <v>13000</v>
      </c>
      <c r="Q1899" s="569" t="s">
        <v>798</v>
      </c>
      <c r="R1899" s="569">
        <v>8</v>
      </c>
      <c r="S1899" s="569" t="s">
        <v>3608</v>
      </c>
      <c r="T1899" s="569" t="s">
        <v>1522</v>
      </c>
      <c r="U1899" s="569">
        <v>167.7</v>
      </c>
      <c r="V1899" s="569">
        <v>36</v>
      </c>
      <c r="W1899" s="620">
        <v>9900</v>
      </c>
      <c r="X1899" s="621">
        <v>14</v>
      </c>
      <c r="Y1899" s="621" t="s">
        <v>450</v>
      </c>
      <c r="Z1899" s="621" t="s">
        <v>178</v>
      </c>
      <c r="AA1899" s="622">
        <v>42795</v>
      </c>
      <c r="AB1899" s="622" t="s">
        <v>164</v>
      </c>
      <c r="AC1899" s="622">
        <v>33990</v>
      </c>
      <c r="AD1899" s="623">
        <v>0.03</v>
      </c>
      <c r="AE1899" s="621" t="s">
        <v>3646</v>
      </c>
    </row>
    <row r="1900" spans="1:31" s="572" customFormat="1">
      <c r="A1900" s="570" t="s">
        <v>3649</v>
      </c>
      <c r="B1900" s="573" t="s">
        <v>166</v>
      </c>
      <c r="C1900" s="578">
        <v>17</v>
      </c>
      <c r="D1900" s="573" t="s">
        <v>3374</v>
      </c>
      <c r="E1900" s="573" t="s">
        <v>196</v>
      </c>
      <c r="F1900" s="573" t="s">
        <v>153</v>
      </c>
      <c r="G1900" s="573">
        <v>2019</v>
      </c>
      <c r="H1900" s="573" t="s">
        <v>3594</v>
      </c>
      <c r="I1900" s="573" t="s">
        <v>3410</v>
      </c>
      <c r="J1900" s="573" t="s">
        <v>752</v>
      </c>
      <c r="K1900" s="573">
        <v>6</v>
      </c>
      <c r="L1900" s="573">
        <v>0</v>
      </c>
      <c r="M1900" s="573" t="s">
        <v>157</v>
      </c>
      <c r="N1900" s="573">
        <v>2</v>
      </c>
      <c r="O1900" s="573" t="s">
        <v>3471</v>
      </c>
      <c r="P1900" s="571">
        <v>13000</v>
      </c>
      <c r="Q1900" s="573" t="s">
        <v>798</v>
      </c>
      <c r="R1900" s="573">
        <v>8</v>
      </c>
      <c r="S1900" s="582" t="s">
        <v>3605</v>
      </c>
      <c r="T1900" s="573" t="s">
        <v>1522</v>
      </c>
      <c r="U1900" s="573">
        <v>153.69999999999999</v>
      </c>
      <c r="V1900" s="573">
        <v>36</v>
      </c>
      <c r="W1900" s="616">
        <v>9500</v>
      </c>
      <c r="X1900" s="617">
        <v>14</v>
      </c>
      <c r="Y1900" s="617" t="s">
        <v>450</v>
      </c>
      <c r="Z1900" s="617" t="s">
        <v>178</v>
      </c>
      <c r="AA1900" s="618">
        <v>42595</v>
      </c>
      <c r="AB1900" s="618" t="s">
        <v>164</v>
      </c>
      <c r="AC1900" s="618">
        <v>32111</v>
      </c>
      <c r="AD1900" s="619">
        <v>7.1999999999999995E-2</v>
      </c>
      <c r="AE1900" s="617" t="s">
        <v>3644</v>
      </c>
    </row>
    <row r="1901" spans="1:31" s="572" customFormat="1">
      <c r="A1901" s="570" t="s">
        <v>3650</v>
      </c>
      <c r="B1901" s="569" t="s">
        <v>166</v>
      </c>
      <c r="C1901" s="580">
        <v>17</v>
      </c>
      <c r="D1901" s="569" t="s">
        <v>3374</v>
      </c>
      <c r="E1901" s="569" t="s">
        <v>196</v>
      </c>
      <c r="F1901" s="569" t="s">
        <v>153</v>
      </c>
      <c r="G1901" s="569">
        <v>2019</v>
      </c>
      <c r="H1901" s="569" t="s">
        <v>3594</v>
      </c>
      <c r="I1901" s="569" t="s">
        <v>3410</v>
      </c>
      <c r="J1901" s="569" t="s">
        <v>752</v>
      </c>
      <c r="K1901" s="569">
        <v>6</v>
      </c>
      <c r="L1901" s="569">
        <v>0</v>
      </c>
      <c r="M1901" s="569" t="s">
        <v>157</v>
      </c>
      <c r="N1901" s="569">
        <v>2</v>
      </c>
      <c r="O1901" s="569" t="s">
        <v>3508</v>
      </c>
      <c r="P1901" s="568">
        <v>13000</v>
      </c>
      <c r="Q1901" s="569" t="s">
        <v>798</v>
      </c>
      <c r="R1901" s="569">
        <v>8</v>
      </c>
      <c r="S1901" s="569" t="s">
        <v>3608</v>
      </c>
      <c r="T1901" s="569" t="s">
        <v>1522</v>
      </c>
      <c r="U1901" s="569">
        <v>167.7</v>
      </c>
      <c r="V1901" s="569">
        <v>36</v>
      </c>
      <c r="W1901" s="620">
        <v>9900</v>
      </c>
      <c r="X1901" s="621">
        <v>14</v>
      </c>
      <c r="Y1901" s="621" t="s">
        <v>450</v>
      </c>
      <c r="Z1901" s="621" t="s">
        <v>178</v>
      </c>
      <c r="AA1901" s="622">
        <v>42795</v>
      </c>
      <c r="AB1901" s="622" t="s">
        <v>164</v>
      </c>
      <c r="AC1901" s="622">
        <v>32299</v>
      </c>
      <c r="AD1901" s="623">
        <v>7.1999999999999995E-2</v>
      </c>
      <c r="AE1901" s="621" t="s">
        <v>3646</v>
      </c>
    </row>
    <row r="1902" spans="1:31" s="572" customFormat="1">
      <c r="A1902" s="570" t="s">
        <v>3651</v>
      </c>
      <c r="B1902" s="573" t="s">
        <v>169</v>
      </c>
      <c r="C1902" s="578">
        <v>11</v>
      </c>
      <c r="D1902" s="573" t="s">
        <v>3374</v>
      </c>
      <c r="E1902" s="573" t="s">
        <v>196</v>
      </c>
      <c r="F1902" s="573" t="s">
        <v>153</v>
      </c>
      <c r="G1902" s="573">
        <v>2019</v>
      </c>
      <c r="H1902" s="573" t="s">
        <v>3594</v>
      </c>
      <c r="I1902" s="573" t="s">
        <v>3569</v>
      </c>
      <c r="J1902" s="573" t="s">
        <v>3377</v>
      </c>
      <c r="K1902" s="573">
        <v>6</v>
      </c>
      <c r="L1902" s="573">
        <v>0</v>
      </c>
      <c r="M1902" s="573" t="s">
        <v>157</v>
      </c>
      <c r="N1902" s="573">
        <v>2</v>
      </c>
      <c r="O1902" s="573" t="s">
        <v>3508</v>
      </c>
      <c r="P1902" s="571">
        <v>13000</v>
      </c>
      <c r="Q1902" s="573" t="s">
        <v>798</v>
      </c>
      <c r="R1902" s="573">
        <v>8</v>
      </c>
      <c r="S1902" s="582" t="s">
        <v>3615</v>
      </c>
      <c r="T1902" s="573" t="s">
        <v>1522</v>
      </c>
      <c r="U1902" s="573">
        <v>158.1</v>
      </c>
      <c r="V1902" s="573">
        <v>36</v>
      </c>
      <c r="W1902" s="616">
        <v>9500</v>
      </c>
      <c r="X1902" s="617">
        <v>15</v>
      </c>
      <c r="Y1902" s="617" t="s">
        <v>450</v>
      </c>
      <c r="Z1902" s="617" t="s">
        <v>178</v>
      </c>
      <c r="AA1902" s="618">
        <v>38995</v>
      </c>
      <c r="AB1902" s="618" t="s">
        <v>164</v>
      </c>
      <c r="AC1902" s="618">
        <v>27061.702127659577</v>
      </c>
      <c r="AD1902" s="619">
        <v>0.05</v>
      </c>
      <c r="AE1902" s="617" t="s">
        <v>3652</v>
      </c>
    </row>
    <row r="1903" spans="1:31" s="572" customFormat="1">
      <c r="A1903" s="570" t="s">
        <v>3653</v>
      </c>
      <c r="B1903" s="569" t="s">
        <v>150</v>
      </c>
      <c r="C1903" s="580">
        <v>13</v>
      </c>
      <c r="D1903" s="569" t="s">
        <v>3374</v>
      </c>
      <c r="E1903" s="569" t="s">
        <v>196</v>
      </c>
      <c r="F1903" s="569" t="s">
        <v>153</v>
      </c>
      <c r="G1903" s="569">
        <v>2019</v>
      </c>
      <c r="H1903" s="569" t="s">
        <v>3594</v>
      </c>
      <c r="I1903" s="569" t="s">
        <v>3569</v>
      </c>
      <c r="J1903" s="569" t="s">
        <v>3377</v>
      </c>
      <c r="K1903" s="569">
        <v>6</v>
      </c>
      <c r="L1903" s="569">
        <v>0</v>
      </c>
      <c r="M1903" s="569" t="s">
        <v>157</v>
      </c>
      <c r="N1903" s="569">
        <v>2</v>
      </c>
      <c r="O1903" s="569" t="s">
        <v>3508</v>
      </c>
      <c r="P1903" s="568">
        <v>13000</v>
      </c>
      <c r="Q1903" s="569" t="s">
        <v>798</v>
      </c>
      <c r="R1903" s="569">
        <v>8</v>
      </c>
      <c r="S1903" s="569" t="s">
        <v>3615</v>
      </c>
      <c r="T1903" s="569" t="s">
        <v>1522</v>
      </c>
      <c r="U1903" s="569">
        <v>158.1</v>
      </c>
      <c r="V1903" s="569">
        <v>36</v>
      </c>
      <c r="W1903" s="620">
        <v>9500</v>
      </c>
      <c r="X1903" s="621">
        <v>15</v>
      </c>
      <c r="Y1903" s="621" t="s">
        <v>450</v>
      </c>
      <c r="Z1903" s="621" t="s">
        <v>178</v>
      </c>
      <c r="AA1903" s="622">
        <v>38995</v>
      </c>
      <c r="AB1903" s="622" t="s">
        <v>164</v>
      </c>
      <c r="AC1903" s="622">
        <v>30741</v>
      </c>
      <c r="AD1903" s="623">
        <v>0.03</v>
      </c>
      <c r="AE1903" s="621" t="s">
        <v>3652</v>
      </c>
    </row>
    <row r="1904" spans="1:31" s="572" customFormat="1">
      <c r="A1904" s="570" t="s">
        <v>3654</v>
      </c>
      <c r="B1904" s="573" t="s">
        <v>166</v>
      </c>
      <c r="C1904" s="578">
        <v>17</v>
      </c>
      <c r="D1904" s="573" t="s">
        <v>3374</v>
      </c>
      <c r="E1904" s="573" t="s">
        <v>196</v>
      </c>
      <c r="F1904" s="573" t="s">
        <v>153</v>
      </c>
      <c r="G1904" s="573">
        <v>2019</v>
      </c>
      <c r="H1904" s="573" t="s">
        <v>3594</v>
      </c>
      <c r="I1904" s="573" t="s">
        <v>3569</v>
      </c>
      <c r="J1904" s="573" t="s">
        <v>3377</v>
      </c>
      <c r="K1904" s="573">
        <v>6</v>
      </c>
      <c r="L1904" s="573">
        <v>0</v>
      </c>
      <c r="M1904" s="573" t="s">
        <v>157</v>
      </c>
      <c r="N1904" s="573">
        <v>2</v>
      </c>
      <c r="O1904" s="573" t="s">
        <v>3508</v>
      </c>
      <c r="P1904" s="571">
        <v>13000</v>
      </c>
      <c r="Q1904" s="573" t="s">
        <v>798</v>
      </c>
      <c r="R1904" s="573">
        <v>8</v>
      </c>
      <c r="S1904" s="582" t="s">
        <v>3615</v>
      </c>
      <c r="T1904" s="573" t="s">
        <v>1522</v>
      </c>
      <c r="U1904" s="573">
        <v>158.1</v>
      </c>
      <c r="V1904" s="573">
        <v>36</v>
      </c>
      <c r="W1904" s="616">
        <v>9500</v>
      </c>
      <c r="X1904" s="617">
        <v>15</v>
      </c>
      <c r="Y1904" s="617" t="s">
        <v>450</v>
      </c>
      <c r="Z1904" s="617" t="s">
        <v>178</v>
      </c>
      <c r="AA1904" s="618">
        <v>38995</v>
      </c>
      <c r="AB1904" s="618" t="s">
        <v>164</v>
      </c>
      <c r="AC1904" s="618">
        <v>28240</v>
      </c>
      <c r="AD1904" s="619">
        <v>7.1999999999999995E-2</v>
      </c>
      <c r="AE1904" s="617" t="s">
        <v>3652</v>
      </c>
    </row>
    <row r="1905" spans="1:31" s="572" customFormat="1">
      <c r="A1905" s="570" t="s">
        <v>3655</v>
      </c>
      <c r="B1905" s="569" t="s">
        <v>169</v>
      </c>
      <c r="C1905" s="580">
        <v>11</v>
      </c>
      <c r="D1905" s="569" t="s">
        <v>3374</v>
      </c>
      <c r="E1905" s="569" t="s">
        <v>196</v>
      </c>
      <c r="F1905" s="569" t="s">
        <v>153</v>
      </c>
      <c r="G1905" s="569">
        <v>2019</v>
      </c>
      <c r="H1905" s="569" t="s">
        <v>3594</v>
      </c>
      <c r="I1905" s="569" t="s">
        <v>3569</v>
      </c>
      <c r="J1905" s="569" t="s">
        <v>752</v>
      </c>
      <c r="K1905" s="569">
        <v>6</v>
      </c>
      <c r="L1905" s="569">
        <v>0</v>
      </c>
      <c r="M1905" s="569" t="s">
        <v>157</v>
      </c>
      <c r="N1905" s="569">
        <v>2</v>
      </c>
      <c r="O1905" s="569" t="s">
        <v>3471</v>
      </c>
      <c r="P1905" s="568">
        <v>13000</v>
      </c>
      <c r="Q1905" s="569" t="s">
        <v>798</v>
      </c>
      <c r="R1905" s="569">
        <v>8</v>
      </c>
      <c r="S1905" s="569" t="s">
        <v>3620</v>
      </c>
      <c r="T1905" s="569" t="s">
        <v>1522</v>
      </c>
      <c r="U1905" s="569">
        <v>144.19999999999999</v>
      </c>
      <c r="V1905" s="569">
        <v>36</v>
      </c>
      <c r="W1905" s="620">
        <v>9500</v>
      </c>
      <c r="X1905" s="621">
        <v>14</v>
      </c>
      <c r="Y1905" s="621" t="s">
        <v>450</v>
      </c>
      <c r="Z1905" s="621" t="s">
        <v>178</v>
      </c>
      <c r="AA1905" s="622">
        <v>41695</v>
      </c>
      <c r="AB1905" s="622" t="s">
        <v>164</v>
      </c>
      <c r="AC1905" s="622">
        <v>29042.97872340426</v>
      </c>
      <c r="AD1905" s="623">
        <v>0.05</v>
      </c>
      <c r="AE1905" s="621" t="s">
        <v>3656</v>
      </c>
    </row>
    <row r="1906" spans="1:31" s="572" customFormat="1">
      <c r="A1906" s="570" t="s">
        <v>3657</v>
      </c>
      <c r="B1906" s="573" t="s">
        <v>169</v>
      </c>
      <c r="C1906" s="578">
        <v>11</v>
      </c>
      <c r="D1906" s="573" t="s">
        <v>3374</v>
      </c>
      <c r="E1906" s="573" t="s">
        <v>196</v>
      </c>
      <c r="F1906" s="573" t="s">
        <v>153</v>
      </c>
      <c r="G1906" s="573">
        <v>2019</v>
      </c>
      <c r="H1906" s="573" t="s">
        <v>3594</v>
      </c>
      <c r="I1906" s="573" t="s">
        <v>3569</v>
      </c>
      <c r="J1906" s="573" t="s">
        <v>752</v>
      </c>
      <c r="K1906" s="573">
        <v>6</v>
      </c>
      <c r="L1906" s="573">
        <v>0</v>
      </c>
      <c r="M1906" s="573" t="s">
        <v>157</v>
      </c>
      <c r="N1906" s="573">
        <v>2</v>
      </c>
      <c r="O1906" s="573" t="s">
        <v>3508</v>
      </c>
      <c r="P1906" s="571">
        <v>13000</v>
      </c>
      <c r="Q1906" s="573" t="s">
        <v>798</v>
      </c>
      <c r="R1906" s="573">
        <v>8</v>
      </c>
      <c r="S1906" s="582" t="s">
        <v>3623</v>
      </c>
      <c r="T1906" s="573" t="s">
        <v>1522</v>
      </c>
      <c r="U1906" s="573">
        <v>158.1</v>
      </c>
      <c r="V1906" s="573">
        <v>36</v>
      </c>
      <c r="W1906" s="616">
        <v>9500</v>
      </c>
      <c r="X1906" s="617">
        <v>14</v>
      </c>
      <c r="Y1906" s="617" t="s">
        <v>450</v>
      </c>
      <c r="Z1906" s="617" t="s">
        <v>178</v>
      </c>
      <c r="AA1906" s="618">
        <v>41895</v>
      </c>
      <c r="AB1906" s="618" t="s">
        <v>164</v>
      </c>
      <c r="AC1906" s="618">
        <v>29237.021276595748</v>
      </c>
      <c r="AD1906" s="619">
        <v>0.05</v>
      </c>
      <c r="AE1906" s="617" t="s">
        <v>3658</v>
      </c>
    </row>
    <row r="1907" spans="1:31" s="572" customFormat="1">
      <c r="A1907" s="570" t="s">
        <v>3659</v>
      </c>
      <c r="B1907" s="569" t="s">
        <v>150</v>
      </c>
      <c r="C1907" s="580">
        <v>13</v>
      </c>
      <c r="D1907" s="569" t="s">
        <v>3374</v>
      </c>
      <c r="E1907" s="569" t="s">
        <v>196</v>
      </c>
      <c r="F1907" s="569" t="s">
        <v>153</v>
      </c>
      <c r="G1907" s="569">
        <v>2019</v>
      </c>
      <c r="H1907" s="569" t="s">
        <v>3594</v>
      </c>
      <c r="I1907" s="569" t="s">
        <v>3569</v>
      </c>
      <c r="J1907" s="569" t="s">
        <v>752</v>
      </c>
      <c r="K1907" s="569">
        <v>6</v>
      </c>
      <c r="L1907" s="569">
        <v>0</v>
      </c>
      <c r="M1907" s="569" t="s">
        <v>157</v>
      </c>
      <c r="N1907" s="569">
        <v>2</v>
      </c>
      <c r="O1907" s="569" t="s">
        <v>3471</v>
      </c>
      <c r="P1907" s="568">
        <v>13000</v>
      </c>
      <c r="Q1907" s="569" t="s">
        <v>798</v>
      </c>
      <c r="R1907" s="569">
        <v>8</v>
      </c>
      <c r="S1907" s="569" t="s">
        <v>3620</v>
      </c>
      <c r="T1907" s="569" t="s">
        <v>1522</v>
      </c>
      <c r="U1907" s="569">
        <v>144.19999999999999</v>
      </c>
      <c r="V1907" s="569">
        <v>36</v>
      </c>
      <c r="W1907" s="620">
        <v>9500</v>
      </c>
      <c r="X1907" s="621">
        <v>14</v>
      </c>
      <c r="Y1907" s="621" t="s">
        <v>450</v>
      </c>
      <c r="Z1907" s="621" t="s">
        <v>178</v>
      </c>
      <c r="AA1907" s="622">
        <v>41695</v>
      </c>
      <c r="AB1907" s="622" t="s">
        <v>164</v>
      </c>
      <c r="AC1907" s="622">
        <v>32653</v>
      </c>
      <c r="AD1907" s="623">
        <v>0.03</v>
      </c>
      <c r="AE1907" s="621" t="s">
        <v>3656</v>
      </c>
    </row>
    <row r="1908" spans="1:31" s="572" customFormat="1">
      <c r="A1908" s="570" t="s">
        <v>3660</v>
      </c>
      <c r="B1908" s="573" t="s">
        <v>150</v>
      </c>
      <c r="C1908" s="578">
        <v>13</v>
      </c>
      <c r="D1908" s="573" t="s">
        <v>3374</v>
      </c>
      <c r="E1908" s="573" t="s">
        <v>196</v>
      </c>
      <c r="F1908" s="573" t="s">
        <v>153</v>
      </c>
      <c r="G1908" s="573">
        <v>2019</v>
      </c>
      <c r="H1908" s="573" t="s">
        <v>3594</v>
      </c>
      <c r="I1908" s="573" t="s">
        <v>3569</v>
      </c>
      <c r="J1908" s="573" t="s">
        <v>752</v>
      </c>
      <c r="K1908" s="573">
        <v>6</v>
      </c>
      <c r="L1908" s="573">
        <v>0</v>
      </c>
      <c r="M1908" s="573" t="s">
        <v>157</v>
      </c>
      <c r="N1908" s="573">
        <v>2</v>
      </c>
      <c r="O1908" s="573" t="s">
        <v>3508</v>
      </c>
      <c r="P1908" s="571">
        <v>13000</v>
      </c>
      <c r="Q1908" s="573" t="s">
        <v>798</v>
      </c>
      <c r="R1908" s="573">
        <v>8</v>
      </c>
      <c r="S1908" s="582" t="s">
        <v>3623</v>
      </c>
      <c r="T1908" s="573" t="s">
        <v>1522</v>
      </c>
      <c r="U1908" s="573">
        <v>158.1</v>
      </c>
      <c r="V1908" s="573">
        <v>36</v>
      </c>
      <c r="W1908" s="616">
        <v>9500</v>
      </c>
      <c r="X1908" s="617">
        <v>14</v>
      </c>
      <c r="Y1908" s="617" t="s">
        <v>450</v>
      </c>
      <c r="Z1908" s="617" t="s">
        <v>178</v>
      </c>
      <c r="AA1908" s="618">
        <v>41895</v>
      </c>
      <c r="AB1908" s="618" t="s">
        <v>164</v>
      </c>
      <c r="AC1908" s="618">
        <v>32830</v>
      </c>
      <c r="AD1908" s="619">
        <v>0.03</v>
      </c>
      <c r="AE1908" s="617" t="s">
        <v>3658</v>
      </c>
    </row>
    <row r="1909" spans="1:31" s="572" customFormat="1">
      <c r="A1909" s="570" t="s">
        <v>3661</v>
      </c>
      <c r="B1909" s="569" t="s">
        <v>166</v>
      </c>
      <c r="C1909" s="580">
        <v>17</v>
      </c>
      <c r="D1909" s="569" t="s">
        <v>3374</v>
      </c>
      <c r="E1909" s="569" t="s">
        <v>196</v>
      </c>
      <c r="F1909" s="569" t="s">
        <v>153</v>
      </c>
      <c r="G1909" s="569">
        <v>2019</v>
      </c>
      <c r="H1909" s="569" t="s">
        <v>3594</v>
      </c>
      <c r="I1909" s="569" t="s">
        <v>3569</v>
      </c>
      <c r="J1909" s="569" t="s">
        <v>752</v>
      </c>
      <c r="K1909" s="569">
        <v>6</v>
      </c>
      <c r="L1909" s="569">
        <v>0</v>
      </c>
      <c r="M1909" s="569" t="s">
        <v>157</v>
      </c>
      <c r="N1909" s="569">
        <v>2</v>
      </c>
      <c r="O1909" s="569" t="s">
        <v>3471</v>
      </c>
      <c r="P1909" s="568">
        <v>13000</v>
      </c>
      <c r="Q1909" s="569" t="s">
        <v>798</v>
      </c>
      <c r="R1909" s="569">
        <v>8</v>
      </c>
      <c r="S1909" s="569" t="s">
        <v>3620</v>
      </c>
      <c r="T1909" s="569" t="s">
        <v>1522</v>
      </c>
      <c r="U1909" s="569">
        <v>144.19999999999999</v>
      </c>
      <c r="V1909" s="569">
        <v>36</v>
      </c>
      <c r="W1909" s="620">
        <v>9500</v>
      </c>
      <c r="X1909" s="621">
        <v>14</v>
      </c>
      <c r="Y1909" s="621" t="s">
        <v>450</v>
      </c>
      <c r="Z1909" s="621" t="s">
        <v>178</v>
      </c>
      <c r="AA1909" s="622">
        <v>41695</v>
      </c>
      <c r="AB1909" s="622" t="s">
        <v>164</v>
      </c>
      <c r="AC1909" s="622">
        <v>30160</v>
      </c>
      <c r="AD1909" s="623">
        <v>7.1999999999999995E-2</v>
      </c>
      <c r="AE1909" s="621" t="s">
        <v>3656</v>
      </c>
    </row>
    <row r="1910" spans="1:31" s="572" customFormat="1">
      <c r="A1910" s="570" t="s">
        <v>3662</v>
      </c>
      <c r="B1910" s="573" t="s">
        <v>166</v>
      </c>
      <c r="C1910" s="578">
        <v>17</v>
      </c>
      <c r="D1910" s="573" t="s">
        <v>3374</v>
      </c>
      <c r="E1910" s="573" t="s">
        <v>196</v>
      </c>
      <c r="F1910" s="573" t="s">
        <v>153</v>
      </c>
      <c r="G1910" s="573">
        <v>2019</v>
      </c>
      <c r="H1910" s="573" t="s">
        <v>3594</v>
      </c>
      <c r="I1910" s="573" t="s">
        <v>3569</v>
      </c>
      <c r="J1910" s="573" t="s">
        <v>752</v>
      </c>
      <c r="K1910" s="573">
        <v>6</v>
      </c>
      <c r="L1910" s="573">
        <v>0</v>
      </c>
      <c r="M1910" s="573" t="s">
        <v>157</v>
      </c>
      <c r="N1910" s="573">
        <v>2</v>
      </c>
      <c r="O1910" s="573" t="s">
        <v>3508</v>
      </c>
      <c r="P1910" s="571">
        <v>13000</v>
      </c>
      <c r="Q1910" s="573" t="s">
        <v>798</v>
      </c>
      <c r="R1910" s="573">
        <v>8</v>
      </c>
      <c r="S1910" s="582" t="s">
        <v>3623</v>
      </c>
      <c r="T1910" s="573" t="s">
        <v>1522</v>
      </c>
      <c r="U1910" s="573">
        <v>158.1</v>
      </c>
      <c r="V1910" s="573">
        <v>36</v>
      </c>
      <c r="W1910" s="616">
        <v>9500</v>
      </c>
      <c r="X1910" s="617">
        <v>14</v>
      </c>
      <c r="Y1910" s="617" t="s">
        <v>450</v>
      </c>
      <c r="Z1910" s="617" t="s">
        <v>178</v>
      </c>
      <c r="AA1910" s="618">
        <v>41895</v>
      </c>
      <c r="AB1910" s="618" t="s">
        <v>164</v>
      </c>
      <c r="AC1910" s="618">
        <v>35644</v>
      </c>
      <c r="AD1910" s="619">
        <v>7.1999999999999995E-2</v>
      </c>
      <c r="AE1910" s="617" t="s">
        <v>3658</v>
      </c>
    </row>
    <row r="1911" spans="1:31" s="572" customFormat="1">
      <c r="A1911" s="570" t="s">
        <v>3663</v>
      </c>
      <c r="B1911" s="569" t="s">
        <v>150</v>
      </c>
      <c r="C1911" s="580">
        <v>13</v>
      </c>
      <c r="D1911" s="569" t="s">
        <v>3374</v>
      </c>
      <c r="E1911" s="569" t="s">
        <v>196</v>
      </c>
      <c r="F1911" s="569" t="s">
        <v>153</v>
      </c>
      <c r="G1911" s="569">
        <v>2019</v>
      </c>
      <c r="H1911" s="569" t="s">
        <v>3594</v>
      </c>
      <c r="I1911" s="569" t="s">
        <v>3580</v>
      </c>
      <c r="J1911" s="569" t="s">
        <v>3377</v>
      </c>
      <c r="K1911" s="569">
        <v>3</v>
      </c>
      <c r="L1911" s="569">
        <v>0</v>
      </c>
      <c r="M1911" s="569" t="s">
        <v>157</v>
      </c>
      <c r="N1911" s="569">
        <v>1</v>
      </c>
      <c r="O1911" s="569" t="s">
        <v>3508</v>
      </c>
      <c r="P1911" s="568">
        <v>13000</v>
      </c>
      <c r="Q1911" s="569" t="s">
        <v>798</v>
      </c>
      <c r="R1911" s="569">
        <v>8</v>
      </c>
      <c r="S1911" s="569" t="s">
        <v>3631</v>
      </c>
      <c r="T1911" s="569" t="s">
        <v>1522</v>
      </c>
      <c r="U1911" s="569">
        <v>133.6</v>
      </c>
      <c r="V1911" s="569">
        <v>36</v>
      </c>
      <c r="W1911" s="620">
        <v>9300</v>
      </c>
      <c r="X1911" s="621">
        <v>15</v>
      </c>
      <c r="Y1911" s="621" t="s">
        <v>450</v>
      </c>
      <c r="Z1911" s="621" t="s">
        <v>178</v>
      </c>
      <c r="AA1911" s="622">
        <v>37689</v>
      </c>
      <c r="AB1911" s="622" t="s">
        <v>164</v>
      </c>
      <c r="AC1911" s="622">
        <v>33694</v>
      </c>
      <c r="AD1911" s="623">
        <v>0.03</v>
      </c>
      <c r="AE1911" s="621" t="s">
        <v>3664</v>
      </c>
    </row>
    <row r="1912" spans="1:31" s="572" customFormat="1">
      <c r="A1912" s="570" t="s">
        <v>3665</v>
      </c>
      <c r="B1912" s="573" t="s">
        <v>169</v>
      </c>
      <c r="C1912" s="578">
        <v>11</v>
      </c>
      <c r="D1912" s="573" t="s">
        <v>3374</v>
      </c>
      <c r="E1912" s="573" t="s">
        <v>196</v>
      </c>
      <c r="F1912" s="573" t="s">
        <v>153</v>
      </c>
      <c r="G1912" s="573">
        <v>2019</v>
      </c>
      <c r="H1912" s="573" t="s">
        <v>3594</v>
      </c>
      <c r="I1912" s="573" t="s">
        <v>3580</v>
      </c>
      <c r="J1912" s="573" t="s">
        <v>752</v>
      </c>
      <c r="K1912" s="573">
        <v>3</v>
      </c>
      <c r="L1912" s="573">
        <v>0</v>
      </c>
      <c r="M1912" s="573" t="s">
        <v>157</v>
      </c>
      <c r="N1912" s="573">
        <v>1</v>
      </c>
      <c r="O1912" s="573" t="s">
        <v>3508</v>
      </c>
      <c r="P1912" s="571">
        <v>13000</v>
      </c>
      <c r="Q1912" s="573" t="s">
        <v>798</v>
      </c>
      <c r="R1912" s="573">
        <v>8</v>
      </c>
      <c r="S1912" s="582" t="s">
        <v>3634</v>
      </c>
      <c r="T1912" s="573" t="s">
        <v>1522</v>
      </c>
      <c r="U1912" s="573">
        <v>133.6</v>
      </c>
      <c r="V1912" s="573">
        <v>36</v>
      </c>
      <c r="W1912" s="616">
        <v>9500</v>
      </c>
      <c r="X1912" s="617">
        <v>14</v>
      </c>
      <c r="Y1912" s="617" t="s">
        <v>450</v>
      </c>
      <c r="Z1912" s="617" t="s">
        <v>178</v>
      </c>
      <c r="AA1912" s="618">
        <v>39595</v>
      </c>
      <c r="AB1912" s="618" t="s">
        <v>164</v>
      </c>
      <c r="AC1912" s="618">
        <v>38282.127659574464</v>
      </c>
      <c r="AD1912" s="619">
        <v>0.05</v>
      </c>
      <c r="AE1912" s="617" t="s">
        <v>3666</v>
      </c>
    </row>
    <row r="1913" spans="1:31" s="572" customFormat="1">
      <c r="A1913" s="570" t="s">
        <v>3667</v>
      </c>
      <c r="B1913" s="569" t="s">
        <v>150</v>
      </c>
      <c r="C1913" s="580">
        <v>13</v>
      </c>
      <c r="D1913" s="569" t="s">
        <v>3374</v>
      </c>
      <c r="E1913" s="569" t="s">
        <v>196</v>
      </c>
      <c r="F1913" s="569" t="s">
        <v>153</v>
      </c>
      <c r="G1913" s="569">
        <v>2019</v>
      </c>
      <c r="H1913" s="569" t="s">
        <v>3594</v>
      </c>
      <c r="I1913" s="569" t="s">
        <v>3580</v>
      </c>
      <c r="J1913" s="569" t="s">
        <v>752</v>
      </c>
      <c r="K1913" s="569">
        <v>3</v>
      </c>
      <c r="L1913" s="569">
        <v>0</v>
      </c>
      <c r="M1913" s="569" t="s">
        <v>157</v>
      </c>
      <c r="N1913" s="569">
        <v>1</v>
      </c>
      <c r="O1913" s="569" t="s">
        <v>3508</v>
      </c>
      <c r="P1913" s="568">
        <v>13000</v>
      </c>
      <c r="Q1913" s="569" t="s">
        <v>798</v>
      </c>
      <c r="R1913" s="569">
        <v>8</v>
      </c>
      <c r="S1913" s="569" t="s">
        <v>3634</v>
      </c>
      <c r="T1913" s="569" t="s">
        <v>1522</v>
      </c>
      <c r="U1913" s="569">
        <v>133.6</v>
      </c>
      <c r="V1913" s="569">
        <v>36</v>
      </c>
      <c r="W1913" s="620">
        <v>9500</v>
      </c>
      <c r="X1913" s="621">
        <v>14</v>
      </c>
      <c r="Y1913" s="621" t="s">
        <v>450</v>
      </c>
      <c r="Z1913" s="621" t="s">
        <v>178</v>
      </c>
      <c r="AA1913" s="622">
        <v>40839</v>
      </c>
      <c r="AB1913" s="622" t="s">
        <v>164</v>
      </c>
      <c r="AC1913" s="622">
        <v>35756</v>
      </c>
      <c r="AD1913" s="623">
        <v>0.03</v>
      </c>
      <c r="AE1913" s="621" t="s">
        <v>3666</v>
      </c>
    </row>
    <row r="1914" spans="1:31" s="572" customFormat="1">
      <c r="A1914" s="570" t="s">
        <v>3668</v>
      </c>
      <c r="B1914" s="573" t="s">
        <v>169</v>
      </c>
      <c r="C1914" s="578">
        <v>11</v>
      </c>
      <c r="D1914" s="573" t="s">
        <v>3374</v>
      </c>
      <c r="E1914" s="573" t="s">
        <v>187</v>
      </c>
      <c r="F1914" s="573" t="s">
        <v>153</v>
      </c>
      <c r="G1914" s="573">
        <v>2019</v>
      </c>
      <c r="H1914" s="573" t="s">
        <v>3670</v>
      </c>
      <c r="I1914" s="573" t="s">
        <v>3384</v>
      </c>
      <c r="J1914" s="573" t="s">
        <v>3377</v>
      </c>
      <c r="K1914" s="573">
        <v>6</v>
      </c>
      <c r="L1914" s="573">
        <v>0</v>
      </c>
      <c r="M1914" s="573" t="s">
        <v>157</v>
      </c>
      <c r="N1914" s="573">
        <v>2</v>
      </c>
      <c r="O1914" s="573" t="s">
        <v>3471</v>
      </c>
      <c r="P1914" s="571">
        <v>13000</v>
      </c>
      <c r="Q1914" s="573" t="s">
        <v>798</v>
      </c>
      <c r="R1914" s="573">
        <v>8</v>
      </c>
      <c r="S1914" s="582" t="s">
        <v>3671</v>
      </c>
      <c r="T1914" s="573" t="s">
        <v>213</v>
      </c>
      <c r="U1914" s="573">
        <v>153.69999999999999</v>
      </c>
      <c r="V1914" s="573">
        <v>36</v>
      </c>
      <c r="W1914" s="616">
        <v>10000</v>
      </c>
      <c r="X1914" s="617">
        <v>15</v>
      </c>
      <c r="Y1914" s="617" t="s">
        <v>450</v>
      </c>
      <c r="Z1914" s="617" t="s">
        <v>178</v>
      </c>
      <c r="AA1914" s="618">
        <v>47090</v>
      </c>
      <c r="AB1914" s="618" t="s">
        <v>164</v>
      </c>
      <c r="AC1914" s="618">
        <v>37288.26315789474</v>
      </c>
      <c r="AD1914" s="619">
        <v>0.05</v>
      </c>
      <c r="AE1914" s="617" t="s">
        <v>3669</v>
      </c>
    </row>
    <row r="1915" spans="1:31" s="572" customFormat="1">
      <c r="A1915" s="570" t="s">
        <v>3672</v>
      </c>
      <c r="B1915" s="569" t="s">
        <v>169</v>
      </c>
      <c r="C1915" s="580">
        <v>11</v>
      </c>
      <c r="D1915" s="569" t="s">
        <v>3374</v>
      </c>
      <c r="E1915" s="569" t="s">
        <v>187</v>
      </c>
      <c r="F1915" s="569" t="s">
        <v>153</v>
      </c>
      <c r="G1915" s="569">
        <v>2019</v>
      </c>
      <c r="H1915" s="569" t="s">
        <v>3670</v>
      </c>
      <c r="I1915" s="569" t="s">
        <v>3384</v>
      </c>
      <c r="J1915" s="569" t="s">
        <v>3377</v>
      </c>
      <c r="K1915" s="569">
        <v>6</v>
      </c>
      <c r="L1915" s="569">
        <v>0</v>
      </c>
      <c r="M1915" s="569" t="s">
        <v>157</v>
      </c>
      <c r="N1915" s="569">
        <v>2</v>
      </c>
      <c r="O1915" s="569" t="s">
        <v>3508</v>
      </c>
      <c r="P1915" s="568">
        <v>20000</v>
      </c>
      <c r="Q1915" s="569" t="s">
        <v>798</v>
      </c>
      <c r="R1915" s="569">
        <v>8</v>
      </c>
      <c r="S1915" s="569" t="s">
        <v>3674</v>
      </c>
      <c r="T1915" s="569" t="s">
        <v>213</v>
      </c>
      <c r="U1915" s="569">
        <v>167.7</v>
      </c>
      <c r="V1915" s="569">
        <v>36</v>
      </c>
      <c r="W1915" s="620">
        <v>10000</v>
      </c>
      <c r="X1915" s="621">
        <v>15</v>
      </c>
      <c r="Y1915" s="621" t="s">
        <v>450</v>
      </c>
      <c r="Z1915" s="621" t="s">
        <v>178</v>
      </c>
      <c r="AA1915" s="622">
        <v>47290</v>
      </c>
      <c r="AB1915" s="622" t="s">
        <v>164</v>
      </c>
      <c r="AC1915" s="622">
        <v>37484.473684210527</v>
      </c>
      <c r="AD1915" s="623">
        <v>0.05</v>
      </c>
      <c r="AE1915" s="621" t="s">
        <v>3673</v>
      </c>
    </row>
    <row r="1916" spans="1:31" s="572" customFormat="1">
      <c r="A1916" s="570" t="s">
        <v>3675</v>
      </c>
      <c r="B1916" s="573" t="s">
        <v>166</v>
      </c>
      <c r="C1916" s="578">
        <v>17</v>
      </c>
      <c r="D1916" s="573" t="s">
        <v>3374</v>
      </c>
      <c r="E1916" s="573" t="s">
        <v>187</v>
      </c>
      <c r="F1916" s="573" t="s">
        <v>153</v>
      </c>
      <c r="G1916" s="573">
        <v>2019</v>
      </c>
      <c r="H1916" s="573" t="s">
        <v>3670</v>
      </c>
      <c r="I1916" s="573" t="s">
        <v>3384</v>
      </c>
      <c r="J1916" s="573" t="s">
        <v>3377</v>
      </c>
      <c r="K1916" s="573">
        <v>6</v>
      </c>
      <c r="L1916" s="573">
        <v>0</v>
      </c>
      <c r="M1916" s="573" t="s">
        <v>157</v>
      </c>
      <c r="N1916" s="573">
        <v>2</v>
      </c>
      <c r="O1916" s="573" t="s">
        <v>3471</v>
      </c>
      <c r="P1916" s="571">
        <v>17500</v>
      </c>
      <c r="Q1916" s="573" t="s">
        <v>798</v>
      </c>
      <c r="R1916" s="573">
        <v>8</v>
      </c>
      <c r="S1916" s="582" t="s">
        <v>3671</v>
      </c>
      <c r="T1916" s="573" t="s">
        <v>213</v>
      </c>
      <c r="U1916" s="573">
        <v>153.69999999999999</v>
      </c>
      <c r="V1916" s="573">
        <v>36</v>
      </c>
      <c r="W1916" s="616">
        <v>10000</v>
      </c>
      <c r="X1916" s="617">
        <v>15</v>
      </c>
      <c r="Y1916" s="617" t="s">
        <v>450</v>
      </c>
      <c r="Z1916" s="617" t="s">
        <v>178</v>
      </c>
      <c r="AA1916" s="618">
        <v>46595</v>
      </c>
      <c r="AB1916" s="618" t="s">
        <v>164</v>
      </c>
      <c r="AC1916" s="618">
        <v>35980</v>
      </c>
      <c r="AD1916" s="619">
        <v>7.1999999999999995E-2</v>
      </c>
      <c r="AE1916" s="617" t="s">
        <v>3669</v>
      </c>
    </row>
    <row r="1917" spans="1:31" s="572" customFormat="1">
      <c r="A1917" s="570" t="s">
        <v>3676</v>
      </c>
      <c r="B1917" s="569" t="s">
        <v>166</v>
      </c>
      <c r="C1917" s="580">
        <v>17</v>
      </c>
      <c r="D1917" s="569" t="s">
        <v>3374</v>
      </c>
      <c r="E1917" s="569" t="s">
        <v>187</v>
      </c>
      <c r="F1917" s="569" t="s">
        <v>153</v>
      </c>
      <c r="G1917" s="569">
        <v>2019</v>
      </c>
      <c r="H1917" s="569" t="s">
        <v>3670</v>
      </c>
      <c r="I1917" s="569" t="s">
        <v>3384</v>
      </c>
      <c r="J1917" s="569" t="s">
        <v>3377</v>
      </c>
      <c r="K1917" s="569">
        <v>6</v>
      </c>
      <c r="L1917" s="569">
        <v>0</v>
      </c>
      <c r="M1917" s="569" t="s">
        <v>157</v>
      </c>
      <c r="N1917" s="569">
        <v>2</v>
      </c>
      <c r="O1917" s="569" t="s">
        <v>3508</v>
      </c>
      <c r="P1917" s="568">
        <v>23100</v>
      </c>
      <c r="Q1917" s="569" t="s">
        <v>798</v>
      </c>
      <c r="R1917" s="569">
        <v>8</v>
      </c>
      <c r="S1917" s="569" t="s">
        <v>3674</v>
      </c>
      <c r="T1917" s="569" t="s">
        <v>213</v>
      </c>
      <c r="U1917" s="569">
        <v>167.7</v>
      </c>
      <c r="V1917" s="569">
        <v>36</v>
      </c>
      <c r="W1917" s="620">
        <v>10000</v>
      </c>
      <c r="X1917" s="621">
        <v>15</v>
      </c>
      <c r="Y1917" s="621" t="s">
        <v>450</v>
      </c>
      <c r="Z1917" s="621" t="s">
        <v>178</v>
      </c>
      <c r="AA1917" s="622">
        <v>46595</v>
      </c>
      <c r="AB1917" s="622" t="s">
        <v>164</v>
      </c>
      <c r="AC1917" s="622">
        <v>35980</v>
      </c>
      <c r="AD1917" s="623">
        <v>7.1999999999999995E-2</v>
      </c>
      <c r="AE1917" s="621" t="s">
        <v>3673</v>
      </c>
    </row>
    <row r="1918" spans="1:31" s="572" customFormat="1">
      <c r="A1918" s="570" t="s">
        <v>3677</v>
      </c>
      <c r="B1918" s="573" t="s">
        <v>169</v>
      </c>
      <c r="C1918" s="578">
        <v>11</v>
      </c>
      <c r="D1918" s="573" t="s">
        <v>3374</v>
      </c>
      <c r="E1918" s="573" t="s">
        <v>187</v>
      </c>
      <c r="F1918" s="573" t="s">
        <v>153</v>
      </c>
      <c r="G1918" s="573">
        <v>2019</v>
      </c>
      <c r="H1918" s="573" t="s">
        <v>3670</v>
      </c>
      <c r="I1918" s="573" t="s">
        <v>3384</v>
      </c>
      <c r="J1918" s="573" t="s">
        <v>752</v>
      </c>
      <c r="K1918" s="573">
        <v>6</v>
      </c>
      <c r="L1918" s="573">
        <v>0</v>
      </c>
      <c r="M1918" s="573" t="s">
        <v>157</v>
      </c>
      <c r="N1918" s="573">
        <v>2</v>
      </c>
      <c r="O1918" s="573" t="s">
        <v>3471</v>
      </c>
      <c r="P1918" s="571">
        <v>13000</v>
      </c>
      <c r="Q1918" s="573" t="s">
        <v>798</v>
      </c>
      <c r="R1918" s="573">
        <v>8</v>
      </c>
      <c r="S1918" s="582" t="s">
        <v>3679</v>
      </c>
      <c r="T1918" s="573" t="s">
        <v>213</v>
      </c>
      <c r="U1918" s="573">
        <v>153.69999999999999</v>
      </c>
      <c r="V1918" s="573">
        <v>36</v>
      </c>
      <c r="W1918" s="616">
        <v>10000</v>
      </c>
      <c r="X1918" s="617">
        <v>14</v>
      </c>
      <c r="Y1918" s="617" t="s">
        <v>450</v>
      </c>
      <c r="Z1918" s="617" t="s">
        <v>178</v>
      </c>
      <c r="AA1918" s="618">
        <v>50190</v>
      </c>
      <c r="AB1918" s="618" t="s">
        <v>164</v>
      </c>
      <c r="AC1918" s="618">
        <v>39697.947368421061</v>
      </c>
      <c r="AD1918" s="619">
        <v>0.05</v>
      </c>
      <c r="AE1918" s="617" t="s">
        <v>3678</v>
      </c>
    </row>
    <row r="1919" spans="1:31" s="572" customFormat="1">
      <c r="A1919" s="570" t="s">
        <v>3680</v>
      </c>
      <c r="B1919" s="569" t="s">
        <v>169</v>
      </c>
      <c r="C1919" s="580">
        <v>11</v>
      </c>
      <c r="D1919" s="569" t="s">
        <v>3374</v>
      </c>
      <c r="E1919" s="569" t="s">
        <v>187</v>
      </c>
      <c r="F1919" s="569" t="s">
        <v>153</v>
      </c>
      <c r="G1919" s="569">
        <v>2019</v>
      </c>
      <c r="H1919" s="569" t="s">
        <v>3670</v>
      </c>
      <c r="I1919" s="569" t="s">
        <v>3384</v>
      </c>
      <c r="J1919" s="569" t="s">
        <v>752</v>
      </c>
      <c r="K1919" s="569">
        <v>6</v>
      </c>
      <c r="L1919" s="569">
        <v>0</v>
      </c>
      <c r="M1919" s="569" t="s">
        <v>157</v>
      </c>
      <c r="N1919" s="569">
        <v>2</v>
      </c>
      <c r="O1919" s="569" t="s">
        <v>3508</v>
      </c>
      <c r="P1919" s="568">
        <v>20000</v>
      </c>
      <c r="Q1919" s="569" t="s">
        <v>798</v>
      </c>
      <c r="R1919" s="569">
        <v>8</v>
      </c>
      <c r="S1919" s="569" t="s">
        <v>3682</v>
      </c>
      <c r="T1919" s="569" t="s">
        <v>213</v>
      </c>
      <c r="U1919" s="569">
        <v>167.7</v>
      </c>
      <c r="V1919" s="569">
        <v>36</v>
      </c>
      <c r="W1919" s="620">
        <v>11000</v>
      </c>
      <c r="X1919" s="621" t="s">
        <v>157</v>
      </c>
      <c r="Y1919" s="621" t="s">
        <v>450</v>
      </c>
      <c r="Z1919" s="621" t="s">
        <v>178</v>
      </c>
      <c r="AA1919" s="622">
        <v>49995</v>
      </c>
      <c r="AB1919" s="622" t="s">
        <v>164</v>
      </c>
      <c r="AC1919" s="622">
        <v>39515.789473684214</v>
      </c>
      <c r="AD1919" s="623">
        <v>0.05</v>
      </c>
      <c r="AE1919" s="621" t="s">
        <v>3681</v>
      </c>
    </row>
    <row r="1920" spans="1:31" s="572" customFormat="1">
      <c r="A1920" s="570" t="s">
        <v>3683</v>
      </c>
      <c r="B1920" s="573" t="s">
        <v>166</v>
      </c>
      <c r="C1920" s="578">
        <v>17</v>
      </c>
      <c r="D1920" s="573" t="s">
        <v>3374</v>
      </c>
      <c r="E1920" s="573" t="s">
        <v>187</v>
      </c>
      <c r="F1920" s="573" t="s">
        <v>153</v>
      </c>
      <c r="G1920" s="573">
        <v>2019</v>
      </c>
      <c r="H1920" s="573" t="s">
        <v>3670</v>
      </c>
      <c r="I1920" s="573" t="s">
        <v>3384</v>
      </c>
      <c r="J1920" s="573" t="s">
        <v>752</v>
      </c>
      <c r="K1920" s="573">
        <v>6</v>
      </c>
      <c r="L1920" s="573">
        <v>0</v>
      </c>
      <c r="M1920" s="573" t="s">
        <v>157</v>
      </c>
      <c r="N1920" s="573">
        <v>2</v>
      </c>
      <c r="O1920" s="573" t="s">
        <v>3471</v>
      </c>
      <c r="P1920" s="571">
        <v>17200</v>
      </c>
      <c r="Q1920" s="573" t="s">
        <v>798</v>
      </c>
      <c r="R1920" s="573">
        <v>8</v>
      </c>
      <c r="S1920" s="582" t="s">
        <v>3679</v>
      </c>
      <c r="T1920" s="573" t="s">
        <v>213</v>
      </c>
      <c r="U1920" s="573">
        <v>153.69999999999999</v>
      </c>
      <c r="V1920" s="573">
        <v>36</v>
      </c>
      <c r="W1920" s="616">
        <v>10000</v>
      </c>
      <c r="X1920" s="617">
        <v>14</v>
      </c>
      <c r="Y1920" s="617" t="s">
        <v>450</v>
      </c>
      <c r="Z1920" s="617" t="s">
        <v>178</v>
      </c>
      <c r="AA1920" s="618">
        <v>46595</v>
      </c>
      <c r="AB1920" s="618" t="s">
        <v>164</v>
      </c>
      <c r="AC1920" s="618">
        <v>35980</v>
      </c>
      <c r="AD1920" s="619">
        <v>7.1999999999999995E-2</v>
      </c>
      <c r="AE1920" s="617" t="s">
        <v>3678</v>
      </c>
    </row>
    <row r="1921" spans="1:31" s="572" customFormat="1">
      <c r="A1921" s="570" t="s">
        <v>3684</v>
      </c>
      <c r="B1921" s="569" t="s">
        <v>166</v>
      </c>
      <c r="C1921" s="580">
        <v>17</v>
      </c>
      <c r="D1921" s="569" t="s">
        <v>3374</v>
      </c>
      <c r="E1921" s="569" t="s">
        <v>187</v>
      </c>
      <c r="F1921" s="569" t="s">
        <v>153</v>
      </c>
      <c r="G1921" s="569">
        <v>2019</v>
      </c>
      <c r="H1921" s="569" t="s">
        <v>3670</v>
      </c>
      <c r="I1921" s="569" t="s">
        <v>3384</v>
      </c>
      <c r="J1921" s="569" t="s">
        <v>752</v>
      </c>
      <c r="K1921" s="569">
        <v>6</v>
      </c>
      <c r="L1921" s="569">
        <v>0</v>
      </c>
      <c r="M1921" s="569" t="s">
        <v>157</v>
      </c>
      <c r="N1921" s="569">
        <v>2</v>
      </c>
      <c r="O1921" s="569" t="s">
        <v>3508</v>
      </c>
      <c r="P1921" s="568">
        <v>22700</v>
      </c>
      <c r="Q1921" s="569" t="s">
        <v>798</v>
      </c>
      <c r="R1921" s="569">
        <v>8</v>
      </c>
      <c r="S1921" s="569" t="s">
        <v>3682</v>
      </c>
      <c r="T1921" s="569" t="s">
        <v>213</v>
      </c>
      <c r="U1921" s="569">
        <v>167.7</v>
      </c>
      <c r="V1921" s="569">
        <v>36</v>
      </c>
      <c r="W1921" s="620">
        <v>11000</v>
      </c>
      <c r="X1921" s="621" t="s">
        <v>157</v>
      </c>
      <c r="Y1921" s="621" t="s">
        <v>450</v>
      </c>
      <c r="Z1921" s="621" t="s">
        <v>178</v>
      </c>
      <c r="AA1921" s="622">
        <v>49695</v>
      </c>
      <c r="AB1921" s="622" t="s">
        <v>164</v>
      </c>
      <c r="AC1921" s="622">
        <v>38540</v>
      </c>
      <c r="AD1921" s="623">
        <v>7.1999999999999995E-2</v>
      </c>
      <c r="AE1921" s="621" t="s">
        <v>3681</v>
      </c>
    </row>
    <row r="1922" spans="1:31" s="572" customFormat="1">
      <c r="A1922" s="570" t="s">
        <v>3685</v>
      </c>
      <c r="B1922" s="573" t="s">
        <v>169</v>
      </c>
      <c r="C1922" s="578">
        <v>11</v>
      </c>
      <c r="D1922" s="573" t="s">
        <v>3374</v>
      </c>
      <c r="E1922" s="573" t="s">
        <v>187</v>
      </c>
      <c r="F1922" s="573" t="s">
        <v>153</v>
      </c>
      <c r="G1922" s="573">
        <v>2019</v>
      </c>
      <c r="H1922" s="573" t="s">
        <v>3670</v>
      </c>
      <c r="I1922" s="573" t="s">
        <v>3410</v>
      </c>
      <c r="J1922" s="573" t="s">
        <v>3377</v>
      </c>
      <c r="K1922" s="573">
        <v>6</v>
      </c>
      <c r="L1922" s="573">
        <v>0</v>
      </c>
      <c r="M1922" s="573" t="s">
        <v>157</v>
      </c>
      <c r="N1922" s="573">
        <v>2</v>
      </c>
      <c r="O1922" s="573" t="s">
        <v>3471</v>
      </c>
      <c r="P1922" s="571">
        <v>13000</v>
      </c>
      <c r="Q1922" s="573" t="s">
        <v>798</v>
      </c>
      <c r="R1922" s="573">
        <v>8</v>
      </c>
      <c r="S1922" s="582" t="s">
        <v>3671</v>
      </c>
      <c r="T1922" s="573" t="s">
        <v>1522</v>
      </c>
      <c r="U1922" s="573">
        <v>153.69999999999999</v>
      </c>
      <c r="V1922" s="573">
        <v>36</v>
      </c>
      <c r="W1922" s="616">
        <v>10000</v>
      </c>
      <c r="X1922" s="617">
        <v>15</v>
      </c>
      <c r="Y1922" s="617" t="s">
        <v>450</v>
      </c>
      <c r="Z1922" s="617" t="s">
        <v>178</v>
      </c>
      <c r="AA1922" s="618">
        <v>41990</v>
      </c>
      <c r="AB1922" s="618" t="s">
        <v>164</v>
      </c>
      <c r="AC1922" s="618">
        <v>32707.000000000004</v>
      </c>
      <c r="AD1922" s="619">
        <v>0.05</v>
      </c>
      <c r="AE1922" s="617" t="s">
        <v>3686</v>
      </c>
    </row>
    <row r="1923" spans="1:31" s="572" customFormat="1">
      <c r="A1923" s="570" t="s">
        <v>3687</v>
      </c>
      <c r="B1923" s="569" t="s">
        <v>169</v>
      </c>
      <c r="C1923" s="580">
        <v>11</v>
      </c>
      <c r="D1923" s="569" t="s">
        <v>3374</v>
      </c>
      <c r="E1923" s="569" t="s">
        <v>187</v>
      </c>
      <c r="F1923" s="569" t="s">
        <v>153</v>
      </c>
      <c r="G1923" s="569">
        <v>2019</v>
      </c>
      <c r="H1923" s="569" t="s">
        <v>3670</v>
      </c>
      <c r="I1923" s="569" t="s">
        <v>3410</v>
      </c>
      <c r="J1923" s="569" t="s">
        <v>3377</v>
      </c>
      <c r="K1923" s="569">
        <v>6</v>
      </c>
      <c r="L1923" s="569">
        <v>0</v>
      </c>
      <c r="M1923" s="569" t="s">
        <v>157</v>
      </c>
      <c r="N1923" s="569">
        <v>2</v>
      </c>
      <c r="O1923" s="569" t="s">
        <v>3508</v>
      </c>
      <c r="P1923" s="568">
        <v>20000</v>
      </c>
      <c r="Q1923" s="569" t="s">
        <v>798</v>
      </c>
      <c r="R1923" s="569">
        <v>8</v>
      </c>
      <c r="S1923" s="569" t="s">
        <v>3674</v>
      </c>
      <c r="T1923" s="569" t="s">
        <v>1522</v>
      </c>
      <c r="U1923" s="569">
        <v>167.7</v>
      </c>
      <c r="V1923" s="569">
        <v>36</v>
      </c>
      <c r="W1923" s="620">
        <v>10000</v>
      </c>
      <c r="X1923" s="621">
        <v>15</v>
      </c>
      <c r="Y1923" s="621" t="s">
        <v>450</v>
      </c>
      <c r="Z1923" s="621" t="s">
        <v>178</v>
      </c>
      <c r="AA1923" s="622">
        <v>42190</v>
      </c>
      <c r="AB1923" s="622" t="s">
        <v>164</v>
      </c>
      <c r="AC1923" s="622">
        <v>32905.315789473687</v>
      </c>
      <c r="AD1923" s="623">
        <v>0.05</v>
      </c>
      <c r="AE1923" s="621" t="s">
        <v>3688</v>
      </c>
    </row>
    <row r="1924" spans="1:31" s="572" customFormat="1">
      <c r="A1924" s="570" t="s">
        <v>3689</v>
      </c>
      <c r="B1924" s="573" t="s">
        <v>166</v>
      </c>
      <c r="C1924" s="578">
        <v>17</v>
      </c>
      <c r="D1924" s="573" t="s">
        <v>3374</v>
      </c>
      <c r="E1924" s="573" t="s">
        <v>187</v>
      </c>
      <c r="F1924" s="573" t="s">
        <v>153</v>
      </c>
      <c r="G1924" s="573">
        <v>2019</v>
      </c>
      <c r="H1924" s="573" t="s">
        <v>3670</v>
      </c>
      <c r="I1924" s="573" t="s">
        <v>3410</v>
      </c>
      <c r="J1924" s="573" t="s">
        <v>3377</v>
      </c>
      <c r="K1924" s="573">
        <v>6</v>
      </c>
      <c r="L1924" s="573">
        <v>0</v>
      </c>
      <c r="M1924" s="573" t="s">
        <v>157</v>
      </c>
      <c r="N1924" s="573">
        <v>2</v>
      </c>
      <c r="O1924" s="573" t="s">
        <v>3471</v>
      </c>
      <c r="P1924" s="571">
        <v>17500</v>
      </c>
      <c r="Q1924" s="573" t="s">
        <v>798</v>
      </c>
      <c r="R1924" s="573">
        <v>8</v>
      </c>
      <c r="S1924" s="582" t="s">
        <v>3671</v>
      </c>
      <c r="T1924" s="573" t="s">
        <v>1522</v>
      </c>
      <c r="U1924" s="573">
        <v>153.69999999999999</v>
      </c>
      <c r="V1924" s="573">
        <v>36</v>
      </c>
      <c r="W1924" s="616">
        <v>10000</v>
      </c>
      <c r="X1924" s="617">
        <v>15</v>
      </c>
      <c r="Y1924" s="617" t="s">
        <v>450</v>
      </c>
      <c r="Z1924" s="617" t="s">
        <v>178</v>
      </c>
      <c r="AA1924" s="618">
        <v>41495</v>
      </c>
      <c r="AB1924" s="618" t="s">
        <v>164</v>
      </c>
      <c r="AC1924" s="618">
        <v>32120</v>
      </c>
      <c r="AD1924" s="619">
        <v>7.1999999999999995E-2</v>
      </c>
      <c r="AE1924" s="617" t="s">
        <v>3686</v>
      </c>
    </row>
    <row r="1925" spans="1:31" s="572" customFormat="1">
      <c r="A1925" s="570" t="s">
        <v>3690</v>
      </c>
      <c r="B1925" s="569" t="s">
        <v>166</v>
      </c>
      <c r="C1925" s="580">
        <v>17</v>
      </c>
      <c r="D1925" s="569" t="s">
        <v>3374</v>
      </c>
      <c r="E1925" s="569" t="s">
        <v>187</v>
      </c>
      <c r="F1925" s="569" t="s">
        <v>153</v>
      </c>
      <c r="G1925" s="569">
        <v>2019</v>
      </c>
      <c r="H1925" s="569" t="s">
        <v>3670</v>
      </c>
      <c r="I1925" s="569" t="s">
        <v>3410</v>
      </c>
      <c r="J1925" s="569" t="s">
        <v>3377</v>
      </c>
      <c r="K1925" s="569">
        <v>6</v>
      </c>
      <c r="L1925" s="569">
        <v>0</v>
      </c>
      <c r="M1925" s="569" t="s">
        <v>157</v>
      </c>
      <c r="N1925" s="569">
        <v>2</v>
      </c>
      <c r="O1925" s="569" t="s">
        <v>3508</v>
      </c>
      <c r="P1925" s="568">
        <v>23100</v>
      </c>
      <c r="Q1925" s="569" t="s">
        <v>798</v>
      </c>
      <c r="R1925" s="569">
        <v>8</v>
      </c>
      <c r="S1925" s="569" t="s">
        <v>3674</v>
      </c>
      <c r="T1925" s="569" t="s">
        <v>1522</v>
      </c>
      <c r="U1925" s="569">
        <v>167.7</v>
      </c>
      <c r="V1925" s="569">
        <v>36</v>
      </c>
      <c r="W1925" s="620">
        <v>10000</v>
      </c>
      <c r="X1925" s="621">
        <v>15</v>
      </c>
      <c r="Y1925" s="621" t="s">
        <v>450</v>
      </c>
      <c r="Z1925" s="621" t="s">
        <v>178</v>
      </c>
      <c r="AA1925" s="622">
        <v>42195</v>
      </c>
      <c r="AB1925" s="622" t="s">
        <v>164</v>
      </c>
      <c r="AC1925" s="622">
        <v>32875</v>
      </c>
      <c r="AD1925" s="623">
        <v>7.1999999999999995E-2</v>
      </c>
      <c r="AE1925" s="621" t="s">
        <v>3688</v>
      </c>
    </row>
    <row r="1926" spans="1:31" s="572" customFormat="1">
      <c r="A1926" s="570" t="s">
        <v>3691</v>
      </c>
      <c r="B1926" s="573" t="s">
        <v>169</v>
      </c>
      <c r="C1926" s="578">
        <v>11</v>
      </c>
      <c r="D1926" s="573" t="s">
        <v>3374</v>
      </c>
      <c r="E1926" s="573" t="s">
        <v>187</v>
      </c>
      <c r="F1926" s="573" t="s">
        <v>153</v>
      </c>
      <c r="G1926" s="573">
        <v>2019</v>
      </c>
      <c r="H1926" s="573" t="s">
        <v>3670</v>
      </c>
      <c r="I1926" s="573" t="s">
        <v>3410</v>
      </c>
      <c r="J1926" s="573" t="s">
        <v>752</v>
      </c>
      <c r="K1926" s="573">
        <v>6</v>
      </c>
      <c r="L1926" s="573">
        <v>0</v>
      </c>
      <c r="M1926" s="573" t="s">
        <v>157</v>
      </c>
      <c r="N1926" s="573">
        <v>2</v>
      </c>
      <c r="O1926" s="573" t="s">
        <v>3471</v>
      </c>
      <c r="P1926" s="571">
        <v>13000</v>
      </c>
      <c r="Q1926" s="573" t="s">
        <v>798</v>
      </c>
      <c r="R1926" s="573">
        <v>8</v>
      </c>
      <c r="S1926" s="582" t="s">
        <v>3679</v>
      </c>
      <c r="T1926" s="573" t="s">
        <v>1522</v>
      </c>
      <c r="U1926" s="573">
        <v>153.69999999999999</v>
      </c>
      <c r="V1926" s="573">
        <v>36</v>
      </c>
      <c r="W1926" s="616">
        <v>10000</v>
      </c>
      <c r="X1926" s="617">
        <v>14</v>
      </c>
      <c r="Y1926" s="617" t="s">
        <v>450</v>
      </c>
      <c r="Z1926" s="617" t="s">
        <v>178</v>
      </c>
      <c r="AA1926" s="618">
        <v>44890</v>
      </c>
      <c r="AB1926" s="618" t="s">
        <v>164</v>
      </c>
      <c r="AC1926" s="618">
        <v>34951</v>
      </c>
      <c r="AD1926" s="619">
        <v>0.05</v>
      </c>
      <c r="AE1926" s="617" t="s">
        <v>3692</v>
      </c>
    </row>
    <row r="1927" spans="1:31" s="572" customFormat="1">
      <c r="A1927" s="570" t="s">
        <v>3693</v>
      </c>
      <c r="B1927" s="569" t="s">
        <v>169</v>
      </c>
      <c r="C1927" s="580">
        <v>11</v>
      </c>
      <c r="D1927" s="569" t="s">
        <v>3374</v>
      </c>
      <c r="E1927" s="569" t="s">
        <v>187</v>
      </c>
      <c r="F1927" s="569" t="s">
        <v>153</v>
      </c>
      <c r="G1927" s="569">
        <v>2019</v>
      </c>
      <c r="H1927" s="569" t="s">
        <v>3670</v>
      </c>
      <c r="I1927" s="569" t="s">
        <v>3410</v>
      </c>
      <c r="J1927" s="569" t="s">
        <v>752</v>
      </c>
      <c r="K1927" s="569">
        <v>6</v>
      </c>
      <c r="L1927" s="569">
        <v>0</v>
      </c>
      <c r="M1927" s="569" t="s">
        <v>157</v>
      </c>
      <c r="N1927" s="569">
        <v>2</v>
      </c>
      <c r="O1927" s="569" t="s">
        <v>3508</v>
      </c>
      <c r="P1927" s="568">
        <v>20000</v>
      </c>
      <c r="Q1927" s="569" t="s">
        <v>798</v>
      </c>
      <c r="R1927" s="569">
        <v>8</v>
      </c>
      <c r="S1927" s="569" t="s">
        <v>3682</v>
      </c>
      <c r="T1927" s="569" t="s">
        <v>1522</v>
      </c>
      <c r="U1927" s="569">
        <v>167.7</v>
      </c>
      <c r="V1927" s="569">
        <v>36</v>
      </c>
      <c r="W1927" s="620">
        <v>11000</v>
      </c>
      <c r="X1927" s="621" t="s">
        <v>157</v>
      </c>
      <c r="Y1927" s="621" t="s">
        <v>450</v>
      </c>
      <c r="Z1927" s="621" t="s">
        <v>178</v>
      </c>
      <c r="AA1927" s="622">
        <v>44695</v>
      </c>
      <c r="AB1927" s="622" t="s">
        <v>164</v>
      </c>
      <c r="AC1927" s="622">
        <v>34770.947368421053</v>
      </c>
      <c r="AD1927" s="623">
        <v>0.05</v>
      </c>
      <c r="AE1927" s="621" t="s">
        <v>3694</v>
      </c>
    </row>
    <row r="1928" spans="1:31" s="572" customFormat="1">
      <c r="A1928" s="570" t="s">
        <v>3695</v>
      </c>
      <c r="B1928" s="573" t="s">
        <v>150</v>
      </c>
      <c r="C1928" s="578">
        <v>13</v>
      </c>
      <c r="D1928" s="573" t="s">
        <v>3374</v>
      </c>
      <c r="E1928" s="573" t="s">
        <v>187</v>
      </c>
      <c r="F1928" s="573" t="s">
        <v>153</v>
      </c>
      <c r="G1928" s="573">
        <v>2019</v>
      </c>
      <c r="H1928" s="573" t="s">
        <v>3670</v>
      </c>
      <c r="I1928" s="573" t="s">
        <v>3410</v>
      </c>
      <c r="J1928" s="573" t="s">
        <v>752</v>
      </c>
      <c r="K1928" s="573">
        <v>6</v>
      </c>
      <c r="L1928" s="573">
        <v>0</v>
      </c>
      <c r="M1928" s="573" t="s">
        <v>157</v>
      </c>
      <c r="N1928" s="573">
        <v>2</v>
      </c>
      <c r="O1928" s="573" t="s">
        <v>3471</v>
      </c>
      <c r="P1928" s="571">
        <v>17200</v>
      </c>
      <c r="Q1928" s="573" t="s">
        <v>798</v>
      </c>
      <c r="R1928" s="573">
        <v>8</v>
      </c>
      <c r="S1928" s="582" t="s">
        <v>3679</v>
      </c>
      <c r="T1928" s="573" t="s">
        <v>1522</v>
      </c>
      <c r="U1928" s="573">
        <v>153.69999999999999</v>
      </c>
      <c r="V1928" s="573">
        <v>36</v>
      </c>
      <c r="W1928" s="616">
        <v>10000</v>
      </c>
      <c r="X1928" s="617">
        <v>14</v>
      </c>
      <c r="Y1928" s="617" t="s">
        <v>450</v>
      </c>
      <c r="Z1928" s="617" t="s">
        <v>178</v>
      </c>
      <c r="AA1928" s="618">
        <v>44495</v>
      </c>
      <c r="AB1928" s="618" t="s">
        <v>164</v>
      </c>
      <c r="AC1928" s="618">
        <v>35467</v>
      </c>
      <c r="AD1928" s="619">
        <v>0.03</v>
      </c>
      <c r="AE1928" s="617" t="s">
        <v>3692</v>
      </c>
    </row>
    <row r="1929" spans="1:31" s="572" customFormat="1">
      <c r="A1929" s="570" t="s">
        <v>3696</v>
      </c>
      <c r="B1929" s="569" t="s">
        <v>150</v>
      </c>
      <c r="C1929" s="580">
        <v>13</v>
      </c>
      <c r="D1929" s="569" t="s">
        <v>3374</v>
      </c>
      <c r="E1929" s="569" t="s">
        <v>187</v>
      </c>
      <c r="F1929" s="569" t="s">
        <v>153</v>
      </c>
      <c r="G1929" s="569">
        <v>2019</v>
      </c>
      <c r="H1929" s="569" t="s">
        <v>3670</v>
      </c>
      <c r="I1929" s="569" t="s">
        <v>3410</v>
      </c>
      <c r="J1929" s="569" t="s">
        <v>752</v>
      </c>
      <c r="K1929" s="569">
        <v>6</v>
      </c>
      <c r="L1929" s="569">
        <v>0</v>
      </c>
      <c r="M1929" s="569" t="s">
        <v>157</v>
      </c>
      <c r="N1929" s="569">
        <v>2</v>
      </c>
      <c r="O1929" s="569" t="s">
        <v>3508</v>
      </c>
      <c r="P1929" s="568">
        <v>22700</v>
      </c>
      <c r="Q1929" s="569" t="s">
        <v>798</v>
      </c>
      <c r="R1929" s="569">
        <v>8</v>
      </c>
      <c r="S1929" s="569" t="s">
        <v>3682</v>
      </c>
      <c r="T1929" s="569" t="s">
        <v>1522</v>
      </c>
      <c r="U1929" s="569">
        <v>167.7</v>
      </c>
      <c r="V1929" s="569">
        <v>36</v>
      </c>
      <c r="W1929" s="620">
        <v>11000</v>
      </c>
      <c r="X1929" s="621" t="s">
        <v>157</v>
      </c>
      <c r="Y1929" s="621" t="s">
        <v>450</v>
      </c>
      <c r="Z1929" s="621" t="s">
        <v>178</v>
      </c>
      <c r="AA1929" s="622">
        <v>44695</v>
      </c>
      <c r="AB1929" s="622" t="s">
        <v>164</v>
      </c>
      <c r="AC1929" s="622">
        <v>35797</v>
      </c>
      <c r="AD1929" s="623">
        <v>0.03</v>
      </c>
      <c r="AE1929" s="621" t="s">
        <v>3694</v>
      </c>
    </row>
    <row r="1930" spans="1:31" s="572" customFormat="1">
      <c r="A1930" s="570" t="s">
        <v>3697</v>
      </c>
      <c r="B1930" s="573" t="s">
        <v>166</v>
      </c>
      <c r="C1930" s="578">
        <v>17</v>
      </c>
      <c r="D1930" s="573" t="s">
        <v>3374</v>
      </c>
      <c r="E1930" s="573" t="s">
        <v>187</v>
      </c>
      <c r="F1930" s="573" t="s">
        <v>153</v>
      </c>
      <c r="G1930" s="573">
        <v>2019</v>
      </c>
      <c r="H1930" s="573" t="s">
        <v>3670</v>
      </c>
      <c r="I1930" s="573" t="s">
        <v>3410</v>
      </c>
      <c r="J1930" s="573" t="s">
        <v>752</v>
      </c>
      <c r="K1930" s="573">
        <v>6</v>
      </c>
      <c r="L1930" s="573">
        <v>0</v>
      </c>
      <c r="M1930" s="573" t="s">
        <v>157</v>
      </c>
      <c r="N1930" s="573">
        <v>2</v>
      </c>
      <c r="O1930" s="573" t="s">
        <v>3471</v>
      </c>
      <c r="P1930" s="571">
        <v>17200</v>
      </c>
      <c r="Q1930" s="573" t="s">
        <v>798</v>
      </c>
      <c r="R1930" s="573">
        <v>8</v>
      </c>
      <c r="S1930" s="582" t="s">
        <v>3679</v>
      </c>
      <c r="T1930" s="573" t="s">
        <v>1522</v>
      </c>
      <c r="U1930" s="573">
        <v>153.69999999999999</v>
      </c>
      <c r="V1930" s="573">
        <v>36</v>
      </c>
      <c r="W1930" s="616">
        <v>10000</v>
      </c>
      <c r="X1930" s="617">
        <v>14</v>
      </c>
      <c r="Y1930" s="617" t="s">
        <v>450</v>
      </c>
      <c r="Z1930" s="617" t="s">
        <v>178</v>
      </c>
      <c r="AA1930" s="618">
        <v>44395</v>
      </c>
      <c r="AB1930" s="618" t="s">
        <v>164</v>
      </c>
      <c r="AC1930" s="618">
        <v>34201</v>
      </c>
      <c r="AD1930" s="619">
        <v>7.1999999999999995E-2</v>
      </c>
      <c r="AE1930" s="617" t="s">
        <v>3692</v>
      </c>
    </row>
    <row r="1931" spans="1:31" s="572" customFormat="1">
      <c r="A1931" s="570" t="s">
        <v>3698</v>
      </c>
      <c r="B1931" s="569" t="s">
        <v>166</v>
      </c>
      <c r="C1931" s="580">
        <v>17</v>
      </c>
      <c r="D1931" s="569" t="s">
        <v>3374</v>
      </c>
      <c r="E1931" s="569" t="s">
        <v>187</v>
      </c>
      <c r="F1931" s="569" t="s">
        <v>153</v>
      </c>
      <c r="G1931" s="569">
        <v>2019</v>
      </c>
      <c r="H1931" s="569" t="s">
        <v>3670</v>
      </c>
      <c r="I1931" s="569" t="s">
        <v>3410</v>
      </c>
      <c r="J1931" s="569" t="s">
        <v>752</v>
      </c>
      <c r="K1931" s="569">
        <v>6</v>
      </c>
      <c r="L1931" s="569">
        <v>0</v>
      </c>
      <c r="M1931" s="569" t="s">
        <v>157</v>
      </c>
      <c r="N1931" s="569">
        <v>2</v>
      </c>
      <c r="O1931" s="569" t="s">
        <v>3508</v>
      </c>
      <c r="P1931" s="568">
        <v>22700</v>
      </c>
      <c r="Q1931" s="569" t="s">
        <v>798</v>
      </c>
      <c r="R1931" s="569">
        <v>8</v>
      </c>
      <c r="S1931" s="569" t="s">
        <v>3682</v>
      </c>
      <c r="T1931" s="569" t="s">
        <v>1522</v>
      </c>
      <c r="U1931" s="569">
        <v>167.7</v>
      </c>
      <c r="V1931" s="569">
        <v>36</v>
      </c>
      <c r="W1931" s="620">
        <v>11000</v>
      </c>
      <c r="X1931" s="621" t="s">
        <v>157</v>
      </c>
      <c r="Y1931" s="621" t="s">
        <v>450</v>
      </c>
      <c r="Z1931" s="621" t="s">
        <v>178</v>
      </c>
      <c r="AA1931" s="622">
        <v>44695</v>
      </c>
      <c r="AB1931" s="622" t="s">
        <v>164</v>
      </c>
      <c r="AC1931" s="622">
        <v>34821</v>
      </c>
      <c r="AD1931" s="623">
        <v>7.1999999999999995E-2</v>
      </c>
      <c r="AE1931" s="621" t="s">
        <v>3694</v>
      </c>
    </row>
    <row r="1932" spans="1:31" s="572" customFormat="1">
      <c r="A1932" s="570" t="s">
        <v>3699</v>
      </c>
      <c r="B1932" s="573" t="s">
        <v>150</v>
      </c>
      <c r="C1932" s="578">
        <v>13</v>
      </c>
      <c r="D1932" s="573" t="s">
        <v>3374</v>
      </c>
      <c r="E1932" s="573" t="s">
        <v>187</v>
      </c>
      <c r="F1932" s="573" t="s">
        <v>153</v>
      </c>
      <c r="G1932" s="573">
        <v>2019</v>
      </c>
      <c r="H1932" s="573" t="s">
        <v>3670</v>
      </c>
      <c r="I1932" s="573" t="s">
        <v>3569</v>
      </c>
      <c r="J1932" s="573" t="s">
        <v>752</v>
      </c>
      <c r="K1932" s="573">
        <v>6</v>
      </c>
      <c r="L1932" s="573">
        <v>0</v>
      </c>
      <c r="M1932" s="573" t="s">
        <v>157</v>
      </c>
      <c r="N1932" s="573">
        <v>2</v>
      </c>
      <c r="O1932" s="573" t="s">
        <v>3508</v>
      </c>
      <c r="P1932" s="571">
        <v>13900</v>
      </c>
      <c r="Q1932" s="573" t="s">
        <v>798</v>
      </c>
      <c r="R1932" s="573">
        <v>8</v>
      </c>
      <c r="S1932" s="582" t="s">
        <v>3701</v>
      </c>
      <c r="T1932" s="573" t="s">
        <v>1522</v>
      </c>
      <c r="U1932" s="573">
        <v>158.1</v>
      </c>
      <c r="V1932" s="573">
        <v>36</v>
      </c>
      <c r="W1932" s="616">
        <v>10000</v>
      </c>
      <c r="X1932" s="617">
        <v>14</v>
      </c>
      <c r="Y1932" s="617" t="s">
        <v>450</v>
      </c>
      <c r="Z1932" s="617" t="s">
        <v>178</v>
      </c>
      <c r="AA1932" s="618">
        <v>45459</v>
      </c>
      <c r="AB1932" s="618" t="s">
        <v>164</v>
      </c>
      <c r="AC1932" s="618">
        <v>40144</v>
      </c>
      <c r="AD1932" s="619">
        <v>0.03</v>
      </c>
      <c r="AE1932" s="617" t="s">
        <v>3700</v>
      </c>
    </row>
    <row r="1933" spans="1:31" s="572" customFormat="1">
      <c r="A1933" s="570" t="s">
        <v>3702</v>
      </c>
      <c r="B1933" s="569" t="s">
        <v>150</v>
      </c>
      <c r="C1933" s="580">
        <v>13</v>
      </c>
      <c r="D1933" s="569" t="s">
        <v>3374</v>
      </c>
      <c r="E1933" s="569" t="s">
        <v>187</v>
      </c>
      <c r="F1933" s="569" t="s">
        <v>153</v>
      </c>
      <c r="G1933" s="569">
        <v>2019</v>
      </c>
      <c r="H1933" s="569" t="s">
        <v>3670</v>
      </c>
      <c r="I1933" s="569" t="s">
        <v>3580</v>
      </c>
      <c r="J1933" s="569" t="s">
        <v>752</v>
      </c>
      <c r="K1933" s="569">
        <v>3</v>
      </c>
      <c r="L1933" s="569">
        <v>0</v>
      </c>
      <c r="M1933" s="569" t="s">
        <v>157</v>
      </c>
      <c r="N1933" s="569">
        <v>1</v>
      </c>
      <c r="O1933" s="569" t="s">
        <v>3508</v>
      </c>
      <c r="P1933" s="568">
        <v>14300</v>
      </c>
      <c r="Q1933" s="569" t="s">
        <v>798</v>
      </c>
      <c r="R1933" s="569">
        <v>8</v>
      </c>
      <c r="S1933" s="569" t="s">
        <v>3704</v>
      </c>
      <c r="T1933" s="569" t="s">
        <v>1522</v>
      </c>
      <c r="U1933" s="569">
        <v>133.6</v>
      </c>
      <c r="V1933" s="569">
        <v>36</v>
      </c>
      <c r="W1933" s="620">
        <v>10000</v>
      </c>
      <c r="X1933" s="621">
        <v>14</v>
      </c>
      <c r="Y1933" s="621" t="s">
        <v>450</v>
      </c>
      <c r="Z1933" s="621" t="s">
        <v>178</v>
      </c>
      <c r="AA1933" s="622">
        <v>41994</v>
      </c>
      <c r="AB1933" s="622" t="s">
        <v>164</v>
      </c>
      <c r="AC1933" s="622">
        <v>37208</v>
      </c>
      <c r="AD1933" s="623">
        <v>0.03</v>
      </c>
      <c r="AE1933" s="621" t="s">
        <v>3703</v>
      </c>
    </row>
    <row r="1934" spans="1:31" s="572" customFormat="1">
      <c r="A1934" s="570" t="s">
        <v>3705</v>
      </c>
      <c r="B1934" s="573" t="s">
        <v>169</v>
      </c>
      <c r="C1934" s="578">
        <v>11</v>
      </c>
      <c r="D1934" s="573" t="s">
        <v>3374</v>
      </c>
      <c r="E1934" s="573" t="s">
        <v>1684</v>
      </c>
      <c r="F1934" s="573" t="s">
        <v>153</v>
      </c>
      <c r="G1934" s="573">
        <v>2019</v>
      </c>
      <c r="H1934" s="573" t="s">
        <v>3707</v>
      </c>
      <c r="I1934" s="573" t="s">
        <v>3384</v>
      </c>
      <c r="J1934" s="573" t="s">
        <v>3377</v>
      </c>
      <c r="K1934" s="573">
        <v>6</v>
      </c>
      <c r="L1934" s="573">
        <v>0</v>
      </c>
      <c r="M1934" s="573" t="s">
        <v>157</v>
      </c>
      <c r="N1934" s="573">
        <v>2</v>
      </c>
      <c r="O1934" s="573" t="s">
        <v>157</v>
      </c>
      <c r="P1934" s="571" t="s">
        <v>157</v>
      </c>
      <c r="Q1934" s="573" t="s">
        <v>798</v>
      </c>
      <c r="R1934" s="573">
        <v>8</v>
      </c>
      <c r="S1934" s="582" t="s">
        <v>3708</v>
      </c>
      <c r="T1934" s="573" t="s">
        <v>213</v>
      </c>
      <c r="U1934" s="573">
        <v>171.5</v>
      </c>
      <c r="V1934" s="573">
        <v>23.5</v>
      </c>
      <c r="W1934" s="616">
        <v>13200</v>
      </c>
      <c r="X1934" s="617" t="s">
        <v>157</v>
      </c>
      <c r="Y1934" s="617" t="s">
        <v>450</v>
      </c>
      <c r="Z1934" s="617" t="s">
        <v>178</v>
      </c>
      <c r="AA1934" s="618">
        <v>44495</v>
      </c>
      <c r="AB1934" s="618" t="s">
        <v>164</v>
      </c>
      <c r="AC1934" s="618">
        <v>34856.84210526316</v>
      </c>
      <c r="AD1934" s="619">
        <v>0.05</v>
      </c>
      <c r="AE1934" s="617" t="s">
        <v>3706</v>
      </c>
    </row>
    <row r="1935" spans="1:31" s="572" customFormat="1">
      <c r="A1935" s="570" t="s">
        <v>3709</v>
      </c>
      <c r="B1935" s="569" t="s">
        <v>166</v>
      </c>
      <c r="C1935" s="580">
        <v>17</v>
      </c>
      <c r="D1935" s="569" t="s">
        <v>3374</v>
      </c>
      <c r="E1935" s="569" t="s">
        <v>1684</v>
      </c>
      <c r="F1935" s="569" t="s">
        <v>153</v>
      </c>
      <c r="G1935" s="569">
        <v>2019</v>
      </c>
      <c r="H1935" s="569" t="s">
        <v>3707</v>
      </c>
      <c r="I1935" s="569" t="s">
        <v>3384</v>
      </c>
      <c r="J1935" s="569" t="s">
        <v>3377</v>
      </c>
      <c r="K1935" s="569">
        <v>6</v>
      </c>
      <c r="L1935" s="569">
        <v>0</v>
      </c>
      <c r="M1935" s="569" t="s">
        <v>157</v>
      </c>
      <c r="N1935" s="569">
        <v>2</v>
      </c>
      <c r="O1935" s="569" t="s">
        <v>157</v>
      </c>
      <c r="P1935" s="568" t="s">
        <v>157</v>
      </c>
      <c r="Q1935" s="569" t="s">
        <v>798</v>
      </c>
      <c r="R1935" s="569">
        <v>8</v>
      </c>
      <c r="S1935" s="569" t="s">
        <v>3708</v>
      </c>
      <c r="T1935" s="569" t="s">
        <v>213</v>
      </c>
      <c r="U1935" s="569">
        <v>171.5</v>
      </c>
      <c r="V1935" s="569">
        <v>23.5</v>
      </c>
      <c r="W1935" s="620">
        <v>13200</v>
      </c>
      <c r="X1935" s="621" t="s">
        <v>157</v>
      </c>
      <c r="Y1935" s="621" t="s">
        <v>450</v>
      </c>
      <c r="Z1935" s="621" t="s">
        <v>178</v>
      </c>
      <c r="AA1935" s="622">
        <v>36195</v>
      </c>
      <c r="AB1935" s="622" t="s">
        <v>164</v>
      </c>
      <c r="AC1935" s="622">
        <v>27744</v>
      </c>
      <c r="AD1935" s="623">
        <v>7.1999999999999995E-2</v>
      </c>
      <c r="AE1935" s="621" t="s">
        <v>3706</v>
      </c>
    </row>
    <row r="1936" spans="1:31" s="572" customFormat="1">
      <c r="A1936" s="570" t="s">
        <v>3710</v>
      </c>
      <c r="B1936" s="573" t="s">
        <v>169</v>
      </c>
      <c r="C1936" s="578">
        <v>11</v>
      </c>
      <c r="D1936" s="573" t="s">
        <v>3374</v>
      </c>
      <c r="E1936" s="573" t="s">
        <v>1684</v>
      </c>
      <c r="F1936" s="573" t="s">
        <v>153</v>
      </c>
      <c r="G1936" s="573">
        <v>2019</v>
      </c>
      <c r="H1936" s="573" t="s">
        <v>3707</v>
      </c>
      <c r="I1936" s="573" t="s">
        <v>3384</v>
      </c>
      <c r="J1936" s="573" t="s">
        <v>752</v>
      </c>
      <c r="K1936" s="573">
        <v>6</v>
      </c>
      <c r="L1936" s="573">
        <v>0</v>
      </c>
      <c r="M1936" s="573" t="s">
        <v>157</v>
      </c>
      <c r="N1936" s="573">
        <v>2</v>
      </c>
      <c r="O1936" s="573" t="s">
        <v>157</v>
      </c>
      <c r="P1936" s="571" t="s">
        <v>157</v>
      </c>
      <c r="Q1936" s="573" t="s">
        <v>798</v>
      </c>
      <c r="R1936" s="573">
        <v>8</v>
      </c>
      <c r="S1936" s="582" t="s">
        <v>3712</v>
      </c>
      <c r="T1936" s="573" t="s">
        <v>213</v>
      </c>
      <c r="U1936" s="573">
        <v>171.5</v>
      </c>
      <c r="V1936" s="573">
        <v>23.5</v>
      </c>
      <c r="W1936" s="616">
        <v>13200</v>
      </c>
      <c r="X1936" s="617" t="s">
        <v>157</v>
      </c>
      <c r="Y1936" s="617" t="s">
        <v>450</v>
      </c>
      <c r="Z1936" s="617" t="s">
        <v>178</v>
      </c>
      <c r="AA1936" s="618">
        <v>47695</v>
      </c>
      <c r="AB1936" s="618" t="s">
        <v>164</v>
      </c>
      <c r="AC1936" s="618">
        <v>37364.631578947374</v>
      </c>
      <c r="AD1936" s="619">
        <v>0.05</v>
      </c>
      <c r="AE1936" s="617" t="s">
        <v>3711</v>
      </c>
    </row>
    <row r="1937" spans="1:31" s="572" customFormat="1">
      <c r="A1937" s="570" t="s">
        <v>3713</v>
      </c>
      <c r="B1937" s="569" t="s">
        <v>166</v>
      </c>
      <c r="C1937" s="580">
        <v>17</v>
      </c>
      <c r="D1937" s="569" t="s">
        <v>3374</v>
      </c>
      <c r="E1937" s="569" t="s">
        <v>1684</v>
      </c>
      <c r="F1937" s="569" t="s">
        <v>153</v>
      </c>
      <c r="G1937" s="569">
        <v>2019</v>
      </c>
      <c r="H1937" s="569" t="s">
        <v>3707</v>
      </c>
      <c r="I1937" s="569" t="s">
        <v>3384</v>
      </c>
      <c r="J1937" s="569" t="s">
        <v>752</v>
      </c>
      <c r="K1937" s="569">
        <v>6</v>
      </c>
      <c r="L1937" s="569">
        <v>0</v>
      </c>
      <c r="M1937" s="569" t="s">
        <v>157</v>
      </c>
      <c r="N1937" s="569">
        <v>2</v>
      </c>
      <c r="O1937" s="569" t="s">
        <v>157</v>
      </c>
      <c r="P1937" s="568" t="s">
        <v>157</v>
      </c>
      <c r="Q1937" s="569" t="s">
        <v>798</v>
      </c>
      <c r="R1937" s="569">
        <v>8</v>
      </c>
      <c r="S1937" s="569" t="s">
        <v>3712</v>
      </c>
      <c r="T1937" s="569" t="s">
        <v>213</v>
      </c>
      <c r="U1937" s="569">
        <v>171.5</v>
      </c>
      <c r="V1937" s="569">
        <v>23.5</v>
      </c>
      <c r="W1937" s="620">
        <v>13200</v>
      </c>
      <c r="X1937" s="621" t="s">
        <v>157</v>
      </c>
      <c r="Y1937" s="621" t="s">
        <v>450</v>
      </c>
      <c r="Z1937" s="621" t="s">
        <v>178</v>
      </c>
      <c r="AA1937" s="622">
        <v>47195</v>
      </c>
      <c r="AB1937" s="622" t="s">
        <v>164</v>
      </c>
      <c r="AC1937" s="622">
        <v>36301</v>
      </c>
      <c r="AD1937" s="623">
        <v>7.1999999999999995E-2</v>
      </c>
      <c r="AE1937" s="621" t="s">
        <v>3711</v>
      </c>
    </row>
    <row r="1938" spans="1:31" s="572" customFormat="1">
      <c r="A1938" s="570" t="s">
        <v>3714</v>
      </c>
      <c r="B1938" s="573" t="s">
        <v>169</v>
      </c>
      <c r="C1938" s="578">
        <v>11</v>
      </c>
      <c r="D1938" s="573" t="s">
        <v>3374</v>
      </c>
      <c r="E1938" s="573" t="s">
        <v>1684</v>
      </c>
      <c r="F1938" s="573" t="s">
        <v>153</v>
      </c>
      <c r="G1938" s="573">
        <v>2019</v>
      </c>
      <c r="H1938" s="573" t="s">
        <v>3707</v>
      </c>
      <c r="I1938" s="573" t="s">
        <v>3630</v>
      </c>
      <c r="J1938" s="573" t="s">
        <v>3377</v>
      </c>
      <c r="K1938" s="573">
        <v>3</v>
      </c>
      <c r="L1938" s="573">
        <v>0</v>
      </c>
      <c r="M1938" s="573" t="s">
        <v>157</v>
      </c>
      <c r="N1938" s="573">
        <v>1</v>
      </c>
      <c r="O1938" s="573" t="s">
        <v>157</v>
      </c>
      <c r="P1938" s="571" t="s">
        <v>157</v>
      </c>
      <c r="Q1938" s="573" t="s">
        <v>798</v>
      </c>
      <c r="R1938" s="573">
        <v>8</v>
      </c>
      <c r="S1938" s="582" t="s">
        <v>3716</v>
      </c>
      <c r="T1938" s="573" t="s">
        <v>213</v>
      </c>
      <c r="U1938" s="573">
        <v>137.5</v>
      </c>
      <c r="V1938" s="573">
        <v>23.5</v>
      </c>
      <c r="W1938" s="616">
        <v>13200</v>
      </c>
      <c r="X1938" s="617" t="s">
        <v>157</v>
      </c>
      <c r="Y1938" s="617" t="s">
        <v>450</v>
      </c>
      <c r="Z1938" s="617" t="s">
        <v>178</v>
      </c>
      <c r="AA1938" s="618">
        <v>39395</v>
      </c>
      <c r="AB1938" s="618" t="s">
        <v>164</v>
      </c>
      <c r="AC1938" s="618">
        <v>30379.789473684214</v>
      </c>
      <c r="AD1938" s="619">
        <v>0.05</v>
      </c>
      <c r="AE1938" s="617" t="s">
        <v>3715</v>
      </c>
    </row>
    <row r="1939" spans="1:31" s="572" customFormat="1">
      <c r="A1939" s="570" t="s">
        <v>3717</v>
      </c>
      <c r="B1939" s="569" t="s">
        <v>169</v>
      </c>
      <c r="C1939" s="580">
        <v>11</v>
      </c>
      <c r="D1939" s="569" t="s">
        <v>3374</v>
      </c>
      <c r="E1939" s="569" t="s">
        <v>1684</v>
      </c>
      <c r="F1939" s="569" t="s">
        <v>153</v>
      </c>
      <c r="G1939" s="569">
        <v>2019</v>
      </c>
      <c r="H1939" s="569" t="s">
        <v>3707</v>
      </c>
      <c r="I1939" s="569" t="s">
        <v>3630</v>
      </c>
      <c r="J1939" s="569" t="s">
        <v>3377</v>
      </c>
      <c r="K1939" s="569">
        <v>3</v>
      </c>
      <c r="L1939" s="569">
        <v>0</v>
      </c>
      <c r="M1939" s="569" t="s">
        <v>157</v>
      </c>
      <c r="N1939" s="569">
        <v>1</v>
      </c>
      <c r="O1939" s="569" t="s">
        <v>157</v>
      </c>
      <c r="P1939" s="568" t="s">
        <v>157</v>
      </c>
      <c r="Q1939" s="569" t="s">
        <v>798</v>
      </c>
      <c r="R1939" s="569">
        <v>8</v>
      </c>
      <c r="S1939" s="569" t="s">
        <v>3719</v>
      </c>
      <c r="T1939" s="569" t="s">
        <v>213</v>
      </c>
      <c r="U1939" s="569">
        <v>162</v>
      </c>
      <c r="V1939" s="569">
        <v>23.5</v>
      </c>
      <c r="W1939" s="620">
        <v>13200</v>
      </c>
      <c r="X1939" s="621" t="s">
        <v>157</v>
      </c>
      <c r="Y1939" s="621" t="s">
        <v>450</v>
      </c>
      <c r="Z1939" s="621" t="s">
        <v>178</v>
      </c>
      <c r="AA1939" s="622">
        <v>37004.199999999997</v>
      </c>
      <c r="AB1939" s="622" t="s">
        <v>164</v>
      </c>
      <c r="AC1939" s="622">
        <v>33303.157894736847</v>
      </c>
      <c r="AD1939" s="623">
        <v>0.05</v>
      </c>
      <c r="AE1939" s="621" t="s">
        <v>3718</v>
      </c>
    </row>
    <row r="1940" spans="1:31" s="572" customFormat="1">
      <c r="A1940" s="570" t="s">
        <v>3720</v>
      </c>
      <c r="B1940" s="573" t="s">
        <v>166</v>
      </c>
      <c r="C1940" s="578">
        <v>17</v>
      </c>
      <c r="D1940" s="573" t="s">
        <v>3374</v>
      </c>
      <c r="E1940" s="573" t="s">
        <v>1684</v>
      </c>
      <c r="F1940" s="573" t="s">
        <v>153</v>
      </c>
      <c r="G1940" s="573">
        <v>2019</v>
      </c>
      <c r="H1940" s="573" t="s">
        <v>3707</v>
      </c>
      <c r="I1940" s="573" t="s">
        <v>3630</v>
      </c>
      <c r="J1940" s="573" t="s">
        <v>3377</v>
      </c>
      <c r="K1940" s="573">
        <v>3</v>
      </c>
      <c r="L1940" s="573">
        <v>0</v>
      </c>
      <c r="M1940" s="573" t="s">
        <v>157</v>
      </c>
      <c r="N1940" s="573">
        <v>1</v>
      </c>
      <c r="O1940" s="573" t="s">
        <v>157</v>
      </c>
      <c r="P1940" s="571" t="s">
        <v>157</v>
      </c>
      <c r="Q1940" s="573" t="s">
        <v>798</v>
      </c>
      <c r="R1940" s="573">
        <v>8</v>
      </c>
      <c r="S1940" s="582" t="s">
        <v>3716</v>
      </c>
      <c r="T1940" s="573" t="s">
        <v>213</v>
      </c>
      <c r="U1940" s="573">
        <v>137.5</v>
      </c>
      <c r="V1940" s="573">
        <v>23.5</v>
      </c>
      <c r="W1940" s="616">
        <v>13200</v>
      </c>
      <c r="X1940" s="617" t="s">
        <v>157</v>
      </c>
      <c r="Y1940" s="617" t="s">
        <v>450</v>
      </c>
      <c r="Z1940" s="617" t="s">
        <v>178</v>
      </c>
      <c r="AA1940" s="618">
        <v>39295</v>
      </c>
      <c r="AB1940" s="618" t="s">
        <v>164</v>
      </c>
      <c r="AC1940" s="618">
        <v>29995</v>
      </c>
      <c r="AD1940" s="619">
        <v>7.1999999999999995E-2</v>
      </c>
      <c r="AE1940" s="617" t="s">
        <v>3715</v>
      </c>
    </row>
    <row r="1941" spans="1:31" s="572" customFormat="1">
      <c r="A1941" s="570" t="s">
        <v>3721</v>
      </c>
      <c r="B1941" s="569" t="s">
        <v>166</v>
      </c>
      <c r="C1941" s="580">
        <v>17</v>
      </c>
      <c r="D1941" s="569" t="s">
        <v>3374</v>
      </c>
      <c r="E1941" s="569" t="s">
        <v>1684</v>
      </c>
      <c r="F1941" s="569" t="s">
        <v>153</v>
      </c>
      <c r="G1941" s="569">
        <v>2019</v>
      </c>
      <c r="H1941" s="569" t="s">
        <v>3707</v>
      </c>
      <c r="I1941" s="569" t="s">
        <v>3630</v>
      </c>
      <c r="J1941" s="569" t="s">
        <v>3377</v>
      </c>
      <c r="K1941" s="569">
        <v>3</v>
      </c>
      <c r="L1941" s="569">
        <v>0</v>
      </c>
      <c r="M1941" s="569" t="s">
        <v>157</v>
      </c>
      <c r="N1941" s="569">
        <v>1</v>
      </c>
      <c r="O1941" s="569" t="s">
        <v>157</v>
      </c>
      <c r="P1941" s="568" t="s">
        <v>157</v>
      </c>
      <c r="Q1941" s="569" t="s">
        <v>798</v>
      </c>
      <c r="R1941" s="569">
        <v>8</v>
      </c>
      <c r="S1941" s="569" t="s">
        <v>3719</v>
      </c>
      <c r="T1941" s="569" t="s">
        <v>213</v>
      </c>
      <c r="U1941" s="569">
        <v>162</v>
      </c>
      <c r="V1941" s="569">
        <v>23.5</v>
      </c>
      <c r="W1941" s="620">
        <v>13200</v>
      </c>
      <c r="X1941" s="621" t="s">
        <v>157</v>
      </c>
      <c r="Y1941" s="621" t="s">
        <v>450</v>
      </c>
      <c r="Z1941" s="621" t="s">
        <v>178</v>
      </c>
      <c r="AA1941" s="622">
        <v>39495</v>
      </c>
      <c r="AB1941" s="622" t="s">
        <v>164</v>
      </c>
      <c r="AC1941" s="622">
        <v>30210</v>
      </c>
      <c r="AD1941" s="623">
        <v>7.1999999999999995E-2</v>
      </c>
      <c r="AE1941" s="621" t="s">
        <v>3718</v>
      </c>
    </row>
    <row r="1942" spans="1:31" s="572" customFormat="1">
      <c r="A1942" s="570" t="s">
        <v>3722</v>
      </c>
      <c r="B1942" s="573" t="s">
        <v>169</v>
      </c>
      <c r="C1942" s="578">
        <v>11</v>
      </c>
      <c r="D1942" s="573" t="s">
        <v>3374</v>
      </c>
      <c r="E1942" s="573" t="s">
        <v>1684</v>
      </c>
      <c r="F1942" s="573" t="s">
        <v>153</v>
      </c>
      <c r="G1942" s="573">
        <v>2019</v>
      </c>
      <c r="H1942" s="573" t="s">
        <v>3707</v>
      </c>
      <c r="I1942" s="573" t="s">
        <v>3630</v>
      </c>
      <c r="J1942" s="573" t="s">
        <v>752</v>
      </c>
      <c r="K1942" s="573">
        <v>3</v>
      </c>
      <c r="L1942" s="573">
        <v>0</v>
      </c>
      <c r="M1942" s="573" t="s">
        <v>157</v>
      </c>
      <c r="N1942" s="573">
        <v>1</v>
      </c>
      <c r="O1942" s="573" t="s">
        <v>157</v>
      </c>
      <c r="P1942" s="571" t="s">
        <v>157</v>
      </c>
      <c r="Q1942" s="573" t="s">
        <v>798</v>
      </c>
      <c r="R1942" s="573">
        <v>8</v>
      </c>
      <c r="S1942" s="582" t="s">
        <v>3724</v>
      </c>
      <c r="T1942" s="573" t="s">
        <v>213</v>
      </c>
      <c r="U1942" s="573">
        <v>137.5</v>
      </c>
      <c r="V1942" s="573">
        <v>23.5</v>
      </c>
      <c r="W1942" s="616">
        <v>13200</v>
      </c>
      <c r="X1942" s="617" t="s">
        <v>157</v>
      </c>
      <c r="Y1942" s="617" t="s">
        <v>450</v>
      </c>
      <c r="Z1942" s="617" t="s">
        <v>178</v>
      </c>
      <c r="AA1942" s="618">
        <v>42495</v>
      </c>
      <c r="AB1942" s="618" t="s">
        <v>164</v>
      </c>
      <c r="AC1942" s="618">
        <v>32789.473684210527</v>
      </c>
      <c r="AD1942" s="619">
        <v>0.05</v>
      </c>
      <c r="AE1942" s="617" t="s">
        <v>3723</v>
      </c>
    </row>
    <row r="1943" spans="1:31" s="572" customFormat="1">
      <c r="A1943" s="570" t="s">
        <v>3725</v>
      </c>
      <c r="B1943" s="569" t="s">
        <v>169</v>
      </c>
      <c r="C1943" s="580">
        <v>11</v>
      </c>
      <c r="D1943" s="569" t="s">
        <v>3374</v>
      </c>
      <c r="E1943" s="569" t="s">
        <v>1684</v>
      </c>
      <c r="F1943" s="569" t="s">
        <v>153</v>
      </c>
      <c r="G1943" s="569">
        <v>2019</v>
      </c>
      <c r="H1943" s="569" t="s">
        <v>3707</v>
      </c>
      <c r="I1943" s="569" t="s">
        <v>3630</v>
      </c>
      <c r="J1943" s="569" t="s">
        <v>752</v>
      </c>
      <c r="K1943" s="569">
        <v>3</v>
      </c>
      <c r="L1943" s="569">
        <v>0</v>
      </c>
      <c r="M1943" s="569" t="s">
        <v>157</v>
      </c>
      <c r="N1943" s="569">
        <v>1</v>
      </c>
      <c r="O1943" s="569" t="s">
        <v>157</v>
      </c>
      <c r="P1943" s="568" t="s">
        <v>157</v>
      </c>
      <c r="Q1943" s="569" t="s">
        <v>798</v>
      </c>
      <c r="R1943" s="569">
        <v>8</v>
      </c>
      <c r="S1943" s="569" t="s">
        <v>3727</v>
      </c>
      <c r="T1943" s="569" t="s">
        <v>213</v>
      </c>
      <c r="U1943" s="569">
        <v>162</v>
      </c>
      <c r="V1943" s="569">
        <v>23.5</v>
      </c>
      <c r="W1943" s="620">
        <v>13200</v>
      </c>
      <c r="X1943" s="621" t="s">
        <v>157</v>
      </c>
      <c r="Y1943" s="621" t="s">
        <v>450</v>
      </c>
      <c r="Z1943" s="621" t="s">
        <v>178</v>
      </c>
      <c r="AA1943" s="622">
        <v>42695</v>
      </c>
      <c r="AB1943" s="622" t="s">
        <v>164</v>
      </c>
      <c r="AC1943" s="622">
        <v>32985.68421052632</v>
      </c>
      <c r="AD1943" s="623">
        <v>0.05</v>
      </c>
      <c r="AE1943" s="621" t="s">
        <v>3726</v>
      </c>
    </row>
    <row r="1944" spans="1:31" s="572" customFormat="1">
      <c r="A1944" s="570" t="s">
        <v>3728</v>
      </c>
      <c r="B1944" s="573" t="s">
        <v>166</v>
      </c>
      <c r="C1944" s="578">
        <v>17</v>
      </c>
      <c r="D1944" s="573" t="s">
        <v>3374</v>
      </c>
      <c r="E1944" s="573" t="s">
        <v>1684</v>
      </c>
      <c r="F1944" s="573" t="s">
        <v>153</v>
      </c>
      <c r="G1944" s="573">
        <v>2019</v>
      </c>
      <c r="H1944" s="573" t="s">
        <v>3707</v>
      </c>
      <c r="I1944" s="573" t="s">
        <v>3630</v>
      </c>
      <c r="J1944" s="573" t="s">
        <v>752</v>
      </c>
      <c r="K1944" s="573">
        <v>3</v>
      </c>
      <c r="L1944" s="573">
        <v>0</v>
      </c>
      <c r="M1944" s="573" t="s">
        <v>157</v>
      </c>
      <c r="N1944" s="573">
        <v>1</v>
      </c>
      <c r="O1944" s="573" t="s">
        <v>157</v>
      </c>
      <c r="P1944" s="571" t="s">
        <v>157</v>
      </c>
      <c r="Q1944" s="573" t="s">
        <v>798</v>
      </c>
      <c r="R1944" s="573">
        <v>8</v>
      </c>
      <c r="S1944" s="582" t="s">
        <v>3724</v>
      </c>
      <c r="T1944" s="573" t="s">
        <v>213</v>
      </c>
      <c r="U1944" s="573">
        <v>137.5</v>
      </c>
      <c r="V1944" s="573">
        <v>23.5</v>
      </c>
      <c r="W1944" s="616">
        <v>13200</v>
      </c>
      <c r="X1944" s="617" t="s">
        <v>157</v>
      </c>
      <c r="Y1944" s="617" t="s">
        <v>450</v>
      </c>
      <c r="Z1944" s="617" t="s">
        <v>178</v>
      </c>
      <c r="AA1944" s="618">
        <v>42395</v>
      </c>
      <c r="AB1944" s="618" t="s">
        <v>164</v>
      </c>
      <c r="AC1944" s="618">
        <v>32501</v>
      </c>
      <c r="AD1944" s="619">
        <v>7.1999999999999995E-2</v>
      </c>
      <c r="AE1944" s="617" t="s">
        <v>3723</v>
      </c>
    </row>
    <row r="1945" spans="1:31" s="572" customFormat="1">
      <c r="A1945" s="570" t="s">
        <v>3729</v>
      </c>
      <c r="B1945" s="569" t="s">
        <v>166</v>
      </c>
      <c r="C1945" s="580">
        <v>17</v>
      </c>
      <c r="D1945" s="569" t="s">
        <v>3374</v>
      </c>
      <c r="E1945" s="569" t="s">
        <v>1684</v>
      </c>
      <c r="F1945" s="569" t="s">
        <v>153</v>
      </c>
      <c r="G1945" s="569">
        <v>2019</v>
      </c>
      <c r="H1945" s="569" t="s">
        <v>3707</v>
      </c>
      <c r="I1945" s="569" t="s">
        <v>3630</v>
      </c>
      <c r="J1945" s="569" t="s">
        <v>752</v>
      </c>
      <c r="K1945" s="569">
        <v>3</v>
      </c>
      <c r="L1945" s="569">
        <v>0</v>
      </c>
      <c r="M1945" s="569" t="s">
        <v>157</v>
      </c>
      <c r="N1945" s="569">
        <v>1</v>
      </c>
      <c r="O1945" s="569" t="s">
        <v>157</v>
      </c>
      <c r="P1945" s="568" t="s">
        <v>157</v>
      </c>
      <c r="Q1945" s="569" t="s">
        <v>798</v>
      </c>
      <c r="R1945" s="569">
        <v>8</v>
      </c>
      <c r="S1945" s="569" t="s">
        <v>3727</v>
      </c>
      <c r="T1945" s="569" t="s">
        <v>213</v>
      </c>
      <c r="U1945" s="569">
        <v>162</v>
      </c>
      <c r="V1945" s="569">
        <v>23.5</v>
      </c>
      <c r="W1945" s="620">
        <v>13200</v>
      </c>
      <c r="X1945" s="621" t="s">
        <v>157</v>
      </c>
      <c r="Y1945" s="621" t="s">
        <v>450</v>
      </c>
      <c r="Z1945" s="621" t="s">
        <v>178</v>
      </c>
      <c r="AA1945" s="622">
        <v>42595</v>
      </c>
      <c r="AB1945" s="622" t="s">
        <v>164</v>
      </c>
      <c r="AC1945" s="622">
        <v>32411</v>
      </c>
      <c r="AD1945" s="623">
        <v>7.1999999999999995E-2</v>
      </c>
      <c r="AE1945" s="621" t="s">
        <v>3726</v>
      </c>
    </row>
    <row r="1946" spans="1:31" s="572" customFormat="1">
      <c r="A1946" s="570" t="s">
        <v>3730</v>
      </c>
      <c r="B1946" s="573" t="s">
        <v>169</v>
      </c>
      <c r="C1946" s="578">
        <v>11</v>
      </c>
      <c r="D1946" s="573" t="s">
        <v>3374</v>
      </c>
      <c r="E1946" s="573" t="s">
        <v>1684</v>
      </c>
      <c r="F1946" s="573" t="s">
        <v>153</v>
      </c>
      <c r="G1946" s="573">
        <v>2019</v>
      </c>
      <c r="H1946" s="573" t="s">
        <v>3707</v>
      </c>
      <c r="I1946" s="573" t="s">
        <v>3410</v>
      </c>
      <c r="J1946" s="573" t="s">
        <v>3377</v>
      </c>
      <c r="K1946" s="573">
        <v>6</v>
      </c>
      <c r="L1946" s="573">
        <v>0</v>
      </c>
      <c r="M1946" s="573" t="s">
        <v>157</v>
      </c>
      <c r="N1946" s="573">
        <v>2</v>
      </c>
      <c r="O1946" s="573" t="s">
        <v>157</v>
      </c>
      <c r="P1946" s="571" t="s">
        <v>157</v>
      </c>
      <c r="Q1946" s="573" t="s">
        <v>798</v>
      </c>
      <c r="R1946" s="573">
        <v>8</v>
      </c>
      <c r="S1946" s="582" t="s">
        <v>3708</v>
      </c>
      <c r="T1946" s="573" t="s">
        <v>1522</v>
      </c>
      <c r="U1946" s="573">
        <v>171.5</v>
      </c>
      <c r="V1946" s="573">
        <v>23.5</v>
      </c>
      <c r="W1946" s="616">
        <v>13200</v>
      </c>
      <c r="X1946" s="617" t="s">
        <v>157</v>
      </c>
      <c r="Y1946" s="617" t="s">
        <v>450</v>
      </c>
      <c r="Z1946" s="617" t="s">
        <v>178</v>
      </c>
      <c r="AA1946" s="618">
        <v>39595</v>
      </c>
      <c r="AB1946" s="618" t="s">
        <v>164</v>
      </c>
      <c r="AC1946" s="618">
        <v>30450.73684210526</v>
      </c>
      <c r="AD1946" s="619">
        <v>0.05</v>
      </c>
      <c r="AE1946" s="617" t="s">
        <v>3731</v>
      </c>
    </row>
    <row r="1947" spans="1:31" s="572" customFormat="1">
      <c r="A1947" s="570" t="s">
        <v>3732</v>
      </c>
      <c r="B1947" s="569" t="s">
        <v>166</v>
      </c>
      <c r="C1947" s="580">
        <v>17</v>
      </c>
      <c r="D1947" s="569" t="s">
        <v>3374</v>
      </c>
      <c r="E1947" s="569" t="s">
        <v>1684</v>
      </c>
      <c r="F1947" s="569" t="s">
        <v>153</v>
      </c>
      <c r="G1947" s="569">
        <v>2019</v>
      </c>
      <c r="H1947" s="569" t="s">
        <v>3707</v>
      </c>
      <c r="I1947" s="569" t="s">
        <v>3410</v>
      </c>
      <c r="J1947" s="569" t="s">
        <v>3377</v>
      </c>
      <c r="K1947" s="569">
        <v>6</v>
      </c>
      <c r="L1947" s="569">
        <v>0</v>
      </c>
      <c r="M1947" s="569" t="s">
        <v>157</v>
      </c>
      <c r="N1947" s="569">
        <v>2</v>
      </c>
      <c r="O1947" s="569" t="s">
        <v>157</v>
      </c>
      <c r="P1947" s="568" t="s">
        <v>157</v>
      </c>
      <c r="Q1947" s="569" t="s">
        <v>798</v>
      </c>
      <c r="R1947" s="569">
        <v>8</v>
      </c>
      <c r="S1947" s="569" t="s">
        <v>3708</v>
      </c>
      <c r="T1947" s="569" t="s">
        <v>1522</v>
      </c>
      <c r="U1947" s="569">
        <v>171.5</v>
      </c>
      <c r="V1947" s="569">
        <v>23.5</v>
      </c>
      <c r="W1947" s="620">
        <v>13200</v>
      </c>
      <c r="X1947" s="621" t="s">
        <v>157</v>
      </c>
      <c r="Y1947" s="621" t="s">
        <v>450</v>
      </c>
      <c r="Z1947" s="621" t="s">
        <v>178</v>
      </c>
      <c r="AA1947" s="622">
        <v>36195</v>
      </c>
      <c r="AB1947" s="622" t="s">
        <v>164</v>
      </c>
      <c r="AC1947" s="622">
        <v>28112</v>
      </c>
      <c r="AD1947" s="623">
        <v>7.1999999999999995E-2</v>
      </c>
      <c r="AE1947" s="621" t="s">
        <v>3731</v>
      </c>
    </row>
    <row r="1948" spans="1:31" s="572" customFormat="1">
      <c r="A1948" s="570" t="s">
        <v>3733</v>
      </c>
      <c r="B1948" s="573" t="s">
        <v>169</v>
      </c>
      <c r="C1948" s="578">
        <v>11</v>
      </c>
      <c r="D1948" s="573" t="s">
        <v>3374</v>
      </c>
      <c r="E1948" s="573" t="s">
        <v>1684</v>
      </c>
      <c r="F1948" s="573" t="s">
        <v>153</v>
      </c>
      <c r="G1948" s="573">
        <v>2019</v>
      </c>
      <c r="H1948" s="573" t="s">
        <v>3707</v>
      </c>
      <c r="I1948" s="573" t="s">
        <v>3410</v>
      </c>
      <c r="J1948" s="573" t="s">
        <v>752</v>
      </c>
      <c r="K1948" s="573">
        <v>6</v>
      </c>
      <c r="L1948" s="573">
        <v>0</v>
      </c>
      <c r="M1948" s="573" t="s">
        <v>157</v>
      </c>
      <c r="N1948" s="573">
        <v>2</v>
      </c>
      <c r="O1948" s="573" t="s">
        <v>157</v>
      </c>
      <c r="P1948" s="571" t="s">
        <v>157</v>
      </c>
      <c r="Q1948" s="573" t="s">
        <v>798</v>
      </c>
      <c r="R1948" s="573">
        <v>8</v>
      </c>
      <c r="S1948" s="582" t="s">
        <v>3712</v>
      </c>
      <c r="T1948" s="573" t="s">
        <v>1522</v>
      </c>
      <c r="U1948" s="573">
        <v>171.5</v>
      </c>
      <c r="V1948" s="573">
        <v>23.5</v>
      </c>
      <c r="W1948" s="616">
        <v>13200</v>
      </c>
      <c r="X1948" s="617" t="s">
        <v>157</v>
      </c>
      <c r="Y1948" s="617" t="s">
        <v>450</v>
      </c>
      <c r="Z1948" s="617" t="s">
        <v>178</v>
      </c>
      <c r="AA1948" s="618">
        <v>42595</v>
      </c>
      <c r="AB1948" s="618" t="s">
        <v>164</v>
      </c>
      <c r="AC1948" s="618">
        <v>32793.894736842107</v>
      </c>
      <c r="AD1948" s="619">
        <v>0.05</v>
      </c>
      <c r="AE1948" s="617" t="s">
        <v>3734</v>
      </c>
    </row>
    <row r="1949" spans="1:31" s="572" customFormat="1">
      <c r="A1949" s="570" t="s">
        <v>3735</v>
      </c>
      <c r="B1949" s="569" t="s">
        <v>150</v>
      </c>
      <c r="C1949" s="580">
        <v>13</v>
      </c>
      <c r="D1949" s="569" t="s">
        <v>3374</v>
      </c>
      <c r="E1949" s="569" t="s">
        <v>1684</v>
      </c>
      <c r="F1949" s="569" t="s">
        <v>153</v>
      </c>
      <c r="G1949" s="569">
        <v>2019</v>
      </c>
      <c r="H1949" s="569" t="s">
        <v>3707</v>
      </c>
      <c r="I1949" s="569" t="s">
        <v>3410</v>
      </c>
      <c r="J1949" s="569" t="s">
        <v>752</v>
      </c>
      <c r="K1949" s="569">
        <v>6</v>
      </c>
      <c r="L1949" s="569">
        <v>0</v>
      </c>
      <c r="M1949" s="569" t="s">
        <v>157</v>
      </c>
      <c r="N1949" s="569">
        <v>2</v>
      </c>
      <c r="O1949" s="569" t="s">
        <v>157</v>
      </c>
      <c r="P1949" s="568" t="s">
        <v>157</v>
      </c>
      <c r="Q1949" s="569" t="s">
        <v>798</v>
      </c>
      <c r="R1949" s="569">
        <v>8</v>
      </c>
      <c r="S1949" s="569" t="s">
        <v>3712</v>
      </c>
      <c r="T1949" s="569" t="s">
        <v>1522</v>
      </c>
      <c r="U1949" s="569">
        <v>171</v>
      </c>
      <c r="V1949" s="569">
        <v>63.5</v>
      </c>
      <c r="W1949" s="620">
        <v>13200</v>
      </c>
      <c r="X1949" s="621" t="s">
        <v>157</v>
      </c>
      <c r="Y1949" s="621" t="s">
        <v>450</v>
      </c>
      <c r="Z1949" s="621" t="s">
        <v>178</v>
      </c>
      <c r="AA1949" s="622">
        <v>42595</v>
      </c>
      <c r="AB1949" s="622" t="s">
        <v>164</v>
      </c>
      <c r="AC1949" s="622">
        <v>34830</v>
      </c>
      <c r="AD1949" s="623">
        <v>0.03</v>
      </c>
      <c r="AE1949" s="621" t="s">
        <v>3736</v>
      </c>
    </row>
    <row r="1950" spans="1:31" s="572" customFormat="1">
      <c r="A1950" s="570" t="s">
        <v>3737</v>
      </c>
      <c r="B1950" s="573" t="s">
        <v>166</v>
      </c>
      <c r="C1950" s="578">
        <v>17</v>
      </c>
      <c r="D1950" s="573" t="s">
        <v>3374</v>
      </c>
      <c r="E1950" s="573" t="s">
        <v>1684</v>
      </c>
      <c r="F1950" s="573" t="s">
        <v>153</v>
      </c>
      <c r="G1950" s="573">
        <v>2019</v>
      </c>
      <c r="H1950" s="573" t="s">
        <v>3707</v>
      </c>
      <c r="I1950" s="573" t="s">
        <v>3410</v>
      </c>
      <c r="J1950" s="573" t="s">
        <v>752</v>
      </c>
      <c r="K1950" s="573">
        <v>6</v>
      </c>
      <c r="L1950" s="573">
        <v>0</v>
      </c>
      <c r="M1950" s="573" t="s">
        <v>157</v>
      </c>
      <c r="N1950" s="573">
        <v>2</v>
      </c>
      <c r="O1950" s="573" t="s">
        <v>157</v>
      </c>
      <c r="P1950" s="571" t="s">
        <v>157</v>
      </c>
      <c r="Q1950" s="573" t="s">
        <v>798</v>
      </c>
      <c r="R1950" s="573">
        <v>8</v>
      </c>
      <c r="S1950" s="582" t="s">
        <v>3712</v>
      </c>
      <c r="T1950" s="573" t="s">
        <v>1522</v>
      </c>
      <c r="U1950" s="573">
        <v>171.5</v>
      </c>
      <c r="V1950" s="573">
        <v>23.5</v>
      </c>
      <c r="W1950" s="616">
        <v>13200</v>
      </c>
      <c r="X1950" s="617" t="s">
        <v>157</v>
      </c>
      <c r="Y1950" s="617" t="s">
        <v>450</v>
      </c>
      <c r="Z1950" s="617" t="s">
        <v>178</v>
      </c>
      <c r="AA1950" s="618">
        <v>42495</v>
      </c>
      <c r="AB1950" s="618" t="s">
        <v>164</v>
      </c>
      <c r="AC1950" s="618">
        <v>32477</v>
      </c>
      <c r="AD1950" s="619">
        <v>7.1999999999999995E-2</v>
      </c>
      <c r="AE1950" s="617" t="s">
        <v>3734</v>
      </c>
    </row>
    <row r="1951" spans="1:31" s="572" customFormat="1">
      <c r="A1951" s="570" t="s">
        <v>3738</v>
      </c>
      <c r="B1951" s="569" t="s">
        <v>166</v>
      </c>
      <c r="C1951" s="580">
        <v>17</v>
      </c>
      <c r="D1951" s="569" t="s">
        <v>3374</v>
      </c>
      <c r="E1951" s="569" t="s">
        <v>1684</v>
      </c>
      <c r="F1951" s="569" t="s">
        <v>153</v>
      </c>
      <c r="G1951" s="569">
        <v>2019</v>
      </c>
      <c r="H1951" s="569" t="s">
        <v>3707</v>
      </c>
      <c r="I1951" s="569" t="s">
        <v>3410</v>
      </c>
      <c r="J1951" s="569" t="s">
        <v>752</v>
      </c>
      <c r="K1951" s="569">
        <v>6</v>
      </c>
      <c r="L1951" s="569">
        <v>0</v>
      </c>
      <c r="M1951" s="569" t="s">
        <v>157</v>
      </c>
      <c r="N1951" s="569">
        <v>2</v>
      </c>
      <c r="O1951" s="569" t="s">
        <v>157</v>
      </c>
      <c r="P1951" s="568" t="s">
        <v>157</v>
      </c>
      <c r="Q1951" s="569" t="s">
        <v>798</v>
      </c>
      <c r="R1951" s="569">
        <v>8</v>
      </c>
      <c r="S1951" s="569" t="s">
        <v>3712</v>
      </c>
      <c r="T1951" s="569" t="s">
        <v>1522</v>
      </c>
      <c r="U1951" s="569">
        <v>171</v>
      </c>
      <c r="V1951" s="569">
        <v>63.5</v>
      </c>
      <c r="W1951" s="620">
        <v>13200</v>
      </c>
      <c r="X1951" s="621" t="s">
        <v>157</v>
      </c>
      <c r="Y1951" s="621" t="s">
        <v>450</v>
      </c>
      <c r="Z1951" s="621" t="s">
        <v>178</v>
      </c>
      <c r="AA1951" s="622">
        <v>42495</v>
      </c>
      <c r="AB1951" s="622" t="s">
        <v>164</v>
      </c>
      <c r="AC1951" s="622">
        <v>32477</v>
      </c>
      <c r="AD1951" s="623">
        <v>7.1999999999999995E-2</v>
      </c>
      <c r="AE1951" s="621" t="s">
        <v>3736</v>
      </c>
    </row>
    <row r="1952" spans="1:31" s="572" customFormat="1">
      <c r="A1952" s="570" t="s">
        <v>3739</v>
      </c>
      <c r="B1952" s="573" t="s">
        <v>169</v>
      </c>
      <c r="C1952" s="578">
        <v>11</v>
      </c>
      <c r="D1952" s="573" t="s">
        <v>3374</v>
      </c>
      <c r="E1952" s="573" t="s">
        <v>1684</v>
      </c>
      <c r="F1952" s="573" t="s">
        <v>153</v>
      </c>
      <c r="G1952" s="573">
        <v>2019</v>
      </c>
      <c r="H1952" s="573" t="s">
        <v>3707</v>
      </c>
      <c r="I1952" s="573" t="s">
        <v>3580</v>
      </c>
      <c r="J1952" s="573" t="s">
        <v>3377</v>
      </c>
      <c r="K1952" s="573">
        <v>3</v>
      </c>
      <c r="L1952" s="573">
        <v>0</v>
      </c>
      <c r="M1952" s="573" t="s">
        <v>157</v>
      </c>
      <c r="N1952" s="573">
        <v>1</v>
      </c>
      <c r="O1952" s="573" t="s">
        <v>157</v>
      </c>
      <c r="P1952" s="571" t="s">
        <v>157</v>
      </c>
      <c r="Q1952" s="573" t="s">
        <v>798</v>
      </c>
      <c r="R1952" s="573">
        <v>8</v>
      </c>
      <c r="S1952" s="582" t="s">
        <v>3716</v>
      </c>
      <c r="T1952" s="573" t="s">
        <v>1522</v>
      </c>
      <c r="U1952" s="573">
        <v>137.5</v>
      </c>
      <c r="V1952" s="573">
        <v>23.5</v>
      </c>
      <c r="W1952" s="616">
        <v>13200</v>
      </c>
      <c r="X1952" s="617" t="s">
        <v>157</v>
      </c>
      <c r="Y1952" s="617" t="s">
        <v>450</v>
      </c>
      <c r="Z1952" s="617" t="s">
        <v>178</v>
      </c>
      <c r="AA1952" s="618">
        <v>36195</v>
      </c>
      <c r="AB1952" s="618" t="s">
        <v>164</v>
      </c>
      <c r="AC1952" s="618">
        <v>27605.68421052632</v>
      </c>
      <c r="AD1952" s="619">
        <v>0.05</v>
      </c>
      <c r="AE1952" s="617" t="s">
        <v>3740</v>
      </c>
    </row>
    <row r="1953" spans="1:31" s="572" customFormat="1">
      <c r="A1953" s="570" t="s">
        <v>3741</v>
      </c>
      <c r="B1953" s="569" t="s">
        <v>169</v>
      </c>
      <c r="C1953" s="580">
        <v>11</v>
      </c>
      <c r="D1953" s="569" t="s">
        <v>3374</v>
      </c>
      <c r="E1953" s="569" t="s">
        <v>1684</v>
      </c>
      <c r="F1953" s="569" t="s">
        <v>153</v>
      </c>
      <c r="G1953" s="569">
        <v>2019</v>
      </c>
      <c r="H1953" s="569" t="s">
        <v>3707</v>
      </c>
      <c r="I1953" s="569" t="s">
        <v>3580</v>
      </c>
      <c r="J1953" s="569" t="s">
        <v>3377</v>
      </c>
      <c r="K1953" s="569">
        <v>3</v>
      </c>
      <c r="L1953" s="569">
        <v>0</v>
      </c>
      <c r="M1953" s="569" t="s">
        <v>157</v>
      </c>
      <c r="N1953" s="569">
        <v>1</v>
      </c>
      <c r="O1953" s="569" t="s">
        <v>157</v>
      </c>
      <c r="P1953" s="568" t="s">
        <v>157</v>
      </c>
      <c r="Q1953" s="569" t="s">
        <v>798</v>
      </c>
      <c r="R1953" s="569">
        <v>8</v>
      </c>
      <c r="S1953" s="569" t="s">
        <v>3719</v>
      </c>
      <c r="T1953" s="569" t="s">
        <v>1522</v>
      </c>
      <c r="U1953" s="569">
        <v>162</v>
      </c>
      <c r="V1953" s="569">
        <v>23.5</v>
      </c>
      <c r="W1953" s="620">
        <v>13200</v>
      </c>
      <c r="X1953" s="621" t="s">
        <v>157</v>
      </c>
      <c r="Y1953" s="621" t="s">
        <v>450</v>
      </c>
      <c r="Z1953" s="621" t="s">
        <v>178</v>
      </c>
      <c r="AA1953" s="622">
        <v>36295</v>
      </c>
      <c r="AB1953" s="622" t="s">
        <v>164</v>
      </c>
      <c r="AC1953" s="622">
        <v>27704.842105263157</v>
      </c>
      <c r="AD1953" s="623">
        <v>0.05</v>
      </c>
      <c r="AE1953" s="621" t="s">
        <v>3742</v>
      </c>
    </row>
    <row r="1954" spans="1:31" s="572" customFormat="1">
      <c r="A1954" s="570" t="s">
        <v>3743</v>
      </c>
      <c r="B1954" s="573" t="s">
        <v>166</v>
      </c>
      <c r="C1954" s="578">
        <v>17</v>
      </c>
      <c r="D1954" s="573" t="s">
        <v>3374</v>
      </c>
      <c r="E1954" s="573" t="s">
        <v>1684</v>
      </c>
      <c r="F1954" s="573" t="s">
        <v>153</v>
      </c>
      <c r="G1954" s="573">
        <v>2019</v>
      </c>
      <c r="H1954" s="573" t="s">
        <v>3707</v>
      </c>
      <c r="I1954" s="573" t="s">
        <v>3580</v>
      </c>
      <c r="J1954" s="573" t="s">
        <v>3377</v>
      </c>
      <c r="K1954" s="573">
        <v>3</v>
      </c>
      <c r="L1954" s="573">
        <v>0</v>
      </c>
      <c r="M1954" s="573" t="s">
        <v>157</v>
      </c>
      <c r="N1954" s="573">
        <v>1</v>
      </c>
      <c r="O1954" s="573" t="s">
        <v>157</v>
      </c>
      <c r="P1954" s="571" t="s">
        <v>157</v>
      </c>
      <c r="Q1954" s="573" t="s">
        <v>798</v>
      </c>
      <c r="R1954" s="573">
        <v>8</v>
      </c>
      <c r="S1954" s="582" t="s">
        <v>3716</v>
      </c>
      <c r="T1954" s="573" t="s">
        <v>1522</v>
      </c>
      <c r="U1954" s="573">
        <v>137.5</v>
      </c>
      <c r="V1954" s="573">
        <v>23.5</v>
      </c>
      <c r="W1954" s="616">
        <v>13200</v>
      </c>
      <c r="X1954" s="617" t="s">
        <v>157</v>
      </c>
      <c r="Y1954" s="617" t="s">
        <v>450</v>
      </c>
      <c r="Z1954" s="617" t="s">
        <v>178</v>
      </c>
      <c r="AA1954" s="618">
        <v>36095</v>
      </c>
      <c r="AB1954" s="618" t="s">
        <v>164</v>
      </c>
      <c r="AC1954" s="618">
        <v>29995</v>
      </c>
      <c r="AD1954" s="619">
        <v>7.1999999999999995E-2</v>
      </c>
      <c r="AE1954" s="617" t="s">
        <v>3740</v>
      </c>
    </row>
    <row r="1955" spans="1:31" s="572" customFormat="1">
      <c r="A1955" s="570" t="s">
        <v>3744</v>
      </c>
      <c r="B1955" s="569" t="s">
        <v>166</v>
      </c>
      <c r="C1955" s="580">
        <v>17</v>
      </c>
      <c r="D1955" s="569" t="s">
        <v>3374</v>
      </c>
      <c r="E1955" s="569" t="s">
        <v>1684</v>
      </c>
      <c r="F1955" s="569" t="s">
        <v>153</v>
      </c>
      <c r="G1955" s="569">
        <v>2019</v>
      </c>
      <c r="H1955" s="569" t="s">
        <v>3707</v>
      </c>
      <c r="I1955" s="569" t="s">
        <v>3580</v>
      </c>
      <c r="J1955" s="569" t="s">
        <v>3377</v>
      </c>
      <c r="K1955" s="569">
        <v>3</v>
      </c>
      <c r="L1955" s="569">
        <v>0</v>
      </c>
      <c r="M1955" s="569" t="s">
        <v>157</v>
      </c>
      <c r="N1955" s="569">
        <v>1</v>
      </c>
      <c r="O1955" s="569" t="s">
        <v>157</v>
      </c>
      <c r="P1955" s="568" t="s">
        <v>157</v>
      </c>
      <c r="Q1955" s="569" t="s">
        <v>798</v>
      </c>
      <c r="R1955" s="569">
        <v>8</v>
      </c>
      <c r="S1955" s="569" t="s">
        <v>3719</v>
      </c>
      <c r="T1955" s="569" t="s">
        <v>1522</v>
      </c>
      <c r="U1955" s="569">
        <v>162</v>
      </c>
      <c r="V1955" s="569">
        <v>23.5</v>
      </c>
      <c r="W1955" s="620">
        <v>13200</v>
      </c>
      <c r="X1955" s="621" t="s">
        <v>157</v>
      </c>
      <c r="Y1955" s="621" t="s">
        <v>450</v>
      </c>
      <c r="Z1955" s="621" t="s">
        <v>178</v>
      </c>
      <c r="AA1955" s="622">
        <v>36195</v>
      </c>
      <c r="AB1955" s="622" t="s">
        <v>164</v>
      </c>
      <c r="AC1955" s="622">
        <v>27744</v>
      </c>
      <c r="AD1955" s="623">
        <v>7.1999999999999995E-2</v>
      </c>
      <c r="AE1955" s="621" t="s">
        <v>3742</v>
      </c>
    </row>
    <row r="1956" spans="1:31" s="572" customFormat="1">
      <c r="A1956" s="570" t="s">
        <v>3745</v>
      </c>
      <c r="B1956" s="573" t="s">
        <v>169</v>
      </c>
      <c r="C1956" s="578">
        <v>11</v>
      </c>
      <c r="D1956" s="573" t="s">
        <v>3374</v>
      </c>
      <c r="E1956" s="573" t="s">
        <v>1684</v>
      </c>
      <c r="F1956" s="573" t="s">
        <v>153</v>
      </c>
      <c r="G1956" s="573">
        <v>2019</v>
      </c>
      <c r="H1956" s="573" t="s">
        <v>3707</v>
      </c>
      <c r="I1956" s="573" t="s">
        <v>3580</v>
      </c>
      <c r="J1956" s="573" t="s">
        <v>752</v>
      </c>
      <c r="K1956" s="573">
        <v>3</v>
      </c>
      <c r="L1956" s="573">
        <v>0</v>
      </c>
      <c r="M1956" s="573" t="s">
        <v>157</v>
      </c>
      <c r="N1956" s="573">
        <v>1</v>
      </c>
      <c r="O1956" s="573" t="s">
        <v>157</v>
      </c>
      <c r="P1956" s="571" t="s">
        <v>157</v>
      </c>
      <c r="Q1956" s="573" t="s">
        <v>798</v>
      </c>
      <c r="R1956" s="573">
        <v>8</v>
      </c>
      <c r="S1956" s="582" t="s">
        <v>3724</v>
      </c>
      <c r="T1956" s="573" t="s">
        <v>1522</v>
      </c>
      <c r="U1956" s="573">
        <v>137.5</v>
      </c>
      <c r="V1956" s="573">
        <v>23.5</v>
      </c>
      <c r="W1956" s="616">
        <v>13200</v>
      </c>
      <c r="X1956" s="617" t="s">
        <v>157</v>
      </c>
      <c r="Y1956" s="617" t="s">
        <v>450</v>
      </c>
      <c r="Z1956" s="617" t="s">
        <v>178</v>
      </c>
      <c r="AA1956" s="618">
        <v>39295</v>
      </c>
      <c r="AB1956" s="618" t="s">
        <v>164</v>
      </c>
      <c r="AC1956" s="618">
        <v>30048</v>
      </c>
      <c r="AD1956" s="619">
        <v>0.05</v>
      </c>
      <c r="AE1956" s="617" t="s">
        <v>3746</v>
      </c>
    </row>
    <row r="1957" spans="1:31" s="572" customFormat="1">
      <c r="A1957" s="570" t="s">
        <v>3745</v>
      </c>
      <c r="B1957" s="569" t="s">
        <v>169</v>
      </c>
      <c r="C1957" s="580">
        <v>11</v>
      </c>
      <c r="D1957" s="569" t="s">
        <v>3374</v>
      </c>
      <c r="E1957" s="569" t="s">
        <v>1684</v>
      </c>
      <c r="F1957" s="569" t="s">
        <v>153</v>
      </c>
      <c r="G1957" s="569">
        <v>2019</v>
      </c>
      <c r="H1957" s="569" t="s">
        <v>3707</v>
      </c>
      <c r="I1957" s="569" t="s">
        <v>3580</v>
      </c>
      <c r="J1957" s="569" t="s">
        <v>752</v>
      </c>
      <c r="K1957" s="569">
        <v>3</v>
      </c>
      <c r="L1957" s="569">
        <v>0</v>
      </c>
      <c r="M1957" s="569" t="s">
        <v>157</v>
      </c>
      <c r="N1957" s="569">
        <v>1</v>
      </c>
      <c r="O1957" s="569" t="s">
        <v>157</v>
      </c>
      <c r="P1957" s="568" t="s">
        <v>157</v>
      </c>
      <c r="Q1957" s="569" t="s">
        <v>798</v>
      </c>
      <c r="R1957" s="569">
        <v>8</v>
      </c>
      <c r="S1957" s="569" t="s">
        <v>3724</v>
      </c>
      <c r="T1957" s="569" t="s">
        <v>3747</v>
      </c>
      <c r="U1957" s="569">
        <v>137.5</v>
      </c>
      <c r="V1957" s="569">
        <v>23.5</v>
      </c>
      <c r="W1957" s="620">
        <v>13200</v>
      </c>
      <c r="X1957" s="621" t="s">
        <v>157</v>
      </c>
      <c r="Y1957" s="621" t="s">
        <v>450</v>
      </c>
      <c r="Z1957" s="621" t="s">
        <v>178</v>
      </c>
      <c r="AA1957" s="622">
        <v>42495</v>
      </c>
      <c r="AB1957" s="622" t="s">
        <v>164</v>
      </c>
      <c r="AC1957" s="622">
        <v>32789.473684210527</v>
      </c>
      <c r="AD1957" s="623">
        <v>0.05</v>
      </c>
      <c r="AE1957" s="621" t="s">
        <v>3746</v>
      </c>
    </row>
    <row r="1958" spans="1:31" s="572" customFormat="1">
      <c r="A1958" s="570" t="s">
        <v>3748</v>
      </c>
      <c r="B1958" s="573" t="s">
        <v>169</v>
      </c>
      <c r="C1958" s="578">
        <v>11</v>
      </c>
      <c r="D1958" s="573" t="s">
        <v>3374</v>
      </c>
      <c r="E1958" s="573" t="s">
        <v>1684</v>
      </c>
      <c r="F1958" s="573" t="s">
        <v>153</v>
      </c>
      <c r="G1958" s="573">
        <v>2019</v>
      </c>
      <c r="H1958" s="573" t="s">
        <v>3707</v>
      </c>
      <c r="I1958" s="573" t="s">
        <v>3580</v>
      </c>
      <c r="J1958" s="573" t="s">
        <v>752</v>
      </c>
      <c r="K1958" s="573">
        <v>3</v>
      </c>
      <c r="L1958" s="573">
        <v>0</v>
      </c>
      <c r="M1958" s="573" t="s">
        <v>157</v>
      </c>
      <c r="N1958" s="573">
        <v>1</v>
      </c>
      <c r="O1958" s="573" t="s">
        <v>157</v>
      </c>
      <c r="P1958" s="571" t="s">
        <v>157</v>
      </c>
      <c r="Q1958" s="573" t="s">
        <v>798</v>
      </c>
      <c r="R1958" s="573">
        <v>8</v>
      </c>
      <c r="S1958" s="582" t="s">
        <v>3727</v>
      </c>
      <c r="T1958" s="573" t="s">
        <v>1522</v>
      </c>
      <c r="U1958" s="573">
        <v>162</v>
      </c>
      <c r="V1958" s="573">
        <v>23.5</v>
      </c>
      <c r="W1958" s="616">
        <v>13200</v>
      </c>
      <c r="X1958" s="617" t="s">
        <v>157</v>
      </c>
      <c r="Y1958" s="617" t="s">
        <v>450</v>
      </c>
      <c r="Z1958" s="617" t="s">
        <v>178</v>
      </c>
      <c r="AA1958" s="618">
        <v>39495</v>
      </c>
      <c r="AB1958" s="618" t="s">
        <v>164</v>
      </c>
      <c r="AC1958" s="618">
        <v>30246.315789473687</v>
      </c>
      <c r="AD1958" s="619">
        <v>0.05</v>
      </c>
      <c r="AE1958" s="617" t="s">
        <v>3749</v>
      </c>
    </row>
    <row r="1959" spans="1:31" s="572" customFormat="1">
      <c r="A1959" s="570" t="s">
        <v>3750</v>
      </c>
      <c r="B1959" s="569" t="s">
        <v>166</v>
      </c>
      <c r="C1959" s="580">
        <v>17</v>
      </c>
      <c r="D1959" s="569" t="s">
        <v>3374</v>
      </c>
      <c r="E1959" s="569" t="s">
        <v>1684</v>
      </c>
      <c r="F1959" s="569" t="s">
        <v>153</v>
      </c>
      <c r="G1959" s="569">
        <v>2019</v>
      </c>
      <c r="H1959" s="569" t="s">
        <v>3707</v>
      </c>
      <c r="I1959" s="569" t="s">
        <v>3580</v>
      </c>
      <c r="J1959" s="569" t="s">
        <v>752</v>
      </c>
      <c r="K1959" s="569">
        <v>3</v>
      </c>
      <c r="L1959" s="569">
        <v>0</v>
      </c>
      <c r="M1959" s="569" t="s">
        <v>157</v>
      </c>
      <c r="N1959" s="569">
        <v>1</v>
      </c>
      <c r="O1959" s="569" t="s">
        <v>157</v>
      </c>
      <c r="P1959" s="568" t="s">
        <v>157</v>
      </c>
      <c r="Q1959" s="569" t="s">
        <v>798</v>
      </c>
      <c r="R1959" s="569">
        <v>8</v>
      </c>
      <c r="S1959" s="569" t="s">
        <v>3724</v>
      </c>
      <c r="T1959" s="569" t="s">
        <v>1522</v>
      </c>
      <c r="U1959" s="569">
        <v>137.5</v>
      </c>
      <c r="V1959" s="569">
        <v>23.5</v>
      </c>
      <c r="W1959" s="620">
        <v>13200</v>
      </c>
      <c r="X1959" s="621" t="s">
        <v>157</v>
      </c>
      <c r="Y1959" s="621" t="s">
        <v>450</v>
      </c>
      <c r="Z1959" s="621" t="s">
        <v>178</v>
      </c>
      <c r="AA1959" s="622">
        <v>42395</v>
      </c>
      <c r="AB1959" s="622" t="s">
        <v>164</v>
      </c>
      <c r="AC1959" s="622">
        <v>32501</v>
      </c>
      <c r="AD1959" s="623">
        <v>7.1999999999999995E-2</v>
      </c>
      <c r="AE1959" s="621" t="s">
        <v>3746</v>
      </c>
    </row>
    <row r="1960" spans="1:31" s="572" customFormat="1">
      <c r="A1960" s="570" t="s">
        <v>3751</v>
      </c>
      <c r="B1960" s="573" t="s">
        <v>166</v>
      </c>
      <c r="C1960" s="578">
        <v>17</v>
      </c>
      <c r="D1960" s="573" t="s">
        <v>3374</v>
      </c>
      <c r="E1960" s="573" t="s">
        <v>1684</v>
      </c>
      <c r="F1960" s="573" t="s">
        <v>153</v>
      </c>
      <c r="G1960" s="573">
        <v>2019</v>
      </c>
      <c r="H1960" s="573" t="s">
        <v>3707</v>
      </c>
      <c r="I1960" s="573" t="s">
        <v>3580</v>
      </c>
      <c r="J1960" s="573" t="s">
        <v>752</v>
      </c>
      <c r="K1960" s="573">
        <v>3</v>
      </c>
      <c r="L1960" s="573">
        <v>0</v>
      </c>
      <c r="M1960" s="573" t="s">
        <v>157</v>
      </c>
      <c r="N1960" s="573">
        <v>1</v>
      </c>
      <c r="O1960" s="573" t="s">
        <v>157</v>
      </c>
      <c r="P1960" s="571" t="s">
        <v>157</v>
      </c>
      <c r="Q1960" s="573" t="s">
        <v>798</v>
      </c>
      <c r="R1960" s="573">
        <v>8</v>
      </c>
      <c r="S1960" s="582" t="s">
        <v>3724</v>
      </c>
      <c r="T1960" s="573" t="s">
        <v>3747</v>
      </c>
      <c r="U1960" s="573">
        <v>137.5</v>
      </c>
      <c r="V1960" s="573">
        <v>31</v>
      </c>
      <c r="W1960" s="616">
        <v>13200</v>
      </c>
      <c r="X1960" s="617" t="s">
        <v>157</v>
      </c>
      <c r="Y1960" s="617" t="s">
        <v>450</v>
      </c>
      <c r="Z1960" s="617" t="s">
        <v>178</v>
      </c>
      <c r="AA1960" s="618">
        <v>42395</v>
      </c>
      <c r="AB1960" s="618" t="s">
        <v>164</v>
      </c>
      <c r="AC1960" s="618">
        <v>32501</v>
      </c>
      <c r="AD1960" s="619">
        <v>7.1999999999999995E-2</v>
      </c>
      <c r="AE1960" s="617" t="s">
        <v>3752</v>
      </c>
    </row>
    <row r="1961" spans="1:31" s="572" customFormat="1">
      <c r="A1961" s="570" t="s">
        <v>3753</v>
      </c>
      <c r="B1961" s="569" t="s">
        <v>166</v>
      </c>
      <c r="C1961" s="580">
        <v>17</v>
      </c>
      <c r="D1961" s="569" t="s">
        <v>3374</v>
      </c>
      <c r="E1961" s="569" t="s">
        <v>1684</v>
      </c>
      <c r="F1961" s="569" t="s">
        <v>153</v>
      </c>
      <c r="G1961" s="569">
        <v>2019</v>
      </c>
      <c r="H1961" s="569" t="s">
        <v>3707</v>
      </c>
      <c r="I1961" s="569" t="s">
        <v>3580</v>
      </c>
      <c r="J1961" s="569" t="s">
        <v>752</v>
      </c>
      <c r="K1961" s="569">
        <v>3</v>
      </c>
      <c r="L1961" s="569">
        <v>0</v>
      </c>
      <c r="M1961" s="569" t="s">
        <v>157</v>
      </c>
      <c r="N1961" s="569">
        <v>1</v>
      </c>
      <c r="O1961" s="569" t="s">
        <v>157</v>
      </c>
      <c r="P1961" s="568" t="s">
        <v>157</v>
      </c>
      <c r="Q1961" s="569" t="s">
        <v>798</v>
      </c>
      <c r="R1961" s="569">
        <v>8</v>
      </c>
      <c r="S1961" s="569" t="s">
        <v>3727</v>
      </c>
      <c r="T1961" s="569" t="s">
        <v>1522</v>
      </c>
      <c r="U1961" s="569">
        <v>162</v>
      </c>
      <c r="V1961" s="569">
        <v>23.5</v>
      </c>
      <c r="W1961" s="620">
        <v>13200</v>
      </c>
      <c r="X1961" s="621" t="s">
        <v>157</v>
      </c>
      <c r="Y1961" s="621" t="s">
        <v>450</v>
      </c>
      <c r="Z1961" s="621" t="s">
        <v>178</v>
      </c>
      <c r="AA1961" s="622">
        <v>42595</v>
      </c>
      <c r="AB1961" s="622" t="s">
        <v>164</v>
      </c>
      <c r="AC1961" s="622">
        <v>32411</v>
      </c>
      <c r="AD1961" s="623">
        <v>7.1999999999999995E-2</v>
      </c>
      <c r="AE1961" s="621" t="s">
        <v>3749</v>
      </c>
    </row>
    <row r="1962" spans="1:31" s="572" customFormat="1">
      <c r="A1962" s="570" t="s">
        <v>3754</v>
      </c>
      <c r="B1962" s="573" t="s">
        <v>169</v>
      </c>
      <c r="C1962" s="578">
        <v>11</v>
      </c>
      <c r="D1962" s="573" t="s">
        <v>3374</v>
      </c>
      <c r="E1962" s="573" t="s">
        <v>1684</v>
      </c>
      <c r="F1962" s="573" t="s">
        <v>153</v>
      </c>
      <c r="G1962" s="573">
        <v>2019</v>
      </c>
      <c r="H1962" s="573" t="s">
        <v>3707</v>
      </c>
      <c r="I1962" s="573" t="s">
        <v>3756</v>
      </c>
      <c r="J1962" s="573" t="s">
        <v>752</v>
      </c>
      <c r="K1962" s="573">
        <v>3</v>
      </c>
      <c r="L1962" s="573">
        <v>0</v>
      </c>
      <c r="M1962" s="573" t="s">
        <v>157</v>
      </c>
      <c r="N1962" s="573">
        <v>1</v>
      </c>
      <c r="O1962" s="573" t="s">
        <v>157</v>
      </c>
      <c r="P1962" s="571" t="s">
        <v>157</v>
      </c>
      <c r="Q1962" s="573" t="s">
        <v>798</v>
      </c>
      <c r="R1962" s="573">
        <v>8</v>
      </c>
      <c r="S1962" s="582" t="s">
        <v>3724</v>
      </c>
      <c r="T1962" s="573" t="s">
        <v>1522</v>
      </c>
      <c r="U1962" s="573">
        <v>137.5</v>
      </c>
      <c r="V1962" s="573">
        <v>23.5</v>
      </c>
      <c r="W1962" s="616">
        <v>13200</v>
      </c>
      <c r="X1962" s="617" t="s">
        <v>157</v>
      </c>
      <c r="Y1962" s="617" t="s">
        <v>450</v>
      </c>
      <c r="Z1962" s="617" t="s">
        <v>178</v>
      </c>
      <c r="AA1962" s="618">
        <v>39295</v>
      </c>
      <c r="AB1962" s="618" t="s">
        <v>164</v>
      </c>
      <c r="AC1962" s="618">
        <v>30048</v>
      </c>
      <c r="AD1962" s="619">
        <v>0.05</v>
      </c>
      <c r="AE1962" s="617" t="s">
        <v>3755</v>
      </c>
    </row>
    <row r="1963" spans="1:31" s="572" customFormat="1">
      <c r="A1963" s="570" t="s">
        <v>3757</v>
      </c>
      <c r="B1963" s="569" t="s">
        <v>169</v>
      </c>
      <c r="C1963" s="580">
        <v>11</v>
      </c>
      <c r="D1963" s="569" t="s">
        <v>3374</v>
      </c>
      <c r="E1963" s="569" t="s">
        <v>1684</v>
      </c>
      <c r="F1963" s="569" t="s">
        <v>153</v>
      </c>
      <c r="G1963" s="569">
        <v>2019</v>
      </c>
      <c r="H1963" s="569" t="s">
        <v>3707</v>
      </c>
      <c r="I1963" s="569" t="s">
        <v>3756</v>
      </c>
      <c r="J1963" s="569" t="s">
        <v>752</v>
      </c>
      <c r="K1963" s="569">
        <v>3</v>
      </c>
      <c r="L1963" s="569">
        <v>0</v>
      </c>
      <c r="M1963" s="569" t="s">
        <v>157</v>
      </c>
      <c r="N1963" s="569">
        <v>1</v>
      </c>
      <c r="O1963" s="569" t="s">
        <v>157</v>
      </c>
      <c r="P1963" s="568" t="s">
        <v>157</v>
      </c>
      <c r="Q1963" s="569" t="s">
        <v>798</v>
      </c>
      <c r="R1963" s="569">
        <v>8</v>
      </c>
      <c r="S1963" s="569" t="s">
        <v>3727</v>
      </c>
      <c r="T1963" s="569" t="s">
        <v>1522</v>
      </c>
      <c r="U1963" s="569">
        <v>162</v>
      </c>
      <c r="V1963" s="569">
        <v>23.5</v>
      </c>
      <c r="W1963" s="620">
        <v>13200</v>
      </c>
      <c r="X1963" s="621" t="s">
        <v>157</v>
      </c>
      <c r="Y1963" s="621" t="s">
        <v>450</v>
      </c>
      <c r="Z1963" s="621" t="s">
        <v>178</v>
      </c>
      <c r="AA1963" s="622">
        <v>39495</v>
      </c>
      <c r="AB1963" s="622" t="s">
        <v>164</v>
      </c>
      <c r="AC1963" s="622">
        <v>30246.315789473687</v>
      </c>
      <c r="AD1963" s="623">
        <v>0.05</v>
      </c>
      <c r="AE1963" s="621" t="s">
        <v>3758</v>
      </c>
    </row>
    <row r="1964" spans="1:31" s="572" customFormat="1">
      <c r="A1964" s="570" t="s">
        <v>3759</v>
      </c>
      <c r="B1964" s="573" t="s">
        <v>150</v>
      </c>
      <c r="C1964" s="578">
        <v>13</v>
      </c>
      <c r="D1964" s="573" t="s">
        <v>3374</v>
      </c>
      <c r="E1964" s="573" t="s">
        <v>1684</v>
      </c>
      <c r="F1964" s="573" t="s">
        <v>153</v>
      </c>
      <c r="G1964" s="573">
        <v>2019</v>
      </c>
      <c r="H1964" s="573" t="s">
        <v>3707</v>
      </c>
      <c r="I1964" s="573" t="s">
        <v>3756</v>
      </c>
      <c r="J1964" s="573" t="s">
        <v>752</v>
      </c>
      <c r="K1964" s="573">
        <v>3</v>
      </c>
      <c r="L1964" s="573">
        <v>0</v>
      </c>
      <c r="M1964" s="573" t="s">
        <v>157</v>
      </c>
      <c r="N1964" s="573">
        <v>1</v>
      </c>
      <c r="O1964" s="573" t="s">
        <v>157</v>
      </c>
      <c r="P1964" s="571" t="s">
        <v>157</v>
      </c>
      <c r="Q1964" s="573" t="s">
        <v>798</v>
      </c>
      <c r="R1964" s="573">
        <v>8</v>
      </c>
      <c r="S1964" s="582" t="s">
        <v>3724</v>
      </c>
      <c r="T1964" s="573" t="s">
        <v>1522</v>
      </c>
      <c r="U1964" s="573">
        <v>137</v>
      </c>
      <c r="V1964" s="573">
        <v>63.5</v>
      </c>
      <c r="W1964" s="616">
        <v>13200</v>
      </c>
      <c r="X1964" s="617" t="s">
        <v>157</v>
      </c>
      <c r="Y1964" s="617" t="s">
        <v>450</v>
      </c>
      <c r="Z1964" s="617" t="s">
        <v>178</v>
      </c>
      <c r="AA1964" s="618">
        <v>39295</v>
      </c>
      <c r="AB1964" s="618" t="s">
        <v>164</v>
      </c>
      <c r="AC1964" s="618">
        <v>31670</v>
      </c>
      <c r="AD1964" s="619">
        <v>0.03</v>
      </c>
      <c r="AE1964" s="617" t="s">
        <v>3755</v>
      </c>
    </row>
    <row r="1965" spans="1:31" s="572" customFormat="1">
      <c r="A1965" s="570" t="s">
        <v>3760</v>
      </c>
      <c r="B1965" s="569" t="s">
        <v>150</v>
      </c>
      <c r="C1965" s="580">
        <v>13</v>
      </c>
      <c r="D1965" s="569" t="s">
        <v>3374</v>
      </c>
      <c r="E1965" s="569" t="s">
        <v>1684</v>
      </c>
      <c r="F1965" s="569" t="s">
        <v>153</v>
      </c>
      <c r="G1965" s="569">
        <v>2019</v>
      </c>
      <c r="H1965" s="569" t="s">
        <v>3707</v>
      </c>
      <c r="I1965" s="569" t="s">
        <v>3756</v>
      </c>
      <c r="J1965" s="569" t="s">
        <v>752</v>
      </c>
      <c r="K1965" s="569">
        <v>3</v>
      </c>
      <c r="L1965" s="569">
        <v>0</v>
      </c>
      <c r="M1965" s="569" t="s">
        <v>157</v>
      </c>
      <c r="N1965" s="569">
        <v>1</v>
      </c>
      <c r="O1965" s="569" t="s">
        <v>157</v>
      </c>
      <c r="P1965" s="568" t="s">
        <v>157</v>
      </c>
      <c r="Q1965" s="569" t="s">
        <v>798</v>
      </c>
      <c r="R1965" s="569">
        <v>8</v>
      </c>
      <c r="S1965" s="569" t="s">
        <v>3727</v>
      </c>
      <c r="T1965" s="569" t="s">
        <v>1522</v>
      </c>
      <c r="U1965" s="569">
        <v>162</v>
      </c>
      <c r="V1965" s="569">
        <v>63.5</v>
      </c>
      <c r="W1965" s="620">
        <v>13200</v>
      </c>
      <c r="X1965" s="621" t="s">
        <v>157</v>
      </c>
      <c r="Y1965" s="621" t="s">
        <v>450</v>
      </c>
      <c r="Z1965" s="621" t="s">
        <v>178</v>
      </c>
      <c r="AA1965" s="622">
        <v>39495</v>
      </c>
      <c r="AB1965" s="622" t="s">
        <v>164</v>
      </c>
      <c r="AC1965" s="622">
        <v>31829</v>
      </c>
      <c r="AD1965" s="623">
        <v>0.03</v>
      </c>
      <c r="AE1965" s="621" t="s">
        <v>3758</v>
      </c>
    </row>
    <row r="1966" spans="1:31" s="572" customFormat="1">
      <c r="A1966" s="570" t="s">
        <v>3761</v>
      </c>
      <c r="B1966" s="573" t="s">
        <v>166</v>
      </c>
      <c r="C1966" s="578">
        <v>17</v>
      </c>
      <c r="D1966" s="573" t="s">
        <v>3374</v>
      </c>
      <c r="E1966" s="573" t="s">
        <v>1684</v>
      </c>
      <c r="F1966" s="573" t="s">
        <v>153</v>
      </c>
      <c r="G1966" s="573">
        <v>2019</v>
      </c>
      <c r="H1966" s="573" t="s">
        <v>3707</v>
      </c>
      <c r="I1966" s="573" t="s">
        <v>3756</v>
      </c>
      <c r="J1966" s="573" t="s">
        <v>752</v>
      </c>
      <c r="K1966" s="573">
        <v>3</v>
      </c>
      <c r="L1966" s="573">
        <v>0</v>
      </c>
      <c r="M1966" s="573" t="s">
        <v>157</v>
      </c>
      <c r="N1966" s="573">
        <v>1</v>
      </c>
      <c r="O1966" s="573" t="s">
        <v>157</v>
      </c>
      <c r="P1966" s="571" t="s">
        <v>157</v>
      </c>
      <c r="Q1966" s="573" t="s">
        <v>798</v>
      </c>
      <c r="R1966" s="573">
        <v>8</v>
      </c>
      <c r="S1966" s="582" t="s">
        <v>3724</v>
      </c>
      <c r="T1966" s="573" t="s">
        <v>1522</v>
      </c>
      <c r="U1966" s="573">
        <v>137</v>
      </c>
      <c r="V1966" s="573">
        <v>63.5</v>
      </c>
      <c r="W1966" s="616">
        <v>13200</v>
      </c>
      <c r="X1966" s="617" t="s">
        <v>157</v>
      </c>
      <c r="Y1966" s="617" t="s">
        <v>450</v>
      </c>
      <c r="Z1966" s="617" t="s">
        <v>178</v>
      </c>
      <c r="AA1966" s="618">
        <v>42395</v>
      </c>
      <c r="AB1966" s="618" t="s">
        <v>164</v>
      </c>
      <c r="AC1966" s="618">
        <v>32501</v>
      </c>
      <c r="AD1966" s="619">
        <v>7.1999999999999995E-2</v>
      </c>
      <c r="AE1966" s="617" t="s">
        <v>3755</v>
      </c>
    </row>
    <row r="1967" spans="1:31" s="572" customFormat="1">
      <c r="A1967" s="570" t="s">
        <v>3762</v>
      </c>
      <c r="B1967" s="569" t="s">
        <v>166</v>
      </c>
      <c r="C1967" s="580">
        <v>17</v>
      </c>
      <c r="D1967" s="569" t="s">
        <v>3374</v>
      </c>
      <c r="E1967" s="569" t="s">
        <v>1684</v>
      </c>
      <c r="F1967" s="569" t="s">
        <v>153</v>
      </c>
      <c r="G1967" s="569">
        <v>2019</v>
      </c>
      <c r="H1967" s="569" t="s">
        <v>3707</v>
      </c>
      <c r="I1967" s="569" t="s">
        <v>3756</v>
      </c>
      <c r="J1967" s="569" t="s">
        <v>752</v>
      </c>
      <c r="K1967" s="569">
        <v>3</v>
      </c>
      <c r="L1967" s="569">
        <v>0</v>
      </c>
      <c r="M1967" s="569" t="s">
        <v>157</v>
      </c>
      <c r="N1967" s="569">
        <v>1</v>
      </c>
      <c r="O1967" s="569" t="s">
        <v>157</v>
      </c>
      <c r="P1967" s="568" t="s">
        <v>157</v>
      </c>
      <c r="Q1967" s="569" t="s">
        <v>798</v>
      </c>
      <c r="R1967" s="569">
        <v>8</v>
      </c>
      <c r="S1967" s="569" t="s">
        <v>3727</v>
      </c>
      <c r="T1967" s="569" t="s">
        <v>1522</v>
      </c>
      <c r="U1967" s="569">
        <v>162</v>
      </c>
      <c r="V1967" s="569">
        <v>63.5</v>
      </c>
      <c r="W1967" s="620">
        <v>13200</v>
      </c>
      <c r="X1967" s="621" t="s">
        <v>157</v>
      </c>
      <c r="Y1967" s="621" t="s">
        <v>450</v>
      </c>
      <c r="Z1967" s="621" t="s">
        <v>178</v>
      </c>
      <c r="AA1967" s="622">
        <v>42595</v>
      </c>
      <c r="AB1967" s="622" t="s">
        <v>164</v>
      </c>
      <c r="AC1967" s="622">
        <v>32411</v>
      </c>
      <c r="AD1967" s="623">
        <v>7.1999999999999995E-2</v>
      </c>
      <c r="AE1967" s="621" t="s">
        <v>3758</v>
      </c>
    </row>
    <row r="1968" spans="1:31" s="572" customFormat="1">
      <c r="A1968" s="570" t="s">
        <v>3763</v>
      </c>
      <c r="B1968" s="573" t="s">
        <v>269</v>
      </c>
      <c r="C1968" s="578" t="s">
        <v>270</v>
      </c>
      <c r="D1968" s="573" t="s">
        <v>3374</v>
      </c>
      <c r="E1968" s="573" t="s">
        <v>152</v>
      </c>
      <c r="F1968" s="573" t="s">
        <v>271</v>
      </c>
      <c r="G1968" s="573">
        <v>2019</v>
      </c>
      <c r="H1968" s="573" t="s">
        <v>3765</v>
      </c>
      <c r="I1968" s="573" t="s">
        <v>3766</v>
      </c>
      <c r="J1968" s="573" t="s">
        <v>752</v>
      </c>
      <c r="K1968" s="573">
        <v>6</v>
      </c>
      <c r="L1968" s="573">
        <v>0</v>
      </c>
      <c r="M1968" s="573" t="s">
        <v>157</v>
      </c>
      <c r="N1968" s="573">
        <v>2</v>
      </c>
      <c r="O1968" s="573" t="s">
        <v>3767</v>
      </c>
      <c r="P1968" s="571">
        <v>5000</v>
      </c>
      <c r="Q1968" s="573" t="s">
        <v>3768</v>
      </c>
      <c r="R1968" s="573">
        <v>6</v>
      </c>
      <c r="S1968" s="582" t="s">
        <v>3769</v>
      </c>
      <c r="T1968" s="573" t="s">
        <v>276</v>
      </c>
      <c r="U1968" s="573">
        <v>145</v>
      </c>
      <c r="V1968" s="573">
        <v>26</v>
      </c>
      <c r="W1968" s="616">
        <v>6600</v>
      </c>
      <c r="X1968" s="617">
        <v>21</v>
      </c>
      <c r="Y1968" s="617" t="s">
        <v>178</v>
      </c>
      <c r="Z1968" s="617" t="s">
        <v>178</v>
      </c>
      <c r="AA1968" s="618">
        <v>40695</v>
      </c>
      <c r="AB1968" s="618" t="s">
        <v>164</v>
      </c>
      <c r="AC1968" s="618">
        <v>29344.926315789475</v>
      </c>
      <c r="AD1968" s="619">
        <v>0.03</v>
      </c>
      <c r="AE1968" s="617" t="s">
        <v>3764</v>
      </c>
    </row>
    <row r="1969" spans="1:31" s="572" customFormat="1">
      <c r="A1969" s="570" t="s">
        <v>3770</v>
      </c>
      <c r="B1969" s="569" t="s">
        <v>269</v>
      </c>
      <c r="C1969" s="580" t="s">
        <v>270</v>
      </c>
      <c r="D1969" s="569" t="s">
        <v>3374</v>
      </c>
      <c r="E1969" s="569" t="s">
        <v>152</v>
      </c>
      <c r="F1969" s="569" t="s">
        <v>271</v>
      </c>
      <c r="G1969" s="569">
        <v>2019</v>
      </c>
      <c r="H1969" s="569" t="s">
        <v>3765</v>
      </c>
      <c r="I1969" s="569" t="s">
        <v>3766</v>
      </c>
      <c r="J1969" s="569" t="s">
        <v>752</v>
      </c>
      <c r="K1969" s="569">
        <v>6</v>
      </c>
      <c r="L1969" s="569">
        <v>0</v>
      </c>
      <c r="M1969" s="569" t="s">
        <v>157</v>
      </c>
      <c r="N1969" s="569">
        <v>2</v>
      </c>
      <c r="O1969" s="569" t="s">
        <v>3767</v>
      </c>
      <c r="P1969" s="568">
        <v>5000</v>
      </c>
      <c r="Q1969" s="569" t="s">
        <v>3772</v>
      </c>
      <c r="R1969" s="569">
        <v>6</v>
      </c>
      <c r="S1969" s="569" t="s">
        <v>3769</v>
      </c>
      <c r="T1969" s="569" t="s">
        <v>276</v>
      </c>
      <c r="U1969" s="569">
        <v>145</v>
      </c>
      <c r="V1969" s="569">
        <v>26</v>
      </c>
      <c r="W1969" s="620">
        <v>6500</v>
      </c>
      <c r="X1969" s="621">
        <v>20</v>
      </c>
      <c r="Y1969" s="621" t="s">
        <v>450</v>
      </c>
      <c r="Z1969" s="621" t="s">
        <v>178</v>
      </c>
      <c r="AA1969" s="622">
        <v>39700</v>
      </c>
      <c r="AB1969" s="622" t="s">
        <v>164</v>
      </c>
      <c r="AC1969" s="622">
        <v>28451.242105263158</v>
      </c>
      <c r="AD1969" s="623">
        <v>0.03</v>
      </c>
      <c r="AE1969" s="621" t="s">
        <v>3771</v>
      </c>
    </row>
    <row r="1970" spans="1:31" s="572" customFormat="1">
      <c r="A1970" s="570" t="s">
        <v>3773</v>
      </c>
      <c r="B1970" s="573" t="s">
        <v>269</v>
      </c>
      <c r="C1970" s="578" t="s">
        <v>270</v>
      </c>
      <c r="D1970" s="573" t="s">
        <v>3374</v>
      </c>
      <c r="E1970" s="573" t="s">
        <v>152</v>
      </c>
      <c r="F1970" s="573" t="s">
        <v>271</v>
      </c>
      <c r="G1970" s="573">
        <v>2019</v>
      </c>
      <c r="H1970" s="573" t="s">
        <v>3765</v>
      </c>
      <c r="I1970" s="573" t="s">
        <v>3766</v>
      </c>
      <c r="J1970" s="573" t="s">
        <v>752</v>
      </c>
      <c r="K1970" s="573">
        <v>6</v>
      </c>
      <c r="L1970" s="573">
        <v>0</v>
      </c>
      <c r="M1970" s="573" t="s">
        <v>157</v>
      </c>
      <c r="N1970" s="573">
        <v>2</v>
      </c>
      <c r="O1970" s="573" t="s">
        <v>3767</v>
      </c>
      <c r="P1970" s="571">
        <v>5000</v>
      </c>
      <c r="Q1970" s="573" t="s">
        <v>3775</v>
      </c>
      <c r="R1970" s="573">
        <v>6</v>
      </c>
      <c r="S1970" s="582" t="s">
        <v>3769</v>
      </c>
      <c r="T1970" s="573" t="s">
        <v>276</v>
      </c>
      <c r="U1970" s="573">
        <v>145</v>
      </c>
      <c r="V1970" s="573">
        <v>26</v>
      </c>
      <c r="W1970" s="616">
        <v>7000</v>
      </c>
      <c r="X1970" s="617">
        <v>19</v>
      </c>
      <c r="Y1970" s="617" t="s">
        <v>178</v>
      </c>
      <c r="Z1970" s="617" t="s">
        <v>178</v>
      </c>
      <c r="AA1970" s="618">
        <v>42295</v>
      </c>
      <c r="AB1970" s="618" t="s">
        <v>164</v>
      </c>
      <c r="AC1970" s="618">
        <v>30780.715789473685</v>
      </c>
      <c r="AD1970" s="619">
        <v>0.03</v>
      </c>
      <c r="AE1970" s="617" t="s">
        <v>3774</v>
      </c>
    </row>
    <row r="1971" spans="1:31" s="572" customFormat="1">
      <c r="A1971" s="570" t="s">
        <v>3776</v>
      </c>
      <c r="B1971" s="569" t="s">
        <v>269</v>
      </c>
      <c r="C1971" s="580" t="s">
        <v>270</v>
      </c>
      <c r="D1971" s="569" t="s">
        <v>3374</v>
      </c>
      <c r="E1971" s="569" t="s">
        <v>152</v>
      </c>
      <c r="F1971" s="569" t="s">
        <v>271</v>
      </c>
      <c r="G1971" s="569">
        <v>2019</v>
      </c>
      <c r="H1971" s="569" t="s">
        <v>3765</v>
      </c>
      <c r="I1971" s="569" t="s">
        <v>3766</v>
      </c>
      <c r="J1971" s="569" t="s">
        <v>752</v>
      </c>
      <c r="K1971" s="569">
        <v>6</v>
      </c>
      <c r="L1971" s="569">
        <v>0</v>
      </c>
      <c r="M1971" s="569" t="s">
        <v>157</v>
      </c>
      <c r="N1971" s="569">
        <v>2</v>
      </c>
      <c r="O1971" s="569" t="s">
        <v>3767</v>
      </c>
      <c r="P1971" s="568">
        <v>5000</v>
      </c>
      <c r="Q1971" s="569" t="s">
        <v>3778</v>
      </c>
      <c r="R1971" s="569">
        <v>6</v>
      </c>
      <c r="S1971" s="569" t="s">
        <v>3769</v>
      </c>
      <c r="T1971" s="569" t="s">
        <v>276</v>
      </c>
      <c r="U1971" s="569">
        <v>145</v>
      </c>
      <c r="V1971" s="569">
        <v>26</v>
      </c>
      <c r="W1971" s="620">
        <v>7000</v>
      </c>
      <c r="X1971" s="621">
        <v>18</v>
      </c>
      <c r="Y1971" s="621" t="s">
        <v>450</v>
      </c>
      <c r="Z1971" s="621" t="s">
        <v>178</v>
      </c>
      <c r="AA1971" s="622">
        <v>41695</v>
      </c>
      <c r="AB1971" s="622" t="s">
        <v>164</v>
      </c>
      <c r="AC1971" s="622">
        <v>30241.768421052635</v>
      </c>
      <c r="AD1971" s="623">
        <v>0.03</v>
      </c>
      <c r="AE1971" s="621" t="s">
        <v>3777</v>
      </c>
    </row>
    <row r="1972" spans="1:31" s="572" customFormat="1">
      <c r="A1972" s="570" t="s">
        <v>3779</v>
      </c>
      <c r="B1972" s="573" t="s">
        <v>269</v>
      </c>
      <c r="C1972" s="578" t="s">
        <v>270</v>
      </c>
      <c r="D1972" s="573" t="s">
        <v>3374</v>
      </c>
      <c r="E1972" s="573" t="s">
        <v>152</v>
      </c>
      <c r="F1972" s="573" t="s">
        <v>271</v>
      </c>
      <c r="G1972" s="573">
        <v>2019</v>
      </c>
      <c r="H1972" s="573" t="s">
        <v>3765</v>
      </c>
      <c r="I1972" s="573" t="s">
        <v>3766</v>
      </c>
      <c r="J1972" s="573" t="s">
        <v>752</v>
      </c>
      <c r="K1972" s="573">
        <v>6</v>
      </c>
      <c r="L1972" s="573">
        <v>0</v>
      </c>
      <c r="M1972" s="573" t="s">
        <v>157</v>
      </c>
      <c r="N1972" s="573">
        <v>2</v>
      </c>
      <c r="O1972" s="573" t="s">
        <v>3781</v>
      </c>
      <c r="P1972" s="571">
        <v>7000</v>
      </c>
      <c r="Q1972" s="573" t="s">
        <v>3775</v>
      </c>
      <c r="R1972" s="573">
        <v>6</v>
      </c>
      <c r="S1972" s="582" t="s">
        <v>3769</v>
      </c>
      <c r="T1972" s="573" t="s">
        <v>276</v>
      </c>
      <c r="U1972" s="573">
        <v>157</v>
      </c>
      <c r="V1972" s="573">
        <v>26</v>
      </c>
      <c r="W1972" s="616">
        <v>7050</v>
      </c>
      <c r="X1972" s="617">
        <v>19</v>
      </c>
      <c r="Y1972" s="617" t="s">
        <v>178</v>
      </c>
      <c r="Z1972" s="617" t="s">
        <v>178</v>
      </c>
      <c r="AA1972" s="618">
        <v>42555</v>
      </c>
      <c r="AB1972" s="618" t="s">
        <v>164</v>
      </c>
      <c r="AC1972" s="618">
        <v>31083.873684210528</v>
      </c>
      <c r="AD1972" s="619">
        <v>0.03</v>
      </c>
      <c r="AE1972" s="617" t="s">
        <v>3780</v>
      </c>
    </row>
    <row r="1973" spans="1:31" s="572" customFormat="1">
      <c r="A1973" s="570" t="s">
        <v>3782</v>
      </c>
      <c r="B1973" s="569" t="s">
        <v>269</v>
      </c>
      <c r="C1973" s="580" t="s">
        <v>270</v>
      </c>
      <c r="D1973" s="569" t="s">
        <v>3374</v>
      </c>
      <c r="E1973" s="569" t="s">
        <v>152</v>
      </c>
      <c r="F1973" s="569" t="s">
        <v>271</v>
      </c>
      <c r="G1973" s="569">
        <v>2019</v>
      </c>
      <c r="H1973" s="569" t="s">
        <v>3765</v>
      </c>
      <c r="I1973" s="569" t="s">
        <v>3766</v>
      </c>
      <c r="J1973" s="569" t="s">
        <v>752</v>
      </c>
      <c r="K1973" s="569">
        <v>6</v>
      </c>
      <c r="L1973" s="569">
        <v>0</v>
      </c>
      <c r="M1973" s="569" t="s">
        <v>157</v>
      </c>
      <c r="N1973" s="569">
        <v>2</v>
      </c>
      <c r="O1973" s="569" t="s">
        <v>3781</v>
      </c>
      <c r="P1973" s="568">
        <v>7000</v>
      </c>
      <c r="Q1973" s="569" t="s">
        <v>3778</v>
      </c>
      <c r="R1973" s="569">
        <v>6</v>
      </c>
      <c r="S1973" s="569" t="s">
        <v>3769</v>
      </c>
      <c r="T1973" s="569" t="s">
        <v>276</v>
      </c>
      <c r="U1973" s="569">
        <v>157</v>
      </c>
      <c r="V1973" s="569">
        <v>26</v>
      </c>
      <c r="W1973" s="620">
        <v>7050</v>
      </c>
      <c r="X1973" s="621">
        <v>18</v>
      </c>
      <c r="Y1973" s="621" t="s">
        <v>450</v>
      </c>
      <c r="Z1973" s="621" t="s">
        <v>178</v>
      </c>
      <c r="AA1973" s="622">
        <v>41955</v>
      </c>
      <c r="AB1973" s="622" t="s">
        <v>164</v>
      </c>
      <c r="AC1973" s="622">
        <v>30545.978947368421</v>
      </c>
      <c r="AD1973" s="623">
        <v>0.03</v>
      </c>
      <c r="AE1973" s="621" t="s">
        <v>3783</v>
      </c>
    </row>
    <row r="1974" spans="1:31" s="572" customFormat="1">
      <c r="A1974" s="570" t="s">
        <v>3784</v>
      </c>
      <c r="B1974" s="573" t="s">
        <v>278</v>
      </c>
      <c r="C1974" s="578">
        <v>15</v>
      </c>
      <c r="D1974" s="573" t="s">
        <v>3374</v>
      </c>
      <c r="E1974" s="573" t="s">
        <v>152</v>
      </c>
      <c r="F1974" s="573" t="s">
        <v>271</v>
      </c>
      <c r="G1974" s="573">
        <v>2019</v>
      </c>
      <c r="H1974" s="573" t="s">
        <v>3765</v>
      </c>
      <c r="I1974" s="573" t="s">
        <v>3766</v>
      </c>
      <c r="J1974" s="573" t="s">
        <v>752</v>
      </c>
      <c r="K1974" s="573">
        <v>6</v>
      </c>
      <c r="L1974" s="573">
        <v>0</v>
      </c>
      <c r="M1974" s="573" t="s">
        <v>157</v>
      </c>
      <c r="N1974" s="573">
        <v>2</v>
      </c>
      <c r="O1974" s="573" t="s">
        <v>3767</v>
      </c>
      <c r="P1974" s="571">
        <v>5000</v>
      </c>
      <c r="Q1974" s="573" t="s">
        <v>3768</v>
      </c>
      <c r="R1974" s="573">
        <v>6</v>
      </c>
      <c r="S1974" s="582" t="s">
        <v>3769</v>
      </c>
      <c r="T1974" s="573" t="s">
        <v>276</v>
      </c>
      <c r="U1974" s="573">
        <v>145</v>
      </c>
      <c r="V1974" s="573">
        <v>26</v>
      </c>
      <c r="W1974" s="616">
        <v>6500</v>
      </c>
      <c r="X1974" s="617">
        <v>24</v>
      </c>
      <c r="Y1974" s="617" t="s">
        <v>178</v>
      </c>
      <c r="Z1974" s="617" t="s">
        <v>178</v>
      </c>
      <c r="AA1974" s="618">
        <v>40695</v>
      </c>
      <c r="AB1974" s="618" t="s">
        <v>164</v>
      </c>
      <c r="AC1974" s="618">
        <v>29500</v>
      </c>
      <c r="AD1974" s="619">
        <v>0.01</v>
      </c>
      <c r="AE1974" s="617" t="s">
        <v>3764</v>
      </c>
    </row>
    <row r="1975" spans="1:31" s="572" customFormat="1">
      <c r="A1975" s="570" t="s">
        <v>3785</v>
      </c>
      <c r="B1975" s="569" t="s">
        <v>278</v>
      </c>
      <c r="C1975" s="580">
        <v>15</v>
      </c>
      <c r="D1975" s="569" t="s">
        <v>3374</v>
      </c>
      <c r="E1975" s="569" t="s">
        <v>152</v>
      </c>
      <c r="F1975" s="569" t="s">
        <v>271</v>
      </c>
      <c r="G1975" s="569">
        <v>2019</v>
      </c>
      <c r="H1975" s="569" t="s">
        <v>3765</v>
      </c>
      <c r="I1975" s="569" t="s">
        <v>3766</v>
      </c>
      <c r="J1975" s="569" t="s">
        <v>752</v>
      </c>
      <c r="K1975" s="569">
        <v>6</v>
      </c>
      <c r="L1975" s="569">
        <v>0</v>
      </c>
      <c r="M1975" s="569" t="s">
        <v>157</v>
      </c>
      <c r="N1975" s="569">
        <v>2</v>
      </c>
      <c r="O1975" s="569" t="s">
        <v>3767</v>
      </c>
      <c r="P1975" s="568">
        <v>5000</v>
      </c>
      <c r="Q1975" s="569" t="s">
        <v>3772</v>
      </c>
      <c r="R1975" s="569">
        <v>6</v>
      </c>
      <c r="S1975" s="569" t="s">
        <v>3769</v>
      </c>
      <c r="T1975" s="569" t="s">
        <v>276</v>
      </c>
      <c r="U1975" s="569">
        <v>145</v>
      </c>
      <c r="V1975" s="569">
        <v>26</v>
      </c>
      <c r="W1975" s="620">
        <v>6500</v>
      </c>
      <c r="X1975" s="621">
        <v>23</v>
      </c>
      <c r="Y1975" s="621" t="s">
        <v>450</v>
      </c>
      <c r="Z1975" s="621" t="s">
        <v>178</v>
      </c>
      <c r="AA1975" s="622">
        <v>39700</v>
      </c>
      <c r="AB1975" s="622" t="s">
        <v>164</v>
      </c>
      <c r="AC1975" s="622">
        <v>28550</v>
      </c>
      <c r="AD1975" s="623">
        <v>0.01</v>
      </c>
      <c r="AE1975" s="621" t="s">
        <v>3771</v>
      </c>
    </row>
    <row r="1976" spans="1:31" s="572" customFormat="1">
      <c r="A1976" s="570" t="s">
        <v>3786</v>
      </c>
      <c r="B1976" s="573" t="s">
        <v>278</v>
      </c>
      <c r="C1976" s="578">
        <v>15</v>
      </c>
      <c r="D1976" s="573" t="s">
        <v>3374</v>
      </c>
      <c r="E1976" s="573" t="s">
        <v>152</v>
      </c>
      <c r="F1976" s="573" t="s">
        <v>271</v>
      </c>
      <c r="G1976" s="573">
        <v>2019</v>
      </c>
      <c r="H1976" s="573" t="s">
        <v>3765</v>
      </c>
      <c r="I1976" s="573" t="s">
        <v>3766</v>
      </c>
      <c r="J1976" s="573" t="s">
        <v>752</v>
      </c>
      <c r="K1976" s="573">
        <v>6</v>
      </c>
      <c r="L1976" s="573">
        <v>0</v>
      </c>
      <c r="M1976" s="573" t="s">
        <v>157</v>
      </c>
      <c r="N1976" s="573">
        <v>2</v>
      </c>
      <c r="O1976" s="573" t="s">
        <v>3767</v>
      </c>
      <c r="P1976" s="571">
        <v>5000</v>
      </c>
      <c r="Q1976" s="573" t="s">
        <v>3775</v>
      </c>
      <c r="R1976" s="573">
        <v>6</v>
      </c>
      <c r="S1976" s="582" t="s">
        <v>3769</v>
      </c>
      <c r="T1976" s="573" t="s">
        <v>276</v>
      </c>
      <c r="U1976" s="573">
        <v>145</v>
      </c>
      <c r="V1976" s="573">
        <v>26</v>
      </c>
      <c r="W1976" s="616">
        <v>6750</v>
      </c>
      <c r="X1976" s="617">
        <v>24</v>
      </c>
      <c r="Y1976" s="617" t="s">
        <v>178</v>
      </c>
      <c r="Z1976" s="617" t="s">
        <v>178</v>
      </c>
      <c r="AA1976" s="618">
        <v>42295</v>
      </c>
      <c r="AB1976" s="618" t="s">
        <v>164</v>
      </c>
      <c r="AC1976" s="618">
        <v>30900</v>
      </c>
      <c r="AD1976" s="619">
        <v>0.01</v>
      </c>
      <c r="AE1976" s="617" t="s">
        <v>3774</v>
      </c>
    </row>
    <row r="1977" spans="1:31" s="572" customFormat="1">
      <c r="A1977" s="570" t="s">
        <v>3787</v>
      </c>
      <c r="B1977" s="569" t="s">
        <v>278</v>
      </c>
      <c r="C1977" s="580">
        <v>15</v>
      </c>
      <c r="D1977" s="569" t="s">
        <v>3374</v>
      </c>
      <c r="E1977" s="569" t="s">
        <v>152</v>
      </c>
      <c r="F1977" s="569" t="s">
        <v>271</v>
      </c>
      <c r="G1977" s="569">
        <v>2019</v>
      </c>
      <c r="H1977" s="569" t="s">
        <v>3765</v>
      </c>
      <c r="I1977" s="569" t="s">
        <v>3766</v>
      </c>
      <c r="J1977" s="569" t="s">
        <v>752</v>
      </c>
      <c r="K1977" s="569">
        <v>6</v>
      </c>
      <c r="L1977" s="569">
        <v>0</v>
      </c>
      <c r="M1977" s="569" t="s">
        <v>157</v>
      </c>
      <c r="N1977" s="569">
        <v>2</v>
      </c>
      <c r="O1977" s="569" t="s">
        <v>3767</v>
      </c>
      <c r="P1977" s="568">
        <v>5000</v>
      </c>
      <c r="Q1977" s="569" t="s">
        <v>3778</v>
      </c>
      <c r="R1977" s="569">
        <v>6</v>
      </c>
      <c r="S1977" s="569" t="s">
        <v>3769</v>
      </c>
      <c r="T1977" s="569" t="s">
        <v>276</v>
      </c>
      <c r="U1977" s="569">
        <v>145</v>
      </c>
      <c r="V1977" s="569">
        <v>26</v>
      </c>
      <c r="W1977" s="620">
        <v>6800</v>
      </c>
      <c r="X1977" s="621">
        <v>23</v>
      </c>
      <c r="Y1977" s="621" t="s">
        <v>450</v>
      </c>
      <c r="Z1977" s="621" t="s">
        <v>178</v>
      </c>
      <c r="AA1977" s="622">
        <v>41695</v>
      </c>
      <c r="AB1977" s="622" t="s">
        <v>164</v>
      </c>
      <c r="AC1977" s="622">
        <v>30350</v>
      </c>
      <c r="AD1977" s="623">
        <v>0.01</v>
      </c>
      <c r="AE1977" s="621" t="s">
        <v>3777</v>
      </c>
    </row>
    <row r="1978" spans="1:31" s="572" customFormat="1">
      <c r="A1978" s="570" t="s">
        <v>3788</v>
      </c>
      <c r="B1978" s="573" t="s">
        <v>278</v>
      </c>
      <c r="C1978" s="578">
        <v>15</v>
      </c>
      <c r="D1978" s="573" t="s">
        <v>3374</v>
      </c>
      <c r="E1978" s="573" t="s">
        <v>152</v>
      </c>
      <c r="F1978" s="573" t="s">
        <v>271</v>
      </c>
      <c r="G1978" s="573">
        <v>2019</v>
      </c>
      <c r="H1978" s="573" t="s">
        <v>3765</v>
      </c>
      <c r="I1978" s="573" t="s">
        <v>3766</v>
      </c>
      <c r="J1978" s="573" t="s">
        <v>752</v>
      </c>
      <c r="K1978" s="573">
        <v>6</v>
      </c>
      <c r="L1978" s="573">
        <v>0</v>
      </c>
      <c r="M1978" s="573" t="s">
        <v>157</v>
      </c>
      <c r="N1978" s="573">
        <v>2</v>
      </c>
      <c r="O1978" s="573" t="s">
        <v>3781</v>
      </c>
      <c r="P1978" s="571">
        <v>7000</v>
      </c>
      <c r="Q1978" s="573" t="s">
        <v>3775</v>
      </c>
      <c r="R1978" s="573">
        <v>6</v>
      </c>
      <c r="S1978" s="582" t="s">
        <v>3769</v>
      </c>
      <c r="T1978" s="573" t="s">
        <v>276</v>
      </c>
      <c r="U1978" s="573">
        <v>157</v>
      </c>
      <c r="V1978" s="573">
        <v>26</v>
      </c>
      <c r="W1978" s="616">
        <v>7050</v>
      </c>
      <c r="X1978" s="617">
        <v>26</v>
      </c>
      <c r="Y1978" s="617" t="s">
        <v>178</v>
      </c>
      <c r="Z1978" s="617" t="s">
        <v>178</v>
      </c>
      <c r="AA1978" s="618">
        <v>42555</v>
      </c>
      <c r="AB1978" s="618" t="s">
        <v>164</v>
      </c>
      <c r="AC1978" s="618">
        <v>31200</v>
      </c>
      <c r="AD1978" s="619">
        <v>0.01</v>
      </c>
      <c r="AE1978" s="617" t="s">
        <v>3780</v>
      </c>
    </row>
    <row r="1979" spans="1:31" s="572" customFormat="1">
      <c r="A1979" s="570" t="s">
        <v>3789</v>
      </c>
      <c r="B1979" s="569" t="s">
        <v>278</v>
      </c>
      <c r="C1979" s="580">
        <v>15</v>
      </c>
      <c r="D1979" s="569" t="s">
        <v>3374</v>
      </c>
      <c r="E1979" s="569" t="s">
        <v>152</v>
      </c>
      <c r="F1979" s="569" t="s">
        <v>271</v>
      </c>
      <c r="G1979" s="569">
        <v>2019</v>
      </c>
      <c r="H1979" s="569" t="s">
        <v>3765</v>
      </c>
      <c r="I1979" s="569" t="s">
        <v>3766</v>
      </c>
      <c r="J1979" s="569" t="s">
        <v>752</v>
      </c>
      <c r="K1979" s="569">
        <v>6</v>
      </c>
      <c r="L1979" s="569">
        <v>0</v>
      </c>
      <c r="M1979" s="569" t="s">
        <v>157</v>
      </c>
      <c r="N1979" s="569">
        <v>2</v>
      </c>
      <c r="O1979" s="569" t="s">
        <v>3781</v>
      </c>
      <c r="P1979" s="568">
        <v>7000</v>
      </c>
      <c r="Q1979" s="569" t="s">
        <v>3778</v>
      </c>
      <c r="R1979" s="569">
        <v>6</v>
      </c>
      <c r="S1979" s="569" t="s">
        <v>3769</v>
      </c>
      <c r="T1979" s="569" t="s">
        <v>276</v>
      </c>
      <c r="U1979" s="569">
        <v>157</v>
      </c>
      <c r="V1979" s="569">
        <v>26</v>
      </c>
      <c r="W1979" s="620">
        <v>7050</v>
      </c>
      <c r="X1979" s="621">
        <v>26</v>
      </c>
      <c r="Y1979" s="621" t="s">
        <v>450</v>
      </c>
      <c r="Z1979" s="621" t="s">
        <v>178</v>
      </c>
      <c r="AA1979" s="622">
        <v>41955</v>
      </c>
      <c r="AB1979" s="622" t="s">
        <v>164</v>
      </c>
      <c r="AC1979" s="622">
        <v>30650</v>
      </c>
      <c r="AD1979" s="623">
        <v>0.01</v>
      </c>
      <c r="AE1979" s="621" t="s">
        <v>3783</v>
      </c>
    </row>
    <row r="1980" spans="1:31" s="572" customFormat="1">
      <c r="A1980" s="570" t="s">
        <v>3790</v>
      </c>
      <c r="B1980" s="573" t="s">
        <v>287</v>
      </c>
      <c r="C1980" s="578">
        <v>26</v>
      </c>
      <c r="D1980" s="573" t="s">
        <v>3374</v>
      </c>
      <c r="E1980" s="573" t="s">
        <v>152</v>
      </c>
      <c r="F1980" s="573" t="s">
        <v>271</v>
      </c>
      <c r="G1980" s="573">
        <v>2019</v>
      </c>
      <c r="H1980" s="573" t="s">
        <v>3765</v>
      </c>
      <c r="I1980" s="573" t="s">
        <v>3766</v>
      </c>
      <c r="J1980" s="573" t="s">
        <v>752</v>
      </c>
      <c r="K1980" s="573">
        <v>6</v>
      </c>
      <c r="L1980" s="573">
        <v>0</v>
      </c>
      <c r="M1980" s="573" t="s">
        <v>157</v>
      </c>
      <c r="N1980" s="573">
        <v>2</v>
      </c>
      <c r="O1980" s="573" t="s">
        <v>3767</v>
      </c>
      <c r="P1980" s="571">
        <v>5000</v>
      </c>
      <c r="Q1980" s="573" t="s">
        <v>3768</v>
      </c>
      <c r="R1980" s="573">
        <v>6</v>
      </c>
      <c r="S1980" s="582" t="s">
        <v>3769</v>
      </c>
      <c r="T1980" s="573" t="s">
        <v>276</v>
      </c>
      <c r="U1980" s="573">
        <v>145</v>
      </c>
      <c r="V1980" s="573">
        <v>26</v>
      </c>
      <c r="W1980" s="616">
        <v>6500</v>
      </c>
      <c r="X1980" s="617">
        <v>24</v>
      </c>
      <c r="Y1980" s="617" t="s">
        <v>178</v>
      </c>
      <c r="Z1980" s="617" t="s">
        <v>178</v>
      </c>
      <c r="AA1980" s="618">
        <v>40695</v>
      </c>
      <c r="AB1980" s="618" t="s">
        <v>164</v>
      </c>
      <c r="AC1980" s="618">
        <v>29875</v>
      </c>
      <c r="AD1980" s="619">
        <v>0.05</v>
      </c>
      <c r="AE1980" s="617" t="s">
        <v>3764</v>
      </c>
    </row>
    <row r="1981" spans="1:31" s="572" customFormat="1">
      <c r="A1981" s="570" t="s">
        <v>3791</v>
      </c>
      <c r="B1981" s="569" t="s">
        <v>287</v>
      </c>
      <c r="C1981" s="580">
        <v>26</v>
      </c>
      <c r="D1981" s="569" t="s">
        <v>3374</v>
      </c>
      <c r="E1981" s="569" t="s">
        <v>152</v>
      </c>
      <c r="F1981" s="569" t="s">
        <v>271</v>
      </c>
      <c r="G1981" s="569">
        <v>2019</v>
      </c>
      <c r="H1981" s="569" t="s">
        <v>3765</v>
      </c>
      <c r="I1981" s="569" t="s">
        <v>3766</v>
      </c>
      <c r="J1981" s="569" t="s">
        <v>752</v>
      </c>
      <c r="K1981" s="569">
        <v>6</v>
      </c>
      <c r="L1981" s="569">
        <v>0</v>
      </c>
      <c r="M1981" s="569" t="s">
        <v>157</v>
      </c>
      <c r="N1981" s="569">
        <v>2</v>
      </c>
      <c r="O1981" s="569" t="s">
        <v>3767</v>
      </c>
      <c r="P1981" s="568">
        <v>5000</v>
      </c>
      <c r="Q1981" s="569" t="s">
        <v>3775</v>
      </c>
      <c r="R1981" s="569">
        <v>6</v>
      </c>
      <c r="S1981" s="569" t="s">
        <v>3769</v>
      </c>
      <c r="T1981" s="569" t="s">
        <v>276</v>
      </c>
      <c r="U1981" s="569">
        <v>145</v>
      </c>
      <c r="V1981" s="569">
        <v>26</v>
      </c>
      <c r="W1981" s="620">
        <v>6750</v>
      </c>
      <c r="X1981" s="621">
        <v>24</v>
      </c>
      <c r="Y1981" s="621" t="s">
        <v>178</v>
      </c>
      <c r="Z1981" s="621" t="s">
        <v>178</v>
      </c>
      <c r="AA1981" s="622">
        <v>42295</v>
      </c>
      <c r="AB1981" s="622" t="s">
        <v>164</v>
      </c>
      <c r="AC1981" s="622">
        <v>31330</v>
      </c>
      <c r="AD1981" s="623">
        <v>0.05</v>
      </c>
      <c r="AE1981" s="621" t="s">
        <v>3774</v>
      </c>
    </row>
    <row r="1982" spans="1:31" s="572" customFormat="1">
      <c r="A1982" s="570" t="s">
        <v>3792</v>
      </c>
      <c r="B1982" s="573" t="s">
        <v>287</v>
      </c>
      <c r="C1982" s="578">
        <v>26</v>
      </c>
      <c r="D1982" s="573" t="s">
        <v>3374</v>
      </c>
      <c r="E1982" s="573" t="s">
        <v>152</v>
      </c>
      <c r="F1982" s="573" t="s">
        <v>271</v>
      </c>
      <c r="G1982" s="573">
        <v>2019</v>
      </c>
      <c r="H1982" s="573" t="s">
        <v>3765</v>
      </c>
      <c r="I1982" s="573" t="s">
        <v>3766</v>
      </c>
      <c r="J1982" s="573" t="s">
        <v>752</v>
      </c>
      <c r="K1982" s="573">
        <v>6</v>
      </c>
      <c r="L1982" s="573">
        <v>0</v>
      </c>
      <c r="M1982" s="573" t="s">
        <v>157</v>
      </c>
      <c r="N1982" s="573">
        <v>2</v>
      </c>
      <c r="O1982" s="573" t="s">
        <v>3767</v>
      </c>
      <c r="P1982" s="571">
        <v>5000</v>
      </c>
      <c r="Q1982" s="573" t="s">
        <v>3778</v>
      </c>
      <c r="R1982" s="573">
        <v>6</v>
      </c>
      <c r="S1982" s="582" t="s">
        <v>3769</v>
      </c>
      <c r="T1982" s="573" t="s">
        <v>276</v>
      </c>
      <c r="U1982" s="573">
        <v>145</v>
      </c>
      <c r="V1982" s="573">
        <v>26</v>
      </c>
      <c r="W1982" s="616">
        <v>6800</v>
      </c>
      <c r="X1982" s="617">
        <v>23</v>
      </c>
      <c r="Y1982" s="617" t="s">
        <v>450</v>
      </c>
      <c r="Z1982" s="617" t="s">
        <v>178</v>
      </c>
      <c r="AA1982" s="618">
        <v>41695</v>
      </c>
      <c r="AB1982" s="618" t="s">
        <v>164</v>
      </c>
      <c r="AC1982" s="618">
        <v>30784</v>
      </c>
      <c r="AD1982" s="619">
        <v>0.05</v>
      </c>
      <c r="AE1982" s="617" t="s">
        <v>3777</v>
      </c>
    </row>
    <row r="1983" spans="1:31" s="572" customFormat="1">
      <c r="A1983" s="570" t="s">
        <v>3793</v>
      </c>
      <c r="B1983" s="569" t="s">
        <v>287</v>
      </c>
      <c r="C1983" s="580">
        <v>26</v>
      </c>
      <c r="D1983" s="569" t="s">
        <v>3374</v>
      </c>
      <c r="E1983" s="569" t="s">
        <v>152</v>
      </c>
      <c r="F1983" s="569" t="s">
        <v>271</v>
      </c>
      <c r="G1983" s="569">
        <v>2019</v>
      </c>
      <c r="H1983" s="569" t="s">
        <v>3765</v>
      </c>
      <c r="I1983" s="569" t="s">
        <v>3766</v>
      </c>
      <c r="J1983" s="569" t="s">
        <v>752</v>
      </c>
      <c r="K1983" s="569">
        <v>6</v>
      </c>
      <c r="L1983" s="569">
        <v>0</v>
      </c>
      <c r="M1983" s="569" t="s">
        <v>157</v>
      </c>
      <c r="N1983" s="569">
        <v>2</v>
      </c>
      <c r="O1983" s="569" t="s">
        <v>3767</v>
      </c>
      <c r="P1983" s="568">
        <v>7700</v>
      </c>
      <c r="Q1983" s="569" t="s">
        <v>1322</v>
      </c>
      <c r="R1983" s="569">
        <v>6</v>
      </c>
      <c r="S1983" s="569" t="s">
        <v>3769</v>
      </c>
      <c r="T1983" s="569" t="s">
        <v>276</v>
      </c>
      <c r="U1983" s="569">
        <v>145</v>
      </c>
      <c r="V1983" s="569">
        <v>23</v>
      </c>
      <c r="W1983" s="620">
        <v>6100</v>
      </c>
      <c r="X1983" s="621">
        <v>20</v>
      </c>
      <c r="Y1983" s="621" t="s">
        <v>178</v>
      </c>
      <c r="Z1983" s="621" t="s">
        <v>178</v>
      </c>
      <c r="AA1983" s="622">
        <v>39700</v>
      </c>
      <c r="AB1983" s="622" t="s">
        <v>164</v>
      </c>
      <c r="AC1983" s="622">
        <v>28969</v>
      </c>
      <c r="AD1983" s="623">
        <v>0.05</v>
      </c>
      <c r="AE1983" s="621" t="s">
        <v>3794</v>
      </c>
    </row>
    <row r="1984" spans="1:31" s="572" customFormat="1">
      <c r="A1984" s="570" t="s">
        <v>3795</v>
      </c>
      <c r="B1984" s="573" t="s">
        <v>287</v>
      </c>
      <c r="C1984" s="578">
        <v>26</v>
      </c>
      <c r="D1984" s="573" t="s">
        <v>3374</v>
      </c>
      <c r="E1984" s="573" t="s">
        <v>152</v>
      </c>
      <c r="F1984" s="573" t="s">
        <v>271</v>
      </c>
      <c r="G1984" s="573">
        <v>2019</v>
      </c>
      <c r="H1984" s="573" t="s">
        <v>3765</v>
      </c>
      <c r="I1984" s="573" t="s">
        <v>3766</v>
      </c>
      <c r="J1984" s="573" t="s">
        <v>752</v>
      </c>
      <c r="K1984" s="573">
        <v>6</v>
      </c>
      <c r="L1984" s="573">
        <v>0</v>
      </c>
      <c r="M1984" s="573" t="s">
        <v>157</v>
      </c>
      <c r="N1984" s="573">
        <v>2</v>
      </c>
      <c r="O1984" s="573" t="s">
        <v>3781</v>
      </c>
      <c r="P1984" s="571">
        <v>7000</v>
      </c>
      <c r="Q1984" s="573" t="s">
        <v>3775</v>
      </c>
      <c r="R1984" s="573">
        <v>6</v>
      </c>
      <c r="S1984" s="582" t="s">
        <v>3769</v>
      </c>
      <c r="T1984" s="573" t="s">
        <v>276</v>
      </c>
      <c r="U1984" s="573">
        <v>157</v>
      </c>
      <c r="V1984" s="573">
        <v>26</v>
      </c>
      <c r="W1984" s="616">
        <v>7050</v>
      </c>
      <c r="X1984" s="617">
        <v>26</v>
      </c>
      <c r="Y1984" s="617" t="s">
        <v>178</v>
      </c>
      <c r="Z1984" s="617" t="s">
        <v>178</v>
      </c>
      <c r="AA1984" s="618">
        <v>42555</v>
      </c>
      <c r="AB1984" s="618" t="s">
        <v>164</v>
      </c>
      <c r="AC1984" s="618">
        <v>31641</v>
      </c>
      <c r="AD1984" s="619">
        <v>0.05</v>
      </c>
      <c r="AE1984" s="617" t="s">
        <v>3780</v>
      </c>
    </row>
    <row r="1985" spans="1:31" s="572" customFormat="1">
      <c r="A1985" s="570" t="s">
        <v>3796</v>
      </c>
      <c r="B1985" s="569" t="s">
        <v>287</v>
      </c>
      <c r="C1985" s="580">
        <v>26</v>
      </c>
      <c r="D1985" s="569" t="s">
        <v>3374</v>
      </c>
      <c r="E1985" s="569" t="s">
        <v>152</v>
      </c>
      <c r="F1985" s="569" t="s">
        <v>271</v>
      </c>
      <c r="G1985" s="569">
        <v>2019</v>
      </c>
      <c r="H1985" s="569" t="s">
        <v>3765</v>
      </c>
      <c r="I1985" s="569" t="s">
        <v>3766</v>
      </c>
      <c r="J1985" s="569" t="s">
        <v>752</v>
      </c>
      <c r="K1985" s="569">
        <v>6</v>
      </c>
      <c r="L1985" s="569">
        <v>0</v>
      </c>
      <c r="M1985" s="569" t="s">
        <v>157</v>
      </c>
      <c r="N1985" s="569">
        <v>2</v>
      </c>
      <c r="O1985" s="569" t="s">
        <v>3781</v>
      </c>
      <c r="P1985" s="568">
        <v>7000</v>
      </c>
      <c r="Q1985" s="569" t="s">
        <v>3778</v>
      </c>
      <c r="R1985" s="569">
        <v>6</v>
      </c>
      <c r="S1985" s="569" t="s">
        <v>3769</v>
      </c>
      <c r="T1985" s="569" t="s">
        <v>276</v>
      </c>
      <c r="U1985" s="569">
        <v>157</v>
      </c>
      <c r="V1985" s="569">
        <v>26</v>
      </c>
      <c r="W1985" s="620">
        <v>7050</v>
      </c>
      <c r="X1985" s="621">
        <v>26</v>
      </c>
      <c r="Y1985" s="621" t="s">
        <v>450</v>
      </c>
      <c r="Z1985" s="621" t="s">
        <v>178</v>
      </c>
      <c r="AA1985" s="622">
        <v>41955</v>
      </c>
      <c r="AB1985" s="622" t="s">
        <v>164</v>
      </c>
      <c r="AC1985" s="622">
        <v>31096</v>
      </c>
      <c r="AD1985" s="623">
        <v>0.05</v>
      </c>
      <c r="AE1985" s="621" t="s">
        <v>3783</v>
      </c>
    </row>
    <row r="1986" spans="1:31" s="572" customFormat="1">
      <c r="A1986" s="570" t="s">
        <v>3797</v>
      </c>
      <c r="B1986" s="573" t="s">
        <v>280</v>
      </c>
      <c r="C1986" s="578">
        <v>27</v>
      </c>
      <c r="D1986" s="573" t="s">
        <v>3374</v>
      </c>
      <c r="E1986" s="573" t="s">
        <v>152</v>
      </c>
      <c r="F1986" s="573" t="s">
        <v>271</v>
      </c>
      <c r="G1986" s="573">
        <v>2019</v>
      </c>
      <c r="H1986" s="573" t="s">
        <v>3765</v>
      </c>
      <c r="I1986" s="573" t="s">
        <v>3766</v>
      </c>
      <c r="J1986" s="573" t="s">
        <v>752</v>
      </c>
      <c r="K1986" s="573">
        <v>6</v>
      </c>
      <c r="L1986" s="573">
        <v>0</v>
      </c>
      <c r="M1986" s="573" t="s">
        <v>157</v>
      </c>
      <c r="N1986" s="573">
        <v>2</v>
      </c>
      <c r="O1986" s="573" t="s">
        <v>3767</v>
      </c>
      <c r="P1986" s="571">
        <v>5000</v>
      </c>
      <c r="Q1986" s="573" t="s">
        <v>3768</v>
      </c>
      <c r="R1986" s="573">
        <v>6</v>
      </c>
      <c r="S1986" s="582" t="s">
        <v>3769</v>
      </c>
      <c r="T1986" s="573" t="s">
        <v>276</v>
      </c>
      <c r="U1986" s="573">
        <v>145</v>
      </c>
      <c r="V1986" s="573">
        <v>26</v>
      </c>
      <c r="W1986" s="616">
        <v>6600</v>
      </c>
      <c r="X1986" s="617">
        <v>21</v>
      </c>
      <c r="Y1986" s="617" t="s">
        <v>178</v>
      </c>
      <c r="Z1986" s="617" t="s">
        <v>178</v>
      </c>
      <c r="AA1986" s="618">
        <v>40695</v>
      </c>
      <c r="AB1986" s="618" t="s">
        <v>164</v>
      </c>
      <c r="AC1986" s="618">
        <v>29344.926315789475</v>
      </c>
      <c r="AD1986" s="619">
        <v>0.03</v>
      </c>
      <c r="AE1986" s="617" t="s">
        <v>3764</v>
      </c>
    </row>
    <row r="1987" spans="1:31" s="572" customFormat="1">
      <c r="A1987" s="570" t="s">
        <v>3798</v>
      </c>
      <c r="B1987" s="569" t="s">
        <v>280</v>
      </c>
      <c r="C1987" s="580">
        <v>27</v>
      </c>
      <c r="D1987" s="569" t="s">
        <v>3374</v>
      </c>
      <c r="E1987" s="569" t="s">
        <v>152</v>
      </c>
      <c r="F1987" s="569" t="s">
        <v>271</v>
      </c>
      <c r="G1987" s="569">
        <v>2019</v>
      </c>
      <c r="H1987" s="569" t="s">
        <v>3765</v>
      </c>
      <c r="I1987" s="569" t="s">
        <v>3766</v>
      </c>
      <c r="J1987" s="569" t="s">
        <v>752</v>
      </c>
      <c r="K1987" s="569">
        <v>6</v>
      </c>
      <c r="L1987" s="569">
        <v>0</v>
      </c>
      <c r="M1987" s="569" t="s">
        <v>157</v>
      </c>
      <c r="N1987" s="569">
        <v>2</v>
      </c>
      <c r="O1987" s="569" t="s">
        <v>3767</v>
      </c>
      <c r="P1987" s="568">
        <v>5000</v>
      </c>
      <c r="Q1987" s="569" t="s">
        <v>3772</v>
      </c>
      <c r="R1987" s="569">
        <v>6</v>
      </c>
      <c r="S1987" s="569" t="s">
        <v>3769</v>
      </c>
      <c r="T1987" s="569" t="s">
        <v>276</v>
      </c>
      <c r="U1987" s="569">
        <v>145</v>
      </c>
      <c r="V1987" s="569">
        <v>26</v>
      </c>
      <c r="W1987" s="620">
        <v>6500</v>
      </c>
      <c r="X1987" s="621">
        <v>20</v>
      </c>
      <c r="Y1987" s="621" t="s">
        <v>450</v>
      </c>
      <c r="Z1987" s="621" t="s">
        <v>178</v>
      </c>
      <c r="AA1987" s="622">
        <v>39700</v>
      </c>
      <c r="AB1987" s="622" t="s">
        <v>164</v>
      </c>
      <c r="AC1987" s="622">
        <v>28451.242105263158</v>
      </c>
      <c r="AD1987" s="623">
        <v>0.03</v>
      </c>
      <c r="AE1987" s="621" t="s">
        <v>3771</v>
      </c>
    </row>
    <row r="1988" spans="1:31" s="572" customFormat="1">
      <c r="A1988" s="570" t="s">
        <v>3799</v>
      </c>
      <c r="B1988" s="573" t="s">
        <v>280</v>
      </c>
      <c r="C1988" s="578">
        <v>27</v>
      </c>
      <c r="D1988" s="573" t="s">
        <v>3374</v>
      </c>
      <c r="E1988" s="573" t="s">
        <v>152</v>
      </c>
      <c r="F1988" s="573" t="s">
        <v>271</v>
      </c>
      <c r="G1988" s="573">
        <v>2019</v>
      </c>
      <c r="H1988" s="573" t="s">
        <v>3765</v>
      </c>
      <c r="I1988" s="573" t="s">
        <v>3766</v>
      </c>
      <c r="J1988" s="573" t="s">
        <v>752</v>
      </c>
      <c r="K1988" s="573">
        <v>6</v>
      </c>
      <c r="L1988" s="573">
        <v>0</v>
      </c>
      <c r="M1988" s="573" t="s">
        <v>157</v>
      </c>
      <c r="N1988" s="573">
        <v>2</v>
      </c>
      <c r="O1988" s="573" t="s">
        <v>3767</v>
      </c>
      <c r="P1988" s="571">
        <v>5000</v>
      </c>
      <c r="Q1988" s="573" t="s">
        <v>3775</v>
      </c>
      <c r="R1988" s="573">
        <v>6</v>
      </c>
      <c r="S1988" s="582" t="s">
        <v>3769</v>
      </c>
      <c r="T1988" s="573" t="s">
        <v>276</v>
      </c>
      <c r="U1988" s="573">
        <v>145</v>
      </c>
      <c r="V1988" s="573">
        <v>26</v>
      </c>
      <c r="W1988" s="616">
        <v>7000</v>
      </c>
      <c r="X1988" s="617">
        <v>19</v>
      </c>
      <c r="Y1988" s="617" t="s">
        <v>178</v>
      </c>
      <c r="Z1988" s="617" t="s">
        <v>178</v>
      </c>
      <c r="AA1988" s="618">
        <v>42295</v>
      </c>
      <c r="AB1988" s="618" t="s">
        <v>164</v>
      </c>
      <c r="AC1988" s="618">
        <v>30780.715789473685</v>
      </c>
      <c r="AD1988" s="619">
        <v>0.03</v>
      </c>
      <c r="AE1988" s="617" t="s">
        <v>3774</v>
      </c>
    </row>
    <row r="1989" spans="1:31" s="572" customFormat="1">
      <c r="A1989" s="570" t="s">
        <v>3800</v>
      </c>
      <c r="B1989" s="569" t="s">
        <v>280</v>
      </c>
      <c r="C1989" s="580">
        <v>27</v>
      </c>
      <c r="D1989" s="569" t="s">
        <v>3374</v>
      </c>
      <c r="E1989" s="569" t="s">
        <v>152</v>
      </c>
      <c r="F1989" s="569" t="s">
        <v>271</v>
      </c>
      <c r="G1989" s="569">
        <v>2019</v>
      </c>
      <c r="H1989" s="569" t="s">
        <v>3765</v>
      </c>
      <c r="I1989" s="569" t="s">
        <v>3766</v>
      </c>
      <c r="J1989" s="569" t="s">
        <v>752</v>
      </c>
      <c r="K1989" s="569">
        <v>6</v>
      </c>
      <c r="L1989" s="569">
        <v>0</v>
      </c>
      <c r="M1989" s="569" t="s">
        <v>157</v>
      </c>
      <c r="N1989" s="569">
        <v>2</v>
      </c>
      <c r="O1989" s="569" t="s">
        <v>3767</v>
      </c>
      <c r="P1989" s="568">
        <v>5000</v>
      </c>
      <c r="Q1989" s="569" t="s">
        <v>3778</v>
      </c>
      <c r="R1989" s="569">
        <v>6</v>
      </c>
      <c r="S1989" s="569" t="s">
        <v>3769</v>
      </c>
      <c r="T1989" s="569" t="s">
        <v>276</v>
      </c>
      <c r="U1989" s="569">
        <v>145</v>
      </c>
      <c r="V1989" s="569">
        <v>26</v>
      </c>
      <c r="W1989" s="620">
        <v>7000</v>
      </c>
      <c r="X1989" s="621">
        <v>18</v>
      </c>
      <c r="Y1989" s="621" t="s">
        <v>450</v>
      </c>
      <c r="Z1989" s="621" t="s">
        <v>178</v>
      </c>
      <c r="AA1989" s="622">
        <v>41695</v>
      </c>
      <c r="AB1989" s="622" t="s">
        <v>164</v>
      </c>
      <c r="AC1989" s="622">
        <v>30241.768421052635</v>
      </c>
      <c r="AD1989" s="623">
        <v>0.03</v>
      </c>
      <c r="AE1989" s="621" t="s">
        <v>3777</v>
      </c>
    </row>
    <row r="1990" spans="1:31" s="572" customFormat="1">
      <c r="A1990" s="570" t="s">
        <v>3801</v>
      </c>
      <c r="B1990" s="573" t="s">
        <v>280</v>
      </c>
      <c r="C1990" s="578">
        <v>27</v>
      </c>
      <c r="D1990" s="573" t="s">
        <v>3374</v>
      </c>
      <c r="E1990" s="573" t="s">
        <v>152</v>
      </c>
      <c r="F1990" s="573" t="s">
        <v>271</v>
      </c>
      <c r="G1990" s="573">
        <v>2019</v>
      </c>
      <c r="H1990" s="573" t="s">
        <v>3765</v>
      </c>
      <c r="I1990" s="573" t="s">
        <v>3766</v>
      </c>
      <c r="J1990" s="573" t="s">
        <v>752</v>
      </c>
      <c r="K1990" s="573">
        <v>6</v>
      </c>
      <c r="L1990" s="573">
        <v>0</v>
      </c>
      <c r="M1990" s="573" t="s">
        <v>157</v>
      </c>
      <c r="N1990" s="573">
        <v>2</v>
      </c>
      <c r="O1990" s="573" t="s">
        <v>3781</v>
      </c>
      <c r="P1990" s="571">
        <v>7000</v>
      </c>
      <c r="Q1990" s="573" t="s">
        <v>3775</v>
      </c>
      <c r="R1990" s="573">
        <v>6</v>
      </c>
      <c r="S1990" s="582" t="s">
        <v>3769</v>
      </c>
      <c r="T1990" s="573" t="s">
        <v>276</v>
      </c>
      <c r="U1990" s="573">
        <v>157</v>
      </c>
      <c r="V1990" s="573">
        <v>26</v>
      </c>
      <c r="W1990" s="616">
        <v>7050</v>
      </c>
      <c r="X1990" s="617">
        <v>19</v>
      </c>
      <c r="Y1990" s="617" t="s">
        <v>178</v>
      </c>
      <c r="Z1990" s="617" t="s">
        <v>178</v>
      </c>
      <c r="AA1990" s="618">
        <v>42555</v>
      </c>
      <c r="AB1990" s="618" t="s">
        <v>164</v>
      </c>
      <c r="AC1990" s="618">
        <v>31083.873684210528</v>
      </c>
      <c r="AD1990" s="619">
        <v>0.03</v>
      </c>
      <c r="AE1990" s="617" t="s">
        <v>3780</v>
      </c>
    </row>
    <row r="1991" spans="1:31" s="572" customFormat="1">
      <c r="A1991" s="570" t="s">
        <v>3802</v>
      </c>
      <c r="B1991" s="569" t="s">
        <v>280</v>
      </c>
      <c r="C1991" s="580">
        <v>27</v>
      </c>
      <c r="D1991" s="569" t="s">
        <v>3374</v>
      </c>
      <c r="E1991" s="569" t="s">
        <v>152</v>
      </c>
      <c r="F1991" s="569" t="s">
        <v>271</v>
      </c>
      <c r="G1991" s="569">
        <v>2019</v>
      </c>
      <c r="H1991" s="569" t="s">
        <v>3765</v>
      </c>
      <c r="I1991" s="569" t="s">
        <v>3766</v>
      </c>
      <c r="J1991" s="569" t="s">
        <v>752</v>
      </c>
      <c r="K1991" s="569">
        <v>6</v>
      </c>
      <c r="L1991" s="569">
        <v>0</v>
      </c>
      <c r="M1991" s="569" t="s">
        <v>157</v>
      </c>
      <c r="N1991" s="569">
        <v>2</v>
      </c>
      <c r="O1991" s="569" t="s">
        <v>3781</v>
      </c>
      <c r="P1991" s="568">
        <v>7000</v>
      </c>
      <c r="Q1991" s="569" t="s">
        <v>3778</v>
      </c>
      <c r="R1991" s="569">
        <v>6</v>
      </c>
      <c r="S1991" s="569" t="s">
        <v>3769</v>
      </c>
      <c r="T1991" s="569" t="s">
        <v>276</v>
      </c>
      <c r="U1991" s="569">
        <v>157</v>
      </c>
      <c r="V1991" s="569">
        <v>26</v>
      </c>
      <c r="W1991" s="620">
        <v>7050</v>
      </c>
      <c r="X1991" s="621">
        <v>18</v>
      </c>
      <c r="Y1991" s="621" t="s">
        <v>450</v>
      </c>
      <c r="Z1991" s="621" t="s">
        <v>178</v>
      </c>
      <c r="AA1991" s="622">
        <v>41955</v>
      </c>
      <c r="AB1991" s="622" t="s">
        <v>164</v>
      </c>
      <c r="AC1991" s="622">
        <v>30545.978947368421</v>
      </c>
      <c r="AD1991" s="623">
        <v>0.03</v>
      </c>
      <c r="AE1991" s="621" t="s">
        <v>3783</v>
      </c>
    </row>
    <row r="1992" spans="1:31" s="572" customFormat="1">
      <c r="A1992" s="570" t="s">
        <v>3803</v>
      </c>
      <c r="B1992" s="573" t="s">
        <v>269</v>
      </c>
      <c r="C1992" s="578" t="s">
        <v>270</v>
      </c>
      <c r="D1992" s="573" t="s">
        <v>3374</v>
      </c>
      <c r="E1992" s="573" t="s">
        <v>152</v>
      </c>
      <c r="F1992" s="573" t="s">
        <v>271</v>
      </c>
      <c r="G1992" s="573">
        <v>2019</v>
      </c>
      <c r="H1992" s="573" t="s">
        <v>3765</v>
      </c>
      <c r="I1992" s="573" t="s">
        <v>3805</v>
      </c>
      <c r="J1992" s="573" t="s">
        <v>752</v>
      </c>
      <c r="K1992" s="573">
        <v>6</v>
      </c>
      <c r="L1992" s="573">
        <v>0</v>
      </c>
      <c r="M1992" s="573" t="s">
        <v>157</v>
      </c>
      <c r="N1992" s="573">
        <v>2</v>
      </c>
      <c r="O1992" s="573" t="s">
        <v>3767</v>
      </c>
      <c r="P1992" s="571">
        <v>5000</v>
      </c>
      <c r="Q1992" s="573" t="s">
        <v>3768</v>
      </c>
      <c r="R1992" s="573">
        <v>6</v>
      </c>
      <c r="S1992" s="582" t="s">
        <v>3769</v>
      </c>
      <c r="T1992" s="573" t="s">
        <v>318</v>
      </c>
      <c r="U1992" s="573">
        <v>145</v>
      </c>
      <c r="V1992" s="573">
        <v>26</v>
      </c>
      <c r="W1992" s="616">
        <v>6600</v>
      </c>
      <c r="X1992" s="617">
        <v>21</v>
      </c>
      <c r="Y1992" s="617" t="s">
        <v>178</v>
      </c>
      <c r="Z1992" s="617" t="s">
        <v>178</v>
      </c>
      <c r="AA1992" s="618">
        <v>45405</v>
      </c>
      <c r="AB1992" s="618" t="s">
        <v>164</v>
      </c>
      <c r="AC1992" s="618">
        <v>32816.505263157895</v>
      </c>
      <c r="AD1992" s="619">
        <v>0.03</v>
      </c>
      <c r="AE1992" s="617" t="s">
        <v>3804</v>
      </c>
    </row>
    <row r="1993" spans="1:31" s="572" customFormat="1">
      <c r="A1993" s="570" t="s">
        <v>3806</v>
      </c>
      <c r="B1993" s="569" t="s">
        <v>269</v>
      </c>
      <c r="C1993" s="580" t="s">
        <v>270</v>
      </c>
      <c r="D1993" s="569" t="s">
        <v>3374</v>
      </c>
      <c r="E1993" s="569" t="s">
        <v>152</v>
      </c>
      <c r="F1993" s="569" t="s">
        <v>271</v>
      </c>
      <c r="G1993" s="569">
        <v>2019</v>
      </c>
      <c r="H1993" s="569" t="s">
        <v>3765</v>
      </c>
      <c r="I1993" s="569" t="s">
        <v>3805</v>
      </c>
      <c r="J1993" s="569" t="s">
        <v>752</v>
      </c>
      <c r="K1993" s="569">
        <v>6</v>
      </c>
      <c r="L1993" s="569">
        <v>0</v>
      </c>
      <c r="M1993" s="569" t="s">
        <v>157</v>
      </c>
      <c r="N1993" s="569">
        <v>2</v>
      </c>
      <c r="O1993" s="569" t="s">
        <v>3767</v>
      </c>
      <c r="P1993" s="568">
        <v>5000</v>
      </c>
      <c r="Q1993" s="569" t="s">
        <v>3772</v>
      </c>
      <c r="R1993" s="569">
        <v>6</v>
      </c>
      <c r="S1993" s="569" t="s">
        <v>3769</v>
      </c>
      <c r="T1993" s="569" t="s">
        <v>318</v>
      </c>
      <c r="U1993" s="569">
        <v>145</v>
      </c>
      <c r="V1993" s="569">
        <v>26</v>
      </c>
      <c r="W1993" s="620">
        <v>6500</v>
      </c>
      <c r="X1993" s="621">
        <v>20</v>
      </c>
      <c r="Y1993" s="621" t="s">
        <v>450</v>
      </c>
      <c r="Z1993" s="621" t="s">
        <v>178</v>
      </c>
      <c r="AA1993" s="622">
        <v>39700</v>
      </c>
      <c r="AB1993" s="622" t="s">
        <v>164</v>
      </c>
      <c r="AC1993" s="622">
        <v>28451.242105263158</v>
      </c>
      <c r="AD1993" s="623">
        <v>0.03</v>
      </c>
      <c r="AE1993" s="621" t="s">
        <v>3807</v>
      </c>
    </row>
    <row r="1994" spans="1:31" s="572" customFormat="1">
      <c r="A1994" s="570" t="s">
        <v>3806</v>
      </c>
      <c r="B1994" s="573" t="s">
        <v>269</v>
      </c>
      <c r="C1994" s="578" t="s">
        <v>270</v>
      </c>
      <c r="D1994" s="573" t="s">
        <v>3374</v>
      </c>
      <c r="E1994" s="573" t="s">
        <v>152</v>
      </c>
      <c r="F1994" s="573" t="s">
        <v>271</v>
      </c>
      <c r="G1994" s="573">
        <v>2019</v>
      </c>
      <c r="H1994" s="573" t="s">
        <v>3765</v>
      </c>
      <c r="I1994" s="573" t="s">
        <v>3805</v>
      </c>
      <c r="J1994" s="573" t="s">
        <v>752</v>
      </c>
      <c r="K1994" s="573">
        <v>6</v>
      </c>
      <c r="L1994" s="573">
        <v>0</v>
      </c>
      <c r="M1994" s="573" t="s">
        <v>157</v>
      </c>
      <c r="N1994" s="573">
        <v>2</v>
      </c>
      <c r="O1994" s="573" t="s">
        <v>3767</v>
      </c>
      <c r="P1994" s="571">
        <v>5000</v>
      </c>
      <c r="Q1994" s="573" t="s">
        <v>3772</v>
      </c>
      <c r="R1994" s="573">
        <v>6</v>
      </c>
      <c r="S1994" s="582" t="s">
        <v>3769</v>
      </c>
      <c r="T1994" s="573" t="s">
        <v>318</v>
      </c>
      <c r="U1994" s="573">
        <v>145</v>
      </c>
      <c r="V1994" s="573">
        <v>26</v>
      </c>
      <c r="W1994" s="616">
        <v>6500</v>
      </c>
      <c r="X1994" s="617">
        <v>20</v>
      </c>
      <c r="Y1994" s="617" t="s">
        <v>450</v>
      </c>
      <c r="Z1994" s="617" t="s">
        <v>178</v>
      </c>
      <c r="AA1994" s="618">
        <v>44410</v>
      </c>
      <c r="AB1994" s="618" t="s">
        <v>164</v>
      </c>
      <c r="AC1994" s="618">
        <v>31922.821052631582</v>
      </c>
      <c r="AD1994" s="619">
        <v>0.03</v>
      </c>
      <c r="AE1994" s="617" t="s">
        <v>3807</v>
      </c>
    </row>
    <row r="1995" spans="1:31" s="572" customFormat="1">
      <c r="A1995" s="570" t="s">
        <v>3808</v>
      </c>
      <c r="B1995" s="569" t="s">
        <v>269</v>
      </c>
      <c r="C1995" s="580" t="s">
        <v>270</v>
      </c>
      <c r="D1995" s="569" t="s">
        <v>3374</v>
      </c>
      <c r="E1995" s="569" t="s">
        <v>152</v>
      </c>
      <c r="F1995" s="569" t="s">
        <v>271</v>
      </c>
      <c r="G1995" s="569">
        <v>2019</v>
      </c>
      <c r="H1995" s="569" t="s">
        <v>3765</v>
      </c>
      <c r="I1995" s="569" t="s">
        <v>3805</v>
      </c>
      <c r="J1995" s="569" t="s">
        <v>752</v>
      </c>
      <c r="K1995" s="569">
        <v>6</v>
      </c>
      <c r="L1995" s="569">
        <v>0</v>
      </c>
      <c r="M1995" s="569" t="s">
        <v>157</v>
      </c>
      <c r="N1995" s="569">
        <v>2</v>
      </c>
      <c r="O1995" s="569" t="s">
        <v>3767</v>
      </c>
      <c r="P1995" s="568">
        <v>5000</v>
      </c>
      <c r="Q1995" s="569" t="s">
        <v>3775</v>
      </c>
      <c r="R1995" s="569">
        <v>6</v>
      </c>
      <c r="S1995" s="569" t="s">
        <v>3769</v>
      </c>
      <c r="T1995" s="569" t="s">
        <v>318</v>
      </c>
      <c r="U1995" s="569">
        <v>145</v>
      </c>
      <c r="V1995" s="569">
        <v>26</v>
      </c>
      <c r="W1995" s="620">
        <v>7000</v>
      </c>
      <c r="X1995" s="621">
        <v>19</v>
      </c>
      <c r="Y1995" s="621" t="s">
        <v>178</v>
      </c>
      <c r="Z1995" s="621" t="s">
        <v>178</v>
      </c>
      <c r="AA1995" s="622">
        <v>47005</v>
      </c>
      <c r="AB1995" s="622" t="s">
        <v>164</v>
      </c>
      <c r="AC1995" s="622">
        <v>34252.294736842108</v>
      </c>
      <c r="AD1995" s="623">
        <v>0.03</v>
      </c>
      <c r="AE1995" s="621" t="s">
        <v>3809</v>
      </c>
    </row>
    <row r="1996" spans="1:31" s="572" customFormat="1">
      <c r="A1996" s="570" t="s">
        <v>3810</v>
      </c>
      <c r="B1996" s="573" t="s">
        <v>269</v>
      </c>
      <c r="C1996" s="578" t="s">
        <v>270</v>
      </c>
      <c r="D1996" s="573" t="s">
        <v>3374</v>
      </c>
      <c r="E1996" s="573" t="s">
        <v>152</v>
      </c>
      <c r="F1996" s="573" t="s">
        <v>271</v>
      </c>
      <c r="G1996" s="573">
        <v>2019</v>
      </c>
      <c r="H1996" s="573" t="s">
        <v>3765</v>
      </c>
      <c r="I1996" s="573" t="s">
        <v>3805</v>
      </c>
      <c r="J1996" s="573" t="s">
        <v>752</v>
      </c>
      <c r="K1996" s="573">
        <v>6</v>
      </c>
      <c r="L1996" s="573">
        <v>0</v>
      </c>
      <c r="M1996" s="573" t="s">
        <v>157</v>
      </c>
      <c r="N1996" s="573">
        <v>2</v>
      </c>
      <c r="O1996" s="573" t="s">
        <v>3767</v>
      </c>
      <c r="P1996" s="571">
        <v>5000</v>
      </c>
      <c r="Q1996" s="573" t="s">
        <v>3778</v>
      </c>
      <c r="R1996" s="573">
        <v>6</v>
      </c>
      <c r="S1996" s="582" t="s">
        <v>3769</v>
      </c>
      <c r="T1996" s="573" t="s">
        <v>318</v>
      </c>
      <c r="U1996" s="573">
        <v>145</v>
      </c>
      <c r="V1996" s="573">
        <v>26</v>
      </c>
      <c r="W1996" s="616">
        <v>7000</v>
      </c>
      <c r="X1996" s="617">
        <v>18</v>
      </c>
      <c r="Y1996" s="617" t="s">
        <v>450</v>
      </c>
      <c r="Z1996" s="617" t="s">
        <v>178</v>
      </c>
      <c r="AA1996" s="618">
        <v>46405</v>
      </c>
      <c r="AB1996" s="618" t="s">
        <v>164</v>
      </c>
      <c r="AC1996" s="618">
        <v>33713.347368421055</v>
      </c>
      <c r="AD1996" s="619">
        <v>0.03</v>
      </c>
      <c r="AE1996" s="617" t="s">
        <v>3811</v>
      </c>
    </row>
    <row r="1997" spans="1:31" s="572" customFormat="1">
      <c r="A1997" s="570" t="s">
        <v>3812</v>
      </c>
      <c r="B1997" s="569" t="s">
        <v>269</v>
      </c>
      <c r="C1997" s="580" t="s">
        <v>270</v>
      </c>
      <c r="D1997" s="569" t="s">
        <v>3374</v>
      </c>
      <c r="E1997" s="569" t="s">
        <v>152</v>
      </c>
      <c r="F1997" s="569" t="s">
        <v>271</v>
      </c>
      <c r="G1997" s="569">
        <v>2019</v>
      </c>
      <c r="H1997" s="569" t="s">
        <v>3765</v>
      </c>
      <c r="I1997" s="569" t="s">
        <v>3805</v>
      </c>
      <c r="J1997" s="569" t="s">
        <v>752</v>
      </c>
      <c r="K1997" s="569">
        <v>6</v>
      </c>
      <c r="L1997" s="569">
        <v>0</v>
      </c>
      <c r="M1997" s="569" t="s">
        <v>157</v>
      </c>
      <c r="N1997" s="569">
        <v>2</v>
      </c>
      <c r="O1997" s="569" t="s">
        <v>3781</v>
      </c>
      <c r="P1997" s="568">
        <v>7000</v>
      </c>
      <c r="Q1997" s="569" t="s">
        <v>3775</v>
      </c>
      <c r="R1997" s="569">
        <v>6</v>
      </c>
      <c r="S1997" s="569" t="s">
        <v>3769</v>
      </c>
      <c r="T1997" s="569" t="s">
        <v>318</v>
      </c>
      <c r="U1997" s="569">
        <v>157</v>
      </c>
      <c r="V1997" s="569">
        <v>26</v>
      </c>
      <c r="W1997" s="620">
        <v>7050</v>
      </c>
      <c r="X1997" s="621">
        <v>19</v>
      </c>
      <c r="Y1997" s="621" t="s">
        <v>178</v>
      </c>
      <c r="Z1997" s="621" t="s">
        <v>178</v>
      </c>
      <c r="AA1997" s="622">
        <v>47265</v>
      </c>
      <c r="AB1997" s="622" t="s">
        <v>164</v>
      </c>
      <c r="AC1997" s="622">
        <v>34508.084210526315</v>
      </c>
      <c r="AD1997" s="623">
        <v>0.03</v>
      </c>
      <c r="AE1997" s="621" t="s">
        <v>3813</v>
      </c>
    </row>
    <row r="1998" spans="1:31" s="572" customFormat="1">
      <c r="A1998" s="570" t="s">
        <v>3814</v>
      </c>
      <c r="B1998" s="573" t="s">
        <v>269</v>
      </c>
      <c r="C1998" s="578" t="s">
        <v>270</v>
      </c>
      <c r="D1998" s="573" t="s">
        <v>3374</v>
      </c>
      <c r="E1998" s="573" t="s">
        <v>152</v>
      </c>
      <c r="F1998" s="573" t="s">
        <v>271</v>
      </c>
      <c r="G1998" s="573">
        <v>2019</v>
      </c>
      <c r="H1998" s="573" t="s">
        <v>3765</v>
      </c>
      <c r="I1998" s="573" t="s">
        <v>3805</v>
      </c>
      <c r="J1998" s="573" t="s">
        <v>752</v>
      </c>
      <c r="K1998" s="573">
        <v>6</v>
      </c>
      <c r="L1998" s="573">
        <v>0</v>
      </c>
      <c r="M1998" s="573" t="s">
        <v>157</v>
      </c>
      <c r="N1998" s="573">
        <v>2</v>
      </c>
      <c r="O1998" s="573" t="s">
        <v>3781</v>
      </c>
      <c r="P1998" s="571">
        <v>7000</v>
      </c>
      <c r="Q1998" s="573" t="s">
        <v>3778</v>
      </c>
      <c r="R1998" s="573">
        <v>6</v>
      </c>
      <c r="S1998" s="582" t="s">
        <v>3769</v>
      </c>
      <c r="T1998" s="573" t="s">
        <v>318</v>
      </c>
      <c r="U1998" s="573">
        <v>157</v>
      </c>
      <c r="V1998" s="573">
        <v>26</v>
      </c>
      <c r="W1998" s="616">
        <v>7050</v>
      </c>
      <c r="X1998" s="617">
        <v>18</v>
      </c>
      <c r="Y1998" s="617" t="s">
        <v>450</v>
      </c>
      <c r="Z1998" s="617" t="s">
        <v>178</v>
      </c>
      <c r="AA1998" s="618">
        <v>46665</v>
      </c>
      <c r="AB1998" s="618" t="s">
        <v>164</v>
      </c>
      <c r="AC1998" s="618">
        <v>33970.189473684215</v>
      </c>
      <c r="AD1998" s="619">
        <v>0.03</v>
      </c>
      <c r="AE1998" s="617" t="s">
        <v>3815</v>
      </c>
    </row>
    <row r="1999" spans="1:31" s="572" customFormat="1">
      <c r="A1999" s="570" t="s">
        <v>3816</v>
      </c>
      <c r="B1999" s="569" t="s">
        <v>278</v>
      </c>
      <c r="C1999" s="580">
        <v>15</v>
      </c>
      <c r="D1999" s="569" t="s">
        <v>3374</v>
      </c>
      <c r="E1999" s="569" t="s">
        <v>152</v>
      </c>
      <c r="F1999" s="569" t="s">
        <v>271</v>
      </c>
      <c r="G1999" s="569">
        <v>2019</v>
      </c>
      <c r="H1999" s="569" t="s">
        <v>3765</v>
      </c>
      <c r="I1999" s="569" t="s">
        <v>3805</v>
      </c>
      <c r="J1999" s="569" t="s">
        <v>752</v>
      </c>
      <c r="K1999" s="569">
        <v>6</v>
      </c>
      <c r="L1999" s="569">
        <v>0</v>
      </c>
      <c r="M1999" s="569" t="s">
        <v>157</v>
      </c>
      <c r="N1999" s="569">
        <v>2</v>
      </c>
      <c r="O1999" s="569" t="s">
        <v>3767</v>
      </c>
      <c r="P1999" s="568">
        <v>5000</v>
      </c>
      <c r="Q1999" s="569" t="s">
        <v>3768</v>
      </c>
      <c r="R1999" s="569">
        <v>6</v>
      </c>
      <c r="S1999" s="569" t="s">
        <v>3769</v>
      </c>
      <c r="T1999" s="569" t="s">
        <v>318</v>
      </c>
      <c r="U1999" s="569">
        <v>145</v>
      </c>
      <c r="V1999" s="569">
        <v>26</v>
      </c>
      <c r="W1999" s="620">
        <v>6600</v>
      </c>
      <c r="X1999" s="621">
        <v>24</v>
      </c>
      <c r="Y1999" s="621" t="s">
        <v>178</v>
      </c>
      <c r="Z1999" s="621" t="s">
        <v>178</v>
      </c>
      <c r="AA1999" s="622">
        <v>45405</v>
      </c>
      <c r="AB1999" s="622" t="s">
        <v>164</v>
      </c>
      <c r="AC1999" s="622">
        <v>32995</v>
      </c>
      <c r="AD1999" s="623">
        <v>0.01</v>
      </c>
      <c r="AE1999" s="621" t="s">
        <v>3804</v>
      </c>
    </row>
    <row r="2000" spans="1:31" s="572" customFormat="1">
      <c r="A2000" s="570" t="s">
        <v>3817</v>
      </c>
      <c r="B2000" s="573" t="s">
        <v>278</v>
      </c>
      <c r="C2000" s="578">
        <v>15</v>
      </c>
      <c r="D2000" s="573" t="s">
        <v>3374</v>
      </c>
      <c r="E2000" s="573" t="s">
        <v>152</v>
      </c>
      <c r="F2000" s="573" t="s">
        <v>271</v>
      </c>
      <c r="G2000" s="573">
        <v>2019</v>
      </c>
      <c r="H2000" s="573" t="s">
        <v>3765</v>
      </c>
      <c r="I2000" s="573" t="s">
        <v>3805</v>
      </c>
      <c r="J2000" s="573" t="s">
        <v>752</v>
      </c>
      <c r="K2000" s="573">
        <v>6</v>
      </c>
      <c r="L2000" s="573">
        <v>0</v>
      </c>
      <c r="M2000" s="573" t="s">
        <v>157</v>
      </c>
      <c r="N2000" s="573">
        <v>2</v>
      </c>
      <c r="O2000" s="573" t="s">
        <v>3767</v>
      </c>
      <c r="P2000" s="571">
        <v>5000</v>
      </c>
      <c r="Q2000" s="573" t="s">
        <v>3772</v>
      </c>
      <c r="R2000" s="573">
        <v>6</v>
      </c>
      <c r="S2000" s="582" t="s">
        <v>3769</v>
      </c>
      <c r="T2000" s="573" t="s">
        <v>318</v>
      </c>
      <c r="U2000" s="573">
        <v>145</v>
      </c>
      <c r="V2000" s="573">
        <v>26</v>
      </c>
      <c r="W2000" s="616">
        <v>6500</v>
      </c>
      <c r="X2000" s="617">
        <v>23</v>
      </c>
      <c r="Y2000" s="617" t="s">
        <v>450</v>
      </c>
      <c r="Z2000" s="617" t="s">
        <v>178</v>
      </c>
      <c r="AA2000" s="618">
        <v>44410</v>
      </c>
      <c r="AB2000" s="618" t="s">
        <v>164</v>
      </c>
      <c r="AC2000" s="618">
        <v>32050</v>
      </c>
      <c r="AD2000" s="619">
        <v>0.01</v>
      </c>
      <c r="AE2000" s="617" t="s">
        <v>3807</v>
      </c>
    </row>
    <row r="2001" spans="1:31" s="572" customFormat="1">
      <c r="A2001" s="570" t="s">
        <v>3818</v>
      </c>
      <c r="B2001" s="569" t="s">
        <v>278</v>
      </c>
      <c r="C2001" s="580">
        <v>15</v>
      </c>
      <c r="D2001" s="569" t="s">
        <v>3374</v>
      </c>
      <c r="E2001" s="569" t="s">
        <v>152</v>
      </c>
      <c r="F2001" s="569" t="s">
        <v>271</v>
      </c>
      <c r="G2001" s="569">
        <v>2019</v>
      </c>
      <c r="H2001" s="569" t="s">
        <v>3765</v>
      </c>
      <c r="I2001" s="569" t="s">
        <v>3805</v>
      </c>
      <c r="J2001" s="569" t="s">
        <v>752</v>
      </c>
      <c r="K2001" s="569">
        <v>6</v>
      </c>
      <c r="L2001" s="569">
        <v>0</v>
      </c>
      <c r="M2001" s="569" t="s">
        <v>157</v>
      </c>
      <c r="N2001" s="569">
        <v>2</v>
      </c>
      <c r="O2001" s="569" t="s">
        <v>3767</v>
      </c>
      <c r="P2001" s="568">
        <v>5000</v>
      </c>
      <c r="Q2001" s="569" t="s">
        <v>3775</v>
      </c>
      <c r="R2001" s="569">
        <v>6</v>
      </c>
      <c r="S2001" s="569" t="s">
        <v>3769</v>
      </c>
      <c r="T2001" s="569" t="s">
        <v>318</v>
      </c>
      <c r="U2001" s="569">
        <v>145</v>
      </c>
      <c r="V2001" s="569">
        <v>26</v>
      </c>
      <c r="W2001" s="620">
        <v>6750</v>
      </c>
      <c r="X2001" s="621">
        <v>24</v>
      </c>
      <c r="Y2001" s="621" t="s">
        <v>178</v>
      </c>
      <c r="Z2001" s="621" t="s">
        <v>178</v>
      </c>
      <c r="AA2001" s="622">
        <v>47005</v>
      </c>
      <c r="AB2001" s="622" t="s">
        <v>164</v>
      </c>
      <c r="AC2001" s="622">
        <v>34400</v>
      </c>
      <c r="AD2001" s="623">
        <v>0.01</v>
      </c>
      <c r="AE2001" s="621" t="s">
        <v>3809</v>
      </c>
    </row>
    <row r="2002" spans="1:31" s="572" customFormat="1">
      <c r="A2002" s="570" t="s">
        <v>3819</v>
      </c>
      <c r="B2002" s="573" t="s">
        <v>278</v>
      </c>
      <c r="C2002" s="578">
        <v>15</v>
      </c>
      <c r="D2002" s="573" t="s">
        <v>3374</v>
      </c>
      <c r="E2002" s="573" t="s">
        <v>152</v>
      </c>
      <c r="F2002" s="573" t="s">
        <v>271</v>
      </c>
      <c r="G2002" s="573">
        <v>2019</v>
      </c>
      <c r="H2002" s="573" t="s">
        <v>3765</v>
      </c>
      <c r="I2002" s="573" t="s">
        <v>3805</v>
      </c>
      <c r="J2002" s="573" t="s">
        <v>752</v>
      </c>
      <c r="K2002" s="573">
        <v>6</v>
      </c>
      <c r="L2002" s="573">
        <v>0</v>
      </c>
      <c r="M2002" s="573" t="s">
        <v>157</v>
      </c>
      <c r="N2002" s="573">
        <v>2</v>
      </c>
      <c r="O2002" s="573" t="s">
        <v>3767</v>
      </c>
      <c r="P2002" s="571">
        <v>5000</v>
      </c>
      <c r="Q2002" s="573" t="s">
        <v>3778</v>
      </c>
      <c r="R2002" s="573">
        <v>6</v>
      </c>
      <c r="S2002" s="582" t="s">
        <v>3769</v>
      </c>
      <c r="T2002" s="573" t="s">
        <v>318</v>
      </c>
      <c r="U2002" s="573">
        <v>145</v>
      </c>
      <c r="V2002" s="573">
        <v>26</v>
      </c>
      <c r="W2002" s="616">
        <v>6800</v>
      </c>
      <c r="X2002" s="617">
        <v>23</v>
      </c>
      <c r="Y2002" s="617" t="s">
        <v>450</v>
      </c>
      <c r="Z2002" s="617" t="s">
        <v>178</v>
      </c>
      <c r="AA2002" s="618">
        <v>46405</v>
      </c>
      <c r="AB2002" s="618" t="s">
        <v>164</v>
      </c>
      <c r="AC2002" s="618">
        <v>33900</v>
      </c>
      <c r="AD2002" s="619">
        <v>0.01</v>
      </c>
      <c r="AE2002" s="617" t="s">
        <v>3811</v>
      </c>
    </row>
    <row r="2003" spans="1:31" s="572" customFormat="1">
      <c r="A2003" s="570" t="s">
        <v>3820</v>
      </c>
      <c r="B2003" s="569" t="s">
        <v>278</v>
      </c>
      <c r="C2003" s="580">
        <v>15</v>
      </c>
      <c r="D2003" s="569" t="s">
        <v>3374</v>
      </c>
      <c r="E2003" s="569" t="s">
        <v>152</v>
      </c>
      <c r="F2003" s="569" t="s">
        <v>271</v>
      </c>
      <c r="G2003" s="569">
        <v>2019</v>
      </c>
      <c r="H2003" s="569" t="s">
        <v>3765</v>
      </c>
      <c r="I2003" s="569" t="s">
        <v>3805</v>
      </c>
      <c r="J2003" s="569" t="s">
        <v>752</v>
      </c>
      <c r="K2003" s="569">
        <v>6</v>
      </c>
      <c r="L2003" s="569">
        <v>0</v>
      </c>
      <c r="M2003" s="569" t="s">
        <v>157</v>
      </c>
      <c r="N2003" s="569">
        <v>2</v>
      </c>
      <c r="O2003" s="569" t="s">
        <v>3781</v>
      </c>
      <c r="P2003" s="568">
        <v>7000</v>
      </c>
      <c r="Q2003" s="569" t="s">
        <v>3775</v>
      </c>
      <c r="R2003" s="569">
        <v>6</v>
      </c>
      <c r="S2003" s="569" t="s">
        <v>3769</v>
      </c>
      <c r="T2003" s="569" t="s">
        <v>318</v>
      </c>
      <c r="U2003" s="569">
        <v>157</v>
      </c>
      <c r="V2003" s="569">
        <v>26</v>
      </c>
      <c r="W2003" s="620">
        <v>7050</v>
      </c>
      <c r="X2003" s="621">
        <v>26</v>
      </c>
      <c r="Y2003" s="621" t="s">
        <v>178</v>
      </c>
      <c r="Z2003" s="621" t="s">
        <v>178</v>
      </c>
      <c r="AA2003" s="622">
        <v>47265</v>
      </c>
      <c r="AB2003" s="622" t="s">
        <v>164</v>
      </c>
      <c r="AC2003" s="622">
        <v>34650</v>
      </c>
      <c r="AD2003" s="623">
        <v>0.01</v>
      </c>
      <c r="AE2003" s="621" t="s">
        <v>3813</v>
      </c>
    </row>
    <row r="2004" spans="1:31" s="572" customFormat="1">
      <c r="A2004" s="570" t="s">
        <v>3821</v>
      </c>
      <c r="B2004" s="573" t="s">
        <v>278</v>
      </c>
      <c r="C2004" s="578">
        <v>15</v>
      </c>
      <c r="D2004" s="573" t="s">
        <v>3374</v>
      </c>
      <c r="E2004" s="573" t="s">
        <v>152</v>
      </c>
      <c r="F2004" s="573" t="s">
        <v>271</v>
      </c>
      <c r="G2004" s="573">
        <v>2019</v>
      </c>
      <c r="H2004" s="573" t="s">
        <v>3765</v>
      </c>
      <c r="I2004" s="573" t="s">
        <v>3805</v>
      </c>
      <c r="J2004" s="573" t="s">
        <v>752</v>
      </c>
      <c r="K2004" s="573">
        <v>6</v>
      </c>
      <c r="L2004" s="573">
        <v>0</v>
      </c>
      <c r="M2004" s="573" t="s">
        <v>157</v>
      </c>
      <c r="N2004" s="573">
        <v>2</v>
      </c>
      <c r="O2004" s="573" t="s">
        <v>3781</v>
      </c>
      <c r="P2004" s="571">
        <v>7000</v>
      </c>
      <c r="Q2004" s="573" t="s">
        <v>3778</v>
      </c>
      <c r="R2004" s="573">
        <v>6</v>
      </c>
      <c r="S2004" s="582" t="s">
        <v>3769</v>
      </c>
      <c r="T2004" s="573" t="s">
        <v>318</v>
      </c>
      <c r="U2004" s="573">
        <v>157</v>
      </c>
      <c r="V2004" s="573">
        <v>26</v>
      </c>
      <c r="W2004" s="616">
        <v>7050</v>
      </c>
      <c r="X2004" s="617">
        <v>26</v>
      </c>
      <c r="Y2004" s="617" t="s">
        <v>450</v>
      </c>
      <c r="Z2004" s="617" t="s">
        <v>178</v>
      </c>
      <c r="AA2004" s="618">
        <v>46665</v>
      </c>
      <c r="AB2004" s="618" t="s">
        <v>164</v>
      </c>
      <c r="AC2004" s="618">
        <v>34100</v>
      </c>
      <c r="AD2004" s="619">
        <v>0.01</v>
      </c>
      <c r="AE2004" s="617" t="s">
        <v>3815</v>
      </c>
    </row>
    <row r="2005" spans="1:31" s="572" customFormat="1">
      <c r="A2005" s="570" t="s">
        <v>3822</v>
      </c>
      <c r="B2005" s="569" t="s">
        <v>287</v>
      </c>
      <c r="C2005" s="580">
        <v>26</v>
      </c>
      <c r="D2005" s="569" t="s">
        <v>3374</v>
      </c>
      <c r="E2005" s="569" t="s">
        <v>152</v>
      </c>
      <c r="F2005" s="569" t="s">
        <v>271</v>
      </c>
      <c r="G2005" s="569">
        <v>2019</v>
      </c>
      <c r="H2005" s="569" t="s">
        <v>3765</v>
      </c>
      <c r="I2005" s="569" t="s">
        <v>3805</v>
      </c>
      <c r="J2005" s="569" t="s">
        <v>752</v>
      </c>
      <c r="K2005" s="569">
        <v>6</v>
      </c>
      <c r="L2005" s="569">
        <v>0</v>
      </c>
      <c r="M2005" s="569" t="s">
        <v>157</v>
      </c>
      <c r="N2005" s="569">
        <v>2</v>
      </c>
      <c r="O2005" s="569" t="s">
        <v>3767</v>
      </c>
      <c r="P2005" s="568">
        <v>5000</v>
      </c>
      <c r="Q2005" s="569" t="s">
        <v>3768</v>
      </c>
      <c r="R2005" s="569">
        <v>6</v>
      </c>
      <c r="S2005" s="569" t="s">
        <v>3769</v>
      </c>
      <c r="T2005" s="569" t="s">
        <v>318</v>
      </c>
      <c r="U2005" s="569">
        <v>145</v>
      </c>
      <c r="V2005" s="569">
        <v>26</v>
      </c>
      <c r="W2005" s="620">
        <v>6600</v>
      </c>
      <c r="X2005" s="621">
        <v>24</v>
      </c>
      <c r="Y2005" s="621" t="s">
        <v>178</v>
      </c>
      <c r="Z2005" s="621" t="s">
        <v>178</v>
      </c>
      <c r="AA2005" s="622">
        <v>45405</v>
      </c>
      <c r="AB2005" s="622" t="s">
        <v>164</v>
      </c>
      <c r="AC2005" s="622">
        <v>33398</v>
      </c>
      <c r="AD2005" s="623">
        <v>0.05</v>
      </c>
      <c r="AE2005" s="621" t="s">
        <v>3804</v>
      </c>
    </row>
    <row r="2006" spans="1:31" s="572" customFormat="1">
      <c r="A2006" s="570" t="s">
        <v>3823</v>
      </c>
      <c r="B2006" s="573" t="s">
        <v>287</v>
      </c>
      <c r="C2006" s="578">
        <v>26</v>
      </c>
      <c r="D2006" s="573" t="s">
        <v>3374</v>
      </c>
      <c r="E2006" s="573" t="s">
        <v>152</v>
      </c>
      <c r="F2006" s="573" t="s">
        <v>271</v>
      </c>
      <c r="G2006" s="573">
        <v>2019</v>
      </c>
      <c r="H2006" s="573" t="s">
        <v>3765</v>
      </c>
      <c r="I2006" s="573" t="s">
        <v>3805</v>
      </c>
      <c r="J2006" s="573" t="s">
        <v>752</v>
      </c>
      <c r="K2006" s="573">
        <v>6</v>
      </c>
      <c r="L2006" s="573">
        <v>0</v>
      </c>
      <c r="M2006" s="573" t="s">
        <v>157</v>
      </c>
      <c r="N2006" s="573">
        <v>2</v>
      </c>
      <c r="O2006" s="573" t="s">
        <v>3767</v>
      </c>
      <c r="P2006" s="571">
        <v>5000</v>
      </c>
      <c r="Q2006" s="573" t="s">
        <v>3775</v>
      </c>
      <c r="R2006" s="573">
        <v>6</v>
      </c>
      <c r="S2006" s="582" t="s">
        <v>3769</v>
      </c>
      <c r="T2006" s="573" t="s">
        <v>318</v>
      </c>
      <c r="U2006" s="573">
        <v>145</v>
      </c>
      <c r="V2006" s="573">
        <v>26</v>
      </c>
      <c r="W2006" s="616">
        <v>6750</v>
      </c>
      <c r="X2006" s="617">
        <v>24</v>
      </c>
      <c r="Y2006" s="617" t="s">
        <v>178</v>
      </c>
      <c r="Z2006" s="617" t="s">
        <v>178</v>
      </c>
      <c r="AA2006" s="618">
        <v>47005</v>
      </c>
      <c r="AB2006" s="618" t="s">
        <v>164</v>
      </c>
      <c r="AC2006" s="618">
        <v>34853</v>
      </c>
      <c r="AD2006" s="619">
        <v>0.05</v>
      </c>
      <c r="AE2006" s="617" t="s">
        <v>3809</v>
      </c>
    </row>
    <row r="2007" spans="1:31" s="572" customFormat="1">
      <c r="A2007" s="570" t="s">
        <v>3824</v>
      </c>
      <c r="B2007" s="569" t="s">
        <v>287</v>
      </c>
      <c r="C2007" s="580">
        <v>26</v>
      </c>
      <c r="D2007" s="569" t="s">
        <v>3374</v>
      </c>
      <c r="E2007" s="569" t="s">
        <v>152</v>
      </c>
      <c r="F2007" s="569" t="s">
        <v>271</v>
      </c>
      <c r="G2007" s="569">
        <v>2019</v>
      </c>
      <c r="H2007" s="569" t="s">
        <v>3765</v>
      </c>
      <c r="I2007" s="569" t="s">
        <v>3805</v>
      </c>
      <c r="J2007" s="569" t="s">
        <v>752</v>
      </c>
      <c r="K2007" s="569">
        <v>6</v>
      </c>
      <c r="L2007" s="569">
        <v>0</v>
      </c>
      <c r="M2007" s="569" t="s">
        <v>157</v>
      </c>
      <c r="N2007" s="569">
        <v>2</v>
      </c>
      <c r="O2007" s="569" t="s">
        <v>3767</v>
      </c>
      <c r="P2007" s="568">
        <v>5000</v>
      </c>
      <c r="Q2007" s="569" t="s">
        <v>3778</v>
      </c>
      <c r="R2007" s="569">
        <v>6</v>
      </c>
      <c r="S2007" s="569" t="s">
        <v>3769</v>
      </c>
      <c r="T2007" s="569" t="s">
        <v>276</v>
      </c>
      <c r="U2007" s="569">
        <v>145</v>
      </c>
      <c r="V2007" s="569">
        <v>26</v>
      </c>
      <c r="W2007" s="620">
        <v>6800</v>
      </c>
      <c r="X2007" s="621">
        <v>23</v>
      </c>
      <c r="Y2007" s="621" t="s">
        <v>450</v>
      </c>
      <c r="Z2007" s="621" t="s">
        <v>178</v>
      </c>
      <c r="AA2007" s="622">
        <v>46405</v>
      </c>
      <c r="AB2007" s="622" t="s">
        <v>164</v>
      </c>
      <c r="AC2007" s="622">
        <v>34307</v>
      </c>
      <c r="AD2007" s="623">
        <v>0.05</v>
      </c>
      <c r="AE2007" s="621" t="s">
        <v>3811</v>
      </c>
    </row>
    <row r="2008" spans="1:31" s="572" customFormat="1">
      <c r="A2008" s="570" t="s">
        <v>3825</v>
      </c>
      <c r="B2008" s="573" t="s">
        <v>287</v>
      </c>
      <c r="C2008" s="578">
        <v>26</v>
      </c>
      <c r="D2008" s="573" t="s">
        <v>3374</v>
      </c>
      <c r="E2008" s="573" t="s">
        <v>152</v>
      </c>
      <c r="F2008" s="573" t="s">
        <v>271</v>
      </c>
      <c r="G2008" s="573">
        <v>2019</v>
      </c>
      <c r="H2008" s="573" t="s">
        <v>3765</v>
      </c>
      <c r="I2008" s="573" t="s">
        <v>3805</v>
      </c>
      <c r="J2008" s="573" t="s">
        <v>752</v>
      </c>
      <c r="K2008" s="573">
        <v>6</v>
      </c>
      <c r="L2008" s="573">
        <v>0</v>
      </c>
      <c r="M2008" s="573" t="s">
        <v>157</v>
      </c>
      <c r="N2008" s="573">
        <v>2</v>
      </c>
      <c r="O2008" s="573" t="s">
        <v>3767</v>
      </c>
      <c r="P2008" s="571">
        <v>7700</v>
      </c>
      <c r="Q2008" s="573" t="s">
        <v>1322</v>
      </c>
      <c r="R2008" s="573">
        <v>6</v>
      </c>
      <c r="S2008" s="582" t="s">
        <v>3769</v>
      </c>
      <c r="T2008" s="573" t="s">
        <v>318</v>
      </c>
      <c r="U2008" s="573">
        <v>145</v>
      </c>
      <c r="V2008" s="573">
        <v>23</v>
      </c>
      <c r="W2008" s="616">
        <v>6100</v>
      </c>
      <c r="X2008" s="617">
        <v>20</v>
      </c>
      <c r="Y2008" s="617" t="s">
        <v>178</v>
      </c>
      <c r="Z2008" s="617" t="s">
        <v>178</v>
      </c>
      <c r="AA2008" s="618">
        <v>44410</v>
      </c>
      <c r="AB2008" s="618" t="s">
        <v>164</v>
      </c>
      <c r="AC2008" s="618">
        <v>32492</v>
      </c>
      <c r="AD2008" s="619">
        <v>0.05</v>
      </c>
      <c r="AE2008" s="617" t="s">
        <v>3826</v>
      </c>
    </row>
    <row r="2009" spans="1:31" s="572" customFormat="1">
      <c r="A2009" s="570" t="s">
        <v>3827</v>
      </c>
      <c r="B2009" s="569" t="s">
        <v>287</v>
      </c>
      <c r="C2009" s="580">
        <v>26</v>
      </c>
      <c r="D2009" s="569" t="s">
        <v>3374</v>
      </c>
      <c r="E2009" s="569" t="s">
        <v>152</v>
      </c>
      <c r="F2009" s="569" t="s">
        <v>271</v>
      </c>
      <c r="G2009" s="569">
        <v>2019</v>
      </c>
      <c r="H2009" s="569" t="s">
        <v>3765</v>
      </c>
      <c r="I2009" s="569" t="s">
        <v>3805</v>
      </c>
      <c r="J2009" s="569" t="s">
        <v>752</v>
      </c>
      <c r="K2009" s="569">
        <v>6</v>
      </c>
      <c r="L2009" s="569">
        <v>0</v>
      </c>
      <c r="M2009" s="569" t="s">
        <v>157</v>
      </c>
      <c r="N2009" s="569">
        <v>2</v>
      </c>
      <c r="O2009" s="569" t="s">
        <v>3781</v>
      </c>
      <c r="P2009" s="568">
        <v>7000</v>
      </c>
      <c r="Q2009" s="569" t="s">
        <v>3775</v>
      </c>
      <c r="R2009" s="569">
        <v>6</v>
      </c>
      <c r="S2009" s="569" t="s">
        <v>3769</v>
      </c>
      <c r="T2009" s="569" t="s">
        <v>276</v>
      </c>
      <c r="U2009" s="569">
        <v>157</v>
      </c>
      <c r="V2009" s="569">
        <v>26</v>
      </c>
      <c r="W2009" s="620">
        <v>7050</v>
      </c>
      <c r="X2009" s="621">
        <v>26</v>
      </c>
      <c r="Y2009" s="621" t="s">
        <v>178</v>
      </c>
      <c r="Z2009" s="621" t="s">
        <v>178</v>
      </c>
      <c r="AA2009" s="622">
        <v>47265</v>
      </c>
      <c r="AB2009" s="622" t="s">
        <v>164</v>
      </c>
      <c r="AC2009" s="622">
        <v>35116</v>
      </c>
      <c r="AD2009" s="623">
        <v>0.05</v>
      </c>
      <c r="AE2009" s="621" t="s">
        <v>3813</v>
      </c>
    </row>
    <row r="2010" spans="1:31" s="572" customFormat="1">
      <c r="A2010" s="570" t="s">
        <v>3828</v>
      </c>
      <c r="B2010" s="573" t="s">
        <v>287</v>
      </c>
      <c r="C2010" s="578">
        <v>26</v>
      </c>
      <c r="D2010" s="573" t="s">
        <v>3374</v>
      </c>
      <c r="E2010" s="573" t="s">
        <v>152</v>
      </c>
      <c r="F2010" s="573" t="s">
        <v>271</v>
      </c>
      <c r="G2010" s="573">
        <v>2019</v>
      </c>
      <c r="H2010" s="573" t="s">
        <v>3765</v>
      </c>
      <c r="I2010" s="573" t="s">
        <v>3805</v>
      </c>
      <c r="J2010" s="573" t="s">
        <v>752</v>
      </c>
      <c r="K2010" s="573">
        <v>6</v>
      </c>
      <c r="L2010" s="573">
        <v>0</v>
      </c>
      <c r="M2010" s="573" t="s">
        <v>157</v>
      </c>
      <c r="N2010" s="573">
        <v>2</v>
      </c>
      <c r="O2010" s="573" t="s">
        <v>3781</v>
      </c>
      <c r="P2010" s="571">
        <v>7000</v>
      </c>
      <c r="Q2010" s="573" t="s">
        <v>3778</v>
      </c>
      <c r="R2010" s="573">
        <v>6</v>
      </c>
      <c r="S2010" s="582" t="s">
        <v>3769</v>
      </c>
      <c r="T2010" s="573" t="s">
        <v>276</v>
      </c>
      <c r="U2010" s="573">
        <v>157</v>
      </c>
      <c r="V2010" s="573">
        <v>26</v>
      </c>
      <c r="W2010" s="616">
        <v>7050</v>
      </c>
      <c r="X2010" s="617">
        <v>26</v>
      </c>
      <c r="Y2010" s="617" t="s">
        <v>450</v>
      </c>
      <c r="Z2010" s="617" t="s">
        <v>178</v>
      </c>
      <c r="AA2010" s="618">
        <v>46665</v>
      </c>
      <c r="AB2010" s="618" t="s">
        <v>164</v>
      </c>
      <c r="AC2010" s="618">
        <v>34571</v>
      </c>
      <c r="AD2010" s="619">
        <v>0.05</v>
      </c>
      <c r="AE2010" s="617" t="s">
        <v>3815</v>
      </c>
    </row>
    <row r="2011" spans="1:31" s="572" customFormat="1">
      <c r="A2011" s="570" t="s">
        <v>3829</v>
      </c>
      <c r="B2011" s="569" t="s">
        <v>280</v>
      </c>
      <c r="C2011" s="580">
        <v>27</v>
      </c>
      <c r="D2011" s="569" t="s">
        <v>3374</v>
      </c>
      <c r="E2011" s="569" t="s">
        <v>152</v>
      </c>
      <c r="F2011" s="569" t="s">
        <v>271</v>
      </c>
      <c r="G2011" s="569">
        <v>2019</v>
      </c>
      <c r="H2011" s="569" t="s">
        <v>3765</v>
      </c>
      <c r="I2011" s="569" t="s">
        <v>3805</v>
      </c>
      <c r="J2011" s="569" t="s">
        <v>752</v>
      </c>
      <c r="K2011" s="569">
        <v>6</v>
      </c>
      <c r="L2011" s="569">
        <v>0</v>
      </c>
      <c r="M2011" s="569" t="s">
        <v>157</v>
      </c>
      <c r="N2011" s="569">
        <v>2</v>
      </c>
      <c r="O2011" s="569" t="s">
        <v>3767</v>
      </c>
      <c r="P2011" s="568">
        <v>5000</v>
      </c>
      <c r="Q2011" s="569" t="s">
        <v>3768</v>
      </c>
      <c r="R2011" s="569">
        <v>6</v>
      </c>
      <c r="S2011" s="569" t="s">
        <v>3769</v>
      </c>
      <c r="T2011" s="569" t="s">
        <v>318</v>
      </c>
      <c r="U2011" s="569">
        <v>145</v>
      </c>
      <c r="V2011" s="569">
        <v>26</v>
      </c>
      <c r="W2011" s="620">
        <v>6600</v>
      </c>
      <c r="X2011" s="621">
        <v>21</v>
      </c>
      <c r="Y2011" s="621" t="s">
        <v>178</v>
      </c>
      <c r="Z2011" s="621" t="s">
        <v>178</v>
      </c>
      <c r="AA2011" s="622">
        <v>45405</v>
      </c>
      <c r="AB2011" s="622" t="s">
        <v>164</v>
      </c>
      <c r="AC2011" s="622">
        <v>32816.505263157895</v>
      </c>
      <c r="AD2011" s="623">
        <v>0.03</v>
      </c>
      <c r="AE2011" s="621" t="s">
        <v>3804</v>
      </c>
    </row>
    <row r="2012" spans="1:31" s="572" customFormat="1">
      <c r="A2012" s="570" t="s">
        <v>3830</v>
      </c>
      <c r="B2012" s="573" t="s">
        <v>280</v>
      </c>
      <c r="C2012" s="578">
        <v>27</v>
      </c>
      <c r="D2012" s="573" t="s">
        <v>3374</v>
      </c>
      <c r="E2012" s="573" t="s">
        <v>152</v>
      </c>
      <c r="F2012" s="573" t="s">
        <v>271</v>
      </c>
      <c r="G2012" s="573">
        <v>2019</v>
      </c>
      <c r="H2012" s="573" t="s">
        <v>3765</v>
      </c>
      <c r="I2012" s="573" t="s">
        <v>3805</v>
      </c>
      <c r="J2012" s="573" t="s">
        <v>752</v>
      </c>
      <c r="K2012" s="573">
        <v>6</v>
      </c>
      <c r="L2012" s="573">
        <v>0</v>
      </c>
      <c r="M2012" s="573" t="s">
        <v>157</v>
      </c>
      <c r="N2012" s="573">
        <v>2</v>
      </c>
      <c r="O2012" s="573" t="s">
        <v>3767</v>
      </c>
      <c r="P2012" s="571">
        <v>5000</v>
      </c>
      <c r="Q2012" s="573" t="s">
        <v>3772</v>
      </c>
      <c r="R2012" s="573">
        <v>6</v>
      </c>
      <c r="S2012" s="582" t="s">
        <v>3769</v>
      </c>
      <c r="T2012" s="573" t="s">
        <v>318</v>
      </c>
      <c r="U2012" s="573">
        <v>145</v>
      </c>
      <c r="V2012" s="573">
        <v>26</v>
      </c>
      <c r="W2012" s="616">
        <v>6500</v>
      </c>
      <c r="X2012" s="617">
        <v>20</v>
      </c>
      <c r="Y2012" s="617" t="s">
        <v>450</v>
      </c>
      <c r="Z2012" s="617" t="s">
        <v>178</v>
      </c>
      <c r="AA2012" s="618">
        <v>39700</v>
      </c>
      <c r="AB2012" s="618" t="s">
        <v>164</v>
      </c>
      <c r="AC2012" s="618">
        <v>28451.242105263158</v>
      </c>
      <c r="AD2012" s="619">
        <v>0.03</v>
      </c>
      <c r="AE2012" s="617" t="s">
        <v>3807</v>
      </c>
    </row>
    <row r="2013" spans="1:31" s="572" customFormat="1">
      <c r="A2013" s="570" t="s">
        <v>3830</v>
      </c>
      <c r="B2013" s="569" t="s">
        <v>280</v>
      </c>
      <c r="C2013" s="580">
        <v>27</v>
      </c>
      <c r="D2013" s="569" t="s">
        <v>3374</v>
      </c>
      <c r="E2013" s="569" t="s">
        <v>152</v>
      </c>
      <c r="F2013" s="569" t="s">
        <v>271</v>
      </c>
      <c r="G2013" s="569">
        <v>2019</v>
      </c>
      <c r="H2013" s="569" t="s">
        <v>3765</v>
      </c>
      <c r="I2013" s="569" t="s">
        <v>3805</v>
      </c>
      <c r="J2013" s="569" t="s">
        <v>752</v>
      </c>
      <c r="K2013" s="569">
        <v>6</v>
      </c>
      <c r="L2013" s="569">
        <v>0</v>
      </c>
      <c r="M2013" s="569" t="s">
        <v>157</v>
      </c>
      <c r="N2013" s="569">
        <v>2</v>
      </c>
      <c r="O2013" s="569" t="s">
        <v>3767</v>
      </c>
      <c r="P2013" s="568">
        <v>5000</v>
      </c>
      <c r="Q2013" s="569" t="s">
        <v>3772</v>
      </c>
      <c r="R2013" s="569">
        <v>6</v>
      </c>
      <c r="S2013" s="569" t="s">
        <v>3769</v>
      </c>
      <c r="T2013" s="569" t="s">
        <v>318</v>
      </c>
      <c r="U2013" s="569">
        <v>145</v>
      </c>
      <c r="V2013" s="569">
        <v>26</v>
      </c>
      <c r="W2013" s="620">
        <v>6500</v>
      </c>
      <c r="X2013" s="621">
        <v>20</v>
      </c>
      <c r="Y2013" s="621" t="s">
        <v>450</v>
      </c>
      <c r="Z2013" s="621" t="s">
        <v>178</v>
      </c>
      <c r="AA2013" s="622">
        <v>44410</v>
      </c>
      <c r="AB2013" s="622" t="s">
        <v>164</v>
      </c>
      <c r="AC2013" s="622">
        <v>31922.821052631582</v>
      </c>
      <c r="AD2013" s="623">
        <v>0.03</v>
      </c>
      <c r="AE2013" s="621" t="s">
        <v>3807</v>
      </c>
    </row>
    <row r="2014" spans="1:31" s="572" customFormat="1">
      <c r="A2014" s="570" t="s">
        <v>3831</v>
      </c>
      <c r="B2014" s="573" t="s">
        <v>280</v>
      </c>
      <c r="C2014" s="578">
        <v>27</v>
      </c>
      <c r="D2014" s="573" t="s">
        <v>3374</v>
      </c>
      <c r="E2014" s="573" t="s">
        <v>152</v>
      </c>
      <c r="F2014" s="573" t="s">
        <v>271</v>
      </c>
      <c r="G2014" s="573">
        <v>2019</v>
      </c>
      <c r="H2014" s="573" t="s">
        <v>3765</v>
      </c>
      <c r="I2014" s="573" t="s">
        <v>3805</v>
      </c>
      <c r="J2014" s="573" t="s">
        <v>752</v>
      </c>
      <c r="K2014" s="573">
        <v>6</v>
      </c>
      <c r="L2014" s="573">
        <v>0</v>
      </c>
      <c r="M2014" s="573" t="s">
        <v>157</v>
      </c>
      <c r="N2014" s="573">
        <v>2</v>
      </c>
      <c r="O2014" s="573" t="s">
        <v>3767</v>
      </c>
      <c r="P2014" s="571">
        <v>5000</v>
      </c>
      <c r="Q2014" s="573" t="s">
        <v>3775</v>
      </c>
      <c r="R2014" s="573">
        <v>6</v>
      </c>
      <c r="S2014" s="582" t="s">
        <v>3769</v>
      </c>
      <c r="T2014" s="573" t="s">
        <v>318</v>
      </c>
      <c r="U2014" s="573">
        <v>145</v>
      </c>
      <c r="V2014" s="573">
        <v>26</v>
      </c>
      <c r="W2014" s="616">
        <v>7000</v>
      </c>
      <c r="X2014" s="617">
        <v>19</v>
      </c>
      <c r="Y2014" s="617" t="s">
        <v>178</v>
      </c>
      <c r="Z2014" s="617" t="s">
        <v>178</v>
      </c>
      <c r="AA2014" s="618">
        <v>47005</v>
      </c>
      <c r="AB2014" s="618" t="s">
        <v>164</v>
      </c>
      <c r="AC2014" s="618">
        <v>34252.294736842108</v>
      </c>
      <c r="AD2014" s="619">
        <v>0.03</v>
      </c>
      <c r="AE2014" s="617" t="s">
        <v>3809</v>
      </c>
    </row>
    <row r="2015" spans="1:31" s="572" customFormat="1">
      <c r="A2015" s="570" t="s">
        <v>3832</v>
      </c>
      <c r="B2015" s="569" t="s">
        <v>280</v>
      </c>
      <c r="C2015" s="580">
        <v>27</v>
      </c>
      <c r="D2015" s="569" t="s">
        <v>3374</v>
      </c>
      <c r="E2015" s="569" t="s">
        <v>152</v>
      </c>
      <c r="F2015" s="569" t="s">
        <v>271</v>
      </c>
      <c r="G2015" s="569">
        <v>2019</v>
      </c>
      <c r="H2015" s="569" t="s">
        <v>3765</v>
      </c>
      <c r="I2015" s="569" t="s">
        <v>3805</v>
      </c>
      <c r="J2015" s="569" t="s">
        <v>752</v>
      </c>
      <c r="K2015" s="569">
        <v>6</v>
      </c>
      <c r="L2015" s="569">
        <v>0</v>
      </c>
      <c r="M2015" s="569" t="s">
        <v>157</v>
      </c>
      <c r="N2015" s="569">
        <v>2</v>
      </c>
      <c r="O2015" s="569" t="s">
        <v>3767</v>
      </c>
      <c r="P2015" s="568">
        <v>5000</v>
      </c>
      <c r="Q2015" s="569" t="s">
        <v>3778</v>
      </c>
      <c r="R2015" s="569">
        <v>6</v>
      </c>
      <c r="S2015" s="569" t="s">
        <v>3769</v>
      </c>
      <c r="T2015" s="569" t="s">
        <v>318</v>
      </c>
      <c r="U2015" s="569">
        <v>145</v>
      </c>
      <c r="V2015" s="569">
        <v>26</v>
      </c>
      <c r="W2015" s="620">
        <v>7000</v>
      </c>
      <c r="X2015" s="621">
        <v>18</v>
      </c>
      <c r="Y2015" s="621" t="s">
        <v>450</v>
      </c>
      <c r="Z2015" s="621" t="s">
        <v>178</v>
      </c>
      <c r="AA2015" s="622">
        <v>46405</v>
      </c>
      <c r="AB2015" s="622" t="s">
        <v>164</v>
      </c>
      <c r="AC2015" s="622">
        <v>33713.347368421055</v>
      </c>
      <c r="AD2015" s="623">
        <v>0.03</v>
      </c>
      <c r="AE2015" s="621" t="s">
        <v>3811</v>
      </c>
    </row>
    <row r="2016" spans="1:31" s="572" customFormat="1">
      <c r="A2016" s="570" t="s">
        <v>3833</v>
      </c>
      <c r="B2016" s="573" t="s">
        <v>280</v>
      </c>
      <c r="C2016" s="578">
        <v>27</v>
      </c>
      <c r="D2016" s="573" t="s">
        <v>3374</v>
      </c>
      <c r="E2016" s="573" t="s">
        <v>152</v>
      </c>
      <c r="F2016" s="573" t="s">
        <v>271</v>
      </c>
      <c r="G2016" s="573">
        <v>2019</v>
      </c>
      <c r="H2016" s="573" t="s">
        <v>3765</v>
      </c>
      <c r="I2016" s="573" t="s">
        <v>3805</v>
      </c>
      <c r="J2016" s="573" t="s">
        <v>752</v>
      </c>
      <c r="K2016" s="573">
        <v>6</v>
      </c>
      <c r="L2016" s="573">
        <v>0</v>
      </c>
      <c r="M2016" s="573" t="s">
        <v>157</v>
      </c>
      <c r="N2016" s="573">
        <v>2</v>
      </c>
      <c r="O2016" s="573" t="s">
        <v>3781</v>
      </c>
      <c r="P2016" s="571">
        <v>7000</v>
      </c>
      <c r="Q2016" s="573" t="s">
        <v>3775</v>
      </c>
      <c r="R2016" s="573">
        <v>6</v>
      </c>
      <c r="S2016" s="582" t="s">
        <v>3769</v>
      </c>
      <c r="T2016" s="573" t="s">
        <v>318</v>
      </c>
      <c r="U2016" s="573">
        <v>157</v>
      </c>
      <c r="V2016" s="573">
        <v>26</v>
      </c>
      <c r="W2016" s="616">
        <v>7050</v>
      </c>
      <c r="X2016" s="617">
        <v>19</v>
      </c>
      <c r="Y2016" s="617" t="s">
        <v>178</v>
      </c>
      <c r="Z2016" s="617" t="s">
        <v>178</v>
      </c>
      <c r="AA2016" s="618">
        <v>47265</v>
      </c>
      <c r="AB2016" s="618" t="s">
        <v>164</v>
      </c>
      <c r="AC2016" s="618">
        <v>34508.084210526315</v>
      </c>
      <c r="AD2016" s="619">
        <v>0.03</v>
      </c>
      <c r="AE2016" s="617" t="s">
        <v>3813</v>
      </c>
    </row>
    <row r="2017" spans="1:31" s="572" customFormat="1">
      <c r="A2017" s="570" t="s">
        <v>3834</v>
      </c>
      <c r="B2017" s="569" t="s">
        <v>280</v>
      </c>
      <c r="C2017" s="580">
        <v>27</v>
      </c>
      <c r="D2017" s="569" t="s">
        <v>3374</v>
      </c>
      <c r="E2017" s="569" t="s">
        <v>152</v>
      </c>
      <c r="F2017" s="569" t="s">
        <v>271</v>
      </c>
      <c r="G2017" s="569">
        <v>2019</v>
      </c>
      <c r="H2017" s="569" t="s">
        <v>3765</v>
      </c>
      <c r="I2017" s="569" t="s">
        <v>3805</v>
      </c>
      <c r="J2017" s="569" t="s">
        <v>752</v>
      </c>
      <c r="K2017" s="569">
        <v>6</v>
      </c>
      <c r="L2017" s="569">
        <v>0</v>
      </c>
      <c r="M2017" s="569" t="s">
        <v>157</v>
      </c>
      <c r="N2017" s="569">
        <v>2</v>
      </c>
      <c r="O2017" s="569" t="s">
        <v>3781</v>
      </c>
      <c r="P2017" s="568">
        <v>7000</v>
      </c>
      <c r="Q2017" s="569" t="s">
        <v>3778</v>
      </c>
      <c r="R2017" s="569">
        <v>6</v>
      </c>
      <c r="S2017" s="569" t="s">
        <v>3769</v>
      </c>
      <c r="T2017" s="569" t="s">
        <v>318</v>
      </c>
      <c r="U2017" s="569">
        <v>157</v>
      </c>
      <c r="V2017" s="569">
        <v>26</v>
      </c>
      <c r="W2017" s="620">
        <v>7050</v>
      </c>
      <c r="X2017" s="621">
        <v>18</v>
      </c>
      <c r="Y2017" s="621" t="s">
        <v>450</v>
      </c>
      <c r="Z2017" s="621" t="s">
        <v>178</v>
      </c>
      <c r="AA2017" s="622">
        <v>46665</v>
      </c>
      <c r="AB2017" s="622" t="s">
        <v>164</v>
      </c>
      <c r="AC2017" s="622">
        <v>33970.189473684215</v>
      </c>
      <c r="AD2017" s="623">
        <v>0.03</v>
      </c>
      <c r="AE2017" s="621" t="s">
        <v>3815</v>
      </c>
    </row>
    <row r="2018" spans="1:31" s="572" customFormat="1">
      <c r="A2018" s="570" t="s">
        <v>3835</v>
      </c>
      <c r="B2018" s="573" t="s">
        <v>269</v>
      </c>
      <c r="C2018" s="578" t="s">
        <v>270</v>
      </c>
      <c r="D2018" s="573" t="s">
        <v>3374</v>
      </c>
      <c r="E2018" s="573" t="s">
        <v>152</v>
      </c>
      <c r="F2018" s="573" t="s">
        <v>271</v>
      </c>
      <c r="G2018" s="573">
        <v>2019</v>
      </c>
      <c r="H2018" s="573" t="s">
        <v>3765</v>
      </c>
      <c r="I2018" s="573" t="s">
        <v>3837</v>
      </c>
      <c r="J2018" s="573" t="s">
        <v>3377</v>
      </c>
      <c r="K2018" s="573">
        <v>3</v>
      </c>
      <c r="L2018" s="573">
        <v>0</v>
      </c>
      <c r="M2018" s="573" t="s">
        <v>157</v>
      </c>
      <c r="N2018" s="573">
        <v>1</v>
      </c>
      <c r="O2018" s="573" t="s">
        <v>3781</v>
      </c>
      <c r="P2018" s="571">
        <v>5100</v>
      </c>
      <c r="Q2018" s="573" t="s">
        <v>3772</v>
      </c>
      <c r="R2018" s="573">
        <v>6</v>
      </c>
      <c r="S2018" s="582" t="s">
        <v>3838</v>
      </c>
      <c r="T2018" s="573" t="s">
        <v>276</v>
      </c>
      <c r="U2018" s="573">
        <v>122.4</v>
      </c>
      <c r="V2018" s="573">
        <v>23</v>
      </c>
      <c r="W2018" s="616">
        <v>6010</v>
      </c>
      <c r="X2018" s="617">
        <v>22</v>
      </c>
      <c r="Y2018" s="617" t="s">
        <v>450</v>
      </c>
      <c r="Z2018" s="617" t="s">
        <v>178</v>
      </c>
      <c r="AA2018" s="618">
        <v>29650</v>
      </c>
      <c r="AB2018" s="618" t="s">
        <v>164</v>
      </c>
      <c r="AC2018" s="618">
        <v>20589.136842105265</v>
      </c>
      <c r="AD2018" s="619">
        <v>0.03</v>
      </c>
      <c r="AE2018" s="617" t="s">
        <v>3836</v>
      </c>
    </row>
    <row r="2019" spans="1:31" s="572" customFormat="1">
      <c r="A2019" s="570" t="s">
        <v>3839</v>
      </c>
      <c r="B2019" s="569" t="s">
        <v>269</v>
      </c>
      <c r="C2019" s="580" t="s">
        <v>270</v>
      </c>
      <c r="D2019" s="569" t="s">
        <v>3374</v>
      </c>
      <c r="E2019" s="569" t="s">
        <v>152</v>
      </c>
      <c r="F2019" s="569" t="s">
        <v>271</v>
      </c>
      <c r="G2019" s="569">
        <v>2019</v>
      </c>
      <c r="H2019" s="569" t="s">
        <v>3765</v>
      </c>
      <c r="I2019" s="569" t="s">
        <v>3837</v>
      </c>
      <c r="J2019" s="569" t="s">
        <v>3377</v>
      </c>
      <c r="K2019" s="569">
        <v>3</v>
      </c>
      <c r="L2019" s="569">
        <v>0</v>
      </c>
      <c r="M2019" s="569" t="s">
        <v>157</v>
      </c>
      <c r="N2019" s="569">
        <v>1</v>
      </c>
      <c r="O2019" s="569" t="s">
        <v>3781</v>
      </c>
      <c r="P2019" s="568">
        <v>7600</v>
      </c>
      <c r="Q2019" s="569" t="s">
        <v>3841</v>
      </c>
      <c r="R2019" s="569">
        <v>6</v>
      </c>
      <c r="S2019" s="569" t="s">
        <v>3838</v>
      </c>
      <c r="T2019" s="569" t="s">
        <v>276</v>
      </c>
      <c r="U2019" s="569">
        <v>122.4</v>
      </c>
      <c r="V2019" s="569">
        <v>23</v>
      </c>
      <c r="W2019" s="620">
        <v>6010</v>
      </c>
      <c r="X2019" s="621">
        <v>22</v>
      </c>
      <c r="Y2019" s="621" t="s">
        <v>178</v>
      </c>
      <c r="Z2019" s="621" t="s">
        <v>178</v>
      </c>
      <c r="AA2019" s="622">
        <v>30645</v>
      </c>
      <c r="AB2019" s="622" t="s">
        <v>164</v>
      </c>
      <c r="AC2019" s="622">
        <v>21482.821052631582</v>
      </c>
      <c r="AD2019" s="623">
        <v>0.03</v>
      </c>
      <c r="AE2019" s="621" t="s">
        <v>3840</v>
      </c>
    </row>
    <row r="2020" spans="1:31" s="572" customFormat="1">
      <c r="A2020" s="570" t="s">
        <v>3842</v>
      </c>
      <c r="B2020" s="573" t="s">
        <v>269</v>
      </c>
      <c r="C2020" s="578" t="s">
        <v>270</v>
      </c>
      <c r="D2020" s="573" t="s">
        <v>3374</v>
      </c>
      <c r="E2020" s="573" t="s">
        <v>152</v>
      </c>
      <c r="F2020" s="573" t="s">
        <v>271</v>
      </c>
      <c r="G2020" s="573">
        <v>2019</v>
      </c>
      <c r="H2020" s="573" t="s">
        <v>3765</v>
      </c>
      <c r="I2020" s="573" t="s">
        <v>3837</v>
      </c>
      <c r="J2020" s="573" t="s">
        <v>3377</v>
      </c>
      <c r="K2020" s="573">
        <v>3</v>
      </c>
      <c r="L2020" s="573">
        <v>0</v>
      </c>
      <c r="M2020" s="573" t="s">
        <v>157</v>
      </c>
      <c r="N2020" s="573">
        <v>1</v>
      </c>
      <c r="O2020" s="573" t="s">
        <v>3781</v>
      </c>
      <c r="P2020" s="571">
        <v>8400</v>
      </c>
      <c r="Q2020" s="573" t="s">
        <v>3778</v>
      </c>
      <c r="R2020" s="573">
        <v>8</v>
      </c>
      <c r="S2020" s="582" t="s">
        <v>3838</v>
      </c>
      <c r="T2020" s="573" t="s">
        <v>276</v>
      </c>
      <c r="U2020" s="573">
        <v>122.4</v>
      </c>
      <c r="V2020" s="573">
        <v>23</v>
      </c>
      <c r="W2020" s="616">
        <v>6200</v>
      </c>
      <c r="X2020" s="617">
        <v>19</v>
      </c>
      <c r="Y2020" s="617" t="s">
        <v>450</v>
      </c>
      <c r="Z2020" s="617" t="s">
        <v>178</v>
      </c>
      <c r="AA2020" s="618">
        <v>31645</v>
      </c>
      <c r="AB2020" s="618" t="s">
        <v>164</v>
      </c>
      <c r="AC2020" s="618">
        <v>22379.663157894738</v>
      </c>
      <c r="AD2020" s="619">
        <v>0.03</v>
      </c>
      <c r="AE2020" s="617" t="s">
        <v>3843</v>
      </c>
    </row>
    <row r="2021" spans="1:31" s="572" customFormat="1">
      <c r="A2021" s="570" t="s">
        <v>3844</v>
      </c>
      <c r="B2021" s="569" t="s">
        <v>269</v>
      </c>
      <c r="C2021" s="580" t="s">
        <v>270</v>
      </c>
      <c r="D2021" s="569" t="s">
        <v>3374</v>
      </c>
      <c r="E2021" s="569" t="s">
        <v>152</v>
      </c>
      <c r="F2021" s="569" t="s">
        <v>271</v>
      </c>
      <c r="G2021" s="569">
        <v>2019</v>
      </c>
      <c r="H2021" s="569" t="s">
        <v>3765</v>
      </c>
      <c r="I2021" s="569" t="s">
        <v>3837</v>
      </c>
      <c r="J2021" s="569" t="s">
        <v>3377</v>
      </c>
      <c r="K2021" s="569">
        <v>3</v>
      </c>
      <c r="L2021" s="569">
        <v>0</v>
      </c>
      <c r="M2021" s="569" t="s">
        <v>157</v>
      </c>
      <c r="N2021" s="569">
        <v>1</v>
      </c>
      <c r="O2021" s="569" t="s">
        <v>3846</v>
      </c>
      <c r="P2021" s="568">
        <v>10700</v>
      </c>
      <c r="Q2021" s="569" t="s">
        <v>1259</v>
      </c>
      <c r="R2021" s="569">
        <v>6</v>
      </c>
      <c r="S2021" s="569" t="s">
        <v>3838</v>
      </c>
      <c r="T2021" s="569" t="s">
        <v>276</v>
      </c>
      <c r="U2021" s="569">
        <v>141.1</v>
      </c>
      <c r="V2021" s="569">
        <v>23</v>
      </c>
      <c r="W2021" s="620">
        <v>7050</v>
      </c>
      <c r="X2021" s="621">
        <v>21</v>
      </c>
      <c r="Y2021" s="621" t="s">
        <v>178</v>
      </c>
      <c r="Z2021" s="621" t="s">
        <v>178</v>
      </c>
      <c r="AA2021" s="622">
        <v>32545</v>
      </c>
      <c r="AB2021" s="622" t="s">
        <v>164</v>
      </c>
      <c r="AC2021" s="622">
        <v>23196.505263157895</v>
      </c>
      <c r="AD2021" s="623">
        <v>0.03</v>
      </c>
      <c r="AE2021" s="621" t="s">
        <v>3845</v>
      </c>
    </row>
    <row r="2022" spans="1:31" s="572" customFormat="1">
      <c r="A2022" s="570" t="s">
        <v>3847</v>
      </c>
      <c r="B2022" s="573" t="s">
        <v>269</v>
      </c>
      <c r="C2022" s="578" t="s">
        <v>270</v>
      </c>
      <c r="D2022" s="573" t="s">
        <v>3374</v>
      </c>
      <c r="E2022" s="573" t="s">
        <v>152</v>
      </c>
      <c r="F2022" s="573" t="s">
        <v>271</v>
      </c>
      <c r="G2022" s="573">
        <v>2019</v>
      </c>
      <c r="H2022" s="573" t="s">
        <v>3765</v>
      </c>
      <c r="I2022" s="573" t="s">
        <v>3837</v>
      </c>
      <c r="J2022" s="573" t="s">
        <v>3377</v>
      </c>
      <c r="K2022" s="573">
        <v>3</v>
      </c>
      <c r="L2022" s="573">
        <v>0</v>
      </c>
      <c r="M2022" s="573" t="s">
        <v>157</v>
      </c>
      <c r="N2022" s="573">
        <v>1</v>
      </c>
      <c r="O2022" s="573" t="s">
        <v>3846</v>
      </c>
      <c r="P2022" s="571">
        <v>5100</v>
      </c>
      <c r="Q2022" s="573" t="s">
        <v>3772</v>
      </c>
      <c r="R2022" s="573">
        <v>6</v>
      </c>
      <c r="S2022" s="582" t="s">
        <v>3838</v>
      </c>
      <c r="T2022" s="573" t="s">
        <v>276</v>
      </c>
      <c r="U2022" s="573">
        <v>141.1</v>
      </c>
      <c r="V2022" s="573">
        <v>23</v>
      </c>
      <c r="W2022" s="616">
        <v>6100</v>
      </c>
      <c r="X2022" s="617">
        <v>22</v>
      </c>
      <c r="Y2022" s="617" t="s">
        <v>450</v>
      </c>
      <c r="Z2022" s="617" t="s">
        <v>178</v>
      </c>
      <c r="AA2022" s="618">
        <v>29950</v>
      </c>
      <c r="AB2022" s="618" t="s">
        <v>164</v>
      </c>
      <c r="AC2022" s="618">
        <v>20867.031578947368</v>
      </c>
      <c r="AD2022" s="619">
        <v>0.03</v>
      </c>
      <c r="AE2022" s="617" t="s">
        <v>3848</v>
      </c>
    </row>
    <row r="2023" spans="1:31" s="572" customFormat="1">
      <c r="A2023" s="570" t="s">
        <v>3849</v>
      </c>
      <c r="B2023" s="569" t="s">
        <v>269</v>
      </c>
      <c r="C2023" s="580" t="s">
        <v>270</v>
      </c>
      <c r="D2023" s="569" t="s">
        <v>3374</v>
      </c>
      <c r="E2023" s="569" t="s">
        <v>152</v>
      </c>
      <c r="F2023" s="569" t="s">
        <v>271</v>
      </c>
      <c r="G2023" s="569">
        <v>2019</v>
      </c>
      <c r="H2023" s="569" t="s">
        <v>3765</v>
      </c>
      <c r="I2023" s="569" t="s">
        <v>3837</v>
      </c>
      <c r="J2023" s="569" t="s">
        <v>3377</v>
      </c>
      <c r="K2023" s="569">
        <v>3</v>
      </c>
      <c r="L2023" s="569">
        <v>0</v>
      </c>
      <c r="M2023" s="569" t="s">
        <v>157</v>
      </c>
      <c r="N2023" s="569">
        <v>1</v>
      </c>
      <c r="O2023" s="569" t="s">
        <v>3846</v>
      </c>
      <c r="P2023" s="568">
        <v>7600</v>
      </c>
      <c r="Q2023" s="569" t="s">
        <v>3841</v>
      </c>
      <c r="R2023" s="569">
        <v>6</v>
      </c>
      <c r="S2023" s="569" t="s">
        <v>3838</v>
      </c>
      <c r="T2023" s="569" t="s">
        <v>276</v>
      </c>
      <c r="U2023" s="569">
        <v>141.1</v>
      </c>
      <c r="V2023" s="569">
        <v>23</v>
      </c>
      <c r="W2023" s="620">
        <v>6100</v>
      </c>
      <c r="X2023" s="621">
        <v>22</v>
      </c>
      <c r="Y2023" s="621" t="s">
        <v>178</v>
      </c>
      <c r="Z2023" s="621" t="s">
        <v>178</v>
      </c>
      <c r="AA2023" s="622">
        <v>30945</v>
      </c>
      <c r="AB2023" s="622" t="s">
        <v>164</v>
      </c>
      <c r="AC2023" s="622">
        <v>21760.715789473685</v>
      </c>
      <c r="AD2023" s="623">
        <v>0.03</v>
      </c>
      <c r="AE2023" s="621" t="s">
        <v>3850</v>
      </c>
    </row>
    <row r="2024" spans="1:31" s="572" customFormat="1">
      <c r="A2024" s="570" t="s">
        <v>3851</v>
      </c>
      <c r="B2024" s="573" t="s">
        <v>269</v>
      </c>
      <c r="C2024" s="578" t="s">
        <v>270</v>
      </c>
      <c r="D2024" s="573" t="s">
        <v>3374</v>
      </c>
      <c r="E2024" s="573" t="s">
        <v>152</v>
      </c>
      <c r="F2024" s="573" t="s">
        <v>271</v>
      </c>
      <c r="G2024" s="573">
        <v>2019</v>
      </c>
      <c r="H2024" s="573" t="s">
        <v>3765</v>
      </c>
      <c r="I2024" s="573" t="s">
        <v>3837</v>
      </c>
      <c r="J2024" s="573" t="s">
        <v>3377</v>
      </c>
      <c r="K2024" s="573">
        <v>3</v>
      </c>
      <c r="L2024" s="573">
        <v>0</v>
      </c>
      <c r="M2024" s="573" t="s">
        <v>157</v>
      </c>
      <c r="N2024" s="573">
        <v>1</v>
      </c>
      <c r="O2024" s="573" t="s">
        <v>3846</v>
      </c>
      <c r="P2024" s="571">
        <v>9100</v>
      </c>
      <c r="Q2024" s="573" t="s">
        <v>3778</v>
      </c>
      <c r="R2024" s="573">
        <v>8</v>
      </c>
      <c r="S2024" s="582" t="s">
        <v>3838</v>
      </c>
      <c r="T2024" s="573" t="s">
        <v>276</v>
      </c>
      <c r="U2024" s="573">
        <v>141.1</v>
      </c>
      <c r="V2024" s="573">
        <v>23</v>
      </c>
      <c r="W2024" s="616">
        <v>6750</v>
      </c>
      <c r="X2024" s="617">
        <v>19</v>
      </c>
      <c r="Y2024" s="617" t="s">
        <v>450</v>
      </c>
      <c r="Z2024" s="617" t="s">
        <v>178</v>
      </c>
      <c r="AA2024" s="618">
        <v>31945</v>
      </c>
      <c r="AB2024" s="618" t="s">
        <v>164</v>
      </c>
      <c r="AC2024" s="618">
        <v>22657.557894736845</v>
      </c>
      <c r="AD2024" s="619">
        <v>0.03</v>
      </c>
      <c r="AE2024" s="617" t="s">
        <v>3852</v>
      </c>
    </row>
    <row r="2025" spans="1:31" s="572" customFormat="1">
      <c r="A2025" s="570" t="s">
        <v>3853</v>
      </c>
      <c r="B2025" s="569" t="s">
        <v>278</v>
      </c>
      <c r="C2025" s="580">
        <v>15</v>
      </c>
      <c r="D2025" s="569" t="s">
        <v>3374</v>
      </c>
      <c r="E2025" s="569" t="s">
        <v>152</v>
      </c>
      <c r="F2025" s="569" t="s">
        <v>271</v>
      </c>
      <c r="G2025" s="569">
        <v>2019</v>
      </c>
      <c r="H2025" s="569" t="s">
        <v>3765</v>
      </c>
      <c r="I2025" s="569" t="s">
        <v>3837</v>
      </c>
      <c r="J2025" s="569" t="s">
        <v>3377</v>
      </c>
      <c r="K2025" s="569">
        <v>3</v>
      </c>
      <c r="L2025" s="569">
        <v>0</v>
      </c>
      <c r="M2025" s="569" t="s">
        <v>157</v>
      </c>
      <c r="N2025" s="569">
        <v>1</v>
      </c>
      <c r="O2025" s="569" t="s">
        <v>3781</v>
      </c>
      <c r="P2025" s="568">
        <v>5100</v>
      </c>
      <c r="Q2025" s="569" t="s">
        <v>3772</v>
      </c>
      <c r="R2025" s="569">
        <v>6</v>
      </c>
      <c r="S2025" s="569" t="s">
        <v>3838</v>
      </c>
      <c r="T2025" s="569" t="s">
        <v>276</v>
      </c>
      <c r="U2025" s="569">
        <v>122.4</v>
      </c>
      <c r="V2025" s="569">
        <v>23</v>
      </c>
      <c r="W2025" s="620">
        <v>6010</v>
      </c>
      <c r="X2025" s="621">
        <v>20</v>
      </c>
      <c r="Y2025" s="621" t="s">
        <v>450</v>
      </c>
      <c r="Z2025" s="621" t="s">
        <v>178</v>
      </c>
      <c r="AA2025" s="622">
        <v>29650</v>
      </c>
      <c r="AB2025" s="622" t="s">
        <v>164</v>
      </c>
      <c r="AC2025" s="622">
        <v>20575</v>
      </c>
      <c r="AD2025" s="623">
        <v>0.01</v>
      </c>
      <c r="AE2025" s="621" t="s">
        <v>3836</v>
      </c>
    </row>
    <row r="2026" spans="1:31" s="572" customFormat="1">
      <c r="A2026" s="570" t="s">
        <v>3854</v>
      </c>
      <c r="B2026" s="573" t="s">
        <v>278</v>
      </c>
      <c r="C2026" s="578">
        <v>15</v>
      </c>
      <c r="D2026" s="573" t="s">
        <v>3374</v>
      </c>
      <c r="E2026" s="573" t="s">
        <v>152</v>
      </c>
      <c r="F2026" s="573" t="s">
        <v>271</v>
      </c>
      <c r="G2026" s="573">
        <v>2019</v>
      </c>
      <c r="H2026" s="573" t="s">
        <v>3765</v>
      </c>
      <c r="I2026" s="573" t="s">
        <v>3837</v>
      </c>
      <c r="J2026" s="573" t="s">
        <v>3377</v>
      </c>
      <c r="K2026" s="573">
        <v>3</v>
      </c>
      <c r="L2026" s="573">
        <v>0</v>
      </c>
      <c r="M2026" s="573" t="s">
        <v>157</v>
      </c>
      <c r="N2026" s="573">
        <v>1</v>
      </c>
      <c r="O2026" s="573" t="s">
        <v>3781</v>
      </c>
      <c r="P2026" s="571">
        <v>7600</v>
      </c>
      <c r="Q2026" s="573" t="s">
        <v>3841</v>
      </c>
      <c r="R2026" s="573">
        <v>6</v>
      </c>
      <c r="S2026" s="582" t="s">
        <v>3838</v>
      </c>
      <c r="T2026" s="573" t="s">
        <v>276</v>
      </c>
      <c r="U2026" s="573">
        <v>122.4</v>
      </c>
      <c r="V2026" s="573">
        <v>23</v>
      </c>
      <c r="W2026" s="616">
        <v>6010</v>
      </c>
      <c r="X2026" s="617">
        <v>22</v>
      </c>
      <c r="Y2026" s="617" t="s">
        <v>178</v>
      </c>
      <c r="Z2026" s="617" t="s">
        <v>178</v>
      </c>
      <c r="AA2026" s="618">
        <v>30645</v>
      </c>
      <c r="AB2026" s="618" t="s">
        <v>164</v>
      </c>
      <c r="AC2026" s="618">
        <v>21500</v>
      </c>
      <c r="AD2026" s="619">
        <v>0.01</v>
      </c>
      <c r="AE2026" s="617" t="s">
        <v>3840</v>
      </c>
    </row>
    <row r="2027" spans="1:31" s="572" customFormat="1">
      <c r="A2027" s="570" t="s">
        <v>3855</v>
      </c>
      <c r="B2027" s="569" t="s">
        <v>278</v>
      </c>
      <c r="C2027" s="580">
        <v>15</v>
      </c>
      <c r="D2027" s="569" t="s">
        <v>3374</v>
      </c>
      <c r="E2027" s="569" t="s">
        <v>152</v>
      </c>
      <c r="F2027" s="569" t="s">
        <v>271</v>
      </c>
      <c r="G2027" s="569">
        <v>2019</v>
      </c>
      <c r="H2027" s="569" t="s">
        <v>3765</v>
      </c>
      <c r="I2027" s="569" t="s">
        <v>3837</v>
      </c>
      <c r="J2027" s="569" t="s">
        <v>3377</v>
      </c>
      <c r="K2027" s="569">
        <v>3</v>
      </c>
      <c r="L2027" s="569">
        <v>0</v>
      </c>
      <c r="M2027" s="569" t="s">
        <v>157</v>
      </c>
      <c r="N2027" s="569">
        <v>1</v>
      </c>
      <c r="O2027" s="569" t="s">
        <v>3781</v>
      </c>
      <c r="P2027" s="568">
        <v>8400</v>
      </c>
      <c r="Q2027" s="569" t="s">
        <v>3778</v>
      </c>
      <c r="R2027" s="569">
        <v>8</v>
      </c>
      <c r="S2027" s="569" t="s">
        <v>3838</v>
      </c>
      <c r="T2027" s="569" t="s">
        <v>276</v>
      </c>
      <c r="U2027" s="569">
        <v>122.4</v>
      </c>
      <c r="V2027" s="569">
        <v>23</v>
      </c>
      <c r="W2027" s="620">
        <v>6200</v>
      </c>
      <c r="X2027" s="621">
        <v>18</v>
      </c>
      <c r="Y2027" s="621" t="s">
        <v>450</v>
      </c>
      <c r="Z2027" s="621" t="s">
        <v>178</v>
      </c>
      <c r="AA2027" s="622">
        <v>31645</v>
      </c>
      <c r="AB2027" s="622" t="s">
        <v>164</v>
      </c>
      <c r="AC2027" s="622">
        <v>22395</v>
      </c>
      <c r="AD2027" s="623">
        <v>0.01</v>
      </c>
      <c r="AE2027" s="621" t="s">
        <v>3843</v>
      </c>
    </row>
    <row r="2028" spans="1:31" s="572" customFormat="1">
      <c r="A2028" s="570" t="s">
        <v>3856</v>
      </c>
      <c r="B2028" s="573" t="s">
        <v>278</v>
      </c>
      <c r="C2028" s="578">
        <v>15</v>
      </c>
      <c r="D2028" s="573" t="s">
        <v>3374</v>
      </c>
      <c r="E2028" s="573" t="s">
        <v>152</v>
      </c>
      <c r="F2028" s="573" t="s">
        <v>271</v>
      </c>
      <c r="G2028" s="573">
        <v>2019</v>
      </c>
      <c r="H2028" s="573" t="s">
        <v>3765</v>
      </c>
      <c r="I2028" s="573" t="s">
        <v>3837</v>
      </c>
      <c r="J2028" s="573" t="s">
        <v>3377</v>
      </c>
      <c r="K2028" s="573">
        <v>3</v>
      </c>
      <c r="L2028" s="573">
        <v>0</v>
      </c>
      <c r="M2028" s="573" t="s">
        <v>157</v>
      </c>
      <c r="N2028" s="573">
        <v>1</v>
      </c>
      <c r="O2028" s="573" t="s">
        <v>3846</v>
      </c>
      <c r="P2028" s="571">
        <v>10700</v>
      </c>
      <c r="Q2028" s="573" t="s">
        <v>1259</v>
      </c>
      <c r="R2028" s="573">
        <v>6</v>
      </c>
      <c r="S2028" s="582" t="s">
        <v>3838</v>
      </c>
      <c r="T2028" s="573" t="s">
        <v>276</v>
      </c>
      <c r="U2028" s="573">
        <v>141.1</v>
      </c>
      <c r="V2028" s="573">
        <v>23</v>
      </c>
      <c r="W2028" s="616">
        <v>7050</v>
      </c>
      <c r="X2028" s="617">
        <v>20</v>
      </c>
      <c r="Y2028" s="617" t="s">
        <v>178</v>
      </c>
      <c r="Z2028" s="617" t="s">
        <v>178</v>
      </c>
      <c r="AA2028" s="618">
        <v>32545</v>
      </c>
      <c r="AB2028" s="618" t="s">
        <v>164</v>
      </c>
      <c r="AC2028" s="618">
        <v>23250</v>
      </c>
      <c r="AD2028" s="619">
        <v>0.01</v>
      </c>
      <c r="AE2028" s="617" t="s">
        <v>3845</v>
      </c>
    </row>
    <row r="2029" spans="1:31" s="572" customFormat="1">
      <c r="A2029" s="570" t="s">
        <v>3857</v>
      </c>
      <c r="B2029" s="569" t="s">
        <v>278</v>
      </c>
      <c r="C2029" s="580">
        <v>15</v>
      </c>
      <c r="D2029" s="569" t="s">
        <v>3374</v>
      </c>
      <c r="E2029" s="569" t="s">
        <v>152</v>
      </c>
      <c r="F2029" s="569" t="s">
        <v>271</v>
      </c>
      <c r="G2029" s="569">
        <v>2019</v>
      </c>
      <c r="H2029" s="569" t="s">
        <v>3765</v>
      </c>
      <c r="I2029" s="569" t="s">
        <v>3837</v>
      </c>
      <c r="J2029" s="569" t="s">
        <v>3377</v>
      </c>
      <c r="K2029" s="569">
        <v>3</v>
      </c>
      <c r="L2029" s="569">
        <v>0</v>
      </c>
      <c r="M2029" s="569" t="s">
        <v>157</v>
      </c>
      <c r="N2029" s="569">
        <v>1</v>
      </c>
      <c r="O2029" s="569" t="s">
        <v>3846</v>
      </c>
      <c r="P2029" s="568">
        <v>5100</v>
      </c>
      <c r="Q2029" s="569" t="s">
        <v>3772</v>
      </c>
      <c r="R2029" s="569">
        <v>6</v>
      </c>
      <c r="S2029" s="569" t="s">
        <v>3838</v>
      </c>
      <c r="T2029" s="569" t="s">
        <v>276</v>
      </c>
      <c r="U2029" s="569">
        <v>141.1</v>
      </c>
      <c r="V2029" s="569">
        <v>23</v>
      </c>
      <c r="W2029" s="620">
        <v>6100</v>
      </c>
      <c r="X2029" s="621">
        <v>20</v>
      </c>
      <c r="Y2029" s="621" t="s">
        <v>450</v>
      </c>
      <c r="Z2029" s="621" t="s">
        <v>178</v>
      </c>
      <c r="AA2029" s="622">
        <v>29950</v>
      </c>
      <c r="AB2029" s="622" t="s">
        <v>164</v>
      </c>
      <c r="AC2029" s="622">
        <v>20900</v>
      </c>
      <c r="AD2029" s="623">
        <v>0.01</v>
      </c>
      <c r="AE2029" s="621" t="s">
        <v>3848</v>
      </c>
    </row>
    <row r="2030" spans="1:31" s="572" customFormat="1">
      <c r="A2030" s="570" t="s">
        <v>3858</v>
      </c>
      <c r="B2030" s="573" t="s">
        <v>278</v>
      </c>
      <c r="C2030" s="578">
        <v>15</v>
      </c>
      <c r="D2030" s="573" t="s">
        <v>3374</v>
      </c>
      <c r="E2030" s="573" t="s">
        <v>152</v>
      </c>
      <c r="F2030" s="573" t="s">
        <v>271</v>
      </c>
      <c r="G2030" s="573">
        <v>2019</v>
      </c>
      <c r="H2030" s="573" t="s">
        <v>3765</v>
      </c>
      <c r="I2030" s="573" t="s">
        <v>3837</v>
      </c>
      <c r="J2030" s="573" t="s">
        <v>3377</v>
      </c>
      <c r="K2030" s="573">
        <v>3</v>
      </c>
      <c r="L2030" s="573">
        <v>0</v>
      </c>
      <c r="M2030" s="573" t="s">
        <v>157</v>
      </c>
      <c r="N2030" s="573">
        <v>1</v>
      </c>
      <c r="O2030" s="573" t="s">
        <v>3846</v>
      </c>
      <c r="P2030" s="571">
        <v>7600</v>
      </c>
      <c r="Q2030" s="573" t="s">
        <v>3841</v>
      </c>
      <c r="R2030" s="573">
        <v>6</v>
      </c>
      <c r="S2030" s="582" t="s">
        <v>3838</v>
      </c>
      <c r="T2030" s="573" t="s">
        <v>276</v>
      </c>
      <c r="U2030" s="573">
        <v>141.1</v>
      </c>
      <c r="V2030" s="573">
        <v>23</v>
      </c>
      <c r="W2030" s="616">
        <v>6100</v>
      </c>
      <c r="X2030" s="617">
        <v>22</v>
      </c>
      <c r="Y2030" s="617" t="s">
        <v>178</v>
      </c>
      <c r="Z2030" s="617" t="s">
        <v>178</v>
      </c>
      <c r="AA2030" s="618">
        <v>30945</v>
      </c>
      <c r="AB2030" s="618" t="s">
        <v>164</v>
      </c>
      <c r="AC2030" s="618">
        <v>21800</v>
      </c>
      <c r="AD2030" s="619">
        <v>0.01</v>
      </c>
      <c r="AE2030" s="617" t="s">
        <v>3850</v>
      </c>
    </row>
    <row r="2031" spans="1:31" s="572" customFormat="1">
      <c r="A2031" s="570" t="s">
        <v>3859</v>
      </c>
      <c r="B2031" s="569" t="s">
        <v>278</v>
      </c>
      <c r="C2031" s="580">
        <v>15</v>
      </c>
      <c r="D2031" s="569" t="s">
        <v>3374</v>
      </c>
      <c r="E2031" s="569" t="s">
        <v>152</v>
      </c>
      <c r="F2031" s="569" t="s">
        <v>271</v>
      </c>
      <c r="G2031" s="569">
        <v>2019</v>
      </c>
      <c r="H2031" s="569" t="s">
        <v>3765</v>
      </c>
      <c r="I2031" s="569" t="s">
        <v>3837</v>
      </c>
      <c r="J2031" s="569" t="s">
        <v>3377</v>
      </c>
      <c r="K2031" s="569">
        <v>3</v>
      </c>
      <c r="L2031" s="569">
        <v>0</v>
      </c>
      <c r="M2031" s="569" t="s">
        <v>157</v>
      </c>
      <c r="N2031" s="569">
        <v>1</v>
      </c>
      <c r="O2031" s="569" t="s">
        <v>3846</v>
      </c>
      <c r="P2031" s="568">
        <v>9100</v>
      </c>
      <c r="Q2031" s="569" t="s">
        <v>3778</v>
      </c>
      <c r="R2031" s="569">
        <v>8</v>
      </c>
      <c r="S2031" s="569" t="s">
        <v>3838</v>
      </c>
      <c r="T2031" s="569" t="s">
        <v>276</v>
      </c>
      <c r="U2031" s="569">
        <v>141.1</v>
      </c>
      <c r="V2031" s="569">
        <v>23</v>
      </c>
      <c r="W2031" s="620">
        <v>6750</v>
      </c>
      <c r="X2031" s="621">
        <v>18</v>
      </c>
      <c r="Y2031" s="621" t="s">
        <v>450</v>
      </c>
      <c r="Z2031" s="621" t="s">
        <v>178</v>
      </c>
      <c r="AA2031" s="622">
        <v>31945</v>
      </c>
      <c r="AB2031" s="622" t="s">
        <v>164</v>
      </c>
      <c r="AC2031" s="622">
        <v>22700</v>
      </c>
      <c r="AD2031" s="623">
        <v>0.01</v>
      </c>
      <c r="AE2031" s="621" t="s">
        <v>3852</v>
      </c>
    </row>
    <row r="2032" spans="1:31" s="572" customFormat="1">
      <c r="A2032" s="570" t="s">
        <v>3860</v>
      </c>
      <c r="B2032" s="573" t="s">
        <v>287</v>
      </c>
      <c r="C2032" s="578">
        <v>26</v>
      </c>
      <c r="D2032" s="573" t="s">
        <v>3374</v>
      </c>
      <c r="E2032" s="573" t="s">
        <v>152</v>
      </c>
      <c r="F2032" s="573" t="s">
        <v>271</v>
      </c>
      <c r="G2032" s="573">
        <v>2019</v>
      </c>
      <c r="H2032" s="573" t="s">
        <v>3765</v>
      </c>
      <c r="I2032" s="573" t="s">
        <v>3837</v>
      </c>
      <c r="J2032" s="573" t="s">
        <v>3377</v>
      </c>
      <c r="K2032" s="573">
        <v>3</v>
      </c>
      <c r="L2032" s="573">
        <v>0</v>
      </c>
      <c r="M2032" s="573" t="s">
        <v>157</v>
      </c>
      <c r="N2032" s="573">
        <v>1</v>
      </c>
      <c r="O2032" s="573" t="s">
        <v>3781</v>
      </c>
      <c r="P2032" s="571">
        <v>5100</v>
      </c>
      <c r="Q2032" s="573" t="s">
        <v>3772</v>
      </c>
      <c r="R2032" s="573">
        <v>6</v>
      </c>
      <c r="S2032" s="582" t="s">
        <v>3838</v>
      </c>
      <c r="T2032" s="573" t="s">
        <v>276</v>
      </c>
      <c r="U2032" s="573">
        <v>122.4</v>
      </c>
      <c r="V2032" s="573">
        <v>23</v>
      </c>
      <c r="W2032" s="616">
        <v>6010</v>
      </c>
      <c r="X2032" s="617">
        <v>20</v>
      </c>
      <c r="Y2032" s="617" t="s">
        <v>450</v>
      </c>
      <c r="Z2032" s="617" t="s">
        <v>178</v>
      </c>
      <c r="AA2032" s="618">
        <v>29650</v>
      </c>
      <c r="AB2032" s="618" t="s">
        <v>164</v>
      </c>
      <c r="AC2032" s="618">
        <v>20988</v>
      </c>
      <c r="AD2032" s="619">
        <v>0.05</v>
      </c>
      <c r="AE2032" s="617" t="s">
        <v>3836</v>
      </c>
    </row>
    <row r="2033" spans="1:31" s="572" customFormat="1">
      <c r="A2033" s="570" t="s">
        <v>3861</v>
      </c>
      <c r="B2033" s="569" t="s">
        <v>287</v>
      </c>
      <c r="C2033" s="580">
        <v>26</v>
      </c>
      <c r="D2033" s="569" t="s">
        <v>3374</v>
      </c>
      <c r="E2033" s="569" t="s">
        <v>152</v>
      </c>
      <c r="F2033" s="569" t="s">
        <v>271</v>
      </c>
      <c r="G2033" s="569">
        <v>2019</v>
      </c>
      <c r="H2033" s="569" t="s">
        <v>3765</v>
      </c>
      <c r="I2033" s="569" t="s">
        <v>3837</v>
      </c>
      <c r="J2033" s="569" t="s">
        <v>3377</v>
      </c>
      <c r="K2033" s="569">
        <v>3</v>
      </c>
      <c r="L2033" s="569">
        <v>0</v>
      </c>
      <c r="M2033" s="569" t="s">
        <v>157</v>
      </c>
      <c r="N2033" s="569">
        <v>1</v>
      </c>
      <c r="O2033" s="569" t="s">
        <v>3781</v>
      </c>
      <c r="P2033" s="568">
        <v>7600</v>
      </c>
      <c r="Q2033" s="569" t="s">
        <v>3841</v>
      </c>
      <c r="R2033" s="569">
        <v>6</v>
      </c>
      <c r="S2033" s="569" t="s">
        <v>3838</v>
      </c>
      <c r="T2033" s="569" t="s">
        <v>276</v>
      </c>
      <c r="U2033" s="569">
        <v>122.4</v>
      </c>
      <c r="V2033" s="569">
        <v>23</v>
      </c>
      <c r="W2033" s="620">
        <v>6010</v>
      </c>
      <c r="X2033" s="621">
        <v>22</v>
      </c>
      <c r="Y2033" s="621" t="s">
        <v>178</v>
      </c>
      <c r="Z2033" s="621" t="s">
        <v>178</v>
      </c>
      <c r="AA2033" s="622">
        <v>30645</v>
      </c>
      <c r="AB2033" s="622" t="s">
        <v>164</v>
      </c>
      <c r="AC2033" s="622">
        <v>21894</v>
      </c>
      <c r="AD2033" s="623">
        <v>0.05</v>
      </c>
      <c r="AE2033" s="621" t="s">
        <v>3840</v>
      </c>
    </row>
    <row r="2034" spans="1:31" s="572" customFormat="1">
      <c r="A2034" s="570" t="s">
        <v>3862</v>
      </c>
      <c r="B2034" s="573" t="s">
        <v>287</v>
      </c>
      <c r="C2034" s="578">
        <v>26</v>
      </c>
      <c r="D2034" s="573" t="s">
        <v>3374</v>
      </c>
      <c r="E2034" s="573" t="s">
        <v>152</v>
      </c>
      <c r="F2034" s="573" t="s">
        <v>271</v>
      </c>
      <c r="G2034" s="573">
        <v>2019</v>
      </c>
      <c r="H2034" s="573" t="s">
        <v>3765</v>
      </c>
      <c r="I2034" s="573" t="s">
        <v>3837</v>
      </c>
      <c r="J2034" s="573" t="s">
        <v>3377</v>
      </c>
      <c r="K2034" s="573">
        <v>3</v>
      </c>
      <c r="L2034" s="573">
        <v>0</v>
      </c>
      <c r="M2034" s="573" t="s">
        <v>157</v>
      </c>
      <c r="N2034" s="573">
        <v>1</v>
      </c>
      <c r="O2034" s="573" t="s">
        <v>3781</v>
      </c>
      <c r="P2034" s="571">
        <v>8400</v>
      </c>
      <c r="Q2034" s="573" t="s">
        <v>3778</v>
      </c>
      <c r="R2034" s="573">
        <v>8</v>
      </c>
      <c r="S2034" s="582" t="s">
        <v>3838</v>
      </c>
      <c r="T2034" s="573" t="s">
        <v>276</v>
      </c>
      <c r="U2034" s="573">
        <v>122.4</v>
      </c>
      <c r="V2034" s="573">
        <v>23</v>
      </c>
      <c r="W2034" s="616">
        <v>6200</v>
      </c>
      <c r="X2034" s="617">
        <v>18</v>
      </c>
      <c r="Y2034" s="617" t="s">
        <v>450</v>
      </c>
      <c r="Z2034" s="617" t="s">
        <v>178</v>
      </c>
      <c r="AA2034" s="618">
        <v>31645</v>
      </c>
      <c r="AB2034" s="618" t="s">
        <v>164</v>
      </c>
      <c r="AC2034" s="618">
        <v>22804</v>
      </c>
      <c r="AD2034" s="619">
        <v>0.05</v>
      </c>
      <c r="AE2034" s="617" t="s">
        <v>3843</v>
      </c>
    </row>
    <row r="2035" spans="1:31" s="572" customFormat="1">
      <c r="A2035" s="570" t="s">
        <v>3863</v>
      </c>
      <c r="B2035" s="569" t="s">
        <v>287</v>
      </c>
      <c r="C2035" s="580">
        <v>26</v>
      </c>
      <c r="D2035" s="569" t="s">
        <v>3374</v>
      </c>
      <c r="E2035" s="569" t="s">
        <v>152</v>
      </c>
      <c r="F2035" s="569" t="s">
        <v>271</v>
      </c>
      <c r="G2035" s="569">
        <v>2019</v>
      </c>
      <c r="H2035" s="569" t="s">
        <v>3765</v>
      </c>
      <c r="I2035" s="569" t="s">
        <v>3837</v>
      </c>
      <c r="J2035" s="569" t="s">
        <v>3377</v>
      </c>
      <c r="K2035" s="569">
        <v>3</v>
      </c>
      <c r="L2035" s="569">
        <v>0</v>
      </c>
      <c r="M2035" s="569" t="s">
        <v>157</v>
      </c>
      <c r="N2035" s="569">
        <v>1</v>
      </c>
      <c r="O2035" s="569" t="s">
        <v>3846</v>
      </c>
      <c r="P2035" s="568">
        <v>10700</v>
      </c>
      <c r="Q2035" s="569" t="s">
        <v>1259</v>
      </c>
      <c r="R2035" s="569">
        <v>6</v>
      </c>
      <c r="S2035" s="569" t="s">
        <v>3838</v>
      </c>
      <c r="T2035" s="569" t="s">
        <v>276</v>
      </c>
      <c r="U2035" s="569">
        <v>141.1</v>
      </c>
      <c r="V2035" s="569">
        <v>23</v>
      </c>
      <c r="W2035" s="620">
        <v>7050</v>
      </c>
      <c r="X2035" s="621">
        <v>20</v>
      </c>
      <c r="Y2035" s="621" t="s">
        <v>178</v>
      </c>
      <c r="Z2035" s="621" t="s">
        <v>178</v>
      </c>
      <c r="AA2035" s="622">
        <v>32545</v>
      </c>
      <c r="AB2035" s="622" t="s">
        <v>164</v>
      </c>
      <c r="AC2035" s="622">
        <v>23632</v>
      </c>
      <c r="AD2035" s="623">
        <v>0.05</v>
      </c>
      <c r="AE2035" s="621" t="s">
        <v>3845</v>
      </c>
    </row>
    <row r="2036" spans="1:31" s="572" customFormat="1">
      <c r="A2036" s="570" t="s">
        <v>3864</v>
      </c>
      <c r="B2036" s="573" t="s">
        <v>287</v>
      </c>
      <c r="C2036" s="578">
        <v>26</v>
      </c>
      <c r="D2036" s="573" t="s">
        <v>3374</v>
      </c>
      <c r="E2036" s="573" t="s">
        <v>152</v>
      </c>
      <c r="F2036" s="573" t="s">
        <v>271</v>
      </c>
      <c r="G2036" s="573">
        <v>2019</v>
      </c>
      <c r="H2036" s="573" t="s">
        <v>3765</v>
      </c>
      <c r="I2036" s="573" t="s">
        <v>3837</v>
      </c>
      <c r="J2036" s="573" t="s">
        <v>3377</v>
      </c>
      <c r="K2036" s="573">
        <v>3</v>
      </c>
      <c r="L2036" s="573">
        <v>0</v>
      </c>
      <c r="M2036" s="573" t="s">
        <v>157</v>
      </c>
      <c r="N2036" s="573">
        <v>1</v>
      </c>
      <c r="O2036" s="573" t="s">
        <v>3846</v>
      </c>
      <c r="P2036" s="571">
        <v>7600</v>
      </c>
      <c r="Q2036" s="573" t="s">
        <v>3841</v>
      </c>
      <c r="R2036" s="573">
        <v>6</v>
      </c>
      <c r="S2036" s="582" t="s">
        <v>3838</v>
      </c>
      <c r="T2036" s="573" t="s">
        <v>276</v>
      </c>
      <c r="U2036" s="573">
        <v>141.1</v>
      </c>
      <c r="V2036" s="573">
        <v>23</v>
      </c>
      <c r="W2036" s="616">
        <v>6100</v>
      </c>
      <c r="X2036" s="617">
        <v>22</v>
      </c>
      <c r="Y2036" s="617" t="s">
        <v>178</v>
      </c>
      <c r="Z2036" s="617" t="s">
        <v>178</v>
      </c>
      <c r="AA2036" s="618">
        <v>30945</v>
      </c>
      <c r="AB2036" s="618" t="s">
        <v>164</v>
      </c>
      <c r="AC2036" s="618">
        <v>22177</v>
      </c>
      <c r="AD2036" s="619">
        <v>0.05</v>
      </c>
      <c r="AE2036" s="617" t="s">
        <v>3850</v>
      </c>
    </row>
    <row r="2037" spans="1:31" s="572" customFormat="1">
      <c r="A2037" s="570" t="s">
        <v>3865</v>
      </c>
      <c r="B2037" s="569" t="s">
        <v>287</v>
      </c>
      <c r="C2037" s="580">
        <v>26</v>
      </c>
      <c r="D2037" s="569" t="s">
        <v>3374</v>
      </c>
      <c r="E2037" s="569" t="s">
        <v>152</v>
      </c>
      <c r="F2037" s="569" t="s">
        <v>271</v>
      </c>
      <c r="G2037" s="569">
        <v>2019</v>
      </c>
      <c r="H2037" s="569" t="s">
        <v>3765</v>
      </c>
      <c r="I2037" s="569" t="s">
        <v>3837</v>
      </c>
      <c r="J2037" s="569" t="s">
        <v>3377</v>
      </c>
      <c r="K2037" s="569">
        <v>3</v>
      </c>
      <c r="L2037" s="569">
        <v>0</v>
      </c>
      <c r="M2037" s="569" t="s">
        <v>157</v>
      </c>
      <c r="N2037" s="569">
        <v>1</v>
      </c>
      <c r="O2037" s="569" t="s">
        <v>3846</v>
      </c>
      <c r="P2037" s="568">
        <v>7700</v>
      </c>
      <c r="Q2037" s="569" t="s">
        <v>3867</v>
      </c>
      <c r="R2037" s="569">
        <v>6</v>
      </c>
      <c r="S2037" s="569" t="s">
        <v>3838</v>
      </c>
      <c r="T2037" s="569" t="s">
        <v>276</v>
      </c>
      <c r="U2037" s="569">
        <v>141.1</v>
      </c>
      <c r="V2037" s="569">
        <v>23</v>
      </c>
      <c r="W2037" s="620">
        <v>6100</v>
      </c>
      <c r="X2037" s="621">
        <v>20</v>
      </c>
      <c r="Y2037" s="621" t="s">
        <v>178</v>
      </c>
      <c r="Z2037" s="621" t="s">
        <v>178</v>
      </c>
      <c r="AA2037" s="622">
        <v>29950</v>
      </c>
      <c r="AB2037" s="622" t="s">
        <v>164</v>
      </c>
      <c r="AC2037" s="622">
        <v>21271</v>
      </c>
      <c r="AD2037" s="623">
        <v>0.05</v>
      </c>
      <c r="AE2037" s="621" t="s">
        <v>3866</v>
      </c>
    </row>
    <row r="2038" spans="1:31" s="572" customFormat="1">
      <c r="A2038" s="570" t="s">
        <v>3868</v>
      </c>
      <c r="B2038" s="573" t="s">
        <v>287</v>
      </c>
      <c r="C2038" s="578">
        <v>26</v>
      </c>
      <c r="D2038" s="573" t="s">
        <v>3374</v>
      </c>
      <c r="E2038" s="573" t="s">
        <v>152</v>
      </c>
      <c r="F2038" s="573" t="s">
        <v>271</v>
      </c>
      <c r="G2038" s="573">
        <v>2019</v>
      </c>
      <c r="H2038" s="573" t="s">
        <v>3765</v>
      </c>
      <c r="I2038" s="573" t="s">
        <v>3837</v>
      </c>
      <c r="J2038" s="573" t="s">
        <v>3377</v>
      </c>
      <c r="K2038" s="573">
        <v>3</v>
      </c>
      <c r="L2038" s="573">
        <v>0</v>
      </c>
      <c r="M2038" s="573" t="s">
        <v>157</v>
      </c>
      <c r="N2038" s="573">
        <v>1</v>
      </c>
      <c r="O2038" s="573" t="s">
        <v>3846</v>
      </c>
      <c r="P2038" s="571">
        <v>9100</v>
      </c>
      <c r="Q2038" s="573" t="s">
        <v>3778</v>
      </c>
      <c r="R2038" s="573">
        <v>8</v>
      </c>
      <c r="S2038" s="582" t="s">
        <v>3838</v>
      </c>
      <c r="T2038" s="573" t="s">
        <v>276</v>
      </c>
      <c r="U2038" s="573">
        <v>141.1</v>
      </c>
      <c r="V2038" s="573">
        <v>23</v>
      </c>
      <c r="W2038" s="616">
        <v>6750</v>
      </c>
      <c r="X2038" s="617">
        <v>18</v>
      </c>
      <c r="Y2038" s="617" t="s">
        <v>450</v>
      </c>
      <c r="Z2038" s="617" t="s">
        <v>178</v>
      </c>
      <c r="AA2038" s="618">
        <v>30450</v>
      </c>
      <c r="AB2038" s="618" t="s">
        <v>164</v>
      </c>
      <c r="AC2038" s="618">
        <v>23087</v>
      </c>
      <c r="AD2038" s="619">
        <v>0.05</v>
      </c>
      <c r="AE2038" s="617" t="s">
        <v>3852</v>
      </c>
    </row>
    <row r="2039" spans="1:31" s="572" customFormat="1">
      <c r="A2039" s="570" t="s">
        <v>3869</v>
      </c>
      <c r="B2039" s="569" t="s">
        <v>280</v>
      </c>
      <c r="C2039" s="580">
        <v>27</v>
      </c>
      <c r="D2039" s="569" t="s">
        <v>3374</v>
      </c>
      <c r="E2039" s="569" t="s">
        <v>152</v>
      </c>
      <c r="F2039" s="569" t="s">
        <v>271</v>
      </c>
      <c r="G2039" s="569">
        <v>2019</v>
      </c>
      <c r="H2039" s="569" t="s">
        <v>3765</v>
      </c>
      <c r="I2039" s="569" t="s">
        <v>3837</v>
      </c>
      <c r="J2039" s="569" t="s">
        <v>3377</v>
      </c>
      <c r="K2039" s="569">
        <v>3</v>
      </c>
      <c r="L2039" s="569">
        <v>0</v>
      </c>
      <c r="M2039" s="569" t="s">
        <v>157</v>
      </c>
      <c r="N2039" s="569">
        <v>1</v>
      </c>
      <c r="O2039" s="569" t="s">
        <v>3781</v>
      </c>
      <c r="P2039" s="568">
        <v>5100</v>
      </c>
      <c r="Q2039" s="569" t="s">
        <v>3772</v>
      </c>
      <c r="R2039" s="569">
        <v>6</v>
      </c>
      <c r="S2039" s="569" t="s">
        <v>3838</v>
      </c>
      <c r="T2039" s="569" t="s">
        <v>276</v>
      </c>
      <c r="U2039" s="569">
        <v>122.4</v>
      </c>
      <c r="V2039" s="569">
        <v>23</v>
      </c>
      <c r="W2039" s="620">
        <v>6010</v>
      </c>
      <c r="X2039" s="621">
        <v>22</v>
      </c>
      <c r="Y2039" s="621" t="s">
        <v>450</v>
      </c>
      <c r="Z2039" s="621" t="s">
        <v>178</v>
      </c>
      <c r="AA2039" s="622">
        <v>29650</v>
      </c>
      <c r="AB2039" s="622" t="s">
        <v>164</v>
      </c>
      <c r="AC2039" s="622">
        <v>20589.136842105265</v>
      </c>
      <c r="AD2039" s="623">
        <v>0.03</v>
      </c>
      <c r="AE2039" s="621" t="s">
        <v>3836</v>
      </c>
    </row>
    <row r="2040" spans="1:31" s="572" customFormat="1">
      <c r="A2040" s="570" t="s">
        <v>3870</v>
      </c>
      <c r="B2040" s="573" t="s">
        <v>280</v>
      </c>
      <c r="C2040" s="578">
        <v>27</v>
      </c>
      <c r="D2040" s="573" t="s">
        <v>3374</v>
      </c>
      <c r="E2040" s="573" t="s">
        <v>152</v>
      </c>
      <c r="F2040" s="573" t="s">
        <v>271</v>
      </c>
      <c r="G2040" s="573">
        <v>2019</v>
      </c>
      <c r="H2040" s="573" t="s">
        <v>3765</v>
      </c>
      <c r="I2040" s="573" t="s">
        <v>3837</v>
      </c>
      <c r="J2040" s="573" t="s">
        <v>3377</v>
      </c>
      <c r="K2040" s="573">
        <v>3</v>
      </c>
      <c r="L2040" s="573">
        <v>0</v>
      </c>
      <c r="M2040" s="573" t="s">
        <v>157</v>
      </c>
      <c r="N2040" s="573">
        <v>1</v>
      </c>
      <c r="O2040" s="573" t="s">
        <v>3781</v>
      </c>
      <c r="P2040" s="571">
        <v>7600</v>
      </c>
      <c r="Q2040" s="573" t="s">
        <v>3841</v>
      </c>
      <c r="R2040" s="573">
        <v>6</v>
      </c>
      <c r="S2040" s="582" t="s">
        <v>3838</v>
      </c>
      <c r="T2040" s="573" t="s">
        <v>276</v>
      </c>
      <c r="U2040" s="573">
        <v>122.4</v>
      </c>
      <c r="V2040" s="573">
        <v>23</v>
      </c>
      <c r="W2040" s="616">
        <v>6010</v>
      </c>
      <c r="X2040" s="617">
        <v>22</v>
      </c>
      <c r="Y2040" s="617" t="s">
        <v>178</v>
      </c>
      <c r="Z2040" s="617" t="s">
        <v>178</v>
      </c>
      <c r="AA2040" s="618">
        <v>30645</v>
      </c>
      <c r="AB2040" s="618" t="s">
        <v>164</v>
      </c>
      <c r="AC2040" s="618">
        <v>21482.821052631582</v>
      </c>
      <c r="AD2040" s="619">
        <v>0.03</v>
      </c>
      <c r="AE2040" s="617" t="s">
        <v>3840</v>
      </c>
    </row>
    <row r="2041" spans="1:31" s="572" customFormat="1">
      <c r="A2041" s="570" t="s">
        <v>3871</v>
      </c>
      <c r="B2041" s="569" t="s">
        <v>280</v>
      </c>
      <c r="C2041" s="580">
        <v>27</v>
      </c>
      <c r="D2041" s="569" t="s">
        <v>3374</v>
      </c>
      <c r="E2041" s="569" t="s">
        <v>152</v>
      </c>
      <c r="F2041" s="569" t="s">
        <v>271</v>
      </c>
      <c r="G2041" s="569">
        <v>2019</v>
      </c>
      <c r="H2041" s="569" t="s">
        <v>3765</v>
      </c>
      <c r="I2041" s="569" t="s">
        <v>3837</v>
      </c>
      <c r="J2041" s="569" t="s">
        <v>3377</v>
      </c>
      <c r="K2041" s="569">
        <v>3</v>
      </c>
      <c r="L2041" s="569">
        <v>0</v>
      </c>
      <c r="M2041" s="569" t="s">
        <v>157</v>
      </c>
      <c r="N2041" s="569">
        <v>1</v>
      </c>
      <c r="O2041" s="569" t="s">
        <v>3781</v>
      </c>
      <c r="P2041" s="568">
        <v>8400</v>
      </c>
      <c r="Q2041" s="569" t="s">
        <v>3778</v>
      </c>
      <c r="R2041" s="569">
        <v>8</v>
      </c>
      <c r="S2041" s="569" t="s">
        <v>3838</v>
      </c>
      <c r="T2041" s="569" t="s">
        <v>276</v>
      </c>
      <c r="U2041" s="569">
        <v>122.4</v>
      </c>
      <c r="V2041" s="569">
        <v>23</v>
      </c>
      <c r="W2041" s="620">
        <v>6200</v>
      </c>
      <c r="X2041" s="621">
        <v>19</v>
      </c>
      <c r="Y2041" s="621" t="s">
        <v>450</v>
      </c>
      <c r="Z2041" s="621" t="s">
        <v>178</v>
      </c>
      <c r="AA2041" s="622">
        <v>31645</v>
      </c>
      <c r="AB2041" s="622" t="s">
        <v>164</v>
      </c>
      <c r="AC2041" s="622">
        <v>22379.663157894738</v>
      </c>
      <c r="AD2041" s="623">
        <v>0.03</v>
      </c>
      <c r="AE2041" s="621" t="s">
        <v>3843</v>
      </c>
    </row>
    <row r="2042" spans="1:31" s="572" customFormat="1">
      <c r="A2042" s="570" t="s">
        <v>3872</v>
      </c>
      <c r="B2042" s="573" t="s">
        <v>280</v>
      </c>
      <c r="C2042" s="578">
        <v>27</v>
      </c>
      <c r="D2042" s="573" t="s">
        <v>3374</v>
      </c>
      <c r="E2042" s="573" t="s">
        <v>152</v>
      </c>
      <c r="F2042" s="573" t="s">
        <v>271</v>
      </c>
      <c r="G2042" s="573">
        <v>2019</v>
      </c>
      <c r="H2042" s="573" t="s">
        <v>3765</v>
      </c>
      <c r="I2042" s="573" t="s">
        <v>3837</v>
      </c>
      <c r="J2042" s="573" t="s">
        <v>3377</v>
      </c>
      <c r="K2042" s="573">
        <v>3</v>
      </c>
      <c r="L2042" s="573">
        <v>0</v>
      </c>
      <c r="M2042" s="573" t="s">
        <v>157</v>
      </c>
      <c r="N2042" s="573">
        <v>1</v>
      </c>
      <c r="O2042" s="573" t="s">
        <v>3846</v>
      </c>
      <c r="P2042" s="571">
        <v>10700</v>
      </c>
      <c r="Q2042" s="573" t="s">
        <v>1259</v>
      </c>
      <c r="R2042" s="573">
        <v>6</v>
      </c>
      <c r="S2042" s="582" t="s">
        <v>3838</v>
      </c>
      <c r="T2042" s="573" t="s">
        <v>276</v>
      </c>
      <c r="U2042" s="573">
        <v>141.1</v>
      </c>
      <c r="V2042" s="573">
        <v>23</v>
      </c>
      <c r="W2042" s="616">
        <v>7050</v>
      </c>
      <c r="X2042" s="617">
        <v>21</v>
      </c>
      <c r="Y2042" s="617" t="s">
        <v>178</v>
      </c>
      <c r="Z2042" s="617" t="s">
        <v>178</v>
      </c>
      <c r="AA2042" s="618">
        <v>32545</v>
      </c>
      <c r="AB2042" s="618" t="s">
        <v>164</v>
      </c>
      <c r="AC2042" s="618">
        <v>23196.505263157895</v>
      </c>
      <c r="AD2042" s="619">
        <v>0.03</v>
      </c>
      <c r="AE2042" s="617" t="s">
        <v>3845</v>
      </c>
    </row>
    <row r="2043" spans="1:31" s="572" customFormat="1">
      <c r="A2043" s="570" t="s">
        <v>3873</v>
      </c>
      <c r="B2043" s="569" t="s">
        <v>280</v>
      </c>
      <c r="C2043" s="580">
        <v>27</v>
      </c>
      <c r="D2043" s="569" t="s">
        <v>3374</v>
      </c>
      <c r="E2043" s="569" t="s">
        <v>152</v>
      </c>
      <c r="F2043" s="569" t="s">
        <v>271</v>
      </c>
      <c r="G2043" s="569">
        <v>2019</v>
      </c>
      <c r="H2043" s="569" t="s">
        <v>3765</v>
      </c>
      <c r="I2043" s="569" t="s">
        <v>3837</v>
      </c>
      <c r="J2043" s="569" t="s">
        <v>3377</v>
      </c>
      <c r="K2043" s="569">
        <v>3</v>
      </c>
      <c r="L2043" s="569">
        <v>0</v>
      </c>
      <c r="M2043" s="569" t="s">
        <v>157</v>
      </c>
      <c r="N2043" s="569">
        <v>1</v>
      </c>
      <c r="O2043" s="569" t="s">
        <v>3846</v>
      </c>
      <c r="P2043" s="568">
        <v>5100</v>
      </c>
      <c r="Q2043" s="569" t="s">
        <v>3772</v>
      </c>
      <c r="R2043" s="569">
        <v>6</v>
      </c>
      <c r="S2043" s="569" t="s">
        <v>3838</v>
      </c>
      <c r="T2043" s="569" t="s">
        <v>276</v>
      </c>
      <c r="U2043" s="569">
        <v>141.1</v>
      </c>
      <c r="V2043" s="569">
        <v>23</v>
      </c>
      <c r="W2043" s="620">
        <v>6100</v>
      </c>
      <c r="X2043" s="621">
        <v>22</v>
      </c>
      <c r="Y2043" s="621" t="s">
        <v>450</v>
      </c>
      <c r="Z2043" s="621" t="s">
        <v>178</v>
      </c>
      <c r="AA2043" s="622">
        <v>29950</v>
      </c>
      <c r="AB2043" s="622" t="s">
        <v>164</v>
      </c>
      <c r="AC2043" s="622">
        <v>20867.031578947368</v>
      </c>
      <c r="AD2043" s="623">
        <v>0.03</v>
      </c>
      <c r="AE2043" s="621" t="s">
        <v>3848</v>
      </c>
    </row>
    <row r="2044" spans="1:31" s="572" customFormat="1">
      <c r="A2044" s="570" t="s">
        <v>3874</v>
      </c>
      <c r="B2044" s="573" t="s">
        <v>280</v>
      </c>
      <c r="C2044" s="578">
        <v>27</v>
      </c>
      <c r="D2044" s="573" t="s">
        <v>3374</v>
      </c>
      <c r="E2044" s="573" t="s">
        <v>152</v>
      </c>
      <c r="F2044" s="573" t="s">
        <v>271</v>
      </c>
      <c r="G2044" s="573">
        <v>2019</v>
      </c>
      <c r="H2044" s="573" t="s">
        <v>3765</v>
      </c>
      <c r="I2044" s="573" t="s">
        <v>3837</v>
      </c>
      <c r="J2044" s="573" t="s">
        <v>3377</v>
      </c>
      <c r="K2044" s="573">
        <v>3</v>
      </c>
      <c r="L2044" s="573">
        <v>0</v>
      </c>
      <c r="M2044" s="573" t="s">
        <v>157</v>
      </c>
      <c r="N2044" s="573">
        <v>1</v>
      </c>
      <c r="O2044" s="573" t="s">
        <v>3846</v>
      </c>
      <c r="P2044" s="571">
        <v>7600</v>
      </c>
      <c r="Q2044" s="573" t="s">
        <v>3841</v>
      </c>
      <c r="R2044" s="573">
        <v>6</v>
      </c>
      <c r="S2044" s="582" t="s">
        <v>3838</v>
      </c>
      <c r="T2044" s="573" t="s">
        <v>276</v>
      </c>
      <c r="U2044" s="573">
        <v>141.1</v>
      </c>
      <c r="V2044" s="573">
        <v>23</v>
      </c>
      <c r="W2044" s="616">
        <v>6100</v>
      </c>
      <c r="X2044" s="617">
        <v>22</v>
      </c>
      <c r="Y2044" s="617" t="s">
        <v>178</v>
      </c>
      <c r="Z2044" s="617" t="s">
        <v>178</v>
      </c>
      <c r="AA2044" s="618">
        <v>30945</v>
      </c>
      <c r="AB2044" s="618" t="s">
        <v>164</v>
      </c>
      <c r="AC2044" s="618">
        <v>21760.715789473685</v>
      </c>
      <c r="AD2044" s="619">
        <v>0.03</v>
      </c>
      <c r="AE2044" s="617" t="s">
        <v>3850</v>
      </c>
    </row>
    <row r="2045" spans="1:31" s="572" customFormat="1">
      <c r="A2045" s="570" t="s">
        <v>3875</v>
      </c>
      <c r="B2045" s="569" t="s">
        <v>280</v>
      </c>
      <c r="C2045" s="580">
        <v>27</v>
      </c>
      <c r="D2045" s="569" t="s">
        <v>3374</v>
      </c>
      <c r="E2045" s="569" t="s">
        <v>152</v>
      </c>
      <c r="F2045" s="569" t="s">
        <v>271</v>
      </c>
      <c r="G2045" s="569">
        <v>2019</v>
      </c>
      <c r="H2045" s="569" t="s">
        <v>3765</v>
      </c>
      <c r="I2045" s="569" t="s">
        <v>3837</v>
      </c>
      <c r="J2045" s="569" t="s">
        <v>3377</v>
      </c>
      <c r="K2045" s="569">
        <v>3</v>
      </c>
      <c r="L2045" s="569">
        <v>0</v>
      </c>
      <c r="M2045" s="569" t="s">
        <v>157</v>
      </c>
      <c r="N2045" s="569">
        <v>1</v>
      </c>
      <c r="O2045" s="569" t="s">
        <v>3846</v>
      </c>
      <c r="P2045" s="568">
        <v>9100</v>
      </c>
      <c r="Q2045" s="569" t="s">
        <v>3778</v>
      </c>
      <c r="R2045" s="569">
        <v>8</v>
      </c>
      <c r="S2045" s="569" t="s">
        <v>3838</v>
      </c>
      <c r="T2045" s="569" t="s">
        <v>276</v>
      </c>
      <c r="U2045" s="569">
        <v>141.1</v>
      </c>
      <c r="V2045" s="569">
        <v>23</v>
      </c>
      <c r="W2045" s="620">
        <v>6750</v>
      </c>
      <c r="X2045" s="621">
        <v>19</v>
      </c>
      <c r="Y2045" s="621" t="s">
        <v>450</v>
      </c>
      <c r="Z2045" s="621" t="s">
        <v>178</v>
      </c>
      <c r="AA2045" s="622">
        <v>31945</v>
      </c>
      <c r="AB2045" s="622" t="s">
        <v>164</v>
      </c>
      <c r="AC2045" s="622">
        <v>22657.557894736845</v>
      </c>
      <c r="AD2045" s="623">
        <v>0.03</v>
      </c>
      <c r="AE2045" s="621" t="s">
        <v>3852</v>
      </c>
    </row>
    <row r="2046" spans="1:31" s="572" customFormat="1">
      <c r="A2046" s="570" t="s">
        <v>3876</v>
      </c>
      <c r="B2046" s="573" t="s">
        <v>269</v>
      </c>
      <c r="C2046" s="578" t="s">
        <v>270</v>
      </c>
      <c r="D2046" s="573" t="s">
        <v>3374</v>
      </c>
      <c r="E2046" s="573" t="s">
        <v>152</v>
      </c>
      <c r="F2046" s="573" t="s">
        <v>271</v>
      </c>
      <c r="G2046" s="573">
        <v>2019</v>
      </c>
      <c r="H2046" s="573" t="s">
        <v>3765</v>
      </c>
      <c r="I2046" s="573" t="s">
        <v>3837</v>
      </c>
      <c r="J2046" s="573" t="s">
        <v>752</v>
      </c>
      <c r="K2046" s="573">
        <v>3</v>
      </c>
      <c r="L2046" s="573">
        <v>0</v>
      </c>
      <c r="M2046" s="573" t="s">
        <v>157</v>
      </c>
      <c r="N2046" s="573">
        <v>1</v>
      </c>
      <c r="O2046" s="573" t="s">
        <v>3781</v>
      </c>
      <c r="P2046" s="571">
        <v>7500</v>
      </c>
      <c r="Q2046" s="573" t="s">
        <v>3772</v>
      </c>
      <c r="R2046" s="573">
        <v>6</v>
      </c>
      <c r="S2046" s="582" t="s">
        <v>3878</v>
      </c>
      <c r="T2046" s="573" t="s">
        <v>276</v>
      </c>
      <c r="U2046" s="573">
        <v>122.4</v>
      </c>
      <c r="V2046" s="573">
        <v>23</v>
      </c>
      <c r="W2046" s="616">
        <v>6050</v>
      </c>
      <c r="X2046" s="617">
        <v>20</v>
      </c>
      <c r="Y2046" s="617" t="s">
        <v>450</v>
      </c>
      <c r="Z2046" s="617" t="s">
        <v>178</v>
      </c>
      <c r="AA2046" s="618">
        <v>34295</v>
      </c>
      <c r="AB2046" s="618" t="s">
        <v>164</v>
      </c>
      <c r="AC2046" s="618">
        <v>24903.873684210528</v>
      </c>
      <c r="AD2046" s="619">
        <v>0.03</v>
      </c>
      <c r="AE2046" s="617" t="s">
        <v>3877</v>
      </c>
    </row>
    <row r="2047" spans="1:31" s="572" customFormat="1">
      <c r="A2047" s="570" t="s">
        <v>3879</v>
      </c>
      <c r="B2047" s="569" t="s">
        <v>269</v>
      </c>
      <c r="C2047" s="580" t="s">
        <v>270</v>
      </c>
      <c r="D2047" s="569" t="s">
        <v>3374</v>
      </c>
      <c r="E2047" s="569" t="s">
        <v>152</v>
      </c>
      <c r="F2047" s="569" t="s">
        <v>271</v>
      </c>
      <c r="G2047" s="569">
        <v>2019</v>
      </c>
      <c r="H2047" s="569" t="s">
        <v>3765</v>
      </c>
      <c r="I2047" s="569" t="s">
        <v>3837</v>
      </c>
      <c r="J2047" s="569" t="s">
        <v>752</v>
      </c>
      <c r="K2047" s="569">
        <v>3</v>
      </c>
      <c r="L2047" s="569">
        <v>0</v>
      </c>
      <c r="M2047" s="569" t="s">
        <v>157</v>
      </c>
      <c r="N2047" s="569">
        <v>1</v>
      </c>
      <c r="O2047" s="569" t="s">
        <v>3781</v>
      </c>
      <c r="P2047" s="568">
        <v>7600</v>
      </c>
      <c r="Q2047" s="569" t="s">
        <v>3768</v>
      </c>
      <c r="R2047" s="569">
        <v>6</v>
      </c>
      <c r="S2047" s="569" t="s">
        <v>3878</v>
      </c>
      <c r="T2047" s="569" t="s">
        <v>276</v>
      </c>
      <c r="U2047" s="569">
        <v>122.4</v>
      </c>
      <c r="V2047" s="569">
        <v>23</v>
      </c>
      <c r="W2047" s="620">
        <v>6050</v>
      </c>
      <c r="X2047" s="621">
        <v>21</v>
      </c>
      <c r="Y2047" s="621" t="s">
        <v>178</v>
      </c>
      <c r="Z2047" s="621" t="s">
        <v>178</v>
      </c>
      <c r="AA2047" s="622">
        <v>35290</v>
      </c>
      <c r="AB2047" s="622" t="s">
        <v>164</v>
      </c>
      <c r="AC2047" s="622">
        <v>25797.557894736845</v>
      </c>
      <c r="AD2047" s="623">
        <v>0.03</v>
      </c>
      <c r="AE2047" s="621" t="s">
        <v>3880</v>
      </c>
    </row>
    <row r="2048" spans="1:31" s="572" customFormat="1">
      <c r="A2048" s="570" t="s">
        <v>3881</v>
      </c>
      <c r="B2048" s="573" t="s">
        <v>269</v>
      </c>
      <c r="C2048" s="578" t="s">
        <v>270</v>
      </c>
      <c r="D2048" s="573" t="s">
        <v>3374</v>
      </c>
      <c r="E2048" s="573" t="s">
        <v>152</v>
      </c>
      <c r="F2048" s="573" t="s">
        <v>271</v>
      </c>
      <c r="G2048" s="573">
        <v>2019</v>
      </c>
      <c r="H2048" s="573" t="s">
        <v>3765</v>
      </c>
      <c r="I2048" s="573" t="s">
        <v>3837</v>
      </c>
      <c r="J2048" s="573" t="s">
        <v>752</v>
      </c>
      <c r="K2048" s="573">
        <v>3</v>
      </c>
      <c r="L2048" s="573">
        <v>0</v>
      </c>
      <c r="M2048" s="573" t="s">
        <v>157</v>
      </c>
      <c r="N2048" s="573">
        <v>1</v>
      </c>
      <c r="O2048" s="573" t="s">
        <v>3781</v>
      </c>
      <c r="P2048" s="571">
        <v>7600</v>
      </c>
      <c r="Q2048" s="573" t="s">
        <v>3778</v>
      </c>
      <c r="R2048" s="573">
        <v>8</v>
      </c>
      <c r="S2048" s="582" t="s">
        <v>3878</v>
      </c>
      <c r="T2048" s="573" t="s">
        <v>276</v>
      </c>
      <c r="U2048" s="573">
        <v>122.4</v>
      </c>
      <c r="V2048" s="573">
        <v>23</v>
      </c>
      <c r="W2048" s="616">
        <v>6400</v>
      </c>
      <c r="X2048" s="617">
        <v>18</v>
      </c>
      <c r="Y2048" s="617" t="s">
        <v>450</v>
      </c>
      <c r="Z2048" s="617" t="s">
        <v>178</v>
      </c>
      <c r="AA2048" s="618">
        <v>36290</v>
      </c>
      <c r="AB2048" s="618" t="s">
        <v>164</v>
      </c>
      <c r="AC2048" s="618">
        <v>26694.400000000001</v>
      </c>
      <c r="AD2048" s="619">
        <v>0.03</v>
      </c>
      <c r="AE2048" s="617" t="s">
        <v>3882</v>
      </c>
    </row>
    <row r="2049" spans="1:31" s="572" customFormat="1">
      <c r="A2049" s="570" t="s">
        <v>3883</v>
      </c>
      <c r="B2049" s="569" t="s">
        <v>269</v>
      </c>
      <c r="C2049" s="580" t="s">
        <v>270</v>
      </c>
      <c r="D2049" s="569" t="s">
        <v>3374</v>
      </c>
      <c r="E2049" s="569" t="s">
        <v>152</v>
      </c>
      <c r="F2049" s="569" t="s">
        <v>271</v>
      </c>
      <c r="G2049" s="569">
        <v>2019</v>
      </c>
      <c r="H2049" s="569" t="s">
        <v>3765</v>
      </c>
      <c r="I2049" s="569" t="s">
        <v>3837</v>
      </c>
      <c r="J2049" s="569" t="s">
        <v>752</v>
      </c>
      <c r="K2049" s="569">
        <v>3</v>
      </c>
      <c r="L2049" s="569">
        <v>0</v>
      </c>
      <c r="M2049" s="569" t="s">
        <v>157</v>
      </c>
      <c r="N2049" s="569">
        <v>1</v>
      </c>
      <c r="O2049" s="569" t="s">
        <v>3846</v>
      </c>
      <c r="P2049" s="568">
        <v>10700</v>
      </c>
      <c r="Q2049" s="569" t="s">
        <v>1259</v>
      </c>
      <c r="R2049" s="569">
        <v>6</v>
      </c>
      <c r="S2049" s="569" t="s">
        <v>3878</v>
      </c>
      <c r="T2049" s="569" t="s">
        <v>276</v>
      </c>
      <c r="U2049" s="569">
        <v>141.1</v>
      </c>
      <c r="V2049" s="569">
        <v>23</v>
      </c>
      <c r="W2049" s="620">
        <v>6800</v>
      </c>
      <c r="X2049" s="621">
        <v>19</v>
      </c>
      <c r="Y2049" s="621" t="s">
        <v>178</v>
      </c>
      <c r="Z2049" s="621" t="s">
        <v>178</v>
      </c>
      <c r="AA2049" s="622">
        <v>37190</v>
      </c>
      <c r="AB2049" s="622" t="s">
        <v>164</v>
      </c>
      <c r="AC2049" s="622">
        <v>27512.294736842108</v>
      </c>
      <c r="AD2049" s="623">
        <v>0.03</v>
      </c>
      <c r="AE2049" s="621" t="s">
        <v>3884</v>
      </c>
    </row>
    <row r="2050" spans="1:31" s="572" customFormat="1">
      <c r="A2050" s="570" t="s">
        <v>3885</v>
      </c>
      <c r="B2050" s="573" t="s">
        <v>269</v>
      </c>
      <c r="C2050" s="578" t="s">
        <v>270</v>
      </c>
      <c r="D2050" s="573" t="s">
        <v>3374</v>
      </c>
      <c r="E2050" s="573" t="s">
        <v>152</v>
      </c>
      <c r="F2050" s="573" t="s">
        <v>271</v>
      </c>
      <c r="G2050" s="573">
        <v>2019</v>
      </c>
      <c r="H2050" s="573" t="s">
        <v>3765</v>
      </c>
      <c r="I2050" s="573" t="s">
        <v>3837</v>
      </c>
      <c r="J2050" s="573" t="s">
        <v>752</v>
      </c>
      <c r="K2050" s="573">
        <v>3</v>
      </c>
      <c r="L2050" s="573">
        <v>0</v>
      </c>
      <c r="M2050" s="573" t="s">
        <v>157</v>
      </c>
      <c r="N2050" s="573">
        <v>1</v>
      </c>
      <c r="O2050" s="573" t="s">
        <v>3846</v>
      </c>
      <c r="P2050" s="571">
        <v>7400</v>
      </c>
      <c r="Q2050" s="573" t="s">
        <v>3772</v>
      </c>
      <c r="R2050" s="573">
        <v>6</v>
      </c>
      <c r="S2050" s="582" t="s">
        <v>3878</v>
      </c>
      <c r="T2050" s="573" t="s">
        <v>276</v>
      </c>
      <c r="U2050" s="573">
        <v>141.1</v>
      </c>
      <c r="V2050" s="573">
        <v>23</v>
      </c>
      <c r="W2050" s="616">
        <v>6050</v>
      </c>
      <c r="X2050" s="617">
        <v>18</v>
      </c>
      <c r="Y2050" s="617" t="s">
        <v>450</v>
      </c>
      <c r="Z2050" s="617" t="s">
        <v>178</v>
      </c>
      <c r="AA2050" s="618">
        <v>34595</v>
      </c>
      <c r="AB2050" s="618" t="s">
        <v>164</v>
      </c>
      <c r="AC2050" s="618">
        <v>25182.821052631582</v>
      </c>
      <c r="AD2050" s="619">
        <v>0.03</v>
      </c>
      <c r="AE2050" s="617" t="s">
        <v>3886</v>
      </c>
    </row>
    <row r="2051" spans="1:31" s="572" customFormat="1">
      <c r="A2051" s="570" t="s">
        <v>3887</v>
      </c>
      <c r="B2051" s="569" t="s">
        <v>269</v>
      </c>
      <c r="C2051" s="580" t="s">
        <v>270</v>
      </c>
      <c r="D2051" s="569" t="s">
        <v>3374</v>
      </c>
      <c r="E2051" s="569" t="s">
        <v>152</v>
      </c>
      <c r="F2051" s="569" t="s">
        <v>271</v>
      </c>
      <c r="G2051" s="569">
        <v>2019</v>
      </c>
      <c r="H2051" s="569" t="s">
        <v>3765</v>
      </c>
      <c r="I2051" s="569" t="s">
        <v>3837</v>
      </c>
      <c r="J2051" s="569" t="s">
        <v>752</v>
      </c>
      <c r="K2051" s="569">
        <v>3</v>
      </c>
      <c r="L2051" s="569">
        <v>0</v>
      </c>
      <c r="M2051" s="569" t="s">
        <v>157</v>
      </c>
      <c r="N2051" s="569">
        <v>1</v>
      </c>
      <c r="O2051" s="569" t="s">
        <v>3846</v>
      </c>
      <c r="P2051" s="568">
        <v>7600</v>
      </c>
      <c r="Q2051" s="569" t="s">
        <v>3768</v>
      </c>
      <c r="R2051" s="569">
        <v>6</v>
      </c>
      <c r="S2051" s="569" t="s">
        <v>3878</v>
      </c>
      <c r="T2051" s="569" t="s">
        <v>276</v>
      </c>
      <c r="U2051" s="569">
        <v>141.1</v>
      </c>
      <c r="V2051" s="569">
        <v>23</v>
      </c>
      <c r="W2051" s="620">
        <v>6050</v>
      </c>
      <c r="X2051" s="621">
        <v>21</v>
      </c>
      <c r="Y2051" s="621" t="s">
        <v>178</v>
      </c>
      <c r="Z2051" s="621" t="s">
        <v>178</v>
      </c>
      <c r="AA2051" s="622">
        <v>35590</v>
      </c>
      <c r="AB2051" s="622" t="s">
        <v>164</v>
      </c>
      <c r="AC2051" s="622">
        <v>26076.505263157895</v>
      </c>
      <c r="AD2051" s="623">
        <v>0.03</v>
      </c>
      <c r="AE2051" s="621" t="s">
        <v>3888</v>
      </c>
    </row>
    <row r="2052" spans="1:31" s="572" customFormat="1">
      <c r="A2052" s="570" t="s">
        <v>3889</v>
      </c>
      <c r="B2052" s="573" t="s">
        <v>269</v>
      </c>
      <c r="C2052" s="578" t="s">
        <v>270</v>
      </c>
      <c r="D2052" s="573" t="s">
        <v>3374</v>
      </c>
      <c r="E2052" s="573" t="s">
        <v>152</v>
      </c>
      <c r="F2052" s="573" t="s">
        <v>271</v>
      </c>
      <c r="G2052" s="573">
        <v>2019</v>
      </c>
      <c r="H2052" s="573" t="s">
        <v>3765</v>
      </c>
      <c r="I2052" s="573" t="s">
        <v>3837</v>
      </c>
      <c r="J2052" s="573" t="s">
        <v>752</v>
      </c>
      <c r="K2052" s="573">
        <v>3</v>
      </c>
      <c r="L2052" s="573">
        <v>0</v>
      </c>
      <c r="M2052" s="573" t="s">
        <v>157</v>
      </c>
      <c r="N2052" s="573">
        <v>1</v>
      </c>
      <c r="O2052" s="573" t="s">
        <v>3846</v>
      </c>
      <c r="P2052" s="571">
        <v>7600</v>
      </c>
      <c r="Q2052" s="573" t="s">
        <v>3778</v>
      </c>
      <c r="R2052" s="573">
        <v>8</v>
      </c>
      <c r="S2052" s="582" t="s">
        <v>3878</v>
      </c>
      <c r="T2052" s="573" t="s">
        <v>276</v>
      </c>
      <c r="U2052" s="573">
        <v>141.1</v>
      </c>
      <c r="V2052" s="573">
        <v>23</v>
      </c>
      <c r="W2052" s="616">
        <v>6400</v>
      </c>
      <c r="X2052" s="617">
        <v>18</v>
      </c>
      <c r="Y2052" s="617" t="s">
        <v>450</v>
      </c>
      <c r="Z2052" s="617" t="s">
        <v>178</v>
      </c>
      <c r="AA2052" s="618">
        <v>36590</v>
      </c>
      <c r="AB2052" s="618" t="s">
        <v>164</v>
      </c>
      <c r="AC2052" s="618">
        <v>26973.347368421055</v>
      </c>
      <c r="AD2052" s="619">
        <v>0.03</v>
      </c>
      <c r="AE2052" s="617" t="s">
        <v>3890</v>
      </c>
    </row>
    <row r="2053" spans="1:31" s="572" customFormat="1">
      <c r="A2053" s="570" t="s">
        <v>3891</v>
      </c>
      <c r="B2053" s="569" t="s">
        <v>278</v>
      </c>
      <c r="C2053" s="580">
        <v>15</v>
      </c>
      <c r="D2053" s="569" t="s">
        <v>3374</v>
      </c>
      <c r="E2053" s="569" t="s">
        <v>152</v>
      </c>
      <c r="F2053" s="569" t="s">
        <v>271</v>
      </c>
      <c r="G2053" s="569">
        <v>2019</v>
      </c>
      <c r="H2053" s="569" t="s">
        <v>3765</v>
      </c>
      <c r="I2053" s="569" t="s">
        <v>3837</v>
      </c>
      <c r="J2053" s="569" t="s">
        <v>752</v>
      </c>
      <c r="K2053" s="569">
        <v>3</v>
      </c>
      <c r="L2053" s="569">
        <v>0</v>
      </c>
      <c r="M2053" s="569" t="s">
        <v>157</v>
      </c>
      <c r="N2053" s="569">
        <v>1</v>
      </c>
      <c r="O2053" s="569" t="s">
        <v>3781</v>
      </c>
      <c r="P2053" s="568">
        <v>7500</v>
      </c>
      <c r="Q2053" s="569" t="s">
        <v>3772</v>
      </c>
      <c r="R2053" s="569">
        <v>6</v>
      </c>
      <c r="S2053" s="569" t="s">
        <v>3878</v>
      </c>
      <c r="T2053" s="569" t="s">
        <v>276</v>
      </c>
      <c r="U2053" s="569">
        <v>122.4</v>
      </c>
      <c r="V2053" s="569">
        <v>23</v>
      </c>
      <c r="W2053" s="620">
        <v>6050</v>
      </c>
      <c r="X2053" s="621">
        <v>19</v>
      </c>
      <c r="Y2053" s="621" t="s">
        <v>450</v>
      </c>
      <c r="Z2053" s="621" t="s">
        <v>178</v>
      </c>
      <c r="AA2053" s="622">
        <v>34295</v>
      </c>
      <c r="AB2053" s="622" t="s">
        <v>164</v>
      </c>
      <c r="AC2053" s="622">
        <v>24950</v>
      </c>
      <c r="AD2053" s="623">
        <v>0.01</v>
      </c>
      <c r="AE2053" s="621" t="s">
        <v>3877</v>
      </c>
    </row>
    <row r="2054" spans="1:31" s="572" customFormat="1">
      <c r="A2054" s="570" t="s">
        <v>3892</v>
      </c>
      <c r="B2054" s="573" t="s">
        <v>278</v>
      </c>
      <c r="C2054" s="578">
        <v>15</v>
      </c>
      <c r="D2054" s="573" t="s">
        <v>3374</v>
      </c>
      <c r="E2054" s="573" t="s">
        <v>152</v>
      </c>
      <c r="F2054" s="573" t="s">
        <v>271</v>
      </c>
      <c r="G2054" s="573">
        <v>2019</v>
      </c>
      <c r="H2054" s="573" t="s">
        <v>3765</v>
      </c>
      <c r="I2054" s="573" t="s">
        <v>3837</v>
      </c>
      <c r="J2054" s="573" t="s">
        <v>752</v>
      </c>
      <c r="K2054" s="573">
        <v>3</v>
      </c>
      <c r="L2054" s="573">
        <v>0</v>
      </c>
      <c r="M2054" s="573" t="s">
        <v>157</v>
      </c>
      <c r="N2054" s="573">
        <v>1</v>
      </c>
      <c r="O2054" s="573" t="s">
        <v>3781</v>
      </c>
      <c r="P2054" s="571">
        <v>7600</v>
      </c>
      <c r="Q2054" s="573" t="s">
        <v>3768</v>
      </c>
      <c r="R2054" s="573">
        <v>6</v>
      </c>
      <c r="S2054" s="582" t="s">
        <v>3878</v>
      </c>
      <c r="T2054" s="573" t="s">
        <v>276</v>
      </c>
      <c r="U2054" s="573">
        <v>122.4</v>
      </c>
      <c r="V2054" s="573">
        <v>23</v>
      </c>
      <c r="W2054" s="616">
        <v>6050</v>
      </c>
      <c r="X2054" s="617">
        <v>20</v>
      </c>
      <c r="Y2054" s="617" t="s">
        <v>178</v>
      </c>
      <c r="Z2054" s="617" t="s">
        <v>178</v>
      </c>
      <c r="AA2054" s="618">
        <v>35290</v>
      </c>
      <c r="AB2054" s="618" t="s">
        <v>164</v>
      </c>
      <c r="AC2054" s="618">
        <v>25900</v>
      </c>
      <c r="AD2054" s="619">
        <v>0.01</v>
      </c>
      <c r="AE2054" s="617" t="s">
        <v>3880</v>
      </c>
    </row>
    <row r="2055" spans="1:31" s="572" customFormat="1">
      <c r="A2055" s="570" t="s">
        <v>3893</v>
      </c>
      <c r="B2055" s="569" t="s">
        <v>278</v>
      </c>
      <c r="C2055" s="580">
        <v>15</v>
      </c>
      <c r="D2055" s="569" t="s">
        <v>3374</v>
      </c>
      <c r="E2055" s="569" t="s">
        <v>152</v>
      </c>
      <c r="F2055" s="569" t="s">
        <v>271</v>
      </c>
      <c r="G2055" s="569">
        <v>2019</v>
      </c>
      <c r="H2055" s="569" t="s">
        <v>3765</v>
      </c>
      <c r="I2055" s="569" t="s">
        <v>3837</v>
      </c>
      <c r="J2055" s="569" t="s">
        <v>752</v>
      </c>
      <c r="K2055" s="569">
        <v>3</v>
      </c>
      <c r="L2055" s="569">
        <v>0</v>
      </c>
      <c r="M2055" s="569" t="s">
        <v>157</v>
      </c>
      <c r="N2055" s="569">
        <v>1</v>
      </c>
      <c r="O2055" s="569" t="s">
        <v>3781</v>
      </c>
      <c r="P2055" s="568">
        <v>7600</v>
      </c>
      <c r="Q2055" s="569" t="s">
        <v>3778</v>
      </c>
      <c r="R2055" s="569">
        <v>8</v>
      </c>
      <c r="S2055" s="569" t="s">
        <v>3878</v>
      </c>
      <c r="T2055" s="569" t="s">
        <v>276</v>
      </c>
      <c r="U2055" s="569">
        <v>122.4</v>
      </c>
      <c r="V2055" s="569">
        <v>23</v>
      </c>
      <c r="W2055" s="620">
        <v>6400</v>
      </c>
      <c r="X2055" s="621">
        <v>17</v>
      </c>
      <c r="Y2055" s="621" t="s">
        <v>450</v>
      </c>
      <c r="Z2055" s="621" t="s">
        <v>178</v>
      </c>
      <c r="AA2055" s="622">
        <v>36290</v>
      </c>
      <c r="AB2055" s="622" t="s">
        <v>164</v>
      </c>
      <c r="AC2055" s="622">
        <v>26750</v>
      </c>
      <c r="AD2055" s="623">
        <v>0.01</v>
      </c>
      <c r="AE2055" s="621" t="s">
        <v>3882</v>
      </c>
    </row>
    <row r="2056" spans="1:31" s="572" customFormat="1">
      <c r="A2056" s="570" t="s">
        <v>3894</v>
      </c>
      <c r="B2056" s="573" t="s">
        <v>278</v>
      </c>
      <c r="C2056" s="578">
        <v>15</v>
      </c>
      <c r="D2056" s="573" t="s">
        <v>3374</v>
      </c>
      <c r="E2056" s="573" t="s">
        <v>152</v>
      </c>
      <c r="F2056" s="573" t="s">
        <v>271</v>
      </c>
      <c r="G2056" s="573">
        <v>2019</v>
      </c>
      <c r="H2056" s="573" t="s">
        <v>3765</v>
      </c>
      <c r="I2056" s="573" t="s">
        <v>3837</v>
      </c>
      <c r="J2056" s="573" t="s">
        <v>752</v>
      </c>
      <c r="K2056" s="573">
        <v>3</v>
      </c>
      <c r="L2056" s="573">
        <v>0</v>
      </c>
      <c r="M2056" s="573" t="s">
        <v>157</v>
      </c>
      <c r="N2056" s="573">
        <v>1</v>
      </c>
      <c r="O2056" s="573" t="s">
        <v>3846</v>
      </c>
      <c r="P2056" s="571">
        <v>10700</v>
      </c>
      <c r="Q2056" s="573" t="s">
        <v>1259</v>
      </c>
      <c r="R2056" s="573">
        <v>6</v>
      </c>
      <c r="S2056" s="582" t="s">
        <v>3878</v>
      </c>
      <c r="T2056" s="573" t="s">
        <v>276</v>
      </c>
      <c r="U2056" s="573">
        <v>141.1</v>
      </c>
      <c r="V2056" s="573">
        <v>23</v>
      </c>
      <c r="W2056" s="616">
        <v>6800</v>
      </c>
      <c r="X2056" s="617">
        <v>19</v>
      </c>
      <c r="Y2056" s="617" t="s">
        <v>178</v>
      </c>
      <c r="Z2056" s="617" t="s">
        <v>178</v>
      </c>
      <c r="AA2056" s="618">
        <v>37190</v>
      </c>
      <c r="AB2056" s="618" t="s">
        <v>164</v>
      </c>
      <c r="AC2056" s="618">
        <v>27600</v>
      </c>
      <c r="AD2056" s="619">
        <v>0.01</v>
      </c>
      <c r="AE2056" s="617" t="s">
        <v>3884</v>
      </c>
    </row>
    <row r="2057" spans="1:31" s="572" customFormat="1">
      <c r="A2057" s="570" t="s">
        <v>3895</v>
      </c>
      <c r="B2057" s="569" t="s">
        <v>278</v>
      </c>
      <c r="C2057" s="580">
        <v>15</v>
      </c>
      <c r="D2057" s="569" t="s">
        <v>3374</v>
      </c>
      <c r="E2057" s="569" t="s">
        <v>152</v>
      </c>
      <c r="F2057" s="569" t="s">
        <v>271</v>
      </c>
      <c r="G2057" s="569">
        <v>2019</v>
      </c>
      <c r="H2057" s="569" t="s">
        <v>3765</v>
      </c>
      <c r="I2057" s="569" t="s">
        <v>3837</v>
      </c>
      <c r="J2057" s="569" t="s">
        <v>752</v>
      </c>
      <c r="K2057" s="569">
        <v>3</v>
      </c>
      <c r="L2057" s="569">
        <v>0</v>
      </c>
      <c r="M2057" s="569" t="s">
        <v>157</v>
      </c>
      <c r="N2057" s="569">
        <v>1</v>
      </c>
      <c r="O2057" s="569" t="s">
        <v>3846</v>
      </c>
      <c r="P2057" s="568">
        <v>7400</v>
      </c>
      <c r="Q2057" s="569" t="s">
        <v>3772</v>
      </c>
      <c r="R2057" s="569">
        <v>6</v>
      </c>
      <c r="S2057" s="569" t="s">
        <v>3878</v>
      </c>
      <c r="T2057" s="569" t="s">
        <v>276</v>
      </c>
      <c r="U2057" s="569">
        <v>141.1</v>
      </c>
      <c r="V2057" s="569">
        <v>23</v>
      </c>
      <c r="W2057" s="620">
        <v>6050</v>
      </c>
      <c r="X2057" s="621">
        <v>19</v>
      </c>
      <c r="Y2057" s="621" t="s">
        <v>450</v>
      </c>
      <c r="Z2057" s="621" t="s">
        <v>178</v>
      </c>
      <c r="AA2057" s="622">
        <v>34595</v>
      </c>
      <c r="AB2057" s="622" t="s">
        <v>164</v>
      </c>
      <c r="AC2057" s="622">
        <v>25250</v>
      </c>
      <c r="AD2057" s="623">
        <v>0.01</v>
      </c>
      <c r="AE2057" s="621" t="s">
        <v>3886</v>
      </c>
    </row>
    <row r="2058" spans="1:31" s="572" customFormat="1">
      <c r="A2058" s="570" t="s">
        <v>3896</v>
      </c>
      <c r="B2058" s="573" t="s">
        <v>278</v>
      </c>
      <c r="C2058" s="578">
        <v>15</v>
      </c>
      <c r="D2058" s="573" t="s">
        <v>3374</v>
      </c>
      <c r="E2058" s="573" t="s">
        <v>152</v>
      </c>
      <c r="F2058" s="573" t="s">
        <v>271</v>
      </c>
      <c r="G2058" s="573">
        <v>2019</v>
      </c>
      <c r="H2058" s="573" t="s">
        <v>3765</v>
      </c>
      <c r="I2058" s="573" t="s">
        <v>3837</v>
      </c>
      <c r="J2058" s="573" t="s">
        <v>752</v>
      </c>
      <c r="K2058" s="573">
        <v>3</v>
      </c>
      <c r="L2058" s="573">
        <v>0</v>
      </c>
      <c r="M2058" s="573" t="s">
        <v>157</v>
      </c>
      <c r="N2058" s="573">
        <v>1</v>
      </c>
      <c r="O2058" s="573" t="s">
        <v>3846</v>
      </c>
      <c r="P2058" s="571">
        <v>7600</v>
      </c>
      <c r="Q2058" s="573" t="s">
        <v>3768</v>
      </c>
      <c r="R2058" s="573">
        <v>6</v>
      </c>
      <c r="S2058" s="582" t="s">
        <v>3878</v>
      </c>
      <c r="T2058" s="573" t="s">
        <v>276</v>
      </c>
      <c r="U2058" s="573">
        <v>141.1</v>
      </c>
      <c r="V2058" s="573">
        <v>23</v>
      </c>
      <c r="W2058" s="616">
        <v>6050</v>
      </c>
      <c r="X2058" s="617">
        <v>20</v>
      </c>
      <c r="Y2058" s="617" t="s">
        <v>178</v>
      </c>
      <c r="Z2058" s="617" t="s">
        <v>178</v>
      </c>
      <c r="AA2058" s="618">
        <v>35590</v>
      </c>
      <c r="AB2058" s="618" t="s">
        <v>164</v>
      </c>
      <c r="AC2058" s="618">
        <v>26150</v>
      </c>
      <c r="AD2058" s="619">
        <v>0.01</v>
      </c>
      <c r="AE2058" s="617" t="s">
        <v>3888</v>
      </c>
    </row>
    <row r="2059" spans="1:31" s="572" customFormat="1">
      <c r="A2059" s="570" t="s">
        <v>3897</v>
      </c>
      <c r="B2059" s="569" t="s">
        <v>278</v>
      </c>
      <c r="C2059" s="580">
        <v>15</v>
      </c>
      <c r="D2059" s="569" t="s">
        <v>3374</v>
      </c>
      <c r="E2059" s="569" t="s">
        <v>152</v>
      </c>
      <c r="F2059" s="569" t="s">
        <v>271</v>
      </c>
      <c r="G2059" s="569">
        <v>2019</v>
      </c>
      <c r="H2059" s="569" t="s">
        <v>3765</v>
      </c>
      <c r="I2059" s="569" t="s">
        <v>3837</v>
      </c>
      <c r="J2059" s="569" t="s">
        <v>752</v>
      </c>
      <c r="K2059" s="569">
        <v>3</v>
      </c>
      <c r="L2059" s="569">
        <v>0</v>
      </c>
      <c r="M2059" s="569" t="s">
        <v>157</v>
      </c>
      <c r="N2059" s="569">
        <v>1</v>
      </c>
      <c r="O2059" s="569" t="s">
        <v>3846</v>
      </c>
      <c r="P2059" s="568">
        <v>7600</v>
      </c>
      <c r="Q2059" s="569" t="s">
        <v>3778</v>
      </c>
      <c r="R2059" s="569">
        <v>8</v>
      </c>
      <c r="S2059" s="569" t="s">
        <v>3878</v>
      </c>
      <c r="T2059" s="569" t="s">
        <v>276</v>
      </c>
      <c r="U2059" s="569">
        <v>141.1</v>
      </c>
      <c r="V2059" s="569">
        <v>23</v>
      </c>
      <c r="W2059" s="620">
        <v>6400</v>
      </c>
      <c r="X2059" s="621">
        <v>17</v>
      </c>
      <c r="Y2059" s="621" t="s">
        <v>450</v>
      </c>
      <c r="Z2059" s="621" t="s">
        <v>178</v>
      </c>
      <c r="AA2059" s="622">
        <v>36590</v>
      </c>
      <c r="AB2059" s="622" t="s">
        <v>164</v>
      </c>
      <c r="AC2059" s="622">
        <v>27050</v>
      </c>
      <c r="AD2059" s="623">
        <v>0.01</v>
      </c>
      <c r="AE2059" s="621" t="s">
        <v>3890</v>
      </c>
    </row>
    <row r="2060" spans="1:31" s="572" customFormat="1">
      <c r="A2060" s="570" t="s">
        <v>3898</v>
      </c>
      <c r="B2060" s="573" t="s">
        <v>287</v>
      </c>
      <c r="C2060" s="578">
        <v>26</v>
      </c>
      <c r="D2060" s="573" t="s">
        <v>3374</v>
      </c>
      <c r="E2060" s="573" t="s">
        <v>152</v>
      </c>
      <c r="F2060" s="573" t="s">
        <v>271</v>
      </c>
      <c r="G2060" s="573">
        <v>2018</v>
      </c>
      <c r="H2060" s="573" t="s">
        <v>3765</v>
      </c>
      <c r="I2060" s="573" t="s">
        <v>3837</v>
      </c>
      <c r="J2060" s="573" t="s">
        <v>752</v>
      </c>
      <c r="K2060" s="573">
        <v>3</v>
      </c>
      <c r="L2060" s="573">
        <v>0</v>
      </c>
      <c r="M2060" s="573" t="s">
        <v>157</v>
      </c>
      <c r="N2060" s="573">
        <v>1</v>
      </c>
      <c r="O2060" s="573" t="s">
        <v>3846</v>
      </c>
      <c r="P2060" s="571">
        <v>10700</v>
      </c>
      <c r="Q2060" s="573" t="s">
        <v>1259</v>
      </c>
      <c r="R2060" s="573">
        <v>6</v>
      </c>
      <c r="S2060" s="582" t="s">
        <v>3878</v>
      </c>
      <c r="T2060" s="573" t="s">
        <v>276</v>
      </c>
      <c r="U2060" s="573">
        <v>141.1</v>
      </c>
      <c r="V2060" s="573">
        <v>23</v>
      </c>
      <c r="W2060" s="616">
        <v>6800</v>
      </c>
      <c r="X2060" s="617">
        <v>19</v>
      </c>
      <c r="Y2060" s="617" t="s">
        <v>178</v>
      </c>
      <c r="Z2060" s="617" t="s">
        <v>178</v>
      </c>
      <c r="AA2060" s="618">
        <v>37190</v>
      </c>
      <c r="AB2060" s="618" t="s">
        <v>164</v>
      </c>
      <c r="AC2060" s="618">
        <v>28012</v>
      </c>
      <c r="AD2060" s="619">
        <v>0.05</v>
      </c>
      <c r="AE2060" s="617" t="s">
        <v>3884</v>
      </c>
    </row>
    <row r="2061" spans="1:31" s="572" customFormat="1">
      <c r="A2061" s="570" t="s">
        <v>3899</v>
      </c>
      <c r="B2061" s="569" t="s">
        <v>287</v>
      </c>
      <c r="C2061" s="580">
        <v>26</v>
      </c>
      <c r="D2061" s="569" t="s">
        <v>3374</v>
      </c>
      <c r="E2061" s="569" t="s">
        <v>152</v>
      </c>
      <c r="F2061" s="569" t="s">
        <v>271</v>
      </c>
      <c r="G2061" s="569">
        <v>2018</v>
      </c>
      <c r="H2061" s="569" t="s">
        <v>3765</v>
      </c>
      <c r="I2061" s="569" t="s">
        <v>3837</v>
      </c>
      <c r="J2061" s="569" t="s">
        <v>752</v>
      </c>
      <c r="K2061" s="569">
        <v>3</v>
      </c>
      <c r="L2061" s="569">
        <v>0</v>
      </c>
      <c r="M2061" s="569" t="s">
        <v>157</v>
      </c>
      <c r="N2061" s="569">
        <v>1</v>
      </c>
      <c r="O2061" s="569" t="s">
        <v>3846</v>
      </c>
      <c r="P2061" s="568">
        <v>7600</v>
      </c>
      <c r="Q2061" s="569" t="s">
        <v>3768</v>
      </c>
      <c r="R2061" s="569">
        <v>6</v>
      </c>
      <c r="S2061" s="569" t="s">
        <v>3878</v>
      </c>
      <c r="T2061" s="569" t="s">
        <v>276</v>
      </c>
      <c r="U2061" s="569">
        <v>141.1</v>
      </c>
      <c r="V2061" s="569">
        <v>23</v>
      </c>
      <c r="W2061" s="620">
        <v>6050</v>
      </c>
      <c r="X2061" s="621">
        <v>20</v>
      </c>
      <c r="Y2061" s="621" t="s">
        <v>178</v>
      </c>
      <c r="Z2061" s="621" t="s">
        <v>178</v>
      </c>
      <c r="AA2061" s="622">
        <v>35590</v>
      </c>
      <c r="AB2061" s="622" t="s">
        <v>164</v>
      </c>
      <c r="AC2061" s="622">
        <v>26556</v>
      </c>
      <c r="AD2061" s="623">
        <v>0.05</v>
      </c>
      <c r="AE2061" s="621" t="s">
        <v>3888</v>
      </c>
    </row>
    <row r="2062" spans="1:31" s="572" customFormat="1">
      <c r="A2062" s="570" t="s">
        <v>3900</v>
      </c>
      <c r="B2062" s="573" t="s">
        <v>287</v>
      </c>
      <c r="C2062" s="578">
        <v>26</v>
      </c>
      <c r="D2062" s="573" t="s">
        <v>3374</v>
      </c>
      <c r="E2062" s="573" t="s">
        <v>152</v>
      </c>
      <c r="F2062" s="573" t="s">
        <v>271</v>
      </c>
      <c r="G2062" s="573">
        <v>2018</v>
      </c>
      <c r="H2062" s="573" t="s">
        <v>3765</v>
      </c>
      <c r="I2062" s="573" t="s">
        <v>3837</v>
      </c>
      <c r="J2062" s="573" t="s">
        <v>752</v>
      </c>
      <c r="K2062" s="573">
        <v>3</v>
      </c>
      <c r="L2062" s="573">
        <v>0</v>
      </c>
      <c r="M2062" s="573" t="s">
        <v>157</v>
      </c>
      <c r="N2062" s="573">
        <v>1</v>
      </c>
      <c r="O2062" s="573" t="s">
        <v>3846</v>
      </c>
      <c r="P2062" s="571">
        <v>7600</v>
      </c>
      <c r="Q2062" s="573" t="s">
        <v>3778</v>
      </c>
      <c r="R2062" s="573">
        <v>8</v>
      </c>
      <c r="S2062" s="582" t="s">
        <v>3878</v>
      </c>
      <c r="T2062" s="573" t="s">
        <v>276</v>
      </c>
      <c r="U2062" s="573">
        <v>141.1</v>
      </c>
      <c r="V2062" s="573">
        <v>23</v>
      </c>
      <c r="W2062" s="616">
        <v>6400</v>
      </c>
      <c r="X2062" s="617">
        <v>17</v>
      </c>
      <c r="Y2062" s="617" t="s">
        <v>450</v>
      </c>
      <c r="Z2062" s="617" t="s">
        <v>178</v>
      </c>
      <c r="AA2062" s="618">
        <v>36590</v>
      </c>
      <c r="AB2062" s="618" t="s">
        <v>164</v>
      </c>
      <c r="AC2062" s="618">
        <v>27466</v>
      </c>
      <c r="AD2062" s="619">
        <v>0.05</v>
      </c>
      <c r="AE2062" s="617" t="s">
        <v>3890</v>
      </c>
    </row>
    <row r="2063" spans="1:31" s="572" customFormat="1">
      <c r="A2063" s="570" t="s">
        <v>3901</v>
      </c>
      <c r="B2063" s="569" t="s">
        <v>287</v>
      </c>
      <c r="C2063" s="580">
        <v>26</v>
      </c>
      <c r="D2063" s="569" t="s">
        <v>3374</v>
      </c>
      <c r="E2063" s="569" t="s">
        <v>152</v>
      </c>
      <c r="F2063" s="569" t="s">
        <v>271</v>
      </c>
      <c r="G2063" s="569">
        <v>2019</v>
      </c>
      <c r="H2063" s="569" t="s">
        <v>3765</v>
      </c>
      <c r="I2063" s="569" t="s">
        <v>3837</v>
      </c>
      <c r="J2063" s="569" t="s">
        <v>752</v>
      </c>
      <c r="K2063" s="569">
        <v>3</v>
      </c>
      <c r="L2063" s="569">
        <v>0</v>
      </c>
      <c r="M2063" s="569" t="s">
        <v>157</v>
      </c>
      <c r="N2063" s="569">
        <v>1</v>
      </c>
      <c r="O2063" s="569" t="s">
        <v>3781</v>
      </c>
      <c r="P2063" s="568">
        <v>7600</v>
      </c>
      <c r="Q2063" s="569" t="s">
        <v>3768</v>
      </c>
      <c r="R2063" s="569">
        <v>6</v>
      </c>
      <c r="S2063" s="569" t="s">
        <v>3878</v>
      </c>
      <c r="T2063" s="569" t="s">
        <v>276</v>
      </c>
      <c r="U2063" s="569">
        <v>122.4</v>
      </c>
      <c r="V2063" s="569">
        <v>23</v>
      </c>
      <c r="W2063" s="620">
        <v>6050</v>
      </c>
      <c r="X2063" s="621">
        <v>20</v>
      </c>
      <c r="Y2063" s="621" t="s">
        <v>178</v>
      </c>
      <c r="Z2063" s="621" t="s">
        <v>178</v>
      </c>
      <c r="AA2063" s="622">
        <v>35290</v>
      </c>
      <c r="AB2063" s="622" t="s">
        <v>164</v>
      </c>
      <c r="AC2063" s="622">
        <v>26274</v>
      </c>
      <c r="AD2063" s="623">
        <v>0.05</v>
      </c>
      <c r="AE2063" s="621" t="s">
        <v>3880</v>
      </c>
    </row>
    <row r="2064" spans="1:31" s="572" customFormat="1">
      <c r="A2064" s="570" t="s">
        <v>3902</v>
      </c>
      <c r="B2064" s="573" t="s">
        <v>287</v>
      </c>
      <c r="C2064" s="578">
        <v>26</v>
      </c>
      <c r="D2064" s="573" t="s">
        <v>3374</v>
      </c>
      <c r="E2064" s="573" t="s">
        <v>152</v>
      </c>
      <c r="F2064" s="573" t="s">
        <v>271</v>
      </c>
      <c r="G2064" s="573">
        <v>2019</v>
      </c>
      <c r="H2064" s="573" t="s">
        <v>3765</v>
      </c>
      <c r="I2064" s="573" t="s">
        <v>3837</v>
      </c>
      <c r="J2064" s="573" t="s">
        <v>752</v>
      </c>
      <c r="K2064" s="573">
        <v>3</v>
      </c>
      <c r="L2064" s="573">
        <v>0</v>
      </c>
      <c r="M2064" s="573" t="s">
        <v>157</v>
      </c>
      <c r="N2064" s="573">
        <v>1</v>
      </c>
      <c r="O2064" s="573" t="s">
        <v>3781</v>
      </c>
      <c r="P2064" s="571">
        <v>7600</v>
      </c>
      <c r="Q2064" s="573" t="s">
        <v>3778</v>
      </c>
      <c r="R2064" s="573">
        <v>8</v>
      </c>
      <c r="S2064" s="582" t="s">
        <v>3878</v>
      </c>
      <c r="T2064" s="573" t="s">
        <v>276</v>
      </c>
      <c r="U2064" s="573">
        <v>122.4</v>
      </c>
      <c r="V2064" s="573">
        <v>23</v>
      </c>
      <c r="W2064" s="616">
        <v>6400</v>
      </c>
      <c r="X2064" s="617">
        <v>17</v>
      </c>
      <c r="Y2064" s="617" t="s">
        <v>450</v>
      </c>
      <c r="Z2064" s="617" t="s">
        <v>178</v>
      </c>
      <c r="AA2064" s="618">
        <v>36290</v>
      </c>
      <c r="AB2064" s="618" t="s">
        <v>164</v>
      </c>
      <c r="AC2064" s="618">
        <v>27183</v>
      </c>
      <c r="AD2064" s="619">
        <v>0.05</v>
      </c>
      <c r="AE2064" s="617" t="s">
        <v>3882</v>
      </c>
    </row>
    <row r="2065" spans="1:31" s="572" customFormat="1">
      <c r="A2065" s="570" t="s">
        <v>3903</v>
      </c>
      <c r="B2065" s="569" t="s">
        <v>287</v>
      </c>
      <c r="C2065" s="580">
        <v>26</v>
      </c>
      <c r="D2065" s="569" t="s">
        <v>3374</v>
      </c>
      <c r="E2065" s="569" t="s">
        <v>152</v>
      </c>
      <c r="F2065" s="569" t="s">
        <v>271</v>
      </c>
      <c r="G2065" s="569">
        <v>2019</v>
      </c>
      <c r="H2065" s="569" t="s">
        <v>3765</v>
      </c>
      <c r="I2065" s="569" t="s">
        <v>3837</v>
      </c>
      <c r="J2065" s="569" t="s">
        <v>752</v>
      </c>
      <c r="K2065" s="569">
        <v>3</v>
      </c>
      <c r="L2065" s="569">
        <v>0</v>
      </c>
      <c r="M2065" s="569" t="s">
        <v>157</v>
      </c>
      <c r="N2065" s="569">
        <v>1</v>
      </c>
      <c r="O2065" s="569" t="s">
        <v>3781</v>
      </c>
      <c r="P2065" s="568">
        <v>7700</v>
      </c>
      <c r="Q2065" s="569" t="s">
        <v>1322</v>
      </c>
      <c r="R2065" s="569">
        <v>6</v>
      </c>
      <c r="S2065" s="569" t="s">
        <v>3878</v>
      </c>
      <c r="T2065" s="569" t="s">
        <v>276</v>
      </c>
      <c r="U2065" s="569">
        <v>122.4</v>
      </c>
      <c r="V2065" s="569">
        <v>23</v>
      </c>
      <c r="W2065" s="620">
        <v>6050</v>
      </c>
      <c r="X2065" s="621">
        <v>20</v>
      </c>
      <c r="Y2065" s="621" t="s">
        <v>178</v>
      </c>
      <c r="Z2065" s="621" t="s">
        <v>178</v>
      </c>
      <c r="AA2065" s="622">
        <v>34295</v>
      </c>
      <c r="AB2065" s="622" t="s">
        <v>164</v>
      </c>
      <c r="AC2065" s="622">
        <v>25368</v>
      </c>
      <c r="AD2065" s="623">
        <v>0.05</v>
      </c>
      <c r="AE2065" s="621" t="s">
        <v>3904</v>
      </c>
    </row>
    <row r="2066" spans="1:31" s="572" customFormat="1">
      <c r="A2066" s="570" t="s">
        <v>3905</v>
      </c>
      <c r="B2066" s="573" t="s">
        <v>287</v>
      </c>
      <c r="C2066" s="578">
        <v>26</v>
      </c>
      <c r="D2066" s="573" t="s">
        <v>3374</v>
      </c>
      <c r="E2066" s="573" t="s">
        <v>152</v>
      </c>
      <c r="F2066" s="573" t="s">
        <v>271</v>
      </c>
      <c r="G2066" s="573">
        <v>2019</v>
      </c>
      <c r="H2066" s="573" t="s">
        <v>3765</v>
      </c>
      <c r="I2066" s="573" t="s">
        <v>3837</v>
      </c>
      <c r="J2066" s="573" t="s">
        <v>752</v>
      </c>
      <c r="K2066" s="573">
        <v>3</v>
      </c>
      <c r="L2066" s="573">
        <v>0</v>
      </c>
      <c r="M2066" s="573" t="s">
        <v>157</v>
      </c>
      <c r="N2066" s="573">
        <v>1</v>
      </c>
      <c r="O2066" s="573" t="s">
        <v>3846</v>
      </c>
      <c r="P2066" s="571">
        <v>7700</v>
      </c>
      <c r="Q2066" s="573" t="s">
        <v>1322</v>
      </c>
      <c r="R2066" s="573">
        <v>6</v>
      </c>
      <c r="S2066" s="582" t="s">
        <v>3878</v>
      </c>
      <c r="T2066" s="573" t="s">
        <v>276</v>
      </c>
      <c r="U2066" s="573">
        <v>141.1</v>
      </c>
      <c r="V2066" s="573">
        <v>23</v>
      </c>
      <c r="W2066" s="616">
        <v>6100</v>
      </c>
      <c r="X2066" s="617">
        <v>20</v>
      </c>
      <c r="Y2066" s="617" t="s">
        <v>178</v>
      </c>
      <c r="Z2066" s="617" t="s">
        <v>178</v>
      </c>
      <c r="AA2066" s="618">
        <v>34595</v>
      </c>
      <c r="AB2066" s="618" t="s">
        <v>164</v>
      </c>
      <c r="AC2066" s="618">
        <v>25651</v>
      </c>
      <c r="AD2066" s="619">
        <v>0.05</v>
      </c>
      <c r="AE2066" s="617" t="s">
        <v>3906</v>
      </c>
    </row>
    <row r="2067" spans="1:31" s="572" customFormat="1">
      <c r="A2067" s="570" t="s">
        <v>3907</v>
      </c>
      <c r="B2067" s="569" t="s">
        <v>280</v>
      </c>
      <c r="C2067" s="580">
        <v>27</v>
      </c>
      <c r="D2067" s="569" t="s">
        <v>3374</v>
      </c>
      <c r="E2067" s="569" t="s">
        <v>152</v>
      </c>
      <c r="F2067" s="569" t="s">
        <v>271</v>
      </c>
      <c r="G2067" s="569">
        <v>2019</v>
      </c>
      <c r="H2067" s="569" t="s">
        <v>3765</v>
      </c>
      <c r="I2067" s="569" t="s">
        <v>3837</v>
      </c>
      <c r="J2067" s="569" t="s">
        <v>752</v>
      </c>
      <c r="K2067" s="569">
        <v>3</v>
      </c>
      <c r="L2067" s="569">
        <v>0</v>
      </c>
      <c r="M2067" s="569" t="s">
        <v>157</v>
      </c>
      <c r="N2067" s="569">
        <v>1</v>
      </c>
      <c r="O2067" s="569" t="s">
        <v>3781</v>
      </c>
      <c r="P2067" s="568">
        <v>7500</v>
      </c>
      <c r="Q2067" s="569" t="s">
        <v>3772</v>
      </c>
      <c r="R2067" s="569">
        <v>6</v>
      </c>
      <c r="S2067" s="569" t="s">
        <v>3878</v>
      </c>
      <c r="T2067" s="569" t="s">
        <v>276</v>
      </c>
      <c r="U2067" s="569">
        <v>122.4</v>
      </c>
      <c r="V2067" s="569">
        <v>23</v>
      </c>
      <c r="W2067" s="620">
        <v>6050</v>
      </c>
      <c r="X2067" s="621">
        <v>20</v>
      </c>
      <c r="Y2067" s="621" t="s">
        <v>450</v>
      </c>
      <c r="Z2067" s="621" t="s">
        <v>178</v>
      </c>
      <c r="AA2067" s="622">
        <v>34295</v>
      </c>
      <c r="AB2067" s="622" t="s">
        <v>164</v>
      </c>
      <c r="AC2067" s="622">
        <v>24903.873684210528</v>
      </c>
      <c r="AD2067" s="623">
        <v>0.03</v>
      </c>
      <c r="AE2067" s="621" t="s">
        <v>3877</v>
      </c>
    </row>
    <row r="2068" spans="1:31" s="572" customFormat="1">
      <c r="A2068" s="570" t="s">
        <v>3908</v>
      </c>
      <c r="B2068" s="573" t="s">
        <v>280</v>
      </c>
      <c r="C2068" s="578">
        <v>27</v>
      </c>
      <c r="D2068" s="573" t="s">
        <v>3374</v>
      </c>
      <c r="E2068" s="573" t="s">
        <v>152</v>
      </c>
      <c r="F2068" s="573" t="s">
        <v>271</v>
      </c>
      <c r="G2068" s="573">
        <v>2019</v>
      </c>
      <c r="H2068" s="573" t="s">
        <v>3765</v>
      </c>
      <c r="I2068" s="573" t="s">
        <v>3837</v>
      </c>
      <c r="J2068" s="573" t="s">
        <v>752</v>
      </c>
      <c r="K2068" s="573">
        <v>3</v>
      </c>
      <c r="L2068" s="573">
        <v>0</v>
      </c>
      <c r="M2068" s="573" t="s">
        <v>157</v>
      </c>
      <c r="N2068" s="573">
        <v>1</v>
      </c>
      <c r="O2068" s="573" t="s">
        <v>3781</v>
      </c>
      <c r="P2068" s="571">
        <v>7600</v>
      </c>
      <c r="Q2068" s="573" t="s">
        <v>3768</v>
      </c>
      <c r="R2068" s="573">
        <v>6</v>
      </c>
      <c r="S2068" s="582" t="s">
        <v>3878</v>
      </c>
      <c r="T2068" s="573" t="s">
        <v>276</v>
      </c>
      <c r="U2068" s="573">
        <v>122.4</v>
      </c>
      <c r="V2068" s="573">
        <v>23</v>
      </c>
      <c r="W2068" s="616">
        <v>6050</v>
      </c>
      <c r="X2068" s="617">
        <v>21</v>
      </c>
      <c r="Y2068" s="617" t="s">
        <v>178</v>
      </c>
      <c r="Z2068" s="617" t="s">
        <v>178</v>
      </c>
      <c r="AA2068" s="618">
        <v>35290</v>
      </c>
      <c r="AB2068" s="618" t="s">
        <v>164</v>
      </c>
      <c r="AC2068" s="618">
        <v>25797.557894736845</v>
      </c>
      <c r="AD2068" s="619">
        <v>0.03</v>
      </c>
      <c r="AE2068" s="617" t="s">
        <v>3880</v>
      </c>
    </row>
    <row r="2069" spans="1:31" s="572" customFormat="1">
      <c r="A2069" s="570" t="s">
        <v>3909</v>
      </c>
      <c r="B2069" s="569" t="s">
        <v>280</v>
      </c>
      <c r="C2069" s="580">
        <v>27</v>
      </c>
      <c r="D2069" s="569" t="s">
        <v>3374</v>
      </c>
      <c r="E2069" s="569" t="s">
        <v>152</v>
      </c>
      <c r="F2069" s="569" t="s">
        <v>271</v>
      </c>
      <c r="G2069" s="569">
        <v>2019</v>
      </c>
      <c r="H2069" s="569" t="s">
        <v>3765</v>
      </c>
      <c r="I2069" s="569" t="s">
        <v>3837</v>
      </c>
      <c r="J2069" s="569" t="s">
        <v>752</v>
      </c>
      <c r="K2069" s="569">
        <v>3</v>
      </c>
      <c r="L2069" s="569">
        <v>0</v>
      </c>
      <c r="M2069" s="569" t="s">
        <v>157</v>
      </c>
      <c r="N2069" s="569">
        <v>1</v>
      </c>
      <c r="O2069" s="569" t="s">
        <v>3781</v>
      </c>
      <c r="P2069" s="568">
        <v>7600</v>
      </c>
      <c r="Q2069" s="569" t="s">
        <v>3778</v>
      </c>
      <c r="R2069" s="569">
        <v>8</v>
      </c>
      <c r="S2069" s="569" t="s">
        <v>3878</v>
      </c>
      <c r="T2069" s="569" t="s">
        <v>276</v>
      </c>
      <c r="U2069" s="569">
        <v>122.4</v>
      </c>
      <c r="V2069" s="569">
        <v>23</v>
      </c>
      <c r="W2069" s="620">
        <v>6400</v>
      </c>
      <c r="X2069" s="621">
        <v>18</v>
      </c>
      <c r="Y2069" s="621" t="s">
        <v>450</v>
      </c>
      <c r="Z2069" s="621" t="s">
        <v>178</v>
      </c>
      <c r="AA2069" s="622">
        <v>36290</v>
      </c>
      <c r="AB2069" s="622" t="s">
        <v>164</v>
      </c>
      <c r="AC2069" s="622">
        <v>26694.400000000001</v>
      </c>
      <c r="AD2069" s="623">
        <v>0.03</v>
      </c>
      <c r="AE2069" s="621" t="s">
        <v>3882</v>
      </c>
    </row>
    <row r="2070" spans="1:31" s="572" customFormat="1">
      <c r="A2070" s="570" t="s">
        <v>3910</v>
      </c>
      <c r="B2070" s="573" t="s">
        <v>280</v>
      </c>
      <c r="C2070" s="578">
        <v>27</v>
      </c>
      <c r="D2070" s="573" t="s">
        <v>3374</v>
      </c>
      <c r="E2070" s="573" t="s">
        <v>152</v>
      </c>
      <c r="F2070" s="573" t="s">
        <v>271</v>
      </c>
      <c r="G2070" s="573">
        <v>2019</v>
      </c>
      <c r="H2070" s="573" t="s">
        <v>3765</v>
      </c>
      <c r="I2070" s="573" t="s">
        <v>3837</v>
      </c>
      <c r="J2070" s="573" t="s">
        <v>752</v>
      </c>
      <c r="K2070" s="573">
        <v>3</v>
      </c>
      <c r="L2070" s="573">
        <v>0</v>
      </c>
      <c r="M2070" s="573" t="s">
        <v>157</v>
      </c>
      <c r="N2070" s="573">
        <v>1</v>
      </c>
      <c r="O2070" s="573" t="s">
        <v>3846</v>
      </c>
      <c r="P2070" s="571">
        <v>10700</v>
      </c>
      <c r="Q2070" s="573" t="s">
        <v>1259</v>
      </c>
      <c r="R2070" s="573">
        <v>6</v>
      </c>
      <c r="S2070" s="582" t="s">
        <v>3878</v>
      </c>
      <c r="T2070" s="573" t="s">
        <v>276</v>
      </c>
      <c r="U2070" s="573">
        <v>141.1</v>
      </c>
      <c r="V2070" s="573">
        <v>23</v>
      </c>
      <c r="W2070" s="616">
        <v>6800</v>
      </c>
      <c r="X2070" s="617">
        <v>19</v>
      </c>
      <c r="Y2070" s="617" t="s">
        <v>178</v>
      </c>
      <c r="Z2070" s="617" t="s">
        <v>178</v>
      </c>
      <c r="AA2070" s="618">
        <v>37190</v>
      </c>
      <c r="AB2070" s="618" t="s">
        <v>164</v>
      </c>
      <c r="AC2070" s="618">
        <v>27512.294736842108</v>
      </c>
      <c r="AD2070" s="619">
        <v>0.03</v>
      </c>
      <c r="AE2070" s="617" t="s">
        <v>3884</v>
      </c>
    </row>
    <row r="2071" spans="1:31" s="572" customFormat="1">
      <c r="A2071" s="570" t="s">
        <v>3911</v>
      </c>
      <c r="B2071" s="569" t="s">
        <v>280</v>
      </c>
      <c r="C2071" s="580">
        <v>27</v>
      </c>
      <c r="D2071" s="569" t="s">
        <v>3374</v>
      </c>
      <c r="E2071" s="569" t="s">
        <v>152</v>
      </c>
      <c r="F2071" s="569" t="s">
        <v>271</v>
      </c>
      <c r="G2071" s="569">
        <v>2019</v>
      </c>
      <c r="H2071" s="569" t="s">
        <v>3765</v>
      </c>
      <c r="I2071" s="569" t="s">
        <v>3837</v>
      </c>
      <c r="J2071" s="569" t="s">
        <v>752</v>
      </c>
      <c r="K2071" s="569">
        <v>3</v>
      </c>
      <c r="L2071" s="569">
        <v>0</v>
      </c>
      <c r="M2071" s="569" t="s">
        <v>157</v>
      </c>
      <c r="N2071" s="569">
        <v>1</v>
      </c>
      <c r="O2071" s="569" t="s">
        <v>3846</v>
      </c>
      <c r="P2071" s="568">
        <v>7400</v>
      </c>
      <c r="Q2071" s="569" t="s">
        <v>3772</v>
      </c>
      <c r="R2071" s="569">
        <v>6</v>
      </c>
      <c r="S2071" s="569" t="s">
        <v>3878</v>
      </c>
      <c r="T2071" s="569" t="s">
        <v>276</v>
      </c>
      <c r="U2071" s="569">
        <v>141.1</v>
      </c>
      <c r="V2071" s="569">
        <v>23</v>
      </c>
      <c r="W2071" s="620">
        <v>6050</v>
      </c>
      <c r="X2071" s="621">
        <v>18</v>
      </c>
      <c r="Y2071" s="621" t="s">
        <v>450</v>
      </c>
      <c r="Z2071" s="621" t="s">
        <v>178</v>
      </c>
      <c r="AA2071" s="622">
        <v>34595</v>
      </c>
      <c r="AB2071" s="622" t="s">
        <v>164</v>
      </c>
      <c r="AC2071" s="622">
        <v>25182.821052631582</v>
      </c>
      <c r="AD2071" s="623">
        <v>0.03</v>
      </c>
      <c r="AE2071" s="621" t="s">
        <v>3886</v>
      </c>
    </row>
    <row r="2072" spans="1:31" s="572" customFormat="1">
      <c r="A2072" s="570" t="s">
        <v>3912</v>
      </c>
      <c r="B2072" s="573" t="s">
        <v>280</v>
      </c>
      <c r="C2072" s="578">
        <v>27</v>
      </c>
      <c r="D2072" s="573" t="s">
        <v>3374</v>
      </c>
      <c r="E2072" s="573" t="s">
        <v>152</v>
      </c>
      <c r="F2072" s="573" t="s">
        <v>271</v>
      </c>
      <c r="G2072" s="573">
        <v>2019</v>
      </c>
      <c r="H2072" s="573" t="s">
        <v>3765</v>
      </c>
      <c r="I2072" s="573" t="s">
        <v>3837</v>
      </c>
      <c r="J2072" s="573" t="s">
        <v>752</v>
      </c>
      <c r="K2072" s="573">
        <v>3</v>
      </c>
      <c r="L2072" s="573">
        <v>0</v>
      </c>
      <c r="M2072" s="573" t="s">
        <v>157</v>
      </c>
      <c r="N2072" s="573">
        <v>1</v>
      </c>
      <c r="O2072" s="573" t="s">
        <v>3846</v>
      </c>
      <c r="P2072" s="571">
        <v>7600</v>
      </c>
      <c r="Q2072" s="573" t="s">
        <v>3768</v>
      </c>
      <c r="R2072" s="573">
        <v>6</v>
      </c>
      <c r="S2072" s="582" t="s">
        <v>3878</v>
      </c>
      <c r="T2072" s="573" t="s">
        <v>276</v>
      </c>
      <c r="U2072" s="573">
        <v>141.1</v>
      </c>
      <c r="V2072" s="573">
        <v>23</v>
      </c>
      <c r="W2072" s="616">
        <v>6050</v>
      </c>
      <c r="X2072" s="617">
        <v>21</v>
      </c>
      <c r="Y2072" s="617" t="s">
        <v>178</v>
      </c>
      <c r="Z2072" s="617" t="s">
        <v>178</v>
      </c>
      <c r="AA2072" s="618">
        <v>35590</v>
      </c>
      <c r="AB2072" s="618" t="s">
        <v>164</v>
      </c>
      <c r="AC2072" s="618">
        <v>26076.505263157895</v>
      </c>
      <c r="AD2072" s="619">
        <v>0.03</v>
      </c>
      <c r="AE2072" s="617" t="s">
        <v>3888</v>
      </c>
    </row>
    <row r="2073" spans="1:31" s="572" customFormat="1">
      <c r="A2073" s="570" t="s">
        <v>3913</v>
      </c>
      <c r="B2073" s="569" t="s">
        <v>280</v>
      </c>
      <c r="C2073" s="580">
        <v>27</v>
      </c>
      <c r="D2073" s="569" t="s">
        <v>3374</v>
      </c>
      <c r="E2073" s="569" t="s">
        <v>152</v>
      </c>
      <c r="F2073" s="569" t="s">
        <v>271</v>
      </c>
      <c r="G2073" s="569">
        <v>2019</v>
      </c>
      <c r="H2073" s="569" t="s">
        <v>3765</v>
      </c>
      <c r="I2073" s="569" t="s">
        <v>3837</v>
      </c>
      <c r="J2073" s="569" t="s">
        <v>752</v>
      </c>
      <c r="K2073" s="569">
        <v>3</v>
      </c>
      <c r="L2073" s="569">
        <v>0</v>
      </c>
      <c r="M2073" s="569" t="s">
        <v>157</v>
      </c>
      <c r="N2073" s="569">
        <v>1</v>
      </c>
      <c r="O2073" s="569" t="s">
        <v>3846</v>
      </c>
      <c r="P2073" s="568">
        <v>7600</v>
      </c>
      <c r="Q2073" s="569" t="s">
        <v>3778</v>
      </c>
      <c r="R2073" s="569">
        <v>8</v>
      </c>
      <c r="S2073" s="569" t="s">
        <v>3878</v>
      </c>
      <c r="T2073" s="569" t="s">
        <v>276</v>
      </c>
      <c r="U2073" s="569">
        <v>141.1</v>
      </c>
      <c r="V2073" s="569">
        <v>23</v>
      </c>
      <c r="W2073" s="620">
        <v>6400</v>
      </c>
      <c r="X2073" s="621">
        <v>18</v>
      </c>
      <c r="Y2073" s="621" t="s">
        <v>450</v>
      </c>
      <c r="Z2073" s="621" t="s">
        <v>178</v>
      </c>
      <c r="AA2073" s="622">
        <v>36590</v>
      </c>
      <c r="AB2073" s="622" t="s">
        <v>164</v>
      </c>
      <c r="AC2073" s="622">
        <v>26973.347368421055</v>
      </c>
      <c r="AD2073" s="623">
        <v>0.03</v>
      </c>
      <c r="AE2073" s="621" t="s">
        <v>3890</v>
      </c>
    </row>
    <row r="2074" spans="1:31" s="572" customFormat="1">
      <c r="A2074" s="570" t="s">
        <v>3914</v>
      </c>
      <c r="B2074" s="573" t="s">
        <v>269</v>
      </c>
      <c r="C2074" s="578" t="s">
        <v>270</v>
      </c>
      <c r="D2074" s="573" t="s">
        <v>3374</v>
      </c>
      <c r="E2074" s="573" t="s">
        <v>152</v>
      </c>
      <c r="F2074" s="573" t="s">
        <v>271</v>
      </c>
      <c r="G2074" s="573">
        <v>2019</v>
      </c>
      <c r="H2074" s="573" t="s">
        <v>3765</v>
      </c>
      <c r="I2074" s="573" t="s">
        <v>3916</v>
      </c>
      <c r="J2074" s="573" t="s">
        <v>3377</v>
      </c>
      <c r="K2074" s="573">
        <v>3</v>
      </c>
      <c r="L2074" s="573">
        <v>0</v>
      </c>
      <c r="M2074" s="573" t="s">
        <v>157</v>
      </c>
      <c r="N2074" s="573">
        <v>1</v>
      </c>
      <c r="O2074" s="573" t="s">
        <v>3781</v>
      </c>
      <c r="P2074" s="571">
        <v>5100</v>
      </c>
      <c r="Q2074" s="573" t="s">
        <v>3772</v>
      </c>
      <c r="R2074" s="573">
        <v>6</v>
      </c>
      <c r="S2074" s="582" t="s">
        <v>3838</v>
      </c>
      <c r="T2074" s="573" t="s">
        <v>318</v>
      </c>
      <c r="U2074" s="573">
        <v>122.4</v>
      </c>
      <c r="V2074" s="573">
        <v>23</v>
      </c>
      <c r="W2074" s="616">
        <v>6010</v>
      </c>
      <c r="X2074" s="617">
        <v>22</v>
      </c>
      <c r="Y2074" s="617" t="s">
        <v>450</v>
      </c>
      <c r="Z2074" s="617" t="s">
        <v>178</v>
      </c>
      <c r="AA2074" s="618">
        <v>35655</v>
      </c>
      <c r="AB2074" s="618" t="s">
        <v>164</v>
      </c>
      <c r="AC2074" s="618">
        <v>25448.084210526318</v>
      </c>
      <c r="AD2074" s="619">
        <v>0.03</v>
      </c>
      <c r="AE2074" s="617" t="s">
        <v>3915</v>
      </c>
    </row>
    <row r="2075" spans="1:31" s="572" customFormat="1">
      <c r="A2075" s="570" t="s">
        <v>3917</v>
      </c>
      <c r="B2075" s="569" t="s">
        <v>269</v>
      </c>
      <c r="C2075" s="580" t="s">
        <v>270</v>
      </c>
      <c r="D2075" s="569" t="s">
        <v>3374</v>
      </c>
      <c r="E2075" s="569" t="s">
        <v>152</v>
      </c>
      <c r="F2075" s="569" t="s">
        <v>271</v>
      </c>
      <c r="G2075" s="569">
        <v>2019</v>
      </c>
      <c r="H2075" s="569" t="s">
        <v>3765</v>
      </c>
      <c r="I2075" s="569" t="s">
        <v>3916</v>
      </c>
      <c r="J2075" s="569" t="s">
        <v>3377</v>
      </c>
      <c r="K2075" s="569">
        <v>3</v>
      </c>
      <c r="L2075" s="569">
        <v>0</v>
      </c>
      <c r="M2075" s="569" t="s">
        <v>157</v>
      </c>
      <c r="N2075" s="569">
        <v>1</v>
      </c>
      <c r="O2075" s="569" t="s">
        <v>3781</v>
      </c>
      <c r="P2075" s="568">
        <v>7600</v>
      </c>
      <c r="Q2075" s="569" t="s">
        <v>3841</v>
      </c>
      <c r="R2075" s="569">
        <v>6</v>
      </c>
      <c r="S2075" s="569" t="s">
        <v>3838</v>
      </c>
      <c r="T2075" s="569" t="s">
        <v>318</v>
      </c>
      <c r="U2075" s="569">
        <v>122.4</v>
      </c>
      <c r="V2075" s="569">
        <v>23</v>
      </c>
      <c r="W2075" s="620">
        <v>6010</v>
      </c>
      <c r="X2075" s="621">
        <v>22</v>
      </c>
      <c r="Y2075" s="621" t="s">
        <v>178</v>
      </c>
      <c r="Z2075" s="621" t="s">
        <v>178</v>
      </c>
      <c r="AA2075" s="622">
        <v>36650</v>
      </c>
      <c r="AB2075" s="622" t="s">
        <v>164</v>
      </c>
      <c r="AC2075" s="622">
        <v>26341.768421052631</v>
      </c>
      <c r="AD2075" s="623">
        <v>0.03</v>
      </c>
      <c r="AE2075" s="621" t="s">
        <v>3918</v>
      </c>
    </row>
    <row r="2076" spans="1:31" s="572" customFormat="1">
      <c r="A2076" s="570" t="s">
        <v>3919</v>
      </c>
      <c r="B2076" s="573" t="s">
        <v>269</v>
      </c>
      <c r="C2076" s="578" t="s">
        <v>270</v>
      </c>
      <c r="D2076" s="573" t="s">
        <v>3374</v>
      </c>
      <c r="E2076" s="573" t="s">
        <v>152</v>
      </c>
      <c r="F2076" s="573" t="s">
        <v>271</v>
      </c>
      <c r="G2076" s="573">
        <v>2019</v>
      </c>
      <c r="H2076" s="573" t="s">
        <v>3765</v>
      </c>
      <c r="I2076" s="573" t="s">
        <v>3916</v>
      </c>
      <c r="J2076" s="573" t="s">
        <v>3377</v>
      </c>
      <c r="K2076" s="573">
        <v>3</v>
      </c>
      <c r="L2076" s="573">
        <v>0</v>
      </c>
      <c r="M2076" s="573" t="s">
        <v>157</v>
      </c>
      <c r="N2076" s="573">
        <v>1</v>
      </c>
      <c r="O2076" s="573" t="s">
        <v>3781</v>
      </c>
      <c r="P2076" s="571">
        <v>8400</v>
      </c>
      <c r="Q2076" s="573" t="s">
        <v>3778</v>
      </c>
      <c r="R2076" s="573">
        <v>8</v>
      </c>
      <c r="S2076" s="582" t="s">
        <v>3838</v>
      </c>
      <c r="T2076" s="573" t="s">
        <v>318</v>
      </c>
      <c r="U2076" s="573">
        <v>122.4</v>
      </c>
      <c r="V2076" s="573">
        <v>23</v>
      </c>
      <c r="W2076" s="616">
        <v>6200</v>
      </c>
      <c r="X2076" s="617">
        <v>19</v>
      </c>
      <c r="Y2076" s="617" t="s">
        <v>450</v>
      </c>
      <c r="Z2076" s="617" t="s">
        <v>178</v>
      </c>
      <c r="AA2076" s="618">
        <v>37650</v>
      </c>
      <c r="AB2076" s="618" t="s">
        <v>164</v>
      </c>
      <c r="AC2076" s="618">
        <v>27238.610526315792</v>
      </c>
      <c r="AD2076" s="619">
        <v>0.03</v>
      </c>
      <c r="AE2076" s="617" t="s">
        <v>3920</v>
      </c>
    </row>
    <row r="2077" spans="1:31" s="572" customFormat="1">
      <c r="A2077" s="570" t="s">
        <v>3921</v>
      </c>
      <c r="B2077" s="569" t="s">
        <v>269</v>
      </c>
      <c r="C2077" s="580" t="s">
        <v>270</v>
      </c>
      <c r="D2077" s="569" t="s">
        <v>3374</v>
      </c>
      <c r="E2077" s="569" t="s">
        <v>152</v>
      </c>
      <c r="F2077" s="569" t="s">
        <v>271</v>
      </c>
      <c r="G2077" s="569">
        <v>2019</v>
      </c>
      <c r="H2077" s="569" t="s">
        <v>3765</v>
      </c>
      <c r="I2077" s="569" t="s">
        <v>3916</v>
      </c>
      <c r="J2077" s="569" t="s">
        <v>3377</v>
      </c>
      <c r="K2077" s="569">
        <v>3</v>
      </c>
      <c r="L2077" s="569">
        <v>0</v>
      </c>
      <c r="M2077" s="569" t="s">
        <v>157</v>
      </c>
      <c r="N2077" s="569">
        <v>1</v>
      </c>
      <c r="O2077" s="569" t="s">
        <v>3846</v>
      </c>
      <c r="P2077" s="568">
        <v>10700</v>
      </c>
      <c r="Q2077" s="569" t="s">
        <v>1259</v>
      </c>
      <c r="R2077" s="569">
        <v>6</v>
      </c>
      <c r="S2077" s="569" t="s">
        <v>3838</v>
      </c>
      <c r="T2077" s="569" t="s">
        <v>318</v>
      </c>
      <c r="U2077" s="569">
        <v>141.1</v>
      </c>
      <c r="V2077" s="569">
        <v>23</v>
      </c>
      <c r="W2077" s="620">
        <v>7050</v>
      </c>
      <c r="X2077" s="621">
        <v>21</v>
      </c>
      <c r="Y2077" s="621" t="s">
        <v>178</v>
      </c>
      <c r="Z2077" s="621" t="s">
        <v>178</v>
      </c>
      <c r="AA2077" s="622">
        <v>38550</v>
      </c>
      <c r="AB2077" s="622" t="s">
        <v>164</v>
      </c>
      <c r="AC2077" s="622">
        <v>28049.136842105265</v>
      </c>
      <c r="AD2077" s="623">
        <v>0.03</v>
      </c>
      <c r="AE2077" s="621" t="s">
        <v>3922</v>
      </c>
    </row>
    <row r="2078" spans="1:31" s="572" customFormat="1">
      <c r="A2078" s="570" t="s">
        <v>3923</v>
      </c>
      <c r="B2078" s="573" t="s">
        <v>269</v>
      </c>
      <c r="C2078" s="578" t="s">
        <v>270</v>
      </c>
      <c r="D2078" s="573" t="s">
        <v>3374</v>
      </c>
      <c r="E2078" s="573" t="s">
        <v>152</v>
      </c>
      <c r="F2078" s="573" t="s">
        <v>271</v>
      </c>
      <c r="G2078" s="573">
        <v>2019</v>
      </c>
      <c r="H2078" s="573" t="s">
        <v>3765</v>
      </c>
      <c r="I2078" s="573" t="s">
        <v>3916</v>
      </c>
      <c r="J2078" s="573" t="s">
        <v>3377</v>
      </c>
      <c r="K2078" s="573">
        <v>3</v>
      </c>
      <c r="L2078" s="573">
        <v>0</v>
      </c>
      <c r="M2078" s="573" t="s">
        <v>157</v>
      </c>
      <c r="N2078" s="573">
        <v>1</v>
      </c>
      <c r="O2078" s="573" t="s">
        <v>3846</v>
      </c>
      <c r="P2078" s="571">
        <v>5100</v>
      </c>
      <c r="Q2078" s="573" t="s">
        <v>3772</v>
      </c>
      <c r="R2078" s="573">
        <v>6</v>
      </c>
      <c r="S2078" s="582" t="s">
        <v>3838</v>
      </c>
      <c r="T2078" s="573" t="s">
        <v>318</v>
      </c>
      <c r="U2078" s="573">
        <v>141.1</v>
      </c>
      <c r="V2078" s="573">
        <v>23</v>
      </c>
      <c r="W2078" s="616">
        <v>6100</v>
      </c>
      <c r="X2078" s="617">
        <v>22</v>
      </c>
      <c r="Y2078" s="617" t="s">
        <v>450</v>
      </c>
      <c r="Z2078" s="617" t="s">
        <v>178</v>
      </c>
      <c r="AA2078" s="618">
        <v>35955</v>
      </c>
      <c r="AB2078" s="618" t="s">
        <v>164</v>
      </c>
      <c r="AC2078" s="618">
        <v>25719.663157894738</v>
      </c>
      <c r="AD2078" s="619">
        <v>0.03</v>
      </c>
      <c r="AE2078" s="617" t="s">
        <v>3924</v>
      </c>
    </row>
    <row r="2079" spans="1:31" s="572" customFormat="1">
      <c r="A2079" s="570" t="s">
        <v>3925</v>
      </c>
      <c r="B2079" s="569" t="s">
        <v>269</v>
      </c>
      <c r="C2079" s="580" t="s">
        <v>270</v>
      </c>
      <c r="D2079" s="569" t="s">
        <v>3374</v>
      </c>
      <c r="E2079" s="569" t="s">
        <v>152</v>
      </c>
      <c r="F2079" s="569" t="s">
        <v>271</v>
      </c>
      <c r="G2079" s="569">
        <v>2019</v>
      </c>
      <c r="H2079" s="569" t="s">
        <v>3765</v>
      </c>
      <c r="I2079" s="569" t="s">
        <v>3916</v>
      </c>
      <c r="J2079" s="569" t="s">
        <v>3377</v>
      </c>
      <c r="K2079" s="569">
        <v>3</v>
      </c>
      <c r="L2079" s="569">
        <v>0</v>
      </c>
      <c r="M2079" s="569" t="s">
        <v>157</v>
      </c>
      <c r="N2079" s="569">
        <v>1</v>
      </c>
      <c r="O2079" s="569" t="s">
        <v>3846</v>
      </c>
      <c r="P2079" s="568">
        <v>7600</v>
      </c>
      <c r="Q2079" s="569" t="s">
        <v>3841</v>
      </c>
      <c r="R2079" s="569">
        <v>6</v>
      </c>
      <c r="S2079" s="569" t="s">
        <v>3838</v>
      </c>
      <c r="T2079" s="569" t="s">
        <v>318</v>
      </c>
      <c r="U2079" s="569">
        <v>141.1</v>
      </c>
      <c r="V2079" s="569">
        <v>23</v>
      </c>
      <c r="W2079" s="620">
        <v>6100</v>
      </c>
      <c r="X2079" s="621">
        <v>22</v>
      </c>
      <c r="Y2079" s="621" t="s">
        <v>178</v>
      </c>
      <c r="Z2079" s="621" t="s">
        <v>178</v>
      </c>
      <c r="AA2079" s="622">
        <v>36950</v>
      </c>
      <c r="AB2079" s="622" t="s">
        <v>164</v>
      </c>
      <c r="AC2079" s="622">
        <v>26613.347368421055</v>
      </c>
      <c r="AD2079" s="623">
        <v>0.03</v>
      </c>
      <c r="AE2079" s="621" t="s">
        <v>3926</v>
      </c>
    </row>
    <row r="2080" spans="1:31" s="572" customFormat="1">
      <c r="A2080" s="570" t="s">
        <v>3927</v>
      </c>
      <c r="B2080" s="573" t="s">
        <v>269</v>
      </c>
      <c r="C2080" s="578" t="s">
        <v>270</v>
      </c>
      <c r="D2080" s="573" t="s">
        <v>3374</v>
      </c>
      <c r="E2080" s="573" t="s">
        <v>152</v>
      </c>
      <c r="F2080" s="573" t="s">
        <v>271</v>
      </c>
      <c r="G2080" s="573">
        <v>2019</v>
      </c>
      <c r="H2080" s="573" t="s">
        <v>3765</v>
      </c>
      <c r="I2080" s="573" t="s">
        <v>3916</v>
      </c>
      <c r="J2080" s="573" t="s">
        <v>3377</v>
      </c>
      <c r="K2080" s="573">
        <v>3</v>
      </c>
      <c r="L2080" s="573">
        <v>0</v>
      </c>
      <c r="M2080" s="573" t="s">
        <v>157</v>
      </c>
      <c r="N2080" s="573">
        <v>1</v>
      </c>
      <c r="O2080" s="573" t="s">
        <v>3846</v>
      </c>
      <c r="P2080" s="571">
        <v>9100</v>
      </c>
      <c r="Q2080" s="573" t="s">
        <v>3778</v>
      </c>
      <c r="R2080" s="573">
        <v>8</v>
      </c>
      <c r="S2080" s="582" t="s">
        <v>3838</v>
      </c>
      <c r="T2080" s="573" t="s">
        <v>318</v>
      </c>
      <c r="U2080" s="573">
        <v>141.1</v>
      </c>
      <c r="V2080" s="573">
        <v>23</v>
      </c>
      <c r="W2080" s="616">
        <v>6750</v>
      </c>
      <c r="X2080" s="617">
        <v>19</v>
      </c>
      <c r="Y2080" s="617" t="s">
        <v>450</v>
      </c>
      <c r="Z2080" s="617" t="s">
        <v>178</v>
      </c>
      <c r="AA2080" s="618">
        <v>37950</v>
      </c>
      <c r="AB2080" s="618" t="s">
        <v>164</v>
      </c>
      <c r="AC2080" s="618">
        <v>27510.189473684211</v>
      </c>
      <c r="AD2080" s="619">
        <v>0.03</v>
      </c>
      <c r="AE2080" s="617" t="s">
        <v>3928</v>
      </c>
    </row>
    <row r="2081" spans="1:31" s="572" customFormat="1">
      <c r="A2081" s="570" t="s">
        <v>3929</v>
      </c>
      <c r="B2081" s="569" t="s">
        <v>278</v>
      </c>
      <c r="C2081" s="580">
        <v>15</v>
      </c>
      <c r="D2081" s="569" t="s">
        <v>3374</v>
      </c>
      <c r="E2081" s="569" t="s">
        <v>152</v>
      </c>
      <c r="F2081" s="569" t="s">
        <v>271</v>
      </c>
      <c r="G2081" s="569">
        <v>2019</v>
      </c>
      <c r="H2081" s="569" t="s">
        <v>3765</v>
      </c>
      <c r="I2081" s="569" t="s">
        <v>3916</v>
      </c>
      <c r="J2081" s="569" t="s">
        <v>3377</v>
      </c>
      <c r="K2081" s="569">
        <v>3</v>
      </c>
      <c r="L2081" s="569">
        <v>0</v>
      </c>
      <c r="M2081" s="569" t="s">
        <v>157</v>
      </c>
      <c r="N2081" s="569">
        <v>1</v>
      </c>
      <c r="O2081" s="569" t="s">
        <v>3781</v>
      </c>
      <c r="P2081" s="568">
        <v>5100</v>
      </c>
      <c r="Q2081" s="569" t="s">
        <v>3772</v>
      </c>
      <c r="R2081" s="569">
        <v>6</v>
      </c>
      <c r="S2081" s="569" t="s">
        <v>3838</v>
      </c>
      <c r="T2081" s="569" t="s">
        <v>318</v>
      </c>
      <c r="U2081" s="569">
        <v>122.4</v>
      </c>
      <c r="V2081" s="569">
        <v>23</v>
      </c>
      <c r="W2081" s="620">
        <v>6010</v>
      </c>
      <c r="X2081" s="621">
        <v>20</v>
      </c>
      <c r="Y2081" s="621" t="s">
        <v>450</v>
      </c>
      <c r="Z2081" s="621" t="s">
        <v>178</v>
      </c>
      <c r="AA2081" s="622">
        <v>35655</v>
      </c>
      <c r="AB2081" s="622" t="s">
        <v>164</v>
      </c>
      <c r="AC2081" s="622">
        <v>25500</v>
      </c>
      <c r="AD2081" s="623">
        <v>0.01</v>
      </c>
      <c r="AE2081" s="621" t="s">
        <v>3915</v>
      </c>
    </row>
    <row r="2082" spans="1:31" s="572" customFormat="1">
      <c r="A2082" s="570" t="s">
        <v>3930</v>
      </c>
      <c r="B2082" s="573" t="s">
        <v>278</v>
      </c>
      <c r="C2082" s="578">
        <v>15</v>
      </c>
      <c r="D2082" s="573" t="s">
        <v>3374</v>
      </c>
      <c r="E2082" s="573" t="s">
        <v>152</v>
      </c>
      <c r="F2082" s="573" t="s">
        <v>271</v>
      </c>
      <c r="G2082" s="573">
        <v>2019</v>
      </c>
      <c r="H2082" s="573" t="s">
        <v>3765</v>
      </c>
      <c r="I2082" s="573" t="s">
        <v>3916</v>
      </c>
      <c r="J2082" s="573" t="s">
        <v>3377</v>
      </c>
      <c r="K2082" s="573">
        <v>3</v>
      </c>
      <c r="L2082" s="573">
        <v>0</v>
      </c>
      <c r="M2082" s="573" t="s">
        <v>157</v>
      </c>
      <c r="N2082" s="573">
        <v>1</v>
      </c>
      <c r="O2082" s="573" t="s">
        <v>3781</v>
      </c>
      <c r="P2082" s="571">
        <v>7600</v>
      </c>
      <c r="Q2082" s="573" t="s">
        <v>3841</v>
      </c>
      <c r="R2082" s="573">
        <v>6</v>
      </c>
      <c r="S2082" s="582" t="s">
        <v>3838</v>
      </c>
      <c r="T2082" s="573" t="s">
        <v>318</v>
      </c>
      <c r="U2082" s="573">
        <v>122.4</v>
      </c>
      <c r="V2082" s="573">
        <v>23</v>
      </c>
      <c r="W2082" s="616">
        <v>6010</v>
      </c>
      <c r="X2082" s="617">
        <v>22</v>
      </c>
      <c r="Y2082" s="617" t="s">
        <v>178</v>
      </c>
      <c r="Z2082" s="617" t="s">
        <v>178</v>
      </c>
      <c r="AA2082" s="618">
        <v>36650</v>
      </c>
      <c r="AB2082" s="618" t="s">
        <v>164</v>
      </c>
      <c r="AC2082" s="618">
        <v>26400</v>
      </c>
      <c r="AD2082" s="619">
        <v>0.01</v>
      </c>
      <c r="AE2082" s="617" t="s">
        <v>3918</v>
      </c>
    </row>
    <row r="2083" spans="1:31" s="572" customFormat="1">
      <c r="A2083" s="570" t="s">
        <v>3931</v>
      </c>
      <c r="B2083" s="569" t="s">
        <v>278</v>
      </c>
      <c r="C2083" s="580">
        <v>15</v>
      </c>
      <c r="D2083" s="569" t="s">
        <v>3374</v>
      </c>
      <c r="E2083" s="569" t="s">
        <v>152</v>
      </c>
      <c r="F2083" s="569" t="s">
        <v>271</v>
      </c>
      <c r="G2083" s="569">
        <v>2019</v>
      </c>
      <c r="H2083" s="569" t="s">
        <v>3765</v>
      </c>
      <c r="I2083" s="569" t="s">
        <v>3916</v>
      </c>
      <c r="J2083" s="569" t="s">
        <v>3377</v>
      </c>
      <c r="K2083" s="569">
        <v>3</v>
      </c>
      <c r="L2083" s="569">
        <v>0</v>
      </c>
      <c r="M2083" s="569" t="s">
        <v>157</v>
      </c>
      <c r="N2083" s="569">
        <v>1</v>
      </c>
      <c r="O2083" s="569" t="s">
        <v>3781</v>
      </c>
      <c r="P2083" s="568">
        <v>8400</v>
      </c>
      <c r="Q2083" s="569" t="s">
        <v>3778</v>
      </c>
      <c r="R2083" s="569">
        <v>8</v>
      </c>
      <c r="S2083" s="569" t="s">
        <v>3838</v>
      </c>
      <c r="T2083" s="569" t="s">
        <v>318</v>
      </c>
      <c r="U2083" s="569">
        <v>122.4</v>
      </c>
      <c r="V2083" s="569">
        <v>23</v>
      </c>
      <c r="W2083" s="620">
        <v>6200</v>
      </c>
      <c r="X2083" s="621">
        <v>18</v>
      </c>
      <c r="Y2083" s="621" t="s">
        <v>450</v>
      </c>
      <c r="Z2083" s="621" t="s">
        <v>178</v>
      </c>
      <c r="AA2083" s="622">
        <v>37650</v>
      </c>
      <c r="AB2083" s="622" t="s">
        <v>164</v>
      </c>
      <c r="AC2083" s="622">
        <v>27300</v>
      </c>
      <c r="AD2083" s="623">
        <v>0.01</v>
      </c>
      <c r="AE2083" s="621" t="s">
        <v>3920</v>
      </c>
    </row>
    <row r="2084" spans="1:31" s="572" customFormat="1">
      <c r="A2084" s="570" t="s">
        <v>3932</v>
      </c>
      <c r="B2084" s="573" t="s">
        <v>278</v>
      </c>
      <c r="C2084" s="578">
        <v>15</v>
      </c>
      <c r="D2084" s="573" t="s">
        <v>3374</v>
      </c>
      <c r="E2084" s="573" t="s">
        <v>152</v>
      </c>
      <c r="F2084" s="573" t="s">
        <v>271</v>
      </c>
      <c r="G2084" s="573">
        <v>2019</v>
      </c>
      <c r="H2084" s="573" t="s">
        <v>3765</v>
      </c>
      <c r="I2084" s="573" t="s">
        <v>3916</v>
      </c>
      <c r="J2084" s="573" t="s">
        <v>3377</v>
      </c>
      <c r="K2084" s="573">
        <v>3</v>
      </c>
      <c r="L2084" s="573">
        <v>0</v>
      </c>
      <c r="M2084" s="573" t="s">
        <v>157</v>
      </c>
      <c r="N2084" s="573">
        <v>1</v>
      </c>
      <c r="O2084" s="573" t="s">
        <v>3846</v>
      </c>
      <c r="P2084" s="571">
        <v>10700</v>
      </c>
      <c r="Q2084" s="573" t="s">
        <v>1259</v>
      </c>
      <c r="R2084" s="573">
        <v>6</v>
      </c>
      <c r="S2084" s="582" t="s">
        <v>3838</v>
      </c>
      <c r="T2084" s="573" t="s">
        <v>318</v>
      </c>
      <c r="U2084" s="573">
        <v>141.1</v>
      </c>
      <c r="V2084" s="573">
        <v>23</v>
      </c>
      <c r="W2084" s="616">
        <v>7050</v>
      </c>
      <c r="X2084" s="617">
        <v>20</v>
      </c>
      <c r="Y2084" s="617" t="s">
        <v>178</v>
      </c>
      <c r="Z2084" s="617" t="s">
        <v>178</v>
      </c>
      <c r="AA2084" s="618">
        <v>38550</v>
      </c>
      <c r="AB2084" s="618" t="s">
        <v>164</v>
      </c>
      <c r="AC2084" s="618">
        <v>28150</v>
      </c>
      <c r="AD2084" s="619">
        <v>0.01</v>
      </c>
      <c r="AE2084" s="617" t="s">
        <v>3922</v>
      </c>
    </row>
    <row r="2085" spans="1:31" s="572" customFormat="1">
      <c r="A2085" s="570" t="s">
        <v>3933</v>
      </c>
      <c r="B2085" s="569" t="s">
        <v>278</v>
      </c>
      <c r="C2085" s="580">
        <v>15</v>
      </c>
      <c r="D2085" s="569" t="s">
        <v>3374</v>
      </c>
      <c r="E2085" s="569" t="s">
        <v>152</v>
      </c>
      <c r="F2085" s="569" t="s">
        <v>271</v>
      </c>
      <c r="G2085" s="569">
        <v>2019</v>
      </c>
      <c r="H2085" s="569" t="s">
        <v>3765</v>
      </c>
      <c r="I2085" s="569" t="s">
        <v>3916</v>
      </c>
      <c r="J2085" s="569" t="s">
        <v>3377</v>
      </c>
      <c r="K2085" s="569">
        <v>3</v>
      </c>
      <c r="L2085" s="569">
        <v>0</v>
      </c>
      <c r="M2085" s="569" t="s">
        <v>157</v>
      </c>
      <c r="N2085" s="569">
        <v>1</v>
      </c>
      <c r="O2085" s="569" t="s">
        <v>3846</v>
      </c>
      <c r="P2085" s="568">
        <v>5100</v>
      </c>
      <c r="Q2085" s="569" t="s">
        <v>3772</v>
      </c>
      <c r="R2085" s="569">
        <v>6</v>
      </c>
      <c r="S2085" s="569" t="s">
        <v>3838</v>
      </c>
      <c r="T2085" s="569" t="s">
        <v>318</v>
      </c>
      <c r="U2085" s="569">
        <v>141.1</v>
      </c>
      <c r="V2085" s="569">
        <v>23</v>
      </c>
      <c r="W2085" s="620">
        <v>6100</v>
      </c>
      <c r="X2085" s="621">
        <v>20</v>
      </c>
      <c r="Y2085" s="621" t="s">
        <v>450</v>
      </c>
      <c r="Z2085" s="621" t="s">
        <v>178</v>
      </c>
      <c r="AA2085" s="622">
        <v>35955</v>
      </c>
      <c r="AB2085" s="622" t="s">
        <v>164</v>
      </c>
      <c r="AC2085" s="622">
        <v>25750</v>
      </c>
      <c r="AD2085" s="623">
        <v>0.01</v>
      </c>
      <c r="AE2085" s="621" t="s">
        <v>3924</v>
      </c>
    </row>
    <row r="2086" spans="1:31" s="572" customFormat="1">
      <c r="A2086" s="570" t="s">
        <v>3934</v>
      </c>
      <c r="B2086" s="573" t="s">
        <v>278</v>
      </c>
      <c r="C2086" s="578">
        <v>15</v>
      </c>
      <c r="D2086" s="573" t="s">
        <v>3374</v>
      </c>
      <c r="E2086" s="573" t="s">
        <v>152</v>
      </c>
      <c r="F2086" s="573" t="s">
        <v>271</v>
      </c>
      <c r="G2086" s="573">
        <v>2019</v>
      </c>
      <c r="H2086" s="573" t="s">
        <v>3765</v>
      </c>
      <c r="I2086" s="573" t="s">
        <v>3916</v>
      </c>
      <c r="J2086" s="573" t="s">
        <v>3377</v>
      </c>
      <c r="K2086" s="573">
        <v>3</v>
      </c>
      <c r="L2086" s="573">
        <v>0</v>
      </c>
      <c r="M2086" s="573" t="s">
        <v>157</v>
      </c>
      <c r="N2086" s="573">
        <v>1</v>
      </c>
      <c r="O2086" s="573" t="s">
        <v>3846</v>
      </c>
      <c r="P2086" s="571">
        <v>7600</v>
      </c>
      <c r="Q2086" s="573" t="s">
        <v>3841</v>
      </c>
      <c r="R2086" s="573">
        <v>6</v>
      </c>
      <c r="S2086" s="582" t="s">
        <v>3838</v>
      </c>
      <c r="T2086" s="573" t="s">
        <v>318</v>
      </c>
      <c r="U2086" s="573">
        <v>141.1</v>
      </c>
      <c r="V2086" s="573">
        <v>23</v>
      </c>
      <c r="W2086" s="616">
        <v>6100</v>
      </c>
      <c r="X2086" s="617">
        <v>22</v>
      </c>
      <c r="Y2086" s="617" t="s">
        <v>178</v>
      </c>
      <c r="Z2086" s="617" t="s">
        <v>178</v>
      </c>
      <c r="AA2086" s="618">
        <v>36950</v>
      </c>
      <c r="AB2086" s="618" t="s">
        <v>164</v>
      </c>
      <c r="AC2086" s="618">
        <v>26700</v>
      </c>
      <c r="AD2086" s="619">
        <v>0.01</v>
      </c>
      <c r="AE2086" s="617" t="s">
        <v>3926</v>
      </c>
    </row>
    <row r="2087" spans="1:31" s="572" customFormat="1">
      <c r="A2087" s="570" t="s">
        <v>3935</v>
      </c>
      <c r="B2087" s="569" t="s">
        <v>278</v>
      </c>
      <c r="C2087" s="580">
        <v>15</v>
      </c>
      <c r="D2087" s="569" t="s">
        <v>3374</v>
      </c>
      <c r="E2087" s="569" t="s">
        <v>152</v>
      </c>
      <c r="F2087" s="569" t="s">
        <v>271</v>
      </c>
      <c r="G2087" s="569">
        <v>2019</v>
      </c>
      <c r="H2087" s="569" t="s">
        <v>3765</v>
      </c>
      <c r="I2087" s="569" t="s">
        <v>3916</v>
      </c>
      <c r="J2087" s="569" t="s">
        <v>3377</v>
      </c>
      <c r="K2087" s="569">
        <v>3</v>
      </c>
      <c r="L2087" s="569">
        <v>0</v>
      </c>
      <c r="M2087" s="569" t="s">
        <v>157</v>
      </c>
      <c r="N2087" s="569">
        <v>1</v>
      </c>
      <c r="O2087" s="569" t="s">
        <v>3846</v>
      </c>
      <c r="P2087" s="568">
        <v>9100</v>
      </c>
      <c r="Q2087" s="569" t="s">
        <v>3778</v>
      </c>
      <c r="R2087" s="569">
        <v>8</v>
      </c>
      <c r="S2087" s="569" t="s">
        <v>3838</v>
      </c>
      <c r="T2087" s="569" t="s">
        <v>318</v>
      </c>
      <c r="U2087" s="569">
        <v>141.1</v>
      </c>
      <c r="V2087" s="569">
        <v>23</v>
      </c>
      <c r="W2087" s="620">
        <v>6750</v>
      </c>
      <c r="X2087" s="621">
        <v>18</v>
      </c>
      <c r="Y2087" s="621" t="s">
        <v>450</v>
      </c>
      <c r="Z2087" s="621" t="s">
        <v>178</v>
      </c>
      <c r="AA2087" s="622">
        <v>37950</v>
      </c>
      <c r="AB2087" s="622" t="s">
        <v>164</v>
      </c>
      <c r="AC2087" s="622">
        <v>27600</v>
      </c>
      <c r="AD2087" s="623">
        <v>0.01</v>
      </c>
      <c r="AE2087" s="621" t="s">
        <v>3928</v>
      </c>
    </row>
    <row r="2088" spans="1:31" s="572" customFormat="1">
      <c r="A2088" s="570" t="s">
        <v>3936</v>
      </c>
      <c r="B2088" s="573" t="s">
        <v>287</v>
      </c>
      <c r="C2088" s="578">
        <v>26</v>
      </c>
      <c r="D2088" s="573" t="s">
        <v>3374</v>
      </c>
      <c r="E2088" s="573" t="s">
        <v>152</v>
      </c>
      <c r="F2088" s="573" t="s">
        <v>271</v>
      </c>
      <c r="G2088" s="573">
        <v>2019</v>
      </c>
      <c r="H2088" s="573" t="s">
        <v>3765</v>
      </c>
      <c r="I2088" s="573" t="s">
        <v>3916</v>
      </c>
      <c r="J2088" s="573" t="s">
        <v>3377</v>
      </c>
      <c r="K2088" s="573">
        <v>3</v>
      </c>
      <c r="L2088" s="573">
        <v>0</v>
      </c>
      <c r="M2088" s="573" t="s">
        <v>157</v>
      </c>
      <c r="N2088" s="573">
        <v>1</v>
      </c>
      <c r="O2088" s="573" t="s">
        <v>3781</v>
      </c>
      <c r="P2088" s="571">
        <v>5100</v>
      </c>
      <c r="Q2088" s="573" t="s">
        <v>3772</v>
      </c>
      <c r="R2088" s="573">
        <v>6</v>
      </c>
      <c r="S2088" s="582" t="s">
        <v>3838</v>
      </c>
      <c r="T2088" s="573" t="s">
        <v>318</v>
      </c>
      <c r="U2088" s="573">
        <v>122.4</v>
      </c>
      <c r="V2088" s="573">
        <v>23</v>
      </c>
      <c r="W2088" s="616">
        <v>6010</v>
      </c>
      <c r="X2088" s="617">
        <v>20</v>
      </c>
      <c r="Y2088" s="617" t="s">
        <v>450</v>
      </c>
      <c r="Z2088" s="617" t="s">
        <v>178</v>
      </c>
      <c r="AA2088" s="618">
        <v>35655</v>
      </c>
      <c r="AB2088" s="618" t="s">
        <v>164</v>
      </c>
      <c r="AC2088" s="618">
        <v>25920</v>
      </c>
      <c r="AD2088" s="619">
        <v>0.05</v>
      </c>
      <c r="AE2088" s="617" t="s">
        <v>3915</v>
      </c>
    </row>
    <row r="2089" spans="1:31" s="572" customFormat="1">
      <c r="A2089" s="570" t="s">
        <v>3937</v>
      </c>
      <c r="B2089" s="569" t="s">
        <v>287</v>
      </c>
      <c r="C2089" s="580">
        <v>26</v>
      </c>
      <c r="D2089" s="569" t="s">
        <v>3374</v>
      </c>
      <c r="E2089" s="569" t="s">
        <v>152</v>
      </c>
      <c r="F2089" s="569" t="s">
        <v>271</v>
      </c>
      <c r="G2089" s="569">
        <v>2019</v>
      </c>
      <c r="H2089" s="569" t="s">
        <v>3765</v>
      </c>
      <c r="I2089" s="569" t="s">
        <v>3916</v>
      </c>
      <c r="J2089" s="569" t="s">
        <v>3377</v>
      </c>
      <c r="K2089" s="569">
        <v>3</v>
      </c>
      <c r="L2089" s="569">
        <v>0</v>
      </c>
      <c r="M2089" s="569" t="s">
        <v>157</v>
      </c>
      <c r="N2089" s="569">
        <v>1</v>
      </c>
      <c r="O2089" s="569" t="s">
        <v>3781</v>
      </c>
      <c r="P2089" s="568">
        <v>7600</v>
      </c>
      <c r="Q2089" s="569" t="s">
        <v>3841</v>
      </c>
      <c r="R2089" s="569">
        <v>6</v>
      </c>
      <c r="S2089" s="569" t="s">
        <v>3838</v>
      </c>
      <c r="T2089" s="569" t="s">
        <v>318</v>
      </c>
      <c r="U2089" s="569">
        <v>122.4</v>
      </c>
      <c r="V2089" s="569">
        <v>23</v>
      </c>
      <c r="W2089" s="620">
        <v>6010</v>
      </c>
      <c r="X2089" s="621">
        <v>22</v>
      </c>
      <c r="Y2089" s="621" t="s">
        <v>178</v>
      </c>
      <c r="Z2089" s="621" t="s">
        <v>178</v>
      </c>
      <c r="AA2089" s="622">
        <v>36650</v>
      </c>
      <c r="AB2089" s="622" t="s">
        <v>164</v>
      </c>
      <c r="AC2089" s="622">
        <v>26826</v>
      </c>
      <c r="AD2089" s="623">
        <v>0.05</v>
      </c>
      <c r="AE2089" s="621" t="s">
        <v>3918</v>
      </c>
    </row>
    <row r="2090" spans="1:31" s="572" customFormat="1">
      <c r="A2090" s="570" t="s">
        <v>3938</v>
      </c>
      <c r="B2090" s="573" t="s">
        <v>287</v>
      </c>
      <c r="C2090" s="578">
        <v>26</v>
      </c>
      <c r="D2090" s="573" t="s">
        <v>3374</v>
      </c>
      <c r="E2090" s="573" t="s">
        <v>152</v>
      </c>
      <c r="F2090" s="573" t="s">
        <v>271</v>
      </c>
      <c r="G2090" s="573">
        <v>2019</v>
      </c>
      <c r="H2090" s="573" t="s">
        <v>3765</v>
      </c>
      <c r="I2090" s="573" t="s">
        <v>3916</v>
      </c>
      <c r="J2090" s="573" t="s">
        <v>3377</v>
      </c>
      <c r="K2090" s="573">
        <v>3</v>
      </c>
      <c r="L2090" s="573">
        <v>0</v>
      </c>
      <c r="M2090" s="573" t="s">
        <v>157</v>
      </c>
      <c r="N2090" s="573">
        <v>1</v>
      </c>
      <c r="O2090" s="573" t="s">
        <v>3781</v>
      </c>
      <c r="P2090" s="571">
        <v>8400</v>
      </c>
      <c r="Q2090" s="573" t="s">
        <v>3778</v>
      </c>
      <c r="R2090" s="573">
        <v>8</v>
      </c>
      <c r="S2090" s="582" t="s">
        <v>3838</v>
      </c>
      <c r="T2090" s="573" t="s">
        <v>318</v>
      </c>
      <c r="U2090" s="573">
        <v>122.4</v>
      </c>
      <c r="V2090" s="573">
        <v>23</v>
      </c>
      <c r="W2090" s="616">
        <v>6200</v>
      </c>
      <c r="X2090" s="617">
        <v>18</v>
      </c>
      <c r="Y2090" s="617" t="s">
        <v>450</v>
      </c>
      <c r="Z2090" s="617" t="s">
        <v>178</v>
      </c>
      <c r="AA2090" s="618">
        <v>37650</v>
      </c>
      <c r="AB2090" s="618" t="s">
        <v>164</v>
      </c>
      <c r="AC2090" s="618">
        <v>27738</v>
      </c>
      <c r="AD2090" s="619">
        <v>0.05</v>
      </c>
      <c r="AE2090" s="617" t="s">
        <v>3920</v>
      </c>
    </row>
    <row r="2091" spans="1:31" s="572" customFormat="1">
      <c r="A2091" s="570" t="s">
        <v>3939</v>
      </c>
      <c r="B2091" s="569" t="s">
        <v>287</v>
      </c>
      <c r="C2091" s="580">
        <v>26</v>
      </c>
      <c r="D2091" s="569" t="s">
        <v>3374</v>
      </c>
      <c r="E2091" s="569" t="s">
        <v>152</v>
      </c>
      <c r="F2091" s="569" t="s">
        <v>271</v>
      </c>
      <c r="G2091" s="569">
        <v>2019</v>
      </c>
      <c r="H2091" s="569" t="s">
        <v>3765</v>
      </c>
      <c r="I2091" s="569" t="s">
        <v>3916</v>
      </c>
      <c r="J2091" s="569" t="s">
        <v>3377</v>
      </c>
      <c r="K2091" s="569">
        <v>3</v>
      </c>
      <c r="L2091" s="569">
        <v>0</v>
      </c>
      <c r="M2091" s="569" t="s">
        <v>157</v>
      </c>
      <c r="N2091" s="569">
        <v>1</v>
      </c>
      <c r="O2091" s="569" t="s">
        <v>3846</v>
      </c>
      <c r="P2091" s="568">
        <v>10700</v>
      </c>
      <c r="Q2091" s="569" t="s">
        <v>1259</v>
      </c>
      <c r="R2091" s="569">
        <v>6</v>
      </c>
      <c r="S2091" s="569" t="s">
        <v>3838</v>
      </c>
      <c r="T2091" s="569" t="s">
        <v>318</v>
      </c>
      <c r="U2091" s="569">
        <v>141.1</v>
      </c>
      <c r="V2091" s="569">
        <v>23</v>
      </c>
      <c r="W2091" s="620">
        <v>7050</v>
      </c>
      <c r="X2091" s="621">
        <v>20</v>
      </c>
      <c r="Y2091" s="621" t="s">
        <v>178</v>
      </c>
      <c r="Z2091" s="621" t="s">
        <v>178</v>
      </c>
      <c r="AA2091" s="622">
        <v>38550</v>
      </c>
      <c r="AB2091" s="622" t="s">
        <v>164</v>
      </c>
      <c r="AC2091" s="622">
        <v>28558</v>
      </c>
      <c r="AD2091" s="623">
        <v>0.05</v>
      </c>
      <c r="AE2091" s="621" t="s">
        <v>3922</v>
      </c>
    </row>
    <row r="2092" spans="1:31" s="572" customFormat="1">
      <c r="A2092" s="570" t="s">
        <v>3940</v>
      </c>
      <c r="B2092" s="573" t="s">
        <v>287</v>
      </c>
      <c r="C2092" s="578">
        <v>26</v>
      </c>
      <c r="D2092" s="573" t="s">
        <v>3374</v>
      </c>
      <c r="E2092" s="573" t="s">
        <v>152</v>
      </c>
      <c r="F2092" s="573" t="s">
        <v>271</v>
      </c>
      <c r="G2092" s="573">
        <v>2019</v>
      </c>
      <c r="H2092" s="573" t="s">
        <v>3765</v>
      </c>
      <c r="I2092" s="573" t="s">
        <v>3916</v>
      </c>
      <c r="J2092" s="573" t="s">
        <v>3377</v>
      </c>
      <c r="K2092" s="573">
        <v>3</v>
      </c>
      <c r="L2092" s="573">
        <v>0</v>
      </c>
      <c r="M2092" s="573" t="s">
        <v>157</v>
      </c>
      <c r="N2092" s="573">
        <v>1</v>
      </c>
      <c r="O2092" s="573" t="s">
        <v>3846</v>
      </c>
      <c r="P2092" s="571">
        <v>7600</v>
      </c>
      <c r="Q2092" s="573" t="s">
        <v>3841</v>
      </c>
      <c r="R2092" s="573">
        <v>6</v>
      </c>
      <c r="S2092" s="582" t="s">
        <v>3838</v>
      </c>
      <c r="T2092" s="573" t="s">
        <v>318</v>
      </c>
      <c r="U2092" s="573">
        <v>141.1</v>
      </c>
      <c r="V2092" s="573">
        <v>23</v>
      </c>
      <c r="W2092" s="616">
        <v>6100</v>
      </c>
      <c r="X2092" s="617">
        <v>22</v>
      </c>
      <c r="Y2092" s="617" t="s">
        <v>178</v>
      </c>
      <c r="Z2092" s="617" t="s">
        <v>178</v>
      </c>
      <c r="AA2092" s="618">
        <v>36950</v>
      </c>
      <c r="AB2092" s="618" t="s">
        <v>164</v>
      </c>
      <c r="AC2092" s="618">
        <v>27103</v>
      </c>
      <c r="AD2092" s="619">
        <v>0.05</v>
      </c>
      <c r="AE2092" s="617" t="s">
        <v>3926</v>
      </c>
    </row>
    <row r="2093" spans="1:31" s="572" customFormat="1">
      <c r="A2093" s="570" t="s">
        <v>3941</v>
      </c>
      <c r="B2093" s="569" t="s">
        <v>287</v>
      </c>
      <c r="C2093" s="580">
        <v>26</v>
      </c>
      <c r="D2093" s="569" t="s">
        <v>3374</v>
      </c>
      <c r="E2093" s="569" t="s">
        <v>152</v>
      </c>
      <c r="F2093" s="569" t="s">
        <v>271</v>
      </c>
      <c r="G2093" s="569">
        <v>2019</v>
      </c>
      <c r="H2093" s="569" t="s">
        <v>3765</v>
      </c>
      <c r="I2093" s="569" t="s">
        <v>3916</v>
      </c>
      <c r="J2093" s="569" t="s">
        <v>3377</v>
      </c>
      <c r="K2093" s="569">
        <v>3</v>
      </c>
      <c r="L2093" s="569">
        <v>0</v>
      </c>
      <c r="M2093" s="569" t="s">
        <v>157</v>
      </c>
      <c r="N2093" s="569">
        <v>1</v>
      </c>
      <c r="O2093" s="569" t="s">
        <v>3846</v>
      </c>
      <c r="P2093" s="568">
        <v>7700</v>
      </c>
      <c r="Q2093" s="569" t="s">
        <v>3867</v>
      </c>
      <c r="R2093" s="569">
        <v>6</v>
      </c>
      <c r="S2093" s="569" t="s">
        <v>3838</v>
      </c>
      <c r="T2093" s="569" t="s">
        <v>318</v>
      </c>
      <c r="U2093" s="569">
        <v>141.1</v>
      </c>
      <c r="V2093" s="569">
        <v>23</v>
      </c>
      <c r="W2093" s="620">
        <v>6100</v>
      </c>
      <c r="X2093" s="621">
        <v>20</v>
      </c>
      <c r="Y2093" s="621" t="s">
        <v>178</v>
      </c>
      <c r="Z2093" s="621" t="s">
        <v>178</v>
      </c>
      <c r="AA2093" s="622">
        <v>35955</v>
      </c>
      <c r="AB2093" s="622" t="s">
        <v>164</v>
      </c>
      <c r="AC2093" s="622">
        <v>26197</v>
      </c>
      <c r="AD2093" s="623">
        <v>0.05</v>
      </c>
      <c r="AE2093" s="621" t="s">
        <v>3942</v>
      </c>
    </row>
    <row r="2094" spans="1:31" s="572" customFormat="1">
      <c r="A2094" s="570" t="s">
        <v>3943</v>
      </c>
      <c r="B2094" s="573" t="s">
        <v>287</v>
      </c>
      <c r="C2094" s="578">
        <v>26</v>
      </c>
      <c r="D2094" s="573" t="s">
        <v>3374</v>
      </c>
      <c r="E2094" s="573" t="s">
        <v>152</v>
      </c>
      <c r="F2094" s="573" t="s">
        <v>271</v>
      </c>
      <c r="G2094" s="573">
        <v>2019</v>
      </c>
      <c r="H2094" s="573" t="s">
        <v>3765</v>
      </c>
      <c r="I2094" s="573" t="s">
        <v>3916</v>
      </c>
      <c r="J2094" s="573" t="s">
        <v>3377</v>
      </c>
      <c r="K2094" s="573">
        <v>3</v>
      </c>
      <c r="L2094" s="573">
        <v>0</v>
      </c>
      <c r="M2094" s="573" t="s">
        <v>157</v>
      </c>
      <c r="N2094" s="573">
        <v>1</v>
      </c>
      <c r="O2094" s="573" t="s">
        <v>3846</v>
      </c>
      <c r="P2094" s="571">
        <v>9100</v>
      </c>
      <c r="Q2094" s="573" t="s">
        <v>3778</v>
      </c>
      <c r="R2094" s="573">
        <v>8</v>
      </c>
      <c r="S2094" s="582" t="s">
        <v>3838</v>
      </c>
      <c r="T2094" s="573" t="s">
        <v>318</v>
      </c>
      <c r="U2094" s="573">
        <v>141.1</v>
      </c>
      <c r="V2094" s="573">
        <v>23</v>
      </c>
      <c r="W2094" s="616">
        <v>6750</v>
      </c>
      <c r="X2094" s="617">
        <v>18</v>
      </c>
      <c r="Y2094" s="617" t="s">
        <v>450</v>
      </c>
      <c r="Z2094" s="617" t="s">
        <v>178</v>
      </c>
      <c r="AA2094" s="618">
        <v>37950</v>
      </c>
      <c r="AB2094" s="618" t="s">
        <v>164</v>
      </c>
      <c r="AC2094" s="618">
        <v>28013</v>
      </c>
      <c r="AD2094" s="619">
        <v>0.05</v>
      </c>
      <c r="AE2094" s="617" t="s">
        <v>3928</v>
      </c>
    </row>
    <row r="2095" spans="1:31" s="572" customFormat="1">
      <c r="A2095" s="570" t="s">
        <v>3944</v>
      </c>
      <c r="B2095" s="569" t="s">
        <v>280</v>
      </c>
      <c r="C2095" s="580">
        <v>27</v>
      </c>
      <c r="D2095" s="569" t="s">
        <v>3374</v>
      </c>
      <c r="E2095" s="569" t="s">
        <v>152</v>
      </c>
      <c r="F2095" s="569" t="s">
        <v>271</v>
      </c>
      <c r="G2095" s="569">
        <v>2019</v>
      </c>
      <c r="H2095" s="569" t="s">
        <v>3765</v>
      </c>
      <c r="I2095" s="569" t="s">
        <v>3916</v>
      </c>
      <c r="J2095" s="569" t="s">
        <v>3377</v>
      </c>
      <c r="K2095" s="569">
        <v>3</v>
      </c>
      <c r="L2095" s="569">
        <v>0</v>
      </c>
      <c r="M2095" s="569" t="s">
        <v>157</v>
      </c>
      <c r="N2095" s="569">
        <v>1</v>
      </c>
      <c r="O2095" s="569" t="s">
        <v>3781</v>
      </c>
      <c r="P2095" s="568">
        <v>5100</v>
      </c>
      <c r="Q2095" s="569" t="s">
        <v>3772</v>
      </c>
      <c r="R2095" s="569">
        <v>6</v>
      </c>
      <c r="S2095" s="569" t="s">
        <v>3838</v>
      </c>
      <c r="T2095" s="569" t="s">
        <v>318</v>
      </c>
      <c r="U2095" s="569">
        <v>122.4</v>
      </c>
      <c r="V2095" s="569">
        <v>23</v>
      </c>
      <c r="W2095" s="620">
        <v>6010</v>
      </c>
      <c r="X2095" s="621">
        <v>22</v>
      </c>
      <c r="Y2095" s="621" t="s">
        <v>450</v>
      </c>
      <c r="Z2095" s="621" t="s">
        <v>178</v>
      </c>
      <c r="AA2095" s="622">
        <v>35655</v>
      </c>
      <c r="AB2095" s="622" t="s">
        <v>164</v>
      </c>
      <c r="AC2095" s="622">
        <v>25448.084210526318</v>
      </c>
      <c r="AD2095" s="623">
        <v>0.03</v>
      </c>
      <c r="AE2095" s="621" t="s">
        <v>3915</v>
      </c>
    </row>
    <row r="2096" spans="1:31" s="572" customFormat="1">
      <c r="A2096" s="570" t="s">
        <v>3945</v>
      </c>
      <c r="B2096" s="573" t="s">
        <v>280</v>
      </c>
      <c r="C2096" s="578">
        <v>27</v>
      </c>
      <c r="D2096" s="573" t="s">
        <v>3374</v>
      </c>
      <c r="E2096" s="573" t="s">
        <v>152</v>
      </c>
      <c r="F2096" s="573" t="s">
        <v>271</v>
      </c>
      <c r="G2096" s="573">
        <v>2019</v>
      </c>
      <c r="H2096" s="573" t="s">
        <v>3765</v>
      </c>
      <c r="I2096" s="573" t="s">
        <v>3916</v>
      </c>
      <c r="J2096" s="573" t="s">
        <v>3377</v>
      </c>
      <c r="K2096" s="573">
        <v>3</v>
      </c>
      <c r="L2096" s="573">
        <v>0</v>
      </c>
      <c r="M2096" s="573" t="s">
        <v>157</v>
      </c>
      <c r="N2096" s="573">
        <v>1</v>
      </c>
      <c r="O2096" s="573" t="s">
        <v>3781</v>
      </c>
      <c r="P2096" s="571">
        <v>7600</v>
      </c>
      <c r="Q2096" s="573" t="s">
        <v>3841</v>
      </c>
      <c r="R2096" s="573">
        <v>6</v>
      </c>
      <c r="S2096" s="582" t="s">
        <v>3838</v>
      </c>
      <c r="T2096" s="573" t="s">
        <v>318</v>
      </c>
      <c r="U2096" s="573">
        <v>122.4</v>
      </c>
      <c r="V2096" s="573">
        <v>23</v>
      </c>
      <c r="W2096" s="616">
        <v>6010</v>
      </c>
      <c r="X2096" s="617">
        <v>22</v>
      </c>
      <c r="Y2096" s="617" t="s">
        <v>178</v>
      </c>
      <c r="Z2096" s="617" t="s">
        <v>178</v>
      </c>
      <c r="AA2096" s="618">
        <v>36650</v>
      </c>
      <c r="AB2096" s="618" t="s">
        <v>164</v>
      </c>
      <c r="AC2096" s="618">
        <v>26341.768421052631</v>
      </c>
      <c r="AD2096" s="619">
        <v>0.03</v>
      </c>
      <c r="AE2096" s="617" t="s">
        <v>3918</v>
      </c>
    </row>
    <row r="2097" spans="1:31" s="572" customFormat="1">
      <c r="A2097" s="570" t="s">
        <v>3946</v>
      </c>
      <c r="B2097" s="569" t="s">
        <v>280</v>
      </c>
      <c r="C2097" s="580">
        <v>27</v>
      </c>
      <c r="D2097" s="569" t="s">
        <v>3374</v>
      </c>
      <c r="E2097" s="569" t="s">
        <v>152</v>
      </c>
      <c r="F2097" s="569" t="s">
        <v>271</v>
      </c>
      <c r="G2097" s="569">
        <v>2019</v>
      </c>
      <c r="H2097" s="569" t="s">
        <v>3765</v>
      </c>
      <c r="I2097" s="569" t="s">
        <v>3916</v>
      </c>
      <c r="J2097" s="569" t="s">
        <v>3377</v>
      </c>
      <c r="K2097" s="569">
        <v>3</v>
      </c>
      <c r="L2097" s="569">
        <v>0</v>
      </c>
      <c r="M2097" s="569" t="s">
        <v>157</v>
      </c>
      <c r="N2097" s="569">
        <v>1</v>
      </c>
      <c r="O2097" s="569" t="s">
        <v>3781</v>
      </c>
      <c r="P2097" s="568">
        <v>8400</v>
      </c>
      <c r="Q2097" s="569" t="s">
        <v>3778</v>
      </c>
      <c r="R2097" s="569">
        <v>8</v>
      </c>
      <c r="S2097" s="569" t="s">
        <v>3838</v>
      </c>
      <c r="T2097" s="569" t="s">
        <v>318</v>
      </c>
      <c r="U2097" s="569">
        <v>122.4</v>
      </c>
      <c r="V2097" s="569">
        <v>23</v>
      </c>
      <c r="W2097" s="620">
        <v>6200</v>
      </c>
      <c r="X2097" s="621">
        <v>19</v>
      </c>
      <c r="Y2097" s="621" t="s">
        <v>450</v>
      </c>
      <c r="Z2097" s="621" t="s">
        <v>178</v>
      </c>
      <c r="AA2097" s="622">
        <v>37650</v>
      </c>
      <c r="AB2097" s="622" t="s">
        <v>164</v>
      </c>
      <c r="AC2097" s="622">
        <v>27238.610526315792</v>
      </c>
      <c r="AD2097" s="623">
        <v>0.03</v>
      </c>
      <c r="AE2097" s="621" t="s">
        <v>3920</v>
      </c>
    </row>
    <row r="2098" spans="1:31" s="572" customFormat="1">
      <c r="A2098" s="570" t="s">
        <v>3947</v>
      </c>
      <c r="B2098" s="573" t="s">
        <v>280</v>
      </c>
      <c r="C2098" s="578">
        <v>27</v>
      </c>
      <c r="D2098" s="573" t="s">
        <v>3374</v>
      </c>
      <c r="E2098" s="573" t="s">
        <v>152</v>
      </c>
      <c r="F2098" s="573" t="s">
        <v>271</v>
      </c>
      <c r="G2098" s="573">
        <v>2019</v>
      </c>
      <c r="H2098" s="573" t="s">
        <v>3765</v>
      </c>
      <c r="I2098" s="573" t="s">
        <v>3916</v>
      </c>
      <c r="J2098" s="573" t="s">
        <v>3377</v>
      </c>
      <c r="K2098" s="573">
        <v>3</v>
      </c>
      <c r="L2098" s="573">
        <v>0</v>
      </c>
      <c r="M2098" s="573" t="s">
        <v>157</v>
      </c>
      <c r="N2098" s="573">
        <v>1</v>
      </c>
      <c r="O2098" s="573" t="s">
        <v>3846</v>
      </c>
      <c r="P2098" s="571">
        <v>10700</v>
      </c>
      <c r="Q2098" s="573" t="s">
        <v>1259</v>
      </c>
      <c r="R2098" s="573">
        <v>6</v>
      </c>
      <c r="S2098" s="582" t="s">
        <v>3838</v>
      </c>
      <c r="T2098" s="573" t="s">
        <v>318</v>
      </c>
      <c r="U2098" s="573">
        <v>141.1</v>
      </c>
      <c r="V2098" s="573">
        <v>23</v>
      </c>
      <c r="W2098" s="616">
        <v>7050</v>
      </c>
      <c r="X2098" s="617">
        <v>21</v>
      </c>
      <c r="Y2098" s="617" t="s">
        <v>178</v>
      </c>
      <c r="Z2098" s="617" t="s">
        <v>178</v>
      </c>
      <c r="AA2098" s="618">
        <v>38550</v>
      </c>
      <c r="AB2098" s="618" t="s">
        <v>164</v>
      </c>
      <c r="AC2098" s="618">
        <v>28049.136842105265</v>
      </c>
      <c r="AD2098" s="619">
        <v>0.03</v>
      </c>
      <c r="AE2098" s="617" t="s">
        <v>3922</v>
      </c>
    </row>
    <row r="2099" spans="1:31" s="572" customFormat="1">
      <c r="A2099" s="570" t="s">
        <v>3948</v>
      </c>
      <c r="B2099" s="569" t="s">
        <v>280</v>
      </c>
      <c r="C2099" s="580">
        <v>27</v>
      </c>
      <c r="D2099" s="569" t="s">
        <v>3374</v>
      </c>
      <c r="E2099" s="569" t="s">
        <v>152</v>
      </c>
      <c r="F2099" s="569" t="s">
        <v>271</v>
      </c>
      <c r="G2099" s="569">
        <v>2019</v>
      </c>
      <c r="H2099" s="569" t="s">
        <v>3765</v>
      </c>
      <c r="I2099" s="569" t="s">
        <v>3916</v>
      </c>
      <c r="J2099" s="569" t="s">
        <v>3377</v>
      </c>
      <c r="K2099" s="569">
        <v>3</v>
      </c>
      <c r="L2099" s="569">
        <v>0</v>
      </c>
      <c r="M2099" s="569" t="s">
        <v>157</v>
      </c>
      <c r="N2099" s="569">
        <v>1</v>
      </c>
      <c r="O2099" s="569" t="s">
        <v>3846</v>
      </c>
      <c r="P2099" s="568">
        <v>5100</v>
      </c>
      <c r="Q2099" s="569" t="s">
        <v>3772</v>
      </c>
      <c r="R2099" s="569">
        <v>6</v>
      </c>
      <c r="S2099" s="569" t="s">
        <v>3838</v>
      </c>
      <c r="T2099" s="569" t="s">
        <v>318</v>
      </c>
      <c r="U2099" s="569">
        <v>141.1</v>
      </c>
      <c r="V2099" s="569">
        <v>23</v>
      </c>
      <c r="W2099" s="620">
        <v>6100</v>
      </c>
      <c r="X2099" s="621">
        <v>22</v>
      </c>
      <c r="Y2099" s="621" t="s">
        <v>450</v>
      </c>
      <c r="Z2099" s="621" t="s">
        <v>178</v>
      </c>
      <c r="AA2099" s="622">
        <v>35955</v>
      </c>
      <c r="AB2099" s="622" t="s">
        <v>164</v>
      </c>
      <c r="AC2099" s="622">
        <v>25719.663157894738</v>
      </c>
      <c r="AD2099" s="623">
        <v>0.03</v>
      </c>
      <c r="AE2099" s="621" t="s">
        <v>3924</v>
      </c>
    </row>
    <row r="2100" spans="1:31" s="572" customFormat="1">
      <c r="A2100" s="570" t="s">
        <v>3949</v>
      </c>
      <c r="B2100" s="573" t="s">
        <v>280</v>
      </c>
      <c r="C2100" s="578">
        <v>27</v>
      </c>
      <c r="D2100" s="573" t="s">
        <v>3374</v>
      </c>
      <c r="E2100" s="573" t="s">
        <v>152</v>
      </c>
      <c r="F2100" s="573" t="s">
        <v>271</v>
      </c>
      <c r="G2100" s="573">
        <v>2019</v>
      </c>
      <c r="H2100" s="573" t="s">
        <v>3765</v>
      </c>
      <c r="I2100" s="573" t="s">
        <v>3916</v>
      </c>
      <c r="J2100" s="573" t="s">
        <v>3377</v>
      </c>
      <c r="K2100" s="573">
        <v>3</v>
      </c>
      <c r="L2100" s="573">
        <v>0</v>
      </c>
      <c r="M2100" s="573" t="s">
        <v>157</v>
      </c>
      <c r="N2100" s="573">
        <v>1</v>
      </c>
      <c r="O2100" s="573" t="s">
        <v>3846</v>
      </c>
      <c r="P2100" s="571">
        <v>7600</v>
      </c>
      <c r="Q2100" s="573" t="s">
        <v>3841</v>
      </c>
      <c r="R2100" s="573">
        <v>6</v>
      </c>
      <c r="S2100" s="582" t="s">
        <v>3838</v>
      </c>
      <c r="T2100" s="573" t="s">
        <v>318</v>
      </c>
      <c r="U2100" s="573">
        <v>141.1</v>
      </c>
      <c r="V2100" s="573">
        <v>23</v>
      </c>
      <c r="W2100" s="616">
        <v>6100</v>
      </c>
      <c r="X2100" s="617">
        <v>22</v>
      </c>
      <c r="Y2100" s="617" t="s">
        <v>178</v>
      </c>
      <c r="Z2100" s="617" t="s">
        <v>178</v>
      </c>
      <c r="AA2100" s="618">
        <v>36950</v>
      </c>
      <c r="AB2100" s="618" t="s">
        <v>164</v>
      </c>
      <c r="AC2100" s="618">
        <v>26613.347368421055</v>
      </c>
      <c r="AD2100" s="619">
        <v>0.03</v>
      </c>
      <c r="AE2100" s="617" t="s">
        <v>3926</v>
      </c>
    </row>
    <row r="2101" spans="1:31" s="572" customFormat="1">
      <c r="A2101" s="570" t="s">
        <v>3950</v>
      </c>
      <c r="B2101" s="569" t="s">
        <v>280</v>
      </c>
      <c r="C2101" s="580">
        <v>27</v>
      </c>
      <c r="D2101" s="569" t="s">
        <v>3374</v>
      </c>
      <c r="E2101" s="569" t="s">
        <v>152</v>
      </c>
      <c r="F2101" s="569" t="s">
        <v>271</v>
      </c>
      <c r="G2101" s="569">
        <v>2019</v>
      </c>
      <c r="H2101" s="569" t="s">
        <v>3765</v>
      </c>
      <c r="I2101" s="569" t="s">
        <v>3916</v>
      </c>
      <c r="J2101" s="569" t="s">
        <v>3377</v>
      </c>
      <c r="K2101" s="569">
        <v>3</v>
      </c>
      <c r="L2101" s="569">
        <v>0</v>
      </c>
      <c r="M2101" s="569" t="s">
        <v>157</v>
      </c>
      <c r="N2101" s="569">
        <v>1</v>
      </c>
      <c r="O2101" s="569" t="s">
        <v>3846</v>
      </c>
      <c r="P2101" s="568">
        <v>9100</v>
      </c>
      <c r="Q2101" s="569" t="s">
        <v>3778</v>
      </c>
      <c r="R2101" s="569">
        <v>8</v>
      </c>
      <c r="S2101" s="569" t="s">
        <v>3838</v>
      </c>
      <c r="T2101" s="569" t="s">
        <v>318</v>
      </c>
      <c r="U2101" s="569">
        <v>141.1</v>
      </c>
      <c r="V2101" s="569">
        <v>23</v>
      </c>
      <c r="W2101" s="620">
        <v>6750</v>
      </c>
      <c r="X2101" s="621">
        <v>19</v>
      </c>
      <c r="Y2101" s="621" t="s">
        <v>450</v>
      </c>
      <c r="Z2101" s="621" t="s">
        <v>178</v>
      </c>
      <c r="AA2101" s="622">
        <v>37950</v>
      </c>
      <c r="AB2101" s="622" t="s">
        <v>164</v>
      </c>
      <c r="AC2101" s="622">
        <v>27510.189473684211</v>
      </c>
      <c r="AD2101" s="623">
        <v>0.03</v>
      </c>
      <c r="AE2101" s="621" t="s">
        <v>3928</v>
      </c>
    </row>
    <row r="2102" spans="1:31" s="572" customFormat="1">
      <c r="A2102" s="570" t="s">
        <v>3951</v>
      </c>
      <c r="B2102" s="573" t="s">
        <v>269</v>
      </c>
      <c r="C2102" s="578" t="s">
        <v>270</v>
      </c>
      <c r="D2102" s="573" t="s">
        <v>3374</v>
      </c>
      <c r="E2102" s="573" t="s">
        <v>152</v>
      </c>
      <c r="F2102" s="573" t="s">
        <v>271</v>
      </c>
      <c r="G2102" s="573">
        <v>2019</v>
      </c>
      <c r="H2102" s="573" t="s">
        <v>3765</v>
      </c>
      <c r="I2102" s="573" t="s">
        <v>3916</v>
      </c>
      <c r="J2102" s="573" t="s">
        <v>752</v>
      </c>
      <c r="K2102" s="573">
        <v>3</v>
      </c>
      <c r="L2102" s="573">
        <v>0</v>
      </c>
      <c r="M2102" s="573" t="s">
        <v>157</v>
      </c>
      <c r="N2102" s="573">
        <v>1</v>
      </c>
      <c r="O2102" s="573" t="s">
        <v>3781</v>
      </c>
      <c r="P2102" s="571" t="s">
        <v>157</v>
      </c>
      <c r="Q2102" s="573" t="s">
        <v>3778</v>
      </c>
      <c r="R2102" s="573">
        <v>8</v>
      </c>
      <c r="S2102" s="582" t="s">
        <v>3878</v>
      </c>
      <c r="T2102" s="573" t="s">
        <v>318</v>
      </c>
      <c r="U2102" s="573">
        <v>122.4</v>
      </c>
      <c r="V2102" s="573">
        <v>23</v>
      </c>
      <c r="W2102" s="616">
        <v>6400</v>
      </c>
      <c r="X2102" s="617">
        <v>18</v>
      </c>
      <c r="Y2102" s="617" t="s">
        <v>450</v>
      </c>
      <c r="Z2102" s="617" t="s">
        <v>178</v>
      </c>
      <c r="AA2102" s="618">
        <v>41075</v>
      </c>
      <c r="AB2102" s="618" t="s">
        <v>164</v>
      </c>
      <c r="AC2102" s="618">
        <v>30348.084210526318</v>
      </c>
      <c r="AD2102" s="619">
        <v>0.03</v>
      </c>
      <c r="AE2102" s="617" t="s">
        <v>3952</v>
      </c>
    </row>
    <row r="2103" spans="1:31" s="572" customFormat="1">
      <c r="A2103" s="570" t="s">
        <v>3953</v>
      </c>
      <c r="B2103" s="569" t="s">
        <v>269</v>
      </c>
      <c r="C2103" s="580" t="s">
        <v>270</v>
      </c>
      <c r="D2103" s="569" t="s">
        <v>3374</v>
      </c>
      <c r="E2103" s="569" t="s">
        <v>152</v>
      </c>
      <c r="F2103" s="569" t="s">
        <v>271</v>
      </c>
      <c r="G2103" s="569">
        <v>2019</v>
      </c>
      <c r="H2103" s="569" t="s">
        <v>3765</v>
      </c>
      <c r="I2103" s="569" t="s">
        <v>3916</v>
      </c>
      <c r="J2103" s="569" t="s">
        <v>752</v>
      </c>
      <c r="K2103" s="569">
        <v>3</v>
      </c>
      <c r="L2103" s="569">
        <v>0</v>
      </c>
      <c r="M2103" s="569" t="s">
        <v>157</v>
      </c>
      <c r="N2103" s="569">
        <v>1</v>
      </c>
      <c r="O2103" s="569" t="s">
        <v>3781</v>
      </c>
      <c r="P2103" s="568">
        <v>7500</v>
      </c>
      <c r="Q2103" s="569" t="s">
        <v>3772</v>
      </c>
      <c r="R2103" s="569">
        <v>6</v>
      </c>
      <c r="S2103" s="569" t="s">
        <v>3878</v>
      </c>
      <c r="T2103" s="569" t="s">
        <v>318</v>
      </c>
      <c r="U2103" s="569">
        <v>122.4</v>
      </c>
      <c r="V2103" s="569">
        <v>23</v>
      </c>
      <c r="W2103" s="620">
        <v>6050</v>
      </c>
      <c r="X2103" s="621">
        <v>20</v>
      </c>
      <c r="Y2103" s="621" t="s">
        <v>450</v>
      </c>
      <c r="Z2103" s="621" t="s">
        <v>178</v>
      </c>
      <c r="AA2103" s="622">
        <v>39080</v>
      </c>
      <c r="AB2103" s="622" t="s">
        <v>164</v>
      </c>
      <c r="AC2103" s="622">
        <v>28557.557894736845</v>
      </c>
      <c r="AD2103" s="623">
        <v>0.03</v>
      </c>
      <c r="AE2103" s="621" t="s">
        <v>3954</v>
      </c>
    </row>
    <row r="2104" spans="1:31" s="572" customFormat="1">
      <c r="A2104" s="570" t="s">
        <v>3955</v>
      </c>
      <c r="B2104" s="573" t="s">
        <v>269</v>
      </c>
      <c r="C2104" s="578" t="s">
        <v>270</v>
      </c>
      <c r="D2104" s="573" t="s">
        <v>3374</v>
      </c>
      <c r="E2104" s="573" t="s">
        <v>152</v>
      </c>
      <c r="F2104" s="573" t="s">
        <v>271</v>
      </c>
      <c r="G2104" s="573">
        <v>2019</v>
      </c>
      <c r="H2104" s="573" t="s">
        <v>3765</v>
      </c>
      <c r="I2104" s="573" t="s">
        <v>3916</v>
      </c>
      <c r="J2104" s="573" t="s">
        <v>752</v>
      </c>
      <c r="K2104" s="573">
        <v>3</v>
      </c>
      <c r="L2104" s="573">
        <v>0</v>
      </c>
      <c r="M2104" s="573" t="s">
        <v>157</v>
      </c>
      <c r="N2104" s="573">
        <v>1</v>
      </c>
      <c r="O2104" s="573" t="s">
        <v>3781</v>
      </c>
      <c r="P2104" s="571">
        <v>7600</v>
      </c>
      <c r="Q2104" s="573" t="s">
        <v>3768</v>
      </c>
      <c r="R2104" s="573">
        <v>6</v>
      </c>
      <c r="S2104" s="582" t="s">
        <v>3878</v>
      </c>
      <c r="T2104" s="573" t="s">
        <v>318</v>
      </c>
      <c r="U2104" s="573">
        <v>122.4</v>
      </c>
      <c r="V2104" s="573">
        <v>23</v>
      </c>
      <c r="W2104" s="616">
        <v>6050</v>
      </c>
      <c r="X2104" s="617">
        <v>21</v>
      </c>
      <c r="Y2104" s="617" t="s">
        <v>178</v>
      </c>
      <c r="Z2104" s="617" t="s">
        <v>178</v>
      </c>
      <c r="AA2104" s="618">
        <v>40075</v>
      </c>
      <c r="AB2104" s="618" t="s">
        <v>164</v>
      </c>
      <c r="AC2104" s="618">
        <v>29451.242105263158</v>
      </c>
      <c r="AD2104" s="619">
        <v>0.03</v>
      </c>
      <c r="AE2104" s="617" t="s">
        <v>3956</v>
      </c>
    </row>
    <row r="2105" spans="1:31" s="572" customFormat="1">
      <c r="A2105" s="570" t="s">
        <v>3957</v>
      </c>
      <c r="B2105" s="569" t="s">
        <v>269</v>
      </c>
      <c r="C2105" s="580" t="s">
        <v>270</v>
      </c>
      <c r="D2105" s="569" t="s">
        <v>3374</v>
      </c>
      <c r="E2105" s="569" t="s">
        <v>152</v>
      </c>
      <c r="F2105" s="569" t="s">
        <v>271</v>
      </c>
      <c r="G2105" s="569">
        <v>2019</v>
      </c>
      <c r="H2105" s="569" t="s">
        <v>3765</v>
      </c>
      <c r="I2105" s="569" t="s">
        <v>3916</v>
      </c>
      <c r="J2105" s="569" t="s">
        <v>752</v>
      </c>
      <c r="K2105" s="569">
        <v>3</v>
      </c>
      <c r="L2105" s="569">
        <v>0</v>
      </c>
      <c r="M2105" s="569" t="s">
        <v>157</v>
      </c>
      <c r="N2105" s="569">
        <v>1</v>
      </c>
      <c r="O2105" s="569" t="s">
        <v>3781</v>
      </c>
      <c r="P2105" s="568">
        <v>7600</v>
      </c>
      <c r="Q2105" s="569" t="s">
        <v>3778</v>
      </c>
      <c r="R2105" s="569">
        <v>8</v>
      </c>
      <c r="S2105" s="569" t="s">
        <v>3878</v>
      </c>
      <c r="T2105" s="569" t="s">
        <v>318</v>
      </c>
      <c r="U2105" s="569">
        <v>122.4</v>
      </c>
      <c r="V2105" s="569">
        <v>23</v>
      </c>
      <c r="W2105" s="620">
        <v>6400</v>
      </c>
      <c r="X2105" s="621">
        <v>18</v>
      </c>
      <c r="Y2105" s="621" t="s">
        <v>450</v>
      </c>
      <c r="Z2105" s="621" t="s">
        <v>178</v>
      </c>
      <c r="AA2105" s="622">
        <v>41075</v>
      </c>
      <c r="AB2105" s="622" t="s">
        <v>164</v>
      </c>
      <c r="AC2105" s="622">
        <v>30348.084210526318</v>
      </c>
      <c r="AD2105" s="623">
        <v>0.03</v>
      </c>
      <c r="AE2105" s="621" t="s">
        <v>3958</v>
      </c>
    </row>
    <row r="2106" spans="1:31" s="572" customFormat="1">
      <c r="A2106" s="570" t="s">
        <v>3959</v>
      </c>
      <c r="B2106" s="573" t="s">
        <v>269</v>
      </c>
      <c r="C2106" s="578" t="s">
        <v>270</v>
      </c>
      <c r="D2106" s="573" t="s">
        <v>3374</v>
      </c>
      <c r="E2106" s="573" t="s">
        <v>152</v>
      </c>
      <c r="F2106" s="573" t="s">
        <v>271</v>
      </c>
      <c r="G2106" s="573">
        <v>2019</v>
      </c>
      <c r="H2106" s="573" t="s">
        <v>3765</v>
      </c>
      <c r="I2106" s="573" t="s">
        <v>3916</v>
      </c>
      <c r="J2106" s="573" t="s">
        <v>752</v>
      </c>
      <c r="K2106" s="573">
        <v>3</v>
      </c>
      <c r="L2106" s="573">
        <v>0</v>
      </c>
      <c r="M2106" s="573" t="s">
        <v>157</v>
      </c>
      <c r="N2106" s="573">
        <v>1</v>
      </c>
      <c r="O2106" s="573" t="s">
        <v>3846</v>
      </c>
      <c r="P2106" s="571" t="s">
        <v>157</v>
      </c>
      <c r="Q2106" s="573" t="s">
        <v>3778</v>
      </c>
      <c r="R2106" s="573">
        <v>8</v>
      </c>
      <c r="S2106" s="582" t="s">
        <v>3878</v>
      </c>
      <c r="T2106" s="573" t="s">
        <v>318</v>
      </c>
      <c r="U2106" s="573">
        <v>141.1</v>
      </c>
      <c r="V2106" s="573">
        <v>23</v>
      </c>
      <c r="W2106" s="616">
        <v>6400</v>
      </c>
      <c r="X2106" s="617">
        <v>18</v>
      </c>
      <c r="Y2106" s="617" t="s">
        <v>450</v>
      </c>
      <c r="Z2106" s="617" t="s">
        <v>178</v>
      </c>
      <c r="AA2106" s="618">
        <v>41375</v>
      </c>
      <c r="AB2106" s="618" t="s">
        <v>164</v>
      </c>
      <c r="AC2106" s="618">
        <v>30620.715789473685</v>
      </c>
      <c r="AD2106" s="619">
        <v>0.03</v>
      </c>
      <c r="AE2106" s="617" t="s">
        <v>3960</v>
      </c>
    </row>
    <row r="2107" spans="1:31" s="572" customFormat="1">
      <c r="A2107" s="570" t="s">
        <v>3961</v>
      </c>
      <c r="B2107" s="569" t="s">
        <v>269</v>
      </c>
      <c r="C2107" s="580" t="s">
        <v>270</v>
      </c>
      <c r="D2107" s="569" t="s">
        <v>3374</v>
      </c>
      <c r="E2107" s="569" t="s">
        <v>152</v>
      </c>
      <c r="F2107" s="569" t="s">
        <v>271</v>
      </c>
      <c r="G2107" s="569">
        <v>2019</v>
      </c>
      <c r="H2107" s="569" t="s">
        <v>3765</v>
      </c>
      <c r="I2107" s="569" t="s">
        <v>3916</v>
      </c>
      <c r="J2107" s="569" t="s">
        <v>752</v>
      </c>
      <c r="K2107" s="569">
        <v>3</v>
      </c>
      <c r="L2107" s="569">
        <v>0</v>
      </c>
      <c r="M2107" s="569" t="s">
        <v>157</v>
      </c>
      <c r="N2107" s="569">
        <v>1</v>
      </c>
      <c r="O2107" s="569" t="s">
        <v>3846</v>
      </c>
      <c r="P2107" s="568">
        <v>10700</v>
      </c>
      <c r="Q2107" s="569" t="s">
        <v>1259</v>
      </c>
      <c r="R2107" s="569">
        <v>6</v>
      </c>
      <c r="S2107" s="569" t="s">
        <v>3878</v>
      </c>
      <c r="T2107" s="569" t="s">
        <v>318</v>
      </c>
      <c r="U2107" s="569">
        <v>141.1</v>
      </c>
      <c r="V2107" s="569">
        <v>23</v>
      </c>
      <c r="W2107" s="620">
        <v>6800</v>
      </c>
      <c r="X2107" s="621">
        <v>19</v>
      </c>
      <c r="Y2107" s="621" t="s">
        <v>178</v>
      </c>
      <c r="Z2107" s="621" t="s">
        <v>178</v>
      </c>
      <c r="AA2107" s="622">
        <v>41975</v>
      </c>
      <c r="AB2107" s="622" t="s">
        <v>164</v>
      </c>
      <c r="AC2107" s="622">
        <v>31159.663157894738</v>
      </c>
      <c r="AD2107" s="623">
        <v>0.03</v>
      </c>
      <c r="AE2107" s="621" t="s">
        <v>3962</v>
      </c>
    </row>
    <row r="2108" spans="1:31" s="572" customFormat="1">
      <c r="A2108" s="570" t="s">
        <v>3963</v>
      </c>
      <c r="B2108" s="573" t="s">
        <v>269</v>
      </c>
      <c r="C2108" s="578" t="s">
        <v>270</v>
      </c>
      <c r="D2108" s="573" t="s">
        <v>3374</v>
      </c>
      <c r="E2108" s="573" t="s">
        <v>152</v>
      </c>
      <c r="F2108" s="573" t="s">
        <v>271</v>
      </c>
      <c r="G2108" s="573">
        <v>2019</v>
      </c>
      <c r="H2108" s="573" t="s">
        <v>3765</v>
      </c>
      <c r="I2108" s="573" t="s">
        <v>3916</v>
      </c>
      <c r="J2108" s="573" t="s">
        <v>752</v>
      </c>
      <c r="K2108" s="573">
        <v>3</v>
      </c>
      <c r="L2108" s="573">
        <v>0</v>
      </c>
      <c r="M2108" s="573" t="s">
        <v>157</v>
      </c>
      <c r="N2108" s="573">
        <v>1</v>
      </c>
      <c r="O2108" s="573" t="s">
        <v>3846</v>
      </c>
      <c r="P2108" s="571">
        <v>7400</v>
      </c>
      <c r="Q2108" s="573" t="s">
        <v>3772</v>
      </c>
      <c r="R2108" s="573">
        <v>6</v>
      </c>
      <c r="S2108" s="582" t="s">
        <v>3878</v>
      </c>
      <c r="T2108" s="573" t="s">
        <v>318</v>
      </c>
      <c r="U2108" s="573">
        <v>141.1</v>
      </c>
      <c r="V2108" s="573">
        <v>23</v>
      </c>
      <c r="W2108" s="616">
        <v>6050</v>
      </c>
      <c r="X2108" s="617">
        <v>18</v>
      </c>
      <c r="Y2108" s="617" t="s">
        <v>450</v>
      </c>
      <c r="Z2108" s="617" t="s">
        <v>178</v>
      </c>
      <c r="AA2108" s="618">
        <v>39380</v>
      </c>
      <c r="AB2108" s="618" t="s">
        <v>164</v>
      </c>
      <c r="AC2108" s="618">
        <v>28830.189473684211</v>
      </c>
      <c r="AD2108" s="619">
        <v>0.03</v>
      </c>
      <c r="AE2108" s="617" t="s">
        <v>3964</v>
      </c>
    </row>
    <row r="2109" spans="1:31" s="572" customFormat="1">
      <c r="A2109" s="570" t="s">
        <v>3965</v>
      </c>
      <c r="B2109" s="569" t="s">
        <v>269</v>
      </c>
      <c r="C2109" s="580" t="s">
        <v>270</v>
      </c>
      <c r="D2109" s="569" t="s">
        <v>3374</v>
      </c>
      <c r="E2109" s="569" t="s">
        <v>152</v>
      </c>
      <c r="F2109" s="569" t="s">
        <v>271</v>
      </c>
      <c r="G2109" s="569">
        <v>2019</v>
      </c>
      <c r="H2109" s="569" t="s">
        <v>3765</v>
      </c>
      <c r="I2109" s="569" t="s">
        <v>3916</v>
      </c>
      <c r="J2109" s="569" t="s">
        <v>752</v>
      </c>
      <c r="K2109" s="569">
        <v>3</v>
      </c>
      <c r="L2109" s="569">
        <v>0</v>
      </c>
      <c r="M2109" s="569" t="s">
        <v>157</v>
      </c>
      <c r="N2109" s="569">
        <v>1</v>
      </c>
      <c r="O2109" s="569" t="s">
        <v>3846</v>
      </c>
      <c r="P2109" s="568">
        <v>7600</v>
      </c>
      <c r="Q2109" s="569" t="s">
        <v>3768</v>
      </c>
      <c r="R2109" s="569">
        <v>6</v>
      </c>
      <c r="S2109" s="569" t="s">
        <v>3878</v>
      </c>
      <c r="T2109" s="569" t="s">
        <v>318</v>
      </c>
      <c r="U2109" s="569">
        <v>141.1</v>
      </c>
      <c r="V2109" s="569">
        <v>23</v>
      </c>
      <c r="W2109" s="620">
        <v>6050</v>
      </c>
      <c r="X2109" s="621">
        <v>21</v>
      </c>
      <c r="Y2109" s="621" t="s">
        <v>178</v>
      </c>
      <c r="Z2109" s="621" t="s">
        <v>178</v>
      </c>
      <c r="AA2109" s="622">
        <v>40375</v>
      </c>
      <c r="AB2109" s="622" t="s">
        <v>164</v>
      </c>
      <c r="AC2109" s="622">
        <v>29723.873684210528</v>
      </c>
      <c r="AD2109" s="623">
        <v>0.03</v>
      </c>
      <c r="AE2109" s="621" t="s">
        <v>3966</v>
      </c>
    </row>
    <row r="2110" spans="1:31" s="572" customFormat="1">
      <c r="A2110" s="570" t="s">
        <v>3967</v>
      </c>
      <c r="B2110" s="573" t="s">
        <v>269</v>
      </c>
      <c r="C2110" s="578" t="s">
        <v>270</v>
      </c>
      <c r="D2110" s="573" t="s">
        <v>3374</v>
      </c>
      <c r="E2110" s="573" t="s">
        <v>152</v>
      </c>
      <c r="F2110" s="573" t="s">
        <v>271</v>
      </c>
      <c r="G2110" s="573">
        <v>2019</v>
      </c>
      <c r="H2110" s="573" t="s">
        <v>3765</v>
      </c>
      <c r="I2110" s="573" t="s">
        <v>3916</v>
      </c>
      <c r="J2110" s="573" t="s">
        <v>752</v>
      </c>
      <c r="K2110" s="573">
        <v>3</v>
      </c>
      <c r="L2110" s="573">
        <v>0</v>
      </c>
      <c r="M2110" s="573" t="s">
        <v>157</v>
      </c>
      <c r="N2110" s="573">
        <v>1</v>
      </c>
      <c r="O2110" s="573" t="s">
        <v>3846</v>
      </c>
      <c r="P2110" s="571">
        <v>7600</v>
      </c>
      <c r="Q2110" s="573" t="s">
        <v>3778</v>
      </c>
      <c r="R2110" s="573">
        <v>8</v>
      </c>
      <c r="S2110" s="582" t="s">
        <v>3878</v>
      </c>
      <c r="T2110" s="573" t="s">
        <v>318</v>
      </c>
      <c r="U2110" s="573">
        <v>141.1</v>
      </c>
      <c r="V2110" s="573">
        <v>23</v>
      </c>
      <c r="W2110" s="616">
        <v>6400</v>
      </c>
      <c r="X2110" s="617">
        <v>18</v>
      </c>
      <c r="Y2110" s="617" t="s">
        <v>450</v>
      </c>
      <c r="Z2110" s="617" t="s">
        <v>178</v>
      </c>
      <c r="AA2110" s="618">
        <v>41375</v>
      </c>
      <c r="AB2110" s="618" t="s">
        <v>164</v>
      </c>
      <c r="AC2110" s="618">
        <v>30620.715789473685</v>
      </c>
      <c r="AD2110" s="619">
        <v>0.03</v>
      </c>
      <c r="AE2110" s="617" t="s">
        <v>3968</v>
      </c>
    </row>
    <row r="2111" spans="1:31" s="572" customFormat="1">
      <c r="A2111" s="570" t="s">
        <v>3969</v>
      </c>
      <c r="B2111" s="569" t="s">
        <v>278</v>
      </c>
      <c r="C2111" s="580">
        <v>15</v>
      </c>
      <c r="D2111" s="569" t="s">
        <v>3374</v>
      </c>
      <c r="E2111" s="569" t="s">
        <v>152</v>
      </c>
      <c r="F2111" s="569" t="s">
        <v>271</v>
      </c>
      <c r="G2111" s="569">
        <v>2019</v>
      </c>
      <c r="H2111" s="569" t="s">
        <v>3765</v>
      </c>
      <c r="I2111" s="569" t="s">
        <v>3916</v>
      </c>
      <c r="J2111" s="569" t="s">
        <v>752</v>
      </c>
      <c r="K2111" s="569">
        <v>3</v>
      </c>
      <c r="L2111" s="569">
        <v>0</v>
      </c>
      <c r="M2111" s="569" t="s">
        <v>157</v>
      </c>
      <c r="N2111" s="569">
        <v>1</v>
      </c>
      <c r="O2111" s="569" t="s">
        <v>3781</v>
      </c>
      <c r="P2111" s="568">
        <v>7500</v>
      </c>
      <c r="Q2111" s="569" t="s">
        <v>3772</v>
      </c>
      <c r="R2111" s="569">
        <v>6</v>
      </c>
      <c r="S2111" s="569" t="s">
        <v>3878</v>
      </c>
      <c r="T2111" s="569" t="s">
        <v>318</v>
      </c>
      <c r="U2111" s="569">
        <v>122.4</v>
      </c>
      <c r="V2111" s="569">
        <v>23</v>
      </c>
      <c r="W2111" s="620">
        <v>6050</v>
      </c>
      <c r="X2111" s="621">
        <v>19</v>
      </c>
      <c r="Y2111" s="621" t="s">
        <v>450</v>
      </c>
      <c r="Z2111" s="621" t="s">
        <v>178</v>
      </c>
      <c r="AA2111" s="622">
        <v>39080</v>
      </c>
      <c r="AB2111" s="622" t="s">
        <v>164</v>
      </c>
      <c r="AC2111" s="622">
        <v>28650</v>
      </c>
      <c r="AD2111" s="623">
        <v>0.01</v>
      </c>
      <c r="AE2111" s="621" t="s">
        <v>3954</v>
      </c>
    </row>
    <row r="2112" spans="1:31" s="572" customFormat="1">
      <c r="A2112" s="570" t="s">
        <v>3970</v>
      </c>
      <c r="B2112" s="573" t="s">
        <v>278</v>
      </c>
      <c r="C2112" s="578">
        <v>15</v>
      </c>
      <c r="D2112" s="573" t="s">
        <v>3374</v>
      </c>
      <c r="E2112" s="573" t="s">
        <v>152</v>
      </c>
      <c r="F2112" s="573" t="s">
        <v>271</v>
      </c>
      <c r="G2112" s="573">
        <v>2019</v>
      </c>
      <c r="H2112" s="573" t="s">
        <v>3765</v>
      </c>
      <c r="I2112" s="573" t="s">
        <v>3916</v>
      </c>
      <c r="J2112" s="573" t="s">
        <v>752</v>
      </c>
      <c r="K2112" s="573">
        <v>3</v>
      </c>
      <c r="L2112" s="573">
        <v>0</v>
      </c>
      <c r="M2112" s="573" t="s">
        <v>157</v>
      </c>
      <c r="N2112" s="573">
        <v>1</v>
      </c>
      <c r="O2112" s="573" t="s">
        <v>3781</v>
      </c>
      <c r="P2112" s="571">
        <v>7600</v>
      </c>
      <c r="Q2112" s="573" t="s">
        <v>3768</v>
      </c>
      <c r="R2112" s="573">
        <v>6</v>
      </c>
      <c r="S2112" s="582" t="s">
        <v>3878</v>
      </c>
      <c r="T2112" s="573" t="s">
        <v>318</v>
      </c>
      <c r="U2112" s="573">
        <v>122.4</v>
      </c>
      <c r="V2112" s="573">
        <v>23</v>
      </c>
      <c r="W2112" s="616">
        <v>6050</v>
      </c>
      <c r="X2112" s="617">
        <v>20</v>
      </c>
      <c r="Y2112" s="617" t="s">
        <v>178</v>
      </c>
      <c r="Z2112" s="617" t="s">
        <v>178</v>
      </c>
      <c r="AA2112" s="618">
        <v>40075</v>
      </c>
      <c r="AB2112" s="618" t="s">
        <v>164</v>
      </c>
      <c r="AC2112" s="618">
        <v>29550</v>
      </c>
      <c r="AD2112" s="619">
        <v>0.01</v>
      </c>
      <c r="AE2112" s="617" t="s">
        <v>3956</v>
      </c>
    </row>
    <row r="2113" spans="1:31" s="572" customFormat="1">
      <c r="A2113" s="570" t="s">
        <v>3971</v>
      </c>
      <c r="B2113" s="569" t="s">
        <v>278</v>
      </c>
      <c r="C2113" s="580">
        <v>15</v>
      </c>
      <c r="D2113" s="569" t="s">
        <v>3374</v>
      </c>
      <c r="E2113" s="569" t="s">
        <v>152</v>
      </c>
      <c r="F2113" s="569" t="s">
        <v>271</v>
      </c>
      <c r="G2113" s="569">
        <v>2019</v>
      </c>
      <c r="H2113" s="569" t="s">
        <v>3765</v>
      </c>
      <c r="I2113" s="569" t="s">
        <v>3916</v>
      </c>
      <c r="J2113" s="569" t="s">
        <v>752</v>
      </c>
      <c r="K2113" s="569">
        <v>3</v>
      </c>
      <c r="L2113" s="569">
        <v>0</v>
      </c>
      <c r="M2113" s="569" t="s">
        <v>157</v>
      </c>
      <c r="N2113" s="569">
        <v>1</v>
      </c>
      <c r="O2113" s="569" t="s">
        <v>3781</v>
      </c>
      <c r="P2113" s="568">
        <v>7600</v>
      </c>
      <c r="Q2113" s="569" t="s">
        <v>3778</v>
      </c>
      <c r="R2113" s="569">
        <v>8</v>
      </c>
      <c r="S2113" s="569" t="s">
        <v>3878</v>
      </c>
      <c r="T2113" s="569" t="s">
        <v>318</v>
      </c>
      <c r="U2113" s="569">
        <v>122.4</v>
      </c>
      <c r="V2113" s="569">
        <v>23</v>
      </c>
      <c r="W2113" s="620">
        <v>6400</v>
      </c>
      <c r="X2113" s="621">
        <v>17</v>
      </c>
      <c r="Y2113" s="621" t="s">
        <v>450</v>
      </c>
      <c r="Z2113" s="621" t="s">
        <v>178</v>
      </c>
      <c r="AA2113" s="622">
        <v>41075</v>
      </c>
      <c r="AB2113" s="622" t="s">
        <v>164</v>
      </c>
      <c r="AC2113" s="622">
        <v>30450</v>
      </c>
      <c r="AD2113" s="623">
        <v>0.01</v>
      </c>
      <c r="AE2113" s="621" t="s">
        <v>3958</v>
      </c>
    </row>
    <row r="2114" spans="1:31" s="572" customFormat="1">
      <c r="A2114" s="570" t="s">
        <v>3972</v>
      </c>
      <c r="B2114" s="573" t="s">
        <v>278</v>
      </c>
      <c r="C2114" s="578">
        <v>15</v>
      </c>
      <c r="D2114" s="573" t="s">
        <v>3374</v>
      </c>
      <c r="E2114" s="573" t="s">
        <v>152</v>
      </c>
      <c r="F2114" s="573" t="s">
        <v>271</v>
      </c>
      <c r="G2114" s="573">
        <v>2019</v>
      </c>
      <c r="H2114" s="573" t="s">
        <v>3765</v>
      </c>
      <c r="I2114" s="573" t="s">
        <v>3916</v>
      </c>
      <c r="J2114" s="573" t="s">
        <v>752</v>
      </c>
      <c r="K2114" s="573">
        <v>3</v>
      </c>
      <c r="L2114" s="573">
        <v>0</v>
      </c>
      <c r="M2114" s="573" t="s">
        <v>157</v>
      </c>
      <c r="N2114" s="573">
        <v>1</v>
      </c>
      <c r="O2114" s="573" t="s">
        <v>3846</v>
      </c>
      <c r="P2114" s="571">
        <v>10700</v>
      </c>
      <c r="Q2114" s="573" t="s">
        <v>1259</v>
      </c>
      <c r="R2114" s="573">
        <v>6</v>
      </c>
      <c r="S2114" s="582" t="s">
        <v>3878</v>
      </c>
      <c r="T2114" s="573" t="s">
        <v>318</v>
      </c>
      <c r="U2114" s="573">
        <v>141.1</v>
      </c>
      <c r="V2114" s="573">
        <v>23</v>
      </c>
      <c r="W2114" s="616">
        <v>6800</v>
      </c>
      <c r="X2114" s="617">
        <v>19</v>
      </c>
      <c r="Y2114" s="617" t="s">
        <v>178</v>
      </c>
      <c r="Z2114" s="617" t="s">
        <v>178</v>
      </c>
      <c r="AA2114" s="618">
        <v>41975</v>
      </c>
      <c r="AB2114" s="618" t="s">
        <v>164</v>
      </c>
      <c r="AC2114" s="618">
        <v>31250</v>
      </c>
      <c r="AD2114" s="619">
        <v>0.01</v>
      </c>
      <c r="AE2114" s="617" t="s">
        <v>3962</v>
      </c>
    </row>
    <row r="2115" spans="1:31" s="572" customFormat="1">
      <c r="A2115" s="570" t="s">
        <v>3973</v>
      </c>
      <c r="B2115" s="569" t="s">
        <v>278</v>
      </c>
      <c r="C2115" s="580">
        <v>15</v>
      </c>
      <c r="D2115" s="569" t="s">
        <v>3374</v>
      </c>
      <c r="E2115" s="569" t="s">
        <v>152</v>
      </c>
      <c r="F2115" s="569" t="s">
        <v>271</v>
      </c>
      <c r="G2115" s="569">
        <v>2019</v>
      </c>
      <c r="H2115" s="569" t="s">
        <v>3765</v>
      </c>
      <c r="I2115" s="569" t="s">
        <v>3916</v>
      </c>
      <c r="J2115" s="569" t="s">
        <v>752</v>
      </c>
      <c r="K2115" s="569">
        <v>3</v>
      </c>
      <c r="L2115" s="569">
        <v>0</v>
      </c>
      <c r="M2115" s="569" t="s">
        <v>157</v>
      </c>
      <c r="N2115" s="569">
        <v>1</v>
      </c>
      <c r="O2115" s="569" t="s">
        <v>3846</v>
      </c>
      <c r="P2115" s="568">
        <v>7400</v>
      </c>
      <c r="Q2115" s="569" t="s">
        <v>3772</v>
      </c>
      <c r="R2115" s="569">
        <v>6</v>
      </c>
      <c r="S2115" s="569" t="s">
        <v>3878</v>
      </c>
      <c r="T2115" s="569" t="s">
        <v>318</v>
      </c>
      <c r="U2115" s="569">
        <v>141.1</v>
      </c>
      <c r="V2115" s="569">
        <v>23</v>
      </c>
      <c r="W2115" s="620">
        <v>6050</v>
      </c>
      <c r="X2115" s="621">
        <v>19</v>
      </c>
      <c r="Y2115" s="621" t="s">
        <v>450</v>
      </c>
      <c r="Z2115" s="621" t="s">
        <v>178</v>
      </c>
      <c r="AA2115" s="622">
        <v>39380</v>
      </c>
      <c r="AB2115" s="622" t="s">
        <v>164</v>
      </c>
      <c r="AC2115" s="622">
        <v>28900</v>
      </c>
      <c r="AD2115" s="623">
        <v>0.01</v>
      </c>
      <c r="AE2115" s="621" t="s">
        <v>3964</v>
      </c>
    </row>
    <row r="2116" spans="1:31" s="572" customFormat="1">
      <c r="A2116" s="570" t="s">
        <v>3974</v>
      </c>
      <c r="B2116" s="573" t="s">
        <v>278</v>
      </c>
      <c r="C2116" s="578">
        <v>15</v>
      </c>
      <c r="D2116" s="573" t="s">
        <v>3374</v>
      </c>
      <c r="E2116" s="573" t="s">
        <v>152</v>
      </c>
      <c r="F2116" s="573" t="s">
        <v>271</v>
      </c>
      <c r="G2116" s="573">
        <v>2019</v>
      </c>
      <c r="H2116" s="573" t="s">
        <v>3765</v>
      </c>
      <c r="I2116" s="573" t="s">
        <v>3916</v>
      </c>
      <c r="J2116" s="573" t="s">
        <v>752</v>
      </c>
      <c r="K2116" s="573">
        <v>3</v>
      </c>
      <c r="L2116" s="573">
        <v>0</v>
      </c>
      <c r="M2116" s="573" t="s">
        <v>157</v>
      </c>
      <c r="N2116" s="573">
        <v>1</v>
      </c>
      <c r="O2116" s="573" t="s">
        <v>3846</v>
      </c>
      <c r="P2116" s="571">
        <v>7600</v>
      </c>
      <c r="Q2116" s="573" t="s">
        <v>3768</v>
      </c>
      <c r="R2116" s="573">
        <v>6</v>
      </c>
      <c r="S2116" s="582" t="s">
        <v>3878</v>
      </c>
      <c r="T2116" s="573" t="s">
        <v>318</v>
      </c>
      <c r="U2116" s="573">
        <v>141.1</v>
      </c>
      <c r="V2116" s="573">
        <v>23</v>
      </c>
      <c r="W2116" s="616">
        <v>6050</v>
      </c>
      <c r="X2116" s="617">
        <v>20</v>
      </c>
      <c r="Y2116" s="617" t="s">
        <v>178</v>
      </c>
      <c r="Z2116" s="617" t="s">
        <v>178</v>
      </c>
      <c r="AA2116" s="618">
        <v>40375</v>
      </c>
      <c r="AB2116" s="618" t="s">
        <v>164</v>
      </c>
      <c r="AC2116" s="618">
        <v>29800</v>
      </c>
      <c r="AD2116" s="619">
        <v>0.01</v>
      </c>
      <c r="AE2116" s="617" t="s">
        <v>3966</v>
      </c>
    </row>
    <row r="2117" spans="1:31" s="572" customFormat="1">
      <c r="A2117" s="570" t="s">
        <v>3975</v>
      </c>
      <c r="B2117" s="569" t="s">
        <v>278</v>
      </c>
      <c r="C2117" s="580">
        <v>15</v>
      </c>
      <c r="D2117" s="569" t="s">
        <v>3374</v>
      </c>
      <c r="E2117" s="569" t="s">
        <v>152</v>
      </c>
      <c r="F2117" s="569" t="s">
        <v>271</v>
      </c>
      <c r="G2117" s="569">
        <v>2019</v>
      </c>
      <c r="H2117" s="569" t="s">
        <v>3765</v>
      </c>
      <c r="I2117" s="569" t="s">
        <v>3916</v>
      </c>
      <c r="J2117" s="569" t="s">
        <v>752</v>
      </c>
      <c r="K2117" s="569">
        <v>3</v>
      </c>
      <c r="L2117" s="569">
        <v>0</v>
      </c>
      <c r="M2117" s="569" t="s">
        <v>157</v>
      </c>
      <c r="N2117" s="569">
        <v>1</v>
      </c>
      <c r="O2117" s="569" t="s">
        <v>3846</v>
      </c>
      <c r="P2117" s="568">
        <v>7600</v>
      </c>
      <c r="Q2117" s="569" t="s">
        <v>3778</v>
      </c>
      <c r="R2117" s="569">
        <v>8</v>
      </c>
      <c r="S2117" s="569" t="s">
        <v>3878</v>
      </c>
      <c r="T2117" s="569" t="s">
        <v>318</v>
      </c>
      <c r="U2117" s="569">
        <v>141.1</v>
      </c>
      <c r="V2117" s="569">
        <v>23</v>
      </c>
      <c r="W2117" s="620">
        <v>6400</v>
      </c>
      <c r="X2117" s="621">
        <v>17</v>
      </c>
      <c r="Y2117" s="621" t="s">
        <v>450</v>
      </c>
      <c r="Z2117" s="621" t="s">
        <v>178</v>
      </c>
      <c r="AA2117" s="622">
        <v>41375</v>
      </c>
      <c r="AB2117" s="622" t="s">
        <v>164</v>
      </c>
      <c r="AC2117" s="622">
        <v>30750</v>
      </c>
      <c r="AD2117" s="623">
        <v>0.01</v>
      </c>
      <c r="AE2117" s="621" t="s">
        <v>3968</v>
      </c>
    </row>
    <row r="2118" spans="1:31" s="572" customFormat="1">
      <c r="A2118" s="570" t="s">
        <v>3976</v>
      </c>
      <c r="B2118" s="573" t="s">
        <v>287</v>
      </c>
      <c r="C2118" s="578">
        <v>26</v>
      </c>
      <c r="D2118" s="573" t="s">
        <v>3374</v>
      </c>
      <c r="E2118" s="573" t="s">
        <v>152</v>
      </c>
      <c r="F2118" s="573" t="s">
        <v>271</v>
      </c>
      <c r="G2118" s="573">
        <v>2019</v>
      </c>
      <c r="H2118" s="573" t="s">
        <v>3765</v>
      </c>
      <c r="I2118" s="573" t="s">
        <v>3916</v>
      </c>
      <c r="J2118" s="573" t="s">
        <v>752</v>
      </c>
      <c r="K2118" s="573">
        <v>3</v>
      </c>
      <c r="L2118" s="573">
        <v>0</v>
      </c>
      <c r="M2118" s="573" t="s">
        <v>157</v>
      </c>
      <c r="N2118" s="573">
        <v>1</v>
      </c>
      <c r="O2118" s="573" t="s">
        <v>3781</v>
      </c>
      <c r="P2118" s="571">
        <v>7600</v>
      </c>
      <c r="Q2118" s="573" t="s">
        <v>3768</v>
      </c>
      <c r="R2118" s="573">
        <v>6</v>
      </c>
      <c r="S2118" s="582" t="s">
        <v>3878</v>
      </c>
      <c r="T2118" s="573" t="s">
        <v>318</v>
      </c>
      <c r="U2118" s="573">
        <v>122.4</v>
      </c>
      <c r="V2118" s="573">
        <v>23</v>
      </c>
      <c r="W2118" s="616">
        <v>6050</v>
      </c>
      <c r="X2118" s="617">
        <v>20</v>
      </c>
      <c r="Y2118" s="617" t="s">
        <v>178</v>
      </c>
      <c r="Z2118" s="617" t="s">
        <v>178</v>
      </c>
      <c r="AA2118" s="618">
        <v>40075</v>
      </c>
      <c r="AB2118" s="618" t="s">
        <v>164</v>
      </c>
      <c r="AC2118" s="618">
        <v>29983</v>
      </c>
      <c r="AD2118" s="619">
        <v>0.05</v>
      </c>
      <c r="AE2118" s="617" t="s">
        <v>3956</v>
      </c>
    </row>
    <row r="2119" spans="1:31" s="572" customFormat="1">
      <c r="A2119" s="570" t="s">
        <v>3977</v>
      </c>
      <c r="B2119" s="569" t="s">
        <v>287</v>
      </c>
      <c r="C2119" s="580">
        <v>26</v>
      </c>
      <c r="D2119" s="569" t="s">
        <v>3374</v>
      </c>
      <c r="E2119" s="569" t="s">
        <v>152</v>
      </c>
      <c r="F2119" s="569" t="s">
        <v>271</v>
      </c>
      <c r="G2119" s="569">
        <v>2019</v>
      </c>
      <c r="H2119" s="569" t="s">
        <v>3765</v>
      </c>
      <c r="I2119" s="569" t="s">
        <v>3916</v>
      </c>
      <c r="J2119" s="569" t="s">
        <v>752</v>
      </c>
      <c r="K2119" s="569">
        <v>3</v>
      </c>
      <c r="L2119" s="569">
        <v>0</v>
      </c>
      <c r="M2119" s="569" t="s">
        <v>157</v>
      </c>
      <c r="N2119" s="569">
        <v>1</v>
      </c>
      <c r="O2119" s="569" t="s">
        <v>3781</v>
      </c>
      <c r="P2119" s="568">
        <v>7600</v>
      </c>
      <c r="Q2119" s="569" t="s">
        <v>3778</v>
      </c>
      <c r="R2119" s="569">
        <v>8</v>
      </c>
      <c r="S2119" s="569" t="s">
        <v>3878</v>
      </c>
      <c r="T2119" s="569" t="s">
        <v>318</v>
      </c>
      <c r="U2119" s="569">
        <v>122.4</v>
      </c>
      <c r="V2119" s="569">
        <v>23</v>
      </c>
      <c r="W2119" s="620">
        <v>6400</v>
      </c>
      <c r="X2119" s="621">
        <v>17</v>
      </c>
      <c r="Y2119" s="621" t="s">
        <v>450</v>
      </c>
      <c r="Z2119" s="621" t="s">
        <v>178</v>
      </c>
      <c r="AA2119" s="622">
        <v>41075</v>
      </c>
      <c r="AB2119" s="622" t="s">
        <v>164</v>
      </c>
      <c r="AC2119" s="622">
        <v>30893</v>
      </c>
      <c r="AD2119" s="623">
        <v>0.05</v>
      </c>
      <c r="AE2119" s="621" t="s">
        <v>3958</v>
      </c>
    </row>
    <row r="2120" spans="1:31" s="572" customFormat="1">
      <c r="A2120" s="570" t="s">
        <v>3978</v>
      </c>
      <c r="B2120" s="573" t="s">
        <v>287</v>
      </c>
      <c r="C2120" s="578">
        <v>26</v>
      </c>
      <c r="D2120" s="573" t="s">
        <v>3374</v>
      </c>
      <c r="E2120" s="573" t="s">
        <v>152</v>
      </c>
      <c r="F2120" s="573" t="s">
        <v>271</v>
      </c>
      <c r="G2120" s="573">
        <v>2019</v>
      </c>
      <c r="H2120" s="573" t="s">
        <v>3765</v>
      </c>
      <c r="I2120" s="573" t="s">
        <v>3916</v>
      </c>
      <c r="J2120" s="573" t="s">
        <v>752</v>
      </c>
      <c r="K2120" s="573">
        <v>3</v>
      </c>
      <c r="L2120" s="573">
        <v>0</v>
      </c>
      <c r="M2120" s="573" t="s">
        <v>157</v>
      </c>
      <c r="N2120" s="573">
        <v>1</v>
      </c>
      <c r="O2120" s="573" t="s">
        <v>3781</v>
      </c>
      <c r="P2120" s="571">
        <v>7700</v>
      </c>
      <c r="Q2120" s="573" t="s">
        <v>1322</v>
      </c>
      <c r="R2120" s="573">
        <v>6</v>
      </c>
      <c r="S2120" s="582" t="s">
        <v>3878</v>
      </c>
      <c r="T2120" s="573" t="s">
        <v>318</v>
      </c>
      <c r="U2120" s="573">
        <v>122.4</v>
      </c>
      <c r="V2120" s="573">
        <v>23</v>
      </c>
      <c r="W2120" s="616">
        <v>6050</v>
      </c>
      <c r="X2120" s="617">
        <v>20</v>
      </c>
      <c r="Y2120" s="617" t="s">
        <v>178</v>
      </c>
      <c r="Z2120" s="617" t="s">
        <v>178</v>
      </c>
      <c r="AA2120" s="618">
        <v>39080</v>
      </c>
      <c r="AB2120" s="618" t="s">
        <v>164</v>
      </c>
      <c r="AC2120" s="618">
        <v>29078</v>
      </c>
      <c r="AD2120" s="619">
        <v>0.05</v>
      </c>
      <c r="AE2120" s="617" t="s">
        <v>3979</v>
      </c>
    </row>
    <row r="2121" spans="1:31" s="572" customFormat="1">
      <c r="A2121" s="570" t="s">
        <v>3980</v>
      </c>
      <c r="B2121" s="569" t="s">
        <v>287</v>
      </c>
      <c r="C2121" s="580">
        <v>26</v>
      </c>
      <c r="D2121" s="569" t="s">
        <v>3374</v>
      </c>
      <c r="E2121" s="569" t="s">
        <v>152</v>
      </c>
      <c r="F2121" s="569" t="s">
        <v>271</v>
      </c>
      <c r="G2121" s="569">
        <v>2019</v>
      </c>
      <c r="H2121" s="569" t="s">
        <v>3765</v>
      </c>
      <c r="I2121" s="569" t="s">
        <v>3916</v>
      </c>
      <c r="J2121" s="569" t="s">
        <v>752</v>
      </c>
      <c r="K2121" s="569">
        <v>3</v>
      </c>
      <c r="L2121" s="569">
        <v>0</v>
      </c>
      <c r="M2121" s="569" t="s">
        <v>157</v>
      </c>
      <c r="N2121" s="569">
        <v>1</v>
      </c>
      <c r="O2121" s="569" t="s">
        <v>3846</v>
      </c>
      <c r="P2121" s="568">
        <v>10700</v>
      </c>
      <c r="Q2121" s="569" t="s">
        <v>1259</v>
      </c>
      <c r="R2121" s="569">
        <v>6</v>
      </c>
      <c r="S2121" s="569" t="s">
        <v>3878</v>
      </c>
      <c r="T2121" s="569" t="s">
        <v>318</v>
      </c>
      <c r="U2121" s="569">
        <v>141.1</v>
      </c>
      <c r="V2121" s="569">
        <v>23</v>
      </c>
      <c r="W2121" s="620">
        <v>6800</v>
      </c>
      <c r="X2121" s="621">
        <v>19</v>
      </c>
      <c r="Y2121" s="621" t="s">
        <v>178</v>
      </c>
      <c r="Z2121" s="621" t="s">
        <v>178</v>
      </c>
      <c r="AA2121" s="622">
        <v>41975</v>
      </c>
      <c r="AB2121" s="622" t="s">
        <v>164</v>
      </c>
      <c r="AC2121" s="622">
        <v>31715</v>
      </c>
      <c r="AD2121" s="623">
        <v>0.05</v>
      </c>
      <c r="AE2121" s="621" t="s">
        <v>3962</v>
      </c>
    </row>
    <row r="2122" spans="1:31" s="572" customFormat="1">
      <c r="A2122" s="570" t="s">
        <v>3981</v>
      </c>
      <c r="B2122" s="573" t="s">
        <v>287</v>
      </c>
      <c r="C2122" s="578">
        <v>26</v>
      </c>
      <c r="D2122" s="573" t="s">
        <v>3374</v>
      </c>
      <c r="E2122" s="573" t="s">
        <v>152</v>
      </c>
      <c r="F2122" s="573" t="s">
        <v>271</v>
      </c>
      <c r="G2122" s="573">
        <v>2019</v>
      </c>
      <c r="H2122" s="573" t="s">
        <v>3765</v>
      </c>
      <c r="I2122" s="573" t="s">
        <v>3916</v>
      </c>
      <c r="J2122" s="573" t="s">
        <v>752</v>
      </c>
      <c r="K2122" s="573">
        <v>3</v>
      </c>
      <c r="L2122" s="573">
        <v>0</v>
      </c>
      <c r="M2122" s="573" t="s">
        <v>157</v>
      </c>
      <c r="N2122" s="573">
        <v>1</v>
      </c>
      <c r="O2122" s="573" t="s">
        <v>3846</v>
      </c>
      <c r="P2122" s="571">
        <v>7600</v>
      </c>
      <c r="Q2122" s="573" t="s">
        <v>3768</v>
      </c>
      <c r="R2122" s="573">
        <v>6</v>
      </c>
      <c r="S2122" s="582" t="s">
        <v>3878</v>
      </c>
      <c r="T2122" s="573" t="s">
        <v>318</v>
      </c>
      <c r="U2122" s="573">
        <v>141.1</v>
      </c>
      <c r="V2122" s="573">
        <v>23</v>
      </c>
      <c r="W2122" s="616">
        <v>6050</v>
      </c>
      <c r="X2122" s="617">
        <v>20</v>
      </c>
      <c r="Y2122" s="617" t="s">
        <v>178</v>
      </c>
      <c r="Z2122" s="617" t="s">
        <v>178</v>
      </c>
      <c r="AA2122" s="618">
        <v>40375</v>
      </c>
      <c r="AB2122" s="618" t="s">
        <v>164</v>
      </c>
      <c r="AC2122" s="618">
        <v>30260</v>
      </c>
      <c r="AD2122" s="619">
        <v>0.05</v>
      </c>
      <c r="AE2122" s="617" t="s">
        <v>3966</v>
      </c>
    </row>
    <row r="2123" spans="1:31" s="572" customFormat="1">
      <c r="A2123" s="570" t="s">
        <v>3982</v>
      </c>
      <c r="B2123" s="569" t="s">
        <v>287</v>
      </c>
      <c r="C2123" s="580">
        <v>26</v>
      </c>
      <c r="D2123" s="569" t="s">
        <v>3374</v>
      </c>
      <c r="E2123" s="569" t="s">
        <v>152</v>
      </c>
      <c r="F2123" s="569" t="s">
        <v>271</v>
      </c>
      <c r="G2123" s="569">
        <v>2019</v>
      </c>
      <c r="H2123" s="569" t="s">
        <v>3765</v>
      </c>
      <c r="I2123" s="569" t="s">
        <v>3916</v>
      </c>
      <c r="J2123" s="569" t="s">
        <v>752</v>
      </c>
      <c r="K2123" s="569">
        <v>3</v>
      </c>
      <c r="L2123" s="569">
        <v>0</v>
      </c>
      <c r="M2123" s="569" t="s">
        <v>157</v>
      </c>
      <c r="N2123" s="569">
        <v>1</v>
      </c>
      <c r="O2123" s="569" t="s">
        <v>3846</v>
      </c>
      <c r="P2123" s="568">
        <v>7600</v>
      </c>
      <c r="Q2123" s="569" t="s">
        <v>3778</v>
      </c>
      <c r="R2123" s="569">
        <v>8</v>
      </c>
      <c r="S2123" s="569" t="s">
        <v>3878</v>
      </c>
      <c r="T2123" s="569" t="s">
        <v>318</v>
      </c>
      <c r="U2123" s="569">
        <v>141.1</v>
      </c>
      <c r="V2123" s="569">
        <v>23</v>
      </c>
      <c r="W2123" s="620">
        <v>6400</v>
      </c>
      <c r="X2123" s="621">
        <v>17</v>
      </c>
      <c r="Y2123" s="621" t="s">
        <v>450</v>
      </c>
      <c r="Z2123" s="621" t="s">
        <v>178</v>
      </c>
      <c r="AA2123" s="622">
        <v>41375</v>
      </c>
      <c r="AB2123" s="622" t="s">
        <v>164</v>
      </c>
      <c r="AC2123" s="622">
        <v>31170</v>
      </c>
      <c r="AD2123" s="623">
        <v>0.05</v>
      </c>
      <c r="AE2123" s="621" t="s">
        <v>3968</v>
      </c>
    </row>
    <row r="2124" spans="1:31" s="572" customFormat="1">
      <c r="A2124" s="570" t="s">
        <v>3983</v>
      </c>
      <c r="B2124" s="573" t="s">
        <v>287</v>
      </c>
      <c r="C2124" s="578">
        <v>26</v>
      </c>
      <c r="D2124" s="573" t="s">
        <v>3374</v>
      </c>
      <c r="E2124" s="573" t="s">
        <v>152</v>
      </c>
      <c r="F2124" s="573" t="s">
        <v>271</v>
      </c>
      <c r="G2124" s="573">
        <v>2019</v>
      </c>
      <c r="H2124" s="573" t="s">
        <v>3765</v>
      </c>
      <c r="I2124" s="573" t="s">
        <v>3916</v>
      </c>
      <c r="J2124" s="573" t="s">
        <v>752</v>
      </c>
      <c r="K2124" s="573">
        <v>3</v>
      </c>
      <c r="L2124" s="573">
        <v>0</v>
      </c>
      <c r="M2124" s="573" t="s">
        <v>157</v>
      </c>
      <c r="N2124" s="573">
        <v>1</v>
      </c>
      <c r="O2124" s="573" t="s">
        <v>3846</v>
      </c>
      <c r="P2124" s="571">
        <v>7700</v>
      </c>
      <c r="Q2124" s="573" t="s">
        <v>1322</v>
      </c>
      <c r="R2124" s="573">
        <v>6</v>
      </c>
      <c r="S2124" s="582" t="s">
        <v>3878</v>
      </c>
      <c r="T2124" s="573" t="s">
        <v>318</v>
      </c>
      <c r="U2124" s="573">
        <v>141.1</v>
      </c>
      <c r="V2124" s="573">
        <v>23</v>
      </c>
      <c r="W2124" s="616">
        <v>6100</v>
      </c>
      <c r="X2124" s="617">
        <v>20</v>
      </c>
      <c r="Y2124" s="617" t="s">
        <v>178</v>
      </c>
      <c r="Z2124" s="617" t="s">
        <v>178</v>
      </c>
      <c r="AA2124" s="618">
        <v>29380</v>
      </c>
      <c r="AB2124" s="618" t="s">
        <v>164</v>
      </c>
      <c r="AC2124" s="618">
        <v>29354</v>
      </c>
      <c r="AD2124" s="619">
        <v>0.05</v>
      </c>
      <c r="AE2124" s="617" t="s">
        <v>3984</v>
      </c>
    </row>
    <row r="2125" spans="1:31" s="572" customFormat="1">
      <c r="A2125" s="570" t="s">
        <v>3985</v>
      </c>
      <c r="B2125" s="569" t="s">
        <v>280</v>
      </c>
      <c r="C2125" s="580">
        <v>27</v>
      </c>
      <c r="D2125" s="569" t="s">
        <v>3374</v>
      </c>
      <c r="E2125" s="569" t="s">
        <v>152</v>
      </c>
      <c r="F2125" s="569" t="s">
        <v>271</v>
      </c>
      <c r="G2125" s="569">
        <v>2019</v>
      </c>
      <c r="H2125" s="569" t="s">
        <v>3765</v>
      </c>
      <c r="I2125" s="569" t="s">
        <v>3916</v>
      </c>
      <c r="J2125" s="569" t="s">
        <v>752</v>
      </c>
      <c r="K2125" s="569">
        <v>3</v>
      </c>
      <c r="L2125" s="569">
        <v>0</v>
      </c>
      <c r="M2125" s="569" t="s">
        <v>157</v>
      </c>
      <c r="N2125" s="569">
        <v>1</v>
      </c>
      <c r="O2125" s="569" t="s">
        <v>3781</v>
      </c>
      <c r="P2125" s="568" t="s">
        <v>157</v>
      </c>
      <c r="Q2125" s="569" t="s">
        <v>3778</v>
      </c>
      <c r="R2125" s="569">
        <v>8</v>
      </c>
      <c r="S2125" s="569" t="s">
        <v>3878</v>
      </c>
      <c r="T2125" s="569" t="s">
        <v>318</v>
      </c>
      <c r="U2125" s="569">
        <v>122.4</v>
      </c>
      <c r="V2125" s="569">
        <v>23</v>
      </c>
      <c r="W2125" s="620">
        <v>6400</v>
      </c>
      <c r="X2125" s="621">
        <v>18</v>
      </c>
      <c r="Y2125" s="621" t="s">
        <v>450</v>
      </c>
      <c r="Z2125" s="621" t="s">
        <v>178</v>
      </c>
      <c r="AA2125" s="622">
        <v>41075</v>
      </c>
      <c r="AB2125" s="622" t="s">
        <v>164</v>
      </c>
      <c r="AC2125" s="622">
        <v>30348.084210526318</v>
      </c>
      <c r="AD2125" s="623">
        <v>0.03</v>
      </c>
      <c r="AE2125" s="621" t="s">
        <v>3952</v>
      </c>
    </row>
    <row r="2126" spans="1:31" s="572" customFormat="1">
      <c r="A2126" s="570" t="s">
        <v>3986</v>
      </c>
      <c r="B2126" s="573" t="s">
        <v>280</v>
      </c>
      <c r="C2126" s="578">
        <v>27</v>
      </c>
      <c r="D2126" s="573" t="s">
        <v>3374</v>
      </c>
      <c r="E2126" s="573" t="s">
        <v>152</v>
      </c>
      <c r="F2126" s="573" t="s">
        <v>271</v>
      </c>
      <c r="G2126" s="573">
        <v>2019</v>
      </c>
      <c r="H2126" s="573" t="s">
        <v>3765</v>
      </c>
      <c r="I2126" s="573" t="s">
        <v>3916</v>
      </c>
      <c r="J2126" s="573" t="s">
        <v>752</v>
      </c>
      <c r="K2126" s="573">
        <v>3</v>
      </c>
      <c r="L2126" s="573">
        <v>0</v>
      </c>
      <c r="M2126" s="573" t="s">
        <v>157</v>
      </c>
      <c r="N2126" s="573">
        <v>1</v>
      </c>
      <c r="O2126" s="573" t="s">
        <v>3781</v>
      </c>
      <c r="P2126" s="571">
        <v>7500</v>
      </c>
      <c r="Q2126" s="573" t="s">
        <v>3772</v>
      </c>
      <c r="R2126" s="573">
        <v>6</v>
      </c>
      <c r="S2126" s="582" t="s">
        <v>3878</v>
      </c>
      <c r="T2126" s="573" t="s">
        <v>318</v>
      </c>
      <c r="U2126" s="573">
        <v>122.4</v>
      </c>
      <c r="V2126" s="573">
        <v>23</v>
      </c>
      <c r="W2126" s="616">
        <v>6050</v>
      </c>
      <c r="X2126" s="617">
        <v>20</v>
      </c>
      <c r="Y2126" s="617" t="s">
        <v>450</v>
      </c>
      <c r="Z2126" s="617" t="s">
        <v>178</v>
      </c>
      <c r="AA2126" s="618">
        <v>39080</v>
      </c>
      <c r="AB2126" s="618" t="s">
        <v>164</v>
      </c>
      <c r="AC2126" s="618">
        <v>28557.557894736845</v>
      </c>
      <c r="AD2126" s="619">
        <v>0.03</v>
      </c>
      <c r="AE2126" s="617" t="s">
        <v>3954</v>
      </c>
    </row>
    <row r="2127" spans="1:31" s="572" customFormat="1">
      <c r="A2127" s="570" t="s">
        <v>3987</v>
      </c>
      <c r="B2127" s="569" t="s">
        <v>280</v>
      </c>
      <c r="C2127" s="580">
        <v>27</v>
      </c>
      <c r="D2127" s="569" t="s">
        <v>3374</v>
      </c>
      <c r="E2127" s="569" t="s">
        <v>152</v>
      </c>
      <c r="F2127" s="569" t="s">
        <v>271</v>
      </c>
      <c r="G2127" s="569">
        <v>2019</v>
      </c>
      <c r="H2127" s="569" t="s">
        <v>3765</v>
      </c>
      <c r="I2127" s="569" t="s">
        <v>3916</v>
      </c>
      <c r="J2127" s="569" t="s">
        <v>752</v>
      </c>
      <c r="K2127" s="569">
        <v>3</v>
      </c>
      <c r="L2127" s="569">
        <v>0</v>
      </c>
      <c r="M2127" s="569" t="s">
        <v>157</v>
      </c>
      <c r="N2127" s="569">
        <v>1</v>
      </c>
      <c r="O2127" s="569" t="s">
        <v>3781</v>
      </c>
      <c r="P2127" s="568">
        <v>7600</v>
      </c>
      <c r="Q2127" s="569" t="s">
        <v>3768</v>
      </c>
      <c r="R2127" s="569">
        <v>6</v>
      </c>
      <c r="S2127" s="569" t="s">
        <v>3878</v>
      </c>
      <c r="T2127" s="569" t="s">
        <v>318</v>
      </c>
      <c r="U2127" s="569">
        <v>122.4</v>
      </c>
      <c r="V2127" s="569">
        <v>23</v>
      </c>
      <c r="W2127" s="620">
        <v>6050</v>
      </c>
      <c r="X2127" s="621">
        <v>21</v>
      </c>
      <c r="Y2127" s="621" t="s">
        <v>178</v>
      </c>
      <c r="Z2127" s="621" t="s">
        <v>178</v>
      </c>
      <c r="AA2127" s="622">
        <v>40075</v>
      </c>
      <c r="AB2127" s="622" t="s">
        <v>164</v>
      </c>
      <c r="AC2127" s="622">
        <v>29451.242105263158</v>
      </c>
      <c r="AD2127" s="623">
        <v>0.03</v>
      </c>
      <c r="AE2127" s="621" t="s">
        <v>3956</v>
      </c>
    </row>
    <row r="2128" spans="1:31" s="572" customFormat="1">
      <c r="A2128" s="570" t="s">
        <v>3988</v>
      </c>
      <c r="B2128" s="573" t="s">
        <v>280</v>
      </c>
      <c r="C2128" s="578">
        <v>27</v>
      </c>
      <c r="D2128" s="573" t="s">
        <v>3374</v>
      </c>
      <c r="E2128" s="573" t="s">
        <v>152</v>
      </c>
      <c r="F2128" s="573" t="s">
        <v>271</v>
      </c>
      <c r="G2128" s="573">
        <v>2019</v>
      </c>
      <c r="H2128" s="573" t="s">
        <v>3765</v>
      </c>
      <c r="I2128" s="573" t="s">
        <v>3916</v>
      </c>
      <c r="J2128" s="573" t="s">
        <v>752</v>
      </c>
      <c r="K2128" s="573">
        <v>3</v>
      </c>
      <c r="L2128" s="573">
        <v>0</v>
      </c>
      <c r="M2128" s="573" t="s">
        <v>157</v>
      </c>
      <c r="N2128" s="573">
        <v>1</v>
      </c>
      <c r="O2128" s="573" t="s">
        <v>3781</v>
      </c>
      <c r="P2128" s="571">
        <v>7600</v>
      </c>
      <c r="Q2128" s="573" t="s">
        <v>3778</v>
      </c>
      <c r="R2128" s="573">
        <v>8</v>
      </c>
      <c r="S2128" s="582" t="s">
        <v>3878</v>
      </c>
      <c r="T2128" s="573" t="s">
        <v>318</v>
      </c>
      <c r="U2128" s="573">
        <v>122.4</v>
      </c>
      <c r="V2128" s="573">
        <v>23</v>
      </c>
      <c r="W2128" s="616">
        <v>6400</v>
      </c>
      <c r="X2128" s="617">
        <v>18</v>
      </c>
      <c r="Y2128" s="617" t="s">
        <v>450</v>
      </c>
      <c r="Z2128" s="617" t="s">
        <v>178</v>
      </c>
      <c r="AA2128" s="618">
        <v>41075</v>
      </c>
      <c r="AB2128" s="618" t="s">
        <v>164</v>
      </c>
      <c r="AC2128" s="618">
        <v>30348.084210526318</v>
      </c>
      <c r="AD2128" s="619">
        <v>0.03</v>
      </c>
      <c r="AE2128" s="617" t="s">
        <v>3958</v>
      </c>
    </row>
    <row r="2129" spans="1:31" s="572" customFormat="1">
      <c r="A2129" s="570" t="s">
        <v>3989</v>
      </c>
      <c r="B2129" s="569" t="s">
        <v>280</v>
      </c>
      <c r="C2129" s="580">
        <v>27</v>
      </c>
      <c r="D2129" s="569" t="s">
        <v>3374</v>
      </c>
      <c r="E2129" s="569" t="s">
        <v>152</v>
      </c>
      <c r="F2129" s="569" t="s">
        <v>271</v>
      </c>
      <c r="G2129" s="569">
        <v>2019</v>
      </c>
      <c r="H2129" s="569" t="s">
        <v>3765</v>
      </c>
      <c r="I2129" s="569" t="s">
        <v>3916</v>
      </c>
      <c r="J2129" s="569" t="s">
        <v>752</v>
      </c>
      <c r="K2129" s="569">
        <v>3</v>
      </c>
      <c r="L2129" s="569">
        <v>0</v>
      </c>
      <c r="M2129" s="569" t="s">
        <v>157</v>
      </c>
      <c r="N2129" s="569">
        <v>1</v>
      </c>
      <c r="O2129" s="569" t="s">
        <v>3846</v>
      </c>
      <c r="P2129" s="568" t="s">
        <v>157</v>
      </c>
      <c r="Q2129" s="569" t="s">
        <v>3778</v>
      </c>
      <c r="R2129" s="569">
        <v>8</v>
      </c>
      <c r="S2129" s="569" t="s">
        <v>3878</v>
      </c>
      <c r="T2129" s="569" t="s">
        <v>318</v>
      </c>
      <c r="U2129" s="569">
        <v>141.1</v>
      </c>
      <c r="V2129" s="569">
        <v>23</v>
      </c>
      <c r="W2129" s="620">
        <v>6400</v>
      </c>
      <c r="X2129" s="621">
        <v>18</v>
      </c>
      <c r="Y2129" s="621" t="s">
        <v>450</v>
      </c>
      <c r="Z2129" s="621" t="s">
        <v>178</v>
      </c>
      <c r="AA2129" s="622">
        <v>41375</v>
      </c>
      <c r="AB2129" s="622" t="s">
        <v>164</v>
      </c>
      <c r="AC2129" s="622">
        <v>30620.715789473685</v>
      </c>
      <c r="AD2129" s="623">
        <v>0.03</v>
      </c>
      <c r="AE2129" s="621" t="s">
        <v>3960</v>
      </c>
    </row>
    <row r="2130" spans="1:31" s="572" customFormat="1">
      <c r="A2130" s="570" t="s">
        <v>3990</v>
      </c>
      <c r="B2130" s="573" t="s">
        <v>280</v>
      </c>
      <c r="C2130" s="578">
        <v>27</v>
      </c>
      <c r="D2130" s="573" t="s">
        <v>3374</v>
      </c>
      <c r="E2130" s="573" t="s">
        <v>152</v>
      </c>
      <c r="F2130" s="573" t="s">
        <v>271</v>
      </c>
      <c r="G2130" s="573">
        <v>2019</v>
      </c>
      <c r="H2130" s="573" t="s">
        <v>3765</v>
      </c>
      <c r="I2130" s="573" t="s">
        <v>3916</v>
      </c>
      <c r="J2130" s="573" t="s">
        <v>752</v>
      </c>
      <c r="K2130" s="573">
        <v>3</v>
      </c>
      <c r="L2130" s="573">
        <v>0</v>
      </c>
      <c r="M2130" s="573" t="s">
        <v>157</v>
      </c>
      <c r="N2130" s="573">
        <v>1</v>
      </c>
      <c r="O2130" s="573" t="s">
        <v>3846</v>
      </c>
      <c r="P2130" s="571">
        <v>10700</v>
      </c>
      <c r="Q2130" s="573" t="s">
        <v>1259</v>
      </c>
      <c r="R2130" s="573">
        <v>6</v>
      </c>
      <c r="S2130" s="582" t="s">
        <v>3878</v>
      </c>
      <c r="T2130" s="573" t="s">
        <v>318</v>
      </c>
      <c r="U2130" s="573">
        <v>141.1</v>
      </c>
      <c r="V2130" s="573">
        <v>23</v>
      </c>
      <c r="W2130" s="616">
        <v>6800</v>
      </c>
      <c r="X2130" s="617">
        <v>19</v>
      </c>
      <c r="Y2130" s="617" t="s">
        <v>178</v>
      </c>
      <c r="Z2130" s="617" t="s">
        <v>178</v>
      </c>
      <c r="AA2130" s="618">
        <v>41975</v>
      </c>
      <c r="AB2130" s="618" t="s">
        <v>164</v>
      </c>
      <c r="AC2130" s="618">
        <v>31159.663157894738</v>
      </c>
      <c r="AD2130" s="619">
        <v>0.03</v>
      </c>
      <c r="AE2130" s="617" t="s">
        <v>3962</v>
      </c>
    </row>
    <row r="2131" spans="1:31" s="572" customFormat="1">
      <c r="A2131" s="570" t="s">
        <v>3991</v>
      </c>
      <c r="B2131" s="569" t="s">
        <v>280</v>
      </c>
      <c r="C2131" s="580">
        <v>27</v>
      </c>
      <c r="D2131" s="569" t="s">
        <v>3374</v>
      </c>
      <c r="E2131" s="569" t="s">
        <v>152</v>
      </c>
      <c r="F2131" s="569" t="s">
        <v>271</v>
      </c>
      <c r="G2131" s="569">
        <v>2019</v>
      </c>
      <c r="H2131" s="569" t="s">
        <v>3765</v>
      </c>
      <c r="I2131" s="569" t="s">
        <v>3916</v>
      </c>
      <c r="J2131" s="569" t="s">
        <v>752</v>
      </c>
      <c r="K2131" s="569">
        <v>3</v>
      </c>
      <c r="L2131" s="569">
        <v>0</v>
      </c>
      <c r="M2131" s="569" t="s">
        <v>157</v>
      </c>
      <c r="N2131" s="569">
        <v>1</v>
      </c>
      <c r="O2131" s="569" t="s">
        <v>3846</v>
      </c>
      <c r="P2131" s="568">
        <v>7400</v>
      </c>
      <c r="Q2131" s="569" t="s">
        <v>3772</v>
      </c>
      <c r="R2131" s="569">
        <v>6</v>
      </c>
      <c r="S2131" s="569" t="s">
        <v>3878</v>
      </c>
      <c r="T2131" s="569" t="s">
        <v>318</v>
      </c>
      <c r="U2131" s="569">
        <v>141.1</v>
      </c>
      <c r="V2131" s="569">
        <v>23</v>
      </c>
      <c r="W2131" s="620">
        <v>6050</v>
      </c>
      <c r="X2131" s="621">
        <v>18</v>
      </c>
      <c r="Y2131" s="621" t="s">
        <v>450</v>
      </c>
      <c r="Z2131" s="621" t="s">
        <v>178</v>
      </c>
      <c r="AA2131" s="622">
        <v>39380</v>
      </c>
      <c r="AB2131" s="622" t="s">
        <v>164</v>
      </c>
      <c r="AC2131" s="622">
        <v>28830.189473684211</v>
      </c>
      <c r="AD2131" s="623">
        <v>0.03</v>
      </c>
      <c r="AE2131" s="621" t="s">
        <v>3964</v>
      </c>
    </row>
    <row r="2132" spans="1:31" s="572" customFormat="1">
      <c r="A2132" s="570" t="s">
        <v>3992</v>
      </c>
      <c r="B2132" s="573" t="s">
        <v>280</v>
      </c>
      <c r="C2132" s="578">
        <v>27</v>
      </c>
      <c r="D2132" s="573" t="s">
        <v>3374</v>
      </c>
      <c r="E2132" s="573" t="s">
        <v>152</v>
      </c>
      <c r="F2132" s="573" t="s">
        <v>271</v>
      </c>
      <c r="G2132" s="573">
        <v>2019</v>
      </c>
      <c r="H2132" s="573" t="s">
        <v>3765</v>
      </c>
      <c r="I2132" s="573" t="s">
        <v>3916</v>
      </c>
      <c r="J2132" s="573" t="s">
        <v>752</v>
      </c>
      <c r="K2132" s="573">
        <v>3</v>
      </c>
      <c r="L2132" s="573">
        <v>0</v>
      </c>
      <c r="M2132" s="573" t="s">
        <v>157</v>
      </c>
      <c r="N2132" s="573">
        <v>1</v>
      </c>
      <c r="O2132" s="573" t="s">
        <v>3846</v>
      </c>
      <c r="P2132" s="571">
        <v>7600</v>
      </c>
      <c r="Q2132" s="573" t="s">
        <v>3768</v>
      </c>
      <c r="R2132" s="573">
        <v>6</v>
      </c>
      <c r="S2132" s="582" t="s">
        <v>3878</v>
      </c>
      <c r="T2132" s="573" t="s">
        <v>318</v>
      </c>
      <c r="U2132" s="573">
        <v>141.1</v>
      </c>
      <c r="V2132" s="573">
        <v>23</v>
      </c>
      <c r="W2132" s="616">
        <v>6050</v>
      </c>
      <c r="X2132" s="617">
        <v>21</v>
      </c>
      <c r="Y2132" s="617" t="s">
        <v>178</v>
      </c>
      <c r="Z2132" s="617" t="s">
        <v>178</v>
      </c>
      <c r="AA2132" s="618">
        <v>40375</v>
      </c>
      <c r="AB2132" s="618" t="s">
        <v>164</v>
      </c>
      <c r="AC2132" s="618">
        <v>29723.873684210528</v>
      </c>
      <c r="AD2132" s="619">
        <v>0.03</v>
      </c>
      <c r="AE2132" s="617" t="s">
        <v>3966</v>
      </c>
    </row>
    <row r="2133" spans="1:31" s="572" customFormat="1">
      <c r="A2133" s="570" t="s">
        <v>3993</v>
      </c>
      <c r="B2133" s="569" t="s">
        <v>280</v>
      </c>
      <c r="C2133" s="580">
        <v>27</v>
      </c>
      <c r="D2133" s="569" t="s">
        <v>3374</v>
      </c>
      <c r="E2133" s="569" t="s">
        <v>152</v>
      </c>
      <c r="F2133" s="569" t="s">
        <v>271</v>
      </c>
      <c r="G2133" s="569">
        <v>2019</v>
      </c>
      <c r="H2133" s="569" t="s">
        <v>3765</v>
      </c>
      <c r="I2133" s="569" t="s">
        <v>3916</v>
      </c>
      <c r="J2133" s="569" t="s">
        <v>752</v>
      </c>
      <c r="K2133" s="569">
        <v>3</v>
      </c>
      <c r="L2133" s="569">
        <v>0</v>
      </c>
      <c r="M2133" s="569" t="s">
        <v>157</v>
      </c>
      <c r="N2133" s="569">
        <v>1</v>
      </c>
      <c r="O2133" s="569" t="s">
        <v>3846</v>
      </c>
      <c r="P2133" s="568">
        <v>7600</v>
      </c>
      <c r="Q2133" s="569" t="s">
        <v>3778</v>
      </c>
      <c r="R2133" s="569">
        <v>8</v>
      </c>
      <c r="S2133" s="569" t="s">
        <v>3878</v>
      </c>
      <c r="T2133" s="569" t="s">
        <v>318</v>
      </c>
      <c r="U2133" s="569">
        <v>141.1</v>
      </c>
      <c r="V2133" s="569">
        <v>23</v>
      </c>
      <c r="W2133" s="620">
        <v>6400</v>
      </c>
      <c r="X2133" s="621">
        <v>18</v>
      </c>
      <c r="Y2133" s="621" t="s">
        <v>450</v>
      </c>
      <c r="Z2133" s="621" t="s">
        <v>178</v>
      </c>
      <c r="AA2133" s="622">
        <v>41375</v>
      </c>
      <c r="AB2133" s="622" t="s">
        <v>164</v>
      </c>
      <c r="AC2133" s="622">
        <v>30620.715789473685</v>
      </c>
      <c r="AD2133" s="623">
        <v>0.03</v>
      </c>
      <c r="AE2133" s="621" t="s">
        <v>3968</v>
      </c>
    </row>
    <row r="2134" spans="1:31" s="572" customFormat="1">
      <c r="A2134" s="570" t="s">
        <v>3994</v>
      </c>
      <c r="B2134" s="573" t="s">
        <v>269</v>
      </c>
      <c r="C2134" s="578" t="s">
        <v>270</v>
      </c>
      <c r="D2134" s="573" t="s">
        <v>3374</v>
      </c>
      <c r="E2134" s="573" t="s">
        <v>152</v>
      </c>
      <c r="F2134" s="573" t="s">
        <v>271</v>
      </c>
      <c r="G2134" s="573">
        <v>2019</v>
      </c>
      <c r="H2134" s="573" t="s">
        <v>3765</v>
      </c>
      <c r="I2134" s="573" t="s">
        <v>3996</v>
      </c>
      <c r="J2134" s="573" t="s">
        <v>3377</v>
      </c>
      <c r="K2134" s="573">
        <v>6</v>
      </c>
      <c r="L2134" s="573">
        <v>0</v>
      </c>
      <c r="M2134" s="573" t="s">
        <v>157</v>
      </c>
      <c r="N2134" s="573">
        <v>2</v>
      </c>
      <c r="O2134" s="573" t="s">
        <v>3781</v>
      </c>
      <c r="P2134" s="571">
        <v>10800</v>
      </c>
      <c r="Q2134" s="573" t="s">
        <v>1259</v>
      </c>
      <c r="R2134" s="573">
        <v>6</v>
      </c>
      <c r="S2134" s="582" t="s">
        <v>3997</v>
      </c>
      <c r="T2134" s="573" t="s">
        <v>276</v>
      </c>
      <c r="U2134" s="573">
        <v>145</v>
      </c>
      <c r="V2134" s="573">
        <v>23</v>
      </c>
      <c r="W2134" s="616">
        <v>6900</v>
      </c>
      <c r="X2134" s="617">
        <v>21</v>
      </c>
      <c r="Y2134" s="617" t="s">
        <v>178</v>
      </c>
      <c r="Z2134" s="617" t="s">
        <v>178</v>
      </c>
      <c r="AA2134" s="618">
        <v>36330</v>
      </c>
      <c r="AB2134" s="618" t="s">
        <v>164</v>
      </c>
      <c r="AC2134" s="618">
        <v>25028.084210526318</v>
      </c>
      <c r="AD2134" s="619">
        <v>0.03</v>
      </c>
      <c r="AE2134" s="617" t="s">
        <v>3995</v>
      </c>
    </row>
    <row r="2135" spans="1:31" s="572" customFormat="1">
      <c r="A2135" s="570" t="s">
        <v>3998</v>
      </c>
      <c r="B2135" s="569" t="s">
        <v>269</v>
      </c>
      <c r="C2135" s="580" t="s">
        <v>270</v>
      </c>
      <c r="D2135" s="569" t="s">
        <v>3374</v>
      </c>
      <c r="E2135" s="569" t="s">
        <v>152</v>
      </c>
      <c r="F2135" s="569" t="s">
        <v>271</v>
      </c>
      <c r="G2135" s="569">
        <v>2019</v>
      </c>
      <c r="H2135" s="569" t="s">
        <v>3765</v>
      </c>
      <c r="I2135" s="569" t="s">
        <v>3996</v>
      </c>
      <c r="J2135" s="569" t="s">
        <v>3377</v>
      </c>
      <c r="K2135" s="569">
        <v>6</v>
      </c>
      <c r="L2135" s="569">
        <v>0</v>
      </c>
      <c r="M2135" s="569" t="s">
        <v>157</v>
      </c>
      <c r="N2135" s="569">
        <v>2</v>
      </c>
      <c r="O2135" s="569" t="s">
        <v>3781</v>
      </c>
      <c r="P2135" s="568">
        <v>5100</v>
      </c>
      <c r="Q2135" s="569" t="s">
        <v>3772</v>
      </c>
      <c r="R2135" s="569">
        <v>6</v>
      </c>
      <c r="S2135" s="569" t="s">
        <v>3997</v>
      </c>
      <c r="T2135" s="569" t="s">
        <v>276</v>
      </c>
      <c r="U2135" s="569">
        <v>145</v>
      </c>
      <c r="V2135" s="569">
        <v>23</v>
      </c>
      <c r="W2135" s="620">
        <v>6100</v>
      </c>
      <c r="X2135" s="621">
        <v>22</v>
      </c>
      <c r="Y2135" s="621" t="s">
        <v>450</v>
      </c>
      <c r="Z2135" s="621" t="s">
        <v>178</v>
      </c>
      <c r="AA2135" s="622">
        <v>33735</v>
      </c>
      <c r="AB2135" s="622" t="s">
        <v>164</v>
      </c>
      <c r="AC2135" s="622">
        <v>22698.610526315792</v>
      </c>
      <c r="AD2135" s="623">
        <v>0.03</v>
      </c>
      <c r="AE2135" s="621" t="s">
        <v>3999</v>
      </c>
    </row>
    <row r="2136" spans="1:31" s="572" customFormat="1">
      <c r="A2136" s="570" t="s">
        <v>4000</v>
      </c>
      <c r="B2136" s="573" t="s">
        <v>269</v>
      </c>
      <c r="C2136" s="578" t="s">
        <v>270</v>
      </c>
      <c r="D2136" s="573" t="s">
        <v>3374</v>
      </c>
      <c r="E2136" s="573" t="s">
        <v>152</v>
      </c>
      <c r="F2136" s="573" t="s">
        <v>271</v>
      </c>
      <c r="G2136" s="573">
        <v>2019</v>
      </c>
      <c r="H2136" s="573" t="s">
        <v>3765</v>
      </c>
      <c r="I2136" s="573" t="s">
        <v>3996</v>
      </c>
      <c r="J2136" s="573" t="s">
        <v>3377</v>
      </c>
      <c r="K2136" s="573">
        <v>6</v>
      </c>
      <c r="L2136" s="573">
        <v>0</v>
      </c>
      <c r="M2136" s="573" t="s">
        <v>157</v>
      </c>
      <c r="N2136" s="573">
        <v>2</v>
      </c>
      <c r="O2136" s="573" t="s">
        <v>3781</v>
      </c>
      <c r="P2136" s="571">
        <v>7600</v>
      </c>
      <c r="Q2136" s="573" t="s">
        <v>3841</v>
      </c>
      <c r="R2136" s="573">
        <v>6</v>
      </c>
      <c r="S2136" s="582" t="s">
        <v>3997</v>
      </c>
      <c r="T2136" s="573" t="s">
        <v>276</v>
      </c>
      <c r="U2136" s="573">
        <v>145</v>
      </c>
      <c r="V2136" s="573">
        <v>23</v>
      </c>
      <c r="W2136" s="616">
        <v>6250</v>
      </c>
      <c r="X2136" s="617">
        <v>22</v>
      </c>
      <c r="Y2136" s="617" t="s">
        <v>178</v>
      </c>
      <c r="Z2136" s="617" t="s">
        <v>178</v>
      </c>
      <c r="AA2136" s="618">
        <v>34730</v>
      </c>
      <c r="AB2136" s="618" t="s">
        <v>164</v>
      </c>
      <c r="AC2136" s="618">
        <v>23592.294736842108</v>
      </c>
      <c r="AD2136" s="619">
        <v>0.03</v>
      </c>
      <c r="AE2136" s="617" t="s">
        <v>4001</v>
      </c>
    </row>
    <row r="2137" spans="1:31" s="572" customFormat="1">
      <c r="A2137" s="570" t="s">
        <v>4002</v>
      </c>
      <c r="B2137" s="569" t="s">
        <v>269</v>
      </c>
      <c r="C2137" s="580" t="s">
        <v>270</v>
      </c>
      <c r="D2137" s="569" t="s">
        <v>3374</v>
      </c>
      <c r="E2137" s="569" t="s">
        <v>152</v>
      </c>
      <c r="F2137" s="569" t="s">
        <v>271</v>
      </c>
      <c r="G2137" s="569">
        <v>2019</v>
      </c>
      <c r="H2137" s="569" t="s">
        <v>3765</v>
      </c>
      <c r="I2137" s="569" t="s">
        <v>3996</v>
      </c>
      <c r="J2137" s="569" t="s">
        <v>3377</v>
      </c>
      <c r="K2137" s="569">
        <v>6</v>
      </c>
      <c r="L2137" s="569">
        <v>0</v>
      </c>
      <c r="M2137" s="569" t="s">
        <v>157</v>
      </c>
      <c r="N2137" s="569">
        <v>2</v>
      </c>
      <c r="O2137" s="569" t="s">
        <v>3781</v>
      </c>
      <c r="P2137" s="568">
        <v>9200</v>
      </c>
      <c r="Q2137" s="569" t="s">
        <v>3778</v>
      </c>
      <c r="R2137" s="569">
        <v>8</v>
      </c>
      <c r="S2137" s="569" t="s">
        <v>3997</v>
      </c>
      <c r="T2137" s="569" t="s">
        <v>276</v>
      </c>
      <c r="U2137" s="569">
        <v>145</v>
      </c>
      <c r="V2137" s="569">
        <v>23</v>
      </c>
      <c r="W2137" s="620">
        <v>6900</v>
      </c>
      <c r="X2137" s="621">
        <v>19</v>
      </c>
      <c r="Y2137" s="621" t="s">
        <v>450</v>
      </c>
      <c r="Z2137" s="621" t="s">
        <v>178</v>
      </c>
      <c r="AA2137" s="622">
        <v>35730</v>
      </c>
      <c r="AB2137" s="622" t="s">
        <v>164</v>
      </c>
      <c r="AC2137" s="622">
        <v>24489.136842105265</v>
      </c>
      <c r="AD2137" s="623">
        <v>0.03</v>
      </c>
      <c r="AE2137" s="621" t="s">
        <v>4003</v>
      </c>
    </row>
    <row r="2138" spans="1:31" s="572" customFormat="1">
      <c r="A2138" s="570" t="s">
        <v>4004</v>
      </c>
      <c r="B2138" s="573" t="s">
        <v>269</v>
      </c>
      <c r="C2138" s="578" t="s">
        <v>270</v>
      </c>
      <c r="D2138" s="573" t="s">
        <v>3374</v>
      </c>
      <c r="E2138" s="573" t="s">
        <v>152</v>
      </c>
      <c r="F2138" s="573" t="s">
        <v>271</v>
      </c>
      <c r="G2138" s="573">
        <v>2019</v>
      </c>
      <c r="H2138" s="573" t="s">
        <v>3765</v>
      </c>
      <c r="I2138" s="573" t="s">
        <v>3996</v>
      </c>
      <c r="J2138" s="573" t="s">
        <v>3377</v>
      </c>
      <c r="K2138" s="573">
        <v>6</v>
      </c>
      <c r="L2138" s="573">
        <v>0</v>
      </c>
      <c r="M2138" s="573" t="s">
        <v>157</v>
      </c>
      <c r="N2138" s="573">
        <v>2</v>
      </c>
      <c r="O2138" s="573" t="s">
        <v>3846</v>
      </c>
      <c r="P2138" s="571">
        <v>10700</v>
      </c>
      <c r="Q2138" s="573" t="s">
        <v>1259</v>
      </c>
      <c r="R2138" s="573">
        <v>6</v>
      </c>
      <c r="S2138" s="582" t="s">
        <v>3997</v>
      </c>
      <c r="T2138" s="573" t="s">
        <v>276</v>
      </c>
      <c r="U2138" s="573">
        <v>163.69999999999999</v>
      </c>
      <c r="V2138" s="573">
        <v>23</v>
      </c>
      <c r="W2138" s="616">
        <v>7050</v>
      </c>
      <c r="X2138" s="617">
        <v>21</v>
      </c>
      <c r="Y2138" s="617" t="s">
        <v>178</v>
      </c>
      <c r="Z2138" s="617" t="s">
        <v>178</v>
      </c>
      <c r="AA2138" s="618">
        <v>36640</v>
      </c>
      <c r="AB2138" s="618" t="s">
        <v>164</v>
      </c>
      <c r="AC2138" s="618">
        <v>25348.084210526318</v>
      </c>
      <c r="AD2138" s="619">
        <v>0.03</v>
      </c>
      <c r="AE2138" s="617" t="s">
        <v>4005</v>
      </c>
    </row>
    <row r="2139" spans="1:31" s="572" customFormat="1">
      <c r="A2139" s="570" t="s">
        <v>4006</v>
      </c>
      <c r="B2139" s="569" t="s">
        <v>269</v>
      </c>
      <c r="C2139" s="580" t="s">
        <v>270</v>
      </c>
      <c r="D2139" s="569" t="s">
        <v>3374</v>
      </c>
      <c r="E2139" s="569" t="s">
        <v>152</v>
      </c>
      <c r="F2139" s="569" t="s">
        <v>271</v>
      </c>
      <c r="G2139" s="569">
        <v>2019</v>
      </c>
      <c r="H2139" s="569" t="s">
        <v>3765</v>
      </c>
      <c r="I2139" s="569" t="s">
        <v>3996</v>
      </c>
      <c r="J2139" s="569" t="s">
        <v>3377</v>
      </c>
      <c r="K2139" s="569">
        <v>6</v>
      </c>
      <c r="L2139" s="569">
        <v>0</v>
      </c>
      <c r="M2139" s="569" t="s">
        <v>157</v>
      </c>
      <c r="N2139" s="569">
        <v>2</v>
      </c>
      <c r="O2139" s="569" t="s">
        <v>3846</v>
      </c>
      <c r="P2139" s="568">
        <v>7600</v>
      </c>
      <c r="Q2139" s="569" t="s">
        <v>3841</v>
      </c>
      <c r="R2139" s="569">
        <v>6</v>
      </c>
      <c r="S2139" s="569" t="s">
        <v>3997</v>
      </c>
      <c r="T2139" s="569" t="s">
        <v>276</v>
      </c>
      <c r="U2139" s="569">
        <v>163.69999999999999</v>
      </c>
      <c r="V2139" s="569">
        <v>23</v>
      </c>
      <c r="W2139" s="620">
        <v>6500</v>
      </c>
      <c r="X2139" s="621">
        <v>22</v>
      </c>
      <c r="Y2139" s="621" t="s">
        <v>178</v>
      </c>
      <c r="Z2139" s="621" t="s">
        <v>178</v>
      </c>
      <c r="AA2139" s="622">
        <v>35040</v>
      </c>
      <c r="AB2139" s="622" t="s">
        <v>164</v>
      </c>
      <c r="AC2139" s="622">
        <v>23912.294736842108</v>
      </c>
      <c r="AD2139" s="623">
        <v>0.03</v>
      </c>
      <c r="AE2139" s="621" t="s">
        <v>4007</v>
      </c>
    </row>
    <row r="2140" spans="1:31" s="572" customFormat="1">
      <c r="A2140" s="570" t="s">
        <v>4008</v>
      </c>
      <c r="B2140" s="573" t="s">
        <v>269</v>
      </c>
      <c r="C2140" s="578" t="s">
        <v>270</v>
      </c>
      <c r="D2140" s="573" t="s">
        <v>3374</v>
      </c>
      <c r="E2140" s="573" t="s">
        <v>152</v>
      </c>
      <c r="F2140" s="573" t="s">
        <v>271</v>
      </c>
      <c r="G2140" s="573">
        <v>2019</v>
      </c>
      <c r="H2140" s="573" t="s">
        <v>3765</v>
      </c>
      <c r="I2140" s="573" t="s">
        <v>3996</v>
      </c>
      <c r="J2140" s="573" t="s">
        <v>3377</v>
      </c>
      <c r="K2140" s="573">
        <v>6</v>
      </c>
      <c r="L2140" s="573">
        <v>0</v>
      </c>
      <c r="M2140" s="573" t="s">
        <v>157</v>
      </c>
      <c r="N2140" s="573">
        <v>2</v>
      </c>
      <c r="O2140" s="573" t="s">
        <v>3846</v>
      </c>
      <c r="P2140" s="571">
        <v>9200</v>
      </c>
      <c r="Q2140" s="573" t="s">
        <v>3778</v>
      </c>
      <c r="R2140" s="573">
        <v>8</v>
      </c>
      <c r="S2140" s="582" t="s">
        <v>3997</v>
      </c>
      <c r="T2140" s="573" t="s">
        <v>276</v>
      </c>
      <c r="U2140" s="573">
        <v>163.69999999999999</v>
      </c>
      <c r="V2140" s="573">
        <v>23</v>
      </c>
      <c r="W2140" s="616">
        <v>7000</v>
      </c>
      <c r="X2140" s="617">
        <v>19</v>
      </c>
      <c r="Y2140" s="617" t="s">
        <v>450</v>
      </c>
      <c r="Z2140" s="617" t="s">
        <v>178</v>
      </c>
      <c r="AA2140" s="618">
        <v>36040</v>
      </c>
      <c r="AB2140" s="618" t="s">
        <v>164</v>
      </c>
      <c r="AC2140" s="618">
        <v>24809.136842105265</v>
      </c>
      <c r="AD2140" s="619">
        <v>0.03</v>
      </c>
      <c r="AE2140" s="617" t="s">
        <v>4009</v>
      </c>
    </row>
    <row r="2141" spans="1:31" s="572" customFormat="1">
      <c r="A2141" s="570" t="s">
        <v>4010</v>
      </c>
      <c r="B2141" s="569" t="s">
        <v>278</v>
      </c>
      <c r="C2141" s="580">
        <v>15</v>
      </c>
      <c r="D2141" s="569" t="s">
        <v>3374</v>
      </c>
      <c r="E2141" s="569" t="s">
        <v>152</v>
      </c>
      <c r="F2141" s="569" t="s">
        <v>271</v>
      </c>
      <c r="G2141" s="569">
        <v>2019</v>
      </c>
      <c r="H2141" s="569" t="s">
        <v>3765</v>
      </c>
      <c r="I2141" s="569" t="s">
        <v>3996</v>
      </c>
      <c r="J2141" s="569" t="s">
        <v>3377</v>
      </c>
      <c r="K2141" s="569">
        <v>6</v>
      </c>
      <c r="L2141" s="569">
        <v>0</v>
      </c>
      <c r="M2141" s="569" t="s">
        <v>157</v>
      </c>
      <c r="N2141" s="569">
        <v>2</v>
      </c>
      <c r="O2141" s="569" t="s">
        <v>3781</v>
      </c>
      <c r="P2141" s="568">
        <v>10800</v>
      </c>
      <c r="Q2141" s="569" t="s">
        <v>1259</v>
      </c>
      <c r="R2141" s="569">
        <v>6</v>
      </c>
      <c r="S2141" s="569" t="s">
        <v>3997</v>
      </c>
      <c r="T2141" s="569" t="s">
        <v>276</v>
      </c>
      <c r="U2141" s="569">
        <v>145</v>
      </c>
      <c r="V2141" s="569">
        <v>23</v>
      </c>
      <c r="W2141" s="620">
        <v>6900</v>
      </c>
      <c r="X2141" s="621">
        <v>20</v>
      </c>
      <c r="Y2141" s="621" t="s">
        <v>178</v>
      </c>
      <c r="Z2141" s="621" t="s">
        <v>178</v>
      </c>
      <c r="AA2141" s="622">
        <v>36330</v>
      </c>
      <c r="AB2141" s="622" t="s">
        <v>164</v>
      </c>
      <c r="AC2141" s="622">
        <v>25100</v>
      </c>
      <c r="AD2141" s="623">
        <v>0.01</v>
      </c>
      <c r="AE2141" s="621" t="s">
        <v>3995</v>
      </c>
    </row>
    <row r="2142" spans="1:31" s="572" customFormat="1">
      <c r="A2142" s="570" t="s">
        <v>4011</v>
      </c>
      <c r="B2142" s="573" t="s">
        <v>278</v>
      </c>
      <c r="C2142" s="578">
        <v>15</v>
      </c>
      <c r="D2142" s="573" t="s">
        <v>3374</v>
      </c>
      <c r="E2142" s="573" t="s">
        <v>152</v>
      </c>
      <c r="F2142" s="573" t="s">
        <v>271</v>
      </c>
      <c r="G2142" s="573">
        <v>2019</v>
      </c>
      <c r="H2142" s="573" t="s">
        <v>3765</v>
      </c>
      <c r="I2142" s="573" t="s">
        <v>3996</v>
      </c>
      <c r="J2142" s="573" t="s">
        <v>3377</v>
      </c>
      <c r="K2142" s="573">
        <v>6</v>
      </c>
      <c r="L2142" s="573">
        <v>0</v>
      </c>
      <c r="M2142" s="573" t="s">
        <v>157</v>
      </c>
      <c r="N2142" s="573">
        <v>2</v>
      </c>
      <c r="O2142" s="573" t="s">
        <v>3781</v>
      </c>
      <c r="P2142" s="571">
        <v>5100</v>
      </c>
      <c r="Q2142" s="573" t="s">
        <v>3772</v>
      </c>
      <c r="R2142" s="573">
        <v>6</v>
      </c>
      <c r="S2142" s="582" t="s">
        <v>3997</v>
      </c>
      <c r="T2142" s="573" t="s">
        <v>276</v>
      </c>
      <c r="U2142" s="573">
        <v>145</v>
      </c>
      <c r="V2142" s="573">
        <v>23</v>
      </c>
      <c r="W2142" s="616">
        <v>6100</v>
      </c>
      <c r="X2142" s="617">
        <v>20</v>
      </c>
      <c r="Y2142" s="617" t="s">
        <v>450</v>
      </c>
      <c r="Z2142" s="617" t="s">
        <v>178</v>
      </c>
      <c r="AA2142" s="618">
        <v>33735</v>
      </c>
      <c r="AB2142" s="618" t="s">
        <v>164</v>
      </c>
      <c r="AC2142" s="618">
        <v>22700</v>
      </c>
      <c r="AD2142" s="619">
        <v>0.01</v>
      </c>
      <c r="AE2142" s="617" t="s">
        <v>3999</v>
      </c>
    </row>
    <row r="2143" spans="1:31" s="572" customFormat="1">
      <c r="A2143" s="570" t="s">
        <v>4012</v>
      </c>
      <c r="B2143" s="569" t="s">
        <v>278</v>
      </c>
      <c r="C2143" s="580">
        <v>15</v>
      </c>
      <c r="D2143" s="569" t="s">
        <v>3374</v>
      </c>
      <c r="E2143" s="569" t="s">
        <v>152</v>
      </c>
      <c r="F2143" s="569" t="s">
        <v>271</v>
      </c>
      <c r="G2143" s="569">
        <v>2019</v>
      </c>
      <c r="H2143" s="569" t="s">
        <v>3765</v>
      </c>
      <c r="I2143" s="569" t="s">
        <v>3996</v>
      </c>
      <c r="J2143" s="569" t="s">
        <v>3377</v>
      </c>
      <c r="K2143" s="569">
        <v>6</v>
      </c>
      <c r="L2143" s="569">
        <v>0</v>
      </c>
      <c r="M2143" s="569" t="s">
        <v>157</v>
      </c>
      <c r="N2143" s="569">
        <v>2</v>
      </c>
      <c r="O2143" s="569" t="s">
        <v>3781</v>
      </c>
      <c r="P2143" s="568">
        <v>7600</v>
      </c>
      <c r="Q2143" s="569" t="s">
        <v>3841</v>
      </c>
      <c r="R2143" s="569">
        <v>6</v>
      </c>
      <c r="S2143" s="569" t="s">
        <v>3997</v>
      </c>
      <c r="T2143" s="569" t="s">
        <v>276</v>
      </c>
      <c r="U2143" s="569">
        <v>145</v>
      </c>
      <c r="V2143" s="569">
        <v>23</v>
      </c>
      <c r="W2143" s="620">
        <v>6250</v>
      </c>
      <c r="X2143" s="621">
        <v>22</v>
      </c>
      <c r="Y2143" s="621" t="s">
        <v>178</v>
      </c>
      <c r="Z2143" s="621" t="s">
        <v>178</v>
      </c>
      <c r="AA2143" s="622">
        <v>34730</v>
      </c>
      <c r="AB2143" s="622" t="s">
        <v>164</v>
      </c>
      <c r="AC2143" s="622">
        <v>23650</v>
      </c>
      <c r="AD2143" s="623">
        <v>0.01</v>
      </c>
      <c r="AE2143" s="621" t="s">
        <v>4001</v>
      </c>
    </row>
    <row r="2144" spans="1:31" s="572" customFormat="1">
      <c r="A2144" s="570" t="s">
        <v>4013</v>
      </c>
      <c r="B2144" s="573" t="s">
        <v>278</v>
      </c>
      <c r="C2144" s="578">
        <v>15</v>
      </c>
      <c r="D2144" s="573" t="s">
        <v>3374</v>
      </c>
      <c r="E2144" s="573" t="s">
        <v>152</v>
      </c>
      <c r="F2144" s="573" t="s">
        <v>271</v>
      </c>
      <c r="G2144" s="573">
        <v>2019</v>
      </c>
      <c r="H2144" s="573" t="s">
        <v>3765</v>
      </c>
      <c r="I2144" s="573" t="s">
        <v>3996</v>
      </c>
      <c r="J2144" s="573" t="s">
        <v>3377</v>
      </c>
      <c r="K2144" s="573">
        <v>6</v>
      </c>
      <c r="L2144" s="573">
        <v>0</v>
      </c>
      <c r="M2144" s="573" t="s">
        <v>157</v>
      </c>
      <c r="N2144" s="573">
        <v>2</v>
      </c>
      <c r="O2144" s="573" t="s">
        <v>3781</v>
      </c>
      <c r="P2144" s="571">
        <v>9200</v>
      </c>
      <c r="Q2144" s="573" t="s">
        <v>3778</v>
      </c>
      <c r="R2144" s="573">
        <v>8</v>
      </c>
      <c r="S2144" s="582" t="s">
        <v>3997</v>
      </c>
      <c r="T2144" s="573" t="s">
        <v>276</v>
      </c>
      <c r="U2144" s="573">
        <v>145</v>
      </c>
      <c r="V2144" s="573">
        <v>23</v>
      </c>
      <c r="W2144" s="616">
        <v>6900</v>
      </c>
      <c r="X2144" s="617">
        <v>18</v>
      </c>
      <c r="Y2144" s="617" t="s">
        <v>450</v>
      </c>
      <c r="Z2144" s="617" t="s">
        <v>178</v>
      </c>
      <c r="AA2144" s="618">
        <v>35730</v>
      </c>
      <c r="AB2144" s="618" t="s">
        <v>164</v>
      </c>
      <c r="AC2144" s="618">
        <v>24500</v>
      </c>
      <c r="AD2144" s="619">
        <v>0.01</v>
      </c>
      <c r="AE2144" s="617" t="s">
        <v>4003</v>
      </c>
    </row>
    <row r="2145" spans="1:31" s="572" customFormat="1">
      <c r="A2145" s="570" t="s">
        <v>4014</v>
      </c>
      <c r="B2145" s="569" t="s">
        <v>278</v>
      </c>
      <c r="C2145" s="580">
        <v>15</v>
      </c>
      <c r="D2145" s="569" t="s">
        <v>3374</v>
      </c>
      <c r="E2145" s="569" t="s">
        <v>152</v>
      </c>
      <c r="F2145" s="569" t="s">
        <v>271</v>
      </c>
      <c r="G2145" s="569">
        <v>2019</v>
      </c>
      <c r="H2145" s="569" t="s">
        <v>3765</v>
      </c>
      <c r="I2145" s="569" t="s">
        <v>3996</v>
      </c>
      <c r="J2145" s="569" t="s">
        <v>3377</v>
      </c>
      <c r="K2145" s="569">
        <v>6</v>
      </c>
      <c r="L2145" s="569">
        <v>0</v>
      </c>
      <c r="M2145" s="569" t="s">
        <v>157</v>
      </c>
      <c r="N2145" s="569">
        <v>2</v>
      </c>
      <c r="O2145" s="569" t="s">
        <v>3846</v>
      </c>
      <c r="P2145" s="568">
        <v>10700</v>
      </c>
      <c r="Q2145" s="569" t="s">
        <v>1259</v>
      </c>
      <c r="R2145" s="569">
        <v>6</v>
      </c>
      <c r="S2145" s="569" t="s">
        <v>3997</v>
      </c>
      <c r="T2145" s="569" t="s">
        <v>276</v>
      </c>
      <c r="U2145" s="569">
        <v>163.69999999999999</v>
      </c>
      <c r="V2145" s="569">
        <v>23</v>
      </c>
      <c r="W2145" s="620">
        <v>7050</v>
      </c>
      <c r="X2145" s="621">
        <v>20</v>
      </c>
      <c r="Y2145" s="621" t="s">
        <v>178</v>
      </c>
      <c r="Z2145" s="621" t="s">
        <v>178</v>
      </c>
      <c r="AA2145" s="622">
        <v>36640</v>
      </c>
      <c r="AB2145" s="622" t="s">
        <v>164</v>
      </c>
      <c r="AC2145" s="622">
        <v>25400</v>
      </c>
      <c r="AD2145" s="623">
        <v>0.01</v>
      </c>
      <c r="AE2145" s="621" t="s">
        <v>4005</v>
      </c>
    </row>
    <row r="2146" spans="1:31" s="572" customFormat="1">
      <c r="A2146" s="570" t="s">
        <v>4015</v>
      </c>
      <c r="B2146" s="573" t="s">
        <v>278</v>
      </c>
      <c r="C2146" s="578">
        <v>15</v>
      </c>
      <c r="D2146" s="573" t="s">
        <v>3374</v>
      </c>
      <c r="E2146" s="573" t="s">
        <v>152</v>
      </c>
      <c r="F2146" s="573" t="s">
        <v>271</v>
      </c>
      <c r="G2146" s="573">
        <v>2019</v>
      </c>
      <c r="H2146" s="573" t="s">
        <v>3765</v>
      </c>
      <c r="I2146" s="573" t="s">
        <v>3996</v>
      </c>
      <c r="J2146" s="573" t="s">
        <v>3377</v>
      </c>
      <c r="K2146" s="573">
        <v>6</v>
      </c>
      <c r="L2146" s="573">
        <v>0</v>
      </c>
      <c r="M2146" s="573" t="s">
        <v>157</v>
      </c>
      <c r="N2146" s="573">
        <v>2</v>
      </c>
      <c r="O2146" s="573" t="s">
        <v>3846</v>
      </c>
      <c r="P2146" s="571">
        <v>7600</v>
      </c>
      <c r="Q2146" s="573" t="s">
        <v>3841</v>
      </c>
      <c r="R2146" s="573">
        <v>6</v>
      </c>
      <c r="S2146" s="582" t="s">
        <v>3997</v>
      </c>
      <c r="T2146" s="573" t="s">
        <v>276</v>
      </c>
      <c r="U2146" s="573">
        <v>163.69999999999999</v>
      </c>
      <c r="V2146" s="573">
        <v>23</v>
      </c>
      <c r="W2146" s="616">
        <v>6500</v>
      </c>
      <c r="X2146" s="617">
        <v>22</v>
      </c>
      <c r="Y2146" s="617" t="s">
        <v>178</v>
      </c>
      <c r="Z2146" s="617" t="s">
        <v>178</v>
      </c>
      <c r="AA2146" s="618">
        <v>35040</v>
      </c>
      <c r="AB2146" s="618" t="s">
        <v>164</v>
      </c>
      <c r="AC2146" s="618">
        <v>23995</v>
      </c>
      <c r="AD2146" s="619">
        <v>0.01</v>
      </c>
      <c r="AE2146" s="617" t="s">
        <v>4007</v>
      </c>
    </row>
    <row r="2147" spans="1:31" s="572" customFormat="1">
      <c r="A2147" s="570" t="s">
        <v>4016</v>
      </c>
      <c r="B2147" s="569" t="s">
        <v>278</v>
      </c>
      <c r="C2147" s="580">
        <v>15</v>
      </c>
      <c r="D2147" s="569" t="s">
        <v>3374</v>
      </c>
      <c r="E2147" s="569" t="s">
        <v>152</v>
      </c>
      <c r="F2147" s="569" t="s">
        <v>271</v>
      </c>
      <c r="G2147" s="569">
        <v>2019</v>
      </c>
      <c r="H2147" s="569" t="s">
        <v>3765</v>
      </c>
      <c r="I2147" s="569" t="s">
        <v>3996</v>
      </c>
      <c r="J2147" s="569" t="s">
        <v>3377</v>
      </c>
      <c r="K2147" s="569">
        <v>6</v>
      </c>
      <c r="L2147" s="569">
        <v>0</v>
      </c>
      <c r="M2147" s="569" t="s">
        <v>157</v>
      </c>
      <c r="N2147" s="569">
        <v>2</v>
      </c>
      <c r="O2147" s="569" t="s">
        <v>3846</v>
      </c>
      <c r="P2147" s="568">
        <v>9200</v>
      </c>
      <c r="Q2147" s="569" t="s">
        <v>3778</v>
      </c>
      <c r="R2147" s="569">
        <v>8</v>
      </c>
      <c r="S2147" s="569" t="s">
        <v>3997</v>
      </c>
      <c r="T2147" s="569" t="s">
        <v>276</v>
      </c>
      <c r="U2147" s="569">
        <v>163.69999999999999</v>
      </c>
      <c r="V2147" s="569">
        <v>23</v>
      </c>
      <c r="W2147" s="620">
        <v>7000</v>
      </c>
      <c r="X2147" s="621">
        <v>18</v>
      </c>
      <c r="Y2147" s="621" t="s">
        <v>450</v>
      </c>
      <c r="Z2147" s="621" t="s">
        <v>178</v>
      </c>
      <c r="AA2147" s="622">
        <v>36040</v>
      </c>
      <c r="AB2147" s="622" t="s">
        <v>164</v>
      </c>
      <c r="AC2147" s="622">
        <v>24850</v>
      </c>
      <c r="AD2147" s="623">
        <v>0.01</v>
      </c>
      <c r="AE2147" s="621" t="s">
        <v>4009</v>
      </c>
    </row>
    <row r="2148" spans="1:31" s="572" customFormat="1">
      <c r="A2148" s="570" t="s">
        <v>4017</v>
      </c>
      <c r="B2148" s="573" t="s">
        <v>287</v>
      </c>
      <c r="C2148" s="578">
        <v>26</v>
      </c>
      <c r="D2148" s="573" t="s">
        <v>3374</v>
      </c>
      <c r="E2148" s="573" t="s">
        <v>152</v>
      </c>
      <c r="F2148" s="573" t="s">
        <v>271</v>
      </c>
      <c r="G2148" s="573">
        <v>2019</v>
      </c>
      <c r="H2148" s="573" t="s">
        <v>3765</v>
      </c>
      <c r="I2148" s="573" t="s">
        <v>3996</v>
      </c>
      <c r="J2148" s="573" t="s">
        <v>3377</v>
      </c>
      <c r="K2148" s="573">
        <v>6</v>
      </c>
      <c r="L2148" s="573">
        <v>0</v>
      </c>
      <c r="M2148" s="573" t="s">
        <v>157</v>
      </c>
      <c r="N2148" s="573">
        <v>2</v>
      </c>
      <c r="O2148" s="573" t="s">
        <v>3781</v>
      </c>
      <c r="P2148" s="571">
        <v>10800</v>
      </c>
      <c r="Q2148" s="573" t="s">
        <v>1259</v>
      </c>
      <c r="R2148" s="573">
        <v>6</v>
      </c>
      <c r="S2148" s="582" t="s">
        <v>3997</v>
      </c>
      <c r="T2148" s="573" t="s">
        <v>276</v>
      </c>
      <c r="U2148" s="573">
        <v>145</v>
      </c>
      <c r="V2148" s="573">
        <v>23</v>
      </c>
      <c r="W2148" s="616">
        <v>6900</v>
      </c>
      <c r="X2148" s="617">
        <v>20</v>
      </c>
      <c r="Y2148" s="617" t="s">
        <v>178</v>
      </c>
      <c r="Z2148" s="617" t="s">
        <v>178</v>
      </c>
      <c r="AA2148" s="618">
        <v>36330</v>
      </c>
      <c r="AB2148" s="618" t="s">
        <v>164</v>
      </c>
      <c r="AC2148" s="618">
        <v>25490</v>
      </c>
      <c r="AD2148" s="619">
        <v>0.05</v>
      </c>
      <c r="AE2148" s="617" t="s">
        <v>3995</v>
      </c>
    </row>
    <row r="2149" spans="1:31" s="572" customFormat="1">
      <c r="A2149" s="570" t="s">
        <v>4018</v>
      </c>
      <c r="B2149" s="569" t="s">
        <v>287</v>
      </c>
      <c r="C2149" s="580">
        <v>26</v>
      </c>
      <c r="D2149" s="569" t="s">
        <v>3374</v>
      </c>
      <c r="E2149" s="569" t="s">
        <v>152</v>
      </c>
      <c r="F2149" s="569" t="s">
        <v>271</v>
      </c>
      <c r="G2149" s="569">
        <v>2019</v>
      </c>
      <c r="H2149" s="569" t="s">
        <v>3765</v>
      </c>
      <c r="I2149" s="569" t="s">
        <v>3996</v>
      </c>
      <c r="J2149" s="569" t="s">
        <v>3377</v>
      </c>
      <c r="K2149" s="569">
        <v>6</v>
      </c>
      <c r="L2149" s="569">
        <v>0</v>
      </c>
      <c r="M2149" s="569" t="s">
        <v>157</v>
      </c>
      <c r="N2149" s="569">
        <v>2</v>
      </c>
      <c r="O2149" s="569" t="s">
        <v>3781</v>
      </c>
      <c r="P2149" s="568">
        <v>5100</v>
      </c>
      <c r="Q2149" s="569" t="s">
        <v>1322</v>
      </c>
      <c r="R2149" s="569">
        <v>6</v>
      </c>
      <c r="S2149" s="569" t="s">
        <v>3997</v>
      </c>
      <c r="T2149" s="569" t="s">
        <v>276</v>
      </c>
      <c r="U2149" s="569">
        <v>145</v>
      </c>
      <c r="V2149" s="569">
        <v>23</v>
      </c>
      <c r="W2149" s="620">
        <v>6100</v>
      </c>
      <c r="X2149" s="621">
        <v>20</v>
      </c>
      <c r="Y2149" s="621" t="s">
        <v>450</v>
      </c>
      <c r="Z2149" s="621" t="s">
        <v>178</v>
      </c>
      <c r="AA2149" s="622">
        <v>33735</v>
      </c>
      <c r="AB2149" s="622" t="s">
        <v>164</v>
      </c>
      <c r="AC2149" s="622">
        <v>23129</v>
      </c>
      <c r="AD2149" s="623">
        <v>0.05</v>
      </c>
      <c r="AE2149" s="621" t="s">
        <v>3999</v>
      </c>
    </row>
    <row r="2150" spans="1:31" s="572" customFormat="1">
      <c r="A2150" s="570" t="s">
        <v>4019</v>
      </c>
      <c r="B2150" s="573" t="s">
        <v>287</v>
      </c>
      <c r="C2150" s="578">
        <v>26</v>
      </c>
      <c r="D2150" s="573" t="s">
        <v>3374</v>
      </c>
      <c r="E2150" s="573" t="s">
        <v>152</v>
      </c>
      <c r="F2150" s="573" t="s">
        <v>271</v>
      </c>
      <c r="G2150" s="573">
        <v>2019</v>
      </c>
      <c r="H2150" s="573" t="s">
        <v>3765</v>
      </c>
      <c r="I2150" s="573" t="s">
        <v>3996</v>
      </c>
      <c r="J2150" s="573" t="s">
        <v>3377</v>
      </c>
      <c r="K2150" s="573">
        <v>6</v>
      </c>
      <c r="L2150" s="573">
        <v>0</v>
      </c>
      <c r="M2150" s="573" t="s">
        <v>157</v>
      </c>
      <c r="N2150" s="573">
        <v>2</v>
      </c>
      <c r="O2150" s="573" t="s">
        <v>3781</v>
      </c>
      <c r="P2150" s="571">
        <v>7600</v>
      </c>
      <c r="Q2150" s="573" t="s">
        <v>3841</v>
      </c>
      <c r="R2150" s="573">
        <v>6</v>
      </c>
      <c r="S2150" s="582" t="s">
        <v>3997</v>
      </c>
      <c r="T2150" s="573" t="s">
        <v>276</v>
      </c>
      <c r="U2150" s="573">
        <v>145</v>
      </c>
      <c r="V2150" s="573">
        <v>23</v>
      </c>
      <c r="W2150" s="616">
        <v>6250</v>
      </c>
      <c r="X2150" s="617">
        <v>22</v>
      </c>
      <c r="Y2150" s="617" t="s">
        <v>178</v>
      </c>
      <c r="Z2150" s="617" t="s">
        <v>178</v>
      </c>
      <c r="AA2150" s="618">
        <v>34730</v>
      </c>
      <c r="AB2150" s="618" t="s">
        <v>164</v>
      </c>
      <c r="AC2150" s="618">
        <v>24035</v>
      </c>
      <c r="AD2150" s="619">
        <v>0.05</v>
      </c>
      <c r="AE2150" s="617" t="s">
        <v>4001</v>
      </c>
    </row>
    <row r="2151" spans="1:31" s="572" customFormat="1">
      <c r="A2151" s="570" t="s">
        <v>4020</v>
      </c>
      <c r="B2151" s="569" t="s">
        <v>287</v>
      </c>
      <c r="C2151" s="580">
        <v>26</v>
      </c>
      <c r="D2151" s="569" t="s">
        <v>3374</v>
      </c>
      <c r="E2151" s="569" t="s">
        <v>152</v>
      </c>
      <c r="F2151" s="569" t="s">
        <v>271</v>
      </c>
      <c r="G2151" s="569">
        <v>2019</v>
      </c>
      <c r="H2151" s="569" t="s">
        <v>3765</v>
      </c>
      <c r="I2151" s="569" t="s">
        <v>3996</v>
      </c>
      <c r="J2151" s="569" t="s">
        <v>3377</v>
      </c>
      <c r="K2151" s="569">
        <v>6</v>
      </c>
      <c r="L2151" s="569">
        <v>0</v>
      </c>
      <c r="M2151" s="569" t="s">
        <v>157</v>
      </c>
      <c r="N2151" s="569">
        <v>2</v>
      </c>
      <c r="O2151" s="569" t="s">
        <v>3781</v>
      </c>
      <c r="P2151" s="568">
        <v>9200</v>
      </c>
      <c r="Q2151" s="569" t="s">
        <v>3778</v>
      </c>
      <c r="R2151" s="569">
        <v>8</v>
      </c>
      <c r="S2151" s="569" t="s">
        <v>3997</v>
      </c>
      <c r="T2151" s="569" t="s">
        <v>276</v>
      </c>
      <c r="U2151" s="569">
        <v>145</v>
      </c>
      <c r="V2151" s="569">
        <v>23</v>
      </c>
      <c r="W2151" s="620">
        <v>6900</v>
      </c>
      <c r="X2151" s="621">
        <v>18</v>
      </c>
      <c r="Y2151" s="621" t="s">
        <v>450</v>
      </c>
      <c r="Z2151" s="621" t="s">
        <v>178</v>
      </c>
      <c r="AA2151" s="622">
        <v>35730</v>
      </c>
      <c r="AB2151" s="622" t="s">
        <v>164</v>
      </c>
      <c r="AC2151" s="622">
        <v>24945</v>
      </c>
      <c r="AD2151" s="623">
        <v>0.05</v>
      </c>
      <c r="AE2151" s="621" t="s">
        <v>4003</v>
      </c>
    </row>
    <row r="2152" spans="1:31" s="572" customFormat="1">
      <c r="A2152" s="570" t="s">
        <v>4021</v>
      </c>
      <c r="B2152" s="573" t="s">
        <v>287</v>
      </c>
      <c r="C2152" s="578">
        <v>26</v>
      </c>
      <c r="D2152" s="573" t="s">
        <v>3374</v>
      </c>
      <c r="E2152" s="573" t="s">
        <v>152</v>
      </c>
      <c r="F2152" s="573" t="s">
        <v>271</v>
      </c>
      <c r="G2152" s="573">
        <v>2019</v>
      </c>
      <c r="H2152" s="573" t="s">
        <v>3765</v>
      </c>
      <c r="I2152" s="573" t="s">
        <v>3996</v>
      </c>
      <c r="J2152" s="573" t="s">
        <v>3377</v>
      </c>
      <c r="K2152" s="573">
        <v>6</v>
      </c>
      <c r="L2152" s="573">
        <v>0</v>
      </c>
      <c r="M2152" s="573" t="s">
        <v>157</v>
      </c>
      <c r="N2152" s="573">
        <v>2</v>
      </c>
      <c r="O2152" s="573" t="s">
        <v>3846</v>
      </c>
      <c r="P2152" s="571">
        <v>10700</v>
      </c>
      <c r="Q2152" s="573" t="s">
        <v>1259</v>
      </c>
      <c r="R2152" s="573">
        <v>6</v>
      </c>
      <c r="S2152" s="582" t="s">
        <v>3997</v>
      </c>
      <c r="T2152" s="573" t="s">
        <v>276</v>
      </c>
      <c r="U2152" s="573">
        <v>163.69999999999999</v>
      </c>
      <c r="V2152" s="573">
        <v>23</v>
      </c>
      <c r="W2152" s="616">
        <v>7050</v>
      </c>
      <c r="X2152" s="617">
        <v>20</v>
      </c>
      <c r="Y2152" s="617" t="s">
        <v>178</v>
      </c>
      <c r="Z2152" s="617" t="s">
        <v>178</v>
      </c>
      <c r="AA2152" s="618">
        <v>36640</v>
      </c>
      <c r="AB2152" s="618" t="s">
        <v>164</v>
      </c>
      <c r="AC2152" s="618">
        <v>25816</v>
      </c>
      <c r="AD2152" s="619">
        <v>0.05</v>
      </c>
      <c r="AE2152" s="617" t="s">
        <v>4005</v>
      </c>
    </row>
    <row r="2153" spans="1:31" s="572" customFormat="1">
      <c r="A2153" s="570" t="s">
        <v>4022</v>
      </c>
      <c r="B2153" s="569" t="s">
        <v>287</v>
      </c>
      <c r="C2153" s="580">
        <v>26</v>
      </c>
      <c r="D2153" s="569" t="s">
        <v>3374</v>
      </c>
      <c r="E2153" s="569" t="s">
        <v>152</v>
      </c>
      <c r="F2153" s="569" t="s">
        <v>271</v>
      </c>
      <c r="G2153" s="569">
        <v>2019</v>
      </c>
      <c r="H2153" s="569" t="s">
        <v>3765</v>
      </c>
      <c r="I2153" s="569" t="s">
        <v>3996</v>
      </c>
      <c r="J2153" s="569" t="s">
        <v>3377</v>
      </c>
      <c r="K2153" s="569">
        <v>6</v>
      </c>
      <c r="L2153" s="569">
        <v>0</v>
      </c>
      <c r="M2153" s="569" t="s">
        <v>157</v>
      </c>
      <c r="N2153" s="569">
        <v>2</v>
      </c>
      <c r="O2153" s="569" t="s">
        <v>3846</v>
      </c>
      <c r="P2153" s="568">
        <v>7600</v>
      </c>
      <c r="Q2153" s="569" t="s">
        <v>3841</v>
      </c>
      <c r="R2153" s="569">
        <v>6</v>
      </c>
      <c r="S2153" s="569" t="s">
        <v>3997</v>
      </c>
      <c r="T2153" s="569" t="s">
        <v>276</v>
      </c>
      <c r="U2153" s="569">
        <v>163.69999999999999</v>
      </c>
      <c r="V2153" s="569">
        <v>23</v>
      </c>
      <c r="W2153" s="620">
        <v>6500</v>
      </c>
      <c r="X2153" s="621">
        <v>22</v>
      </c>
      <c r="Y2153" s="621" t="s">
        <v>178</v>
      </c>
      <c r="Z2153" s="621" t="s">
        <v>178</v>
      </c>
      <c r="AA2153" s="622">
        <v>35040</v>
      </c>
      <c r="AB2153" s="622" t="s">
        <v>164</v>
      </c>
      <c r="AC2153" s="622">
        <v>24360</v>
      </c>
      <c r="AD2153" s="623">
        <v>0.05</v>
      </c>
      <c r="AE2153" s="621" t="s">
        <v>4007</v>
      </c>
    </row>
    <row r="2154" spans="1:31" s="572" customFormat="1">
      <c r="A2154" s="570" t="s">
        <v>4023</v>
      </c>
      <c r="B2154" s="573" t="s">
        <v>287</v>
      </c>
      <c r="C2154" s="578">
        <v>26</v>
      </c>
      <c r="D2154" s="573" t="s">
        <v>3374</v>
      </c>
      <c r="E2154" s="573" t="s">
        <v>152</v>
      </c>
      <c r="F2154" s="573" t="s">
        <v>271</v>
      </c>
      <c r="G2154" s="573">
        <v>2019</v>
      </c>
      <c r="H2154" s="573" t="s">
        <v>3765</v>
      </c>
      <c r="I2154" s="573" t="s">
        <v>3996</v>
      </c>
      <c r="J2154" s="573" t="s">
        <v>3377</v>
      </c>
      <c r="K2154" s="573">
        <v>6</v>
      </c>
      <c r="L2154" s="573">
        <v>0</v>
      </c>
      <c r="M2154" s="573" t="s">
        <v>157</v>
      </c>
      <c r="N2154" s="573">
        <v>2</v>
      </c>
      <c r="O2154" s="573" t="s">
        <v>3846</v>
      </c>
      <c r="P2154" s="571">
        <v>9200</v>
      </c>
      <c r="Q2154" s="573" t="s">
        <v>3778</v>
      </c>
      <c r="R2154" s="573">
        <v>8</v>
      </c>
      <c r="S2154" s="582" t="s">
        <v>3997</v>
      </c>
      <c r="T2154" s="573" t="s">
        <v>276</v>
      </c>
      <c r="U2154" s="573">
        <v>163.69999999999999</v>
      </c>
      <c r="V2154" s="573">
        <v>23</v>
      </c>
      <c r="W2154" s="616">
        <v>7000</v>
      </c>
      <c r="X2154" s="617">
        <v>18</v>
      </c>
      <c r="Y2154" s="617" t="s">
        <v>450</v>
      </c>
      <c r="Z2154" s="617" t="s">
        <v>178</v>
      </c>
      <c r="AA2154" s="618">
        <v>36040</v>
      </c>
      <c r="AB2154" s="618" t="s">
        <v>164</v>
      </c>
      <c r="AC2154" s="618">
        <v>25268</v>
      </c>
      <c r="AD2154" s="619">
        <v>0.05</v>
      </c>
      <c r="AE2154" s="617" t="s">
        <v>4009</v>
      </c>
    </row>
    <row r="2155" spans="1:31" s="572" customFormat="1">
      <c r="A2155" s="570" t="s">
        <v>4024</v>
      </c>
      <c r="B2155" s="569" t="s">
        <v>280</v>
      </c>
      <c r="C2155" s="580">
        <v>27</v>
      </c>
      <c r="D2155" s="569" t="s">
        <v>3374</v>
      </c>
      <c r="E2155" s="569" t="s">
        <v>152</v>
      </c>
      <c r="F2155" s="569" t="s">
        <v>271</v>
      </c>
      <c r="G2155" s="569">
        <v>2019</v>
      </c>
      <c r="H2155" s="569" t="s">
        <v>3765</v>
      </c>
      <c r="I2155" s="569" t="s">
        <v>3996</v>
      </c>
      <c r="J2155" s="569" t="s">
        <v>3377</v>
      </c>
      <c r="K2155" s="569">
        <v>6</v>
      </c>
      <c r="L2155" s="569">
        <v>0</v>
      </c>
      <c r="M2155" s="569" t="s">
        <v>157</v>
      </c>
      <c r="N2155" s="569">
        <v>2</v>
      </c>
      <c r="O2155" s="569" t="s">
        <v>3781</v>
      </c>
      <c r="P2155" s="568">
        <v>10800</v>
      </c>
      <c r="Q2155" s="569" t="s">
        <v>1259</v>
      </c>
      <c r="R2155" s="569">
        <v>6</v>
      </c>
      <c r="S2155" s="569" t="s">
        <v>3997</v>
      </c>
      <c r="T2155" s="569" t="s">
        <v>276</v>
      </c>
      <c r="U2155" s="569">
        <v>145</v>
      </c>
      <c r="V2155" s="569">
        <v>23</v>
      </c>
      <c r="W2155" s="620">
        <v>6900</v>
      </c>
      <c r="X2155" s="621">
        <v>21</v>
      </c>
      <c r="Y2155" s="621" t="s">
        <v>178</v>
      </c>
      <c r="Z2155" s="621" t="s">
        <v>178</v>
      </c>
      <c r="AA2155" s="622">
        <v>36330</v>
      </c>
      <c r="AB2155" s="622" t="s">
        <v>164</v>
      </c>
      <c r="AC2155" s="622">
        <v>25028.084210526318</v>
      </c>
      <c r="AD2155" s="623">
        <v>0.03</v>
      </c>
      <c r="AE2155" s="621" t="s">
        <v>3995</v>
      </c>
    </row>
    <row r="2156" spans="1:31" s="572" customFormat="1">
      <c r="A2156" s="570" t="s">
        <v>4025</v>
      </c>
      <c r="B2156" s="573" t="s">
        <v>280</v>
      </c>
      <c r="C2156" s="578">
        <v>27</v>
      </c>
      <c r="D2156" s="573" t="s">
        <v>3374</v>
      </c>
      <c r="E2156" s="573" t="s">
        <v>152</v>
      </c>
      <c r="F2156" s="573" t="s">
        <v>271</v>
      </c>
      <c r="G2156" s="573">
        <v>2019</v>
      </c>
      <c r="H2156" s="573" t="s">
        <v>3765</v>
      </c>
      <c r="I2156" s="573" t="s">
        <v>3996</v>
      </c>
      <c r="J2156" s="573" t="s">
        <v>3377</v>
      </c>
      <c r="K2156" s="573">
        <v>6</v>
      </c>
      <c r="L2156" s="573">
        <v>0</v>
      </c>
      <c r="M2156" s="573" t="s">
        <v>157</v>
      </c>
      <c r="N2156" s="573">
        <v>2</v>
      </c>
      <c r="O2156" s="573" t="s">
        <v>3781</v>
      </c>
      <c r="P2156" s="571">
        <v>5100</v>
      </c>
      <c r="Q2156" s="573" t="s">
        <v>3772</v>
      </c>
      <c r="R2156" s="573">
        <v>6</v>
      </c>
      <c r="S2156" s="582" t="s">
        <v>3997</v>
      </c>
      <c r="T2156" s="573" t="s">
        <v>276</v>
      </c>
      <c r="U2156" s="573">
        <v>145</v>
      </c>
      <c r="V2156" s="573">
        <v>23</v>
      </c>
      <c r="W2156" s="616">
        <v>6100</v>
      </c>
      <c r="X2156" s="617">
        <v>22</v>
      </c>
      <c r="Y2156" s="617" t="s">
        <v>450</v>
      </c>
      <c r="Z2156" s="617" t="s">
        <v>178</v>
      </c>
      <c r="AA2156" s="618">
        <v>33735</v>
      </c>
      <c r="AB2156" s="618" t="s">
        <v>164</v>
      </c>
      <c r="AC2156" s="618">
        <v>22698.610526315792</v>
      </c>
      <c r="AD2156" s="619">
        <v>0.03</v>
      </c>
      <c r="AE2156" s="617" t="s">
        <v>3999</v>
      </c>
    </row>
    <row r="2157" spans="1:31" s="572" customFormat="1">
      <c r="A2157" s="570" t="s">
        <v>4026</v>
      </c>
      <c r="B2157" s="569" t="s">
        <v>280</v>
      </c>
      <c r="C2157" s="580">
        <v>27</v>
      </c>
      <c r="D2157" s="569" t="s">
        <v>3374</v>
      </c>
      <c r="E2157" s="569" t="s">
        <v>152</v>
      </c>
      <c r="F2157" s="569" t="s">
        <v>271</v>
      </c>
      <c r="G2157" s="569">
        <v>2019</v>
      </c>
      <c r="H2157" s="569" t="s">
        <v>3765</v>
      </c>
      <c r="I2157" s="569" t="s">
        <v>3996</v>
      </c>
      <c r="J2157" s="569" t="s">
        <v>3377</v>
      </c>
      <c r="K2157" s="569">
        <v>6</v>
      </c>
      <c r="L2157" s="569">
        <v>0</v>
      </c>
      <c r="M2157" s="569" t="s">
        <v>157</v>
      </c>
      <c r="N2157" s="569">
        <v>2</v>
      </c>
      <c r="O2157" s="569" t="s">
        <v>3781</v>
      </c>
      <c r="P2157" s="568">
        <v>7600</v>
      </c>
      <c r="Q2157" s="569" t="s">
        <v>3841</v>
      </c>
      <c r="R2157" s="569">
        <v>6</v>
      </c>
      <c r="S2157" s="569" t="s">
        <v>3997</v>
      </c>
      <c r="T2157" s="569" t="s">
        <v>276</v>
      </c>
      <c r="U2157" s="569">
        <v>145</v>
      </c>
      <c r="V2157" s="569">
        <v>23</v>
      </c>
      <c r="W2157" s="620">
        <v>6250</v>
      </c>
      <c r="X2157" s="621">
        <v>22</v>
      </c>
      <c r="Y2157" s="621" t="s">
        <v>178</v>
      </c>
      <c r="Z2157" s="621" t="s">
        <v>178</v>
      </c>
      <c r="AA2157" s="622">
        <v>34730</v>
      </c>
      <c r="AB2157" s="622" t="s">
        <v>164</v>
      </c>
      <c r="AC2157" s="622">
        <v>23592.294736842108</v>
      </c>
      <c r="AD2157" s="623">
        <v>0.03</v>
      </c>
      <c r="AE2157" s="621" t="s">
        <v>4001</v>
      </c>
    </row>
    <row r="2158" spans="1:31" s="572" customFormat="1">
      <c r="A2158" s="570" t="s">
        <v>4027</v>
      </c>
      <c r="B2158" s="573" t="s">
        <v>280</v>
      </c>
      <c r="C2158" s="578">
        <v>27</v>
      </c>
      <c r="D2158" s="573" t="s">
        <v>3374</v>
      </c>
      <c r="E2158" s="573" t="s">
        <v>152</v>
      </c>
      <c r="F2158" s="573" t="s">
        <v>271</v>
      </c>
      <c r="G2158" s="573">
        <v>2019</v>
      </c>
      <c r="H2158" s="573" t="s">
        <v>3765</v>
      </c>
      <c r="I2158" s="573" t="s">
        <v>3996</v>
      </c>
      <c r="J2158" s="573" t="s">
        <v>3377</v>
      </c>
      <c r="K2158" s="573">
        <v>6</v>
      </c>
      <c r="L2158" s="573">
        <v>0</v>
      </c>
      <c r="M2158" s="573" t="s">
        <v>157</v>
      </c>
      <c r="N2158" s="573">
        <v>2</v>
      </c>
      <c r="O2158" s="573" t="s">
        <v>3781</v>
      </c>
      <c r="P2158" s="571">
        <v>9200</v>
      </c>
      <c r="Q2158" s="573" t="s">
        <v>3778</v>
      </c>
      <c r="R2158" s="573">
        <v>8</v>
      </c>
      <c r="S2158" s="582" t="s">
        <v>3997</v>
      </c>
      <c r="T2158" s="573" t="s">
        <v>276</v>
      </c>
      <c r="U2158" s="573">
        <v>145</v>
      </c>
      <c r="V2158" s="573">
        <v>23</v>
      </c>
      <c r="W2158" s="616">
        <v>6900</v>
      </c>
      <c r="X2158" s="617">
        <v>19</v>
      </c>
      <c r="Y2158" s="617" t="s">
        <v>450</v>
      </c>
      <c r="Z2158" s="617" t="s">
        <v>178</v>
      </c>
      <c r="AA2158" s="618">
        <v>35730</v>
      </c>
      <c r="AB2158" s="618" t="s">
        <v>164</v>
      </c>
      <c r="AC2158" s="618">
        <v>24489.136842105265</v>
      </c>
      <c r="AD2158" s="619">
        <v>0.03</v>
      </c>
      <c r="AE2158" s="617" t="s">
        <v>4003</v>
      </c>
    </row>
    <row r="2159" spans="1:31" s="572" customFormat="1">
      <c r="A2159" s="570" t="s">
        <v>4028</v>
      </c>
      <c r="B2159" s="569" t="s">
        <v>280</v>
      </c>
      <c r="C2159" s="580">
        <v>27</v>
      </c>
      <c r="D2159" s="569" t="s">
        <v>3374</v>
      </c>
      <c r="E2159" s="569" t="s">
        <v>152</v>
      </c>
      <c r="F2159" s="569" t="s">
        <v>271</v>
      </c>
      <c r="G2159" s="569">
        <v>2019</v>
      </c>
      <c r="H2159" s="569" t="s">
        <v>3765</v>
      </c>
      <c r="I2159" s="569" t="s">
        <v>3996</v>
      </c>
      <c r="J2159" s="569" t="s">
        <v>3377</v>
      </c>
      <c r="K2159" s="569">
        <v>6</v>
      </c>
      <c r="L2159" s="569">
        <v>0</v>
      </c>
      <c r="M2159" s="569" t="s">
        <v>157</v>
      </c>
      <c r="N2159" s="569">
        <v>2</v>
      </c>
      <c r="O2159" s="569" t="s">
        <v>3846</v>
      </c>
      <c r="P2159" s="568">
        <v>10700</v>
      </c>
      <c r="Q2159" s="569" t="s">
        <v>1259</v>
      </c>
      <c r="R2159" s="569">
        <v>6</v>
      </c>
      <c r="S2159" s="569" t="s">
        <v>3997</v>
      </c>
      <c r="T2159" s="569" t="s">
        <v>276</v>
      </c>
      <c r="U2159" s="569">
        <v>163.69999999999999</v>
      </c>
      <c r="V2159" s="569">
        <v>23</v>
      </c>
      <c r="W2159" s="620">
        <v>7050</v>
      </c>
      <c r="X2159" s="621">
        <v>21</v>
      </c>
      <c r="Y2159" s="621" t="s">
        <v>178</v>
      </c>
      <c r="Z2159" s="621" t="s">
        <v>178</v>
      </c>
      <c r="AA2159" s="622">
        <v>36640</v>
      </c>
      <c r="AB2159" s="622" t="s">
        <v>164</v>
      </c>
      <c r="AC2159" s="622">
        <v>25348.084210526318</v>
      </c>
      <c r="AD2159" s="623">
        <v>0.03</v>
      </c>
      <c r="AE2159" s="621" t="s">
        <v>4005</v>
      </c>
    </row>
    <row r="2160" spans="1:31" s="572" customFormat="1">
      <c r="A2160" s="570" t="s">
        <v>4029</v>
      </c>
      <c r="B2160" s="573" t="s">
        <v>280</v>
      </c>
      <c r="C2160" s="578">
        <v>27</v>
      </c>
      <c r="D2160" s="573" t="s">
        <v>3374</v>
      </c>
      <c r="E2160" s="573" t="s">
        <v>152</v>
      </c>
      <c r="F2160" s="573" t="s">
        <v>271</v>
      </c>
      <c r="G2160" s="573">
        <v>2019</v>
      </c>
      <c r="H2160" s="573" t="s">
        <v>3765</v>
      </c>
      <c r="I2160" s="573" t="s">
        <v>3996</v>
      </c>
      <c r="J2160" s="573" t="s">
        <v>3377</v>
      </c>
      <c r="K2160" s="573">
        <v>6</v>
      </c>
      <c r="L2160" s="573">
        <v>0</v>
      </c>
      <c r="M2160" s="573" t="s">
        <v>157</v>
      </c>
      <c r="N2160" s="573">
        <v>2</v>
      </c>
      <c r="O2160" s="573" t="s">
        <v>3846</v>
      </c>
      <c r="P2160" s="571">
        <v>7600</v>
      </c>
      <c r="Q2160" s="573" t="s">
        <v>3841</v>
      </c>
      <c r="R2160" s="573">
        <v>6</v>
      </c>
      <c r="S2160" s="582" t="s">
        <v>3997</v>
      </c>
      <c r="T2160" s="573" t="s">
        <v>276</v>
      </c>
      <c r="U2160" s="573">
        <v>163.69999999999999</v>
      </c>
      <c r="V2160" s="573">
        <v>23</v>
      </c>
      <c r="W2160" s="616">
        <v>6500</v>
      </c>
      <c r="X2160" s="617">
        <v>22</v>
      </c>
      <c r="Y2160" s="617" t="s">
        <v>178</v>
      </c>
      <c r="Z2160" s="617" t="s">
        <v>178</v>
      </c>
      <c r="AA2160" s="618">
        <v>35040</v>
      </c>
      <c r="AB2160" s="618" t="s">
        <v>164</v>
      </c>
      <c r="AC2160" s="618">
        <v>23912.294736842108</v>
      </c>
      <c r="AD2160" s="619">
        <v>0.03</v>
      </c>
      <c r="AE2160" s="617" t="s">
        <v>4007</v>
      </c>
    </row>
    <row r="2161" spans="1:31" s="572" customFormat="1">
      <c r="A2161" s="570" t="s">
        <v>4030</v>
      </c>
      <c r="B2161" s="569" t="s">
        <v>280</v>
      </c>
      <c r="C2161" s="580">
        <v>27</v>
      </c>
      <c r="D2161" s="569" t="s">
        <v>3374</v>
      </c>
      <c r="E2161" s="569" t="s">
        <v>152</v>
      </c>
      <c r="F2161" s="569" t="s">
        <v>271</v>
      </c>
      <c r="G2161" s="569">
        <v>2019</v>
      </c>
      <c r="H2161" s="569" t="s">
        <v>3765</v>
      </c>
      <c r="I2161" s="569" t="s">
        <v>3996</v>
      </c>
      <c r="J2161" s="569" t="s">
        <v>3377</v>
      </c>
      <c r="K2161" s="569">
        <v>6</v>
      </c>
      <c r="L2161" s="569">
        <v>0</v>
      </c>
      <c r="M2161" s="569" t="s">
        <v>157</v>
      </c>
      <c r="N2161" s="569">
        <v>2</v>
      </c>
      <c r="O2161" s="569" t="s">
        <v>3846</v>
      </c>
      <c r="P2161" s="568">
        <v>9200</v>
      </c>
      <c r="Q2161" s="569" t="s">
        <v>3778</v>
      </c>
      <c r="R2161" s="569">
        <v>8</v>
      </c>
      <c r="S2161" s="569" t="s">
        <v>3997</v>
      </c>
      <c r="T2161" s="569" t="s">
        <v>276</v>
      </c>
      <c r="U2161" s="569">
        <v>163.69999999999999</v>
      </c>
      <c r="V2161" s="569">
        <v>23</v>
      </c>
      <c r="W2161" s="620">
        <v>7000</v>
      </c>
      <c r="X2161" s="621">
        <v>19</v>
      </c>
      <c r="Y2161" s="621" t="s">
        <v>450</v>
      </c>
      <c r="Z2161" s="621" t="s">
        <v>178</v>
      </c>
      <c r="AA2161" s="622">
        <v>36040</v>
      </c>
      <c r="AB2161" s="622" t="s">
        <v>164</v>
      </c>
      <c r="AC2161" s="622">
        <v>24809.136842105265</v>
      </c>
      <c r="AD2161" s="623">
        <v>0.03</v>
      </c>
      <c r="AE2161" s="621" t="s">
        <v>4009</v>
      </c>
    </row>
    <row r="2162" spans="1:31" s="572" customFormat="1">
      <c r="A2162" s="570" t="s">
        <v>4031</v>
      </c>
      <c r="B2162" s="573" t="s">
        <v>269</v>
      </c>
      <c r="C2162" s="578" t="s">
        <v>270</v>
      </c>
      <c r="D2162" s="573" t="s">
        <v>3374</v>
      </c>
      <c r="E2162" s="573" t="s">
        <v>152</v>
      </c>
      <c r="F2162" s="573" t="s">
        <v>271</v>
      </c>
      <c r="G2162" s="573">
        <v>2019</v>
      </c>
      <c r="H2162" s="573" t="s">
        <v>3765</v>
      </c>
      <c r="I2162" s="573" t="s">
        <v>3996</v>
      </c>
      <c r="J2162" s="573" t="s">
        <v>752</v>
      </c>
      <c r="K2162" s="573">
        <v>3</v>
      </c>
      <c r="L2162" s="573">
        <v>0</v>
      </c>
      <c r="M2162" s="573" t="s">
        <v>157</v>
      </c>
      <c r="N2162" s="573">
        <v>1</v>
      </c>
      <c r="O2162" s="573" t="s">
        <v>3781</v>
      </c>
      <c r="P2162" s="571">
        <v>10700</v>
      </c>
      <c r="Q2162" s="573" t="s">
        <v>1259</v>
      </c>
      <c r="R2162" s="573">
        <v>6</v>
      </c>
      <c r="S2162" s="582" t="s">
        <v>4033</v>
      </c>
      <c r="T2162" s="573" t="s">
        <v>276</v>
      </c>
      <c r="U2162" s="573">
        <v>145</v>
      </c>
      <c r="V2162" s="573">
        <v>23</v>
      </c>
      <c r="W2162" s="616">
        <v>7000</v>
      </c>
      <c r="X2162" s="617">
        <v>19</v>
      </c>
      <c r="Y2162" s="617" t="s">
        <v>178</v>
      </c>
      <c r="Z2162" s="617" t="s">
        <v>178</v>
      </c>
      <c r="AA2162" s="618">
        <v>39760</v>
      </c>
      <c r="AB2162" s="618" t="s">
        <v>164</v>
      </c>
      <c r="AC2162" s="618">
        <v>28215.452631578948</v>
      </c>
      <c r="AD2162" s="619">
        <v>0.03</v>
      </c>
      <c r="AE2162" s="617" t="s">
        <v>4032</v>
      </c>
    </row>
    <row r="2163" spans="1:31" s="572" customFormat="1">
      <c r="A2163" s="570" t="s">
        <v>4034</v>
      </c>
      <c r="B2163" s="569" t="s">
        <v>269</v>
      </c>
      <c r="C2163" s="580" t="s">
        <v>270</v>
      </c>
      <c r="D2163" s="569" t="s">
        <v>3374</v>
      </c>
      <c r="E2163" s="569" t="s">
        <v>152</v>
      </c>
      <c r="F2163" s="569" t="s">
        <v>271</v>
      </c>
      <c r="G2163" s="569">
        <v>2019</v>
      </c>
      <c r="H2163" s="569" t="s">
        <v>3765</v>
      </c>
      <c r="I2163" s="569" t="s">
        <v>3996</v>
      </c>
      <c r="J2163" s="569" t="s">
        <v>752</v>
      </c>
      <c r="K2163" s="569">
        <v>3</v>
      </c>
      <c r="L2163" s="569">
        <v>0</v>
      </c>
      <c r="M2163" s="569" t="s">
        <v>157</v>
      </c>
      <c r="N2163" s="569">
        <v>1</v>
      </c>
      <c r="O2163" s="569" t="s">
        <v>3781</v>
      </c>
      <c r="P2163" s="568">
        <v>7200</v>
      </c>
      <c r="Q2163" s="569" t="s">
        <v>3772</v>
      </c>
      <c r="R2163" s="569">
        <v>6</v>
      </c>
      <c r="S2163" s="569" t="s">
        <v>4033</v>
      </c>
      <c r="T2163" s="569" t="s">
        <v>276</v>
      </c>
      <c r="U2163" s="569">
        <v>145</v>
      </c>
      <c r="V2163" s="569">
        <v>23</v>
      </c>
      <c r="W2163" s="620">
        <v>6300</v>
      </c>
      <c r="X2163" s="621">
        <v>19</v>
      </c>
      <c r="Y2163" s="621" t="s">
        <v>450</v>
      </c>
      <c r="Z2163" s="621" t="s">
        <v>178</v>
      </c>
      <c r="AA2163" s="622">
        <v>37165</v>
      </c>
      <c r="AB2163" s="622" t="s">
        <v>164</v>
      </c>
      <c r="AC2163" s="622">
        <v>25885.978947368421</v>
      </c>
      <c r="AD2163" s="623">
        <v>0.03</v>
      </c>
      <c r="AE2163" s="621" t="s">
        <v>4035</v>
      </c>
    </row>
    <row r="2164" spans="1:31" s="572" customFormat="1">
      <c r="A2164" s="570" t="s">
        <v>4036</v>
      </c>
      <c r="B2164" s="573" t="s">
        <v>269</v>
      </c>
      <c r="C2164" s="578" t="s">
        <v>270</v>
      </c>
      <c r="D2164" s="573" t="s">
        <v>3374</v>
      </c>
      <c r="E2164" s="573" t="s">
        <v>152</v>
      </c>
      <c r="F2164" s="573" t="s">
        <v>271</v>
      </c>
      <c r="G2164" s="573">
        <v>2019</v>
      </c>
      <c r="H2164" s="573" t="s">
        <v>3765</v>
      </c>
      <c r="I2164" s="573" t="s">
        <v>3996</v>
      </c>
      <c r="J2164" s="573" t="s">
        <v>752</v>
      </c>
      <c r="K2164" s="573">
        <v>3</v>
      </c>
      <c r="L2164" s="573">
        <v>0</v>
      </c>
      <c r="M2164" s="573" t="s">
        <v>157</v>
      </c>
      <c r="N2164" s="573">
        <v>1</v>
      </c>
      <c r="O2164" s="573" t="s">
        <v>3781</v>
      </c>
      <c r="P2164" s="571">
        <v>7600</v>
      </c>
      <c r="Q2164" s="573" t="s">
        <v>3768</v>
      </c>
      <c r="R2164" s="573">
        <v>6</v>
      </c>
      <c r="S2164" s="582" t="s">
        <v>4033</v>
      </c>
      <c r="T2164" s="573" t="s">
        <v>276</v>
      </c>
      <c r="U2164" s="573">
        <v>145</v>
      </c>
      <c r="V2164" s="573">
        <v>23</v>
      </c>
      <c r="W2164" s="616">
        <v>6800</v>
      </c>
      <c r="X2164" s="617">
        <v>21</v>
      </c>
      <c r="Y2164" s="617" t="s">
        <v>178</v>
      </c>
      <c r="Z2164" s="617" t="s">
        <v>178</v>
      </c>
      <c r="AA2164" s="618">
        <v>38160</v>
      </c>
      <c r="AB2164" s="618" t="s">
        <v>164</v>
      </c>
      <c r="AC2164" s="618">
        <v>26779.663157894738</v>
      </c>
      <c r="AD2164" s="619">
        <v>0.03</v>
      </c>
      <c r="AE2164" s="617" t="s">
        <v>4037</v>
      </c>
    </row>
    <row r="2165" spans="1:31" s="572" customFormat="1">
      <c r="A2165" s="570" t="s">
        <v>4038</v>
      </c>
      <c r="B2165" s="569" t="s">
        <v>269</v>
      </c>
      <c r="C2165" s="580" t="s">
        <v>270</v>
      </c>
      <c r="D2165" s="569" t="s">
        <v>3374</v>
      </c>
      <c r="E2165" s="569" t="s">
        <v>152</v>
      </c>
      <c r="F2165" s="569" t="s">
        <v>271</v>
      </c>
      <c r="G2165" s="569">
        <v>2019</v>
      </c>
      <c r="H2165" s="569" t="s">
        <v>3765</v>
      </c>
      <c r="I2165" s="569" t="s">
        <v>3996</v>
      </c>
      <c r="J2165" s="569" t="s">
        <v>752</v>
      </c>
      <c r="K2165" s="569">
        <v>6</v>
      </c>
      <c r="L2165" s="569">
        <v>0</v>
      </c>
      <c r="M2165" s="569" t="s">
        <v>157</v>
      </c>
      <c r="N2165" s="569">
        <v>2</v>
      </c>
      <c r="O2165" s="569" t="s">
        <v>3781</v>
      </c>
      <c r="P2165" s="568">
        <v>7600</v>
      </c>
      <c r="Q2165" s="569" t="s">
        <v>3768</v>
      </c>
      <c r="R2165" s="569">
        <v>6</v>
      </c>
      <c r="S2165" s="569" t="s">
        <v>4033</v>
      </c>
      <c r="T2165" s="569" t="s">
        <v>276</v>
      </c>
      <c r="U2165" s="569">
        <v>145</v>
      </c>
      <c r="V2165" s="569">
        <v>23</v>
      </c>
      <c r="W2165" s="620">
        <v>6800</v>
      </c>
      <c r="X2165" s="621">
        <v>21</v>
      </c>
      <c r="Y2165" s="621" t="s">
        <v>178</v>
      </c>
      <c r="Z2165" s="621" t="s">
        <v>178</v>
      </c>
      <c r="AA2165" s="622">
        <v>38160</v>
      </c>
      <c r="AB2165" s="622" t="s">
        <v>164</v>
      </c>
      <c r="AC2165" s="622">
        <v>26779.663157894738</v>
      </c>
      <c r="AD2165" s="623">
        <v>0.03</v>
      </c>
      <c r="AE2165" s="621" t="s">
        <v>4039</v>
      </c>
    </row>
    <row r="2166" spans="1:31" s="572" customFormat="1">
      <c r="A2166" s="570" t="s">
        <v>4040</v>
      </c>
      <c r="B2166" s="573" t="s">
        <v>269</v>
      </c>
      <c r="C2166" s="578" t="s">
        <v>270</v>
      </c>
      <c r="D2166" s="573" t="s">
        <v>3374</v>
      </c>
      <c r="E2166" s="573" t="s">
        <v>152</v>
      </c>
      <c r="F2166" s="573" t="s">
        <v>271</v>
      </c>
      <c r="G2166" s="573">
        <v>2019</v>
      </c>
      <c r="H2166" s="573" t="s">
        <v>3765</v>
      </c>
      <c r="I2166" s="573" t="s">
        <v>3996</v>
      </c>
      <c r="J2166" s="573" t="s">
        <v>752</v>
      </c>
      <c r="K2166" s="573">
        <v>6</v>
      </c>
      <c r="L2166" s="573">
        <v>0</v>
      </c>
      <c r="M2166" s="573" t="s">
        <v>157</v>
      </c>
      <c r="N2166" s="573">
        <v>2</v>
      </c>
      <c r="O2166" s="573" t="s">
        <v>3781</v>
      </c>
      <c r="P2166" s="571">
        <v>9700</v>
      </c>
      <c r="Q2166" s="573" t="s">
        <v>3778</v>
      </c>
      <c r="R2166" s="573">
        <v>8</v>
      </c>
      <c r="S2166" s="582" t="s">
        <v>4033</v>
      </c>
      <c r="T2166" s="573" t="s">
        <v>276</v>
      </c>
      <c r="U2166" s="573">
        <v>145</v>
      </c>
      <c r="V2166" s="573">
        <v>23</v>
      </c>
      <c r="W2166" s="616">
        <v>6800</v>
      </c>
      <c r="X2166" s="617">
        <v>18</v>
      </c>
      <c r="Y2166" s="617" t="s">
        <v>450</v>
      </c>
      <c r="Z2166" s="617" t="s">
        <v>178</v>
      </c>
      <c r="AA2166" s="618">
        <v>39160</v>
      </c>
      <c r="AB2166" s="618" t="s">
        <v>164</v>
      </c>
      <c r="AC2166" s="618">
        <v>27676.505263157895</v>
      </c>
      <c r="AD2166" s="619">
        <v>0.03</v>
      </c>
      <c r="AE2166" s="617" t="s">
        <v>4041</v>
      </c>
    </row>
    <row r="2167" spans="1:31" s="572" customFormat="1">
      <c r="A2167" s="570" t="s">
        <v>4042</v>
      </c>
      <c r="B2167" s="569" t="s">
        <v>269</v>
      </c>
      <c r="C2167" s="580" t="s">
        <v>270</v>
      </c>
      <c r="D2167" s="569" t="s">
        <v>3374</v>
      </c>
      <c r="E2167" s="569" t="s">
        <v>152</v>
      </c>
      <c r="F2167" s="569" t="s">
        <v>271</v>
      </c>
      <c r="G2167" s="569">
        <v>2019</v>
      </c>
      <c r="H2167" s="569" t="s">
        <v>3765</v>
      </c>
      <c r="I2167" s="569" t="s">
        <v>3996</v>
      </c>
      <c r="J2167" s="569" t="s">
        <v>752</v>
      </c>
      <c r="K2167" s="569">
        <v>6</v>
      </c>
      <c r="L2167" s="569">
        <v>0</v>
      </c>
      <c r="M2167" s="569" t="s">
        <v>157</v>
      </c>
      <c r="N2167" s="569">
        <v>2</v>
      </c>
      <c r="O2167" s="569" t="s">
        <v>3846</v>
      </c>
      <c r="P2167" s="568">
        <v>10800</v>
      </c>
      <c r="Q2167" s="569" t="s">
        <v>1259</v>
      </c>
      <c r="R2167" s="569">
        <v>6</v>
      </c>
      <c r="S2167" s="569" t="s">
        <v>4033</v>
      </c>
      <c r="T2167" s="569" t="s">
        <v>276</v>
      </c>
      <c r="U2167" s="569">
        <v>163.69999999999999</v>
      </c>
      <c r="V2167" s="569">
        <v>23</v>
      </c>
      <c r="W2167" s="620">
        <v>7050</v>
      </c>
      <c r="X2167" s="621">
        <v>19</v>
      </c>
      <c r="Y2167" s="621" t="s">
        <v>178</v>
      </c>
      <c r="Z2167" s="621" t="s">
        <v>178</v>
      </c>
      <c r="AA2167" s="622">
        <v>37165</v>
      </c>
      <c r="AB2167" s="622" t="s">
        <v>164</v>
      </c>
      <c r="AC2167" s="622">
        <v>28518.610526315792</v>
      </c>
      <c r="AD2167" s="623">
        <v>0.03</v>
      </c>
      <c r="AE2167" s="621" t="s">
        <v>4043</v>
      </c>
    </row>
    <row r="2168" spans="1:31" s="572" customFormat="1">
      <c r="A2168" s="570" t="s">
        <v>4044</v>
      </c>
      <c r="B2168" s="573" t="s">
        <v>269</v>
      </c>
      <c r="C2168" s="578" t="s">
        <v>270</v>
      </c>
      <c r="D2168" s="573" t="s">
        <v>3374</v>
      </c>
      <c r="E2168" s="573" t="s">
        <v>152</v>
      </c>
      <c r="F2168" s="573" t="s">
        <v>271</v>
      </c>
      <c r="G2168" s="573">
        <v>2019</v>
      </c>
      <c r="H2168" s="573" t="s">
        <v>3765</v>
      </c>
      <c r="I2168" s="573" t="s">
        <v>3996</v>
      </c>
      <c r="J2168" s="573" t="s">
        <v>752</v>
      </c>
      <c r="K2168" s="573">
        <v>6</v>
      </c>
      <c r="L2168" s="573">
        <v>0</v>
      </c>
      <c r="M2168" s="573" t="s">
        <v>157</v>
      </c>
      <c r="N2168" s="573">
        <v>2</v>
      </c>
      <c r="O2168" s="573" t="s">
        <v>3846</v>
      </c>
      <c r="P2168" s="571">
        <v>9000</v>
      </c>
      <c r="Q2168" s="573" t="s">
        <v>3778</v>
      </c>
      <c r="R2168" s="573">
        <v>8</v>
      </c>
      <c r="S2168" s="582" t="s">
        <v>4033</v>
      </c>
      <c r="T2168" s="573" t="s">
        <v>276</v>
      </c>
      <c r="U2168" s="573">
        <v>163.69999999999999</v>
      </c>
      <c r="V2168" s="573">
        <v>23</v>
      </c>
      <c r="W2168" s="616">
        <v>6950</v>
      </c>
      <c r="X2168" s="617">
        <v>18</v>
      </c>
      <c r="Y2168" s="617" t="s">
        <v>450</v>
      </c>
      <c r="Z2168" s="617" t="s">
        <v>178</v>
      </c>
      <c r="AA2168" s="618">
        <v>39760</v>
      </c>
      <c r="AB2168" s="618" t="s">
        <v>164</v>
      </c>
      <c r="AC2168" s="618">
        <v>27980.715789473685</v>
      </c>
      <c r="AD2168" s="619">
        <v>0.03</v>
      </c>
      <c r="AE2168" s="617" t="s">
        <v>4045</v>
      </c>
    </row>
    <row r="2169" spans="1:31" s="572" customFormat="1">
      <c r="A2169" s="570" t="s">
        <v>4046</v>
      </c>
      <c r="B2169" s="569" t="s">
        <v>278</v>
      </c>
      <c r="C2169" s="580">
        <v>15</v>
      </c>
      <c r="D2169" s="569" t="s">
        <v>3374</v>
      </c>
      <c r="E2169" s="569" t="s">
        <v>152</v>
      </c>
      <c r="F2169" s="569" t="s">
        <v>271</v>
      </c>
      <c r="G2169" s="569">
        <v>2019</v>
      </c>
      <c r="H2169" s="569" t="s">
        <v>3765</v>
      </c>
      <c r="I2169" s="569" t="s">
        <v>3996</v>
      </c>
      <c r="J2169" s="569" t="s">
        <v>752</v>
      </c>
      <c r="K2169" s="569">
        <v>6</v>
      </c>
      <c r="L2169" s="569">
        <v>0</v>
      </c>
      <c r="M2169" s="569" t="s">
        <v>157</v>
      </c>
      <c r="N2169" s="569">
        <v>2</v>
      </c>
      <c r="O2169" s="569" t="s">
        <v>3781</v>
      </c>
      <c r="P2169" s="568">
        <v>10700</v>
      </c>
      <c r="Q2169" s="569" t="s">
        <v>1259</v>
      </c>
      <c r="R2169" s="569">
        <v>6</v>
      </c>
      <c r="S2169" s="569" t="s">
        <v>4033</v>
      </c>
      <c r="T2169" s="569" t="s">
        <v>276</v>
      </c>
      <c r="U2169" s="569">
        <v>145</v>
      </c>
      <c r="V2169" s="569">
        <v>23</v>
      </c>
      <c r="W2169" s="620">
        <v>7000</v>
      </c>
      <c r="X2169" s="621">
        <v>19</v>
      </c>
      <c r="Y2169" s="621" t="s">
        <v>178</v>
      </c>
      <c r="Z2169" s="621" t="s">
        <v>178</v>
      </c>
      <c r="AA2169" s="622">
        <v>39760</v>
      </c>
      <c r="AB2169" s="622" t="s">
        <v>164</v>
      </c>
      <c r="AC2169" s="622">
        <v>28300</v>
      </c>
      <c r="AD2169" s="623">
        <v>0.01</v>
      </c>
      <c r="AE2169" s="621" t="s">
        <v>4047</v>
      </c>
    </row>
    <row r="2170" spans="1:31" s="572" customFormat="1">
      <c r="A2170" s="570" t="s">
        <v>4048</v>
      </c>
      <c r="B2170" s="573" t="s">
        <v>278</v>
      </c>
      <c r="C2170" s="578">
        <v>15</v>
      </c>
      <c r="D2170" s="573" t="s">
        <v>3374</v>
      </c>
      <c r="E2170" s="573" t="s">
        <v>152</v>
      </c>
      <c r="F2170" s="573" t="s">
        <v>271</v>
      </c>
      <c r="G2170" s="573">
        <v>2019</v>
      </c>
      <c r="H2170" s="573" t="s">
        <v>3765</v>
      </c>
      <c r="I2170" s="573" t="s">
        <v>3996</v>
      </c>
      <c r="J2170" s="573" t="s">
        <v>752</v>
      </c>
      <c r="K2170" s="573">
        <v>6</v>
      </c>
      <c r="L2170" s="573">
        <v>0</v>
      </c>
      <c r="M2170" s="573" t="s">
        <v>157</v>
      </c>
      <c r="N2170" s="573">
        <v>2</v>
      </c>
      <c r="O2170" s="573" t="s">
        <v>3781</v>
      </c>
      <c r="P2170" s="571">
        <v>7200</v>
      </c>
      <c r="Q2170" s="573" t="s">
        <v>3772</v>
      </c>
      <c r="R2170" s="573">
        <v>6</v>
      </c>
      <c r="S2170" s="582" t="s">
        <v>4033</v>
      </c>
      <c r="T2170" s="573" t="s">
        <v>276</v>
      </c>
      <c r="U2170" s="573">
        <v>145</v>
      </c>
      <c r="V2170" s="573">
        <v>23</v>
      </c>
      <c r="W2170" s="616">
        <v>6300</v>
      </c>
      <c r="X2170" s="617">
        <v>19</v>
      </c>
      <c r="Y2170" s="617" t="s">
        <v>450</v>
      </c>
      <c r="Z2170" s="617" t="s">
        <v>178</v>
      </c>
      <c r="AA2170" s="618">
        <v>37165</v>
      </c>
      <c r="AB2170" s="618" t="s">
        <v>164</v>
      </c>
      <c r="AC2170" s="618">
        <v>25950</v>
      </c>
      <c r="AD2170" s="619">
        <v>0.01</v>
      </c>
      <c r="AE2170" s="617" t="s">
        <v>4049</v>
      </c>
    </row>
    <row r="2171" spans="1:31" s="572" customFormat="1">
      <c r="A2171" s="570" t="s">
        <v>4050</v>
      </c>
      <c r="B2171" s="569" t="s">
        <v>278</v>
      </c>
      <c r="C2171" s="580">
        <v>15</v>
      </c>
      <c r="D2171" s="569" t="s">
        <v>3374</v>
      </c>
      <c r="E2171" s="569" t="s">
        <v>152</v>
      </c>
      <c r="F2171" s="569" t="s">
        <v>271</v>
      </c>
      <c r="G2171" s="569">
        <v>2019</v>
      </c>
      <c r="H2171" s="569" t="s">
        <v>3765</v>
      </c>
      <c r="I2171" s="569" t="s">
        <v>3996</v>
      </c>
      <c r="J2171" s="569" t="s">
        <v>752</v>
      </c>
      <c r="K2171" s="569">
        <v>6</v>
      </c>
      <c r="L2171" s="569">
        <v>0</v>
      </c>
      <c r="M2171" s="569" t="s">
        <v>157</v>
      </c>
      <c r="N2171" s="569">
        <v>2</v>
      </c>
      <c r="O2171" s="569" t="s">
        <v>3781</v>
      </c>
      <c r="P2171" s="568">
        <v>7600</v>
      </c>
      <c r="Q2171" s="569" t="s">
        <v>3768</v>
      </c>
      <c r="R2171" s="569">
        <v>6</v>
      </c>
      <c r="S2171" s="569" t="s">
        <v>4033</v>
      </c>
      <c r="T2171" s="569" t="s">
        <v>276</v>
      </c>
      <c r="U2171" s="569">
        <v>145</v>
      </c>
      <c r="V2171" s="569">
        <v>23</v>
      </c>
      <c r="W2171" s="620">
        <v>6800</v>
      </c>
      <c r="X2171" s="621">
        <v>20</v>
      </c>
      <c r="Y2171" s="621" t="s">
        <v>178</v>
      </c>
      <c r="Z2171" s="621" t="s">
        <v>178</v>
      </c>
      <c r="AA2171" s="622">
        <v>38160</v>
      </c>
      <c r="AB2171" s="622" t="s">
        <v>164</v>
      </c>
      <c r="AC2171" s="622">
        <v>26850</v>
      </c>
      <c r="AD2171" s="623">
        <v>0.01</v>
      </c>
      <c r="AE2171" s="621" t="s">
        <v>4039</v>
      </c>
    </row>
    <row r="2172" spans="1:31" s="572" customFormat="1">
      <c r="A2172" s="570" t="s">
        <v>4051</v>
      </c>
      <c r="B2172" s="573" t="s">
        <v>278</v>
      </c>
      <c r="C2172" s="578">
        <v>15</v>
      </c>
      <c r="D2172" s="573" t="s">
        <v>3374</v>
      </c>
      <c r="E2172" s="573" t="s">
        <v>152</v>
      </c>
      <c r="F2172" s="573" t="s">
        <v>271</v>
      </c>
      <c r="G2172" s="573">
        <v>2019</v>
      </c>
      <c r="H2172" s="573" t="s">
        <v>3765</v>
      </c>
      <c r="I2172" s="573" t="s">
        <v>3996</v>
      </c>
      <c r="J2172" s="573" t="s">
        <v>752</v>
      </c>
      <c r="K2172" s="573">
        <v>6</v>
      </c>
      <c r="L2172" s="573">
        <v>0</v>
      </c>
      <c r="M2172" s="573" t="s">
        <v>157</v>
      </c>
      <c r="N2172" s="573">
        <v>2</v>
      </c>
      <c r="O2172" s="573" t="s">
        <v>3781</v>
      </c>
      <c r="P2172" s="571">
        <v>9700</v>
      </c>
      <c r="Q2172" s="573" t="s">
        <v>3778</v>
      </c>
      <c r="R2172" s="573">
        <v>8</v>
      </c>
      <c r="S2172" s="582" t="s">
        <v>4033</v>
      </c>
      <c r="T2172" s="573" t="s">
        <v>276</v>
      </c>
      <c r="U2172" s="573">
        <v>145</v>
      </c>
      <c r="V2172" s="573">
        <v>23</v>
      </c>
      <c r="W2172" s="616">
        <v>6900</v>
      </c>
      <c r="X2172" s="617">
        <v>17</v>
      </c>
      <c r="Y2172" s="617" t="s">
        <v>450</v>
      </c>
      <c r="Z2172" s="617" t="s">
        <v>178</v>
      </c>
      <c r="AA2172" s="618">
        <v>39160</v>
      </c>
      <c r="AB2172" s="618" t="s">
        <v>164</v>
      </c>
      <c r="AC2172" s="618">
        <v>27750</v>
      </c>
      <c r="AD2172" s="619">
        <v>0.01</v>
      </c>
      <c r="AE2172" s="617" t="s">
        <v>4041</v>
      </c>
    </row>
    <row r="2173" spans="1:31" s="572" customFormat="1">
      <c r="A2173" s="570" t="s">
        <v>4052</v>
      </c>
      <c r="B2173" s="569" t="s">
        <v>278</v>
      </c>
      <c r="C2173" s="580">
        <v>15</v>
      </c>
      <c r="D2173" s="569" t="s">
        <v>3374</v>
      </c>
      <c r="E2173" s="569" t="s">
        <v>152</v>
      </c>
      <c r="F2173" s="569" t="s">
        <v>271</v>
      </c>
      <c r="G2173" s="569">
        <v>2019</v>
      </c>
      <c r="H2173" s="569" t="s">
        <v>3765</v>
      </c>
      <c r="I2173" s="569" t="s">
        <v>3996</v>
      </c>
      <c r="J2173" s="569" t="s">
        <v>752</v>
      </c>
      <c r="K2173" s="569">
        <v>6</v>
      </c>
      <c r="L2173" s="569">
        <v>0</v>
      </c>
      <c r="M2173" s="569" t="s">
        <v>157</v>
      </c>
      <c r="N2173" s="569">
        <v>2</v>
      </c>
      <c r="O2173" s="569" t="s">
        <v>3846</v>
      </c>
      <c r="P2173" s="568">
        <v>10800</v>
      </c>
      <c r="Q2173" s="569" t="s">
        <v>1259</v>
      </c>
      <c r="R2173" s="569">
        <v>6</v>
      </c>
      <c r="S2173" s="569" t="s">
        <v>4033</v>
      </c>
      <c r="T2173" s="569" t="s">
        <v>276</v>
      </c>
      <c r="U2173" s="569">
        <v>163.69999999999999</v>
      </c>
      <c r="V2173" s="569">
        <v>23</v>
      </c>
      <c r="W2173" s="620">
        <v>7050</v>
      </c>
      <c r="X2173" s="621">
        <v>19</v>
      </c>
      <c r="Y2173" s="621" t="s">
        <v>178</v>
      </c>
      <c r="Z2173" s="621" t="s">
        <v>178</v>
      </c>
      <c r="AA2173" s="622">
        <v>37165</v>
      </c>
      <c r="AB2173" s="622" t="s">
        <v>164</v>
      </c>
      <c r="AC2173" s="622">
        <v>28600</v>
      </c>
      <c r="AD2173" s="623">
        <v>0.01</v>
      </c>
      <c r="AE2173" s="621" t="s">
        <v>4043</v>
      </c>
    </row>
    <row r="2174" spans="1:31" s="572" customFormat="1">
      <c r="A2174" s="570" t="s">
        <v>4053</v>
      </c>
      <c r="B2174" s="573" t="s">
        <v>278</v>
      </c>
      <c r="C2174" s="578">
        <v>15</v>
      </c>
      <c r="D2174" s="573" t="s">
        <v>3374</v>
      </c>
      <c r="E2174" s="573" t="s">
        <v>152</v>
      </c>
      <c r="F2174" s="573" t="s">
        <v>271</v>
      </c>
      <c r="G2174" s="573">
        <v>2019</v>
      </c>
      <c r="H2174" s="573" t="s">
        <v>3765</v>
      </c>
      <c r="I2174" s="573" t="s">
        <v>3996</v>
      </c>
      <c r="J2174" s="573" t="s">
        <v>752</v>
      </c>
      <c r="K2174" s="573">
        <v>6</v>
      </c>
      <c r="L2174" s="573">
        <v>0</v>
      </c>
      <c r="M2174" s="573" t="s">
        <v>157</v>
      </c>
      <c r="N2174" s="573">
        <v>2</v>
      </c>
      <c r="O2174" s="573" t="s">
        <v>3846</v>
      </c>
      <c r="P2174" s="571">
        <v>9000</v>
      </c>
      <c r="Q2174" s="573" t="s">
        <v>3778</v>
      </c>
      <c r="R2174" s="573">
        <v>8</v>
      </c>
      <c r="S2174" s="582" t="s">
        <v>4033</v>
      </c>
      <c r="T2174" s="573" t="s">
        <v>276</v>
      </c>
      <c r="U2174" s="573">
        <v>163.69999999999999</v>
      </c>
      <c r="V2174" s="573">
        <v>23</v>
      </c>
      <c r="W2174" s="616">
        <v>6950</v>
      </c>
      <c r="X2174" s="617">
        <v>17</v>
      </c>
      <c r="Y2174" s="617" t="s">
        <v>450</v>
      </c>
      <c r="Z2174" s="617" t="s">
        <v>178</v>
      </c>
      <c r="AA2174" s="618">
        <v>39420</v>
      </c>
      <c r="AB2174" s="618" t="s">
        <v>164</v>
      </c>
      <c r="AC2174" s="618">
        <v>28100</v>
      </c>
      <c r="AD2174" s="619">
        <v>0.01</v>
      </c>
      <c r="AE2174" s="617" t="s">
        <v>4045</v>
      </c>
    </row>
    <row r="2175" spans="1:31" s="572" customFormat="1">
      <c r="A2175" s="570" t="s">
        <v>4054</v>
      </c>
      <c r="B2175" s="569" t="s">
        <v>287</v>
      </c>
      <c r="C2175" s="580">
        <v>26</v>
      </c>
      <c r="D2175" s="569" t="s">
        <v>3374</v>
      </c>
      <c r="E2175" s="569" t="s">
        <v>152</v>
      </c>
      <c r="F2175" s="569" t="s">
        <v>271</v>
      </c>
      <c r="G2175" s="569">
        <v>2019</v>
      </c>
      <c r="H2175" s="569" t="s">
        <v>3765</v>
      </c>
      <c r="I2175" s="569" t="s">
        <v>3996</v>
      </c>
      <c r="J2175" s="569" t="s">
        <v>752</v>
      </c>
      <c r="K2175" s="569">
        <v>6</v>
      </c>
      <c r="L2175" s="569">
        <v>0</v>
      </c>
      <c r="M2175" s="569" t="s">
        <v>157</v>
      </c>
      <c r="N2175" s="569">
        <v>2</v>
      </c>
      <c r="O2175" s="569" t="s">
        <v>3781</v>
      </c>
      <c r="P2175" s="568">
        <v>10700</v>
      </c>
      <c r="Q2175" s="569" t="s">
        <v>1259</v>
      </c>
      <c r="R2175" s="569">
        <v>6</v>
      </c>
      <c r="S2175" s="569" t="s">
        <v>4033</v>
      </c>
      <c r="T2175" s="569" t="s">
        <v>276</v>
      </c>
      <c r="U2175" s="569">
        <v>145</v>
      </c>
      <c r="V2175" s="569">
        <v>23</v>
      </c>
      <c r="W2175" s="620">
        <v>7000</v>
      </c>
      <c r="X2175" s="621">
        <v>19</v>
      </c>
      <c r="Y2175" s="621" t="s">
        <v>178</v>
      </c>
      <c r="Z2175" s="621" t="s">
        <v>178</v>
      </c>
      <c r="AA2175" s="622">
        <v>39760</v>
      </c>
      <c r="AB2175" s="622" t="s">
        <v>164</v>
      </c>
      <c r="AC2175" s="622">
        <v>28181</v>
      </c>
      <c r="AD2175" s="623">
        <v>0.05</v>
      </c>
      <c r="AE2175" s="621" t="s">
        <v>4047</v>
      </c>
    </row>
    <row r="2176" spans="1:31" s="572" customFormat="1">
      <c r="A2176" s="570" t="s">
        <v>4055</v>
      </c>
      <c r="B2176" s="573" t="s">
        <v>287</v>
      </c>
      <c r="C2176" s="578">
        <v>26</v>
      </c>
      <c r="D2176" s="573" t="s">
        <v>3374</v>
      </c>
      <c r="E2176" s="573" t="s">
        <v>152</v>
      </c>
      <c r="F2176" s="573" t="s">
        <v>271</v>
      </c>
      <c r="G2176" s="573">
        <v>2019</v>
      </c>
      <c r="H2176" s="573" t="s">
        <v>3765</v>
      </c>
      <c r="I2176" s="573" t="s">
        <v>3996</v>
      </c>
      <c r="J2176" s="573" t="s">
        <v>752</v>
      </c>
      <c r="K2176" s="573">
        <v>6</v>
      </c>
      <c r="L2176" s="573">
        <v>0</v>
      </c>
      <c r="M2176" s="573" t="s">
        <v>157</v>
      </c>
      <c r="N2176" s="573">
        <v>2</v>
      </c>
      <c r="O2176" s="573" t="s">
        <v>3781</v>
      </c>
      <c r="P2176" s="571">
        <v>7600</v>
      </c>
      <c r="Q2176" s="573" t="s">
        <v>3768</v>
      </c>
      <c r="R2176" s="573">
        <v>6</v>
      </c>
      <c r="S2176" s="582" t="s">
        <v>4033</v>
      </c>
      <c r="T2176" s="573" t="s">
        <v>276</v>
      </c>
      <c r="U2176" s="573">
        <v>145</v>
      </c>
      <c r="V2176" s="573">
        <v>23</v>
      </c>
      <c r="W2176" s="616">
        <v>6800</v>
      </c>
      <c r="X2176" s="617">
        <v>20</v>
      </c>
      <c r="Y2176" s="617" t="s">
        <v>178</v>
      </c>
      <c r="Z2176" s="617" t="s">
        <v>178</v>
      </c>
      <c r="AA2176" s="618">
        <v>38160</v>
      </c>
      <c r="AB2176" s="618" t="s">
        <v>164</v>
      </c>
      <c r="AC2176" s="618">
        <v>27271</v>
      </c>
      <c r="AD2176" s="619">
        <v>0.05</v>
      </c>
      <c r="AE2176" s="617" t="s">
        <v>4039</v>
      </c>
    </row>
    <row r="2177" spans="1:31" s="572" customFormat="1">
      <c r="A2177" s="570" t="s">
        <v>4056</v>
      </c>
      <c r="B2177" s="569" t="s">
        <v>287</v>
      </c>
      <c r="C2177" s="580">
        <v>26</v>
      </c>
      <c r="D2177" s="569" t="s">
        <v>3374</v>
      </c>
      <c r="E2177" s="569" t="s">
        <v>152</v>
      </c>
      <c r="F2177" s="569" t="s">
        <v>271</v>
      </c>
      <c r="G2177" s="569">
        <v>2019</v>
      </c>
      <c r="H2177" s="569" t="s">
        <v>3765</v>
      </c>
      <c r="I2177" s="569" t="s">
        <v>3996</v>
      </c>
      <c r="J2177" s="569" t="s">
        <v>752</v>
      </c>
      <c r="K2177" s="569">
        <v>6</v>
      </c>
      <c r="L2177" s="569">
        <v>0</v>
      </c>
      <c r="M2177" s="569" t="s">
        <v>157</v>
      </c>
      <c r="N2177" s="569">
        <v>2</v>
      </c>
      <c r="O2177" s="569" t="s">
        <v>3781</v>
      </c>
      <c r="P2177" s="568">
        <v>7700</v>
      </c>
      <c r="Q2177" s="569" t="s">
        <v>1322</v>
      </c>
      <c r="R2177" s="569">
        <v>6</v>
      </c>
      <c r="S2177" s="569" t="s">
        <v>4033</v>
      </c>
      <c r="T2177" s="569" t="s">
        <v>276</v>
      </c>
      <c r="U2177" s="569">
        <v>145</v>
      </c>
      <c r="V2177" s="569">
        <v>23</v>
      </c>
      <c r="W2177" s="620">
        <v>6300</v>
      </c>
      <c r="X2177" s="621">
        <v>20</v>
      </c>
      <c r="Y2177" s="621" t="s">
        <v>178</v>
      </c>
      <c r="Z2177" s="621" t="s">
        <v>178</v>
      </c>
      <c r="AA2177" s="622">
        <v>37165</v>
      </c>
      <c r="AB2177" s="622" t="s">
        <v>164</v>
      </c>
      <c r="AC2177" s="622">
        <v>26365</v>
      </c>
      <c r="AD2177" s="623">
        <v>0.05</v>
      </c>
      <c r="AE2177" s="621" t="s">
        <v>4057</v>
      </c>
    </row>
    <row r="2178" spans="1:31" s="572" customFormat="1">
      <c r="A2178" s="570" t="s">
        <v>4058</v>
      </c>
      <c r="B2178" s="573" t="s">
        <v>287</v>
      </c>
      <c r="C2178" s="578">
        <v>26</v>
      </c>
      <c r="D2178" s="573" t="s">
        <v>3374</v>
      </c>
      <c r="E2178" s="573" t="s">
        <v>152</v>
      </c>
      <c r="F2178" s="573" t="s">
        <v>271</v>
      </c>
      <c r="G2178" s="573">
        <v>2019</v>
      </c>
      <c r="H2178" s="573" t="s">
        <v>3765</v>
      </c>
      <c r="I2178" s="573" t="s">
        <v>3996</v>
      </c>
      <c r="J2178" s="573" t="s">
        <v>752</v>
      </c>
      <c r="K2178" s="573">
        <v>6</v>
      </c>
      <c r="L2178" s="573">
        <v>0</v>
      </c>
      <c r="M2178" s="573" t="s">
        <v>157</v>
      </c>
      <c r="N2178" s="573">
        <v>2</v>
      </c>
      <c r="O2178" s="573" t="s">
        <v>3781</v>
      </c>
      <c r="P2178" s="571">
        <v>9700</v>
      </c>
      <c r="Q2178" s="573" t="s">
        <v>3778</v>
      </c>
      <c r="R2178" s="573">
        <v>8</v>
      </c>
      <c r="S2178" s="582" t="s">
        <v>4033</v>
      </c>
      <c r="T2178" s="573" t="s">
        <v>276</v>
      </c>
      <c r="U2178" s="573">
        <v>145</v>
      </c>
      <c r="V2178" s="573">
        <v>23</v>
      </c>
      <c r="W2178" s="616">
        <v>6900</v>
      </c>
      <c r="X2178" s="617">
        <v>17</v>
      </c>
      <c r="Y2178" s="617" t="s">
        <v>450</v>
      </c>
      <c r="Z2178" s="617" t="s">
        <v>178</v>
      </c>
      <c r="AA2178" s="618">
        <v>39160</v>
      </c>
      <c r="AB2178" s="618" t="s">
        <v>164</v>
      </c>
      <c r="AC2178" s="618">
        <v>28181</v>
      </c>
      <c r="AD2178" s="619">
        <v>0.05</v>
      </c>
      <c r="AE2178" s="617" t="s">
        <v>4041</v>
      </c>
    </row>
    <row r="2179" spans="1:31" s="572" customFormat="1">
      <c r="A2179" s="570" t="s">
        <v>4059</v>
      </c>
      <c r="B2179" s="569" t="s">
        <v>287</v>
      </c>
      <c r="C2179" s="580">
        <v>26</v>
      </c>
      <c r="D2179" s="569" t="s">
        <v>3374</v>
      </c>
      <c r="E2179" s="569" t="s">
        <v>152</v>
      </c>
      <c r="F2179" s="569" t="s">
        <v>271</v>
      </c>
      <c r="G2179" s="569">
        <v>2019</v>
      </c>
      <c r="H2179" s="569" t="s">
        <v>3765</v>
      </c>
      <c r="I2179" s="569" t="s">
        <v>3996</v>
      </c>
      <c r="J2179" s="569" t="s">
        <v>752</v>
      </c>
      <c r="K2179" s="569">
        <v>6</v>
      </c>
      <c r="L2179" s="569">
        <v>0</v>
      </c>
      <c r="M2179" s="569" t="s">
        <v>157</v>
      </c>
      <c r="N2179" s="569">
        <v>2</v>
      </c>
      <c r="O2179" s="569" t="s">
        <v>3846</v>
      </c>
      <c r="P2179" s="568">
        <v>10800</v>
      </c>
      <c r="Q2179" s="569" t="s">
        <v>1259</v>
      </c>
      <c r="R2179" s="569">
        <v>6</v>
      </c>
      <c r="S2179" s="569" t="s">
        <v>4033</v>
      </c>
      <c r="T2179" s="569" t="s">
        <v>276</v>
      </c>
      <c r="U2179" s="569">
        <v>163.69999999999999</v>
      </c>
      <c r="V2179" s="569">
        <v>23</v>
      </c>
      <c r="W2179" s="620">
        <v>7050</v>
      </c>
      <c r="X2179" s="621">
        <v>19</v>
      </c>
      <c r="Y2179" s="621" t="s">
        <v>178</v>
      </c>
      <c r="Z2179" s="621" t="s">
        <v>178</v>
      </c>
      <c r="AA2179" s="622">
        <v>37165</v>
      </c>
      <c r="AB2179" s="622" t="s">
        <v>164</v>
      </c>
      <c r="AC2179" s="622">
        <v>28491</v>
      </c>
      <c r="AD2179" s="623">
        <v>0.05</v>
      </c>
      <c r="AE2179" s="621" t="s">
        <v>4043</v>
      </c>
    </row>
    <row r="2180" spans="1:31" s="572" customFormat="1">
      <c r="A2180" s="570" t="s">
        <v>4060</v>
      </c>
      <c r="B2180" s="573" t="s">
        <v>287</v>
      </c>
      <c r="C2180" s="578">
        <v>26</v>
      </c>
      <c r="D2180" s="573" t="s">
        <v>3374</v>
      </c>
      <c r="E2180" s="573" t="s">
        <v>152</v>
      </c>
      <c r="F2180" s="573" t="s">
        <v>271</v>
      </c>
      <c r="G2180" s="573">
        <v>2019</v>
      </c>
      <c r="H2180" s="573" t="s">
        <v>3765</v>
      </c>
      <c r="I2180" s="573" t="s">
        <v>3996</v>
      </c>
      <c r="J2180" s="573" t="s">
        <v>752</v>
      </c>
      <c r="K2180" s="573">
        <v>6</v>
      </c>
      <c r="L2180" s="573">
        <v>0</v>
      </c>
      <c r="M2180" s="573" t="s">
        <v>157</v>
      </c>
      <c r="N2180" s="573">
        <v>2</v>
      </c>
      <c r="O2180" s="573" t="s">
        <v>3846</v>
      </c>
      <c r="P2180" s="571">
        <v>9000</v>
      </c>
      <c r="Q2180" s="573" t="s">
        <v>3778</v>
      </c>
      <c r="R2180" s="573">
        <v>8</v>
      </c>
      <c r="S2180" s="582" t="s">
        <v>4033</v>
      </c>
      <c r="T2180" s="573" t="s">
        <v>276</v>
      </c>
      <c r="U2180" s="573">
        <v>163.69999999999999</v>
      </c>
      <c r="V2180" s="573">
        <v>23</v>
      </c>
      <c r="W2180" s="616">
        <v>6950</v>
      </c>
      <c r="X2180" s="617">
        <v>17</v>
      </c>
      <c r="Y2180" s="617" t="s">
        <v>450</v>
      </c>
      <c r="Z2180" s="617" t="s">
        <v>178</v>
      </c>
      <c r="AA2180" s="618">
        <v>40020</v>
      </c>
      <c r="AB2180" s="618" t="s">
        <v>164</v>
      </c>
      <c r="AC2180" s="618">
        <v>29036</v>
      </c>
      <c r="AD2180" s="619">
        <v>0.05</v>
      </c>
      <c r="AE2180" s="617" t="s">
        <v>4045</v>
      </c>
    </row>
    <row r="2181" spans="1:31" s="572" customFormat="1">
      <c r="A2181" s="570" t="s">
        <v>4061</v>
      </c>
      <c r="B2181" s="569" t="s">
        <v>280</v>
      </c>
      <c r="C2181" s="580">
        <v>27</v>
      </c>
      <c r="D2181" s="569" t="s">
        <v>3374</v>
      </c>
      <c r="E2181" s="569" t="s">
        <v>152</v>
      </c>
      <c r="F2181" s="569" t="s">
        <v>271</v>
      </c>
      <c r="G2181" s="569">
        <v>2019</v>
      </c>
      <c r="H2181" s="569" t="s">
        <v>3765</v>
      </c>
      <c r="I2181" s="569" t="s">
        <v>3996</v>
      </c>
      <c r="J2181" s="569" t="s">
        <v>752</v>
      </c>
      <c r="K2181" s="569">
        <v>3</v>
      </c>
      <c r="L2181" s="569">
        <v>0</v>
      </c>
      <c r="M2181" s="569" t="s">
        <v>157</v>
      </c>
      <c r="N2181" s="569">
        <v>1</v>
      </c>
      <c r="O2181" s="569" t="s">
        <v>3781</v>
      </c>
      <c r="P2181" s="568">
        <v>10700</v>
      </c>
      <c r="Q2181" s="569" t="s">
        <v>1259</v>
      </c>
      <c r="R2181" s="569">
        <v>6</v>
      </c>
      <c r="S2181" s="569" t="s">
        <v>4033</v>
      </c>
      <c r="T2181" s="569" t="s">
        <v>276</v>
      </c>
      <c r="U2181" s="569">
        <v>145</v>
      </c>
      <c r="V2181" s="569">
        <v>23</v>
      </c>
      <c r="W2181" s="620">
        <v>7000</v>
      </c>
      <c r="X2181" s="621">
        <v>19</v>
      </c>
      <c r="Y2181" s="621" t="s">
        <v>178</v>
      </c>
      <c r="Z2181" s="621" t="s">
        <v>178</v>
      </c>
      <c r="AA2181" s="622">
        <v>39760</v>
      </c>
      <c r="AB2181" s="622" t="s">
        <v>164</v>
      </c>
      <c r="AC2181" s="622">
        <v>28215.452631578948</v>
      </c>
      <c r="AD2181" s="623">
        <v>0.03</v>
      </c>
      <c r="AE2181" s="621" t="s">
        <v>4032</v>
      </c>
    </row>
    <row r="2182" spans="1:31" s="572" customFormat="1">
      <c r="A2182" s="570" t="s">
        <v>4062</v>
      </c>
      <c r="B2182" s="573" t="s">
        <v>280</v>
      </c>
      <c r="C2182" s="578">
        <v>27</v>
      </c>
      <c r="D2182" s="573" t="s">
        <v>3374</v>
      </c>
      <c r="E2182" s="573" t="s">
        <v>152</v>
      </c>
      <c r="F2182" s="573" t="s">
        <v>271</v>
      </c>
      <c r="G2182" s="573">
        <v>2019</v>
      </c>
      <c r="H2182" s="573" t="s">
        <v>3765</v>
      </c>
      <c r="I2182" s="573" t="s">
        <v>3996</v>
      </c>
      <c r="J2182" s="573" t="s">
        <v>752</v>
      </c>
      <c r="K2182" s="573">
        <v>3</v>
      </c>
      <c r="L2182" s="573">
        <v>0</v>
      </c>
      <c r="M2182" s="573" t="s">
        <v>157</v>
      </c>
      <c r="N2182" s="573">
        <v>1</v>
      </c>
      <c r="O2182" s="573" t="s">
        <v>3781</v>
      </c>
      <c r="P2182" s="571">
        <v>7200</v>
      </c>
      <c r="Q2182" s="573" t="s">
        <v>3772</v>
      </c>
      <c r="R2182" s="573">
        <v>6</v>
      </c>
      <c r="S2182" s="582" t="s">
        <v>4033</v>
      </c>
      <c r="T2182" s="573" t="s">
        <v>276</v>
      </c>
      <c r="U2182" s="573">
        <v>145</v>
      </c>
      <c r="V2182" s="573">
        <v>23</v>
      </c>
      <c r="W2182" s="616">
        <v>6300</v>
      </c>
      <c r="X2182" s="617">
        <v>19</v>
      </c>
      <c r="Y2182" s="617" t="s">
        <v>450</v>
      </c>
      <c r="Z2182" s="617" t="s">
        <v>178</v>
      </c>
      <c r="AA2182" s="618">
        <v>37165</v>
      </c>
      <c r="AB2182" s="618" t="s">
        <v>164</v>
      </c>
      <c r="AC2182" s="618">
        <v>25885.978947368421</v>
      </c>
      <c r="AD2182" s="619">
        <v>0.03</v>
      </c>
      <c r="AE2182" s="617" t="s">
        <v>4035</v>
      </c>
    </row>
    <row r="2183" spans="1:31" s="572" customFormat="1">
      <c r="A2183" s="570" t="s">
        <v>4063</v>
      </c>
      <c r="B2183" s="569" t="s">
        <v>280</v>
      </c>
      <c r="C2183" s="580">
        <v>27</v>
      </c>
      <c r="D2183" s="569" t="s">
        <v>3374</v>
      </c>
      <c r="E2183" s="569" t="s">
        <v>152</v>
      </c>
      <c r="F2183" s="569" t="s">
        <v>271</v>
      </c>
      <c r="G2183" s="569">
        <v>2019</v>
      </c>
      <c r="H2183" s="569" t="s">
        <v>3765</v>
      </c>
      <c r="I2183" s="569" t="s">
        <v>3996</v>
      </c>
      <c r="J2183" s="569" t="s">
        <v>752</v>
      </c>
      <c r="K2183" s="569">
        <v>3</v>
      </c>
      <c r="L2183" s="569">
        <v>0</v>
      </c>
      <c r="M2183" s="569" t="s">
        <v>157</v>
      </c>
      <c r="N2183" s="569">
        <v>1</v>
      </c>
      <c r="O2183" s="569" t="s">
        <v>3781</v>
      </c>
      <c r="P2183" s="568">
        <v>7600</v>
      </c>
      <c r="Q2183" s="569" t="s">
        <v>3768</v>
      </c>
      <c r="R2183" s="569">
        <v>6</v>
      </c>
      <c r="S2183" s="569" t="s">
        <v>4033</v>
      </c>
      <c r="T2183" s="569" t="s">
        <v>276</v>
      </c>
      <c r="U2183" s="569">
        <v>145</v>
      </c>
      <c r="V2183" s="569">
        <v>23</v>
      </c>
      <c r="W2183" s="620">
        <v>6800</v>
      </c>
      <c r="X2183" s="621">
        <v>21</v>
      </c>
      <c r="Y2183" s="621" t="s">
        <v>178</v>
      </c>
      <c r="Z2183" s="621" t="s">
        <v>178</v>
      </c>
      <c r="AA2183" s="622">
        <v>38160</v>
      </c>
      <c r="AB2183" s="622" t="s">
        <v>164</v>
      </c>
      <c r="AC2183" s="622">
        <v>26779.663157894738</v>
      </c>
      <c r="AD2183" s="623">
        <v>0.03</v>
      </c>
      <c r="AE2183" s="621" t="s">
        <v>4037</v>
      </c>
    </row>
    <row r="2184" spans="1:31" s="572" customFormat="1">
      <c r="A2184" s="570" t="s">
        <v>4064</v>
      </c>
      <c r="B2184" s="573" t="s">
        <v>280</v>
      </c>
      <c r="C2184" s="578">
        <v>27</v>
      </c>
      <c r="D2184" s="573" t="s">
        <v>3374</v>
      </c>
      <c r="E2184" s="573" t="s">
        <v>152</v>
      </c>
      <c r="F2184" s="573" t="s">
        <v>271</v>
      </c>
      <c r="G2184" s="573">
        <v>2019</v>
      </c>
      <c r="H2184" s="573" t="s">
        <v>3765</v>
      </c>
      <c r="I2184" s="573" t="s">
        <v>3996</v>
      </c>
      <c r="J2184" s="573" t="s">
        <v>752</v>
      </c>
      <c r="K2184" s="573">
        <v>6</v>
      </c>
      <c r="L2184" s="573">
        <v>0</v>
      </c>
      <c r="M2184" s="573" t="s">
        <v>157</v>
      </c>
      <c r="N2184" s="573">
        <v>2</v>
      </c>
      <c r="O2184" s="573" t="s">
        <v>3781</v>
      </c>
      <c r="P2184" s="571">
        <v>7600</v>
      </c>
      <c r="Q2184" s="573" t="s">
        <v>3768</v>
      </c>
      <c r="R2184" s="573">
        <v>6</v>
      </c>
      <c r="S2184" s="582" t="s">
        <v>4033</v>
      </c>
      <c r="T2184" s="573" t="s">
        <v>276</v>
      </c>
      <c r="U2184" s="573">
        <v>145</v>
      </c>
      <c r="V2184" s="573">
        <v>23</v>
      </c>
      <c r="W2184" s="616">
        <v>6800</v>
      </c>
      <c r="X2184" s="617">
        <v>21</v>
      </c>
      <c r="Y2184" s="617" t="s">
        <v>178</v>
      </c>
      <c r="Z2184" s="617" t="s">
        <v>178</v>
      </c>
      <c r="AA2184" s="618">
        <v>38160</v>
      </c>
      <c r="AB2184" s="618" t="s">
        <v>164</v>
      </c>
      <c r="AC2184" s="618">
        <v>26779.663157894738</v>
      </c>
      <c r="AD2184" s="619">
        <v>0.03</v>
      </c>
      <c r="AE2184" s="617" t="s">
        <v>4039</v>
      </c>
    </row>
    <row r="2185" spans="1:31" s="572" customFormat="1">
      <c r="A2185" s="570" t="s">
        <v>4065</v>
      </c>
      <c r="B2185" s="569" t="s">
        <v>280</v>
      </c>
      <c r="C2185" s="580">
        <v>27</v>
      </c>
      <c r="D2185" s="569" t="s">
        <v>3374</v>
      </c>
      <c r="E2185" s="569" t="s">
        <v>152</v>
      </c>
      <c r="F2185" s="569" t="s">
        <v>271</v>
      </c>
      <c r="G2185" s="569">
        <v>2019</v>
      </c>
      <c r="H2185" s="569" t="s">
        <v>3765</v>
      </c>
      <c r="I2185" s="569" t="s">
        <v>3996</v>
      </c>
      <c r="J2185" s="569" t="s">
        <v>752</v>
      </c>
      <c r="K2185" s="569">
        <v>6</v>
      </c>
      <c r="L2185" s="569">
        <v>0</v>
      </c>
      <c r="M2185" s="569" t="s">
        <v>157</v>
      </c>
      <c r="N2185" s="569">
        <v>2</v>
      </c>
      <c r="O2185" s="569" t="s">
        <v>3781</v>
      </c>
      <c r="P2185" s="568">
        <v>9700</v>
      </c>
      <c r="Q2185" s="569" t="s">
        <v>3778</v>
      </c>
      <c r="R2185" s="569">
        <v>8</v>
      </c>
      <c r="S2185" s="569" t="s">
        <v>4033</v>
      </c>
      <c r="T2185" s="569" t="s">
        <v>276</v>
      </c>
      <c r="U2185" s="569">
        <v>145</v>
      </c>
      <c r="V2185" s="569">
        <v>23</v>
      </c>
      <c r="W2185" s="620">
        <v>6800</v>
      </c>
      <c r="X2185" s="621">
        <v>18</v>
      </c>
      <c r="Y2185" s="621" t="s">
        <v>450</v>
      </c>
      <c r="Z2185" s="621" t="s">
        <v>178</v>
      </c>
      <c r="AA2185" s="622">
        <v>39160</v>
      </c>
      <c r="AB2185" s="622" t="s">
        <v>164</v>
      </c>
      <c r="AC2185" s="622">
        <v>27676.505263157895</v>
      </c>
      <c r="AD2185" s="623">
        <v>0.03</v>
      </c>
      <c r="AE2185" s="621" t="s">
        <v>4041</v>
      </c>
    </row>
    <row r="2186" spans="1:31" s="572" customFormat="1">
      <c r="A2186" s="570" t="s">
        <v>4066</v>
      </c>
      <c r="B2186" s="573" t="s">
        <v>280</v>
      </c>
      <c r="C2186" s="578">
        <v>27</v>
      </c>
      <c r="D2186" s="573" t="s">
        <v>3374</v>
      </c>
      <c r="E2186" s="573" t="s">
        <v>152</v>
      </c>
      <c r="F2186" s="573" t="s">
        <v>271</v>
      </c>
      <c r="G2186" s="573">
        <v>2019</v>
      </c>
      <c r="H2186" s="573" t="s">
        <v>3765</v>
      </c>
      <c r="I2186" s="573" t="s">
        <v>3996</v>
      </c>
      <c r="J2186" s="573" t="s">
        <v>752</v>
      </c>
      <c r="K2186" s="573">
        <v>6</v>
      </c>
      <c r="L2186" s="573">
        <v>0</v>
      </c>
      <c r="M2186" s="573" t="s">
        <v>157</v>
      </c>
      <c r="N2186" s="573">
        <v>2</v>
      </c>
      <c r="O2186" s="573" t="s">
        <v>3846</v>
      </c>
      <c r="P2186" s="571">
        <v>10800</v>
      </c>
      <c r="Q2186" s="573" t="s">
        <v>1259</v>
      </c>
      <c r="R2186" s="573">
        <v>6</v>
      </c>
      <c r="S2186" s="582" t="s">
        <v>4033</v>
      </c>
      <c r="T2186" s="573" t="s">
        <v>276</v>
      </c>
      <c r="U2186" s="573">
        <v>163.69999999999999</v>
      </c>
      <c r="V2186" s="573">
        <v>23</v>
      </c>
      <c r="W2186" s="616">
        <v>7050</v>
      </c>
      <c r="X2186" s="617">
        <v>19</v>
      </c>
      <c r="Y2186" s="617" t="s">
        <v>178</v>
      </c>
      <c r="Z2186" s="617" t="s">
        <v>178</v>
      </c>
      <c r="AA2186" s="618">
        <v>37165</v>
      </c>
      <c r="AB2186" s="618" t="s">
        <v>164</v>
      </c>
      <c r="AC2186" s="618">
        <v>28518.610526315792</v>
      </c>
      <c r="AD2186" s="619">
        <v>0.03</v>
      </c>
      <c r="AE2186" s="617" t="s">
        <v>4043</v>
      </c>
    </row>
    <row r="2187" spans="1:31" s="572" customFormat="1">
      <c r="A2187" s="570" t="s">
        <v>4067</v>
      </c>
      <c r="B2187" s="569" t="s">
        <v>280</v>
      </c>
      <c r="C2187" s="580">
        <v>27</v>
      </c>
      <c r="D2187" s="569" t="s">
        <v>3374</v>
      </c>
      <c r="E2187" s="569" t="s">
        <v>152</v>
      </c>
      <c r="F2187" s="569" t="s">
        <v>271</v>
      </c>
      <c r="G2187" s="569">
        <v>2019</v>
      </c>
      <c r="H2187" s="569" t="s">
        <v>3765</v>
      </c>
      <c r="I2187" s="569" t="s">
        <v>3996</v>
      </c>
      <c r="J2187" s="569" t="s">
        <v>752</v>
      </c>
      <c r="K2187" s="569">
        <v>6</v>
      </c>
      <c r="L2187" s="569">
        <v>0</v>
      </c>
      <c r="M2187" s="569" t="s">
        <v>157</v>
      </c>
      <c r="N2187" s="569">
        <v>2</v>
      </c>
      <c r="O2187" s="569" t="s">
        <v>3846</v>
      </c>
      <c r="P2187" s="568">
        <v>9000</v>
      </c>
      <c r="Q2187" s="569" t="s">
        <v>3778</v>
      </c>
      <c r="R2187" s="569">
        <v>8</v>
      </c>
      <c r="S2187" s="569" t="s">
        <v>4033</v>
      </c>
      <c r="T2187" s="569" t="s">
        <v>276</v>
      </c>
      <c r="U2187" s="569">
        <v>163.69999999999999</v>
      </c>
      <c r="V2187" s="569">
        <v>23</v>
      </c>
      <c r="W2187" s="620">
        <v>6950</v>
      </c>
      <c r="X2187" s="621">
        <v>18</v>
      </c>
      <c r="Y2187" s="621" t="s">
        <v>450</v>
      </c>
      <c r="Z2187" s="621" t="s">
        <v>178</v>
      </c>
      <c r="AA2187" s="622">
        <v>39760</v>
      </c>
      <c r="AB2187" s="622" t="s">
        <v>164</v>
      </c>
      <c r="AC2187" s="622">
        <v>27980.715789473685</v>
      </c>
      <c r="AD2187" s="623">
        <v>0.03</v>
      </c>
      <c r="AE2187" s="621" t="s">
        <v>4045</v>
      </c>
    </row>
    <row r="2188" spans="1:31" s="572" customFormat="1">
      <c r="A2188" s="570" t="s">
        <v>4068</v>
      </c>
      <c r="B2188" s="573" t="s">
        <v>269</v>
      </c>
      <c r="C2188" s="578" t="s">
        <v>270</v>
      </c>
      <c r="D2188" s="573" t="s">
        <v>3374</v>
      </c>
      <c r="E2188" s="573" t="s">
        <v>152</v>
      </c>
      <c r="F2188" s="573" t="s">
        <v>271</v>
      </c>
      <c r="G2188" s="573">
        <v>2019</v>
      </c>
      <c r="H2188" s="573" t="s">
        <v>3765</v>
      </c>
      <c r="I2188" s="573" t="s">
        <v>4070</v>
      </c>
      <c r="J2188" s="573" t="s">
        <v>3377</v>
      </c>
      <c r="K2188" s="573">
        <v>6</v>
      </c>
      <c r="L2188" s="573">
        <v>0</v>
      </c>
      <c r="M2188" s="573" t="s">
        <v>157</v>
      </c>
      <c r="N2188" s="573">
        <v>2</v>
      </c>
      <c r="O2188" s="573" t="s">
        <v>3781</v>
      </c>
      <c r="P2188" s="571">
        <v>10800</v>
      </c>
      <c r="Q2188" s="573" t="s">
        <v>1259</v>
      </c>
      <c r="R2188" s="573">
        <v>6</v>
      </c>
      <c r="S2188" s="582" t="s">
        <v>3997</v>
      </c>
      <c r="T2188" s="573" t="s">
        <v>318</v>
      </c>
      <c r="U2188" s="573">
        <v>145</v>
      </c>
      <c r="V2188" s="573">
        <v>23</v>
      </c>
      <c r="W2188" s="616">
        <v>6900</v>
      </c>
      <c r="X2188" s="617">
        <v>21</v>
      </c>
      <c r="Y2188" s="617" t="s">
        <v>178</v>
      </c>
      <c r="Z2188" s="617" t="s">
        <v>178</v>
      </c>
      <c r="AA2188" s="618">
        <v>41160</v>
      </c>
      <c r="AB2188" s="618" t="s">
        <v>164</v>
      </c>
      <c r="AC2188" s="618">
        <v>28735.452631578948</v>
      </c>
      <c r="AD2188" s="619">
        <v>0.03</v>
      </c>
      <c r="AE2188" s="617" t="s">
        <v>4069</v>
      </c>
    </row>
    <row r="2189" spans="1:31" s="572" customFormat="1">
      <c r="A2189" s="570" t="s">
        <v>4071</v>
      </c>
      <c r="B2189" s="569" t="s">
        <v>269</v>
      </c>
      <c r="C2189" s="580" t="s">
        <v>270</v>
      </c>
      <c r="D2189" s="569" t="s">
        <v>3374</v>
      </c>
      <c r="E2189" s="569" t="s">
        <v>152</v>
      </c>
      <c r="F2189" s="569" t="s">
        <v>271</v>
      </c>
      <c r="G2189" s="569">
        <v>2019</v>
      </c>
      <c r="H2189" s="569" t="s">
        <v>3765</v>
      </c>
      <c r="I2189" s="569" t="s">
        <v>4070</v>
      </c>
      <c r="J2189" s="569" t="s">
        <v>3377</v>
      </c>
      <c r="K2189" s="569">
        <v>6</v>
      </c>
      <c r="L2189" s="569">
        <v>0</v>
      </c>
      <c r="M2189" s="569" t="s">
        <v>157</v>
      </c>
      <c r="N2189" s="569">
        <v>2</v>
      </c>
      <c r="O2189" s="569" t="s">
        <v>3781</v>
      </c>
      <c r="P2189" s="568">
        <v>5100</v>
      </c>
      <c r="Q2189" s="569" t="s">
        <v>3772</v>
      </c>
      <c r="R2189" s="569">
        <v>6</v>
      </c>
      <c r="S2189" s="569" t="s">
        <v>3997</v>
      </c>
      <c r="T2189" s="569" t="s">
        <v>318</v>
      </c>
      <c r="U2189" s="569">
        <v>145</v>
      </c>
      <c r="V2189" s="569">
        <v>23</v>
      </c>
      <c r="W2189" s="620">
        <v>6100</v>
      </c>
      <c r="X2189" s="621">
        <v>22</v>
      </c>
      <c r="Y2189" s="621" t="s">
        <v>450</v>
      </c>
      <c r="Z2189" s="621" t="s">
        <v>178</v>
      </c>
      <c r="AA2189" s="622">
        <v>38565</v>
      </c>
      <c r="AB2189" s="622" t="s">
        <v>164</v>
      </c>
      <c r="AC2189" s="622">
        <v>26405.978947368421</v>
      </c>
      <c r="AD2189" s="623">
        <v>0.03</v>
      </c>
      <c r="AE2189" s="621" t="s">
        <v>4072</v>
      </c>
    </row>
    <row r="2190" spans="1:31" s="572" customFormat="1">
      <c r="A2190" s="570" t="s">
        <v>4073</v>
      </c>
      <c r="B2190" s="573" t="s">
        <v>269</v>
      </c>
      <c r="C2190" s="578" t="s">
        <v>270</v>
      </c>
      <c r="D2190" s="573" t="s">
        <v>3374</v>
      </c>
      <c r="E2190" s="573" t="s">
        <v>152</v>
      </c>
      <c r="F2190" s="573" t="s">
        <v>271</v>
      </c>
      <c r="G2190" s="573">
        <v>2019</v>
      </c>
      <c r="H2190" s="573" t="s">
        <v>3765</v>
      </c>
      <c r="I2190" s="573" t="s">
        <v>4070</v>
      </c>
      <c r="J2190" s="573" t="s">
        <v>3377</v>
      </c>
      <c r="K2190" s="573">
        <v>6</v>
      </c>
      <c r="L2190" s="573">
        <v>0</v>
      </c>
      <c r="M2190" s="573" t="s">
        <v>157</v>
      </c>
      <c r="N2190" s="573">
        <v>2</v>
      </c>
      <c r="O2190" s="573" t="s">
        <v>3781</v>
      </c>
      <c r="P2190" s="571">
        <v>7600</v>
      </c>
      <c r="Q2190" s="573" t="s">
        <v>3841</v>
      </c>
      <c r="R2190" s="573">
        <v>6</v>
      </c>
      <c r="S2190" s="582" t="s">
        <v>3997</v>
      </c>
      <c r="T2190" s="573" t="s">
        <v>318</v>
      </c>
      <c r="U2190" s="573">
        <v>145</v>
      </c>
      <c r="V2190" s="573">
        <v>23</v>
      </c>
      <c r="W2190" s="616">
        <v>6250</v>
      </c>
      <c r="X2190" s="617">
        <v>22</v>
      </c>
      <c r="Y2190" s="617" t="s">
        <v>178</v>
      </c>
      <c r="Z2190" s="617" t="s">
        <v>178</v>
      </c>
      <c r="AA2190" s="618">
        <v>39160</v>
      </c>
      <c r="AB2190" s="618" t="s">
        <v>164</v>
      </c>
      <c r="AC2190" s="618">
        <v>27299.663157894738</v>
      </c>
      <c r="AD2190" s="619">
        <v>0.03</v>
      </c>
      <c r="AE2190" s="617" t="s">
        <v>4074</v>
      </c>
    </row>
    <row r="2191" spans="1:31" s="572" customFormat="1">
      <c r="A2191" s="570" t="s">
        <v>4075</v>
      </c>
      <c r="B2191" s="569" t="s">
        <v>269</v>
      </c>
      <c r="C2191" s="580" t="s">
        <v>270</v>
      </c>
      <c r="D2191" s="569" t="s">
        <v>3374</v>
      </c>
      <c r="E2191" s="569" t="s">
        <v>152</v>
      </c>
      <c r="F2191" s="569" t="s">
        <v>271</v>
      </c>
      <c r="G2191" s="569">
        <v>2019</v>
      </c>
      <c r="H2191" s="569" t="s">
        <v>3765</v>
      </c>
      <c r="I2191" s="569" t="s">
        <v>4070</v>
      </c>
      <c r="J2191" s="569" t="s">
        <v>3377</v>
      </c>
      <c r="K2191" s="569">
        <v>6</v>
      </c>
      <c r="L2191" s="569">
        <v>0</v>
      </c>
      <c r="M2191" s="569" t="s">
        <v>157</v>
      </c>
      <c r="N2191" s="569">
        <v>2</v>
      </c>
      <c r="O2191" s="569" t="s">
        <v>3781</v>
      </c>
      <c r="P2191" s="568">
        <v>9200</v>
      </c>
      <c r="Q2191" s="569" t="s">
        <v>3778</v>
      </c>
      <c r="R2191" s="569">
        <v>8</v>
      </c>
      <c r="S2191" s="569" t="s">
        <v>3997</v>
      </c>
      <c r="T2191" s="569" t="s">
        <v>318</v>
      </c>
      <c r="U2191" s="569">
        <v>145</v>
      </c>
      <c r="V2191" s="569">
        <v>23</v>
      </c>
      <c r="W2191" s="620">
        <v>6900</v>
      </c>
      <c r="X2191" s="621">
        <v>19</v>
      </c>
      <c r="Y2191" s="621" t="s">
        <v>450</v>
      </c>
      <c r="Z2191" s="621" t="s">
        <v>178</v>
      </c>
      <c r="AA2191" s="622">
        <v>40560</v>
      </c>
      <c r="AB2191" s="622" t="s">
        <v>164</v>
      </c>
      <c r="AC2191" s="622">
        <v>28196.505263157895</v>
      </c>
      <c r="AD2191" s="623">
        <v>0.03</v>
      </c>
      <c r="AE2191" s="621" t="s">
        <v>4076</v>
      </c>
    </row>
    <row r="2192" spans="1:31" s="572" customFormat="1">
      <c r="A2192" s="570" t="s">
        <v>4077</v>
      </c>
      <c r="B2192" s="573" t="s">
        <v>269</v>
      </c>
      <c r="C2192" s="578" t="s">
        <v>270</v>
      </c>
      <c r="D2192" s="573" t="s">
        <v>3374</v>
      </c>
      <c r="E2192" s="573" t="s">
        <v>152</v>
      </c>
      <c r="F2192" s="573" t="s">
        <v>271</v>
      </c>
      <c r="G2192" s="573">
        <v>2019</v>
      </c>
      <c r="H2192" s="573" t="s">
        <v>3765</v>
      </c>
      <c r="I2192" s="573" t="s">
        <v>4070</v>
      </c>
      <c r="J2192" s="573" t="s">
        <v>3377</v>
      </c>
      <c r="K2192" s="573">
        <v>6</v>
      </c>
      <c r="L2192" s="573">
        <v>0</v>
      </c>
      <c r="M2192" s="573" t="s">
        <v>157</v>
      </c>
      <c r="N2192" s="573">
        <v>2</v>
      </c>
      <c r="O2192" s="573" t="s">
        <v>3846</v>
      </c>
      <c r="P2192" s="571">
        <v>10700</v>
      </c>
      <c r="Q2192" s="573" t="s">
        <v>1259</v>
      </c>
      <c r="R2192" s="573">
        <v>6</v>
      </c>
      <c r="S2192" s="582" t="s">
        <v>3997</v>
      </c>
      <c r="T2192" s="573" t="s">
        <v>318</v>
      </c>
      <c r="U2192" s="573">
        <v>163.69999999999999</v>
      </c>
      <c r="V2192" s="573">
        <v>23</v>
      </c>
      <c r="W2192" s="616">
        <v>7050</v>
      </c>
      <c r="X2192" s="617">
        <v>21</v>
      </c>
      <c r="Y2192" s="617" t="s">
        <v>178</v>
      </c>
      <c r="Z2192" s="617" t="s">
        <v>178</v>
      </c>
      <c r="AA2192" s="618">
        <v>41470</v>
      </c>
      <c r="AB2192" s="618" t="s">
        <v>164</v>
      </c>
      <c r="AC2192" s="618">
        <v>29027.031578947372</v>
      </c>
      <c r="AD2192" s="619">
        <v>0.03</v>
      </c>
      <c r="AE2192" s="617" t="s">
        <v>4078</v>
      </c>
    </row>
    <row r="2193" spans="1:31" s="572" customFormat="1">
      <c r="A2193" s="570" t="s">
        <v>4079</v>
      </c>
      <c r="B2193" s="569" t="s">
        <v>269</v>
      </c>
      <c r="C2193" s="580" t="s">
        <v>270</v>
      </c>
      <c r="D2193" s="569" t="s">
        <v>3374</v>
      </c>
      <c r="E2193" s="569" t="s">
        <v>152</v>
      </c>
      <c r="F2193" s="569" t="s">
        <v>271</v>
      </c>
      <c r="G2193" s="569">
        <v>2019</v>
      </c>
      <c r="H2193" s="569" t="s">
        <v>3765</v>
      </c>
      <c r="I2193" s="569" t="s">
        <v>4070</v>
      </c>
      <c r="J2193" s="569" t="s">
        <v>3377</v>
      </c>
      <c r="K2193" s="569">
        <v>6</v>
      </c>
      <c r="L2193" s="569">
        <v>0</v>
      </c>
      <c r="M2193" s="569" t="s">
        <v>157</v>
      </c>
      <c r="N2193" s="569">
        <v>2</v>
      </c>
      <c r="O2193" s="569" t="s">
        <v>3846</v>
      </c>
      <c r="P2193" s="568">
        <v>7600</v>
      </c>
      <c r="Q2193" s="569" t="s">
        <v>3841</v>
      </c>
      <c r="R2193" s="569">
        <v>6</v>
      </c>
      <c r="S2193" s="569" t="s">
        <v>3997</v>
      </c>
      <c r="T2193" s="569" t="s">
        <v>318</v>
      </c>
      <c r="U2193" s="569">
        <v>163.69999999999999</v>
      </c>
      <c r="V2193" s="569">
        <v>23</v>
      </c>
      <c r="W2193" s="620">
        <v>6500</v>
      </c>
      <c r="X2193" s="621">
        <v>22</v>
      </c>
      <c r="Y2193" s="621" t="s">
        <v>178</v>
      </c>
      <c r="Z2193" s="621" t="s">
        <v>178</v>
      </c>
      <c r="AA2193" s="622">
        <v>39870</v>
      </c>
      <c r="AB2193" s="622" t="s">
        <v>164</v>
      </c>
      <c r="AC2193" s="622">
        <v>27591.242105263158</v>
      </c>
      <c r="AD2193" s="623">
        <v>0.03</v>
      </c>
      <c r="AE2193" s="621" t="s">
        <v>4080</v>
      </c>
    </row>
    <row r="2194" spans="1:31" s="572" customFormat="1">
      <c r="A2194" s="570" t="s">
        <v>4081</v>
      </c>
      <c r="B2194" s="573" t="s">
        <v>269</v>
      </c>
      <c r="C2194" s="578" t="s">
        <v>270</v>
      </c>
      <c r="D2194" s="573" t="s">
        <v>3374</v>
      </c>
      <c r="E2194" s="573" t="s">
        <v>152</v>
      </c>
      <c r="F2194" s="573" t="s">
        <v>271</v>
      </c>
      <c r="G2194" s="573">
        <v>2019</v>
      </c>
      <c r="H2194" s="573" t="s">
        <v>3765</v>
      </c>
      <c r="I2194" s="573" t="s">
        <v>4070</v>
      </c>
      <c r="J2194" s="573" t="s">
        <v>3377</v>
      </c>
      <c r="K2194" s="573">
        <v>6</v>
      </c>
      <c r="L2194" s="573">
        <v>0</v>
      </c>
      <c r="M2194" s="573" t="s">
        <v>157</v>
      </c>
      <c r="N2194" s="573">
        <v>2</v>
      </c>
      <c r="O2194" s="573" t="s">
        <v>3846</v>
      </c>
      <c r="P2194" s="571">
        <v>9200</v>
      </c>
      <c r="Q2194" s="573" t="s">
        <v>3778</v>
      </c>
      <c r="R2194" s="573">
        <v>8</v>
      </c>
      <c r="S2194" s="582" t="s">
        <v>3997</v>
      </c>
      <c r="T2194" s="573" t="s">
        <v>318</v>
      </c>
      <c r="U2194" s="573">
        <v>163.69999999999999</v>
      </c>
      <c r="V2194" s="573">
        <v>23</v>
      </c>
      <c r="W2194" s="616">
        <v>7000</v>
      </c>
      <c r="X2194" s="617">
        <v>19</v>
      </c>
      <c r="Y2194" s="617" t="s">
        <v>450</v>
      </c>
      <c r="Z2194" s="617" t="s">
        <v>178</v>
      </c>
      <c r="AA2194" s="618">
        <v>40870</v>
      </c>
      <c r="AB2194" s="618" t="s">
        <v>164</v>
      </c>
      <c r="AC2194" s="618">
        <v>28488.084210526318</v>
      </c>
      <c r="AD2194" s="619">
        <v>0.03</v>
      </c>
      <c r="AE2194" s="617" t="s">
        <v>4082</v>
      </c>
    </row>
    <row r="2195" spans="1:31" s="572" customFormat="1">
      <c r="A2195" s="570" t="s">
        <v>4083</v>
      </c>
      <c r="B2195" s="569" t="s">
        <v>278</v>
      </c>
      <c r="C2195" s="580">
        <v>15</v>
      </c>
      <c r="D2195" s="569" t="s">
        <v>3374</v>
      </c>
      <c r="E2195" s="569" t="s">
        <v>152</v>
      </c>
      <c r="F2195" s="569" t="s">
        <v>271</v>
      </c>
      <c r="G2195" s="569">
        <v>2019</v>
      </c>
      <c r="H2195" s="569" t="s">
        <v>3765</v>
      </c>
      <c r="I2195" s="569" t="s">
        <v>4070</v>
      </c>
      <c r="J2195" s="569" t="s">
        <v>3377</v>
      </c>
      <c r="K2195" s="569">
        <v>6</v>
      </c>
      <c r="L2195" s="569">
        <v>0</v>
      </c>
      <c r="M2195" s="569" t="s">
        <v>157</v>
      </c>
      <c r="N2195" s="569">
        <v>2</v>
      </c>
      <c r="O2195" s="569" t="s">
        <v>3781</v>
      </c>
      <c r="P2195" s="568">
        <v>10800</v>
      </c>
      <c r="Q2195" s="569" t="s">
        <v>1259</v>
      </c>
      <c r="R2195" s="569">
        <v>6</v>
      </c>
      <c r="S2195" s="569" t="s">
        <v>3997</v>
      </c>
      <c r="T2195" s="569" t="s">
        <v>318</v>
      </c>
      <c r="U2195" s="569">
        <v>145</v>
      </c>
      <c r="V2195" s="569">
        <v>23</v>
      </c>
      <c r="W2195" s="620">
        <v>6900</v>
      </c>
      <c r="X2195" s="621">
        <v>20</v>
      </c>
      <c r="Y2195" s="621" t="s">
        <v>178</v>
      </c>
      <c r="Z2195" s="621" t="s">
        <v>178</v>
      </c>
      <c r="AA2195" s="622">
        <v>41160</v>
      </c>
      <c r="AB2195" s="622" t="s">
        <v>164</v>
      </c>
      <c r="AC2195" s="622">
        <v>28800</v>
      </c>
      <c r="AD2195" s="623">
        <v>0.01</v>
      </c>
      <c r="AE2195" s="621" t="s">
        <v>4069</v>
      </c>
    </row>
    <row r="2196" spans="1:31" s="572" customFormat="1">
      <c r="A2196" s="570" t="s">
        <v>4084</v>
      </c>
      <c r="B2196" s="573" t="s">
        <v>278</v>
      </c>
      <c r="C2196" s="578">
        <v>15</v>
      </c>
      <c r="D2196" s="573" t="s">
        <v>3374</v>
      </c>
      <c r="E2196" s="573" t="s">
        <v>152</v>
      </c>
      <c r="F2196" s="573" t="s">
        <v>271</v>
      </c>
      <c r="G2196" s="573">
        <v>2019</v>
      </c>
      <c r="H2196" s="573" t="s">
        <v>3765</v>
      </c>
      <c r="I2196" s="573" t="s">
        <v>4070</v>
      </c>
      <c r="J2196" s="573" t="s">
        <v>3377</v>
      </c>
      <c r="K2196" s="573">
        <v>6</v>
      </c>
      <c r="L2196" s="573">
        <v>0</v>
      </c>
      <c r="M2196" s="573" t="s">
        <v>157</v>
      </c>
      <c r="N2196" s="573">
        <v>2</v>
      </c>
      <c r="O2196" s="573" t="s">
        <v>3781</v>
      </c>
      <c r="P2196" s="571">
        <v>5100</v>
      </c>
      <c r="Q2196" s="573" t="s">
        <v>3772</v>
      </c>
      <c r="R2196" s="573">
        <v>6</v>
      </c>
      <c r="S2196" s="582" t="s">
        <v>3997</v>
      </c>
      <c r="T2196" s="573" t="s">
        <v>318</v>
      </c>
      <c r="U2196" s="573">
        <v>145</v>
      </c>
      <c r="V2196" s="573">
        <v>23</v>
      </c>
      <c r="W2196" s="616">
        <v>6100</v>
      </c>
      <c r="X2196" s="617">
        <v>20</v>
      </c>
      <c r="Y2196" s="617" t="s">
        <v>450</v>
      </c>
      <c r="Z2196" s="617" t="s">
        <v>178</v>
      </c>
      <c r="AA2196" s="618">
        <v>38565</v>
      </c>
      <c r="AB2196" s="618" t="s">
        <v>164</v>
      </c>
      <c r="AC2196" s="618">
        <v>26500</v>
      </c>
      <c r="AD2196" s="619">
        <v>0.01</v>
      </c>
      <c r="AE2196" s="617" t="s">
        <v>4072</v>
      </c>
    </row>
    <row r="2197" spans="1:31" s="572" customFormat="1">
      <c r="A2197" s="570" t="s">
        <v>4085</v>
      </c>
      <c r="B2197" s="569" t="s">
        <v>278</v>
      </c>
      <c r="C2197" s="580">
        <v>15</v>
      </c>
      <c r="D2197" s="569" t="s">
        <v>3374</v>
      </c>
      <c r="E2197" s="569" t="s">
        <v>152</v>
      </c>
      <c r="F2197" s="569" t="s">
        <v>271</v>
      </c>
      <c r="G2197" s="569">
        <v>2019</v>
      </c>
      <c r="H2197" s="569" t="s">
        <v>3765</v>
      </c>
      <c r="I2197" s="569" t="s">
        <v>4070</v>
      </c>
      <c r="J2197" s="569" t="s">
        <v>3377</v>
      </c>
      <c r="K2197" s="569">
        <v>6</v>
      </c>
      <c r="L2197" s="569">
        <v>0</v>
      </c>
      <c r="M2197" s="569" t="s">
        <v>157</v>
      </c>
      <c r="N2197" s="569">
        <v>2</v>
      </c>
      <c r="O2197" s="569" t="s">
        <v>3781</v>
      </c>
      <c r="P2197" s="568">
        <v>7600</v>
      </c>
      <c r="Q2197" s="569" t="s">
        <v>3841</v>
      </c>
      <c r="R2197" s="569">
        <v>6</v>
      </c>
      <c r="S2197" s="569" t="s">
        <v>3997</v>
      </c>
      <c r="T2197" s="569" t="s">
        <v>318</v>
      </c>
      <c r="U2197" s="569">
        <v>145</v>
      </c>
      <c r="V2197" s="569">
        <v>23</v>
      </c>
      <c r="W2197" s="620">
        <v>6250</v>
      </c>
      <c r="X2197" s="621">
        <v>22</v>
      </c>
      <c r="Y2197" s="621" t="s">
        <v>178</v>
      </c>
      <c r="Z2197" s="621" t="s">
        <v>178</v>
      </c>
      <c r="AA2197" s="622">
        <v>39560</v>
      </c>
      <c r="AB2197" s="622" t="s">
        <v>164</v>
      </c>
      <c r="AC2197" s="622">
        <v>27400</v>
      </c>
      <c r="AD2197" s="623">
        <v>0.01</v>
      </c>
      <c r="AE2197" s="621" t="s">
        <v>4074</v>
      </c>
    </row>
    <row r="2198" spans="1:31" s="572" customFormat="1">
      <c r="A2198" s="570" t="s">
        <v>4086</v>
      </c>
      <c r="B2198" s="573" t="s">
        <v>278</v>
      </c>
      <c r="C2198" s="578">
        <v>15</v>
      </c>
      <c r="D2198" s="573" t="s">
        <v>3374</v>
      </c>
      <c r="E2198" s="573" t="s">
        <v>152</v>
      </c>
      <c r="F2198" s="573" t="s">
        <v>271</v>
      </c>
      <c r="G2198" s="573">
        <v>2019</v>
      </c>
      <c r="H2198" s="573" t="s">
        <v>3765</v>
      </c>
      <c r="I2198" s="573" t="s">
        <v>4070</v>
      </c>
      <c r="J2198" s="573" t="s">
        <v>3377</v>
      </c>
      <c r="K2198" s="573">
        <v>6</v>
      </c>
      <c r="L2198" s="573">
        <v>0</v>
      </c>
      <c r="M2198" s="573" t="s">
        <v>157</v>
      </c>
      <c r="N2198" s="573">
        <v>2</v>
      </c>
      <c r="O2198" s="573" t="s">
        <v>3781</v>
      </c>
      <c r="P2198" s="571">
        <v>9200</v>
      </c>
      <c r="Q2198" s="573" t="s">
        <v>3778</v>
      </c>
      <c r="R2198" s="573">
        <v>8</v>
      </c>
      <c r="S2198" s="582" t="s">
        <v>3997</v>
      </c>
      <c r="T2198" s="573" t="s">
        <v>318</v>
      </c>
      <c r="U2198" s="573">
        <v>145</v>
      </c>
      <c r="V2198" s="573">
        <v>23</v>
      </c>
      <c r="W2198" s="616">
        <v>6900</v>
      </c>
      <c r="X2198" s="617">
        <v>18</v>
      </c>
      <c r="Y2198" s="617" t="s">
        <v>450</v>
      </c>
      <c r="Z2198" s="617" t="s">
        <v>178</v>
      </c>
      <c r="AA2198" s="618">
        <v>40560</v>
      </c>
      <c r="AB2198" s="618" t="s">
        <v>164</v>
      </c>
      <c r="AC2198" s="618">
        <v>28300</v>
      </c>
      <c r="AD2198" s="619">
        <v>0.01</v>
      </c>
      <c r="AE2198" s="617" t="s">
        <v>4076</v>
      </c>
    </row>
    <row r="2199" spans="1:31" s="572" customFormat="1">
      <c r="A2199" s="570" t="s">
        <v>4087</v>
      </c>
      <c r="B2199" s="569" t="s">
        <v>278</v>
      </c>
      <c r="C2199" s="580">
        <v>15</v>
      </c>
      <c r="D2199" s="569" t="s">
        <v>3374</v>
      </c>
      <c r="E2199" s="569" t="s">
        <v>152</v>
      </c>
      <c r="F2199" s="569" t="s">
        <v>271</v>
      </c>
      <c r="G2199" s="569">
        <v>2019</v>
      </c>
      <c r="H2199" s="569" t="s">
        <v>3765</v>
      </c>
      <c r="I2199" s="569" t="s">
        <v>4070</v>
      </c>
      <c r="J2199" s="569" t="s">
        <v>3377</v>
      </c>
      <c r="K2199" s="569">
        <v>6</v>
      </c>
      <c r="L2199" s="569">
        <v>0</v>
      </c>
      <c r="M2199" s="569" t="s">
        <v>157</v>
      </c>
      <c r="N2199" s="569">
        <v>2</v>
      </c>
      <c r="O2199" s="569" t="s">
        <v>3846</v>
      </c>
      <c r="P2199" s="568">
        <v>10700</v>
      </c>
      <c r="Q2199" s="569" t="s">
        <v>1259</v>
      </c>
      <c r="R2199" s="569">
        <v>6</v>
      </c>
      <c r="S2199" s="569" t="s">
        <v>3997</v>
      </c>
      <c r="T2199" s="569" t="s">
        <v>318</v>
      </c>
      <c r="U2199" s="569">
        <v>163.69999999999999</v>
      </c>
      <c r="V2199" s="569">
        <v>23</v>
      </c>
      <c r="W2199" s="620">
        <v>7050</v>
      </c>
      <c r="X2199" s="621">
        <v>20</v>
      </c>
      <c r="Y2199" s="621" t="s">
        <v>178</v>
      </c>
      <c r="Z2199" s="621" t="s">
        <v>178</v>
      </c>
      <c r="AA2199" s="622">
        <v>41470</v>
      </c>
      <c r="AB2199" s="622" t="s">
        <v>164</v>
      </c>
      <c r="AC2199" s="622">
        <v>29100</v>
      </c>
      <c r="AD2199" s="623">
        <v>0.01</v>
      </c>
      <c r="AE2199" s="621" t="s">
        <v>4078</v>
      </c>
    </row>
    <row r="2200" spans="1:31" s="572" customFormat="1">
      <c r="A2200" s="570" t="s">
        <v>4088</v>
      </c>
      <c r="B2200" s="573" t="s">
        <v>278</v>
      </c>
      <c r="C2200" s="578">
        <v>15</v>
      </c>
      <c r="D2200" s="573" t="s">
        <v>3374</v>
      </c>
      <c r="E2200" s="573" t="s">
        <v>152</v>
      </c>
      <c r="F2200" s="573" t="s">
        <v>271</v>
      </c>
      <c r="G2200" s="573">
        <v>2019</v>
      </c>
      <c r="H2200" s="573" t="s">
        <v>3765</v>
      </c>
      <c r="I2200" s="573" t="s">
        <v>4070</v>
      </c>
      <c r="J2200" s="573" t="s">
        <v>3377</v>
      </c>
      <c r="K2200" s="573">
        <v>6</v>
      </c>
      <c r="L2200" s="573">
        <v>0</v>
      </c>
      <c r="M2200" s="573" t="s">
        <v>157</v>
      </c>
      <c r="N2200" s="573">
        <v>2</v>
      </c>
      <c r="O2200" s="573" t="s">
        <v>3846</v>
      </c>
      <c r="P2200" s="571">
        <v>7600</v>
      </c>
      <c r="Q2200" s="573" t="s">
        <v>3841</v>
      </c>
      <c r="R2200" s="573">
        <v>6</v>
      </c>
      <c r="S2200" s="582" t="s">
        <v>3997</v>
      </c>
      <c r="T2200" s="573" t="s">
        <v>318</v>
      </c>
      <c r="U2200" s="573">
        <v>163.69999999999999</v>
      </c>
      <c r="V2200" s="573">
        <v>23</v>
      </c>
      <c r="W2200" s="616">
        <v>6500</v>
      </c>
      <c r="X2200" s="617">
        <v>22</v>
      </c>
      <c r="Y2200" s="617" t="s">
        <v>178</v>
      </c>
      <c r="Z2200" s="617" t="s">
        <v>178</v>
      </c>
      <c r="AA2200" s="618">
        <v>39870</v>
      </c>
      <c r="AB2200" s="618" t="s">
        <v>164</v>
      </c>
      <c r="AC2200" s="618">
        <v>27700</v>
      </c>
      <c r="AD2200" s="619">
        <v>0.01</v>
      </c>
      <c r="AE2200" s="617" t="s">
        <v>4080</v>
      </c>
    </row>
    <row r="2201" spans="1:31" s="572" customFormat="1">
      <c r="A2201" s="570" t="s">
        <v>4089</v>
      </c>
      <c r="B2201" s="569" t="s">
        <v>278</v>
      </c>
      <c r="C2201" s="580">
        <v>15</v>
      </c>
      <c r="D2201" s="569" t="s">
        <v>3374</v>
      </c>
      <c r="E2201" s="569" t="s">
        <v>152</v>
      </c>
      <c r="F2201" s="569" t="s">
        <v>271</v>
      </c>
      <c r="G2201" s="569">
        <v>2019</v>
      </c>
      <c r="H2201" s="569" t="s">
        <v>3765</v>
      </c>
      <c r="I2201" s="569" t="s">
        <v>4070</v>
      </c>
      <c r="J2201" s="569" t="s">
        <v>3377</v>
      </c>
      <c r="K2201" s="569">
        <v>6</v>
      </c>
      <c r="L2201" s="569">
        <v>0</v>
      </c>
      <c r="M2201" s="569" t="s">
        <v>157</v>
      </c>
      <c r="N2201" s="569">
        <v>2</v>
      </c>
      <c r="O2201" s="569" t="s">
        <v>3846</v>
      </c>
      <c r="P2201" s="568">
        <v>9200</v>
      </c>
      <c r="Q2201" s="569" t="s">
        <v>3778</v>
      </c>
      <c r="R2201" s="569">
        <v>8</v>
      </c>
      <c r="S2201" s="569" t="s">
        <v>3997</v>
      </c>
      <c r="T2201" s="569" t="s">
        <v>318</v>
      </c>
      <c r="U2201" s="569">
        <v>163.69999999999999</v>
      </c>
      <c r="V2201" s="569">
        <v>23</v>
      </c>
      <c r="W2201" s="620">
        <v>7000</v>
      </c>
      <c r="X2201" s="621">
        <v>18</v>
      </c>
      <c r="Y2201" s="621" t="s">
        <v>450</v>
      </c>
      <c r="Z2201" s="621" t="s">
        <v>178</v>
      </c>
      <c r="AA2201" s="622">
        <v>40870</v>
      </c>
      <c r="AB2201" s="622" t="s">
        <v>164</v>
      </c>
      <c r="AC2201" s="622">
        <v>28600</v>
      </c>
      <c r="AD2201" s="623">
        <v>0.01</v>
      </c>
      <c r="AE2201" s="621" t="s">
        <v>4082</v>
      </c>
    </row>
    <row r="2202" spans="1:31" s="572" customFormat="1">
      <c r="A2202" s="570" t="s">
        <v>4090</v>
      </c>
      <c r="B2202" s="573" t="s">
        <v>287</v>
      </c>
      <c r="C2202" s="578">
        <v>26</v>
      </c>
      <c r="D2202" s="573" t="s">
        <v>3374</v>
      </c>
      <c r="E2202" s="573" t="s">
        <v>152</v>
      </c>
      <c r="F2202" s="573" t="s">
        <v>271</v>
      </c>
      <c r="G2202" s="573">
        <v>2019</v>
      </c>
      <c r="H2202" s="573" t="s">
        <v>3765</v>
      </c>
      <c r="I2202" s="573" t="s">
        <v>4070</v>
      </c>
      <c r="J2202" s="573" t="s">
        <v>3377</v>
      </c>
      <c r="K2202" s="573">
        <v>6</v>
      </c>
      <c r="L2202" s="573">
        <v>0</v>
      </c>
      <c r="M2202" s="573" t="s">
        <v>157</v>
      </c>
      <c r="N2202" s="573">
        <v>2</v>
      </c>
      <c r="O2202" s="573" t="s">
        <v>3781</v>
      </c>
      <c r="P2202" s="571">
        <v>10800</v>
      </c>
      <c r="Q2202" s="573" t="s">
        <v>1259</v>
      </c>
      <c r="R2202" s="573">
        <v>6</v>
      </c>
      <c r="S2202" s="582" t="s">
        <v>3997</v>
      </c>
      <c r="T2202" s="573" t="s">
        <v>318</v>
      </c>
      <c r="U2202" s="573">
        <v>145</v>
      </c>
      <c r="V2202" s="573">
        <v>23</v>
      </c>
      <c r="W2202" s="616">
        <v>6900</v>
      </c>
      <c r="X2202" s="617">
        <v>20</v>
      </c>
      <c r="Y2202" s="617" t="s">
        <v>178</v>
      </c>
      <c r="Z2202" s="617" t="s">
        <v>178</v>
      </c>
      <c r="AA2202" s="618">
        <v>41160</v>
      </c>
      <c r="AB2202" s="618" t="s">
        <v>164</v>
      </c>
      <c r="AC2202" s="618">
        <v>29253</v>
      </c>
      <c r="AD2202" s="619">
        <v>0.05</v>
      </c>
      <c r="AE2202" s="617" t="s">
        <v>4069</v>
      </c>
    </row>
    <row r="2203" spans="1:31" s="572" customFormat="1">
      <c r="A2203" s="570" t="s">
        <v>4091</v>
      </c>
      <c r="B2203" s="569" t="s">
        <v>287</v>
      </c>
      <c r="C2203" s="580">
        <v>26</v>
      </c>
      <c r="D2203" s="569" t="s">
        <v>3374</v>
      </c>
      <c r="E2203" s="569" t="s">
        <v>152</v>
      </c>
      <c r="F2203" s="569" t="s">
        <v>271</v>
      </c>
      <c r="G2203" s="569">
        <v>2019</v>
      </c>
      <c r="H2203" s="569" t="s">
        <v>3765</v>
      </c>
      <c r="I2203" s="569" t="s">
        <v>4070</v>
      </c>
      <c r="J2203" s="569" t="s">
        <v>3377</v>
      </c>
      <c r="K2203" s="569">
        <v>6</v>
      </c>
      <c r="L2203" s="569">
        <v>0</v>
      </c>
      <c r="M2203" s="569" t="s">
        <v>157</v>
      </c>
      <c r="N2203" s="569">
        <v>2</v>
      </c>
      <c r="O2203" s="569" t="s">
        <v>3781</v>
      </c>
      <c r="P2203" s="568">
        <v>7600</v>
      </c>
      <c r="Q2203" s="569" t="s">
        <v>3841</v>
      </c>
      <c r="R2203" s="569">
        <v>6</v>
      </c>
      <c r="S2203" s="569" t="s">
        <v>3997</v>
      </c>
      <c r="T2203" s="569" t="s">
        <v>318</v>
      </c>
      <c r="U2203" s="569">
        <v>145</v>
      </c>
      <c r="V2203" s="569">
        <v>23</v>
      </c>
      <c r="W2203" s="620">
        <v>6250</v>
      </c>
      <c r="X2203" s="621">
        <v>22</v>
      </c>
      <c r="Y2203" s="621" t="s">
        <v>178</v>
      </c>
      <c r="Z2203" s="621" t="s">
        <v>178</v>
      </c>
      <c r="AA2203" s="622">
        <v>39560</v>
      </c>
      <c r="AB2203" s="622" t="s">
        <v>164</v>
      </c>
      <c r="AC2203" s="622">
        <v>27798</v>
      </c>
      <c r="AD2203" s="623">
        <v>0.05</v>
      </c>
      <c r="AE2203" s="621" t="s">
        <v>4074</v>
      </c>
    </row>
    <row r="2204" spans="1:31" s="572" customFormat="1">
      <c r="A2204" s="570" t="s">
        <v>4092</v>
      </c>
      <c r="B2204" s="573" t="s">
        <v>287</v>
      </c>
      <c r="C2204" s="578">
        <v>26</v>
      </c>
      <c r="D2204" s="573" t="s">
        <v>3374</v>
      </c>
      <c r="E2204" s="573" t="s">
        <v>152</v>
      </c>
      <c r="F2204" s="573" t="s">
        <v>271</v>
      </c>
      <c r="G2204" s="573">
        <v>2019</v>
      </c>
      <c r="H2204" s="573" t="s">
        <v>3765</v>
      </c>
      <c r="I2204" s="573" t="s">
        <v>4070</v>
      </c>
      <c r="J2204" s="573" t="s">
        <v>3377</v>
      </c>
      <c r="K2204" s="573">
        <v>6</v>
      </c>
      <c r="L2204" s="573">
        <v>0</v>
      </c>
      <c r="M2204" s="573" t="s">
        <v>157</v>
      </c>
      <c r="N2204" s="573">
        <v>2</v>
      </c>
      <c r="O2204" s="573" t="s">
        <v>3781</v>
      </c>
      <c r="P2204" s="571">
        <v>7700</v>
      </c>
      <c r="Q2204" s="573" t="s">
        <v>1322</v>
      </c>
      <c r="R2204" s="573">
        <v>6</v>
      </c>
      <c r="S2204" s="582" t="s">
        <v>3997</v>
      </c>
      <c r="T2204" s="573" t="s">
        <v>318</v>
      </c>
      <c r="U2204" s="573">
        <v>145</v>
      </c>
      <c r="V2204" s="573">
        <v>23</v>
      </c>
      <c r="W2204" s="616">
        <v>6300</v>
      </c>
      <c r="X2204" s="617">
        <v>20</v>
      </c>
      <c r="Y2204" s="617" t="s">
        <v>178</v>
      </c>
      <c r="Z2204" s="617" t="s">
        <v>178</v>
      </c>
      <c r="AA2204" s="618">
        <v>38565</v>
      </c>
      <c r="AB2204" s="618" t="s">
        <v>164</v>
      </c>
      <c r="AC2204" s="618">
        <v>26892</v>
      </c>
      <c r="AD2204" s="619">
        <v>0.05</v>
      </c>
      <c r="AE2204" s="617" t="s">
        <v>4093</v>
      </c>
    </row>
    <row r="2205" spans="1:31" s="572" customFormat="1">
      <c r="A2205" s="570" t="s">
        <v>4094</v>
      </c>
      <c r="B2205" s="569" t="s">
        <v>287</v>
      </c>
      <c r="C2205" s="580">
        <v>26</v>
      </c>
      <c r="D2205" s="569" t="s">
        <v>3374</v>
      </c>
      <c r="E2205" s="569" t="s">
        <v>152</v>
      </c>
      <c r="F2205" s="569" t="s">
        <v>271</v>
      </c>
      <c r="G2205" s="569">
        <v>2019</v>
      </c>
      <c r="H2205" s="569" t="s">
        <v>3765</v>
      </c>
      <c r="I2205" s="569" t="s">
        <v>4070</v>
      </c>
      <c r="J2205" s="569" t="s">
        <v>3377</v>
      </c>
      <c r="K2205" s="569">
        <v>6</v>
      </c>
      <c r="L2205" s="569">
        <v>0</v>
      </c>
      <c r="M2205" s="569" t="s">
        <v>157</v>
      </c>
      <c r="N2205" s="569">
        <v>2</v>
      </c>
      <c r="O2205" s="569" t="s">
        <v>3781</v>
      </c>
      <c r="P2205" s="568">
        <v>9200</v>
      </c>
      <c r="Q2205" s="569" t="s">
        <v>3778</v>
      </c>
      <c r="R2205" s="569">
        <v>8</v>
      </c>
      <c r="S2205" s="569" t="s">
        <v>3997</v>
      </c>
      <c r="T2205" s="569" t="s">
        <v>318</v>
      </c>
      <c r="U2205" s="569">
        <v>145</v>
      </c>
      <c r="V2205" s="569">
        <v>23</v>
      </c>
      <c r="W2205" s="620">
        <v>6900</v>
      </c>
      <c r="X2205" s="621">
        <v>18</v>
      </c>
      <c r="Y2205" s="621" t="s">
        <v>450</v>
      </c>
      <c r="Z2205" s="621" t="s">
        <v>178</v>
      </c>
      <c r="AA2205" s="622">
        <v>40560</v>
      </c>
      <c r="AB2205" s="622" t="s">
        <v>164</v>
      </c>
      <c r="AC2205" s="622">
        <v>28708</v>
      </c>
      <c r="AD2205" s="623">
        <v>0.05</v>
      </c>
      <c r="AE2205" s="621" t="s">
        <v>4076</v>
      </c>
    </row>
    <row r="2206" spans="1:31" s="572" customFormat="1">
      <c r="A2206" s="570" t="s">
        <v>4095</v>
      </c>
      <c r="B2206" s="573" t="s">
        <v>287</v>
      </c>
      <c r="C2206" s="578">
        <v>26</v>
      </c>
      <c r="D2206" s="573" t="s">
        <v>3374</v>
      </c>
      <c r="E2206" s="573" t="s">
        <v>152</v>
      </c>
      <c r="F2206" s="573" t="s">
        <v>271</v>
      </c>
      <c r="G2206" s="573">
        <v>2019</v>
      </c>
      <c r="H2206" s="573" t="s">
        <v>3765</v>
      </c>
      <c r="I2206" s="573" t="s">
        <v>4070</v>
      </c>
      <c r="J2206" s="573" t="s">
        <v>3377</v>
      </c>
      <c r="K2206" s="573">
        <v>6</v>
      </c>
      <c r="L2206" s="573">
        <v>0</v>
      </c>
      <c r="M2206" s="573" t="s">
        <v>157</v>
      </c>
      <c r="N2206" s="573">
        <v>2</v>
      </c>
      <c r="O2206" s="573" t="s">
        <v>3846</v>
      </c>
      <c r="P2206" s="571">
        <v>10700</v>
      </c>
      <c r="Q2206" s="573" t="s">
        <v>1259</v>
      </c>
      <c r="R2206" s="573">
        <v>6</v>
      </c>
      <c r="S2206" s="582" t="s">
        <v>3997</v>
      </c>
      <c r="T2206" s="573" t="s">
        <v>318</v>
      </c>
      <c r="U2206" s="573">
        <v>163.69999999999999</v>
      </c>
      <c r="V2206" s="573">
        <v>23</v>
      </c>
      <c r="W2206" s="616">
        <v>7050</v>
      </c>
      <c r="X2206" s="617">
        <v>20</v>
      </c>
      <c r="Y2206" s="617" t="s">
        <v>178</v>
      </c>
      <c r="Z2206" s="617" t="s">
        <v>178</v>
      </c>
      <c r="AA2206" s="618">
        <v>41470</v>
      </c>
      <c r="AB2206" s="618" t="s">
        <v>164</v>
      </c>
      <c r="AC2206" s="618">
        <v>29552</v>
      </c>
      <c r="AD2206" s="619">
        <v>0.05</v>
      </c>
      <c r="AE2206" s="617" t="s">
        <v>4078</v>
      </c>
    </row>
    <row r="2207" spans="1:31" s="572" customFormat="1">
      <c r="A2207" s="570" t="s">
        <v>4096</v>
      </c>
      <c r="B2207" s="569" t="s">
        <v>287</v>
      </c>
      <c r="C2207" s="580">
        <v>26</v>
      </c>
      <c r="D2207" s="569" t="s">
        <v>3374</v>
      </c>
      <c r="E2207" s="569" t="s">
        <v>152</v>
      </c>
      <c r="F2207" s="569" t="s">
        <v>271</v>
      </c>
      <c r="G2207" s="569">
        <v>2019</v>
      </c>
      <c r="H2207" s="569" t="s">
        <v>3765</v>
      </c>
      <c r="I2207" s="569" t="s">
        <v>4070</v>
      </c>
      <c r="J2207" s="569" t="s">
        <v>3377</v>
      </c>
      <c r="K2207" s="569">
        <v>6</v>
      </c>
      <c r="L2207" s="569">
        <v>0</v>
      </c>
      <c r="M2207" s="569" t="s">
        <v>157</v>
      </c>
      <c r="N2207" s="569">
        <v>2</v>
      </c>
      <c r="O2207" s="569" t="s">
        <v>3846</v>
      </c>
      <c r="P2207" s="568">
        <v>7600</v>
      </c>
      <c r="Q2207" s="569" t="s">
        <v>3841</v>
      </c>
      <c r="R2207" s="569">
        <v>6</v>
      </c>
      <c r="S2207" s="569" t="s">
        <v>3997</v>
      </c>
      <c r="T2207" s="569" t="s">
        <v>318</v>
      </c>
      <c r="U2207" s="569">
        <v>163.69999999999999</v>
      </c>
      <c r="V2207" s="569">
        <v>23</v>
      </c>
      <c r="W2207" s="620">
        <v>6500</v>
      </c>
      <c r="X2207" s="621">
        <v>22</v>
      </c>
      <c r="Y2207" s="621" t="s">
        <v>178</v>
      </c>
      <c r="Z2207" s="621" t="s">
        <v>178</v>
      </c>
      <c r="AA2207" s="622">
        <v>39870</v>
      </c>
      <c r="AB2207" s="622" t="s">
        <v>164</v>
      </c>
      <c r="AC2207" s="622">
        <v>28095</v>
      </c>
      <c r="AD2207" s="623">
        <v>0.05</v>
      </c>
      <c r="AE2207" s="621" t="s">
        <v>4080</v>
      </c>
    </row>
    <row r="2208" spans="1:31" s="572" customFormat="1">
      <c r="A2208" s="570" t="s">
        <v>4097</v>
      </c>
      <c r="B2208" s="573" t="s">
        <v>287</v>
      </c>
      <c r="C2208" s="578">
        <v>26</v>
      </c>
      <c r="D2208" s="573" t="s">
        <v>3374</v>
      </c>
      <c r="E2208" s="573" t="s">
        <v>152</v>
      </c>
      <c r="F2208" s="573" t="s">
        <v>271</v>
      </c>
      <c r="G2208" s="573">
        <v>2019</v>
      </c>
      <c r="H2208" s="573" t="s">
        <v>3765</v>
      </c>
      <c r="I2208" s="573" t="s">
        <v>4070</v>
      </c>
      <c r="J2208" s="573" t="s">
        <v>3377</v>
      </c>
      <c r="K2208" s="573">
        <v>6</v>
      </c>
      <c r="L2208" s="573">
        <v>0</v>
      </c>
      <c r="M2208" s="573" t="s">
        <v>157</v>
      </c>
      <c r="N2208" s="573">
        <v>2</v>
      </c>
      <c r="O2208" s="573" t="s">
        <v>3846</v>
      </c>
      <c r="P2208" s="571">
        <v>9200</v>
      </c>
      <c r="Q2208" s="573" t="s">
        <v>3778</v>
      </c>
      <c r="R2208" s="573">
        <v>8</v>
      </c>
      <c r="S2208" s="582" t="s">
        <v>3997</v>
      </c>
      <c r="T2208" s="573" t="s">
        <v>318</v>
      </c>
      <c r="U2208" s="573">
        <v>163.69999999999999</v>
      </c>
      <c r="V2208" s="573">
        <v>23</v>
      </c>
      <c r="W2208" s="616">
        <v>7000</v>
      </c>
      <c r="X2208" s="617">
        <v>18</v>
      </c>
      <c r="Y2208" s="617" t="s">
        <v>450</v>
      </c>
      <c r="Z2208" s="617" t="s">
        <v>178</v>
      </c>
      <c r="AA2208" s="618">
        <v>40870</v>
      </c>
      <c r="AB2208" s="618" t="s">
        <v>164</v>
      </c>
      <c r="AC2208" s="618">
        <v>29004</v>
      </c>
      <c r="AD2208" s="619">
        <v>0.05</v>
      </c>
      <c r="AE2208" s="617" t="s">
        <v>4082</v>
      </c>
    </row>
    <row r="2209" spans="1:31" s="572" customFormat="1">
      <c r="A2209" s="570" t="s">
        <v>4098</v>
      </c>
      <c r="B2209" s="569" t="s">
        <v>280</v>
      </c>
      <c r="C2209" s="580">
        <v>27</v>
      </c>
      <c r="D2209" s="569" t="s">
        <v>3374</v>
      </c>
      <c r="E2209" s="569" t="s">
        <v>152</v>
      </c>
      <c r="F2209" s="569" t="s">
        <v>271</v>
      </c>
      <c r="G2209" s="569">
        <v>2019</v>
      </c>
      <c r="H2209" s="569" t="s">
        <v>3765</v>
      </c>
      <c r="I2209" s="569" t="s">
        <v>4070</v>
      </c>
      <c r="J2209" s="569" t="s">
        <v>3377</v>
      </c>
      <c r="K2209" s="569">
        <v>6</v>
      </c>
      <c r="L2209" s="569">
        <v>0</v>
      </c>
      <c r="M2209" s="569" t="s">
        <v>157</v>
      </c>
      <c r="N2209" s="569">
        <v>2</v>
      </c>
      <c r="O2209" s="569" t="s">
        <v>3781</v>
      </c>
      <c r="P2209" s="568">
        <v>10800</v>
      </c>
      <c r="Q2209" s="569" t="s">
        <v>1259</v>
      </c>
      <c r="R2209" s="569">
        <v>6</v>
      </c>
      <c r="S2209" s="569" t="s">
        <v>3997</v>
      </c>
      <c r="T2209" s="569" t="s">
        <v>318</v>
      </c>
      <c r="U2209" s="569">
        <v>145</v>
      </c>
      <c r="V2209" s="569">
        <v>23</v>
      </c>
      <c r="W2209" s="620">
        <v>6900</v>
      </c>
      <c r="X2209" s="621">
        <v>21</v>
      </c>
      <c r="Y2209" s="621" t="s">
        <v>178</v>
      </c>
      <c r="Z2209" s="621" t="s">
        <v>178</v>
      </c>
      <c r="AA2209" s="622">
        <v>41160</v>
      </c>
      <c r="AB2209" s="622" t="s">
        <v>164</v>
      </c>
      <c r="AC2209" s="622">
        <v>28735.452631578948</v>
      </c>
      <c r="AD2209" s="623">
        <v>0.03</v>
      </c>
      <c r="AE2209" s="621" t="s">
        <v>4069</v>
      </c>
    </row>
    <row r="2210" spans="1:31" s="572" customFormat="1">
      <c r="A2210" s="570" t="s">
        <v>4099</v>
      </c>
      <c r="B2210" s="573" t="s">
        <v>280</v>
      </c>
      <c r="C2210" s="578">
        <v>27</v>
      </c>
      <c r="D2210" s="573" t="s">
        <v>3374</v>
      </c>
      <c r="E2210" s="573" t="s">
        <v>152</v>
      </c>
      <c r="F2210" s="573" t="s">
        <v>271</v>
      </c>
      <c r="G2210" s="573">
        <v>2019</v>
      </c>
      <c r="H2210" s="573" t="s">
        <v>3765</v>
      </c>
      <c r="I2210" s="573" t="s">
        <v>4070</v>
      </c>
      <c r="J2210" s="573" t="s">
        <v>3377</v>
      </c>
      <c r="K2210" s="573">
        <v>6</v>
      </c>
      <c r="L2210" s="573">
        <v>0</v>
      </c>
      <c r="M2210" s="573" t="s">
        <v>157</v>
      </c>
      <c r="N2210" s="573">
        <v>2</v>
      </c>
      <c r="O2210" s="573" t="s">
        <v>3781</v>
      </c>
      <c r="P2210" s="571">
        <v>5100</v>
      </c>
      <c r="Q2210" s="573" t="s">
        <v>3772</v>
      </c>
      <c r="R2210" s="573">
        <v>6</v>
      </c>
      <c r="S2210" s="582" t="s">
        <v>3997</v>
      </c>
      <c r="T2210" s="573" t="s">
        <v>318</v>
      </c>
      <c r="U2210" s="573">
        <v>145</v>
      </c>
      <c r="V2210" s="573">
        <v>23</v>
      </c>
      <c r="W2210" s="616">
        <v>6100</v>
      </c>
      <c r="X2210" s="617">
        <v>22</v>
      </c>
      <c r="Y2210" s="617" t="s">
        <v>450</v>
      </c>
      <c r="Z2210" s="617" t="s">
        <v>178</v>
      </c>
      <c r="AA2210" s="618">
        <v>38565</v>
      </c>
      <c r="AB2210" s="618" t="s">
        <v>164</v>
      </c>
      <c r="AC2210" s="618">
        <v>26405.978947368421</v>
      </c>
      <c r="AD2210" s="619">
        <v>0.03</v>
      </c>
      <c r="AE2210" s="617" t="s">
        <v>4072</v>
      </c>
    </row>
    <row r="2211" spans="1:31" s="572" customFormat="1">
      <c r="A2211" s="570" t="s">
        <v>4100</v>
      </c>
      <c r="B2211" s="569" t="s">
        <v>280</v>
      </c>
      <c r="C2211" s="580">
        <v>27</v>
      </c>
      <c r="D2211" s="569" t="s">
        <v>3374</v>
      </c>
      <c r="E2211" s="569" t="s">
        <v>152</v>
      </c>
      <c r="F2211" s="569" t="s">
        <v>271</v>
      </c>
      <c r="G2211" s="569">
        <v>2019</v>
      </c>
      <c r="H2211" s="569" t="s">
        <v>3765</v>
      </c>
      <c r="I2211" s="569" t="s">
        <v>4070</v>
      </c>
      <c r="J2211" s="569" t="s">
        <v>3377</v>
      </c>
      <c r="K2211" s="569">
        <v>6</v>
      </c>
      <c r="L2211" s="569">
        <v>0</v>
      </c>
      <c r="M2211" s="569" t="s">
        <v>157</v>
      </c>
      <c r="N2211" s="569">
        <v>2</v>
      </c>
      <c r="O2211" s="569" t="s">
        <v>3781</v>
      </c>
      <c r="P2211" s="568">
        <v>7600</v>
      </c>
      <c r="Q2211" s="569" t="s">
        <v>3841</v>
      </c>
      <c r="R2211" s="569">
        <v>6</v>
      </c>
      <c r="S2211" s="569" t="s">
        <v>3997</v>
      </c>
      <c r="T2211" s="569" t="s">
        <v>318</v>
      </c>
      <c r="U2211" s="569">
        <v>145</v>
      </c>
      <c r="V2211" s="569">
        <v>23</v>
      </c>
      <c r="W2211" s="620">
        <v>6250</v>
      </c>
      <c r="X2211" s="621">
        <v>22</v>
      </c>
      <c r="Y2211" s="621" t="s">
        <v>178</v>
      </c>
      <c r="Z2211" s="621" t="s">
        <v>178</v>
      </c>
      <c r="AA2211" s="622">
        <v>39160</v>
      </c>
      <c r="AB2211" s="622" t="s">
        <v>164</v>
      </c>
      <c r="AC2211" s="622">
        <v>27299.663157894738</v>
      </c>
      <c r="AD2211" s="623">
        <v>0.03</v>
      </c>
      <c r="AE2211" s="621" t="s">
        <v>4074</v>
      </c>
    </row>
    <row r="2212" spans="1:31" s="572" customFormat="1">
      <c r="A2212" s="570" t="s">
        <v>4101</v>
      </c>
      <c r="B2212" s="573" t="s">
        <v>280</v>
      </c>
      <c r="C2212" s="578">
        <v>27</v>
      </c>
      <c r="D2212" s="573" t="s">
        <v>3374</v>
      </c>
      <c r="E2212" s="573" t="s">
        <v>152</v>
      </c>
      <c r="F2212" s="573" t="s">
        <v>271</v>
      </c>
      <c r="G2212" s="573">
        <v>2019</v>
      </c>
      <c r="H2212" s="573" t="s">
        <v>3765</v>
      </c>
      <c r="I2212" s="573" t="s">
        <v>4070</v>
      </c>
      <c r="J2212" s="573" t="s">
        <v>3377</v>
      </c>
      <c r="K2212" s="573">
        <v>6</v>
      </c>
      <c r="L2212" s="573">
        <v>0</v>
      </c>
      <c r="M2212" s="573" t="s">
        <v>157</v>
      </c>
      <c r="N2212" s="573">
        <v>2</v>
      </c>
      <c r="O2212" s="573" t="s">
        <v>3781</v>
      </c>
      <c r="P2212" s="571">
        <v>9200</v>
      </c>
      <c r="Q2212" s="573" t="s">
        <v>3778</v>
      </c>
      <c r="R2212" s="573">
        <v>8</v>
      </c>
      <c r="S2212" s="582" t="s">
        <v>3997</v>
      </c>
      <c r="T2212" s="573" t="s">
        <v>318</v>
      </c>
      <c r="U2212" s="573">
        <v>145</v>
      </c>
      <c r="V2212" s="573">
        <v>23</v>
      </c>
      <c r="W2212" s="616">
        <v>6900</v>
      </c>
      <c r="X2212" s="617">
        <v>19</v>
      </c>
      <c r="Y2212" s="617" t="s">
        <v>450</v>
      </c>
      <c r="Z2212" s="617" t="s">
        <v>178</v>
      </c>
      <c r="AA2212" s="618">
        <v>40560</v>
      </c>
      <c r="AB2212" s="618" t="s">
        <v>164</v>
      </c>
      <c r="AC2212" s="618">
        <v>28196.505263157895</v>
      </c>
      <c r="AD2212" s="619">
        <v>0.03</v>
      </c>
      <c r="AE2212" s="617" t="s">
        <v>4076</v>
      </c>
    </row>
    <row r="2213" spans="1:31" s="572" customFormat="1">
      <c r="A2213" s="570" t="s">
        <v>4102</v>
      </c>
      <c r="B2213" s="569" t="s">
        <v>280</v>
      </c>
      <c r="C2213" s="580">
        <v>27</v>
      </c>
      <c r="D2213" s="569" t="s">
        <v>3374</v>
      </c>
      <c r="E2213" s="569" t="s">
        <v>152</v>
      </c>
      <c r="F2213" s="569" t="s">
        <v>271</v>
      </c>
      <c r="G2213" s="569">
        <v>2019</v>
      </c>
      <c r="H2213" s="569" t="s">
        <v>3765</v>
      </c>
      <c r="I2213" s="569" t="s">
        <v>4070</v>
      </c>
      <c r="J2213" s="569" t="s">
        <v>3377</v>
      </c>
      <c r="K2213" s="569">
        <v>6</v>
      </c>
      <c r="L2213" s="569">
        <v>0</v>
      </c>
      <c r="M2213" s="569" t="s">
        <v>157</v>
      </c>
      <c r="N2213" s="569">
        <v>2</v>
      </c>
      <c r="O2213" s="569" t="s">
        <v>3846</v>
      </c>
      <c r="P2213" s="568">
        <v>10700</v>
      </c>
      <c r="Q2213" s="569" t="s">
        <v>1259</v>
      </c>
      <c r="R2213" s="569">
        <v>6</v>
      </c>
      <c r="S2213" s="569" t="s">
        <v>3997</v>
      </c>
      <c r="T2213" s="569" t="s">
        <v>318</v>
      </c>
      <c r="U2213" s="569">
        <v>163.69999999999999</v>
      </c>
      <c r="V2213" s="569">
        <v>23</v>
      </c>
      <c r="W2213" s="620">
        <v>7050</v>
      </c>
      <c r="X2213" s="621">
        <v>21</v>
      </c>
      <c r="Y2213" s="621" t="s">
        <v>178</v>
      </c>
      <c r="Z2213" s="621" t="s">
        <v>178</v>
      </c>
      <c r="AA2213" s="622">
        <v>41470</v>
      </c>
      <c r="AB2213" s="622" t="s">
        <v>164</v>
      </c>
      <c r="AC2213" s="622">
        <v>29027.031578947372</v>
      </c>
      <c r="AD2213" s="623">
        <v>0.03</v>
      </c>
      <c r="AE2213" s="621" t="s">
        <v>4078</v>
      </c>
    </row>
    <row r="2214" spans="1:31" s="572" customFormat="1">
      <c r="A2214" s="570" t="s">
        <v>4103</v>
      </c>
      <c r="B2214" s="573" t="s">
        <v>280</v>
      </c>
      <c r="C2214" s="578">
        <v>27</v>
      </c>
      <c r="D2214" s="573" t="s">
        <v>3374</v>
      </c>
      <c r="E2214" s="573" t="s">
        <v>152</v>
      </c>
      <c r="F2214" s="573" t="s">
        <v>271</v>
      </c>
      <c r="G2214" s="573">
        <v>2019</v>
      </c>
      <c r="H2214" s="573" t="s">
        <v>3765</v>
      </c>
      <c r="I2214" s="573" t="s">
        <v>4070</v>
      </c>
      <c r="J2214" s="573" t="s">
        <v>3377</v>
      </c>
      <c r="K2214" s="573">
        <v>6</v>
      </c>
      <c r="L2214" s="573">
        <v>0</v>
      </c>
      <c r="M2214" s="573" t="s">
        <v>157</v>
      </c>
      <c r="N2214" s="573">
        <v>2</v>
      </c>
      <c r="O2214" s="573" t="s">
        <v>3846</v>
      </c>
      <c r="P2214" s="571">
        <v>7600</v>
      </c>
      <c r="Q2214" s="573" t="s">
        <v>3841</v>
      </c>
      <c r="R2214" s="573">
        <v>6</v>
      </c>
      <c r="S2214" s="582" t="s">
        <v>3997</v>
      </c>
      <c r="T2214" s="573" t="s">
        <v>318</v>
      </c>
      <c r="U2214" s="573">
        <v>163.69999999999999</v>
      </c>
      <c r="V2214" s="573">
        <v>23</v>
      </c>
      <c r="W2214" s="616">
        <v>6500</v>
      </c>
      <c r="X2214" s="617">
        <v>22</v>
      </c>
      <c r="Y2214" s="617" t="s">
        <v>178</v>
      </c>
      <c r="Z2214" s="617" t="s">
        <v>178</v>
      </c>
      <c r="AA2214" s="618">
        <v>39870</v>
      </c>
      <c r="AB2214" s="618" t="s">
        <v>164</v>
      </c>
      <c r="AC2214" s="618">
        <v>27591.242105263158</v>
      </c>
      <c r="AD2214" s="619">
        <v>0.03</v>
      </c>
      <c r="AE2214" s="617" t="s">
        <v>4080</v>
      </c>
    </row>
    <row r="2215" spans="1:31" s="572" customFormat="1">
      <c r="A2215" s="570" t="s">
        <v>4104</v>
      </c>
      <c r="B2215" s="569" t="s">
        <v>280</v>
      </c>
      <c r="C2215" s="580">
        <v>27</v>
      </c>
      <c r="D2215" s="569" t="s">
        <v>3374</v>
      </c>
      <c r="E2215" s="569" t="s">
        <v>152</v>
      </c>
      <c r="F2215" s="569" t="s">
        <v>271</v>
      </c>
      <c r="G2215" s="569">
        <v>2019</v>
      </c>
      <c r="H2215" s="569" t="s">
        <v>3765</v>
      </c>
      <c r="I2215" s="569" t="s">
        <v>4070</v>
      </c>
      <c r="J2215" s="569" t="s">
        <v>3377</v>
      </c>
      <c r="K2215" s="569">
        <v>6</v>
      </c>
      <c r="L2215" s="569">
        <v>0</v>
      </c>
      <c r="M2215" s="569" t="s">
        <v>157</v>
      </c>
      <c r="N2215" s="569">
        <v>2</v>
      </c>
      <c r="O2215" s="569" t="s">
        <v>3846</v>
      </c>
      <c r="P2215" s="568">
        <v>9200</v>
      </c>
      <c r="Q2215" s="569" t="s">
        <v>3778</v>
      </c>
      <c r="R2215" s="569">
        <v>8</v>
      </c>
      <c r="S2215" s="569" t="s">
        <v>3997</v>
      </c>
      <c r="T2215" s="569" t="s">
        <v>318</v>
      </c>
      <c r="U2215" s="569">
        <v>163.69999999999999</v>
      </c>
      <c r="V2215" s="569">
        <v>23</v>
      </c>
      <c r="W2215" s="620">
        <v>7000</v>
      </c>
      <c r="X2215" s="621">
        <v>19</v>
      </c>
      <c r="Y2215" s="621" t="s">
        <v>450</v>
      </c>
      <c r="Z2215" s="621" t="s">
        <v>178</v>
      </c>
      <c r="AA2215" s="622">
        <v>40870</v>
      </c>
      <c r="AB2215" s="622" t="s">
        <v>164</v>
      </c>
      <c r="AC2215" s="622">
        <v>28488.084210526318</v>
      </c>
      <c r="AD2215" s="623">
        <v>0.03</v>
      </c>
      <c r="AE2215" s="621" t="s">
        <v>4082</v>
      </c>
    </row>
    <row r="2216" spans="1:31" s="572" customFormat="1">
      <c r="A2216" s="570" t="s">
        <v>4105</v>
      </c>
      <c r="B2216" s="573" t="s">
        <v>269</v>
      </c>
      <c r="C2216" s="578" t="s">
        <v>270</v>
      </c>
      <c r="D2216" s="573" t="s">
        <v>3374</v>
      </c>
      <c r="E2216" s="573" t="s">
        <v>152</v>
      </c>
      <c r="F2216" s="573" t="s">
        <v>271</v>
      </c>
      <c r="G2216" s="573">
        <v>2019</v>
      </c>
      <c r="H2216" s="573" t="s">
        <v>3765</v>
      </c>
      <c r="I2216" s="573" t="s">
        <v>4070</v>
      </c>
      <c r="J2216" s="573" t="s">
        <v>752</v>
      </c>
      <c r="K2216" s="573">
        <v>3</v>
      </c>
      <c r="L2216" s="573">
        <v>0</v>
      </c>
      <c r="M2216" s="573" t="s">
        <v>157</v>
      </c>
      <c r="N2216" s="573">
        <v>1</v>
      </c>
      <c r="O2216" s="573" t="s">
        <v>3846</v>
      </c>
      <c r="P2216" s="571">
        <v>10800</v>
      </c>
      <c r="Q2216" s="573" t="s">
        <v>1259</v>
      </c>
      <c r="R2216" s="573">
        <v>6</v>
      </c>
      <c r="S2216" s="582" t="s">
        <v>4033</v>
      </c>
      <c r="T2216" s="573" t="s">
        <v>318</v>
      </c>
      <c r="U2216" s="573">
        <v>163.69999999999999</v>
      </c>
      <c r="V2216" s="573">
        <v>23</v>
      </c>
      <c r="W2216" s="616">
        <v>7050</v>
      </c>
      <c r="X2216" s="617">
        <v>19</v>
      </c>
      <c r="Y2216" s="617" t="s">
        <v>178</v>
      </c>
      <c r="Z2216" s="617" t="s">
        <v>178</v>
      </c>
      <c r="AA2216" s="618">
        <v>44845</v>
      </c>
      <c r="AB2216" s="618" t="s">
        <v>164</v>
      </c>
      <c r="AC2216" s="618">
        <v>32100.715789473685</v>
      </c>
      <c r="AD2216" s="619">
        <v>0.03</v>
      </c>
      <c r="AE2216" s="617" t="s">
        <v>4106</v>
      </c>
    </row>
    <row r="2217" spans="1:31" s="572" customFormat="1">
      <c r="A2217" s="570" t="s">
        <v>4107</v>
      </c>
      <c r="B2217" s="569" t="s">
        <v>269</v>
      </c>
      <c r="C2217" s="580" t="s">
        <v>270</v>
      </c>
      <c r="D2217" s="569" t="s">
        <v>3374</v>
      </c>
      <c r="E2217" s="569" t="s">
        <v>152</v>
      </c>
      <c r="F2217" s="569" t="s">
        <v>271</v>
      </c>
      <c r="G2217" s="569">
        <v>2019</v>
      </c>
      <c r="H2217" s="569" t="s">
        <v>3765</v>
      </c>
      <c r="I2217" s="569" t="s">
        <v>4070</v>
      </c>
      <c r="J2217" s="569" t="s">
        <v>752</v>
      </c>
      <c r="K2217" s="569">
        <v>3</v>
      </c>
      <c r="L2217" s="569">
        <v>0</v>
      </c>
      <c r="M2217" s="569" t="s">
        <v>157</v>
      </c>
      <c r="N2217" s="569">
        <v>1</v>
      </c>
      <c r="O2217" s="569" t="s">
        <v>3846</v>
      </c>
      <c r="P2217" s="568">
        <v>9000</v>
      </c>
      <c r="Q2217" s="569" t="s">
        <v>3778</v>
      </c>
      <c r="R2217" s="569">
        <v>8</v>
      </c>
      <c r="S2217" s="569" t="s">
        <v>4033</v>
      </c>
      <c r="T2217" s="569" t="s">
        <v>318</v>
      </c>
      <c r="U2217" s="569">
        <v>163.69999999999999</v>
      </c>
      <c r="V2217" s="569">
        <v>23</v>
      </c>
      <c r="W2217" s="620">
        <v>7050</v>
      </c>
      <c r="X2217" s="621">
        <v>18</v>
      </c>
      <c r="Y2217" s="621" t="s">
        <v>450</v>
      </c>
      <c r="Z2217" s="621" t="s">
        <v>178</v>
      </c>
      <c r="AA2217" s="622">
        <v>44245</v>
      </c>
      <c r="AB2217" s="622" t="s">
        <v>164</v>
      </c>
      <c r="AC2217" s="622">
        <v>31562.821052631582</v>
      </c>
      <c r="AD2217" s="623">
        <v>0.03</v>
      </c>
      <c r="AE2217" s="621" t="s">
        <v>4108</v>
      </c>
    </row>
    <row r="2218" spans="1:31" s="572" customFormat="1">
      <c r="A2218" s="570" t="s">
        <v>4109</v>
      </c>
      <c r="B2218" s="573" t="s">
        <v>269</v>
      </c>
      <c r="C2218" s="578" t="s">
        <v>270</v>
      </c>
      <c r="D2218" s="573" t="s">
        <v>3374</v>
      </c>
      <c r="E2218" s="573" t="s">
        <v>152</v>
      </c>
      <c r="F2218" s="573" t="s">
        <v>271</v>
      </c>
      <c r="G2218" s="573">
        <v>2019</v>
      </c>
      <c r="H2218" s="573" t="s">
        <v>3765</v>
      </c>
      <c r="I2218" s="573" t="s">
        <v>4070</v>
      </c>
      <c r="J2218" s="573" t="s">
        <v>752</v>
      </c>
      <c r="K2218" s="573">
        <v>6</v>
      </c>
      <c r="L2218" s="573">
        <v>0</v>
      </c>
      <c r="M2218" s="573" t="s">
        <v>157</v>
      </c>
      <c r="N2218" s="573">
        <v>2</v>
      </c>
      <c r="O2218" s="573" t="s">
        <v>3781</v>
      </c>
      <c r="P2218" s="571">
        <v>10700</v>
      </c>
      <c r="Q2218" s="573" t="s">
        <v>1259</v>
      </c>
      <c r="R2218" s="573">
        <v>6</v>
      </c>
      <c r="S2218" s="582" t="s">
        <v>4033</v>
      </c>
      <c r="T2218" s="573" t="s">
        <v>318</v>
      </c>
      <c r="U2218" s="573">
        <v>145</v>
      </c>
      <c r="V2218" s="573">
        <v>23</v>
      </c>
      <c r="W2218" s="616">
        <v>7000</v>
      </c>
      <c r="X2218" s="617">
        <v>19</v>
      </c>
      <c r="Y2218" s="617" t="s">
        <v>178</v>
      </c>
      <c r="Z2218" s="617" t="s">
        <v>178</v>
      </c>
      <c r="AA2218" s="618">
        <v>44585</v>
      </c>
      <c r="AB2218" s="618" t="s">
        <v>164</v>
      </c>
      <c r="AC2218" s="618">
        <v>31844.926315789475</v>
      </c>
      <c r="AD2218" s="619">
        <v>0.03</v>
      </c>
      <c r="AE2218" s="617" t="s">
        <v>4110</v>
      </c>
    </row>
    <row r="2219" spans="1:31" s="572" customFormat="1">
      <c r="A2219" s="570" t="s">
        <v>4111</v>
      </c>
      <c r="B2219" s="569" t="s">
        <v>269</v>
      </c>
      <c r="C2219" s="580" t="s">
        <v>270</v>
      </c>
      <c r="D2219" s="569" t="s">
        <v>3374</v>
      </c>
      <c r="E2219" s="569" t="s">
        <v>152</v>
      </c>
      <c r="F2219" s="569" t="s">
        <v>271</v>
      </c>
      <c r="G2219" s="569">
        <v>2019</v>
      </c>
      <c r="H2219" s="569" t="s">
        <v>3765</v>
      </c>
      <c r="I2219" s="569" t="s">
        <v>4070</v>
      </c>
      <c r="J2219" s="569" t="s">
        <v>752</v>
      </c>
      <c r="K2219" s="569">
        <v>6</v>
      </c>
      <c r="L2219" s="569">
        <v>0</v>
      </c>
      <c r="M2219" s="569" t="s">
        <v>157</v>
      </c>
      <c r="N2219" s="569">
        <v>2</v>
      </c>
      <c r="O2219" s="569" t="s">
        <v>3781</v>
      </c>
      <c r="P2219" s="568">
        <v>7200</v>
      </c>
      <c r="Q2219" s="569" t="s">
        <v>3772</v>
      </c>
      <c r="R2219" s="569">
        <v>6</v>
      </c>
      <c r="S2219" s="569" t="s">
        <v>4033</v>
      </c>
      <c r="T2219" s="569" t="s">
        <v>318</v>
      </c>
      <c r="U2219" s="569">
        <v>145</v>
      </c>
      <c r="V2219" s="569">
        <v>23</v>
      </c>
      <c r="W2219" s="620">
        <v>6350</v>
      </c>
      <c r="X2219" s="621">
        <v>20</v>
      </c>
      <c r="Y2219" s="621" t="s">
        <v>450</v>
      </c>
      <c r="Z2219" s="621" t="s">
        <v>178</v>
      </c>
      <c r="AA2219" s="622">
        <v>41990</v>
      </c>
      <c r="AB2219" s="622" t="s">
        <v>164</v>
      </c>
      <c r="AC2219" s="622">
        <v>29515.452631578948</v>
      </c>
      <c r="AD2219" s="623">
        <v>0.03</v>
      </c>
      <c r="AE2219" s="621" t="s">
        <v>4112</v>
      </c>
    </row>
    <row r="2220" spans="1:31" s="572" customFormat="1">
      <c r="A2220" s="570" t="s">
        <v>4113</v>
      </c>
      <c r="B2220" s="573" t="s">
        <v>269</v>
      </c>
      <c r="C2220" s="578" t="s">
        <v>270</v>
      </c>
      <c r="D2220" s="573" t="s">
        <v>3374</v>
      </c>
      <c r="E2220" s="573" t="s">
        <v>152</v>
      </c>
      <c r="F2220" s="573" t="s">
        <v>271</v>
      </c>
      <c r="G2220" s="573">
        <v>2019</v>
      </c>
      <c r="H2220" s="573" t="s">
        <v>3765</v>
      </c>
      <c r="I2220" s="573" t="s">
        <v>4070</v>
      </c>
      <c r="J2220" s="573" t="s">
        <v>752</v>
      </c>
      <c r="K2220" s="573">
        <v>6</v>
      </c>
      <c r="L2220" s="573">
        <v>0</v>
      </c>
      <c r="M2220" s="573" t="s">
        <v>157</v>
      </c>
      <c r="N2220" s="573">
        <v>2</v>
      </c>
      <c r="O2220" s="573" t="s">
        <v>3781</v>
      </c>
      <c r="P2220" s="571">
        <v>7600</v>
      </c>
      <c r="Q2220" s="573" t="s">
        <v>3768</v>
      </c>
      <c r="R2220" s="573">
        <v>6</v>
      </c>
      <c r="S2220" s="582" t="s">
        <v>4033</v>
      </c>
      <c r="T2220" s="573" t="s">
        <v>318</v>
      </c>
      <c r="U2220" s="573">
        <v>145</v>
      </c>
      <c r="V2220" s="573">
        <v>23</v>
      </c>
      <c r="W2220" s="616">
        <v>6900</v>
      </c>
      <c r="X2220" s="617">
        <v>21</v>
      </c>
      <c r="Y2220" s="617" t="s">
        <v>178</v>
      </c>
      <c r="Z2220" s="617" t="s">
        <v>178</v>
      </c>
      <c r="AA2220" s="618">
        <v>42985</v>
      </c>
      <c r="AB2220" s="618" t="s">
        <v>164</v>
      </c>
      <c r="AC2220" s="618">
        <v>30409.136842105265</v>
      </c>
      <c r="AD2220" s="619">
        <v>0.03</v>
      </c>
      <c r="AE2220" s="617" t="s">
        <v>4114</v>
      </c>
    </row>
    <row r="2221" spans="1:31" s="572" customFormat="1">
      <c r="A2221" s="570" t="s">
        <v>4115</v>
      </c>
      <c r="B2221" s="569" t="s">
        <v>269</v>
      </c>
      <c r="C2221" s="580" t="s">
        <v>270</v>
      </c>
      <c r="D2221" s="569" t="s">
        <v>3374</v>
      </c>
      <c r="E2221" s="569" t="s">
        <v>152</v>
      </c>
      <c r="F2221" s="569" t="s">
        <v>271</v>
      </c>
      <c r="G2221" s="569">
        <v>2019</v>
      </c>
      <c r="H2221" s="569" t="s">
        <v>3765</v>
      </c>
      <c r="I2221" s="569" t="s">
        <v>4070</v>
      </c>
      <c r="J2221" s="569" t="s">
        <v>752</v>
      </c>
      <c r="K2221" s="569">
        <v>6</v>
      </c>
      <c r="L2221" s="569">
        <v>0</v>
      </c>
      <c r="M2221" s="569" t="s">
        <v>157</v>
      </c>
      <c r="N2221" s="569">
        <v>2</v>
      </c>
      <c r="O2221" s="569" t="s">
        <v>3781</v>
      </c>
      <c r="P2221" s="568">
        <v>9100</v>
      </c>
      <c r="Q2221" s="569" t="s">
        <v>3778</v>
      </c>
      <c r="R2221" s="569">
        <v>8</v>
      </c>
      <c r="S2221" s="569" t="s">
        <v>4033</v>
      </c>
      <c r="T2221" s="569" t="s">
        <v>318</v>
      </c>
      <c r="U2221" s="569">
        <v>145</v>
      </c>
      <c r="V2221" s="569">
        <v>23</v>
      </c>
      <c r="W2221" s="620">
        <v>7000</v>
      </c>
      <c r="X2221" s="621">
        <v>18</v>
      </c>
      <c r="Y2221" s="621" t="s">
        <v>450</v>
      </c>
      <c r="Z2221" s="621" t="s">
        <v>178</v>
      </c>
      <c r="AA2221" s="622">
        <v>43985</v>
      </c>
      <c r="AB2221" s="622" t="s">
        <v>164</v>
      </c>
      <c r="AC2221" s="622">
        <v>31305.978947368421</v>
      </c>
      <c r="AD2221" s="623">
        <v>0.03</v>
      </c>
      <c r="AE2221" s="621" t="s">
        <v>4116</v>
      </c>
    </row>
    <row r="2222" spans="1:31" s="572" customFormat="1">
      <c r="A2222" s="570" t="s">
        <v>4117</v>
      </c>
      <c r="B2222" s="573" t="s">
        <v>278</v>
      </c>
      <c r="C2222" s="578">
        <v>15</v>
      </c>
      <c r="D2222" s="573" t="s">
        <v>3374</v>
      </c>
      <c r="E2222" s="573" t="s">
        <v>152</v>
      </c>
      <c r="F2222" s="573" t="s">
        <v>271</v>
      </c>
      <c r="G2222" s="573">
        <v>2019</v>
      </c>
      <c r="H2222" s="573" t="s">
        <v>3765</v>
      </c>
      <c r="I2222" s="573" t="s">
        <v>4070</v>
      </c>
      <c r="J2222" s="573" t="s">
        <v>752</v>
      </c>
      <c r="K2222" s="573">
        <v>6</v>
      </c>
      <c r="L2222" s="573">
        <v>0</v>
      </c>
      <c r="M2222" s="573" t="s">
        <v>157</v>
      </c>
      <c r="N2222" s="573">
        <v>2</v>
      </c>
      <c r="O2222" s="573" t="s">
        <v>3781</v>
      </c>
      <c r="P2222" s="571">
        <v>10700</v>
      </c>
      <c r="Q2222" s="573" t="s">
        <v>1259</v>
      </c>
      <c r="R2222" s="573">
        <v>6</v>
      </c>
      <c r="S2222" s="582" t="s">
        <v>4033</v>
      </c>
      <c r="T2222" s="573" t="s">
        <v>318</v>
      </c>
      <c r="U2222" s="573">
        <v>145</v>
      </c>
      <c r="V2222" s="573">
        <v>23</v>
      </c>
      <c r="W2222" s="616">
        <v>7000</v>
      </c>
      <c r="X2222" s="617">
        <v>19</v>
      </c>
      <c r="Y2222" s="617" t="s">
        <v>178</v>
      </c>
      <c r="Z2222" s="617" t="s">
        <v>178</v>
      </c>
      <c r="AA2222" s="618">
        <v>44585</v>
      </c>
      <c r="AB2222" s="618" t="s">
        <v>164</v>
      </c>
      <c r="AC2222" s="618">
        <v>31950</v>
      </c>
      <c r="AD2222" s="619">
        <v>0.01</v>
      </c>
      <c r="AE2222" s="617" t="s">
        <v>4110</v>
      </c>
    </row>
    <row r="2223" spans="1:31" s="572" customFormat="1">
      <c r="A2223" s="570" t="s">
        <v>4118</v>
      </c>
      <c r="B2223" s="569" t="s">
        <v>278</v>
      </c>
      <c r="C2223" s="580">
        <v>15</v>
      </c>
      <c r="D2223" s="569" t="s">
        <v>3374</v>
      </c>
      <c r="E2223" s="569" t="s">
        <v>152</v>
      </c>
      <c r="F2223" s="569" t="s">
        <v>271</v>
      </c>
      <c r="G2223" s="569">
        <v>2019</v>
      </c>
      <c r="H2223" s="569" t="s">
        <v>3765</v>
      </c>
      <c r="I2223" s="569" t="s">
        <v>4070</v>
      </c>
      <c r="J2223" s="569" t="s">
        <v>752</v>
      </c>
      <c r="K2223" s="569">
        <v>6</v>
      </c>
      <c r="L2223" s="569">
        <v>0</v>
      </c>
      <c r="M2223" s="569" t="s">
        <v>157</v>
      </c>
      <c r="N2223" s="569">
        <v>2</v>
      </c>
      <c r="O2223" s="569" t="s">
        <v>3781</v>
      </c>
      <c r="P2223" s="568">
        <v>7200</v>
      </c>
      <c r="Q2223" s="569" t="s">
        <v>3772</v>
      </c>
      <c r="R2223" s="569">
        <v>6</v>
      </c>
      <c r="S2223" s="569" t="s">
        <v>4033</v>
      </c>
      <c r="T2223" s="569" t="s">
        <v>318</v>
      </c>
      <c r="U2223" s="569">
        <v>145</v>
      </c>
      <c r="V2223" s="569">
        <v>23</v>
      </c>
      <c r="W2223" s="620">
        <v>6350</v>
      </c>
      <c r="X2223" s="621">
        <v>19</v>
      </c>
      <c r="Y2223" s="621" t="s">
        <v>450</v>
      </c>
      <c r="Z2223" s="621" t="s">
        <v>178</v>
      </c>
      <c r="AA2223" s="622">
        <v>41990</v>
      </c>
      <c r="AB2223" s="622" t="s">
        <v>164</v>
      </c>
      <c r="AC2223" s="622">
        <v>29600</v>
      </c>
      <c r="AD2223" s="623">
        <v>0.01</v>
      </c>
      <c r="AE2223" s="621" t="s">
        <v>4112</v>
      </c>
    </row>
    <row r="2224" spans="1:31" s="572" customFormat="1">
      <c r="A2224" s="570" t="s">
        <v>4119</v>
      </c>
      <c r="B2224" s="573" t="s">
        <v>278</v>
      </c>
      <c r="C2224" s="578">
        <v>15</v>
      </c>
      <c r="D2224" s="573" t="s">
        <v>3374</v>
      </c>
      <c r="E2224" s="573" t="s">
        <v>152</v>
      </c>
      <c r="F2224" s="573" t="s">
        <v>271</v>
      </c>
      <c r="G2224" s="573">
        <v>2019</v>
      </c>
      <c r="H2224" s="573" t="s">
        <v>3765</v>
      </c>
      <c r="I2224" s="573" t="s">
        <v>4070</v>
      </c>
      <c r="J2224" s="573" t="s">
        <v>752</v>
      </c>
      <c r="K2224" s="573">
        <v>6</v>
      </c>
      <c r="L2224" s="573">
        <v>0</v>
      </c>
      <c r="M2224" s="573" t="s">
        <v>157</v>
      </c>
      <c r="N2224" s="573">
        <v>2</v>
      </c>
      <c r="O2224" s="573" t="s">
        <v>3781</v>
      </c>
      <c r="P2224" s="571">
        <v>7600</v>
      </c>
      <c r="Q2224" s="573" t="s">
        <v>3768</v>
      </c>
      <c r="R2224" s="573">
        <v>6</v>
      </c>
      <c r="S2224" s="582" t="s">
        <v>4033</v>
      </c>
      <c r="T2224" s="573" t="s">
        <v>318</v>
      </c>
      <c r="U2224" s="573">
        <v>145</v>
      </c>
      <c r="V2224" s="573">
        <v>23</v>
      </c>
      <c r="W2224" s="616">
        <v>6900</v>
      </c>
      <c r="X2224" s="617">
        <v>20</v>
      </c>
      <c r="Y2224" s="617" t="s">
        <v>178</v>
      </c>
      <c r="Z2224" s="617" t="s">
        <v>178</v>
      </c>
      <c r="AA2224" s="618">
        <v>42985</v>
      </c>
      <c r="AB2224" s="618" t="s">
        <v>164</v>
      </c>
      <c r="AC2224" s="618">
        <v>30500</v>
      </c>
      <c r="AD2224" s="619">
        <v>0.01</v>
      </c>
      <c r="AE2224" s="617" t="s">
        <v>4114</v>
      </c>
    </row>
    <row r="2225" spans="1:31" s="572" customFormat="1">
      <c r="A2225" s="570" t="s">
        <v>4120</v>
      </c>
      <c r="B2225" s="569" t="s">
        <v>278</v>
      </c>
      <c r="C2225" s="580">
        <v>15</v>
      </c>
      <c r="D2225" s="569" t="s">
        <v>3374</v>
      </c>
      <c r="E2225" s="569" t="s">
        <v>152</v>
      </c>
      <c r="F2225" s="569" t="s">
        <v>271</v>
      </c>
      <c r="G2225" s="569">
        <v>2019</v>
      </c>
      <c r="H2225" s="569" t="s">
        <v>3765</v>
      </c>
      <c r="I2225" s="569" t="s">
        <v>4070</v>
      </c>
      <c r="J2225" s="569" t="s">
        <v>752</v>
      </c>
      <c r="K2225" s="569">
        <v>6</v>
      </c>
      <c r="L2225" s="569">
        <v>0</v>
      </c>
      <c r="M2225" s="569" t="s">
        <v>157</v>
      </c>
      <c r="N2225" s="569">
        <v>2</v>
      </c>
      <c r="O2225" s="569" t="s">
        <v>3781</v>
      </c>
      <c r="P2225" s="568">
        <v>9100</v>
      </c>
      <c r="Q2225" s="569" t="s">
        <v>3778</v>
      </c>
      <c r="R2225" s="569">
        <v>8</v>
      </c>
      <c r="S2225" s="569" t="s">
        <v>4033</v>
      </c>
      <c r="T2225" s="569" t="s">
        <v>318</v>
      </c>
      <c r="U2225" s="569">
        <v>145</v>
      </c>
      <c r="V2225" s="569">
        <v>23</v>
      </c>
      <c r="W2225" s="620">
        <v>7000</v>
      </c>
      <c r="X2225" s="621">
        <v>17</v>
      </c>
      <c r="Y2225" s="621" t="s">
        <v>450</v>
      </c>
      <c r="Z2225" s="621" t="s">
        <v>178</v>
      </c>
      <c r="AA2225" s="622">
        <v>43985</v>
      </c>
      <c r="AB2225" s="622" t="s">
        <v>164</v>
      </c>
      <c r="AC2225" s="622">
        <v>31400</v>
      </c>
      <c r="AD2225" s="623">
        <v>0.01</v>
      </c>
      <c r="AE2225" s="621" t="s">
        <v>4116</v>
      </c>
    </row>
    <row r="2226" spans="1:31" s="572" customFormat="1">
      <c r="A2226" s="570" t="s">
        <v>4121</v>
      </c>
      <c r="B2226" s="573" t="s">
        <v>278</v>
      </c>
      <c r="C2226" s="578">
        <v>15</v>
      </c>
      <c r="D2226" s="573" t="s">
        <v>3374</v>
      </c>
      <c r="E2226" s="573" t="s">
        <v>152</v>
      </c>
      <c r="F2226" s="573" t="s">
        <v>271</v>
      </c>
      <c r="G2226" s="573">
        <v>2019</v>
      </c>
      <c r="H2226" s="573" t="s">
        <v>3765</v>
      </c>
      <c r="I2226" s="573" t="s">
        <v>4070</v>
      </c>
      <c r="J2226" s="573" t="s">
        <v>752</v>
      </c>
      <c r="K2226" s="573">
        <v>6</v>
      </c>
      <c r="L2226" s="573">
        <v>0</v>
      </c>
      <c r="M2226" s="573" t="s">
        <v>157</v>
      </c>
      <c r="N2226" s="573">
        <v>2</v>
      </c>
      <c r="O2226" s="573" t="s">
        <v>3846</v>
      </c>
      <c r="P2226" s="571">
        <v>10800</v>
      </c>
      <c r="Q2226" s="573" t="s">
        <v>1259</v>
      </c>
      <c r="R2226" s="573">
        <v>6</v>
      </c>
      <c r="S2226" s="582" t="s">
        <v>4033</v>
      </c>
      <c r="T2226" s="573" t="s">
        <v>318</v>
      </c>
      <c r="U2226" s="573">
        <v>163.69999999999999</v>
      </c>
      <c r="V2226" s="573">
        <v>23</v>
      </c>
      <c r="W2226" s="616">
        <v>7050</v>
      </c>
      <c r="X2226" s="617">
        <v>19</v>
      </c>
      <c r="Y2226" s="617" t="s">
        <v>178</v>
      </c>
      <c r="Z2226" s="617" t="s">
        <v>178</v>
      </c>
      <c r="AA2226" s="618">
        <v>44845</v>
      </c>
      <c r="AB2226" s="618" t="s">
        <v>164</v>
      </c>
      <c r="AC2226" s="618">
        <v>32200</v>
      </c>
      <c r="AD2226" s="619">
        <v>0.01</v>
      </c>
      <c r="AE2226" s="617" t="s">
        <v>4122</v>
      </c>
    </row>
    <row r="2227" spans="1:31" s="572" customFormat="1">
      <c r="A2227" s="570" t="s">
        <v>4123</v>
      </c>
      <c r="B2227" s="569" t="s">
        <v>278</v>
      </c>
      <c r="C2227" s="580">
        <v>15</v>
      </c>
      <c r="D2227" s="569" t="s">
        <v>3374</v>
      </c>
      <c r="E2227" s="569" t="s">
        <v>152</v>
      </c>
      <c r="F2227" s="569" t="s">
        <v>271</v>
      </c>
      <c r="G2227" s="569">
        <v>2019</v>
      </c>
      <c r="H2227" s="569" t="s">
        <v>3765</v>
      </c>
      <c r="I2227" s="569" t="s">
        <v>4070</v>
      </c>
      <c r="J2227" s="569" t="s">
        <v>752</v>
      </c>
      <c r="K2227" s="569">
        <v>6</v>
      </c>
      <c r="L2227" s="569">
        <v>0</v>
      </c>
      <c r="M2227" s="569" t="s">
        <v>157</v>
      </c>
      <c r="N2227" s="569">
        <v>2</v>
      </c>
      <c r="O2227" s="569" t="s">
        <v>3846</v>
      </c>
      <c r="P2227" s="568">
        <v>9000</v>
      </c>
      <c r="Q2227" s="569" t="s">
        <v>3778</v>
      </c>
      <c r="R2227" s="569">
        <v>8</v>
      </c>
      <c r="S2227" s="569" t="s">
        <v>4033</v>
      </c>
      <c r="T2227" s="569" t="s">
        <v>318</v>
      </c>
      <c r="U2227" s="569">
        <v>163.69999999999999</v>
      </c>
      <c r="V2227" s="569">
        <v>23</v>
      </c>
      <c r="W2227" s="620">
        <v>7050</v>
      </c>
      <c r="X2227" s="621">
        <v>17</v>
      </c>
      <c r="Y2227" s="621" t="s">
        <v>450</v>
      </c>
      <c r="Z2227" s="621" t="s">
        <v>178</v>
      </c>
      <c r="AA2227" s="622">
        <v>44245</v>
      </c>
      <c r="AB2227" s="622" t="s">
        <v>164</v>
      </c>
      <c r="AC2227" s="622">
        <v>31700</v>
      </c>
      <c r="AD2227" s="623">
        <v>0.01</v>
      </c>
      <c r="AE2227" s="621" t="s">
        <v>4124</v>
      </c>
    </row>
    <row r="2228" spans="1:31" s="572" customFormat="1">
      <c r="A2228" s="570" t="s">
        <v>4125</v>
      </c>
      <c r="B2228" s="573" t="s">
        <v>287</v>
      </c>
      <c r="C2228" s="578">
        <v>26</v>
      </c>
      <c r="D2228" s="573" t="s">
        <v>3374</v>
      </c>
      <c r="E2228" s="573" t="s">
        <v>152</v>
      </c>
      <c r="F2228" s="573" t="s">
        <v>271</v>
      </c>
      <c r="G2228" s="573">
        <v>2019</v>
      </c>
      <c r="H2228" s="573" t="s">
        <v>3765</v>
      </c>
      <c r="I2228" s="573" t="s">
        <v>4070</v>
      </c>
      <c r="J2228" s="573" t="s">
        <v>752</v>
      </c>
      <c r="K2228" s="573">
        <v>6</v>
      </c>
      <c r="L2228" s="573">
        <v>0</v>
      </c>
      <c r="M2228" s="573" t="s">
        <v>157</v>
      </c>
      <c r="N2228" s="573">
        <v>2</v>
      </c>
      <c r="O2228" s="573" t="s">
        <v>3781</v>
      </c>
      <c r="P2228" s="571">
        <v>10700</v>
      </c>
      <c r="Q2228" s="573" t="s">
        <v>1259</v>
      </c>
      <c r="R2228" s="573">
        <v>6</v>
      </c>
      <c r="S2228" s="582" t="s">
        <v>4033</v>
      </c>
      <c r="T2228" s="573" t="s">
        <v>318</v>
      </c>
      <c r="U2228" s="573">
        <v>145</v>
      </c>
      <c r="V2228" s="573">
        <v>23</v>
      </c>
      <c r="W2228" s="616">
        <v>7000</v>
      </c>
      <c r="X2228" s="617">
        <v>19</v>
      </c>
      <c r="Y2228" s="617" t="s">
        <v>178</v>
      </c>
      <c r="Z2228" s="617" t="s">
        <v>178</v>
      </c>
      <c r="AA2228" s="618">
        <v>44585</v>
      </c>
      <c r="AB2228" s="618" t="s">
        <v>164</v>
      </c>
      <c r="AC2228" s="618">
        <v>29253</v>
      </c>
      <c r="AD2228" s="619">
        <v>0.05</v>
      </c>
      <c r="AE2228" s="617" t="s">
        <v>4110</v>
      </c>
    </row>
    <row r="2229" spans="1:31" s="572" customFormat="1">
      <c r="A2229" s="570" t="s">
        <v>4126</v>
      </c>
      <c r="B2229" s="569" t="s">
        <v>287</v>
      </c>
      <c r="C2229" s="580">
        <v>26</v>
      </c>
      <c r="D2229" s="569" t="s">
        <v>3374</v>
      </c>
      <c r="E2229" s="569" t="s">
        <v>152</v>
      </c>
      <c r="F2229" s="569" t="s">
        <v>271</v>
      </c>
      <c r="G2229" s="569">
        <v>2019</v>
      </c>
      <c r="H2229" s="569" t="s">
        <v>3765</v>
      </c>
      <c r="I2229" s="569" t="s">
        <v>4070</v>
      </c>
      <c r="J2229" s="569" t="s">
        <v>752</v>
      </c>
      <c r="K2229" s="569">
        <v>6</v>
      </c>
      <c r="L2229" s="569">
        <v>0</v>
      </c>
      <c r="M2229" s="569" t="s">
        <v>157</v>
      </c>
      <c r="N2229" s="569">
        <v>2</v>
      </c>
      <c r="O2229" s="569" t="s">
        <v>3781</v>
      </c>
      <c r="P2229" s="568">
        <v>7600</v>
      </c>
      <c r="Q2229" s="569" t="s">
        <v>3768</v>
      </c>
      <c r="R2229" s="569">
        <v>6</v>
      </c>
      <c r="S2229" s="569" t="s">
        <v>4033</v>
      </c>
      <c r="T2229" s="569" t="s">
        <v>318</v>
      </c>
      <c r="U2229" s="569">
        <v>145</v>
      </c>
      <c r="V2229" s="569">
        <v>23</v>
      </c>
      <c r="W2229" s="620">
        <v>6900</v>
      </c>
      <c r="X2229" s="621">
        <v>20</v>
      </c>
      <c r="Y2229" s="621" t="s">
        <v>178</v>
      </c>
      <c r="Z2229" s="621" t="s">
        <v>178</v>
      </c>
      <c r="AA2229" s="622">
        <v>29560</v>
      </c>
      <c r="AB2229" s="622" t="s">
        <v>164</v>
      </c>
      <c r="AC2229" s="622">
        <v>27798</v>
      </c>
      <c r="AD2229" s="623">
        <v>0.05</v>
      </c>
      <c r="AE2229" s="621" t="s">
        <v>4114</v>
      </c>
    </row>
    <row r="2230" spans="1:31" s="572" customFormat="1">
      <c r="A2230" s="570" t="s">
        <v>4127</v>
      </c>
      <c r="B2230" s="573" t="s">
        <v>287</v>
      </c>
      <c r="C2230" s="578">
        <v>26</v>
      </c>
      <c r="D2230" s="573" t="s">
        <v>3374</v>
      </c>
      <c r="E2230" s="573" t="s">
        <v>152</v>
      </c>
      <c r="F2230" s="573" t="s">
        <v>271</v>
      </c>
      <c r="G2230" s="573">
        <v>2019</v>
      </c>
      <c r="H2230" s="573" t="s">
        <v>3765</v>
      </c>
      <c r="I2230" s="573" t="s">
        <v>4070</v>
      </c>
      <c r="J2230" s="573" t="s">
        <v>752</v>
      </c>
      <c r="K2230" s="573">
        <v>6</v>
      </c>
      <c r="L2230" s="573">
        <v>0</v>
      </c>
      <c r="M2230" s="573" t="s">
        <v>157</v>
      </c>
      <c r="N2230" s="573">
        <v>2</v>
      </c>
      <c r="O2230" s="573" t="s">
        <v>3781</v>
      </c>
      <c r="P2230" s="571">
        <v>7700</v>
      </c>
      <c r="Q2230" s="573" t="s">
        <v>1322</v>
      </c>
      <c r="R2230" s="573">
        <v>6</v>
      </c>
      <c r="S2230" s="582" t="s">
        <v>4033</v>
      </c>
      <c r="T2230" s="573" t="s">
        <v>318</v>
      </c>
      <c r="U2230" s="573">
        <v>145</v>
      </c>
      <c r="V2230" s="573">
        <v>23</v>
      </c>
      <c r="W2230" s="616">
        <v>6300</v>
      </c>
      <c r="X2230" s="617">
        <v>20</v>
      </c>
      <c r="Y2230" s="617" t="s">
        <v>178</v>
      </c>
      <c r="Z2230" s="617" t="s">
        <v>178</v>
      </c>
      <c r="AA2230" s="618">
        <v>38565</v>
      </c>
      <c r="AB2230" s="618" t="s">
        <v>164</v>
      </c>
      <c r="AC2230" s="618">
        <v>26892</v>
      </c>
      <c r="AD2230" s="619">
        <v>0.05</v>
      </c>
      <c r="AE2230" s="617" t="s">
        <v>4128</v>
      </c>
    </row>
    <row r="2231" spans="1:31" s="572" customFormat="1">
      <c r="A2231" s="570" t="s">
        <v>4129</v>
      </c>
      <c r="B2231" s="569" t="s">
        <v>287</v>
      </c>
      <c r="C2231" s="580">
        <v>26</v>
      </c>
      <c r="D2231" s="569" t="s">
        <v>3374</v>
      </c>
      <c r="E2231" s="569" t="s">
        <v>152</v>
      </c>
      <c r="F2231" s="569" t="s">
        <v>271</v>
      </c>
      <c r="G2231" s="569">
        <v>2019</v>
      </c>
      <c r="H2231" s="569" t="s">
        <v>3765</v>
      </c>
      <c r="I2231" s="569" t="s">
        <v>4070</v>
      </c>
      <c r="J2231" s="569" t="s">
        <v>752</v>
      </c>
      <c r="K2231" s="569">
        <v>6</v>
      </c>
      <c r="L2231" s="569">
        <v>0</v>
      </c>
      <c r="M2231" s="569" t="s">
        <v>157</v>
      </c>
      <c r="N2231" s="569">
        <v>2</v>
      </c>
      <c r="O2231" s="569" t="s">
        <v>3781</v>
      </c>
      <c r="P2231" s="568">
        <v>9100</v>
      </c>
      <c r="Q2231" s="569" t="s">
        <v>3778</v>
      </c>
      <c r="R2231" s="569">
        <v>8</v>
      </c>
      <c r="S2231" s="569" t="s">
        <v>4033</v>
      </c>
      <c r="T2231" s="569" t="s">
        <v>318</v>
      </c>
      <c r="U2231" s="569">
        <v>145</v>
      </c>
      <c r="V2231" s="569">
        <v>23</v>
      </c>
      <c r="W2231" s="620">
        <v>7000</v>
      </c>
      <c r="X2231" s="621">
        <v>17</v>
      </c>
      <c r="Y2231" s="621" t="s">
        <v>450</v>
      </c>
      <c r="Z2231" s="621" t="s">
        <v>178</v>
      </c>
      <c r="AA2231" s="622">
        <v>40560</v>
      </c>
      <c r="AB2231" s="622" t="s">
        <v>164</v>
      </c>
      <c r="AC2231" s="622">
        <v>28708</v>
      </c>
      <c r="AD2231" s="623">
        <v>0.05</v>
      </c>
      <c r="AE2231" s="621" t="s">
        <v>4116</v>
      </c>
    </row>
    <row r="2232" spans="1:31" s="572" customFormat="1">
      <c r="A2232" s="570" t="s">
        <v>4130</v>
      </c>
      <c r="B2232" s="573" t="s">
        <v>287</v>
      </c>
      <c r="C2232" s="578">
        <v>26</v>
      </c>
      <c r="D2232" s="573" t="s">
        <v>3374</v>
      </c>
      <c r="E2232" s="573" t="s">
        <v>152</v>
      </c>
      <c r="F2232" s="573" t="s">
        <v>271</v>
      </c>
      <c r="G2232" s="573">
        <v>2019</v>
      </c>
      <c r="H2232" s="573" t="s">
        <v>3765</v>
      </c>
      <c r="I2232" s="573" t="s">
        <v>4070</v>
      </c>
      <c r="J2232" s="573" t="s">
        <v>752</v>
      </c>
      <c r="K2232" s="573">
        <v>6</v>
      </c>
      <c r="L2232" s="573">
        <v>0</v>
      </c>
      <c r="M2232" s="573" t="s">
        <v>157</v>
      </c>
      <c r="N2232" s="573">
        <v>2</v>
      </c>
      <c r="O2232" s="573" t="s">
        <v>3846</v>
      </c>
      <c r="P2232" s="571">
        <v>10800</v>
      </c>
      <c r="Q2232" s="573" t="s">
        <v>1259</v>
      </c>
      <c r="R2232" s="573">
        <v>6</v>
      </c>
      <c r="S2232" s="582" t="s">
        <v>4033</v>
      </c>
      <c r="T2232" s="573" t="s">
        <v>318</v>
      </c>
      <c r="U2232" s="573">
        <v>163.69999999999999</v>
      </c>
      <c r="V2232" s="573">
        <v>23</v>
      </c>
      <c r="W2232" s="616">
        <v>7050</v>
      </c>
      <c r="X2232" s="617">
        <v>19</v>
      </c>
      <c r="Y2232" s="617" t="s">
        <v>178</v>
      </c>
      <c r="Z2232" s="617" t="s">
        <v>178</v>
      </c>
      <c r="AA2232" s="618">
        <v>44845</v>
      </c>
      <c r="AB2232" s="618" t="s">
        <v>164</v>
      </c>
      <c r="AC2232" s="618">
        <v>32674</v>
      </c>
      <c r="AD2232" s="619">
        <v>0.05</v>
      </c>
      <c r="AE2232" s="617" t="s">
        <v>4122</v>
      </c>
    </row>
    <row r="2233" spans="1:31" s="572" customFormat="1">
      <c r="A2233" s="570" t="s">
        <v>4131</v>
      </c>
      <c r="B2233" s="569" t="s">
        <v>287</v>
      </c>
      <c r="C2233" s="580">
        <v>26</v>
      </c>
      <c r="D2233" s="569" t="s">
        <v>3374</v>
      </c>
      <c r="E2233" s="569" t="s">
        <v>152</v>
      </c>
      <c r="F2233" s="569" t="s">
        <v>271</v>
      </c>
      <c r="G2233" s="569">
        <v>2019</v>
      </c>
      <c r="H2233" s="569" t="s">
        <v>3765</v>
      </c>
      <c r="I2233" s="569" t="s">
        <v>4070</v>
      </c>
      <c r="J2233" s="569" t="s">
        <v>752</v>
      </c>
      <c r="K2233" s="569">
        <v>6</v>
      </c>
      <c r="L2233" s="569">
        <v>0</v>
      </c>
      <c r="M2233" s="569" t="s">
        <v>157</v>
      </c>
      <c r="N2233" s="569">
        <v>2</v>
      </c>
      <c r="O2233" s="569" t="s">
        <v>3846</v>
      </c>
      <c r="P2233" s="568">
        <v>9000</v>
      </c>
      <c r="Q2233" s="569" t="s">
        <v>3778</v>
      </c>
      <c r="R2233" s="569">
        <v>8</v>
      </c>
      <c r="S2233" s="569" t="s">
        <v>4033</v>
      </c>
      <c r="T2233" s="569" t="s">
        <v>318</v>
      </c>
      <c r="U2233" s="569">
        <v>163.69999999999999</v>
      </c>
      <c r="V2233" s="569">
        <v>23</v>
      </c>
      <c r="W2233" s="620">
        <v>7050</v>
      </c>
      <c r="X2233" s="621">
        <v>17</v>
      </c>
      <c r="Y2233" s="621" t="s">
        <v>450</v>
      </c>
      <c r="Z2233" s="621" t="s">
        <v>178</v>
      </c>
      <c r="AA2233" s="622">
        <v>44245</v>
      </c>
      <c r="AB2233" s="622" t="s">
        <v>164</v>
      </c>
      <c r="AC2233" s="622">
        <v>32129</v>
      </c>
      <c r="AD2233" s="623">
        <v>0.05</v>
      </c>
      <c r="AE2233" s="621" t="s">
        <v>4124</v>
      </c>
    </row>
    <row r="2234" spans="1:31" s="572" customFormat="1">
      <c r="A2234" s="570" t="s">
        <v>4132</v>
      </c>
      <c r="B2234" s="573" t="s">
        <v>280</v>
      </c>
      <c r="C2234" s="578">
        <v>27</v>
      </c>
      <c r="D2234" s="573" t="s">
        <v>3374</v>
      </c>
      <c r="E2234" s="573" t="s">
        <v>152</v>
      </c>
      <c r="F2234" s="573" t="s">
        <v>271</v>
      </c>
      <c r="G2234" s="573">
        <v>2019</v>
      </c>
      <c r="H2234" s="573" t="s">
        <v>3765</v>
      </c>
      <c r="I2234" s="573" t="s">
        <v>4070</v>
      </c>
      <c r="J2234" s="573" t="s">
        <v>752</v>
      </c>
      <c r="K2234" s="573">
        <v>3</v>
      </c>
      <c r="L2234" s="573">
        <v>0</v>
      </c>
      <c r="M2234" s="573" t="s">
        <v>157</v>
      </c>
      <c r="N2234" s="573">
        <v>1</v>
      </c>
      <c r="O2234" s="573" t="s">
        <v>3846</v>
      </c>
      <c r="P2234" s="571">
        <v>10800</v>
      </c>
      <c r="Q2234" s="573" t="s">
        <v>1259</v>
      </c>
      <c r="R2234" s="573">
        <v>6</v>
      </c>
      <c r="S2234" s="582" t="s">
        <v>4033</v>
      </c>
      <c r="T2234" s="573" t="s">
        <v>318</v>
      </c>
      <c r="U2234" s="573">
        <v>163.69999999999999</v>
      </c>
      <c r="V2234" s="573">
        <v>23</v>
      </c>
      <c r="W2234" s="616">
        <v>7050</v>
      </c>
      <c r="X2234" s="617">
        <v>19</v>
      </c>
      <c r="Y2234" s="617" t="s">
        <v>178</v>
      </c>
      <c r="Z2234" s="617" t="s">
        <v>178</v>
      </c>
      <c r="AA2234" s="618">
        <v>44845</v>
      </c>
      <c r="AB2234" s="618" t="s">
        <v>164</v>
      </c>
      <c r="AC2234" s="618">
        <v>32100.715789473685</v>
      </c>
      <c r="AD2234" s="619">
        <v>0.03</v>
      </c>
      <c r="AE2234" s="617" t="s">
        <v>4106</v>
      </c>
    </row>
    <row r="2235" spans="1:31" s="572" customFormat="1">
      <c r="A2235" s="570" t="s">
        <v>4133</v>
      </c>
      <c r="B2235" s="569" t="s">
        <v>280</v>
      </c>
      <c r="C2235" s="580">
        <v>27</v>
      </c>
      <c r="D2235" s="569" t="s">
        <v>3374</v>
      </c>
      <c r="E2235" s="569" t="s">
        <v>152</v>
      </c>
      <c r="F2235" s="569" t="s">
        <v>271</v>
      </c>
      <c r="G2235" s="569">
        <v>2019</v>
      </c>
      <c r="H2235" s="569" t="s">
        <v>3765</v>
      </c>
      <c r="I2235" s="569" t="s">
        <v>4070</v>
      </c>
      <c r="J2235" s="569" t="s">
        <v>752</v>
      </c>
      <c r="K2235" s="569">
        <v>3</v>
      </c>
      <c r="L2235" s="569">
        <v>0</v>
      </c>
      <c r="M2235" s="569" t="s">
        <v>157</v>
      </c>
      <c r="N2235" s="569">
        <v>1</v>
      </c>
      <c r="O2235" s="569" t="s">
        <v>3846</v>
      </c>
      <c r="P2235" s="568">
        <v>9000</v>
      </c>
      <c r="Q2235" s="569" t="s">
        <v>3778</v>
      </c>
      <c r="R2235" s="569">
        <v>8</v>
      </c>
      <c r="S2235" s="569" t="s">
        <v>4033</v>
      </c>
      <c r="T2235" s="569" t="s">
        <v>318</v>
      </c>
      <c r="U2235" s="569">
        <v>163.69999999999999</v>
      </c>
      <c r="V2235" s="569">
        <v>23</v>
      </c>
      <c r="W2235" s="620">
        <v>7050</v>
      </c>
      <c r="X2235" s="621">
        <v>18</v>
      </c>
      <c r="Y2235" s="621" t="s">
        <v>450</v>
      </c>
      <c r="Z2235" s="621" t="s">
        <v>178</v>
      </c>
      <c r="AA2235" s="622">
        <v>44245</v>
      </c>
      <c r="AB2235" s="622" t="s">
        <v>164</v>
      </c>
      <c r="AC2235" s="622">
        <v>31562.821052631582</v>
      </c>
      <c r="AD2235" s="623">
        <v>0.03</v>
      </c>
      <c r="AE2235" s="621" t="s">
        <v>4108</v>
      </c>
    </row>
    <row r="2236" spans="1:31" s="572" customFormat="1">
      <c r="A2236" s="570" t="s">
        <v>4134</v>
      </c>
      <c r="B2236" s="573" t="s">
        <v>280</v>
      </c>
      <c r="C2236" s="578">
        <v>27</v>
      </c>
      <c r="D2236" s="573" t="s">
        <v>3374</v>
      </c>
      <c r="E2236" s="573" t="s">
        <v>152</v>
      </c>
      <c r="F2236" s="573" t="s">
        <v>271</v>
      </c>
      <c r="G2236" s="573">
        <v>2019</v>
      </c>
      <c r="H2236" s="573" t="s">
        <v>3765</v>
      </c>
      <c r="I2236" s="573" t="s">
        <v>4070</v>
      </c>
      <c r="J2236" s="573" t="s">
        <v>752</v>
      </c>
      <c r="K2236" s="573">
        <v>6</v>
      </c>
      <c r="L2236" s="573">
        <v>0</v>
      </c>
      <c r="M2236" s="573" t="s">
        <v>157</v>
      </c>
      <c r="N2236" s="573">
        <v>2</v>
      </c>
      <c r="O2236" s="573" t="s">
        <v>3781</v>
      </c>
      <c r="P2236" s="571">
        <v>10700</v>
      </c>
      <c r="Q2236" s="573" t="s">
        <v>1259</v>
      </c>
      <c r="R2236" s="573">
        <v>6</v>
      </c>
      <c r="S2236" s="582" t="s">
        <v>4033</v>
      </c>
      <c r="T2236" s="573" t="s">
        <v>318</v>
      </c>
      <c r="U2236" s="573">
        <v>145</v>
      </c>
      <c r="V2236" s="573">
        <v>23</v>
      </c>
      <c r="W2236" s="616">
        <v>7000</v>
      </c>
      <c r="X2236" s="617">
        <v>19</v>
      </c>
      <c r="Y2236" s="617" t="s">
        <v>178</v>
      </c>
      <c r="Z2236" s="617" t="s">
        <v>178</v>
      </c>
      <c r="AA2236" s="618">
        <v>44585</v>
      </c>
      <c r="AB2236" s="618" t="s">
        <v>164</v>
      </c>
      <c r="AC2236" s="618">
        <v>31844.926315789475</v>
      </c>
      <c r="AD2236" s="619">
        <v>0.03</v>
      </c>
      <c r="AE2236" s="617" t="s">
        <v>4110</v>
      </c>
    </row>
    <row r="2237" spans="1:31" s="572" customFormat="1">
      <c r="A2237" s="570" t="s">
        <v>4135</v>
      </c>
      <c r="B2237" s="569" t="s">
        <v>280</v>
      </c>
      <c r="C2237" s="580">
        <v>27</v>
      </c>
      <c r="D2237" s="569" t="s">
        <v>3374</v>
      </c>
      <c r="E2237" s="569" t="s">
        <v>152</v>
      </c>
      <c r="F2237" s="569" t="s">
        <v>271</v>
      </c>
      <c r="G2237" s="569">
        <v>2019</v>
      </c>
      <c r="H2237" s="569" t="s">
        <v>3765</v>
      </c>
      <c r="I2237" s="569" t="s">
        <v>4070</v>
      </c>
      <c r="J2237" s="569" t="s">
        <v>752</v>
      </c>
      <c r="K2237" s="569">
        <v>6</v>
      </c>
      <c r="L2237" s="569">
        <v>0</v>
      </c>
      <c r="M2237" s="569" t="s">
        <v>157</v>
      </c>
      <c r="N2237" s="569">
        <v>2</v>
      </c>
      <c r="O2237" s="569" t="s">
        <v>3781</v>
      </c>
      <c r="P2237" s="568">
        <v>7200</v>
      </c>
      <c r="Q2237" s="569" t="s">
        <v>3772</v>
      </c>
      <c r="R2237" s="569">
        <v>6</v>
      </c>
      <c r="S2237" s="569" t="s">
        <v>4033</v>
      </c>
      <c r="T2237" s="569" t="s">
        <v>318</v>
      </c>
      <c r="U2237" s="569">
        <v>145</v>
      </c>
      <c r="V2237" s="569">
        <v>23</v>
      </c>
      <c r="W2237" s="620">
        <v>6350</v>
      </c>
      <c r="X2237" s="621">
        <v>20</v>
      </c>
      <c r="Y2237" s="621" t="s">
        <v>450</v>
      </c>
      <c r="Z2237" s="621" t="s">
        <v>178</v>
      </c>
      <c r="AA2237" s="622">
        <v>41990</v>
      </c>
      <c r="AB2237" s="622" t="s">
        <v>164</v>
      </c>
      <c r="AC2237" s="622">
        <v>29515.452631578948</v>
      </c>
      <c r="AD2237" s="623">
        <v>0.03</v>
      </c>
      <c r="AE2237" s="621" t="s">
        <v>4112</v>
      </c>
    </row>
    <row r="2238" spans="1:31" s="572" customFormat="1">
      <c r="A2238" s="570" t="s">
        <v>4136</v>
      </c>
      <c r="B2238" s="573" t="s">
        <v>280</v>
      </c>
      <c r="C2238" s="578">
        <v>27</v>
      </c>
      <c r="D2238" s="573" t="s">
        <v>3374</v>
      </c>
      <c r="E2238" s="573" t="s">
        <v>152</v>
      </c>
      <c r="F2238" s="573" t="s">
        <v>271</v>
      </c>
      <c r="G2238" s="573">
        <v>2019</v>
      </c>
      <c r="H2238" s="573" t="s">
        <v>3765</v>
      </c>
      <c r="I2238" s="573" t="s">
        <v>4070</v>
      </c>
      <c r="J2238" s="573" t="s">
        <v>752</v>
      </c>
      <c r="K2238" s="573">
        <v>6</v>
      </c>
      <c r="L2238" s="573">
        <v>0</v>
      </c>
      <c r="M2238" s="573" t="s">
        <v>157</v>
      </c>
      <c r="N2238" s="573">
        <v>2</v>
      </c>
      <c r="O2238" s="573" t="s">
        <v>3781</v>
      </c>
      <c r="P2238" s="571">
        <v>7600</v>
      </c>
      <c r="Q2238" s="573" t="s">
        <v>3768</v>
      </c>
      <c r="R2238" s="573">
        <v>6</v>
      </c>
      <c r="S2238" s="582" t="s">
        <v>4033</v>
      </c>
      <c r="T2238" s="573" t="s">
        <v>318</v>
      </c>
      <c r="U2238" s="573">
        <v>145</v>
      </c>
      <c r="V2238" s="573">
        <v>23</v>
      </c>
      <c r="W2238" s="616">
        <v>6900</v>
      </c>
      <c r="X2238" s="617">
        <v>21</v>
      </c>
      <c r="Y2238" s="617" t="s">
        <v>178</v>
      </c>
      <c r="Z2238" s="617" t="s">
        <v>178</v>
      </c>
      <c r="AA2238" s="618">
        <v>42985</v>
      </c>
      <c r="AB2238" s="618" t="s">
        <v>164</v>
      </c>
      <c r="AC2238" s="618">
        <v>30409.136842105265</v>
      </c>
      <c r="AD2238" s="619">
        <v>0.03</v>
      </c>
      <c r="AE2238" s="617" t="s">
        <v>4114</v>
      </c>
    </row>
    <row r="2239" spans="1:31" s="572" customFormat="1">
      <c r="A2239" s="570" t="s">
        <v>4137</v>
      </c>
      <c r="B2239" s="569" t="s">
        <v>280</v>
      </c>
      <c r="C2239" s="580">
        <v>27</v>
      </c>
      <c r="D2239" s="569" t="s">
        <v>3374</v>
      </c>
      <c r="E2239" s="569" t="s">
        <v>152</v>
      </c>
      <c r="F2239" s="569" t="s">
        <v>271</v>
      </c>
      <c r="G2239" s="569">
        <v>2019</v>
      </c>
      <c r="H2239" s="569" t="s">
        <v>3765</v>
      </c>
      <c r="I2239" s="569" t="s">
        <v>4070</v>
      </c>
      <c r="J2239" s="569" t="s">
        <v>752</v>
      </c>
      <c r="K2239" s="569">
        <v>6</v>
      </c>
      <c r="L2239" s="569">
        <v>0</v>
      </c>
      <c r="M2239" s="569" t="s">
        <v>157</v>
      </c>
      <c r="N2239" s="569">
        <v>2</v>
      </c>
      <c r="O2239" s="569" t="s">
        <v>3781</v>
      </c>
      <c r="P2239" s="568">
        <v>9100</v>
      </c>
      <c r="Q2239" s="569" t="s">
        <v>3778</v>
      </c>
      <c r="R2239" s="569">
        <v>8</v>
      </c>
      <c r="S2239" s="569" t="s">
        <v>4033</v>
      </c>
      <c r="T2239" s="569" t="s">
        <v>318</v>
      </c>
      <c r="U2239" s="569">
        <v>145</v>
      </c>
      <c r="V2239" s="569">
        <v>23</v>
      </c>
      <c r="W2239" s="620">
        <v>7000</v>
      </c>
      <c r="X2239" s="621">
        <v>18</v>
      </c>
      <c r="Y2239" s="621" t="s">
        <v>450</v>
      </c>
      <c r="Z2239" s="621" t="s">
        <v>178</v>
      </c>
      <c r="AA2239" s="622">
        <v>43985</v>
      </c>
      <c r="AB2239" s="622" t="s">
        <v>164</v>
      </c>
      <c r="AC2239" s="622">
        <v>31305.978947368421</v>
      </c>
      <c r="AD2239" s="623">
        <v>0.03</v>
      </c>
      <c r="AE2239" s="621" t="s">
        <v>4116</v>
      </c>
    </row>
    <row r="2240" spans="1:31" s="572" customFormat="1">
      <c r="A2240" s="570" t="s">
        <v>4138</v>
      </c>
      <c r="B2240" s="573" t="s">
        <v>269</v>
      </c>
      <c r="C2240" s="578" t="s">
        <v>270</v>
      </c>
      <c r="D2240" s="573" t="s">
        <v>3374</v>
      </c>
      <c r="E2240" s="573" t="s">
        <v>152</v>
      </c>
      <c r="F2240" s="573" t="s">
        <v>271</v>
      </c>
      <c r="G2240" s="573">
        <v>2019</v>
      </c>
      <c r="H2240" s="573" t="s">
        <v>3765</v>
      </c>
      <c r="I2240" s="573" t="s">
        <v>4140</v>
      </c>
      <c r="J2240" s="573" t="s">
        <v>3377</v>
      </c>
      <c r="K2240" s="573">
        <v>6</v>
      </c>
      <c r="L2240" s="573">
        <v>0</v>
      </c>
      <c r="M2240" s="573" t="s">
        <v>157</v>
      </c>
      <c r="N2240" s="573">
        <v>2</v>
      </c>
      <c r="O2240" s="573" t="s">
        <v>3767</v>
      </c>
      <c r="P2240" s="571">
        <v>10700</v>
      </c>
      <c r="Q2240" s="573" t="s">
        <v>1259</v>
      </c>
      <c r="R2240" s="573">
        <v>6</v>
      </c>
      <c r="S2240" s="582" t="s">
        <v>4141</v>
      </c>
      <c r="T2240" s="573" t="s">
        <v>276</v>
      </c>
      <c r="U2240" s="573">
        <v>145</v>
      </c>
      <c r="V2240" s="573">
        <v>23</v>
      </c>
      <c r="W2240" s="616">
        <v>6800</v>
      </c>
      <c r="X2240" s="617">
        <v>21</v>
      </c>
      <c r="Y2240" s="617" t="s">
        <v>178</v>
      </c>
      <c r="Z2240" s="617" t="s">
        <v>178</v>
      </c>
      <c r="AA2240" s="618">
        <v>38785</v>
      </c>
      <c r="AB2240" s="618" t="s">
        <v>164</v>
      </c>
      <c r="AC2240" s="618">
        <v>27519.663157894738</v>
      </c>
      <c r="AD2240" s="619">
        <v>0.03</v>
      </c>
      <c r="AE2240" s="617" t="s">
        <v>4139</v>
      </c>
    </row>
    <row r="2241" spans="1:31" s="572" customFormat="1">
      <c r="A2241" s="570" t="s">
        <v>4142</v>
      </c>
      <c r="B2241" s="569" t="s">
        <v>269</v>
      </c>
      <c r="C2241" s="580" t="s">
        <v>270</v>
      </c>
      <c r="D2241" s="569" t="s">
        <v>3374</v>
      </c>
      <c r="E2241" s="569" t="s">
        <v>152</v>
      </c>
      <c r="F2241" s="569" t="s">
        <v>271</v>
      </c>
      <c r="G2241" s="569">
        <v>2019</v>
      </c>
      <c r="H2241" s="569" t="s">
        <v>3765</v>
      </c>
      <c r="I2241" s="569" t="s">
        <v>4140</v>
      </c>
      <c r="J2241" s="569" t="s">
        <v>3377</v>
      </c>
      <c r="K2241" s="569">
        <v>6</v>
      </c>
      <c r="L2241" s="569">
        <v>0</v>
      </c>
      <c r="M2241" s="569" t="s">
        <v>157</v>
      </c>
      <c r="N2241" s="569">
        <v>2</v>
      </c>
      <c r="O2241" s="569" t="s">
        <v>3767</v>
      </c>
      <c r="P2241" s="568">
        <v>7300</v>
      </c>
      <c r="Q2241" s="569" t="s">
        <v>3772</v>
      </c>
      <c r="R2241" s="569">
        <v>6</v>
      </c>
      <c r="S2241" s="569" t="s">
        <v>4141</v>
      </c>
      <c r="T2241" s="569" t="s">
        <v>276</v>
      </c>
      <c r="U2241" s="569">
        <v>145</v>
      </c>
      <c r="V2241" s="569">
        <v>23</v>
      </c>
      <c r="W2241" s="620">
        <v>6150</v>
      </c>
      <c r="X2241" s="621">
        <v>22</v>
      </c>
      <c r="Y2241" s="621" t="s">
        <v>450</v>
      </c>
      <c r="Z2241" s="621" t="s">
        <v>178</v>
      </c>
      <c r="AA2241" s="622">
        <v>36190</v>
      </c>
      <c r="AB2241" s="622" t="s">
        <v>164</v>
      </c>
      <c r="AC2241" s="622">
        <v>25190.189473684211</v>
      </c>
      <c r="AD2241" s="623">
        <v>0.03</v>
      </c>
      <c r="AE2241" s="621" t="s">
        <v>4143</v>
      </c>
    </row>
    <row r="2242" spans="1:31" s="572" customFormat="1">
      <c r="A2242" s="570" t="s">
        <v>4144</v>
      </c>
      <c r="B2242" s="573" t="s">
        <v>269</v>
      </c>
      <c r="C2242" s="578" t="s">
        <v>270</v>
      </c>
      <c r="D2242" s="573" t="s">
        <v>3374</v>
      </c>
      <c r="E2242" s="573" t="s">
        <v>152</v>
      </c>
      <c r="F2242" s="573" t="s">
        <v>271</v>
      </c>
      <c r="G2242" s="573">
        <v>2019</v>
      </c>
      <c r="H2242" s="573" t="s">
        <v>3765</v>
      </c>
      <c r="I2242" s="573" t="s">
        <v>4140</v>
      </c>
      <c r="J2242" s="573" t="s">
        <v>3377</v>
      </c>
      <c r="K2242" s="573">
        <v>6</v>
      </c>
      <c r="L2242" s="573">
        <v>0</v>
      </c>
      <c r="M2242" s="573" t="s">
        <v>157</v>
      </c>
      <c r="N2242" s="573">
        <v>2</v>
      </c>
      <c r="O2242" s="573" t="s">
        <v>3767</v>
      </c>
      <c r="P2242" s="571">
        <v>7600</v>
      </c>
      <c r="Q2242" s="573" t="s">
        <v>3841</v>
      </c>
      <c r="R2242" s="573">
        <v>6</v>
      </c>
      <c r="S2242" s="582" t="s">
        <v>4141</v>
      </c>
      <c r="T2242" s="573" t="s">
        <v>276</v>
      </c>
      <c r="U2242" s="573">
        <v>145</v>
      </c>
      <c r="V2242" s="573">
        <v>23</v>
      </c>
      <c r="W2242" s="616">
        <v>6250</v>
      </c>
      <c r="X2242" s="617">
        <v>22</v>
      </c>
      <c r="Y2242" s="617" t="s">
        <v>178</v>
      </c>
      <c r="Z2242" s="617" t="s">
        <v>178</v>
      </c>
      <c r="AA2242" s="618">
        <v>37185</v>
      </c>
      <c r="AB2242" s="618" t="s">
        <v>164</v>
      </c>
      <c r="AC2242" s="618">
        <v>26083.873684210528</v>
      </c>
      <c r="AD2242" s="619">
        <v>0.03</v>
      </c>
      <c r="AE2242" s="617" t="s">
        <v>4145</v>
      </c>
    </row>
    <row r="2243" spans="1:31" s="572" customFormat="1">
      <c r="A2243" s="570" t="s">
        <v>4146</v>
      </c>
      <c r="B2243" s="569" t="s">
        <v>269</v>
      </c>
      <c r="C2243" s="580" t="s">
        <v>270</v>
      </c>
      <c r="D2243" s="569" t="s">
        <v>3374</v>
      </c>
      <c r="E2243" s="569" t="s">
        <v>152</v>
      </c>
      <c r="F2243" s="569" t="s">
        <v>271</v>
      </c>
      <c r="G2243" s="569">
        <v>2019</v>
      </c>
      <c r="H2243" s="569" t="s">
        <v>3765</v>
      </c>
      <c r="I2243" s="569" t="s">
        <v>4140</v>
      </c>
      <c r="J2243" s="569" t="s">
        <v>3377</v>
      </c>
      <c r="K2243" s="569">
        <v>6</v>
      </c>
      <c r="L2243" s="569">
        <v>0</v>
      </c>
      <c r="M2243" s="569" t="s">
        <v>157</v>
      </c>
      <c r="N2243" s="569">
        <v>2</v>
      </c>
      <c r="O2243" s="569" t="s">
        <v>3767</v>
      </c>
      <c r="P2243" s="568">
        <v>9100</v>
      </c>
      <c r="Q2243" s="569" t="s">
        <v>3778</v>
      </c>
      <c r="R2243" s="569">
        <v>8</v>
      </c>
      <c r="S2243" s="569" t="s">
        <v>4141</v>
      </c>
      <c r="T2243" s="569" t="s">
        <v>276</v>
      </c>
      <c r="U2243" s="569">
        <v>145</v>
      </c>
      <c r="V2243" s="569">
        <v>23</v>
      </c>
      <c r="W2243" s="620">
        <v>6800</v>
      </c>
      <c r="X2243" s="621">
        <v>19</v>
      </c>
      <c r="Y2243" s="621" t="s">
        <v>450</v>
      </c>
      <c r="Z2243" s="621" t="s">
        <v>178</v>
      </c>
      <c r="AA2243" s="622">
        <v>38185</v>
      </c>
      <c r="AB2243" s="622" t="s">
        <v>164</v>
      </c>
      <c r="AC2243" s="622">
        <v>26980.715789473685</v>
      </c>
      <c r="AD2243" s="623">
        <v>0.03</v>
      </c>
      <c r="AE2243" s="621" t="s">
        <v>4147</v>
      </c>
    </row>
    <row r="2244" spans="1:31" s="572" customFormat="1">
      <c r="A2244" s="570" t="s">
        <v>4148</v>
      </c>
      <c r="B2244" s="573" t="s">
        <v>269</v>
      </c>
      <c r="C2244" s="578" t="s">
        <v>270</v>
      </c>
      <c r="D2244" s="573" t="s">
        <v>3374</v>
      </c>
      <c r="E2244" s="573" t="s">
        <v>152</v>
      </c>
      <c r="F2244" s="573" t="s">
        <v>271</v>
      </c>
      <c r="G2244" s="573">
        <v>2019</v>
      </c>
      <c r="H2244" s="573" t="s">
        <v>3765</v>
      </c>
      <c r="I2244" s="573" t="s">
        <v>4140</v>
      </c>
      <c r="J2244" s="573" t="s">
        <v>3377</v>
      </c>
      <c r="K2244" s="573">
        <v>6</v>
      </c>
      <c r="L2244" s="573">
        <v>0</v>
      </c>
      <c r="M2244" s="573" t="s">
        <v>157</v>
      </c>
      <c r="N2244" s="573">
        <v>2</v>
      </c>
      <c r="O2244" s="573" t="s">
        <v>3781</v>
      </c>
      <c r="P2244" s="571">
        <v>10700</v>
      </c>
      <c r="Q2244" s="573" t="s">
        <v>1259</v>
      </c>
      <c r="R2244" s="573">
        <v>6</v>
      </c>
      <c r="S2244" s="582" t="s">
        <v>4141</v>
      </c>
      <c r="T2244" s="573" t="s">
        <v>276</v>
      </c>
      <c r="U2244" s="573">
        <v>156.80000000000001</v>
      </c>
      <c r="V2244" s="573">
        <v>23</v>
      </c>
      <c r="W2244" s="616">
        <v>7000</v>
      </c>
      <c r="X2244" s="617">
        <v>21</v>
      </c>
      <c r="Y2244" s="617" t="s">
        <v>178</v>
      </c>
      <c r="Z2244" s="617" t="s">
        <v>178</v>
      </c>
      <c r="AA2244" s="618">
        <v>39095</v>
      </c>
      <c r="AB2244" s="618" t="s">
        <v>164</v>
      </c>
      <c r="AC2244" s="618">
        <v>27838.610526315792</v>
      </c>
      <c r="AD2244" s="619">
        <v>0.03</v>
      </c>
      <c r="AE2244" s="617" t="s">
        <v>4149</v>
      </c>
    </row>
    <row r="2245" spans="1:31" s="572" customFormat="1">
      <c r="A2245" s="570" t="s">
        <v>4150</v>
      </c>
      <c r="B2245" s="569" t="s">
        <v>269</v>
      </c>
      <c r="C2245" s="580" t="s">
        <v>270</v>
      </c>
      <c r="D2245" s="569" t="s">
        <v>3374</v>
      </c>
      <c r="E2245" s="569" t="s">
        <v>152</v>
      </c>
      <c r="F2245" s="569" t="s">
        <v>271</v>
      </c>
      <c r="G2245" s="569">
        <v>2019</v>
      </c>
      <c r="H2245" s="569" t="s">
        <v>3765</v>
      </c>
      <c r="I2245" s="569" t="s">
        <v>4140</v>
      </c>
      <c r="J2245" s="569" t="s">
        <v>3377</v>
      </c>
      <c r="K2245" s="569">
        <v>6</v>
      </c>
      <c r="L2245" s="569">
        <v>0</v>
      </c>
      <c r="M2245" s="569" t="s">
        <v>157</v>
      </c>
      <c r="N2245" s="569">
        <v>2</v>
      </c>
      <c r="O2245" s="569" t="s">
        <v>3781</v>
      </c>
      <c r="P2245" s="568">
        <v>7600</v>
      </c>
      <c r="Q2245" s="569" t="s">
        <v>3841</v>
      </c>
      <c r="R2245" s="569">
        <v>6</v>
      </c>
      <c r="S2245" s="569" t="s">
        <v>4141</v>
      </c>
      <c r="T2245" s="569" t="s">
        <v>276</v>
      </c>
      <c r="U2245" s="569">
        <v>156.80000000000001</v>
      </c>
      <c r="V2245" s="569">
        <v>23</v>
      </c>
      <c r="W2245" s="620">
        <v>6350</v>
      </c>
      <c r="X2245" s="621">
        <v>22</v>
      </c>
      <c r="Y2245" s="621" t="s">
        <v>178</v>
      </c>
      <c r="Z2245" s="621" t="s">
        <v>178</v>
      </c>
      <c r="AA2245" s="622">
        <v>37495</v>
      </c>
      <c r="AB2245" s="622" t="s">
        <v>164</v>
      </c>
      <c r="AC2245" s="622">
        <v>26402.821052631582</v>
      </c>
      <c r="AD2245" s="623">
        <v>0.03</v>
      </c>
      <c r="AE2245" s="621" t="s">
        <v>4151</v>
      </c>
    </row>
    <row r="2246" spans="1:31" s="572" customFormat="1">
      <c r="A2246" s="570" t="s">
        <v>4152</v>
      </c>
      <c r="B2246" s="573" t="s">
        <v>269</v>
      </c>
      <c r="C2246" s="578" t="s">
        <v>270</v>
      </c>
      <c r="D2246" s="573" t="s">
        <v>3374</v>
      </c>
      <c r="E2246" s="573" t="s">
        <v>152</v>
      </c>
      <c r="F2246" s="573" t="s">
        <v>271</v>
      </c>
      <c r="G2246" s="573">
        <v>2019</v>
      </c>
      <c r="H2246" s="573" t="s">
        <v>3765</v>
      </c>
      <c r="I2246" s="573" t="s">
        <v>4140</v>
      </c>
      <c r="J2246" s="573" t="s">
        <v>3377</v>
      </c>
      <c r="K2246" s="573">
        <v>6</v>
      </c>
      <c r="L2246" s="573">
        <v>0</v>
      </c>
      <c r="M2246" s="573" t="s">
        <v>157</v>
      </c>
      <c r="N2246" s="573">
        <v>2</v>
      </c>
      <c r="O2246" s="573" t="s">
        <v>3781</v>
      </c>
      <c r="P2246" s="571">
        <v>9100</v>
      </c>
      <c r="Q2246" s="573" t="s">
        <v>3778</v>
      </c>
      <c r="R2246" s="573">
        <v>8</v>
      </c>
      <c r="S2246" s="582" t="s">
        <v>4141</v>
      </c>
      <c r="T2246" s="573" t="s">
        <v>276</v>
      </c>
      <c r="U2246" s="573">
        <v>156.80000000000001</v>
      </c>
      <c r="V2246" s="573">
        <v>23</v>
      </c>
      <c r="W2246" s="616">
        <v>6950</v>
      </c>
      <c r="X2246" s="617">
        <v>19</v>
      </c>
      <c r="Y2246" s="617" t="s">
        <v>450</v>
      </c>
      <c r="Z2246" s="617" t="s">
        <v>178</v>
      </c>
      <c r="AA2246" s="618">
        <v>38495</v>
      </c>
      <c r="AB2246" s="618" t="s">
        <v>164</v>
      </c>
      <c r="AC2246" s="618">
        <v>27299.663157894738</v>
      </c>
      <c r="AD2246" s="619">
        <v>0.03</v>
      </c>
      <c r="AE2246" s="617" t="s">
        <v>4153</v>
      </c>
    </row>
    <row r="2247" spans="1:31" s="572" customFormat="1">
      <c r="A2247" s="570" t="s">
        <v>4154</v>
      </c>
      <c r="B2247" s="569" t="s">
        <v>278</v>
      </c>
      <c r="C2247" s="580">
        <v>15</v>
      </c>
      <c r="D2247" s="569" t="s">
        <v>3374</v>
      </c>
      <c r="E2247" s="569" t="s">
        <v>152</v>
      </c>
      <c r="F2247" s="569" t="s">
        <v>271</v>
      </c>
      <c r="G2247" s="569">
        <v>2019</v>
      </c>
      <c r="H2247" s="569" t="s">
        <v>3765</v>
      </c>
      <c r="I2247" s="569" t="s">
        <v>4140</v>
      </c>
      <c r="J2247" s="569" t="s">
        <v>3377</v>
      </c>
      <c r="K2247" s="569">
        <v>6</v>
      </c>
      <c r="L2247" s="569">
        <v>0</v>
      </c>
      <c r="M2247" s="569" t="s">
        <v>157</v>
      </c>
      <c r="N2247" s="569">
        <v>2</v>
      </c>
      <c r="O2247" s="569" t="s">
        <v>3767</v>
      </c>
      <c r="P2247" s="568">
        <v>10700</v>
      </c>
      <c r="Q2247" s="569" t="s">
        <v>1259</v>
      </c>
      <c r="R2247" s="569">
        <v>6</v>
      </c>
      <c r="S2247" s="569" t="s">
        <v>4141</v>
      </c>
      <c r="T2247" s="569" t="s">
        <v>276</v>
      </c>
      <c r="U2247" s="569">
        <v>145</v>
      </c>
      <c r="V2247" s="569">
        <v>23</v>
      </c>
      <c r="W2247" s="620">
        <v>6800</v>
      </c>
      <c r="X2247" s="621">
        <v>20</v>
      </c>
      <c r="Y2247" s="621" t="s">
        <v>178</v>
      </c>
      <c r="Z2247" s="621" t="s">
        <v>178</v>
      </c>
      <c r="AA2247" s="622">
        <v>38785</v>
      </c>
      <c r="AB2247" s="622" t="s">
        <v>164</v>
      </c>
      <c r="AC2247" s="622">
        <v>27600</v>
      </c>
      <c r="AD2247" s="623">
        <v>0.01</v>
      </c>
      <c r="AE2247" s="621" t="s">
        <v>4139</v>
      </c>
    </row>
    <row r="2248" spans="1:31" s="572" customFormat="1">
      <c r="A2248" s="570" t="s">
        <v>4155</v>
      </c>
      <c r="B2248" s="573" t="s">
        <v>278</v>
      </c>
      <c r="C2248" s="578">
        <v>15</v>
      </c>
      <c r="D2248" s="573" t="s">
        <v>3374</v>
      </c>
      <c r="E2248" s="573" t="s">
        <v>152</v>
      </c>
      <c r="F2248" s="573" t="s">
        <v>271</v>
      </c>
      <c r="G2248" s="573">
        <v>2019</v>
      </c>
      <c r="H2248" s="573" t="s">
        <v>3765</v>
      </c>
      <c r="I2248" s="573" t="s">
        <v>4140</v>
      </c>
      <c r="J2248" s="573" t="s">
        <v>3377</v>
      </c>
      <c r="K2248" s="573">
        <v>6</v>
      </c>
      <c r="L2248" s="573">
        <v>0</v>
      </c>
      <c r="M2248" s="573" t="s">
        <v>157</v>
      </c>
      <c r="N2248" s="573">
        <v>2</v>
      </c>
      <c r="O2248" s="573" t="s">
        <v>3767</v>
      </c>
      <c r="P2248" s="571">
        <v>7300</v>
      </c>
      <c r="Q2248" s="573" t="s">
        <v>3772</v>
      </c>
      <c r="R2248" s="573">
        <v>6</v>
      </c>
      <c r="S2248" s="582" t="s">
        <v>4141</v>
      </c>
      <c r="T2248" s="573" t="s">
        <v>276</v>
      </c>
      <c r="U2248" s="573">
        <v>145</v>
      </c>
      <c r="V2248" s="573">
        <v>23</v>
      </c>
      <c r="W2248" s="616">
        <v>6150</v>
      </c>
      <c r="X2248" s="617">
        <v>20</v>
      </c>
      <c r="Y2248" s="617" t="s">
        <v>450</v>
      </c>
      <c r="Z2248" s="617" t="s">
        <v>178</v>
      </c>
      <c r="AA2248" s="618">
        <v>36190</v>
      </c>
      <c r="AB2248" s="618" t="s">
        <v>164</v>
      </c>
      <c r="AC2248" s="618">
        <v>25250</v>
      </c>
      <c r="AD2248" s="619">
        <v>0.01</v>
      </c>
      <c r="AE2248" s="617" t="s">
        <v>4143</v>
      </c>
    </row>
    <row r="2249" spans="1:31" s="572" customFormat="1">
      <c r="A2249" s="570" t="s">
        <v>4156</v>
      </c>
      <c r="B2249" s="569" t="s">
        <v>278</v>
      </c>
      <c r="C2249" s="580">
        <v>15</v>
      </c>
      <c r="D2249" s="569" t="s">
        <v>3374</v>
      </c>
      <c r="E2249" s="569" t="s">
        <v>152</v>
      </c>
      <c r="F2249" s="569" t="s">
        <v>271</v>
      </c>
      <c r="G2249" s="569">
        <v>2019</v>
      </c>
      <c r="H2249" s="569" t="s">
        <v>3765</v>
      </c>
      <c r="I2249" s="569" t="s">
        <v>4140</v>
      </c>
      <c r="J2249" s="569" t="s">
        <v>3377</v>
      </c>
      <c r="K2249" s="569">
        <v>6</v>
      </c>
      <c r="L2249" s="569">
        <v>0</v>
      </c>
      <c r="M2249" s="569" t="s">
        <v>157</v>
      </c>
      <c r="N2249" s="569">
        <v>2</v>
      </c>
      <c r="O2249" s="569" t="s">
        <v>3767</v>
      </c>
      <c r="P2249" s="568">
        <v>7600</v>
      </c>
      <c r="Q2249" s="569" t="s">
        <v>3841</v>
      </c>
      <c r="R2249" s="569">
        <v>6</v>
      </c>
      <c r="S2249" s="569" t="s">
        <v>4141</v>
      </c>
      <c r="T2249" s="569" t="s">
        <v>276</v>
      </c>
      <c r="U2249" s="569">
        <v>145</v>
      </c>
      <c r="V2249" s="569">
        <v>23</v>
      </c>
      <c r="W2249" s="620">
        <v>6250</v>
      </c>
      <c r="X2249" s="621">
        <v>22</v>
      </c>
      <c r="Y2249" s="621" t="s">
        <v>178</v>
      </c>
      <c r="Z2249" s="621" t="s">
        <v>178</v>
      </c>
      <c r="AA2249" s="622">
        <v>37185</v>
      </c>
      <c r="AB2249" s="622" t="s">
        <v>164</v>
      </c>
      <c r="AC2249" s="622">
        <v>26150</v>
      </c>
      <c r="AD2249" s="623">
        <v>0.01</v>
      </c>
      <c r="AE2249" s="621" t="s">
        <v>4145</v>
      </c>
    </row>
    <row r="2250" spans="1:31" s="572" customFormat="1">
      <c r="A2250" s="570" t="s">
        <v>4157</v>
      </c>
      <c r="B2250" s="573" t="s">
        <v>278</v>
      </c>
      <c r="C2250" s="578">
        <v>15</v>
      </c>
      <c r="D2250" s="573" t="s">
        <v>3374</v>
      </c>
      <c r="E2250" s="573" t="s">
        <v>152</v>
      </c>
      <c r="F2250" s="573" t="s">
        <v>271</v>
      </c>
      <c r="G2250" s="573">
        <v>2019</v>
      </c>
      <c r="H2250" s="573" t="s">
        <v>3765</v>
      </c>
      <c r="I2250" s="573" t="s">
        <v>4140</v>
      </c>
      <c r="J2250" s="573" t="s">
        <v>3377</v>
      </c>
      <c r="K2250" s="573">
        <v>6</v>
      </c>
      <c r="L2250" s="573">
        <v>0</v>
      </c>
      <c r="M2250" s="573" t="s">
        <v>157</v>
      </c>
      <c r="N2250" s="573">
        <v>2</v>
      </c>
      <c r="O2250" s="573" t="s">
        <v>3767</v>
      </c>
      <c r="P2250" s="571">
        <v>9100</v>
      </c>
      <c r="Q2250" s="573" t="s">
        <v>3778</v>
      </c>
      <c r="R2250" s="573">
        <v>8</v>
      </c>
      <c r="S2250" s="582" t="s">
        <v>4141</v>
      </c>
      <c r="T2250" s="573" t="s">
        <v>276</v>
      </c>
      <c r="U2250" s="573">
        <v>145</v>
      </c>
      <c r="V2250" s="573">
        <v>23</v>
      </c>
      <c r="W2250" s="616">
        <v>6800</v>
      </c>
      <c r="X2250" s="617">
        <v>18</v>
      </c>
      <c r="Y2250" s="617" t="s">
        <v>450</v>
      </c>
      <c r="Z2250" s="617" t="s">
        <v>178</v>
      </c>
      <c r="AA2250" s="618">
        <v>38185</v>
      </c>
      <c r="AB2250" s="618" t="s">
        <v>164</v>
      </c>
      <c r="AC2250" s="618">
        <v>27100</v>
      </c>
      <c r="AD2250" s="619">
        <v>0.01</v>
      </c>
      <c r="AE2250" s="617" t="s">
        <v>4147</v>
      </c>
    </row>
    <row r="2251" spans="1:31" s="572" customFormat="1">
      <c r="A2251" s="570" t="s">
        <v>4158</v>
      </c>
      <c r="B2251" s="569" t="s">
        <v>278</v>
      </c>
      <c r="C2251" s="580">
        <v>15</v>
      </c>
      <c r="D2251" s="569" t="s">
        <v>3374</v>
      </c>
      <c r="E2251" s="569" t="s">
        <v>152</v>
      </c>
      <c r="F2251" s="569" t="s">
        <v>271</v>
      </c>
      <c r="G2251" s="569">
        <v>2019</v>
      </c>
      <c r="H2251" s="569" t="s">
        <v>3765</v>
      </c>
      <c r="I2251" s="569" t="s">
        <v>4140</v>
      </c>
      <c r="J2251" s="569" t="s">
        <v>3377</v>
      </c>
      <c r="K2251" s="569">
        <v>6</v>
      </c>
      <c r="L2251" s="569">
        <v>0</v>
      </c>
      <c r="M2251" s="569" t="s">
        <v>157</v>
      </c>
      <c r="N2251" s="569">
        <v>2</v>
      </c>
      <c r="O2251" s="569" t="s">
        <v>3781</v>
      </c>
      <c r="P2251" s="568">
        <v>10700</v>
      </c>
      <c r="Q2251" s="569" t="s">
        <v>1259</v>
      </c>
      <c r="R2251" s="569">
        <v>6</v>
      </c>
      <c r="S2251" s="569" t="s">
        <v>4141</v>
      </c>
      <c r="T2251" s="569" t="s">
        <v>276</v>
      </c>
      <c r="U2251" s="569">
        <v>156.80000000000001</v>
      </c>
      <c r="V2251" s="569">
        <v>23</v>
      </c>
      <c r="W2251" s="620">
        <v>7000</v>
      </c>
      <c r="X2251" s="621">
        <v>20</v>
      </c>
      <c r="Y2251" s="621" t="s">
        <v>178</v>
      </c>
      <c r="Z2251" s="621" t="s">
        <v>178</v>
      </c>
      <c r="AA2251" s="622">
        <v>39095</v>
      </c>
      <c r="AB2251" s="622" t="s">
        <v>164</v>
      </c>
      <c r="AC2251" s="622">
        <v>27900</v>
      </c>
      <c r="AD2251" s="623">
        <v>0.01</v>
      </c>
      <c r="AE2251" s="621" t="s">
        <v>4149</v>
      </c>
    </row>
    <row r="2252" spans="1:31" s="572" customFormat="1">
      <c r="A2252" s="570" t="s">
        <v>4159</v>
      </c>
      <c r="B2252" s="573" t="s">
        <v>278</v>
      </c>
      <c r="C2252" s="578">
        <v>15</v>
      </c>
      <c r="D2252" s="573" t="s">
        <v>3374</v>
      </c>
      <c r="E2252" s="573" t="s">
        <v>152</v>
      </c>
      <c r="F2252" s="573" t="s">
        <v>271</v>
      </c>
      <c r="G2252" s="573">
        <v>2019</v>
      </c>
      <c r="H2252" s="573" t="s">
        <v>3765</v>
      </c>
      <c r="I2252" s="573" t="s">
        <v>4140</v>
      </c>
      <c r="J2252" s="573" t="s">
        <v>3377</v>
      </c>
      <c r="K2252" s="573">
        <v>6</v>
      </c>
      <c r="L2252" s="573">
        <v>0</v>
      </c>
      <c r="M2252" s="573" t="s">
        <v>157</v>
      </c>
      <c r="N2252" s="573">
        <v>2</v>
      </c>
      <c r="O2252" s="573" t="s">
        <v>3781</v>
      </c>
      <c r="P2252" s="571">
        <v>7600</v>
      </c>
      <c r="Q2252" s="573" t="s">
        <v>3841</v>
      </c>
      <c r="R2252" s="573">
        <v>6</v>
      </c>
      <c r="S2252" s="582" t="s">
        <v>4141</v>
      </c>
      <c r="T2252" s="573" t="s">
        <v>276</v>
      </c>
      <c r="U2252" s="573">
        <v>156.80000000000001</v>
      </c>
      <c r="V2252" s="573">
        <v>23</v>
      </c>
      <c r="W2252" s="616">
        <v>6350</v>
      </c>
      <c r="X2252" s="617">
        <v>22</v>
      </c>
      <c r="Y2252" s="617" t="s">
        <v>178</v>
      </c>
      <c r="Z2252" s="617" t="s">
        <v>178</v>
      </c>
      <c r="AA2252" s="618">
        <v>37495</v>
      </c>
      <c r="AB2252" s="618" t="s">
        <v>164</v>
      </c>
      <c r="AC2252" s="618">
        <v>26500</v>
      </c>
      <c r="AD2252" s="619">
        <v>0.01</v>
      </c>
      <c r="AE2252" s="617" t="s">
        <v>4151</v>
      </c>
    </row>
    <row r="2253" spans="1:31" s="572" customFormat="1">
      <c r="A2253" s="570" t="s">
        <v>4160</v>
      </c>
      <c r="B2253" s="569" t="s">
        <v>278</v>
      </c>
      <c r="C2253" s="580">
        <v>15</v>
      </c>
      <c r="D2253" s="569" t="s">
        <v>3374</v>
      </c>
      <c r="E2253" s="569" t="s">
        <v>152</v>
      </c>
      <c r="F2253" s="569" t="s">
        <v>271</v>
      </c>
      <c r="G2253" s="569">
        <v>2019</v>
      </c>
      <c r="H2253" s="569" t="s">
        <v>3765</v>
      </c>
      <c r="I2253" s="569" t="s">
        <v>4140</v>
      </c>
      <c r="J2253" s="569" t="s">
        <v>3377</v>
      </c>
      <c r="K2253" s="569">
        <v>6</v>
      </c>
      <c r="L2253" s="569">
        <v>0</v>
      </c>
      <c r="M2253" s="569" t="s">
        <v>157</v>
      </c>
      <c r="N2253" s="569">
        <v>2</v>
      </c>
      <c r="O2253" s="569" t="s">
        <v>3781</v>
      </c>
      <c r="P2253" s="568">
        <v>9100</v>
      </c>
      <c r="Q2253" s="569" t="s">
        <v>3778</v>
      </c>
      <c r="R2253" s="569">
        <v>8</v>
      </c>
      <c r="S2253" s="569" t="s">
        <v>4141</v>
      </c>
      <c r="T2253" s="569" t="s">
        <v>276</v>
      </c>
      <c r="U2253" s="569">
        <v>156.80000000000001</v>
      </c>
      <c r="V2253" s="569">
        <v>23</v>
      </c>
      <c r="W2253" s="620">
        <v>6950</v>
      </c>
      <c r="X2253" s="621">
        <v>18</v>
      </c>
      <c r="Y2253" s="621" t="s">
        <v>450</v>
      </c>
      <c r="Z2253" s="621" t="s">
        <v>178</v>
      </c>
      <c r="AA2253" s="622">
        <v>38495</v>
      </c>
      <c r="AB2253" s="622" t="s">
        <v>164</v>
      </c>
      <c r="AC2253" s="622">
        <v>27400</v>
      </c>
      <c r="AD2253" s="623">
        <v>0.01</v>
      </c>
      <c r="AE2253" s="621" t="s">
        <v>4153</v>
      </c>
    </row>
    <row r="2254" spans="1:31" s="572" customFormat="1">
      <c r="A2254" s="570" t="s">
        <v>4161</v>
      </c>
      <c r="B2254" s="573" t="s">
        <v>287</v>
      </c>
      <c r="C2254" s="578">
        <v>26</v>
      </c>
      <c r="D2254" s="573" t="s">
        <v>3374</v>
      </c>
      <c r="E2254" s="573" t="s">
        <v>152</v>
      </c>
      <c r="F2254" s="573" t="s">
        <v>271</v>
      </c>
      <c r="G2254" s="573">
        <v>2019</v>
      </c>
      <c r="H2254" s="573" t="s">
        <v>3765</v>
      </c>
      <c r="I2254" s="573" t="s">
        <v>4140</v>
      </c>
      <c r="J2254" s="573" t="s">
        <v>3377</v>
      </c>
      <c r="K2254" s="573">
        <v>6</v>
      </c>
      <c r="L2254" s="573">
        <v>0</v>
      </c>
      <c r="M2254" s="573" t="s">
        <v>157</v>
      </c>
      <c r="N2254" s="573">
        <v>2</v>
      </c>
      <c r="O2254" s="573" t="s">
        <v>3767</v>
      </c>
      <c r="P2254" s="571">
        <v>10700</v>
      </c>
      <c r="Q2254" s="573" t="s">
        <v>1259</v>
      </c>
      <c r="R2254" s="573">
        <v>6</v>
      </c>
      <c r="S2254" s="582" t="s">
        <v>4141</v>
      </c>
      <c r="T2254" s="573" t="s">
        <v>276</v>
      </c>
      <c r="U2254" s="573">
        <v>145</v>
      </c>
      <c r="V2254" s="573">
        <v>23</v>
      </c>
      <c r="W2254" s="616">
        <v>6800</v>
      </c>
      <c r="X2254" s="617">
        <v>20</v>
      </c>
      <c r="Y2254" s="617" t="s">
        <v>178</v>
      </c>
      <c r="Z2254" s="617" t="s">
        <v>178</v>
      </c>
      <c r="AA2254" s="618">
        <v>38785</v>
      </c>
      <c r="AB2254" s="618" t="s">
        <v>164</v>
      </c>
      <c r="AC2254" s="618">
        <v>28020</v>
      </c>
      <c r="AD2254" s="619">
        <v>0.05</v>
      </c>
      <c r="AE2254" s="617" t="s">
        <v>4139</v>
      </c>
    </row>
    <row r="2255" spans="1:31" s="572" customFormat="1">
      <c r="A2255" s="570" t="s">
        <v>4162</v>
      </c>
      <c r="B2255" s="569" t="s">
        <v>287</v>
      </c>
      <c r="C2255" s="580">
        <v>26</v>
      </c>
      <c r="D2255" s="569" t="s">
        <v>3374</v>
      </c>
      <c r="E2255" s="569" t="s">
        <v>152</v>
      </c>
      <c r="F2255" s="569" t="s">
        <v>271</v>
      </c>
      <c r="G2255" s="569">
        <v>2019</v>
      </c>
      <c r="H2255" s="569" t="s">
        <v>3765</v>
      </c>
      <c r="I2255" s="569" t="s">
        <v>4140</v>
      </c>
      <c r="J2255" s="569" t="s">
        <v>3377</v>
      </c>
      <c r="K2255" s="569">
        <v>6</v>
      </c>
      <c r="L2255" s="569">
        <v>0</v>
      </c>
      <c r="M2255" s="569" t="s">
        <v>157</v>
      </c>
      <c r="N2255" s="569">
        <v>2</v>
      </c>
      <c r="O2255" s="569" t="s">
        <v>3767</v>
      </c>
      <c r="P2255" s="568">
        <v>7600</v>
      </c>
      <c r="Q2255" s="569" t="s">
        <v>3841</v>
      </c>
      <c r="R2255" s="569">
        <v>6</v>
      </c>
      <c r="S2255" s="569" t="s">
        <v>4141</v>
      </c>
      <c r="T2255" s="569" t="s">
        <v>276</v>
      </c>
      <c r="U2255" s="569">
        <v>145</v>
      </c>
      <c r="V2255" s="569">
        <v>23</v>
      </c>
      <c r="W2255" s="620">
        <v>6250</v>
      </c>
      <c r="X2255" s="621">
        <v>22</v>
      </c>
      <c r="Y2255" s="621" t="s">
        <v>178</v>
      </c>
      <c r="Z2255" s="621" t="s">
        <v>178</v>
      </c>
      <c r="AA2255" s="622">
        <v>37185</v>
      </c>
      <c r="AB2255" s="622" t="s">
        <v>164</v>
      </c>
      <c r="AC2255" s="622">
        <v>26564</v>
      </c>
      <c r="AD2255" s="623">
        <v>0.05</v>
      </c>
      <c r="AE2255" s="621" t="s">
        <v>4145</v>
      </c>
    </row>
    <row r="2256" spans="1:31" s="572" customFormat="1">
      <c r="A2256" s="570" t="s">
        <v>4163</v>
      </c>
      <c r="B2256" s="573" t="s">
        <v>287</v>
      </c>
      <c r="C2256" s="578">
        <v>26</v>
      </c>
      <c r="D2256" s="573" t="s">
        <v>3374</v>
      </c>
      <c r="E2256" s="573" t="s">
        <v>152</v>
      </c>
      <c r="F2256" s="573" t="s">
        <v>271</v>
      </c>
      <c r="G2256" s="573">
        <v>2019</v>
      </c>
      <c r="H2256" s="573" t="s">
        <v>3765</v>
      </c>
      <c r="I2256" s="573" t="s">
        <v>4140</v>
      </c>
      <c r="J2256" s="573" t="s">
        <v>3377</v>
      </c>
      <c r="K2256" s="573" t="s">
        <v>4165</v>
      </c>
      <c r="L2256" s="573">
        <v>0</v>
      </c>
      <c r="M2256" s="573" t="s">
        <v>157</v>
      </c>
      <c r="N2256" s="573">
        <v>2</v>
      </c>
      <c r="O2256" s="573" t="s">
        <v>3767</v>
      </c>
      <c r="P2256" s="571">
        <v>7700</v>
      </c>
      <c r="Q2256" s="573" t="s">
        <v>1322</v>
      </c>
      <c r="R2256" s="573">
        <v>6</v>
      </c>
      <c r="S2256" s="582" t="s">
        <v>4141</v>
      </c>
      <c r="T2256" s="573" t="s">
        <v>276</v>
      </c>
      <c r="U2256" s="573">
        <v>145</v>
      </c>
      <c r="V2256" s="573">
        <v>23</v>
      </c>
      <c r="W2256" s="616">
        <v>6100</v>
      </c>
      <c r="X2256" s="617">
        <v>20</v>
      </c>
      <c r="Y2256" s="617" t="s">
        <v>178</v>
      </c>
      <c r="Z2256" s="617" t="s">
        <v>178</v>
      </c>
      <c r="AA2256" s="618">
        <v>36190</v>
      </c>
      <c r="AB2256" s="618" t="s">
        <v>164</v>
      </c>
      <c r="AC2256" s="618">
        <v>25658</v>
      </c>
      <c r="AD2256" s="619">
        <v>0.05</v>
      </c>
      <c r="AE2256" s="617" t="s">
        <v>4164</v>
      </c>
    </row>
    <row r="2257" spans="1:31" s="572" customFormat="1">
      <c r="A2257" s="570" t="s">
        <v>4166</v>
      </c>
      <c r="B2257" s="569" t="s">
        <v>287</v>
      </c>
      <c r="C2257" s="580">
        <v>26</v>
      </c>
      <c r="D2257" s="569" t="s">
        <v>3374</v>
      </c>
      <c r="E2257" s="569" t="s">
        <v>152</v>
      </c>
      <c r="F2257" s="569" t="s">
        <v>271</v>
      </c>
      <c r="G2257" s="569">
        <v>2019</v>
      </c>
      <c r="H2257" s="569" t="s">
        <v>3765</v>
      </c>
      <c r="I2257" s="569" t="s">
        <v>4140</v>
      </c>
      <c r="J2257" s="569" t="s">
        <v>3377</v>
      </c>
      <c r="K2257" s="569">
        <v>6</v>
      </c>
      <c r="L2257" s="569">
        <v>0</v>
      </c>
      <c r="M2257" s="569" t="s">
        <v>157</v>
      </c>
      <c r="N2257" s="569">
        <v>2</v>
      </c>
      <c r="O2257" s="569" t="s">
        <v>3767</v>
      </c>
      <c r="P2257" s="568">
        <v>9100</v>
      </c>
      <c r="Q2257" s="569" t="s">
        <v>3778</v>
      </c>
      <c r="R2257" s="569">
        <v>8</v>
      </c>
      <c r="S2257" s="569" t="s">
        <v>4141</v>
      </c>
      <c r="T2257" s="569" t="s">
        <v>276</v>
      </c>
      <c r="U2257" s="569">
        <v>145</v>
      </c>
      <c r="V2257" s="569">
        <v>23</v>
      </c>
      <c r="W2257" s="620">
        <v>6800</v>
      </c>
      <c r="X2257" s="621">
        <v>18</v>
      </c>
      <c r="Y2257" s="621" t="s">
        <v>450</v>
      </c>
      <c r="Z2257" s="621" t="s">
        <v>178</v>
      </c>
      <c r="AA2257" s="622">
        <v>38185</v>
      </c>
      <c r="AB2257" s="622" t="s">
        <v>164</v>
      </c>
      <c r="AC2257" s="622">
        <v>27474</v>
      </c>
      <c r="AD2257" s="623">
        <v>0.05</v>
      </c>
      <c r="AE2257" s="621" t="s">
        <v>4147</v>
      </c>
    </row>
    <row r="2258" spans="1:31" s="572" customFormat="1">
      <c r="A2258" s="570" t="s">
        <v>4167</v>
      </c>
      <c r="B2258" s="573" t="s">
        <v>287</v>
      </c>
      <c r="C2258" s="578">
        <v>26</v>
      </c>
      <c r="D2258" s="573" t="s">
        <v>3374</v>
      </c>
      <c r="E2258" s="573" t="s">
        <v>152</v>
      </c>
      <c r="F2258" s="573" t="s">
        <v>271</v>
      </c>
      <c r="G2258" s="573">
        <v>2019</v>
      </c>
      <c r="H2258" s="573" t="s">
        <v>3765</v>
      </c>
      <c r="I2258" s="573" t="s">
        <v>4140</v>
      </c>
      <c r="J2258" s="573" t="s">
        <v>3377</v>
      </c>
      <c r="K2258" s="573">
        <v>6</v>
      </c>
      <c r="L2258" s="573">
        <v>0</v>
      </c>
      <c r="M2258" s="573" t="s">
        <v>157</v>
      </c>
      <c r="N2258" s="573">
        <v>2</v>
      </c>
      <c r="O2258" s="573" t="s">
        <v>3781</v>
      </c>
      <c r="P2258" s="571">
        <v>10700</v>
      </c>
      <c r="Q2258" s="573" t="s">
        <v>1259</v>
      </c>
      <c r="R2258" s="573">
        <v>6</v>
      </c>
      <c r="S2258" s="582" t="s">
        <v>4141</v>
      </c>
      <c r="T2258" s="573" t="s">
        <v>276</v>
      </c>
      <c r="U2258" s="573">
        <v>156.80000000000001</v>
      </c>
      <c r="V2258" s="573">
        <v>23</v>
      </c>
      <c r="W2258" s="616">
        <v>7000</v>
      </c>
      <c r="X2258" s="617">
        <v>20</v>
      </c>
      <c r="Y2258" s="617" t="s">
        <v>178</v>
      </c>
      <c r="Z2258" s="617" t="s">
        <v>178</v>
      </c>
      <c r="AA2258" s="618">
        <v>39095</v>
      </c>
      <c r="AB2258" s="618" t="s">
        <v>164</v>
      </c>
      <c r="AC2258" s="618">
        <v>28346</v>
      </c>
      <c r="AD2258" s="619">
        <v>0.05</v>
      </c>
      <c r="AE2258" s="617" t="s">
        <v>4149</v>
      </c>
    </row>
    <row r="2259" spans="1:31" s="572" customFormat="1">
      <c r="A2259" s="570" t="s">
        <v>4168</v>
      </c>
      <c r="B2259" s="569" t="s">
        <v>287</v>
      </c>
      <c r="C2259" s="580">
        <v>26</v>
      </c>
      <c r="D2259" s="569" t="s">
        <v>3374</v>
      </c>
      <c r="E2259" s="569" t="s">
        <v>152</v>
      </c>
      <c r="F2259" s="569" t="s">
        <v>271</v>
      </c>
      <c r="G2259" s="569">
        <v>2019</v>
      </c>
      <c r="H2259" s="569" t="s">
        <v>3765</v>
      </c>
      <c r="I2259" s="569" t="s">
        <v>4140</v>
      </c>
      <c r="J2259" s="569" t="s">
        <v>3377</v>
      </c>
      <c r="K2259" s="569">
        <v>6</v>
      </c>
      <c r="L2259" s="569">
        <v>0</v>
      </c>
      <c r="M2259" s="569" t="s">
        <v>157</v>
      </c>
      <c r="N2259" s="569">
        <v>2</v>
      </c>
      <c r="O2259" s="569" t="s">
        <v>3781</v>
      </c>
      <c r="P2259" s="568">
        <v>7600</v>
      </c>
      <c r="Q2259" s="569" t="s">
        <v>3841</v>
      </c>
      <c r="R2259" s="569">
        <v>6</v>
      </c>
      <c r="S2259" s="569" t="s">
        <v>4141</v>
      </c>
      <c r="T2259" s="569" t="s">
        <v>276</v>
      </c>
      <c r="U2259" s="569">
        <v>156.80000000000001</v>
      </c>
      <c r="V2259" s="569">
        <v>23</v>
      </c>
      <c r="W2259" s="620">
        <v>6350</v>
      </c>
      <c r="X2259" s="621">
        <v>22</v>
      </c>
      <c r="Y2259" s="621" t="s">
        <v>178</v>
      </c>
      <c r="Z2259" s="621" t="s">
        <v>178</v>
      </c>
      <c r="AA2259" s="622">
        <v>37495</v>
      </c>
      <c r="AB2259" s="622" t="s">
        <v>164</v>
      </c>
      <c r="AC2259" s="622">
        <v>26889</v>
      </c>
      <c r="AD2259" s="623">
        <v>0.05</v>
      </c>
      <c r="AE2259" s="621" t="s">
        <v>4151</v>
      </c>
    </row>
    <row r="2260" spans="1:31" s="572" customFormat="1">
      <c r="A2260" s="570" t="s">
        <v>4169</v>
      </c>
      <c r="B2260" s="573" t="s">
        <v>287</v>
      </c>
      <c r="C2260" s="578">
        <v>26</v>
      </c>
      <c r="D2260" s="573" t="s">
        <v>3374</v>
      </c>
      <c r="E2260" s="573" t="s">
        <v>152</v>
      </c>
      <c r="F2260" s="573" t="s">
        <v>271</v>
      </c>
      <c r="G2260" s="573">
        <v>2019</v>
      </c>
      <c r="H2260" s="573" t="s">
        <v>3765</v>
      </c>
      <c r="I2260" s="573" t="s">
        <v>4140</v>
      </c>
      <c r="J2260" s="573" t="s">
        <v>3377</v>
      </c>
      <c r="K2260" s="573">
        <v>6</v>
      </c>
      <c r="L2260" s="573">
        <v>0</v>
      </c>
      <c r="M2260" s="573" t="s">
        <v>157</v>
      </c>
      <c r="N2260" s="573">
        <v>2</v>
      </c>
      <c r="O2260" s="573" t="s">
        <v>3781</v>
      </c>
      <c r="P2260" s="571">
        <v>9100</v>
      </c>
      <c r="Q2260" s="573" t="s">
        <v>3778</v>
      </c>
      <c r="R2260" s="573">
        <v>8</v>
      </c>
      <c r="S2260" s="582" t="s">
        <v>4141</v>
      </c>
      <c r="T2260" s="573" t="s">
        <v>276</v>
      </c>
      <c r="U2260" s="573">
        <v>156.80000000000001</v>
      </c>
      <c r="V2260" s="573">
        <v>23</v>
      </c>
      <c r="W2260" s="616">
        <v>6950</v>
      </c>
      <c r="X2260" s="617">
        <v>18</v>
      </c>
      <c r="Y2260" s="617" t="s">
        <v>450</v>
      </c>
      <c r="Z2260" s="617" t="s">
        <v>178</v>
      </c>
      <c r="AA2260" s="618">
        <v>38495</v>
      </c>
      <c r="AB2260" s="618" t="s">
        <v>164</v>
      </c>
      <c r="AC2260" s="618">
        <v>27798</v>
      </c>
      <c r="AD2260" s="619">
        <v>0.05</v>
      </c>
      <c r="AE2260" s="617" t="s">
        <v>4153</v>
      </c>
    </row>
    <row r="2261" spans="1:31" s="572" customFormat="1">
      <c r="A2261" s="570" t="s">
        <v>4170</v>
      </c>
      <c r="B2261" s="569" t="s">
        <v>280</v>
      </c>
      <c r="C2261" s="580">
        <v>27</v>
      </c>
      <c r="D2261" s="569" t="s">
        <v>3374</v>
      </c>
      <c r="E2261" s="569" t="s">
        <v>152</v>
      </c>
      <c r="F2261" s="569" t="s">
        <v>271</v>
      </c>
      <c r="G2261" s="569">
        <v>2019</v>
      </c>
      <c r="H2261" s="569" t="s">
        <v>3765</v>
      </c>
      <c r="I2261" s="569" t="s">
        <v>4140</v>
      </c>
      <c r="J2261" s="569" t="s">
        <v>3377</v>
      </c>
      <c r="K2261" s="569">
        <v>6</v>
      </c>
      <c r="L2261" s="569">
        <v>0</v>
      </c>
      <c r="M2261" s="569" t="s">
        <v>157</v>
      </c>
      <c r="N2261" s="569">
        <v>2</v>
      </c>
      <c r="O2261" s="569" t="s">
        <v>3767</v>
      </c>
      <c r="P2261" s="568">
        <v>10700</v>
      </c>
      <c r="Q2261" s="569" t="s">
        <v>1259</v>
      </c>
      <c r="R2261" s="569">
        <v>6</v>
      </c>
      <c r="S2261" s="569" t="s">
        <v>4141</v>
      </c>
      <c r="T2261" s="569" t="s">
        <v>276</v>
      </c>
      <c r="U2261" s="569">
        <v>145</v>
      </c>
      <c r="V2261" s="569">
        <v>23</v>
      </c>
      <c r="W2261" s="620">
        <v>6800</v>
      </c>
      <c r="X2261" s="621">
        <v>21</v>
      </c>
      <c r="Y2261" s="621" t="s">
        <v>178</v>
      </c>
      <c r="Z2261" s="621" t="s">
        <v>178</v>
      </c>
      <c r="AA2261" s="622">
        <v>38785</v>
      </c>
      <c r="AB2261" s="622" t="s">
        <v>164</v>
      </c>
      <c r="AC2261" s="622">
        <v>27519.663157894738</v>
      </c>
      <c r="AD2261" s="623">
        <v>0.03</v>
      </c>
      <c r="AE2261" s="621" t="s">
        <v>4139</v>
      </c>
    </row>
    <row r="2262" spans="1:31" s="572" customFormat="1">
      <c r="A2262" s="570" t="s">
        <v>4171</v>
      </c>
      <c r="B2262" s="573" t="s">
        <v>280</v>
      </c>
      <c r="C2262" s="578">
        <v>27</v>
      </c>
      <c r="D2262" s="573" t="s">
        <v>3374</v>
      </c>
      <c r="E2262" s="573" t="s">
        <v>152</v>
      </c>
      <c r="F2262" s="573" t="s">
        <v>271</v>
      </c>
      <c r="G2262" s="573">
        <v>2019</v>
      </c>
      <c r="H2262" s="573" t="s">
        <v>3765</v>
      </c>
      <c r="I2262" s="573" t="s">
        <v>4140</v>
      </c>
      <c r="J2262" s="573" t="s">
        <v>3377</v>
      </c>
      <c r="K2262" s="573">
        <v>6</v>
      </c>
      <c r="L2262" s="573">
        <v>0</v>
      </c>
      <c r="M2262" s="573" t="s">
        <v>157</v>
      </c>
      <c r="N2262" s="573">
        <v>2</v>
      </c>
      <c r="O2262" s="573" t="s">
        <v>3767</v>
      </c>
      <c r="P2262" s="571">
        <v>7300</v>
      </c>
      <c r="Q2262" s="573" t="s">
        <v>3772</v>
      </c>
      <c r="R2262" s="573">
        <v>6</v>
      </c>
      <c r="S2262" s="582" t="s">
        <v>4141</v>
      </c>
      <c r="T2262" s="573" t="s">
        <v>276</v>
      </c>
      <c r="U2262" s="573">
        <v>145</v>
      </c>
      <c r="V2262" s="573">
        <v>23</v>
      </c>
      <c r="W2262" s="616">
        <v>6150</v>
      </c>
      <c r="X2262" s="617">
        <v>22</v>
      </c>
      <c r="Y2262" s="617" t="s">
        <v>450</v>
      </c>
      <c r="Z2262" s="617" t="s">
        <v>178</v>
      </c>
      <c r="AA2262" s="618">
        <v>36190</v>
      </c>
      <c r="AB2262" s="618" t="s">
        <v>164</v>
      </c>
      <c r="AC2262" s="618">
        <v>25190.189473684211</v>
      </c>
      <c r="AD2262" s="619">
        <v>0.03</v>
      </c>
      <c r="AE2262" s="617" t="s">
        <v>4143</v>
      </c>
    </row>
    <row r="2263" spans="1:31" s="572" customFormat="1">
      <c r="A2263" s="570" t="s">
        <v>4172</v>
      </c>
      <c r="B2263" s="569" t="s">
        <v>280</v>
      </c>
      <c r="C2263" s="580">
        <v>27</v>
      </c>
      <c r="D2263" s="569" t="s">
        <v>3374</v>
      </c>
      <c r="E2263" s="569" t="s">
        <v>152</v>
      </c>
      <c r="F2263" s="569" t="s">
        <v>271</v>
      </c>
      <c r="G2263" s="569">
        <v>2019</v>
      </c>
      <c r="H2263" s="569" t="s">
        <v>3765</v>
      </c>
      <c r="I2263" s="569" t="s">
        <v>4140</v>
      </c>
      <c r="J2263" s="569" t="s">
        <v>3377</v>
      </c>
      <c r="K2263" s="569">
        <v>6</v>
      </c>
      <c r="L2263" s="569">
        <v>0</v>
      </c>
      <c r="M2263" s="569" t="s">
        <v>157</v>
      </c>
      <c r="N2263" s="569">
        <v>2</v>
      </c>
      <c r="O2263" s="569" t="s">
        <v>3767</v>
      </c>
      <c r="P2263" s="568">
        <v>7600</v>
      </c>
      <c r="Q2263" s="569" t="s">
        <v>3841</v>
      </c>
      <c r="R2263" s="569">
        <v>6</v>
      </c>
      <c r="S2263" s="569" t="s">
        <v>4141</v>
      </c>
      <c r="T2263" s="569" t="s">
        <v>276</v>
      </c>
      <c r="U2263" s="569">
        <v>145</v>
      </c>
      <c r="V2263" s="569">
        <v>23</v>
      </c>
      <c r="W2263" s="620">
        <v>6250</v>
      </c>
      <c r="X2263" s="621">
        <v>22</v>
      </c>
      <c r="Y2263" s="621" t="s">
        <v>178</v>
      </c>
      <c r="Z2263" s="621" t="s">
        <v>178</v>
      </c>
      <c r="AA2263" s="622">
        <v>37185</v>
      </c>
      <c r="AB2263" s="622" t="s">
        <v>164</v>
      </c>
      <c r="AC2263" s="622">
        <v>26083.873684210528</v>
      </c>
      <c r="AD2263" s="623">
        <v>0.03</v>
      </c>
      <c r="AE2263" s="621" t="s">
        <v>4145</v>
      </c>
    </row>
    <row r="2264" spans="1:31" s="572" customFormat="1">
      <c r="A2264" s="570" t="s">
        <v>4173</v>
      </c>
      <c r="B2264" s="573" t="s">
        <v>280</v>
      </c>
      <c r="C2264" s="578">
        <v>27</v>
      </c>
      <c r="D2264" s="573" t="s">
        <v>3374</v>
      </c>
      <c r="E2264" s="573" t="s">
        <v>152</v>
      </c>
      <c r="F2264" s="573" t="s">
        <v>271</v>
      </c>
      <c r="G2264" s="573">
        <v>2019</v>
      </c>
      <c r="H2264" s="573" t="s">
        <v>3765</v>
      </c>
      <c r="I2264" s="573" t="s">
        <v>4140</v>
      </c>
      <c r="J2264" s="573" t="s">
        <v>3377</v>
      </c>
      <c r="K2264" s="573">
        <v>6</v>
      </c>
      <c r="L2264" s="573">
        <v>0</v>
      </c>
      <c r="M2264" s="573" t="s">
        <v>157</v>
      </c>
      <c r="N2264" s="573">
        <v>2</v>
      </c>
      <c r="O2264" s="573" t="s">
        <v>3767</v>
      </c>
      <c r="P2264" s="571">
        <v>9100</v>
      </c>
      <c r="Q2264" s="573" t="s">
        <v>3778</v>
      </c>
      <c r="R2264" s="573">
        <v>8</v>
      </c>
      <c r="S2264" s="582" t="s">
        <v>4141</v>
      </c>
      <c r="T2264" s="573" t="s">
        <v>276</v>
      </c>
      <c r="U2264" s="573">
        <v>145</v>
      </c>
      <c r="V2264" s="573">
        <v>23</v>
      </c>
      <c r="W2264" s="616">
        <v>6800</v>
      </c>
      <c r="X2264" s="617">
        <v>19</v>
      </c>
      <c r="Y2264" s="617" t="s">
        <v>450</v>
      </c>
      <c r="Z2264" s="617" t="s">
        <v>178</v>
      </c>
      <c r="AA2264" s="618">
        <v>38185</v>
      </c>
      <c r="AB2264" s="618" t="s">
        <v>164</v>
      </c>
      <c r="AC2264" s="618">
        <v>26980.715789473685</v>
      </c>
      <c r="AD2264" s="619">
        <v>0.03</v>
      </c>
      <c r="AE2264" s="617" t="s">
        <v>4147</v>
      </c>
    </row>
    <row r="2265" spans="1:31" s="572" customFormat="1">
      <c r="A2265" s="570" t="s">
        <v>4174</v>
      </c>
      <c r="B2265" s="569" t="s">
        <v>280</v>
      </c>
      <c r="C2265" s="580">
        <v>27</v>
      </c>
      <c r="D2265" s="569" t="s">
        <v>3374</v>
      </c>
      <c r="E2265" s="569" t="s">
        <v>152</v>
      </c>
      <c r="F2265" s="569" t="s">
        <v>271</v>
      </c>
      <c r="G2265" s="569">
        <v>2019</v>
      </c>
      <c r="H2265" s="569" t="s">
        <v>3765</v>
      </c>
      <c r="I2265" s="569" t="s">
        <v>4140</v>
      </c>
      <c r="J2265" s="569" t="s">
        <v>3377</v>
      </c>
      <c r="K2265" s="569">
        <v>6</v>
      </c>
      <c r="L2265" s="569">
        <v>0</v>
      </c>
      <c r="M2265" s="569" t="s">
        <v>157</v>
      </c>
      <c r="N2265" s="569">
        <v>2</v>
      </c>
      <c r="O2265" s="569" t="s">
        <v>3781</v>
      </c>
      <c r="P2265" s="568">
        <v>10700</v>
      </c>
      <c r="Q2265" s="569" t="s">
        <v>1259</v>
      </c>
      <c r="R2265" s="569">
        <v>6</v>
      </c>
      <c r="S2265" s="569" t="s">
        <v>4141</v>
      </c>
      <c r="T2265" s="569" t="s">
        <v>276</v>
      </c>
      <c r="U2265" s="569">
        <v>156.80000000000001</v>
      </c>
      <c r="V2265" s="569">
        <v>23</v>
      </c>
      <c r="W2265" s="620">
        <v>7000</v>
      </c>
      <c r="X2265" s="621">
        <v>21</v>
      </c>
      <c r="Y2265" s="621" t="s">
        <v>178</v>
      </c>
      <c r="Z2265" s="621" t="s">
        <v>178</v>
      </c>
      <c r="AA2265" s="622">
        <v>39095</v>
      </c>
      <c r="AB2265" s="622" t="s">
        <v>164</v>
      </c>
      <c r="AC2265" s="622">
        <v>27838.610526315792</v>
      </c>
      <c r="AD2265" s="623">
        <v>0.03</v>
      </c>
      <c r="AE2265" s="621" t="s">
        <v>4149</v>
      </c>
    </row>
    <row r="2266" spans="1:31" s="572" customFormat="1">
      <c r="A2266" s="570" t="s">
        <v>4175</v>
      </c>
      <c r="B2266" s="573" t="s">
        <v>280</v>
      </c>
      <c r="C2266" s="578">
        <v>27</v>
      </c>
      <c r="D2266" s="573" t="s">
        <v>3374</v>
      </c>
      <c r="E2266" s="573" t="s">
        <v>152</v>
      </c>
      <c r="F2266" s="573" t="s">
        <v>271</v>
      </c>
      <c r="G2266" s="573">
        <v>2019</v>
      </c>
      <c r="H2266" s="573" t="s">
        <v>3765</v>
      </c>
      <c r="I2266" s="573" t="s">
        <v>4140</v>
      </c>
      <c r="J2266" s="573" t="s">
        <v>3377</v>
      </c>
      <c r="K2266" s="573">
        <v>6</v>
      </c>
      <c r="L2266" s="573">
        <v>0</v>
      </c>
      <c r="M2266" s="573" t="s">
        <v>157</v>
      </c>
      <c r="N2266" s="573">
        <v>2</v>
      </c>
      <c r="O2266" s="573" t="s">
        <v>3781</v>
      </c>
      <c r="P2266" s="571">
        <v>7600</v>
      </c>
      <c r="Q2266" s="573" t="s">
        <v>3841</v>
      </c>
      <c r="R2266" s="573">
        <v>6</v>
      </c>
      <c r="S2266" s="582" t="s">
        <v>4141</v>
      </c>
      <c r="T2266" s="573" t="s">
        <v>276</v>
      </c>
      <c r="U2266" s="573">
        <v>156.80000000000001</v>
      </c>
      <c r="V2266" s="573">
        <v>23</v>
      </c>
      <c r="W2266" s="616">
        <v>6350</v>
      </c>
      <c r="X2266" s="617">
        <v>22</v>
      </c>
      <c r="Y2266" s="617" t="s">
        <v>178</v>
      </c>
      <c r="Z2266" s="617" t="s">
        <v>178</v>
      </c>
      <c r="AA2266" s="618">
        <v>37495</v>
      </c>
      <c r="AB2266" s="618" t="s">
        <v>164</v>
      </c>
      <c r="AC2266" s="618">
        <v>26402.821052631582</v>
      </c>
      <c r="AD2266" s="619">
        <v>0.03</v>
      </c>
      <c r="AE2266" s="617" t="s">
        <v>4151</v>
      </c>
    </row>
    <row r="2267" spans="1:31" s="572" customFormat="1">
      <c r="A2267" s="570" t="s">
        <v>4176</v>
      </c>
      <c r="B2267" s="569" t="s">
        <v>280</v>
      </c>
      <c r="C2267" s="580">
        <v>27</v>
      </c>
      <c r="D2267" s="569" t="s">
        <v>3374</v>
      </c>
      <c r="E2267" s="569" t="s">
        <v>152</v>
      </c>
      <c r="F2267" s="569" t="s">
        <v>271</v>
      </c>
      <c r="G2267" s="569">
        <v>2019</v>
      </c>
      <c r="H2267" s="569" t="s">
        <v>3765</v>
      </c>
      <c r="I2267" s="569" t="s">
        <v>4140</v>
      </c>
      <c r="J2267" s="569" t="s">
        <v>3377</v>
      </c>
      <c r="K2267" s="569">
        <v>6</v>
      </c>
      <c r="L2267" s="569">
        <v>0</v>
      </c>
      <c r="M2267" s="569" t="s">
        <v>157</v>
      </c>
      <c r="N2267" s="569">
        <v>2</v>
      </c>
      <c r="O2267" s="569" t="s">
        <v>3781</v>
      </c>
      <c r="P2267" s="568">
        <v>9100</v>
      </c>
      <c r="Q2267" s="569" t="s">
        <v>3778</v>
      </c>
      <c r="R2267" s="569">
        <v>8</v>
      </c>
      <c r="S2267" s="569" t="s">
        <v>4141</v>
      </c>
      <c r="T2267" s="569" t="s">
        <v>276</v>
      </c>
      <c r="U2267" s="569">
        <v>156.80000000000001</v>
      </c>
      <c r="V2267" s="569">
        <v>23</v>
      </c>
      <c r="W2267" s="620">
        <v>6950</v>
      </c>
      <c r="X2267" s="621">
        <v>19</v>
      </c>
      <c r="Y2267" s="621" t="s">
        <v>450</v>
      </c>
      <c r="Z2267" s="621" t="s">
        <v>178</v>
      </c>
      <c r="AA2267" s="622">
        <v>38495</v>
      </c>
      <c r="AB2267" s="622" t="s">
        <v>164</v>
      </c>
      <c r="AC2267" s="622">
        <v>27299.663157894738</v>
      </c>
      <c r="AD2267" s="623">
        <v>0.03</v>
      </c>
      <c r="AE2267" s="621" t="s">
        <v>4153</v>
      </c>
    </row>
    <row r="2268" spans="1:31" s="572" customFormat="1">
      <c r="A2268" s="570" t="s">
        <v>4177</v>
      </c>
      <c r="B2268" s="573" t="s">
        <v>269</v>
      </c>
      <c r="C2268" s="578" t="s">
        <v>270</v>
      </c>
      <c r="D2268" s="573" t="s">
        <v>3374</v>
      </c>
      <c r="E2268" s="573" t="s">
        <v>152</v>
      </c>
      <c r="F2268" s="573" t="s">
        <v>271</v>
      </c>
      <c r="G2268" s="573">
        <v>2019</v>
      </c>
      <c r="H2268" s="573" t="s">
        <v>3765</v>
      </c>
      <c r="I2268" s="573" t="s">
        <v>4179</v>
      </c>
      <c r="J2268" s="573" t="s">
        <v>3377</v>
      </c>
      <c r="K2268" s="573">
        <v>6</v>
      </c>
      <c r="L2268" s="573">
        <v>0</v>
      </c>
      <c r="M2268" s="573" t="s">
        <v>157</v>
      </c>
      <c r="N2268" s="573">
        <v>2</v>
      </c>
      <c r="O2268" s="573" t="s">
        <v>3767</v>
      </c>
      <c r="P2268" s="571">
        <v>10700</v>
      </c>
      <c r="Q2268" s="573" t="s">
        <v>1259</v>
      </c>
      <c r="R2268" s="573">
        <v>6</v>
      </c>
      <c r="S2268" s="582" t="s">
        <v>4141</v>
      </c>
      <c r="T2268" s="573" t="s">
        <v>318</v>
      </c>
      <c r="U2268" s="573">
        <v>145</v>
      </c>
      <c r="V2268" s="573">
        <v>23</v>
      </c>
      <c r="W2268" s="616">
        <v>6750</v>
      </c>
      <c r="X2268" s="617">
        <v>21</v>
      </c>
      <c r="Y2268" s="617" t="s">
        <v>178</v>
      </c>
      <c r="Z2268" s="617" t="s">
        <v>178</v>
      </c>
      <c r="AA2268" s="618">
        <v>43510</v>
      </c>
      <c r="AB2268" s="618" t="s">
        <v>164</v>
      </c>
      <c r="AC2268" s="618">
        <v>30755.916666666668</v>
      </c>
      <c r="AD2268" s="619">
        <v>0.03</v>
      </c>
      <c r="AE2268" s="617" t="s">
        <v>4178</v>
      </c>
    </row>
    <row r="2269" spans="1:31" s="572" customFormat="1">
      <c r="A2269" s="570" t="s">
        <v>4180</v>
      </c>
      <c r="B2269" s="569" t="s">
        <v>269</v>
      </c>
      <c r="C2269" s="580" t="s">
        <v>270</v>
      </c>
      <c r="D2269" s="569" t="s">
        <v>3374</v>
      </c>
      <c r="E2269" s="569" t="s">
        <v>152</v>
      </c>
      <c r="F2269" s="569" t="s">
        <v>271</v>
      </c>
      <c r="G2269" s="569">
        <v>2019</v>
      </c>
      <c r="H2269" s="569" t="s">
        <v>3765</v>
      </c>
      <c r="I2269" s="569" t="s">
        <v>4179</v>
      </c>
      <c r="J2269" s="569" t="s">
        <v>3377</v>
      </c>
      <c r="K2269" s="569">
        <v>6</v>
      </c>
      <c r="L2269" s="569">
        <v>0</v>
      </c>
      <c r="M2269" s="569" t="s">
        <v>157</v>
      </c>
      <c r="N2269" s="569">
        <v>2</v>
      </c>
      <c r="O2269" s="569" t="s">
        <v>3767</v>
      </c>
      <c r="P2269" s="568">
        <v>7600</v>
      </c>
      <c r="Q2269" s="569" t="s">
        <v>3841</v>
      </c>
      <c r="R2269" s="569">
        <v>6</v>
      </c>
      <c r="S2269" s="569" t="s">
        <v>4141</v>
      </c>
      <c r="T2269" s="569" t="s">
        <v>318</v>
      </c>
      <c r="U2269" s="569">
        <v>145</v>
      </c>
      <c r="V2269" s="569">
        <v>23</v>
      </c>
      <c r="W2269" s="620">
        <v>6360</v>
      </c>
      <c r="X2269" s="621">
        <v>22</v>
      </c>
      <c r="Y2269" s="621" t="s">
        <v>178</v>
      </c>
      <c r="Z2269" s="621" t="s">
        <v>178</v>
      </c>
      <c r="AA2269" s="622">
        <v>41910</v>
      </c>
      <c r="AB2269" s="622" t="s">
        <v>164</v>
      </c>
      <c r="AC2269" s="622">
        <v>29335.083333333336</v>
      </c>
      <c r="AD2269" s="623">
        <v>0.03</v>
      </c>
      <c r="AE2269" s="621" t="s">
        <v>4181</v>
      </c>
    </row>
    <row r="2270" spans="1:31" s="572" customFormat="1">
      <c r="A2270" s="570" t="s">
        <v>4182</v>
      </c>
      <c r="B2270" s="573" t="s">
        <v>269</v>
      </c>
      <c r="C2270" s="578" t="s">
        <v>270</v>
      </c>
      <c r="D2270" s="573" t="s">
        <v>3374</v>
      </c>
      <c r="E2270" s="573" t="s">
        <v>152</v>
      </c>
      <c r="F2270" s="573" t="s">
        <v>271</v>
      </c>
      <c r="G2270" s="573">
        <v>2019</v>
      </c>
      <c r="H2270" s="573" t="s">
        <v>3765</v>
      </c>
      <c r="I2270" s="573" t="s">
        <v>4179</v>
      </c>
      <c r="J2270" s="573" t="s">
        <v>3377</v>
      </c>
      <c r="K2270" s="573" t="s">
        <v>4165</v>
      </c>
      <c r="L2270" s="573">
        <v>0</v>
      </c>
      <c r="M2270" s="573" t="s">
        <v>157</v>
      </c>
      <c r="N2270" s="573">
        <v>2</v>
      </c>
      <c r="O2270" s="573" t="s">
        <v>3767</v>
      </c>
      <c r="P2270" s="571">
        <v>7700</v>
      </c>
      <c r="Q2270" s="573" t="s">
        <v>1322</v>
      </c>
      <c r="R2270" s="573">
        <v>6</v>
      </c>
      <c r="S2270" s="582" t="s">
        <v>4141</v>
      </c>
      <c r="T2270" s="573" t="s">
        <v>318</v>
      </c>
      <c r="U2270" s="573">
        <v>145</v>
      </c>
      <c r="V2270" s="573">
        <v>23</v>
      </c>
      <c r="W2270" s="616">
        <v>6100</v>
      </c>
      <c r="X2270" s="617">
        <v>22</v>
      </c>
      <c r="Y2270" s="617" t="s">
        <v>178</v>
      </c>
      <c r="Z2270" s="617" t="s">
        <v>178</v>
      </c>
      <c r="AA2270" s="618">
        <v>40915</v>
      </c>
      <c r="AB2270" s="618" t="s">
        <v>164</v>
      </c>
      <c r="AC2270" s="618">
        <v>28750.189473684211</v>
      </c>
      <c r="AD2270" s="619">
        <v>0.03</v>
      </c>
      <c r="AE2270" s="617" t="s">
        <v>4183</v>
      </c>
    </row>
    <row r="2271" spans="1:31" s="572" customFormat="1">
      <c r="A2271" s="570" t="s">
        <v>4184</v>
      </c>
      <c r="B2271" s="569" t="s">
        <v>269</v>
      </c>
      <c r="C2271" s="580" t="s">
        <v>270</v>
      </c>
      <c r="D2271" s="569" t="s">
        <v>3374</v>
      </c>
      <c r="E2271" s="569" t="s">
        <v>152</v>
      </c>
      <c r="F2271" s="569" t="s">
        <v>271</v>
      </c>
      <c r="G2271" s="569">
        <v>2019</v>
      </c>
      <c r="H2271" s="569" t="s">
        <v>3765</v>
      </c>
      <c r="I2271" s="569" t="s">
        <v>4179</v>
      </c>
      <c r="J2271" s="569" t="s">
        <v>3377</v>
      </c>
      <c r="K2271" s="569">
        <v>6</v>
      </c>
      <c r="L2271" s="569">
        <v>0</v>
      </c>
      <c r="M2271" s="569" t="s">
        <v>157</v>
      </c>
      <c r="N2271" s="569">
        <v>2</v>
      </c>
      <c r="O2271" s="569" t="s">
        <v>3767</v>
      </c>
      <c r="P2271" s="568">
        <v>9100</v>
      </c>
      <c r="Q2271" s="569" t="s">
        <v>3778</v>
      </c>
      <c r="R2271" s="569">
        <v>8</v>
      </c>
      <c r="S2271" s="569" t="s">
        <v>4141</v>
      </c>
      <c r="T2271" s="569" t="s">
        <v>318</v>
      </c>
      <c r="U2271" s="569">
        <v>145</v>
      </c>
      <c r="V2271" s="569">
        <v>23</v>
      </c>
      <c r="W2271" s="620">
        <v>6800</v>
      </c>
      <c r="X2271" s="621">
        <v>19</v>
      </c>
      <c r="Y2271" s="621" t="s">
        <v>450</v>
      </c>
      <c r="Z2271" s="621" t="s">
        <v>178</v>
      </c>
      <c r="AA2271" s="622">
        <v>42910</v>
      </c>
      <c r="AB2271" s="622" t="s">
        <v>164</v>
      </c>
      <c r="AC2271" s="622">
        <v>30222.583333333336</v>
      </c>
      <c r="AD2271" s="623">
        <v>0.03</v>
      </c>
      <c r="AE2271" s="621" t="s">
        <v>4185</v>
      </c>
    </row>
    <row r="2272" spans="1:31" s="572" customFormat="1">
      <c r="A2272" s="570" t="s">
        <v>4186</v>
      </c>
      <c r="B2272" s="573" t="s">
        <v>269</v>
      </c>
      <c r="C2272" s="578" t="s">
        <v>270</v>
      </c>
      <c r="D2272" s="573" t="s">
        <v>3374</v>
      </c>
      <c r="E2272" s="573" t="s">
        <v>152</v>
      </c>
      <c r="F2272" s="573" t="s">
        <v>271</v>
      </c>
      <c r="G2272" s="573">
        <v>2019</v>
      </c>
      <c r="H2272" s="573" t="s">
        <v>3765</v>
      </c>
      <c r="I2272" s="573" t="s">
        <v>4179</v>
      </c>
      <c r="J2272" s="573" t="s">
        <v>3377</v>
      </c>
      <c r="K2272" s="573">
        <v>6</v>
      </c>
      <c r="L2272" s="573">
        <v>0</v>
      </c>
      <c r="M2272" s="573" t="s">
        <v>157</v>
      </c>
      <c r="N2272" s="573">
        <v>2</v>
      </c>
      <c r="O2272" s="573" t="s">
        <v>3781</v>
      </c>
      <c r="P2272" s="571">
        <v>10700</v>
      </c>
      <c r="Q2272" s="573" t="s">
        <v>1259</v>
      </c>
      <c r="R2272" s="573">
        <v>6</v>
      </c>
      <c r="S2272" s="582" t="s">
        <v>4141</v>
      </c>
      <c r="T2272" s="573" t="s">
        <v>318</v>
      </c>
      <c r="U2272" s="573">
        <v>156.80000000000001</v>
      </c>
      <c r="V2272" s="573">
        <v>23</v>
      </c>
      <c r="W2272" s="616">
        <v>7000</v>
      </c>
      <c r="X2272" s="617">
        <v>21</v>
      </c>
      <c r="Y2272" s="617" t="s">
        <v>178</v>
      </c>
      <c r="Z2272" s="617" t="s">
        <v>178</v>
      </c>
      <c r="AA2272" s="618">
        <v>43820</v>
      </c>
      <c r="AB2272" s="618" t="s">
        <v>164</v>
      </c>
      <c r="AC2272" s="618">
        <v>31043.416666666668</v>
      </c>
      <c r="AD2272" s="619">
        <v>0.03</v>
      </c>
      <c r="AE2272" s="617" t="s">
        <v>4187</v>
      </c>
    </row>
    <row r="2273" spans="1:31" s="572" customFormat="1">
      <c r="A2273" s="570" t="s">
        <v>4188</v>
      </c>
      <c r="B2273" s="569" t="s">
        <v>269</v>
      </c>
      <c r="C2273" s="580" t="s">
        <v>270</v>
      </c>
      <c r="D2273" s="569" t="s">
        <v>3374</v>
      </c>
      <c r="E2273" s="569" t="s">
        <v>152</v>
      </c>
      <c r="F2273" s="569" t="s">
        <v>271</v>
      </c>
      <c r="G2273" s="569">
        <v>2019</v>
      </c>
      <c r="H2273" s="569" t="s">
        <v>3765</v>
      </c>
      <c r="I2273" s="569" t="s">
        <v>4179</v>
      </c>
      <c r="J2273" s="569" t="s">
        <v>3377</v>
      </c>
      <c r="K2273" s="569">
        <v>6</v>
      </c>
      <c r="L2273" s="569">
        <v>0</v>
      </c>
      <c r="M2273" s="569" t="s">
        <v>157</v>
      </c>
      <c r="N2273" s="569">
        <v>2</v>
      </c>
      <c r="O2273" s="569" t="s">
        <v>3781</v>
      </c>
      <c r="P2273" s="568">
        <v>7600</v>
      </c>
      <c r="Q2273" s="569" t="s">
        <v>3841</v>
      </c>
      <c r="R2273" s="569">
        <v>6</v>
      </c>
      <c r="S2273" s="569" t="s">
        <v>4141</v>
      </c>
      <c r="T2273" s="569" t="s">
        <v>318</v>
      </c>
      <c r="U2273" s="569">
        <v>156.80000000000001</v>
      </c>
      <c r="V2273" s="569">
        <v>23</v>
      </c>
      <c r="W2273" s="620">
        <v>6500</v>
      </c>
      <c r="X2273" s="621">
        <v>22</v>
      </c>
      <c r="Y2273" s="621" t="s">
        <v>178</v>
      </c>
      <c r="Z2273" s="621" t="s">
        <v>178</v>
      </c>
      <c r="AA2273" s="622">
        <v>42220</v>
      </c>
      <c r="AB2273" s="622" t="s">
        <v>164</v>
      </c>
      <c r="AC2273" s="622">
        <v>29622.583333333336</v>
      </c>
      <c r="AD2273" s="623">
        <v>0.03</v>
      </c>
      <c r="AE2273" s="621" t="s">
        <v>4189</v>
      </c>
    </row>
    <row r="2274" spans="1:31" s="572" customFormat="1">
      <c r="A2274" s="570" t="s">
        <v>4190</v>
      </c>
      <c r="B2274" s="573" t="s">
        <v>269</v>
      </c>
      <c r="C2274" s="578" t="s">
        <v>270</v>
      </c>
      <c r="D2274" s="573" t="s">
        <v>3374</v>
      </c>
      <c r="E2274" s="573" t="s">
        <v>152</v>
      </c>
      <c r="F2274" s="573" t="s">
        <v>271</v>
      </c>
      <c r="G2274" s="573">
        <v>2019</v>
      </c>
      <c r="H2274" s="573" t="s">
        <v>3765</v>
      </c>
      <c r="I2274" s="573" t="s">
        <v>4179</v>
      </c>
      <c r="J2274" s="573" t="s">
        <v>3377</v>
      </c>
      <c r="K2274" s="573">
        <v>6</v>
      </c>
      <c r="L2274" s="573">
        <v>0</v>
      </c>
      <c r="M2274" s="573" t="s">
        <v>157</v>
      </c>
      <c r="N2274" s="573">
        <v>2</v>
      </c>
      <c r="O2274" s="573" t="s">
        <v>3781</v>
      </c>
      <c r="P2274" s="571">
        <v>9100</v>
      </c>
      <c r="Q2274" s="573" t="s">
        <v>3778</v>
      </c>
      <c r="R2274" s="573">
        <v>8</v>
      </c>
      <c r="S2274" s="582" t="s">
        <v>4141</v>
      </c>
      <c r="T2274" s="573" t="s">
        <v>318</v>
      </c>
      <c r="U2274" s="573">
        <v>156.80000000000001</v>
      </c>
      <c r="V2274" s="573">
        <v>23</v>
      </c>
      <c r="W2274" s="616">
        <v>6950</v>
      </c>
      <c r="X2274" s="617">
        <v>19</v>
      </c>
      <c r="Y2274" s="617" t="s">
        <v>450</v>
      </c>
      <c r="Z2274" s="617" t="s">
        <v>178</v>
      </c>
      <c r="AA2274" s="618">
        <v>43220</v>
      </c>
      <c r="AB2274" s="618" t="s">
        <v>164</v>
      </c>
      <c r="AC2274" s="618">
        <v>30510.083333333336</v>
      </c>
      <c r="AD2274" s="619">
        <v>0.03</v>
      </c>
      <c r="AE2274" s="617" t="s">
        <v>4191</v>
      </c>
    </row>
    <row r="2275" spans="1:31" s="572" customFormat="1">
      <c r="A2275" s="570" t="s">
        <v>4192</v>
      </c>
      <c r="B2275" s="569" t="s">
        <v>287</v>
      </c>
      <c r="C2275" s="580">
        <v>26</v>
      </c>
      <c r="D2275" s="569" t="s">
        <v>3374</v>
      </c>
      <c r="E2275" s="569" t="s">
        <v>152</v>
      </c>
      <c r="F2275" s="569" t="s">
        <v>271</v>
      </c>
      <c r="G2275" s="569">
        <v>2019</v>
      </c>
      <c r="H2275" s="569" t="s">
        <v>3765</v>
      </c>
      <c r="I2275" s="569" t="s">
        <v>4179</v>
      </c>
      <c r="J2275" s="569" t="s">
        <v>3377</v>
      </c>
      <c r="K2275" s="569">
        <v>6</v>
      </c>
      <c r="L2275" s="569">
        <v>0</v>
      </c>
      <c r="M2275" s="569" t="s">
        <v>157</v>
      </c>
      <c r="N2275" s="569">
        <v>2</v>
      </c>
      <c r="O2275" s="569" t="s">
        <v>3767</v>
      </c>
      <c r="P2275" s="568">
        <v>10700</v>
      </c>
      <c r="Q2275" s="569" t="s">
        <v>1259</v>
      </c>
      <c r="R2275" s="569">
        <v>6</v>
      </c>
      <c r="S2275" s="569" t="s">
        <v>4141</v>
      </c>
      <c r="T2275" s="569" t="s">
        <v>318</v>
      </c>
      <c r="U2275" s="569">
        <v>145</v>
      </c>
      <c r="V2275" s="569">
        <v>23</v>
      </c>
      <c r="W2275" s="620">
        <v>6100</v>
      </c>
      <c r="X2275" s="621">
        <v>20</v>
      </c>
      <c r="Y2275" s="621" t="s">
        <v>178</v>
      </c>
      <c r="Z2275" s="621" t="s">
        <v>178</v>
      </c>
      <c r="AA2275" s="622">
        <v>43510</v>
      </c>
      <c r="AB2275" s="622" t="s">
        <v>164</v>
      </c>
      <c r="AC2275" s="622">
        <v>31633</v>
      </c>
      <c r="AD2275" s="623">
        <v>0.05</v>
      </c>
      <c r="AE2275" s="621" t="s">
        <v>4193</v>
      </c>
    </row>
    <row r="2276" spans="1:31" s="572" customFormat="1">
      <c r="A2276" s="570" t="s">
        <v>4194</v>
      </c>
      <c r="B2276" s="573" t="s">
        <v>287</v>
      </c>
      <c r="C2276" s="578">
        <v>26</v>
      </c>
      <c r="D2276" s="573" t="s">
        <v>3374</v>
      </c>
      <c r="E2276" s="573" t="s">
        <v>152</v>
      </c>
      <c r="F2276" s="573" t="s">
        <v>271</v>
      </c>
      <c r="G2276" s="573">
        <v>2019</v>
      </c>
      <c r="H2276" s="573" t="s">
        <v>3765</v>
      </c>
      <c r="I2276" s="573" t="s">
        <v>4179</v>
      </c>
      <c r="J2276" s="573" t="s">
        <v>3377</v>
      </c>
      <c r="K2276" s="573">
        <v>6</v>
      </c>
      <c r="L2276" s="573">
        <v>0</v>
      </c>
      <c r="M2276" s="573" t="s">
        <v>157</v>
      </c>
      <c r="N2276" s="573">
        <v>2</v>
      </c>
      <c r="O2276" s="573" t="s">
        <v>3767</v>
      </c>
      <c r="P2276" s="571">
        <v>7600</v>
      </c>
      <c r="Q2276" s="573" t="s">
        <v>3841</v>
      </c>
      <c r="R2276" s="573">
        <v>6</v>
      </c>
      <c r="S2276" s="582" t="s">
        <v>4141</v>
      </c>
      <c r="T2276" s="573" t="s">
        <v>318</v>
      </c>
      <c r="U2276" s="573">
        <v>145</v>
      </c>
      <c r="V2276" s="573">
        <v>23</v>
      </c>
      <c r="W2276" s="616">
        <v>6100</v>
      </c>
      <c r="X2276" s="617">
        <v>22</v>
      </c>
      <c r="Y2276" s="617" t="s">
        <v>178</v>
      </c>
      <c r="Z2276" s="617" t="s">
        <v>178</v>
      </c>
      <c r="AA2276" s="618">
        <v>41910</v>
      </c>
      <c r="AB2276" s="618" t="s">
        <v>164</v>
      </c>
      <c r="AC2276" s="618">
        <v>30178</v>
      </c>
      <c r="AD2276" s="619">
        <v>0.05</v>
      </c>
      <c r="AE2276" s="617" t="s">
        <v>4181</v>
      </c>
    </row>
    <row r="2277" spans="1:31" s="572" customFormat="1">
      <c r="A2277" s="570" t="s">
        <v>4195</v>
      </c>
      <c r="B2277" s="569" t="s">
        <v>287</v>
      </c>
      <c r="C2277" s="580">
        <v>26</v>
      </c>
      <c r="D2277" s="569" t="s">
        <v>3374</v>
      </c>
      <c r="E2277" s="569" t="s">
        <v>152</v>
      </c>
      <c r="F2277" s="569" t="s">
        <v>271</v>
      </c>
      <c r="G2277" s="569">
        <v>2019</v>
      </c>
      <c r="H2277" s="569" t="s">
        <v>3765</v>
      </c>
      <c r="I2277" s="569" t="s">
        <v>4179</v>
      </c>
      <c r="J2277" s="569" t="s">
        <v>3377</v>
      </c>
      <c r="K2277" s="569">
        <v>6</v>
      </c>
      <c r="L2277" s="569">
        <v>0</v>
      </c>
      <c r="M2277" s="569" t="s">
        <v>157</v>
      </c>
      <c r="N2277" s="569">
        <v>2</v>
      </c>
      <c r="O2277" s="569" t="s">
        <v>3767</v>
      </c>
      <c r="P2277" s="568">
        <v>7700</v>
      </c>
      <c r="Q2277" s="569" t="s">
        <v>1322</v>
      </c>
      <c r="R2277" s="569">
        <v>6</v>
      </c>
      <c r="S2277" s="569" t="s">
        <v>4141</v>
      </c>
      <c r="T2277" s="569" t="s">
        <v>318</v>
      </c>
      <c r="U2277" s="569">
        <v>145</v>
      </c>
      <c r="V2277" s="569">
        <v>23</v>
      </c>
      <c r="W2277" s="620">
        <v>6100</v>
      </c>
      <c r="X2277" s="621">
        <v>20</v>
      </c>
      <c r="Y2277" s="621" t="s">
        <v>178</v>
      </c>
      <c r="Z2277" s="621" t="s">
        <v>178</v>
      </c>
      <c r="AA2277" s="622">
        <v>40915</v>
      </c>
      <c r="AB2277" s="622" t="s">
        <v>164</v>
      </c>
      <c r="AC2277" s="622">
        <v>29272</v>
      </c>
      <c r="AD2277" s="623">
        <v>0.05</v>
      </c>
      <c r="AE2277" s="621" t="s">
        <v>4196</v>
      </c>
    </row>
    <row r="2278" spans="1:31" s="572" customFormat="1">
      <c r="A2278" s="570" t="s">
        <v>4197</v>
      </c>
      <c r="B2278" s="573" t="s">
        <v>287</v>
      </c>
      <c r="C2278" s="578">
        <v>26</v>
      </c>
      <c r="D2278" s="573" t="s">
        <v>3374</v>
      </c>
      <c r="E2278" s="573" t="s">
        <v>152</v>
      </c>
      <c r="F2278" s="573" t="s">
        <v>271</v>
      </c>
      <c r="G2278" s="573">
        <v>2019</v>
      </c>
      <c r="H2278" s="573" t="s">
        <v>3765</v>
      </c>
      <c r="I2278" s="573" t="s">
        <v>4179</v>
      </c>
      <c r="J2278" s="573" t="s">
        <v>3377</v>
      </c>
      <c r="K2278" s="573" t="s">
        <v>4165</v>
      </c>
      <c r="L2278" s="573">
        <v>0</v>
      </c>
      <c r="M2278" s="573" t="s">
        <v>157</v>
      </c>
      <c r="N2278" s="573">
        <v>2</v>
      </c>
      <c r="O2278" s="573" t="s">
        <v>3767</v>
      </c>
      <c r="P2278" s="571">
        <v>9100</v>
      </c>
      <c r="Q2278" s="573" t="s">
        <v>3778</v>
      </c>
      <c r="R2278" s="573">
        <v>8</v>
      </c>
      <c r="S2278" s="582" t="s">
        <v>4141</v>
      </c>
      <c r="T2278" s="573" t="s">
        <v>318</v>
      </c>
      <c r="U2278" s="573">
        <v>145</v>
      </c>
      <c r="V2278" s="573">
        <v>23</v>
      </c>
      <c r="W2278" s="616">
        <v>6100</v>
      </c>
      <c r="X2278" s="617">
        <v>18</v>
      </c>
      <c r="Y2278" s="617" t="s">
        <v>178</v>
      </c>
      <c r="Z2278" s="617" t="s">
        <v>178</v>
      </c>
      <c r="AA2278" s="618">
        <v>42910</v>
      </c>
      <c r="AB2278" s="618" t="s">
        <v>164</v>
      </c>
      <c r="AC2278" s="618">
        <v>31088</v>
      </c>
      <c r="AD2278" s="619">
        <v>0.05</v>
      </c>
      <c r="AE2278" s="617" t="s">
        <v>4185</v>
      </c>
    </row>
    <row r="2279" spans="1:31" s="572" customFormat="1">
      <c r="A2279" s="570" t="s">
        <v>4198</v>
      </c>
      <c r="B2279" s="569" t="s">
        <v>280</v>
      </c>
      <c r="C2279" s="580">
        <v>27</v>
      </c>
      <c r="D2279" s="569" t="s">
        <v>3374</v>
      </c>
      <c r="E2279" s="569" t="s">
        <v>152</v>
      </c>
      <c r="F2279" s="569" t="s">
        <v>271</v>
      </c>
      <c r="G2279" s="569">
        <v>2019</v>
      </c>
      <c r="H2279" s="569" t="s">
        <v>3765</v>
      </c>
      <c r="I2279" s="569" t="s">
        <v>4179</v>
      </c>
      <c r="J2279" s="569" t="s">
        <v>3377</v>
      </c>
      <c r="K2279" s="569">
        <v>6</v>
      </c>
      <c r="L2279" s="569">
        <v>0</v>
      </c>
      <c r="M2279" s="569" t="s">
        <v>157</v>
      </c>
      <c r="N2279" s="569">
        <v>2</v>
      </c>
      <c r="O2279" s="569" t="s">
        <v>3767</v>
      </c>
      <c r="P2279" s="568">
        <v>10700</v>
      </c>
      <c r="Q2279" s="569" t="s">
        <v>1259</v>
      </c>
      <c r="R2279" s="569">
        <v>6</v>
      </c>
      <c r="S2279" s="569" t="s">
        <v>4141</v>
      </c>
      <c r="T2279" s="569" t="s">
        <v>318</v>
      </c>
      <c r="U2279" s="569">
        <v>145</v>
      </c>
      <c r="V2279" s="569">
        <v>23</v>
      </c>
      <c r="W2279" s="620">
        <v>6750</v>
      </c>
      <c r="X2279" s="621">
        <v>21</v>
      </c>
      <c r="Y2279" s="621" t="s">
        <v>178</v>
      </c>
      <c r="Z2279" s="621" t="s">
        <v>178</v>
      </c>
      <c r="AA2279" s="622">
        <v>43510</v>
      </c>
      <c r="AB2279" s="622" t="s">
        <v>164</v>
      </c>
      <c r="AC2279" s="622">
        <v>30755.916666666668</v>
      </c>
      <c r="AD2279" s="623">
        <v>0.03</v>
      </c>
      <c r="AE2279" s="621" t="s">
        <v>4178</v>
      </c>
    </row>
    <row r="2280" spans="1:31" s="572" customFormat="1">
      <c r="A2280" s="570" t="s">
        <v>4199</v>
      </c>
      <c r="B2280" s="573" t="s">
        <v>280</v>
      </c>
      <c r="C2280" s="578">
        <v>27</v>
      </c>
      <c r="D2280" s="573" t="s">
        <v>3374</v>
      </c>
      <c r="E2280" s="573" t="s">
        <v>152</v>
      </c>
      <c r="F2280" s="573" t="s">
        <v>271</v>
      </c>
      <c r="G2280" s="573">
        <v>2019</v>
      </c>
      <c r="H2280" s="573" t="s">
        <v>3765</v>
      </c>
      <c r="I2280" s="573" t="s">
        <v>4179</v>
      </c>
      <c r="J2280" s="573" t="s">
        <v>3377</v>
      </c>
      <c r="K2280" s="573">
        <v>6</v>
      </c>
      <c r="L2280" s="573">
        <v>0</v>
      </c>
      <c r="M2280" s="573" t="s">
        <v>157</v>
      </c>
      <c r="N2280" s="573">
        <v>2</v>
      </c>
      <c r="O2280" s="573" t="s">
        <v>3767</v>
      </c>
      <c r="P2280" s="571">
        <v>7600</v>
      </c>
      <c r="Q2280" s="573" t="s">
        <v>3841</v>
      </c>
      <c r="R2280" s="573">
        <v>6</v>
      </c>
      <c r="S2280" s="582" t="s">
        <v>4141</v>
      </c>
      <c r="T2280" s="573" t="s">
        <v>318</v>
      </c>
      <c r="U2280" s="573">
        <v>145</v>
      </c>
      <c r="V2280" s="573">
        <v>23</v>
      </c>
      <c r="W2280" s="616">
        <v>6360</v>
      </c>
      <c r="X2280" s="617">
        <v>22</v>
      </c>
      <c r="Y2280" s="617" t="s">
        <v>178</v>
      </c>
      <c r="Z2280" s="617" t="s">
        <v>178</v>
      </c>
      <c r="AA2280" s="618">
        <v>41910</v>
      </c>
      <c r="AB2280" s="618" t="s">
        <v>164</v>
      </c>
      <c r="AC2280" s="618">
        <v>29335.083333333336</v>
      </c>
      <c r="AD2280" s="619">
        <v>0.03</v>
      </c>
      <c r="AE2280" s="617" t="s">
        <v>4181</v>
      </c>
    </row>
    <row r="2281" spans="1:31" s="572" customFormat="1">
      <c r="A2281" s="570" t="s">
        <v>4200</v>
      </c>
      <c r="B2281" s="569" t="s">
        <v>280</v>
      </c>
      <c r="C2281" s="580">
        <v>27</v>
      </c>
      <c r="D2281" s="569" t="s">
        <v>3374</v>
      </c>
      <c r="E2281" s="569" t="s">
        <v>152</v>
      </c>
      <c r="F2281" s="569" t="s">
        <v>271</v>
      </c>
      <c r="G2281" s="569">
        <v>2019</v>
      </c>
      <c r="H2281" s="569" t="s">
        <v>3765</v>
      </c>
      <c r="I2281" s="569" t="s">
        <v>4179</v>
      </c>
      <c r="J2281" s="569" t="s">
        <v>3377</v>
      </c>
      <c r="K2281" s="569" t="s">
        <v>4165</v>
      </c>
      <c r="L2281" s="569">
        <v>0</v>
      </c>
      <c r="M2281" s="569" t="s">
        <v>157</v>
      </c>
      <c r="N2281" s="569">
        <v>2</v>
      </c>
      <c r="O2281" s="569" t="s">
        <v>3767</v>
      </c>
      <c r="P2281" s="568">
        <v>7700</v>
      </c>
      <c r="Q2281" s="569" t="s">
        <v>1322</v>
      </c>
      <c r="R2281" s="569">
        <v>6</v>
      </c>
      <c r="S2281" s="569" t="s">
        <v>4141</v>
      </c>
      <c r="T2281" s="569" t="s">
        <v>318</v>
      </c>
      <c r="U2281" s="569">
        <v>145</v>
      </c>
      <c r="V2281" s="569">
        <v>23</v>
      </c>
      <c r="W2281" s="620">
        <v>6100</v>
      </c>
      <c r="X2281" s="621">
        <v>22</v>
      </c>
      <c r="Y2281" s="621" t="s">
        <v>178</v>
      </c>
      <c r="Z2281" s="621" t="s">
        <v>178</v>
      </c>
      <c r="AA2281" s="622">
        <v>40915</v>
      </c>
      <c r="AB2281" s="622" t="s">
        <v>164</v>
      </c>
      <c r="AC2281" s="622">
        <v>28750.189473684211</v>
      </c>
      <c r="AD2281" s="623">
        <v>0.03</v>
      </c>
      <c r="AE2281" s="621" t="s">
        <v>4183</v>
      </c>
    </row>
    <row r="2282" spans="1:31" s="572" customFormat="1">
      <c r="A2282" s="570" t="s">
        <v>4201</v>
      </c>
      <c r="B2282" s="573" t="s">
        <v>280</v>
      </c>
      <c r="C2282" s="578">
        <v>27</v>
      </c>
      <c r="D2282" s="573" t="s">
        <v>3374</v>
      </c>
      <c r="E2282" s="573" t="s">
        <v>152</v>
      </c>
      <c r="F2282" s="573" t="s">
        <v>271</v>
      </c>
      <c r="G2282" s="573">
        <v>2019</v>
      </c>
      <c r="H2282" s="573" t="s">
        <v>3765</v>
      </c>
      <c r="I2282" s="573" t="s">
        <v>4179</v>
      </c>
      <c r="J2282" s="573" t="s">
        <v>3377</v>
      </c>
      <c r="K2282" s="573">
        <v>6</v>
      </c>
      <c r="L2282" s="573">
        <v>0</v>
      </c>
      <c r="M2282" s="573" t="s">
        <v>157</v>
      </c>
      <c r="N2282" s="573">
        <v>2</v>
      </c>
      <c r="O2282" s="573" t="s">
        <v>3767</v>
      </c>
      <c r="P2282" s="571">
        <v>9100</v>
      </c>
      <c r="Q2282" s="573" t="s">
        <v>3778</v>
      </c>
      <c r="R2282" s="573">
        <v>8</v>
      </c>
      <c r="S2282" s="582" t="s">
        <v>4141</v>
      </c>
      <c r="T2282" s="573" t="s">
        <v>318</v>
      </c>
      <c r="U2282" s="573">
        <v>145</v>
      </c>
      <c r="V2282" s="573">
        <v>23</v>
      </c>
      <c r="W2282" s="616">
        <v>6800</v>
      </c>
      <c r="X2282" s="617">
        <v>19</v>
      </c>
      <c r="Y2282" s="617" t="s">
        <v>450</v>
      </c>
      <c r="Z2282" s="617" t="s">
        <v>178</v>
      </c>
      <c r="AA2282" s="618">
        <v>42910</v>
      </c>
      <c r="AB2282" s="618" t="s">
        <v>164</v>
      </c>
      <c r="AC2282" s="618">
        <v>30222.583333333336</v>
      </c>
      <c r="AD2282" s="619">
        <v>0.03</v>
      </c>
      <c r="AE2282" s="617" t="s">
        <v>4185</v>
      </c>
    </row>
    <row r="2283" spans="1:31" s="572" customFormat="1">
      <c r="A2283" s="570" t="s">
        <v>4202</v>
      </c>
      <c r="B2283" s="569" t="s">
        <v>280</v>
      </c>
      <c r="C2283" s="580">
        <v>27</v>
      </c>
      <c r="D2283" s="569" t="s">
        <v>3374</v>
      </c>
      <c r="E2283" s="569" t="s">
        <v>152</v>
      </c>
      <c r="F2283" s="569" t="s">
        <v>271</v>
      </c>
      <c r="G2283" s="569">
        <v>2019</v>
      </c>
      <c r="H2283" s="569" t="s">
        <v>3765</v>
      </c>
      <c r="I2283" s="569" t="s">
        <v>4179</v>
      </c>
      <c r="J2283" s="569" t="s">
        <v>3377</v>
      </c>
      <c r="K2283" s="569">
        <v>6</v>
      </c>
      <c r="L2283" s="569">
        <v>0</v>
      </c>
      <c r="M2283" s="569" t="s">
        <v>157</v>
      </c>
      <c r="N2283" s="569">
        <v>2</v>
      </c>
      <c r="O2283" s="569" t="s">
        <v>3781</v>
      </c>
      <c r="P2283" s="568">
        <v>10700</v>
      </c>
      <c r="Q2283" s="569" t="s">
        <v>1259</v>
      </c>
      <c r="R2283" s="569">
        <v>6</v>
      </c>
      <c r="S2283" s="569" t="s">
        <v>4141</v>
      </c>
      <c r="T2283" s="569" t="s">
        <v>318</v>
      </c>
      <c r="U2283" s="569">
        <v>156.80000000000001</v>
      </c>
      <c r="V2283" s="569">
        <v>23</v>
      </c>
      <c r="W2283" s="620">
        <v>7000</v>
      </c>
      <c r="X2283" s="621">
        <v>21</v>
      </c>
      <c r="Y2283" s="621" t="s">
        <v>178</v>
      </c>
      <c r="Z2283" s="621" t="s">
        <v>178</v>
      </c>
      <c r="AA2283" s="622">
        <v>43820</v>
      </c>
      <c r="AB2283" s="622" t="s">
        <v>164</v>
      </c>
      <c r="AC2283" s="622">
        <v>31043.416666666668</v>
      </c>
      <c r="AD2283" s="623">
        <v>0.03</v>
      </c>
      <c r="AE2283" s="621" t="s">
        <v>4187</v>
      </c>
    </row>
    <row r="2284" spans="1:31" s="572" customFormat="1">
      <c r="A2284" s="570" t="s">
        <v>4203</v>
      </c>
      <c r="B2284" s="573" t="s">
        <v>280</v>
      </c>
      <c r="C2284" s="578">
        <v>27</v>
      </c>
      <c r="D2284" s="573" t="s">
        <v>3374</v>
      </c>
      <c r="E2284" s="573" t="s">
        <v>152</v>
      </c>
      <c r="F2284" s="573" t="s">
        <v>271</v>
      </c>
      <c r="G2284" s="573">
        <v>2019</v>
      </c>
      <c r="H2284" s="573" t="s">
        <v>3765</v>
      </c>
      <c r="I2284" s="573" t="s">
        <v>4179</v>
      </c>
      <c r="J2284" s="573" t="s">
        <v>3377</v>
      </c>
      <c r="K2284" s="573">
        <v>6</v>
      </c>
      <c r="L2284" s="573">
        <v>0</v>
      </c>
      <c r="M2284" s="573" t="s">
        <v>157</v>
      </c>
      <c r="N2284" s="573">
        <v>2</v>
      </c>
      <c r="O2284" s="573" t="s">
        <v>3781</v>
      </c>
      <c r="P2284" s="571">
        <v>7600</v>
      </c>
      <c r="Q2284" s="573" t="s">
        <v>3841</v>
      </c>
      <c r="R2284" s="573">
        <v>6</v>
      </c>
      <c r="S2284" s="582" t="s">
        <v>4141</v>
      </c>
      <c r="T2284" s="573" t="s">
        <v>318</v>
      </c>
      <c r="U2284" s="573">
        <v>156.80000000000001</v>
      </c>
      <c r="V2284" s="573">
        <v>23</v>
      </c>
      <c r="W2284" s="616">
        <v>6500</v>
      </c>
      <c r="X2284" s="617">
        <v>22</v>
      </c>
      <c r="Y2284" s="617" t="s">
        <v>178</v>
      </c>
      <c r="Z2284" s="617" t="s">
        <v>178</v>
      </c>
      <c r="AA2284" s="618">
        <v>42220</v>
      </c>
      <c r="AB2284" s="618" t="s">
        <v>164</v>
      </c>
      <c r="AC2284" s="618">
        <v>29622.583333333336</v>
      </c>
      <c r="AD2284" s="619">
        <v>0.03</v>
      </c>
      <c r="AE2284" s="617" t="s">
        <v>4189</v>
      </c>
    </row>
    <row r="2285" spans="1:31" s="572" customFormat="1">
      <c r="A2285" s="570" t="s">
        <v>4204</v>
      </c>
      <c r="B2285" s="569" t="s">
        <v>280</v>
      </c>
      <c r="C2285" s="580">
        <v>27</v>
      </c>
      <c r="D2285" s="569" t="s">
        <v>3374</v>
      </c>
      <c r="E2285" s="569" t="s">
        <v>152</v>
      </c>
      <c r="F2285" s="569" t="s">
        <v>271</v>
      </c>
      <c r="G2285" s="569">
        <v>2019</v>
      </c>
      <c r="H2285" s="569" t="s">
        <v>3765</v>
      </c>
      <c r="I2285" s="569" t="s">
        <v>4179</v>
      </c>
      <c r="J2285" s="569" t="s">
        <v>3377</v>
      </c>
      <c r="K2285" s="569">
        <v>6</v>
      </c>
      <c r="L2285" s="569">
        <v>0</v>
      </c>
      <c r="M2285" s="569" t="s">
        <v>157</v>
      </c>
      <c r="N2285" s="569">
        <v>2</v>
      </c>
      <c r="O2285" s="569" t="s">
        <v>3781</v>
      </c>
      <c r="P2285" s="568">
        <v>9100</v>
      </c>
      <c r="Q2285" s="569" t="s">
        <v>3778</v>
      </c>
      <c r="R2285" s="569">
        <v>8</v>
      </c>
      <c r="S2285" s="569" t="s">
        <v>4141</v>
      </c>
      <c r="T2285" s="569" t="s">
        <v>318</v>
      </c>
      <c r="U2285" s="569">
        <v>156.80000000000001</v>
      </c>
      <c r="V2285" s="569">
        <v>23</v>
      </c>
      <c r="W2285" s="620">
        <v>6950</v>
      </c>
      <c r="X2285" s="621">
        <v>19</v>
      </c>
      <c r="Y2285" s="621" t="s">
        <v>450</v>
      </c>
      <c r="Z2285" s="621" t="s">
        <v>178</v>
      </c>
      <c r="AA2285" s="622">
        <v>43220</v>
      </c>
      <c r="AB2285" s="622" t="s">
        <v>164</v>
      </c>
      <c r="AC2285" s="622">
        <v>30510.083333333336</v>
      </c>
      <c r="AD2285" s="623">
        <v>0.03</v>
      </c>
      <c r="AE2285" s="621" t="s">
        <v>4191</v>
      </c>
    </row>
    <row r="2286" spans="1:31" s="572" customFormat="1">
      <c r="A2286" s="570" t="s">
        <v>4205</v>
      </c>
      <c r="B2286" s="573" t="s">
        <v>269</v>
      </c>
      <c r="C2286" s="578" t="s">
        <v>270</v>
      </c>
      <c r="D2286" s="573" t="s">
        <v>3374</v>
      </c>
      <c r="E2286" s="573" t="s">
        <v>152</v>
      </c>
      <c r="F2286" s="573" t="s">
        <v>271</v>
      </c>
      <c r="G2286" s="573">
        <v>2019</v>
      </c>
      <c r="H2286" s="573" t="s">
        <v>3765</v>
      </c>
      <c r="I2286" s="573" t="s">
        <v>4207</v>
      </c>
      <c r="J2286" s="573" t="s">
        <v>3377</v>
      </c>
      <c r="K2286" s="573">
        <v>6</v>
      </c>
      <c r="L2286" s="573">
        <v>0</v>
      </c>
      <c r="M2286" s="573" t="s">
        <v>157</v>
      </c>
      <c r="N2286" s="573">
        <v>2</v>
      </c>
      <c r="O2286" s="573" t="s">
        <v>3781</v>
      </c>
      <c r="P2286" s="571">
        <v>10800</v>
      </c>
      <c r="Q2286" s="573" t="s">
        <v>1259</v>
      </c>
      <c r="R2286" s="573">
        <v>6</v>
      </c>
      <c r="S2286" s="582" t="s">
        <v>3997</v>
      </c>
      <c r="T2286" s="573" t="s">
        <v>276</v>
      </c>
      <c r="U2286" s="573">
        <v>145</v>
      </c>
      <c r="V2286" s="573">
        <v>23</v>
      </c>
      <c r="W2286" s="616">
        <v>6900</v>
      </c>
      <c r="X2286" s="617">
        <v>21</v>
      </c>
      <c r="Y2286" s="617" t="s">
        <v>178</v>
      </c>
      <c r="Z2286" s="617" t="s">
        <v>178</v>
      </c>
      <c r="AA2286" s="618">
        <v>36330</v>
      </c>
      <c r="AB2286" s="618" t="s">
        <v>164</v>
      </c>
      <c r="AC2286" s="618">
        <v>25028.084210526318</v>
      </c>
      <c r="AD2286" s="619">
        <v>0.03</v>
      </c>
      <c r="AE2286" s="617" t="s">
        <v>4206</v>
      </c>
    </row>
    <row r="2287" spans="1:31" s="572" customFormat="1">
      <c r="A2287" s="570" t="s">
        <v>4208</v>
      </c>
      <c r="B2287" s="569" t="s">
        <v>269</v>
      </c>
      <c r="C2287" s="580" t="s">
        <v>270</v>
      </c>
      <c r="D2287" s="569" t="s">
        <v>3374</v>
      </c>
      <c r="E2287" s="569" t="s">
        <v>152</v>
      </c>
      <c r="F2287" s="569" t="s">
        <v>271</v>
      </c>
      <c r="G2287" s="569">
        <v>2019</v>
      </c>
      <c r="H2287" s="569" t="s">
        <v>3765</v>
      </c>
      <c r="I2287" s="569" t="s">
        <v>4207</v>
      </c>
      <c r="J2287" s="569" t="s">
        <v>3377</v>
      </c>
      <c r="K2287" s="569">
        <v>6</v>
      </c>
      <c r="L2287" s="569">
        <v>0</v>
      </c>
      <c r="M2287" s="569" t="s">
        <v>157</v>
      </c>
      <c r="N2287" s="569">
        <v>2</v>
      </c>
      <c r="O2287" s="569" t="s">
        <v>3781</v>
      </c>
      <c r="P2287" s="568">
        <v>5100</v>
      </c>
      <c r="Q2287" s="569" t="s">
        <v>3772</v>
      </c>
      <c r="R2287" s="569">
        <v>6</v>
      </c>
      <c r="S2287" s="569" t="s">
        <v>3997</v>
      </c>
      <c r="T2287" s="569" t="s">
        <v>276</v>
      </c>
      <c r="U2287" s="569">
        <v>145</v>
      </c>
      <c r="V2287" s="569">
        <v>23</v>
      </c>
      <c r="W2287" s="620">
        <v>6100</v>
      </c>
      <c r="X2287" s="621">
        <v>22</v>
      </c>
      <c r="Y2287" s="621" t="s">
        <v>450</v>
      </c>
      <c r="Z2287" s="621" t="s">
        <v>178</v>
      </c>
      <c r="AA2287" s="622">
        <v>33735</v>
      </c>
      <c r="AB2287" s="622" t="s">
        <v>164</v>
      </c>
      <c r="AC2287" s="622">
        <v>22698.610526315792</v>
      </c>
      <c r="AD2287" s="623">
        <v>0.03</v>
      </c>
      <c r="AE2287" s="621" t="s">
        <v>4209</v>
      </c>
    </row>
    <row r="2288" spans="1:31" s="572" customFormat="1">
      <c r="A2288" s="570" t="s">
        <v>4210</v>
      </c>
      <c r="B2288" s="573" t="s">
        <v>269</v>
      </c>
      <c r="C2288" s="578" t="s">
        <v>270</v>
      </c>
      <c r="D2288" s="573" t="s">
        <v>3374</v>
      </c>
      <c r="E2288" s="573" t="s">
        <v>152</v>
      </c>
      <c r="F2288" s="573" t="s">
        <v>271</v>
      </c>
      <c r="G2288" s="573">
        <v>2019</v>
      </c>
      <c r="H2288" s="573" t="s">
        <v>3765</v>
      </c>
      <c r="I2288" s="573" t="s">
        <v>4207</v>
      </c>
      <c r="J2288" s="573" t="s">
        <v>3377</v>
      </c>
      <c r="K2288" s="573">
        <v>6</v>
      </c>
      <c r="L2288" s="573">
        <v>0</v>
      </c>
      <c r="M2288" s="573" t="s">
        <v>157</v>
      </c>
      <c r="N2288" s="573">
        <v>2</v>
      </c>
      <c r="O2288" s="573" t="s">
        <v>3781</v>
      </c>
      <c r="P2288" s="571">
        <v>7600</v>
      </c>
      <c r="Q2288" s="573" t="s">
        <v>3841</v>
      </c>
      <c r="R2288" s="573">
        <v>6</v>
      </c>
      <c r="S2288" s="582" t="s">
        <v>3997</v>
      </c>
      <c r="T2288" s="573" t="s">
        <v>276</v>
      </c>
      <c r="U2288" s="573">
        <v>145</v>
      </c>
      <c r="V2288" s="573">
        <v>23</v>
      </c>
      <c r="W2288" s="616">
        <v>6250</v>
      </c>
      <c r="X2288" s="617">
        <v>22</v>
      </c>
      <c r="Y2288" s="617" t="s">
        <v>178</v>
      </c>
      <c r="Z2288" s="617" t="s">
        <v>178</v>
      </c>
      <c r="AA2288" s="618">
        <v>34730</v>
      </c>
      <c r="AB2288" s="618" t="s">
        <v>164</v>
      </c>
      <c r="AC2288" s="618">
        <v>23592.294736842108</v>
      </c>
      <c r="AD2288" s="619">
        <v>0.03</v>
      </c>
      <c r="AE2288" s="617" t="s">
        <v>4211</v>
      </c>
    </row>
    <row r="2289" spans="1:31" s="572" customFormat="1">
      <c r="A2289" s="570" t="s">
        <v>4212</v>
      </c>
      <c r="B2289" s="569" t="s">
        <v>269</v>
      </c>
      <c r="C2289" s="580" t="s">
        <v>270</v>
      </c>
      <c r="D2289" s="569" t="s">
        <v>3374</v>
      </c>
      <c r="E2289" s="569" t="s">
        <v>152</v>
      </c>
      <c r="F2289" s="569" t="s">
        <v>271</v>
      </c>
      <c r="G2289" s="569">
        <v>2019</v>
      </c>
      <c r="H2289" s="569" t="s">
        <v>3765</v>
      </c>
      <c r="I2289" s="569" t="s">
        <v>4207</v>
      </c>
      <c r="J2289" s="569" t="s">
        <v>3377</v>
      </c>
      <c r="K2289" s="569">
        <v>6</v>
      </c>
      <c r="L2289" s="569">
        <v>0</v>
      </c>
      <c r="M2289" s="569" t="s">
        <v>157</v>
      </c>
      <c r="N2289" s="569">
        <v>2</v>
      </c>
      <c r="O2289" s="569" t="s">
        <v>3781</v>
      </c>
      <c r="P2289" s="568">
        <v>9200</v>
      </c>
      <c r="Q2289" s="569" t="s">
        <v>3778</v>
      </c>
      <c r="R2289" s="569">
        <v>8</v>
      </c>
      <c r="S2289" s="569" t="s">
        <v>3997</v>
      </c>
      <c r="T2289" s="569" t="s">
        <v>276</v>
      </c>
      <c r="U2289" s="569">
        <v>145</v>
      </c>
      <c r="V2289" s="569">
        <v>23</v>
      </c>
      <c r="W2289" s="620">
        <v>6900</v>
      </c>
      <c r="X2289" s="621">
        <v>19</v>
      </c>
      <c r="Y2289" s="621" t="s">
        <v>450</v>
      </c>
      <c r="Z2289" s="621" t="s">
        <v>178</v>
      </c>
      <c r="AA2289" s="622">
        <v>35730</v>
      </c>
      <c r="AB2289" s="622" t="s">
        <v>164</v>
      </c>
      <c r="AC2289" s="622">
        <v>24489.136842105265</v>
      </c>
      <c r="AD2289" s="623">
        <v>0.03</v>
      </c>
      <c r="AE2289" s="621" t="s">
        <v>4213</v>
      </c>
    </row>
    <row r="2290" spans="1:31" s="572" customFormat="1">
      <c r="A2290" s="570" t="s">
        <v>4214</v>
      </c>
      <c r="B2290" s="573" t="s">
        <v>269</v>
      </c>
      <c r="C2290" s="578" t="s">
        <v>270</v>
      </c>
      <c r="D2290" s="573" t="s">
        <v>3374</v>
      </c>
      <c r="E2290" s="573" t="s">
        <v>152</v>
      </c>
      <c r="F2290" s="573" t="s">
        <v>271</v>
      </c>
      <c r="G2290" s="573">
        <v>2019</v>
      </c>
      <c r="H2290" s="573" t="s">
        <v>3765</v>
      </c>
      <c r="I2290" s="573" t="s">
        <v>4207</v>
      </c>
      <c r="J2290" s="573" t="s">
        <v>3377</v>
      </c>
      <c r="K2290" s="573">
        <v>6</v>
      </c>
      <c r="L2290" s="573">
        <v>0</v>
      </c>
      <c r="M2290" s="573" t="s">
        <v>157</v>
      </c>
      <c r="N2290" s="573">
        <v>2</v>
      </c>
      <c r="O2290" s="573" t="s">
        <v>3846</v>
      </c>
      <c r="P2290" s="571">
        <v>10700</v>
      </c>
      <c r="Q2290" s="573" t="s">
        <v>1259</v>
      </c>
      <c r="R2290" s="573">
        <v>6</v>
      </c>
      <c r="S2290" s="582" t="s">
        <v>3997</v>
      </c>
      <c r="T2290" s="573" t="s">
        <v>276</v>
      </c>
      <c r="U2290" s="573">
        <v>163.69999999999999</v>
      </c>
      <c r="V2290" s="573">
        <v>23</v>
      </c>
      <c r="W2290" s="616">
        <v>7050</v>
      </c>
      <c r="X2290" s="617">
        <v>21</v>
      </c>
      <c r="Y2290" s="617" t="s">
        <v>178</v>
      </c>
      <c r="Z2290" s="617" t="s">
        <v>178</v>
      </c>
      <c r="AA2290" s="618">
        <v>36640</v>
      </c>
      <c r="AB2290" s="618" t="s">
        <v>164</v>
      </c>
      <c r="AC2290" s="618">
        <v>25348.084210526318</v>
      </c>
      <c r="AD2290" s="619">
        <v>0.03</v>
      </c>
      <c r="AE2290" s="617" t="s">
        <v>4215</v>
      </c>
    </row>
    <row r="2291" spans="1:31" s="572" customFormat="1">
      <c r="A2291" s="570" t="s">
        <v>4216</v>
      </c>
      <c r="B2291" s="569" t="s">
        <v>269</v>
      </c>
      <c r="C2291" s="580" t="s">
        <v>270</v>
      </c>
      <c r="D2291" s="569" t="s">
        <v>3374</v>
      </c>
      <c r="E2291" s="569" t="s">
        <v>152</v>
      </c>
      <c r="F2291" s="569" t="s">
        <v>271</v>
      </c>
      <c r="G2291" s="569">
        <v>2019</v>
      </c>
      <c r="H2291" s="569" t="s">
        <v>3765</v>
      </c>
      <c r="I2291" s="569" t="s">
        <v>4207</v>
      </c>
      <c r="J2291" s="569" t="s">
        <v>3377</v>
      </c>
      <c r="K2291" s="569">
        <v>6</v>
      </c>
      <c r="L2291" s="569">
        <v>0</v>
      </c>
      <c r="M2291" s="569" t="s">
        <v>157</v>
      </c>
      <c r="N2291" s="569">
        <v>2</v>
      </c>
      <c r="O2291" s="569" t="s">
        <v>3846</v>
      </c>
      <c r="P2291" s="568">
        <v>7600</v>
      </c>
      <c r="Q2291" s="569" t="s">
        <v>3841</v>
      </c>
      <c r="R2291" s="569">
        <v>6</v>
      </c>
      <c r="S2291" s="569" t="s">
        <v>3997</v>
      </c>
      <c r="T2291" s="569" t="s">
        <v>276</v>
      </c>
      <c r="U2291" s="569">
        <v>163.69999999999999</v>
      </c>
      <c r="V2291" s="569">
        <v>23</v>
      </c>
      <c r="W2291" s="620">
        <v>6500</v>
      </c>
      <c r="X2291" s="621">
        <v>22</v>
      </c>
      <c r="Y2291" s="621" t="s">
        <v>178</v>
      </c>
      <c r="Z2291" s="621" t="s">
        <v>178</v>
      </c>
      <c r="AA2291" s="622">
        <v>35040</v>
      </c>
      <c r="AB2291" s="622" t="s">
        <v>164</v>
      </c>
      <c r="AC2291" s="622">
        <v>23912.294736842108</v>
      </c>
      <c r="AD2291" s="623">
        <v>0.03</v>
      </c>
      <c r="AE2291" s="621" t="s">
        <v>4217</v>
      </c>
    </row>
    <row r="2292" spans="1:31" s="572" customFormat="1">
      <c r="A2292" s="570" t="s">
        <v>4218</v>
      </c>
      <c r="B2292" s="573" t="s">
        <v>269</v>
      </c>
      <c r="C2292" s="578" t="s">
        <v>270</v>
      </c>
      <c r="D2292" s="573" t="s">
        <v>3374</v>
      </c>
      <c r="E2292" s="573" t="s">
        <v>152</v>
      </c>
      <c r="F2292" s="573" t="s">
        <v>271</v>
      </c>
      <c r="G2292" s="573">
        <v>2019</v>
      </c>
      <c r="H2292" s="573" t="s">
        <v>3765</v>
      </c>
      <c r="I2292" s="573" t="s">
        <v>4207</v>
      </c>
      <c r="J2292" s="573" t="s">
        <v>3377</v>
      </c>
      <c r="K2292" s="573">
        <v>6</v>
      </c>
      <c r="L2292" s="573">
        <v>0</v>
      </c>
      <c r="M2292" s="573" t="s">
        <v>157</v>
      </c>
      <c r="N2292" s="573">
        <v>2</v>
      </c>
      <c r="O2292" s="573" t="s">
        <v>3846</v>
      </c>
      <c r="P2292" s="571">
        <v>9200</v>
      </c>
      <c r="Q2292" s="573" t="s">
        <v>3778</v>
      </c>
      <c r="R2292" s="573">
        <v>8</v>
      </c>
      <c r="S2292" s="582" t="s">
        <v>3997</v>
      </c>
      <c r="T2292" s="573" t="s">
        <v>276</v>
      </c>
      <c r="U2292" s="573">
        <v>163.69999999999999</v>
      </c>
      <c r="V2292" s="573">
        <v>23</v>
      </c>
      <c r="W2292" s="616">
        <v>7000</v>
      </c>
      <c r="X2292" s="617">
        <v>19</v>
      </c>
      <c r="Y2292" s="617" t="s">
        <v>450</v>
      </c>
      <c r="Z2292" s="617" t="s">
        <v>178</v>
      </c>
      <c r="AA2292" s="618">
        <v>36040</v>
      </c>
      <c r="AB2292" s="618" t="s">
        <v>164</v>
      </c>
      <c r="AC2292" s="618">
        <v>24809.136842105265</v>
      </c>
      <c r="AD2292" s="619">
        <v>0.03</v>
      </c>
      <c r="AE2292" s="617" t="s">
        <v>4219</v>
      </c>
    </row>
    <row r="2293" spans="1:31" s="572" customFormat="1">
      <c r="A2293" s="570" t="s">
        <v>4220</v>
      </c>
      <c r="B2293" s="569" t="s">
        <v>280</v>
      </c>
      <c r="C2293" s="580">
        <v>27</v>
      </c>
      <c r="D2293" s="569" t="s">
        <v>3374</v>
      </c>
      <c r="E2293" s="569" t="s">
        <v>152</v>
      </c>
      <c r="F2293" s="569" t="s">
        <v>271</v>
      </c>
      <c r="G2293" s="569">
        <v>2019</v>
      </c>
      <c r="H2293" s="569" t="s">
        <v>3765</v>
      </c>
      <c r="I2293" s="569" t="s">
        <v>4207</v>
      </c>
      <c r="J2293" s="569" t="s">
        <v>3377</v>
      </c>
      <c r="K2293" s="569">
        <v>6</v>
      </c>
      <c r="L2293" s="569">
        <v>0</v>
      </c>
      <c r="M2293" s="569" t="s">
        <v>157</v>
      </c>
      <c r="N2293" s="569">
        <v>2</v>
      </c>
      <c r="O2293" s="569" t="s">
        <v>3781</v>
      </c>
      <c r="P2293" s="568">
        <v>10800</v>
      </c>
      <c r="Q2293" s="569" t="s">
        <v>1259</v>
      </c>
      <c r="R2293" s="569">
        <v>6</v>
      </c>
      <c r="S2293" s="569" t="s">
        <v>3997</v>
      </c>
      <c r="T2293" s="569" t="s">
        <v>276</v>
      </c>
      <c r="U2293" s="569">
        <v>145</v>
      </c>
      <c r="V2293" s="569">
        <v>23</v>
      </c>
      <c r="W2293" s="620">
        <v>6900</v>
      </c>
      <c r="X2293" s="621">
        <v>21</v>
      </c>
      <c r="Y2293" s="621" t="s">
        <v>178</v>
      </c>
      <c r="Z2293" s="621" t="s">
        <v>178</v>
      </c>
      <c r="AA2293" s="622">
        <v>36330</v>
      </c>
      <c r="AB2293" s="622" t="s">
        <v>164</v>
      </c>
      <c r="AC2293" s="622">
        <v>25028.084210526318</v>
      </c>
      <c r="AD2293" s="623">
        <v>0.03</v>
      </c>
      <c r="AE2293" s="621" t="s">
        <v>4206</v>
      </c>
    </row>
    <row r="2294" spans="1:31" s="572" customFormat="1">
      <c r="A2294" s="570" t="s">
        <v>4221</v>
      </c>
      <c r="B2294" s="573" t="s">
        <v>280</v>
      </c>
      <c r="C2294" s="578">
        <v>27</v>
      </c>
      <c r="D2294" s="573" t="s">
        <v>3374</v>
      </c>
      <c r="E2294" s="573" t="s">
        <v>152</v>
      </c>
      <c r="F2294" s="573" t="s">
        <v>271</v>
      </c>
      <c r="G2294" s="573">
        <v>2019</v>
      </c>
      <c r="H2294" s="573" t="s">
        <v>3765</v>
      </c>
      <c r="I2294" s="573" t="s">
        <v>4207</v>
      </c>
      <c r="J2294" s="573" t="s">
        <v>3377</v>
      </c>
      <c r="K2294" s="573">
        <v>6</v>
      </c>
      <c r="L2294" s="573">
        <v>0</v>
      </c>
      <c r="M2294" s="573" t="s">
        <v>157</v>
      </c>
      <c r="N2294" s="573">
        <v>2</v>
      </c>
      <c r="O2294" s="573" t="s">
        <v>3781</v>
      </c>
      <c r="P2294" s="571">
        <v>5100</v>
      </c>
      <c r="Q2294" s="573" t="s">
        <v>3772</v>
      </c>
      <c r="R2294" s="573">
        <v>6</v>
      </c>
      <c r="S2294" s="582" t="s">
        <v>3997</v>
      </c>
      <c r="T2294" s="573" t="s">
        <v>276</v>
      </c>
      <c r="U2294" s="573">
        <v>145</v>
      </c>
      <c r="V2294" s="573">
        <v>23</v>
      </c>
      <c r="W2294" s="616">
        <v>6100</v>
      </c>
      <c r="X2294" s="617">
        <v>22</v>
      </c>
      <c r="Y2294" s="617" t="s">
        <v>450</v>
      </c>
      <c r="Z2294" s="617" t="s">
        <v>178</v>
      </c>
      <c r="AA2294" s="618">
        <v>33735</v>
      </c>
      <c r="AB2294" s="618" t="s">
        <v>164</v>
      </c>
      <c r="AC2294" s="618">
        <v>22698.610526315792</v>
      </c>
      <c r="AD2294" s="619">
        <v>0.03</v>
      </c>
      <c r="AE2294" s="617" t="s">
        <v>4209</v>
      </c>
    </row>
    <row r="2295" spans="1:31" s="572" customFormat="1">
      <c r="A2295" s="570" t="s">
        <v>4222</v>
      </c>
      <c r="B2295" s="569" t="s">
        <v>280</v>
      </c>
      <c r="C2295" s="580">
        <v>27</v>
      </c>
      <c r="D2295" s="569" t="s">
        <v>3374</v>
      </c>
      <c r="E2295" s="569" t="s">
        <v>152</v>
      </c>
      <c r="F2295" s="569" t="s">
        <v>271</v>
      </c>
      <c r="G2295" s="569">
        <v>2019</v>
      </c>
      <c r="H2295" s="569" t="s">
        <v>3765</v>
      </c>
      <c r="I2295" s="569" t="s">
        <v>4207</v>
      </c>
      <c r="J2295" s="569" t="s">
        <v>3377</v>
      </c>
      <c r="K2295" s="569">
        <v>6</v>
      </c>
      <c r="L2295" s="569">
        <v>0</v>
      </c>
      <c r="M2295" s="569" t="s">
        <v>157</v>
      </c>
      <c r="N2295" s="569">
        <v>2</v>
      </c>
      <c r="O2295" s="569" t="s">
        <v>3781</v>
      </c>
      <c r="P2295" s="568">
        <v>7600</v>
      </c>
      <c r="Q2295" s="569" t="s">
        <v>3841</v>
      </c>
      <c r="R2295" s="569">
        <v>6</v>
      </c>
      <c r="S2295" s="569" t="s">
        <v>3997</v>
      </c>
      <c r="T2295" s="569" t="s">
        <v>276</v>
      </c>
      <c r="U2295" s="569">
        <v>145</v>
      </c>
      <c r="V2295" s="569">
        <v>23</v>
      </c>
      <c r="W2295" s="620">
        <v>6250</v>
      </c>
      <c r="X2295" s="621">
        <v>22</v>
      </c>
      <c r="Y2295" s="621" t="s">
        <v>178</v>
      </c>
      <c r="Z2295" s="621" t="s">
        <v>178</v>
      </c>
      <c r="AA2295" s="622">
        <v>34730</v>
      </c>
      <c r="AB2295" s="622" t="s">
        <v>164</v>
      </c>
      <c r="AC2295" s="622">
        <v>23592.294736842108</v>
      </c>
      <c r="AD2295" s="623">
        <v>0.03</v>
      </c>
      <c r="AE2295" s="621" t="s">
        <v>4211</v>
      </c>
    </row>
    <row r="2296" spans="1:31" s="572" customFormat="1">
      <c r="A2296" s="570" t="s">
        <v>4223</v>
      </c>
      <c r="B2296" s="573" t="s">
        <v>280</v>
      </c>
      <c r="C2296" s="578">
        <v>27</v>
      </c>
      <c r="D2296" s="573" t="s">
        <v>3374</v>
      </c>
      <c r="E2296" s="573" t="s">
        <v>152</v>
      </c>
      <c r="F2296" s="573" t="s">
        <v>271</v>
      </c>
      <c r="G2296" s="573">
        <v>2019</v>
      </c>
      <c r="H2296" s="573" t="s">
        <v>3765</v>
      </c>
      <c r="I2296" s="573" t="s">
        <v>4207</v>
      </c>
      <c r="J2296" s="573" t="s">
        <v>3377</v>
      </c>
      <c r="K2296" s="573">
        <v>6</v>
      </c>
      <c r="L2296" s="573">
        <v>0</v>
      </c>
      <c r="M2296" s="573" t="s">
        <v>157</v>
      </c>
      <c r="N2296" s="573">
        <v>2</v>
      </c>
      <c r="O2296" s="573" t="s">
        <v>3781</v>
      </c>
      <c r="P2296" s="571">
        <v>9200</v>
      </c>
      <c r="Q2296" s="573" t="s">
        <v>3778</v>
      </c>
      <c r="R2296" s="573">
        <v>8</v>
      </c>
      <c r="S2296" s="582" t="s">
        <v>3997</v>
      </c>
      <c r="T2296" s="573" t="s">
        <v>276</v>
      </c>
      <c r="U2296" s="573">
        <v>145</v>
      </c>
      <c r="V2296" s="573">
        <v>23</v>
      </c>
      <c r="W2296" s="616">
        <v>6900</v>
      </c>
      <c r="X2296" s="617">
        <v>19</v>
      </c>
      <c r="Y2296" s="617" t="s">
        <v>450</v>
      </c>
      <c r="Z2296" s="617" t="s">
        <v>178</v>
      </c>
      <c r="AA2296" s="618">
        <v>35730</v>
      </c>
      <c r="AB2296" s="618" t="s">
        <v>164</v>
      </c>
      <c r="AC2296" s="618">
        <v>24489.136842105265</v>
      </c>
      <c r="AD2296" s="619">
        <v>0.03</v>
      </c>
      <c r="AE2296" s="617" t="s">
        <v>4213</v>
      </c>
    </row>
    <row r="2297" spans="1:31" s="572" customFormat="1">
      <c r="A2297" s="570" t="s">
        <v>4224</v>
      </c>
      <c r="B2297" s="569" t="s">
        <v>280</v>
      </c>
      <c r="C2297" s="580">
        <v>27</v>
      </c>
      <c r="D2297" s="569" t="s">
        <v>3374</v>
      </c>
      <c r="E2297" s="569" t="s">
        <v>152</v>
      </c>
      <c r="F2297" s="569" t="s">
        <v>271</v>
      </c>
      <c r="G2297" s="569">
        <v>2019</v>
      </c>
      <c r="H2297" s="569" t="s">
        <v>3765</v>
      </c>
      <c r="I2297" s="569" t="s">
        <v>4207</v>
      </c>
      <c r="J2297" s="569" t="s">
        <v>3377</v>
      </c>
      <c r="K2297" s="569">
        <v>6</v>
      </c>
      <c r="L2297" s="569">
        <v>0</v>
      </c>
      <c r="M2297" s="569" t="s">
        <v>157</v>
      </c>
      <c r="N2297" s="569">
        <v>2</v>
      </c>
      <c r="O2297" s="569" t="s">
        <v>3846</v>
      </c>
      <c r="P2297" s="568">
        <v>10700</v>
      </c>
      <c r="Q2297" s="569" t="s">
        <v>1259</v>
      </c>
      <c r="R2297" s="569">
        <v>6</v>
      </c>
      <c r="S2297" s="569" t="s">
        <v>3997</v>
      </c>
      <c r="T2297" s="569" t="s">
        <v>276</v>
      </c>
      <c r="U2297" s="569">
        <v>163.69999999999999</v>
      </c>
      <c r="V2297" s="569">
        <v>23</v>
      </c>
      <c r="W2297" s="620">
        <v>7050</v>
      </c>
      <c r="X2297" s="621">
        <v>21</v>
      </c>
      <c r="Y2297" s="621" t="s">
        <v>178</v>
      </c>
      <c r="Z2297" s="621" t="s">
        <v>178</v>
      </c>
      <c r="AA2297" s="622">
        <v>36640</v>
      </c>
      <c r="AB2297" s="622" t="s">
        <v>164</v>
      </c>
      <c r="AC2297" s="622">
        <v>25348.084210526318</v>
      </c>
      <c r="AD2297" s="623">
        <v>0.03</v>
      </c>
      <c r="AE2297" s="621" t="s">
        <v>4215</v>
      </c>
    </row>
    <row r="2298" spans="1:31" s="572" customFormat="1">
      <c r="A2298" s="570" t="s">
        <v>4225</v>
      </c>
      <c r="B2298" s="573" t="s">
        <v>280</v>
      </c>
      <c r="C2298" s="578">
        <v>27</v>
      </c>
      <c r="D2298" s="573" t="s">
        <v>3374</v>
      </c>
      <c r="E2298" s="573" t="s">
        <v>152</v>
      </c>
      <c r="F2298" s="573" t="s">
        <v>271</v>
      </c>
      <c r="G2298" s="573">
        <v>2019</v>
      </c>
      <c r="H2298" s="573" t="s">
        <v>3765</v>
      </c>
      <c r="I2298" s="573" t="s">
        <v>4207</v>
      </c>
      <c r="J2298" s="573" t="s">
        <v>3377</v>
      </c>
      <c r="K2298" s="573">
        <v>6</v>
      </c>
      <c r="L2298" s="573">
        <v>0</v>
      </c>
      <c r="M2298" s="573" t="s">
        <v>157</v>
      </c>
      <c r="N2298" s="573">
        <v>2</v>
      </c>
      <c r="O2298" s="573" t="s">
        <v>3846</v>
      </c>
      <c r="P2298" s="571">
        <v>7600</v>
      </c>
      <c r="Q2298" s="573" t="s">
        <v>3841</v>
      </c>
      <c r="R2298" s="573">
        <v>6</v>
      </c>
      <c r="S2298" s="582" t="s">
        <v>3997</v>
      </c>
      <c r="T2298" s="573" t="s">
        <v>276</v>
      </c>
      <c r="U2298" s="573">
        <v>163.69999999999999</v>
      </c>
      <c r="V2298" s="573">
        <v>23</v>
      </c>
      <c r="W2298" s="616">
        <v>6500</v>
      </c>
      <c r="X2298" s="617">
        <v>22</v>
      </c>
      <c r="Y2298" s="617" t="s">
        <v>178</v>
      </c>
      <c r="Z2298" s="617" t="s">
        <v>178</v>
      </c>
      <c r="AA2298" s="618">
        <v>35040</v>
      </c>
      <c r="AB2298" s="618" t="s">
        <v>164</v>
      </c>
      <c r="AC2298" s="618">
        <v>23912.294736842108</v>
      </c>
      <c r="AD2298" s="619">
        <v>0.03</v>
      </c>
      <c r="AE2298" s="617" t="s">
        <v>4217</v>
      </c>
    </row>
    <row r="2299" spans="1:31" s="572" customFormat="1">
      <c r="A2299" s="570" t="s">
        <v>4226</v>
      </c>
      <c r="B2299" s="569" t="s">
        <v>280</v>
      </c>
      <c r="C2299" s="580">
        <v>27</v>
      </c>
      <c r="D2299" s="569" t="s">
        <v>3374</v>
      </c>
      <c r="E2299" s="569" t="s">
        <v>152</v>
      </c>
      <c r="F2299" s="569" t="s">
        <v>271</v>
      </c>
      <c r="G2299" s="569">
        <v>2019</v>
      </c>
      <c r="H2299" s="569" t="s">
        <v>3765</v>
      </c>
      <c r="I2299" s="569" t="s">
        <v>4207</v>
      </c>
      <c r="J2299" s="569" t="s">
        <v>3377</v>
      </c>
      <c r="K2299" s="569">
        <v>6</v>
      </c>
      <c r="L2299" s="569">
        <v>0</v>
      </c>
      <c r="M2299" s="569" t="s">
        <v>157</v>
      </c>
      <c r="N2299" s="569">
        <v>2</v>
      </c>
      <c r="O2299" s="569" t="s">
        <v>3846</v>
      </c>
      <c r="P2299" s="568">
        <v>9200</v>
      </c>
      <c r="Q2299" s="569" t="s">
        <v>3778</v>
      </c>
      <c r="R2299" s="569">
        <v>8</v>
      </c>
      <c r="S2299" s="569" t="s">
        <v>3997</v>
      </c>
      <c r="T2299" s="569" t="s">
        <v>276</v>
      </c>
      <c r="U2299" s="569">
        <v>163.69999999999999</v>
      </c>
      <c r="V2299" s="569">
        <v>23</v>
      </c>
      <c r="W2299" s="620">
        <v>7000</v>
      </c>
      <c r="X2299" s="621">
        <v>19</v>
      </c>
      <c r="Y2299" s="621" t="s">
        <v>450</v>
      </c>
      <c r="Z2299" s="621" t="s">
        <v>178</v>
      </c>
      <c r="AA2299" s="622">
        <v>36040</v>
      </c>
      <c r="AB2299" s="622" t="s">
        <v>164</v>
      </c>
      <c r="AC2299" s="622">
        <v>24809.136842105265</v>
      </c>
      <c r="AD2299" s="623">
        <v>0.03</v>
      </c>
      <c r="AE2299" s="621" t="s">
        <v>4219</v>
      </c>
    </row>
    <row r="2300" spans="1:31" s="572" customFormat="1">
      <c r="A2300" s="570" t="s">
        <v>4227</v>
      </c>
      <c r="B2300" s="573" t="s">
        <v>269</v>
      </c>
      <c r="C2300" s="578" t="s">
        <v>270</v>
      </c>
      <c r="D2300" s="573" t="s">
        <v>3374</v>
      </c>
      <c r="E2300" s="573" t="s">
        <v>196</v>
      </c>
      <c r="F2300" s="573" t="s">
        <v>271</v>
      </c>
      <c r="G2300" s="573">
        <v>2019</v>
      </c>
      <c r="H2300" s="573" t="s">
        <v>4229</v>
      </c>
      <c r="I2300" s="573" t="s">
        <v>3766</v>
      </c>
      <c r="J2300" s="573" t="s">
        <v>3377</v>
      </c>
      <c r="K2300" s="573">
        <v>6</v>
      </c>
      <c r="L2300" s="573">
        <v>0</v>
      </c>
      <c r="M2300" s="573" t="s">
        <v>157</v>
      </c>
      <c r="N2300" s="573">
        <v>2</v>
      </c>
      <c r="O2300" s="573" t="s">
        <v>4230</v>
      </c>
      <c r="P2300" s="571">
        <v>12500</v>
      </c>
      <c r="Q2300" s="573" t="s">
        <v>4231</v>
      </c>
      <c r="R2300" s="573">
        <v>8</v>
      </c>
      <c r="S2300" s="582" t="s">
        <v>4232</v>
      </c>
      <c r="T2300" s="573" t="s">
        <v>366</v>
      </c>
      <c r="U2300" s="573">
        <v>160</v>
      </c>
      <c r="V2300" s="573">
        <v>34</v>
      </c>
      <c r="W2300" s="616">
        <v>10000</v>
      </c>
      <c r="X2300" s="617" t="s">
        <v>157</v>
      </c>
      <c r="Y2300" s="617" t="s">
        <v>728</v>
      </c>
      <c r="Z2300" s="617" t="s">
        <v>1523</v>
      </c>
      <c r="AA2300" s="618">
        <v>47360</v>
      </c>
      <c r="AB2300" s="618" t="s">
        <v>164</v>
      </c>
      <c r="AC2300" s="618">
        <v>34896.42105263158</v>
      </c>
      <c r="AD2300" s="619">
        <v>0.03</v>
      </c>
      <c r="AE2300" s="617" t="s">
        <v>4228</v>
      </c>
    </row>
    <row r="2301" spans="1:31" s="572" customFormat="1">
      <c r="A2301" s="570" t="s">
        <v>4233</v>
      </c>
      <c r="B2301" s="569" t="s">
        <v>269</v>
      </c>
      <c r="C2301" s="580" t="s">
        <v>270</v>
      </c>
      <c r="D2301" s="569" t="s">
        <v>3374</v>
      </c>
      <c r="E2301" s="569" t="s">
        <v>196</v>
      </c>
      <c r="F2301" s="569" t="s">
        <v>271</v>
      </c>
      <c r="G2301" s="569">
        <v>2019</v>
      </c>
      <c r="H2301" s="569" t="s">
        <v>4229</v>
      </c>
      <c r="I2301" s="569" t="s">
        <v>3766</v>
      </c>
      <c r="J2301" s="569" t="s">
        <v>3377</v>
      </c>
      <c r="K2301" s="569">
        <v>6</v>
      </c>
      <c r="L2301" s="569">
        <v>0</v>
      </c>
      <c r="M2301" s="569" t="s">
        <v>157</v>
      </c>
      <c r="N2301" s="569">
        <v>2</v>
      </c>
      <c r="O2301" s="569" t="s">
        <v>4230</v>
      </c>
      <c r="P2301" s="568">
        <v>12900</v>
      </c>
      <c r="Q2301" s="569" t="s">
        <v>4235</v>
      </c>
      <c r="R2301" s="569">
        <v>8</v>
      </c>
      <c r="S2301" s="569" t="s">
        <v>4232</v>
      </c>
      <c r="T2301" s="569" t="s">
        <v>366</v>
      </c>
      <c r="U2301" s="569">
        <v>160</v>
      </c>
      <c r="V2301" s="569">
        <v>34</v>
      </c>
      <c r="W2301" s="620">
        <v>10000</v>
      </c>
      <c r="X2301" s="621" t="s">
        <v>157</v>
      </c>
      <c r="Y2301" s="621" t="s">
        <v>450</v>
      </c>
      <c r="Z2301" s="621" t="s">
        <v>178</v>
      </c>
      <c r="AA2301" s="622">
        <v>37875</v>
      </c>
      <c r="AB2301" s="622" t="s">
        <v>164</v>
      </c>
      <c r="AC2301" s="622">
        <v>26338.231578947369</v>
      </c>
      <c r="AD2301" s="623">
        <v>0.03</v>
      </c>
      <c r="AE2301" s="621" t="s">
        <v>4234</v>
      </c>
    </row>
    <row r="2302" spans="1:31" s="572" customFormat="1">
      <c r="A2302" s="570" t="s">
        <v>4236</v>
      </c>
      <c r="B2302" s="573" t="s">
        <v>269</v>
      </c>
      <c r="C2302" s="578" t="s">
        <v>270</v>
      </c>
      <c r="D2302" s="573" t="s">
        <v>3374</v>
      </c>
      <c r="E2302" s="573" t="s">
        <v>196</v>
      </c>
      <c r="F2302" s="573" t="s">
        <v>271</v>
      </c>
      <c r="G2302" s="573">
        <v>2019</v>
      </c>
      <c r="H2302" s="573" t="s">
        <v>4229</v>
      </c>
      <c r="I2302" s="573" t="s">
        <v>3766</v>
      </c>
      <c r="J2302" s="573" t="s">
        <v>3377</v>
      </c>
      <c r="K2302" s="573">
        <v>6</v>
      </c>
      <c r="L2302" s="573">
        <v>0</v>
      </c>
      <c r="M2302" s="573" t="s">
        <v>157</v>
      </c>
      <c r="N2302" s="573">
        <v>2</v>
      </c>
      <c r="O2302" s="573" t="s">
        <v>3846</v>
      </c>
      <c r="P2302" s="571">
        <v>12500</v>
      </c>
      <c r="Q2302" s="573" t="s">
        <v>4235</v>
      </c>
      <c r="R2302" s="573">
        <v>8</v>
      </c>
      <c r="S2302" s="582" t="s">
        <v>4232</v>
      </c>
      <c r="T2302" s="573" t="s">
        <v>366</v>
      </c>
      <c r="U2302" s="573">
        <v>176</v>
      </c>
      <c r="V2302" s="573">
        <v>48</v>
      </c>
      <c r="W2302" s="616">
        <v>10000</v>
      </c>
      <c r="X2302" s="617" t="s">
        <v>157</v>
      </c>
      <c r="Y2302" s="617" t="s">
        <v>450</v>
      </c>
      <c r="Z2302" s="617" t="s">
        <v>178</v>
      </c>
      <c r="AA2302" s="618">
        <v>38075</v>
      </c>
      <c r="AB2302" s="618" t="s">
        <v>164</v>
      </c>
      <c r="AC2302" s="618">
        <v>26523.494736842105</v>
      </c>
      <c r="AD2302" s="619">
        <v>0.03</v>
      </c>
      <c r="AE2302" s="617" t="s">
        <v>4237</v>
      </c>
    </row>
    <row r="2303" spans="1:31" s="572" customFormat="1">
      <c r="A2303" s="570" t="s">
        <v>4238</v>
      </c>
      <c r="B2303" s="569" t="s">
        <v>269</v>
      </c>
      <c r="C2303" s="580" t="s">
        <v>270</v>
      </c>
      <c r="D2303" s="569" t="s">
        <v>3374</v>
      </c>
      <c r="E2303" s="569" t="s">
        <v>196</v>
      </c>
      <c r="F2303" s="569" t="s">
        <v>271</v>
      </c>
      <c r="G2303" s="569">
        <v>2019</v>
      </c>
      <c r="H2303" s="569" t="s">
        <v>4229</v>
      </c>
      <c r="I2303" s="569" t="s">
        <v>3766</v>
      </c>
      <c r="J2303" s="569" t="s">
        <v>3377</v>
      </c>
      <c r="K2303" s="569">
        <v>6</v>
      </c>
      <c r="L2303" s="569">
        <v>0</v>
      </c>
      <c r="M2303" s="569" t="s">
        <v>157</v>
      </c>
      <c r="N2303" s="569">
        <v>2</v>
      </c>
      <c r="O2303" s="569" t="s">
        <v>3846</v>
      </c>
      <c r="P2303" s="568">
        <v>12500</v>
      </c>
      <c r="Q2303" s="569" t="s">
        <v>4231</v>
      </c>
      <c r="R2303" s="569">
        <v>8</v>
      </c>
      <c r="S2303" s="569" t="s">
        <v>4232</v>
      </c>
      <c r="T2303" s="569" t="s">
        <v>366</v>
      </c>
      <c r="U2303" s="569">
        <v>176</v>
      </c>
      <c r="V2303" s="569">
        <v>48</v>
      </c>
      <c r="W2303" s="620">
        <v>10000</v>
      </c>
      <c r="X2303" s="621" t="s">
        <v>157</v>
      </c>
      <c r="Y2303" s="621" t="s">
        <v>728</v>
      </c>
      <c r="Z2303" s="621" t="s">
        <v>1523</v>
      </c>
      <c r="AA2303" s="622">
        <v>47560</v>
      </c>
      <c r="AB2303" s="622" t="s">
        <v>164</v>
      </c>
      <c r="AC2303" s="622">
        <v>35080.631578947367</v>
      </c>
      <c r="AD2303" s="623">
        <v>0.03</v>
      </c>
      <c r="AE2303" s="621" t="s">
        <v>4239</v>
      </c>
    </row>
    <row r="2304" spans="1:31" s="572" customFormat="1">
      <c r="A2304" s="570" t="s">
        <v>4240</v>
      </c>
      <c r="B2304" s="573" t="s">
        <v>269</v>
      </c>
      <c r="C2304" s="578" t="s">
        <v>270</v>
      </c>
      <c r="D2304" s="573" t="s">
        <v>3374</v>
      </c>
      <c r="E2304" s="573" t="s">
        <v>196</v>
      </c>
      <c r="F2304" s="573" t="s">
        <v>271</v>
      </c>
      <c r="G2304" s="573">
        <v>2019</v>
      </c>
      <c r="H2304" s="573" t="s">
        <v>4229</v>
      </c>
      <c r="I2304" s="573" t="s">
        <v>3766</v>
      </c>
      <c r="J2304" s="573" t="s">
        <v>3377</v>
      </c>
      <c r="K2304" s="573">
        <v>6</v>
      </c>
      <c r="L2304" s="573">
        <v>0</v>
      </c>
      <c r="M2304" s="573" t="s">
        <v>157</v>
      </c>
      <c r="N2304" s="573">
        <v>2</v>
      </c>
      <c r="O2304" s="573" t="s">
        <v>3846</v>
      </c>
      <c r="P2304" s="571">
        <v>12900</v>
      </c>
      <c r="Q2304" s="573" t="s">
        <v>4235</v>
      </c>
      <c r="R2304" s="573">
        <v>8</v>
      </c>
      <c r="S2304" s="582" t="s">
        <v>4232</v>
      </c>
      <c r="T2304" s="573" t="s">
        <v>366</v>
      </c>
      <c r="U2304" s="573">
        <v>176</v>
      </c>
      <c r="V2304" s="573">
        <v>48</v>
      </c>
      <c r="W2304" s="616">
        <v>10000</v>
      </c>
      <c r="X2304" s="617" t="s">
        <v>157</v>
      </c>
      <c r="Y2304" s="617" t="s">
        <v>450</v>
      </c>
      <c r="Z2304" s="617" t="s">
        <v>178</v>
      </c>
      <c r="AA2304" s="618">
        <v>38075</v>
      </c>
      <c r="AB2304" s="618" t="s">
        <v>164</v>
      </c>
      <c r="AC2304" s="618">
        <v>26523.494736842105</v>
      </c>
      <c r="AD2304" s="619">
        <v>0.03</v>
      </c>
      <c r="AE2304" s="617" t="s">
        <v>4241</v>
      </c>
    </row>
    <row r="2305" spans="1:31" s="572" customFormat="1">
      <c r="A2305" s="570" t="s">
        <v>4242</v>
      </c>
      <c r="B2305" s="569" t="s">
        <v>278</v>
      </c>
      <c r="C2305" s="580">
        <v>15</v>
      </c>
      <c r="D2305" s="569" t="s">
        <v>3374</v>
      </c>
      <c r="E2305" s="569" t="s">
        <v>196</v>
      </c>
      <c r="F2305" s="569" t="s">
        <v>271</v>
      </c>
      <c r="G2305" s="569">
        <v>2019</v>
      </c>
      <c r="H2305" s="569" t="s">
        <v>4229</v>
      </c>
      <c r="I2305" s="569" t="s">
        <v>3766</v>
      </c>
      <c r="J2305" s="569" t="s">
        <v>3377</v>
      </c>
      <c r="K2305" s="569">
        <v>6</v>
      </c>
      <c r="L2305" s="569">
        <v>0</v>
      </c>
      <c r="M2305" s="569" t="s">
        <v>157</v>
      </c>
      <c r="N2305" s="569">
        <v>2</v>
      </c>
      <c r="O2305" s="569" t="s">
        <v>4230</v>
      </c>
      <c r="P2305" s="568">
        <v>12500</v>
      </c>
      <c r="Q2305" s="569" t="s">
        <v>4235</v>
      </c>
      <c r="R2305" s="569">
        <v>8</v>
      </c>
      <c r="S2305" s="569" t="s">
        <v>4232</v>
      </c>
      <c r="T2305" s="569" t="s">
        <v>366</v>
      </c>
      <c r="U2305" s="569">
        <v>160</v>
      </c>
      <c r="V2305" s="569">
        <v>34</v>
      </c>
      <c r="W2305" s="620">
        <v>10000</v>
      </c>
      <c r="X2305" s="621">
        <v>15</v>
      </c>
      <c r="Y2305" s="621" t="s">
        <v>450</v>
      </c>
      <c r="Z2305" s="621" t="s">
        <v>178</v>
      </c>
      <c r="AA2305" s="622">
        <v>38240</v>
      </c>
      <c r="AB2305" s="622" t="s">
        <v>164</v>
      </c>
      <c r="AC2305" s="622">
        <v>26800</v>
      </c>
      <c r="AD2305" s="623">
        <v>0.01</v>
      </c>
      <c r="AE2305" s="621" t="s">
        <v>4243</v>
      </c>
    </row>
    <row r="2306" spans="1:31" s="572" customFormat="1">
      <c r="A2306" s="570" t="s">
        <v>4244</v>
      </c>
      <c r="B2306" s="573" t="s">
        <v>278</v>
      </c>
      <c r="C2306" s="578">
        <v>15</v>
      </c>
      <c r="D2306" s="573" t="s">
        <v>3374</v>
      </c>
      <c r="E2306" s="573" t="s">
        <v>196</v>
      </c>
      <c r="F2306" s="573" t="s">
        <v>271</v>
      </c>
      <c r="G2306" s="573">
        <v>2019</v>
      </c>
      <c r="H2306" s="573" t="s">
        <v>4229</v>
      </c>
      <c r="I2306" s="573" t="s">
        <v>3766</v>
      </c>
      <c r="J2306" s="573" t="s">
        <v>3377</v>
      </c>
      <c r="K2306" s="573">
        <v>6</v>
      </c>
      <c r="L2306" s="573">
        <v>0</v>
      </c>
      <c r="M2306" s="573" t="s">
        <v>157</v>
      </c>
      <c r="N2306" s="573">
        <v>2</v>
      </c>
      <c r="O2306" s="573" t="s">
        <v>4230</v>
      </c>
      <c r="P2306" s="571">
        <v>12500</v>
      </c>
      <c r="Q2306" s="573" t="s">
        <v>4231</v>
      </c>
      <c r="R2306" s="573">
        <v>8</v>
      </c>
      <c r="S2306" s="582" t="s">
        <v>4232</v>
      </c>
      <c r="T2306" s="573" t="s">
        <v>366</v>
      </c>
      <c r="U2306" s="573">
        <v>160</v>
      </c>
      <c r="V2306" s="573">
        <v>35</v>
      </c>
      <c r="W2306" s="616">
        <v>10000</v>
      </c>
      <c r="X2306" s="617">
        <v>15</v>
      </c>
      <c r="Y2306" s="617" t="s">
        <v>728</v>
      </c>
      <c r="Z2306" s="617" t="s">
        <v>1523</v>
      </c>
      <c r="AA2306" s="618">
        <v>47360</v>
      </c>
      <c r="AB2306" s="618" t="s">
        <v>164</v>
      </c>
      <c r="AC2306" s="618">
        <v>35050</v>
      </c>
      <c r="AD2306" s="619">
        <v>0.01</v>
      </c>
      <c r="AE2306" s="617" t="s">
        <v>4228</v>
      </c>
    </row>
    <row r="2307" spans="1:31" s="572" customFormat="1">
      <c r="A2307" s="570" t="s">
        <v>4245</v>
      </c>
      <c r="B2307" s="569" t="s">
        <v>278</v>
      </c>
      <c r="C2307" s="580">
        <v>15</v>
      </c>
      <c r="D2307" s="569" t="s">
        <v>3374</v>
      </c>
      <c r="E2307" s="569" t="s">
        <v>196</v>
      </c>
      <c r="F2307" s="569" t="s">
        <v>271</v>
      </c>
      <c r="G2307" s="569">
        <v>2019</v>
      </c>
      <c r="H2307" s="569" t="s">
        <v>4229</v>
      </c>
      <c r="I2307" s="569" t="s">
        <v>3766</v>
      </c>
      <c r="J2307" s="569" t="s">
        <v>3377</v>
      </c>
      <c r="K2307" s="569">
        <v>6</v>
      </c>
      <c r="L2307" s="569">
        <v>0</v>
      </c>
      <c r="M2307" s="569" t="s">
        <v>157</v>
      </c>
      <c r="N2307" s="569">
        <v>2</v>
      </c>
      <c r="O2307" s="569" t="s">
        <v>3846</v>
      </c>
      <c r="P2307" s="568">
        <v>12500</v>
      </c>
      <c r="Q2307" s="569" t="s">
        <v>4235</v>
      </c>
      <c r="R2307" s="569">
        <v>8</v>
      </c>
      <c r="S2307" s="569" t="s">
        <v>4232</v>
      </c>
      <c r="T2307" s="569" t="s">
        <v>366</v>
      </c>
      <c r="U2307" s="569">
        <v>176</v>
      </c>
      <c r="V2307" s="569">
        <v>48</v>
      </c>
      <c r="W2307" s="620">
        <v>10000</v>
      </c>
      <c r="X2307" s="621" t="s">
        <v>157</v>
      </c>
      <c r="Y2307" s="621" t="s">
        <v>450</v>
      </c>
      <c r="Z2307" s="621" t="s">
        <v>178</v>
      </c>
      <c r="AA2307" s="622">
        <v>38440</v>
      </c>
      <c r="AB2307" s="622" t="s">
        <v>164</v>
      </c>
      <c r="AC2307" s="622">
        <v>26995</v>
      </c>
      <c r="AD2307" s="623">
        <v>0.01</v>
      </c>
      <c r="AE2307" s="621" t="s">
        <v>4237</v>
      </c>
    </row>
    <row r="2308" spans="1:31" s="572" customFormat="1">
      <c r="A2308" s="570" t="s">
        <v>4246</v>
      </c>
      <c r="B2308" s="573" t="s">
        <v>278</v>
      </c>
      <c r="C2308" s="578">
        <v>15</v>
      </c>
      <c r="D2308" s="573" t="s">
        <v>3374</v>
      </c>
      <c r="E2308" s="573" t="s">
        <v>196</v>
      </c>
      <c r="F2308" s="573" t="s">
        <v>271</v>
      </c>
      <c r="G2308" s="573">
        <v>2019</v>
      </c>
      <c r="H2308" s="573" t="s">
        <v>4229</v>
      </c>
      <c r="I2308" s="573" t="s">
        <v>3766</v>
      </c>
      <c r="J2308" s="573" t="s">
        <v>3377</v>
      </c>
      <c r="K2308" s="573">
        <v>6</v>
      </c>
      <c r="L2308" s="573">
        <v>0</v>
      </c>
      <c r="M2308" s="573" t="s">
        <v>157</v>
      </c>
      <c r="N2308" s="573">
        <v>2</v>
      </c>
      <c r="O2308" s="573" t="s">
        <v>3846</v>
      </c>
      <c r="P2308" s="571">
        <v>12500</v>
      </c>
      <c r="Q2308" s="573" t="s">
        <v>4231</v>
      </c>
      <c r="R2308" s="573">
        <v>8</v>
      </c>
      <c r="S2308" s="582" t="s">
        <v>4232</v>
      </c>
      <c r="T2308" s="573" t="s">
        <v>366</v>
      </c>
      <c r="U2308" s="573">
        <v>176</v>
      </c>
      <c r="V2308" s="573">
        <v>35</v>
      </c>
      <c r="W2308" s="616">
        <v>10000</v>
      </c>
      <c r="X2308" s="617">
        <v>14</v>
      </c>
      <c r="Y2308" s="617" t="s">
        <v>728</v>
      </c>
      <c r="Z2308" s="617" t="s">
        <v>1523</v>
      </c>
      <c r="AA2308" s="618">
        <v>47560</v>
      </c>
      <c r="AB2308" s="618" t="s">
        <v>164</v>
      </c>
      <c r="AC2308" s="618">
        <v>35250</v>
      </c>
      <c r="AD2308" s="619">
        <v>0.01</v>
      </c>
      <c r="AE2308" s="617" t="s">
        <v>4247</v>
      </c>
    </row>
    <row r="2309" spans="1:31" s="572" customFormat="1">
      <c r="A2309" s="570" t="s">
        <v>4248</v>
      </c>
      <c r="B2309" s="569" t="s">
        <v>287</v>
      </c>
      <c r="C2309" s="580">
        <v>26</v>
      </c>
      <c r="D2309" s="569" t="s">
        <v>3374</v>
      </c>
      <c r="E2309" s="569" t="s">
        <v>196</v>
      </c>
      <c r="F2309" s="569" t="s">
        <v>271</v>
      </c>
      <c r="G2309" s="569">
        <v>2019</v>
      </c>
      <c r="H2309" s="569" t="s">
        <v>4229</v>
      </c>
      <c r="I2309" s="569" t="s">
        <v>3766</v>
      </c>
      <c r="J2309" s="569" t="s">
        <v>3377</v>
      </c>
      <c r="K2309" s="569">
        <v>6</v>
      </c>
      <c r="L2309" s="569">
        <v>0</v>
      </c>
      <c r="M2309" s="569" t="s">
        <v>157</v>
      </c>
      <c r="N2309" s="569">
        <v>2</v>
      </c>
      <c r="O2309" s="569" t="s">
        <v>4230</v>
      </c>
      <c r="P2309" s="568">
        <v>12500</v>
      </c>
      <c r="Q2309" s="569" t="s">
        <v>4235</v>
      </c>
      <c r="R2309" s="569">
        <v>8</v>
      </c>
      <c r="S2309" s="569" t="s">
        <v>4232</v>
      </c>
      <c r="T2309" s="569" t="s">
        <v>366</v>
      </c>
      <c r="U2309" s="569">
        <v>160</v>
      </c>
      <c r="V2309" s="569">
        <v>34</v>
      </c>
      <c r="W2309" s="620">
        <v>10000</v>
      </c>
      <c r="X2309" s="621">
        <v>15</v>
      </c>
      <c r="Y2309" s="621" t="s">
        <v>450</v>
      </c>
      <c r="Z2309" s="621" t="s">
        <v>178</v>
      </c>
      <c r="AA2309" s="622">
        <v>37875</v>
      </c>
      <c r="AB2309" s="622" t="s">
        <v>164</v>
      </c>
      <c r="AC2309" s="622">
        <v>26094</v>
      </c>
      <c r="AD2309" s="623">
        <v>0.05</v>
      </c>
      <c r="AE2309" s="621" t="s">
        <v>4243</v>
      </c>
    </row>
    <row r="2310" spans="1:31" s="572" customFormat="1">
      <c r="A2310" s="570" t="s">
        <v>4249</v>
      </c>
      <c r="B2310" s="573" t="s">
        <v>287</v>
      </c>
      <c r="C2310" s="578">
        <v>26</v>
      </c>
      <c r="D2310" s="573" t="s">
        <v>3374</v>
      </c>
      <c r="E2310" s="573" t="s">
        <v>196</v>
      </c>
      <c r="F2310" s="573" t="s">
        <v>271</v>
      </c>
      <c r="G2310" s="573">
        <v>2019</v>
      </c>
      <c r="H2310" s="573" t="s">
        <v>4229</v>
      </c>
      <c r="I2310" s="573" t="s">
        <v>3766</v>
      </c>
      <c r="J2310" s="573" t="s">
        <v>3377</v>
      </c>
      <c r="K2310" s="573">
        <v>6</v>
      </c>
      <c r="L2310" s="573">
        <v>0</v>
      </c>
      <c r="M2310" s="573" t="s">
        <v>157</v>
      </c>
      <c r="N2310" s="573">
        <v>2</v>
      </c>
      <c r="O2310" s="573" t="s">
        <v>4230</v>
      </c>
      <c r="P2310" s="571">
        <v>12500</v>
      </c>
      <c r="Q2310" s="573" t="s">
        <v>4231</v>
      </c>
      <c r="R2310" s="573">
        <v>8</v>
      </c>
      <c r="S2310" s="582" t="s">
        <v>4232</v>
      </c>
      <c r="T2310" s="573" t="s">
        <v>366</v>
      </c>
      <c r="U2310" s="573">
        <v>160</v>
      </c>
      <c r="V2310" s="573">
        <v>35</v>
      </c>
      <c r="W2310" s="616">
        <v>10000</v>
      </c>
      <c r="X2310" s="617">
        <v>15</v>
      </c>
      <c r="Y2310" s="617" t="s">
        <v>728</v>
      </c>
      <c r="Z2310" s="617" t="s">
        <v>1523</v>
      </c>
      <c r="AA2310" s="618">
        <v>46870</v>
      </c>
      <c r="AB2310" s="618" t="s">
        <v>164</v>
      </c>
      <c r="AC2310" s="618">
        <v>35098</v>
      </c>
      <c r="AD2310" s="619">
        <v>0.05</v>
      </c>
      <c r="AE2310" s="617" t="s">
        <v>4228</v>
      </c>
    </row>
    <row r="2311" spans="1:31" s="572" customFormat="1">
      <c r="A2311" s="570" t="s">
        <v>4250</v>
      </c>
      <c r="B2311" s="569" t="s">
        <v>287</v>
      </c>
      <c r="C2311" s="580">
        <v>26</v>
      </c>
      <c r="D2311" s="569" t="s">
        <v>3374</v>
      </c>
      <c r="E2311" s="569" t="s">
        <v>196</v>
      </c>
      <c r="F2311" s="569" t="s">
        <v>271</v>
      </c>
      <c r="G2311" s="569">
        <v>2019</v>
      </c>
      <c r="H2311" s="569" t="s">
        <v>4229</v>
      </c>
      <c r="I2311" s="569" t="s">
        <v>3766</v>
      </c>
      <c r="J2311" s="569" t="s">
        <v>3377</v>
      </c>
      <c r="K2311" s="569">
        <v>6</v>
      </c>
      <c r="L2311" s="569">
        <v>0</v>
      </c>
      <c r="M2311" s="569" t="s">
        <v>157</v>
      </c>
      <c r="N2311" s="569">
        <v>2</v>
      </c>
      <c r="O2311" s="569" t="s">
        <v>3846</v>
      </c>
      <c r="P2311" s="568">
        <v>12500</v>
      </c>
      <c r="Q2311" s="569" t="s">
        <v>4235</v>
      </c>
      <c r="R2311" s="569">
        <v>8</v>
      </c>
      <c r="S2311" s="569" t="s">
        <v>4232</v>
      </c>
      <c r="T2311" s="569" t="s">
        <v>366</v>
      </c>
      <c r="U2311" s="569">
        <v>176</v>
      </c>
      <c r="V2311" s="569">
        <v>48</v>
      </c>
      <c r="W2311" s="620">
        <v>10000</v>
      </c>
      <c r="X2311" s="621" t="s">
        <v>157</v>
      </c>
      <c r="Y2311" s="621" t="s">
        <v>450</v>
      </c>
      <c r="Z2311" s="621" t="s">
        <v>178</v>
      </c>
      <c r="AA2311" s="622">
        <v>38075</v>
      </c>
      <c r="AB2311" s="622" t="s">
        <v>164</v>
      </c>
      <c r="AC2311" s="622">
        <v>27092</v>
      </c>
      <c r="AD2311" s="623">
        <v>0.05</v>
      </c>
      <c r="AE2311" s="621" t="s">
        <v>4237</v>
      </c>
    </row>
    <row r="2312" spans="1:31" s="572" customFormat="1">
      <c r="A2312" s="570" t="s">
        <v>4251</v>
      </c>
      <c r="B2312" s="573" t="s">
        <v>287</v>
      </c>
      <c r="C2312" s="578">
        <v>26</v>
      </c>
      <c r="D2312" s="573" t="s">
        <v>3374</v>
      </c>
      <c r="E2312" s="573" t="s">
        <v>196</v>
      </c>
      <c r="F2312" s="573" t="s">
        <v>271</v>
      </c>
      <c r="G2312" s="573">
        <v>2019</v>
      </c>
      <c r="H2312" s="573" t="s">
        <v>4229</v>
      </c>
      <c r="I2312" s="573" t="s">
        <v>3766</v>
      </c>
      <c r="J2312" s="573" t="s">
        <v>3377</v>
      </c>
      <c r="K2312" s="573">
        <v>6</v>
      </c>
      <c r="L2312" s="573">
        <v>0</v>
      </c>
      <c r="M2312" s="573" t="s">
        <v>157</v>
      </c>
      <c r="N2312" s="573">
        <v>2</v>
      </c>
      <c r="O2312" s="573" t="s">
        <v>3846</v>
      </c>
      <c r="P2312" s="571">
        <v>12500</v>
      </c>
      <c r="Q2312" s="573" t="s">
        <v>4231</v>
      </c>
      <c r="R2312" s="573">
        <v>8</v>
      </c>
      <c r="S2312" s="582" t="s">
        <v>4232</v>
      </c>
      <c r="T2312" s="573" t="s">
        <v>366</v>
      </c>
      <c r="U2312" s="573">
        <v>176</v>
      </c>
      <c r="V2312" s="573">
        <v>35</v>
      </c>
      <c r="W2312" s="616">
        <v>10000</v>
      </c>
      <c r="X2312" s="617">
        <v>14</v>
      </c>
      <c r="Y2312" s="617" t="s">
        <v>728</v>
      </c>
      <c r="Z2312" s="617" t="s">
        <v>1523</v>
      </c>
      <c r="AA2312" s="618">
        <v>47070</v>
      </c>
      <c r="AB2312" s="618" t="s">
        <v>164</v>
      </c>
      <c r="AC2312" s="618">
        <v>35286</v>
      </c>
      <c r="AD2312" s="619">
        <v>0.05</v>
      </c>
      <c r="AE2312" s="617" t="s">
        <v>4247</v>
      </c>
    </row>
    <row r="2313" spans="1:31" s="572" customFormat="1">
      <c r="A2313" s="570" t="s">
        <v>4252</v>
      </c>
      <c r="B2313" s="569" t="s">
        <v>280</v>
      </c>
      <c r="C2313" s="580">
        <v>27</v>
      </c>
      <c r="D2313" s="569" t="s">
        <v>3374</v>
      </c>
      <c r="E2313" s="569" t="s">
        <v>196</v>
      </c>
      <c r="F2313" s="569" t="s">
        <v>271</v>
      </c>
      <c r="G2313" s="569">
        <v>2019</v>
      </c>
      <c r="H2313" s="569" t="s">
        <v>4229</v>
      </c>
      <c r="I2313" s="569" t="s">
        <v>3766</v>
      </c>
      <c r="J2313" s="569" t="s">
        <v>3377</v>
      </c>
      <c r="K2313" s="569">
        <v>6</v>
      </c>
      <c r="L2313" s="569">
        <v>0</v>
      </c>
      <c r="M2313" s="569" t="s">
        <v>157</v>
      </c>
      <c r="N2313" s="569">
        <v>2</v>
      </c>
      <c r="O2313" s="569" t="s">
        <v>4230</v>
      </c>
      <c r="P2313" s="568">
        <v>12500</v>
      </c>
      <c r="Q2313" s="569" t="s">
        <v>4231</v>
      </c>
      <c r="R2313" s="569">
        <v>8</v>
      </c>
      <c r="S2313" s="569" t="s">
        <v>4232</v>
      </c>
      <c r="T2313" s="569" t="s">
        <v>366</v>
      </c>
      <c r="U2313" s="569">
        <v>160</v>
      </c>
      <c r="V2313" s="569">
        <v>34</v>
      </c>
      <c r="W2313" s="620">
        <v>10000</v>
      </c>
      <c r="X2313" s="621" t="s">
        <v>157</v>
      </c>
      <c r="Y2313" s="621" t="s">
        <v>728</v>
      </c>
      <c r="Z2313" s="621" t="s">
        <v>1523</v>
      </c>
      <c r="AA2313" s="622">
        <v>47360</v>
      </c>
      <c r="AB2313" s="622" t="s">
        <v>164</v>
      </c>
      <c r="AC2313" s="622">
        <v>34896.42105263158</v>
      </c>
      <c r="AD2313" s="623">
        <v>0.03</v>
      </c>
      <c r="AE2313" s="621" t="s">
        <v>4228</v>
      </c>
    </row>
    <row r="2314" spans="1:31" s="572" customFormat="1">
      <c r="A2314" s="570" t="s">
        <v>4253</v>
      </c>
      <c r="B2314" s="573" t="s">
        <v>280</v>
      </c>
      <c r="C2314" s="578">
        <v>27</v>
      </c>
      <c r="D2314" s="573" t="s">
        <v>3374</v>
      </c>
      <c r="E2314" s="573" t="s">
        <v>196</v>
      </c>
      <c r="F2314" s="573" t="s">
        <v>271</v>
      </c>
      <c r="G2314" s="573">
        <v>2019</v>
      </c>
      <c r="H2314" s="573" t="s">
        <v>4229</v>
      </c>
      <c r="I2314" s="573" t="s">
        <v>3766</v>
      </c>
      <c r="J2314" s="573" t="s">
        <v>3377</v>
      </c>
      <c r="K2314" s="573">
        <v>6</v>
      </c>
      <c r="L2314" s="573">
        <v>0</v>
      </c>
      <c r="M2314" s="573" t="s">
        <v>157</v>
      </c>
      <c r="N2314" s="573">
        <v>2</v>
      </c>
      <c r="O2314" s="573" t="s">
        <v>4230</v>
      </c>
      <c r="P2314" s="571">
        <v>12900</v>
      </c>
      <c r="Q2314" s="573" t="s">
        <v>4235</v>
      </c>
      <c r="R2314" s="573">
        <v>8</v>
      </c>
      <c r="S2314" s="582" t="s">
        <v>4232</v>
      </c>
      <c r="T2314" s="573" t="s">
        <v>366</v>
      </c>
      <c r="U2314" s="573">
        <v>160</v>
      </c>
      <c r="V2314" s="573">
        <v>34</v>
      </c>
      <c r="W2314" s="616">
        <v>10000</v>
      </c>
      <c r="X2314" s="617" t="s">
        <v>157</v>
      </c>
      <c r="Y2314" s="617" t="s">
        <v>450</v>
      </c>
      <c r="Z2314" s="617" t="s">
        <v>178</v>
      </c>
      <c r="AA2314" s="618">
        <v>37875</v>
      </c>
      <c r="AB2314" s="618" t="s">
        <v>164</v>
      </c>
      <c r="AC2314" s="618">
        <v>26338.231578947369</v>
      </c>
      <c r="AD2314" s="619">
        <v>0.03</v>
      </c>
      <c r="AE2314" s="617" t="s">
        <v>4234</v>
      </c>
    </row>
    <row r="2315" spans="1:31" s="572" customFormat="1">
      <c r="A2315" s="570" t="s">
        <v>4254</v>
      </c>
      <c r="B2315" s="569" t="s">
        <v>280</v>
      </c>
      <c r="C2315" s="580">
        <v>27</v>
      </c>
      <c r="D2315" s="569" t="s">
        <v>3374</v>
      </c>
      <c r="E2315" s="569" t="s">
        <v>196</v>
      </c>
      <c r="F2315" s="569" t="s">
        <v>271</v>
      </c>
      <c r="G2315" s="569">
        <v>2019</v>
      </c>
      <c r="H2315" s="569" t="s">
        <v>4229</v>
      </c>
      <c r="I2315" s="569" t="s">
        <v>3766</v>
      </c>
      <c r="J2315" s="569" t="s">
        <v>3377</v>
      </c>
      <c r="K2315" s="569">
        <v>6</v>
      </c>
      <c r="L2315" s="569">
        <v>0</v>
      </c>
      <c r="M2315" s="569" t="s">
        <v>157</v>
      </c>
      <c r="N2315" s="569">
        <v>2</v>
      </c>
      <c r="O2315" s="569" t="s">
        <v>3846</v>
      </c>
      <c r="P2315" s="568">
        <v>12500</v>
      </c>
      <c r="Q2315" s="569" t="s">
        <v>4235</v>
      </c>
      <c r="R2315" s="569">
        <v>8</v>
      </c>
      <c r="S2315" s="569" t="s">
        <v>4232</v>
      </c>
      <c r="T2315" s="569" t="s">
        <v>366</v>
      </c>
      <c r="U2315" s="569">
        <v>176</v>
      </c>
      <c r="V2315" s="569">
        <v>48</v>
      </c>
      <c r="W2315" s="620">
        <v>10000</v>
      </c>
      <c r="X2315" s="621" t="s">
        <v>157</v>
      </c>
      <c r="Y2315" s="621" t="s">
        <v>450</v>
      </c>
      <c r="Z2315" s="621" t="s">
        <v>178</v>
      </c>
      <c r="AA2315" s="622">
        <v>38075</v>
      </c>
      <c r="AB2315" s="622" t="s">
        <v>164</v>
      </c>
      <c r="AC2315" s="622">
        <v>26523.494736842105</v>
      </c>
      <c r="AD2315" s="623">
        <v>0.03</v>
      </c>
      <c r="AE2315" s="621" t="s">
        <v>4237</v>
      </c>
    </row>
    <row r="2316" spans="1:31" s="572" customFormat="1">
      <c r="A2316" s="570" t="s">
        <v>4255</v>
      </c>
      <c r="B2316" s="573" t="s">
        <v>280</v>
      </c>
      <c r="C2316" s="578">
        <v>27</v>
      </c>
      <c r="D2316" s="573" t="s">
        <v>3374</v>
      </c>
      <c r="E2316" s="573" t="s">
        <v>196</v>
      </c>
      <c r="F2316" s="573" t="s">
        <v>271</v>
      </c>
      <c r="G2316" s="573">
        <v>2019</v>
      </c>
      <c r="H2316" s="573" t="s">
        <v>4229</v>
      </c>
      <c r="I2316" s="573" t="s">
        <v>3766</v>
      </c>
      <c r="J2316" s="573" t="s">
        <v>3377</v>
      </c>
      <c r="K2316" s="573">
        <v>6</v>
      </c>
      <c r="L2316" s="573">
        <v>0</v>
      </c>
      <c r="M2316" s="573" t="s">
        <v>157</v>
      </c>
      <c r="N2316" s="573">
        <v>2</v>
      </c>
      <c r="O2316" s="573" t="s">
        <v>3846</v>
      </c>
      <c r="P2316" s="571">
        <v>12500</v>
      </c>
      <c r="Q2316" s="573" t="s">
        <v>4231</v>
      </c>
      <c r="R2316" s="573">
        <v>8</v>
      </c>
      <c r="S2316" s="582" t="s">
        <v>4232</v>
      </c>
      <c r="T2316" s="573" t="s">
        <v>366</v>
      </c>
      <c r="U2316" s="573">
        <v>176</v>
      </c>
      <c r="V2316" s="573">
        <v>48</v>
      </c>
      <c r="W2316" s="616">
        <v>10000</v>
      </c>
      <c r="X2316" s="617" t="s">
        <v>157</v>
      </c>
      <c r="Y2316" s="617" t="s">
        <v>728</v>
      </c>
      <c r="Z2316" s="617" t="s">
        <v>1523</v>
      </c>
      <c r="AA2316" s="618">
        <v>47560</v>
      </c>
      <c r="AB2316" s="618" t="s">
        <v>164</v>
      </c>
      <c r="AC2316" s="618">
        <v>35080.631578947367</v>
      </c>
      <c r="AD2316" s="619">
        <v>0.03</v>
      </c>
      <c r="AE2316" s="617" t="s">
        <v>4239</v>
      </c>
    </row>
    <row r="2317" spans="1:31" s="572" customFormat="1">
      <c r="A2317" s="570" t="s">
        <v>4256</v>
      </c>
      <c r="B2317" s="569" t="s">
        <v>280</v>
      </c>
      <c r="C2317" s="580">
        <v>27</v>
      </c>
      <c r="D2317" s="569" t="s">
        <v>3374</v>
      </c>
      <c r="E2317" s="569" t="s">
        <v>196</v>
      </c>
      <c r="F2317" s="569" t="s">
        <v>271</v>
      </c>
      <c r="G2317" s="569">
        <v>2019</v>
      </c>
      <c r="H2317" s="569" t="s">
        <v>4229</v>
      </c>
      <c r="I2317" s="569" t="s">
        <v>3766</v>
      </c>
      <c r="J2317" s="569" t="s">
        <v>3377</v>
      </c>
      <c r="K2317" s="569">
        <v>6</v>
      </c>
      <c r="L2317" s="569">
        <v>0</v>
      </c>
      <c r="M2317" s="569" t="s">
        <v>157</v>
      </c>
      <c r="N2317" s="569">
        <v>2</v>
      </c>
      <c r="O2317" s="569" t="s">
        <v>3846</v>
      </c>
      <c r="P2317" s="568">
        <v>12900</v>
      </c>
      <c r="Q2317" s="569" t="s">
        <v>4235</v>
      </c>
      <c r="R2317" s="569">
        <v>8</v>
      </c>
      <c r="S2317" s="569" t="s">
        <v>4232</v>
      </c>
      <c r="T2317" s="569" t="s">
        <v>366</v>
      </c>
      <c r="U2317" s="569">
        <v>176</v>
      </c>
      <c r="V2317" s="569">
        <v>48</v>
      </c>
      <c r="W2317" s="620">
        <v>10000</v>
      </c>
      <c r="X2317" s="621" t="s">
        <v>157</v>
      </c>
      <c r="Y2317" s="621" t="s">
        <v>450</v>
      </c>
      <c r="Z2317" s="621" t="s">
        <v>178</v>
      </c>
      <c r="AA2317" s="622">
        <v>38075</v>
      </c>
      <c r="AB2317" s="622" t="s">
        <v>164</v>
      </c>
      <c r="AC2317" s="622">
        <v>26523.494736842105</v>
      </c>
      <c r="AD2317" s="623">
        <v>0.03</v>
      </c>
      <c r="AE2317" s="621" t="s">
        <v>4241</v>
      </c>
    </row>
    <row r="2318" spans="1:31" s="572" customFormat="1">
      <c r="A2318" s="570" t="s">
        <v>4257</v>
      </c>
      <c r="B2318" s="573" t="s">
        <v>269</v>
      </c>
      <c r="C2318" s="578" t="s">
        <v>270</v>
      </c>
      <c r="D2318" s="573" t="s">
        <v>3374</v>
      </c>
      <c r="E2318" s="573" t="s">
        <v>196</v>
      </c>
      <c r="F2318" s="573" t="s">
        <v>271</v>
      </c>
      <c r="G2318" s="573">
        <v>2019</v>
      </c>
      <c r="H2318" s="573" t="s">
        <v>4229</v>
      </c>
      <c r="I2318" s="573" t="s">
        <v>3766</v>
      </c>
      <c r="J2318" s="573" t="s">
        <v>752</v>
      </c>
      <c r="K2318" s="573">
        <v>6</v>
      </c>
      <c r="L2318" s="573">
        <v>0</v>
      </c>
      <c r="M2318" s="573" t="s">
        <v>157</v>
      </c>
      <c r="N2318" s="573">
        <v>2</v>
      </c>
      <c r="O2318" s="573" t="s">
        <v>4230</v>
      </c>
      <c r="P2318" s="571">
        <v>12200</v>
      </c>
      <c r="Q2318" s="573" t="s">
        <v>4231</v>
      </c>
      <c r="R2318" s="573">
        <v>8</v>
      </c>
      <c r="S2318" s="582" t="s">
        <v>4259</v>
      </c>
      <c r="T2318" s="573" t="s">
        <v>366</v>
      </c>
      <c r="U2318" s="573">
        <v>160</v>
      </c>
      <c r="V2318" s="573">
        <v>34</v>
      </c>
      <c r="W2318" s="616">
        <v>10000</v>
      </c>
      <c r="X2318" s="617" t="s">
        <v>157</v>
      </c>
      <c r="Y2318" s="617" t="s">
        <v>728</v>
      </c>
      <c r="Z2318" s="617" t="s">
        <v>1523</v>
      </c>
      <c r="AA2318" s="618">
        <v>45700</v>
      </c>
      <c r="AB2318" s="618" t="s">
        <v>164</v>
      </c>
      <c r="AC2318" s="618">
        <v>33566.652631578945</v>
      </c>
      <c r="AD2318" s="619">
        <v>0.03</v>
      </c>
      <c r="AE2318" s="617" t="s">
        <v>4258</v>
      </c>
    </row>
    <row r="2319" spans="1:31" s="572" customFormat="1">
      <c r="A2319" s="570" t="s">
        <v>4260</v>
      </c>
      <c r="B2319" s="569" t="s">
        <v>269</v>
      </c>
      <c r="C2319" s="580" t="s">
        <v>270</v>
      </c>
      <c r="D2319" s="569" t="s">
        <v>3374</v>
      </c>
      <c r="E2319" s="569" t="s">
        <v>196</v>
      </c>
      <c r="F2319" s="569" t="s">
        <v>271</v>
      </c>
      <c r="G2319" s="569">
        <v>2019</v>
      </c>
      <c r="H2319" s="569" t="s">
        <v>4229</v>
      </c>
      <c r="I2319" s="569" t="s">
        <v>3766</v>
      </c>
      <c r="J2319" s="569" t="s">
        <v>752</v>
      </c>
      <c r="K2319" s="569">
        <v>6</v>
      </c>
      <c r="L2319" s="569">
        <v>0</v>
      </c>
      <c r="M2319" s="569" t="s">
        <v>157</v>
      </c>
      <c r="N2319" s="569">
        <v>2</v>
      </c>
      <c r="O2319" s="569" t="s">
        <v>4230</v>
      </c>
      <c r="P2319" s="568">
        <v>12500</v>
      </c>
      <c r="Q2319" s="569" t="s">
        <v>4235</v>
      </c>
      <c r="R2319" s="569">
        <v>8</v>
      </c>
      <c r="S2319" s="569" t="s">
        <v>4259</v>
      </c>
      <c r="T2319" s="569" t="s">
        <v>366</v>
      </c>
      <c r="U2319" s="569">
        <v>160</v>
      </c>
      <c r="V2319" s="569">
        <v>34</v>
      </c>
      <c r="W2319" s="620">
        <v>10000</v>
      </c>
      <c r="X2319" s="621" t="s">
        <v>157</v>
      </c>
      <c r="Y2319" s="621" t="s">
        <v>450</v>
      </c>
      <c r="Z2319" s="621" t="s">
        <v>178</v>
      </c>
      <c r="AA2319" s="622">
        <v>40675</v>
      </c>
      <c r="AB2319" s="622" t="s">
        <v>164</v>
      </c>
      <c r="AC2319" s="622">
        <v>28924.547368421052</v>
      </c>
      <c r="AD2319" s="623">
        <v>0.03</v>
      </c>
      <c r="AE2319" s="621" t="s">
        <v>4261</v>
      </c>
    </row>
    <row r="2320" spans="1:31" s="572" customFormat="1">
      <c r="A2320" s="570" t="s">
        <v>4262</v>
      </c>
      <c r="B2320" s="573" t="s">
        <v>269</v>
      </c>
      <c r="C2320" s="578" t="s">
        <v>270</v>
      </c>
      <c r="D2320" s="573" t="s">
        <v>3374</v>
      </c>
      <c r="E2320" s="573" t="s">
        <v>196</v>
      </c>
      <c r="F2320" s="573" t="s">
        <v>271</v>
      </c>
      <c r="G2320" s="573">
        <v>2019</v>
      </c>
      <c r="H2320" s="573" t="s">
        <v>4229</v>
      </c>
      <c r="I2320" s="573" t="s">
        <v>3766</v>
      </c>
      <c r="J2320" s="573" t="s">
        <v>752</v>
      </c>
      <c r="K2320" s="573">
        <v>6</v>
      </c>
      <c r="L2320" s="573">
        <v>0</v>
      </c>
      <c r="M2320" s="573" t="s">
        <v>157</v>
      </c>
      <c r="N2320" s="573">
        <v>2</v>
      </c>
      <c r="O2320" s="573" t="s">
        <v>3846</v>
      </c>
      <c r="P2320" s="571">
        <v>12200</v>
      </c>
      <c r="Q2320" s="573" t="s">
        <v>4231</v>
      </c>
      <c r="R2320" s="573">
        <v>8</v>
      </c>
      <c r="S2320" s="582" t="s">
        <v>4259</v>
      </c>
      <c r="T2320" s="573" t="s">
        <v>366</v>
      </c>
      <c r="U2320" s="573">
        <v>176</v>
      </c>
      <c r="V2320" s="573">
        <v>48</v>
      </c>
      <c r="W2320" s="616">
        <v>10000</v>
      </c>
      <c r="X2320" s="617" t="s">
        <v>157</v>
      </c>
      <c r="Y2320" s="617" t="s">
        <v>728</v>
      </c>
      <c r="Z2320" s="617" t="s">
        <v>1523</v>
      </c>
      <c r="AA2320" s="618">
        <v>50365</v>
      </c>
      <c r="AB2320" s="618" t="s">
        <v>164</v>
      </c>
      <c r="AC2320" s="618">
        <v>37672.210526315786</v>
      </c>
      <c r="AD2320" s="619">
        <v>0.03</v>
      </c>
      <c r="AE2320" s="617" t="s">
        <v>4263</v>
      </c>
    </row>
    <row r="2321" spans="1:31" s="572" customFormat="1">
      <c r="A2321" s="570" t="s">
        <v>4264</v>
      </c>
      <c r="B2321" s="569" t="s">
        <v>269</v>
      </c>
      <c r="C2321" s="580" t="s">
        <v>270</v>
      </c>
      <c r="D2321" s="569" t="s">
        <v>3374</v>
      </c>
      <c r="E2321" s="569" t="s">
        <v>196</v>
      </c>
      <c r="F2321" s="569" t="s">
        <v>271</v>
      </c>
      <c r="G2321" s="569">
        <v>2019</v>
      </c>
      <c r="H2321" s="569" t="s">
        <v>4229</v>
      </c>
      <c r="I2321" s="569" t="s">
        <v>3766</v>
      </c>
      <c r="J2321" s="569" t="s">
        <v>752</v>
      </c>
      <c r="K2321" s="569">
        <v>6</v>
      </c>
      <c r="L2321" s="569">
        <v>0</v>
      </c>
      <c r="M2321" s="569" t="s">
        <v>157</v>
      </c>
      <c r="N2321" s="569">
        <v>2</v>
      </c>
      <c r="O2321" s="569" t="s">
        <v>3846</v>
      </c>
      <c r="P2321" s="568">
        <v>12500</v>
      </c>
      <c r="Q2321" s="569" t="s">
        <v>4235</v>
      </c>
      <c r="R2321" s="569">
        <v>8</v>
      </c>
      <c r="S2321" s="569" t="s">
        <v>4259</v>
      </c>
      <c r="T2321" s="569" t="s">
        <v>366</v>
      </c>
      <c r="U2321" s="569">
        <v>176</v>
      </c>
      <c r="V2321" s="569">
        <v>48</v>
      </c>
      <c r="W2321" s="620">
        <v>10000</v>
      </c>
      <c r="X2321" s="621" t="s">
        <v>157</v>
      </c>
      <c r="Y2321" s="621" t="s">
        <v>450</v>
      </c>
      <c r="Z2321" s="621" t="s">
        <v>178</v>
      </c>
      <c r="AA2321" s="622">
        <v>40880</v>
      </c>
      <c r="AB2321" s="622" t="s">
        <v>164</v>
      </c>
      <c r="AC2321" s="622">
        <v>29112.968421052632</v>
      </c>
      <c r="AD2321" s="623">
        <v>0.03</v>
      </c>
      <c r="AE2321" s="621" t="s">
        <v>4265</v>
      </c>
    </row>
    <row r="2322" spans="1:31" s="572" customFormat="1">
      <c r="A2322" s="570" t="s">
        <v>4266</v>
      </c>
      <c r="B2322" s="573" t="s">
        <v>278</v>
      </c>
      <c r="C2322" s="578">
        <v>15</v>
      </c>
      <c r="D2322" s="573" t="s">
        <v>3374</v>
      </c>
      <c r="E2322" s="573" t="s">
        <v>196</v>
      </c>
      <c r="F2322" s="573" t="s">
        <v>271</v>
      </c>
      <c r="G2322" s="573">
        <v>2019</v>
      </c>
      <c r="H2322" s="573" t="s">
        <v>4229</v>
      </c>
      <c r="I2322" s="573" t="s">
        <v>3766</v>
      </c>
      <c r="J2322" s="573" t="s">
        <v>752</v>
      </c>
      <c r="K2322" s="573">
        <v>6</v>
      </c>
      <c r="L2322" s="573">
        <v>0</v>
      </c>
      <c r="M2322" s="573" t="s">
        <v>157</v>
      </c>
      <c r="N2322" s="573">
        <v>2</v>
      </c>
      <c r="O2322" s="573" t="s">
        <v>4230</v>
      </c>
      <c r="P2322" s="571">
        <v>12200</v>
      </c>
      <c r="Q2322" s="573" t="s">
        <v>4235</v>
      </c>
      <c r="R2322" s="573">
        <v>8</v>
      </c>
      <c r="S2322" s="582" t="s">
        <v>4259</v>
      </c>
      <c r="T2322" s="573" t="s">
        <v>366</v>
      </c>
      <c r="U2322" s="573">
        <v>160</v>
      </c>
      <c r="V2322" s="573">
        <v>34</v>
      </c>
      <c r="W2322" s="616">
        <v>10000</v>
      </c>
      <c r="X2322" s="617" t="s">
        <v>157</v>
      </c>
      <c r="Y2322" s="617" t="s">
        <v>450</v>
      </c>
      <c r="Z2322" s="617" t="s">
        <v>178</v>
      </c>
      <c r="AA2322" s="618">
        <v>41040</v>
      </c>
      <c r="AB2322" s="618" t="s">
        <v>164</v>
      </c>
      <c r="AC2322" s="618">
        <v>29400</v>
      </c>
      <c r="AD2322" s="619">
        <v>0.01</v>
      </c>
      <c r="AE2322" s="617" t="s">
        <v>4267</v>
      </c>
    </row>
    <row r="2323" spans="1:31" s="572" customFormat="1">
      <c r="A2323" s="570" t="s">
        <v>4268</v>
      </c>
      <c r="B2323" s="569" t="s">
        <v>278</v>
      </c>
      <c r="C2323" s="580">
        <v>15</v>
      </c>
      <c r="D2323" s="569" t="s">
        <v>3374</v>
      </c>
      <c r="E2323" s="569" t="s">
        <v>196</v>
      </c>
      <c r="F2323" s="569" t="s">
        <v>271</v>
      </c>
      <c r="G2323" s="569">
        <v>2019</v>
      </c>
      <c r="H2323" s="569" t="s">
        <v>4229</v>
      </c>
      <c r="I2323" s="569" t="s">
        <v>3766</v>
      </c>
      <c r="J2323" s="569" t="s">
        <v>752</v>
      </c>
      <c r="K2323" s="569">
        <v>6</v>
      </c>
      <c r="L2323" s="569">
        <v>0</v>
      </c>
      <c r="M2323" s="569" t="s">
        <v>157</v>
      </c>
      <c r="N2323" s="569">
        <v>2</v>
      </c>
      <c r="O2323" s="569" t="s">
        <v>4230</v>
      </c>
      <c r="P2323" s="568">
        <v>12200</v>
      </c>
      <c r="Q2323" s="569" t="s">
        <v>4231</v>
      </c>
      <c r="R2323" s="569">
        <v>8</v>
      </c>
      <c r="S2323" s="569" t="s">
        <v>4259</v>
      </c>
      <c r="T2323" s="569" t="s">
        <v>366</v>
      </c>
      <c r="U2323" s="569">
        <v>160</v>
      </c>
      <c r="V2323" s="569">
        <v>35</v>
      </c>
      <c r="W2323" s="620">
        <v>10000</v>
      </c>
      <c r="X2323" s="621">
        <v>14</v>
      </c>
      <c r="Y2323" s="621" t="s">
        <v>728</v>
      </c>
      <c r="Z2323" s="621" t="s">
        <v>1523</v>
      </c>
      <c r="AA2323" s="622">
        <v>50160</v>
      </c>
      <c r="AB2323" s="622" t="s">
        <v>164</v>
      </c>
      <c r="AC2323" s="622">
        <v>37700</v>
      </c>
      <c r="AD2323" s="623">
        <v>0.01</v>
      </c>
      <c r="AE2323" s="621" t="s">
        <v>4258</v>
      </c>
    </row>
    <row r="2324" spans="1:31" s="572" customFormat="1">
      <c r="A2324" s="570" t="s">
        <v>4269</v>
      </c>
      <c r="B2324" s="573" t="s">
        <v>278</v>
      </c>
      <c r="C2324" s="578">
        <v>15</v>
      </c>
      <c r="D2324" s="573" t="s">
        <v>3374</v>
      </c>
      <c r="E2324" s="573" t="s">
        <v>196</v>
      </c>
      <c r="F2324" s="573" t="s">
        <v>271</v>
      </c>
      <c r="G2324" s="573">
        <v>2019</v>
      </c>
      <c r="H2324" s="573" t="s">
        <v>4229</v>
      </c>
      <c r="I2324" s="573" t="s">
        <v>3766</v>
      </c>
      <c r="J2324" s="573" t="s">
        <v>752</v>
      </c>
      <c r="K2324" s="573">
        <v>6</v>
      </c>
      <c r="L2324" s="573">
        <v>0</v>
      </c>
      <c r="M2324" s="573" t="s">
        <v>157</v>
      </c>
      <c r="N2324" s="573">
        <v>2</v>
      </c>
      <c r="O2324" s="573" t="s">
        <v>3846</v>
      </c>
      <c r="P2324" s="571">
        <v>12200</v>
      </c>
      <c r="Q2324" s="573" t="s">
        <v>4235</v>
      </c>
      <c r="R2324" s="573">
        <v>8</v>
      </c>
      <c r="S2324" s="582" t="s">
        <v>4259</v>
      </c>
      <c r="T2324" s="573" t="s">
        <v>366</v>
      </c>
      <c r="U2324" s="573">
        <v>176</v>
      </c>
      <c r="V2324" s="573">
        <v>48</v>
      </c>
      <c r="W2324" s="616">
        <v>10000</v>
      </c>
      <c r="X2324" s="617">
        <v>15</v>
      </c>
      <c r="Y2324" s="617" t="s">
        <v>450</v>
      </c>
      <c r="Z2324" s="617" t="s">
        <v>178</v>
      </c>
      <c r="AA2324" s="618">
        <v>41245</v>
      </c>
      <c r="AB2324" s="618" t="s">
        <v>164</v>
      </c>
      <c r="AC2324" s="618">
        <v>29600</v>
      </c>
      <c r="AD2324" s="619">
        <v>0.01</v>
      </c>
      <c r="AE2324" s="617" t="s">
        <v>4270</v>
      </c>
    </row>
    <row r="2325" spans="1:31" s="572" customFormat="1">
      <c r="A2325" s="570" t="s">
        <v>4271</v>
      </c>
      <c r="B2325" s="569" t="s">
        <v>278</v>
      </c>
      <c r="C2325" s="580">
        <v>15</v>
      </c>
      <c r="D2325" s="569" t="s">
        <v>3374</v>
      </c>
      <c r="E2325" s="569" t="s">
        <v>196</v>
      </c>
      <c r="F2325" s="569" t="s">
        <v>271</v>
      </c>
      <c r="G2325" s="569">
        <v>2019</v>
      </c>
      <c r="H2325" s="569" t="s">
        <v>4229</v>
      </c>
      <c r="I2325" s="569" t="s">
        <v>3766</v>
      </c>
      <c r="J2325" s="569" t="s">
        <v>752</v>
      </c>
      <c r="K2325" s="569">
        <v>6</v>
      </c>
      <c r="L2325" s="569">
        <v>0</v>
      </c>
      <c r="M2325" s="569" t="s">
        <v>157</v>
      </c>
      <c r="N2325" s="569">
        <v>2</v>
      </c>
      <c r="O2325" s="569" t="s">
        <v>3846</v>
      </c>
      <c r="P2325" s="568">
        <v>12200</v>
      </c>
      <c r="Q2325" s="569" t="s">
        <v>4231</v>
      </c>
      <c r="R2325" s="569">
        <v>8</v>
      </c>
      <c r="S2325" s="569" t="s">
        <v>4259</v>
      </c>
      <c r="T2325" s="569" t="s">
        <v>366</v>
      </c>
      <c r="U2325" s="569">
        <v>176</v>
      </c>
      <c r="V2325" s="569">
        <v>35</v>
      </c>
      <c r="W2325" s="620">
        <v>10000</v>
      </c>
      <c r="X2325" s="621">
        <v>15</v>
      </c>
      <c r="Y2325" s="621" t="s">
        <v>728</v>
      </c>
      <c r="Z2325" s="621" t="s">
        <v>1523</v>
      </c>
      <c r="AA2325" s="622">
        <v>50365</v>
      </c>
      <c r="AB2325" s="622" t="s">
        <v>164</v>
      </c>
      <c r="AC2325" s="622">
        <v>37850</v>
      </c>
      <c r="AD2325" s="623">
        <v>0.01</v>
      </c>
      <c r="AE2325" s="621" t="s">
        <v>4272</v>
      </c>
    </row>
    <row r="2326" spans="1:31" s="572" customFormat="1">
      <c r="A2326" s="570" t="s">
        <v>4273</v>
      </c>
      <c r="B2326" s="573" t="s">
        <v>287</v>
      </c>
      <c r="C2326" s="578">
        <v>26</v>
      </c>
      <c r="D2326" s="573" t="s">
        <v>3374</v>
      </c>
      <c r="E2326" s="573" t="s">
        <v>196</v>
      </c>
      <c r="F2326" s="573" t="s">
        <v>271</v>
      </c>
      <c r="G2326" s="573">
        <v>2019</v>
      </c>
      <c r="H2326" s="573" t="s">
        <v>4229</v>
      </c>
      <c r="I2326" s="573" t="s">
        <v>3766</v>
      </c>
      <c r="J2326" s="573" t="s">
        <v>752</v>
      </c>
      <c r="K2326" s="573">
        <v>6</v>
      </c>
      <c r="L2326" s="573">
        <v>0</v>
      </c>
      <c r="M2326" s="573" t="s">
        <v>157</v>
      </c>
      <c r="N2326" s="573">
        <v>2</v>
      </c>
      <c r="O2326" s="573" t="s">
        <v>4230</v>
      </c>
      <c r="P2326" s="571">
        <v>12200</v>
      </c>
      <c r="Q2326" s="573" t="s">
        <v>4235</v>
      </c>
      <c r="R2326" s="573">
        <v>8</v>
      </c>
      <c r="S2326" s="582" t="s">
        <v>4259</v>
      </c>
      <c r="T2326" s="573" t="s">
        <v>366</v>
      </c>
      <c r="U2326" s="573">
        <v>160</v>
      </c>
      <c r="V2326" s="573">
        <v>34</v>
      </c>
      <c r="W2326" s="616">
        <v>10000</v>
      </c>
      <c r="X2326" s="617" t="s">
        <v>157</v>
      </c>
      <c r="Y2326" s="617" t="s">
        <v>450</v>
      </c>
      <c r="Z2326" s="617" t="s">
        <v>178</v>
      </c>
      <c r="AA2326" s="618">
        <v>40675</v>
      </c>
      <c r="AB2326" s="618" t="s">
        <v>164</v>
      </c>
      <c r="AC2326" s="618">
        <v>29529</v>
      </c>
      <c r="AD2326" s="619">
        <v>0.05</v>
      </c>
      <c r="AE2326" s="617" t="s">
        <v>4267</v>
      </c>
    </row>
    <row r="2327" spans="1:31" s="572" customFormat="1">
      <c r="A2327" s="570" t="s">
        <v>4274</v>
      </c>
      <c r="B2327" s="569" t="s">
        <v>287</v>
      </c>
      <c r="C2327" s="580">
        <v>26</v>
      </c>
      <c r="D2327" s="569" t="s">
        <v>3374</v>
      </c>
      <c r="E2327" s="569" t="s">
        <v>196</v>
      </c>
      <c r="F2327" s="569" t="s">
        <v>271</v>
      </c>
      <c r="G2327" s="569">
        <v>2019</v>
      </c>
      <c r="H2327" s="569" t="s">
        <v>4229</v>
      </c>
      <c r="I2327" s="569" t="s">
        <v>3766</v>
      </c>
      <c r="J2327" s="569" t="s">
        <v>752</v>
      </c>
      <c r="K2327" s="569">
        <v>6</v>
      </c>
      <c r="L2327" s="569">
        <v>0</v>
      </c>
      <c r="M2327" s="569" t="s">
        <v>157</v>
      </c>
      <c r="N2327" s="569">
        <v>2</v>
      </c>
      <c r="O2327" s="569" t="s">
        <v>4230</v>
      </c>
      <c r="P2327" s="568">
        <v>12200</v>
      </c>
      <c r="Q2327" s="569" t="s">
        <v>4231</v>
      </c>
      <c r="R2327" s="569">
        <v>8</v>
      </c>
      <c r="S2327" s="569" t="s">
        <v>4259</v>
      </c>
      <c r="T2327" s="569" t="s">
        <v>366</v>
      </c>
      <c r="U2327" s="569">
        <v>160</v>
      </c>
      <c r="V2327" s="569">
        <v>35</v>
      </c>
      <c r="W2327" s="620">
        <v>10000</v>
      </c>
      <c r="X2327" s="621">
        <v>14</v>
      </c>
      <c r="Y2327" s="621" t="s">
        <v>728</v>
      </c>
      <c r="Z2327" s="621" t="s">
        <v>1523</v>
      </c>
      <c r="AA2327" s="622">
        <v>49670</v>
      </c>
      <c r="AB2327" s="622" t="s">
        <v>164</v>
      </c>
      <c r="AC2327" s="622">
        <v>37724</v>
      </c>
      <c r="AD2327" s="623">
        <v>0.05</v>
      </c>
      <c r="AE2327" s="621" t="s">
        <v>4258</v>
      </c>
    </row>
    <row r="2328" spans="1:31" s="572" customFormat="1">
      <c r="A2328" s="570" t="s">
        <v>4275</v>
      </c>
      <c r="B2328" s="573" t="s">
        <v>287</v>
      </c>
      <c r="C2328" s="578">
        <v>26</v>
      </c>
      <c r="D2328" s="573" t="s">
        <v>3374</v>
      </c>
      <c r="E2328" s="573" t="s">
        <v>196</v>
      </c>
      <c r="F2328" s="573" t="s">
        <v>271</v>
      </c>
      <c r="G2328" s="573">
        <v>2019</v>
      </c>
      <c r="H2328" s="573" t="s">
        <v>4229</v>
      </c>
      <c r="I2328" s="573" t="s">
        <v>3766</v>
      </c>
      <c r="J2328" s="573" t="s">
        <v>752</v>
      </c>
      <c r="K2328" s="573">
        <v>6</v>
      </c>
      <c r="L2328" s="573">
        <v>0</v>
      </c>
      <c r="M2328" s="573" t="s">
        <v>157</v>
      </c>
      <c r="N2328" s="573">
        <v>2</v>
      </c>
      <c r="O2328" s="573" t="s">
        <v>3846</v>
      </c>
      <c r="P2328" s="571">
        <v>12200</v>
      </c>
      <c r="Q2328" s="573" t="s">
        <v>4235</v>
      </c>
      <c r="R2328" s="573">
        <v>8</v>
      </c>
      <c r="S2328" s="582" t="s">
        <v>4259</v>
      </c>
      <c r="T2328" s="573" t="s">
        <v>366</v>
      </c>
      <c r="U2328" s="573">
        <v>176</v>
      </c>
      <c r="V2328" s="573">
        <v>48</v>
      </c>
      <c r="W2328" s="616">
        <v>10000</v>
      </c>
      <c r="X2328" s="617">
        <v>15</v>
      </c>
      <c r="Y2328" s="617" t="s">
        <v>450</v>
      </c>
      <c r="Z2328" s="617" t="s">
        <v>178</v>
      </c>
      <c r="AA2328" s="618">
        <v>40880</v>
      </c>
      <c r="AB2328" s="618" t="s">
        <v>164</v>
      </c>
      <c r="AC2328" s="618">
        <v>29722</v>
      </c>
      <c r="AD2328" s="619">
        <v>0.05</v>
      </c>
      <c r="AE2328" s="617" t="s">
        <v>4270</v>
      </c>
    </row>
    <row r="2329" spans="1:31" s="572" customFormat="1">
      <c r="A2329" s="570" t="s">
        <v>4276</v>
      </c>
      <c r="B2329" s="569" t="s">
        <v>287</v>
      </c>
      <c r="C2329" s="580">
        <v>26</v>
      </c>
      <c r="D2329" s="569" t="s">
        <v>3374</v>
      </c>
      <c r="E2329" s="569" t="s">
        <v>196</v>
      </c>
      <c r="F2329" s="569" t="s">
        <v>271</v>
      </c>
      <c r="G2329" s="569">
        <v>2019</v>
      </c>
      <c r="H2329" s="569" t="s">
        <v>4229</v>
      </c>
      <c r="I2329" s="569" t="s">
        <v>3766</v>
      </c>
      <c r="J2329" s="569" t="s">
        <v>752</v>
      </c>
      <c r="K2329" s="569">
        <v>6</v>
      </c>
      <c r="L2329" s="569">
        <v>0</v>
      </c>
      <c r="M2329" s="569" t="s">
        <v>157</v>
      </c>
      <c r="N2329" s="569">
        <v>2</v>
      </c>
      <c r="O2329" s="569" t="s">
        <v>3846</v>
      </c>
      <c r="P2329" s="568">
        <v>12200</v>
      </c>
      <c r="Q2329" s="569" t="s">
        <v>4231</v>
      </c>
      <c r="R2329" s="569">
        <v>8</v>
      </c>
      <c r="S2329" s="569" t="s">
        <v>4259</v>
      </c>
      <c r="T2329" s="569" t="s">
        <v>366</v>
      </c>
      <c r="U2329" s="569">
        <v>176</v>
      </c>
      <c r="V2329" s="569">
        <v>35</v>
      </c>
      <c r="W2329" s="620">
        <v>10000</v>
      </c>
      <c r="X2329" s="621">
        <v>15</v>
      </c>
      <c r="Y2329" s="621" t="s">
        <v>728</v>
      </c>
      <c r="Z2329" s="621" t="s">
        <v>1523</v>
      </c>
      <c r="AA2329" s="622">
        <v>49875</v>
      </c>
      <c r="AB2329" s="622" t="s">
        <v>164</v>
      </c>
      <c r="AC2329" s="622">
        <v>37916</v>
      </c>
      <c r="AD2329" s="623">
        <v>0.05</v>
      </c>
      <c r="AE2329" s="621" t="s">
        <v>4272</v>
      </c>
    </row>
    <row r="2330" spans="1:31" s="572" customFormat="1">
      <c r="A2330" s="570" t="s">
        <v>4277</v>
      </c>
      <c r="B2330" s="573" t="s">
        <v>280</v>
      </c>
      <c r="C2330" s="578">
        <v>27</v>
      </c>
      <c r="D2330" s="573" t="s">
        <v>3374</v>
      </c>
      <c r="E2330" s="573" t="s">
        <v>196</v>
      </c>
      <c r="F2330" s="573" t="s">
        <v>271</v>
      </c>
      <c r="G2330" s="573">
        <v>2019</v>
      </c>
      <c r="H2330" s="573" t="s">
        <v>4229</v>
      </c>
      <c r="I2330" s="573" t="s">
        <v>3766</v>
      </c>
      <c r="J2330" s="573" t="s">
        <v>752</v>
      </c>
      <c r="K2330" s="573">
        <v>6</v>
      </c>
      <c r="L2330" s="573">
        <v>0</v>
      </c>
      <c r="M2330" s="573" t="s">
        <v>157</v>
      </c>
      <c r="N2330" s="573">
        <v>2</v>
      </c>
      <c r="O2330" s="573" t="s">
        <v>4230</v>
      </c>
      <c r="P2330" s="571">
        <v>12200</v>
      </c>
      <c r="Q2330" s="573" t="s">
        <v>4231</v>
      </c>
      <c r="R2330" s="573">
        <v>8</v>
      </c>
      <c r="S2330" s="582" t="s">
        <v>4259</v>
      </c>
      <c r="T2330" s="573" t="s">
        <v>366</v>
      </c>
      <c r="U2330" s="573">
        <v>160</v>
      </c>
      <c r="V2330" s="573">
        <v>34</v>
      </c>
      <c r="W2330" s="616">
        <v>10000</v>
      </c>
      <c r="X2330" s="617" t="s">
        <v>157</v>
      </c>
      <c r="Y2330" s="617" t="s">
        <v>728</v>
      </c>
      <c r="Z2330" s="617" t="s">
        <v>1523</v>
      </c>
      <c r="AA2330" s="618">
        <v>45700</v>
      </c>
      <c r="AB2330" s="618" t="s">
        <v>164</v>
      </c>
      <c r="AC2330" s="618">
        <v>33566.652631578945</v>
      </c>
      <c r="AD2330" s="619">
        <v>0.03</v>
      </c>
      <c r="AE2330" s="617" t="s">
        <v>4258</v>
      </c>
    </row>
    <row r="2331" spans="1:31" s="572" customFormat="1">
      <c r="A2331" s="570" t="s">
        <v>4278</v>
      </c>
      <c r="B2331" s="569" t="s">
        <v>280</v>
      </c>
      <c r="C2331" s="580">
        <v>27</v>
      </c>
      <c r="D2331" s="569" t="s">
        <v>3374</v>
      </c>
      <c r="E2331" s="569" t="s">
        <v>196</v>
      </c>
      <c r="F2331" s="569" t="s">
        <v>271</v>
      </c>
      <c r="G2331" s="569">
        <v>2019</v>
      </c>
      <c r="H2331" s="569" t="s">
        <v>4229</v>
      </c>
      <c r="I2331" s="569" t="s">
        <v>3766</v>
      </c>
      <c r="J2331" s="569" t="s">
        <v>752</v>
      </c>
      <c r="K2331" s="569">
        <v>6</v>
      </c>
      <c r="L2331" s="569">
        <v>0</v>
      </c>
      <c r="M2331" s="569" t="s">
        <v>157</v>
      </c>
      <c r="N2331" s="569">
        <v>2</v>
      </c>
      <c r="O2331" s="569" t="s">
        <v>4230</v>
      </c>
      <c r="P2331" s="568">
        <v>12500</v>
      </c>
      <c r="Q2331" s="569" t="s">
        <v>4235</v>
      </c>
      <c r="R2331" s="569">
        <v>8</v>
      </c>
      <c r="S2331" s="569" t="s">
        <v>4259</v>
      </c>
      <c r="T2331" s="569" t="s">
        <v>366</v>
      </c>
      <c r="U2331" s="569">
        <v>160</v>
      </c>
      <c r="V2331" s="569">
        <v>34</v>
      </c>
      <c r="W2331" s="620">
        <v>10000</v>
      </c>
      <c r="X2331" s="621" t="s">
        <v>157</v>
      </c>
      <c r="Y2331" s="621" t="s">
        <v>450</v>
      </c>
      <c r="Z2331" s="621" t="s">
        <v>178</v>
      </c>
      <c r="AA2331" s="622">
        <v>40675</v>
      </c>
      <c r="AB2331" s="622" t="s">
        <v>164</v>
      </c>
      <c r="AC2331" s="622">
        <v>28924.547368421052</v>
      </c>
      <c r="AD2331" s="623">
        <v>0.03</v>
      </c>
      <c r="AE2331" s="621" t="s">
        <v>4261</v>
      </c>
    </row>
    <row r="2332" spans="1:31" s="572" customFormat="1">
      <c r="A2332" s="570" t="s">
        <v>4279</v>
      </c>
      <c r="B2332" s="573" t="s">
        <v>280</v>
      </c>
      <c r="C2332" s="578">
        <v>27</v>
      </c>
      <c r="D2332" s="573" t="s">
        <v>3374</v>
      </c>
      <c r="E2332" s="573" t="s">
        <v>196</v>
      </c>
      <c r="F2332" s="573" t="s">
        <v>271</v>
      </c>
      <c r="G2332" s="573">
        <v>2019</v>
      </c>
      <c r="H2332" s="573" t="s">
        <v>4229</v>
      </c>
      <c r="I2332" s="573" t="s">
        <v>3766</v>
      </c>
      <c r="J2332" s="573" t="s">
        <v>752</v>
      </c>
      <c r="K2332" s="573">
        <v>6</v>
      </c>
      <c r="L2332" s="573">
        <v>0</v>
      </c>
      <c r="M2332" s="573" t="s">
        <v>157</v>
      </c>
      <c r="N2332" s="573">
        <v>2</v>
      </c>
      <c r="O2332" s="573" t="s">
        <v>3846</v>
      </c>
      <c r="P2332" s="571">
        <v>12200</v>
      </c>
      <c r="Q2332" s="573" t="s">
        <v>4231</v>
      </c>
      <c r="R2332" s="573">
        <v>8</v>
      </c>
      <c r="S2332" s="582" t="s">
        <v>4259</v>
      </c>
      <c r="T2332" s="573" t="s">
        <v>366</v>
      </c>
      <c r="U2332" s="573">
        <v>176</v>
      </c>
      <c r="V2332" s="573">
        <v>48</v>
      </c>
      <c r="W2332" s="616">
        <v>10000</v>
      </c>
      <c r="X2332" s="617" t="s">
        <v>157</v>
      </c>
      <c r="Y2332" s="617" t="s">
        <v>728</v>
      </c>
      <c r="Z2332" s="617" t="s">
        <v>1523</v>
      </c>
      <c r="AA2332" s="618">
        <v>50365</v>
      </c>
      <c r="AB2332" s="618" t="s">
        <v>164</v>
      </c>
      <c r="AC2332" s="618">
        <v>37672.210526315786</v>
      </c>
      <c r="AD2332" s="619">
        <v>0.03</v>
      </c>
      <c r="AE2332" s="617" t="s">
        <v>4263</v>
      </c>
    </row>
    <row r="2333" spans="1:31" s="572" customFormat="1">
      <c r="A2333" s="570" t="s">
        <v>4280</v>
      </c>
      <c r="B2333" s="569" t="s">
        <v>280</v>
      </c>
      <c r="C2333" s="580">
        <v>27</v>
      </c>
      <c r="D2333" s="569" t="s">
        <v>3374</v>
      </c>
      <c r="E2333" s="569" t="s">
        <v>196</v>
      </c>
      <c r="F2333" s="569" t="s">
        <v>271</v>
      </c>
      <c r="G2333" s="569">
        <v>2019</v>
      </c>
      <c r="H2333" s="569" t="s">
        <v>4229</v>
      </c>
      <c r="I2333" s="569" t="s">
        <v>3766</v>
      </c>
      <c r="J2333" s="569" t="s">
        <v>752</v>
      </c>
      <c r="K2333" s="569">
        <v>6</v>
      </c>
      <c r="L2333" s="569">
        <v>0</v>
      </c>
      <c r="M2333" s="569" t="s">
        <v>157</v>
      </c>
      <c r="N2333" s="569">
        <v>2</v>
      </c>
      <c r="O2333" s="569" t="s">
        <v>3846</v>
      </c>
      <c r="P2333" s="568">
        <v>12500</v>
      </c>
      <c r="Q2333" s="569" t="s">
        <v>4235</v>
      </c>
      <c r="R2333" s="569">
        <v>8</v>
      </c>
      <c r="S2333" s="569" t="s">
        <v>4259</v>
      </c>
      <c r="T2333" s="569" t="s">
        <v>366</v>
      </c>
      <c r="U2333" s="569">
        <v>176</v>
      </c>
      <c r="V2333" s="569">
        <v>48</v>
      </c>
      <c r="W2333" s="620">
        <v>10000</v>
      </c>
      <c r="X2333" s="621" t="s">
        <v>157</v>
      </c>
      <c r="Y2333" s="621" t="s">
        <v>450</v>
      </c>
      <c r="Z2333" s="621" t="s">
        <v>178</v>
      </c>
      <c r="AA2333" s="622">
        <v>40880</v>
      </c>
      <c r="AB2333" s="622" t="s">
        <v>164</v>
      </c>
      <c r="AC2333" s="622">
        <v>29112.968421052632</v>
      </c>
      <c r="AD2333" s="623">
        <v>0.03</v>
      </c>
      <c r="AE2333" s="621" t="s">
        <v>4265</v>
      </c>
    </row>
    <row r="2334" spans="1:31" s="572" customFormat="1">
      <c r="A2334" s="570" t="s">
        <v>4281</v>
      </c>
      <c r="B2334" s="573" t="s">
        <v>269</v>
      </c>
      <c r="C2334" s="578" t="s">
        <v>270</v>
      </c>
      <c r="D2334" s="573" t="s">
        <v>3374</v>
      </c>
      <c r="E2334" s="573" t="s">
        <v>196</v>
      </c>
      <c r="F2334" s="573" t="s">
        <v>271</v>
      </c>
      <c r="G2334" s="573">
        <v>2019</v>
      </c>
      <c r="H2334" s="573" t="s">
        <v>4229</v>
      </c>
      <c r="I2334" s="573" t="s">
        <v>3805</v>
      </c>
      <c r="J2334" s="573" t="s">
        <v>3377</v>
      </c>
      <c r="K2334" s="573">
        <v>6</v>
      </c>
      <c r="L2334" s="573">
        <v>0</v>
      </c>
      <c r="M2334" s="573" t="s">
        <v>157</v>
      </c>
      <c r="N2334" s="573">
        <v>2</v>
      </c>
      <c r="O2334" s="573" t="s">
        <v>4230</v>
      </c>
      <c r="P2334" s="571">
        <v>12500</v>
      </c>
      <c r="Q2334" s="573" t="s">
        <v>4235</v>
      </c>
      <c r="R2334" s="573">
        <v>8</v>
      </c>
      <c r="S2334" s="582" t="s">
        <v>4232</v>
      </c>
      <c r="T2334" s="573" t="s">
        <v>4283</v>
      </c>
      <c r="U2334" s="573">
        <v>160</v>
      </c>
      <c r="V2334" s="573">
        <v>34</v>
      </c>
      <c r="W2334" s="616">
        <v>10000</v>
      </c>
      <c r="X2334" s="617" t="s">
        <v>157</v>
      </c>
      <c r="Y2334" s="617" t="s">
        <v>450</v>
      </c>
      <c r="Z2334" s="617" t="s">
        <v>178</v>
      </c>
      <c r="AA2334" s="618">
        <v>42905</v>
      </c>
      <c r="AB2334" s="618" t="s">
        <v>164</v>
      </c>
      <c r="AC2334" s="618">
        <v>30984.547368421056</v>
      </c>
      <c r="AD2334" s="619">
        <v>0.03</v>
      </c>
      <c r="AE2334" s="617" t="s">
        <v>4282</v>
      </c>
    </row>
    <row r="2335" spans="1:31" s="572" customFormat="1">
      <c r="A2335" s="570" t="s">
        <v>4284</v>
      </c>
      <c r="B2335" s="569" t="s">
        <v>269</v>
      </c>
      <c r="C2335" s="580" t="s">
        <v>270</v>
      </c>
      <c r="D2335" s="569" t="s">
        <v>3374</v>
      </c>
      <c r="E2335" s="569" t="s">
        <v>196</v>
      </c>
      <c r="F2335" s="569" t="s">
        <v>271</v>
      </c>
      <c r="G2335" s="569">
        <v>2019</v>
      </c>
      <c r="H2335" s="569" t="s">
        <v>4229</v>
      </c>
      <c r="I2335" s="569" t="s">
        <v>3805</v>
      </c>
      <c r="J2335" s="569" t="s">
        <v>3377</v>
      </c>
      <c r="K2335" s="569">
        <v>6</v>
      </c>
      <c r="L2335" s="569">
        <v>0</v>
      </c>
      <c r="M2335" s="569" t="s">
        <v>157</v>
      </c>
      <c r="N2335" s="569">
        <v>2</v>
      </c>
      <c r="O2335" s="569" t="s">
        <v>4230</v>
      </c>
      <c r="P2335" s="568">
        <v>12500</v>
      </c>
      <c r="Q2335" s="569" t="s">
        <v>4231</v>
      </c>
      <c r="R2335" s="569">
        <v>8</v>
      </c>
      <c r="S2335" s="569" t="s">
        <v>4232</v>
      </c>
      <c r="T2335" s="569" t="s">
        <v>4283</v>
      </c>
      <c r="U2335" s="569">
        <v>160</v>
      </c>
      <c r="V2335" s="569">
        <v>34</v>
      </c>
      <c r="W2335" s="620">
        <v>10000</v>
      </c>
      <c r="X2335" s="621" t="s">
        <v>157</v>
      </c>
      <c r="Y2335" s="621" t="s">
        <v>728</v>
      </c>
      <c r="Z2335" s="621" t="s">
        <v>1523</v>
      </c>
      <c r="AA2335" s="622">
        <v>52475</v>
      </c>
      <c r="AB2335" s="622" t="s">
        <v>164</v>
      </c>
      <c r="AC2335" s="622">
        <v>39620.631578947367</v>
      </c>
      <c r="AD2335" s="623">
        <v>0.03</v>
      </c>
      <c r="AE2335" s="621" t="s">
        <v>4285</v>
      </c>
    </row>
    <row r="2336" spans="1:31" s="572" customFormat="1">
      <c r="A2336" s="570" t="s">
        <v>4286</v>
      </c>
      <c r="B2336" s="573" t="s">
        <v>269</v>
      </c>
      <c r="C2336" s="578" t="s">
        <v>270</v>
      </c>
      <c r="D2336" s="573" t="s">
        <v>3374</v>
      </c>
      <c r="E2336" s="573" t="s">
        <v>196</v>
      </c>
      <c r="F2336" s="573" t="s">
        <v>271</v>
      </c>
      <c r="G2336" s="573">
        <v>2019</v>
      </c>
      <c r="H2336" s="573" t="s">
        <v>4229</v>
      </c>
      <c r="I2336" s="573" t="s">
        <v>3805</v>
      </c>
      <c r="J2336" s="573" t="s">
        <v>3377</v>
      </c>
      <c r="K2336" s="573">
        <v>6</v>
      </c>
      <c r="L2336" s="573">
        <v>0</v>
      </c>
      <c r="M2336" s="573" t="s">
        <v>157</v>
      </c>
      <c r="N2336" s="573">
        <v>2</v>
      </c>
      <c r="O2336" s="573" t="s">
        <v>4230</v>
      </c>
      <c r="P2336" s="571">
        <v>12900</v>
      </c>
      <c r="Q2336" s="573" t="s">
        <v>4235</v>
      </c>
      <c r="R2336" s="573">
        <v>8</v>
      </c>
      <c r="S2336" s="582" t="s">
        <v>4232</v>
      </c>
      <c r="T2336" s="573" t="s">
        <v>4283</v>
      </c>
      <c r="U2336" s="573">
        <v>160</v>
      </c>
      <c r="V2336" s="573">
        <v>34</v>
      </c>
      <c r="W2336" s="616">
        <v>10000</v>
      </c>
      <c r="X2336" s="617" t="s">
        <v>157</v>
      </c>
      <c r="Y2336" s="617" t="s">
        <v>450</v>
      </c>
      <c r="Z2336" s="617" t="s">
        <v>178</v>
      </c>
      <c r="AA2336" s="618">
        <v>42902</v>
      </c>
      <c r="AB2336" s="618" t="s">
        <v>164</v>
      </c>
      <c r="AC2336" s="618">
        <v>30984.547368421056</v>
      </c>
      <c r="AD2336" s="619">
        <v>0.03</v>
      </c>
      <c r="AE2336" s="617" t="s">
        <v>4287</v>
      </c>
    </row>
    <row r="2337" spans="1:31" s="572" customFormat="1">
      <c r="A2337" s="570" t="s">
        <v>4288</v>
      </c>
      <c r="B2337" s="569" t="s">
        <v>269</v>
      </c>
      <c r="C2337" s="580" t="s">
        <v>270</v>
      </c>
      <c r="D2337" s="569" t="s">
        <v>3374</v>
      </c>
      <c r="E2337" s="569" t="s">
        <v>196</v>
      </c>
      <c r="F2337" s="569" t="s">
        <v>271</v>
      </c>
      <c r="G2337" s="569">
        <v>2019</v>
      </c>
      <c r="H2337" s="569" t="s">
        <v>4229</v>
      </c>
      <c r="I2337" s="569" t="s">
        <v>3805</v>
      </c>
      <c r="J2337" s="569" t="s">
        <v>3377</v>
      </c>
      <c r="K2337" s="569">
        <v>6</v>
      </c>
      <c r="L2337" s="569">
        <v>0</v>
      </c>
      <c r="M2337" s="569" t="s">
        <v>157</v>
      </c>
      <c r="N2337" s="569">
        <v>2</v>
      </c>
      <c r="O2337" s="569" t="s">
        <v>3846</v>
      </c>
      <c r="P2337" s="568">
        <v>12500</v>
      </c>
      <c r="Q2337" s="569" t="s">
        <v>4235</v>
      </c>
      <c r="R2337" s="569">
        <v>8</v>
      </c>
      <c r="S2337" s="569" t="s">
        <v>4232</v>
      </c>
      <c r="T2337" s="569" t="s">
        <v>4283</v>
      </c>
      <c r="U2337" s="569">
        <v>176</v>
      </c>
      <c r="V2337" s="569">
        <v>48</v>
      </c>
      <c r="W2337" s="620">
        <v>10000</v>
      </c>
      <c r="X2337" s="621" t="s">
        <v>157</v>
      </c>
      <c r="Y2337" s="621" t="s">
        <v>450</v>
      </c>
      <c r="Z2337" s="621" t="s">
        <v>178</v>
      </c>
      <c r="AA2337" s="622">
        <v>43105</v>
      </c>
      <c r="AB2337" s="622" t="s">
        <v>164</v>
      </c>
      <c r="AC2337" s="622">
        <v>31168.757894736842</v>
      </c>
      <c r="AD2337" s="623">
        <v>0.03</v>
      </c>
      <c r="AE2337" s="621" t="s">
        <v>4289</v>
      </c>
    </row>
    <row r="2338" spans="1:31" s="572" customFormat="1">
      <c r="A2338" s="570" t="s">
        <v>4290</v>
      </c>
      <c r="B2338" s="573" t="s">
        <v>269</v>
      </c>
      <c r="C2338" s="578" t="s">
        <v>270</v>
      </c>
      <c r="D2338" s="573" t="s">
        <v>3374</v>
      </c>
      <c r="E2338" s="573" t="s">
        <v>196</v>
      </c>
      <c r="F2338" s="573" t="s">
        <v>271</v>
      </c>
      <c r="G2338" s="573">
        <v>2019</v>
      </c>
      <c r="H2338" s="573" t="s">
        <v>4229</v>
      </c>
      <c r="I2338" s="573" t="s">
        <v>3805</v>
      </c>
      <c r="J2338" s="573" t="s">
        <v>3377</v>
      </c>
      <c r="K2338" s="573">
        <v>6</v>
      </c>
      <c r="L2338" s="573">
        <v>0</v>
      </c>
      <c r="M2338" s="573" t="s">
        <v>157</v>
      </c>
      <c r="N2338" s="573">
        <v>2</v>
      </c>
      <c r="O2338" s="573" t="s">
        <v>3846</v>
      </c>
      <c r="P2338" s="571">
        <v>12500</v>
      </c>
      <c r="Q2338" s="573" t="s">
        <v>4231</v>
      </c>
      <c r="R2338" s="573">
        <v>8</v>
      </c>
      <c r="S2338" s="582" t="s">
        <v>4232</v>
      </c>
      <c r="T2338" s="573" t="s">
        <v>4283</v>
      </c>
      <c r="U2338" s="573">
        <v>176</v>
      </c>
      <c r="V2338" s="573">
        <v>48</v>
      </c>
      <c r="W2338" s="616">
        <v>10000</v>
      </c>
      <c r="X2338" s="617" t="s">
        <v>157</v>
      </c>
      <c r="Y2338" s="617" t="s">
        <v>728</v>
      </c>
      <c r="Z2338" s="617" t="s">
        <v>1523</v>
      </c>
      <c r="AA2338" s="618">
        <v>52675</v>
      </c>
      <c r="AB2338" s="618" t="s">
        <v>164</v>
      </c>
      <c r="AC2338" s="618">
        <v>39804.84210526316</v>
      </c>
      <c r="AD2338" s="619">
        <v>0.03</v>
      </c>
      <c r="AE2338" s="617" t="s">
        <v>4291</v>
      </c>
    </row>
    <row r="2339" spans="1:31" s="572" customFormat="1">
      <c r="A2339" s="570" t="s">
        <v>4292</v>
      </c>
      <c r="B2339" s="569" t="s">
        <v>269</v>
      </c>
      <c r="C2339" s="580" t="s">
        <v>270</v>
      </c>
      <c r="D2339" s="569" t="s">
        <v>3374</v>
      </c>
      <c r="E2339" s="569" t="s">
        <v>196</v>
      </c>
      <c r="F2339" s="569" t="s">
        <v>271</v>
      </c>
      <c r="G2339" s="569">
        <v>2019</v>
      </c>
      <c r="H2339" s="569" t="s">
        <v>4229</v>
      </c>
      <c r="I2339" s="569" t="s">
        <v>3805</v>
      </c>
      <c r="J2339" s="569" t="s">
        <v>3377</v>
      </c>
      <c r="K2339" s="569">
        <v>6</v>
      </c>
      <c r="L2339" s="569">
        <v>0</v>
      </c>
      <c r="M2339" s="569" t="s">
        <v>157</v>
      </c>
      <c r="N2339" s="569">
        <v>2</v>
      </c>
      <c r="O2339" s="569" t="s">
        <v>3846</v>
      </c>
      <c r="P2339" s="568">
        <v>12900</v>
      </c>
      <c r="Q2339" s="569" t="s">
        <v>4235</v>
      </c>
      <c r="R2339" s="569">
        <v>8</v>
      </c>
      <c r="S2339" s="569" t="s">
        <v>4232</v>
      </c>
      <c r="T2339" s="569" t="s">
        <v>4283</v>
      </c>
      <c r="U2339" s="569">
        <v>176</v>
      </c>
      <c r="V2339" s="569">
        <v>48</v>
      </c>
      <c r="W2339" s="620">
        <v>10000</v>
      </c>
      <c r="X2339" s="621" t="s">
        <v>157</v>
      </c>
      <c r="Y2339" s="621" t="s">
        <v>450</v>
      </c>
      <c r="Z2339" s="621" t="s">
        <v>178</v>
      </c>
      <c r="AA2339" s="622">
        <v>43105</v>
      </c>
      <c r="AB2339" s="622" t="s">
        <v>164</v>
      </c>
      <c r="AC2339" s="622">
        <v>31168.757894736842</v>
      </c>
      <c r="AD2339" s="623">
        <v>0.03</v>
      </c>
      <c r="AE2339" s="621" t="s">
        <v>4293</v>
      </c>
    </row>
    <row r="2340" spans="1:31" s="572" customFormat="1">
      <c r="A2340" s="570" t="s">
        <v>4294</v>
      </c>
      <c r="B2340" s="573" t="s">
        <v>278</v>
      </c>
      <c r="C2340" s="578">
        <v>15</v>
      </c>
      <c r="D2340" s="573" t="s">
        <v>3374</v>
      </c>
      <c r="E2340" s="573" t="s">
        <v>196</v>
      </c>
      <c r="F2340" s="573" t="s">
        <v>271</v>
      </c>
      <c r="G2340" s="573">
        <v>2019</v>
      </c>
      <c r="H2340" s="573" t="s">
        <v>4229</v>
      </c>
      <c r="I2340" s="573" t="s">
        <v>3805</v>
      </c>
      <c r="J2340" s="573" t="s">
        <v>3377</v>
      </c>
      <c r="K2340" s="573">
        <v>6</v>
      </c>
      <c r="L2340" s="573">
        <v>0</v>
      </c>
      <c r="M2340" s="573" t="s">
        <v>157</v>
      </c>
      <c r="N2340" s="573">
        <v>2</v>
      </c>
      <c r="O2340" s="573" t="s">
        <v>4230</v>
      </c>
      <c r="P2340" s="571">
        <v>12500</v>
      </c>
      <c r="Q2340" s="573" t="s">
        <v>4235</v>
      </c>
      <c r="R2340" s="573">
        <v>8</v>
      </c>
      <c r="S2340" s="582" t="s">
        <v>4232</v>
      </c>
      <c r="T2340" s="573" t="s">
        <v>4283</v>
      </c>
      <c r="U2340" s="573">
        <v>160</v>
      </c>
      <c r="V2340" s="573">
        <v>34</v>
      </c>
      <c r="W2340" s="616">
        <v>10000</v>
      </c>
      <c r="X2340" s="617" t="s">
        <v>157</v>
      </c>
      <c r="Y2340" s="617" t="s">
        <v>450</v>
      </c>
      <c r="Z2340" s="617" t="s">
        <v>178</v>
      </c>
      <c r="AA2340" s="618">
        <v>42905</v>
      </c>
      <c r="AB2340" s="618" t="s">
        <v>164</v>
      </c>
      <c r="AC2340" s="618">
        <v>31600</v>
      </c>
      <c r="AD2340" s="619">
        <v>0.01</v>
      </c>
      <c r="AE2340" s="617" t="s">
        <v>4282</v>
      </c>
    </row>
    <row r="2341" spans="1:31" s="572" customFormat="1">
      <c r="A2341" s="570" t="s">
        <v>4295</v>
      </c>
      <c r="B2341" s="569" t="s">
        <v>278</v>
      </c>
      <c r="C2341" s="580">
        <v>15</v>
      </c>
      <c r="D2341" s="569" t="s">
        <v>3374</v>
      </c>
      <c r="E2341" s="569" t="s">
        <v>196</v>
      </c>
      <c r="F2341" s="569" t="s">
        <v>271</v>
      </c>
      <c r="G2341" s="569">
        <v>2019</v>
      </c>
      <c r="H2341" s="569" t="s">
        <v>4229</v>
      </c>
      <c r="I2341" s="569" t="s">
        <v>3805</v>
      </c>
      <c r="J2341" s="569" t="s">
        <v>3377</v>
      </c>
      <c r="K2341" s="569">
        <v>6</v>
      </c>
      <c r="L2341" s="569">
        <v>0</v>
      </c>
      <c r="M2341" s="569" t="s">
        <v>157</v>
      </c>
      <c r="N2341" s="569">
        <v>2</v>
      </c>
      <c r="O2341" s="569" t="s">
        <v>4230</v>
      </c>
      <c r="P2341" s="568">
        <v>12500</v>
      </c>
      <c r="Q2341" s="569" t="s">
        <v>4231</v>
      </c>
      <c r="R2341" s="569">
        <v>8</v>
      </c>
      <c r="S2341" s="569" t="s">
        <v>4232</v>
      </c>
      <c r="T2341" s="569" t="s">
        <v>4283</v>
      </c>
      <c r="U2341" s="569">
        <v>160</v>
      </c>
      <c r="V2341" s="569">
        <v>35</v>
      </c>
      <c r="W2341" s="620">
        <v>10000</v>
      </c>
      <c r="X2341" s="621">
        <v>14</v>
      </c>
      <c r="Y2341" s="621" t="s">
        <v>728</v>
      </c>
      <c r="Z2341" s="621" t="s">
        <v>1523</v>
      </c>
      <c r="AA2341" s="622">
        <v>52475</v>
      </c>
      <c r="AB2341" s="622" t="s">
        <v>164</v>
      </c>
      <c r="AC2341" s="622">
        <v>39850</v>
      </c>
      <c r="AD2341" s="623">
        <v>0.01</v>
      </c>
      <c r="AE2341" s="621" t="s">
        <v>4285</v>
      </c>
    </row>
    <row r="2342" spans="1:31" s="572" customFormat="1">
      <c r="A2342" s="570" t="s">
        <v>4296</v>
      </c>
      <c r="B2342" s="573" t="s">
        <v>278</v>
      </c>
      <c r="C2342" s="578">
        <v>15</v>
      </c>
      <c r="D2342" s="573" t="s">
        <v>3374</v>
      </c>
      <c r="E2342" s="573" t="s">
        <v>196</v>
      </c>
      <c r="F2342" s="573" t="s">
        <v>271</v>
      </c>
      <c r="G2342" s="573">
        <v>2019</v>
      </c>
      <c r="H2342" s="573" t="s">
        <v>4229</v>
      </c>
      <c r="I2342" s="573" t="s">
        <v>3805</v>
      </c>
      <c r="J2342" s="573" t="s">
        <v>3377</v>
      </c>
      <c r="K2342" s="573">
        <v>6</v>
      </c>
      <c r="L2342" s="573">
        <v>0</v>
      </c>
      <c r="M2342" s="573" t="s">
        <v>157</v>
      </c>
      <c r="N2342" s="573">
        <v>2</v>
      </c>
      <c r="O2342" s="573" t="s">
        <v>3846</v>
      </c>
      <c r="P2342" s="571">
        <v>12500</v>
      </c>
      <c r="Q2342" s="573" t="s">
        <v>4235</v>
      </c>
      <c r="R2342" s="573">
        <v>8</v>
      </c>
      <c r="S2342" s="582" t="s">
        <v>4232</v>
      </c>
      <c r="T2342" s="573" t="s">
        <v>4283</v>
      </c>
      <c r="U2342" s="573">
        <v>176</v>
      </c>
      <c r="V2342" s="573">
        <v>48</v>
      </c>
      <c r="W2342" s="616">
        <v>10000</v>
      </c>
      <c r="X2342" s="617" t="s">
        <v>157</v>
      </c>
      <c r="Y2342" s="617" t="s">
        <v>450</v>
      </c>
      <c r="Z2342" s="617" t="s">
        <v>178</v>
      </c>
      <c r="AA2342" s="618">
        <v>43105</v>
      </c>
      <c r="AB2342" s="618" t="s">
        <v>164</v>
      </c>
      <c r="AC2342" s="618">
        <v>31750</v>
      </c>
      <c r="AD2342" s="619">
        <v>0.01</v>
      </c>
      <c r="AE2342" s="617" t="s">
        <v>4289</v>
      </c>
    </row>
    <row r="2343" spans="1:31" s="572" customFormat="1">
      <c r="A2343" s="570" t="s">
        <v>4297</v>
      </c>
      <c r="B2343" s="569" t="s">
        <v>278</v>
      </c>
      <c r="C2343" s="580">
        <v>15</v>
      </c>
      <c r="D2343" s="569" t="s">
        <v>3374</v>
      </c>
      <c r="E2343" s="569" t="s">
        <v>196</v>
      </c>
      <c r="F2343" s="569" t="s">
        <v>271</v>
      </c>
      <c r="G2343" s="569">
        <v>2019</v>
      </c>
      <c r="H2343" s="569" t="s">
        <v>4229</v>
      </c>
      <c r="I2343" s="569" t="s">
        <v>3805</v>
      </c>
      <c r="J2343" s="569" t="s">
        <v>3377</v>
      </c>
      <c r="K2343" s="569">
        <v>6</v>
      </c>
      <c r="L2343" s="569">
        <v>0</v>
      </c>
      <c r="M2343" s="569" t="s">
        <v>157</v>
      </c>
      <c r="N2343" s="569">
        <v>2</v>
      </c>
      <c r="O2343" s="569" t="s">
        <v>3846</v>
      </c>
      <c r="P2343" s="568">
        <v>12500</v>
      </c>
      <c r="Q2343" s="569" t="s">
        <v>4231</v>
      </c>
      <c r="R2343" s="569">
        <v>8</v>
      </c>
      <c r="S2343" s="569" t="s">
        <v>4232</v>
      </c>
      <c r="T2343" s="569" t="s">
        <v>4283</v>
      </c>
      <c r="U2343" s="569">
        <v>176</v>
      </c>
      <c r="V2343" s="569">
        <v>35</v>
      </c>
      <c r="W2343" s="620">
        <v>10000</v>
      </c>
      <c r="X2343" s="621">
        <v>14</v>
      </c>
      <c r="Y2343" s="621" t="s">
        <v>728</v>
      </c>
      <c r="Z2343" s="621" t="s">
        <v>1523</v>
      </c>
      <c r="AA2343" s="622">
        <v>52675</v>
      </c>
      <c r="AB2343" s="622" t="s">
        <v>164</v>
      </c>
      <c r="AC2343" s="622">
        <v>39995</v>
      </c>
      <c r="AD2343" s="623">
        <v>0.01</v>
      </c>
      <c r="AE2343" s="621" t="s">
        <v>4298</v>
      </c>
    </row>
    <row r="2344" spans="1:31" s="572" customFormat="1">
      <c r="A2344" s="570" t="s">
        <v>4299</v>
      </c>
      <c r="B2344" s="573" t="s">
        <v>287</v>
      </c>
      <c r="C2344" s="578">
        <v>26</v>
      </c>
      <c r="D2344" s="573" t="s">
        <v>3374</v>
      </c>
      <c r="E2344" s="573" t="s">
        <v>196</v>
      </c>
      <c r="F2344" s="573" t="s">
        <v>271</v>
      </c>
      <c r="G2344" s="573">
        <v>2019</v>
      </c>
      <c r="H2344" s="573" t="s">
        <v>4229</v>
      </c>
      <c r="I2344" s="573" t="s">
        <v>3805</v>
      </c>
      <c r="J2344" s="573" t="s">
        <v>3377</v>
      </c>
      <c r="K2344" s="573">
        <v>6</v>
      </c>
      <c r="L2344" s="573">
        <v>0</v>
      </c>
      <c r="M2344" s="573" t="s">
        <v>157</v>
      </c>
      <c r="N2344" s="573">
        <v>2</v>
      </c>
      <c r="O2344" s="573" t="s">
        <v>4230</v>
      </c>
      <c r="P2344" s="571">
        <v>12500</v>
      </c>
      <c r="Q2344" s="573" t="s">
        <v>4235</v>
      </c>
      <c r="R2344" s="573">
        <v>8</v>
      </c>
      <c r="S2344" s="582" t="s">
        <v>4232</v>
      </c>
      <c r="T2344" s="573" t="s">
        <v>4283</v>
      </c>
      <c r="U2344" s="573">
        <v>160</v>
      </c>
      <c r="V2344" s="573">
        <v>34</v>
      </c>
      <c r="W2344" s="616">
        <v>10000</v>
      </c>
      <c r="X2344" s="617" t="s">
        <v>157</v>
      </c>
      <c r="Y2344" s="617" t="s">
        <v>450</v>
      </c>
      <c r="Z2344" s="617" t="s">
        <v>178</v>
      </c>
      <c r="AA2344" s="618">
        <v>42905</v>
      </c>
      <c r="AB2344" s="618" t="s">
        <v>164</v>
      </c>
      <c r="AC2344" s="618">
        <v>31620</v>
      </c>
      <c r="AD2344" s="619">
        <v>0.05</v>
      </c>
      <c r="AE2344" s="617" t="s">
        <v>4282</v>
      </c>
    </row>
    <row r="2345" spans="1:31" s="572" customFormat="1">
      <c r="A2345" s="570" t="s">
        <v>4300</v>
      </c>
      <c r="B2345" s="569" t="s">
        <v>287</v>
      </c>
      <c r="C2345" s="580">
        <v>26</v>
      </c>
      <c r="D2345" s="569" t="s">
        <v>3374</v>
      </c>
      <c r="E2345" s="569" t="s">
        <v>196</v>
      </c>
      <c r="F2345" s="569" t="s">
        <v>271</v>
      </c>
      <c r="G2345" s="569">
        <v>2019</v>
      </c>
      <c r="H2345" s="569" t="s">
        <v>4229</v>
      </c>
      <c r="I2345" s="569" t="s">
        <v>3805</v>
      </c>
      <c r="J2345" s="569" t="s">
        <v>3377</v>
      </c>
      <c r="K2345" s="569">
        <v>6</v>
      </c>
      <c r="L2345" s="569">
        <v>0</v>
      </c>
      <c r="M2345" s="569" t="s">
        <v>157</v>
      </c>
      <c r="N2345" s="569">
        <v>2</v>
      </c>
      <c r="O2345" s="569" t="s">
        <v>4230</v>
      </c>
      <c r="P2345" s="568">
        <v>12500</v>
      </c>
      <c r="Q2345" s="569" t="s">
        <v>4231</v>
      </c>
      <c r="R2345" s="569">
        <v>8</v>
      </c>
      <c r="S2345" s="569" t="s">
        <v>4232</v>
      </c>
      <c r="T2345" s="569" t="s">
        <v>4283</v>
      </c>
      <c r="U2345" s="569">
        <v>160</v>
      </c>
      <c r="V2345" s="569">
        <v>35</v>
      </c>
      <c r="W2345" s="620">
        <v>10000</v>
      </c>
      <c r="X2345" s="621">
        <v>14</v>
      </c>
      <c r="Y2345" s="621" t="s">
        <v>728</v>
      </c>
      <c r="Z2345" s="621" t="s">
        <v>1523</v>
      </c>
      <c r="AA2345" s="622">
        <v>51900</v>
      </c>
      <c r="AB2345" s="622" t="s">
        <v>164</v>
      </c>
      <c r="AC2345" s="622">
        <v>39814</v>
      </c>
      <c r="AD2345" s="623">
        <v>0.05</v>
      </c>
      <c r="AE2345" s="621" t="s">
        <v>4285</v>
      </c>
    </row>
    <row r="2346" spans="1:31" s="572" customFormat="1">
      <c r="A2346" s="570" t="s">
        <v>4301</v>
      </c>
      <c r="B2346" s="573" t="s">
        <v>287</v>
      </c>
      <c r="C2346" s="578">
        <v>26</v>
      </c>
      <c r="D2346" s="573" t="s">
        <v>3374</v>
      </c>
      <c r="E2346" s="573" t="s">
        <v>196</v>
      </c>
      <c r="F2346" s="573" t="s">
        <v>271</v>
      </c>
      <c r="G2346" s="573">
        <v>2019</v>
      </c>
      <c r="H2346" s="573" t="s">
        <v>4229</v>
      </c>
      <c r="I2346" s="573" t="s">
        <v>3805</v>
      </c>
      <c r="J2346" s="573" t="s">
        <v>3377</v>
      </c>
      <c r="K2346" s="573">
        <v>6</v>
      </c>
      <c r="L2346" s="573">
        <v>0</v>
      </c>
      <c r="M2346" s="573" t="s">
        <v>157</v>
      </c>
      <c r="N2346" s="573">
        <v>2</v>
      </c>
      <c r="O2346" s="573" t="s">
        <v>3846</v>
      </c>
      <c r="P2346" s="571">
        <v>12500</v>
      </c>
      <c r="Q2346" s="573" t="s">
        <v>4235</v>
      </c>
      <c r="R2346" s="573">
        <v>8</v>
      </c>
      <c r="S2346" s="582" t="s">
        <v>4232</v>
      </c>
      <c r="T2346" s="573" t="s">
        <v>4283</v>
      </c>
      <c r="U2346" s="573">
        <v>176</v>
      </c>
      <c r="V2346" s="573">
        <v>48</v>
      </c>
      <c r="W2346" s="616">
        <v>10000</v>
      </c>
      <c r="X2346" s="617" t="s">
        <v>157</v>
      </c>
      <c r="Y2346" s="617" t="s">
        <v>450</v>
      </c>
      <c r="Z2346" s="617" t="s">
        <v>178</v>
      </c>
      <c r="AA2346" s="618">
        <v>43105</v>
      </c>
      <c r="AB2346" s="618" t="s">
        <v>164</v>
      </c>
      <c r="AC2346" s="618">
        <v>31807</v>
      </c>
      <c r="AD2346" s="619">
        <v>0.05</v>
      </c>
      <c r="AE2346" s="617" t="s">
        <v>4289</v>
      </c>
    </row>
    <row r="2347" spans="1:31" s="572" customFormat="1">
      <c r="A2347" s="570" t="s">
        <v>4302</v>
      </c>
      <c r="B2347" s="569" t="s">
        <v>287</v>
      </c>
      <c r="C2347" s="580">
        <v>26</v>
      </c>
      <c r="D2347" s="569" t="s">
        <v>3374</v>
      </c>
      <c r="E2347" s="569" t="s">
        <v>196</v>
      </c>
      <c r="F2347" s="569" t="s">
        <v>271</v>
      </c>
      <c r="G2347" s="569">
        <v>2019</v>
      </c>
      <c r="H2347" s="569" t="s">
        <v>4229</v>
      </c>
      <c r="I2347" s="569" t="s">
        <v>3805</v>
      </c>
      <c r="J2347" s="569" t="s">
        <v>3377</v>
      </c>
      <c r="K2347" s="569">
        <v>6</v>
      </c>
      <c r="L2347" s="569">
        <v>0</v>
      </c>
      <c r="M2347" s="569" t="s">
        <v>157</v>
      </c>
      <c r="N2347" s="569">
        <v>2</v>
      </c>
      <c r="O2347" s="569" t="s">
        <v>3846</v>
      </c>
      <c r="P2347" s="568">
        <v>12500</v>
      </c>
      <c r="Q2347" s="569" t="s">
        <v>4231</v>
      </c>
      <c r="R2347" s="569">
        <v>8</v>
      </c>
      <c r="S2347" s="569" t="s">
        <v>4232</v>
      </c>
      <c r="T2347" s="569" t="s">
        <v>4283</v>
      </c>
      <c r="U2347" s="569">
        <v>176</v>
      </c>
      <c r="V2347" s="569">
        <v>35</v>
      </c>
      <c r="W2347" s="620">
        <v>10000</v>
      </c>
      <c r="X2347" s="621">
        <v>14</v>
      </c>
      <c r="Y2347" s="621" t="s">
        <v>728</v>
      </c>
      <c r="Z2347" s="621" t="s">
        <v>1523</v>
      </c>
      <c r="AA2347" s="622">
        <v>52100</v>
      </c>
      <c r="AB2347" s="622" t="s">
        <v>164</v>
      </c>
      <c r="AC2347" s="622">
        <v>40002</v>
      </c>
      <c r="AD2347" s="623">
        <v>0.05</v>
      </c>
      <c r="AE2347" s="621" t="s">
        <v>4298</v>
      </c>
    </row>
    <row r="2348" spans="1:31" s="572" customFormat="1">
      <c r="A2348" s="570" t="s">
        <v>4303</v>
      </c>
      <c r="B2348" s="573" t="s">
        <v>280</v>
      </c>
      <c r="C2348" s="578">
        <v>27</v>
      </c>
      <c r="D2348" s="573" t="s">
        <v>3374</v>
      </c>
      <c r="E2348" s="573" t="s">
        <v>196</v>
      </c>
      <c r="F2348" s="573" t="s">
        <v>271</v>
      </c>
      <c r="G2348" s="573">
        <v>2019</v>
      </c>
      <c r="H2348" s="573" t="s">
        <v>4229</v>
      </c>
      <c r="I2348" s="573" t="s">
        <v>3805</v>
      </c>
      <c r="J2348" s="573" t="s">
        <v>3377</v>
      </c>
      <c r="K2348" s="573">
        <v>6</v>
      </c>
      <c r="L2348" s="573">
        <v>0</v>
      </c>
      <c r="M2348" s="573" t="s">
        <v>157</v>
      </c>
      <c r="N2348" s="573">
        <v>2</v>
      </c>
      <c r="O2348" s="573" t="s">
        <v>4230</v>
      </c>
      <c r="P2348" s="571">
        <v>12500</v>
      </c>
      <c r="Q2348" s="573" t="s">
        <v>4235</v>
      </c>
      <c r="R2348" s="573">
        <v>8</v>
      </c>
      <c r="S2348" s="582" t="s">
        <v>4232</v>
      </c>
      <c r="T2348" s="573" t="s">
        <v>4283</v>
      </c>
      <c r="U2348" s="573">
        <v>160</v>
      </c>
      <c r="V2348" s="573">
        <v>34</v>
      </c>
      <c r="W2348" s="616">
        <v>10000</v>
      </c>
      <c r="X2348" s="617" t="s">
        <v>157</v>
      </c>
      <c r="Y2348" s="617" t="s">
        <v>450</v>
      </c>
      <c r="Z2348" s="617" t="s">
        <v>178</v>
      </c>
      <c r="AA2348" s="618">
        <v>42905</v>
      </c>
      <c r="AB2348" s="618" t="s">
        <v>164</v>
      </c>
      <c r="AC2348" s="618">
        <v>30984.547368421056</v>
      </c>
      <c r="AD2348" s="619">
        <v>0.03</v>
      </c>
      <c r="AE2348" s="617" t="s">
        <v>4282</v>
      </c>
    </row>
    <row r="2349" spans="1:31" s="572" customFormat="1">
      <c r="A2349" s="570" t="s">
        <v>4304</v>
      </c>
      <c r="B2349" s="569" t="s">
        <v>280</v>
      </c>
      <c r="C2349" s="580">
        <v>27</v>
      </c>
      <c r="D2349" s="569" t="s">
        <v>3374</v>
      </c>
      <c r="E2349" s="569" t="s">
        <v>196</v>
      </c>
      <c r="F2349" s="569" t="s">
        <v>271</v>
      </c>
      <c r="G2349" s="569">
        <v>2019</v>
      </c>
      <c r="H2349" s="569" t="s">
        <v>4229</v>
      </c>
      <c r="I2349" s="569" t="s">
        <v>3805</v>
      </c>
      <c r="J2349" s="569" t="s">
        <v>3377</v>
      </c>
      <c r="K2349" s="569">
        <v>6</v>
      </c>
      <c r="L2349" s="569">
        <v>0</v>
      </c>
      <c r="M2349" s="569" t="s">
        <v>157</v>
      </c>
      <c r="N2349" s="569">
        <v>2</v>
      </c>
      <c r="O2349" s="569" t="s">
        <v>4230</v>
      </c>
      <c r="P2349" s="568">
        <v>12500</v>
      </c>
      <c r="Q2349" s="569" t="s">
        <v>4231</v>
      </c>
      <c r="R2349" s="569">
        <v>8</v>
      </c>
      <c r="S2349" s="569" t="s">
        <v>4232</v>
      </c>
      <c r="T2349" s="569" t="s">
        <v>4283</v>
      </c>
      <c r="U2349" s="569">
        <v>160</v>
      </c>
      <c r="V2349" s="569">
        <v>34</v>
      </c>
      <c r="W2349" s="620">
        <v>10000</v>
      </c>
      <c r="X2349" s="621" t="s">
        <v>157</v>
      </c>
      <c r="Y2349" s="621" t="s">
        <v>728</v>
      </c>
      <c r="Z2349" s="621" t="s">
        <v>1523</v>
      </c>
      <c r="AA2349" s="622">
        <v>52475</v>
      </c>
      <c r="AB2349" s="622" t="s">
        <v>164</v>
      </c>
      <c r="AC2349" s="622">
        <v>39620.631578947367</v>
      </c>
      <c r="AD2349" s="623">
        <v>0.03</v>
      </c>
      <c r="AE2349" s="621" t="s">
        <v>4285</v>
      </c>
    </row>
    <row r="2350" spans="1:31" s="572" customFormat="1">
      <c r="A2350" s="570" t="s">
        <v>4305</v>
      </c>
      <c r="B2350" s="573" t="s">
        <v>280</v>
      </c>
      <c r="C2350" s="578">
        <v>27</v>
      </c>
      <c r="D2350" s="573" t="s">
        <v>3374</v>
      </c>
      <c r="E2350" s="573" t="s">
        <v>196</v>
      </c>
      <c r="F2350" s="573" t="s">
        <v>271</v>
      </c>
      <c r="G2350" s="573">
        <v>2019</v>
      </c>
      <c r="H2350" s="573" t="s">
        <v>4229</v>
      </c>
      <c r="I2350" s="573" t="s">
        <v>3805</v>
      </c>
      <c r="J2350" s="573" t="s">
        <v>3377</v>
      </c>
      <c r="K2350" s="573">
        <v>6</v>
      </c>
      <c r="L2350" s="573">
        <v>0</v>
      </c>
      <c r="M2350" s="573" t="s">
        <v>157</v>
      </c>
      <c r="N2350" s="573">
        <v>2</v>
      </c>
      <c r="O2350" s="573" t="s">
        <v>4230</v>
      </c>
      <c r="P2350" s="571">
        <v>12900</v>
      </c>
      <c r="Q2350" s="573" t="s">
        <v>4235</v>
      </c>
      <c r="R2350" s="573">
        <v>8</v>
      </c>
      <c r="S2350" s="582" t="s">
        <v>4232</v>
      </c>
      <c r="T2350" s="573" t="s">
        <v>4283</v>
      </c>
      <c r="U2350" s="573">
        <v>160</v>
      </c>
      <c r="V2350" s="573">
        <v>34</v>
      </c>
      <c r="W2350" s="616">
        <v>10000</v>
      </c>
      <c r="X2350" s="617" t="s">
        <v>157</v>
      </c>
      <c r="Y2350" s="617" t="s">
        <v>450</v>
      </c>
      <c r="Z2350" s="617" t="s">
        <v>178</v>
      </c>
      <c r="AA2350" s="618">
        <v>42902</v>
      </c>
      <c r="AB2350" s="618" t="s">
        <v>164</v>
      </c>
      <c r="AC2350" s="618">
        <v>30984.547368421056</v>
      </c>
      <c r="AD2350" s="619">
        <v>0.03</v>
      </c>
      <c r="AE2350" s="617" t="s">
        <v>4287</v>
      </c>
    </row>
    <row r="2351" spans="1:31" s="572" customFormat="1">
      <c r="A2351" s="570" t="s">
        <v>4306</v>
      </c>
      <c r="B2351" s="569" t="s">
        <v>280</v>
      </c>
      <c r="C2351" s="580">
        <v>27</v>
      </c>
      <c r="D2351" s="569" t="s">
        <v>3374</v>
      </c>
      <c r="E2351" s="569" t="s">
        <v>196</v>
      </c>
      <c r="F2351" s="569" t="s">
        <v>271</v>
      </c>
      <c r="G2351" s="569">
        <v>2019</v>
      </c>
      <c r="H2351" s="569" t="s">
        <v>4229</v>
      </c>
      <c r="I2351" s="569" t="s">
        <v>3805</v>
      </c>
      <c r="J2351" s="569" t="s">
        <v>3377</v>
      </c>
      <c r="K2351" s="569">
        <v>6</v>
      </c>
      <c r="L2351" s="569">
        <v>0</v>
      </c>
      <c r="M2351" s="569" t="s">
        <v>157</v>
      </c>
      <c r="N2351" s="569">
        <v>2</v>
      </c>
      <c r="O2351" s="569" t="s">
        <v>3846</v>
      </c>
      <c r="P2351" s="568">
        <v>12500</v>
      </c>
      <c r="Q2351" s="569" t="s">
        <v>4235</v>
      </c>
      <c r="R2351" s="569">
        <v>8</v>
      </c>
      <c r="S2351" s="569" t="s">
        <v>4232</v>
      </c>
      <c r="T2351" s="569" t="s">
        <v>4283</v>
      </c>
      <c r="U2351" s="569">
        <v>176</v>
      </c>
      <c r="V2351" s="569">
        <v>48</v>
      </c>
      <c r="W2351" s="620">
        <v>10000</v>
      </c>
      <c r="X2351" s="621" t="s">
        <v>157</v>
      </c>
      <c r="Y2351" s="621" t="s">
        <v>450</v>
      </c>
      <c r="Z2351" s="621" t="s">
        <v>178</v>
      </c>
      <c r="AA2351" s="622">
        <v>43105</v>
      </c>
      <c r="AB2351" s="622" t="s">
        <v>164</v>
      </c>
      <c r="AC2351" s="622">
        <v>31168.757894736842</v>
      </c>
      <c r="AD2351" s="623">
        <v>0.03</v>
      </c>
      <c r="AE2351" s="621" t="s">
        <v>4289</v>
      </c>
    </row>
    <row r="2352" spans="1:31" s="572" customFormat="1">
      <c r="A2352" s="570" t="s">
        <v>4307</v>
      </c>
      <c r="B2352" s="573" t="s">
        <v>280</v>
      </c>
      <c r="C2352" s="578">
        <v>27</v>
      </c>
      <c r="D2352" s="573" t="s">
        <v>3374</v>
      </c>
      <c r="E2352" s="573" t="s">
        <v>196</v>
      </c>
      <c r="F2352" s="573" t="s">
        <v>271</v>
      </c>
      <c r="G2352" s="573">
        <v>2019</v>
      </c>
      <c r="H2352" s="573" t="s">
        <v>4229</v>
      </c>
      <c r="I2352" s="573" t="s">
        <v>3805</v>
      </c>
      <c r="J2352" s="573" t="s">
        <v>3377</v>
      </c>
      <c r="K2352" s="573">
        <v>6</v>
      </c>
      <c r="L2352" s="573">
        <v>0</v>
      </c>
      <c r="M2352" s="573" t="s">
        <v>157</v>
      </c>
      <c r="N2352" s="573">
        <v>2</v>
      </c>
      <c r="O2352" s="573" t="s">
        <v>3846</v>
      </c>
      <c r="P2352" s="571">
        <v>12500</v>
      </c>
      <c r="Q2352" s="573" t="s">
        <v>4231</v>
      </c>
      <c r="R2352" s="573">
        <v>8</v>
      </c>
      <c r="S2352" s="582" t="s">
        <v>4232</v>
      </c>
      <c r="T2352" s="573" t="s">
        <v>4283</v>
      </c>
      <c r="U2352" s="573">
        <v>176</v>
      </c>
      <c r="V2352" s="573">
        <v>48</v>
      </c>
      <c r="W2352" s="616">
        <v>10000</v>
      </c>
      <c r="X2352" s="617" t="s">
        <v>157</v>
      </c>
      <c r="Y2352" s="617" t="s">
        <v>728</v>
      </c>
      <c r="Z2352" s="617" t="s">
        <v>1523</v>
      </c>
      <c r="AA2352" s="618">
        <v>52675</v>
      </c>
      <c r="AB2352" s="618" t="s">
        <v>164</v>
      </c>
      <c r="AC2352" s="618">
        <v>39804.84210526316</v>
      </c>
      <c r="AD2352" s="619">
        <v>0.03</v>
      </c>
      <c r="AE2352" s="617" t="s">
        <v>4291</v>
      </c>
    </row>
    <row r="2353" spans="1:31" s="572" customFormat="1">
      <c r="A2353" s="570" t="s">
        <v>4308</v>
      </c>
      <c r="B2353" s="569" t="s">
        <v>280</v>
      </c>
      <c r="C2353" s="580">
        <v>27</v>
      </c>
      <c r="D2353" s="569" t="s">
        <v>3374</v>
      </c>
      <c r="E2353" s="569" t="s">
        <v>196</v>
      </c>
      <c r="F2353" s="569" t="s">
        <v>271</v>
      </c>
      <c r="G2353" s="569">
        <v>2019</v>
      </c>
      <c r="H2353" s="569" t="s">
        <v>4229</v>
      </c>
      <c r="I2353" s="569" t="s">
        <v>3805</v>
      </c>
      <c r="J2353" s="569" t="s">
        <v>3377</v>
      </c>
      <c r="K2353" s="569">
        <v>6</v>
      </c>
      <c r="L2353" s="569">
        <v>0</v>
      </c>
      <c r="M2353" s="569" t="s">
        <v>157</v>
      </c>
      <c r="N2353" s="569">
        <v>2</v>
      </c>
      <c r="O2353" s="569" t="s">
        <v>3846</v>
      </c>
      <c r="P2353" s="568">
        <v>12900</v>
      </c>
      <c r="Q2353" s="569" t="s">
        <v>4235</v>
      </c>
      <c r="R2353" s="569">
        <v>8</v>
      </c>
      <c r="S2353" s="569" t="s">
        <v>4232</v>
      </c>
      <c r="T2353" s="569" t="s">
        <v>4283</v>
      </c>
      <c r="U2353" s="569">
        <v>176</v>
      </c>
      <c r="V2353" s="569">
        <v>48</v>
      </c>
      <c r="W2353" s="620">
        <v>10000</v>
      </c>
      <c r="X2353" s="621" t="s">
        <v>157</v>
      </c>
      <c r="Y2353" s="621" t="s">
        <v>450</v>
      </c>
      <c r="Z2353" s="621" t="s">
        <v>178</v>
      </c>
      <c r="AA2353" s="622">
        <v>43105</v>
      </c>
      <c r="AB2353" s="622" t="s">
        <v>164</v>
      </c>
      <c r="AC2353" s="622">
        <v>31168.757894736842</v>
      </c>
      <c r="AD2353" s="623">
        <v>0.03</v>
      </c>
      <c r="AE2353" s="621" t="s">
        <v>4293</v>
      </c>
    </row>
    <row r="2354" spans="1:31" s="572" customFormat="1">
      <c r="A2354" s="570" t="s">
        <v>4309</v>
      </c>
      <c r="B2354" s="573" t="s">
        <v>269</v>
      </c>
      <c r="C2354" s="578" t="s">
        <v>270</v>
      </c>
      <c r="D2354" s="573" t="s">
        <v>3374</v>
      </c>
      <c r="E2354" s="573" t="s">
        <v>196</v>
      </c>
      <c r="F2354" s="573" t="s">
        <v>271</v>
      </c>
      <c r="G2354" s="573">
        <v>2019</v>
      </c>
      <c r="H2354" s="573" t="s">
        <v>4229</v>
      </c>
      <c r="I2354" s="573" t="s">
        <v>3805</v>
      </c>
      <c r="J2354" s="573" t="s">
        <v>752</v>
      </c>
      <c r="K2354" s="573">
        <v>6</v>
      </c>
      <c r="L2354" s="573">
        <v>0</v>
      </c>
      <c r="M2354" s="573" t="s">
        <v>157</v>
      </c>
      <c r="N2354" s="573">
        <v>2</v>
      </c>
      <c r="O2354" s="573" t="s">
        <v>4230</v>
      </c>
      <c r="P2354" s="571">
        <v>12200</v>
      </c>
      <c r="Q2354" s="573" t="s">
        <v>4231</v>
      </c>
      <c r="R2354" s="573">
        <v>8</v>
      </c>
      <c r="S2354" s="582" t="s">
        <v>4259</v>
      </c>
      <c r="T2354" s="573" t="s">
        <v>4283</v>
      </c>
      <c r="U2354" s="573">
        <v>160</v>
      </c>
      <c r="V2354" s="573">
        <v>34</v>
      </c>
      <c r="W2354" s="616">
        <v>10000</v>
      </c>
      <c r="X2354" s="617" t="s">
        <v>157</v>
      </c>
      <c r="Y2354" s="617" t="s">
        <v>728</v>
      </c>
      <c r="Z2354" s="617" t="s">
        <v>1523</v>
      </c>
      <c r="AA2354" s="618">
        <v>55270</v>
      </c>
      <c r="AB2354" s="618" t="s">
        <v>164</v>
      </c>
      <c r="AC2354" s="618">
        <v>42202.736842105267</v>
      </c>
      <c r="AD2354" s="619">
        <v>0.03</v>
      </c>
      <c r="AE2354" s="617" t="s">
        <v>4310</v>
      </c>
    </row>
    <row r="2355" spans="1:31" s="572" customFormat="1">
      <c r="A2355" s="570" t="s">
        <v>4311</v>
      </c>
      <c r="B2355" s="569" t="s">
        <v>269</v>
      </c>
      <c r="C2355" s="580" t="s">
        <v>270</v>
      </c>
      <c r="D2355" s="569" t="s">
        <v>3374</v>
      </c>
      <c r="E2355" s="569" t="s">
        <v>196</v>
      </c>
      <c r="F2355" s="569" t="s">
        <v>271</v>
      </c>
      <c r="G2355" s="569">
        <v>2019</v>
      </c>
      <c r="H2355" s="569" t="s">
        <v>4229</v>
      </c>
      <c r="I2355" s="569" t="s">
        <v>3805</v>
      </c>
      <c r="J2355" s="569" t="s">
        <v>752</v>
      </c>
      <c r="K2355" s="569">
        <v>6</v>
      </c>
      <c r="L2355" s="569">
        <v>0</v>
      </c>
      <c r="M2355" s="569" t="s">
        <v>157</v>
      </c>
      <c r="N2355" s="569">
        <v>2</v>
      </c>
      <c r="O2355" s="569" t="s">
        <v>4230</v>
      </c>
      <c r="P2355" s="568">
        <v>12500</v>
      </c>
      <c r="Q2355" s="569" t="s">
        <v>4235</v>
      </c>
      <c r="R2355" s="569">
        <v>8</v>
      </c>
      <c r="S2355" s="569" t="s">
        <v>4259</v>
      </c>
      <c r="T2355" s="569" t="s">
        <v>4283</v>
      </c>
      <c r="U2355" s="569">
        <v>160</v>
      </c>
      <c r="V2355" s="569">
        <v>34</v>
      </c>
      <c r="W2355" s="620">
        <v>10000</v>
      </c>
      <c r="X2355" s="621" t="s">
        <v>157</v>
      </c>
      <c r="Y2355" s="621" t="s">
        <v>450</v>
      </c>
      <c r="Z2355" s="621" t="s">
        <v>178</v>
      </c>
      <c r="AA2355" s="622">
        <v>50160</v>
      </c>
      <c r="AB2355" s="622" t="s">
        <v>164</v>
      </c>
      <c r="AC2355" s="622">
        <v>37482.736842105267</v>
      </c>
      <c r="AD2355" s="623">
        <v>0.03</v>
      </c>
      <c r="AE2355" s="621" t="s">
        <v>4312</v>
      </c>
    </row>
    <row r="2356" spans="1:31" s="572" customFormat="1">
      <c r="A2356" s="570" t="s">
        <v>4313</v>
      </c>
      <c r="B2356" s="573" t="s">
        <v>269</v>
      </c>
      <c r="C2356" s="578" t="s">
        <v>270</v>
      </c>
      <c r="D2356" s="573" t="s">
        <v>3374</v>
      </c>
      <c r="E2356" s="573" t="s">
        <v>196</v>
      </c>
      <c r="F2356" s="573" t="s">
        <v>271</v>
      </c>
      <c r="G2356" s="573">
        <v>2019</v>
      </c>
      <c r="H2356" s="573" t="s">
        <v>4229</v>
      </c>
      <c r="I2356" s="573" t="s">
        <v>3805</v>
      </c>
      <c r="J2356" s="573" t="s">
        <v>752</v>
      </c>
      <c r="K2356" s="573">
        <v>6</v>
      </c>
      <c r="L2356" s="573">
        <v>0</v>
      </c>
      <c r="M2356" s="573" t="s">
        <v>157</v>
      </c>
      <c r="N2356" s="573">
        <v>2</v>
      </c>
      <c r="O2356" s="573" t="s">
        <v>3846</v>
      </c>
      <c r="P2356" s="571">
        <v>12200</v>
      </c>
      <c r="Q2356" s="573" t="s">
        <v>4231</v>
      </c>
      <c r="R2356" s="573">
        <v>8</v>
      </c>
      <c r="S2356" s="582" t="s">
        <v>4259</v>
      </c>
      <c r="T2356" s="573" t="s">
        <v>4283</v>
      </c>
      <c r="U2356" s="573">
        <v>176</v>
      </c>
      <c r="V2356" s="573">
        <v>48</v>
      </c>
      <c r="W2356" s="616">
        <v>10000</v>
      </c>
      <c r="X2356" s="617" t="s">
        <v>157</v>
      </c>
      <c r="Y2356" s="617" t="s">
        <v>728</v>
      </c>
      <c r="Z2356" s="617" t="s">
        <v>1523</v>
      </c>
      <c r="AA2356" s="618">
        <v>55475</v>
      </c>
      <c r="AB2356" s="618" t="s">
        <v>164</v>
      </c>
      <c r="AC2356" s="618">
        <v>42391.15789473684</v>
      </c>
      <c r="AD2356" s="619">
        <v>0.03</v>
      </c>
      <c r="AE2356" s="617" t="s">
        <v>4314</v>
      </c>
    </row>
    <row r="2357" spans="1:31" s="572" customFormat="1">
      <c r="A2357" s="570" t="s">
        <v>4315</v>
      </c>
      <c r="B2357" s="569" t="s">
        <v>269</v>
      </c>
      <c r="C2357" s="580" t="s">
        <v>270</v>
      </c>
      <c r="D2357" s="569" t="s">
        <v>3374</v>
      </c>
      <c r="E2357" s="569" t="s">
        <v>196</v>
      </c>
      <c r="F2357" s="569" t="s">
        <v>271</v>
      </c>
      <c r="G2357" s="569">
        <v>2019</v>
      </c>
      <c r="H2357" s="569" t="s">
        <v>4229</v>
      </c>
      <c r="I2357" s="569" t="s">
        <v>3805</v>
      </c>
      <c r="J2357" s="569" t="s">
        <v>752</v>
      </c>
      <c r="K2357" s="569">
        <v>6</v>
      </c>
      <c r="L2357" s="569">
        <v>0</v>
      </c>
      <c r="M2357" s="569" t="s">
        <v>157</v>
      </c>
      <c r="N2357" s="569">
        <v>2</v>
      </c>
      <c r="O2357" s="569" t="s">
        <v>3846</v>
      </c>
      <c r="P2357" s="568">
        <v>12500</v>
      </c>
      <c r="Q2357" s="569" t="s">
        <v>4235</v>
      </c>
      <c r="R2357" s="569">
        <v>8</v>
      </c>
      <c r="S2357" s="569" t="s">
        <v>4259</v>
      </c>
      <c r="T2357" s="569" t="s">
        <v>4283</v>
      </c>
      <c r="U2357" s="569">
        <v>176</v>
      </c>
      <c r="V2357" s="569">
        <v>48</v>
      </c>
      <c r="W2357" s="620">
        <v>10000</v>
      </c>
      <c r="X2357" s="621" t="s">
        <v>157</v>
      </c>
      <c r="Y2357" s="621" t="s">
        <v>450</v>
      </c>
      <c r="Z2357" s="621" t="s">
        <v>178</v>
      </c>
      <c r="AA2357" s="622">
        <v>45905</v>
      </c>
      <c r="AB2357" s="622" t="s">
        <v>164</v>
      </c>
      <c r="AC2357" s="622">
        <v>33755.073684210525</v>
      </c>
      <c r="AD2357" s="623">
        <v>0.03</v>
      </c>
      <c r="AE2357" s="621" t="s">
        <v>4316</v>
      </c>
    </row>
    <row r="2358" spans="1:31" s="572" customFormat="1">
      <c r="A2358" s="570" t="s">
        <v>4317</v>
      </c>
      <c r="B2358" s="573" t="s">
        <v>278</v>
      </c>
      <c r="C2358" s="578">
        <v>15</v>
      </c>
      <c r="D2358" s="573" t="s">
        <v>3374</v>
      </c>
      <c r="E2358" s="573" t="s">
        <v>196</v>
      </c>
      <c r="F2358" s="573" t="s">
        <v>271</v>
      </c>
      <c r="G2358" s="573">
        <v>2019</v>
      </c>
      <c r="H2358" s="573" t="s">
        <v>4229</v>
      </c>
      <c r="I2358" s="573" t="s">
        <v>3805</v>
      </c>
      <c r="J2358" s="573" t="s">
        <v>752</v>
      </c>
      <c r="K2358" s="573">
        <v>6</v>
      </c>
      <c r="L2358" s="573">
        <v>0</v>
      </c>
      <c r="M2358" s="573" t="s">
        <v>157</v>
      </c>
      <c r="N2358" s="573">
        <v>2</v>
      </c>
      <c r="O2358" s="573" t="s">
        <v>4230</v>
      </c>
      <c r="P2358" s="571">
        <v>12200</v>
      </c>
      <c r="Q2358" s="573" t="s">
        <v>4235</v>
      </c>
      <c r="R2358" s="573">
        <v>8</v>
      </c>
      <c r="S2358" s="582" t="s">
        <v>4259</v>
      </c>
      <c r="T2358" s="573" t="s">
        <v>4283</v>
      </c>
      <c r="U2358" s="573">
        <v>160</v>
      </c>
      <c r="V2358" s="573">
        <v>34</v>
      </c>
      <c r="W2358" s="616">
        <v>10000</v>
      </c>
      <c r="X2358" s="617" t="s">
        <v>157</v>
      </c>
      <c r="Y2358" s="617" t="s">
        <v>450</v>
      </c>
      <c r="Z2358" s="617" t="s">
        <v>178</v>
      </c>
      <c r="AA2358" s="618">
        <v>46150</v>
      </c>
      <c r="AB2358" s="618" t="s">
        <v>164</v>
      </c>
      <c r="AC2358" s="618">
        <v>34150</v>
      </c>
      <c r="AD2358" s="619">
        <v>0.01</v>
      </c>
      <c r="AE2358" s="617" t="s">
        <v>4318</v>
      </c>
    </row>
    <row r="2359" spans="1:31" s="572" customFormat="1">
      <c r="A2359" s="570" t="s">
        <v>4319</v>
      </c>
      <c r="B2359" s="569" t="s">
        <v>278</v>
      </c>
      <c r="C2359" s="580">
        <v>15</v>
      </c>
      <c r="D2359" s="569" t="s">
        <v>3374</v>
      </c>
      <c r="E2359" s="569" t="s">
        <v>196</v>
      </c>
      <c r="F2359" s="569" t="s">
        <v>271</v>
      </c>
      <c r="G2359" s="569">
        <v>2019</v>
      </c>
      <c r="H2359" s="569" t="s">
        <v>4229</v>
      </c>
      <c r="I2359" s="569" t="s">
        <v>3805</v>
      </c>
      <c r="J2359" s="569" t="s">
        <v>752</v>
      </c>
      <c r="K2359" s="569">
        <v>6</v>
      </c>
      <c r="L2359" s="569">
        <v>0</v>
      </c>
      <c r="M2359" s="569" t="s">
        <v>157</v>
      </c>
      <c r="N2359" s="569">
        <v>2</v>
      </c>
      <c r="O2359" s="569" t="s">
        <v>4230</v>
      </c>
      <c r="P2359" s="568">
        <v>12200</v>
      </c>
      <c r="Q2359" s="569" t="s">
        <v>4231</v>
      </c>
      <c r="R2359" s="569">
        <v>8</v>
      </c>
      <c r="S2359" s="569" t="s">
        <v>4259</v>
      </c>
      <c r="T2359" s="569" t="s">
        <v>4283</v>
      </c>
      <c r="U2359" s="569">
        <v>160</v>
      </c>
      <c r="V2359" s="569">
        <v>35</v>
      </c>
      <c r="W2359" s="620">
        <v>10000</v>
      </c>
      <c r="X2359" s="621">
        <v>15</v>
      </c>
      <c r="Y2359" s="621" t="s">
        <v>728</v>
      </c>
      <c r="Z2359" s="621" t="s">
        <v>1523</v>
      </c>
      <c r="AA2359" s="622">
        <v>55270</v>
      </c>
      <c r="AB2359" s="622" t="s">
        <v>164</v>
      </c>
      <c r="AC2359" s="622">
        <v>42450</v>
      </c>
      <c r="AD2359" s="623">
        <v>0.01</v>
      </c>
      <c r="AE2359" s="621" t="s">
        <v>4310</v>
      </c>
    </row>
    <row r="2360" spans="1:31" s="572" customFormat="1">
      <c r="A2360" s="570" t="s">
        <v>4320</v>
      </c>
      <c r="B2360" s="573" t="s">
        <v>278</v>
      </c>
      <c r="C2360" s="578">
        <v>15</v>
      </c>
      <c r="D2360" s="573" t="s">
        <v>3374</v>
      </c>
      <c r="E2360" s="573" t="s">
        <v>196</v>
      </c>
      <c r="F2360" s="573" t="s">
        <v>271</v>
      </c>
      <c r="G2360" s="573">
        <v>2019</v>
      </c>
      <c r="H2360" s="573" t="s">
        <v>4229</v>
      </c>
      <c r="I2360" s="573" t="s">
        <v>3805</v>
      </c>
      <c r="J2360" s="573" t="s">
        <v>752</v>
      </c>
      <c r="K2360" s="573">
        <v>6</v>
      </c>
      <c r="L2360" s="573">
        <v>0</v>
      </c>
      <c r="M2360" s="573" t="s">
        <v>157</v>
      </c>
      <c r="N2360" s="573">
        <v>2</v>
      </c>
      <c r="O2360" s="573" t="s">
        <v>3846</v>
      </c>
      <c r="P2360" s="571">
        <v>12200</v>
      </c>
      <c r="Q2360" s="573" t="s">
        <v>4235</v>
      </c>
      <c r="R2360" s="573">
        <v>8</v>
      </c>
      <c r="S2360" s="582" t="s">
        <v>4259</v>
      </c>
      <c r="T2360" s="573" t="s">
        <v>4283</v>
      </c>
      <c r="U2360" s="573">
        <v>176</v>
      </c>
      <c r="V2360" s="573">
        <v>48</v>
      </c>
      <c r="W2360" s="616">
        <v>10000</v>
      </c>
      <c r="X2360" s="617" t="s">
        <v>157</v>
      </c>
      <c r="Y2360" s="617" t="s">
        <v>450</v>
      </c>
      <c r="Z2360" s="617" t="s">
        <v>178</v>
      </c>
      <c r="AA2360" s="618">
        <v>46355</v>
      </c>
      <c r="AB2360" s="618" t="s">
        <v>164</v>
      </c>
      <c r="AC2360" s="618">
        <v>34400</v>
      </c>
      <c r="AD2360" s="619">
        <v>0.01</v>
      </c>
      <c r="AE2360" s="617" t="s">
        <v>4321</v>
      </c>
    </row>
    <row r="2361" spans="1:31" s="572" customFormat="1">
      <c r="A2361" s="570" t="s">
        <v>4322</v>
      </c>
      <c r="B2361" s="569" t="s">
        <v>278</v>
      </c>
      <c r="C2361" s="580">
        <v>15</v>
      </c>
      <c r="D2361" s="569" t="s">
        <v>3374</v>
      </c>
      <c r="E2361" s="569" t="s">
        <v>196</v>
      </c>
      <c r="F2361" s="569" t="s">
        <v>271</v>
      </c>
      <c r="G2361" s="569">
        <v>2019</v>
      </c>
      <c r="H2361" s="569" t="s">
        <v>4229</v>
      </c>
      <c r="I2361" s="569" t="s">
        <v>3805</v>
      </c>
      <c r="J2361" s="569" t="s">
        <v>752</v>
      </c>
      <c r="K2361" s="569">
        <v>6</v>
      </c>
      <c r="L2361" s="569">
        <v>0</v>
      </c>
      <c r="M2361" s="569" t="s">
        <v>157</v>
      </c>
      <c r="N2361" s="569">
        <v>2</v>
      </c>
      <c r="O2361" s="569" t="s">
        <v>3846</v>
      </c>
      <c r="P2361" s="568">
        <v>12200</v>
      </c>
      <c r="Q2361" s="569" t="s">
        <v>4231</v>
      </c>
      <c r="R2361" s="569">
        <v>8</v>
      </c>
      <c r="S2361" s="569" t="s">
        <v>4259</v>
      </c>
      <c r="T2361" s="569" t="s">
        <v>4283</v>
      </c>
      <c r="U2361" s="569">
        <v>176</v>
      </c>
      <c r="V2361" s="569">
        <v>35</v>
      </c>
      <c r="W2361" s="620">
        <v>10000</v>
      </c>
      <c r="X2361" s="621">
        <v>14</v>
      </c>
      <c r="Y2361" s="621" t="s">
        <v>728</v>
      </c>
      <c r="Z2361" s="621" t="s">
        <v>1523</v>
      </c>
      <c r="AA2361" s="622">
        <v>55475</v>
      </c>
      <c r="AB2361" s="622" t="s">
        <v>164</v>
      </c>
      <c r="AC2361" s="622">
        <v>42650</v>
      </c>
      <c r="AD2361" s="623">
        <v>0.01</v>
      </c>
      <c r="AE2361" s="621" t="s">
        <v>4323</v>
      </c>
    </row>
    <row r="2362" spans="1:31" s="572" customFormat="1">
      <c r="A2362" s="570" t="s">
        <v>4324</v>
      </c>
      <c r="B2362" s="573" t="s">
        <v>287</v>
      </c>
      <c r="C2362" s="578">
        <v>26</v>
      </c>
      <c r="D2362" s="573" t="s">
        <v>3374</v>
      </c>
      <c r="E2362" s="573" t="s">
        <v>196</v>
      </c>
      <c r="F2362" s="573" t="s">
        <v>271</v>
      </c>
      <c r="G2362" s="573">
        <v>2019</v>
      </c>
      <c r="H2362" s="573" t="s">
        <v>4229</v>
      </c>
      <c r="I2362" s="573" t="s">
        <v>3805</v>
      </c>
      <c r="J2362" s="573" t="s">
        <v>752</v>
      </c>
      <c r="K2362" s="573">
        <v>6</v>
      </c>
      <c r="L2362" s="573">
        <v>0</v>
      </c>
      <c r="M2362" s="573" t="s">
        <v>157</v>
      </c>
      <c r="N2362" s="573">
        <v>2</v>
      </c>
      <c r="O2362" s="573" t="s">
        <v>4230</v>
      </c>
      <c r="P2362" s="571">
        <v>12200</v>
      </c>
      <c r="Q2362" s="573" t="s">
        <v>4235</v>
      </c>
      <c r="R2362" s="573">
        <v>8</v>
      </c>
      <c r="S2362" s="582" t="s">
        <v>4259</v>
      </c>
      <c r="T2362" s="573" t="s">
        <v>4283</v>
      </c>
      <c r="U2362" s="573">
        <v>160</v>
      </c>
      <c r="V2362" s="573">
        <v>34</v>
      </c>
      <c r="W2362" s="616">
        <v>10000</v>
      </c>
      <c r="X2362" s="617" t="s">
        <v>157</v>
      </c>
      <c r="Y2362" s="617" t="s">
        <v>450</v>
      </c>
      <c r="Z2362" s="617" t="s">
        <v>178</v>
      </c>
      <c r="AA2362" s="618">
        <v>45700</v>
      </c>
      <c r="AB2362" s="618" t="s">
        <v>164</v>
      </c>
      <c r="AC2362" s="618">
        <v>34241</v>
      </c>
      <c r="AD2362" s="619">
        <v>0.05</v>
      </c>
      <c r="AE2362" s="617" t="s">
        <v>4318</v>
      </c>
    </row>
    <row r="2363" spans="1:31" s="572" customFormat="1">
      <c r="A2363" s="570" t="s">
        <v>4325</v>
      </c>
      <c r="B2363" s="569" t="s">
        <v>287</v>
      </c>
      <c r="C2363" s="580">
        <v>26</v>
      </c>
      <c r="D2363" s="569" t="s">
        <v>3374</v>
      </c>
      <c r="E2363" s="569" t="s">
        <v>196</v>
      </c>
      <c r="F2363" s="569" t="s">
        <v>271</v>
      </c>
      <c r="G2363" s="569">
        <v>2019</v>
      </c>
      <c r="H2363" s="569" t="s">
        <v>4229</v>
      </c>
      <c r="I2363" s="569" t="s">
        <v>3805</v>
      </c>
      <c r="J2363" s="569" t="s">
        <v>752</v>
      </c>
      <c r="K2363" s="569">
        <v>6</v>
      </c>
      <c r="L2363" s="569">
        <v>0</v>
      </c>
      <c r="M2363" s="569" t="s">
        <v>157</v>
      </c>
      <c r="N2363" s="569">
        <v>2</v>
      </c>
      <c r="O2363" s="569" t="s">
        <v>4230</v>
      </c>
      <c r="P2363" s="568">
        <v>12200</v>
      </c>
      <c r="Q2363" s="569" t="s">
        <v>4231</v>
      </c>
      <c r="R2363" s="569">
        <v>8</v>
      </c>
      <c r="S2363" s="569" t="s">
        <v>4259</v>
      </c>
      <c r="T2363" s="569" t="s">
        <v>4283</v>
      </c>
      <c r="U2363" s="569">
        <v>160</v>
      </c>
      <c r="V2363" s="569">
        <v>35</v>
      </c>
      <c r="W2363" s="620">
        <v>10000</v>
      </c>
      <c r="X2363" s="621">
        <v>15</v>
      </c>
      <c r="Y2363" s="621" t="s">
        <v>728</v>
      </c>
      <c r="Z2363" s="621" t="s">
        <v>1523</v>
      </c>
      <c r="AA2363" s="622">
        <v>54695</v>
      </c>
      <c r="AB2363" s="622" t="s">
        <v>164</v>
      </c>
      <c r="AC2363" s="622">
        <v>42436</v>
      </c>
      <c r="AD2363" s="623">
        <v>0.05</v>
      </c>
      <c r="AE2363" s="621" t="s">
        <v>4310</v>
      </c>
    </row>
    <row r="2364" spans="1:31" s="572" customFormat="1">
      <c r="A2364" s="570" t="s">
        <v>4326</v>
      </c>
      <c r="B2364" s="573" t="s">
        <v>287</v>
      </c>
      <c r="C2364" s="578">
        <v>26</v>
      </c>
      <c r="D2364" s="573" t="s">
        <v>3374</v>
      </c>
      <c r="E2364" s="573" t="s">
        <v>196</v>
      </c>
      <c r="F2364" s="573" t="s">
        <v>271</v>
      </c>
      <c r="G2364" s="573">
        <v>2019</v>
      </c>
      <c r="H2364" s="573" t="s">
        <v>4229</v>
      </c>
      <c r="I2364" s="573" t="s">
        <v>3805</v>
      </c>
      <c r="J2364" s="573" t="s">
        <v>752</v>
      </c>
      <c r="K2364" s="573">
        <v>6</v>
      </c>
      <c r="L2364" s="573">
        <v>0</v>
      </c>
      <c r="M2364" s="573" t="s">
        <v>157</v>
      </c>
      <c r="N2364" s="573">
        <v>2</v>
      </c>
      <c r="O2364" s="573" t="s">
        <v>3846</v>
      </c>
      <c r="P2364" s="571">
        <v>12200</v>
      </c>
      <c r="Q2364" s="573" t="s">
        <v>4235</v>
      </c>
      <c r="R2364" s="573">
        <v>8</v>
      </c>
      <c r="S2364" s="582" t="s">
        <v>4259</v>
      </c>
      <c r="T2364" s="573" t="s">
        <v>4283</v>
      </c>
      <c r="U2364" s="573">
        <v>176</v>
      </c>
      <c r="V2364" s="573">
        <v>48</v>
      </c>
      <c r="W2364" s="616">
        <v>10000</v>
      </c>
      <c r="X2364" s="617" t="s">
        <v>157</v>
      </c>
      <c r="Y2364" s="617" t="s">
        <v>450</v>
      </c>
      <c r="Z2364" s="617" t="s">
        <v>178</v>
      </c>
      <c r="AA2364" s="618">
        <v>45905</v>
      </c>
      <c r="AB2364" s="618" t="s">
        <v>164</v>
      </c>
      <c r="AC2364" s="618">
        <v>34433</v>
      </c>
      <c r="AD2364" s="619">
        <v>0.05</v>
      </c>
      <c r="AE2364" s="617" t="s">
        <v>4321</v>
      </c>
    </row>
    <row r="2365" spans="1:31" s="572" customFormat="1">
      <c r="A2365" s="570" t="s">
        <v>4327</v>
      </c>
      <c r="B2365" s="569" t="s">
        <v>287</v>
      </c>
      <c r="C2365" s="580">
        <v>26</v>
      </c>
      <c r="D2365" s="569" t="s">
        <v>3374</v>
      </c>
      <c r="E2365" s="569" t="s">
        <v>196</v>
      </c>
      <c r="F2365" s="569" t="s">
        <v>271</v>
      </c>
      <c r="G2365" s="569">
        <v>2019</v>
      </c>
      <c r="H2365" s="569" t="s">
        <v>4229</v>
      </c>
      <c r="I2365" s="569" t="s">
        <v>3805</v>
      </c>
      <c r="J2365" s="569" t="s">
        <v>752</v>
      </c>
      <c r="K2365" s="569">
        <v>6</v>
      </c>
      <c r="L2365" s="569">
        <v>0</v>
      </c>
      <c r="M2365" s="569" t="s">
        <v>157</v>
      </c>
      <c r="N2365" s="569">
        <v>2</v>
      </c>
      <c r="O2365" s="569" t="s">
        <v>3846</v>
      </c>
      <c r="P2365" s="568">
        <v>12200</v>
      </c>
      <c r="Q2365" s="569" t="s">
        <v>4231</v>
      </c>
      <c r="R2365" s="569">
        <v>8</v>
      </c>
      <c r="S2365" s="569" t="s">
        <v>4259</v>
      </c>
      <c r="T2365" s="569" t="s">
        <v>4283</v>
      </c>
      <c r="U2365" s="569">
        <v>176</v>
      </c>
      <c r="V2365" s="569">
        <v>35</v>
      </c>
      <c r="W2365" s="620">
        <v>10000</v>
      </c>
      <c r="X2365" s="621">
        <v>14</v>
      </c>
      <c r="Y2365" s="621" t="s">
        <v>728</v>
      </c>
      <c r="Z2365" s="621" t="s">
        <v>1523</v>
      </c>
      <c r="AA2365" s="622">
        <v>54900</v>
      </c>
      <c r="AB2365" s="622" t="s">
        <v>164</v>
      </c>
      <c r="AC2365" s="622">
        <v>42627</v>
      </c>
      <c r="AD2365" s="623">
        <v>0.05</v>
      </c>
      <c r="AE2365" s="621" t="s">
        <v>4323</v>
      </c>
    </row>
    <row r="2366" spans="1:31" s="572" customFormat="1">
      <c r="A2366" s="570" t="s">
        <v>4328</v>
      </c>
      <c r="B2366" s="573" t="s">
        <v>280</v>
      </c>
      <c r="C2366" s="578">
        <v>27</v>
      </c>
      <c r="D2366" s="573" t="s">
        <v>3374</v>
      </c>
      <c r="E2366" s="573" t="s">
        <v>196</v>
      </c>
      <c r="F2366" s="573" t="s">
        <v>271</v>
      </c>
      <c r="G2366" s="573">
        <v>2019</v>
      </c>
      <c r="H2366" s="573" t="s">
        <v>4229</v>
      </c>
      <c r="I2366" s="573" t="s">
        <v>3805</v>
      </c>
      <c r="J2366" s="573" t="s">
        <v>752</v>
      </c>
      <c r="K2366" s="573">
        <v>6</v>
      </c>
      <c r="L2366" s="573">
        <v>0</v>
      </c>
      <c r="M2366" s="573" t="s">
        <v>157</v>
      </c>
      <c r="N2366" s="573">
        <v>2</v>
      </c>
      <c r="O2366" s="573" t="s">
        <v>4230</v>
      </c>
      <c r="P2366" s="571">
        <v>12200</v>
      </c>
      <c r="Q2366" s="573" t="s">
        <v>4231</v>
      </c>
      <c r="R2366" s="573">
        <v>8</v>
      </c>
      <c r="S2366" s="582" t="s">
        <v>4259</v>
      </c>
      <c r="T2366" s="573" t="s">
        <v>4283</v>
      </c>
      <c r="U2366" s="573">
        <v>160</v>
      </c>
      <c r="V2366" s="573">
        <v>34</v>
      </c>
      <c r="W2366" s="616">
        <v>10000</v>
      </c>
      <c r="X2366" s="617" t="s">
        <v>157</v>
      </c>
      <c r="Y2366" s="617" t="s">
        <v>728</v>
      </c>
      <c r="Z2366" s="617" t="s">
        <v>1523</v>
      </c>
      <c r="AA2366" s="618">
        <v>55270</v>
      </c>
      <c r="AB2366" s="618" t="s">
        <v>164</v>
      </c>
      <c r="AC2366" s="618">
        <v>42202.736842105267</v>
      </c>
      <c r="AD2366" s="619">
        <v>0.03</v>
      </c>
      <c r="AE2366" s="617" t="s">
        <v>4310</v>
      </c>
    </row>
    <row r="2367" spans="1:31" s="572" customFormat="1">
      <c r="A2367" s="570" t="s">
        <v>4329</v>
      </c>
      <c r="B2367" s="569" t="s">
        <v>280</v>
      </c>
      <c r="C2367" s="580">
        <v>27</v>
      </c>
      <c r="D2367" s="569" t="s">
        <v>3374</v>
      </c>
      <c r="E2367" s="569" t="s">
        <v>196</v>
      </c>
      <c r="F2367" s="569" t="s">
        <v>271</v>
      </c>
      <c r="G2367" s="569">
        <v>2019</v>
      </c>
      <c r="H2367" s="569" t="s">
        <v>4229</v>
      </c>
      <c r="I2367" s="569" t="s">
        <v>3805</v>
      </c>
      <c r="J2367" s="569" t="s">
        <v>752</v>
      </c>
      <c r="K2367" s="569">
        <v>6</v>
      </c>
      <c r="L2367" s="569">
        <v>0</v>
      </c>
      <c r="M2367" s="569" t="s">
        <v>157</v>
      </c>
      <c r="N2367" s="569">
        <v>2</v>
      </c>
      <c r="O2367" s="569" t="s">
        <v>4230</v>
      </c>
      <c r="P2367" s="568">
        <v>12500</v>
      </c>
      <c r="Q2367" s="569" t="s">
        <v>4235</v>
      </c>
      <c r="R2367" s="569">
        <v>8</v>
      </c>
      <c r="S2367" s="569" t="s">
        <v>4259</v>
      </c>
      <c r="T2367" s="569" t="s">
        <v>4283</v>
      </c>
      <c r="U2367" s="569">
        <v>160</v>
      </c>
      <c r="V2367" s="569">
        <v>34</v>
      </c>
      <c r="W2367" s="620">
        <v>10000</v>
      </c>
      <c r="X2367" s="621" t="s">
        <v>157</v>
      </c>
      <c r="Y2367" s="621" t="s">
        <v>450</v>
      </c>
      <c r="Z2367" s="621" t="s">
        <v>178</v>
      </c>
      <c r="AA2367" s="622">
        <v>50160</v>
      </c>
      <c r="AB2367" s="622" t="s">
        <v>164</v>
      </c>
      <c r="AC2367" s="622">
        <v>37482.736842105267</v>
      </c>
      <c r="AD2367" s="623">
        <v>0.03</v>
      </c>
      <c r="AE2367" s="621" t="s">
        <v>4312</v>
      </c>
    </row>
    <row r="2368" spans="1:31" s="572" customFormat="1">
      <c r="A2368" s="570" t="s">
        <v>4330</v>
      </c>
      <c r="B2368" s="573" t="s">
        <v>280</v>
      </c>
      <c r="C2368" s="578">
        <v>27</v>
      </c>
      <c r="D2368" s="573" t="s">
        <v>3374</v>
      </c>
      <c r="E2368" s="573" t="s">
        <v>196</v>
      </c>
      <c r="F2368" s="573" t="s">
        <v>271</v>
      </c>
      <c r="G2368" s="573">
        <v>2019</v>
      </c>
      <c r="H2368" s="573" t="s">
        <v>4229</v>
      </c>
      <c r="I2368" s="573" t="s">
        <v>3805</v>
      </c>
      <c r="J2368" s="573" t="s">
        <v>752</v>
      </c>
      <c r="K2368" s="573">
        <v>6</v>
      </c>
      <c r="L2368" s="573">
        <v>0</v>
      </c>
      <c r="M2368" s="573" t="s">
        <v>157</v>
      </c>
      <c r="N2368" s="573">
        <v>2</v>
      </c>
      <c r="O2368" s="573" t="s">
        <v>3846</v>
      </c>
      <c r="P2368" s="571">
        <v>12200</v>
      </c>
      <c r="Q2368" s="573" t="s">
        <v>4231</v>
      </c>
      <c r="R2368" s="573">
        <v>8</v>
      </c>
      <c r="S2368" s="582" t="s">
        <v>4259</v>
      </c>
      <c r="T2368" s="573" t="s">
        <v>4283</v>
      </c>
      <c r="U2368" s="573">
        <v>176</v>
      </c>
      <c r="V2368" s="573">
        <v>48</v>
      </c>
      <c r="W2368" s="616">
        <v>10000</v>
      </c>
      <c r="X2368" s="617" t="s">
        <v>157</v>
      </c>
      <c r="Y2368" s="617" t="s">
        <v>728</v>
      </c>
      <c r="Z2368" s="617" t="s">
        <v>1523</v>
      </c>
      <c r="AA2368" s="618">
        <v>55475</v>
      </c>
      <c r="AB2368" s="618" t="s">
        <v>164</v>
      </c>
      <c r="AC2368" s="618">
        <v>42391.15789473684</v>
      </c>
      <c r="AD2368" s="619">
        <v>0.03</v>
      </c>
      <c r="AE2368" s="617" t="s">
        <v>4314</v>
      </c>
    </row>
    <row r="2369" spans="1:31" s="572" customFormat="1">
      <c r="A2369" s="570" t="s">
        <v>4331</v>
      </c>
      <c r="B2369" s="569" t="s">
        <v>280</v>
      </c>
      <c r="C2369" s="580">
        <v>27</v>
      </c>
      <c r="D2369" s="569" t="s">
        <v>3374</v>
      </c>
      <c r="E2369" s="569" t="s">
        <v>196</v>
      </c>
      <c r="F2369" s="569" t="s">
        <v>271</v>
      </c>
      <c r="G2369" s="569">
        <v>2019</v>
      </c>
      <c r="H2369" s="569" t="s">
        <v>4229</v>
      </c>
      <c r="I2369" s="569" t="s">
        <v>3805</v>
      </c>
      <c r="J2369" s="569" t="s">
        <v>752</v>
      </c>
      <c r="K2369" s="569">
        <v>6</v>
      </c>
      <c r="L2369" s="569">
        <v>0</v>
      </c>
      <c r="M2369" s="569" t="s">
        <v>157</v>
      </c>
      <c r="N2369" s="569">
        <v>2</v>
      </c>
      <c r="O2369" s="569" t="s">
        <v>3846</v>
      </c>
      <c r="P2369" s="568">
        <v>12500</v>
      </c>
      <c r="Q2369" s="569" t="s">
        <v>4235</v>
      </c>
      <c r="R2369" s="569">
        <v>8</v>
      </c>
      <c r="S2369" s="569" t="s">
        <v>4259</v>
      </c>
      <c r="T2369" s="569" t="s">
        <v>4283</v>
      </c>
      <c r="U2369" s="569">
        <v>176</v>
      </c>
      <c r="V2369" s="569">
        <v>48</v>
      </c>
      <c r="W2369" s="620">
        <v>10000</v>
      </c>
      <c r="X2369" s="621" t="s">
        <v>157</v>
      </c>
      <c r="Y2369" s="621" t="s">
        <v>450</v>
      </c>
      <c r="Z2369" s="621" t="s">
        <v>178</v>
      </c>
      <c r="AA2369" s="622">
        <v>45905</v>
      </c>
      <c r="AB2369" s="622" t="s">
        <v>164</v>
      </c>
      <c r="AC2369" s="622">
        <v>33755.073684210525</v>
      </c>
      <c r="AD2369" s="623">
        <v>0.03</v>
      </c>
      <c r="AE2369" s="621" t="s">
        <v>4316</v>
      </c>
    </row>
    <row r="2370" spans="1:31" s="572" customFormat="1">
      <c r="A2370" s="570" t="s">
        <v>4332</v>
      </c>
      <c r="B2370" s="573" t="s">
        <v>269</v>
      </c>
      <c r="C2370" s="578" t="s">
        <v>270</v>
      </c>
      <c r="D2370" s="573" t="s">
        <v>3374</v>
      </c>
      <c r="E2370" s="573" t="s">
        <v>196</v>
      </c>
      <c r="F2370" s="573" t="s">
        <v>271</v>
      </c>
      <c r="G2370" s="573">
        <v>2019</v>
      </c>
      <c r="H2370" s="573" t="s">
        <v>4229</v>
      </c>
      <c r="I2370" s="573" t="s">
        <v>3837</v>
      </c>
      <c r="J2370" s="573" t="s">
        <v>3377</v>
      </c>
      <c r="K2370" s="573">
        <v>3</v>
      </c>
      <c r="L2370" s="573">
        <v>0</v>
      </c>
      <c r="M2370" s="573" t="s">
        <v>157</v>
      </c>
      <c r="N2370" s="573">
        <v>1</v>
      </c>
      <c r="O2370" s="573" t="s">
        <v>3846</v>
      </c>
      <c r="P2370" s="571">
        <v>12500</v>
      </c>
      <c r="Q2370" s="573" t="s">
        <v>4235</v>
      </c>
      <c r="R2370" s="573">
        <v>8</v>
      </c>
      <c r="S2370" s="582" t="s">
        <v>4334</v>
      </c>
      <c r="T2370" s="573" t="s">
        <v>366</v>
      </c>
      <c r="U2370" s="573">
        <v>142</v>
      </c>
      <c r="V2370" s="573">
        <v>34</v>
      </c>
      <c r="W2370" s="616">
        <v>10000</v>
      </c>
      <c r="X2370" s="617" t="s">
        <v>157</v>
      </c>
      <c r="Y2370" s="617" t="s">
        <v>450</v>
      </c>
      <c r="Z2370" s="617" t="s">
        <v>178</v>
      </c>
      <c r="AA2370" s="618">
        <v>34280</v>
      </c>
      <c r="AB2370" s="618" t="s">
        <v>164</v>
      </c>
      <c r="AC2370" s="618">
        <v>23859.284210526315</v>
      </c>
      <c r="AD2370" s="619">
        <v>0.03</v>
      </c>
      <c r="AE2370" s="617" t="s">
        <v>4333</v>
      </c>
    </row>
    <row r="2371" spans="1:31" s="572" customFormat="1">
      <c r="A2371" s="570" t="s">
        <v>4335</v>
      </c>
      <c r="B2371" s="569" t="s">
        <v>269</v>
      </c>
      <c r="C2371" s="580" t="s">
        <v>270</v>
      </c>
      <c r="D2371" s="569" t="s">
        <v>3374</v>
      </c>
      <c r="E2371" s="569" t="s">
        <v>196</v>
      </c>
      <c r="F2371" s="569" t="s">
        <v>271</v>
      </c>
      <c r="G2371" s="569">
        <v>2019</v>
      </c>
      <c r="H2371" s="569" t="s">
        <v>4229</v>
      </c>
      <c r="I2371" s="569" t="s">
        <v>3837</v>
      </c>
      <c r="J2371" s="569" t="s">
        <v>3377</v>
      </c>
      <c r="K2371" s="569">
        <v>3</v>
      </c>
      <c r="L2371" s="569">
        <v>0</v>
      </c>
      <c r="M2371" s="569" t="s">
        <v>157</v>
      </c>
      <c r="N2371" s="569">
        <v>1</v>
      </c>
      <c r="O2371" s="569" t="s">
        <v>3846</v>
      </c>
      <c r="P2371" s="568">
        <v>12900</v>
      </c>
      <c r="Q2371" s="569" t="s">
        <v>4235</v>
      </c>
      <c r="R2371" s="569">
        <v>8</v>
      </c>
      <c r="S2371" s="569" t="s">
        <v>4334</v>
      </c>
      <c r="T2371" s="569" t="s">
        <v>366</v>
      </c>
      <c r="U2371" s="569">
        <v>142</v>
      </c>
      <c r="V2371" s="569">
        <v>34</v>
      </c>
      <c r="W2371" s="620">
        <v>10000</v>
      </c>
      <c r="X2371" s="621" t="s">
        <v>157</v>
      </c>
      <c r="Y2371" s="621" t="s">
        <v>450</v>
      </c>
      <c r="Z2371" s="621" t="s">
        <v>178</v>
      </c>
      <c r="AA2371" s="622">
        <v>34280</v>
      </c>
      <c r="AB2371" s="622" t="s">
        <v>164</v>
      </c>
      <c r="AC2371" s="622">
        <v>23859.284210526315</v>
      </c>
      <c r="AD2371" s="623">
        <v>0.03</v>
      </c>
      <c r="AE2371" s="621" t="s">
        <v>4336</v>
      </c>
    </row>
    <row r="2372" spans="1:31" s="572" customFormat="1">
      <c r="A2372" s="570" t="s">
        <v>4337</v>
      </c>
      <c r="B2372" s="573" t="s">
        <v>269</v>
      </c>
      <c r="C2372" s="578" t="s">
        <v>270</v>
      </c>
      <c r="D2372" s="573" t="s">
        <v>3374</v>
      </c>
      <c r="E2372" s="573" t="s">
        <v>196</v>
      </c>
      <c r="F2372" s="573" t="s">
        <v>271</v>
      </c>
      <c r="G2372" s="573">
        <v>2019</v>
      </c>
      <c r="H2372" s="573" t="s">
        <v>4229</v>
      </c>
      <c r="I2372" s="573" t="s">
        <v>3837</v>
      </c>
      <c r="J2372" s="573" t="s">
        <v>3377</v>
      </c>
      <c r="K2372" s="573">
        <v>3</v>
      </c>
      <c r="L2372" s="573">
        <v>0</v>
      </c>
      <c r="M2372" s="573" t="s">
        <v>157</v>
      </c>
      <c r="N2372" s="573">
        <v>1</v>
      </c>
      <c r="O2372" s="573" t="s">
        <v>3846</v>
      </c>
      <c r="P2372" s="571">
        <v>13300</v>
      </c>
      <c r="Q2372" s="573" t="s">
        <v>4235</v>
      </c>
      <c r="R2372" s="573">
        <v>8</v>
      </c>
      <c r="S2372" s="582" t="s">
        <v>4334</v>
      </c>
      <c r="T2372" s="573" t="s">
        <v>366</v>
      </c>
      <c r="U2372" s="573">
        <v>142</v>
      </c>
      <c r="V2372" s="573">
        <v>34</v>
      </c>
      <c r="W2372" s="616">
        <v>10000</v>
      </c>
      <c r="X2372" s="617" t="s">
        <v>157</v>
      </c>
      <c r="Y2372" s="617" t="s">
        <v>450</v>
      </c>
      <c r="Z2372" s="617" t="s">
        <v>178</v>
      </c>
      <c r="AA2372" s="618">
        <v>34280</v>
      </c>
      <c r="AB2372" s="618" t="s">
        <v>164</v>
      </c>
      <c r="AC2372" s="618">
        <v>23859.284210526315</v>
      </c>
      <c r="AD2372" s="619">
        <v>0.03</v>
      </c>
      <c r="AE2372" s="617" t="s">
        <v>4338</v>
      </c>
    </row>
    <row r="2373" spans="1:31" s="572" customFormat="1">
      <c r="A2373" s="570" t="s">
        <v>4339</v>
      </c>
      <c r="B2373" s="569" t="s">
        <v>269</v>
      </c>
      <c r="C2373" s="580" t="s">
        <v>270</v>
      </c>
      <c r="D2373" s="569" t="s">
        <v>3374</v>
      </c>
      <c r="E2373" s="569" t="s">
        <v>196</v>
      </c>
      <c r="F2373" s="569" t="s">
        <v>271</v>
      </c>
      <c r="G2373" s="569">
        <v>2019</v>
      </c>
      <c r="H2373" s="569" t="s">
        <v>4229</v>
      </c>
      <c r="I2373" s="569" t="s">
        <v>3837</v>
      </c>
      <c r="J2373" s="569" t="s">
        <v>3377</v>
      </c>
      <c r="K2373" s="569">
        <v>3</v>
      </c>
      <c r="L2373" s="569">
        <v>0</v>
      </c>
      <c r="M2373" s="569" t="s">
        <v>157</v>
      </c>
      <c r="N2373" s="569">
        <v>1</v>
      </c>
      <c r="O2373" s="569" t="s">
        <v>3846</v>
      </c>
      <c r="P2373" s="568">
        <v>16600</v>
      </c>
      <c r="Q2373" s="569" t="s">
        <v>4231</v>
      </c>
      <c r="R2373" s="569">
        <v>8</v>
      </c>
      <c r="S2373" s="569" t="s">
        <v>4334</v>
      </c>
      <c r="T2373" s="569" t="s">
        <v>366</v>
      </c>
      <c r="U2373" s="569">
        <v>142</v>
      </c>
      <c r="V2373" s="569">
        <v>29</v>
      </c>
      <c r="W2373" s="620">
        <v>10000</v>
      </c>
      <c r="X2373" s="621" t="s">
        <v>157</v>
      </c>
      <c r="Y2373" s="621" t="s">
        <v>4341</v>
      </c>
      <c r="Z2373" s="621" t="s">
        <v>1523</v>
      </c>
      <c r="AA2373" s="622">
        <v>43275</v>
      </c>
      <c r="AB2373" s="622" t="s">
        <v>164</v>
      </c>
      <c r="AC2373" s="622">
        <v>31940.210526315786</v>
      </c>
      <c r="AD2373" s="623">
        <v>0.03</v>
      </c>
      <c r="AE2373" s="621" t="s">
        <v>4340</v>
      </c>
    </row>
    <row r="2374" spans="1:31" s="572" customFormat="1">
      <c r="A2374" s="570" t="s">
        <v>4342</v>
      </c>
      <c r="B2374" s="573" t="s">
        <v>269</v>
      </c>
      <c r="C2374" s="578" t="s">
        <v>270</v>
      </c>
      <c r="D2374" s="573" t="s">
        <v>3374</v>
      </c>
      <c r="E2374" s="573" t="s">
        <v>196</v>
      </c>
      <c r="F2374" s="573" t="s">
        <v>271</v>
      </c>
      <c r="G2374" s="573">
        <v>2019</v>
      </c>
      <c r="H2374" s="573" t="s">
        <v>4229</v>
      </c>
      <c r="I2374" s="573" t="s">
        <v>3837</v>
      </c>
      <c r="J2374" s="573" t="s">
        <v>3377</v>
      </c>
      <c r="K2374" s="573">
        <v>3</v>
      </c>
      <c r="L2374" s="573">
        <v>0</v>
      </c>
      <c r="M2374" s="573" t="s">
        <v>157</v>
      </c>
      <c r="N2374" s="573">
        <v>1</v>
      </c>
      <c r="O2374" s="573" t="s">
        <v>3846</v>
      </c>
      <c r="P2374" s="571">
        <v>16600</v>
      </c>
      <c r="Q2374" s="573" t="s">
        <v>4231</v>
      </c>
      <c r="R2374" s="573">
        <v>8</v>
      </c>
      <c r="S2374" s="582" t="s">
        <v>4334</v>
      </c>
      <c r="T2374" s="573" t="s">
        <v>366</v>
      </c>
      <c r="U2374" s="573">
        <v>142</v>
      </c>
      <c r="V2374" s="573">
        <v>29</v>
      </c>
      <c r="W2374" s="616">
        <v>10000</v>
      </c>
      <c r="X2374" s="617" t="s">
        <v>157</v>
      </c>
      <c r="Y2374" s="617" t="s">
        <v>728</v>
      </c>
      <c r="Z2374" s="617" t="s">
        <v>1523</v>
      </c>
      <c r="AA2374" s="618">
        <v>43275</v>
      </c>
      <c r="AB2374" s="618" t="s">
        <v>164</v>
      </c>
      <c r="AC2374" s="618">
        <v>31940.210526315786</v>
      </c>
      <c r="AD2374" s="619">
        <v>0.03</v>
      </c>
      <c r="AE2374" s="617" t="s">
        <v>4343</v>
      </c>
    </row>
    <row r="2375" spans="1:31" s="572" customFormat="1">
      <c r="A2375" s="570" t="s">
        <v>4344</v>
      </c>
      <c r="B2375" s="569" t="s">
        <v>278</v>
      </c>
      <c r="C2375" s="580">
        <v>15</v>
      </c>
      <c r="D2375" s="569" t="s">
        <v>3374</v>
      </c>
      <c r="E2375" s="569" t="s">
        <v>196</v>
      </c>
      <c r="F2375" s="569" t="s">
        <v>271</v>
      </c>
      <c r="G2375" s="569">
        <v>2019</v>
      </c>
      <c r="H2375" s="569" t="s">
        <v>4229</v>
      </c>
      <c r="I2375" s="569" t="s">
        <v>3837</v>
      </c>
      <c r="J2375" s="569" t="s">
        <v>3377</v>
      </c>
      <c r="K2375" s="569">
        <v>3</v>
      </c>
      <c r="L2375" s="569">
        <v>0</v>
      </c>
      <c r="M2375" s="569" t="s">
        <v>157</v>
      </c>
      <c r="N2375" s="569">
        <v>1</v>
      </c>
      <c r="O2375" s="569" t="s">
        <v>3846</v>
      </c>
      <c r="P2375" s="568">
        <v>13300</v>
      </c>
      <c r="Q2375" s="569" t="s">
        <v>4235</v>
      </c>
      <c r="R2375" s="569">
        <v>8</v>
      </c>
      <c r="S2375" s="569" t="s">
        <v>4334</v>
      </c>
      <c r="T2375" s="569" t="s">
        <v>366</v>
      </c>
      <c r="U2375" s="569">
        <v>142</v>
      </c>
      <c r="V2375" s="569">
        <v>34</v>
      </c>
      <c r="W2375" s="620">
        <v>10000</v>
      </c>
      <c r="X2375" s="621" t="s">
        <v>157</v>
      </c>
      <c r="Y2375" s="621" t="s">
        <v>450</v>
      </c>
      <c r="Z2375" s="621" t="s">
        <v>178</v>
      </c>
      <c r="AA2375" s="622">
        <v>34645</v>
      </c>
      <c r="AB2375" s="622" t="s">
        <v>164</v>
      </c>
      <c r="AC2375" s="622">
        <v>24300</v>
      </c>
      <c r="AD2375" s="623">
        <v>0.01</v>
      </c>
      <c r="AE2375" s="621" t="s">
        <v>4338</v>
      </c>
    </row>
    <row r="2376" spans="1:31" s="572" customFormat="1">
      <c r="A2376" s="570" t="s">
        <v>4345</v>
      </c>
      <c r="B2376" s="573" t="s">
        <v>278</v>
      </c>
      <c r="C2376" s="578">
        <v>15</v>
      </c>
      <c r="D2376" s="573" t="s">
        <v>3374</v>
      </c>
      <c r="E2376" s="573" t="s">
        <v>196</v>
      </c>
      <c r="F2376" s="573" t="s">
        <v>271</v>
      </c>
      <c r="G2376" s="573">
        <v>2019</v>
      </c>
      <c r="H2376" s="573" t="s">
        <v>4229</v>
      </c>
      <c r="I2376" s="573" t="s">
        <v>3837</v>
      </c>
      <c r="J2376" s="573" t="s">
        <v>3377</v>
      </c>
      <c r="K2376" s="573">
        <v>3</v>
      </c>
      <c r="L2376" s="573">
        <v>0</v>
      </c>
      <c r="M2376" s="573" t="s">
        <v>157</v>
      </c>
      <c r="N2376" s="573">
        <v>1</v>
      </c>
      <c r="O2376" s="573" t="s">
        <v>3846</v>
      </c>
      <c r="P2376" s="571">
        <v>16600</v>
      </c>
      <c r="Q2376" s="573" t="s">
        <v>4231</v>
      </c>
      <c r="R2376" s="573">
        <v>8</v>
      </c>
      <c r="S2376" s="582" t="s">
        <v>4334</v>
      </c>
      <c r="T2376" s="573" t="s">
        <v>366</v>
      </c>
      <c r="U2376" s="573">
        <v>142</v>
      </c>
      <c r="V2376" s="573">
        <v>29</v>
      </c>
      <c r="W2376" s="616">
        <v>10000</v>
      </c>
      <c r="X2376" s="617">
        <v>14</v>
      </c>
      <c r="Y2376" s="617" t="s">
        <v>728</v>
      </c>
      <c r="Z2376" s="617" t="s">
        <v>1523</v>
      </c>
      <c r="AA2376" s="618">
        <v>43765</v>
      </c>
      <c r="AB2376" s="618" t="s">
        <v>164</v>
      </c>
      <c r="AC2376" s="618">
        <v>32600</v>
      </c>
      <c r="AD2376" s="619">
        <v>0.01</v>
      </c>
      <c r="AE2376" s="617" t="s">
        <v>4343</v>
      </c>
    </row>
    <row r="2377" spans="1:31" s="572" customFormat="1">
      <c r="A2377" s="570" t="s">
        <v>4346</v>
      </c>
      <c r="B2377" s="569" t="s">
        <v>287</v>
      </c>
      <c r="C2377" s="580">
        <v>26</v>
      </c>
      <c r="D2377" s="569" t="s">
        <v>3374</v>
      </c>
      <c r="E2377" s="569" t="s">
        <v>196</v>
      </c>
      <c r="F2377" s="569" t="s">
        <v>271</v>
      </c>
      <c r="G2377" s="569">
        <v>2019</v>
      </c>
      <c r="H2377" s="569" t="s">
        <v>4229</v>
      </c>
      <c r="I2377" s="569" t="s">
        <v>3837</v>
      </c>
      <c r="J2377" s="569" t="s">
        <v>3377</v>
      </c>
      <c r="K2377" s="569">
        <v>3</v>
      </c>
      <c r="L2377" s="569">
        <v>0</v>
      </c>
      <c r="M2377" s="569" t="s">
        <v>157</v>
      </c>
      <c r="N2377" s="569">
        <v>1</v>
      </c>
      <c r="O2377" s="569" t="s">
        <v>3846</v>
      </c>
      <c r="P2377" s="568">
        <v>12500</v>
      </c>
      <c r="Q2377" s="569" t="s">
        <v>4235</v>
      </c>
      <c r="R2377" s="569">
        <v>8</v>
      </c>
      <c r="S2377" s="569" t="s">
        <v>4334</v>
      </c>
      <c r="T2377" s="569" t="s">
        <v>366</v>
      </c>
      <c r="U2377" s="569">
        <v>142</v>
      </c>
      <c r="V2377" s="569">
        <v>34</v>
      </c>
      <c r="W2377" s="620">
        <v>9950</v>
      </c>
      <c r="X2377" s="621">
        <v>15</v>
      </c>
      <c r="Y2377" s="621" t="s">
        <v>450</v>
      </c>
      <c r="Z2377" s="621" t="s">
        <v>178</v>
      </c>
      <c r="AA2377" s="622">
        <v>34280</v>
      </c>
      <c r="AB2377" s="622" t="s">
        <v>164</v>
      </c>
      <c r="AC2377" s="622">
        <v>24388</v>
      </c>
      <c r="AD2377" s="623">
        <v>0.05</v>
      </c>
      <c r="AE2377" s="621" t="s">
        <v>4333</v>
      </c>
    </row>
    <row r="2378" spans="1:31" s="572" customFormat="1">
      <c r="A2378" s="570" t="s">
        <v>4346</v>
      </c>
      <c r="B2378" s="573" t="s">
        <v>287</v>
      </c>
      <c r="C2378" s="578">
        <v>26</v>
      </c>
      <c r="D2378" s="573" t="s">
        <v>3374</v>
      </c>
      <c r="E2378" s="573" t="s">
        <v>196</v>
      </c>
      <c r="F2378" s="573" t="s">
        <v>271</v>
      </c>
      <c r="G2378" s="573">
        <v>2019</v>
      </c>
      <c r="H2378" s="573" t="s">
        <v>4229</v>
      </c>
      <c r="I2378" s="573" t="s">
        <v>3837</v>
      </c>
      <c r="J2378" s="573" t="s">
        <v>3377</v>
      </c>
      <c r="K2378" s="573">
        <v>3</v>
      </c>
      <c r="L2378" s="573">
        <v>0</v>
      </c>
      <c r="M2378" s="573" t="s">
        <v>157</v>
      </c>
      <c r="N2378" s="573">
        <v>1</v>
      </c>
      <c r="O2378" s="573" t="s">
        <v>3846</v>
      </c>
      <c r="P2378" s="571">
        <v>12500</v>
      </c>
      <c r="Q2378" s="573" t="s">
        <v>4235</v>
      </c>
      <c r="R2378" s="573">
        <v>8</v>
      </c>
      <c r="S2378" s="582" t="s">
        <v>4334</v>
      </c>
      <c r="T2378" s="573" t="s">
        <v>366</v>
      </c>
      <c r="U2378" s="573">
        <v>142</v>
      </c>
      <c r="V2378" s="573">
        <v>34</v>
      </c>
      <c r="W2378" s="616">
        <v>9950</v>
      </c>
      <c r="X2378" s="617" t="s">
        <v>157</v>
      </c>
      <c r="Y2378" s="617" t="s">
        <v>450</v>
      </c>
      <c r="Z2378" s="617" t="s">
        <v>178</v>
      </c>
      <c r="AA2378" s="618">
        <v>43275</v>
      </c>
      <c r="AB2378" s="618" t="s">
        <v>164</v>
      </c>
      <c r="AC2378" s="618">
        <v>32583</v>
      </c>
      <c r="AD2378" s="619">
        <v>0.05</v>
      </c>
      <c r="AE2378" s="617" t="s">
        <v>4333</v>
      </c>
    </row>
    <row r="2379" spans="1:31" s="572" customFormat="1">
      <c r="A2379" s="570" t="s">
        <v>4347</v>
      </c>
      <c r="B2379" s="569" t="s">
        <v>280</v>
      </c>
      <c r="C2379" s="580">
        <v>27</v>
      </c>
      <c r="D2379" s="569" t="s">
        <v>3374</v>
      </c>
      <c r="E2379" s="569" t="s">
        <v>196</v>
      </c>
      <c r="F2379" s="569" t="s">
        <v>271</v>
      </c>
      <c r="G2379" s="569">
        <v>2019</v>
      </c>
      <c r="H2379" s="569" t="s">
        <v>4229</v>
      </c>
      <c r="I2379" s="569" t="s">
        <v>3837</v>
      </c>
      <c r="J2379" s="569" t="s">
        <v>3377</v>
      </c>
      <c r="K2379" s="569">
        <v>3</v>
      </c>
      <c r="L2379" s="569">
        <v>0</v>
      </c>
      <c r="M2379" s="569" t="s">
        <v>157</v>
      </c>
      <c r="N2379" s="569">
        <v>1</v>
      </c>
      <c r="O2379" s="569" t="s">
        <v>3846</v>
      </c>
      <c r="P2379" s="568">
        <v>12500</v>
      </c>
      <c r="Q2379" s="569" t="s">
        <v>4235</v>
      </c>
      <c r="R2379" s="569">
        <v>8</v>
      </c>
      <c r="S2379" s="569" t="s">
        <v>4334</v>
      </c>
      <c r="T2379" s="569" t="s">
        <v>366</v>
      </c>
      <c r="U2379" s="569">
        <v>142</v>
      </c>
      <c r="V2379" s="569">
        <v>34</v>
      </c>
      <c r="W2379" s="620">
        <v>10000</v>
      </c>
      <c r="X2379" s="621" t="s">
        <v>157</v>
      </c>
      <c r="Y2379" s="621" t="s">
        <v>450</v>
      </c>
      <c r="Z2379" s="621" t="s">
        <v>178</v>
      </c>
      <c r="AA2379" s="622">
        <v>34280</v>
      </c>
      <c r="AB2379" s="622" t="s">
        <v>164</v>
      </c>
      <c r="AC2379" s="622">
        <v>23859.284210526315</v>
      </c>
      <c r="AD2379" s="623">
        <v>0.03</v>
      </c>
      <c r="AE2379" s="621" t="s">
        <v>4333</v>
      </c>
    </row>
    <row r="2380" spans="1:31" s="572" customFormat="1">
      <c r="A2380" s="570" t="s">
        <v>4348</v>
      </c>
      <c r="B2380" s="573" t="s">
        <v>280</v>
      </c>
      <c r="C2380" s="578">
        <v>27</v>
      </c>
      <c r="D2380" s="573" t="s">
        <v>3374</v>
      </c>
      <c r="E2380" s="573" t="s">
        <v>196</v>
      </c>
      <c r="F2380" s="573" t="s">
        <v>271</v>
      </c>
      <c r="G2380" s="573">
        <v>2019</v>
      </c>
      <c r="H2380" s="573" t="s">
        <v>4229</v>
      </c>
      <c r="I2380" s="573" t="s">
        <v>3837</v>
      </c>
      <c r="J2380" s="573" t="s">
        <v>3377</v>
      </c>
      <c r="K2380" s="573">
        <v>3</v>
      </c>
      <c r="L2380" s="573">
        <v>0</v>
      </c>
      <c r="M2380" s="573" t="s">
        <v>157</v>
      </c>
      <c r="N2380" s="573">
        <v>1</v>
      </c>
      <c r="O2380" s="573" t="s">
        <v>3846</v>
      </c>
      <c r="P2380" s="571">
        <v>12900</v>
      </c>
      <c r="Q2380" s="573" t="s">
        <v>4235</v>
      </c>
      <c r="R2380" s="573">
        <v>8</v>
      </c>
      <c r="S2380" s="582" t="s">
        <v>4334</v>
      </c>
      <c r="T2380" s="573" t="s">
        <v>366</v>
      </c>
      <c r="U2380" s="573">
        <v>142</v>
      </c>
      <c r="V2380" s="573">
        <v>34</v>
      </c>
      <c r="W2380" s="616">
        <v>10000</v>
      </c>
      <c r="X2380" s="617" t="s">
        <v>157</v>
      </c>
      <c r="Y2380" s="617" t="s">
        <v>450</v>
      </c>
      <c r="Z2380" s="617" t="s">
        <v>178</v>
      </c>
      <c r="AA2380" s="618">
        <v>34280</v>
      </c>
      <c r="AB2380" s="618" t="s">
        <v>164</v>
      </c>
      <c r="AC2380" s="618">
        <v>23859.284210526315</v>
      </c>
      <c r="AD2380" s="619">
        <v>0.03</v>
      </c>
      <c r="AE2380" s="617" t="s">
        <v>4336</v>
      </c>
    </row>
    <row r="2381" spans="1:31" s="572" customFormat="1">
      <c r="A2381" s="570" t="s">
        <v>4349</v>
      </c>
      <c r="B2381" s="569" t="s">
        <v>280</v>
      </c>
      <c r="C2381" s="580">
        <v>27</v>
      </c>
      <c r="D2381" s="569" t="s">
        <v>3374</v>
      </c>
      <c r="E2381" s="569" t="s">
        <v>196</v>
      </c>
      <c r="F2381" s="569" t="s">
        <v>271</v>
      </c>
      <c r="G2381" s="569">
        <v>2019</v>
      </c>
      <c r="H2381" s="569" t="s">
        <v>4229</v>
      </c>
      <c r="I2381" s="569" t="s">
        <v>3837</v>
      </c>
      <c r="J2381" s="569" t="s">
        <v>3377</v>
      </c>
      <c r="K2381" s="569">
        <v>3</v>
      </c>
      <c r="L2381" s="569">
        <v>0</v>
      </c>
      <c r="M2381" s="569" t="s">
        <v>157</v>
      </c>
      <c r="N2381" s="569">
        <v>1</v>
      </c>
      <c r="O2381" s="569" t="s">
        <v>3846</v>
      </c>
      <c r="P2381" s="568">
        <v>13300</v>
      </c>
      <c r="Q2381" s="569" t="s">
        <v>4235</v>
      </c>
      <c r="R2381" s="569">
        <v>8</v>
      </c>
      <c r="S2381" s="569" t="s">
        <v>4334</v>
      </c>
      <c r="T2381" s="569" t="s">
        <v>366</v>
      </c>
      <c r="U2381" s="569">
        <v>142</v>
      </c>
      <c r="V2381" s="569">
        <v>34</v>
      </c>
      <c r="W2381" s="620">
        <v>10000</v>
      </c>
      <c r="X2381" s="621" t="s">
        <v>157</v>
      </c>
      <c r="Y2381" s="621" t="s">
        <v>450</v>
      </c>
      <c r="Z2381" s="621" t="s">
        <v>178</v>
      </c>
      <c r="AA2381" s="622">
        <v>34280</v>
      </c>
      <c r="AB2381" s="622" t="s">
        <v>164</v>
      </c>
      <c r="AC2381" s="622">
        <v>23859.284210526315</v>
      </c>
      <c r="AD2381" s="623">
        <v>0.03</v>
      </c>
      <c r="AE2381" s="621" t="s">
        <v>4338</v>
      </c>
    </row>
    <row r="2382" spans="1:31" s="572" customFormat="1">
      <c r="A2382" s="570" t="s">
        <v>4350</v>
      </c>
      <c r="B2382" s="573" t="s">
        <v>280</v>
      </c>
      <c r="C2382" s="578">
        <v>27</v>
      </c>
      <c r="D2382" s="573" t="s">
        <v>3374</v>
      </c>
      <c r="E2382" s="573" t="s">
        <v>196</v>
      </c>
      <c r="F2382" s="573" t="s">
        <v>271</v>
      </c>
      <c r="G2382" s="573">
        <v>2019</v>
      </c>
      <c r="H2382" s="573" t="s">
        <v>4229</v>
      </c>
      <c r="I2382" s="573" t="s">
        <v>3837</v>
      </c>
      <c r="J2382" s="573" t="s">
        <v>3377</v>
      </c>
      <c r="K2382" s="573">
        <v>3</v>
      </c>
      <c r="L2382" s="573">
        <v>0</v>
      </c>
      <c r="M2382" s="573" t="s">
        <v>157</v>
      </c>
      <c r="N2382" s="573">
        <v>1</v>
      </c>
      <c r="O2382" s="573" t="s">
        <v>3846</v>
      </c>
      <c r="P2382" s="571">
        <v>16600</v>
      </c>
      <c r="Q2382" s="573" t="s">
        <v>4231</v>
      </c>
      <c r="R2382" s="573">
        <v>8</v>
      </c>
      <c r="S2382" s="582" t="s">
        <v>4334</v>
      </c>
      <c r="T2382" s="573" t="s">
        <v>366</v>
      </c>
      <c r="U2382" s="573">
        <v>142</v>
      </c>
      <c r="V2382" s="573">
        <v>29</v>
      </c>
      <c r="W2382" s="616">
        <v>10000</v>
      </c>
      <c r="X2382" s="617" t="s">
        <v>157</v>
      </c>
      <c r="Y2382" s="617" t="s">
        <v>4341</v>
      </c>
      <c r="Z2382" s="617" t="s">
        <v>1523</v>
      </c>
      <c r="AA2382" s="618">
        <v>43275</v>
      </c>
      <c r="AB2382" s="618" t="s">
        <v>164</v>
      </c>
      <c r="AC2382" s="618">
        <v>31940.210526315786</v>
      </c>
      <c r="AD2382" s="619">
        <v>0.03</v>
      </c>
      <c r="AE2382" s="617" t="s">
        <v>4340</v>
      </c>
    </row>
    <row r="2383" spans="1:31" s="572" customFormat="1">
      <c r="A2383" s="570" t="s">
        <v>4351</v>
      </c>
      <c r="B2383" s="569" t="s">
        <v>280</v>
      </c>
      <c r="C2383" s="580">
        <v>27</v>
      </c>
      <c r="D2383" s="569" t="s">
        <v>3374</v>
      </c>
      <c r="E2383" s="569" t="s">
        <v>196</v>
      </c>
      <c r="F2383" s="569" t="s">
        <v>271</v>
      </c>
      <c r="G2383" s="569">
        <v>2019</v>
      </c>
      <c r="H2383" s="569" t="s">
        <v>4229</v>
      </c>
      <c r="I2383" s="569" t="s">
        <v>3837</v>
      </c>
      <c r="J2383" s="569" t="s">
        <v>3377</v>
      </c>
      <c r="K2383" s="569">
        <v>3</v>
      </c>
      <c r="L2383" s="569">
        <v>0</v>
      </c>
      <c r="M2383" s="569" t="s">
        <v>157</v>
      </c>
      <c r="N2383" s="569">
        <v>1</v>
      </c>
      <c r="O2383" s="569" t="s">
        <v>3846</v>
      </c>
      <c r="P2383" s="568">
        <v>16600</v>
      </c>
      <c r="Q2383" s="569" t="s">
        <v>4231</v>
      </c>
      <c r="R2383" s="569">
        <v>8</v>
      </c>
      <c r="S2383" s="569" t="s">
        <v>4334</v>
      </c>
      <c r="T2383" s="569" t="s">
        <v>366</v>
      </c>
      <c r="U2383" s="569">
        <v>142</v>
      </c>
      <c r="V2383" s="569">
        <v>29</v>
      </c>
      <c r="W2383" s="620">
        <v>10000</v>
      </c>
      <c r="X2383" s="621" t="s">
        <v>157</v>
      </c>
      <c r="Y2383" s="621" t="s">
        <v>728</v>
      </c>
      <c r="Z2383" s="621" t="s">
        <v>1523</v>
      </c>
      <c r="AA2383" s="622">
        <v>43275</v>
      </c>
      <c r="AB2383" s="622" t="s">
        <v>164</v>
      </c>
      <c r="AC2383" s="622">
        <v>31940.210526315786</v>
      </c>
      <c r="AD2383" s="623">
        <v>0.03</v>
      </c>
      <c r="AE2383" s="621" t="s">
        <v>4343</v>
      </c>
    </row>
    <row r="2384" spans="1:31" s="572" customFormat="1">
      <c r="A2384" s="570" t="s">
        <v>4352</v>
      </c>
      <c r="B2384" s="573" t="s">
        <v>269</v>
      </c>
      <c r="C2384" s="578" t="s">
        <v>270</v>
      </c>
      <c r="D2384" s="573" t="s">
        <v>3374</v>
      </c>
      <c r="E2384" s="573" t="s">
        <v>196</v>
      </c>
      <c r="F2384" s="573" t="s">
        <v>271</v>
      </c>
      <c r="G2384" s="573">
        <v>2019</v>
      </c>
      <c r="H2384" s="573" t="s">
        <v>4229</v>
      </c>
      <c r="I2384" s="573" t="s">
        <v>3837</v>
      </c>
      <c r="J2384" s="573" t="s">
        <v>752</v>
      </c>
      <c r="K2384" s="573">
        <v>3</v>
      </c>
      <c r="L2384" s="573">
        <v>0</v>
      </c>
      <c r="M2384" s="573" t="s">
        <v>157</v>
      </c>
      <c r="N2384" s="573">
        <v>1</v>
      </c>
      <c r="O2384" s="573" t="s">
        <v>3846</v>
      </c>
      <c r="P2384" s="571">
        <v>12900</v>
      </c>
      <c r="Q2384" s="573" t="s">
        <v>4235</v>
      </c>
      <c r="R2384" s="573">
        <v>8</v>
      </c>
      <c r="S2384" s="582" t="s">
        <v>4354</v>
      </c>
      <c r="T2384" s="573" t="s">
        <v>366</v>
      </c>
      <c r="U2384" s="573">
        <v>142</v>
      </c>
      <c r="V2384" s="573">
        <v>34</v>
      </c>
      <c r="W2384" s="616">
        <v>10000</v>
      </c>
      <c r="X2384" s="617" t="s">
        <v>157</v>
      </c>
      <c r="Y2384" s="617" t="s">
        <v>450</v>
      </c>
      <c r="Z2384" s="617" t="s">
        <v>178</v>
      </c>
      <c r="AA2384" s="618">
        <v>37075</v>
      </c>
      <c r="AB2384" s="618" t="s">
        <v>164</v>
      </c>
      <c r="AC2384" s="618">
        <v>26441.389473684212</v>
      </c>
      <c r="AD2384" s="619">
        <v>0.03</v>
      </c>
      <c r="AE2384" s="617" t="s">
        <v>4353</v>
      </c>
    </row>
    <row r="2385" spans="1:31" s="572" customFormat="1">
      <c r="A2385" s="570" t="s">
        <v>4355</v>
      </c>
      <c r="B2385" s="569" t="s">
        <v>269</v>
      </c>
      <c r="C2385" s="580" t="s">
        <v>270</v>
      </c>
      <c r="D2385" s="569" t="s">
        <v>3374</v>
      </c>
      <c r="E2385" s="569" t="s">
        <v>196</v>
      </c>
      <c r="F2385" s="569" t="s">
        <v>271</v>
      </c>
      <c r="G2385" s="569">
        <v>2019</v>
      </c>
      <c r="H2385" s="569" t="s">
        <v>4229</v>
      </c>
      <c r="I2385" s="569" t="s">
        <v>3837</v>
      </c>
      <c r="J2385" s="569" t="s">
        <v>752</v>
      </c>
      <c r="K2385" s="569">
        <v>3</v>
      </c>
      <c r="L2385" s="569">
        <v>0</v>
      </c>
      <c r="M2385" s="569" t="s">
        <v>157</v>
      </c>
      <c r="N2385" s="569">
        <v>1</v>
      </c>
      <c r="O2385" s="569" t="s">
        <v>3846</v>
      </c>
      <c r="P2385" s="568">
        <v>16600</v>
      </c>
      <c r="Q2385" s="569" t="s">
        <v>4231</v>
      </c>
      <c r="R2385" s="569">
        <v>8</v>
      </c>
      <c r="S2385" s="569" t="s">
        <v>4354</v>
      </c>
      <c r="T2385" s="569" t="s">
        <v>366</v>
      </c>
      <c r="U2385" s="569">
        <v>142</v>
      </c>
      <c r="V2385" s="569">
        <v>29</v>
      </c>
      <c r="W2385" s="620">
        <v>10000</v>
      </c>
      <c r="X2385" s="621" t="s">
        <v>157</v>
      </c>
      <c r="Y2385" s="621" t="s">
        <v>4341</v>
      </c>
      <c r="Z2385" s="621" t="s">
        <v>1523</v>
      </c>
      <c r="AA2385" s="622">
        <v>46070</v>
      </c>
      <c r="AB2385" s="622" t="s">
        <v>164</v>
      </c>
      <c r="AC2385" s="622">
        <v>34522.31578947368</v>
      </c>
      <c r="AD2385" s="623">
        <v>0.03</v>
      </c>
      <c r="AE2385" s="621" t="s">
        <v>4356</v>
      </c>
    </row>
    <row r="2386" spans="1:31" s="572" customFormat="1">
      <c r="A2386" s="570" t="s">
        <v>4357</v>
      </c>
      <c r="B2386" s="573" t="s">
        <v>269</v>
      </c>
      <c r="C2386" s="578" t="s">
        <v>270</v>
      </c>
      <c r="D2386" s="573" t="s">
        <v>3374</v>
      </c>
      <c r="E2386" s="573" t="s">
        <v>196</v>
      </c>
      <c r="F2386" s="573" t="s">
        <v>271</v>
      </c>
      <c r="G2386" s="573">
        <v>2019</v>
      </c>
      <c r="H2386" s="573" t="s">
        <v>4229</v>
      </c>
      <c r="I2386" s="573" t="s">
        <v>3837</v>
      </c>
      <c r="J2386" s="573" t="s">
        <v>752</v>
      </c>
      <c r="K2386" s="573">
        <v>3</v>
      </c>
      <c r="L2386" s="573">
        <v>0</v>
      </c>
      <c r="M2386" s="573" t="s">
        <v>157</v>
      </c>
      <c r="N2386" s="573">
        <v>1</v>
      </c>
      <c r="O2386" s="573" t="s">
        <v>3846</v>
      </c>
      <c r="P2386" s="571">
        <v>16600</v>
      </c>
      <c r="Q2386" s="573" t="s">
        <v>4231</v>
      </c>
      <c r="R2386" s="573">
        <v>8</v>
      </c>
      <c r="S2386" s="582" t="s">
        <v>4354</v>
      </c>
      <c r="T2386" s="573" t="s">
        <v>366</v>
      </c>
      <c r="U2386" s="573">
        <v>142</v>
      </c>
      <c r="V2386" s="573">
        <v>29</v>
      </c>
      <c r="W2386" s="616">
        <v>10000</v>
      </c>
      <c r="X2386" s="617" t="s">
        <v>157</v>
      </c>
      <c r="Y2386" s="617" t="s">
        <v>728</v>
      </c>
      <c r="Z2386" s="617" t="s">
        <v>1523</v>
      </c>
      <c r="AA2386" s="618">
        <v>46070</v>
      </c>
      <c r="AB2386" s="618" t="s">
        <v>164</v>
      </c>
      <c r="AC2386" s="618">
        <v>34522.31578947368</v>
      </c>
      <c r="AD2386" s="619">
        <v>0.03</v>
      </c>
      <c r="AE2386" s="617" t="s">
        <v>4358</v>
      </c>
    </row>
    <row r="2387" spans="1:31" s="572" customFormat="1">
      <c r="A2387" s="570" t="s">
        <v>4359</v>
      </c>
      <c r="B2387" s="569" t="s">
        <v>278</v>
      </c>
      <c r="C2387" s="580">
        <v>15</v>
      </c>
      <c r="D2387" s="569" t="s">
        <v>3374</v>
      </c>
      <c r="E2387" s="569" t="s">
        <v>196</v>
      </c>
      <c r="F2387" s="569" t="s">
        <v>271</v>
      </c>
      <c r="G2387" s="569">
        <v>2019</v>
      </c>
      <c r="H2387" s="569" t="s">
        <v>4229</v>
      </c>
      <c r="I2387" s="569" t="s">
        <v>3837</v>
      </c>
      <c r="J2387" s="569" t="s">
        <v>752</v>
      </c>
      <c r="K2387" s="569">
        <v>3</v>
      </c>
      <c r="L2387" s="569">
        <v>0</v>
      </c>
      <c r="M2387" s="569" t="s">
        <v>157</v>
      </c>
      <c r="N2387" s="569">
        <v>1</v>
      </c>
      <c r="O2387" s="569" t="s">
        <v>3846</v>
      </c>
      <c r="P2387" s="568">
        <v>12900</v>
      </c>
      <c r="Q2387" s="569" t="s">
        <v>4235</v>
      </c>
      <c r="R2387" s="569">
        <v>8</v>
      </c>
      <c r="S2387" s="569" t="s">
        <v>4354</v>
      </c>
      <c r="T2387" s="569" t="s">
        <v>366</v>
      </c>
      <c r="U2387" s="569">
        <v>142</v>
      </c>
      <c r="V2387" s="569">
        <v>34</v>
      </c>
      <c r="W2387" s="620">
        <v>10000</v>
      </c>
      <c r="X2387" s="621" t="s">
        <v>157</v>
      </c>
      <c r="Y2387" s="621" t="s">
        <v>450</v>
      </c>
      <c r="Z2387" s="621" t="s">
        <v>178</v>
      </c>
      <c r="AA2387" s="622">
        <v>37440</v>
      </c>
      <c r="AB2387" s="622" t="s">
        <v>164</v>
      </c>
      <c r="AC2387" s="622">
        <v>26900</v>
      </c>
      <c r="AD2387" s="623">
        <v>0.01</v>
      </c>
      <c r="AE2387" s="621" t="s">
        <v>4353</v>
      </c>
    </row>
    <row r="2388" spans="1:31" s="572" customFormat="1">
      <c r="A2388" s="570" t="s">
        <v>4360</v>
      </c>
      <c r="B2388" s="573" t="s">
        <v>278</v>
      </c>
      <c r="C2388" s="578">
        <v>15</v>
      </c>
      <c r="D2388" s="573" t="s">
        <v>3374</v>
      </c>
      <c r="E2388" s="573" t="s">
        <v>196</v>
      </c>
      <c r="F2388" s="573" t="s">
        <v>271</v>
      </c>
      <c r="G2388" s="573">
        <v>2019</v>
      </c>
      <c r="H2388" s="573" t="s">
        <v>4229</v>
      </c>
      <c r="I2388" s="573" t="s">
        <v>3837</v>
      </c>
      <c r="J2388" s="573" t="s">
        <v>752</v>
      </c>
      <c r="K2388" s="573">
        <v>3</v>
      </c>
      <c r="L2388" s="573">
        <v>0</v>
      </c>
      <c r="M2388" s="573" t="s">
        <v>157</v>
      </c>
      <c r="N2388" s="573">
        <v>1</v>
      </c>
      <c r="O2388" s="573" t="s">
        <v>3846</v>
      </c>
      <c r="P2388" s="571">
        <v>16600</v>
      </c>
      <c r="Q2388" s="573" t="s">
        <v>4231</v>
      </c>
      <c r="R2388" s="573">
        <v>8</v>
      </c>
      <c r="S2388" s="582" t="s">
        <v>4354</v>
      </c>
      <c r="T2388" s="573" t="s">
        <v>366</v>
      </c>
      <c r="U2388" s="573">
        <v>142</v>
      </c>
      <c r="V2388" s="573">
        <v>29</v>
      </c>
      <c r="W2388" s="616">
        <v>10000</v>
      </c>
      <c r="X2388" s="617" t="s">
        <v>157</v>
      </c>
      <c r="Y2388" s="617" t="s">
        <v>728</v>
      </c>
      <c r="Z2388" s="617" t="s">
        <v>1523</v>
      </c>
      <c r="AA2388" s="618">
        <v>46560</v>
      </c>
      <c r="AB2388" s="618" t="s">
        <v>164</v>
      </c>
      <c r="AC2388" s="618">
        <v>35150</v>
      </c>
      <c r="AD2388" s="619">
        <v>0.01</v>
      </c>
      <c r="AE2388" s="617" t="s">
        <v>4358</v>
      </c>
    </row>
    <row r="2389" spans="1:31" s="572" customFormat="1">
      <c r="A2389" s="570" t="s">
        <v>4361</v>
      </c>
      <c r="B2389" s="569" t="s">
        <v>287</v>
      </c>
      <c r="C2389" s="580">
        <v>26</v>
      </c>
      <c r="D2389" s="569" t="s">
        <v>3374</v>
      </c>
      <c r="E2389" s="569" t="s">
        <v>196</v>
      </c>
      <c r="F2389" s="569" t="s">
        <v>271</v>
      </c>
      <c r="G2389" s="569">
        <v>2019</v>
      </c>
      <c r="H2389" s="569" t="s">
        <v>4229</v>
      </c>
      <c r="I2389" s="569" t="s">
        <v>3837</v>
      </c>
      <c r="J2389" s="569" t="s">
        <v>752</v>
      </c>
      <c r="K2389" s="569">
        <v>3</v>
      </c>
      <c r="L2389" s="569">
        <v>0</v>
      </c>
      <c r="M2389" s="569" t="s">
        <v>157</v>
      </c>
      <c r="N2389" s="569">
        <v>1</v>
      </c>
      <c r="O2389" s="569" t="s">
        <v>3846</v>
      </c>
      <c r="P2389" s="568">
        <v>12900</v>
      </c>
      <c r="Q2389" s="569" t="s">
        <v>4235</v>
      </c>
      <c r="R2389" s="569">
        <v>8</v>
      </c>
      <c r="S2389" s="569" t="s">
        <v>4354</v>
      </c>
      <c r="T2389" s="569" t="s">
        <v>366</v>
      </c>
      <c r="U2389" s="569">
        <v>142</v>
      </c>
      <c r="V2389" s="569">
        <v>34</v>
      </c>
      <c r="W2389" s="620">
        <v>10000</v>
      </c>
      <c r="X2389" s="621" t="s">
        <v>157</v>
      </c>
      <c r="Y2389" s="621" t="s">
        <v>450</v>
      </c>
      <c r="Z2389" s="621" t="s">
        <v>178</v>
      </c>
      <c r="AA2389" s="622">
        <v>37075</v>
      </c>
      <c r="AB2389" s="622" t="s">
        <v>164</v>
      </c>
      <c r="AC2389" s="622">
        <v>27009</v>
      </c>
      <c r="AD2389" s="623">
        <v>0.05</v>
      </c>
      <c r="AE2389" s="621" t="s">
        <v>4353</v>
      </c>
    </row>
    <row r="2390" spans="1:31" s="572" customFormat="1">
      <c r="A2390" s="570" t="s">
        <v>4362</v>
      </c>
      <c r="B2390" s="573" t="s">
        <v>287</v>
      </c>
      <c r="C2390" s="578">
        <v>26</v>
      </c>
      <c r="D2390" s="573" t="s">
        <v>3374</v>
      </c>
      <c r="E2390" s="573" t="s">
        <v>196</v>
      </c>
      <c r="F2390" s="573" t="s">
        <v>271</v>
      </c>
      <c r="G2390" s="573">
        <v>2019</v>
      </c>
      <c r="H2390" s="573" t="s">
        <v>4229</v>
      </c>
      <c r="I2390" s="573" t="s">
        <v>3837</v>
      </c>
      <c r="J2390" s="573" t="s">
        <v>752</v>
      </c>
      <c r="K2390" s="573">
        <v>3</v>
      </c>
      <c r="L2390" s="573">
        <v>0</v>
      </c>
      <c r="M2390" s="573" t="s">
        <v>157</v>
      </c>
      <c r="N2390" s="573">
        <v>1</v>
      </c>
      <c r="O2390" s="573" t="s">
        <v>3846</v>
      </c>
      <c r="P2390" s="571">
        <v>16600</v>
      </c>
      <c r="Q2390" s="573" t="s">
        <v>4231</v>
      </c>
      <c r="R2390" s="573">
        <v>8</v>
      </c>
      <c r="S2390" s="582" t="s">
        <v>4354</v>
      </c>
      <c r="T2390" s="573" t="s">
        <v>366</v>
      </c>
      <c r="U2390" s="573">
        <v>142</v>
      </c>
      <c r="V2390" s="573">
        <v>29</v>
      </c>
      <c r="W2390" s="616">
        <v>10000</v>
      </c>
      <c r="X2390" s="617" t="s">
        <v>157</v>
      </c>
      <c r="Y2390" s="617" t="s">
        <v>728</v>
      </c>
      <c r="Z2390" s="617" t="s">
        <v>1523</v>
      </c>
      <c r="AA2390" s="618">
        <v>46070</v>
      </c>
      <c r="AB2390" s="618" t="s">
        <v>164</v>
      </c>
      <c r="AC2390" s="618">
        <v>35203</v>
      </c>
      <c r="AD2390" s="619">
        <v>0.05</v>
      </c>
      <c r="AE2390" s="617" t="s">
        <v>4358</v>
      </c>
    </row>
    <row r="2391" spans="1:31" s="572" customFormat="1">
      <c r="A2391" s="570" t="s">
        <v>4363</v>
      </c>
      <c r="B2391" s="569" t="s">
        <v>280</v>
      </c>
      <c r="C2391" s="580">
        <v>27</v>
      </c>
      <c r="D2391" s="569" t="s">
        <v>3374</v>
      </c>
      <c r="E2391" s="569" t="s">
        <v>196</v>
      </c>
      <c r="F2391" s="569" t="s">
        <v>271</v>
      </c>
      <c r="G2391" s="569">
        <v>2019</v>
      </c>
      <c r="H2391" s="569" t="s">
        <v>4229</v>
      </c>
      <c r="I2391" s="569" t="s">
        <v>3837</v>
      </c>
      <c r="J2391" s="569" t="s">
        <v>752</v>
      </c>
      <c r="K2391" s="569">
        <v>3</v>
      </c>
      <c r="L2391" s="569">
        <v>0</v>
      </c>
      <c r="M2391" s="569" t="s">
        <v>157</v>
      </c>
      <c r="N2391" s="569">
        <v>1</v>
      </c>
      <c r="O2391" s="569" t="s">
        <v>3846</v>
      </c>
      <c r="P2391" s="568">
        <v>12900</v>
      </c>
      <c r="Q2391" s="569" t="s">
        <v>4235</v>
      </c>
      <c r="R2391" s="569">
        <v>8</v>
      </c>
      <c r="S2391" s="569" t="s">
        <v>4354</v>
      </c>
      <c r="T2391" s="569" t="s">
        <v>366</v>
      </c>
      <c r="U2391" s="569">
        <v>142</v>
      </c>
      <c r="V2391" s="569">
        <v>34</v>
      </c>
      <c r="W2391" s="620">
        <v>10000</v>
      </c>
      <c r="X2391" s="621" t="s">
        <v>157</v>
      </c>
      <c r="Y2391" s="621" t="s">
        <v>450</v>
      </c>
      <c r="Z2391" s="621" t="s">
        <v>178</v>
      </c>
      <c r="AA2391" s="622">
        <v>37075</v>
      </c>
      <c r="AB2391" s="622" t="s">
        <v>164</v>
      </c>
      <c r="AC2391" s="622">
        <v>26441.389473684212</v>
      </c>
      <c r="AD2391" s="623">
        <v>0.03</v>
      </c>
      <c r="AE2391" s="621" t="s">
        <v>4353</v>
      </c>
    </row>
    <row r="2392" spans="1:31" s="572" customFormat="1">
      <c r="A2392" s="570" t="s">
        <v>4364</v>
      </c>
      <c r="B2392" s="573" t="s">
        <v>280</v>
      </c>
      <c r="C2392" s="578">
        <v>27</v>
      </c>
      <c r="D2392" s="573" t="s">
        <v>3374</v>
      </c>
      <c r="E2392" s="573" t="s">
        <v>196</v>
      </c>
      <c r="F2392" s="573" t="s">
        <v>271</v>
      </c>
      <c r="G2392" s="573">
        <v>2019</v>
      </c>
      <c r="H2392" s="573" t="s">
        <v>4229</v>
      </c>
      <c r="I2392" s="573" t="s">
        <v>3837</v>
      </c>
      <c r="J2392" s="573" t="s">
        <v>752</v>
      </c>
      <c r="K2392" s="573">
        <v>3</v>
      </c>
      <c r="L2392" s="573">
        <v>0</v>
      </c>
      <c r="M2392" s="573" t="s">
        <v>157</v>
      </c>
      <c r="N2392" s="573">
        <v>1</v>
      </c>
      <c r="O2392" s="573" t="s">
        <v>3846</v>
      </c>
      <c r="P2392" s="571">
        <v>16600</v>
      </c>
      <c r="Q2392" s="573" t="s">
        <v>4231</v>
      </c>
      <c r="R2392" s="573">
        <v>8</v>
      </c>
      <c r="S2392" s="582" t="s">
        <v>4354</v>
      </c>
      <c r="T2392" s="573" t="s">
        <v>366</v>
      </c>
      <c r="U2392" s="573">
        <v>142</v>
      </c>
      <c r="V2392" s="573">
        <v>29</v>
      </c>
      <c r="W2392" s="616">
        <v>10000</v>
      </c>
      <c r="X2392" s="617" t="s">
        <v>157</v>
      </c>
      <c r="Y2392" s="617" t="s">
        <v>4341</v>
      </c>
      <c r="Z2392" s="617" t="s">
        <v>1523</v>
      </c>
      <c r="AA2392" s="618">
        <v>46070</v>
      </c>
      <c r="AB2392" s="618" t="s">
        <v>164</v>
      </c>
      <c r="AC2392" s="618">
        <v>34522.31578947368</v>
      </c>
      <c r="AD2392" s="619">
        <v>0.03</v>
      </c>
      <c r="AE2392" s="617" t="s">
        <v>4356</v>
      </c>
    </row>
    <row r="2393" spans="1:31" s="572" customFormat="1">
      <c r="A2393" s="570" t="s">
        <v>4365</v>
      </c>
      <c r="B2393" s="569" t="s">
        <v>280</v>
      </c>
      <c r="C2393" s="580">
        <v>27</v>
      </c>
      <c r="D2393" s="569" t="s">
        <v>3374</v>
      </c>
      <c r="E2393" s="569" t="s">
        <v>196</v>
      </c>
      <c r="F2393" s="569" t="s">
        <v>271</v>
      </c>
      <c r="G2393" s="569">
        <v>2019</v>
      </c>
      <c r="H2393" s="569" t="s">
        <v>4229</v>
      </c>
      <c r="I2393" s="569" t="s">
        <v>3837</v>
      </c>
      <c r="J2393" s="569" t="s">
        <v>752</v>
      </c>
      <c r="K2393" s="569">
        <v>3</v>
      </c>
      <c r="L2393" s="569">
        <v>0</v>
      </c>
      <c r="M2393" s="569" t="s">
        <v>157</v>
      </c>
      <c r="N2393" s="569">
        <v>1</v>
      </c>
      <c r="O2393" s="569" t="s">
        <v>3846</v>
      </c>
      <c r="P2393" s="568">
        <v>16600</v>
      </c>
      <c r="Q2393" s="569" t="s">
        <v>4231</v>
      </c>
      <c r="R2393" s="569">
        <v>8</v>
      </c>
      <c r="S2393" s="569" t="s">
        <v>4354</v>
      </c>
      <c r="T2393" s="569" t="s">
        <v>366</v>
      </c>
      <c r="U2393" s="569">
        <v>142</v>
      </c>
      <c r="V2393" s="569">
        <v>29</v>
      </c>
      <c r="W2393" s="620">
        <v>10000</v>
      </c>
      <c r="X2393" s="621" t="s">
        <v>157</v>
      </c>
      <c r="Y2393" s="621" t="s">
        <v>728</v>
      </c>
      <c r="Z2393" s="621" t="s">
        <v>1523</v>
      </c>
      <c r="AA2393" s="622">
        <v>46070</v>
      </c>
      <c r="AB2393" s="622" t="s">
        <v>164</v>
      </c>
      <c r="AC2393" s="622">
        <v>34522.31578947368</v>
      </c>
      <c r="AD2393" s="623">
        <v>0.03</v>
      </c>
      <c r="AE2393" s="621" t="s">
        <v>4358</v>
      </c>
    </row>
    <row r="2394" spans="1:31" s="572" customFormat="1">
      <c r="A2394" s="570" t="s">
        <v>4366</v>
      </c>
      <c r="B2394" s="573" t="s">
        <v>269</v>
      </c>
      <c r="C2394" s="578" t="s">
        <v>270</v>
      </c>
      <c r="D2394" s="573" t="s">
        <v>3374</v>
      </c>
      <c r="E2394" s="573" t="s">
        <v>196</v>
      </c>
      <c r="F2394" s="573" t="s">
        <v>271</v>
      </c>
      <c r="G2394" s="573">
        <v>2019</v>
      </c>
      <c r="H2394" s="573" t="s">
        <v>4229</v>
      </c>
      <c r="I2394" s="573" t="s">
        <v>3916</v>
      </c>
      <c r="J2394" s="573" t="s">
        <v>3377</v>
      </c>
      <c r="K2394" s="573">
        <v>3</v>
      </c>
      <c r="L2394" s="573">
        <v>0</v>
      </c>
      <c r="M2394" s="573" t="s">
        <v>157</v>
      </c>
      <c r="N2394" s="573">
        <v>1</v>
      </c>
      <c r="O2394" s="573" t="s">
        <v>3846</v>
      </c>
      <c r="P2394" s="571">
        <v>12900</v>
      </c>
      <c r="Q2394" s="573" t="s">
        <v>4235</v>
      </c>
      <c r="R2394" s="573">
        <v>8</v>
      </c>
      <c r="S2394" s="582" t="s">
        <v>4334</v>
      </c>
      <c r="T2394" s="573" t="s">
        <v>4283</v>
      </c>
      <c r="U2394" s="573">
        <v>142</v>
      </c>
      <c r="V2394" s="573">
        <v>34</v>
      </c>
      <c r="W2394" s="616">
        <v>10000</v>
      </c>
      <c r="X2394" s="617" t="s">
        <v>157</v>
      </c>
      <c r="Y2394" s="617" t="s">
        <v>450</v>
      </c>
      <c r="Z2394" s="617" t="s">
        <v>178</v>
      </c>
      <c r="AA2394" s="618">
        <v>38410</v>
      </c>
      <c r="AB2394" s="618" t="s">
        <v>164</v>
      </c>
      <c r="AC2394" s="618">
        <v>27674.021052631579</v>
      </c>
      <c r="AD2394" s="619">
        <v>0.03</v>
      </c>
      <c r="AE2394" s="617" t="s">
        <v>4367</v>
      </c>
    </row>
    <row r="2395" spans="1:31" s="572" customFormat="1">
      <c r="A2395" s="570" t="s">
        <v>4368</v>
      </c>
      <c r="B2395" s="569" t="s">
        <v>269</v>
      </c>
      <c r="C2395" s="580" t="s">
        <v>270</v>
      </c>
      <c r="D2395" s="569" t="s">
        <v>3374</v>
      </c>
      <c r="E2395" s="569" t="s">
        <v>196</v>
      </c>
      <c r="F2395" s="569" t="s">
        <v>271</v>
      </c>
      <c r="G2395" s="569">
        <v>2019</v>
      </c>
      <c r="H2395" s="569" t="s">
        <v>4229</v>
      </c>
      <c r="I2395" s="569" t="s">
        <v>3916</v>
      </c>
      <c r="J2395" s="569" t="s">
        <v>3377</v>
      </c>
      <c r="K2395" s="569">
        <v>3</v>
      </c>
      <c r="L2395" s="569">
        <v>0</v>
      </c>
      <c r="M2395" s="569" t="s">
        <v>157</v>
      </c>
      <c r="N2395" s="569">
        <v>1</v>
      </c>
      <c r="O2395" s="569" t="s">
        <v>3846</v>
      </c>
      <c r="P2395" s="568">
        <v>16600</v>
      </c>
      <c r="Q2395" s="569" t="s">
        <v>4231</v>
      </c>
      <c r="R2395" s="569">
        <v>8</v>
      </c>
      <c r="S2395" s="569" t="s">
        <v>4334</v>
      </c>
      <c r="T2395" s="569" t="s">
        <v>4283</v>
      </c>
      <c r="U2395" s="569">
        <v>142</v>
      </c>
      <c r="V2395" s="569">
        <v>29</v>
      </c>
      <c r="W2395" s="620">
        <v>10000</v>
      </c>
      <c r="X2395" s="621" t="s">
        <v>157</v>
      </c>
      <c r="Y2395" s="621" t="s">
        <v>4341</v>
      </c>
      <c r="Z2395" s="621" t="s">
        <v>1523</v>
      </c>
      <c r="AA2395" s="622">
        <v>47405</v>
      </c>
      <c r="AB2395" s="622" t="s">
        <v>164</v>
      </c>
      <c r="AC2395" s="622">
        <v>35754.947368421053</v>
      </c>
      <c r="AD2395" s="623">
        <v>0.03</v>
      </c>
      <c r="AE2395" s="621" t="s">
        <v>4369</v>
      </c>
    </row>
    <row r="2396" spans="1:31" s="572" customFormat="1">
      <c r="A2396" s="570" t="s">
        <v>4370</v>
      </c>
      <c r="B2396" s="573" t="s">
        <v>269</v>
      </c>
      <c r="C2396" s="578" t="s">
        <v>270</v>
      </c>
      <c r="D2396" s="573" t="s">
        <v>3374</v>
      </c>
      <c r="E2396" s="573" t="s">
        <v>196</v>
      </c>
      <c r="F2396" s="573" t="s">
        <v>271</v>
      </c>
      <c r="G2396" s="573">
        <v>2019</v>
      </c>
      <c r="H2396" s="573" t="s">
        <v>4229</v>
      </c>
      <c r="I2396" s="573" t="s">
        <v>3916</v>
      </c>
      <c r="J2396" s="573" t="s">
        <v>3377</v>
      </c>
      <c r="K2396" s="573">
        <v>3</v>
      </c>
      <c r="L2396" s="573">
        <v>0</v>
      </c>
      <c r="M2396" s="573" t="s">
        <v>157</v>
      </c>
      <c r="N2396" s="573">
        <v>1</v>
      </c>
      <c r="O2396" s="573" t="s">
        <v>3846</v>
      </c>
      <c r="P2396" s="571">
        <v>16600</v>
      </c>
      <c r="Q2396" s="573" t="s">
        <v>4231</v>
      </c>
      <c r="R2396" s="573">
        <v>8</v>
      </c>
      <c r="S2396" s="582" t="s">
        <v>4334</v>
      </c>
      <c r="T2396" s="573" t="s">
        <v>4283</v>
      </c>
      <c r="U2396" s="573">
        <v>142</v>
      </c>
      <c r="V2396" s="573">
        <v>29</v>
      </c>
      <c r="W2396" s="616">
        <v>10000</v>
      </c>
      <c r="X2396" s="617" t="s">
        <v>157</v>
      </c>
      <c r="Y2396" s="617" t="s">
        <v>728</v>
      </c>
      <c r="Z2396" s="617" t="s">
        <v>1523</v>
      </c>
      <c r="AA2396" s="618">
        <v>47405</v>
      </c>
      <c r="AB2396" s="618" t="s">
        <v>164</v>
      </c>
      <c r="AC2396" s="618">
        <v>35754.947368421053</v>
      </c>
      <c r="AD2396" s="619">
        <v>0.03</v>
      </c>
      <c r="AE2396" s="617" t="s">
        <v>4371</v>
      </c>
    </row>
    <row r="2397" spans="1:31" s="572" customFormat="1">
      <c r="A2397" s="570" t="s">
        <v>4372</v>
      </c>
      <c r="B2397" s="569" t="s">
        <v>278</v>
      </c>
      <c r="C2397" s="580">
        <v>15</v>
      </c>
      <c r="D2397" s="569" t="s">
        <v>3374</v>
      </c>
      <c r="E2397" s="569" t="s">
        <v>196</v>
      </c>
      <c r="F2397" s="569" t="s">
        <v>271</v>
      </c>
      <c r="G2397" s="569">
        <v>2019</v>
      </c>
      <c r="H2397" s="569" t="s">
        <v>4229</v>
      </c>
      <c r="I2397" s="569" t="s">
        <v>3916</v>
      </c>
      <c r="J2397" s="569" t="s">
        <v>3377</v>
      </c>
      <c r="K2397" s="569">
        <v>3</v>
      </c>
      <c r="L2397" s="569">
        <v>0</v>
      </c>
      <c r="M2397" s="569" t="s">
        <v>157</v>
      </c>
      <c r="N2397" s="569">
        <v>1</v>
      </c>
      <c r="O2397" s="569" t="s">
        <v>3846</v>
      </c>
      <c r="P2397" s="568">
        <v>13300</v>
      </c>
      <c r="Q2397" s="569" t="s">
        <v>4235</v>
      </c>
      <c r="R2397" s="569">
        <v>8</v>
      </c>
      <c r="S2397" s="569" t="s">
        <v>4334</v>
      </c>
      <c r="T2397" s="569" t="s">
        <v>4283</v>
      </c>
      <c r="U2397" s="569">
        <v>142</v>
      </c>
      <c r="V2397" s="569">
        <v>34</v>
      </c>
      <c r="W2397" s="620">
        <v>10000</v>
      </c>
      <c r="X2397" s="621" t="s">
        <v>157</v>
      </c>
      <c r="Y2397" s="621" t="s">
        <v>450</v>
      </c>
      <c r="Z2397" s="621" t="s">
        <v>178</v>
      </c>
      <c r="AA2397" s="622">
        <v>38860</v>
      </c>
      <c r="AB2397" s="622" t="s">
        <v>164</v>
      </c>
      <c r="AC2397" s="622">
        <v>28200</v>
      </c>
      <c r="AD2397" s="623">
        <v>0.01</v>
      </c>
      <c r="AE2397" s="621" t="s">
        <v>4373</v>
      </c>
    </row>
    <row r="2398" spans="1:31" s="572" customFormat="1">
      <c r="A2398" s="570" t="s">
        <v>4374</v>
      </c>
      <c r="B2398" s="573" t="s">
        <v>278</v>
      </c>
      <c r="C2398" s="578">
        <v>15</v>
      </c>
      <c r="D2398" s="573" t="s">
        <v>3374</v>
      </c>
      <c r="E2398" s="573" t="s">
        <v>196</v>
      </c>
      <c r="F2398" s="573" t="s">
        <v>271</v>
      </c>
      <c r="G2398" s="573">
        <v>2019</v>
      </c>
      <c r="H2398" s="573" t="s">
        <v>4229</v>
      </c>
      <c r="I2398" s="573" t="s">
        <v>3916</v>
      </c>
      <c r="J2398" s="573" t="s">
        <v>3377</v>
      </c>
      <c r="K2398" s="573">
        <v>3</v>
      </c>
      <c r="L2398" s="573">
        <v>0</v>
      </c>
      <c r="M2398" s="573" t="s">
        <v>157</v>
      </c>
      <c r="N2398" s="573">
        <v>1</v>
      </c>
      <c r="O2398" s="573" t="s">
        <v>3846</v>
      </c>
      <c r="P2398" s="571">
        <v>16600</v>
      </c>
      <c r="Q2398" s="573" t="s">
        <v>4231</v>
      </c>
      <c r="R2398" s="573">
        <v>8</v>
      </c>
      <c r="S2398" s="582" t="s">
        <v>4334</v>
      </c>
      <c r="T2398" s="573" t="s">
        <v>4283</v>
      </c>
      <c r="U2398" s="573">
        <v>142</v>
      </c>
      <c r="V2398" s="573">
        <v>29</v>
      </c>
      <c r="W2398" s="616">
        <v>10000</v>
      </c>
      <c r="X2398" s="617" t="s">
        <v>157</v>
      </c>
      <c r="Y2398" s="617" t="s">
        <v>728</v>
      </c>
      <c r="Z2398" s="617" t="s">
        <v>1523</v>
      </c>
      <c r="AA2398" s="618">
        <v>47980</v>
      </c>
      <c r="AB2398" s="618" t="s">
        <v>164</v>
      </c>
      <c r="AC2398" s="618">
        <v>36500</v>
      </c>
      <c r="AD2398" s="619">
        <v>0.01</v>
      </c>
      <c r="AE2398" s="617" t="s">
        <v>4371</v>
      </c>
    </row>
    <row r="2399" spans="1:31" s="572" customFormat="1">
      <c r="A2399" s="570" t="s">
        <v>4375</v>
      </c>
      <c r="B2399" s="569" t="s">
        <v>287</v>
      </c>
      <c r="C2399" s="580">
        <v>26</v>
      </c>
      <c r="D2399" s="569" t="s">
        <v>3374</v>
      </c>
      <c r="E2399" s="569" t="s">
        <v>196</v>
      </c>
      <c r="F2399" s="569" t="s">
        <v>271</v>
      </c>
      <c r="G2399" s="569">
        <v>2019</v>
      </c>
      <c r="H2399" s="569" t="s">
        <v>4229</v>
      </c>
      <c r="I2399" s="569" t="s">
        <v>3916</v>
      </c>
      <c r="J2399" s="569" t="s">
        <v>3377</v>
      </c>
      <c r="K2399" s="569">
        <v>3</v>
      </c>
      <c r="L2399" s="569">
        <v>0</v>
      </c>
      <c r="M2399" s="569" t="s">
        <v>157</v>
      </c>
      <c r="N2399" s="569">
        <v>1</v>
      </c>
      <c r="O2399" s="569" t="s">
        <v>3846</v>
      </c>
      <c r="P2399" s="568">
        <v>12900</v>
      </c>
      <c r="Q2399" s="569" t="s">
        <v>4235</v>
      </c>
      <c r="R2399" s="569">
        <v>8</v>
      </c>
      <c r="S2399" s="569" t="s">
        <v>4334</v>
      </c>
      <c r="T2399" s="569" t="s">
        <v>4283</v>
      </c>
      <c r="U2399" s="569">
        <v>142</v>
      </c>
      <c r="V2399" s="569">
        <v>34</v>
      </c>
      <c r="W2399" s="620">
        <v>9950</v>
      </c>
      <c r="X2399" s="621">
        <v>15</v>
      </c>
      <c r="Y2399" s="621" t="s">
        <v>450</v>
      </c>
      <c r="Z2399" s="621" t="s">
        <v>178</v>
      </c>
      <c r="AA2399" s="622">
        <v>38410</v>
      </c>
      <c r="AB2399" s="622" t="s">
        <v>164</v>
      </c>
      <c r="AC2399" s="622">
        <v>28260</v>
      </c>
      <c r="AD2399" s="623">
        <v>0.05</v>
      </c>
      <c r="AE2399" s="621" t="s">
        <v>4367</v>
      </c>
    </row>
    <row r="2400" spans="1:31" s="572" customFormat="1">
      <c r="A2400" s="570" t="s">
        <v>4376</v>
      </c>
      <c r="B2400" s="573" t="s">
        <v>287</v>
      </c>
      <c r="C2400" s="578">
        <v>26</v>
      </c>
      <c r="D2400" s="573" t="s">
        <v>3374</v>
      </c>
      <c r="E2400" s="573" t="s">
        <v>196</v>
      </c>
      <c r="F2400" s="573" t="s">
        <v>271</v>
      </c>
      <c r="G2400" s="573">
        <v>2019</v>
      </c>
      <c r="H2400" s="573" t="s">
        <v>4229</v>
      </c>
      <c r="I2400" s="573" t="s">
        <v>3916</v>
      </c>
      <c r="J2400" s="573" t="s">
        <v>3377</v>
      </c>
      <c r="K2400" s="573">
        <v>3</v>
      </c>
      <c r="L2400" s="573">
        <v>0</v>
      </c>
      <c r="M2400" s="573" t="s">
        <v>157</v>
      </c>
      <c r="N2400" s="573">
        <v>1</v>
      </c>
      <c r="O2400" s="573" t="s">
        <v>3846</v>
      </c>
      <c r="P2400" s="571">
        <v>16600</v>
      </c>
      <c r="Q2400" s="573" t="s">
        <v>4231</v>
      </c>
      <c r="R2400" s="573">
        <v>8</v>
      </c>
      <c r="S2400" s="582" t="s">
        <v>4334</v>
      </c>
      <c r="T2400" s="573" t="s">
        <v>4283</v>
      </c>
      <c r="U2400" s="573">
        <v>142</v>
      </c>
      <c r="V2400" s="573">
        <v>29</v>
      </c>
      <c r="W2400" s="616">
        <v>10000</v>
      </c>
      <c r="X2400" s="617" t="s">
        <v>157</v>
      </c>
      <c r="Y2400" s="617" t="s">
        <v>728</v>
      </c>
      <c r="Z2400" s="617" t="s">
        <v>1523</v>
      </c>
      <c r="AA2400" s="618">
        <v>47405</v>
      </c>
      <c r="AB2400" s="618" t="s">
        <v>164</v>
      </c>
      <c r="AC2400" s="618">
        <v>36454</v>
      </c>
      <c r="AD2400" s="619">
        <v>0.05</v>
      </c>
      <c r="AE2400" s="617" t="s">
        <v>4371</v>
      </c>
    </row>
    <row r="2401" spans="1:31" s="572" customFormat="1">
      <c r="A2401" s="570" t="s">
        <v>4377</v>
      </c>
      <c r="B2401" s="569" t="s">
        <v>280</v>
      </c>
      <c r="C2401" s="580">
        <v>27</v>
      </c>
      <c r="D2401" s="569" t="s">
        <v>3374</v>
      </c>
      <c r="E2401" s="569" t="s">
        <v>196</v>
      </c>
      <c r="F2401" s="569" t="s">
        <v>271</v>
      </c>
      <c r="G2401" s="569">
        <v>2019</v>
      </c>
      <c r="H2401" s="569" t="s">
        <v>4229</v>
      </c>
      <c r="I2401" s="569" t="s">
        <v>3916</v>
      </c>
      <c r="J2401" s="569" t="s">
        <v>3377</v>
      </c>
      <c r="K2401" s="569">
        <v>3</v>
      </c>
      <c r="L2401" s="569">
        <v>0</v>
      </c>
      <c r="M2401" s="569" t="s">
        <v>157</v>
      </c>
      <c r="N2401" s="569">
        <v>1</v>
      </c>
      <c r="O2401" s="569" t="s">
        <v>3846</v>
      </c>
      <c r="P2401" s="568">
        <v>12900</v>
      </c>
      <c r="Q2401" s="569" t="s">
        <v>4235</v>
      </c>
      <c r="R2401" s="569">
        <v>8</v>
      </c>
      <c r="S2401" s="569" t="s">
        <v>4334</v>
      </c>
      <c r="T2401" s="569" t="s">
        <v>4283</v>
      </c>
      <c r="U2401" s="569">
        <v>142</v>
      </c>
      <c r="V2401" s="569">
        <v>34</v>
      </c>
      <c r="W2401" s="620">
        <v>10000</v>
      </c>
      <c r="X2401" s="621" t="s">
        <v>157</v>
      </c>
      <c r="Y2401" s="621" t="s">
        <v>450</v>
      </c>
      <c r="Z2401" s="621" t="s">
        <v>178</v>
      </c>
      <c r="AA2401" s="622">
        <v>38410</v>
      </c>
      <c r="AB2401" s="622" t="s">
        <v>164</v>
      </c>
      <c r="AC2401" s="622">
        <v>27674.021052631579</v>
      </c>
      <c r="AD2401" s="623">
        <v>0.03</v>
      </c>
      <c r="AE2401" s="621" t="s">
        <v>4367</v>
      </c>
    </row>
    <row r="2402" spans="1:31" s="572" customFormat="1">
      <c r="A2402" s="570" t="s">
        <v>4378</v>
      </c>
      <c r="B2402" s="573" t="s">
        <v>280</v>
      </c>
      <c r="C2402" s="578">
        <v>27</v>
      </c>
      <c r="D2402" s="573" t="s">
        <v>3374</v>
      </c>
      <c r="E2402" s="573" t="s">
        <v>196</v>
      </c>
      <c r="F2402" s="573" t="s">
        <v>271</v>
      </c>
      <c r="G2402" s="573">
        <v>2019</v>
      </c>
      <c r="H2402" s="573" t="s">
        <v>4229</v>
      </c>
      <c r="I2402" s="573" t="s">
        <v>3916</v>
      </c>
      <c r="J2402" s="573" t="s">
        <v>3377</v>
      </c>
      <c r="K2402" s="573">
        <v>3</v>
      </c>
      <c r="L2402" s="573">
        <v>0</v>
      </c>
      <c r="M2402" s="573" t="s">
        <v>157</v>
      </c>
      <c r="N2402" s="573">
        <v>1</v>
      </c>
      <c r="O2402" s="573" t="s">
        <v>3846</v>
      </c>
      <c r="P2402" s="571">
        <v>16600</v>
      </c>
      <c r="Q2402" s="573" t="s">
        <v>4231</v>
      </c>
      <c r="R2402" s="573">
        <v>8</v>
      </c>
      <c r="S2402" s="582" t="s">
        <v>4334</v>
      </c>
      <c r="T2402" s="573" t="s">
        <v>4283</v>
      </c>
      <c r="U2402" s="573">
        <v>142</v>
      </c>
      <c r="V2402" s="573">
        <v>29</v>
      </c>
      <c r="W2402" s="616">
        <v>10000</v>
      </c>
      <c r="X2402" s="617" t="s">
        <v>157</v>
      </c>
      <c r="Y2402" s="617" t="s">
        <v>4341</v>
      </c>
      <c r="Z2402" s="617" t="s">
        <v>1523</v>
      </c>
      <c r="AA2402" s="618">
        <v>47405</v>
      </c>
      <c r="AB2402" s="618" t="s">
        <v>164</v>
      </c>
      <c r="AC2402" s="618">
        <v>35754.947368421053</v>
      </c>
      <c r="AD2402" s="619">
        <v>0.03</v>
      </c>
      <c r="AE2402" s="617" t="s">
        <v>4369</v>
      </c>
    </row>
    <row r="2403" spans="1:31" s="572" customFormat="1">
      <c r="A2403" s="570" t="s">
        <v>4379</v>
      </c>
      <c r="B2403" s="569" t="s">
        <v>280</v>
      </c>
      <c r="C2403" s="580">
        <v>27</v>
      </c>
      <c r="D2403" s="569" t="s">
        <v>3374</v>
      </c>
      <c r="E2403" s="569" t="s">
        <v>196</v>
      </c>
      <c r="F2403" s="569" t="s">
        <v>271</v>
      </c>
      <c r="G2403" s="569">
        <v>2019</v>
      </c>
      <c r="H2403" s="569" t="s">
        <v>4229</v>
      </c>
      <c r="I2403" s="569" t="s">
        <v>3916</v>
      </c>
      <c r="J2403" s="569" t="s">
        <v>3377</v>
      </c>
      <c r="K2403" s="569">
        <v>3</v>
      </c>
      <c r="L2403" s="569">
        <v>0</v>
      </c>
      <c r="M2403" s="569" t="s">
        <v>157</v>
      </c>
      <c r="N2403" s="569">
        <v>1</v>
      </c>
      <c r="O2403" s="569" t="s">
        <v>3846</v>
      </c>
      <c r="P2403" s="568">
        <v>16600</v>
      </c>
      <c r="Q2403" s="569" t="s">
        <v>4231</v>
      </c>
      <c r="R2403" s="569">
        <v>8</v>
      </c>
      <c r="S2403" s="569" t="s">
        <v>4334</v>
      </c>
      <c r="T2403" s="569" t="s">
        <v>4283</v>
      </c>
      <c r="U2403" s="569">
        <v>142</v>
      </c>
      <c r="V2403" s="569">
        <v>29</v>
      </c>
      <c r="W2403" s="620">
        <v>10000</v>
      </c>
      <c r="X2403" s="621" t="s">
        <v>157</v>
      </c>
      <c r="Y2403" s="621" t="s">
        <v>728</v>
      </c>
      <c r="Z2403" s="621" t="s">
        <v>1523</v>
      </c>
      <c r="AA2403" s="622">
        <v>47405</v>
      </c>
      <c r="AB2403" s="622" t="s">
        <v>164</v>
      </c>
      <c r="AC2403" s="622">
        <v>35754.947368421053</v>
      </c>
      <c r="AD2403" s="623">
        <v>0.03</v>
      </c>
      <c r="AE2403" s="621" t="s">
        <v>4371</v>
      </c>
    </row>
    <row r="2404" spans="1:31" s="572" customFormat="1">
      <c r="A2404" s="570" t="s">
        <v>4380</v>
      </c>
      <c r="B2404" s="573" t="s">
        <v>269</v>
      </c>
      <c r="C2404" s="578" t="s">
        <v>270</v>
      </c>
      <c r="D2404" s="573" t="s">
        <v>3374</v>
      </c>
      <c r="E2404" s="573" t="s">
        <v>196</v>
      </c>
      <c r="F2404" s="573" t="s">
        <v>271</v>
      </c>
      <c r="G2404" s="573">
        <v>2019</v>
      </c>
      <c r="H2404" s="573" t="s">
        <v>4229</v>
      </c>
      <c r="I2404" s="573" t="s">
        <v>3916</v>
      </c>
      <c r="J2404" s="573" t="s">
        <v>752</v>
      </c>
      <c r="K2404" s="573">
        <v>3</v>
      </c>
      <c r="L2404" s="573">
        <v>0</v>
      </c>
      <c r="M2404" s="573" t="s">
        <v>157</v>
      </c>
      <c r="N2404" s="573">
        <v>1</v>
      </c>
      <c r="O2404" s="573" t="s">
        <v>3846</v>
      </c>
      <c r="P2404" s="571">
        <v>12500</v>
      </c>
      <c r="Q2404" s="573" t="s">
        <v>4235</v>
      </c>
      <c r="R2404" s="573">
        <v>8</v>
      </c>
      <c r="S2404" s="582" t="s">
        <v>4354</v>
      </c>
      <c r="T2404" s="573" t="s">
        <v>4283</v>
      </c>
      <c r="U2404" s="573">
        <v>142</v>
      </c>
      <c r="V2404" s="573">
        <v>34</v>
      </c>
      <c r="W2404" s="616">
        <v>10000</v>
      </c>
      <c r="X2404" s="617" t="s">
        <v>157</v>
      </c>
      <c r="Y2404" s="617" t="s">
        <v>450</v>
      </c>
      <c r="Z2404" s="617" t="s">
        <v>178</v>
      </c>
      <c r="AA2404" s="618">
        <v>41210</v>
      </c>
      <c r="AB2404" s="618" t="s">
        <v>164</v>
      </c>
      <c r="AC2404" s="618">
        <v>30260.336842105266</v>
      </c>
      <c r="AD2404" s="619">
        <v>0.03</v>
      </c>
      <c r="AE2404" s="617" t="s">
        <v>4381</v>
      </c>
    </row>
    <row r="2405" spans="1:31" s="572" customFormat="1">
      <c r="A2405" s="570" t="s">
        <v>4382</v>
      </c>
      <c r="B2405" s="569" t="s">
        <v>269</v>
      </c>
      <c r="C2405" s="580" t="s">
        <v>270</v>
      </c>
      <c r="D2405" s="569" t="s">
        <v>3374</v>
      </c>
      <c r="E2405" s="569" t="s">
        <v>196</v>
      </c>
      <c r="F2405" s="569" t="s">
        <v>271</v>
      </c>
      <c r="G2405" s="569">
        <v>2019</v>
      </c>
      <c r="H2405" s="569" t="s">
        <v>4229</v>
      </c>
      <c r="I2405" s="569" t="s">
        <v>3916</v>
      </c>
      <c r="J2405" s="569" t="s">
        <v>752</v>
      </c>
      <c r="K2405" s="569">
        <v>3</v>
      </c>
      <c r="L2405" s="569">
        <v>0</v>
      </c>
      <c r="M2405" s="569" t="s">
        <v>157</v>
      </c>
      <c r="N2405" s="569">
        <v>1</v>
      </c>
      <c r="O2405" s="569" t="s">
        <v>3846</v>
      </c>
      <c r="P2405" s="568">
        <v>12900</v>
      </c>
      <c r="Q2405" s="569" t="s">
        <v>4235</v>
      </c>
      <c r="R2405" s="569">
        <v>8</v>
      </c>
      <c r="S2405" s="569" t="s">
        <v>4354</v>
      </c>
      <c r="T2405" s="569" t="s">
        <v>4283</v>
      </c>
      <c r="U2405" s="569">
        <v>142</v>
      </c>
      <c r="V2405" s="569">
        <v>34</v>
      </c>
      <c r="W2405" s="620">
        <v>10000</v>
      </c>
      <c r="X2405" s="621" t="s">
        <v>157</v>
      </c>
      <c r="Y2405" s="621" t="s">
        <v>450</v>
      </c>
      <c r="Z2405" s="621" t="s">
        <v>178</v>
      </c>
      <c r="AA2405" s="622">
        <v>41210</v>
      </c>
      <c r="AB2405" s="622" t="s">
        <v>164</v>
      </c>
      <c r="AC2405" s="622">
        <v>30260.336842105266</v>
      </c>
      <c r="AD2405" s="623">
        <v>0.03</v>
      </c>
      <c r="AE2405" s="621" t="s">
        <v>4383</v>
      </c>
    </row>
    <row r="2406" spans="1:31" s="572" customFormat="1">
      <c r="A2406" s="570" t="s">
        <v>4384</v>
      </c>
      <c r="B2406" s="573" t="s">
        <v>269</v>
      </c>
      <c r="C2406" s="578" t="s">
        <v>270</v>
      </c>
      <c r="D2406" s="573" t="s">
        <v>3374</v>
      </c>
      <c r="E2406" s="573" t="s">
        <v>196</v>
      </c>
      <c r="F2406" s="573" t="s">
        <v>271</v>
      </c>
      <c r="G2406" s="573">
        <v>2019</v>
      </c>
      <c r="H2406" s="573" t="s">
        <v>4229</v>
      </c>
      <c r="I2406" s="573" t="s">
        <v>3916</v>
      </c>
      <c r="J2406" s="573" t="s">
        <v>752</v>
      </c>
      <c r="K2406" s="573">
        <v>3</v>
      </c>
      <c r="L2406" s="573">
        <v>0</v>
      </c>
      <c r="M2406" s="573" t="s">
        <v>157</v>
      </c>
      <c r="N2406" s="573">
        <v>1</v>
      </c>
      <c r="O2406" s="573" t="s">
        <v>3846</v>
      </c>
      <c r="P2406" s="571">
        <v>16200</v>
      </c>
      <c r="Q2406" s="573" t="s">
        <v>4231</v>
      </c>
      <c r="R2406" s="573">
        <v>8</v>
      </c>
      <c r="S2406" s="582" t="s">
        <v>4354</v>
      </c>
      <c r="T2406" s="573" t="s">
        <v>4283</v>
      </c>
      <c r="U2406" s="573">
        <v>142</v>
      </c>
      <c r="V2406" s="573">
        <v>29</v>
      </c>
      <c r="W2406" s="616">
        <v>10000</v>
      </c>
      <c r="X2406" s="617" t="s">
        <v>157</v>
      </c>
      <c r="Y2406" s="617" t="s">
        <v>4341</v>
      </c>
      <c r="Z2406" s="617" t="s">
        <v>1523</v>
      </c>
      <c r="AA2406" s="618">
        <v>50205</v>
      </c>
      <c r="AB2406" s="618" t="s">
        <v>164</v>
      </c>
      <c r="AC2406" s="618">
        <v>38341.263157894733</v>
      </c>
      <c r="AD2406" s="619">
        <v>0.03</v>
      </c>
      <c r="AE2406" s="617" t="s">
        <v>4385</v>
      </c>
    </row>
    <row r="2407" spans="1:31" s="572" customFormat="1">
      <c r="A2407" s="570" t="s">
        <v>4386</v>
      </c>
      <c r="B2407" s="569" t="s">
        <v>269</v>
      </c>
      <c r="C2407" s="580" t="s">
        <v>270</v>
      </c>
      <c r="D2407" s="569" t="s">
        <v>3374</v>
      </c>
      <c r="E2407" s="569" t="s">
        <v>196</v>
      </c>
      <c r="F2407" s="569" t="s">
        <v>271</v>
      </c>
      <c r="G2407" s="569">
        <v>2019</v>
      </c>
      <c r="H2407" s="569" t="s">
        <v>4229</v>
      </c>
      <c r="I2407" s="569" t="s">
        <v>3916</v>
      </c>
      <c r="J2407" s="569" t="s">
        <v>752</v>
      </c>
      <c r="K2407" s="569">
        <v>3</v>
      </c>
      <c r="L2407" s="569">
        <v>0</v>
      </c>
      <c r="M2407" s="569" t="s">
        <v>157</v>
      </c>
      <c r="N2407" s="569">
        <v>1</v>
      </c>
      <c r="O2407" s="569" t="s">
        <v>3846</v>
      </c>
      <c r="P2407" s="568">
        <v>16200</v>
      </c>
      <c r="Q2407" s="569" t="s">
        <v>4231</v>
      </c>
      <c r="R2407" s="569">
        <v>8</v>
      </c>
      <c r="S2407" s="569" t="s">
        <v>4354</v>
      </c>
      <c r="T2407" s="569" t="s">
        <v>4283</v>
      </c>
      <c r="U2407" s="569">
        <v>142</v>
      </c>
      <c r="V2407" s="569">
        <v>29</v>
      </c>
      <c r="W2407" s="620">
        <v>10000</v>
      </c>
      <c r="X2407" s="621" t="s">
        <v>157</v>
      </c>
      <c r="Y2407" s="621" t="s">
        <v>728</v>
      </c>
      <c r="Z2407" s="621" t="s">
        <v>1523</v>
      </c>
      <c r="AA2407" s="622">
        <v>50205</v>
      </c>
      <c r="AB2407" s="622" t="s">
        <v>164</v>
      </c>
      <c r="AC2407" s="622">
        <v>38341.263157894733</v>
      </c>
      <c r="AD2407" s="623">
        <v>0.03</v>
      </c>
      <c r="AE2407" s="621" t="s">
        <v>4387</v>
      </c>
    </row>
    <row r="2408" spans="1:31" s="572" customFormat="1">
      <c r="A2408" s="570" t="s">
        <v>4388</v>
      </c>
      <c r="B2408" s="573" t="s">
        <v>278</v>
      </c>
      <c r="C2408" s="578">
        <v>15</v>
      </c>
      <c r="D2408" s="573" t="s">
        <v>3374</v>
      </c>
      <c r="E2408" s="573" t="s">
        <v>196</v>
      </c>
      <c r="F2408" s="573" t="s">
        <v>271</v>
      </c>
      <c r="G2408" s="573">
        <v>2019</v>
      </c>
      <c r="H2408" s="573" t="s">
        <v>4229</v>
      </c>
      <c r="I2408" s="573" t="s">
        <v>3916</v>
      </c>
      <c r="J2408" s="573" t="s">
        <v>752</v>
      </c>
      <c r="K2408" s="573">
        <v>3</v>
      </c>
      <c r="L2408" s="573">
        <v>0</v>
      </c>
      <c r="M2408" s="573" t="s">
        <v>157</v>
      </c>
      <c r="N2408" s="573">
        <v>1</v>
      </c>
      <c r="O2408" s="573" t="s">
        <v>3846</v>
      </c>
      <c r="P2408" s="571">
        <v>12500</v>
      </c>
      <c r="Q2408" s="573" t="s">
        <v>4235</v>
      </c>
      <c r="R2408" s="573">
        <v>8</v>
      </c>
      <c r="S2408" s="582" t="s">
        <v>4354</v>
      </c>
      <c r="T2408" s="573" t="s">
        <v>4283</v>
      </c>
      <c r="U2408" s="573">
        <v>142</v>
      </c>
      <c r="V2408" s="573">
        <v>34</v>
      </c>
      <c r="W2408" s="616">
        <v>10000</v>
      </c>
      <c r="X2408" s="617">
        <v>14</v>
      </c>
      <c r="Y2408" s="617" t="s">
        <v>450</v>
      </c>
      <c r="Z2408" s="617" t="s">
        <v>178</v>
      </c>
      <c r="AA2408" s="618">
        <v>41660</v>
      </c>
      <c r="AB2408" s="618" t="s">
        <v>164</v>
      </c>
      <c r="AC2408" s="618">
        <v>30800</v>
      </c>
      <c r="AD2408" s="619">
        <v>0.01</v>
      </c>
      <c r="AE2408" s="617" t="s">
        <v>4381</v>
      </c>
    </row>
    <row r="2409" spans="1:31" s="572" customFormat="1">
      <c r="A2409" s="570" t="s">
        <v>4389</v>
      </c>
      <c r="B2409" s="569" t="s">
        <v>278</v>
      </c>
      <c r="C2409" s="580">
        <v>15</v>
      </c>
      <c r="D2409" s="569" t="s">
        <v>3374</v>
      </c>
      <c r="E2409" s="569" t="s">
        <v>196</v>
      </c>
      <c r="F2409" s="569" t="s">
        <v>271</v>
      </c>
      <c r="G2409" s="569">
        <v>2019</v>
      </c>
      <c r="H2409" s="569" t="s">
        <v>4229</v>
      </c>
      <c r="I2409" s="569" t="s">
        <v>3916</v>
      </c>
      <c r="J2409" s="569" t="s">
        <v>752</v>
      </c>
      <c r="K2409" s="569">
        <v>3</v>
      </c>
      <c r="L2409" s="569">
        <v>0</v>
      </c>
      <c r="M2409" s="569" t="s">
        <v>157</v>
      </c>
      <c r="N2409" s="569">
        <v>1</v>
      </c>
      <c r="O2409" s="569" t="s">
        <v>3846</v>
      </c>
      <c r="P2409" s="568">
        <v>16200</v>
      </c>
      <c r="Q2409" s="569" t="s">
        <v>4231</v>
      </c>
      <c r="R2409" s="569">
        <v>8</v>
      </c>
      <c r="S2409" s="569" t="s">
        <v>4354</v>
      </c>
      <c r="T2409" s="569" t="s">
        <v>4283</v>
      </c>
      <c r="U2409" s="569">
        <v>142</v>
      </c>
      <c r="V2409" s="569">
        <v>29</v>
      </c>
      <c r="W2409" s="620">
        <v>10000</v>
      </c>
      <c r="X2409" s="621">
        <v>14</v>
      </c>
      <c r="Y2409" s="621" t="s">
        <v>728</v>
      </c>
      <c r="Z2409" s="621" t="s">
        <v>1523</v>
      </c>
      <c r="AA2409" s="622">
        <v>50780</v>
      </c>
      <c r="AB2409" s="622" t="s">
        <v>164</v>
      </c>
      <c r="AC2409" s="622">
        <v>39100</v>
      </c>
      <c r="AD2409" s="623">
        <v>0.01</v>
      </c>
      <c r="AE2409" s="621" t="s">
        <v>4387</v>
      </c>
    </row>
    <row r="2410" spans="1:31" s="572" customFormat="1">
      <c r="A2410" s="570" t="s">
        <v>4390</v>
      </c>
      <c r="B2410" s="573" t="s">
        <v>287</v>
      </c>
      <c r="C2410" s="578">
        <v>26</v>
      </c>
      <c r="D2410" s="573" t="s">
        <v>3374</v>
      </c>
      <c r="E2410" s="573" t="s">
        <v>196</v>
      </c>
      <c r="F2410" s="573" t="s">
        <v>271</v>
      </c>
      <c r="G2410" s="573">
        <v>2019</v>
      </c>
      <c r="H2410" s="573" t="s">
        <v>4229</v>
      </c>
      <c r="I2410" s="573" t="s">
        <v>3916</v>
      </c>
      <c r="J2410" s="573" t="s">
        <v>752</v>
      </c>
      <c r="K2410" s="573">
        <v>3</v>
      </c>
      <c r="L2410" s="573">
        <v>0</v>
      </c>
      <c r="M2410" s="573" t="s">
        <v>157</v>
      </c>
      <c r="N2410" s="573">
        <v>1</v>
      </c>
      <c r="O2410" s="573" t="s">
        <v>3846</v>
      </c>
      <c r="P2410" s="571">
        <v>12500</v>
      </c>
      <c r="Q2410" s="573" t="s">
        <v>4235</v>
      </c>
      <c r="R2410" s="573">
        <v>8</v>
      </c>
      <c r="S2410" s="582" t="s">
        <v>4354</v>
      </c>
      <c r="T2410" s="573" t="s">
        <v>4283</v>
      </c>
      <c r="U2410" s="573">
        <v>142</v>
      </c>
      <c r="V2410" s="573">
        <v>34</v>
      </c>
      <c r="W2410" s="616">
        <v>10000</v>
      </c>
      <c r="X2410" s="617">
        <v>14</v>
      </c>
      <c r="Y2410" s="617" t="s">
        <v>450</v>
      </c>
      <c r="Z2410" s="617" t="s">
        <v>178</v>
      </c>
      <c r="AA2410" s="618">
        <v>41210</v>
      </c>
      <c r="AB2410" s="618" t="s">
        <v>164</v>
      </c>
      <c r="AC2410" s="618">
        <v>30885</v>
      </c>
      <c r="AD2410" s="619">
        <v>0.05</v>
      </c>
      <c r="AE2410" s="617" t="s">
        <v>4381</v>
      </c>
    </row>
    <row r="2411" spans="1:31" s="572" customFormat="1">
      <c r="A2411" s="570" t="s">
        <v>4391</v>
      </c>
      <c r="B2411" s="569" t="s">
        <v>287</v>
      </c>
      <c r="C2411" s="580">
        <v>26</v>
      </c>
      <c r="D2411" s="569" t="s">
        <v>3374</v>
      </c>
      <c r="E2411" s="569" t="s">
        <v>196</v>
      </c>
      <c r="F2411" s="569" t="s">
        <v>271</v>
      </c>
      <c r="G2411" s="569">
        <v>2019</v>
      </c>
      <c r="H2411" s="569" t="s">
        <v>4229</v>
      </c>
      <c r="I2411" s="569" t="s">
        <v>3916</v>
      </c>
      <c r="J2411" s="569" t="s">
        <v>752</v>
      </c>
      <c r="K2411" s="569">
        <v>3</v>
      </c>
      <c r="L2411" s="569">
        <v>0</v>
      </c>
      <c r="M2411" s="569" t="s">
        <v>157</v>
      </c>
      <c r="N2411" s="569">
        <v>1</v>
      </c>
      <c r="O2411" s="569" t="s">
        <v>3846</v>
      </c>
      <c r="P2411" s="568">
        <v>16200</v>
      </c>
      <c r="Q2411" s="569" t="s">
        <v>4231</v>
      </c>
      <c r="R2411" s="569">
        <v>8</v>
      </c>
      <c r="S2411" s="569" t="s">
        <v>4354</v>
      </c>
      <c r="T2411" s="569" t="s">
        <v>4283</v>
      </c>
      <c r="U2411" s="569">
        <v>142</v>
      </c>
      <c r="V2411" s="569">
        <v>29</v>
      </c>
      <c r="W2411" s="620">
        <v>10000</v>
      </c>
      <c r="X2411" s="621">
        <v>14</v>
      </c>
      <c r="Y2411" s="621" t="s">
        <v>728</v>
      </c>
      <c r="Z2411" s="621" t="s">
        <v>1523</v>
      </c>
      <c r="AA2411" s="622">
        <v>50205</v>
      </c>
      <c r="AB2411" s="622" t="s">
        <v>164</v>
      </c>
      <c r="AC2411" s="622">
        <v>39079</v>
      </c>
      <c r="AD2411" s="623">
        <v>0.05</v>
      </c>
      <c r="AE2411" s="621" t="s">
        <v>4387</v>
      </c>
    </row>
    <row r="2412" spans="1:31" s="572" customFormat="1">
      <c r="A2412" s="570" t="s">
        <v>4392</v>
      </c>
      <c r="B2412" s="573" t="s">
        <v>280</v>
      </c>
      <c r="C2412" s="578">
        <v>27</v>
      </c>
      <c r="D2412" s="573" t="s">
        <v>3374</v>
      </c>
      <c r="E2412" s="573" t="s">
        <v>196</v>
      </c>
      <c r="F2412" s="573" t="s">
        <v>271</v>
      </c>
      <c r="G2412" s="573">
        <v>2019</v>
      </c>
      <c r="H2412" s="573" t="s">
        <v>4229</v>
      </c>
      <c r="I2412" s="573" t="s">
        <v>3916</v>
      </c>
      <c r="J2412" s="573" t="s">
        <v>752</v>
      </c>
      <c r="K2412" s="573">
        <v>3</v>
      </c>
      <c r="L2412" s="573">
        <v>0</v>
      </c>
      <c r="M2412" s="573" t="s">
        <v>157</v>
      </c>
      <c r="N2412" s="573">
        <v>1</v>
      </c>
      <c r="O2412" s="573" t="s">
        <v>3846</v>
      </c>
      <c r="P2412" s="571">
        <v>12500</v>
      </c>
      <c r="Q2412" s="573" t="s">
        <v>4235</v>
      </c>
      <c r="R2412" s="573">
        <v>8</v>
      </c>
      <c r="S2412" s="582" t="s">
        <v>4354</v>
      </c>
      <c r="T2412" s="573" t="s">
        <v>4283</v>
      </c>
      <c r="U2412" s="573">
        <v>142</v>
      </c>
      <c r="V2412" s="573">
        <v>34</v>
      </c>
      <c r="W2412" s="616">
        <v>10000</v>
      </c>
      <c r="X2412" s="617" t="s">
        <v>157</v>
      </c>
      <c r="Y2412" s="617" t="s">
        <v>450</v>
      </c>
      <c r="Z2412" s="617" t="s">
        <v>178</v>
      </c>
      <c r="AA2412" s="618">
        <v>41210</v>
      </c>
      <c r="AB2412" s="618" t="s">
        <v>164</v>
      </c>
      <c r="AC2412" s="618">
        <v>30260.336842105266</v>
      </c>
      <c r="AD2412" s="619">
        <v>0.03</v>
      </c>
      <c r="AE2412" s="617" t="s">
        <v>4381</v>
      </c>
    </row>
    <row r="2413" spans="1:31" s="572" customFormat="1">
      <c r="A2413" s="570" t="s">
        <v>4393</v>
      </c>
      <c r="B2413" s="569" t="s">
        <v>280</v>
      </c>
      <c r="C2413" s="580">
        <v>27</v>
      </c>
      <c r="D2413" s="569" t="s">
        <v>3374</v>
      </c>
      <c r="E2413" s="569" t="s">
        <v>196</v>
      </c>
      <c r="F2413" s="569" t="s">
        <v>271</v>
      </c>
      <c r="G2413" s="569">
        <v>2019</v>
      </c>
      <c r="H2413" s="569" t="s">
        <v>4229</v>
      </c>
      <c r="I2413" s="569" t="s">
        <v>3916</v>
      </c>
      <c r="J2413" s="569" t="s">
        <v>752</v>
      </c>
      <c r="K2413" s="569">
        <v>3</v>
      </c>
      <c r="L2413" s="569">
        <v>0</v>
      </c>
      <c r="M2413" s="569" t="s">
        <v>157</v>
      </c>
      <c r="N2413" s="569">
        <v>1</v>
      </c>
      <c r="O2413" s="569" t="s">
        <v>3846</v>
      </c>
      <c r="P2413" s="568">
        <v>12900</v>
      </c>
      <c r="Q2413" s="569" t="s">
        <v>4235</v>
      </c>
      <c r="R2413" s="569">
        <v>8</v>
      </c>
      <c r="S2413" s="569" t="s">
        <v>4354</v>
      </c>
      <c r="T2413" s="569" t="s">
        <v>4283</v>
      </c>
      <c r="U2413" s="569">
        <v>142</v>
      </c>
      <c r="V2413" s="569">
        <v>34</v>
      </c>
      <c r="W2413" s="620">
        <v>10000</v>
      </c>
      <c r="X2413" s="621" t="s">
        <v>157</v>
      </c>
      <c r="Y2413" s="621" t="s">
        <v>450</v>
      </c>
      <c r="Z2413" s="621" t="s">
        <v>178</v>
      </c>
      <c r="AA2413" s="622">
        <v>41210</v>
      </c>
      <c r="AB2413" s="622" t="s">
        <v>164</v>
      </c>
      <c r="AC2413" s="622">
        <v>30260.336842105266</v>
      </c>
      <c r="AD2413" s="623">
        <v>0.03</v>
      </c>
      <c r="AE2413" s="621" t="s">
        <v>4383</v>
      </c>
    </row>
    <row r="2414" spans="1:31" s="572" customFormat="1">
      <c r="A2414" s="570" t="s">
        <v>4394</v>
      </c>
      <c r="B2414" s="573" t="s">
        <v>280</v>
      </c>
      <c r="C2414" s="578">
        <v>27</v>
      </c>
      <c r="D2414" s="573" t="s">
        <v>3374</v>
      </c>
      <c r="E2414" s="573" t="s">
        <v>196</v>
      </c>
      <c r="F2414" s="573" t="s">
        <v>271</v>
      </c>
      <c r="G2414" s="573">
        <v>2019</v>
      </c>
      <c r="H2414" s="573" t="s">
        <v>4229</v>
      </c>
      <c r="I2414" s="573" t="s">
        <v>3916</v>
      </c>
      <c r="J2414" s="573" t="s">
        <v>752</v>
      </c>
      <c r="K2414" s="573">
        <v>3</v>
      </c>
      <c r="L2414" s="573">
        <v>0</v>
      </c>
      <c r="M2414" s="573" t="s">
        <v>157</v>
      </c>
      <c r="N2414" s="573">
        <v>1</v>
      </c>
      <c r="O2414" s="573" t="s">
        <v>3846</v>
      </c>
      <c r="P2414" s="571">
        <v>16200</v>
      </c>
      <c r="Q2414" s="573" t="s">
        <v>4231</v>
      </c>
      <c r="R2414" s="573">
        <v>8</v>
      </c>
      <c r="S2414" s="582" t="s">
        <v>4354</v>
      </c>
      <c r="T2414" s="573" t="s">
        <v>4283</v>
      </c>
      <c r="U2414" s="573">
        <v>142</v>
      </c>
      <c r="V2414" s="573">
        <v>29</v>
      </c>
      <c r="W2414" s="616">
        <v>10000</v>
      </c>
      <c r="X2414" s="617" t="s">
        <v>157</v>
      </c>
      <c r="Y2414" s="617" t="s">
        <v>4341</v>
      </c>
      <c r="Z2414" s="617" t="s">
        <v>1523</v>
      </c>
      <c r="AA2414" s="618">
        <v>50205</v>
      </c>
      <c r="AB2414" s="618" t="s">
        <v>164</v>
      </c>
      <c r="AC2414" s="618">
        <v>38341.263157894733</v>
      </c>
      <c r="AD2414" s="619">
        <v>0.03</v>
      </c>
      <c r="AE2414" s="617" t="s">
        <v>4385</v>
      </c>
    </row>
    <row r="2415" spans="1:31" s="572" customFormat="1">
      <c r="A2415" s="570" t="s">
        <v>4395</v>
      </c>
      <c r="B2415" s="569" t="s">
        <v>280</v>
      </c>
      <c r="C2415" s="580">
        <v>27</v>
      </c>
      <c r="D2415" s="569" t="s">
        <v>3374</v>
      </c>
      <c r="E2415" s="569" t="s">
        <v>196</v>
      </c>
      <c r="F2415" s="569" t="s">
        <v>271</v>
      </c>
      <c r="G2415" s="569">
        <v>2019</v>
      </c>
      <c r="H2415" s="569" t="s">
        <v>4229</v>
      </c>
      <c r="I2415" s="569" t="s">
        <v>3916</v>
      </c>
      <c r="J2415" s="569" t="s">
        <v>752</v>
      </c>
      <c r="K2415" s="569">
        <v>3</v>
      </c>
      <c r="L2415" s="569">
        <v>0</v>
      </c>
      <c r="M2415" s="569" t="s">
        <v>157</v>
      </c>
      <c r="N2415" s="569">
        <v>1</v>
      </c>
      <c r="O2415" s="569" t="s">
        <v>3846</v>
      </c>
      <c r="P2415" s="568">
        <v>16200</v>
      </c>
      <c r="Q2415" s="569" t="s">
        <v>4231</v>
      </c>
      <c r="R2415" s="569">
        <v>8</v>
      </c>
      <c r="S2415" s="569" t="s">
        <v>4354</v>
      </c>
      <c r="T2415" s="569" t="s">
        <v>4283</v>
      </c>
      <c r="U2415" s="569">
        <v>142</v>
      </c>
      <c r="V2415" s="569">
        <v>29</v>
      </c>
      <c r="W2415" s="620">
        <v>10000</v>
      </c>
      <c r="X2415" s="621" t="s">
        <v>157</v>
      </c>
      <c r="Y2415" s="621" t="s">
        <v>728</v>
      </c>
      <c r="Z2415" s="621" t="s">
        <v>1523</v>
      </c>
      <c r="AA2415" s="622">
        <v>50205</v>
      </c>
      <c r="AB2415" s="622" t="s">
        <v>164</v>
      </c>
      <c r="AC2415" s="622">
        <v>38341.263157894733</v>
      </c>
      <c r="AD2415" s="623">
        <v>0.03</v>
      </c>
      <c r="AE2415" s="621" t="s">
        <v>4387</v>
      </c>
    </row>
    <row r="2416" spans="1:31" s="572" customFormat="1">
      <c r="A2416" s="570" t="s">
        <v>4396</v>
      </c>
      <c r="B2416" s="573" t="s">
        <v>269</v>
      </c>
      <c r="C2416" s="578" t="s">
        <v>270</v>
      </c>
      <c r="D2416" s="573" t="s">
        <v>3374</v>
      </c>
      <c r="E2416" s="573" t="s">
        <v>196</v>
      </c>
      <c r="F2416" s="573" t="s">
        <v>271</v>
      </c>
      <c r="G2416" s="573">
        <v>2019</v>
      </c>
      <c r="H2416" s="573" t="s">
        <v>4229</v>
      </c>
      <c r="I2416" s="573" t="s">
        <v>3996</v>
      </c>
      <c r="J2416" s="573" t="s">
        <v>3377</v>
      </c>
      <c r="K2416" s="573">
        <v>6</v>
      </c>
      <c r="L2416" s="573">
        <v>0</v>
      </c>
      <c r="M2416" s="573" t="s">
        <v>157</v>
      </c>
      <c r="N2416" s="573">
        <v>2</v>
      </c>
      <c r="O2416" s="573" t="s">
        <v>4230</v>
      </c>
      <c r="P2416" s="571">
        <v>12500</v>
      </c>
      <c r="Q2416" s="573" t="s">
        <v>4235</v>
      </c>
      <c r="R2416" s="573">
        <v>8</v>
      </c>
      <c r="S2416" s="582" t="s">
        <v>4398</v>
      </c>
      <c r="T2416" s="573" t="s">
        <v>366</v>
      </c>
      <c r="U2416" s="573">
        <v>148</v>
      </c>
      <c r="V2416" s="573">
        <v>34</v>
      </c>
      <c r="W2416" s="616">
        <v>10000</v>
      </c>
      <c r="X2416" s="617" t="s">
        <v>157</v>
      </c>
      <c r="Y2416" s="617" t="s">
        <v>450</v>
      </c>
      <c r="Z2416" s="617" t="s">
        <v>178</v>
      </c>
      <c r="AA2416" s="618">
        <v>36615</v>
      </c>
      <c r="AB2416" s="618" t="s">
        <v>164</v>
      </c>
      <c r="AC2416" s="618">
        <v>25175.073684210529</v>
      </c>
      <c r="AD2416" s="619">
        <v>0.03</v>
      </c>
      <c r="AE2416" s="617" t="s">
        <v>4397</v>
      </c>
    </row>
    <row r="2417" spans="1:31" s="572" customFormat="1">
      <c r="A2417" s="570" t="s">
        <v>4399</v>
      </c>
      <c r="B2417" s="569" t="s">
        <v>269</v>
      </c>
      <c r="C2417" s="580" t="s">
        <v>270</v>
      </c>
      <c r="D2417" s="569" t="s">
        <v>3374</v>
      </c>
      <c r="E2417" s="569" t="s">
        <v>196</v>
      </c>
      <c r="F2417" s="569" t="s">
        <v>271</v>
      </c>
      <c r="G2417" s="569">
        <v>2019</v>
      </c>
      <c r="H2417" s="569" t="s">
        <v>4229</v>
      </c>
      <c r="I2417" s="569" t="s">
        <v>3996</v>
      </c>
      <c r="J2417" s="569" t="s">
        <v>3377</v>
      </c>
      <c r="K2417" s="569">
        <v>6</v>
      </c>
      <c r="L2417" s="569">
        <v>0</v>
      </c>
      <c r="M2417" s="569" t="s">
        <v>157</v>
      </c>
      <c r="N2417" s="569">
        <v>2</v>
      </c>
      <c r="O2417" s="569" t="s">
        <v>4230</v>
      </c>
      <c r="P2417" s="568">
        <v>12500</v>
      </c>
      <c r="Q2417" s="569" t="s">
        <v>4231</v>
      </c>
      <c r="R2417" s="569">
        <v>8</v>
      </c>
      <c r="S2417" s="569" t="s">
        <v>4398</v>
      </c>
      <c r="T2417" s="569" t="s">
        <v>366</v>
      </c>
      <c r="U2417" s="569">
        <v>148</v>
      </c>
      <c r="V2417" s="569">
        <v>34</v>
      </c>
      <c r="W2417" s="620">
        <v>10000</v>
      </c>
      <c r="X2417" s="621" t="s">
        <v>157</v>
      </c>
      <c r="Y2417" s="621" t="s">
        <v>728</v>
      </c>
      <c r="Z2417" s="621" t="s">
        <v>1523</v>
      </c>
      <c r="AA2417" s="622">
        <v>46100</v>
      </c>
      <c r="AB2417" s="622" t="s">
        <v>164</v>
      </c>
      <c r="AC2417" s="622">
        <v>33732.210526315786</v>
      </c>
      <c r="AD2417" s="623">
        <v>0.03</v>
      </c>
      <c r="AE2417" s="621" t="s">
        <v>4400</v>
      </c>
    </row>
    <row r="2418" spans="1:31" s="572" customFormat="1">
      <c r="A2418" s="570" t="s">
        <v>4401</v>
      </c>
      <c r="B2418" s="573" t="s">
        <v>269</v>
      </c>
      <c r="C2418" s="578" t="s">
        <v>270</v>
      </c>
      <c r="D2418" s="573" t="s">
        <v>3374</v>
      </c>
      <c r="E2418" s="573" t="s">
        <v>196</v>
      </c>
      <c r="F2418" s="573" t="s">
        <v>271</v>
      </c>
      <c r="G2418" s="573">
        <v>2019</v>
      </c>
      <c r="H2418" s="573" t="s">
        <v>4229</v>
      </c>
      <c r="I2418" s="573" t="s">
        <v>3996</v>
      </c>
      <c r="J2418" s="573" t="s">
        <v>3377</v>
      </c>
      <c r="K2418" s="573">
        <v>6</v>
      </c>
      <c r="L2418" s="573">
        <v>0</v>
      </c>
      <c r="M2418" s="573" t="s">
        <v>157</v>
      </c>
      <c r="N2418" s="573">
        <v>2</v>
      </c>
      <c r="O2418" s="573" t="s">
        <v>4230</v>
      </c>
      <c r="P2418" s="571">
        <v>13000</v>
      </c>
      <c r="Q2418" s="573" t="s">
        <v>4235</v>
      </c>
      <c r="R2418" s="573">
        <v>8</v>
      </c>
      <c r="S2418" s="582" t="s">
        <v>4398</v>
      </c>
      <c r="T2418" s="573" t="s">
        <v>366</v>
      </c>
      <c r="U2418" s="573">
        <v>148</v>
      </c>
      <c r="V2418" s="573">
        <v>34</v>
      </c>
      <c r="W2418" s="616">
        <v>10000</v>
      </c>
      <c r="X2418" s="617" t="s">
        <v>157</v>
      </c>
      <c r="Y2418" s="617" t="s">
        <v>450</v>
      </c>
      <c r="Z2418" s="617" t="s">
        <v>178</v>
      </c>
      <c r="AA2418" s="618">
        <v>36615</v>
      </c>
      <c r="AB2418" s="618" t="s">
        <v>164</v>
      </c>
      <c r="AC2418" s="618">
        <v>25175.073684210529</v>
      </c>
      <c r="AD2418" s="619">
        <v>0.03</v>
      </c>
      <c r="AE2418" s="617" t="s">
        <v>4402</v>
      </c>
    </row>
    <row r="2419" spans="1:31" s="572" customFormat="1">
      <c r="A2419" s="570" t="s">
        <v>4403</v>
      </c>
      <c r="B2419" s="569" t="s">
        <v>269</v>
      </c>
      <c r="C2419" s="580" t="s">
        <v>270</v>
      </c>
      <c r="D2419" s="569" t="s">
        <v>3374</v>
      </c>
      <c r="E2419" s="569" t="s">
        <v>196</v>
      </c>
      <c r="F2419" s="569" t="s">
        <v>271</v>
      </c>
      <c r="G2419" s="569">
        <v>2019</v>
      </c>
      <c r="H2419" s="569" t="s">
        <v>4229</v>
      </c>
      <c r="I2419" s="569" t="s">
        <v>3996</v>
      </c>
      <c r="J2419" s="569" t="s">
        <v>3377</v>
      </c>
      <c r="K2419" s="569">
        <v>6</v>
      </c>
      <c r="L2419" s="569">
        <v>0</v>
      </c>
      <c r="M2419" s="569" t="s">
        <v>157</v>
      </c>
      <c r="N2419" s="569">
        <v>2</v>
      </c>
      <c r="O2419" s="569" t="s">
        <v>4405</v>
      </c>
      <c r="P2419" s="568">
        <v>12500</v>
      </c>
      <c r="Q2419" s="569" t="s">
        <v>4235</v>
      </c>
      <c r="R2419" s="569">
        <v>8</v>
      </c>
      <c r="S2419" s="569" t="s">
        <v>4398</v>
      </c>
      <c r="T2419" s="569" t="s">
        <v>366</v>
      </c>
      <c r="U2419" s="569">
        <v>164</v>
      </c>
      <c r="V2419" s="569">
        <v>34</v>
      </c>
      <c r="W2419" s="620">
        <v>10000</v>
      </c>
      <c r="X2419" s="621" t="s">
        <v>157</v>
      </c>
      <c r="Y2419" s="621" t="s">
        <v>450</v>
      </c>
      <c r="Z2419" s="621" t="s">
        <v>178</v>
      </c>
      <c r="AA2419" s="622">
        <v>36815</v>
      </c>
      <c r="AB2419" s="622" t="s">
        <v>164</v>
      </c>
      <c r="AC2419" s="622">
        <v>25359.284210526315</v>
      </c>
      <c r="AD2419" s="623">
        <v>0.03</v>
      </c>
      <c r="AE2419" s="621" t="s">
        <v>4404</v>
      </c>
    </row>
    <row r="2420" spans="1:31" s="572" customFormat="1">
      <c r="A2420" s="570" t="s">
        <v>4406</v>
      </c>
      <c r="B2420" s="573" t="s">
        <v>269</v>
      </c>
      <c r="C2420" s="578" t="s">
        <v>270</v>
      </c>
      <c r="D2420" s="573" t="s">
        <v>3374</v>
      </c>
      <c r="E2420" s="573" t="s">
        <v>196</v>
      </c>
      <c r="F2420" s="573" t="s">
        <v>271</v>
      </c>
      <c r="G2420" s="573">
        <v>2019</v>
      </c>
      <c r="H2420" s="573" t="s">
        <v>4229</v>
      </c>
      <c r="I2420" s="573" t="s">
        <v>3996</v>
      </c>
      <c r="J2420" s="573" t="s">
        <v>3377</v>
      </c>
      <c r="K2420" s="573">
        <v>6</v>
      </c>
      <c r="L2420" s="573">
        <v>0</v>
      </c>
      <c r="M2420" s="573" t="s">
        <v>157</v>
      </c>
      <c r="N2420" s="573">
        <v>2</v>
      </c>
      <c r="O2420" s="573" t="s">
        <v>3846</v>
      </c>
      <c r="P2420" s="571">
        <v>12500</v>
      </c>
      <c r="Q2420" s="573" t="s">
        <v>4231</v>
      </c>
      <c r="R2420" s="573">
        <v>8</v>
      </c>
      <c r="S2420" s="582" t="s">
        <v>4398</v>
      </c>
      <c r="T2420" s="573" t="s">
        <v>366</v>
      </c>
      <c r="U2420" s="573">
        <v>164</v>
      </c>
      <c r="V2420" s="573">
        <v>34</v>
      </c>
      <c r="W2420" s="616">
        <v>10000</v>
      </c>
      <c r="X2420" s="617" t="s">
        <v>157</v>
      </c>
      <c r="Y2420" s="617" t="s">
        <v>728</v>
      </c>
      <c r="Z2420" s="617" t="s">
        <v>1523</v>
      </c>
      <c r="AA2420" s="618">
        <v>46300</v>
      </c>
      <c r="AB2420" s="618" t="s">
        <v>164</v>
      </c>
      <c r="AC2420" s="618">
        <v>33917.473684210527</v>
      </c>
      <c r="AD2420" s="619">
        <v>0.03</v>
      </c>
      <c r="AE2420" s="617" t="s">
        <v>4407</v>
      </c>
    </row>
    <row r="2421" spans="1:31" s="572" customFormat="1">
      <c r="A2421" s="570" t="s">
        <v>4408</v>
      </c>
      <c r="B2421" s="569" t="s">
        <v>269</v>
      </c>
      <c r="C2421" s="580" t="s">
        <v>270</v>
      </c>
      <c r="D2421" s="569" t="s">
        <v>3374</v>
      </c>
      <c r="E2421" s="569" t="s">
        <v>196</v>
      </c>
      <c r="F2421" s="569" t="s">
        <v>271</v>
      </c>
      <c r="G2421" s="569">
        <v>2019</v>
      </c>
      <c r="H2421" s="569" t="s">
        <v>4229</v>
      </c>
      <c r="I2421" s="569" t="s">
        <v>3996</v>
      </c>
      <c r="J2421" s="569" t="s">
        <v>3377</v>
      </c>
      <c r="K2421" s="569">
        <v>6</v>
      </c>
      <c r="L2421" s="569">
        <v>0</v>
      </c>
      <c r="M2421" s="569" t="s">
        <v>157</v>
      </c>
      <c r="N2421" s="569">
        <v>2</v>
      </c>
      <c r="O2421" s="569" t="s">
        <v>3846</v>
      </c>
      <c r="P2421" s="568">
        <v>13000</v>
      </c>
      <c r="Q2421" s="569" t="s">
        <v>4235</v>
      </c>
      <c r="R2421" s="569">
        <v>8</v>
      </c>
      <c r="S2421" s="569" t="s">
        <v>4398</v>
      </c>
      <c r="T2421" s="569" t="s">
        <v>366</v>
      </c>
      <c r="U2421" s="569">
        <v>164</v>
      </c>
      <c r="V2421" s="569">
        <v>34</v>
      </c>
      <c r="W2421" s="620">
        <v>10000</v>
      </c>
      <c r="X2421" s="621" t="s">
        <v>157</v>
      </c>
      <c r="Y2421" s="621" t="s">
        <v>450</v>
      </c>
      <c r="Z2421" s="621" t="s">
        <v>178</v>
      </c>
      <c r="AA2421" s="622">
        <v>36815</v>
      </c>
      <c r="AB2421" s="622" t="s">
        <v>164</v>
      </c>
      <c r="AC2421" s="622">
        <v>25359.284210526315</v>
      </c>
      <c r="AD2421" s="623">
        <v>0.03</v>
      </c>
      <c r="AE2421" s="621" t="s">
        <v>4409</v>
      </c>
    </row>
    <row r="2422" spans="1:31" s="572" customFormat="1">
      <c r="A2422" s="570" t="s">
        <v>4410</v>
      </c>
      <c r="B2422" s="573" t="s">
        <v>278</v>
      </c>
      <c r="C2422" s="578">
        <v>15</v>
      </c>
      <c r="D2422" s="573" t="s">
        <v>3374</v>
      </c>
      <c r="E2422" s="573" t="s">
        <v>196</v>
      </c>
      <c r="F2422" s="573" t="s">
        <v>271</v>
      </c>
      <c r="G2422" s="573">
        <v>2019</v>
      </c>
      <c r="H2422" s="573" t="s">
        <v>4229</v>
      </c>
      <c r="I2422" s="573" t="s">
        <v>3996</v>
      </c>
      <c r="J2422" s="573" t="s">
        <v>3377</v>
      </c>
      <c r="K2422" s="573">
        <v>6</v>
      </c>
      <c r="L2422" s="573">
        <v>0</v>
      </c>
      <c r="M2422" s="573" t="s">
        <v>157</v>
      </c>
      <c r="N2422" s="573">
        <v>2</v>
      </c>
      <c r="O2422" s="573" t="s">
        <v>4230</v>
      </c>
      <c r="P2422" s="571">
        <v>12500</v>
      </c>
      <c r="Q2422" s="573" t="s">
        <v>4235</v>
      </c>
      <c r="R2422" s="573">
        <v>8</v>
      </c>
      <c r="S2422" s="582" t="s">
        <v>4398</v>
      </c>
      <c r="T2422" s="573" t="s">
        <v>366</v>
      </c>
      <c r="U2422" s="573">
        <v>148</v>
      </c>
      <c r="V2422" s="573">
        <v>34</v>
      </c>
      <c r="W2422" s="616">
        <v>10000</v>
      </c>
      <c r="X2422" s="617" t="s">
        <v>157</v>
      </c>
      <c r="Y2422" s="617" t="s">
        <v>450</v>
      </c>
      <c r="Z2422" s="617" t="s">
        <v>178</v>
      </c>
      <c r="AA2422" s="618">
        <v>36980</v>
      </c>
      <c r="AB2422" s="618" t="s">
        <v>164</v>
      </c>
      <c r="AC2422" s="618">
        <v>25600</v>
      </c>
      <c r="AD2422" s="619">
        <v>0.01</v>
      </c>
      <c r="AE2422" s="617" t="s">
        <v>4397</v>
      </c>
    </row>
    <row r="2423" spans="1:31" s="572" customFormat="1">
      <c r="A2423" s="570" t="s">
        <v>4411</v>
      </c>
      <c r="B2423" s="569" t="s">
        <v>278</v>
      </c>
      <c r="C2423" s="580">
        <v>15</v>
      </c>
      <c r="D2423" s="569" t="s">
        <v>3374</v>
      </c>
      <c r="E2423" s="569" t="s">
        <v>196</v>
      </c>
      <c r="F2423" s="569" t="s">
        <v>271</v>
      </c>
      <c r="G2423" s="569">
        <v>2019</v>
      </c>
      <c r="H2423" s="569" t="s">
        <v>4229</v>
      </c>
      <c r="I2423" s="569" t="s">
        <v>3996</v>
      </c>
      <c r="J2423" s="569" t="s">
        <v>3377</v>
      </c>
      <c r="K2423" s="569">
        <v>6</v>
      </c>
      <c r="L2423" s="569">
        <v>0</v>
      </c>
      <c r="M2423" s="569" t="s">
        <v>157</v>
      </c>
      <c r="N2423" s="569">
        <v>2</v>
      </c>
      <c r="O2423" s="569" t="s">
        <v>4230</v>
      </c>
      <c r="P2423" s="568">
        <v>12500</v>
      </c>
      <c r="Q2423" s="569" t="s">
        <v>4231</v>
      </c>
      <c r="R2423" s="569">
        <v>8</v>
      </c>
      <c r="S2423" s="569" t="s">
        <v>4398</v>
      </c>
      <c r="T2423" s="569" t="s">
        <v>366</v>
      </c>
      <c r="U2423" s="569">
        <v>148</v>
      </c>
      <c r="V2423" s="569">
        <v>35</v>
      </c>
      <c r="W2423" s="620">
        <v>10000</v>
      </c>
      <c r="X2423" s="621" t="s">
        <v>157</v>
      </c>
      <c r="Y2423" s="621" t="s">
        <v>728</v>
      </c>
      <c r="Z2423" s="621" t="s">
        <v>1523</v>
      </c>
      <c r="AA2423" s="622">
        <v>46100</v>
      </c>
      <c r="AB2423" s="622" t="s">
        <v>164</v>
      </c>
      <c r="AC2423" s="622">
        <v>33900</v>
      </c>
      <c r="AD2423" s="623">
        <v>0.01</v>
      </c>
      <c r="AE2423" s="621" t="s">
        <v>4400</v>
      </c>
    </row>
    <row r="2424" spans="1:31" s="572" customFormat="1">
      <c r="A2424" s="570" t="s">
        <v>4412</v>
      </c>
      <c r="B2424" s="573" t="s">
        <v>278</v>
      </c>
      <c r="C2424" s="578">
        <v>15</v>
      </c>
      <c r="D2424" s="573" t="s">
        <v>3374</v>
      </c>
      <c r="E2424" s="573" t="s">
        <v>196</v>
      </c>
      <c r="F2424" s="573" t="s">
        <v>271</v>
      </c>
      <c r="G2424" s="573">
        <v>2019</v>
      </c>
      <c r="H2424" s="573" t="s">
        <v>4229</v>
      </c>
      <c r="I2424" s="573" t="s">
        <v>3996</v>
      </c>
      <c r="J2424" s="573" t="s">
        <v>3377</v>
      </c>
      <c r="K2424" s="573">
        <v>6</v>
      </c>
      <c r="L2424" s="573">
        <v>0</v>
      </c>
      <c r="M2424" s="573" t="s">
        <v>157</v>
      </c>
      <c r="N2424" s="573">
        <v>2</v>
      </c>
      <c r="O2424" s="573" t="s">
        <v>3846</v>
      </c>
      <c r="P2424" s="571">
        <v>12500</v>
      </c>
      <c r="Q2424" s="573" t="s">
        <v>4231</v>
      </c>
      <c r="R2424" s="573">
        <v>8</v>
      </c>
      <c r="S2424" s="582" t="s">
        <v>4398</v>
      </c>
      <c r="T2424" s="573" t="s">
        <v>366</v>
      </c>
      <c r="U2424" s="573">
        <v>164</v>
      </c>
      <c r="V2424" s="573">
        <v>35</v>
      </c>
      <c r="W2424" s="616">
        <v>10000</v>
      </c>
      <c r="X2424" s="617">
        <v>15</v>
      </c>
      <c r="Y2424" s="617" t="s">
        <v>728</v>
      </c>
      <c r="Z2424" s="617" t="s">
        <v>1523</v>
      </c>
      <c r="AA2424" s="618">
        <v>46300</v>
      </c>
      <c r="AB2424" s="618" t="s">
        <v>164</v>
      </c>
      <c r="AC2424" s="618">
        <v>34100</v>
      </c>
      <c r="AD2424" s="619">
        <v>0.01</v>
      </c>
      <c r="AE2424" s="617" t="s">
        <v>4407</v>
      </c>
    </row>
    <row r="2425" spans="1:31" s="572" customFormat="1">
      <c r="A2425" s="570" t="s">
        <v>4413</v>
      </c>
      <c r="B2425" s="569" t="s">
        <v>278</v>
      </c>
      <c r="C2425" s="580">
        <v>15</v>
      </c>
      <c r="D2425" s="569" t="s">
        <v>3374</v>
      </c>
      <c r="E2425" s="569" t="s">
        <v>196</v>
      </c>
      <c r="F2425" s="569" t="s">
        <v>271</v>
      </c>
      <c r="G2425" s="569">
        <v>2019</v>
      </c>
      <c r="H2425" s="569" t="s">
        <v>4229</v>
      </c>
      <c r="I2425" s="569" t="s">
        <v>3996</v>
      </c>
      <c r="J2425" s="569" t="s">
        <v>3377</v>
      </c>
      <c r="K2425" s="569">
        <v>6</v>
      </c>
      <c r="L2425" s="569">
        <v>0</v>
      </c>
      <c r="M2425" s="569" t="s">
        <v>157</v>
      </c>
      <c r="N2425" s="569">
        <v>2</v>
      </c>
      <c r="O2425" s="569" t="s">
        <v>3846</v>
      </c>
      <c r="P2425" s="568">
        <v>13000</v>
      </c>
      <c r="Q2425" s="569" t="s">
        <v>4235</v>
      </c>
      <c r="R2425" s="569">
        <v>8</v>
      </c>
      <c r="S2425" s="569" t="s">
        <v>4398</v>
      </c>
      <c r="T2425" s="569" t="s">
        <v>366</v>
      </c>
      <c r="U2425" s="569">
        <v>164</v>
      </c>
      <c r="V2425" s="569">
        <v>34</v>
      </c>
      <c r="W2425" s="620">
        <v>10000</v>
      </c>
      <c r="X2425" s="621" t="s">
        <v>157</v>
      </c>
      <c r="Y2425" s="621" t="s">
        <v>450</v>
      </c>
      <c r="Z2425" s="621" t="s">
        <v>178</v>
      </c>
      <c r="AA2425" s="622">
        <v>37180</v>
      </c>
      <c r="AB2425" s="622" t="s">
        <v>164</v>
      </c>
      <c r="AC2425" s="622">
        <v>25800</v>
      </c>
      <c r="AD2425" s="623">
        <v>0.01</v>
      </c>
      <c r="AE2425" s="621" t="s">
        <v>4409</v>
      </c>
    </row>
    <row r="2426" spans="1:31" s="572" customFormat="1">
      <c r="A2426" s="570" t="s">
        <v>4414</v>
      </c>
      <c r="B2426" s="573" t="s">
        <v>287</v>
      </c>
      <c r="C2426" s="578">
        <v>26</v>
      </c>
      <c r="D2426" s="573" t="s">
        <v>3374</v>
      </c>
      <c r="E2426" s="573" t="s">
        <v>196</v>
      </c>
      <c r="F2426" s="573" t="s">
        <v>271</v>
      </c>
      <c r="G2426" s="573">
        <v>2019</v>
      </c>
      <c r="H2426" s="573" t="s">
        <v>4229</v>
      </c>
      <c r="I2426" s="573" t="s">
        <v>3996</v>
      </c>
      <c r="J2426" s="573" t="s">
        <v>3377</v>
      </c>
      <c r="K2426" s="573">
        <v>6</v>
      </c>
      <c r="L2426" s="573">
        <v>0</v>
      </c>
      <c r="M2426" s="573" t="s">
        <v>157</v>
      </c>
      <c r="N2426" s="573">
        <v>2</v>
      </c>
      <c r="O2426" s="573" t="s">
        <v>4230</v>
      </c>
      <c r="P2426" s="571">
        <v>12500</v>
      </c>
      <c r="Q2426" s="573" t="s">
        <v>4235</v>
      </c>
      <c r="R2426" s="573">
        <v>8</v>
      </c>
      <c r="S2426" s="582" t="s">
        <v>4398</v>
      </c>
      <c r="T2426" s="573" t="s">
        <v>366</v>
      </c>
      <c r="U2426" s="573">
        <v>148</v>
      </c>
      <c r="V2426" s="573">
        <v>34</v>
      </c>
      <c r="W2426" s="616">
        <v>10000</v>
      </c>
      <c r="X2426" s="617" t="s">
        <v>157</v>
      </c>
      <c r="Y2426" s="617" t="s">
        <v>450</v>
      </c>
      <c r="Z2426" s="617" t="s">
        <v>178</v>
      </c>
      <c r="AA2426" s="618">
        <v>36615</v>
      </c>
      <c r="AB2426" s="618" t="s">
        <v>164</v>
      </c>
      <c r="AC2426" s="618">
        <v>25723</v>
      </c>
      <c r="AD2426" s="619">
        <v>0.05</v>
      </c>
      <c r="AE2426" s="617" t="s">
        <v>4397</v>
      </c>
    </row>
    <row r="2427" spans="1:31" s="572" customFormat="1">
      <c r="A2427" s="570" t="s">
        <v>4415</v>
      </c>
      <c r="B2427" s="569" t="s">
        <v>287</v>
      </c>
      <c r="C2427" s="580">
        <v>26</v>
      </c>
      <c r="D2427" s="569" t="s">
        <v>3374</v>
      </c>
      <c r="E2427" s="569" t="s">
        <v>196</v>
      </c>
      <c r="F2427" s="569" t="s">
        <v>271</v>
      </c>
      <c r="G2427" s="569">
        <v>2019</v>
      </c>
      <c r="H2427" s="569" t="s">
        <v>4229</v>
      </c>
      <c r="I2427" s="569" t="s">
        <v>3996</v>
      </c>
      <c r="J2427" s="569" t="s">
        <v>3377</v>
      </c>
      <c r="K2427" s="569">
        <v>6</v>
      </c>
      <c r="L2427" s="569">
        <v>0</v>
      </c>
      <c r="M2427" s="569" t="s">
        <v>157</v>
      </c>
      <c r="N2427" s="569">
        <v>2</v>
      </c>
      <c r="O2427" s="569" t="s">
        <v>4230</v>
      </c>
      <c r="P2427" s="568">
        <v>12500</v>
      </c>
      <c r="Q2427" s="569" t="s">
        <v>4231</v>
      </c>
      <c r="R2427" s="569">
        <v>8</v>
      </c>
      <c r="S2427" s="569" t="s">
        <v>4398</v>
      </c>
      <c r="T2427" s="569" t="s">
        <v>366</v>
      </c>
      <c r="U2427" s="569">
        <v>148</v>
      </c>
      <c r="V2427" s="569">
        <v>35</v>
      </c>
      <c r="W2427" s="620">
        <v>10000</v>
      </c>
      <c r="X2427" s="621" t="s">
        <v>157</v>
      </c>
      <c r="Y2427" s="621" t="s">
        <v>728</v>
      </c>
      <c r="Z2427" s="621" t="s">
        <v>1523</v>
      </c>
      <c r="AA2427" s="622">
        <v>45610</v>
      </c>
      <c r="AB2427" s="622" t="s">
        <v>164</v>
      </c>
      <c r="AC2427" s="622">
        <v>33918</v>
      </c>
      <c r="AD2427" s="623">
        <v>0.05</v>
      </c>
      <c r="AE2427" s="621" t="s">
        <v>4400</v>
      </c>
    </row>
    <row r="2428" spans="1:31" s="572" customFormat="1">
      <c r="A2428" s="570" t="s">
        <v>4416</v>
      </c>
      <c r="B2428" s="573" t="s">
        <v>287</v>
      </c>
      <c r="C2428" s="578">
        <v>26</v>
      </c>
      <c r="D2428" s="573" t="s">
        <v>3374</v>
      </c>
      <c r="E2428" s="573" t="s">
        <v>196</v>
      </c>
      <c r="F2428" s="573" t="s">
        <v>271</v>
      </c>
      <c r="G2428" s="573">
        <v>2019</v>
      </c>
      <c r="H2428" s="573" t="s">
        <v>4229</v>
      </c>
      <c r="I2428" s="573" t="s">
        <v>3996</v>
      </c>
      <c r="J2428" s="573" t="s">
        <v>3377</v>
      </c>
      <c r="K2428" s="573">
        <v>6</v>
      </c>
      <c r="L2428" s="573">
        <v>0</v>
      </c>
      <c r="M2428" s="573" t="s">
        <v>157</v>
      </c>
      <c r="N2428" s="573">
        <v>2</v>
      </c>
      <c r="O2428" s="573" t="s">
        <v>3846</v>
      </c>
      <c r="P2428" s="571">
        <v>12500</v>
      </c>
      <c r="Q2428" s="573" t="s">
        <v>4231</v>
      </c>
      <c r="R2428" s="573">
        <v>8</v>
      </c>
      <c r="S2428" s="582" t="s">
        <v>4398</v>
      </c>
      <c r="T2428" s="573" t="s">
        <v>366</v>
      </c>
      <c r="U2428" s="573">
        <v>164</v>
      </c>
      <c r="V2428" s="573">
        <v>35</v>
      </c>
      <c r="W2428" s="616">
        <v>10000</v>
      </c>
      <c r="X2428" s="617">
        <v>15</v>
      </c>
      <c r="Y2428" s="617" t="s">
        <v>728</v>
      </c>
      <c r="Z2428" s="617" t="s">
        <v>1523</v>
      </c>
      <c r="AA2428" s="618">
        <v>45810</v>
      </c>
      <c r="AB2428" s="618" t="s">
        <v>164</v>
      </c>
      <c r="AC2428" s="618">
        <v>34105</v>
      </c>
      <c r="AD2428" s="619">
        <v>0.05</v>
      </c>
      <c r="AE2428" s="617" t="s">
        <v>4407</v>
      </c>
    </row>
    <row r="2429" spans="1:31" s="572" customFormat="1">
      <c r="A2429" s="570" t="s">
        <v>4417</v>
      </c>
      <c r="B2429" s="569" t="s">
        <v>287</v>
      </c>
      <c r="C2429" s="580">
        <v>26</v>
      </c>
      <c r="D2429" s="569" t="s">
        <v>3374</v>
      </c>
      <c r="E2429" s="569" t="s">
        <v>196</v>
      </c>
      <c r="F2429" s="569" t="s">
        <v>271</v>
      </c>
      <c r="G2429" s="569">
        <v>2019</v>
      </c>
      <c r="H2429" s="569" t="s">
        <v>4229</v>
      </c>
      <c r="I2429" s="569" t="s">
        <v>3996</v>
      </c>
      <c r="J2429" s="569" t="s">
        <v>3377</v>
      </c>
      <c r="K2429" s="569">
        <v>6</v>
      </c>
      <c r="L2429" s="569">
        <v>0</v>
      </c>
      <c r="M2429" s="569" t="s">
        <v>157</v>
      </c>
      <c r="N2429" s="569">
        <v>2</v>
      </c>
      <c r="O2429" s="569" t="s">
        <v>3846</v>
      </c>
      <c r="P2429" s="568">
        <v>13000</v>
      </c>
      <c r="Q2429" s="569" t="s">
        <v>4235</v>
      </c>
      <c r="R2429" s="569">
        <v>8</v>
      </c>
      <c r="S2429" s="569" t="s">
        <v>4398</v>
      </c>
      <c r="T2429" s="569" t="s">
        <v>366</v>
      </c>
      <c r="U2429" s="569">
        <v>164</v>
      </c>
      <c r="V2429" s="569">
        <v>34</v>
      </c>
      <c r="W2429" s="620">
        <v>10000</v>
      </c>
      <c r="X2429" s="621" t="s">
        <v>157</v>
      </c>
      <c r="Y2429" s="621" t="s">
        <v>450</v>
      </c>
      <c r="Z2429" s="621" t="s">
        <v>178</v>
      </c>
      <c r="AA2429" s="622">
        <v>36815</v>
      </c>
      <c r="AB2429" s="622" t="s">
        <v>164</v>
      </c>
      <c r="AC2429" s="622">
        <v>25911</v>
      </c>
      <c r="AD2429" s="623">
        <v>0.05</v>
      </c>
      <c r="AE2429" s="621" t="s">
        <v>4409</v>
      </c>
    </row>
    <row r="2430" spans="1:31" s="572" customFormat="1">
      <c r="A2430" s="570" t="s">
        <v>4418</v>
      </c>
      <c r="B2430" s="573" t="s">
        <v>280</v>
      </c>
      <c r="C2430" s="578">
        <v>27</v>
      </c>
      <c r="D2430" s="573" t="s">
        <v>3374</v>
      </c>
      <c r="E2430" s="573" t="s">
        <v>196</v>
      </c>
      <c r="F2430" s="573" t="s">
        <v>271</v>
      </c>
      <c r="G2430" s="573">
        <v>2019</v>
      </c>
      <c r="H2430" s="573" t="s">
        <v>4229</v>
      </c>
      <c r="I2430" s="573" t="s">
        <v>3996</v>
      </c>
      <c r="J2430" s="573" t="s">
        <v>3377</v>
      </c>
      <c r="K2430" s="573">
        <v>6</v>
      </c>
      <c r="L2430" s="573">
        <v>0</v>
      </c>
      <c r="M2430" s="573" t="s">
        <v>157</v>
      </c>
      <c r="N2430" s="573">
        <v>2</v>
      </c>
      <c r="O2430" s="573" t="s">
        <v>4230</v>
      </c>
      <c r="P2430" s="571">
        <v>12500</v>
      </c>
      <c r="Q2430" s="573" t="s">
        <v>4235</v>
      </c>
      <c r="R2430" s="573">
        <v>8</v>
      </c>
      <c r="S2430" s="582" t="s">
        <v>4398</v>
      </c>
      <c r="T2430" s="573" t="s">
        <v>366</v>
      </c>
      <c r="U2430" s="573">
        <v>148</v>
      </c>
      <c r="V2430" s="573">
        <v>34</v>
      </c>
      <c r="W2430" s="616">
        <v>10000</v>
      </c>
      <c r="X2430" s="617" t="s">
        <v>157</v>
      </c>
      <c r="Y2430" s="617" t="s">
        <v>450</v>
      </c>
      <c r="Z2430" s="617" t="s">
        <v>178</v>
      </c>
      <c r="AA2430" s="618">
        <v>36615</v>
      </c>
      <c r="AB2430" s="618" t="s">
        <v>164</v>
      </c>
      <c r="AC2430" s="618">
        <v>25175.073684210529</v>
      </c>
      <c r="AD2430" s="619">
        <v>0.03</v>
      </c>
      <c r="AE2430" s="617" t="s">
        <v>4397</v>
      </c>
    </row>
    <row r="2431" spans="1:31" s="572" customFormat="1">
      <c r="A2431" s="570" t="s">
        <v>4419</v>
      </c>
      <c r="B2431" s="569" t="s">
        <v>280</v>
      </c>
      <c r="C2431" s="580">
        <v>27</v>
      </c>
      <c r="D2431" s="569" t="s">
        <v>3374</v>
      </c>
      <c r="E2431" s="569" t="s">
        <v>196</v>
      </c>
      <c r="F2431" s="569" t="s">
        <v>271</v>
      </c>
      <c r="G2431" s="569">
        <v>2019</v>
      </c>
      <c r="H2431" s="569" t="s">
        <v>4229</v>
      </c>
      <c r="I2431" s="569" t="s">
        <v>3996</v>
      </c>
      <c r="J2431" s="569" t="s">
        <v>3377</v>
      </c>
      <c r="K2431" s="569">
        <v>6</v>
      </c>
      <c r="L2431" s="569">
        <v>0</v>
      </c>
      <c r="M2431" s="569" t="s">
        <v>157</v>
      </c>
      <c r="N2431" s="569">
        <v>2</v>
      </c>
      <c r="O2431" s="569" t="s">
        <v>4230</v>
      </c>
      <c r="P2431" s="568">
        <v>12500</v>
      </c>
      <c r="Q2431" s="569" t="s">
        <v>4231</v>
      </c>
      <c r="R2431" s="569">
        <v>8</v>
      </c>
      <c r="S2431" s="569" t="s">
        <v>4398</v>
      </c>
      <c r="T2431" s="569" t="s">
        <v>366</v>
      </c>
      <c r="U2431" s="569">
        <v>148</v>
      </c>
      <c r="V2431" s="569">
        <v>34</v>
      </c>
      <c r="W2431" s="620">
        <v>10000</v>
      </c>
      <c r="X2431" s="621" t="s">
        <v>157</v>
      </c>
      <c r="Y2431" s="621" t="s">
        <v>728</v>
      </c>
      <c r="Z2431" s="621" t="s">
        <v>1523</v>
      </c>
      <c r="AA2431" s="622">
        <v>46100</v>
      </c>
      <c r="AB2431" s="622" t="s">
        <v>164</v>
      </c>
      <c r="AC2431" s="622">
        <v>33732.210526315786</v>
      </c>
      <c r="AD2431" s="623">
        <v>0.03</v>
      </c>
      <c r="AE2431" s="621" t="s">
        <v>4400</v>
      </c>
    </row>
    <row r="2432" spans="1:31" s="572" customFormat="1">
      <c r="A2432" s="570" t="s">
        <v>4420</v>
      </c>
      <c r="B2432" s="573" t="s">
        <v>280</v>
      </c>
      <c r="C2432" s="578">
        <v>27</v>
      </c>
      <c r="D2432" s="573" t="s">
        <v>3374</v>
      </c>
      <c r="E2432" s="573" t="s">
        <v>196</v>
      </c>
      <c r="F2432" s="573" t="s">
        <v>271</v>
      </c>
      <c r="G2432" s="573">
        <v>2019</v>
      </c>
      <c r="H2432" s="573" t="s">
        <v>4229</v>
      </c>
      <c r="I2432" s="573" t="s">
        <v>3996</v>
      </c>
      <c r="J2432" s="573" t="s">
        <v>3377</v>
      </c>
      <c r="K2432" s="573">
        <v>6</v>
      </c>
      <c r="L2432" s="573">
        <v>0</v>
      </c>
      <c r="M2432" s="573" t="s">
        <v>157</v>
      </c>
      <c r="N2432" s="573">
        <v>2</v>
      </c>
      <c r="O2432" s="573" t="s">
        <v>4230</v>
      </c>
      <c r="P2432" s="571">
        <v>13000</v>
      </c>
      <c r="Q2432" s="573" t="s">
        <v>4235</v>
      </c>
      <c r="R2432" s="573">
        <v>8</v>
      </c>
      <c r="S2432" s="582" t="s">
        <v>4398</v>
      </c>
      <c r="T2432" s="573" t="s">
        <v>366</v>
      </c>
      <c r="U2432" s="573">
        <v>148</v>
      </c>
      <c r="V2432" s="573">
        <v>34</v>
      </c>
      <c r="W2432" s="616">
        <v>10000</v>
      </c>
      <c r="X2432" s="617" t="s">
        <v>157</v>
      </c>
      <c r="Y2432" s="617" t="s">
        <v>450</v>
      </c>
      <c r="Z2432" s="617" t="s">
        <v>178</v>
      </c>
      <c r="AA2432" s="618">
        <v>36615</v>
      </c>
      <c r="AB2432" s="618" t="s">
        <v>164</v>
      </c>
      <c r="AC2432" s="618">
        <v>25175.073684210529</v>
      </c>
      <c r="AD2432" s="619">
        <v>0.03</v>
      </c>
      <c r="AE2432" s="617" t="s">
        <v>4402</v>
      </c>
    </row>
    <row r="2433" spans="1:31" s="572" customFormat="1">
      <c r="A2433" s="570" t="s">
        <v>4421</v>
      </c>
      <c r="B2433" s="569" t="s">
        <v>280</v>
      </c>
      <c r="C2433" s="580">
        <v>27</v>
      </c>
      <c r="D2433" s="569" t="s">
        <v>3374</v>
      </c>
      <c r="E2433" s="569" t="s">
        <v>196</v>
      </c>
      <c r="F2433" s="569" t="s">
        <v>271</v>
      </c>
      <c r="G2433" s="569">
        <v>2019</v>
      </c>
      <c r="H2433" s="569" t="s">
        <v>4229</v>
      </c>
      <c r="I2433" s="569" t="s">
        <v>3996</v>
      </c>
      <c r="J2433" s="569" t="s">
        <v>3377</v>
      </c>
      <c r="K2433" s="569">
        <v>6</v>
      </c>
      <c r="L2433" s="569">
        <v>0</v>
      </c>
      <c r="M2433" s="569" t="s">
        <v>157</v>
      </c>
      <c r="N2433" s="569">
        <v>2</v>
      </c>
      <c r="O2433" s="569" t="s">
        <v>4405</v>
      </c>
      <c r="P2433" s="568">
        <v>12500</v>
      </c>
      <c r="Q2433" s="569" t="s">
        <v>4235</v>
      </c>
      <c r="R2433" s="569">
        <v>8</v>
      </c>
      <c r="S2433" s="569" t="s">
        <v>4398</v>
      </c>
      <c r="T2433" s="569" t="s">
        <v>366</v>
      </c>
      <c r="U2433" s="569">
        <v>164</v>
      </c>
      <c r="V2433" s="569">
        <v>34</v>
      </c>
      <c r="W2433" s="620">
        <v>10000</v>
      </c>
      <c r="X2433" s="621" t="s">
        <v>157</v>
      </c>
      <c r="Y2433" s="621" t="s">
        <v>450</v>
      </c>
      <c r="Z2433" s="621" t="s">
        <v>178</v>
      </c>
      <c r="AA2433" s="622">
        <v>36815</v>
      </c>
      <c r="AB2433" s="622" t="s">
        <v>164</v>
      </c>
      <c r="AC2433" s="622">
        <v>25359.284210526315</v>
      </c>
      <c r="AD2433" s="623">
        <v>0.03</v>
      </c>
      <c r="AE2433" s="621" t="s">
        <v>4404</v>
      </c>
    </row>
    <row r="2434" spans="1:31" s="572" customFormat="1">
      <c r="A2434" s="570" t="s">
        <v>4422</v>
      </c>
      <c r="B2434" s="573" t="s">
        <v>280</v>
      </c>
      <c r="C2434" s="578">
        <v>27</v>
      </c>
      <c r="D2434" s="573" t="s">
        <v>3374</v>
      </c>
      <c r="E2434" s="573" t="s">
        <v>196</v>
      </c>
      <c r="F2434" s="573" t="s">
        <v>271</v>
      </c>
      <c r="G2434" s="573">
        <v>2019</v>
      </c>
      <c r="H2434" s="573" t="s">
        <v>4229</v>
      </c>
      <c r="I2434" s="573" t="s">
        <v>3996</v>
      </c>
      <c r="J2434" s="573" t="s">
        <v>3377</v>
      </c>
      <c r="K2434" s="573">
        <v>6</v>
      </c>
      <c r="L2434" s="573">
        <v>0</v>
      </c>
      <c r="M2434" s="573" t="s">
        <v>157</v>
      </c>
      <c r="N2434" s="573">
        <v>2</v>
      </c>
      <c r="O2434" s="573" t="s">
        <v>3846</v>
      </c>
      <c r="P2434" s="571">
        <v>12500</v>
      </c>
      <c r="Q2434" s="573" t="s">
        <v>4231</v>
      </c>
      <c r="R2434" s="573">
        <v>8</v>
      </c>
      <c r="S2434" s="582" t="s">
        <v>4398</v>
      </c>
      <c r="T2434" s="573" t="s">
        <v>366</v>
      </c>
      <c r="U2434" s="573">
        <v>164</v>
      </c>
      <c r="V2434" s="573">
        <v>34</v>
      </c>
      <c r="W2434" s="616">
        <v>10000</v>
      </c>
      <c r="X2434" s="617" t="s">
        <v>157</v>
      </c>
      <c r="Y2434" s="617" t="s">
        <v>728</v>
      </c>
      <c r="Z2434" s="617" t="s">
        <v>1523</v>
      </c>
      <c r="AA2434" s="618">
        <v>46300</v>
      </c>
      <c r="AB2434" s="618" t="s">
        <v>164</v>
      </c>
      <c r="AC2434" s="618">
        <v>33917.473684210527</v>
      </c>
      <c r="AD2434" s="619">
        <v>0.03</v>
      </c>
      <c r="AE2434" s="617" t="s">
        <v>4407</v>
      </c>
    </row>
    <row r="2435" spans="1:31" s="572" customFormat="1">
      <c r="A2435" s="570" t="s">
        <v>4423</v>
      </c>
      <c r="B2435" s="569" t="s">
        <v>280</v>
      </c>
      <c r="C2435" s="580">
        <v>27</v>
      </c>
      <c r="D2435" s="569" t="s">
        <v>3374</v>
      </c>
      <c r="E2435" s="569" t="s">
        <v>196</v>
      </c>
      <c r="F2435" s="569" t="s">
        <v>271</v>
      </c>
      <c r="G2435" s="569">
        <v>2019</v>
      </c>
      <c r="H2435" s="569" t="s">
        <v>4229</v>
      </c>
      <c r="I2435" s="569" t="s">
        <v>3996</v>
      </c>
      <c r="J2435" s="569" t="s">
        <v>3377</v>
      </c>
      <c r="K2435" s="569">
        <v>6</v>
      </c>
      <c r="L2435" s="569">
        <v>0</v>
      </c>
      <c r="M2435" s="569" t="s">
        <v>157</v>
      </c>
      <c r="N2435" s="569">
        <v>2</v>
      </c>
      <c r="O2435" s="569" t="s">
        <v>3846</v>
      </c>
      <c r="P2435" s="568">
        <v>13000</v>
      </c>
      <c r="Q2435" s="569" t="s">
        <v>4235</v>
      </c>
      <c r="R2435" s="569">
        <v>8</v>
      </c>
      <c r="S2435" s="569" t="s">
        <v>4398</v>
      </c>
      <c r="T2435" s="569" t="s">
        <v>366</v>
      </c>
      <c r="U2435" s="569">
        <v>164</v>
      </c>
      <c r="V2435" s="569">
        <v>34</v>
      </c>
      <c r="W2435" s="620">
        <v>10000</v>
      </c>
      <c r="X2435" s="621" t="s">
        <v>157</v>
      </c>
      <c r="Y2435" s="621" t="s">
        <v>450</v>
      </c>
      <c r="Z2435" s="621" t="s">
        <v>178</v>
      </c>
      <c r="AA2435" s="622">
        <v>36815</v>
      </c>
      <c r="AB2435" s="622" t="s">
        <v>164</v>
      </c>
      <c r="AC2435" s="622">
        <v>25359.284210526315</v>
      </c>
      <c r="AD2435" s="623">
        <v>0.03</v>
      </c>
      <c r="AE2435" s="621" t="s">
        <v>4409</v>
      </c>
    </row>
    <row r="2436" spans="1:31" s="572" customFormat="1">
      <c r="A2436" s="570" t="s">
        <v>4424</v>
      </c>
      <c r="B2436" s="573" t="s">
        <v>269</v>
      </c>
      <c r="C2436" s="578" t="s">
        <v>270</v>
      </c>
      <c r="D2436" s="573" t="s">
        <v>3374</v>
      </c>
      <c r="E2436" s="573" t="s">
        <v>196</v>
      </c>
      <c r="F2436" s="573" t="s">
        <v>271</v>
      </c>
      <c r="G2436" s="573">
        <v>2019</v>
      </c>
      <c r="H2436" s="573" t="s">
        <v>4229</v>
      </c>
      <c r="I2436" s="573" t="s">
        <v>3996</v>
      </c>
      <c r="J2436" s="573" t="s">
        <v>752</v>
      </c>
      <c r="K2436" s="573">
        <v>6</v>
      </c>
      <c r="L2436" s="573">
        <v>0</v>
      </c>
      <c r="M2436" s="573" t="s">
        <v>157</v>
      </c>
      <c r="N2436" s="573">
        <v>2</v>
      </c>
      <c r="O2436" s="573" t="s">
        <v>4230</v>
      </c>
      <c r="P2436" s="571">
        <v>12400</v>
      </c>
      <c r="Q2436" s="573" t="s">
        <v>4235</v>
      </c>
      <c r="R2436" s="573">
        <v>8</v>
      </c>
      <c r="S2436" s="582" t="s">
        <v>4426</v>
      </c>
      <c r="T2436" s="573" t="s">
        <v>366</v>
      </c>
      <c r="U2436" s="573">
        <v>148</v>
      </c>
      <c r="V2436" s="573">
        <v>34</v>
      </c>
      <c r="W2436" s="616">
        <v>10000</v>
      </c>
      <c r="X2436" s="617" t="s">
        <v>157</v>
      </c>
      <c r="Y2436" s="617" t="s">
        <v>450</v>
      </c>
      <c r="Z2436" s="617" t="s">
        <v>178</v>
      </c>
      <c r="AA2436" s="618">
        <v>39410</v>
      </c>
      <c r="AB2436" s="618" t="s">
        <v>164</v>
      </c>
      <c r="AC2436" s="618">
        <v>27756.126315789475</v>
      </c>
      <c r="AD2436" s="619">
        <v>0.03</v>
      </c>
      <c r="AE2436" s="617" t="s">
        <v>4425</v>
      </c>
    </row>
    <row r="2437" spans="1:31" s="572" customFormat="1">
      <c r="A2437" s="570" t="s">
        <v>4427</v>
      </c>
      <c r="B2437" s="569" t="s">
        <v>269</v>
      </c>
      <c r="C2437" s="580" t="s">
        <v>270</v>
      </c>
      <c r="D2437" s="569" t="s">
        <v>3374</v>
      </c>
      <c r="E2437" s="569" t="s">
        <v>196</v>
      </c>
      <c r="F2437" s="569" t="s">
        <v>271</v>
      </c>
      <c r="G2437" s="569">
        <v>2019</v>
      </c>
      <c r="H2437" s="569" t="s">
        <v>4229</v>
      </c>
      <c r="I2437" s="569" t="s">
        <v>3996</v>
      </c>
      <c r="J2437" s="569" t="s">
        <v>752</v>
      </c>
      <c r="K2437" s="569">
        <v>6</v>
      </c>
      <c r="L2437" s="569">
        <v>0</v>
      </c>
      <c r="M2437" s="569" t="s">
        <v>157</v>
      </c>
      <c r="N2437" s="569">
        <v>2</v>
      </c>
      <c r="O2437" s="569" t="s">
        <v>4230</v>
      </c>
      <c r="P2437" s="568">
        <v>12400</v>
      </c>
      <c r="Q2437" s="569" t="s">
        <v>4231</v>
      </c>
      <c r="R2437" s="569">
        <v>8</v>
      </c>
      <c r="S2437" s="569" t="s">
        <v>4426</v>
      </c>
      <c r="T2437" s="569" t="s">
        <v>366</v>
      </c>
      <c r="U2437" s="569">
        <v>148</v>
      </c>
      <c r="V2437" s="569">
        <v>34</v>
      </c>
      <c r="W2437" s="620">
        <v>10000</v>
      </c>
      <c r="X2437" s="621" t="s">
        <v>157</v>
      </c>
      <c r="Y2437" s="621" t="s">
        <v>728</v>
      </c>
      <c r="Z2437" s="621" t="s">
        <v>1523</v>
      </c>
      <c r="AA2437" s="622">
        <v>48895</v>
      </c>
      <c r="AB2437" s="622" t="s">
        <v>164</v>
      </c>
      <c r="AC2437" s="622">
        <v>36313.26315789474</v>
      </c>
      <c r="AD2437" s="623">
        <v>0.03</v>
      </c>
      <c r="AE2437" s="621" t="s">
        <v>4428</v>
      </c>
    </row>
    <row r="2438" spans="1:31" s="572" customFormat="1">
      <c r="A2438" s="570" t="s">
        <v>4429</v>
      </c>
      <c r="B2438" s="573" t="s">
        <v>269</v>
      </c>
      <c r="C2438" s="578" t="s">
        <v>270</v>
      </c>
      <c r="D2438" s="573" t="s">
        <v>3374</v>
      </c>
      <c r="E2438" s="573" t="s">
        <v>196</v>
      </c>
      <c r="F2438" s="573" t="s">
        <v>271</v>
      </c>
      <c r="G2438" s="573">
        <v>2019</v>
      </c>
      <c r="H2438" s="573" t="s">
        <v>4229</v>
      </c>
      <c r="I2438" s="573" t="s">
        <v>3996</v>
      </c>
      <c r="J2438" s="573" t="s">
        <v>752</v>
      </c>
      <c r="K2438" s="573">
        <v>6</v>
      </c>
      <c r="L2438" s="573">
        <v>0</v>
      </c>
      <c r="M2438" s="573" t="s">
        <v>157</v>
      </c>
      <c r="N2438" s="573">
        <v>2</v>
      </c>
      <c r="O2438" s="573" t="s">
        <v>4230</v>
      </c>
      <c r="P2438" s="571">
        <v>12600</v>
      </c>
      <c r="Q2438" s="573" t="s">
        <v>4235</v>
      </c>
      <c r="R2438" s="573">
        <v>8</v>
      </c>
      <c r="S2438" s="582" t="s">
        <v>4426</v>
      </c>
      <c r="T2438" s="573" t="s">
        <v>366</v>
      </c>
      <c r="U2438" s="573">
        <v>148</v>
      </c>
      <c r="V2438" s="573">
        <v>34</v>
      </c>
      <c r="W2438" s="616">
        <v>10000</v>
      </c>
      <c r="X2438" s="617" t="s">
        <v>157</v>
      </c>
      <c r="Y2438" s="617" t="s">
        <v>450</v>
      </c>
      <c r="Z2438" s="617" t="s">
        <v>178</v>
      </c>
      <c r="AA2438" s="618">
        <v>39410</v>
      </c>
      <c r="AB2438" s="618" t="s">
        <v>164</v>
      </c>
      <c r="AC2438" s="618">
        <v>27756.126315789475</v>
      </c>
      <c r="AD2438" s="619">
        <v>0.03</v>
      </c>
      <c r="AE2438" s="617" t="s">
        <v>4430</v>
      </c>
    </row>
    <row r="2439" spans="1:31" s="572" customFormat="1">
      <c r="A2439" s="570" t="s">
        <v>4431</v>
      </c>
      <c r="B2439" s="569" t="s">
        <v>269</v>
      </c>
      <c r="C2439" s="580" t="s">
        <v>270</v>
      </c>
      <c r="D2439" s="569" t="s">
        <v>3374</v>
      </c>
      <c r="E2439" s="569" t="s">
        <v>196</v>
      </c>
      <c r="F2439" s="569" t="s">
        <v>271</v>
      </c>
      <c r="G2439" s="569">
        <v>2019</v>
      </c>
      <c r="H2439" s="569" t="s">
        <v>4229</v>
      </c>
      <c r="I2439" s="569" t="s">
        <v>3996</v>
      </c>
      <c r="J2439" s="569" t="s">
        <v>752</v>
      </c>
      <c r="K2439" s="569">
        <v>6</v>
      </c>
      <c r="L2439" s="569">
        <v>0</v>
      </c>
      <c r="M2439" s="569" t="s">
        <v>157</v>
      </c>
      <c r="N2439" s="569">
        <v>2</v>
      </c>
      <c r="O2439" s="569" t="s">
        <v>3846</v>
      </c>
      <c r="P2439" s="568">
        <v>12400</v>
      </c>
      <c r="Q2439" s="569" t="s">
        <v>4231</v>
      </c>
      <c r="R2439" s="569">
        <v>8</v>
      </c>
      <c r="S2439" s="569" t="s">
        <v>4426</v>
      </c>
      <c r="T2439" s="569" t="s">
        <v>366</v>
      </c>
      <c r="U2439" s="569">
        <v>164</v>
      </c>
      <c r="V2439" s="569">
        <v>34</v>
      </c>
      <c r="W2439" s="620">
        <v>10000</v>
      </c>
      <c r="X2439" s="621" t="s">
        <v>157</v>
      </c>
      <c r="Y2439" s="621" t="s">
        <v>728</v>
      </c>
      <c r="Z2439" s="621" t="s">
        <v>1523</v>
      </c>
      <c r="AA2439" s="622">
        <v>49105</v>
      </c>
      <c r="AB2439" s="622" t="s">
        <v>164</v>
      </c>
      <c r="AC2439" s="622">
        <v>36508</v>
      </c>
      <c r="AD2439" s="623">
        <v>0.03</v>
      </c>
      <c r="AE2439" s="621" t="s">
        <v>4432</v>
      </c>
    </row>
    <row r="2440" spans="1:31" s="572" customFormat="1">
      <c r="A2440" s="570" t="s">
        <v>4433</v>
      </c>
      <c r="B2440" s="573" t="s">
        <v>269</v>
      </c>
      <c r="C2440" s="578" t="s">
        <v>270</v>
      </c>
      <c r="D2440" s="573" t="s">
        <v>3374</v>
      </c>
      <c r="E2440" s="573" t="s">
        <v>196</v>
      </c>
      <c r="F2440" s="573" t="s">
        <v>271</v>
      </c>
      <c r="G2440" s="573">
        <v>2019</v>
      </c>
      <c r="H2440" s="573" t="s">
        <v>4229</v>
      </c>
      <c r="I2440" s="573" t="s">
        <v>3996</v>
      </c>
      <c r="J2440" s="573" t="s">
        <v>752</v>
      </c>
      <c r="K2440" s="573">
        <v>6</v>
      </c>
      <c r="L2440" s="573">
        <v>0</v>
      </c>
      <c r="M2440" s="573" t="s">
        <v>157</v>
      </c>
      <c r="N2440" s="573">
        <v>2</v>
      </c>
      <c r="O2440" s="573" t="s">
        <v>3846</v>
      </c>
      <c r="P2440" s="571">
        <v>12600</v>
      </c>
      <c r="Q2440" s="573" t="s">
        <v>4235</v>
      </c>
      <c r="R2440" s="573">
        <v>8</v>
      </c>
      <c r="S2440" s="582" t="s">
        <v>4426</v>
      </c>
      <c r="T2440" s="573" t="s">
        <v>366</v>
      </c>
      <c r="U2440" s="573">
        <v>164</v>
      </c>
      <c r="V2440" s="573">
        <v>34</v>
      </c>
      <c r="W2440" s="616">
        <v>10000</v>
      </c>
      <c r="X2440" s="617" t="s">
        <v>157</v>
      </c>
      <c r="Y2440" s="617" t="s">
        <v>450</v>
      </c>
      <c r="Z2440" s="617" t="s">
        <v>178</v>
      </c>
      <c r="AA2440" s="618">
        <v>39620</v>
      </c>
      <c r="AB2440" s="618" t="s">
        <v>164</v>
      </c>
      <c r="AC2440" s="618">
        <v>27949.810526315792</v>
      </c>
      <c r="AD2440" s="619">
        <v>0.03</v>
      </c>
      <c r="AE2440" s="617" t="s">
        <v>4434</v>
      </c>
    </row>
    <row r="2441" spans="1:31" s="572" customFormat="1">
      <c r="A2441" s="570" t="s">
        <v>4435</v>
      </c>
      <c r="B2441" s="569" t="s">
        <v>278</v>
      </c>
      <c r="C2441" s="580">
        <v>15</v>
      </c>
      <c r="D2441" s="569" t="s">
        <v>3374</v>
      </c>
      <c r="E2441" s="569" t="s">
        <v>196</v>
      </c>
      <c r="F2441" s="569" t="s">
        <v>271</v>
      </c>
      <c r="G2441" s="569">
        <v>2019</v>
      </c>
      <c r="H2441" s="569" t="s">
        <v>4229</v>
      </c>
      <c r="I2441" s="569" t="s">
        <v>3996</v>
      </c>
      <c r="J2441" s="569" t="s">
        <v>752</v>
      </c>
      <c r="K2441" s="569">
        <v>6</v>
      </c>
      <c r="L2441" s="569">
        <v>0</v>
      </c>
      <c r="M2441" s="569" t="s">
        <v>157</v>
      </c>
      <c r="N2441" s="569">
        <v>2</v>
      </c>
      <c r="O2441" s="569" t="s">
        <v>4230</v>
      </c>
      <c r="P2441" s="568">
        <v>12400</v>
      </c>
      <c r="Q2441" s="569" t="s">
        <v>4235</v>
      </c>
      <c r="R2441" s="569">
        <v>8</v>
      </c>
      <c r="S2441" s="569" t="s">
        <v>4426</v>
      </c>
      <c r="T2441" s="569" t="s">
        <v>366</v>
      </c>
      <c r="U2441" s="569">
        <v>148</v>
      </c>
      <c r="V2441" s="569">
        <v>34</v>
      </c>
      <c r="W2441" s="620">
        <v>10000</v>
      </c>
      <c r="X2441" s="621" t="s">
        <v>157</v>
      </c>
      <c r="Y2441" s="621" t="s">
        <v>450</v>
      </c>
      <c r="Z2441" s="621" t="s">
        <v>178</v>
      </c>
      <c r="AA2441" s="622">
        <v>39775</v>
      </c>
      <c r="AB2441" s="622" t="s">
        <v>164</v>
      </c>
      <c r="AC2441" s="622">
        <v>28200</v>
      </c>
      <c r="AD2441" s="623">
        <v>0.01</v>
      </c>
      <c r="AE2441" s="621" t="s">
        <v>4425</v>
      </c>
    </row>
    <row r="2442" spans="1:31" s="572" customFormat="1">
      <c r="A2442" s="570" t="s">
        <v>4436</v>
      </c>
      <c r="B2442" s="573" t="s">
        <v>278</v>
      </c>
      <c r="C2442" s="578">
        <v>15</v>
      </c>
      <c r="D2442" s="573" t="s">
        <v>3374</v>
      </c>
      <c r="E2442" s="573" t="s">
        <v>196</v>
      </c>
      <c r="F2442" s="573" t="s">
        <v>271</v>
      </c>
      <c r="G2442" s="573">
        <v>2019</v>
      </c>
      <c r="H2442" s="573" t="s">
        <v>4229</v>
      </c>
      <c r="I2442" s="573" t="s">
        <v>3996</v>
      </c>
      <c r="J2442" s="573" t="s">
        <v>752</v>
      </c>
      <c r="K2442" s="573">
        <v>6</v>
      </c>
      <c r="L2442" s="573">
        <v>0</v>
      </c>
      <c r="M2442" s="573" t="s">
        <v>157</v>
      </c>
      <c r="N2442" s="573">
        <v>2</v>
      </c>
      <c r="O2442" s="573" t="s">
        <v>4230</v>
      </c>
      <c r="P2442" s="571">
        <v>12400</v>
      </c>
      <c r="Q2442" s="573" t="s">
        <v>4231</v>
      </c>
      <c r="R2442" s="573">
        <v>8</v>
      </c>
      <c r="S2442" s="582" t="s">
        <v>4426</v>
      </c>
      <c r="T2442" s="573" t="s">
        <v>366</v>
      </c>
      <c r="U2442" s="573">
        <v>148</v>
      </c>
      <c r="V2442" s="573">
        <v>35</v>
      </c>
      <c r="W2442" s="616">
        <v>10000</v>
      </c>
      <c r="X2442" s="617" t="s">
        <v>157</v>
      </c>
      <c r="Y2442" s="617" t="s">
        <v>728</v>
      </c>
      <c r="Z2442" s="617" t="s">
        <v>1523</v>
      </c>
      <c r="AA2442" s="618">
        <v>48895</v>
      </c>
      <c r="AB2442" s="618" t="s">
        <v>164</v>
      </c>
      <c r="AC2442" s="618">
        <v>36500</v>
      </c>
      <c r="AD2442" s="619">
        <v>0.01</v>
      </c>
      <c r="AE2442" s="617" t="s">
        <v>4428</v>
      </c>
    </row>
    <row r="2443" spans="1:31" s="572" customFormat="1">
      <c r="A2443" s="570" t="s">
        <v>4437</v>
      </c>
      <c r="B2443" s="569" t="s">
        <v>278</v>
      </c>
      <c r="C2443" s="580">
        <v>15</v>
      </c>
      <c r="D2443" s="569" t="s">
        <v>3374</v>
      </c>
      <c r="E2443" s="569" t="s">
        <v>196</v>
      </c>
      <c r="F2443" s="569" t="s">
        <v>271</v>
      </c>
      <c r="G2443" s="569">
        <v>2019</v>
      </c>
      <c r="H2443" s="569" t="s">
        <v>4229</v>
      </c>
      <c r="I2443" s="569" t="s">
        <v>3996</v>
      </c>
      <c r="J2443" s="569" t="s">
        <v>752</v>
      </c>
      <c r="K2443" s="569">
        <v>6</v>
      </c>
      <c r="L2443" s="569">
        <v>0</v>
      </c>
      <c r="M2443" s="569" t="s">
        <v>157</v>
      </c>
      <c r="N2443" s="569">
        <v>2</v>
      </c>
      <c r="O2443" s="569" t="s">
        <v>3846</v>
      </c>
      <c r="P2443" s="568">
        <v>12400</v>
      </c>
      <c r="Q2443" s="569" t="s">
        <v>4235</v>
      </c>
      <c r="R2443" s="569">
        <v>8</v>
      </c>
      <c r="S2443" s="569" t="s">
        <v>4426</v>
      </c>
      <c r="T2443" s="569" t="s">
        <v>366</v>
      </c>
      <c r="U2443" s="569">
        <v>164</v>
      </c>
      <c r="V2443" s="569">
        <v>34</v>
      </c>
      <c r="W2443" s="620">
        <v>10000</v>
      </c>
      <c r="X2443" s="621" t="s">
        <v>157</v>
      </c>
      <c r="Y2443" s="621" t="s">
        <v>450</v>
      </c>
      <c r="Z2443" s="621" t="s">
        <v>178</v>
      </c>
      <c r="AA2443" s="622">
        <v>39985</v>
      </c>
      <c r="AB2443" s="622" t="s">
        <v>164</v>
      </c>
      <c r="AC2443" s="622">
        <v>28400</v>
      </c>
      <c r="AD2443" s="623">
        <v>0.01</v>
      </c>
      <c r="AE2443" s="621" t="s">
        <v>4438</v>
      </c>
    </row>
    <row r="2444" spans="1:31" s="572" customFormat="1">
      <c r="A2444" s="570" t="s">
        <v>4439</v>
      </c>
      <c r="B2444" s="573" t="s">
        <v>278</v>
      </c>
      <c r="C2444" s="578">
        <v>15</v>
      </c>
      <c r="D2444" s="573" t="s">
        <v>3374</v>
      </c>
      <c r="E2444" s="573" t="s">
        <v>196</v>
      </c>
      <c r="F2444" s="573" t="s">
        <v>271</v>
      </c>
      <c r="G2444" s="573">
        <v>2019</v>
      </c>
      <c r="H2444" s="573" t="s">
        <v>4229</v>
      </c>
      <c r="I2444" s="573" t="s">
        <v>3996</v>
      </c>
      <c r="J2444" s="573" t="s">
        <v>752</v>
      </c>
      <c r="K2444" s="573">
        <v>6</v>
      </c>
      <c r="L2444" s="573">
        <v>0</v>
      </c>
      <c r="M2444" s="573" t="s">
        <v>157</v>
      </c>
      <c r="N2444" s="573">
        <v>2</v>
      </c>
      <c r="O2444" s="573" t="s">
        <v>3846</v>
      </c>
      <c r="P2444" s="571">
        <v>12400</v>
      </c>
      <c r="Q2444" s="573" t="s">
        <v>4231</v>
      </c>
      <c r="R2444" s="573">
        <v>8</v>
      </c>
      <c r="S2444" s="582" t="s">
        <v>4426</v>
      </c>
      <c r="T2444" s="573" t="s">
        <v>366</v>
      </c>
      <c r="U2444" s="573">
        <v>164</v>
      </c>
      <c r="V2444" s="573">
        <v>35</v>
      </c>
      <c r="W2444" s="616">
        <v>10000</v>
      </c>
      <c r="X2444" s="617" t="s">
        <v>157</v>
      </c>
      <c r="Y2444" s="617" t="s">
        <v>728</v>
      </c>
      <c r="Z2444" s="617" t="s">
        <v>1523</v>
      </c>
      <c r="AA2444" s="618">
        <v>49105</v>
      </c>
      <c r="AB2444" s="618" t="s">
        <v>164</v>
      </c>
      <c r="AC2444" s="618">
        <v>36700</v>
      </c>
      <c r="AD2444" s="619">
        <v>0.01</v>
      </c>
      <c r="AE2444" s="617" t="s">
        <v>4432</v>
      </c>
    </row>
    <row r="2445" spans="1:31" s="572" customFormat="1">
      <c r="A2445" s="570" t="s">
        <v>4440</v>
      </c>
      <c r="B2445" s="569" t="s">
        <v>287</v>
      </c>
      <c r="C2445" s="580">
        <v>26</v>
      </c>
      <c r="D2445" s="569" t="s">
        <v>3374</v>
      </c>
      <c r="E2445" s="569" t="s">
        <v>196</v>
      </c>
      <c r="F2445" s="569" t="s">
        <v>271</v>
      </c>
      <c r="G2445" s="569">
        <v>2019</v>
      </c>
      <c r="H2445" s="569" t="s">
        <v>4229</v>
      </c>
      <c r="I2445" s="569" t="s">
        <v>3996</v>
      </c>
      <c r="J2445" s="569" t="s">
        <v>752</v>
      </c>
      <c r="K2445" s="569">
        <v>6</v>
      </c>
      <c r="L2445" s="569">
        <v>0</v>
      </c>
      <c r="M2445" s="569" t="s">
        <v>157</v>
      </c>
      <c r="N2445" s="569">
        <v>2</v>
      </c>
      <c r="O2445" s="569" t="s">
        <v>4230</v>
      </c>
      <c r="P2445" s="568">
        <v>12400</v>
      </c>
      <c r="Q2445" s="569" t="s">
        <v>4235</v>
      </c>
      <c r="R2445" s="569">
        <v>8</v>
      </c>
      <c r="S2445" s="569" t="s">
        <v>4426</v>
      </c>
      <c r="T2445" s="569" t="s">
        <v>366</v>
      </c>
      <c r="U2445" s="569">
        <v>148</v>
      </c>
      <c r="V2445" s="569">
        <v>34</v>
      </c>
      <c r="W2445" s="620">
        <v>10000</v>
      </c>
      <c r="X2445" s="621" t="s">
        <v>157</v>
      </c>
      <c r="Y2445" s="621" t="s">
        <v>450</v>
      </c>
      <c r="Z2445" s="621" t="s">
        <v>178</v>
      </c>
      <c r="AA2445" s="622">
        <v>39410</v>
      </c>
      <c r="AB2445" s="622" t="s">
        <v>164</v>
      </c>
      <c r="AC2445" s="622">
        <v>28343</v>
      </c>
      <c r="AD2445" s="623">
        <v>0.05</v>
      </c>
      <c r="AE2445" s="621" t="s">
        <v>4425</v>
      </c>
    </row>
    <row r="2446" spans="1:31" s="572" customFormat="1">
      <c r="A2446" s="570" t="s">
        <v>4441</v>
      </c>
      <c r="B2446" s="573" t="s">
        <v>287</v>
      </c>
      <c r="C2446" s="578">
        <v>26</v>
      </c>
      <c r="D2446" s="573" t="s">
        <v>3374</v>
      </c>
      <c r="E2446" s="573" t="s">
        <v>196</v>
      </c>
      <c r="F2446" s="573" t="s">
        <v>271</v>
      </c>
      <c r="G2446" s="573">
        <v>2019</v>
      </c>
      <c r="H2446" s="573" t="s">
        <v>4229</v>
      </c>
      <c r="I2446" s="573" t="s">
        <v>3996</v>
      </c>
      <c r="J2446" s="573" t="s">
        <v>752</v>
      </c>
      <c r="K2446" s="573">
        <v>6</v>
      </c>
      <c r="L2446" s="573">
        <v>0</v>
      </c>
      <c r="M2446" s="573" t="s">
        <v>157</v>
      </c>
      <c r="N2446" s="573">
        <v>2</v>
      </c>
      <c r="O2446" s="573" t="s">
        <v>4230</v>
      </c>
      <c r="P2446" s="571">
        <v>12400</v>
      </c>
      <c r="Q2446" s="573" t="s">
        <v>4231</v>
      </c>
      <c r="R2446" s="573">
        <v>8</v>
      </c>
      <c r="S2446" s="582" t="s">
        <v>4426</v>
      </c>
      <c r="T2446" s="573" t="s">
        <v>366</v>
      </c>
      <c r="U2446" s="573">
        <v>148</v>
      </c>
      <c r="V2446" s="573">
        <v>35</v>
      </c>
      <c r="W2446" s="616">
        <v>10000</v>
      </c>
      <c r="X2446" s="617" t="s">
        <v>157</v>
      </c>
      <c r="Y2446" s="617" t="s">
        <v>728</v>
      </c>
      <c r="Z2446" s="617" t="s">
        <v>1523</v>
      </c>
      <c r="AA2446" s="618">
        <v>48405</v>
      </c>
      <c r="AB2446" s="618" t="s">
        <v>164</v>
      </c>
      <c r="AC2446" s="618">
        <v>36537</v>
      </c>
      <c r="AD2446" s="619">
        <v>0.05</v>
      </c>
      <c r="AE2446" s="617" t="s">
        <v>4428</v>
      </c>
    </row>
    <row r="2447" spans="1:31" s="572" customFormat="1">
      <c r="A2447" s="570" t="s">
        <v>4442</v>
      </c>
      <c r="B2447" s="569" t="s">
        <v>287</v>
      </c>
      <c r="C2447" s="580">
        <v>26</v>
      </c>
      <c r="D2447" s="569" t="s">
        <v>3374</v>
      </c>
      <c r="E2447" s="569" t="s">
        <v>196</v>
      </c>
      <c r="F2447" s="569" t="s">
        <v>271</v>
      </c>
      <c r="G2447" s="569">
        <v>2019</v>
      </c>
      <c r="H2447" s="569" t="s">
        <v>4229</v>
      </c>
      <c r="I2447" s="569" t="s">
        <v>3996</v>
      </c>
      <c r="J2447" s="569" t="s">
        <v>752</v>
      </c>
      <c r="K2447" s="569">
        <v>6</v>
      </c>
      <c r="L2447" s="569">
        <v>0</v>
      </c>
      <c r="M2447" s="569" t="s">
        <v>157</v>
      </c>
      <c r="N2447" s="569">
        <v>2</v>
      </c>
      <c r="O2447" s="569" t="s">
        <v>3846</v>
      </c>
      <c r="P2447" s="568">
        <v>12400</v>
      </c>
      <c r="Q2447" s="569" t="s">
        <v>4235</v>
      </c>
      <c r="R2447" s="569">
        <v>8</v>
      </c>
      <c r="S2447" s="569" t="s">
        <v>4426</v>
      </c>
      <c r="T2447" s="569" t="s">
        <v>366</v>
      </c>
      <c r="U2447" s="569">
        <v>164</v>
      </c>
      <c r="V2447" s="569">
        <v>34</v>
      </c>
      <c r="W2447" s="620">
        <v>10000</v>
      </c>
      <c r="X2447" s="621" t="s">
        <v>157</v>
      </c>
      <c r="Y2447" s="621" t="s">
        <v>450</v>
      </c>
      <c r="Z2447" s="621" t="s">
        <v>178</v>
      </c>
      <c r="AA2447" s="622">
        <v>39620</v>
      </c>
      <c r="AB2447" s="622" t="s">
        <v>164</v>
      </c>
      <c r="AC2447" s="622">
        <v>28540</v>
      </c>
      <c r="AD2447" s="623">
        <v>0.05</v>
      </c>
      <c r="AE2447" s="621" t="s">
        <v>4438</v>
      </c>
    </row>
    <row r="2448" spans="1:31" s="572" customFormat="1">
      <c r="A2448" s="570" t="s">
        <v>4443</v>
      </c>
      <c r="B2448" s="573" t="s">
        <v>287</v>
      </c>
      <c r="C2448" s="578">
        <v>26</v>
      </c>
      <c r="D2448" s="573" t="s">
        <v>3374</v>
      </c>
      <c r="E2448" s="573" t="s">
        <v>196</v>
      </c>
      <c r="F2448" s="573" t="s">
        <v>271</v>
      </c>
      <c r="G2448" s="573">
        <v>2019</v>
      </c>
      <c r="H2448" s="573" t="s">
        <v>4229</v>
      </c>
      <c r="I2448" s="573" t="s">
        <v>3996</v>
      </c>
      <c r="J2448" s="573" t="s">
        <v>752</v>
      </c>
      <c r="K2448" s="573">
        <v>6</v>
      </c>
      <c r="L2448" s="573">
        <v>0</v>
      </c>
      <c r="M2448" s="573" t="s">
        <v>157</v>
      </c>
      <c r="N2448" s="573">
        <v>2</v>
      </c>
      <c r="O2448" s="573" t="s">
        <v>3846</v>
      </c>
      <c r="P2448" s="571">
        <v>12400</v>
      </c>
      <c r="Q2448" s="573" t="s">
        <v>4231</v>
      </c>
      <c r="R2448" s="573">
        <v>8</v>
      </c>
      <c r="S2448" s="582" t="s">
        <v>4426</v>
      </c>
      <c r="T2448" s="573" t="s">
        <v>366</v>
      </c>
      <c r="U2448" s="573">
        <v>164</v>
      </c>
      <c r="V2448" s="573">
        <v>35</v>
      </c>
      <c r="W2448" s="616">
        <v>10000</v>
      </c>
      <c r="X2448" s="617" t="s">
        <v>157</v>
      </c>
      <c r="Y2448" s="617" t="s">
        <v>728</v>
      </c>
      <c r="Z2448" s="617" t="s">
        <v>1523</v>
      </c>
      <c r="AA2448" s="618">
        <v>48615</v>
      </c>
      <c r="AB2448" s="618" t="s">
        <v>164</v>
      </c>
      <c r="AC2448" s="618">
        <v>37589</v>
      </c>
      <c r="AD2448" s="619">
        <v>0.05</v>
      </c>
      <c r="AE2448" s="617" t="s">
        <v>4432</v>
      </c>
    </row>
    <row r="2449" spans="1:31" s="572" customFormat="1">
      <c r="A2449" s="570" t="s">
        <v>4444</v>
      </c>
      <c r="B2449" s="569" t="s">
        <v>280</v>
      </c>
      <c r="C2449" s="580">
        <v>27</v>
      </c>
      <c r="D2449" s="569" t="s">
        <v>3374</v>
      </c>
      <c r="E2449" s="569" t="s">
        <v>196</v>
      </c>
      <c r="F2449" s="569" t="s">
        <v>271</v>
      </c>
      <c r="G2449" s="569">
        <v>2019</v>
      </c>
      <c r="H2449" s="569" t="s">
        <v>4229</v>
      </c>
      <c r="I2449" s="569" t="s">
        <v>3996</v>
      </c>
      <c r="J2449" s="569" t="s">
        <v>752</v>
      </c>
      <c r="K2449" s="569">
        <v>6</v>
      </c>
      <c r="L2449" s="569">
        <v>0</v>
      </c>
      <c r="M2449" s="569" t="s">
        <v>157</v>
      </c>
      <c r="N2449" s="569">
        <v>2</v>
      </c>
      <c r="O2449" s="569" t="s">
        <v>4230</v>
      </c>
      <c r="P2449" s="568">
        <v>12400</v>
      </c>
      <c r="Q2449" s="569" t="s">
        <v>4235</v>
      </c>
      <c r="R2449" s="569">
        <v>8</v>
      </c>
      <c r="S2449" s="569" t="s">
        <v>4426</v>
      </c>
      <c r="T2449" s="569" t="s">
        <v>366</v>
      </c>
      <c r="U2449" s="569">
        <v>148</v>
      </c>
      <c r="V2449" s="569">
        <v>34</v>
      </c>
      <c r="W2449" s="620">
        <v>10000</v>
      </c>
      <c r="X2449" s="621" t="s">
        <v>157</v>
      </c>
      <c r="Y2449" s="621" t="s">
        <v>450</v>
      </c>
      <c r="Z2449" s="621" t="s">
        <v>178</v>
      </c>
      <c r="AA2449" s="622">
        <v>39410</v>
      </c>
      <c r="AB2449" s="622" t="s">
        <v>164</v>
      </c>
      <c r="AC2449" s="622">
        <v>27756.126315789475</v>
      </c>
      <c r="AD2449" s="623">
        <v>0.03</v>
      </c>
      <c r="AE2449" s="621" t="s">
        <v>4425</v>
      </c>
    </row>
    <row r="2450" spans="1:31" s="572" customFormat="1">
      <c r="A2450" s="570" t="s">
        <v>4445</v>
      </c>
      <c r="B2450" s="573" t="s">
        <v>280</v>
      </c>
      <c r="C2450" s="578">
        <v>27</v>
      </c>
      <c r="D2450" s="573" t="s">
        <v>3374</v>
      </c>
      <c r="E2450" s="573" t="s">
        <v>196</v>
      </c>
      <c r="F2450" s="573" t="s">
        <v>271</v>
      </c>
      <c r="G2450" s="573">
        <v>2019</v>
      </c>
      <c r="H2450" s="573" t="s">
        <v>4229</v>
      </c>
      <c r="I2450" s="573" t="s">
        <v>3996</v>
      </c>
      <c r="J2450" s="573" t="s">
        <v>752</v>
      </c>
      <c r="K2450" s="573">
        <v>6</v>
      </c>
      <c r="L2450" s="573">
        <v>0</v>
      </c>
      <c r="M2450" s="573" t="s">
        <v>157</v>
      </c>
      <c r="N2450" s="573">
        <v>2</v>
      </c>
      <c r="O2450" s="573" t="s">
        <v>4230</v>
      </c>
      <c r="P2450" s="571">
        <v>12400</v>
      </c>
      <c r="Q2450" s="573" t="s">
        <v>4231</v>
      </c>
      <c r="R2450" s="573">
        <v>8</v>
      </c>
      <c r="S2450" s="582" t="s">
        <v>4426</v>
      </c>
      <c r="T2450" s="573" t="s">
        <v>366</v>
      </c>
      <c r="U2450" s="573">
        <v>148</v>
      </c>
      <c r="V2450" s="573">
        <v>34</v>
      </c>
      <c r="W2450" s="616">
        <v>10000</v>
      </c>
      <c r="X2450" s="617" t="s">
        <v>157</v>
      </c>
      <c r="Y2450" s="617" t="s">
        <v>728</v>
      </c>
      <c r="Z2450" s="617" t="s">
        <v>1523</v>
      </c>
      <c r="AA2450" s="618">
        <v>48895</v>
      </c>
      <c r="AB2450" s="618" t="s">
        <v>164</v>
      </c>
      <c r="AC2450" s="618">
        <v>36313.26315789474</v>
      </c>
      <c r="AD2450" s="619">
        <v>0.03</v>
      </c>
      <c r="AE2450" s="617" t="s">
        <v>4428</v>
      </c>
    </row>
    <row r="2451" spans="1:31" s="572" customFormat="1">
      <c r="A2451" s="570" t="s">
        <v>4446</v>
      </c>
      <c r="B2451" s="569" t="s">
        <v>280</v>
      </c>
      <c r="C2451" s="580">
        <v>27</v>
      </c>
      <c r="D2451" s="569" t="s">
        <v>3374</v>
      </c>
      <c r="E2451" s="569" t="s">
        <v>196</v>
      </c>
      <c r="F2451" s="569" t="s">
        <v>271</v>
      </c>
      <c r="G2451" s="569">
        <v>2019</v>
      </c>
      <c r="H2451" s="569" t="s">
        <v>4229</v>
      </c>
      <c r="I2451" s="569" t="s">
        <v>3996</v>
      </c>
      <c r="J2451" s="569" t="s">
        <v>752</v>
      </c>
      <c r="K2451" s="569">
        <v>6</v>
      </c>
      <c r="L2451" s="569">
        <v>0</v>
      </c>
      <c r="M2451" s="569" t="s">
        <v>157</v>
      </c>
      <c r="N2451" s="569">
        <v>2</v>
      </c>
      <c r="O2451" s="569" t="s">
        <v>4230</v>
      </c>
      <c r="P2451" s="568">
        <v>12600</v>
      </c>
      <c r="Q2451" s="569" t="s">
        <v>4235</v>
      </c>
      <c r="R2451" s="569">
        <v>8</v>
      </c>
      <c r="S2451" s="569" t="s">
        <v>4426</v>
      </c>
      <c r="T2451" s="569" t="s">
        <v>366</v>
      </c>
      <c r="U2451" s="569">
        <v>148</v>
      </c>
      <c r="V2451" s="569">
        <v>34</v>
      </c>
      <c r="W2451" s="620">
        <v>10000</v>
      </c>
      <c r="X2451" s="621" t="s">
        <v>157</v>
      </c>
      <c r="Y2451" s="621" t="s">
        <v>450</v>
      </c>
      <c r="Z2451" s="621" t="s">
        <v>178</v>
      </c>
      <c r="AA2451" s="622">
        <v>39410</v>
      </c>
      <c r="AB2451" s="622" t="s">
        <v>164</v>
      </c>
      <c r="AC2451" s="622">
        <v>27756.126315789475</v>
      </c>
      <c r="AD2451" s="623">
        <v>0.03</v>
      </c>
      <c r="AE2451" s="621" t="s">
        <v>4430</v>
      </c>
    </row>
    <row r="2452" spans="1:31" s="572" customFormat="1">
      <c r="A2452" s="570" t="s">
        <v>4447</v>
      </c>
      <c r="B2452" s="573" t="s">
        <v>280</v>
      </c>
      <c r="C2452" s="578">
        <v>27</v>
      </c>
      <c r="D2452" s="573" t="s">
        <v>3374</v>
      </c>
      <c r="E2452" s="573" t="s">
        <v>196</v>
      </c>
      <c r="F2452" s="573" t="s">
        <v>271</v>
      </c>
      <c r="G2452" s="573">
        <v>2019</v>
      </c>
      <c r="H2452" s="573" t="s">
        <v>4229</v>
      </c>
      <c r="I2452" s="573" t="s">
        <v>3996</v>
      </c>
      <c r="J2452" s="573" t="s">
        <v>752</v>
      </c>
      <c r="K2452" s="573">
        <v>6</v>
      </c>
      <c r="L2452" s="573">
        <v>0</v>
      </c>
      <c r="M2452" s="573" t="s">
        <v>157</v>
      </c>
      <c r="N2452" s="573">
        <v>2</v>
      </c>
      <c r="O2452" s="573" t="s">
        <v>3846</v>
      </c>
      <c r="P2452" s="571">
        <v>12400</v>
      </c>
      <c r="Q2452" s="573" t="s">
        <v>4231</v>
      </c>
      <c r="R2452" s="573">
        <v>8</v>
      </c>
      <c r="S2452" s="582" t="s">
        <v>4426</v>
      </c>
      <c r="T2452" s="573" t="s">
        <v>366</v>
      </c>
      <c r="U2452" s="573">
        <v>164</v>
      </c>
      <c r="V2452" s="573">
        <v>34</v>
      </c>
      <c r="W2452" s="616">
        <v>10000</v>
      </c>
      <c r="X2452" s="617" t="s">
        <v>157</v>
      </c>
      <c r="Y2452" s="617" t="s">
        <v>728</v>
      </c>
      <c r="Z2452" s="617" t="s">
        <v>1523</v>
      </c>
      <c r="AA2452" s="618">
        <v>49105</v>
      </c>
      <c r="AB2452" s="618" t="s">
        <v>164</v>
      </c>
      <c r="AC2452" s="618">
        <v>36508</v>
      </c>
      <c r="AD2452" s="619">
        <v>0.03</v>
      </c>
      <c r="AE2452" s="617" t="s">
        <v>4432</v>
      </c>
    </row>
    <row r="2453" spans="1:31" s="572" customFormat="1">
      <c r="A2453" s="570" t="s">
        <v>4448</v>
      </c>
      <c r="B2453" s="569" t="s">
        <v>280</v>
      </c>
      <c r="C2453" s="580">
        <v>27</v>
      </c>
      <c r="D2453" s="569" t="s">
        <v>3374</v>
      </c>
      <c r="E2453" s="569" t="s">
        <v>196</v>
      </c>
      <c r="F2453" s="569" t="s">
        <v>271</v>
      </c>
      <c r="G2453" s="569">
        <v>2019</v>
      </c>
      <c r="H2453" s="569" t="s">
        <v>4229</v>
      </c>
      <c r="I2453" s="569" t="s">
        <v>3996</v>
      </c>
      <c r="J2453" s="569" t="s">
        <v>752</v>
      </c>
      <c r="K2453" s="569">
        <v>6</v>
      </c>
      <c r="L2453" s="569">
        <v>0</v>
      </c>
      <c r="M2453" s="569" t="s">
        <v>157</v>
      </c>
      <c r="N2453" s="569">
        <v>2</v>
      </c>
      <c r="O2453" s="569" t="s">
        <v>3846</v>
      </c>
      <c r="P2453" s="568">
        <v>12600</v>
      </c>
      <c r="Q2453" s="569" t="s">
        <v>4235</v>
      </c>
      <c r="R2453" s="569">
        <v>8</v>
      </c>
      <c r="S2453" s="569" t="s">
        <v>4426</v>
      </c>
      <c r="T2453" s="569" t="s">
        <v>366</v>
      </c>
      <c r="U2453" s="569">
        <v>164</v>
      </c>
      <c r="V2453" s="569">
        <v>34</v>
      </c>
      <c r="W2453" s="620">
        <v>10000</v>
      </c>
      <c r="X2453" s="621" t="s">
        <v>157</v>
      </c>
      <c r="Y2453" s="621" t="s">
        <v>450</v>
      </c>
      <c r="Z2453" s="621" t="s">
        <v>178</v>
      </c>
      <c r="AA2453" s="622">
        <v>39620</v>
      </c>
      <c r="AB2453" s="622" t="s">
        <v>164</v>
      </c>
      <c r="AC2453" s="622">
        <v>27949.810526315792</v>
      </c>
      <c r="AD2453" s="623">
        <v>0.03</v>
      </c>
      <c r="AE2453" s="621" t="s">
        <v>4434</v>
      </c>
    </row>
    <row r="2454" spans="1:31" s="572" customFormat="1">
      <c r="A2454" s="570" t="s">
        <v>4449</v>
      </c>
      <c r="B2454" s="573" t="s">
        <v>269</v>
      </c>
      <c r="C2454" s="578" t="s">
        <v>270</v>
      </c>
      <c r="D2454" s="573" t="s">
        <v>3374</v>
      </c>
      <c r="E2454" s="573" t="s">
        <v>196</v>
      </c>
      <c r="F2454" s="573" t="s">
        <v>271</v>
      </c>
      <c r="G2454" s="573">
        <v>2019</v>
      </c>
      <c r="H2454" s="573" t="s">
        <v>4229</v>
      </c>
      <c r="I2454" s="573" t="s">
        <v>4070</v>
      </c>
      <c r="J2454" s="573" t="s">
        <v>3377</v>
      </c>
      <c r="K2454" s="573">
        <v>6</v>
      </c>
      <c r="L2454" s="573">
        <v>0</v>
      </c>
      <c r="M2454" s="573" t="s">
        <v>157</v>
      </c>
      <c r="N2454" s="573">
        <v>2</v>
      </c>
      <c r="O2454" s="573" t="s">
        <v>4230</v>
      </c>
      <c r="P2454" s="571">
        <v>12500</v>
      </c>
      <c r="Q2454" s="573" t="s">
        <v>4235</v>
      </c>
      <c r="R2454" s="573">
        <v>8</v>
      </c>
      <c r="S2454" s="582" t="s">
        <v>4398</v>
      </c>
      <c r="T2454" s="573" t="s">
        <v>4283</v>
      </c>
      <c r="U2454" s="573">
        <v>148</v>
      </c>
      <c r="V2454" s="573">
        <v>34</v>
      </c>
      <c r="W2454" s="616">
        <v>10000</v>
      </c>
      <c r="X2454" s="617" t="s">
        <v>157</v>
      </c>
      <c r="Y2454" s="617" t="s">
        <v>450</v>
      </c>
      <c r="Z2454" s="617" t="s">
        <v>178</v>
      </c>
      <c r="AA2454" s="618">
        <v>41075</v>
      </c>
      <c r="AB2454" s="618" t="s">
        <v>164</v>
      </c>
      <c r="AC2454" s="618">
        <v>29294.021052631579</v>
      </c>
      <c r="AD2454" s="619">
        <v>0.03</v>
      </c>
      <c r="AE2454" s="617" t="s">
        <v>4450</v>
      </c>
    </row>
    <row r="2455" spans="1:31" s="572" customFormat="1">
      <c r="A2455" s="570" t="s">
        <v>4451</v>
      </c>
      <c r="B2455" s="569" t="s">
        <v>269</v>
      </c>
      <c r="C2455" s="580" t="s">
        <v>270</v>
      </c>
      <c r="D2455" s="569" t="s">
        <v>3374</v>
      </c>
      <c r="E2455" s="569" t="s">
        <v>196</v>
      </c>
      <c r="F2455" s="569" t="s">
        <v>271</v>
      </c>
      <c r="G2455" s="569">
        <v>2019</v>
      </c>
      <c r="H2455" s="569" t="s">
        <v>4229</v>
      </c>
      <c r="I2455" s="569" t="s">
        <v>4070</v>
      </c>
      <c r="J2455" s="569" t="s">
        <v>3377</v>
      </c>
      <c r="K2455" s="569">
        <v>6</v>
      </c>
      <c r="L2455" s="569">
        <v>0</v>
      </c>
      <c r="M2455" s="569" t="s">
        <v>157</v>
      </c>
      <c r="N2455" s="569">
        <v>2</v>
      </c>
      <c r="O2455" s="569" t="s">
        <v>4230</v>
      </c>
      <c r="P2455" s="568">
        <v>12500</v>
      </c>
      <c r="Q2455" s="569" t="s">
        <v>4231</v>
      </c>
      <c r="R2455" s="569">
        <v>8</v>
      </c>
      <c r="S2455" s="569" t="s">
        <v>4398</v>
      </c>
      <c r="T2455" s="569" t="s">
        <v>4283</v>
      </c>
      <c r="U2455" s="569">
        <v>148</v>
      </c>
      <c r="V2455" s="569">
        <v>34</v>
      </c>
      <c r="W2455" s="620">
        <v>10000</v>
      </c>
      <c r="X2455" s="621" t="s">
        <v>157</v>
      </c>
      <c r="Y2455" s="621" t="s">
        <v>728</v>
      </c>
      <c r="Z2455" s="621" t="s">
        <v>1523</v>
      </c>
      <c r="AA2455" s="622">
        <v>50645</v>
      </c>
      <c r="AB2455" s="622" t="s">
        <v>164</v>
      </c>
      <c r="AC2455" s="622">
        <v>37930.105263157893</v>
      </c>
      <c r="AD2455" s="623">
        <v>0.03</v>
      </c>
      <c r="AE2455" s="621" t="s">
        <v>4452</v>
      </c>
    </row>
    <row r="2456" spans="1:31" s="572" customFormat="1">
      <c r="A2456" s="570" t="s">
        <v>4453</v>
      </c>
      <c r="B2456" s="573" t="s">
        <v>269</v>
      </c>
      <c r="C2456" s="578" t="s">
        <v>270</v>
      </c>
      <c r="D2456" s="573" t="s">
        <v>3374</v>
      </c>
      <c r="E2456" s="573" t="s">
        <v>196</v>
      </c>
      <c r="F2456" s="573" t="s">
        <v>271</v>
      </c>
      <c r="G2456" s="573">
        <v>2019</v>
      </c>
      <c r="H2456" s="573" t="s">
        <v>4229</v>
      </c>
      <c r="I2456" s="573" t="s">
        <v>4070</v>
      </c>
      <c r="J2456" s="573" t="s">
        <v>3377</v>
      </c>
      <c r="K2456" s="573">
        <v>6</v>
      </c>
      <c r="L2456" s="573">
        <v>0</v>
      </c>
      <c r="M2456" s="573" t="s">
        <v>157</v>
      </c>
      <c r="N2456" s="573">
        <v>2</v>
      </c>
      <c r="O2456" s="573" t="s">
        <v>4230</v>
      </c>
      <c r="P2456" s="571">
        <v>13000</v>
      </c>
      <c r="Q2456" s="573" t="s">
        <v>4235</v>
      </c>
      <c r="R2456" s="573">
        <v>8</v>
      </c>
      <c r="S2456" s="582" t="s">
        <v>4398</v>
      </c>
      <c r="T2456" s="573" t="s">
        <v>4283</v>
      </c>
      <c r="U2456" s="573">
        <v>148</v>
      </c>
      <c r="V2456" s="573">
        <v>34</v>
      </c>
      <c r="W2456" s="616">
        <v>10000</v>
      </c>
      <c r="X2456" s="617" t="s">
        <v>157</v>
      </c>
      <c r="Y2456" s="617" t="s">
        <v>450</v>
      </c>
      <c r="Z2456" s="617" t="s">
        <v>178</v>
      </c>
      <c r="AA2456" s="618">
        <v>41075</v>
      </c>
      <c r="AB2456" s="618" t="s">
        <v>164</v>
      </c>
      <c r="AC2456" s="618">
        <v>29294.021052631579</v>
      </c>
      <c r="AD2456" s="619">
        <v>0.03</v>
      </c>
      <c r="AE2456" s="617" t="s">
        <v>4454</v>
      </c>
    </row>
    <row r="2457" spans="1:31" s="572" customFormat="1">
      <c r="A2457" s="570" t="s">
        <v>4455</v>
      </c>
      <c r="B2457" s="569" t="s">
        <v>269</v>
      </c>
      <c r="C2457" s="580" t="s">
        <v>270</v>
      </c>
      <c r="D2457" s="569" t="s">
        <v>3374</v>
      </c>
      <c r="E2457" s="569" t="s">
        <v>196</v>
      </c>
      <c r="F2457" s="569" t="s">
        <v>271</v>
      </c>
      <c r="G2457" s="569">
        <v>2019</v>
      </c>
      <c r="H2457" s="569" t="s">
        <v>4229</v>
      </c>
      <c r="I2457" s="569" t="s">
        <v>4070</v>
      </c>
      <c r="J2457" s="569" t="s">
        <v>3377</v>
      </c>
      <c r="K2457" s="569">
        <v>6</v>
      </c>
      <c r="L2457" s="569">
        <v>0</v>
      </c>
      <c r="M2457" s="569" t="s">
        <v>157</v>
      </c>
      <c r="N2457" s="569">
        <v>2</v>
      </c>
      <c r="O2457" s="569" t="s">
        <v>3846</v>
      </c>
      <c r="P2457" s="568">
        <v>12500</v>
      </c>
      <c r="Q2457" s="569" t="s">
        <v>4235</v>
      </c>
      <c r="R2457" s="569">
        <v>8</v>
      </c>
      <c r="S2457" s="569" t="s">
        <v>4398</v>
      </c>
      <c r="T2457" s="569" t="s">
        <v>4283</v>
      </c>
      <c r="U2457" s="569">
        <v>164</v>
      </c>
      <c r="V2457" s="569">
        <v>34</v>
      </c>
      <c r="W2457" s="620">
        <v>10000</v>
      </c>
      <c r="X2457" s="621" t="s">
        <v>157</v>
      </c>
      <c r="Y2457" s="621" t="s">
        <v>450</v>
      </c>
      <c r="Z2457" s="621" t="s">
        <v>178</v>
      </c>
      <c r="AA2457" s="622">
        <v>41275</v>
      </c>
      <c r="AB2457" s="622" t="s">
        <v>164</v>
      </c>
      <c r="AC2457" s="622">
        <v>29479.284210526315</v>
      </c>
      <c r="AD2457" s="623">
        <v>0.03</v>
      </c>
      <c r="AE2457" s="621" t="s">
        <v>4456</v>
      </c>
    </row>
    <row r="2458" spans="1:31" s="572" customFormat="1">
      <c r="A2458" s="570" t="s">
        <v>4457</v>
      </c>
      <c r="B2458" s="573" t="s">
        <v>269</v>
      </c>
      <c r="C2458" s="578" t="s">
        <v>270</v>
      </c>
      <c r="D2458" s="573" t="s">
        <v>3374</v>
      </c>
      <c r="E2458" s="573" t="s">
        <v>196</v>
      </c>
      <c r="F2458" s="573" t="s">
        <v>271</v>
      </c>
      <c r="G2458" s="573">
        <v>2019</v>
      </c>
      <c r="H2458" s="573" t="s">
        <v>4229</v>
      </c>
      <c r="I2458" s="573" t="s">
        <v>4070</v>
      </c>
      <c r="J2458" s="573" t="s">
        <v>3377</v>
      </c>
      <c r="K2458" s="573">
        <v>6</v>
      </c>
      <c r="L2458" s="573">
        <v>0</v>
      </c>
      <c r="M2458" s="573" t="s">
        <v>157</v>
      </c>
      <c r="N2458" s="573">
        <v>2</v>
      </c>
      <c r="O2458" s="573" t="s">
        <v>3846</v>
      </c>
      <c r="P2458" s="571">
        <v>12500</v>
      </c>
      <c r="Q2458" s="573" t="s">
        <v>4231</v>
      </c>
      <c r="R2458" s="573">
        <v>8</v>
      </c>
      <c r="S2458" s="582" t="s">
        <v>4398</v>
      </c>
      <c r="T2458" s="573" t="s">
        <v>4283</v>
      </c>
      <c r="U2458" s="573">
        <v>164</v>
      </c>
      <c r="V2458" s="573">
        <v>34</v>
      </c>
      <c r="W2458" s="616">
        <v>10000</v>
      </c>
      <c r="X2458" s="617" t="s">
        <v>157</v>
      </c>
      <c r="Y2458" s="617" t="s">
        <v>728</v>
      </c>
      <c r="Z2458" s="617" t="s">
        <v>1523</v>
      </c>
      <c r="AA2458" s="618">
        <v>50845</v>
      </c>
      <c r="AB2458" s="618" t="s">
        <v>164</v>
      </c>
      <c r="AC2458" s="618">
        <v>38115.368421052633</v>
      </c>
      <c r="AD2458" s="619">
        <v>0.03</v>
      </c>
      <c r="AE2458" s="617" t="s">
        <v>4458</v>
      </c>
    </row>
    <row r="2459" spans="1:31" s="572" customFormat="1">
      <c r="A2459" s="570" t="s">
        <v>4459</v>
      </c>
      <c r="B2459" s="569" t="s">
        <v>269</v>
      </c>
      <c r="C2459" s="580" t="s">
        <v>270</v>
      </c>
      <c r="D2459" s="569" t="s">
        <v>3374</v>
      </c>
      <c r="E2459" s="569" t="s">
        <v>196</v>
      </c>
      <c r="F2459" s="569" t="s">
        <v>271</v>
      </c>
      <c r="G2459" s="569">
        <v>2019</v>
      </c>
      <c r="H2459" s="569" t="s">
        <v>4229</v>
      </c>
      <c r="I2459" s="569" t="s">
        <v>4070</v>
      </c>
      <c r="J2459" s="569" t="s">
        <v>3377</v>
      </c>
      <c r="K2459" s="569">
        <v>6</v>
      </c>
      <c r="L2459" s="569">
        <v>0</v>
      </c>
      <c r="M2459" s="569" t="s">
        <v>157</v>
      </c>
      <c r="N2459" s="569">
        <v>2</v>
      </c>
      <c r="O2459" s="569" t="s">
        <v>3846</v>
      </c>
      <c r="P2459" s="568">
        <v>13000</v>
      </c>
      <c r="Q2459" s="569" t="s">
        <v>4235</v>
      </c>
      <c r="R2459" s="569">
        <v>8</v>
      </c>
      <c r="S2459" s="569" t="s">
        <v>4398</v>
      </c>
      <c r="T2459" s="569" t="s">
        <v>4283</v>
      </c>
      <c r="U2459" s="569">
        <v>164</v>
      </c>
      <c r="V2459" s="569">
        <v>34</v>
      </c>
      <c r="W2459" s="620">
        <v>10000</v>
      </c>
      <c r="X2459" s="621" t="s">
        <v>157</v>
      </c>
      <c r="Y2459" s="621" t="s">
        <v>450</v>
      </c>
      <c r="Z2459" s="621" t="s">
        <v>178</v>
      </c>
      <c r="AA2459" s="622">
        <v>41275</v>
      </c>
      <c r="AB2459" s="622" t="s">
        <v>164</v>
      </c>
      <c r="AC2459" s="622">
        <v>29479.284210526315</v>
      </c>
      <c r="AD2459" s="623">
        <v>0.03</v>
      </c>
      <c r="AE2459" s="621" t="s">
        <v>4460</v>
      </c>
    </row>
    <row r="2460" spans="1:31" s="572" customFormat="1">
      <c r="A2460" s="570" t="s">
        <v>4461</v>
      </c>
      <c r="B2460" s="573" t="s">
        <v>278</v>
      </c>
      <c r="C2460" s="578">
        <v>15</v>
      </c>
      <c r="D2460" s="573" t="s">
        <v>3374</v>
      </c>
      <c r="E2460" s="573" t="s">
        <v>196</v>
      </c>
      <c r="F2460" s="573" t="s">
        <v>271</v>
      </c>
      <c r="G2460" s="573">
        <v>2019</v>
      </c>
      <c r="H2460" s="573" t="s">
        <v>4229</v>
      </c>
      <c r="I2460" s="573" t="s">
        <v>4070</v>
      </c>
      <c r="J2460" s="573" t="s">
        <v>3377</v>
      </c>
      <c r="K2460" s="573">
        <v>6</v>
      </c>
      <c r="L2460" s="573">
        <v>0</v>
      </c>
      <c r="M2460" s="573" t="s">
        <v>157</v>
      </c>
      <c r="N2460" s="573">
        <v>2</v>
      </c>
      <c r="O2460" s="573" t="s">
        <v>4230</v>
      </c>
      <c r="P2460" s="571">
        <v>12500</v>
      </c>
      <c r="Q2460" s="573" t="s">
        <v>4235</v>
      </c>
      <c r="R2460" s="573">
        <v>8</v>
      </c>
      <c r="S2460" s="582" t="s">
        <v>4398</v>
      </c>
      <c r="T2460" s="573" t="s">
        <v>4283</v>
      </c>
      <c r="U2460" s="573">
        <v>148</v>
      </c>
      <c r="V2460" s="573">
        <v>34</v>
      </c>
      <c r="W2460" s="616">
        <v>10000</v>
      </c>
      <c r="X2460" s="617" t="s">
        <v>157</v>
      </c>
      <c r="Y2460" s="617" t="s">
        <v>450</v>
      </c>
      <c r="Z2460" s="617" t="s">
        <v>178</v>
      </c>
      <c r="AA2460" s="618">
        <v>41525</v>
      </c>
      <c r="AB2460" s="618" t="s">
        <v>164</v>
      </c>
      <c r="AC2460" s="618">
        <v>29850</v>
      </c>
      <c r="AD2460" s="619">
        <v>0.01</v>
      </c>
      <c r="AE2460" s="617" t="s">
        <v>4450</v>
      </c>
    </row>
    <row r="2461" spans="1:31" s="572" customFormat="1">
      <c r="A2461" s="570" t="s">
        <v>4462</v>
      </c>
      <c r="B2461" s="569" t="s">
        <v>278</v>
      </c>
      <c r="C2461" s="580">
        <v>15</v>
      </c>
      <c r="D2461" s="569" t="s">
        <v>3374</v>
      </c>
      <c r="E2461" s="569" t="s">
        <v>196</v>
      </c>
      <c r="F2461" s="569" t="s">
        <v>271</v>
      </c>
      <c r="G2461" s="569">
        <v>2019</v>
      </c>
      <c r="H2461" s="569" t="s">
        <v>4229</v>
      </c>
      <c r="I2461" s="569" t="s">
        <v>4070</v>
      </c>
      <c r="J2461" s="569" t="s">
        <v>3377</v>
      </c>
      <c r="K2461" s="569">
        <v>6</v>
      </c>
      <c r="L2461" s="569">
        <v>0</v>
      </c>
      <c r="M2461" s="569" t="s">
        <v>157</v>
      </c>
      <c r="N2461" s="569">
        <v>2</v>
      </c>
      <c r="O2461" s="569" t="s">
        <v>4230</v>
      </c>
      <c r="P2461" s="568">
        <v>12500</v>
      </c>
      <c r="Q2461" s="569" t="s">
        <v>4231</v>
      </c>
      <c r="R2461" s="569">
        <v>8</v>
      </c>
      <c r="S2461" s="569" t="s">
        <v>4398</v>
      </c>
      <c r="T2461" s="569" t="s">
        <v>4283</v>
      </c>
      <c r="U2461" s="569">
        <v>148</v>
      </c>
      <c r="V2461" s="569">
        <v>35</v>
      </c>
      <c r="W2461" s="620">
        <v>10000</v>
      </c>
      <c r="X2461" s="621" t="s">
        <v>157</v>
      </c>
      <c r="Y2461" s="621" t="s">
        <v>728</v>
      </c>
      <c r="Z2461" s="621" t="s">
        <v>1523</v>
      </c>
      <c r="AA2461" s="622">
        <v>50645</v>
      </c>
      <c r="AB2461" s="622" t="s">
        <v>164</v>
      </c>
      <c r="AC2461" s="622">
        <v>38150</v>
      </c>
      <c r="AD2461" s="623">
        <v>0.01</v>
      </c>
      <c r="AE2461" s="621" t="s">
        <v>4452</v>
      </c>
    </row>
    <row r="2462" spans="1:31" s="572" customFormat="1">
      <c r="A2462" s="570" t="s">
        <v>4463</v>
      </c>
      <c r="B2462" s="573" t="s">
        <v>278</v>
      </c>
      <c r="C2462" s="578">
        <v>15</v>
      </c>
      <c r="D2462" s="573" t="s">
        <v>3374</v>
      </c>
      <c r="E2462" s="573" t="s">
        <v>196</v>
      </c>
      <c r="F2462" s="573" t="s">
        <v>271</v>
      </c>
      <c r="G2462" s="573">
        <v>2019</v>
      </c>
      <c r="H2462" s="573" t="s">
        <v>4229</v>
      </c>
      <c r="I2462" s="573" t="s">
        <v>4070</v>
      </c>
      <c r="J2462" s="573" t="s">
        <v>3377</v>
      </c>
      <c r="K2462" s="573">
        <v>6</v>
      </c>
      <c r="L2462" s="573">
        <v>0</v>
      </c>
      <c r="M2462" s="573" t="s">
        <v>157</v>
      </c>
      <c r="N2462" s="573">
        <v>2</v>
      </c>
      <c r="O2462" s="573" t="s">
        <v>3846</v>
      </c>
      <c r="P2462" s="571">
        <v>12500</v>
      </c>
      <c r="Q2462" s="573" t="s">
        <v>4235</v>
      </c>
      <c r="R2462" s="573">
        <v>8</v>
      </c>
      <c r="S2462" s="582" t="s">
        <v>4398</v>
      </c>
      <c r="T2462" s="573" t="s">
        <v>4283</v>
      </c>
      <c r="U2462" s="573">
        <v>164</v>
      </c>
      <c r="V2462" s="573">
        <v>34</v>
      </c>
      <c r="W2462" s="616">
        <v>10000</v>
      </c>
      <c r="X2462" s="617" t="s">
        <v>157</v>
      </c>
      <c r="Y2462" s="617" t="s">
        <v>450</v>
      </c>
      <c r="Z2462" s="617" t="s">
        <v>178</v>
      </c>
      <c r="AA2462" s="618">
        <v>41725</v>
      </c>
      <c r="AB2462" s="618" t="s">
        <v>164</v>
      </c>
      <c r="AC2462" s="618">
        <v>30050</v>
      </c>
      <c r="AD2462" s="619">
        <v>0.01</v>
      </c>
      <c r="AE2462" s="617" t="s">
        <v>4456</v>
      </c>
    </row>
    <row r="2463" spans="1:31" s="572" customFormat="1">
      <c r="A2463" s="570" t="s">
        <v>4464</v>
      </c>
      <c r="B2463" s="569" t="s">
        <v>278</v>
      </c>
      <c r="C2463" s="580">
        <v>15</v>
      </c>
      <c r="D2463" s="569" t="s">
        <v>3374</v>
      </c>
      <c r="E2463" s="569" t="s">
        <v>196</v>
      </c>
      <c r="F2463" s="569" t="s">
        <v>271</v>
      </c>
      <c r="G2463" s="569">
        <v>2019</v>
      </c>
      <c r="H2463" s="569" t="s">
        <v>4229</v>
      </c>
      <c r="I2463" s="569" t="s">
        <v>4070</v>
      </c>
      <c r="J2463" s="569" t="s">
        <v>3377</v>
      </c>
      <c r="K2463" s="569">
        <v>6</v>
      </c>
      <c r="L2463" s="569">
        <v>0</v>
      </c>
      <c r="M2463" s="569" t="s">
        <v>157</v>
      </c>
      <c r="N2463" s="569">
        <v>2</v>
      </c>
      <c r="O2463" s="569" t="s">
        <v>3846</v>
      </c>
      <c r="P2463" s="568">
        <v>12500</v>
      </c>
      <c r="Q2463" s="569" t="s">
        <v>4231</v>
      </c>
      <c r="R2463" s="569">
        <v>8</v>
      </c>
      <c r="S2463" s="569" t="s">
        <v>4398</v>
      </c>
      <c r="T2463" s="569" t="s">
        <v>4283</v>
      </c>
      <c r="U2463" s="569">
        <v>164</v>
      </c>
      <c r="V2463" s="569">
        <v>35</v>
      </c>
      <c r="W2463" s="620">
        <v>10000</v>
      </c>
      <c r="X2463" s="621" t="s">
        <v>157</v>
      </c>
      <c r="Y2463" s="621" t="s">
        <v>728</v>
      </c>
      <c r="Z2463" s="621" t="s">
        <v>1523</v>
      </c>
      <c r="AA2463" s="622">
        <v>50845</v>
      </c>
      <c r="AB2463" s="622" t="s">
        <v>164</v>
      </c>
      <c r="AC2463" s="622">
        <v>38300</v>
      </c>
      <c r="AD2463" s="623">
        <v>0.01</v>
      </c>
      <c r="AE2463" s="621" t="s">
        <v>4458</v>
      </c>
    </row>
    <row r="2464" spans="1:31" s="572" customFormat="1">
      <c r="A2464" s="570" t="s">
        <v>4465</v>
      </c>
      <c r="B2464" s="573" t="s">
        <v>287</v>
      </c>
      <c r="C2464" s="578">
        <v>26</v>
      </c>
      <c r="D2464" s="573" t="s">
        <v>3374</v>
      </c>
      <c r="E2464" s="573" t="s">
        <v>196</v>
      </c>
      <c r="F2464" s="573" t="s">
        <v>271</v>
      </c>
      <c r="G2464" s="573">
        <v>2019</v>
      </c>
      <c r="H2464" s="573" t="s">
        <v>4229</v>
      </c>
      <c r="I2464" s="573" t="s">
        <v>4070</v>
      </c>
      <c r="J2464" s="573" t="s">
        <v>3377</v>
      </c>
      <c r="K2464" s="573">
        <v>6</v>
      </c>
      <c r="L2464" s="573">
        <v>0</v>
      </c>
      <c r="M2464" s="573" t="s">
        <v>157</v>
      </c>
      <c r="N2464" s="573">
        <v>2</v>
      </c>
      <c r="O2464" s="573" t="s">
        <v>4230</v>
      </c>
      <c r="P2464" s="571">
        <v>12500</v>
      </c>
      <c r="Q2464" s="573" t="s">
        <v>4235</v>
      </c>
      <c r="R2464" s="573">
        <v>8</v>
      </c>
      <c r="S2464" s="582" t="s">
        <v>4398</v>
      </c>
      <c r="T2464" s="573" t="s">
        <v>4283</v>
      </c>
      <c r="U2464" s="573">
        <v>148</v>
      </c>
      <c r="V2464" s="573">
        <v>34</v>
      </c>
      <c r="W2464" s="616">
        <v>10000</v>
      </c>
      <c r="X2464" s="617" t="s">
        <v>157</v>
      </c>
      <c r="Y2464" s="617" t="s">
        <v>450</v>
      </c>
      <c r="Z2464" s="617" t="s">
        <v>178</v>
      </c>
      <c r="AA2464" s="618">
        <v>41075</v>
      </c>
      <c r="AB2464" s="618" t="s">
        <v>164</v>
      </c>
      <c r="AC2464" s="618">
        <v>29904</v>
      </c>
      <c r="AD2464" s="619">
        <v>0.05</v>
      </c>
      <c r="AE2464" s="617" t="s">
        <v>4450</v>
      </c>
    </row>
    <row r="2465" spans="1:31" s="572" customFormat="1">
      <c r="A2465" s="570" t="s">
        <v>4466</v>
      </c>
      <c r="B2465" s="569" t="s">
        <v>287</v>
      </c>
      <c r="C2465" s="580">
        <v>26</v>
      </c>
      <c r="D2465" s="569" t="s">
        <v>3374</v>
      </c>
      <c r="E2465" s="569" t="s">
        <v>196</v>
      </c>
      <c r="F2465" s="569" t="s">
        <v>271</v>
      </c>
      <c r="G2465" s="569">
        <v>2019</v>
      </c>
      <c r="H2465" s="569" t="s">
        <v>4229</v>
      </c>
      <c r="I2465" s="569" t="s">
        <v>4070</v>
      </c>
      <c r="J2465" s="569" t="s">
        <v>3377</v>
      </c>
      <c r="K2465" s="569">
        <v>6</v>
      </c>
      <c r="L2465" s="569">
        <v>0</v>
      </c>
      <c r="M2465" s="569" t="s">
        <v>157</v>
      </c>
      <c r="N2465" s="569">
        <v>2</v>
      </c>
      <c r="O2465" s="569" t="s">
        <v>4230</v>
      </c>
      <c r="P2465" s="568">
        <v>12500</v>
      </c>
      <c r="Q2465" s="569" t="s">
        <v>4231</v>
      </c>
      <c r="R2465" s="569">
        <v>8</v>
      </c>
      <c r="S2465" s="569" t="s">
        <v>4398</v>
      </c>
      <c r="T2465" s="569" t="s">
        <v>4283</v>
      </c>
      <c r="U2465" s="569">
        <v>148</v>
      </c>
      <c r="V2465" s="569">
        <v>35</v>
      </c>
      <c r="W2465" s="620">
        <v>10000</v>
      </c>
      <c r="X2465" s="621" t="s">
        <v>157</v>
      </c>
      <c r="Y2465" s="621" t="s">
        <v>728</v>
      </c>
      <c r="Z2465" s="621" t="s">
        <v>1523</v>
      </c>
      <c r="AA2465" s="622">
        <v>50070</v>
      </c>
      <c r="AB2465" s="622" t="s">
        <v>164</v>
      </c>
      <c r="AC2465" s="622">
        <v>38099</v>
      </c>
      <c r="AD2465" s="623">
        <v>0.05</v>
      </c>
      <c r="AE2465" s="621" t="s">
        <v>4452</v>
      </c>
    </row>
    <row r="2466" spans="1:31" s="572" customFormat="1">
      <c r="A2466" s="570" t="s">
        <v>4467</v>
      </c>
      <c r="B2466" s="573" t="s">
        <v>287</v>
      </c>
      <c r="C2466" s="578">
        <v>26</v>
      </c>
      <c r="D2466" s="573" t="s">
        <v>3374</v>
      </c>
      <c r="E2466" s="573" t="s">
        <v>196</v>
      </c>
      <c r="F2466" s="573" t="s">
        <v>271</v>
      </c>
      <c r="G2466" s="573">
        <v>2019</v>
      </c>
      <c r="H2466" s="573" t="s">
        <v>4229</v>
      </c>
      <c r="I2466" s="573" t="s">
        <v>4070</v>
      </c>
      <c r="J2466" s="573" t="s">
        <v>3377</v>
      </c>
      <c r="K2466" s="573">
        <v>6</v>
      </c>
      <c r="L2466" s="573">
        <v>0</v>
      </c>
      <c r="M2466" s="573" t="s">
        <v>157</v>
      </c>
      <c r="N2466" s="573">
        <v>2</v>
      </c>
      <c r="O2466" s="573" t="s">
        <v>3846</v>
      </c>
      <c r="P2466" s="571">
        <v>12500</v>
      </c>
      <c r="Q2466" s="573" t="s">
        <v>4235</v>
      </c>
      <c r="R2466" s="573">
        <v>8</v>
      </c>
      <c r="S2466" s="582" t="s">
        <v>4398</v>
      </c>
      <c r="T2466" s="573" t="s">
        <v>4283</v>
      </c>
      <c r="U2466" s="573">
        <v>164</v>
      </c>
      <c r="V2466" s="573">
        <v>34</v>
      </c>
      <c r="W2466" s="616">
        <v>10000</v>
      </c>
      <c r="X2466" s="617" t="s">
        <v>157</v>
      </c>
      <c r="Y2466" s="617" t="s">
        <v>450</v>
      </c>
      <c r="Z2466" s="617" t="s">
        <v>178</v>
      </c>
      <c r="AA2466" s="618">
        <v>41275</v>
      </c>
      <c r="AB2466" s="618" t="s">
        <v>164</v>
      </c>
      <c r="AC2466" s="618">
        <v>30092</v>
      </c>
      <c r="AD2466" s="619">
        <v>0.05</v>
      </c>
      <c r="AE2466" s="617" t="s">
        <v>4456</v>
      </c>
    </row>
    <row r="2467" spans="1:31" s="572" customFormat="1">
      <c r="A2467" s="570" t="s">
        <v>4468</v>
      </c>
      <c r="B2467" s="569" t="s">
        <v>287</v>
      </c>
      <c r="C2467" s="580">
        <v>26</v>
      </c>
      <c r="D2467" s="569" t="s">
        <v>3374</v>
      </c>
      <c r="E2467" s="569" t="s">
        <v>196</v>
      </c>
      <c r="F2467" s="569" t="s">
        <v>271</v>
      </c>
      <c r="G2467" s="569">
        <v>2019</v>
      </c>
      <c r="H2467" s="569" t="s">
        <v>4229</v>
      </c>
      <c r="I2467" s="569" t="s">
        <v>4070</v>
      </c>
      <c r="J2467" s="569" t="s">
        <v>3377</v>
      </c>
      <c r="K2467" s="569">
        <v>6</v>
      </c>
      <c r="L2467" s="569">
        <v>0</v>
      </c>
      <c r="M2467" s="569" t="s">
        <v>157</v>
      </c>
      <c r="N2467" s="569">
        <v>2</v>
      </c>
      <c r="O2467" s="569" t="s">
        <v>3846</v>
      </c>
      <c r="P2467" s="568">
        <v>12500</v>
      </c>
      <c r="Q2467" s="569" t="s">
        <v>4231</v>
      </c>
      <c r="R2467" s="569">
        <v>8</v>
      </c>
      <c r="S2467" s="569" t="s">
        <v>4398</v>
      </c>
      <c r="T2467" s="569" t="s">
        <v>4283</v>
      </c>
      <c r="U2467" s="569">
        <v>164</v>
      </c>
      <c r="V2467" s="569">
        <v>35</v>
      </c>
      <c r="W2467" s="620">
        <v>10000</v>
      </c>
      <c r="X2467" s="621" t="s">
        <v>157</v>
      </c>
      <c r="Y2467" s="621" t="s">
        <v>728</v>
      </c>
      <c r="Z2467" s="621" t="s">
        <v>1523</v>
      </c>
      <c r="AA2467" s="622">
        <v>50270</v>
      </c>
      <c r="AB2467" s="622" t="s">
        <v>164</v>
      </c>
      <c r="AC2467" s="622">
        <v>38286</v>
      </c>
      <c r="AD2467" s="623">
        <v>0.05</v>
      </c>
      <c r="AE2467" s="621" t="s">
        <v>4458</v>
      </c>
    </row>
    <row r="2468" spans="1:31" s="572" customFormat="1">
      <c r="A2468" s="570" t="s">
        <v>4469</v>
      </c>
      <c r="B2468" s="573" t="s">
        <v>280</v>
      </c>
      <c r="C2468" s="578">
        <v>27</v>
      </c>
      <c r="D2468" s="573" t="s">
        <v>3374</v>
      </c>
      <c r="E2468" s="573" t="s">
        <v>196</v>
      </c>
      <c r="F2468" s="573" t="s">
        <v>271</v>
      </c>
      <c r="G2468" s="573">
        <v>2019</v>
      </c>
      <c r="H2468" s="573" t="s">
        <v>4229</v>
      </c>
      <c r="I2468" s="573" t="s">
        <v>4070</v>
      </c>
      <c r="J2468" s="573" t="s">
        <v>3377</v>
      </c>
      <c r="K2468" s="573">
        <v>6</v>
      </c>
      <c r="L2468" s="573">
        <v>0</v>
      </c>
      <c r="M2468" s="573" t="s">
        <v>157</v>
      </c>
      <c r="N2468" s="573">
        <v>2</v>
      </c>
      <c r="O2468" s="573" t="s">
        <v>4230</v>
      </c>
      <c r="P2468" s="571">
        <v>12500</v>
      </c>
      <c r="Q2468" s="573" t="s">
        <v>4235</v>
      </c>
      <c r="R2468" s="573">
        <v>8</v>
      </c>
      <c r="S2468" s="582" t="s">
        <v>4398</v>
      </c>
      <c r="T2468" s="573" t="s">
        <v>4283</v>
      </c>
      <c r="U2468" s="573">
        <v>148</v>
      </c>
      <c r="V2468" s="573">
        <v>34</v>
      </c>
      <c r="W2468" s="616">
        <v>10000</v>
      </c>
      <c r="X2468" s="617" t="s">
        <v>157</v>
      </c>
      <c r="Y2468" s="617" t="s">
        <v>450</v>
      </c>
      <c r="Z2468" s="617" t="s">
        <v>178</v>
      </c>
      <c r="AA2468" s="618">
        <v>41075</v>
      </c>
      <c r="AB2468" s="618" t="s">
        <v>164</v>
      </c>
      <c r="AC2468" s="618">
        <v>29294.021052631579</v>
      </c>
      <c r="AD2468" s="619">
        <v>0.03</v>
      </c>
      <c r="AE2468" s="617" t="s">
        <v>4450</v>
      </c>
    </row>
    <row r="2469" spans="1:31" s="572" customFormat="1">
      <c r="A2469" s="570" t="s">
        <v>4470</v>
      </c>
      <c r="B2469" s="569" t="s">
        <v>280</v>
      </c>
      <c r="C2469" s="580">
        <v>27</v>
      </c>
      <c r="D2469" s="569" t="s">
        <v>3374</v>
      </c>
      <c r="E2469" s="569" t="s">
        <v>196</v>
      </c>
      <c r="F2469" s="569" t="s">
        <v>271</v>
      </c>
      <c r="G2469" s="569">
        <v>2019</v>
      </c>
      <c r="H2469" s="569" t="s">
        <v>4229</v>
      </c>
      <c r="I2469" s="569" t="s">
        <v>4070</v>
      </c>
      <c r="J2469" s="569" t="s">
        <v>3377</v>
      </c>
      <c r="K2469" s="569">
        <v>6</v>
      </c>
      <c r="L2469" s="569">
        <v>0</v>
      </c>
      <c r="M2469" s="569" t="s">
        <v>157</v>
      </c>
      <c r="N2469" s="569">
        <v>2</v>
      </c>
      <c r="O2469" s="569" t="s">
        <v>4230</v>
      </c>
      <c r="P2469" s="568">
        <v>12500</v>
      </c>
      <c r="Q2469" s="569" t="s">
        <v>4231</v>
      </c>
      <c r="R2469" s="569">
        <v>8</v>
      </c>
      <c r="S2469" s="569" t="s">
        <v>4398</v>
      </c>
      <c r="T2469" s="569" t="s">
        <v>4283</v>
      </c>
      <c r="U2469" s="569">
        <v>148</v>
      </c>
      <c r="V2469" s="569">
        <v>34</v>
      </c>
      <c r="W2469" s="620">
        <v>10000</v>
      </c>
      <c r="X2469" s="621" t="s">
        <v>157</v>
      </c>
      <c r="Y2469" s="621" t="s">
        <v>728</v>
      </c>
      <c r="Z2469" s="621" t="s">
        <v>1523</v>
      </c>
      <c r="AA2469" s="622">
        <v>50645</v>
      </c>
      <c r="AB2469" s="622" t="s">
        <v>164</v>
      </c>
      <c r="AC2469" s="622">
        <v>37930.105263157893</v>
      </c>
      <c r="AD2469" s="623">
        <v>0.03</v>
      </c>
      <c r="AE2469" s="621" t="s">
        <v>4452</v>
      </c>
    </row>
    <row r="2470" spans="1:31" s="572" customFormat="1">
      <c r="A2470" s="570" t="s">
        <v>4471</v>
      </c>
      <c r="B2470" s="573" t="s">
        <v>280</v>
      </c>
      <c r="C2470" s="578">
        <v>27</v>
      </c>
      <c r="D2470" s="573" t="s">
        <v>3374</v>
      </c>
      <c r="E2470" s="573" t="s">
        <v>196</v>
      </c>
      <c r="F2470" s="573" t="s">
        <v>271</v>
      </c>
      <c r="G2470" s="573">
        <v>2019</v>
      </c>
      <c r="H2470" s="573" t="s">
        <v>4229</v>
      </c>
      <c r="I2470" s="573" t="s">
        <v>4070</v>
      </c>
      <c r="J2470" s="573" t="s">
        <v>3377</v>
      </c>
      <c r="K2470" s="573">
        <v>6</v>
      </c>
      <c r="L2470" s="573">
        <v>0</v>
      </c>
      <c r="M2470" s="573" t="s">
        <v>157</v>
      </c>
      <c r="N2470" s="573">
        <v>2</v>
      </c>
      <c r="O2470" s="573" t="s">
        <v>4230</v>
      </c>
      <c r="P2470" s="571">
        <v>13000</v>
      </c>
      <c r="Q2470" s="573" t="s">
        <v>4235</v>
      </c>
      <c r="R2470" s="573">
        <v>8</v>
      </c>
      <c r="S2470" s="582" t="s">
        <v>4398</v>
      </c>
      <c r="T2470" s="573" t="s">
        <v>4283</v>
      </c>
      <c r="U2470" s="573">
        <v>148</v>
      </c>
      <c r="V2470" s="573">
        <v>34</v>
      </c>
      <c r="W2470" s="616">
        <v>10000</v>
      </c>
      <c r="X2470" s="617" t="s">
        <v>157</v>
      </c>
      <c r="Y2470" s="617" t="s">
        <v>450</v>
      </c>
      <c r="Z2470" s="617" t="s">
        <v>178</v>
      </c>
      <c r="AA2470" s="618">
        <v>41075</v>
      </c>
      <c r="AB2470" s="618" t="s">
        <v>164</v>
      </c>
      <c r="AC2470" s="618">
        <v>29294.021052631579</v>
      </c>
      <c r="AD2470" s="619">
        <v>0.03</v>
      </c>
      <c r="AE2470" s="617" t="s">
        <v>4454</v>
      </c>
    </row>
    <row r="2471" spans="1:31" s="572" customFormat="1">
      <c r="A2471" s="570" t="s">
        <v>4472</v>
      </c>
      <c r="B2471" s="569" t="s">
        <v>280</v>
      </c>
      <c r="C2471" s="580">
        <v>27</v>
      </c>
      <c r="D2471" s="569" t="s">
        <v>3374</v>
      </c>
      <c r="E2471" s="569" t="s">
        <v>196</v>
      </c>
      <c r="F2471" s="569" t="s">
        <v>271</v>
      </c>
      <c r="G2471" s="569">
        <v>2019</v>
      </c>
      <c r="H2471" s="569" t="s">
        <v>4229</v>
      </c>
      <c r="I2471" s="569" t="s">
        <v>4070</v>
      </c>
      <c r="J2471" s="569" t="s">
        <v>3377</v>
      </c>
      <c r="K2471" s="569">
        <v>6</v>
      </c>
      <c r="L2471" s="569">
        <v>0</v>
      </c>
      <c r="M2471" s="569" t="s">
        <v>157</v>
      </c>
      <c r="N2471" s="569">
        <v>2</v>
      </c>
      <c r="O2471" s="569" t="s">
        <v>3846</v>
      </c>
      <c r="P2471" s="568">
        <v>12500</v>
      </c>
      <c r="Q2471" s="569" t="s">
        <v>4235</v>
      </c>
      <c r="R2471" s="569">
        <v>8</v>
      </c>
      <c r="S2471" s="569" t="s">
        <v>4398</v>
      </c>
      <c r="T2471" s="569" t="s">
        <v>4283</v>
      </c>
      <c r="U2471" s="569">
        <v>164</v>
      </c>
      <c r="V2471" s="569">
        <v>34</v>
      </c>
      <c r="W2471" s="620">
        <v>10000</v>
      </c>
      <c r="X2471" s="621" t="s">
        <v>157</v>
      </c>
      <c r="Y2471" s="621" t="s">
        <v>450</v>
      </c>
      <c r="Z2471" s="621" t="s">
        <v>178</v>
      </c>
      <c r="AA2471" s="622">
        <v>41275</v>
      </c>
      <c r="AB2471" s="622" t="s">
        <v>164</v>
      </c>
      <c r="AC2471" s="622">
        <v>29479.284210526315</v>
      </c>
      <c r="AD2471" s="623">
        <v>0.03</v>
      </c>
      <c r="AE2471" s="621" t="s">
        <v>4456</v>
      </c>
    </row>
    <row r="2472" spans="1:31" s="572" customFormat="1">
      <c r="A2472" s="570" t="s">
        <v>4473</v>
      </c>
      <c r="B2472" s="573" t="s">
        <v>280</v>
      </c>
      <c r="C2472" s="578">
        <v>27</v>
      </c>
      <c r="D2472" s="573" t="s">
        <v>3374</v>
      </c>
      <c r="E2472" s="573" t="s">
        <v>196</v>
      </c>
      <c r="F2472" s="573" t="s">
        <v>271</v>
      </c>
      <c r="G2472" s="573">
        <v>2019</v>
      </c>
      <c r="H2472" s="573" t="s">
        <v>4229</v>
      </c>
      <c r="I2472" s="573" t="s">
        <v>4070</v>
      </c>
      <c r="J2472" s="573" t="s">
        <v>3377</v>
      </c>
      <c r="K2472" s="573">
        <v>6</v>
      </c>
      <c r="L2472" s="573">
        <v>0</v>
      </c>
      <c r="M2472" s="573" t="s">
        <v>157</v>
      </c>
      <c r="N2472" s="573">
        <v>2</v>
      </c>
      <c r="O2472" s="573" t="s">
        <v>3846</v>
      </c>
      <c r="P2472" s="571">
        <v>12500</v>
      </c>
      <c r="Q2472" s="573" t="s">
        <v>4231</v>
      </c>
      <c r="R2472" s="573">
        <v>8</v>
      </c>
      <c r="S2472" s="582" t="s">
        <v>4398</v>
      </c>
      <c r="T2472" s="573" t="s">
        <v>4283</v>
      </c>
      <c r="U2472" s="573">
        <v>164</v>
      </c>
      <c r="V2472" s="573">
        <v>34</v>
      </c>
      <c r="W2472" s="616">
        <v>10000</v>
      </c>
      <c r="X2472" s="617" t="s">
        <v>157</v>
      </c>
      <c r="Y2472" s="617" t="s">
        <v>728</v>
      </c>
      <c r="Z2472" s="617" t="s">
        <v>1523</v>
      </c>
      <c r="AA2472" s="618">
        <v>50845</v>
      </c>
      <c r="AB2472" s="618" t="s">
        <v>164</v>
      </c>
      <c r="AC2472" s="618">
        <v>38115.368421052633</v>
      </c>
      <c r="AD2472" s="619">
        <v>0.03</v>
      </c>
      <c r="AE2472" s="617" t="s">
        <v>4458</v>
      </c>
    </row>
    <row r="2473" spans="1:31" s="572" customFormat="1">
      <c r="A2473" s="570" t="s">
        <v>4474</v>
      </c>
      <c r="B2473" s="569" t="s">
        <v>280</v>
      </c>
      <c r="C2473" s="580">
        <v>27</v>
      </c>
      <c r="D2473" s="569" t="s">
        <v>3374</v>
      </c>
      <c r="E2473" s="569" t="s">
        <v>196</v>
      </c>
      <c r="F2473" s="569" t="s">
        <v>271</v>
      </c>
      <c r="G2473" s="569">
        <v>2019</v>
      </c>
      <c r="H2473" s="569" t="s">
        <v>4229</v>
      </c>
      <c r="I2473" s="569" t="s">
        <v>4070</v>
      </c>
      <c r="J2473" s="569" t="s">
        <v>3377</v>
      </c>
      <c r="K2473" s="569">
        <v>6</v>
      </c>
      <c r="L2473" s="569">
        <v>0</v>
      </c>
      <c r="M2473" s="569" t="s">
        <v>157</v>
      </c>
      <c r="N2473" s="569">
        <v>2</v>
      </c>
      <c r="O2473" s="569" t="s">
        <v>3846</v>
      </c>
      <c r="P2473" s="568">
        <v>13000</v>
      </c>
      <c r="Q2473" s="569" t="s">
        <v>4235</v>
      </c>
      <c r="R2473" s="569">
        <v>8</v>
      </c>
      <c r="S2473" s="569" t="s">
        <v>4398</v>
      </c>
      <c r="T2473" s="569" t="s">
        <v>4283</v>
      </c>
      <c r="U2473" s="569">
        <v>164</v>
      </c>
      <c r="V2473" s="569">
        <v>34</v>
      </c>
      <c r="W2473" s="620">
        <v>10000</v>
      </c>
      <c r="X2473" s="621" t="s">
        <v>157</v>
      </c>
      <c r="Y2473" s="621" t="s">
        <v>450</v>
      </c>
      <c r="Z2473" s="621" t="s">
        <v>178</v>
      </c>
      <c r="AA2473" s="622">
        <v>41275</v>
      </c>
      <c r="AB2473" s="622" t="s">
        <v>164</v>
      </c>
      <c r="AC2473" s="622">
        <v>29479.284210526315</v>
      </c>
      <c r="AD2473" s="623">
        <v>0.03</v>
      </c>
      <c r="AE2473" s="621" t="s">
        <v>4460</v>
      </c>
    </row>
    <row r="2474" spans="1:31" s="572" customFormat="1">
      <c r="A2474" s="570" t="s">
        <v>4475</v>
      </c>
      <c r="B2474" s="573" t="s">
        <v>269</v>
      </c>
      <c r="C2474" s="578" t="s">
        <v>270</v>
      </c>
      <c r="D2474" s="573" t="s">
        <v>3374</v>
      </c>
      <c r="E2474" s="573" t="s">
        <v>196</v>
      </c>
      <c r="F2474" s="573" t="s">
        <v>271</v>
      </c>
      <c r="G2474" s="573">
        <v>2019</v>
      </c>
      <c r="H2474" s="573" t="s">
        <v>4229</v>
      </c>
      <c r="I2474" s="573" t="s">
        <v>4070</v>
      </c>
      <c r="J2474" s="573" t="s">
        <v>752</v>
      </c>
      <c r="K2474" s="573">
        <v>6</v>
      </c>
      <c r="L2474" s="573">
        <v>0</v>
      </c>
      <c r="M2474" s="573" t="s">
        <v>157</v>
      </c>
      <c r="N2474" s="573">
        <v>2</v>
      </c>
      <c r="O2474" s="573" t="s">
        <v>4230</v>
      </c>
      <c r="P2474" s="571">
        <v>12400</v>
      </c>
      <c r="Q2474" s="573" t="s">
        <v>4235</v>
      </c>
      <c r="R2474" s="573">
        <v>8</v>
      </c>
      <c r="S2474" s="582" t="s">
        <v>4426</v>
      </c>
      <c r="T2474" s="573" t="s">
        <v>4283</v>
      </c>
      <c r="U2474" s="573">
        <v>148</v>
      </c>
      <c r="V2474" s="573">
        <v>34</v>
      </c>
      <c r="W2474" s="616">
        <v>10000</v>
      </c>
      <c r="X2474" s="617" t="s">
        <v>157</v>
      </c>
      <c r="Y2474" s="617" t="s">
        <v>450</v>
      </c>
      <c r="Z2474" s="617" t="s">
        <v>178</v>
      </c>
      <c r="AA2474" s="618">
        <v>43880</v>
      </c>
      <c r="AB2474" s="618" t="s">
        <v>164</v>
      </c>
      <c r="AC2474" s="618">
        <v>31884.547368421056</v>
      </c>
      <c r="AD2474" s="619">
        <v>0.03</v>
      </c>
      <c r="AE2474" s="617" t="s">
        <v>4476</v>
      </c>
    </row>
    <row r="2475" spans="1:31" s="572" customFormat="1">
      <c r="A2475" s="570" t="s">
        <v>4477</v>
      </c>
      <c r="B2475" s="569" t="s">
        <v>269</v>
      </c>
      <c r="C2475" s="580" t="s">
        <v>270</v>
      </c>
      <c r="D2475" s="569" t="s">
        <v>3374</v>
      </c>
      <c r="E2475" s="569" t="s">
        <v>196</v>
      </c>
      <c r="F2475" s="569" t="s">
        <v>271</v>
      </c>
      <c r="G2475" s="569">
        <v>2019</v>
      </c>
      <c r="H2475" s="569" t="s">
        <v>4229</v>
      </c>
      <c r="I2475" s="569" t="s">
        <v>4070</v>
      </c>
      <c r="J2475" s="569" t="s">
        <v>752</v>
      </c>
      <c r="K2475" s="569">
        <v>6</v>
      </c>
      <c r="L2475" s="569">
        <v>0</v>
      </c>
      <c r="M2475" s="569" t="s">
        <v>157</v>
      </c>
      <c r="N2475" s="569">
        <v>2</v>
      </c>
      <c r="O2475" s="569" t="s">
        <v>4230</v>
      </c>
      <c r="P2475" s="568">
        <v>12400</v>
      </c>
      <c r="Q2475" s="569" t="s">
        <v>4231</v>
      </c>
      <c r="R2475" s="569">
        <v>8</v>
      </c>
      <c r="S2475" s="569" t="s">
        <v>4426</v>
      </c>
      <c r="T2475" s="569" t="s">
        <v>4283</v>
      </c>
      <c r="U2475" s="569">
        <v>148</v>
      </c>
      <c r="V2475" s="569">
        <v>34</v>
      </c>
      <c r="W2475" s="620">
        <v>10000</v>
      </c>
      <c r="X2475" s="621" t="s">
        <v>157</v>
      </c>
      <c r="Y2475" s="621" t="s">
        <v>728</v>
      </c>
      <c r="Z2475" s="621" t="s">
        <v>1523</v>
      </c>
      <c r="AA2475" s="622">
        <v>53450</v>
      </c>
      <c r="AB2475" s="622" t="s">
        <v>164</v>
      </c>
      <c r="AC2475" s="622">
        <v>40521.684210526313</v>
      </c>
      <c r="AD2475" s="623">
        <v>0.03</v>
      </c>
      <c r="AE2475" s="621" t="s">
        <v>4478</v>
      </c>
    </row>
    <row r="2476" spans="1:31" s="572" customFormat="1">
      <c r="A2476" s="570" t="s">
        <v>4479</v>
      </c>
      <c r="B2476" s="573" t="s">
        <v>269</v>
      </c>
      <c r="C2476" s="578" t="s">
        <v>270</v>
      </c>
      <c r="D2476" s="573" t="s">
        <v>3374</v>
      </c>
      <c r="E2476" s="573" t="s">
        <v>196</v>
      </c>
      <c r="F2476" s="573" t="s">
        <v>271</v>
      </c>
      <c r="G2476" s="573">
        <v>2019</v>
      </c>
      <c r="H2476" s="573" t="s">
        <v>4229</v>
      </c>
      <c r="I2476" s="573" t="s">
        <v>4070</v>
      </c>
      <c r="J2476" s="573" t="s">
        <v>752</v>
      </c>
      <c r="K2476" s="573">
        <v>6</v>
      </c>
      <c r="L2476" s="573">
        <v>0</v>
      </c>
      <c r="M2476" s="573" t="s">
        <v>157</v>
      </c>
      <c r="N2476" s="573">
        <v>2</v>
      </c>
      <c r="O2476" s="573" t="s">
        <v>4230</v>
      </c>
      <c r="P2476" s="571">
        <v>12600</v>
      </c>
      <c r="Q2476" s="573" t="s">
        <v>4235</v>
      </c>
      <c r="R2476" s="573">
        <v>8</v>
      </c>
      <c r="S2476" s="582" t="s">
        <v>4426</v>
      </c>
      <c r="T2476" s="573" t="s">
        <v>4283</v>
      </c>
      <c r="U2476" s="573">
        <v>148</v>
      </c>
      <c r="V2476" s="573">
        <v>34</v>
      </c>
      <c r="W2476" s="616">
        <v>10000</v>
      </c>
      <c r="X2476" s="617" t="s">
        <v>157</v>
      </c>
      <c r="Y2476" s="617" t="s">
        <v>450</v>
      </c>
      <c r="Z2476" s="617" t="s">
        <v>178</v>
      </c>
      <c r="AA2476" s="618">
        <v>43880</v>
      </c>
      <c r="AB2476" s="618" t="s">
        <v>164</v>
      </c>
      <c r="AC2476" s="618">
        <v>31884.547368421056</v>
      </c>
      <c r="AD2476" s="619">
        <v>0.03</v>
      </c>
      <c r="AE2476" s="617" t="s">
        <v>4480</v>
      </c>
    </row>
    <row r="2477" spans="1:31" s="572" customFormat="1">
      <c r="A2477" s="570" t="s">
        <v>4481</v>
      </c>
      <c r="B2477" s="569" t="s">
        <v>269</v>
      </c>
      <c r="C2477" s="580" t="s">
        <v>270</v>
      </c>
      <c r="D2477" s="569" t="s">
        <v>3374</v>
      </c>
      <c r="E2477" s="569" t="s">
        <v>196</v>
      </c>
      <c r="F2477" s="569" t="s">
        <v>271</v>
      </c>
      <c r="G2477" s="569">
        <v>2019</v>
      </c>
      <c r="H2477" s="569" t="s">
        <v>4229</v>
      </c>
      <c r="I2477" s="569" t="s">
        <v>4070</v>
      </c>
      <c r="J2477" s="569" t="s">
        <v>752</v>
      </c>
      <c r="K2477" s="569">
        <v>6</v>
      </c>
      <c r="L2477" s="569">
        <v>0</v>
      </c>
      <c r="M2477" s="569" t="s">
        <v>157</v>
      </c>
      <c r="N2477" s="569">
        <v>2</v>
      </c>
      <c r="O2477" s="569" t="s">
        <v>3846</v>
      </c>
      <c r="P2477" s="568">
        <v>12400</v>
      </c>
      <c r="Q2477" s="569" t="s">
        <v>4235</v>
      </c>
      <c r="R2477" s="569">
        <v>8</v>
      </c>
      <c r="S2477" s="569" t="s">
        <v>4426</v>
      </c>
      <c r="T2477" s="569" t="s">
        <v>4283</v>
      </c>
      <c r="U2477" s="569">
        <v>164</v>
      </c>
      <c r="V2477" s="569">
        <v>34</v>
      </c>
      <c r="W2477" s="620">
        <v>10000</v>
      </c>
      <c r="X2477" s="621" t="s">
        <v>157</v>
      </c>
      <c r="Y2477" s="621" t="s">
        <v>450</v>
      </c>
      <c r="Z2477" s="621" t="s">
        <v>178</v>
      </c>
      <c r="AA2477" s="622">
        <v>44080</v>
      </c>
      <c r="AB2477" s="622" t="s">
        <v>164</v>
      </c>
      <c r="AC2477" s="622">
        <v>32068.757894736842</v>
      </c>
      <c r="AD2477" s="623">
        <v>0.03</v>
      </c>
      <c r="AE2477" s="621" t="s">
        <v>4482</v>
      </c>
    </row>
    <row r="2478" spans="1:31" s="572" customFormat="1">
      <c r="A2478" s="570" t="s">
        <v>4483</v>
      </c>
      <c r="B2478" s="573" t="s">
        <v>269</v>
      </c>
      <c r="C2478" s="578" t="s">
        <v>270</v>
      </c>
      <c r="D2478" s="573" t="s">
        <v>3374</v>
      </c>
      <c r="E2478" s="573" t="s">
        <v>196</v>
      </c>
      <c r="F2478" s="573" t="s">
        <v>271</v>
      </c>
      <c r="G2478" s="573">
        <v>2019</v>
      </c>
      <c r="H2478" s="573" t="s">
        <v>4229</v>
      </c>
      <c r="I2478" s="573" t="s">
        <v>4070</v>
      </c>
      <c r="J2478" s="573" t="s">
        <v>752</v>
      </c>
      <c r="K2478" s="573">
        <v>6</v>
      </c>
      <c r="L2478" s="573">
        <v>0</v>
      </c>
      <c r="M2478" s="573" t="s">
        <v>157</v>
      </c>
      <c r="N2478" s="573">
        <v>2</v>
      </c>
      <c r="O2478" s="573" t="s">
        <v>3846</v>
      </c>
      <c r="P2478" s="571">
        <v>12400</v>
      </c>
      <c r="Q2478" s="573" t="s">
        <v>4231</v>
      </c>
      <c r="R2478" s="573">
        <v>8</v>
      </c>
      <c r="S2478" s="582" t="s">
        <v>4426</v>
      </c>
      <c r="T2478" s="573" t="s">
        <v>4283</v>
      </c>
      <c r="U2478" s="573">
        <v>164</v>
      </c>
      <c r="V2478" s="573">
        <v>34</v>
      </c>
      <c r="W2478" s="616">
        <v>10000</v>
      </c>
      <c r="X2478" s="617" t="s">
        <v>157</v>
      </c>
      <c r="Y2478" s="617" t="s">
        <v>728</v>
      </c>
      <c r="Z2478" s="617" t="s">
        <v>1523</v>
      </c>
      <c r="AA2478" s="618">
        <v>53650</v>
      </c>
      <c r="AB2478" s="618" t="s">
        <v>164</v>
      </c>
      <c r="AC2478" s="618">
        <v>40706.947368421053</v>
      </c>
      <c r="AD2478" s="619">
        <v>0.03</v>
      </c>
      <c r="AE2478" s="617" t="s">
        <v>4484</v>
      </c>
    </row>
    <row r="2479" spans="1:31" s="572" customFormat="1">
      <c r="A2479" s="570" t="s">
        <v>4485</v>
      </c>
      <c r="B2479" s="569" t="s">
        <v>269</v>
      </c>
      <c r="C2479" s="580" t="s">
        <v>270</v>
      </c>
      <c r="D2479" s="569" t="s">
        <v>3374</v>
      </c>
      <c r="E2479" s="569" t="s">
        <v>196</v>
      </c>
      <c r="F2479" s="569" t="s">
        <v>271</v>
      </c>
      <c r="G2479" s="569">
        <v>2019</v>
      </c>
      <c r="H2479" s="569" t="s">
        <v>4229</v>
      </c>
      <c r="I2479" s="569" t="s">
        <v>4070</v>
      </c>
      <c r="J2479" s="569" t="s">
        <v>752</v>
      </c>
      <c r="K2479" s="569">
        <v>6</v>
      </c>
      <c r="L2479" s="569">
        <v>0</v>
      </c>
      <c r="M2479" s="569" t="s">
        <v>157</v>
      </c>
      <c r="N2479" s="569">
        <v>2</v>
      </c>
      <c r="O2479" s="569" t="s">
        <v>3846</v>
      </c>
      <c r="P2479" s="568">
        <v>12600</v>
      </c>
      <c r="Q2479" s="569" t="s">
        <v>4235</v>
      </c>
      <c r="R2479" s="569">
        <v>8</v>
      </c>
      <c r="S2479" s="569" t="s">
        <v>4426</v>
      </c>
      <c r="T2479" s="569" t="s">
        <v>4283</v>
      </c>
      <c r="U2479" s="569">
        <v>164</v>
      </c>
      <c r="V2479" s="569">
        <v>34</v>
      </c>
      <c r="W2479" s="620">
        <v>10000</v>
      </c>
      <c r="X2479" s="621" t="s">
        <v>157</v>
      </c>
      <c r="Y2479" s="621" t="s">
        <v>450</v>
      </c>
      <c r="Z2479" s="621" t="s">
        <v>178</v>
      </c>
      <c r="AA2479" s="622">
        <v>44080</v>
      </c>
      <c r="AB2479" s="622" t="s">
        <v>164</v>
      </c>
      <c r="AC2479" s="622">
        <v>32068.757894736842</v>
      </c>
      <c r="AD2479" s="623">
        <v>0.03</v>
      </c>
      <c r="AE2479" s="621" t="s">
        <v>4486</v>
      </c>
    </row>
    <row r="2480" spans="1:31" s="572" customFormat="1">
      <c r="A2480" s="570" t="s">
        <v>4487</v>
      </c>
      <c r="B2480" s="573" t="s">
        <v>278</v>
      </c>
      <c r="C2480" s="578">
        <v>15</v>
      </c>
      <c r="D2480" s="573" t="s">
        <v>3374</v>
      </c>
      <c r="E2480" s="573" t="s">
        <v>196</v>
      </c>
      <c r="F2480" s="573" t="s">
        <v>271</v>
      </c>
      <c r="G2480" s="573">
        <v>2019</v>
      </c>
      <c r="H2480" s="573" t="s">
        <v>4229</v>
      </c>
      <c r="I2480" s="573" t="s">
        <v>4070</v>
      </c>
      <c r="J2480" s="573" t="s">
        <v>752</v>
      </c>
      <c r="K2480" s="573">
        <v>6</v>
      </c>
      <c r="L2480" s="573">
        <v>0</v>
      </c>
      <c r="M2480" s="573" t="s">
        <v>157</v>
      </c>
      <c r="N2480" s="573">
        <v>2</v>
      </c>
      <c r="O2480" s="573" t="s">
        <v>4230</v>
      </c>
      <c r="P2480" s="571">
        <v>12400</v>
      </c>
      <c r="Q2480" s="573" t="s">
        <v>4235</v>
      </c>
      <c r="R2480" s="573">
        <v>8</v>
      </c>
      <c r="S2480" s="582" t="s">
        <v>4426</v>
      </c>
      <c r="T2480" s="573" t="s">
        <v>4283</v>
      </c>
      <c r="U2480" s="573">
        <v>148</v>
      </c>
      <c r="V2480" s="573">
        <v>34</v>
      </c>
      <c r="W2480" s="616">
        <v>10000</v>
      </c>
      <c r="X2480" s="617" t="s">
        <v>157</v>
      </c>
      <c r="Y2480" s="617" t="s">
        <v>450</v>
      </c>
      <c r="Z2480" s="617" t="s">
        <v>178</v>
      </c>
      <c r="AA2480" s="618">
        <v>44330</v>
      </c>
      <c r="AB2480" s="618" t="s">
        <v>164</v>
      </c>
      <c r="AC2480" s="618">
        <v>32500</v>
      </c>
      <c r="AD2480" s="619">
        <v>0.01</v>
      </c>
      <c r="AE2480" s="617" t="s">
        <v>4476</v>
      </c>
    </row>
    <row r="2481" spans="1:31" s="572" customFormat="1">
      <c r="A2481" s="570" t="s">
        <v>4488</v>
      </c>
      <c r="B2481" s="569" t="s">
        <v>278</v>
      </c>
      <c r="C2481" s="580">
        <v>15</v>
      </c>
      <c r="D2481" s="569" t="s">
        <v>3374</v>
      </c>
      <c r="E2481" s="569" t="s">
        <v>196</v>
      </c>
      <c r="F2481" s="569" t="s">
        <v>271</v>
      </c>
      <c r="G2481" s="569">
        <v>2019</v>
      </c>
      <c r="H2481" s="569" t="s">
        <v>4229</v>
      </c>
      <c r="I2481" s="569" t="s">
        <v>4070</v>
      </c>
      <c r="J2481" s="569" t="s">
        <v>752</v>
      </c>
      <c r="K2481" s="569">
        <v>6</v>
      </c>
      <c r="L2481" s="569">
        <v>0</v>
      </c>
      <c r="M2481" s="569" t="s">
        <v>157</v>
      </c>
      <c r="N2481" s="569">
        <v>2</v>
      </c>
      <c r="O2481" s="569" t="s">
        <v>4230</v>
      </c>
      <c r="P2481" s="568">
        <v>12400</v>
      </c>
      <c r="Q2481" s="569" t="s">
        <v>4231</v>
      </c>
      <c r="R2481" s="569">
        <v>8</v>
      </c>
      <c r="S2481" s="569" t="s">
        <v>4426</v>
      </c>
      <c r="T2481" s="569" t="s">
        <v>4283</v>
      </c>
      <c r="U2481" s="569">
        <v>148</v>
      </c>
      <c r="V2481" s="569">
        <v>35</v>
      </c>
      <c r="W2481" s="620">
        <v>10000</v>
      </c>
      <c r="X2481" s="621" t="s">
        <v>157</v>
      </c>
      <c r="Y2481" s="621" t="s">
        <v>728</v>
      </c>
      <c r="Z2481" s="621" t="s">
        <v>1523</v>
      </c>
      <c r="AA2481" s="622">
        <v>53450</v>
      </c>
      <c r="AB2481" s="622" t="s">
        <v>164</v>
      </c>
      <c r="AC2481" s="622">
        <v>40750</v>
      </c>
      <c r="AD2481" s="623">
        <v>0.01</v>
      </c>
      <c r="AE2481" s="621" t="s">
        <v>4478</v>
      </c>
    </row>
    <row r="2482" spans="1:31" s="572" customFormat="1">
      <c r="A2482" s="570" t="s">
        <v>4489</v>
      </c>
      <c r="B2482" s="573" t="s">
        <v>278</v>
      </c>
      <c r="C2482" s="578">
        <v>15</v>
      </c>
      <c r="D2482" s="573" t="s">
        <v>3374</v>
      </c>
      <c r="E2482" s="573" t="s">
        <v>196</v>
      </c>
      <c r="F2482" s="573" t="s">
        <v>271</v>
      </c>
      <c r="G2482" s="573">
        <v>2019</v>
      </c>
      <c r="H2482" s="573" t="s">
        <v>4229</v>
      </c>
      <c r="I2482" s="573" t="s">
        <v>4070</v>
      </c>
      <c r="J2482" s="573" t="s">
        <v>752</v>
      </c>
      <c r="K2482" s="573">
        <v>6</v>
      </c>
      <c r="L2482" s="573">
        <v>0</v>
      </c>
      <c r="M2482" s="573" t="s">
        <v>157</v>
      </c>
      <c r="N2482" s="573">
        <v>2</v>
      </c>
      <c r="O2482" s="573" t="s">
        <v>3846</v>
      </c>
      <c r="P2482" s="571">
        <v>12400</v>
      </c>
      <c r="Q2482" s="573" t="s">
        <v>4235</v>
      </c>
      <c r="R2482" s="573">
        <v>8</v>
      </c>
      <c r="S2482" s="582" t="s">
        <v>4426</v>
      </c>
      <c r="T2482" s="573" t="s">
        <v>4283</v>
      </c>
      <c r="U2482" s="573">
        <v>164</v>
      </c>
      <c r="V2482" s="573">
        <v>34</v>
      </c>
      <c r="W2482" s="616">
        <v>10000</v>
      </c>
      <c r="X2482" s="617" t="s">
        <v>157</v>
      </c>
      <c r="Y2482" s="617" t="s">
        <v>450</v>
      </c>
      <c r="Z2482" s="617" t="s">
        <v>178</v>
      </c>
      <c r="AA2482" s="618">
        <v>44530</v>
      </c>
      <c r="AB2482" s="618" t="s">
        <v>164</v>
      </c>
      <c r="AC2482" s="618">
        <v>32650</v>
      </c>
      <c r="AD2482" s="619">
        <v>0.01</v>
      </c>
      <c r="AE2482" s="617" t="s">
        <v>4482</v>
      </c>
    </row>
    <row r="2483" spans="1:31" s="572" customFormat="1">
      <c r="A2483" s="570" t="s">
        <v>4490</v>
      </c>
      <c r="B2483" s="569" t="s">
        <v>278</v>
      </c>
      <c r="C2483" s="580">
        <v>15</v>
      </c>
      <c r="D2483" s="569" t="s">
        <v>3374</v>
      </c>
      <c r="E2483" s="569" t="s">
        <v>196</v>
      </c>
      <c r="F2483" s="569" t="s">
        <v>271</v>
      </c>
      <c r="G2483" s="569">
        <v>2019</v>
      </c>
      <c r="H2483" s="569" t="s">
        <v>4229</v>
      </c>
      <c r="I2483" s="569" t="s">
        <v>4070</v>
      </c>
      <c r="J2483" s="569" t="s">
        <v>752</v>
      </c>
      <c r="K2483" s="569">
        <v>6</v>
      </c>
      <c r="L2483" s="569">
        <v>0</v>
      </c>
      <c r="M2483" s="569" t="s">
        <v>157</v>
      </c>
      <c r="N2483" s="569">
        <v>2</v>
      </c>
      <c r="O2483" s="569" t="s">
        <v>3846</v>
      </c>
      <c r="P2483" s="568">
        <v>12400</v>
      </c>
      <c r="Q2483" s="569" t="s">
        <v>4231</v>
      </c>
      <c r="R2483" s="569">
        <v>8</v>
      </c>
      <c r="S2483" s="569" t="s">
        <v>4426</v>
      </c>
      <c r="T2483" s="569" t="s">
        <v>4283</v>
      </c>
      <c r="U2483" s="569">
        <v>164</v>
      </c>
      <c r="V2483" s="569">
        <v>35</v>
      </c>
      <c r="W2483" s="620">
        <v>10000</v>
      </c>
      <c r="X2483" s="621" t="s">
        <v>157</v>
      </c>
      <c r="Y2483" s="621" t="s">
        <v>728</v>
      </c>
      <c r="Z2483" s="621" t="s">
        <v>1523</v>
      </c>
      <c r="AA2483" s="622">
        <v>53650</v>
      </c>
      <c r="AB2483" s="622" t="s">
        <v>164</v>
      </c>
      <c r="AC2483" s="622">
        <v>40950</v>
      </c>
      <c r="AD2483" s="623">
        <v>0.01</v>
      </c>
      <c r="AE2483" s="621" t="s">
        <v>4484</v>
      </c>
    </row>
    <row r="2484" spans="1:31" s="572" customFormat="1">
      <c r="A2484" s="570" t="s">
        <v>4491</v>
      </c>
      <c r="B2484" s="573" t="s">
        <v>287</v>
      </c>
      <c r="C2484" s="578">
        <v>26</v>
      </c>
      <c r="D2484" s="573" t="s">
        <v>3374</v>
      </c>
      <c r="E2484" s="573" t="s">
        <v>196</v>
      </c>
      <c r="F2484" s="573" t="s">
        <v>271</v>
      </c>
      <c r="G2484" s="573">
        <v>2019</v>
      </c>
      <c r="H2484" s="573" t="s">
        <v>4229</v>
      </c>
      <c r="I2484" s="573" t="s">
        <v>4070</v>
      </c>
      <c r="J2484" s="573" t="s">
        <v>752</v>
      </c>
      <c r="K2484" s="573">
        <v>6</v>
      </c>
      <c r="L2484" s="573">
        <v>0</v>
      </c>
      <c r="M2484" s="573" t="s">
        <v>157</v>
      </c>
      <c r="N2484" s="573">
        <v>2</v>
      </c>
      <c r="O2484" s="573" t="s">
        <v>4230</v>
      </c>
      <c r="P2484" s="571">
        <v>12400</v>
      </c>
      <c r="Q2484" s="573" t="s">
        <v>4235</v>
      </c>
      <c r="R2484" s="573">
        <v>8</v>
      </c>
      <c r="S2484" s="582" t="s">
        <v>4426</v>
      </c>
      <c r="T2484" s="573" t="s">
        <v>4283</v>
      </c>
      <c r="U2484" s="573">
        <v>148</v>
      </c>
      <c r="V2484" s="573">
        <v>34</v>
      </c>
      <c r="W2484" s="616">
        <v>10000</v>
      </c>
      <c r="X2484" s="617" t="s">
        <v>157</v>
      </c>
      <c r="Y2484" s="617" t="s">
        <v>450</v>
      </c>
      <c r="Z2484" s="617" t="s">
        <v>178</v>
      </c>
      <c r="AA2484" s="618">
        <v>43880</v>
      </c>
      <c r="AB2484" s="618" t="s">
        <v>164</v>
      </c>
      <c r="AC2484" s="618">
        <v>32535</v>
      </c>
      <c r="AD2484" s="619">
        <v>0.05</v>
      </c>
      <c r="AE2484" s="617" t="s">
        <v>4476</v>
      </c>
    </row>
    <row r="2485" spans="1:31" s="572" customFormat="1">
      <c r="A2485" s="570" t="s">
        <v>4492</v>
      </c>
      <c r="B2485" s="569" t="s">
        <v>287</v>
      </c>
      <c r="C2485" s="580">
        <v>26</v>
      </c>
      <c r="D2485" s="569" t="s">
        <v>3374</v>
      </c>
      <c r="E2485" s="569" t="s">
        <v>196</v>
      </c>
      <c r="F2485" s="569" t="s">
        <v>271</v>
      </c>
      <c r="G2485" s="569">
        <v>2019</v>
      </c>
      <c r="H2485" s="569" t="s">
        <v>4229</v>
      </c>
      <c r="I2485" s="569" t="s">
        <v>4070</v>
      </c>
      <c r="J2485" s="569" t="s">
        <v>752</v>
      </c>
      <c r="K2485" s="569">
        <v>6</v>
      </c>
      <c r="L2485" s="569">
        <v>0</v>
      </c>
      <c r="M2485" s="569" t="s">
        <v>157</v>
      </c>
      <c r="N2485" s="569">
        <v>2</v>
      </c>
      <c r="O2485" s="569" t="s">
        <v>4230</v>
      </c>
      <c r="P2485" s="568">
        <v>12400</v>
      </c>
      <c r="Q2485" s="569" t="s">
        <v>4231</v>
      </c>
      <c r="R2485" s="569">
        <v>8</v>
      </c>
      <c r="S2485" s="569" t="s">
        <v>4426</v>
      </c>
      <c r="T2485" s="569" t="s">
        <v>4283</v>
      </c>
      <c r="U2485" s="569">
        <v>148</v>
      </c>
      <c r="V2485" s="569">
        <v>35</v>
      </c>
      <c r="W2485" s="620">
        <v>10000</v>
      </c>
      <c r="X2485" s="621" t="s">
        <v>157</v>
      </c>
      <c r="Y2485" s="621" t="s">
        <v>728</v>
      </c>
      <c r="Z2485" s="621" t="s">
        <v>1523</v>
      </c>
      <c r="AA2485" s="622">
        <v>52875</v>
      </c>
      <c r="AB2485" s="622" t="s">
        <v>164</v>
      </c>
      <c r="AC2485" s="622">
        <v>40729</v>
      </c>
      <c r="AD2485" s="623">
        <v>0.05</v>
      </c>
      <c r="AE2485" s="621" t="s">
        <v>4478</v>
      </c>
    </row>
    <row r="2486" spans="1:31" s="572" customFormat="1">
      <c r="A2486" s="570" t="s">
        <v>4493</v>
      </c>
      <c r="B2486" s="573" t="s">
        <v>287</v>
      </c>
      <c r="C2486" s="578">
        <v>26</v>
      </c>
      <c r="D2486" s="573" t="s">
        <v>3374</v>
      </c>
      <c r="E2486" s="573" t="s">
        <v>196</v>
      </c>
      <c r="F2486" s="573" t="s">
        <v>271</v>
      </c>
      <c r="G2486" s="573">
        <v>2019</v>
      </c>
      <c r="H2486" s="573" t="s">
        <v>4229</v>
      </c>
      <c r="I2486" s="573" t="s">
        <v>4070</v>
      </c>
      <c r="J2486" s="573" t="s">
        <v>752</v>
      </c>
      <c r="K2486" s="573">
        <v>6</v>
      </c>
      <c r="L2486" s="573">
        <v>0</v>
      </c>
      <c r="M2486" s="573" t="s">
        <v>157</v>
      </c>
      <c r="N2486" s="573">
        <v>2</v>
      </c>
      <c r="O2486" s="573" t="s">
        <v>3846</v>
      </c>
      <c r="P2486" s="571">
        <v>12400</v>
      </c>
      <c r="Q2486" s="573" t="s">
        <v>4235</v>
      </c>
      <c r="R2486" s="573">
        <v>8</v>
      </c>
      <c r="S2486" s="582" t="s">
        <v>4426</v>
      </c>
      <c r="T2486" s="573" t="s">
        <v>4283</v>
      </c>
      <c r="U2486" s="573">
        <v>164</v>
      </c>
      <c r="V2486" s="573">
        <v>34</v>
      </c>
      <c r="W2486" s="616">
        <v>10000</v>
      </c>
      <c r="X2486" s="617" t="s">
        <v>157</v>
      </c>
      <c r="Y2486" s="617" t="s">
        <v>450</v>
      </c>
      <c r="Z2486" s="617" t="s">
        <v>178</v>
      </c>
      <c r="AA2486" s="618">
        <v>44080</v>
      </c>
      <c r="AB2486" s="618" t="s">
        <v>164</v>
      </c>
      <c r="AC2486" s="618">
        <v>32722</v>
      </c>
      <c r="AD2486" s="619">
        <v>0.05</v>
      </c>
      <c r="AE2486" s="617" t="s">
        <v>4482</v>
      </c>
    </row>
    <row r="2487" spans="1:31" s="572" customFormat="1">
      <c r="A2487" s="570" t="s">
        <v>4494</v>
      </c>
      <c r="B2487" s="569" t="s">
        <v>287</v>
      </c>
      <c r="C2487" s="580">
        <v>26</v>
      </c>
      <c r="D2487" s="569" t="s">
        <v>3374</v>
      </c>
      <c r="E2487" s="569" t="s">
        <v>196</v>
      </c>
      <c r="F2487" s="569" t="s">
        <v>271</v>
      </c>
      <c r="G2487" s="569">
        <v>2019</v>
      </c>
      <c r="H2487" s="569" t="s">
        <v>4229</v>
      </c>
      <c r="I2487" s="569" t="s">
        <v>4070</v>
      </c>
      <c r="J2487" s="569" t="s">
        <v>752</v>
      </c>
      <c r="K2487" s="569">
        <v>6</v>
      </c>
      <c r="L2487" s="569">
        <v>0</v>
      </c>
      <c r="M2487" s="569" t="s">
        <v>157</v>
      </c>
      <c r="N2487" s="569">
        <v>2</v>
      </c>
      <c r="O2487" s="569" t="s">
        <v>3846</v>
      </c>
      <c r="P2487" s="568">
        <v>12400</v>
      </c>
      <c r="Q2487" s="569" t="s">
        <v>4231</v>
      </c>
      <c r="R2487" s="569">
        <v>8</v>
      </c>
      <c r="S2487" s="569" t="s">
        <v>4426</v>
      </c>
      <c r="T2487" s="569" t="s">
        <v>4283</v>
      </c>
      <c r="U2487" s="569">
        <v>164</v>
      </c>
      <c r="V2487" s="569">
        <v>35</v>
      </c>
      <c r="W2487" s="620">
        <v>10000</v>
      </c>
      <c r="X2487" s="621" t="s">
        <v>157</v>
      </c>
      <c r="Y2487" s="621" t="s">
        <v>728</v>
      </c>
      <c r="Z2487" s="621" t="s">
        <v>1523</v>
      </c>
      <c r="AA2487" s="622">
        <v>53075</v>
      </c>
      <c r="AB2487" s="622" t="s">
        <v>164</v>
      </c>
      <c r="AC2487" s="622">
        <v>40917</v>
      </c>
      <c r="AD2487" s="623">
        <v>0.05</v>
      </c>
      <c r="AE2487" s="621" t="s">
        <v>4484</v>
      </c>
    </row>
    <row r="2488" spans="1:31" s="572" customFormat="1">
      <c r="A2488" s="570" t="s">
        <v>4495</v>
      </c>
      <c r="B2488" s="573" t="s">
        <v>280</v>
      </c>
      <c r="C2488" s="578">
        <v>27</v>
      </c>
      <c r="D2488" s="573" t="s">
        <v>3374</v>
      </c>
      <c r="E2488" s="573" t="s">
        <v>196</v>
      </c>
      <c r="F2488" s="573" t="s">
        <v>271</v>
      </c>
      <c r="G2488" s="573">
        <v>2019</v>
      </c>
      <c r="H2488" s="573" t="s">
        <v>4229</v>
      </c>
      <c r="I2488" s="573" t="s">
        <v>4070</v>
      </c>
      <c r="J2488" s="573" t="s">
        <v>752</v>
      </c>
      <c r="K2488" s="573">
        <v>6</v>
      </c>
      <c r="L2488" s="573">
        <v>0</v>
      </c>
      <c r="M2488" s="573" t="s">
        <v>157</v>
      </c>
      <c r="N2488" s="573">
        <v>2</v>
      </c>
      <c r="O2488" s="573" t="s">
        <v>4230</v>
      </c>
      <c r="P2488" s="571">
        <v>12400</v>
      </c>
      <c r="Q2488" s="573" t="s">
        <v>4235</v>
      </c>
      <c r="R2488" s="573">
        <v>8</v>
      </c>
      <c r="S2488" s="582" t="s">
        <v>4426</v>
      </c>
      <c r="T2488" s="573" t="s">
        <v>4283</v>
      </c>
      <c r="U2488" s="573">
        <v>148</v>
      </c>
      <c r="V2488" s="573">
        <v>34</v>
      </c>
      <c r="W2488" s="616">
        <v>10000</v>
      </c>
      <c r="X2488" s="617" t="s">
        <v>157</v>
      </c>
      <c r="Y2488" s="617" t="s">
        <v>450</v>
      </c>
      <c r="Z2488" s="617" t="s">
        <v>178</v>
      </c>
      <c r="AA2488" s="618">
        <v>43880</v>
      </c>
      <c r="AB2488" s="618" t="s">
        <v>164</v>
      </c>
      <c r="AC2488" s="618">
        <v>31884.547368421056</v>
      </c>
      <c r="AD2488" s="619">
        <v>0.03</v>
      </c>
      <c r="AE2488" s="617" t="s">
        <v>4476</v>
      </c>
    </row>
    <row r="2489" spans="1:31" s="572" customFormat="1">
      <c r="A2489" s="570" t="s">
        <v>4496</v>
      </c>
      <c r="B2489" s="569" t="s">
        <v>280</v>
      </c>
      <c r="C2489" s="580">
        <v>27</v>
      </c>
      <c r="D2489" s="569" t="s">
        <v>3374</v>
      </c>
      <c r="E2489" s="569" t="s">
        <v>196</v>
      </c>
      <c r="F2489" s="569" t="s">
        <v>271</v>
      </c>
      <c r="G2489" s="569">
        <v>2019</v>
      </c>
      <c r="H2489" s="569" t="s">
        <v>4229</v>
      </c>
      <c r="I2489" s="569" t="s">
        <v>4070</v>
      </c>
      <c r="J2489" s="569" t="s">
        <v>752</v>
      </c>
      <c r="K2489" s="569">
        <v>6</v>
      </c>
      <c r="L2489" s="569">
        <v>0</v>
      </c>
      <c r="M2489" s="569" t="s">
        <v>157</v>
      </c>
      <c r="N2489" s="569">
        <v>2</v>
      </c>
      <c r="O2489" s="569" t="s">
        <v>4230</v>
      </c>
      <c r="P2489" s="568">
        <v>12400</v>
      </c>
      <c r="Q2489" s="569" t="s">
        <v>4231</v>
      </c>
      <c r="R2489" s="569">
        <v>8</v>
      </c>
      <c r="S2489" s="569" t="s">
        <v>4426</v>
      </c>
      <c r="T2489" s="569" t="s">
        <v>4283</v>
      </c>
      <c r="U2489" s="569">
        <v>148</v>
      </c>
      <c r="V2489" s="569">
        <v>34</v>
      </c>
      <c r="W2489" s="620">
        <v>10000</v>
      </c>
      <c r="X2489" s="621" t="s">
        <v>157</v>
      </c>
      <c r="Y2489" s="621" t="s">
        <v>728</v>
      </c>
      <c r="Z2489" s="621" t="s">
        <v>1523</v>
      </c>
      <c r="AA2489" s="622">
        <v>53450</v>
      </c>
      <c r="AB2489" s="622" t="s">
        <v>164</v>
      </c>
      <c r="AC2489" s="622">
        <v>40521.684210526313</v>
      </c>
      <c r="AD2489" s="623">
        <v>0.03</v>
      </c>
      <c r="AE2489" s="621" t="s">
        <v>4478</v>
      </c>
    </row>
    <row r="2490" spans="1:31" s="572" customFormat="1">
      <c r="A2490" s="570" t="s">
        <v>4497</v>
      </c>
      <c r="B2490" s="573" t="s">
        <v>280</v>
      </c>
      <c r="C2490" s="578">
        <v>27</v>
      </c>
      <c r="D2490" s="573" t="s">
        <v>3374</v>
      </c>
      <c r="E2490" s="573" t="s">
        <v>196</v>
      </c>
      <c r="F2490" s="573" t="s">
        <v>271</v>
      </c>
      <c r="G2490" s="573">
        <v>2019</v>
      </c>
      <c r="H2490" s="573" t="s">
        <v>4229</v>
      </c>
      <c r="I2490" s="573" t="s">
        <v>4070</v>
      </c>
      <c r="J2490" s="573" t="s">
        <v>752</v>
      </c>
      <c r="K2490" s="573">
        <v>6</v>
      </c>
      <c r="L2490" s="573">
        <v>0</v>
      </c>
      <c r="M2490" s="573" t="s">
        <v>157</v>
      </c>
      <c r="N2490" s="573">
        <v>2</v>
      </c>
      <c r="O2490" s="573" t="s">
        <v>4230</v>
      </c>
      <c r="P2490" s="571">
        <v>12600</v>
      </c>
      <c r="Q2490" s="573" t="s">
        <v>4235</v>
      </c>
      <c r="R2490" s="573">
        <v>8</v>
      </c>
      <c r="S2490" s="582" t="s">
        <v>4426</v>
      </c>
      <c r="T2490" s="573" t="s">
        <v>4283</v>
      </c>
      <c r="U2490" s="573">
        <v>148</v>
      </c>
      <c r="V2490" s="573">
        <v>34</v>
      </c>
      <c r="W2490" s="616">
        <v>10000</v>
      </c>
      <c r="X2490" s="617" t="s">
        <v>157</v>
      </c>
      <c r="Y2490" s="617" t="s">
        <v>450</v>
      </c>
      <c r="Z2490" s="617" t="s">
        <v>178</v>
      </c>
      <c r="AA2490" s="618">
        <v>43880</v>
      </c>
      <c r="AB2490" s="618" t="s">
        <v>164</v>
      </c>
      <c r="AC2490" s="618">
        <v>31884.547368421056</v>
      </c>
      <c r="AD2490" s="619">
        <v>0.03</v>
      </c>
      <c r="AE2490" s="617" t="s">
        <v>4480</v>
      </c>
    </row>
    <row r="2491" spans="1:31" s="572" customFormat="1">
      <c r="A2491" s="570" t="s">
        <v>4498</v>
      </c>
      <c r="B2491" s="569" t="s">
        <v>280</v>
      </c>
      <c r="C2491" s="580">
        <v>27</v>
      </c>
      <c r="D2491" s="569" t="s">
        <v>3374</v>
      </c>
      <c r="E2491" s="569" t="s">
        <v>196</v>
      </c>
      <c r="F2491" s="569" t="s">
        <v>271</v>
      </c>
      <c r="G2491" s="569">
        <v>2019</v>
      </c>
      <c r="H2491" s="569" t="s">
        <v>4229</v>
      </c>
      <c r="I2491" s="569" t="s">
        <v>4070</v>
      </c>
      <c r="J2491" s="569" t="s">
        <v>752</v>
      </c>
      <c r="K2491" s="569">
        <v>6</v>
      </c>
      <c r="L2491" s="569">
        <v>0</v>
      </c>
      <c r="M2491" s="569" t="s">
        <v>157</v>
      </c>
      <c r="N2491" s="569">
        <v>2</v>
      </c>
      <c r="O2491" s="569" t="s">
        <v>3846</v>
      </c>
      <c r="P2491" s="568">
        <v>12400</v>
      </c>
      <c r="Q2491" s="569" t="s">
        <v>4235</v>
      </c>
      <c r="R2491" s="569">
        <v>8</v>
      </c>
      <c r="S2491" s="569" t="s">
        <v>4426</v>
      </c>
      <c r="T2491" s="569" t="s">
        <v>4283</v>
      </c>
      <c r="U2491" s="569">
        <v>164</v>
      </c>
      <c r="V2491" s="569">
        <v>34</v>
      </c>
      <c r="W2491" s="620">
        <v>10000</v>
      </c>
      <c r="X2491" s="621" t="s">
        <v>157</v>
      </c>
      <c r="Y2491" s="621" t="s">
        <v>450</v>
      </c>
      <c r="Z2491" s="621" t="s">
        <v>178</v>
      </c>
      <c r="AA2491" s="622">
        <v>44080</v>
      </c>
      <c r="AB2491" s="622" t="s">
        <v>164</v>
      </c>
      <c r="AC2491" s="622">
        <v>32068.757894736842</v>
      </c>
      <c r="AD2491" s="623">
        <v>0.03</v>
      </c>
      <c r="AE2491" s="621" t="s">
        <v>4482</v>
      </c>
    </row>
    <row r="2492" spans="1:31" s="572" customFormat="1">
      <c r="A2492" s="570" t="s">
        <v>4499</v>
      </c>
      <c r="B2492" s="573" t="s">
        <v>280</v>
      </c>
      <c r="C2492" s="578">
        <v>27</v>
      </c>
      <c r="D2492" s="573" t="s">
        <v>3374</v>
      </c>
      <c r="E2492" s="573" t="s">
        <v>196</v>
      </c>
      <c r="F2492" s="573" t="s">
        <v>271</v>
      </c>
      <c r="G2492" s="573">
        <v>2019</v>
      </c>
      <c r="H2492" s="573" t="s">
        <v>4229</v>
      </c>
      <c r="I2492" s="573" t="s">
        <v>4070</v>
      </c>
      <c r="J2492" s="573" t="s">
        <v>752</v>
      </c>
      <c r="K2492" s="573">
        <v>6</v>
      </c>
      <c r="L2492" s="573">
        <v>0</v>
      </c>
      <c r="M2492" s="573" t="s">
        <v>157</v>
      </c>
      <c r="N2492" s="573">
        <v>2</v>
      </c>
      <c r="O2492" s="573" t="s">
        <v>3846</v>
      </c>
      <c r="P2492" s="571">
        <v>12400</v>
      </c>
      <c r="Q2492" s="573" t="s">
        <v>4231</v>
      </c>
      <c r="R2492" s="573">
        <v>8</v>
      </c>
      <c r="S2492" s="582" t="s">
        <v>4426</v>
      </c>
      <c r="T2492" s="573" t="s">
        <v>4283</v>
      </c>
      <c r="U2492" s="573">
        <v>164</v>
      </c>
      <c r="V2492" s="573">
        <v>34</v>
      </c>
      <c r="W2492" s="616">
        <v>10000</v>
      </c>
      <c r="X2492" s="617" t="s">
        <v>157</v>
      </c>
      <c r="Y2492" s="617" t="s">
        <v>728</v>
      </c>
      <c r="Z2492" s="617" t="s">
        <v>1523</v>
      </c>
      <c r="AA2492" s="618">
        <v>53650</v>
      </c>
      <c r="AB2492" s="618" t="s">
        <v>164</v>
      </c>
      <c r="AC2492" s="618">
        <v>40706.947368421053</v>
      </c>
      <c r="AD2492" s="619">
        <v>0.03</v>
      </c>
      <c r="AE2492" s="617" t="s">
        <v>4484</v>
      </c>
    </row>
    <row r="2493" spans="1:31" s="572" customFormat="1">
      <c r="A2493" s="570" t="s">
        <v>4500</v>
      </c>
      <c r="B2493" s="569" t="s">
        <v>280</v>
      </c>
      <c r="C2493" s="580">
        <v>27</v>
      </c>
      <c r="D2493" s="569" t="s">
        <v>3374</v>
      </c>
      <c r="E2493" s="569" t="s">
        <v>196</v>
      </c>
      <c r="F2493" s="569" t="s">
        <v>271</v>
      </c>
      <c r="G2493" s="569">
        <v>2019</v>
      </c>
      <c r="H2493" s="569" t="s">
        <v>4229</v>
      </c>
      <c r="I2493" s="569" t="s">
        <v>4070</v>
      </c>
      <c r="J2493" s="569" t="s">
        <v>752</v>
      </c>
      <c r="K2493" s="569">
        <v>6</v>
      </c>
      <c r="L2493" s="569">
        <v>0</v>
      </c>
      <c r="M2493" s="569" t="s">
        <v>157</v>
      </c>
      <c r="N2493" s="569">
        <v>2</v>
      </c>
      <c r="O2493" s="569" t="s">
        <v>3846</v>
      </c>
      <c r="P2493" s="568">
        <v>12600</v>
      </c>
      <c r="Q2493" s="569" t="s">
        <v>4235</v>
      </c>
      <c r="R2493" s="569">
        <v>8</v>
      </c>
      <c r="S2493" s="569" t="s">
        <v>4426</v>
      </c>
      <c r="T2493" s="569" t="s">
        <v>4283</v>
      </c>
      <c r="U2493" s="569">
        <v>164</v>
      </c>
      <c r="V2493" s="569">
        <v>34</v>
      </c>
      <c r="W2493" s="620">
        <v>10000</v>
      </c>
      <c r="X2493" s="621" t="s">
        <v>157</v>
      </c>
      <c r="Y2493" s="621" t="s">
        <v>450</v>
      </c>
      <c r="Z2493" s="621" t="s">
        <v>178</v>
      </c>
      <c r="AA2493" s="622">
        <v>44080</v>
      </c>
      <c r="AB2493" s="622" t="s">
        <v>164</v>
      </c>
      <c r="AC2493" s="622">
        <v>32068.757894736842</v>
      </c>
      <c r="AD2493" s="623">
        <v>0.03</v>
      </c>
      <c r="AE2493" s="621" t="s">
        <v>4486</v>
      </c>
    </row>
    <row r="2494" spans="1:31" s="572" customFormat="1">
      <c r="A2494" s="570" t="s">
        <v>4501</v>
      </c>
      <c r="B2494" s="573" t="s">
        <v>269</v>
      </c>
      <c r="C2494" s="578" t="s">
        <v>270</v>
      </c>
      <c r="D2494" s="573" t="s">
        <v>3374</v>
      </c>
      <c r="E2494" s="573" t="s">
        <v>187</v>
      </c>
      <c r="F2494" s="573" t="s">
        <v>271</v>
      </c>
      <c r="G2494" s="573">
        <v>2019</v>
      </c>
      <c r="H2494" s="573" t="s">
        <v>4503</v>
      </c>
      <c r="I2494" s="573" t="s">
        <v>3766</v>
      </c>
      <c r="J2494" s="573" t="s">
        <v>3377</v>
      </c>
      <c r="K2494" s="573">
        <v>6</v>
      </c>
      <c r="L2494" s="573">
        <v>0</v>
      </c>
      <c r="M2494" s="573" t="s">
        <v>157</v>
      </c>
      <c r="N2494" s="573">
        <v>2</v>
      </c>
      <c r="O2494" s="573" t="s">
        <v>4230</v>
      </c>
      <c r="P2494" s="571">
        <v>12300</v>
      </c>
      <c r="Q2494" s="573" t="s">
        <v>4235</v>
      </c>
      <c r="R2494" s="573">
        <v>8</v>
      </c>
      <c r="S2494" s="582" t="s">
        <v>4504</v>
      </c>
      <c r="T2494" s="573" t="s">
        <v>4505</v>
      </c>
      <c r="U2494" s="573">
        <v>160</v>
      </c>
      <c r="V2494" s="573">
        <v>34</v>
      </c>
      <c r="W2494" s="616">
        <v>10100</v>
      </c>
      <c r="X2494" s="617" t="s">
        <v>157</v>
      </c>
      <c r="Y2494" s="617" t="s">
        <v>450</v>
      </c>
      <c r="Z2494" s="617" t="s">
        <v>178</v>
      </c>
      <c r="AA2494" s="618">
        <v>39415</v>
      </c>
      <c r="AB2494" s="618" t="s">
        <v>164</v>
      </c>
      <c r="AC2494" s="618">
        <v>29681.810526315792</v>
      </c>
      <c r="AD2494" s="619">
        <v>0.03</v>
      </c>
      <c r="AE2494" s="617" t="s">
        <v>4502</v>
      </c>
    </row>
    <row r="2495" spans="1:31" s="572" customFormat="1">
      <c r="A2495" s="570" t="s">
        <v>4506</v>
      </c>
      <c r="B2495" s="569" t="s">
        <v>269</v>
      </c>
      <c r="C2495" s="580" t="s">
        <v>270</v>
      </c>
      <c r="D2495" s="569" t="s">
        <v>3374</v>
      </c>
      <c r="E2495" s="569" t="s">
        <v>187</v>
      </c>
      <c r="F2495" s="569" t="s">
        <v>271</v>
      </c>
      <c r="G2495" s="569">
        <v>2019</v>
      </c>
      <c r="H2495" s="569" t="s">
        <v>4503</v>
      </c>
      <c r="I2495" s="569" t="s">
        <v>3766</v>
      </c>
      <c r="J2495" s="569" t="s">
        <v>3377</v>
      </c>
      <c r="K2495" s="569">
        <v>6</v>
      </c>
      <c r="L2495" s="569">
        <v>0</v>
      </c>
      <c r="M2495" s="569" t="s">
        <v>157</v>
      </c>
      <c r="N2495" s="569">
        <v>2</v>
      </c>
      <c r="O2495" s="569" t="s">
        <v>4230</v>
      </c>
      <c r="P2495" s="568">
        <v>12700</v>
      </c>
      <c r="Q2495" s="569" t="s">
        <v>4235</v>
      </c>
      <c r="R2495" s="569">
        <v>8</v>
      </c>
      <c r="S2495" s="569" t="s">
        <v>4504</v>
      </c>
      <c r="T2495" s="569" t="s">
        <v>4505</v>
      </c>
      <c r="U2495" s="569">
        <v>160</v>
      </c>
      <c r="V2495" s="569">
        <v>34</v>
      </c>
      <c r="W2495" s="620">
        <v>10100</v>
      </c>
      <c r="X2495" s="621" t="s">
        <v>157</v>
      </c>
      <c r="Y2495" s="621" t="s">
        <v>450</v>
      </c>
      <c r="Z2495" s="621" t="s">
        <v>178</v>
      </c>
      <c r="AA2495" s="622">
        <v>39415</v>
      </c>
      <c r="AB2495" s="622" t="s">
        <v>164</v>
      </c>
      <c r="AC2495" s="622">
        <v>29681.810526315792</v>
      </c>
      <c r="AD2495" s="623">
        <v>0.03</v>
      </c>
      <c r="AE2495" s="621" t="s">
        <v>4507</v>
      </c>
    </row>
    <row r="2496" spans="1:31" s="572" customFormat="1">
      <c r="A2496" s="570" t="s">
        <v>4506</v>
      </c>
      <c r="B2496" s="573" t="s">
        <v>269</v>
      </c>
      <c r="C2496" s="578" t="s">
        <v>270</v>
      </c>
      <c r="D2496" s="573" t="s">
        <v>3374</v>
      </c>
      <c r="E2496" s="573" t="s">
        <v>187</v>
      </c>
      <c r="F2496" s="573" t="s">
        <v>271</v>
      </c>
      <c r="G2496" s="573">
        <v>2019</v>
      </c>
      <c r="H2496" s="573" t="s">
        <v>4503</v>
      </c>
      <c r="I2496" s="573" t="s">
        <v>3766</v>
      </c>
      <c r="J2496" s="573" t="s">
        <v>3377</v>
      </c>
      <c r="K2496" s="573">
        <v>6</v>
      </c>
      <c r="L2496" s="573">
        <v>0</v>
      </c>
      <c r="M2496" s="573" t="s">
        <v>157</v>
      </c>
      <c r="N2496" s="573">
        <v>2</v>
      </c>
      <c r="O2496" s="573" t="s">
        <v>4230</v>
      </c>
      <c r="P2496" s="571">
        <v>12700</v>
      </c>
      <c r="Q2496" s="573" t="s">
        <v>4235</v>
      </c>
      <c r="R2496" s="573">
        <v>8</v>
      </c>
      <c r="S2496" s="582" t="s">
        <v>4504</v>
      </c>
      <c r="T2496" s="573" t="s">
        <v>4505</v>
      </c>
      <c r="U2496" s="573">
        <v>160</v>
      </c>
      <c r="V2496" s="573">
        <v>34</v>
      </c>
      <c r="W2496" s="616">
        <v>10100</v>
      </c>
      <c r="X2496" s="617" t="s">
        <v>157</v>
      </c>
      <c r="Y2496" s="617" t="s">
        <v>450</v>
      </c>
      <c r="Z2496" s="617" t="s">
        <v>178</v>
      </c>
      <c r="AA2496" s="618">
        <v>39415</v>
      </c>
      <c r="AB2496" s="618" t="s">
        <v>164</v>
      </c>
      <c r="AC2496" s="618">
        <v>29681.810526315792</v>
      </c>
      <c r="AD2496" s="619">
        <v>0.03</v>
      </c>
      <c r="AE2496" s="617" t="s">
        <v>4507</v>
      </c>
    </row>
    <row r="2497" spans="1:31" s="572" customFormat="1">
      <c r="A2497" s="570" t="s">
        <v>4508</v>
      </c>
      <c r="B2497" s="569" t="s">
        <v>269</v>
      </c>
      <c r="C2497" s="580" t="s">
        <v>270</v>
      </c>
      <c r="D2497" s="569" t="s">
        <v>3374</v>
      </c>
      <c r="E2497" s="569" t="s">
        <v>187</v>
      </c>
      <c r="F2497" s="569" t="s">
        <v>271</v>
      </c>
      <c r="G2497" s="569">
        <v>2019</v>
      </c>
      <c r="H2497" s="569" t="s">
        <v>4503</v>
      </c>
      <c r="I2497" s="569" t="s">
        <v>3766</v>
      </c>
      <c r="J2497" s="569" t="s">
        <v>3377</v>
      </c>
      <c r="K2497" s="569">
        <v>6</v>
      </c>
      <c r="L2497" s="569">
        <v>0</v>
      </c>
      <c r="M2497" s="569" t="s">
        <v>157</v>
      </c>
      <c r="N2497" s="569">
        <v>2</v>
      </c>
      <c r="O2497" s="569" t="s">
        <v>4230</v>
      </c>
      <c r="P2497" s="568">
        <v>12700</v>
      </c>
      <c r="Q2497" s="569" t="s">
        <v>4231</v>
      </c>
      <c r="R2497" s="569">
        <v>8</v>
      </c>
      <c r="S2497" s="569" t="s">
        <v>4504</v>
      </c>
      <c r="T2497" s="569" t="s">
        <v>4505</v>
      </c>
      <c r="U2497" s="569">
        <v>160</v>
      </c>
      <c r="V2497" s="569">
        <v>34</v>
      </c>
      <c r="W2497" s="620">
        <v>10900</v>
      </c>
      <c r="X2497" s="621" t="s">
        <v>157</v>
      </c>
      <c r="Y2497" s="621" t="s">
        <v>728</v>
      </c>
      <c r="Z2497" s="621" t="s">
        <v>1523</v>
      </c>
      <c r="AA2497" s="622">
        <v>48535</v>
      </c>
      <c r="AB2497" s="622" t="s">
        <v>164</v>
      </c>
      <c r="AC2497" s="622">
        <v>37874.000000000007</v>
      </c>
      <c r="AD2497" s="623">
        <v>0.03</v>
      </c>
      <c r="AE2497" s="621" t="s">
        <v>4509</v>
      </c>
    </row>
    <row r="2498" spans="1:31" s="572" customFormat="1">
      <c r="A2498" s="570" t="s">
        <v>4510</v>
      </c>
      <c r="B2498" s="573" t="s">
        <v>269</v>
      </c>
      <c r="C2498" s="578" t="s">
        <v>270</v>
      </c>
      <c r="D2498" s="573" t="s">
        <v>3374</v>
      </c>
      <c r="E2498" s="573" t="s">
        <v>187</v>
      </c>
      <c r="F2498" s="573" t="s">
        <v>271</v>
      </c>
      <c r="G2498" s="573">
        <v>2019</v>
      </c>
      <c r="H2498" s="573" t="s">
        <v>4503</v>
      </c>
      <c r="I2498" s="573" t="s">
        <v>3766</v>
      </c>
      <c r="J2498" s="573" t="s">
        <v>3377</v>
      </c>
      <c r="K2498" s="573">
        <v>6</v>
      </c>
      <c r="L2498" s="573">
        <v>0</v>
      </c>
      <c r="M2498" s="573" t="s">
        <v>157</v>
      </c>
      <c r="N2498" s="573">
        <v>2</v>
      </c>
      <c r="O2498" s="573" t="s">
        <v>3846</v>
      </c>
      <c r="P2498" s="571">
        <v>12500</v>
      </c>
      <c r="Q2498" s="573" t="s">
        <v>4235</v>
      </c>
      <c r="R2498" s="573">
        <v>8</v>
      </c>
      <c r="S2498" s="582" t="s">
        <v>4504</v>
      </c>
      <c r="T2498" s="573" t="s">
        <v>4505</v>
      </c>
      <c r="U2498" s="573">
        <v>176</v>
      </c>
      <c r="V2498" s="573">
        <v>34</v>
      </c>
      <c r="W2498" s="616">
        <v>10500</v>
      </c>
      <c r="X2498" s="617" t="s">
        <v>157</v>
      </c>
      <c r="Y2498" s="617" t="s">
        <v>450</v>
      </c>
      <c r="Z2498" s="617" t="s">
        <v>178</v>
      </c>
      <c r="AA2498" s="618">
        <v>39615</v>
      </c>
      <c r="AB2498" s="618" t="s">
        <v>164</v>
      </c>
      <c r="AC2498" s="618">
        <v>29867.073684210529</v>
      </c>
      <c r="AD2498" s="619">
        <v>0.03</v>
      </c>
      <c r="AE2498" s="617" t="s">
        <v>4511</v>
      </c>
    </row>
    <row r="2499" spans="1:31" s="572" customFormat="1">
      <c r="A2499" s="570" t="s">
        <v>4512</v>
      </c>
      <c r="B2499" s="569" t="s">
        <v>269</v>
      </c>
      <c r="C2499" s="580" t="s">
        <v>270</v>
      </c>
      <c r="D2499" s="569" t="s">
        <v>3374</v>
      </c>
      <c r="E2499" s="569" t="s">
        <v>187</v>
      </c>
      <c r="F2499" s="569" t="s">
        <v>271</v>
      </c>
      <c r="G2499" s="569">
        <v>2019</v>
      </c>
      <c r="H2499" s="569" t="s">
        <v>4503</v>
      </c>
      <c r="I2499" s="569" t="s">
        <v>3766</v>
      </c>
      <c r="J2499" s="569" t="s">
        <v>3377</v>
      </c>
      <c r="K2499" s="569">
        <v>6</v>
      </c>
      <c r="L2499" s="569">
        <v>0</v>
      </c>
      <c r="M2499" s="569" t="s">
        <v>157</v>
      </c>
      <c r="N2499" s="569">
        <v>2</v>
      </c>
      <c r="O2499" s="569" t="s">
        <v>3846</v>
      </c>
      <c r="P2499" s="568">
        <v>12500</v>
      </c>
      <c r="Q2499" s="569" t="s">
        <v>4235</v>
      </c>
      <c r="R2499" s="569">
        <v>8</v>
      </c>
      <c r="S2499" s="569" t="s">
        <v>4504</v>
      </c>
      <c r="T2499" s="569" t="s">
        <v>4505</v>
      </c>
      <c r="U2499" s="569">
        <v>176</v>
      </c>
      <c r="V2499" s="569">
        <v>48</v>
      </c>
      <c r="W2499" s="620">
        <v>10500</v>
      </c>
      <c r="X2499" s="621" t="s">
        <v>157</v>
      </c>
      <c r="Y2499" s="621" t="s">
        <v>450</v>
      </c>
      <c r="Z2499" s="621" t="s">
        <v>178</v>
      </c>
      <c r="AA2499" s="622">
        <v>39615</v>
      </c>
      <c r="AB2499" s="622" t="s">
        <v>164</v>
      </c>
      <c r="AC2499" s="622">
        <v>29867.073684210529</v>
      </c>
      <c r="AD2499" s="623">
        <v>0.03</v>
      </c>
      <c r="AE2499" s="621" t="s">
        <v>4513</v>
      </c>
    </row>
    <row r="2500" spans="1:31" s="572" customFormat="1">
      <c r="A2500" s="570" t="s">
        <v>4514</v>
      </c>
      <c r="B2500" s="573" t="s">
        <v>269</v>
      </c>
      <c r="C2500" s="578" t="s">
        <v>270</v>
      </c>
      <c r="D2500" s="573" t="s">
        <v>3374</v>
      </c>
      <c r="E2500" s="573" t="s">
        <v>187</v>
      </c>
      <c r="F2500" s="573" t="s">
        <v>271</v>
      </c>
      <c r="G2500" s="573">
        <v>2019</v>
      </c>
      <c r="H2500" s="573" t="s">
        <v>4503</v>
      </c>
      <c r="I2500" s="573" t="s">
        <v>3766</v>
      </c>
      <c r="J2500" s="573" t="s">
        <v>3377</v>
      </c>
      <c r="K2500" s="573">
        <v>6</v>
      </c>
      <c r="L2500" s="573">
        <v>0</v>
      </c>
      <c r="M2500" s="573" t="s">
        <v>157</v>
      </c>
      <c r="N2500" s="573">
        <v>2</v>
      </c>
      <c r="O2500" s="573" t="s">
        <v>3846</v>
      </c>
      <c r="P2500" s="571">
        <v>12500</v>
      </c>
      <c r="Q2500" s="573" t="s">
        <v>4231</v>
      </c>
      <c r="R2500" s="573">
        <v>8</v>
      </c>
      <c r="S2500" s="582" t="s">
        <v>4504</v>
      </c>
      <c r="T2500" s="573" t="s">
        <v>4505</v>
      </c>
      <c r="U2500" s="573">
        <v>176</v>
      </c>
      <c r="V2500" s="573">
        <v>48</v>
      </c>
      <c r="W2500" s="616">
        <v>11100</v>
      </c>
      <c r="X2500" s="617" t="s">
        <v>157</v>
      </c>
      <c r="Y2500" s="617" t="s">
        <v>728</v>
      </c>
      <c r="Z2500" s="617" t="s">
        <v>1523</v>
      </c>
      <c r="AA2500" s="618">
        <v>48735</v>
      </c>
      <c r="AB2500" s="618" t="s">
        <v>164</v>
      </c>
      <c r="AC2500" s="618">
        <v>38059.26315789474</v>
      </c>
      <c r="AD2500" s="619">
        <v>0.03</v>
      </c>
      <c r="AE2500" s="617" t="s">
        <v>4515</v>
      </c>
    </row>
    <row r="2501" spans="1:31" s="572" customFormat="1">
      <c r="A2501" s="570" t="s">
        <v>4516</v>
      </c>
      <c r="B2501" s="569" t="s">
        <v>278</v>
      </c>
      <c r="C2501" s="580">
        <v>15</v>
      </c>
      <c r="D2501" s="569" t="s">
        <v>3374</v>
      </c>
      <c r="E2501" s="569" t="s">
        <v>187</v>
      </c>
      <c r="F2501" s="569" t="s">
        <v>271</v>
      </c>
      <c r="G2501" s="569">
        <v>2019</v>
      </c>
      <c r="H2501" s="569" t="s">
        <v>4503</v>
      </c>
      <c r="I2501" s="569" t="s">
        <v>3766</v>
      </c>
      <c r="J2501" s="569" t="s">
        <v>3377</v>
      </c>
      <c r="K2501" s="569">
        <v>6</v>
      </c>
      <c r="L2501" s="569">
        <v>0</v>
      </c>
      <c r="M2501" s="569" t="s">
        <v>157</v>
      </c>
      <c r="N2501" s="569">
        <v>2</v>
      </c>
      <c r="O2501" s="569" t="s">
        <v>4230</v>
      </c>
      <c r="P2501" s="568">
        <v>12700</v>
      </c>
      <c r="Q2501" s="569" t="s">
        <v>4235</v>
      </c>
      <c r="R2501" s="569">
        <v>8</v>
      </c>
      <c r="S2501" s="569" t="s">
        <v>4504</v>
      </c>
      <c r="T2501" s="569" t="s">
        <v>4505</v>
      </c>
      <c r="U2501" s="569">
        <v>160</v>
      </c>
      <c r="V2501" s="569">
        <v>34</v>
      </c>
      <c r="W2501" s="620">
        <v>10100</v>
      </c>
      <c r="X2501" s="621" t="s">
        <v>157</v>
      </c>
      <c r="Y2501" s="621" t="s">
        <v>450</v>
      </c>
      <c r="Z2501" s="621" t="s">
        <v>178</v>
      </c>
      <c r="AA2501" s="622">
        <v>39415</v>
      </c>
      <c r="AB2501" s="622" t="s">
        <v>164</v>
      </c>
      <c r="AC2501" s="622">
        <v>29775</v>
      </c>
      <c r="AD2501" s="623">
        <v>0.01</v>
      </c>
      <c r="AE2501" s="621" t="s">
        <v>4507</v>
      </c>
    </row>
    <row r="2502" spans="1:31" s="572" customFormat="1">
      <c r="A2502" s="570" t="s">
        <v>4517</v>
      </c>
      <c r="B2502" s="573" t="s">
        <v>278</v>
      </c>
      <c r="C2502" s="578">
        <v>15</v>
      </c>
      <c r="D2502" s="573" t="s">
        <v>3374</v>
      </c>
      <c r="E2502" s="573" t="s">
        <v>187</v>
      </c>
      <c r="F2502" s="573" t="s">
        <v>271</v>
      </c>
      <c r="G2502" s="573">
        <v>2019</v>
      </c>
      <c r="H2502" s="573" t="s">
        <v>4503</v>
      </c>
      <c r="I2502" s="573" t="s">
        <v>3766</v>
      </c>
      <c r="J2502" s="573" t="s">
        <v>3377</v>
      </c>
      <c r="K2502" s="573">
        <v>6</v>
      </c>
      <c r="L2502" s="573">
        <v>0</v>
      </c>
      <c r="M2502" s="573" t="s">
        <v>157</v>
      </c>
      <c r="N2502" s="573">
        <v>2</v>
      </c>
      <c r="O2502" s="573" t="s">
        <v>4230</v>
      </c>
      <c r="P2502" s="571">
        <v>12700</v>
      </c>
      <c r="Q2502" s="573" t="s">
        <v>4231</v>
      </c>
      <c r="R2502" s="573">
        <v>8</v>
      </c>
      <c r="S2502" s="582" t="s">
        <v>4504</v>
      </c>
      <c r="T2502" s="573" t="s">
        <v>4505</v>
      </c>
      <c r="U2502" s="573">
        <v>160</v>
      </c>
      <c r="V2502" s="573">
        <v>34</v>
      </c>
      <c r="W2502" s="616">
        <v>10900</v>
      </c>
      <c r="X2502" s="617" t="s">
        <v>157</v>
      </c>
      <c r="Y2502" s="617" t="s">
        <v>728</v>
      </c>
      <c r="Z2502" s="617" t="s">
        <v>1523</v>
      </c>
      <c r="AA2502" s="618">
        <v>48535</v>
      </c>
      <c r="AB2502" s="618" t="s">
        <v>164</v>
      </c>
      <c r="AC2502" s="618">
        <v>38100</v>
      </c>
      <c r="AD2502" s="619">
        <v>0.01</v>
      </c>
      <c r="AE2502" s="617" t="s">
        <v>4509</v>
      </c>
    </row>
    <row r="2503" spans="1:31" s="572" customFormat="1">
      <c r="A2503" s="570" t="s">
        <v>4518</v>
      </c>
      <c r="B2503" s="569" t="s">
        <v>278</v>
      </c>
      <c r="C2503" s="580">
        <v>15</v>
      </c>
      <c r="D2503" s="569" t="s">
        <v>3374</v>
      </c>
      <c r="E2503" s="569" t="s">
        <v>187</v>
      </c>
      <c r="F2503" s="569" t="s">
        <v>271</v>
      </c>
      <c r="G2503" s="569">
        <v>2019</v>
      </c>
      <c r="H2503" s="569" t="s">
        <v>4503</v>
      </c>
      <c r="I2503" s="569" t="s">
        <v>3766</v>
      </c>
      <c r="J2503" s="569" t="s">
        <v>3377</v>
      </c>
      <c r="K2503" s="569">
        <v>6</v>
      </c>
      <c r="L2503" s="569">
        <v>0</v>
      </c>
      <c r="M2503" s="569" t="s">
        <v>157</v>
      </c>
      <c r="N2503" s="569">
        <v>2</v>
      </c>
      <c r="O2503" s="569" t="s">
        <v>3846</v>
      </c>
      <c r="P2503" s="568">
        <v>12500</v>
      </c>
      <c r="Q2503" s="569" t="s">
        <v>4235</v>
      </c>
      <c r="R2503" s="569">
        <v>8</v>
      </c>
      <c r="S2503" s="569" t="s">
        <v>4504</v>
      </c>
      <c r="T2503" s="569" t="s">
        <v>4505</v>
      </c>
      <c r="U2503" s="569">
        <v>176</v>
      </c>
      <c r="V2503" s="569">
        <v>48</v>
      </c>
      <c r="W2503" s="620">
        <v>10500</v>
      </c>
      <c r="X2503" s="621" t="s">
        <v>157</v>
      </c>
      <c r="Y2503" s="621" t="s">
        <v>450</v>
      </c>
      <c r="Z2503" s="621" t="s">
        <v>178</v>
      </c>
      <c r="AA2503" s="622">
        <v>39615</v>
      </c>
      <c r="AB2503" s="622" t="s">
        <v>164</v>
      </c>
      <c r="AC2503" s="622">
        <v>29995</v>
      </c>
      <c r="AD2503" s="623">
        <v>0.01</v>
      </c>
      <c r="AE2503" s="621" t="s">
        <v>4513</v>
      </c>
    </row>
    <row r="2504" spans="1:31" s="572" customFormat="1">
      <c r="A2504" s="570" t="s">
        <v>4519</v>
      </c>
      <c r="B2504" s="573" t="s">
        <v>278</v>
      </c>
      <c r="C2504" s="578">
        <v>15</v>
      </c>
      <c r="D2504" s="573" t="s">
        <v>3374</v>
      </c>
      <c r="E2504" s="573" t="s">
        <v>187</v>
      </c>
      <c r="F2504" s="573" t="s">
        <v>271</v>
      </c>
      <c r="G2504" s="573">
        <v>2019</v>
      </c>
      <c r="H2504" s="573" t="s">
        <v>4503</v>
      </c>
      <c r="I2504" s="573" t="s">
        <v>3766</v>
      </c>
      <c r="J2504" s="573" t="s">
        <v>3377</v>
      </c>
      <c r="K2504" s="573">
        <v>6</v>
      </c>
      <c r="L2504" s="573">
        <v>0</v>
      </c>
      <c r="M2504" s="573" t="s">
        <v>157</v>
      </c>
      <c r="N2504" s="573">
        <v>2</v>
      </c>
      <c r="O2504" s="573" t="s">
        <v>3846</v>
      </c>
      <c r="P2504" s="571">
        <v>12500</v>
      </c>
      <c r="Q2504" s="573" t="s">
        <v>4231</v>
      </c>
      <c r="R2504" s="573">
        <v>8</v>
      </c>
      <c r="S2504" s="582" t="s">
        <v>4504</v>
      </c>
      <c r="T2504" s="573" t="s">
        <v>4505</v>
      </c>
      <c r="U2504" s="573">
        <v>176</v>
      </c>
      <c r="V2504" s="573">
        <v>48</v>
      </c>
      <c r="W2504" s="616">
        <v>11100</v>
      </c>
      <c r="X2504" s="617" t="s">
        <v>157</v>
      </c>
      <c r="Y2504" s="617" t="s">
        <v>728</v>
      </c>
      <c r="Z2504" s="617" t="s">
        <v>1523</v>
      </c>
      <c r="AA2504" s="618">
        <v>48735</v>
      </c>
      <c r="AB2504" s="618" t="s">
        <v>164</v>
      </c>
      <c r="AC2504" s="618">
        <v>38250</v>
      </c>
      <c r="AD2504" s="619">
        <v>0.01</v>
      </c>
      <c r="AE2504" s="617" t="s">
        <v>4515</v>
      </c>
    </row>
    <row r="2505" spans="1:31" s="572" customFormat="1">
      <c r="A2505" s="570" t="s">
        <v>4520</v>
      </c>
      <c r="B2505" s="569" t="s">
        <v>287</v>
      </c>
      <c r="C2505" s="580">
        <v>26</v>
      </c>
      <c r="D2505" s="569" t="s">
        <v>3374</v>
      </c>
      <c r="E2505" s="569" t="s">
        <v>187</v>
      </c>
      <c r="F2505" s="569" t="s">
        <v>271</v>
      </c>
      <c r="G2505" s="569">
        <v>2019</v>
      </c>
      <c r="H2505" s="569" t="s">
        <v>4503</v>
      </c>
      <c r="I2505" s="569" t="s">
        <v>3766</v>
      </c>
      <c r="J2505" s="569" t="s">
        <v>3377</v>
      </c>
      <c r="K2505" s="569">
        <v>6</v>
      </c>
      <c r="L2505" s="569">
        <v>0</v>
      </c>
      <c r="M2505" s="569" t="s">
        <v>157</v>
      </c>
      <c r="N2505" s="569">
        <v>2</v>
      </c>
      <c r="O2505" s="569" t="s">
        <v>4230</v>
      </c>
      <c r="P2505" s="568">
        <v>12700</v>
      </c>
      <c r="Q2505" s="569" t="s">
        <v>4235</v>
      </c>
      <c r="R2505" s="569">
        <v>8</v>
      </c>
      <c r="S2505" s="569" t="s">
        <v>4504</v>
      </c>
      <c r="T2505" s="569" t="s">
        <v>4505</v>
      </c>
      <c r="U2505" s="569">
        <v>160</v>
      </c>
      <c r="V2505" s="569">
        <v>34</v>
      </c>
      <c r="W2505" s="620">
        <v>10100</v>
      </c>
      <c r="X2505" s="621" t="s">
        <v>157</v>
      </c>
      <c r="Y2505" s="621" t="s">
        <v>450</v>
      </c>
      <c r="Z2505" s="621" t="s">
        <v>178</v>
      </c>
      <c r="AA2505" s="622">
        <v>39050</v>
      </c>
      <c r="AB2505" s="622" t="s">
        <v>164</v>
      </c>
      <c r="AC2505" s="622">
        <v>29289</v>
      </c>
      <c r="AD2505" s="623">
        <v>0.05</v>
      </c>
      <c r="AE2505" s="621" t="s">
        <v>4507</v>
      </c>
    </row>
    <row r="2506" spans="1:31" s="572" customFormat="1">
      <c r="A2506" s="570" t="s">
        <v>4521</v>
      </c>
      <c r="B2506" s="573" t="s">
        <v>287</v>
      </c>
      <c r="C2506" s="578">
        <v>26</v>
      </c>
      <c r="D2506" s="573" t="s">
        <v>3374</v>
      </c>
      <c r="E2506" s="573" t="s">
        <v>187</v>
      </c>
      <c r="F2506" s="573" t="s">
        <v>271</v>
      </c>
      <c r="G2506" s="573">
        <v>2019</v>
      </c>
      <c r="H2506" s="573" t="s">
        <v>4503</v>
      </c>
      <c r="I2506" s="573" t="s">
        <v>3766</v>
      </c>
      <c r="J2506" s="573" t="s">
        <v>3377</v>
      </c>
      <c r="K2506" s="573">
        <v>6</v>
      </c>
      <c r="L2506" s="573">
        <v>0</v>
      </c>
      <c r="M2506" s="573" t="s">
        <v>157</v>
      </c>
      <c r="N2506" s="573">
        <v>2</v>
      </c>
      <c r="O2506" s="573" t="s">
        <v>4230</v>
      </c>
      <c r="P2506" s="571">
        <v>12700</v>
      </c>
      <c r="Q2506" s="573" t="s">
        <v>4231</v>
      </c>
      <c r="R2506" s="573">
        <v>8</v>
      </c>
      <c r="S2506" s="582" t="s">
        <v>4504</v>
      </c>
      <c r="T2506" s="573" t="s">
        <v>4505</v>
      </c>
      <c r="U2506" s="573">
        <v>160</v>
      </c>
      <c r="V2506" s="573">
        <v>34</v>
      </c>
      <c r="W2506" s="616">
        <v>10900</v>
      </c>
      <c r="X2506" s="617" t="s">
        <v>157</v>
      </c>
      <c r="Y2506" s="617" t="s">
        <v>728</v>
      </c>
      <c r="Z2506" s="617" t="s">
        <v>1523</v>
      </c>
      <c r="AA2506" s="618">
        <v>48535</v>
      </c>
      <c r="AB2506" s="618" t="s">
        <v>164</v>
      </c>
      <c r="AC2506" s="618">
        <v>38124</v>
      </c>
      <c r="AD2506" s="619">
        <v>0.05</v>
      </c>
      <c r="AE2506" s="617" t="s">
        <v>4509</v>
      </c>
    </row>
    <row r="2507" spans="1:31" s="572" customFormat="1">
      <c r="A2507" s="570" t="s">
        <v>4522</v>
      </c>
      <c r="B2507" s="569" t="s">
        <v>287</v>
      </c>
      <c r="C2507" s="580">
        <v>26</v>
      </c>
      <c r="D2507" s="569" t="s">
        <v>3374</v>
      </c>
      <c r="E2507" s="569" t="s">
        <v>187</v>
      </c>
      <c r="F2507" s="569" t="s">
        <v>271</v>
      </c>
      <c r="G2507" s="569">
        <v>2019</v>
      </c>
      <c r="H2507" s="569" t="s">
        <v>4503</v>
      </c>
      <c r="I2507" s="569" t="s">
        <v>3766</v>
      </c>
      <c r="J2507" s="569" t="s">
        <v>3377</v>
      </c>
      <c r="K2507" s="569">
        <v>6</v>
      </c>
      <c r="L2507" s="569">
        <v>0</v>
      </c>
      <c r="M2507" s="569" t="s">
        <v>157</v>
      </c>
      <c r="N2507" s="569">
        <v>2</v>
      </c>
      <c r="O2507" s="569" t="s">
        <v>3846</v>
      </c>
      <c r="P2507" s="568">
        <v>12500</v>
      </c>
      <c r="Q2507" s="569" t="s">
        <v>4235</v>
      </c>
      <c r="R2507" s="569">
        <v>8</v>
      </c>
      <c r="S2507" s="569" t="s">
        <v>4504</v>
      </c>
      <c r="T2507" s="569" t="s">
        <v>4505</v>
      </c>
      <c r="U2507" s="569">
        <v>176</v>
      </c>
      <c r="V2507" s="569">
        <v>48</v>
      </c>
      <c r="W2507" s="620">
        <v>10500</v>
      </c>
      <c r="X2507" s="621" t="s">
        <v>157</v>
      </c>
      <c r="Y2507" s="621" t="s">
        <v>450</v>
      </c>
      <c r="Z2507" s="621" t="s">
        <v>178</v>
      </c>
      <c r="AA2507" s="622">
        <v>39615</v>
      </c>
      <c r="AB2507" s="622" t="s">
        <v>164</v>
      </c>
      <c r="AC2507" s="622">
        <v>30117</v>
      </c>
      <c r="AD2507" s="623">
        <v>0.05</v>
      </c>
      <c r="AE2507" s="621" t="s">
        <v>4513</v>
      </c>
    </row>
    <row r="2508" spans="1:31" s="572" customFormat="1">
      <c r="A2508" s="570" t="s">
        <v>4523</v>
      </c>
      <c r="B2508" s="573" t="s">
        <v>287</v>
      </c>
      <c r="C2508" s="578">
        <v>26</v>
      </c>
      <c r="D2508" s="573" t="s">
        <v>3374</v>
      </c>
      <c r="E2508" s="573" t="s">
        <v>187</v>
      </c>
      <c r="F2508" s="573" t="s">
        <v>271</v>
      </c>
      <c r="G2508" s="573">
        <v>2019</v>
      </c>
      <c r="H2508" s="573" t="s">
        <v>4503</v>
      </c>
      <c r="I2508" s="573" t="s">
        <v>3766</v>
      </c>
      <c r="J2508" s="573" t="s">
        <v>3377</v>
      </c>
      <c r="K2508" s="573">
        <v>6</v>
      </c>
      <c r="L2508" s="573">
        <v>0</v>
      </c>
      <c r="M2508" s="573" t="s">
        <v>157</v>
      </c>
      <c r="N2508" s="573">
        <v>2</v>
      </c>
      <c r="O2508" s="573" t="s">
        <v>3846</v>
      </c>
      <c r="P2508" s="571">
        <v>12500</v>
      </c>
      <c r="Q2508" s="573" t="s">
        <v>4231</v>
      </c>
      <c r="R2508" s="573">
        <v>8</v>
      </c>
      <c r="S2508" s="582" t="s">
        <v>4504</v>
      </c>
      <c r="T2508" s="573" t="s">
        <v>4505</v>
      </c>
      <c r="U2508" s="573">
        <v>176</v>
      </c>
      <c r="V2508" s="573">
        <v>48</v>
      </c>
      <c r="W2508" s="616">
        <v>11100</v>
      </c>
      <c r="X2508" s="617" t="s">
        <v>157</v>
      </c>
      <c r="Y2508" s="617" t="s">
        <v>728</v>
      </c>
      <c r="Z2508" s="617" t="s">
        <v>1523</v>
      </c>
      <c r="AA2508" s="618">
        <v>48735</v>
      </c>
      <c r="AB2508" s="618" t="s">
        <v>164</v>
      </c>
      <c r="AC2508" s="618">
        <v>38311</v>
      </c>
      <c r="AD2508" s="619">
        <v>0.05</v>
      </c>
      <c r="AE2508" s="617" t="s">
        <v>4515</v>
      </c>
    </row>
    <row r="2509" spans="1:31" s="572" customFormat="1">
      <c r="A2509" s="570" t="s">
        <v>4524</v>
      </c>
      <c r="B2509" s="569" t="s">
        <v>280</v>
      </c>
      <c r="C2509" s="580">
        <v>27</v>
      </c>
      <c r="D2509" s="569" t="s">
        <v>3374</v>
      </c>
      <c r="E2509" s="569" t="s">
        <v>187</v>
      </c>
      <c r="F2509" s="569" t="s">
        <v>271</v>
      </c>
      <c r="G2509" s="569">
        <v>2019</v>
      </c>
      <c r="H2509" s="569" t="s">
        <v>4503</v>
      </c>
      <c r="I2509" s="569" t="s">
        <v>3766</v>
      </c>
      <c r="J2509" s="569" t="s">
        <v>3377</v>
      </c>
      <c r="K2509" s="569">
        <v>6</v>
      </c>
      <c r="L2509" s="569">
        <v>0</v>
      </c>
      <c r="M2509" s="569" t="s">
        <v>157</v>
      </c>
      <c r="N2509" s="569">
        <v>2</v>
      </c>
      <c r="O2509" s="569" t="s">
        <v>4230</v>
      </c>
      <c r="P2509" s="568">
        <v>12300</v>
      </c>
      <c r="Q2509" s="569" t="s">
        <v>4235</v>
      </c>
      <c r="R2509" s="569">
        <v>8</v>
      </c>
      <c r="S2509" s="569" t="s">
        <v>4504</v>
      </c>
      <c r="T2509" s="569" t="s">
        <v>4505</v>
      </c>
      <c r="U2509" s="569">
        <v>160</v>
      </c>
      <c r="V2509" s="569">
        <v>34</v>
      </c>
      <c r="W2509" s="620">
        <v>10100</v>
      </c>
      <c r="X2509" s="621" t="s">
        <v>157</v>
      </c>
      <c r="Y2509" s="621" t="s">
        <v>450</v>
      </c>
      <c r="Z2509" s="621" t="s">
        <v>178</v>
      </c>
      <c r="AA2509" s="622">
        <v>39415</v>
      </c>
      <c r="AB2509" s="622" t="s">
        <v>164</v>
      </c>
      <c r="AC2509" s="622">
        <v>29681.810526315792</v>
      </c>
      <c r="AD2509" s="623">
        <v>0.03</v>
      </c>
      <c r="AE2509" s="621" t="s">
        <v>4502</v>
      </c>
    </row>
    <row r="2510" spans="1:31" s="572" customFormat="1">
      <c r="A2510" s="570" t="s">
        <v>4525</v>
      </c>
      <c r="B2510" s="573" t="s">
        <v>280</v>
      </c>
      <c r="C2510" s="578">
        <v>27</v>
      </c>
      <c r="D2510" s="573" t="s">
        <v>3374</v>
      </c>
      <c r="E2510" s="573" t="s">
        <v>187</v>
      </c>
      <c r="F2510" s="573" t="s">
        <v>271</v>
      </c>
      <c r="G2510" s="573">
        <v>2019</v>
      </c>
      <c r="H2510" s="573" t="s">
        <v>4503</v>
      </c>
      <c r="I2510" s="573" t="s">
        <v>3766</v>
      </c>
      <c r="J2510" s="573" t="s">
        <v>3377</v>
      </c>
      <c r="K2510" s="573">
        <v>6</v>
      </c>
      <c r="L2510" s="573">
        <v>0</v>
      </c>
      <c r="M2510" s="573" t="s">
        <v>157</v>
      </c>
      <c r="N2510" s="573">
        <v>2</v>
      </c>
      <c r="O2510" s="573" t="s">
        <v>4230</v>
      </c>
      <c r="P2510" s="571">
        <v>12700</v>
      </c>
      <c r="Q2510" s="573" t="s">
        <v>4235</v>
      </c>
      <c r="R2510" s="573">
        <v>8</v>
      </c>
      <c r="S2510" s="582" t="s">
        <v>4504</v>
      </c>
      <c r="T2510" s="573" t="s">
        <v>4505</v>
      </c>
      <c r="U2510" s="573">
        <v>160</v>
      </c>
      <c r="V2510" s="573">
        <v>34</v>
      </c>
      <c r="W2510" s="616">
        <v>10100</v>
      </c>
      <c r="X2510" s="617" t="s">
        <v>157</v>
      </c>
      <c r="Y2510" s="617" t="s">
        <v>450</v>
      </c>
      <c r="Z2510" s="617" t="s">
        <v>178</v>
      </c>
      <c r="AA2510" s="618">
        <v>39415</v>
      </c>
      <c r="AB2510" s="618" t="s">
        <v>164</v>
      </c>
      <c r="AC2510" s="618">
        <v>29681.810526315792</v>
      </c>
      <c r="AD2510" s="619">
        <v>0.03</v>
      </c>
      <c r="AE2510" s="617" t="s">
        <v>4507</v>
      </c>
    </row>
    <row r="2511" spans="1:31" s="572" customFormat="1">
      <c r="A2511" s="570" t="s">
        <v>4525</v>
      </c>
      <c r="B2511" s="569" t="s">
        <v>280</v>
      </c>
      <c r="C2511" s="580">
        <v>27</v>
      </c>
      <c r="D2511" s="569" t="s">
        <v>3374</v>
      </c>
      <c r="E2511" s="569" t="s">
        <v>187</v>
      </c>
      <c r="F2511" s="569" t="s">
        <v>271</v>
      </c>
      <c r="G2511" s="569">
        <v>2019</v>
      </c>
      <c r="H2511" s="569" t="s">
        <v>4503</v>
      </c>
      <c r="I2511" s="569" t="s">
        <v>3766</v>
      </c>
      <c r="J2511" s="569" t="s">
        <v>3377</v>
      </c>
      <c r="K2511" s="569">
        <v>6</v>
      </c>
      <c r="L2511" s="569">
        <v>0</v>
      </c>
      <c r="M2511" s="569" t="s">
        <v>157</v>
      </c>
      <c r="N2511" s="569">
        <v>2</v>
      </c>
      <c r="O2511" s="569" t="s">
        <v>4230</v>
      </c>
      <c r="P2511" s="568">
        <v>12700</v>
      </c>
      <c r="Q2511" s="569" t="s">
        <v>4235</v>
      </c>
      <c r="R2511" s="569">
        <v>8</v>
      </c>
      <c r="S2511" s="569" t="s">
        <v>4504</v>
      </c>
      <c r="T2511" s="569" t="s">
        <v>4505</v>
      </c>
      <c r="U2511" s="569">
        <v>160</v>
      </c>
      <c r="V2511" s="569">
        <v>34</v>
      </c>
      <c r="W2511" s="620">
        <v>10100</v>
      </c>
      <c r="X2511" s="621" t="s">
        <v>157</v>
      </c>
      <c r="Y2511" s="621" t="s">
        <v>450</v>
      </c>
      <c r="Z2511" s="621" t="s">
        <v>178</v>
      </c>
      <c r="AA2511" s="622">
        <v>39415</v>
      </c>
      <c r="AB2511" s="622" t="s">
        <v>164</v>
      </c>
      <c r="AC2511" s="622">
        <v>29681.810526315792</v>
      </c>
      <c r="AD2511" s="623">
        <v>0.03</v>
      </c>
      <c r="AE2511" s="621" t="s">
        <v>4507</v>
      </c>
    </row>
    <row r="2512" spans="1:31" s="572" customFormat="1">
      <c r="A2512" s="570" t="s">
        <v>4526</v>
      </c>
      <c r="B2512" s="573" t="s">
        <v>280</v>
      </c>
      <c r="C2512" s="578">
        <v>27</v>
      </c>
      <c r="D2512" s="573" t="s">
        <v>3374</v>
      </c>
      <c r="E2512" s="573" t="s">
        <v>187</v>
      </c>
      <c r="F2512" s="573" t="s">
        <v>271</v>
      </c>
      <c r="G2512" s="573">
        <v>2019</v>
      </c>
      <c r="H2512" s="573" t="s">
        <v>4503</v>
      </c>
      <c r="I2512" s="573" t="s">
        <v>3766</v>
      </c>
      <c r="J2512" s="573" t="s">
        <v>3377</v>
      </c>
      <c r="K2512" s="573">
        <v>6</v>
      </c>
      <c r="L2512" s="573">
        <v>0</v>
      </c>
      <c r="M2512" s="573" t="s">
        <v>157</v>
      </c>
      <c r="N2512" s="573">
        <v>2</v>
      </c>
      <c r="O2512" s="573" t="s">
        <v>4230</v>
      </c>
      <c r="P2512" s="571">
        <v>12700</v>
      </c>
      <c r="Q2512" s="573" t="s">
        <v>4231</v>
      </c>
      <c r="R2512" s="573">
        <v>8</v>
      </c>
      <c r="S2512" s="582" t="s">
        <v>4504</v>
      </c>
      <c r="T2512" s="573" t="s">
        <v>4505</v>
      </c>
      <c r="U2512" s="573">
        <v>160</v>
      </c>
      <c r="V2512" s="573">
        <v>34</v>
      </c>
      <c r="W2512" s="616">
        <v>10900</v>
      </c>
      <c r="X2512" s="617" t="s">
        <v>157</v>
      </c>
      <c r="Y2512" s="617" t="s">
        <v>728</v>
      </c>
      <c r="Z2512" s="617" t="s">
        <v>1523</v>
      </c>
      <c r="AA2512" s="618">
        <v>48535</v>
      </c>
      <c r="AB2512" s="618" t="s">
        <v>164</v>
      </c>
      <c r="AC2512" s="618">
        <v>37874.000000000007</v>
      </c>
      <c r="AD2512" s="619">
        <v>0.03</v>
      </c>
      <c r="AE2512" s="617" t="s">
        <v>4509</v>
      </c>
    </row>
    <row r="2513" spans="1:31" s="572" customFormat="1">
      <c r="A2513" s="570" t="s">
        <v>4527</v>
      </c>
      <c r="B2513" s="569" t="s">
        <v>280</v>
      </c>
      <c r="C2513" s="580">
        <v>27</v>
      </c>
      <c r="D2513" s="569" t="s">
        <v>3374</v>
      </c>
      <c r="E2513" s="569" t="s">
        <v>187</v>
      </c>
      <c r="F2513" s="569" t="s">
        <v>271</v>
      </c>
      <c r="G2513" s="569">
        <v>2019</v>
      </c>
      <c r="H2513" s="569" t="s">
        <v>4503</v>
      </c>
      <c r="I2513" s="569" t="s">
        <v>3766</v>
      </c>
      <c r="J2513" s="569" t="s">
        <v>3377</v>
      </c>
      <c r="K2513" s="569">
        <v>6</v>
      </c>
      <c r="L2513" s="569">
        <v>0</v>
      </c>
      <c r="M2513" s="569" t="s">
        <v>157</v>
      </c>
      <c r="N2513" s="569">
        <v>2</v>
      </c>
      <c r="O2513" s="569" t="s">
        <v>3846</v>
      </c>
      <c r="P2513" s="568">
        <v>12500</v>
      </c>
      <c r="Q2513" s="569" t="s">
        <v>4235</v>
      </c>
      <c r="R2513" s="569">
        <v>8</v>
      </c>
      <c r="S2513" s="569" t="s">
        <v>4504</v>
      </c>
      <c r="T2513" s="569" t="s">
        <v>4505</v>
      </c>
      <c r="U2513" s="569">
        <v>176</v>
      </c>
      <c r="V2513" s="569">
        <v>34</v>
      </c>
      <c r="W2513" s="620">
        <v>10500</v>
      </c>
      <c r="X2513" s="621" t="s">
        <v>157</v>
      </c>
      <c r="Y2513" s="621" t="s">
        <v>450</v>
      </c>
      <c r="Z2513" s="621" t="s">
        <v>178</v>
      </c>
      <c r="AA2513" s="622">
        <v>39615</v>
      </c>
      <c r="AB2513" s="622" t="s">
        <v>164</v>
      </c>
      <c r="AC2513" s="622">
        <v>29867.073684210529</v>
      </c>
      <c r="AD2513" s="623">
        <v>0.03</v>
      </c>
      <c r="AE2513" s="621" t="s">
        <v>4511</v>
      </c>
    </row>
    <row r="2514" spans="1:31" s="572" customFormat="1">
      <c r="A2514" s="570" t="s">
        <v>4528</v>
      </c>
      <c r="B2514" s="573" t="s">
        <v>280</v>
      </c>
      <c r="C2514" s="578">
        <v>27</v>
      </c>
      <c r="D2514" s="573" t="s">
        <v>3374</v>
      </c>
      <c r="E2514" s="573" t="s">
        <v>187</v>
      </c>
      <c r="F2514" s="573" t="s">
        <v>271</v>
      </c>
      <c r="G2514" s="573">
        <v>2019</v>
      </c>
      <c r="H2514" s="573" t="s">
        <v>4503</v>
      </c>
      <c r="I2514" s="573" t="s">
        <v>3766</v>
      </c>
      <c r="J2514" s="573" t="s">
        <v>3377</v>
      </c>
      <c r="K2514" s="573">
        <v>6</v>
      </c>
      <c r="L2514" s="573">
        <v>0</v>
      </c>
      <c r="M2514" s="573" t="s">
        <v>157</v>
      </c>
      <c r="N2514" s="573">
        <v>2</v>
      </c>
      <c r="O2514" s="573" t="s">
        <v>3846</v>
      </c>
      <c r="P2514" s="571">
        <v>12500</v>
      </c>
      <c r="Q2514" s="573" t="s">
        <v>4235</v>
      </c>
      <c r="R2514" s="573">
        <v>8</v>
      </c>
      <c r="S2514" s="582" t="s">
        <v>4504</v>
      </c>
      <c r="T2514" s="573" t="s">
        <v>4505</v>
      </c>
      <c r="U2514" s="573">
        <v>176</v>
      </c>
      <c r="V2514" s="573">
        <v>48</v>
      </c>
      <c r="W2514" s="616">
        <v>10500</v>
      </c>
      <c r="X2514" s="617" t="s">
        <v>157</v>
      </c>
      <c r="Y2514" s="617" t="s">
        <v>450</v>
      </c>
      <c r="Z2514" s="617" t="s">
        <v>178</v>
      </c>
      <c r="AA2514" s="618">
        <v>39615</v>
      </c>
      <c r="AB2514" s="618" t="s">
        <v>164</v>
      </c>
      <c r="AC2514" s="618">
        <v>29867.073684210529</v>
      </c>
      <c r="AD2514" s="619">
        <v>0.03</v>
      </c>
      <c r="AE2514" s="617" t="s">
        <v>4513</v>
      </c>
    </row>
    <row r="2515" spans="1:31" s="572" customFormat="1">
      <c r="A2515" s="570" t="s">
        <v>4529</v>
      </c>
      <c r="B2515" s="569" t="s">
        <v>280</v>
      </c>
      <c r="C2515" s="580">
        <v>27</v>
      </c>
      <c r="D2515" s="569" t="s">
        <v>3374</v>
      </c>
      <c r="E2515" s="569" t="s">
        <v>187</v>
      </c>
      <c r="F2515" s="569" t="s">
        <v>271</v>
      </c>
      <c r="G2515" s="569">
        <v>2019</v>
      </c>
      <c r="H2515" s="569" t="s">
        <v>4503</v>
      </c>
      <c r="I2515" s="569" t="s">
        <v>3766</v>
      </c>
      <c r="J2515" s="569" t="s">
        <v>3377</v>
      </c>
      <c r="K2515" s="569">
        <v>6</v>
      </c>
      <c r="L2515" s="569">
        <v>0</v>
      </c>
      <c r="M2515" s="569" t="s">
        <v>157</v>
      </c>
      <c r="N2515" s="569">
        <v>2</v>
      </c>
      <c r="O2515" s="569" t="s">
        <v>3846</v>
      </c>
      <c r="P2515" s="568">
        <v>12500</v>
      </c>
      <c r="Q2515" s="569" t="s">
        <v>4231</v>
      </c>
      <c r="R2515" s="569">
        <v>8</v>
      </c>
      <c r="S2515" s="569" t="s">
        <v>4504</v>
      </c>
      <c r="T2515" s="569" t="s">
        <v>4505</v>
      </c>
      <c r="U2515" s="569">
        <v>176</v>
      </c>
      <c r="V2515" s="569">
        <v>48</v>
      </c>
      <c r="W2515" s="620">
        <v>11100</v>
      </c>
      <c r="X2515" s="621" t="s">
        <v>157</v>
      </c>
      <c r="Y2515" s="621" t="s">
        <v>728</v>
      </c>
      <c r="Z2515" s="621" t="s">
        <v>1523</v>
      </c>
      <c r="AA2515" s="622">
        <v>48735</v>
      </c>
      <c r="AB2515" s="622" t="s">
        <v>164</v>
      </c>
      <c r="AC2515" s="622">
        <v>38059.26315789474</v>
      </c>
      <c r="AD2515" s="623">
        <v>0.03</v>
      </c>
      <c r="AE2515" s="621" t="s">
        <v>4515</v>
      </c>
    </row>
    <row r="2516" spans="1:31" s="572" customFormat="1">
      <c r="A2516" s="570" t="s">
        <v>4530</v>
      </c>
      <c r="B2516" s="573" t="s">
        <v>269</v>
      </c>
      <c r="C2516" s="578" t="s">
        <v>270</v>
      </c>
      <c r="D2516" s="573" t="s">
        <v>3374</v>
      </c>
      <c r="E2516" s="573" t="s">
        <v>187</v>
      </c>
      <c r="F2516" s="573" t="s">
        <v>271</v>
      </c>
      <c r="G2516" s="573">
        <v>2019</v>
      </c>
      <c r="H2516" s="573" t="s">
        <v>4503</v>
      </c>
      <c r="I2516" s="573" t="s">
        <v>3766</v>
      </c>
      <c r="J2516" s="573" t="s">
        <v>752</v>
      </c>
      <c r="K2516" s="573">
        <v>6</v>
      </c>
      <c r="L2516" s="573">
        <v>0</v>
      </c>
      <c r="M2516" s="573" t="s">
        <v>157</v>
      </c>
      <c r="N2516" s="573">
        <v>2</v>
      </c>
      <c r="O2516" s="573" t="s">
        <v>4230</v>
      </c>
      <c r="P2516" s="571">
        <v>12300</v>
      </c>
      <c r="Q2516" s="573" t="s">
        <v>4235</v>
      </c>
      <c r="R2516" s="573">
        <v>8</v>
      </c>
      <c r="S2516" s="582" t="s">
        <v>4532</v>
      </c>
      <c r="T2516" s="573" t="s">
        <v>4505</v>
      </c>
      <c r="U2516" s="573">
        <v>160</v>
      </c>
      <c r="V2516" s="573">
        <v>34</v>
      </c>
      <c r="W2516" s="616">
        <v>10500</v>
      </c>
      <c r="X2516" s="617" t="s">
        <v>157</v>
      </c>
      <c r="Y2516" s="617" t="s">
        <v>450</v>
      </c>
      <c r="Z2516" s="617" t="s">
        <v>178</v>
      </c>
      <c r="AA2516" s="618">
        <v>42220</v>
      </c>
      <c r="AB2516" s="618" t="s">
        <v>164</v>
      </c>
      <c r="AC2516" s="618">
        <v>32272.336842105266</v>
      </c>
      <c r="AD2516" s="619">
        <v>0.03</v>
      </c>
      <c r="AE2516" s="617" t="s">
        <v>4531</v>
      </c>
    </row>
    <row r="2517" spans="1:31" s="572" customFormat="1">
      <c r="A2517" s="570" t="s">
        <v>4533</v>
      </c>
      <c r="B2517" s="569" t="s">
        <v>269</v>
      </c>
      <c r="C2517" s="580" t="s">
        <v>270</v>
      </c>
      <c r="D2517" s="569" t="s">
        <v>3374</v>
      </c>
      <c r="E2517" s="569" t="s">
        <v>187</v>
      </c>
      <c r="F2517" s="569" t="s">
        <v>271</v>
      </c>
      <c r="G2517" s="569">
        <v>2019</v>
      </c>
      <c r="H2517" s="569" t="s">
        <v>4503</v>
      </c>
      <c r="I2517" s="569" t="s">
        <v>3766</v>
      </c>
      <c r="J2517" s="569" t="s">
        <v>752</v>
      </c>
      <c r="K2517" s="569">
        <v>6</v>
      </c>
      <c r="L2517" s="569">
        <v>0</v>
      </c>
      <c r="M2517" s="569" t="s">
        <v>157</v>
      </c>
      <c r="N2517" s="569">
        <v>2</v>
      </c>
      <c r="O2517" s="569" t="s">
        <v>4230</v>
      </c>
      <c r="P2517" s="568">
        <v>12300</v>
      </c>
      <c r="Q2517" s="569" t="s">
        <v>4231</v>
      </c>
      <c r="R2517" s="569">
        <v>8</v>
      </c>
      <c r="S2517" s="569" t="s">
        <v>4532</v>
      </c>
      <c r="T2517" s="569" t="s">
        <v>4505</v>
      </c>
      <c r="U2517" s="569">
        <v>160</v>
      </c>
      <c r="V2517" s="569">
        <v>34</v>
      </c>
      <c r="W2517" s="620">
        <v>11200</v>
      </c>
      <c r="X2517" s="621" t="s">
        <v>157</v>
      </c>
      <c r="Y2517" s="621" t="s">
        <v>728</v>
      </c>
      <c r="Z2517" s="621" t="s">
        <v>1523</v>
      </c>
      <c r="AA2517" s="622">
        <v>51340</v>
      </c>
      <c r="AB2517" s="622" t="s">
        <v>164</v>
      </c>
      <c r="AC2517" s="622">
        <v>40464.526315789481</v>
      </c>
      <c r="AD2517" s="623">
        <v>0.03</v>
      </c>
      <c r="AE2517" s="621" t="s">
        <v>4534</v>
      </c>
    </row>
    <row r="2518" spans="1:31" s="572" customFormat="1">
      <c r="A2518" s="570" t="s">
        <v>4535</v>
      </c>
      <c r="B2518" s="573" t="s">
        <v>269</v>
      </c>
      <c r="C2518" s="578" t="s">
        <v>270</v>
      </c>
      <c r="D2518" s="573" t="s">
        <v>3374</v>
      </c>
      <c r="E2518" s="573" t="s">
        <v>187</v>
      </c>
      <c r="F2518" s="573" t="s">
        <v>271</v>
      </c>
      <c r="G2518" s="573">
        <v>2019</v>
      </c>
      <c r="H2518" s="573" t="s">
        <v>4503</v>
      </c>
      <c r="I2518" s="573" t="s">
        <v>3766</v>
      </c>
      <c r="J2518" s="573" t="s">
        <v>752</v>
      </c>
      <c r="K2518" s="573">
        <v>6</v>
      </c>
      <c r="L2518" s="573">
        <v>0</v>
      </c>
      <c r="M2518" s="573" t="s">
        <v>157</v>
      </c>
      <c r="N2518" s="573">
        <v>2</v>
      </c>
      <c r="O2518" s="573" t="s">
        <v>3846</v>
      </c>
      <c r="P2518" s="571">
        <v>12000</v>
      </c>
      <c r="Q2518" s="573" t="s">
        <v>4235</v>
      </c>
      <c r="R2518" s="573">
        <v>8</v>
      </c>
      <c r="S2518" s="582" t="s">
        <v>4532</v>
      </c>
      <c r="T2518" s="573" t="s">
        <v>4505</v>
      </c>
      <c r="U2518" s="573">
        <v>176</v>
      </c>
      <c r="V2518" s="573">
        <v>48</v>
      </c>
      <c r="W2518" s="616">
        <v>10800</v>
      </c>
      <c r="X2518" s="617" t="s">
        <v>157</v>
      </c>
      <c r="Y2518" s="617" t="s">
        <v>450</v>
      </c>
      <c r="Z2518" s="617" t="s">
        <v>178</v>
      </c>
      <c r="AA2518" s="618">
        <v>42415</v>
      </c>
      <c r="AB2518" s="618" t="s">
        <v>164</v>
      </c>
      <c r="AC2518" s="618">
        <v>32453.389473684212</v>
      </c>
      <c r="AD2518" s="619">
        <v>0.03</v>
      </c>
      <c r="AE2518" s="617" t="s">
        <v>4536</v>
      </c>
    </row>
    <row r="2519" spans="1:31" s="572" customFormat="1">
      <c r="A2519" s="570" t="s">
        <v>4537</v>
      </c>
      <c r="B2519" s="569" t="s">
        <v>269</v>
      </c>
      <c r="C2519" s="580" t="s">
        <v>270</v>
      </c>
      <c r="D2519" s="569" t="s">
        <v>3374</v>
      </c>
      <c r="E2519" s="569" t="s">
        <v>187</v>
      </c>
      <c r="F2519" s="569" t="s">
        <v>271</v>
      </c>
      <c r="G2519" s="569">
        <v>2019</v>
      </c>
      <c r="H2519" s="569" t="s">
        <v>4503</v>
      </c>
      <c r="I2519" s="569" t="s">
        <v>3766</v>
      </c>
      <c r="J2519" s="569" t="s">
        <v>752</v>
      </c>
      <c r="K2519" s="569">
        <v>6</v>
      </c>
      <c r="L2519" s="569">
        <v>0</v>
      </c>
      <c r="M2519" s="569" t="s">
        <v>157</v>
      </c>
      <c r="N2519" s="569">
        <v>2</v>
      </c>
      <c r="O2519" s="569" t="s">
        <v>3846</v>
      </c>
      <c r="P2519" s="568">
        <v>12000</v>
      </c>
      <c r="Q2519" s="569" t="s">
        <v>4231</v>
      </c>
      <c r="R2519" s="569">
        <v>8</v>
      </c>
      <c r="S2519" s="569" t="s">
        <v>4532</v>
      </c>
      <c r="T2519" s="569" t="s">
        <v>4505</v>
      </c>
      <c r="U2519" s="569">
        <v>176</v>
      </c>
      <c r="V2519" s="569">
        <v>48</v>
      </c>
      <c r="W2519" s="620">
        <v>11500</v>
      </c>
      <c r="X2519" s="621" t="s">
        <v>157</v>
      </c>
      <c r="Y2519" s="621" t="s">
        <v>728</v>
      </c>
      <c r="Z2519" s="621" t="s">
        <v>1523</v>
      </c>
      <c r="AA2519" s="622">
        <v>51535</v>
      </c>
      <c r="AB2519" s="622" t="s">
        <v>164</v>
      </c>
      <c r="AC2519" s="622">
        <v>40645.578947368427</v>
      </c>
      <c r="AD2519" s="623">
        <v>0.03</v>
      </c>
      <c r="AE2519" s="621" t="s">
        <v>4538</v>
      </c>
    </row>
    <row r="2520" spans="1:31" s="572" customFormat="1">
      <c r="A2520" s="570" t="s">
        <v>4539</v>
      </c>
      <c r="B2520" s="573" t="s">
        <v>269</v>
      </c>
      <c r="C2520" s="578" t="s">
        <v>270</v>
      </c>
      <c r="D2520" s="573" t="s">
        <v>3374</v>
      </c>
      <c r="E2520" s="573" t="s">
        <v>187</v>
      </c>
      <c r="F2520" s="573" t="s">
        <v>271</v>
      </c>
      <c r="G2520" s="573">
        <v>2019</v>
      </c>
      <c r="H2520" s="573" t="s">
        <v>4503</v>
      </c>
      <c r="I2520" s="573" t="s">
        <v>3766</v>
      </c>
      <c r="J2520" s="573" t="s">
        <v>752</v>
      </c>
      <c r="K2520" s="573">
        <v>6</v>
      </c>
      <c r="L2520" s="573">
        <v>0</v>
      </c>
      <c r="M2520" s="573" t="s">
        <v>157</v>
      </c>
      <c r="N2520" s="573">
        <v>2</v>
      </c>
      <c r="O2520" s="573" t="s">
        <v>3846</v>
      </c>
      <c r="P2520" s="571">
        <v>12500</v>
      </c>
      <c r="Q2520" s="573" t="s">
        <v>4235</v>
      </c>
      <c r="R2520" s="573">
        <v>8</v>
      </c>
      <c r="S2520" s="582" t="s">
        <v>4532</v>
      </c>
      <c r="T2520" s="573" t="s">
        <v>4505</v>
      </c>
      <c r="U2520" s="573">
        <v>176</v>
      </c>
      <c r="V2520" s="573">
        <v>34</v>
      </c>
      <c r="W2520" s="616">
        <v>10800</v>
      </c>
      <c r="X2520" s="617" t="s">
        <v>157</v>
      </c>
      <c r="Y2520" s="617" t="s">
        <v>450</v>
      </c>
      <c r="Z2520" s="617" t="s">
        <v>178</v>
      </c>
      <c r="AA2520" s="618">
        <v>42415</v>
      </c>
      <c r="AB2520" s="618" t="s">
        <v>164</v>
      </c>
      <c r="AC2520" s="618">
        <v>32453.389473684212</v>
      </c>
      <c r="AD2520" s="619">
        <v>0.03</v>
      </c>
      <c r="AE2520" s="617" t="s">
        <v>4540</v>
      </c>
    </row>
    <row r="2521" spans="1:31" s="572" customFormat="1">
      <c r="A2521" s="570" t="s">
        <v>4541</v>
      </c>
      <c r="B2521" s="569" t="s">
        <v>278</v>
      </c>
      <c r="C2521" s="580">
        <v>15</v>
      </c>
      <c r="D2521" s="569" t="s">
        <v>3374</v>
      </c>
      <c r="E2521" s="569" t="s">
        <v>187</v>
      </c>
      <c r="F2521" s="569" t="s">
        <v>271</v>
      </c>
      <c r="G2521" s="569">
        <v>2019</v>
      </c>
      <c r="H2521" s="569" t="s">
        <v>4503</v>
      </c>
      <c r="I2521" s="569" t="s">
        <v>3766</v>
      </c>
      <c r="J2521" s="569" t="s">
        <v>752</v>
      </c>
      <c r="K2521" s="569">
        <v>6</v>
      </c>
      <c r="L2521" s="569">
        <v>0</v>
      </c>
      <c r="M2521" s="569" t="s">
        <v>157</v>
      </c>
      <c r="N2521" s="569">
        <v>2</v>
      </c>
      <c r="O2521" s="569" t="s">
        <v>4230</v>
      </c>
      <c r="P2521" s="568">
        <v>12300</v>
      </c>
      <c r="Q2521" s="569" t="s">
        <v>4235</v>
      </c>
      <c r="R2521" s="569">
        <v>8</v>
      </c>
      <c r="S2521" s="569" t="s">
        <v>4532</v>
      </c>
      <c r="T2521" s="569" t="s">
        <v>4505</v>
      </c>
      <c r="U2521" s="569">
        <v>160</v>
      </c>
      <c r="V2521" s="569">
        <v>34</v>
      </c>
      <c r="W2521" s="620">
        <v>10500</v>
      </c>
      <c r="X2521" s="621" t="s">
        <v>157</v>
      </c>
      <c r="Y2521" s="621" t="s">
        <v>450</v>
      </c>
      <c r="Z2521" s="621" t="s">
        <v>178</v>
      </c>
      <c r="AA2521" s="622">
        <v>42220</v>
      </c>
      <c r="AB2521" s="622" t="s">
        <v>164</v>
      </c>
      <c r="AC2521" s="622">
        <v>32400</v>
      </c>
      <c r="AD2521" s="623">
        <v>0.01</v>
      </c>
      <c r="AE2521" s="621" t="s">
        <v>4531</v>
      </c>
    </row>
    <row r="2522" spans="1:31" s="572" customFormat="1">
      <c r="A2522" s="570" t="s">
        <v>4542</v>
      </c>
      <c r="B2522" s="573" t="s">
        <v>278</v>
      </c>
      <c r="C2522" s="578">
        <v>15</v>
      </c>
      <c r="D2522" s="573" t="s">
        <v>3374</v>
      </c>
      <c r="E2522" s="573" t="s">
        <v>187</v>
      </c>
      <c r="F2522" s="573" t="s">
        <v>271</v>
      </c>
      <c r="G2522" s="573">
        <v>2019</v>
      </c>
      <c r="H2522" s="573" t="s">
        <v>4503</v>
      </c>
      <c r="I2522" s="573" t="s">
        <v>3766</v>
      </c>
      <c r="J2522" s="573" t="s">
        <v>752</v>
      </c>
      <c r="K2522" s="573">
        <v>6</v>
      </c>
      <c r="L2522" s="573">
        <v>0</v>
      </c>
      <c r="M2522" s="573" t="s">
        <v>157</v>
      </c>
      <c r="N2522" s="573">
        <v>2</v>
      </c>
      <c r="O2522" s="573" t="s">
        <v>4230</v>
      </c>
      <c r="P2522" s="571">
        <v>12300</v>
      </c>
      <c r="Q2522" s="573" t="s">
        <v>4231</v>
      </c>
      <c r="R2522" s="573">
        <v>8</v>
      </c>
      <c r="S2522" s="582" t="s">
        <v>4532</v>
      </c>
      <c r="T2522" s="573" t="s">
        <v>4505</v>
      </c>
      <c r="U2522" s="573">
        <v>160</v>
      </c>
      <c r="V2522" s="573">
        <v>34</v>
      </c>
      <c r="W2522" s="616">
        <v>11200</v>
      </c>
      <c r="X2522" s="617" t="s">
        <v>157</v>
      </c>
      <c r="Y2522" s="617" t="s">
        <v>728</v>
      </c>
      <c r="Z2522" s="617" t="s">
        <v>1523</v>
      </c>
      <c r="AA2522" s="618">
        <v>51340</v>
      </c>
      <c r="AB2522" s="618" t="s">
        <v>164</v>
      </c>
      <c r="AC2522" s="618">
        <v>40700</v>
      </c>
      <c r="AD2522" s="619">
        <v>0.01</v>
      </c>
      <c r="AE2522" s="617" t="s">
        <v>4534</v>
      </c>
    </row>
    <row r="2523" spans="1:31" s="572" customFormat="1">
      <c r="A2523" s="570" t="s">
        <v>4543</v>
      </c>
      <c r="B2523" s="569" t="s">
        <v>278</v>
      </c>
      <c r="C2523" s="580">
        <v>15</v>
      </c>
      <c r="D2523" s="569" t="s">
        <v>3374</v>
      </c>
      <c r="E2523" s="569" t="s">
        <v>187</v>
      </c>
      <c r="F2523" s="569" t="s">
        <v>271</v>
      </c>
      <c r="G2523" s="569">
        <v>2019</v>
      </c>
      <c r="H2523" s="569" t="s">
        <v>4503</v>
      </c>
      <c r="I2523" s="569" t="s">
        <v>3766</v>
      </c>
      <c r="J2523" s="569" t="s">
        <v>752</v>
      </c>
      <c r="K2523" s="569">
        <v>6</v>
      </c>
      <c r="L2523" s="569">
        <v>0</v>
      </c>
      <c r="M2523" s="569" t="s">
        <v>157</v>
      </c>
      <c r="N2523" s="569">
        <v>2</v>
      </c>
      <c r="O2523" s="569" t="s">
        <v>3846</v>
      </c>
      <c r="P2523" s="568">
        <v>12000</v>
      </c>
      <c r="Q2523" s="569" t="s">
        <v>4235</v>
      </c>
      <c r="R2523" s="569">
        <v>8</v>
      </c>
      <c r="S2523" s="569" t="s">
        <v>4532</v>
      </c>
      <c r="T2523" s="569" t="s">
        <v>4505</v>
      </c>
      <c r="U2523" s="569">
        <v>176</v>
      </c>
      <c r="V2523" s="569">
        <v>48</v>
      </c>
      <c r="W2523" s="620">
        <v>10800</v>
      </c>
      <c r="X2523" s="621" t="s">
        <v>157</v>
      </c>
      <c r="Y2523" s="621" t="s">
        <v>450</v>
      </c>
      <c r="Z2523" s="621" t="s">
        <v>178</v>
      </c>
      <c r="AA2523" s="622">
        <v>42415</v>
      </c>
      <c r="AB2523" s="622" t="s">
        <v>164</v>
      </c>
      <c r="AC2523" s="622">
        <v>32600</v>
      </c>
      <c r="AD2523" s="623">
        <v>0.01</v>
      </c>
      <c r="AE2523" s="621" t="s">
        <v>4536</v>
      </c>
    </row>
    <row r="2524" spans="1:31" s="572" customFormat="1">
      <c r="A2524" s="570" t="s">
        <v>4544</v>
      </c>
      <c r="B2524" s="573" t="s">
        <v>278</v>
      </c>
      <c r="C2524" s="578">
        <v>15</v>
      </c>
      <c r="D2524" s="573" t="s">
        <v>3374</v>
      </c>
      <c r="E2524" s="573" t="s">
        <v>187</v>
      </c>
      <c r="F2524" s="573" t="s">
        <v>271</v>
      </c>
      <c r="G2524" s="573">
        <v>2019</v>
      </c>
      <c r="H2524" s="573" t="s">
        <v>4503</v>
      </c>
      <c r="I2524" s="573" t="s">
        <v>3766</v>
      </c>
      <c r="J2524" s="573" t="s">
        <v>752</v>
      </c>
      <c r="K2524" s="573">
        <v>6</v>
      </c>
      <c r="L2524" s="573">
        <v>0</v>
      </c>
      <c r="M2524" s="573" t="s">
        <v>157</v>
      </c>
      <c r="N2524" s="573">
        <v>2</v>
      </c>
      <c r="O2524" s="573" t="s">
        <v>3846</v>
      </c>
      <c r="P2524" s="571">
        <v>12000</v>
      </c>
      <c r="Q2524" s="573" t="s">
        <v>4231</v>
      </c>
      <c r="R2524" s="573">
        <v>8</v>
      </c>
      <c r="S2524" s="582" t="s">
        <v>4532</v>
      </c>
      <c r="T2524" s="573" t="s">
        <v>4505</v>
      </c>
      <c r="U2524" s="573">
        <v>176</v>
      </c>
      <c r="V2524" s="573">
        <v>48</v>
      </c>
      <c r="W2524" s="616">
        <v>11500</v>
      </c>
      <c r="X2524" s="617" t="s">
        <v>157</v>
      </c>
      <c r="Y2524" s="617" t="s">
        <v>728</v>
      </c>
      <c r="Z2524" s="617" t="s">
        <v>1523</v>
      </c>
      <c r="AA2524" s="618">
        <v>51535</v>
      </c>
      <c r="AB2524" s="618" t="s">
        <v>164</v>
      </c>
      <c r="AC2524" s="618">
        <v>40900</v>
      </c>
      <c r="AD2524" s="619">
        <v>0.01</v>
      </c>
      <c r="AE2524" s="617" t="s">
        <v>4538</v>
      </c>
    </row>
    <row r="2525" spans="1:31" s="572" customFormat="1">
      <c r="A2525" s="570" t="s">
        <v>4545</v>
      </c>
      <c r="B2525" s="569" t="s">
        <v>287</v>
      </c>
      <c r="C2525" s="580">
        <v>26</v>
      </c>
      <c r="D2525" s="569" t="s">
        <v>3374</v>
      </c>
      <c r="E2525" s="569" t="s">
        <v>187</v>
      </c>
      <c r="F2525" s="569" t="s">
        <v>271</v>
      </c>
      <c r="G2525" s="569">
        <v>2019</v>
      </c>
      <c r="H2525" s="569" t="s">
        <v>4503</v>
      </c>
      <c r="I2525" s="569" t="s">
        <v>3766</v>
      </c>
      <c r="J2525" s="569" t="s">
        <v>752</v>
      </c>
      <c r="K2525" s="569">
        <v>6</v>
      </c>
      <c r="L2525" s="569">
        <v>0</v>
      </c>
      <c r="M2525" s="569" t="s">
        <v>157</v>
      </c>
      <c r="N2525" s="569">
        <v>2</v>
      </c>
      <c r="O2525" s="569" t="s">
        <v>4230</v>
      </c>
      <c r="P2525" s="568">
        <v>12300</v>
      </c>
      <c r="Q2525" s="569" t="s">
        <v>4235</v>
      </c>
      <c r="R2525" s="569">
        <v>8</v>
      </c>
      <c r="S2525" s="569" t="s">
        <v>4532</v>
      </c>
      <c r="T2525" s="569" t="s">
        <v>4505</v>
      </c>
      <c r="U2525" s="569">
        <v>160</v>
      </c>
      <c r="V2525" s="569">
        <v>34</v>
      </c>
      <c r="W2525" s="620">
        <v>10500</v>
      </c>
      <c r="X2525" s="621" t="s">
        <v>157</v>
      </c>
      <c r="Y2525" s="621" t="s">
        <v>450</v>
      </c>
      <c r="Z2525" s="621" t="s">
        <v>178</v>
      </c>
      <c r="AA2525" s="622">
        <v>42220</v>
      </c>
      <c r="AB2525" s="622" t="s">
        <v>164</v>
      </c>
      <c r="AC2525" s="622">
        <v>32560</v>
      </c>
      <c r="AD2525" s="623">
        <v>0.05</v>
      </c>
      <c r="AE2525" s="621" t="s">
        <v>4531</v>
      </c>
    </row>
    <row r="2526" spans="1:31" s="572" customFormat="1">
      <c r="A2526" s="570" t="s">
        <v>4546</v>
      </c>
      <c r="B2526" s="573" t="s">
        <v>287</v>
      </c>
      <c r="C2526" s="578">
        <v>26</v>
      </c>
      <c r="D2526" s="573" t="s">
        <v>3374</v>
      </c>
      <c r="E2526" s="573" t="s">
        <v>187</v>
      </c>
      <c r="F2526" s="573" t="s">
        <v>271</v>
      </c>
      <c r="G2526" s="573">
        <v>2019</v>
      </c>
      <c r="H2526" s="573" t="s">
        <v>4503</v>
      </c>
      <c r="I2526" s="573" t="s">
        <v>3766</v>
      </c>
      <c r="J2526" s="573" t="s">
        <v>752</v>
      </c>
      <c r="K2526" s="573">
        <v>6</v>
      </c>
      <c r="L2526" s="573">
        <v>0</v>
      </c>
      <c r="M2526" s="573" t="s">
        <v>157</v>
      </c>
      <c r="N2526" s="573">
        <v>2</v>
      </c>
      <c r="O2526" s="573" t="s">
        <v>4230</v>
      </c>
      <c r="P2526" s="571">
        <v>12300</v>
      </c>
      <c r="Q2526" s="573" t="s">
        <v>4231</v>
      </c>
      <c r="R2526" s="573">
        <v>8</v>
      </c>
      <c r="S2526" s="582" t="s">
        <v>4532</v>
      </c>
      <c r="T2526" s="573" t="s">
        <v>4505</v>
      </c>
      <c r="U2526" s="573">
        <v>160</v>
      </c>
      <c r="V2526" s="573">
        <v>34</v>
      </c>
      <c r="W2526" s="616">
        <v>11200</v>
      </c>
      <c r="X2526" s="617" t="s">
        <v>157</v>
      </c>
      <c r="Y2526" s="617" t="s">
        <v>728</v>
      </c>
      <c r="Z2526" s="617" t="s">
        <v>1523</v>
      </c>
      <c r="AA2526" s="618">
        <v>51340</v>
      </c>
      <c r="AB2526" s="618" t="s">
        <v>164</v>
      </c>
      <c r="AC2526" s="618">
        <v>40754</v>
      </c>
      <c r="AD2526" s="619">
        <v>0.05</v>
      </c>
      <c r="AE2526" s="617" t="s">
        <v>4534</v>
      </c>
    </row>
    <row r="2527" spans="1:31" s="572" customFormat="1">
      <c r="A2527" s="570" t="s">
        <v>4547</v>
      </c>
      <c r="B2527" s="569" t="s">
        <v>287</v>
      </c>
      <c r="C2527" s="580">
        <v>26</v>
      </c>
      <c r="D2527" s="569" t="s">
        <v>3374</v>
      </c>
      <c r="E2527" s="569" t="s">
        <v>187</v>
      </c>
      <c r="F2527" s="569" t="s">
        <v>271</v>
      </c>
      <c r="G2527" s="569">
        <v>2019</v>
      </c>
      <c r="H2527" s="569" t="s">
        <v>4503</v>
      </c>
      <c r="I2527" s="569" t="s">
        <v>3766</v>
      </c>
      <c r="J2527" s="569" t="s">
        <v>752</v>
      </c>
      <c r="K2527" s="569">
        <v>6</v>
      </c>
      <c r="L2527" s="569">
        <v>0</v>
      </c>
      <c r="M2527" s="569" t="s">
        <v>157</v>
      </c>
      <c r="N2527" s="569">
        <v>2</v>
      </c>
      <c r="O2527" s="569" t="s">
        <v>3846</v>
      </c>
      <c r="P2527" s="568">
        <v>12000</v>
      </c>
      <c r="Q2527" s="569" t="s">
        <v>4235</v>
      </c>
      <c r="R2527" s="569">
        <v>8</v>
      </c>
      <c r="S2527" s="569" t="s">
        <v>4532</v>
      </c>
      <c r="T2527" s="569" t="s">
        <v>4505</v>
      </c>
      <c r="U2527" s="569">
        <v>176</v>
      </c>
      <c r="V2527" s="569">
        <v>48</v>
      </c>
      <c r="W2527" s="620">
        <v>10800</v>
      </c>
      <c r="X2527" s="621" t="s">
        <v>157</v>
      </c>
      <c r="Y2527" s="621" t="s">
        <v>450</v>
      </c>
      <c r="Z2527" s="621" t="s">
        <v>178</v>
      </c>
      <c r="AA2527" s="622">
        <v>42415</v>
      </c>
      <c r="AB2527" s="622" t="s">
        <v>164</v>
      </c>
      <c r="AC2527" s="622">
        <v>32743</v>
      </c>
      <c r="AD2527" s="623">
        <v>0.05</v>
      </c>
      <c r="AE2527" s="621" t="s">
        <v>4536</v>
      </c>
    </row>
    <row r="2528" spans="1:31" s="572" customFormat="1">
      <c r="A2528" s="570" t="s">
        <v>4548</v>
      </c>
      <c r="B2528" s="573" t="s">
        <v>287</v>
      </c>
      <c r="C2528" s="578">
        <v>26</v>
      </c>
      <c r="D2528" s="573" t="s">
        <v>3374</v>
      </c>
      <c r="E2528" s="573" t="s">
        <v>187</v>
      </c>
      <c r="F2528" s="573" t="s">
        <v>271</v>
      </c>
      <c r="G2528" s="573">
        <v>2019</v>
      </c>
      <c r="H2528" s="573" t="s">
        <v>4503</v>
      </c>
      <c r="I2528" s="573" t="s">
        <v>3766</v>
      </c>
      <c r="J2528" s="573" t="s">
        <v>752</v>
      </c>
      <c r="K2528" s="573">
        <v>6</v>
      </c>
      <c r="L2528" s="573">
        <v>0</v>
      </c>
      <c r="M2528" s="573" t="s">
        <v>157</v>
      </c>
      <c r="N2528" s="573">
        <v>2</v>
      </c>
      <c r="O2528" s="573" t="s">
        <v>3846</v>
      </c>
      <c r="P2528" s="571">
        <v>12000</v>
      </c>
      <c r="Q2528" s="573" t="s">
        <v>4231</v>
      </c>
      <c r="R2528" s="573">
        <v>8</v>
      </c>
      <c r="S2528" s="582" t="s">
        <v>4532</v>
      </c>
      <c r="T2528" s="573" t="s">
        <v>4505</v>
      </c>
      <c r="U2528" s="573">
        <v>176</v>
      </c>
      <c r="V2528" s="573">
        <v>48</v>
      </c>
      <c r="W2528" s="616">
        <v>11500</v>
      </c>
      <c r="X2528" s="617" t="s">
        <v>157</v>
      </c>
      <c r="Y2528" s="617" t="s">
        <v>728</v>
      </c>
      <c r="Z2528" s="617" t="s">
        <v>1523</v>
      </c>
      <c r="AA2528" s="618">
        <v>51535</v>
      </c>
      <c r="AB2528" s="618" t="s">
        <v>164</v>
      </c>
      <c r="AC2528" s="618">
        <v>40937</v>
      </c>
      <c r="AD2528" s="619">
        <v>0.05</v>
      </c>
      <c r="AE2528" s="617" t="s">
        <v>4538</v>
      </c>
    </row>
    <row r="2529" spans="1:31" s="572" customFormat="1">
      <c r="A2529" s="570" t="s">
        <v>4549</v>
      </c>
      <c r="B2529" s="569" t="s">
        <v>280</v>
      </c>
      <c r="C2529" s="580">
        <v>27</v>
      </c>
      <c r="D2529" s="569" t="s">
        <v>3374</v>
      </c>
      <c r="E2529" s="569" t="s">
        <v>187</v>
      </c>
      <c r="F2529" s="569" t="s">
        <v>271</v>
      </c>
      <c r="G2529" s="569">
        <v>2019</v>
      </c>
      <c r="H2529" s="569" t="s">
        <v>4503</v>
      </c>
      <c r="I2529" s="569" t="s">
        <v>3766</v>
      </c>
      <c r="J2529" s="569" t="s">
        <v>752</v>
      </c>
      <c r="K2529" s="569">
        <v>6</v>
      </c>
      <c r="L2529" s="569">
        <v>0</v>
      </c>
      <c r="M2529" s="569" t="s">
        <v>157</v>
      </c>
      <c r="N2529" s="569">
        <v>2</v>
      </c>
      <c r="O2529" s="569" t="s">
        <v>4230</v>
      </c>
      <c r="P2529" s="568">
        <v>12300</v>
      </c>
      <c r="Q2529" s="569" t="s">
        <v>4235</v>
      </c>
      <c r="R2529" s="569">
        <v>8</v>
      </c>
      <c r="S2529" s="569" t="s">
        <v>4532</v>
      </c>
      <c r="T2529" s="569" t="s">
        <v>4505</v>
      </c>
      <c r="U2529" s="569">
        <v>160</v>
      </c>
      <c r="V2529" s="569">
        <v>34</v>
      </c>
      <c r="W2529" s="620">
        <v>10500</v>
      </c>
      <c r="X2529" s="621" t="s">
        <v>157</v>
      </c>
      <c r="Y2529" s="621" t="s">
        <v>450</v>
      </c>
      <c r="Z2529" s="621" t="s">
        <v>178</v>
      </c>
      <c r="AA2529" s="622">
        <v>42220</v>
      </c>
      <c r="AB2529" s="622" t="s">
        <v>164</v>
      </c>
      <c r="AC2529" s="622">
        <v>32272.336842105266</v>
      </c>
      <c r="AD2529" s="623">
        <v>0.03</v>
      </c>
      <c r="AE2529" s="621" t="s">
        <v>4531</v>
      </c>
    </row>
    <row r="2530" spans="1:31" s="572" customFormat="1">
      <c r="A2530" s="570" t="s">
        <v>4550</v>
      </c>
      <c r="B2530" s="573" t="s">
        <v>280</v>
      </c>
      <c r="C2530" s="578">
        <v>27</v>
      </c>
      <c r="D2530" s="573" t="s">
        <v>3374</v>
      </c>
      <c r="E2530" s="573" t="s">
        <v>187</v>
      </c>
      <c r="F2530" s="573" t="s">
        <v>271</v>
      </c>
      <c r="G2530" s="573">
        <v>2019</v>
      </c>
      <c r="H2530" s="573" t="s">
        <v>4503</v>
      </c>
      <c r="I2530" s="573" t="s">
        <v>3766</v>
      </c>
      <c r="J2530" s="573" t="s">
        <v>752</v>
      </c>
      <c r="K2530" s="573">
        <v>6</v>
      </c>
      <c r="L2530" s="573">
        <v>0</v>
      </c>
      <c r="M2530" s="573" t="s">
        <v>157</v>
      </c>
      <c r="N2530" s="573">
        <v>2</v>
      </c>
      <c r="O2530" s="573" t="s">
        <v>4230</v>
      </c>
      <c r="P2530" s="571">
        <v>12300</v>
      </c>
      <c r="Q2530" s="573" t="s">
        <v>4231</v>
      </c>
      <c r="R2530" s="573">
        <v>8</v>
      </c>
      <c r="S2530" s="582" t="s">
        <v>4532</v>
      </c>
      <c r="T2530" s="573" t="s">
        <v>4505</v>
      </c>
      <c r="U2530" s="573">
        <v>160</v>
      </c>
      <c r="V2530" s="573">
        <v>34</v>
      </c>
      <c r="W2530" s="616">
        <v>11200</v>
      </c>
      <c r="X2530" s="617" t="s">
        <v>157</v>
      </c>
      <c r="Y2530" s="617" t="s">
        <v>728</v>
      </c>
      <c r="Z2530" s="617" t="s">
        <v>1523</v>
      </c>
      <c r="AA2530" s="618">
        <v>51340</v>
      </c>
      <c r="AB2530" s="618" t="s">
        <v>164</v>
      </c>
      <c r="AC2530" s="618">
        <v>40464.526315789481</v>
      </c>
      <c r="AD2530" s="619">
        <v>0.03</v>
      </c>
      <c r="AE2530" s="617" t="s">
        <v>4534</v>
      </c>
    </row>
    <row r="2531" spans="1:31" s="572" customFormat="1">
      <c r="A2531" s="570" t="s">
        <v>4551</v>
      </c>
      <c r="B2531" s="569" t="s">
        <v>280</v>
      </c>
      <c r="C2531" s="580">
        <v>27</v>
      </c>
      <c r="D2531" s="569" t="s">
        <v>3374</v>
      </c>
      <c r="E2531" s="569" t="s">
        <v>187</v>
      </c>
      <c r="F2531" s="569" t="s">
        <v>271</v>
      </c>
      <c r="G2531" s="569">
        <v>2019</v>
      </c>
      <c r="H2531" s="569" t="s">
        <v>4503</v>
      </c>
      <c r="I2531" s="569" t="s">
        <v>3766</v>
      </c>
      <c r="J2531" s="569" t="s">
        <v>752</v>
      </c>
      <c r="K2531" s="569">
        <v>6</v>
      </c>
      <c r="L2531" s="569">
        <v>0</v>
      </c>
      <c r="M2531" s="569" t="s">
        <v>157</v>
      </c>
      <c r="N2531" s="569">
        <v>2</v>
      </c>
      <c r="O2531" s="569" t="s">
        <v>3846</v>
      </c>
      <c r="P2531" s="568">
        <v>12000</v>
      </c>
      <c r="Q2531" s="569" t="s">
        <v>4235</v>
      </c>
      <c r="R2531" s="569">
        <v>8</v>
      </c>
      <c r="S2531" s="569" t="s">
        <v>4532</v>
      </c>
      <c r="T2531" s="569" t="s">
        <v>4505</v>
      </c>
      <c r="U2531" s="569">
        <v>176</v>
      </c>
      <c r="V2531" s="569">
        <v>48</v>
      </c>
      <c r="W2531" s="620">
        <v>10800</v>
      </c>
      <c r="X2531" s="621" t="s">
        <v>157</v>
      </c>
      <c r="Y2531" s="621" t="s">
        <v>450</v>
      </c>
      <c r="Z2531" s="621" t="s">
        <v>178</v>
      </c>
      <c r="AA2531" s="622">
        <v>42415</v>
      </c>
      <c r="AB2531" s="622" t="s">
        <v>164</v>
      </c>
      <c r="AC2531" s="622">
        <v>32453.389473684212</v>
      </c>
      <c r="AD2531" s="623">
        <v>0.03</v>
      </c>
      <c r="AE2531" s="621" t="s">
        <v>4536</v>
      </c>
    </row>
    <row r="2532" spans="1:31" s="572" customFormat="1">
      <c r="A2532" s="570" t="s">
        <v>4552</v>
      </c>
      <c r="B2532" s="573" t="s">
        <v>280</v>
      </c>
      <c r="C2532" s="578">
        <v>27</v>
      </c>
      <c r="D2532" s="573" t="s">
        <v>3374</v>
      </c>
      <c r="E2532" s="573" t="s">
        <v>187</v>
      </c>
      <c r="F2532" s="573" t="s">
        <v>271</v>
      </c>
      <c r="G2532" s="573">
        <v>2019</v>
      </c>
      <c r="H2532" s="573" t="s">
        <v>4503</v>
      </c>
      <c r="I2532" s="573" t="s">
        <v>3766</v>
      </c>
      <c r="J2532" s="573" t="s">
        <v>752</v>
      </c>
      <c r="K2532" s="573">
        <v>6</v>
      </c>
      <c r="L2532" s="573">
        <v>0</v>
      </c>
      <c r="M2532" s="573" t="s">
        <v>157</v>
      </c>
      <c r="N2532" s="573">
        <v>2</v>
      </c>
      <c r="O2532" s="573" t="s">
        <v>3846</v>
      </c>
      <c r="P2532" s="571">
        <v>12000</v>
      </c>
      <c r="Q2532" s="573" t="s">
        <v>4231</v>
      </c>
      <c r="R2532" s="573">
        <v>8</v>
      </c>
      <c r="S2532" s="582" t="s">
        <v>4532</v>
      </c>
      <c r="T2532" s="573" t="s">
        <v>4505</v>
      </c>
      <c r="U2532" s="573">
        <v>176</v>
      </c>
      <c r="V2532" s="573">
        <v>48</v>
      </c>
      <c r="W2532" s="616">
        <v>11500</v>
      </c>
      <c r="X2532" s="617" t="s">
        <v>157</v>
      </c>
      <c r="Y2532" s="617" t="s">
        <v>728</v>
      </c>
      <c r="Z2532" s="617" t="s">
        <v>1523</v>
      </c>
      <c r="AA2532" s="618">
        <v>51535</v>
      </c>
      <c r="AB2532" s="618" t="s">
        <v>164</v>
      </c>
      <c r="AC2532" s="618">
        <v>40645.578947368427</v>
      </c>
      <c r="AD2532" s="619">
        <v>0.03</v>
      </c>
      <c r="AE2532" s="617" t="s">
        <v>4538</v>
      </c>
    </row>
    <row r="2533" spans="1:31" s="572" customFormat="1">
      <c r="A2533" s="570" t="s">
        <v>4553</v>
      </c>
      <c r="B2533" s="569" t="s">
        <v>280</v>
      </c>
      <c r="C2533" s="580">
        <v>27</v>
      </c>
      <c r="D2533" s="569" t="s">
        <v>3374</v>
      </c>
      <c r="E2533" s="569" t="s">
        <v>187</v>
      </c>
      <c r="F2533" s="569" t="s">
        <v>271</v>
      </c>
      <c r="G2533" s="569">
        <v>2019</v>
      </c>
      <c r="H2533" s="569" t="s">
        <v>4503</v>
      </c>
      <c r="I2533" s="569" t="s">
        <v>3766</v>
      </c>
      <c r="J2533" s="569" t="s">
        <v>752</v>
      </c>
      <c r="K2533" s="569">
        <v>6</v>
      </c>
      <c r="L2533" s="569">
        <v>0</v>
      </c>
      <c r="M2533" s="569" t="s">
        <v>157</v>
      </c>
      <c r="N2533" s="569">
        <v>2</v>
      </c>
      <c r="O2533" s="569" t="s">
        <v>3846</v>
      </c>
      <c r="P2533" s="568">
        <v>12500</v>
      </c>
      <c r="Q2533" s="569" t="s">
        <v>4235</v>
      </c>
      <c r="R2533" s="569">
        <v>8</v>
      </c>
      <c r="S2533" s="569" t="s">
        <v>4532</v>
      </c>
      <c r="T2533" s="569" t="s">
        <v>4505</v>
      </c>
      <c r="U2533" s="569">
        <v>176</v>
      </c>
      <c r="V2533" s="569">
        <v>34</v>
      </c>
      <c r="W2533" s="620">
        <v>10800</v>
      </c>
      <c r="X2533" s="621" t="s">
        <v>157</v>
      </c>
      <c r="Y2533" s="621" t="s">
        <v>450</v>
      </c>
      <c r="Z2533" s="621" t="s">
        <v>178</v>
      </c>
      <c r="AA2533" s="622">
        <v>42415</v>
      </c>
      <c r="AB2533" s="622" t="s">
        <v>164</v>
      </c>
      <c r="AC2533" s="622">
        <v>32453.389473684212</v>
      </c>
      <c r="AD2533" s="623">
        <v>0.03</v>
      </c>
      <c r="AE2533" s="621" t="s">
        <v>4540</v>
      </c>
    </row>
    <row r="2534" spans="1:31" s="572" customFormat="1">
      <c r="A2534" s="570" t="s">
        <v>4554</v>
      </c>
      <c r="B2534" s="573" t="s">
        <v>269</v>
      </c>
      <c r="C2534" s="578" t="s">
        <v>270</v>
      </c>
      <c r="D2534" s="573" t="s">
        <v>3374</v>
      </c>
      <c r="E2534" s="573" t="s">
        <v>187</v>
      </c>
      <c r="F2534" s="573" t="s">
        <v>271</v>
      </c>
      <c r="G2534" s="573">
        <v>2019</v>
      </c>
      <c r="H2534" s="573" t="s">
        <v>4503</v>
      </c>
      <c r="I2534" s="573" t="s">
        <v>4556</v>
      </c>
      <c r="J2534" s="573" t="s">
        <v>3377</v>
      </c>
      <c r="K2534" s="573">
        <v>6</v>
      </c>
      <c r="L2534" s="573">
        <v>0</v>
      </c>
      <c r="M2534" s="573" t="s">
        <v>157</v>
      </c>
      <c r="N2534" s="573">
        <v>2</v>
      </c>
      <c r="O2534" s="573" t="s">
        <v>3846</v>
      </c>
      <c r="P2534" s="571">
        <v>12500</v>
      </c>
      <c r="Q2534" s="573" t="s">
        <v>4235</v>
      </c>
      <c r="R2534" s="573">
        <v>8</v>
      </c>
      <c r="S2534" s="582" t="s">
        <v>4557</v>
      </c>
      <c r="T2534" s="573" t="s">
        <v>4558</v>
      </c>
      <c r="U2534" s="573">
        <v>176</v>
      </c>
      <c r="V2534" s="573">
        <v>34</v>
      </c>
      <c r="W2534" s="616">
        <v>14000</v>
      </c>
      <c r="X2534" s="617" t="s">
        <v>157</v>
      </c>
      <c r="Y2534" s="617" t="s">
        <v>450</v>
      </c>
      <c r="Z2534" s="617" t="s">
        <v>178</v>
      </c>
      <c r="AA2534" s="618">
        <v>41100</v>
      </c>
      <c r="AB2534" s="618" t="s">
        <v>164</v>
      </c>
      <c r="AC2534" s="618">
        <v>31028.126315789475</v>
      </c>
      <c r="AD2534" s="619">
        <v>0.03</v>
      </c>
      <c r="AE2534" s="617" t="s">
        <v>4555</v>
      </c>
    </row>
    <row r="2535" spans="1:31" s="572" customFormat="1">
      <c r="A2535" s="570" t="s">
        <v>4559</v>
      </c>
      <c r="B2535" s="569" t="s">
        <v>269</v>
      </c>
      <c r="C2535" s="580" t="s">
        <v>270</v>
      </c>
      <c r="D2535" s="569" t="s">
        <v>3374</v>
      </c>
      <c r="E2535" s="569" t="s">
        <v>187</v>
      </c>
      <c r="F2535" s="569" t="s">
        <v>271</v>
      </c>
      <c r="G2535" s="569">
        <v>2019</v>
      </c>
      <c r="H2535" s="569" t="s">
        <v>4503</v>
      </c>
      <c r="I2535" s="569" t="s">
        <v>4556</v>
      </c>
      <c r="J2535" s="569" t="s">
        <v>3377</v>
      </c>
      <c r="K2535" s="569">
        <v>6</v>
      </c>
      <c r="L2535" s="569">
        <v>0</v>
      </c>
      <c r="M2535" s="569" t="s">
        <v>157</v>
      </c>
      <c r="N2535" s="569">
        <v>2</v>
      </c>
      <c r="O2535" s="569" t="s">
        <v>3846</v>
      </c>
      <c r="P2535" s="568">
        <v>12500</v>
      </c>
      <c r="Q2535" s="569" t="s">
        <v>4235</v>
      </c>
      <c r="R2535" s="569">
        <v>8</v>
      </c>
      <c r="S2535" s="569" t="s">
        <v>4557</v>
      </c>
      <c r="T2535" s="569" t="s">
        <v>4558</v>
      </c>
      <c r="U2535" s="569">
        <v>176</v>
      </c>
      <c r="V2535" s="569">
        <v>48</v>
      </c>
      <c r="W2535" s="620">
        <v>14000</v>
      </c>
      <c r="X2535" s="621" t="s">
        <v>157</v>
      </c>
      <c r="Y2535" s="621" t="s">
        <v>450</v>
      </c>
      <c r="Z2535" s="621" t="s">
        <v>178</v>
      </c>
      <c r="AA2535" s="622">
        <v>41100</v>
      </c>
      <c r="AB2535" s="622" t="s">
        <v>164</v>
      </c>
      <c r="AC2535" s="622">
        <v>31028.126315789475</v>
      </c>
      <c r="AD2535" s="623">
        <v>0.03</v>
      </c>
      <c r="AE2535" s="621" t="s">
        <v>4560</v>
      </c>
    </row>
    <row r="2536" spans="1:31" s="572" customFormat="1">
      <c r="A2536" s="570" t="s">
        <v>4561</v>
      </c>
      <c r="B2536" s="573" t="s">
        <v>269</v>
      </c>
      <c r="C2536" s="578" t="s">
        <v>270</v>
      </c>
      <c r="D2536" s="573" t="s">
        <v>3374</v>
      </c>
      <c r="E2536" s="573" t="s">
        <v>187</v>
      </c>
      <c r="F2536" s="573" t="s">
        <v>271</v>
      </c>
      <c r="G2536" s="573">
        <v>2019</v>
      </c>
      <c r="H2536" s="573" t="s">
        <v>4503</v>
      </c>
      <c r="I2536" s="573" t="s">
        <v>4556</v>
      </c>
      <c r="J2536" s="573" t="s">
        <v>3377</v>
      </c>
      <c r="K2536" s="573">
        <v>6</v>
      </c>
      <c r="L2536" s="573">
        <v>0</v>
      </c>
      <c r="M2536" s="573" t="s">
        <v>157</v>
      </c>
      <c r="N2536" s="573">
        <v>2</v>
      </c>
      <c r="O2536" s="573" t="s">
        <v>3846</v>
      </c>
      <c r="P2536" s="571">
        <v>12500</v>
      </c>
      <c r="Q2536" s="573" t="s">
        <v>4231</v>
      </c>
      <c r="R2536" s="573">
        <v>8</v>
      </c>
      <c r="S2536" s="582" t="s">
        <v>4557</v>
      </c>
      <c r="T2536" s="573" t="s">
        <v>4558</v>
      </c>
      <c r="U2536" s="573">
        <v>176</v>
      </c>
      <c r="V2536" s="573">
        <v>48</v>
      </c>
      <c r="W2536" s="616">
        <v>14000</v>
      </c>
      <c r="X2536" s="617" t="s">
        <v>157</v>
      </c>
      <c r="Y2536" s="617" t="s">
        <v>728</v>
      </c>
      <c r="Z2536" s="617" t="s">
        <v>1523</v>
      </c>
      <c r="AA2536" s="618">
        <v>50220</v>
      </c>
      <c r="AB2536" s="618" t="s">
        <v>164</v>
      </c>
      <c r="AC2536" s="618">
        <v>39220.315789473687</v>
      </c>
      <c r="AD2536" s="619">
        <v>0.03</v>
      </c>
      <c r="AE2536" s="617" t="s">
        <v>4562</v>
      </c>
    </row>
    <row r="2537" spans="1:31" s="572" customFormat="1">
      <c r="A2537" s="570" t="s">
        <v>4563</v>
      </c>
      <c r="B2537" s="569" t="s">
        <v>278</v>
      </c>
      <c r="C2537" s="580">
        <v>15</v>
      </c>
      <c r="D2537" s="569" t="s">
        <v>3374</v>
      </c>
      <c r="E2537" s="569" t="s">
        <v>187</v>
      </c>
      <c r="F2537" s="569" t="s">
        <v>271</v>
      </c>
      <c r="G2537" s="569">
        <v>2019</v>
      </c>
      <c r="H2537" s="569" t="s">
        <v>4503</v>
      </c>
      <c r="I2537" s="569" t="s">
        <v>4556</v>
      </c>
      <c r="J2537" s="569" t="s">
        <v>3377</v>
      </c>
      <c r="K2537" s="569">
        <v>6</v>
      </c>
      <c r="L2537" s="569">
        <v>0</v>
      </c>
      <c r="M2537" s="569" t="s">
        <v>157</v>
      </c>
      <c r="N2537" s="569">
        <v>2</v>
      </c>
      <c r="O2537" s="569" t="s">
        <v>3846</v>
      </c>
      <c r="P2537" s="568">
        <v>12500</v>
      </c>
      <c r="Q2537" s="569" t="s">
        <v>4235</v>
      </c>
      <c r="R2537" s="569">
        <v>8</v>
      </c>
      <c r="S2537" s="569" t="s">
        <v>4557</v>
      </c>
      <c r="T2537" s="569" t="s">
        <v>4558</v>
      </c>
      <c r="U2537" s="569">
        <v>176</v>
      </c>
      <c r="V2537" s="569">
        <v>48</v>
      </c>
      <c r="W2537" s="620">
        <v>14000</v>
      </c>
      <c r="X2537" s="621" t="s">
        <v>157</v>
      </c>
      <c r="Y2537" s="621" t="s">
        <v>450</v>
      </c>
      <c r="Z2537" s="621" t="s">
        <v>178</v>
      </c>
      <c r="AA2537" s="622">
        <v>41110</v>
      </c>
      <c r="AB2537" s="622" t="s">
        <v>164</v>
      </c>
      <c r="AC2537" s="622">
        <v>31150</v>
      </c>
      <c r="AD2537" s="623">
        <v>0.01</v>
      </c>
      <c r="AE2537" s="621" t="s">
        <v>4560</v>
      </c>
    </row>
    <row r="2538" spans="1:31" s="572" customFormat="1">
      <c r="A2538" s="570" t="s">
        <v>4564</v>
      </c>
      <c r="B2538" s="573" t="s">
        <v>278</v>
      </c>
      <c r="C2538" s="578">
        <v>15</v>
      </c>
      <c r="D2538" s="573" t="s">
        <v>3374</v>
      </c>
      <c r="E2538" s="573" t="s">
        <v>187</v>
      </c>
      <c r="F2538" s="573" t="s">
        <v>271</v>
      </c>
      <c r="G2538" s="573">
        <v>2019</v>
      </c>
      <c r="H2538" s="573" t="s">
        <v>4503</v>
      </c>
      <c r="I2538" s="573" t="s">
        <v>4556</v>
      </c>
      <c r="J2538" s="573" t="s">
        <v>3377</v>
      </c>
      <c r="K2538" s="573">
        <v>6</v>
      </c>
      <c r="L2538" s="573">
        <v>0</v>
      </c>
      <c r="M2538" s="573" t="s">
        <v>157</v>
      </c>
      <c r="N2538" s="573">
        <v>2</v>
      </c>
      <c r="O2538" s="573" t="s">
        <v>3846</v>
      </c>
      <c r="P2538" s="571">
        <v>12500</v>
      </c>
      <c r="Q2538" s="573" t="s">
        <v>4231</v>
      </c>
      <c r="R2538" s="573">
        <v>8</v>
      </c>
      <c r="S2538" s="582" t="s">
        <v>4557</v>
      </c>
      <c r="T2538" s="573" t="s">
        <v>4558</v>
      </c>
      <c r="U2538" s="573">
        <v>176</v>
      </c>
      <c r="V2538" s="573">
        <v>48</v>
      </c>
      <c r="W2538" s="616">
        <v>14000</v>
      </c>
      <c r="X2538" s="617" t="s">
        <v>157</v>
      </c>
      <c r="Y2538" s="617" t="s">
        <v>728</v>
      </c>
      <c r="Z2538" s="617" t="s">
        <v>1523</v>
      </c>
      <c r="AA2538" s="618">
        <v>50220</v>
      </c>
      <c r="AB2538" s="618" t="s">
        <v>164</v>
      </c>
      <c r="AC2538" s="618">
        <v>39450</v>
      </c>
      <c r="AD2538" s="619">
        <v>0.01</v>
      </c>
      <c r="AE2538" s="617" t="s">
        <v>4562</v>
      </c>
    </row>
    <row r="2539" spans="1:31" s="572" customFormat="1">
      <c r="A2539" s="570" t="s">
        <v>4565</v>
      </c>
      <c r="B2539" s="569" t="s">
        <v>287</v>
      </c>
      <c r="C2539" s="580">
        <v>26</v>
      </c>
      <c r="D2539" s="569" t="s">
        <v>3374</v>
      </c>
      <c r="E2539" s="569" t="s">
        <v>187</v>
      </c>
      <c r="F2539" s="569" t="s">
        <v>271</v>
      </c>
      <c r="G2539" s="569">
        <v>2019</v>
      </c>
      <c r="H2539" s="569" t="s">
        <v>4503</v>
      </c>
      <c r="I2539" s="569" t="s">
        <v>4556</v>
      </c>
      <c r="J2539" s="569" t="s">
        <v>3377</v>
      </c>
      <c r="K2539" s="569">
        <v>6</v>
      </c>
      <c r="L2539" s="569">
        <v>0</v>
      </c>
      <c r="M2539" s="569" t="s">
        <v>157</v>
      </c>
      <c r="N2539" s="569">
        <v>2</v>
      </c>
      <c r="O2539" s="569" t="s">
        <v>3846</v>
      </c>
      <c r="P2539" s="568">
        <v>12500</v>
      </c>
      <c r="Q2539" s="569" t="s">
        <v>4235</v>
      </c>
      <c r="R2539" s="569">
        <v>8</v>
      </c>
      <c r="S2539" s="569" t="s">
        <v>4557</v>
      </c>
      <c r="T2539" s="569" t="s">
        <v>4558</v>
      </c>
      <c r="U2539" s="569">
        <v>176</v>
      </c>
      <c r="V2539" s="569">
        <v>48</v>
      </c>
      <c r="W2539" s="620">
        <v>14000</v>
      </c>
      <c r="X2539" s="621" t="s">
        <v>157</v>
      </c>
      <c r="Y2539" s="621" t="s">
        <v>450</v>
      </c>
      <c r="Z2539" s="621" t="s">
        <v>178</v>
      </c>
      <c r="AA2539" s="622">
        <v>41100</v>
      </c>
      <c r="AB2539" s="622" t="s">
        <v>164</v>
      </c>
      <c r="AC2539" s="622">
        <v>31294</v>
      </c>
      <c r="AD2539" s="623">
        <v>0.05</v>
      </c>
      <c r="AE2539" s="621" t="s">
        <v>4560</v>
      </c>
    </row>
    <row r="2540" spans="1:31" s="572" customFormat="1">
      <c r="A2540" s="570" t="s">
        <v>4566</v>
      </c>
      <c r="B2540" s="573" t="s">
        <v>287</v>
      </c>
      <c r="C2540" s="578">
        <v>26</v>
      </c>
      <c r="D2540" s="573" t="s">
        <v>3374</v>
      </c>
      <c r="E2540" s="573" t="s">
        <v>187</v>
      </c>
      <c r="F2540" s="573" t="s">
        <v>271</v>
      </c>
      <c r="G2540" s="573">
        <v>2019</v>
      </c>
      <c r="H2540" s="573" t="s">
        <v>4503</v>
      </c>
      <c r="I2540" s="573" t="s">
        <v>4556</v>
      </c>
      <c r="J2540" s="573" t="s">
        <v>3377</v>
      </c>
      <c r="K2540" s="573">
        <v>6</v>
      </c>
      <c r="L2540" s="573">
        <v>0</v>
      </c>
      <c r="M2540" s="573" t="s">
        <v>157</v>
      </c>
      <c r="N2540" s="573">
        <v>2</v>
      </c>
      <c r="O2540" s="573" t="s">
        <v>3846</v>
      </c>
      <c r="P2540" s="571">
        <v>12500</v>
      </c>
      <c r="Q2540" s="573" t="s">
        <v>4231</v>
      </c>
      <c r="R2540" s="573">
        <v>8</v>
      </c>
      <c r="S2540" s="582" t="s">
        <v>4557</v>
      </c>
      <c r="T2540" s="573" t="s">
        <v>4558</v>
      </c>
      <c r="U2540" s="573">
        <v>176</v>
      </c>
      <c r="V2540" s="573">
        <v>48</v>
      </c>
      <c r="W2540" s="616">
        <v>14000</v>
      </c>
      <c r="X2540" s="617" t="s">
        <v>157</v>
      </c>
      <c r="Y2540" s="617" t="s">
        <v>728</v>
      </c>
      <c r="Z2540" s="617" t="s">
        <v>1523</v>
      </c>
      <c r="AA2540" s="618">
        <v>50220</v>
      </c>
      <c r="AB2540" s="618" t="s">
        <v>164</v>
      </c>
      <c r="AC2540" s="618">
        <v>39489</v>
      </c>
      <c r="AD2540" s="619">
        <v>0.05</v>
      </c>
      <c r="AE2540" s="617" t="s">
        <v>4562</v>
      </c>
    </row>
    <row r="2541" spans="1:31" s="572" customFormat="1">
      <c r="A2541" s="570" t="s">
        <v>4567</v>
      </c>
      <c r="B2541" s="569" t="s">
        <v>280</v>
      </c>
      <c r="C2541" s="580">
        <v>27</v>
      </c>
      <c r="D2541" s="569" t="s">
        <v>3374</v>
      </c>
      <c r="E2541" s="569" t="s">
        <v>187</v>
      </c>
      <c r="F2541" s="569" t="s">
        <v>271</v>
      </c>
      <c r="G2541" s="569">
        <v>2019</v>
      </c>
      <c r="H2541" s="569" t="s">
        <v>4503</v>
      </c>
      <c r="I2541" s="569" t="s">
        <v>4556</v>
      </c>
      <c r="J2541" s="569" t="s">
        <v>3377</v>
      </c>
      <c r="K2541" s="569">
        <v>6</v>
      </c>
      <c r="L2541" s="569">
        <v>0</v>
      </c>
      <c r="M2541" s="569" t="s">
        <v>157</v>
      </c>
      <c r="N2541" s="569">
        <v>2</v>
      </c>
      <c r="O2541" s="569" t="s">
        <v>3846</v>
      </c>
      <c r="P2541" s="568">
        <v>12500</v>
      </c>
      <c r="Q2541" s="569" t="s">
        <v>4235</v>
      </c>
      <c r="R2541" s="569">
        <v>8</v>
      </c>
      <c r="S2541" s="569" t="s">
        <v>4557</v>
      </c>
      <c r="T2541" s="569" t="s">
        <v>4558</v>
      </c>
      <c r="U2541" s="569">
        <v>176</v>
      </c>
      <c r="V2541" s="569">
        <v>34</v>
      </c>
      <c r="W2541" s="620">
        <v>14000</v>
      </c>
      <c r="X2541" s="621" t="s">
        <v>157</v>
      </c>
      <c r="Y2541" s="621" t="s">
        <v>450</v>
      </c>
      <c r="Z2541" s="621" t="s">
        <v>178</v>
      </c>
      <c r="AA2541" s="622">
        <v>41100</v>
      </c>
      <c r="AB2541" s="622" t="s">
        <v>164</v>
      </c>
      <c r="AC2541" s="622">
        <v>31028.126315789475</v>
      </c>
      <c r="AD2541" s="623">
        <v>0.03</v>
      </c>
      <c r="AE2541" s="621" t="s">
        <v>4555</v>
      </c>
    </row>
    <row r="2542" spans="1:31" s="572" customFormat="1">
      <c r="A2542" s="570" t="s">
        <v>4568</v>
      </c>
      <c r="B2542" s="573" t="s">
        <v>280</v>
      </c>
      <c r="C2542" s="578">
        <v>27</v>
      </c>
      <c r="D2542" s="573" t="s">
        <v>3374</v>
      </c>
      <c r="E2542" s="573" t="s">
        <v>187</v>
      </c>
      <c r="F2542" s="573" t="s">
        <v>271</v>
      </c>
      <c r="G2542" s="573">
        <v>2019</v>
      </c>
      <c r="H2542" s="573" t="s">
        <v>4503</v>
      </c>
      <c r="I2542" s="573" t="s">
        <v>4556</v>
      </c>
      <c r="J2542" s="573" t="s">
        <v>3377</v>
      </c>
      <c r="K2542" s="573">
        <v>6</v>
      </c>
      <c r="L2542" s="573">
        <v>0</v>
      </c>
      <c r="M2542" s="573" t="s">
        <v>157</v>
      </c>
      <c r="N2542" s="573">
        <v>2</v>
      </c>
      <c r="O2542" s="573" t="s">
        <v>3846</v>
      </c>
      <c r="P2542" s="571">
        <v>12500</v>
      </c>
      <c r="Q2542" s="573" t="s">
        <v>4235</v>
      </c>
      <c r="R2542" s="573">
        <v>8</v>
      </c>
      <c r="S2542" s="582" t="s">
        <v>4557</v>
      </c>
      <c r="T2542" s="573" t="s">
        <v>4558</v>
      </c>
      <c r="U2542" s="573">
        <v>176</v>
      </c>
      <c r="V2542" s="573">
        <v>48</v>
      </c>
      <c r="W2542" s="616">
        <v>14000</v>
      </c>
      <c r="X2542" s="617" t="s">
        <v>157</v>
      </c>
      <c r="Y2542" s="617" t="s">
        <v>450</v>
      </c>
      <c r="Z2542" s="617" t="s">
        <v>178</v>
      </c>
      <c r="AA2542" s="618">
        <v>41100</v>
      </c>
      <c r="AB2542" s="618" t="s">
        <v>164</v>
      </c>
      <c r="AC2542" s="618">
        <v>31028.126315789475</v>
      </c>
      <c r="AD2542" s="619">
        <v>0.03</v>
      </c>
      <c r="AE2542" s="617" t="s">
        <v>4560</v>
      </c>
    </row>
    <row r="2543" spans="1:31" s="572" customFormat="1">
      <c r="A2543" s="570" t="s">
        <v>4569</v>
      </c>
      <c r="B2543" s="569" t="s">
        <v>280</v>
      </c>
      <c r="C2543" s="580">
        <v>27</v>
      </c>
      <c r="D2543" s="569" t="s">
        <v>3374</v>
      </c>
      <c r="E2543" s="569" t="s">
        <v>187</v>
      </c>
      <c r="F2543" s="569" t="s">
        <v>271</v>
      </c>
      <c r="G2543" s="569">
        <v>2019</v>
      </c>
      <c r="H2543" s="569" t="s">
        <v>4503</v>
      </c>
      <c r="I2543" s="569" t="s">
        <v>4556</v>
      </c>
      <c r="J2543" s="569" t="s">
        <v>3377</v>
      </c>
      <c r="K2543" s="569">
        <v>6</v>
      </c>
      <c r="L2543" s="569">
        <v>0</v>
      </c>
      <c r="M2543" s="569" t="s">
        <v>157</v>
      </c>
      <c r="N2543" s="569">
        <v>2</v>
      </c>
      <c r="O2543" s="569" t="s">
        <v>3846</v>
      </c>
      <c r="P2543" s="568">
        <v>12500</v>
      </c>
      <c r="Q2543" s="569" t="s">
        <v>4231</v>
      </c>
      <c r="R2543" s="569">
        <v>8</v>
      </c>
      <c r="S2543" s="569" t="s">
        <v>4557</v>
      </c>
      <c r="T2543" s="569" t="s">
        <v>4558</v>
      </c>
      <c r="U2543" s="569">
        <v>176</v>
      </c>
      <c r="V2543" s="569">
        <v>48</v>
      </c>
      <c r="W2543" s="620">
        <v>14000</v>
      </c>
      <c r="X2543" s="621" t="s">
        <v>157</v>
      </c>
      <c r="Y2543" s="621" t="s">
        <v>728</v>
      </c>
      <c r="Z2543" s="621" t="s">
        <v>1523</v>
      </c>
      <c r="AA2543" s="622">
        <v>50220</v>
      </c>
      <c r="AB2543" s="622" t="s">
        <v>164</v>
      </c>
      <c r="AC2543" s="622">
        <v>39220.315789473687</v>
      </c>
      <c r="AD2543" s="623">
        <v>0.03</v>
      </c>
      <c r="AE2543" s="621" t="s">
        <v>4562</v>
      </c>
    </row>
    <row r="2544" spans="1:31" s="572" customFormat="1">
      <c r="A2544" s="570" t="s">
        <v>4570</v>
      </c>
      <c r="B2544" s="573" t="s">
        <v>269</v>
      </c>
      <c r="C2544" s="578" t="s">
        <v>270</v>
      </c>
      <c r="D2544" s="573" t="s">
        <v>3374</v>
      </c>
      <c r="E2544" s="573" t="s">
        <v>187</v>
      </c>
      <c r="F2544" s="573" t="s">
        <v>271</v>
      </c>
      <c r="G2544" s="573">
        <v>2019</v>
      </c>
      <c r="H2544" s="573" t="s">
        <v>4503</v>
      </c>
      <c r="I2544" s="573" t="s">
        <v>4556</v>
      </c>
      <c r="J2544" s="573" t="s">
        <v>752</v>
      </c>
      <c r="K2544" s="573">
        <v>6</v>
      </c>
      <c r="L2544" s="573">
        <v>0</v>
      </c>
      <c r="M2544" s="573" t="s">
        <v>157</v>
      </c>
      <c r="N2544" s="573">
        <v>2</v>
      </c>
      <c r="O2544" s="573" t="s">
        <v>3846</v>
      </c>
      <c r="P2544" s="571">
        <v>12100</v>
      </c>
      <c r="Q2544" s="573" t="s">
        <v>4235</v>
      </c>
      <c r="R2544" s="573">
        <v>8</v>
      </c>
      <c r="S2544" s="582" t="s">
        <v>4572</v>
      </c>
      <c r="T2544" s="573" t="s">
        <v>4558</v>
      </c>
      <c r="U2544" s="573">
        <v>176</v>
      </c>
      <c r="V2544" s="573">
        <v>34</v>
      </c>
      <c r="W2544" s="616">
        <v>14000</v>
      </c>
      <c r="X2544" s="617" t="s">
        <v>157</v>
      </c>
      <c r="Y2544" s="617" t="s">
        <v>450</v>
      </c>
      <c r="Z2544" s="617" t="s">
        <v>178</v>
      </c>
      <c r="AA2544" s="618">
        <v>43900</v>
      </c>
      <c r="AB2544" s="618" t="s">
        <v>164</v>
      </c>
      <c r="AC2544" s="618">
        <v>33614.442105263159</v>
      </c>
      <c r="AD2544" s="619">
        <v>0.03</v>
      </c>
      <c r="AE2544" s="617" t="s">
        <v>4571</v>
      </c>
    </row>
    <row r="2545" spans="1:31" s="572" customFormat="1">
      <c r="A2545" s="570" t="s">
        <v>4573</v>
      </c>
      <c r="B2545" s="569" t="s">
        <v>269</v>
      </c>
      <c r="C2545" s="580" t="s">
        <v>270</v>
      </c>
      <c r="D2545" s="569" t="s">
        <v>3374</v>
      </c>
      <c r="E2545" s="569" t="s">
        <v>187</v>
      </c>
      <c r="F2545" s="569" t="s">
        <v>271</v>
      </c>
      <c r="G2545" s="569">
        <v>2019</v>
      </c>
      <c r="H2545" s="569" t="s">
        <v>4503</v>
      </c>
      <c r="I2545" s="569" t="s">
        <v>4556</v>
      </c>
      <c r="J2545" s="569" t="s">
        <v>752</v>
      </c>
      <c r="K2545" s="569">
        <v>6</v>
      </c>
      <c r="L2545" s="569">
        <v>0</v>
      </c>
      <c r="M2545" s="569" t="s">
        <v>157</v>
      </c>
      <c r="N2545" s="569">
        <v>2</v>
      </c>
      <c r="O2545" s="569" t="s">
        <v>3846</v>
      </c>
      <c r="P2545" s="568">
        <v>12100</v>
      </c>
      <c r="Q2545" s="569" t="s">
        <v>4231</v>
      </c>
      <c r="R2545" s="569">
        <v>8</v>
      </c>
      <c r="S2545" s="569" t="s">
        <v>4572</v>
      </c>
      <c r="T2545" s="569" t="s">
        <v>4558</v>
      </c>
      <c r="U2545" s="569">
        <v>176</v>
      </c>
      <c r="V2545" s="569">
        <v>48</v>
      </c>
      <c r="W2545" s="620">
        <v>14000</v>
      </c>
      <c r="X2545" s="621" t="s">
        <v>157</v>
      </c>
      <c r="Y2545" s="621" t="s">
        <v>728</v>
      </c>
      <c r="Z2545" s="621" t="s">
        <v>1523</v>
      </c>
      <c r="AA2545" s="622">
        <v>53020</v>
      </c>
      <c r="AB2545" s="622" t="s">
        <v>164</v>
      </c>
      <c r="AC2545" s="622">
        <v>41806.631578947374</v>
      </c>
      <c r="AD2545" s="623">
        <v>0.03</v>
      </c>
      <c r="AE2545" s="621" t="s">
        <v>4574</v>
      </c>
    </row>
    <row r="2546" spans="1:31" s="572" customFormat="1">
      <c r="A2546" s="570" t="s">
        <v>4575</v>
      </c>
      <c r="B2546" s="573" t="s">
        <v>278</v>
      </c>
      <c r="C2546" s="578">
        <v>15</v>
      </c>
      <c r="D2546" s="573" t="s">
        <v>3374</v>
      </c>
      <c r="E2546" s="573" t="s">
        <v>187</v>
      </c>
      <c r="F2546" s="573" t="s">
        <v>271</v>
      </c>
      <c r="G2546" s="573">
        <v>2019</v>
      </c>
      <c r="H2546" s="573" t="s">
        <v>4503</v>
      </c>
      <c r="I2546" s="573" t="s">
        <v>4556</v>
      </c>
      <c r="J2546" s="573" t="s">
        <v>752</v>
      </c>
      <c r="K2546" s="573">
        <v>6</v>
      </c>
      <c r="L2546" s="573">
        <v>0</v>
      </c>
      <c r="M2546" s="573" t="s">
        <v>157</v>
      </c>
      <c r="N2546" s="573">
        <v>2</v>
      </c>
      <c r="O2546" s="573" t="s">
        <v>3846</v>
      </c>
      <c r="P2546" s="571">
        <v>12100</v>
      </c>
      <c r="Q2546" s="573" t="s">
        <v>4235</v>
      </c>
      <c r="R2546" s="573">
        <v>8</v>
      </c>
      <c r="S2546" s="582" t="s">
        <v>4572</v>
      </c>
      <c r="T2546" s="573" t="s">
        <v>4558</v>
      </c>
      <c r="U2546" s="573">
        <v>176</v>
      </c>
      <c r="V2546" s="573">
        <v>48</v>
      </c>
      <c r="W2546" s="616">
        <v>14000</v>
      </c>
      <c r="X2546" s="617" t="s">
        <v>157</v>
      </c>
      <c r="Y2546" s="617" t="s">
        <v>450</v>
      </c>
      <c r="Z2546" s="617" t="s">
        <v>178</v>
      </c>
      <c r="AA2546" s="618">
        <v>43900</v>
      </c>
      <c r="AB2546" s="618" t="s">
        <v>164</v>
      </c>
      <c r="AC2546" s="618">
        <v>33750</v>
      </c>
      <c r="AD2546" s="619">
        <v>0.01</v>
      </c>
      <c r="AE2546" s="617" t="s">
        <v>4576</v>
      </c>
    </row>
    <row r="2547" spans="1:31" s="572" customFormat="1">
      <c r="A2547" s="570" t="s">
        <v>4577</v>
      </c>
      <c r="B2547" s="569" t="s">
        <v>278</v>
      </c>
      <c r="C2547" s="580">
        <v>15</v>
      </c>
      <c r="D2547" s="569" t="s">
        <v>3374</v>
      </c>
      <c r="E2547" s="569" t="s">
        <v>187</v>
      </c>
      <c r="F2547" s="569" t="s">
        <v>271</v>
      </c>
      <c r="G2547" s="569">
        <v>2019</v>
      </c>
      <c r="H2547" s="569" t="s">
        <v>4503</v>
      </c>
      <c r="I2547" s="569" t="s">
        <v>4556</v>
      </c>
      <c r="J2547" s="569" t="s">
        <v>752</v>
      </c>
      <c r="K2547" s="569">
        <v>6</v>
      </c>
      <c r="L2547" s="569">
        <v>0</v>
      </c>
      <c r="M2547" s="569" t="s">
        <v>157</v>
      </c>
      <c r="N2547" s="569">
        <v>2</v>
      </c>
      <c r="O2547" s="569" t="s">
        <v>3846</v>
      </c>
      <c r="P2547" s="568">
        <v>12100</v>
      </c>
      <c r="Q2547" s="569" t="s">
        <v>4231</v>
      </c>
      <c r="R2547" s="569">
        <v>8</v>
      </c>
      <c r="S2547" s="569" t="s">
        <v>4572</v>
      </c>
      <c r="T2547" s="569" t="s">
        <v>4558</v>
      </c>
      <c r="U2547" s="569">
        <v>176</v>
      </c>
      <c r="V2547" s="569">
        <v>48</v>
      </c>
      <c r="W2547" s="620">
        <v>14000</v>
      </c>
      <c r="X2547" s="621" t="s">
        <v>157</v>
      </c>
      <c r="Y2547" s="621" t="s">
        <v>728</v>
      </c>
      <c r="Z2547" s="621" t="s">
        <v>1523</v>
      </c>
      <c r="AA2547" s="622">
        <v>53020</v>
      </c>
      <c r="AB2547" s="622" t="s">
        <v>164</v>
      </c>
      <c r="AC2547" s="622">
        <v>42100</v>
      </c>
      <c r="AD2547" s="623">
        <v>0.01</v>
      </c>
      <c r="AE2547" s="621" t="s">
        <v>4574</v>
      </c>
    </row>
    <row r="2548" spans="1:31" s="572" customFormat="1">
      <c r="A2548" s="570" t="s">
        <v>4578</v>
      </c>
      <c r="B2548" s="573" t="s">
        <v>287</v>
      </c>
      <c r="C2548" s="578">
        <v>26</v>
      </c>
      <c r="D2548" s="573" t="s">
        <v>3374</v>
      </c>
      <c r="E2548" s="573" t="s">
        <v>187</v>
      </c>
      <c r="F2548" s="573" t="s">
        <v>271</v>
      </c>
      <c r="G2548" s="573">
        <v>2019</v>
      </c>
      <c r="H2548" s="573" t="s">
        <v>4503</v>
      </c>
      <c r="I2548" s="573" t="s">
        <v>4556</v>
      </c>
      <c r="J2548" s="573" t="s">
        <v>752</v>
      </c>
      <c r="K2548" s="573">
        <v>6</v>
      </c>
      <c r="L2548" s="573">
        <v>0</v>
      </c>
      <c r="M2548" s="573" t="s">
        <v>157</v>
      </c>
      <c r="N2548" s="573">
        <v>2</v>
      </c>
      <c r="O2548" s="573" t="s">
        <v>3846</v>
      </c>
      <c r="P2548" s="571">
        <v>12100</v>
      </c>
      <c r="Q2548" s="573" t="s">
        <v>4235</v>
      </c>
      <c r="R2548" s="573">
        <v>8</v>
      </c>
      <c r="S2548" s="582" t="s">
        <v>4572</v>
      </c>
      <c r="T2548" s="573" t="s">
        <v>4558</v>
      </c>
      <c r="U2548" s="573">
        <v>176</v>
      </c>
      <c r="V2548" s="573">
        <v>48</v>
      </c>
      <c r="W2548" s="616">
        <v>14000</v>
      </c>
      <c r="X2548" s="617" t="s">
        <v>157</v>
      </c>
      <c r="Y2548" s="617" t="s">
        <v>450</v>
      </c>
      <c r="Z2548" s="617" t="s">
        <v>178</v>
      </c>
      <c r="AA2548" s="618">
        <v>43535</v>
      </c>
      <c r="AB2548" s="618" t="s">
        <v>164</v>
      </c>
      <c r="AC2548" s="618">
        <v>33920</v>
      </c>
      <c r="AD2548" s="619">
        <v>0.05</v>
      </c>
      <c r="AE2548" s="617" t="s">
        <v>4576</v>
      </c>
    </row>
    <row r="2549" spans="1:31" s="572" customFormat="1">
      <c r="A2549" s="570" t="s">
        <v>4579</v>
      </c>
      <c r="B2549" s="569" t="s">
        <v>287</v>
      </c>
      <c r="C2549" s="580">
        <v>26</v>
      </c>
      <c r="D2549" s="569" t="s">
        <v>3374</v>
      </c>
      <c r="E2549" s="569" t="s">
        <v>187</v>
      </c>
      <c r="F2549" s="569" t="s">
        <v>271</v>
      </c>
      <c r="G2549" s="569">
        <v>2019</v>
      </c>
      <c r="H2549" s="569" t="s">
        <v>4503</v>
      </c>
      <c r="I2549" s="569" t="s">
        <v>4556</v>
      </c>
      <c r="J2549" s="569" t="s">
        <v>752</v>
      </c>
      <c r="K2549" s="569">
        <v>6</v>
      </c>
      <c r="L2549" s="569">
        <v>0</v>
      </c>
      <c r="M2549" s="569" t="s">
        <v>157</v>
      </c>
      <c r="N2549" s="569">
        <v>2</v>
      </c>
      <c r="O2549" s="569" t="s">
        <v>3846</v>
      </c>
      <c r="P2549" s="568">
        <v>12100</v>
      </c>
      <c r="Q2549" s="569" t="s">
        <v>4231</v>
      </c>
      <c r="R2549" s="569">
        <v>8</v>
      </c>
      <c r="S2549" s="569" t="s">
        <v>4572</v>
      </c>
      <c r="T2549" s="569" t="s">
        <v>4558</v>
      </c>
      <c r="U2549" s="569">
        <v>176</v>
      </c>
      <c r="V2549" s="569">
        <v>48</v>
      </c>
      <c r="W2549" s="620">
        <v>14000</v>
      </c>
      <c r="X2549" s="621" t="s">
        <v>157</v>
      </c>
      <c r="Y2549" s="621" t="s">
        <v>728</v>
      </c>
      <c r="Z2549" s="621" t="s">
        <v>1523</v>
      </c>
      <c r="AA2549" s="622">
        <v>53020</v>
      </c>
      <c r="AB2549" s="622" t="s">
        <v>164</v>
      </c>
      <c r="AC2549" s="622">
        <v>42114</v>
      </c>
      <c r="AD2549" s="623">
        <v>0.05</v>
      </c>
      <c r="AE2549" s="621" t="s">
        <v>4574</v>
      </c>
    </row>
    <row r="2550" spans="1:31" s="572" customFormat="1">
      <c r="A2550" s="570" t="s">
        <v>4580</v>
      </c>
      <c r="B2550" s="573" t="s">
        <v>280</v>
      </c>
      <c r="C2550" s="578">
        <v>27</v>
      </c>
      <c r="D2550" s="573" t="s">
        <v>3374</v>
      </c>
      <c r="E2550" s="573" t="s">
        <v>187</v>
      </c>
      <c r="F2550" s="573" t="s">
        <v>271</v>
      </c>
      <c r="G2550" s="573">
        <v>2019</v>
      </c>
      <c r="H2550" s="573" t="s">
        <v>4503</v>
      </c>
      <c r="I2550" s="573" t="s">
        <v>4556</v>
      </c>
      <c r="J2550" s="573" t="s">
        <v>752</v>
      </c>
      <c r="K2550" s="573">
        <v>6</v>
      </c>
      <c r="L2550" s="573">
        <v>0</v>
      </c>
      <c r="M2550" s="573" t="s">
        <v>157</v>
      </c>
      <c r="N2550" s="573">
        <v>2</v>
      </c>
      <c r="O2550" s="573" t="s">
        <v>3846</v>
      </c>
      <c r="P2550" s="571">
        <v>12100</v>
      </c>
      <c r="Q2550" s="573" t="s">
        <v>4235</v>
      </c>
      <c r="R2550" s="573">
        <v>8</v>
      </c>
      <c r="S2550" s="582" t="s">
        <v>4572</v>
      </c>
      <c r="T2550" s="573" t="s">
        <v>4558</v>
      </c>
      <c r="U2550" s="573">
        <v>176</v>
      </c>
      <c r="V2550" s="573">
        <v>34</v>
      </c>
      <c r="W2550" s="616">
        <v>14000</v>
      </c>
      <c r="X2550" s="617" t="s">
        <v>157</v>
      </c>
      <c r="Y2550" s="617" t="s">
        <v>450</v>
      </c>
      <c r="Z2550" s="617" t="s">
        <v>178</v>
      </c>
      <c r="AA2550" s="618">
        <v>43900</v>
      </c>
      <c r="AB2550" s="618" t="s">
        <v>164</v>
      </c>
      <c r="AC2550" s="618">
        <v>33614.442105263159</v>
      </c>
      <c r="AD2550" s="619">
        <v>0.03</v>
      </c>
      <c r="AE2550" s="617" t="s">
        <v>4571</v>
      </c>
    </row>
    <row r="2551" spans="1:31" s="572" customFormat="1">
      <c r="A2551" s="570" t="s">
        <v>4581</v>
      </c>
      <c r="B2551" s="569" t="s">
        <v>280</v>
      </c>
      <c r="C2551" s="580">
        <v>27</v>
      </c>
      <c r="D2551" s="569" t="s">
        <v>3374</v>
      </c>
      <c r="E2551" s="569" t="s">
        <v>187</v>
      </c>
      <c r="F2551" s="569" t="s">
        <v>271</v>
      </c>
      <c r="G2551" s="569">
        <v>2019</v>
      </c>
      <c r="H2551" s="569" t="s">
        <v>4503</v>
      </c>
      <c r="I2551" s="569" t="s">
        <v>4556</v>
      </c>
      <c r="J2551" s="569" t="s">
        <v>752</v>
      </c>
      <c r="K2551" s="569">
        <v>6</v>
      </c>
      <c r="L2551" s="569">
        <v>0</v>
      </c>
      <c r="M2551" s="569" t="s">
        <v>157</v>
      </c>
      <c r="N2551" s="569">
        <v>2</v>
      </c>
      <c r="O2551" s="569" t="s">
        <v>3846</v>
      </c>
      <c r="P2551" s="568">
        <v>12100</v>
      </c>
      <c r="Q2551" s="569" t="s">
        <v>4231</v>
      </c>
      <c r="R2551" s="569">
        <v>8</v>
      </c>
      <c r="S2551" s="569" t="s">
        <v>4572</v>
      </c>
      <c r="T2551" s="569" t="s">
        <v>4558</v>
      </c>
      <c r="U2551" s="569">
        <v>176</v>
      </c>
      <c r="V2551" s="569">
        <v>48</v>
      </c>
      <c r="W2551" s="620">
        <v>14000</v>
      </c>
      <c r="X2551" s="621" t="s">
        <v>157</v>
      </c>
      <c r="Y2551" s="621" t="s">
        <v>728</v>
      </c>
      <c r="Z2551" s="621" t="s">
        <v>1523</v>
      </c>
      <c r="AA2551" s="622">
        <v>53020</v>
      </c>
      <c r="AB2551" s="622" t="s">
        <v>164</v>
      </c>
      <c r="AC2551" s="622">
        <v>41806.631578947374</v>
      </c>
      <c r="AD2551" s="623">
        <v>0.03</v>
      </c>
      <c r="AE2551" s="621" t="s">
        <v>4574</v>
      </c>
    </row>
    <row r="2552" spans="1:31" s="572" customFormat="1">
      <c r="A2552" s="570" t="s">
        <v>4582</v>
      </c>
      <c r="B2552" s="573" t="s">
        <v>269</v>
      </c>
      <c r="C2552" s="578" t="s">
        <v>270</v>
      </c>
      <c r="D2552" s="573" t="s">
        <v>3374</v>
      </c>
      <c r="E2552" s="573" t="s">
        <v>187</v>
      </c>
      <c r="F2552" s="573" t="s">
        <v>271</v>
      </c>
      <c r="G2552" s="573">
        <v>2019</v>
      </c>
      <c r="H2552" s="573" t="s">
        <v>4503</v>
      </c>
      <c r="I2552" s="573" t="s">
        <v>3805</v>
      </c>
      <c r="J2552" s="573" t="s">
        <v>3377</v>
      </c>
      <c r="K2552" s="573">
        <v>6</v>
      </c>
      <c r="L2552" s="573">
        <v>0</v>
      </c>
      <c r="M2552" s="573" t="s">
        <v>157</v>
      </c>
      <c r="N2552" s="573">
        <v>2</v>
      </c>
      <c r="O2552" s="573" t="s">
        <v>4230</v>
      </c>
      <c r="P2552" s="571">
        <v>12600</v>
      </c>
      <c r="Q2552" s="573" t="s">
        <v>4231</v>
      </c>
      <c r="R2552" s="573">
        <v>8</v>
      </c>
      <c r="S2552" s="582" t="s">
        <v>4504</v>
      </c>
      <c r="T2552" s="573" t="s">
        <v>4584</v>
      </c>
      <c r="U2552" s="573">
        <v>160</v>
      </c>
      <c r="V2552" s="573">
        <v>34</v>
      </c>
      <c r="W2552" s="616">
        <v>11300</v>
      </c>
      <c r="X2552" s="617" t="s">
        <v>157</v>
      </c>
      <c r="Y2552" s="617" t="s">
        <v>728</v>
      </c>
      <c r="Z2552" s="617" t="s">
        <v>1523</v>
      </c>
      <c r="AA2552" s="618">
        <v>53655</v>
      </c>
      <c r="AB2552" s="618" t="s">
        <v>164</v>
      </c>
      <c r="AC2552" s="618">
        <v>42602.421052631587</v>
      </c>
      <c r="AD2552" s="619">
        <v>0.03</v>
      </c>
      <c r="AE2552" s="617" t="s">
        <v>4583</v>
      </c>
    </row>
    <row r="2553" spans="1:31" s="572" customFormat="1">
      <c r="A2553" s="570" t="s">
        <v>4585</v>
      </c>
      <c r="B2553" s="569" t="s">
        <v>269</v>
      </c>
      <c r="C2553" s="580" t="s">
        <v>270</v>
      </c>
      <c r="D2553" s="569" t="s">
        <v>3374</v>
      </c>
      <c r="E2553" s="569" t="s">
        <v>187</v>
      </c>
      <c r="F2553" s="569" t="s">
        <v>271</v>
      </c>
      <c r="G2553" s="569">
        <v>2019</v>
      </c>
      <c r="H2553" s="569" t="s">
        <v>4503</v>
      </c>
      <c r="I2553" s="569" t="s">
        <v>3805</v>
      </c>
      <c r="J2553" s="569" t="s">
        <v>3377</v>
      </c>
      <c r="K2553" s="569">
        <v>6</v>
      </c>
      <c r="L2553" s="569">
        <v>0</v>
      </c>
      <c r="M2553" s="569" t="s">
        <v>157</v>
      </c>
      <c r="N2553" s="569">
        <v>2</v>
      </c>
      <c r="O2553" s="569" t="s">
        <v>4230</v>
      </c>
      <c r="P2553" s="568">
        <v>12700</v>
      </c>
      <c r="Q2553" s="569" t="s">
        <v>4235</v>
      </c>
      <c r="R2553" s="569">
        <v>8</v>
      </c>
      <c r="S2553" s="569" t="s">
        <v>4504</v>
      </c>
      <c r="T2553" s="569" t="s">
        <v>4584</v>
      </c>
      <c r="U2553" s="569">
        <v>160</v>
      </c>
      <c r="V2553" s="569">
        <v>34</v>
      </c>
      <c r="W2553" s="620">
        <v>10600</v>
      </c>
      <c r="X2553" s="621" t="s">
        <v>157</v>
      </c>
      <c r="Y2553" s="621" t="s">
        <v>450</v>
      </c>
      <c r="Z2553" s="621" t="s">
        <v>178</v>
      </c>
      <c r="AA2553" s="622">
        <v>44535</v>
      </c>
      <c r="AB2553" s="622" t="s">
        <v>164</v>
      </c>
      <c r="AC2553" s="622">
        <v>34410.231578947372</v>
      </c>
      <c r="AD2553" s="623">
        <v>0.03</v>
      </c>
      <c r="AE2553" s="621" t="s">
        <v>4586</v>
      </c>
    </row>
    <row r="2554" spans="1:31" s="572" customFormat="1">
      <c r="A2554" s="570" t="s">
        <v>4587</v>
      </c>
      <c r="B2554" s="573" t="s">
        <v>269</v>
      </c>
      <c r="C2554" s="578" t="s">
        <v>270</v>
      </c>
      <c r="D2554" s="573" t="s">
        <v>3374</v>
      </c>
      <c r="E2554" s="573" t="s">
        <v>187</v>
      </c>
      <c r="F2554" s="573" t="s">
        <v>271</v>
      </c>
      <c r="G2554" s="573">
        <v>2019</v>
      </c>
      <c r="H2554" s="573" t="s">
        <v>4503</v>
      </c>
      <c r="I2554" s="573" t="s">
        <v>3805</v>
      </c>
      <c r="J2554" s="573" t="s">
        <v>3377</v>
      </c>
      <c r="K2554" s="573">
        <v>6</v>
      </c>
      <c r="L2554" s="573">
        <v>0</v>
      </c>
      <c r="M2554" s="573" t="s">
        <v>157</v>
      </c>
      <c r="N2554" s="573">
        <v>2</v>
      </c>
      <c r="O2554" s="573" t="s">
        <v>3846</v>
      </c>
      <c r="P2554" s="571">
        <v>12400</v>
      </c>
      <c r="Q2554" s="573" t="s">
        <v>4235</v>
      </c>
      <c r="R2554" s="573">
        <v>8</v>
      </c>
      <c r="S2554" s="582" t="s">
        <v>4504</v>
      </c>
      <c r="T2554" s="573" t="s">
        <v>4584</v>
      </c>
      <c r="U2554" s="573">
        <v>176</v>
      </c>
      <c r="V2554" s="573">
        <v>48</v>
      </c>
      <c r="W2554" s="616">
        <v>10900</v>
      </c>
      <c r="X2554" s="617" t="s">
        <v>157</v>
      </c>
      <c r="Y2554" s="617" t="s">
        <v>450</v>
      </c>
      <c r="Z2554" s="617" t="s">
        <v>178</v>
      </c>
      <c r="AA2554" s="618">
        <v>44730</v>
      </c>
      <c r="AB2554" s="618" t="s">
        <v>164</v>
      </c>
      <c r="AC2554" s="618">
        <v>34591.284210526319</v>
      </c>
      <c r="AD2554" s="619">
        <v>0.03</v>
      </c>
      <c r="AE2554" s="617" t="s">
        <v>4588</v>
      </c>
    </row>
    <row r="2555" spans="1:31" s="572" customFormat="1">
      <c r="A2555" s="570" t="s">
        <v>4589</v>
      </c>
      <c r="B2555" s="569" t="s">
        <v>269</v>
      </c>
      <c r="C2555" s="580" t="s">
        <v>270</v>
      </c>
      <c r="D2555" s="569" t="s">
        <v>3374</v>
      </c>
      <c r="E2555" s="569" t="s">
        <v>187</v>
      </c>
      <c r="F2555" s="569" t="s">
        <v>271</v>
      </c>
      <c r="G2555" s="569">
        <v>2019</v>
      </c>
      <c r="H2555" s="569" t="s">
        <v>4503</v>
      </c>
      <c r="I2555" s="569" t="s">
        <v>3805</v>
      </c>
      <c r="J2555" s="569" t="s">
        <v>3377</v>
      </c>
      <c r="K2555" s="569">
        <v>6</v>
      </c>
      <c r="L2555" s="569">
        <v>0</v>
      </c>
      <c r="M2555" s="569" t="s">
        <v>157</v>
      </c>
      <c r="N2555" s="569">
        <v>2</v>
      </c>
      <c r="O2555" s="569" t="s">
        <v>3846</v>
      </c>
      <c r="P2555" s="568">
        <v>12400</v>
      </c>
      <c r="Q2555" s="569" t="s">
        <v>4231</v>
      </c>
      <c r="R2555" s="569">
        <v>8</v>
      </c>
      <c r="S2555" s="569" t="s">
        <v>4504</v>
      </c>
      <c r="T2555" s="569" t="s">
        <v>4584</v>
      </c>
      <c r="U2555" s="569">
        <v>176</v>
      </c>
      <c r="V2555" s="569">
        <v>48</v>
      </c>
      <c r="W2555" s="620">
        <v>11500</v>
      </c>
      <c r="X2555" s="621" t="s">
        <v>157</v>
      </c>
      <c r="Y2555" s="621" t="s">
        <v>728</v>
      </c>
      <c r="Z2555" s="621" t="s">
        <v>1523</v>
      </c>
      <c r="AA2555" s="622">
        <v>53850</v>
      </c>
      <c r="AB2555" s="622" t="s">
        <v>164</v>
      </c>
      <c r="AC2555" s="622">
        <v>42783.473684210534</v>
      </c>
      <c r="AD2555" s="623">
        <v>0.03</v>
      </c>
      <c r="AE2555" s="621" t="s">
        <v>4590</v>
      </c>
    </row>
    <row r="2556" spans="1:31" s="572" customFormat="1">
      <c r="A2556" s="570" t="s">
        <v>4591</v>
      </c>
      <c r="B2556" s="573" t="s">
        <v>269</v>
      </c>
      <c r="C2556" s="578" t="s">
        <v>270</v>
      </c>
      <c r="D2556" s="573" t="s">
        <v>3374</v>
      </c>
      <c r="E2556" s="573" t="s">
        <v>187</v>
      </c>
      <c r="F2556" s="573" t="s">
        <v>271</v>
      </c>
      <c r="G2556" s="573">
        <v>2019</v>
      </c>
      <c r="H2556" s="573" t="s">
        <v>4503</v>
      </c>
      <c r="I2556" s="573" t="s">
        <v>3805</v>
      </c>
      <c r="J2556" s="573" t="s">
        <v>3377</v>
      </c>
      <c r="K2556" s="573">
        <v>6</v>
      </c>
      <c r="L2556" s="573">
        <v>0</v>
      </c>
      <c r="M2556" s="573" t="s">
        <v>157</v>
      </c>
      <c r="N2556" s="573">
        <v>2</v>
      </c>
      <c r="O2556" s="573" t="s">
        <v>3846</v>
      </c>
      <c r="P2556" s="571">
        <v>12600</v>
      </c>
      <c r="Q2556" s="573" t="s">
        <v>4235</v>
      </c>
      <c r="R2556" s="573">
        <v>8</v>
      </c>
      <c r="S2556" s="582" t="s">
        <v>4504</v>
      </c>
      <c r="T2556" s="573" t="s">
        <v>4584</v>
      </c>
      <c r="U2556" s="573">
        <v>176</v>
      </c>
      <c r="V2556" s="573">
        <v>34</v>
      </c>
      <c r="W2556" s="616">
        <v>10100</v>
      </c>
      <c r="X2556" s="617" t="s">
        <v>157</v>
      </c>
      <c r="Y2556" s="617" t="s">
        <v>450</v>
      </c>
      <c r="Z2556" s="617" t="s">
        <v>178</v>
      </c>
      <c r="AA2556" s="618">
        <v>44730</v>
      </c>
      <c r="AB2556" s="618" t="s">
        <v>164</v>
      </c>
      <c r="AC2556" s="618">
        <v>34591.284210526319</v>
      </c>
      <c r="AD2556" s="619">
        <v>0.03</v>
      </c>
      <c r="AE2556" s="617" t="s">
        <v>4592</v>
      </c>
    </row>
    <row r="2557" spans="1:31" s="572" customFormat="1">
      <c r="A2557" s="570" t="s">
        <v>4593</v>
      </c>
      <c r="B2557" s="569" t="s">
        <v>278</v>
      </c>
      <c r="C2557" s="580">
        <v>15</v>
      </c>
      <c r="D2557" s="569" t="s">
        <v>3374</v>
      </c>
      <c r="E2557" s="569" t="s">
        <v>187</v>
      </c>
      <c r="F2557" s="569" t="s">
        <v>271</v>
      </c>
      <c r="G2557" s="569">
        <v>2019</v>
      </c>
      <c r="H2557" s="569" t="s">
        <v>4503</v>
      </c>
      <c r="I2557" s="569" t="s">
        <v>3805</v>
      </c>
      <c r="J2557" s="569" t="s">
        <v>3377</v>
      </c>
      <c r="K2557" s="569">
        <v>6</v>
      </c>
      <c r="L2557" s="569">
        <v>0</v>
      </c>
      <c r="M2557" s="569" t="s">
        <v>157</v>
      </c>
      <c r="N2557" s="569">
        <v>2</v>
      </c>
      <c r="O2557" s="569" t="s">
        <v>4230</v>
      </c>
      <c r="P2557" s="568">
        <v>12600</v>
      </c>
      <c r="Q2557" s="569" t="s">
        <v>4235</v>
      </c>
      <c r="R2557" s="569">
        <v>8</v>
      </c>
      <c r="S2557" s="569" t="s">
        <v>4504</v>
      </c>
      <c r="T2557" s="569" t="s">
        <v>4584</v>
      </c>
      <c r="U2557" s="569">
        <v>160</v>
      </c>
      <c r="V2557" s="569">
        <v>34</v>
      </c>
      <c r="W2557" s="620">
        <v>10600</v>
      </c>
      <c r="X2557" s="621" t="s">
        <v>157</v>
      </c>
      <c r="Y2557" s="621" t="s">
        <v>450</v>
      </c>
      <c r="Z2557" s="621" t="s">
        <v>178</v>
      </c>
      <c r="AA2557" s="622">
        <v>44535</v>
      </c>
      <c r="AB2557" s="622" t="s">
        <v>164</v>
      </c>
      <c r="AC2557" s="622">
        <v>34575</v>
      </c>
      <c r="AD2557" s="623">
        <v>0.01</v>
      </c>
      <c r="AE2557" s="621" t="s">
        <v>4594</v>
      </c>
    </row>
    <row r="2558" spans="1:31" s="572" customFormat="1">
      <c r="A2558" s="570" t="s">
        <v>4595</v>
      </c>
      <c r="B2558" s="573" t="s">
        <v>278</v>
      </c>
      <c r="C2558" s="578">
        <v>15</v>
      </c>
      <c r="D2558" s="573" t="s">
        <v>3374</v>
      </c>
      <c r="E2558" s="573" t="s">
        <v>187</v>
      </c>
      <c r="F2558" s="573" t="s">
        <v>271</v>
      </c>
      <c r="G2558" s="573">
        <v>2019</v>
      </c>
      <c r="H2558" s="573" t="s">
        <v>4503</v>
      </c>
      <c r="I2558" s="573" t="s">
        <v>3805</v>
      </c>
      <c r="J2558" s="573" t="s">
        <v>3377</v>
      </c>
      <c r="K2558" s="573">
        <v>6</v>
      </c>
      <c r="L2558" s="573">
        <v>0</v>
      </c>
      <c r="M2558" s="573" t="s">
        <v>157</v>
      </c>
      <c r="N2558" s="573">
        <v>2</v>
      </c>
      <c r="O2558" s="573" t="s">
        <v>4230</v>
      </c>
      <c r="P2558" s="571">
        <v>12600</v>
      </c>
      <c r="Q2558" s="573" t="s">
        <v>4231</v>
      </c>
      <c r="R2558" s="573">
        <v>8</v>
      </c>
      <c r="S2558" s="582" t="s">
        <v>4504</v>
      </c>
      <c r="T2558" s="573" t="s">
        <v>4584</v>
      </c>
      <c r="U2558" s="573">
        <v>160</v>
      </c>
      <c r="V2558" s="573">
        <v>34</v>
      </c>
      <c r="W2558" s="616">
        <v>11300</v>
      </c>
      <c r="X2558" s="617" t="s">
        <v>157</v>
      </c>
      <c r="Y2558" s="617" t="s">
        <v>728</v>
      </c>
      <c r="Z2558" s="617" t="s">
        <v>1523</v>
      </c>
      <c r="AA2558" s="618">
        <v>53655</v>
      </c>
      <c r="AB2558" s="618" t="s">
        <v>164</v>
      </c>
      <c r="AC2558" s="618">
        <v>42850</v>
      </c>
      <c r="AD2558" s="619">
        <v>0.01</v>
      </c>
      <c r="AE2558" s="617" t="s">
        <v>4583</v>
      </c>
    </row>
    <row r="2559" spans="1:31" s="572" customFormat="1">
      <c r="A2559" s="570" t="s">
        <v>4596</v>
      </c>
      <c r="B2559" s="569" t="s">
        <v>278</v>
      </c>
      <c r="C2559" s="580">
        <v>15</v>
      </c>
      <c r="D2559" s="569" t="s">
        <v>3374</v>
      </c>
      <c r="E2559" s="569" t="s">
        <v>187</v>
      </c>
      <c r="F2559" s="569" t="s">
        <v>271</v>
      </c>
      <c r="G2559" s="569">
        <v>2019</v>
      </c>
      <c r="H2559" s="569" t="s">
        <v>4503</v>
      </c>
      <c r="I2559" s="569" t="s">
        <v>3805</v>
      </c>
      <c r="J2559" s="569" t="s">
        <v>3377</v>
      </c>
      <c r="K2559" s="569">
        <v>6</v>
      </c>
      <c r="L2559" s="569">
        <v>0</v>
      </c>
      <c r="M2559" s="569" t="s">
        <v>157</v>
      </c>
      <c r="N2559" s="569">
        <v>2</v>
      </c>
      <c r="O2559" s="569" t="s">
        <v>3846</v>
      </c>
      <c r="P2559" s="568">
        <v>12400</v>
      </c>
      <c r="Q2559" s="569" t="s">
        <v>4235</v>
      </c>
      <c r="R2559" s="569">
        <v>8</v>
      </c>
      <c r="S2559" s="569" t="s">
        <v>4504</v>
      </c>
      <c r="T2559" s="569" t="s">
        <v>4584</v>
      </c>
      <c r="U2559" s="569">
        <v>176</v>
      </c>
      <c r="V2559" s="569">
        <v>48</v>
      </c>
      <c r="W2559" s="620">
        <v>10900</v>
      </c>
      <c r="X2559" s="621" t="s">
        <v>157</v>
      </c>
      <c r="Y2559" s="621" t="s">
        <v>450</v>
      </c>
      <c r="Z2559" s="621" t="s">
        <v>178</v>
      </c>
      <c r="AA2559" s="622">
        <v>44730</v>
      </c>
      <c r="AB2559" s="622" t="s">
        <v>164</v>
      </c>
      <c r="AC2559" s="622">
        <v>34750</v>
      </c>
      <c r="AD2559" s="623">
        <v>0.01</v>
      </c>
      <c r="AE2559" s="621" t="s">
        <v>4588</v>
      </c>
    </row>
    <row r="2560" spans="1:31" s="572" customFormat="1">
      <c r="A2560" s="570" t="s">
        <v>4597</v>
      </c>
      <c r="B2560" s="573" t="s">
        <v>278</v>
      </c>
      <c r="C2560" s="578">
        <v>15</v>
      </c>
      <c r="D2560" s="573" t="s">
        <v>3374</v>
      </c>
      <c r="E2560" s="573" t="s">
        <v>187</v>
      </c>
      <c r="F2560" s="573" t="s">
        <v>271</v>
      </c>
      <c r="G2560" s="573">
        <v>2019</v>
      </c>
      <c r="H2560" s="573" t="s">
        <v>4503</v>
      </c>
      <c r="I2560" s="573" t="s">
        <v>3805</v>
      </c>
      <c r="J2560" s="573" t="s">
        <v>3377</v>
      </c>
      <c r="K2560" s="573">
        <v>6</v>
      </c>
      <c r="L2560" s="573">
        <v>0</v>
      </c>
      <c r="M2560" s="573" t="s">
        <v>157</v>
      </c>
      <c r="N2560" s="573">
        <v>2</v>
      </c>
      <c r="O2560" s="573" t="s">
        <v>3846</v>
      </c>
      <c r="P2560" s="571">
        <v>12400</v>
      </c>
      <c r="Q2560" s="573" t="s">
        <v>4231</v>
      </c>
      <c r="R2560" s="573">
        <v>8</v>
      </c>
      <c r="S2560" s="582" t="s">
        <v>4504</v>
      </c>
      <c r="T2560" s="573" t="s">
        <v>4584</v>
      </c>
      <c r="U2560" s="573">
        <v>176</v>
      </c>
      <c r="V2560" s="573">
        <v>48</v>
      </c>
      <c r="W2560" s="616">
        <v>11500</v>
      </c>
      <c r="X2560" s="617" t="s">
        <v>157</v>
      </c>
      <c r="Y2560" s="617" t="s">
        <v>728</v>
      </c>
      <c r="Z2560" s="617" t="s">
        <v>1523</v>
      </c>
      <c r="AA2560" s="618">
        <v>53850</v>
      </c>
      <c r="AB2560" s="618" t="s">
        <v>164</v>
      </c>
      <c r="AC2560" s="618">
        <v>43100</v>
      </c>
      <c r="AD2560" s="619">
        <v>0.01</v>
      </c>
      <c r="AE2560" s="617" t="s">
        <v>4590</v>
      </c>
    </row>
    <row r="2561" spans="1:31" s="572" customFormat="1">
      <c r="A2561" s="570" t="s">
        <v>4598</v>
      </c>
      <c r="B2561" s="569" t="s">
        <v>287</v>
      </c>
      <c r="C2561" s="580">
        <v>26</v>
      </c>
      <c r="D2561" s="569" t="s">
        <v>3374</v>
      </c>
      <c r="E2561" s="569" t="s">
        <v>187</v>
      </c>
      <c r="F2561" s="569" t="s">
        <v>271</v>
      </c>
      <c r="G2561" s="569">
        <v>2019</v>
      </c>
      <c r="H2561" s="569" t="s">
        <v>4503</v>
      </c>
      <c r="I2561" s="569" t="s">
        <v>3805</v>
      </c>
      <c r="J2561" s="569" t="s">
        <v>3377</v>
      </c>
      <c r="K2561" s="569">
        <v>6</v>
      </c>
      <c r="L2561" s="569">
        <v>0</v>
      </c>
      <c r="M2561" s="569" t="s">
        <v>157</v>
      </c>
      <c r="N2561" s="569">
        <v>2</v>
      </c>
      <c r="O2561" s="569" t="s">
        <v>4230</v>
      </c>
      <c r="P2561" s="568">
        <v>12600</v>
      </c>
      <c r="Q2561" s="569" t="s">
        <v>4235</v>
      </c>
      <c r="R2561" s="569">
        <v>8</v>
      </c>
      <c r="S2561" s="569" t="s">
        <v>4504</v>
      </c>
      <c r="T2561" s="569" t="s">
        <v>4584</v>
      </c>
      <c r="U2561" s="569">
        <v>160</v>
      </c>
      <c r="V2561" s="569">
        <v>34</v>
      </c>
      <c r="W2561" s="620">
        <v>10600</v>
      </c>
      <c r="X2561" s="621" t="s">
        <v>157</v>
      </c>
      <c r="Y2561" s="621" t="s">
        <v>450</v>
      </c>
      <c r="Z2561" s="621" t="s">
        <v>178</v>
      </c>
      <c r="AA2561" s="622">
        <v>44085</v>
      </c>
      <c r="AB2561" s="622" t="s">
        <v>164</v>
      </c>
      <c r="AC2561" s="622">
        <v>34651</v>
      </c>
      <c r="AD2561" s="623">
        <v>0.05</v>
      </c>
      <c r="AE2561" s="621" t="s">
        <v>4594</v>
      </c>
    </row>
    <row r="2562" spans="1:31" s="572" customFormat="1">
      <c r="A2562" s="570" t="s">
        <v>4599</v>
      </c>
      <c r="B2562" s="573" t="s">
        <v>287</v>
      </c>
      <c r="C2562" s="578">
        <v>26</v>
      </c>
      <c r="D2562" s="573" t="s">
        <v>3374</v>
      </c>
      <c r="E2562" s="573" t="s">
        <v>187</v>
      </c>
      <c r="F2562" s="573" t="s">
        <v>271</v>
      </c>
      <c r="G2562" s="573">
        <v>2019</v>
      </c>
      <c r="H2562" s="573" t="s">
        <v>4503</v>
      </c>
      <c r="I2562" s="573" t="s">
        <v>3805</v>
      </c>
      <c r="J2562" s="573" t="s">
        <v>3377</v>
      </c>
      <c r="K2562" s="573">
        <v>6</v>
      </c>
      <c r="L2562" s="573">
        <v>0</v>
      </c>
      <c r="M2562" s="573" t="s">
        <v>157</v>
      </c>
      <c r="N2562" s="573">
        <v>2</v>
      </c>
      <c r="O2562" s="573" t="s">
        <v>4230</v>
      </c>
      <c r="P2562" s="571">
        <v>12600</v>
      </c>
      <c r="Q2562" s="573" t="s">
        <v>4231</v>
      </c>
      <c r="R2562" s="573">
        <v>8</v>
      </c>
      <c r="S2562" s="582" t="s">
        <v>4504</v>
      </c>
      <c r="T2562" s="573" t="s">
        <v>4584</v>
      </c>
      <c r="U2562" s="573">
        <v>160</v>
      </c>
      <c r="V2562" s="573">
        <v>34</v>
      </c>
      <c r="W2562" s="616">
        <v>11300</v>
      </c>
      <c r="X2562" s="617" t="s">
        <v>157</v>
      </c>
      <c r="Y2562" s="617" t="s">
        <v>728</v>
      </c>
      <c r="Z2562" s="617" t="s">
        <v>1523</v>
      </c>
      <c r="AA2562" s="618">
        <v>53655</v>
      </c>
      <c r="AB2562" s="618" t="s">
        <v>164</v>
      </c>
      <c r="AC2562" s="618">
        <v>42845</v>
      </c>
      <c r="AD2562" s="619">
        <v>0.05</v>
      </c>
      <c r="AE2562" s="617" t="s">
        <v>4583</v>
      </c>
    </row>
    <row r="2563" spans="1:31" s="572" customFormat="1">
      <c r="A2563" s="570" t="s">
        <v>4600</v>
      </c>
      <c r="B2563" s="569" t="s">
        <v>287</v>
      </c>
      <c r="C2563" s="580">
        <v>26</v>
      </c>
      <c r="D2563" s="569" t="s">
        <v>3374</v>
      </c>
      <c r="E2563" s="569" t="s">
        <v>187</v>
      </c>
      <c r="F2563" s="569" t="s">
        <v>271</v>
      </c>
      <c r="G2563" s="569">
        <v>2019</v>
      </c>
      <c r="H2563" s="569" t="s">
        <v>4503</v>
      </c>
      <c r="I2563" s="569" t="s">
        <v>3805</v>
      </c>
      <c r="J2563" s="569" t="s">
        <v>3377</v>
      </c>
      <c r="K2563" s="569">
        <v>6</v>
      </c>
      <c r="L2563" s="569">
        <v>0</v>
      </c>
      <c r="M2563" s="569" t="s">
        <v>157</v>
      </c>
      <c r="N2563" s="569">
        <v>2</v>
      </c>
      <c r="O2563" s="569" t="s">
        <v>3846</v>
      </c>
      <c r="P2563" s="568">
        <v>12400</v>
      </c>
      <c r="Q2563" s="569" t="s">
        <v>4235</v>
      </c>
      <c r="R2563" s="569">
        <v>8</v>
      </c>
      <c r="S2563" s="569" t="s">
        <v>4504</v>
      </c>
      <c r="T2563" s="569" t="s">
        <v>4584</v>
      </c>
      <c r="U2563" s="569">
        <v>176</v>
      </c>
      <c r="V2563" s="569">
        <v>48</v>
      </c>
      <c r="W2563" s="620">
        <v>10900</v>
      </c>
      <c r="X2563" s="621" t="s">
        <v>157</v>
      </c>
      <c r="Y2563" s="621" t="s">
        <v>450</v>
      </c>
      <c r="Z2563" s="621" t="s">
        <v>178</v>
      </c>
      <c r="AA2563" s="622">
        <v>44730</v>
      </c>
      <c r="AB2563" s="622" t="s">
        <v>164</v>
      </c>
      <c r="AC2563" s="622">
        <v>34833</v>
      </c>
      <c r="AD2563" s="623">
        <v>0.05</v>
      </c>
      <c r="AE2563" s="621" t="s">
        <v>4588</v>
      </c>
    </row>
    <row r="2564" spans="1:31" s="572" customFormat="1">
      <c r="A2564" s="570" t="s">
        <v>4601</v>
      </c>
      <c r="B2564" s="573" t="s">
        <v>287</v>
      </c>
      <c r="C2564" s="578">
        <v>26</v>
      </c>
      <c r="D2564" s="573" t="s">
        <v>3374</v>
      </c>
      <c r="E2564" s="573" t="s">
        <v>187</v>
      </c>
      <c r="F2564" s="573" t="s">
        <v>271</v>
      </c>
      <c r="G2564" s="573">
        <v>2019</v>
      </c>
      <c r="H2564" s="573" t="s">
        <v>4503</v>
      </c>
      <c r="I2564" s="573" t="s">
        <v>3805</v>
      </c>
      <c r="J2564" s="573" t="s">
        <v>3377</v>
      </c>
      <c r="K2564" s="573">
        <v>6</v>
      </c>
      <c r="L2564" s="573">
        <v>0</v>
      </c>
      <c r="M2564" s="573" t="s">
        <v>157</v>
      </c>
      <c r="N2564" s="573">
        <v>2</v>
      </c>
      <c r="O2564" s="573" t="s">
        <v>3846</v>
      </c>
      <c r="P2564" s="571">
        <v>12400</v>
      </c>
      <c r="Q2564" s="573" t="s">
        <v>4231</v>
      </c>
      <c r="R2564" s="573">
        <v>8</v>
      </c>
      <c r="S2564" s="582" t="s">
        <v>4504</v>
      </c>
      <c r="T2564" s="573" t="s">
        <v>4584</v>
      </c>
      <c r="U2564" s="573">
        <v>176</v>
      </c>
      <c r="V2564" s="573">
        <v>48</v>
      </c>
      <c r="W2564" s="616">
        <v>11500</v>
      </c>
      <c r="X2564" s="617" t="s">
        <v>157</v>
      </c>
      <c r="Y2564" s="617" t="s">
        <v>728</v>
      </c>
      <c r="Z2564" s="617" t="s">
        <v>1523</v>
      </c>
      <c r="AA2564" s="618">
        <v>53850</v>
      </c>
      <c r="AB2564" s="618" t="s">
        <v>164</v>
      </c>
      <c r="AC2564" s="618">
        <v>43027</v>
      </c>
      <c r="AD2564" s="619">
        <v>0.05</v>
      </c>
      <c r="AE2564" s="617" t="s">
        <v>4590</v>
      </c>
    </row>
    <row r="2565" spans="1:31" s="572" customFormat="1">
      <c r="A2565" s="570" t="s">
        <v>4602</v>
      </c>
      <c r="B2565" s="569" t="s">
        <v>280</v>
      </c>
      <c r="C2565" s="580">
        <v>27</v>
      </c>
      <c r="D2565" s="569" t="s">
        <v>3374</v>
      </c>
      <c r="E2565" s="569" t="s">
        <v>187</v>
      </c>
      <c r="F2565" s="569" t="s">
        <v>271</v>
      </c>
      <c r="G2565" s="569">
        <v>2019</v>
      </c>
      <c r="H2565" s="569" t="s">
        <v>4503</v>
      </c>
      <c r="I2565" s="569" t="s">
        <v>3805</v>
      </c>
      <c r="J2565" s="569" t="s">
        <v>3377</v>
      </c>
      <c r="K2565" s="569">
        <v>6</v>
      </c>
      <c r="L2565" s="569">
        <v>0</v>
      </c>
      <c r="M2565" s="569" t="s">
        <v>157</v>
      </c>
      <c r="N2565" s="569">
        <v>2</v>
      </c>
      <c r="O2565" s="569" t="s">
        <v>4230</v>
      </c>
      <c r="P2565" s="568">
        <v>12600</v>
      </c>
      <c r="Q2565" s="569" t="s">
        <v>4231</v>
      </c>
      <c r="R2565" s="569">
        <v>8</v>
      </c>
      <c r="S2565" s="569" t="s">
        <v>4504</v>
      </c>
      <c r="T2565" s="569" t="s">
        <v>4584</v>
      </c>
      <c r="U2565" s="569">
        <v>160</v>
      </c>
      <c r="V2565" s="569">
        <v>34</v>
      </c>
      <c r="W2565" s="620">
        <v>11300</v>
      </c>
      <c r="X2565" s="621" t="s">
        <v>157</v>
      </c>
      <c r="Y2565" s="621" t="s">
        <v>728</v>
      </c>
      <c r="Z2565" s="621" t="s">
        <v>1523</v>
      </c>
      <c r="AA2565" s="622">
        <v>53655</v>
      </c>
      <c r="AB2565" s="622" t="s">
        <v>164</v>
      </c>
      <c r="AC2565" s="622">
        <v>42602.421052631587</v>
      </c>
      <c r="AD2565" s="623">
        <v>0.03</v>
      </c>
      <c r="AE2565" s="621" t="s">
        <v>4583</v>
      </c>
    </row>
    <row r="2566" spans="1:31" s="572" customFormat="1">
      <c r="A2566" s="570" t="s">
        <v>4603</v>
      </c>
      <c r="B2566" s="573" t="s">
        <v>280</v>
      </c>
      <c r="C2566" s="578">
        <v>27</v>
      </c>
      <c r="D2566" s="573" t="s">
        <v>3374</v>
      </c>
      <c r="E2566" s="573" t="s">
        <v>187</v>
      </c>
      <c r="F2566" s="573" t="s">
        <v>271</v>
      </c>
      <c r="G2566" s="573">
        <v>2019</v>
      </c>
      <c r="H2566" s="573" t="s">
        <v>4503</v>
      </c>
      <c r="I2566" s="573" t="s">
        <v>3805</v>
      </c>
      <c r="J2566" s="573" t="s">
        <v>3377</v>
      </c>
      <c r="K2566" s="573">
        <v>6</v>
      </c>
      <c r="L2566" s="573">
        <v>0</v>
      </c>
      <c r="M2566" s="573" t="s">
        <v>157</v>
      </c>
      <c r="N2566" s="573">
        <v>2</v>
      </c>
      <c r="O2566" s="573" t="s">
        <v>4230</v>
      </c>
      <c r="P2566" s="571">
        <v>12700</v>
      </c>
      <c r="Q2566" s="573" t="s">
        <v>4235</v>
      </c>
      <c r="R2566" s="573">
        <v>8</v>
      </c>
      <c r="S2566" s="582" t="s">
        <v>4504</v>
      </c>
      <c r="T2566" s="573" t="s">
        <v>4584</v>
      </c>
      <c r="U2566" s="573">
        <v>160</v>
      </c>
      <c r="V2566" s="573">
        <v>34</v>
      </c>
      <c r="W2566" s="616">
        <v>10600</v>
      </c>
      <c r="X2566" s="617" t="s">
        <v>157</v>
      </c>
      <c r="Y2566" s="617" t="s">
        <v>450</v>
      </c>
      <c r="Z2566" s="617" t="s">
        <v>178</v>
      </c>
      <c r="AA2566" s="618">
        <v>44535</v>
      </c>
      <c r="AB2566" s="618" t="s">
        <v>164</v>
      </c>
      <c r="AC2566" s="618">
        <v>34410.231578947372</v>
      </c>
      <c r="AD2566" s="619">
        <v>0.03</v>
      </c>
      <c r="AE2566" s="617" t="s">
        <v>4586</v>
      </c>
    </row>
    <row r="2567" spans="1:31" s="572" customFormat="1">
      <c r="A2567" s="570" t="s">
        <v>4604</v>
      </c>
      <c r="B2567" s="569" t="s">
        <v>280</v>
      </c>
      <c r="C2567" s="580">
        <v>27</v>
      </c>
      <c r="D2567" s="569" t="s">
        <v>3374</v>
      </c>
      <c r="E2567" s="569" t="s">
        <v>187</v>
      </c>
      <c r="F2567" s="569" t="s">
        <v>271</v>
      </c>
      <c r="G2567" s="569">
        <v>2019</v>
      </c>
      <c r="H2567" s="569" t="s">
        <v>4503</v>
      </c>
      <c r="I2567" s="569" t="s">
        <v>3805</v>
      </c>
      <c r="J2567" s="569" t="s">
        <v>3377</v>
      </c>
      <c r="K2567" s="569">
        <v>6</v>
      </c>
      <c r="L2567" s="569">
        <v>0</v>
      </c>
      <c r="M2567" s="569" t="s">
        <v>157</v>
      </c>
      <c r="N2567" s="569">
        <v>2</v>
      </c>
      <c r="O2567" s="569" t="s">
        <v>3846</v>
      </c>
      <c r="P2567" s="568">
        <v>12400</v>
      </c>
      <c r="Q2567" s="569" t="s">
        <v>4235</v>
      </c>
      <c r="R2567" s="569">
        <v>8</v>
      </c>
      <c r="S2567" s="569" t="s">
        <v>4504</v>
      </c>
      <c r="T2567" s="569" t="s">
        <v>4584</v>
      </c>
      <c r="U2567" s="569">
        <v>176</v>
      </c>
      <c r="V2567" s="569">
        <v>48</v>
      </c>
      <c r="W2567" s="620">
        <v>10900</v>
      </c>
      <c r="X2567" s="621" t="s">
        <v>157</v>
      </c>
      <c r="Y2567" s="621" t="s">
        <v>450</v>
      </c>
      <c r="Z2567" s="621" t="s">
        <v>178</v>
      </c>
      <c r="AA2567" s="622">
        <v>44730</v>
      </c>
      <c r="AB2567" s="622" t="s">
        <v>164</v>
      </c>
      <c r="AC2567" s="622">
        <v>34591.284210526319</v>
      </c>
      <c r="AD2567" s="623">
        <v>0.03</v>
      </c>
      <c r="AE2567" s="621" t="s">
        <v>4588</v>
      </c>
    </row>
    <row r="2568" spans="1:31" s="572" customFormat="1">
      <c r="A2568" s="570" t="s">
        <v>4605</v>
      </c>
      <c r="B2568" s="573" t="s">
        <v>280</v>
      </c>
      <c r="C2568" s="578">
        <v>27</v>
      </c>
      <c r="D2568" s="573" t="s">
        <v>3374</v>
      </c>
      <c r="E2568" s="573" t="s">
        <v>187</v>
      </c>
      <c r="F2568" s="573" t="s">
        <v>271</v>
      </c>
      <c r="G2568" s="573">
        <v>2019</v>
      </c>
      <c r="H2568" s="573" t="s">
        <v>4503</v>
      </c>
      <c r="I2568" s="573" t="s">
        <v>3805</v>
      </c>
      <c r="J2568" s="573" t="s">
        <v>3377</v>
      </c>
      <c r="K2568" s="573">
        <v>6</v>
      </c>
      <c r="L2568" s="573">
        <v>0</v>
      </c>
      <c r="M2568" s="573" t="s">
        <v>157</v>
      </c>
      <c r="N2568" s="573">
        <v>2</v>
      </c>
      <c r="O2568" s="573" t="s">
        <v>3846</v>
      </c>
      <c r="P2568" s="571">
        <v>12400</v>
      </c>
      <c r="Q2568" s="573" t="s">
        <v>4231</v>
      </c>
      <c r="R2568" s="573">
        <v>8</v>
      </c>
      <c r="S2568" s="582" t="s">
        <v>4504</v>
      </c>
      <c r="T2568" s="573" t="s">
        <v>4584</v>
      </c>
      <c r="U2568" s="573">
        <v>176</v>
      </c>
      <c r="V2568" s="573">
        <v>48</v>
      </c>
      <c r="W2568" s="616">
        <v>11500</v>
      </c>
      <c r="X2568" s="617" t="s">
        <v>157</v>
      </c>
      <c r="Y2568" s="617" t="s">
        <v>728</v>
      </c>
      <c r="Z2568" s="617" t="s">
        <v>1523</v>
      </c>
      <c r="AA2568" s="618">
        <v>53850</v>
      </c>
      <c r="AB2568" s="618" t="s">
        <v>164</v>
      </c>
      <c r="AC2568" s="618">
        <v>42783.473684210534</v>
      </c>
      <c r="AD2568" s="619">
        <v>0.03</v>
      </c>
      <c r="AE2568" s="617" t="s">
        <v>4590</v>
      </c>
    </row>
    <row r="2569" spans="1:31" s="572" customFormat="1">
      <c r="A2569" s="570" t="s">
        <v>4606</v>
      </c>
      <c r="B2569" s="569" t="s">
        <v>280</v>
      </c>
      <c r="C2569" s="580">
        <v>27</v>
      </c>
      <c r="D2569" s="569" t="s">
        <v>3374</v>
      </c>
      <c r="E2569" s="569" t="s">
        <v>187</v>
      </c>
      <c r="F2569" s="569" t="s">
        <v>271</v>
      </c>
      <c r="G2569" s="569">
        <v>2019</v>
      </c>
      <c r="H2569" s="569" t="s">
        <v>4503</v>
      </c>
      <c r="I2569" s="569" t="s">
        <v>3805</v>
      </c>
      <c r="J2569" s="569" t="s">
        <v>3377</v>
      </c>
      <c r="K2569" s="569">
        <v>6</v>
      </c>
      <c r="L2569" s="569">
        <v>0</v>
      </c>
      <c r="M2569" s="569" t="s">
        <v>157</v>
      </c>
      <c r="N2569" s="569">
        <v>2</v>
      </c>
      <c r="O2569" s="569" t="s">
        <v>3846</v>
      </c>
      <c r="P2569" s="568">
        <v>12600</v>
      </c>
      <c r="Q2569" s="569" t="s">
        <v>4235</v>
      </c>
      <c r="R2569" s="569">
        <v>8</v>
      </c>
      <c r="S2569" s="569" t="s">
        <v>4504</v>
      </c>
      <c r="T2569" s="569" t="s">
        <v>4584</v>
      </c>
      <c r="U2569" s="569">
        <v>176</v>
      </c>
      <c r="V2569" s="569">
        <v>34</v>
      </c>
      <c r="W2569" s="620">
        <v>10100</v>
      </c>
      <c r="X2569" s="621" t="s">
        <v>157</v>
      </c>
      <c r="Y2569" s="621" t="s">
        <v>450</v>
      </c>
      <c r="Z2569" s="621" t="s">
        <v>178</v>
      </c>
      <c r="AA2569" s="622">
        <v>44730</v>
      </c>
      <c r="AB2569" s="622" t="s">
        <v>164</v>
      </c>
      <c r="AC2569" s="622">
        <v>34591.284210526319</v>
      </c>
      <c r="AD2569" s="623">
        <v>0.03</v>
      </c>
      <c r="AE2569" s="621" t="s">
        <v>4592</v>
      </c>
    </row>
    <row r="2570" spans="1:31" s="572" customFormat="1">
      <c r="A2570" s="570" t="s">
        <v>4607</v>
      </c>
      <c r="B2570" s="573" t="s">
        <v>269</v>
      </c>
      <c r="C2570" s="578" t="s">
        <v>270</v>
      </c>
      <c r="D2570" s="573" t="s">
        <v>3374</v>
      </c>
      <c r="E2570" s="573" t="s">
        <v>187</v>
      </c>
      <c r="F2570" s="573" t="s">
        <v>271</v>
      </c>
      <c r="G2570" s="573">
        <v>2019</v>
      </c>
      <c r="H2570" s="573" t="s">
        <v>4503</v>
      </c>
      <c r="I2570" s="573" t="s">
        <v>3805</v>
      </c>
      <c r="J2570" s="573" t="s">
        <v>752</v>
      </c>
      <c r="K2570" s="573">
        <v>6</v>
      </c>
      <c r="L2570" s="573">
        <v>0</v>
      </c>
      <c r="M2570" s="573" t="s">
        <v>157</v>
      </c>
      <c r="N2570" s="573">
        <v>2</v>
      </c>
      <c r="O2570" s="573" t="s">
        <v>4230</v>
      </c>
      <c r="P2570" s="571">
        <v>12300</v>
      </c>
      <c r="Q2570" s="573" t="s">
        <v>4235</v>
      </c>
      <c r="R2570" s="573">
        <v>8</v>
      </c>
      <c r="S2570" s="582" t="s">
        <v>4532</v>
      </c>
      <c r="T2570" s="573" t="s">
        <v>4584</v>
      </c>
      <c r="U2570" s="573">
        <v>160</v>
      </c>
      <c r="V2570" s="573">
        <v>34</v>
      </c>
      <c r="W2570" s="616">
        <v>10900</v>
      </c>
      <c r="X2570" s="617" t="s">
        <v>157</v>
      </c>
      <c r="Y2570" s="617" t="s">
        <v>450</v>
      </c>
      <c r="Z2570" s="617" t="s">
        <v>178</v>
      </c>
      <c r="AA2570" s="618">
        <v>47335</v>
      </c>
      <c r="AB2570" s="618" t="s">
        <v>164</v>
      </c>
      <c r="AC2570" s="618">
        <v>36996.547368421059</v>
      </c>
      <c r="AD2570" s="619">
        <v>0.03</v>
      </c>
      <c r="AE2570" s="617" t="s">
        <v>4608</v>
      </c>
    </row>
    <row r="2571" spans="1:31" s="572" customFormat="1">
      <c r="A2571" s="570" t="s">
        <v>4609</v>
      </c>
      <c r="B2571" s="569" t="s">
        <v>269</v>
      </c>
      <c r="C2571" s="580" t="s">
        <v>270</v>
      </c>
      <c r="D2571" s="569" t="s">
        <v>3374</v>
      </c>
      <c r="E2571" s="569" t="s">
        <v>187</v>
      </c>
      <c r="F2571" s="569" t="s">
        <v>271</v>
      </c>
      <c r="G2571" s="569">
        <v>2019</v>
      </c>
      <c r="H2571" s="569" t="s">
        <v>4503</v>
      </c>
      <c r="I2571" s="569" t="s">
        <v>3805</v>
      </c>
      <c r="J2571" s="569" t="s">
        <v>752</v>
      </c>
      <c r="K2571" s="569">
        <v>6</v>
      </c>
      <c r="L2571" s="569">
        <v>0</v>
      </c>
      <c r="M2571" s="569" t="s">
        <v>157</v>
      </c>
      <c r="N2571" s="569">
        <v>2</v>
      </c>
      <c r="O2571" s="569" t="s">
        <v>4230</v>
      </c>
      <c r="P2571" s="568">
        <v>12300</v>
      </c>
      <c r="Q2571" s="569" t="s">
        <v>4231</v>
      </c>
      <c r="R2571" s="569">
        <v>8</v>
      </c>
      <c r="S2571" s="569" t="s">
        <v>4532</v>
      </c>
      <c r="T2571" s="569" t="s">
        <v>4584</v>
      </c>
      <c r="U2571" s="569">
        <v>160</v>
      </c>
      <c r="V2571" s="569">
        <v>34</v>
      </c>
      <c r="W2571" s="620">
        <v>11500</v>
      </c>
      <c r="X2571" s="621" t="s">
        <v>157</v>
      </c>
      <c r="Y2571" s="621" t="s">
        <v>728</v>
      </c>
      <c r="Z2571" s="621" t="s">
        <v>1523</v>
      </c>
      <c r="AA2571" s="622">
        <v>56455</v>
      </c>
      <c r="AB2571" s="622" t="s">
        <v>164</v>
      </c>
      <c r="AC2571" s="622">
        <v>45188.736842105267</v>
      </c>
      <c r="AD2571" s="623">
        <v>0.03</v>
      </c>
      <c r="AE2571" s="621" t="s">
        <v>4610</v>
      </c>
    </row>
    <row r="2572" spans="1:31" s="572" customFormat="1">
      <c r="A2572" s="570" t="s">
        <v>4611</v>
      </c>
      <c r="B2572" s="573" t="s">
        <v>269</v>
      </c>
      <c r="C2572" s="578" t="s">
        <v>270</v>
      </c>
      <c r="D2572" s="573" t="s">
        <v>3374</v>
      </c>
      <c r="E2572" s="573" t="s">
        <v>187</v>
      </c>
      <c r="F2572" s="573" t="s">
        <v>271</v>
      </c>
      <c r="G2572" s="573">
        <v>2019</v>
      </c>
      <c r="H2572" s="573" t="s">
        <v>4503</v>
      </c>
      <c r="I2572" s="573" t="s">
        <v>3805</v>
      </c>
      <c r="J2572" s="573" t="s">
        <v>752</v>
      </c>
      <c r="K2572" s="573">
        <v>6</v>
      </c>
      <c r="L2572" s="573">
        <v>0</v>
      </c>
      <c r="M2572" s="573" t="s">
        <v>157</v>
      </c>
      <c r="N2572" s="573">
        <v>2</v>
      </c>
      <c r="O2572" s="573" t="s">
        <v>3846</v>
      </c>
      <c r="P2572" s="571">
        <v>12000</v>
      </c>
      <c r="Q2572" s="573" t="s">
        <v>4235</v>
      </c>
      <c r="R2572" s="573">
        <v>8</v>
      </c>
      <c r="S2572" s="582" t="s">
        <v>4532</v>
      </c>
      <c r="T2572" s="573" t="s">
        <v>4584</v>
      </c>
      <c r="U2572" s="573">
        <v>176</v>
      </c>
      <c r="V2572" s="573">
        <v>48</v>
      </c>
      <c r="W2572" s="616">
        <v>11300</v>
      </c>
      <c r="X2572" s="617" t="s">
        <v>157</v>
      </c>
      <c r="Y2572" s="617" t="s">
        <v>450</v>
      </c>
      <c r="Z2572" s="617" t="s">
        <v>178</v>
      </c>
      <c r="AA2572" s="618">
        <v>47530</v>
      </c>
      <c r="AB2572" s="618" t="s">
        <v>164</v>
      </c>
      <c r="AC2572" s="618">
        <v>37177.600000000006</v>
      </c>
      <c r="AD2572" s="619">
        <v>0.03</v>
      </c>
      <c r="AE2572" s="617" t="s">
        <v>4612</v>
      </c>
    </row>
    <row r="2573" spans="1:31" s="572" customFormat="1">
      <c r="A2573" s="570" t="s">
        <v>4613</v>
      </c>
      <c r="B2573" s="569" t="s">
        <v>269</v>
      </c>
      <c r="C2573" s="580" t="s">
        <v>270</v>
      </c>
      <c r="D2573" s="569" t="s">
        <v>3374</v>
      </c>
      <c r="E2573" s="569" t="s">
        <v>187</v>
      </c>
      <c r="F2573" s="569" t="s">
        <v>271</v>
      </c>
      <c r="G2573" s="569">
        <v>2019</v>
      </c>
      <c r="H2573" s="569" t="s">
        <v>4503</v>
      </c>
      <c r="I2573" s="569" t="s">
        <v>3805</v>
      </c>
      <c r="J2573" s="569" t="s">
        <v>752</v>
      </c>
      <c r="K2573" s="569">
        <v>6</v>
      </c>
      <c r="L2573" s="569">
        <v>0</v>
      </c>
      <c r="M2573" s="569" t="s">
        <v>157</v>
      </c>
      <c r="N2573" s="569">
        <v>2</v>
      </c>
      <c r="O2573" s="569" t="s">
        <v>3846</v>
      </c>
      <c r="P2573" s="568">
        <v>12000</v>
      </c>
      <c r="Q2573" s="569" t="s">
        <v>4231</v>
      </c>
      <c r="R2573" s="569">
        <v>8</v>
      </c>
      <c r="S2573" s="569" t="s">
        <v>4532</v>
      </c>
      <c r="T2573" s="569" t="s">
        <v>4584</v>
      </c>
      <c r="U2573" s="569">
        <v>176</v>
      </c>
      <c r="V2573" s="569">
        <v>48</v>
      </c>
      <c r="W2573" s="620">
        <v>11500</v>
      </c>
      <c r="X2573" s="621" t="s">
        <v>157</v>
      </c>
      <c r="Y2573" s="621" t="s">
        <v>728</v>
      </c>
      <c r="Z2573" s="621" t="s">
        <v>1523</v>
      </c>
      <c r="AA2573" s="622">
        <v>56650</v>
      </c>
      <c r="AB2573" s="622" t="s">
        <v>164</v>
      </c>
      <c r="AC2573" s="622">
        <v>45369.789473684214</v>
      </c>
      <c r="AD2573" s="623">
        <v>0.03</v>
      </c>
      <c r="AE2573" s="621" t="s">
        <v>4614</v>
      </c>
    </row>
    <row r="2574" spans="1:31" s="572" customFormat="1">
      <c r="A2574" s="570" t="s">
        <v>4615</v>
      </c>
      <c r="B2574" s="573" t="s">
        <v>269</v>
      </c>
      <c r="C2574" s="578" t="s">
        <v>270</v>
      </c>
      <c r="D2574" s="573" t="s">
        <v>3374</v>
      </c>
      <c r="E2574" s="573" t="s">
        <v>187</v>
      </c>
      <c r="F2574" s="573" t="s">
        <v>271</v>
      </c>
      <c r="G2574" s="573">
        <v>2019</v>
      </c>
      <c r="H2574" s="573" t="s">
        <v>4503</v>
      </c>
      <c r="I2574" s="573" t="s">
        <v>3805</v>
      </c>
      <c r="J2574" s="573" t="s">
        <v>752</v>
      </c>
      <c r="K2574" s="573">
        <v>6</v>
      </c>
      <c r="L2574" s="573">
        <v>0</v>
      </c>
      <c r="M2574" s="573" t="s">
        <v>157</v>
      </c>
      <c r="N2574" s="573">
        <v>2</v>
      </c>
      <c r="O2574" s="573" t="s">
        <v>3846</v>
      </c>
      <c r="P2574" s="571">
        <v>12500</v>
      </c>
      <c r="Q2574" s="573" t="s">
        <v>4235</v>
      </c>
      <c r="R2574" s="573">
        <v>8</v>
      </c>
      <c r="S2574" s="582" t="s">
        <v>4532</v>
      </c>
      <c r="T2574" s="573" t="s">
        <v>4584</v>
      </c>
      <c r="U2574" s="573">
        <v>176</v>
      </c>
      <c r="V2574" s="573">
        <v>34</v>
      </c>
      <c r="W2574" s="616">
        <v>11300</v>
      </c>
      <c r="X2574" s="617" t="s">
        <v>157</v>
      </c>
      <c r="Y2574" s="617" t="s">
        <v>450</v>
      </c>
      <c r="Z2574" s="617" t="s">
        <v>178</v>
      </c>
      <c r="AA2574" s="618">
        <v>47530</v>
      </c>
      <c r="AB2574" s="618" t="s">
        <v>164</v>
      </c>
      <c r="AC2574" s="618">
        <v>37177.600000000006</v>
      </c>
      <c r="AD2574" s="619">
        <v>0.03</v>
      </c>
      <c r="AE2574" s="617" t="s">
        <v>4616</v>
      </c>
    </row>
    <row r="2575" spans="1:31" s="572" customFormat="1">
      <c r="A2575" s="570" t="s">
        <v>4617</v>
      </c>
      <c r="B2575" s="569" t="s">
        <v>278</v>
      </c>
      <c r="C2575" s="580">
        <v>15</v>
      </c>
      <c r="D2575" s="569" t="s">
        <v>3374</v>
      </c>
      <c r="E2575" s="569" t="s">
        <v>187</v>
      </c>
      <c r="F2575" s="569" t="s">
        <v>271</v>
      </c>
      <c r="G2575" s="569">
        <v>2019</v>
      </c>
      <c r="H2575" s="569" t="s">
        <v>4503</v>
      </c>
      <c r="I2575" s="569" t="s">
        <v>3805</v>
      </c>
      <c r="J2575" s="569" t="s">
        <v>752</v>
      </c>
      <c r="K2575" s="569">
        <v>6</v>
      </c>
      <c r="L2575" s="569">
        <v>0</v>
      </c>
      <c r="M2575" s="569" t="s">
        <v>157</v>
      </c>
      <c r="N2575" s="569">
        <v>2</v>
      </c>
      <c r="O2575" s="569" t="s">
        <v>4230</v>
      </c>
      <c r="P2575" s="568">
        <v>12200</v>
      </c>
      <c r="Q2575" s="569" t="s">
        <v>4235</v>
      </c>
      <c r="R2575" s="569">
        <v>8</v>
      </c>
      <c r="S2575" s="569" t="s">
        <v>4532</v>
      </c>
      <c r="T2575" s="569" t="s">
        <v>4584</v>
      </c>
      <c r="U2575" s="569">
        <v>160</v>
      </c>
      <c r="V2575" s="569">
        <v>34</v>
      </c>
      <c r="W2575" s="620">
        <v>10900</v>
      </c>
      <c r="X2575" s="621" t="s">
        <v>157</v>
      </c>
      <c r="Y2575" s="621" t="s">
        <v>450</v>
      </c>
      <c r="Z2575" s="621" t="s">
        <v>178</v>
      </c>
      <c r="AA2575" s="622">
        <v>47335</v>
      </c>
      <c r="AB2575" s="622" t="s">
        <v>164</v>
      </c>
      <c r="AC2575" s="622">
        <v>37200</v>
      </c>
      <c r="AD2575" s="623">
        <v>0.01</v>
      </c>
      <c r="AE2575" s="621" t="s">
        <v>4618</v>
      </c>
    </row>
    <row r="2576" spans="1:31" s="572" customFormat="1">
      <c r="A2576" s="570" t="s">
        <v>4619</v>
      </c>
      <c r="B2576" s="573" t="s">
        <v>278</v>
      </c>
      <c r="C2576" s="578">
        <v>15</v>
      </c>
      <c r="D2576" s="573" t="s">
        <v>3374</v>
      </c>
      <c r="E2576" s="573" t="s">
        <v>187</v>
      </c>
      <c r="F2576" s="573" t="s">
        <v>271</v>
      </c>
      <c r="G2576" s="573">
        <v>2019</v>
      </c>
      <c r="H2576" s="573" t="s">
        <v>4503</v>
      </c>
      <c r="I2576" s="573" t="s">
        <v>3805</v>
      </c>
      <c r="J2576" s="573" t="s">
        <v>752</v>
      </c>
      <c r="K2576" s="573">
        <v>6</v>
      </c>
      <c r="L2576" s="573">
        <v>0</v>
      </c>
      <c r="M2576" s="573" t="s">
        <v>157</v>
      </c>
      <c r="N2576" s="573">
        <v>2</v>
      </c>
      <c r="O2576" s="573" t="s">
        <v>4230</v>
      </c>
      <c r="P2576" s="571">
        <v>12200</v>
      </c>
      <c r="Q2576" s="573" t="s">
        <v>4231</v>
      </c>
      <c r="R2576" s="573">
        <v>8</v>
      </c>
      <c r="S2576" s="582" t="s">
        <v>4532</v>
      </c>
      <c r="T2576" s="573" t="s">
        <v>4584</v>
      </c>
      <c r="U2576" s="573">
        <v>160</v>
      </c>
      <c r="V2576" s="573">
        <v>34</v>
      </c>
      <c r="W2576" s="616">
        <v>11500</v>
      </c>
      <c r="X2576" s="617" t="s">
        <v>157</v>
      </c>
      <c r="Y2576" s="617" t="s">
        <v>728</v>
      </c>
      <c r="Z2576" s="617" t="s">
        <v>1523</v>
      </c>
      <c r="AA2576" s="618">
        <v>56455</v>
      </c>
      <c r="AB2576" s="618" t="s">
        <v>164</v>
      </c>
      <c r="AC2576" s="618">
        <v>45500</v>
      </c>
      <c r="AD2576" s="619">
        <v>0.01</v>
      </c>
      <c r="AE2576" s="617" t="s">
        <v>4620</v>
      </c>
    </row>
    <row r="2577" spans="1:31" s="572" customFormat="1">
      <c r="A2577" s="570" t="s">
        <v>4621</v>
      </c>
      <c r="B2577" s="569" t="s">
        <v>278</v>
      </c>
      <c r="C2577" s="580">
        <v>15</v>
      </c>
      <c r="D2577" s="569" t="s">
        <v>3374</v>
      </c>
      <c r="E2577" s="569" t="s">
        <v>187</v>
      </c>
      <c r="F2577" s="569" t="s">
        <v>271</v>
      </c>
      <c r="G2577" s="569">
        <v>2019</v>
      </c>
      <c r="H2577" s="569" t="s">
        <v>4503</v>
      </c>
      <c r="I2577" s="569" t="s">
        <v>3805</v>
      </c>
      <c r="J2577" s="569" t="s">
        <v>752</v>
      </c>
      <c r="K2577" s="569">
        <v>6</v>
      </c>
      <c r="L2577" s="569">
        <v>0</v>
      </c>
      <c r="M2577" s="569" t="s">
        <v>157</v>
      </c>
      <c r="N2577" s="569">
        <v>2</v>
      </c>
      <c r="O2577" s="569" t="s">
        <v>3846</v>
      </c>
      <c r="P2577" s="568">
        <v>12000</v>
      </c>
      <c r="Q2577" s="569" t="s">
        <v>4235</v>
      </c>
      <c r="R2577" s="569">
        <v>8</v>
      </c>
      <c r="S2577" s="569" t="s">
        <v>4532</v>
      </c>
      <c r="T2577" s="569" t="s">
        <v>4584</v>
      </c>
      <c r="U2577" s="569">
        <v>176</v>
      </c>
      <c r="V2577" s="569">
        <v>48</v>
      </c>
      <c r="W2577" s="620">
        <v>11300</v>
      </c>
      <c r="X2577" s="621" t="s">
        <v>157</v>
      </c>
      <c r="Y2577" s="621" t="s">
        <v>450</v>
      </c>
      <c r="Z2577" s="621" t="s">
        <v>178</v>
      </c>
      <c r="AA2577" s="622">
        <v>47530</v>
      </c>
      <c r="AB2577" s="622" t="s">
        <v>164</v>
      </c>
      <c r="AC2577" s="622">
        <v>37350</v>
      </c>
      <c r="AD2577" s="623">
        <v>0.01</v>
      </c>
      <c r="AE2577" s="621" t="s">
        <v>4612</v>
      </c>
    </row>
    <row r="2578" spans="1:31" s="572" customFormat="1">
      <c r="A2578" s="570" t="s">
        <v>4622</v>
      </c>
      <c r="B2578" s="573" t="s">
        <v>278</v>
      </c>
      <c r="C2578" s="578">
        <v>15</v>
      </c>
      <c r="D2578" s="573" t="s">
        <v>3374</v>
      </c>
      <c r="E2578" s="573" t="s">
        <v>187</v>
      </c>
      <c r="F2578" s="573" t="s">
        <v>271</v>
      </c>
      <c r="G2578" s="573">
        <v>2019</v>
      </c>
      <c r="H2578" s="573" t="s">
        <v>4503</v>
      </c>
      <c r="I2578" s="573" t="s">
        <v>3805</v>
      </c>
      <c r="J2578" s="573" t="s">
        <v>752</v>
      </c>
      <c r="K2578" s="573">
        <v>6</v>
      </c>
      <c r="L2578" s="573">
        <v>0</v>
      </c>
      <c r="M2578" s="573" t="s">
        <v>157</v>
      </c>
      <c r="N2578" s="573">
        <v>2</v>
      </c>
      <c r="O2578" s="573" t="s">
        <v>3846</v>
      </c>
      <c r="P2578" s="571">
        <v>12000</v>
      </c>
      <c r="Q2578" s="573" t="s">
        <v>4231</v>
      </c>
      <c r="R2578" s="573">
        <v>8</v>
      </c>
      <c r="S2578" s="582" t="s">
        <v>4532</v>
      </c>
      <c r="T2578" s="573" t="s">
        <v>4584</v>
      </c>
      <c r="U2578" s="573">
        <v>176</v>
      </c>
      <c r="V2578" s="573">
        <v>48</v>
      </c>
      <c r="W2578" s="616">
        <v>11500</v>
      </c>
      <c r="X2578" s="617" t="s">
        <v>157</v>
      </c>
      <c r="Y2578" s="617" t="s">
        <v>728</v>
      </c>
      <c r="Z2578" s="617" t="s">
        <v>1523</v>
      </c>
      <c r="AA2578" s="618">
        <v>56650</v>
      </c>
      <c r="AB2578" s="618" t="s">
        <v>164</v>
      </c>
      <c r="AC2578" s="618">
        <v>45650</v>
      </c>
      <c r="AD2578" s="619">
        <v>0.01</v>
      </c>
      <c r="AE2578" s="617" t="s">
        <v>4614</v>
      </c>
    </row>
    <row r="2579" spans="1:31" s="572" customFormat="1">
      <c r="A2579" s="570" t="s">
        <v>4623</v>
      </c>
      <c r="B2579" s="569" t="s">
        <v>287</v>
      </c>
      <c r="C2579" s="580">
        <v>26</v>
      </c>
      <c r="D2579" s="569" t="s">
        <v>3374</v>
      </c>
      <c r="E2579" s="569" t="s">
        <v>187</v>
      </c>
      <c r="F2579" s="569" t="s">
        <v>271</v>
      </c>
      <c r="G2579" s="569">
        <v>2019</v>
      </c>
      <c r="H2579" s="569" t="s">
        <v>4503</v>
      </c>
      <c r="I2579" s="569" t="s">
        <v>3805</v>
      </c>
      <c r="J2579" s="569" t="s">
        <v>752</v>
      </c>
      <c r="K2579" s="569">
        <v>6</v>
      </c>
      <c r="L2579" s="569">
        <v>0</v>
      </c>
      <c r="M2579" s="569" t="s">
        <v>157</v>
      </c>
      <c r="N2579" s="569">
        <v>2</v>
      </c>
      <c r="O2579" s="569" t="s">
        <v>4230</v>
      </c>
      <c r="P2579" s="568">
        <v>12200</v>
      </c>
      <c r="Q2579" s="569" t="s">
        <v>4235</v>
      </c>
      <c r="R2579" s="569">
        <v>8</v>
      </c>
      <c r="S2579" s="569" t="s">
        <v>4532</v>
      </c>
      <c r="T2579" s="569" t="s">
        <v>4584</v>
      </c>
      <c r="U2579" s="569">
        <v>160</v>
      </c>
      <c r="V2579" s="569">
        <v>34</v>
      </c>
      <c r="W2579" s="620">
        <v>10900</v>
      </c>
      <c r="X2579" s="621" t="s">
        <v>157</v>
      </c>
      <c r="Y2579" s="621" t="s">
        <v>450</v>
      </c>
      <c r="Z2579" s="621" t="s">
        <v>178</v>
      </c>
      <c r="AA2579" s="622">
        <v>46885</v>
      </c>
      <c r="AB2579" s="622" t="s">
        <v>164</v>
      </c>
      <c r="AC2579" s="622">
        <v>37276</v>
      </c>
      <c r="AD2579" s="623">
        <v>0.05</v>
      </c>
      <c r="AE2579" s="621" t="s">
        <v>4618</v>
      </c>
    </row>
    <row r="2580" spans="1:31" s="572" customFormat="1">
      <c r="A2580" s="570" t="s">
        <v>4624</v>
      </c>
      <c r="B2580" s="573" t="s">
        <v>287</v>
      </c>
      <c r="C2580" s="578">
        <v>26</v>
      </c>
      <c r="D2580" s="573" t="s">
        <v>3374</v>
      </c>
      <c r="E2580" s="573" t="s">
        <v>187</v>
      </c>
      <c r="F2580" s="573" t="s">
        <v>271</v>
      </c>
      <c r="G2580" s="573">
        <v>2019</v>
      </c>
      <c r="H2580" s="573" t="s">
        <v>4503</v>
      </c>
      <c r="I2580" s="573" t="s">
        <v>3805</v>
      </c>
      <c r="J2580" s="573" t="s">
        <v>752</v>
      </c>
      <c r="K2580" s="573">
        <v>6</v>
      </c>
      <c r="L2580" s="573">
        <v>0</v>
      </c>
      <c r="M2580" s="573" t="s">
        <v>157</v>
      </c>
      <c r="N2580" s="573">
        <v>2</v>
      </c>
      <c r="O2580" s="573" t="s">
        <v>4230</v>
      </c>
      <c r="P2580" s="571">
        <v>12200</v>
      </c>
      <c r="Q2580" s="573" t="s">
        <v>4231</v>
      </c>
      <c r="R2580" s="573">
        <v>8</v>
      </c>
      <c r="S2580" s="582" t="s">
        <v>4532</v>
      </c>
      <c r="T2580" s="573" t="s">
        <v>4584</v>
      </c>
      <c r="U2580" s="573">
        <v>160</v>
      </c>
      <c r="V2580" s="573">
        <v>34</v>
      </c>
      <c r="W2580" s="616">
        <v>11500</v>
      </c>
      <c r="X2580" s="617" t="s">
        <v>157</v>
      </c>
      <c r="Y2580" s="617" t="s">
        <v>728</v>
      </c>
      <c r="Z2580" s="617" t="s">
        <v>1523</v>
      </c>
      <c r="AA2580" s="618">
        <v>55880</v>
      </c>
      <c r="AB2580" s="618" t="s">
        <v>164</v>
      </c>
      <c r="AC2580" s="618">
        <v>45470</v>
      </c>
      <c r="AD2580" s="619">
        <v>0.05</v>
      </c>
      <c r="AE2580" s="617" t="s">
        <v>4620</v>
      </c>
    </row>
    <row r="2581" spans="1:31" s="572" customFormat="1">
      <c r="A2581" s="570" t="s">
        <v>4625</v>
      </c>
      <c r="B2581" s="569" t="s">
        <v>287</v>
      </c>
      <c r="C2581" s="580">
        <v>26</v>
      </c>
      <c r="D2581" s="569" t="s">
        <v>3374</v>
      </c>
      <c r="E2581" s="569" t="s">
        <v>187</v>
      </c>
      <c r="F2581" s="569" t="s">
        <v>271</v>
      </c>
      <c r="G2581" s="569">
        <v>2019</v>
      </c>
      <c r="H2581" s="569" t="s">
        <v>4503</v>
      </c>
      <c r="I2581" s="569" t="s">
        <v>3805</v>
      </c>
      <c r="J2581" s="569" t="s">
        <v>752</v>
      </c>
      <c r="K2581" s="569">
        <v>6</v>
      </c>
      <c r="L2581" s="569">
        <v>0</v>
      </c>
      <c r="M2581" s="569" t="s">
        <v>157</v>
      </c>
      <c r="N2581" s="569">
        <v>2</v>
      </c>
      <c r="O2581" s="569" t="s">
        <v>3846</v>
      </c>
      <c r="P2581" s="568">
        <v>12000</v>
      </c>
      <c r="Q2581" s="569" t="s">
        <v>4235</v>
      </c>
      <c r="R2581" s="569">
        <v>8</v>
      </c>
      <c r="S2581" s="569" t="s">
        <v>4532</v>
      </c>
      <c r="T2581" s="569" t="s">
        <v>4584</v>
      </c>
      <c r="U2581" s="569">
        <v>176</v>
      </c>
      <c r="V2581" s="569">
        <v>48</v>
      </c>
      <c r="W2581" s="620">
        <v>11300</v>
      </c>
      <c r="X2581" s="621" t="s">
        <v>157</v>
      </c>
      <c r="Y2581" s="621" t="s">
        <v>450</v>
      </c>
      <c r="Z2581" s="621" t="s">
        <v>178</v>
      </c>
      <c r="AA2581" s="622">
        <v>47080</v>
      </c>
      <c r="AB2581" s="622" t="s">
        <v>164</v>
      </c>
      <c r="AC2581" s="622">
        <v>37458</v>
      </c>
      <c r="AD2581" s="623">
        <v>0.05</v>
      </c>
      <c r="AE2581" s="621" t="s">
        <v>4612</v>
      </c>
    </row>
    <row r="2582" spans="1:31" s="572" customFormat="1">
      <c r="A2582" s="570" t="s">
        <v>4626</v>
      </c>
      <c r="B2582" s="573" t="s">
        <v>287</v>
      </c>
      <c r="C2582" s="578">
        <v>26</v>
      </c>
      <c r="D2582" s="573" t="s">
        <v>3374</v>
      </c>
      <c r="E2582" s="573" t="s">
        <v>187</v>
      </c>
      <c r="F2582" s="573" t="s">
        <v>271</v>
      </c>
      <c r="G2582" s="573">
        <v>2019</v>
      </c>
      <c r="H2582" s="573" t="s">
        <v>4503</v>
      </c>
      <c r="I2582" s="573" t="s">
        <v>3805</v>
      </c>
      <c r="J2582" s="573" t="s">
        <v>752</v>
      </c>
      <c r="K2582" s="573">
        <v>6</v>
      </c>
      <c r="L2582" s="573">
        <v>0</v>
      </c>
      <c r="M2582" s="573" t="s">
        <v>157</v>
      </c>
      <c r="N2582" s="573">
        <v>2</v>
      </c>
      <c r="O2582" s="573" t="s">
        <v>3846</v>
      </c>
      <c r="P2582" s="571">
        <v>12000</v>
      </c>
      <c r="Q2582" s="573" t="s">
        <v>4231</v>
      </c>
      <c r="R2582" s="573">
        <v>8</v>
      </c>
      <c r="S2582" s="582" t="s">
        <v>4532</v>
      </c>
      <c r="T2582" s="573" t="s">
        <v>4584</v>
      </c>
      <c r="U2582" s="573">
        <v>176</v>
      </c>
      <c r="V2582" s="573">
        <v>48</v>
      </c>
      <c r="W2582" s="616">
        <v>11500</v>
      </c>
      <c r="X2582" s="617" t="s">
        <v>157</v>
      </c>
      <c r="Y2582" s="617" t="s">
        <v>728</v>
      </c>
      <c r="Z2582" s="617" t="s">
        <v>1523</v>
      </c>
      <c r="AA2582" s="618">
        <v>56650</v>
      </c>
      <c r="AB2582" s="618" t="s">
        <v>164</v>
      </c>
      <c r="AC2582" s="618">
        <v>45653</v>
      </c>
      <c r="AD2582" s="619">
        <v>0.05</v>
      </c>
      <c r="AE2582" s="617" t="s">
        <v>4614</v>
      </c>
    </row>
    <row r="2583" spans="1:31" s="572" customFormat="1">
      <c r="A2583" s="570" t="s">
        <v>4627</v>
      </c>
      <c r="B2583" s="569" t="s">
        <v>280</v>
      </c>
      <c r="C2583" s="580">
        <v>27</v>
      </c>
      <c r="D2583" s="569" t="s">
        <v>3374</v>
      </c>
      <c r="E2583" s="569" t="s">
        <v>187</v>
      </c>
      <c r="F2583" s="569" t="s">
        <v>271</v>
      </c>
      <c r="G2583" s="569">
        <v>2019</v>
      </c>
      <c r="H2583" s="569" t="s">
        <v>4503</v>
      </c>
      <c r="I2583" s="569" t="s">
        <v>3805</v>
      </c>
      <c r="J2583" s="569" t="s">
        <v>752</v>
      </c>
      <c r="K2583" s="569">
        <v>6</v>
      </c>
      <c r="L2583" s="569">
        <v>0</v>
      </c>
      <c r="M2583" s="569" t="s">
        <v>157</v>
      </c>
      <c r="N2583" s="569">
        <v>2</v>
      </c>
      <c r="O2583" s="569" t="s">
        <v>4230</v>
      </c>
      <c r="P2583" s="568">
        <v>12300</v>
      </c>
      <c r="Q2583" s="569" t="s">
        <v>4235</v>
      </c>
      <c r="R2583" s="569">
        <v>8</v>
      </c>
      <c r="S2583" s="569" t="s">
        <v>4532</v>
      </c>
      <c r="T2583" s="569" t="s">
        <v>4584</v>
      </c>
      <c r="U2583" s="569">
        <v>160</v>
      </c>
      <c r="V2583" s="569">
        <v>34</v>
      </c>
      <c r="W2583" s="620">
        <v>10900</v>
      </c>
      <c r="X2583" s="621" t="s">
        <v>157</v>
      </c>
      <c r="Y2583" s="621" t="s">
        <v>450</v>
      </c>
      <c r="Z2583" s="621" t="s">
        <v>178</v>
      </c>
      <c r="AA2583" s="622">
        <v>47335</v>
      </c>
      <c r="AB2583" s="622" t="s">
        <v>164</v>
      </c>
      <c r="AC2583" s="622">
        <v>36996.547368421059</v>
      </c>
      <c r="AD2583" s="623">
        <v>0.03</v>
      </c>
      <c r="AE2583" s="621" t="s">
        <v>4608</v>
      </c>
    </row>
    <row r="2584" spans="1:31" s="572" customFormat="1">
      <c r="A2584" s="570" t="s">
        <v>4628</v>
      </c>
      <c r="B2584" s="573" t="s">
        <v>280</v>
      </c>
      <c r="C2584" s="578">
        <v>27</v>
      </c>
      <c r="D2584" s="573" t="s">
        <v>3374</v>
      </c>
      <c r="E2584" s="573" t="s">
        <v>187</v>
      </c>
      <c r="F2584" s="573" t="s">
        <v>271</v>
      </c>
      <c r="G2584" s="573">
        <v>2019</v>
      </c>
      <c r="H2584" s="573" t="s">
        <v>4503</v>
      </c>
      <c r="I2584" s="573" t="s">
        <v>3805</v>
      </c>
      <c r="J2584" s="573" t="s">
        <v>752</v>
      </c>
      <c r="K2584" s="573">
        <v>6</v>
      </c>
      <c r="L2584" s="573">
        <v>0</v>
      </c>
      <c r="M2584" s="573" t="s">
        <v>157</v>
      </c>
      <c r="N2584" s="573">
        <v>2</v>
      </c>
      <c r="O2584" s="573" t="s">
        <v>4230</v>
      </c>
      <c r="P2584" s="571">
        <v>12300</v>
      </c>
      <c r="Q2584" s="573" t="s">
        <v>4231</v>
      </c>
      <c r="R2584" s="573">
        <v>8</v>
      </c>
      <c r="S2584" s="582" t="s">
        <v>4532</v>
      </c>
      <c r="T2584" s="573" t="s">
        <v>4584</v>
      </c>
      <c r="U2584" s="573">
        <v>160</v>
      </c>
      <c r="V2584" s="573">
        <v>34</v>
      </c>
      <c r="W2584" s="616">
        <v>11500</v>
      </c>
      <c r="X2584" s="617" t="s">
        <v>157</v>
      </c>
      <c r="Y2584" s="617" t="s">
        <v>728</v>
      </c>
      <c r="Z2584" s="617" t="s">
        <v>1523</v>
      </c>
      <c r="AA2584" s="618">
        <v>56455</v>
      </c>
      <c r="AB2584" s="618" t="s">
        <v>164</v>
      </c>
      <c r="AC2584" s="618">
        <v>45188.736842105267</v>
      </c>
      <c r="AD2584" s="619">
        <v>0.03</v>
      </c>
      <c r="AE2584" s="617" t="s">
        <v>4610</v>
      </c>
    </row>
    <row r="2585" spans="1:31" s="572" customFormat="1">
      <c r="A2585" s="570" t="s">
        <v>4629</v>
      </c>
      <c r="B2585" s="569" t="s">
        <v>280</v>
      </c>
      <c r="C2585" s="580">
        <v>27</v>
      </c>
      <c r="D2585" s="569" t="s">
        <v>3374</v>
      </c>
      <c r="E2585" s="569" t="s">
        <v>187</v>
      </c>
      <c r="F2585" s="569" t="s">
        <v>271</v>
      </c>
      <c r="G2585" s="569">
        <v>2019</v>
      </c>
      <c r="H2585" s="569" t="s">
        <v>4503</v>
      </c>
      <c r="I2585" s="569" t="s">
        <v>3805</v>
      </c>
      <c r="J2585" s="569" t="s">
        <v>752</v>
      </c>
      <c r="K2585" s="569">
        <v>6</v>
      </c>
      <c r="L2585" s="569">
        <v>0</v>
      </c>
      <c r="M2585" s="569" t="s">
        <v>157</v>
      </c>
      <c r="N2585" s="569">
        <v>2</v>
      </c>
      <c r="O2585" s="569" t="s">
        <v>3846</v>
      </c>
      <c r="P2585" s="568">
        <v>12000</v>
      </c>
      <c r="Q2585" s="569" t="s">
        <v>4235</v>
      </c>
      <c r="R2585" s="569">
        <v>8</v>
      </c>
      <c r="S2585" s="569" t="s">
        <v>4532</v>
      </c>
      <c r="T2585" s="569" t="s">
        <v>4584</v>
      </c>
      <c r="U2585" s="569">
        <v>176</v>
      </c>
      <c r="V2585" s="569">
        <v>48</v>
      </c>
      <c r="W2585" s="620">
        <v>11300</v>
      </c>
      <c r="X2585" s="621" t="s">
        <v>157</v>
      </c>
      <c r="Y2585" s="621" t="s">
        <v>450</v>
      </c>
      <c r="Z2585" s="621" t="s">
        <v>178</v>
      </c>
      <c r="AA2585" s="622">
        <v>47530</v>
      </c>
      <c r="AB2585" s="622" t="s">
        <v>164</v>
      </c>
      <c r="AC2585" s="622">
        <v>37177.600000000006</v>
      </c>
      <c r="AD2585" s="623">
        <v>0.03</v>
      </c>
      <c r="AE2585" s="621" t="s">
        <v>4612</v>
      </c>
    </row>
    <row r="2586" spans="1:31" s="572" customFormat="1">
      <c r="A2586" s="570" t="s">
        <v>4630</v>
      </c>
      <c r="B2586" s="573" t="s">
        <v>280</v>
      </c>
      <c r="C2586" s="578">
        <v>27</v>
      </c>
      <c r="D2586" s="573" t="s">
        <v>3374</v>
      </c>
      <c r="E2586" s="573" t="s">
        <v>187</v>
      </c>
      <c r="F2586" s="573" t="s">
        <v>271</v>
      </c>
      <c r="G2586" s="573">
        <v>2019</v>
      </c>
      <c r="H2586" s="573" t="s">
        <v>4503</v>
      </c>
      <c r="I2586" s="573" t="s">
        <v>3805</v>
      </c>
      <c r="J2586" s="573" t="s">
        <v>752</v>
      </c>
      <c r="K2586" s="573">
        <v>6</v>
      </c>
      <c r="L2586" s="573">
        <v>0</v>
      </c>
      <c r="M2586" s="573" t="s">
        <v>157</v>
      </c>
      <c r="N2586" s="573">
        <v>2</v>
      </c>
      <c r="O2586" s="573" t="s">
        <v>3846</v>
      </c>
      <c r="P2586" s="571">
        <v>12000</v>
      </c>
      <c r="Q2586" s="573" t="s">
        <v>4231</v>
      </c>
      <c r="R2586" s="573">
        <v>8</v>
      </c>
      <c r="S2586" s="582" t="s">
        <v>4532</v>
      </c>
      <c r="T2586" s="573" t="s">
        <v>4584</v>
      </c>
      <c r="U2586" s="573">
        <v>176</v>
      </c>
      <c r="V2586" s="573">
        <v>48</v>
      </c>
      <c r="W2586" s="616">
        <v>11500</v>
      </c>
      <c r="X2586" s="617" t="s">
        <v>157</v>
      </c>
      <c r="Y2586" s="617" t="s">
        <v>728</v>
      </c>
      <c r="Z2586" s="617" t="s">
        <v>1523</v>
      </c>
      <c r="AA2586" s="618">
        <v>56650</v>
      </c>
      <c r="AB2586" s="618" t="s">
        <v>164</v>
      </c>
      <c r="AC2586" s="618">
        <v>45369.789473684214</v>
      </c>
      <c r="AD2586" s="619">
        <v>0.03</v>
      </c>
      <c r="AE2586" s="617" t="s">
        <v>4614</v>
      </c>
    </row>
    <row r="2587" spans="1:31" s="572" customFormat="1">
      <c r="A2587" s="570" t="s">
        <v>4631</v>
      </c>
      <c r="B2587" s="569" t="s">
        <v>280</v>
      </c>
      <c r="C2587" s="580">
        <v>27</v>
      </c>
      <c r="D2587" s="569" t="s">
        <v>3374</v>
      </c>
      <c r="E2587" s="569" t="s">
        <v>187</v>
      </c>
      <c r="F2587" s="569" t="s">
        <v>271</v>
      </c>
      <c r="G2587" s="569">
        <v>2019</v>
      </c>
      <c r="H2587" s="569" t="s">
        <v>4503</v>
      </c>
      <c r="I2587" s="569" t="s">
        <v>3805</v>
      </c>
      <c r="J2587" s="569" t="s">
        <v>752</v>
      </c>
      <c r="K2587" s="569">
        <v>6</v>
      </c>
      <c r="L2587" s="569">
        <v>0</v>
      </c>
      <c r="M2587" s="569" t="s">
        <v>157</v>
      </c>
      <c r="N2587" s="569">
        <v>2</v>
      </c>
      <c r="O2587" s="569" t="s">
        <v>3846</v>
      </c>
      <c r="P2587" s="568">
        <v>12500</v>
      </c>
      <c r="Q2587" s="569" t="s">
        <v>4235</v>
      </c>
      <c r="R2587" s="569">
        <v>8</v>
      </c>
      <c r="S2587" s="569" t="s">
        <v>4532</v>
      </c>
      <c r="T2587" s="569" t="s">
        <v>4584</v>
      </c>
      <c r="U2587" s="569">
        <v>176</v>
      </c>
      <c r="V2587" s="569">
        <v>34</v>
      </c>
      <c r="W2587" s="620">
        <v>11300</v>
      </c>
      <c r="X2587" s="621" t="s">
        <v>157</v>
      </c>
      <c r="Y2587" s="621" t="s">
        <v>450</v>
      </c>
      <c r="Z2587" s="621" t="s">
        <v>178</v>
      </c>
      <c r="AA2587" s="622">
        <v>47530</v>
      </c>
      <c r="AB2587" s="622" t="s">
        <v>164</v>
      </c>
      <c r="AC2587" s="622">
        <v>37177.600000000006</v>
      </c>
      <c r="AD2587" s="623">
        <v>0.03</v>
      </c>
      <c r="AE2587" s="621" t="s">
        <v>4616</v>
      </c>
    </row>
    <row r="2588" spans="1:31" s="572" customFormat="1">
      <c r="A2588" s="570" t="s">
        <v>4632</v>
      </c>
      <c r="B2588" s="573" t="s">
        <v>269</v>
      </c>
      <c r="C2588" s="578" t="s">
        <v>270</v>
      </c>
      <c r="D2588" s="573" t="s">
        <v>3374</v>
      </c>
      <c r="E2588" s="573" t="s">
        <v>187</v>
      </c>
      <c r="F2588" s="573" t="s">
        <v>271</v>
      </c>
      <c r="G2588" s="573">
        <v>2019</v>
      </c>
      <c r="H2588" s="573" t="s">
        <v>4503</v>
      </c>
      <c r="I2588" s="573" t="s">
        <v>4634</v>
      </c>
      <c r="J2588" s="573" t="s">
        <v>3377</v>
      </c>
      <c r="K2588" s="573">
        <v>6</v>
      </c>
      <c r="L2588" s="573">
        <v>0</v>
      </c>
      <c r="M2588" s="573" t="s">
        <v>157</v>
      </c>
      <c r="N2588" s="573">
        <v>2</v>
      </c>
      <c r="O2588" s="573" t="s">
        <v>3846</v>
      </c>
      <c r="P2588" s="571">
        <v>12500</v>
      </c>
      <c r="Q2588" s="573" t="s">
        <v>4235</v>
      </c>
      <c r="R2588" s="573">
        <v>8</v>
      </c>
      <c r="S2588" s="582" t="s">
        <v>4557</v>
      </c>
      <c r="T2588" s="573" t="s">
        <v>4635</v>
      </c>
      <c r="U2588" s="573">
        <v>176</v>
      </c>
      <c r="V2588" s="573">
        <v>34</v>
      </c>
      <c r="W2588" s="616">
        <v>14000</v>
      </c>
      <c r="X2588" s="617" t="s">
        <v>157</v>
      </c>
      <c r="Y2588" s="617" t="s">
        <v>450</v>
      </c>
      <c r="Z2588" s="617" t="s">
        <v>178</v>
      </c>
      <c r="AA2588" s="618">
        <v>46000</v>
      </c>
      <c r="AB2588" s="618" t="s">
        <v>164</v>
      </c>
      <c r="AC2588" s="618">
        <v>35553.389473684212</v>
      </c>
      <c r="AD2588" s="619">
        <v>0.03</v>
      </c>
      <c r="AE2588" s="617" t="s">
        <v>4633</v>
      </c>
    </row>
    <row r="2589" spans="1:31" s="572" customFormat="1">
      <c r="A2589" s="570" t="s">
        <v>4636</v>
      </c>
      <c r="B2589" s="569" t="s">
        <v>269</v>
      </c>
      <c r="C2589" s="580" t="s">
        <v>270</v>
      </c>
      <c r="D2589" s="569" t="s">
        <v>3374</v>
      </c>
      <c r="E2589" s="569" t="s">
        <v>187</v>
      </c>
      <c r="F2589" s="569" t="s">
        <v>271</v>
      </c>
      <c r="G2589" s="569">
        <v>2019</v>
      </c>
      <c r="H2589" s="569" t="s">
        <v>4503</v>
      </c>
      <c r="I2589" s="569" t="s">
        <v>4634</v>
      </c>
      <c r="J2589" s="569" t="s">
        <v>3377</v>
      </c>
      <c r="K2589" s="569">
        <v>6</v>
      </c>
      <c r="L2589" s="569">
        <v>0</v>
      </c>
      <c r="M2589" s="569" t="s">
        <v>157</v>
      </c>
      <c r="N2589" s="569">
        <v>2</v>
      </c>
      <c r="O2589" s="569" t="s">
        <v>3846</v>
      </c>
      <c r="P2589" s="568">
        <v>12500</v>
      </c>
      <c r="Q2589" s="569" t="s">
        <v>4235</v>
      </c>
      <c r="R2589" s="569">
        <v>8</v>
      </c>
      <c r="S2589" s="569" t="s">
        <v>4557</v>
      </c>
      <c r="T2589" s="569" t="s">
        <v>4635</v>
      </c>
      <c r="U2589" s="569">
        <v>176</v>
      </c>
      <c r="V2589" s="569">
        <v>48</v>
      </c>
      <c r="W2589" s="620">
        <v>14000</v>
      </c>
      <c r="X2589" s="621" t="s">
        <v>157</v>
      </c>
      <c r="Y2589" s="621" t="s">
        <v>450</v>
      </c>
      <c r="Z2589" s="621" t="s">
        <v>178</v>
      </c>
      <c r="AA2589" s="622">
        <v>46000</v>
      </c>
      <c r="AB2589" s="622" t="s">
        <v>164</v>
      </c>
      <c r="AC2589" s="622">
        <v>35553.389473684212</v>
      </c>
      <c r="AD2589" s="623">
        <v>0.03</v>
      </c>
      <c r="AE2589" s="621" t="s">
        <v>4637</v>
      </c>
    </row>
    <row r="2590" spans="1:31" s="572" customFormat="1">
      <c r="A2590" s="570" t="s">
        <v>4638</v>
      </c>
      <c r="B2590" s="573" t="s">
        <v>269</v>
      </c>
      <c r="C2590" s="578" t="s">
        <v>270</v>
      </c>
      <c r="D2590" s="573" t="s">
        <v>3374</v>
      </c>
      <c r="E2590" s="573" t="s">
        <v>187</v>
      </c>
      <c r="F2590" s="573" t="s">
        <v>271</v>
      </c>
      <c r="G2590" s="573">
        <v>2019</v>
      </c>
      <c r="H2590" s="573" t="s">
        <v>4503</v>
      </c>
      <c r="I2590" s="573" t="s">
        <v>4634</v>
      </c>
      <c r="J2590" s="573" t="s">
        <v>3377</v>
      </c>
      <c r="K2590" s="573">
        <v>6</v>
      </c>
      <c r="L2590" s="573">
        <v>0</v>
      </c>
      <c r="M2590" s="573" t="s">
        <v>157</v>
      </c>
      <c r="N2590" s="573">
        <v>2</v>
      </c>
      <c r="O2590" s="573" t="s">
        <v>3846</v>
      </c>
      <c r="P2590" s="571">
        <v>12500</v>
      </c>
      <c r="Q2590" s="573" t="s">
        <v>4231</v>
      </c>
      <c r="R2590" s="573">
        <v>8</v>
      </c>
      <c r="S2590" s="582" t="s">
        <v>4557</v>
      </c>
      <c r="T2590" s="573" t="s">
        <v>4635</v>
      </c>
      <c r="U2590" s="573">
        <v>176</v>
      </c>
      <c r="V2590" s="573">
        <v>48</v>
      </c>
      <c r="W2590" s="616">
        <v>14000</v>
      </c>
      <c r="X2590" s="617" t="s">
        <v>157</v>
      </c>
      <c r="Y2590" s="617" t="s">
        <v>728</v>
      </c>
      <c r="Z2590" s="617" t="s">
        <v>1523</v>
      </c>
      <c r="AA2590" s="618">
        <v>55120</v>
      </c>
      <c r="AB2590" s="618" t="s">
        <v>164</v>
      </c>
      <c r="AC2590" s="618">
        <v>43745.578947368427</v>
      </c>
      <c r="AD2590" s="619">
        <v>0.03</v>
      </c>
      <c r="AE2590" s="617" t="s">
        <v>4639</v>
      </c>
    </row>
    <row r="2591" spans="1:31" s="572" customFormat="1">
      <c r="A2591" s="570" t="s">
        <v>4640</v>
      </c>
      <c r="B2591" s="569" t="s">
        <v>278</v>
      </c>
      <c r="C2591" s="580">
        <v>15</v>
      </c>
      <c r="D2591" s="569" t="s">
        <v>3374</v>
      </c>
      <c r="E2591" s="569" t="s">
        <v>187</v>
      </c>
      <c r="F2591" s="569" t="s">
        <v>271</v>
      </c>
      <c r="G2591" s="569">
        <v>2019</v>
      </c>
      <c r="H2591" s="569" t="s">
        <v>4503</v>
      </c>
      <c r="I2591" s="569" t="s">
        <v>4634</v>
      </c>
      <c r="J2591" s="569" t="s">
        <v>3377</v>
      </c>
      <c r="K2591" s="569">
        <v>6</v>
      </c>
      <c r="L2591" s="569">
        <v>0</v>
      </c>
      <c r="M2591" s="569" t="s">
        <v>157</v>
      </c>
      <c r="N2591" s="569">
        <v>2</v>
      </c>
      <c r="O2591" s="569" t="s">
        <v>3846</v>
      </c>
      <c r="P2591" s="568">
        <v>12500</v>
      </c>
      <c r="Q2591" s="569" t="s">
        <v>4235</v>
      </c>
      <c r="R2591" s="569">
        <v>8</v>
      </c>
      <c r="S2591" s="569" t="s">
        <v>4557</v>
      </c>
      <c r="T2591" s="569" t="s">
        <v>4635</v>
      </c>
      <c r="U2591" s="569">
        <v>176</v>
      </c>
      <c r="V2591" s="569">
        <v>48</v>
      </c>
      <c r="W2591" s="620">
        <v>14000</v>
      </c>
      <c r="X2591" s="621" t="s">
        <v>157</v>
      </c>
      <c r="Y2591" s="621" t="s">
        <v>450</v>
      </c>
      <c r="Z2591" s="621" t="s">
        <v>178</v>
      </c>
      <c r="AA2591" s="622">
        <v>46000</v>
      </c>
      <c r="AB2591" s="622" t="s">
        <v>164</v>
      </c>
      <c r="AC2591" s="622">
        <v>35750</v>
      </c>
      <c r="AD2591" s="623">
        <v>0.01</v>
      </c>
      <c r="AE2591" s="621" t="s">
        <v>4637</v>
      </c>
    </row>
    <row r="2592" spans="1:31" s="572" customFormat="1">
      <c r="A2592" s="570" t="s">
        <v>4641</v>
      </c>
      <c r="B2592" s="573" t="s">
        <v>278</v>
      </c>
      <c r="C2592" s="578">
        <v>15</v>
      </c>
      <c r="D2592" s="573" t="s">
        <v>3374</v>
      </c>
      <c r="E2592" s="573" t="s">
        <v>187</v>
      </c>
      <c r="F2592" s="573" t="s">
        <v>271</v>
      </c>
      <c r="G2592" s="573">
        <v>2019</v>
      </c>
      <c r="H2592" s="573" t="s">
        <v>4503</v>
      </c>
      <c r="I2592" s="573" t="s">
        <v>4634</v>
      </c>
      <c r="J2592" s="573" t="s">
        <v>3377</v>
      </c>
      <c r="K2592" s="573">
        <v>6</v>
      </c>
      <c r="L2592" s="573">
        <v>0</v>
      </c>
      <c r="M2592" s="573" t="s">
        <v>157</v>
      </c>
      <c r="N2592" s="573">
        <v>2</v>
      </c>
      <c r="O2592" s="573" t="s">
        <v>3846</v>
      </c>
      <c r="P2592" s="571">
        <v>12500</v>
      </c>
      <c r="Q2592" s="573" t="s">
        <v>4231</v>
      </c>
      <c r="R2592" s="573">
        <v>8</v>
      </c>
      <c r="S2592" s="582" t="s">
        <v>4557</v>
      </c>
      <c r="T2592" s="573" t="s">
        <v>4635</v>
      </c>
      <c r="U2592" s="573">
        <v>176</v>
      </c>
      <c r="V2592" s="573">
        <v>48</v>
      </c>
      <c r="W2592" s="616">
        <v>14000</v>
      </c>
      <c r="X2592" s="617" t="s">
        <v>157</v>
      </c>
      <c r="Y2592" s="617" t="s">
        <v>728</v>
      </c>
      <c r="Z2592" s="617" t="s">
        <v>1523</v>
      </c>
      <c r="AA2592" s="618">
        <v>55120</v>
      </c>
      <c r="AB2592" s="618" t="s">
        <v>164</v>
      </c>
      <c r="AC2592" s="618">
        <v>44100</v>
      </c>
      <c r="AD2592" s="619">
        <v>0.01</v>
      </c>
      <c r="AE2592" s="617" t="s">
        <v>4639</v>
      </c>
    </row>
    <row r="2593" spans="1:31" s="572" customFormat="1">
      <c r="A2593" s="570" t="s">
        <v>4642</v>
      </c>
      <c r="B2593" s="569" t="s">
        <v>287</v>
      </c>
      <c r="C2593" s="580">
        <v>26</v>
      </c>
      <c r="D2593" s="569" t="s">
        <v>3374</v>
      </c>
      <c r="E2593" s="569" t="s">
        <v>187</v>
      </c>
      <c r="F2593" s="569" t="s">
        <v>271</v>
      </c>
      <c r="G2593" s="569">
        <v>2019</v>
      </c>
      <c r="H2593" s="569" t="s">
        <v>4503</v>
      </c>
      <c r="I2593" s="569" t="s">
        <v>4634</v>
      </c>
      <c r="J2593" s="569" t="s">
        <v>3377</v>
      </c>
      <c r="K2593" s="569">
        <v>6</v>
      </c>
      <c r="L2593" s="569">
        <v>0</v>
      </c>
      <c r="M2593" s="569" t="s">
        <v>157</v>
      </c>
      <c r="N2593" s="569">
        <v>2</v>
      </c>
      <c r="O2593" s="569" t="s">
        <v>3846</v>
      </c>
      <c r="P2593" s="568">
        <v>12500</v>
      </c>
      <c r="Q2593" s="569" t="s">
        <v>4235</v>
      </c>
      <c r="R2593" s="569">
        <v>8</v>
      </c>
      <c r="S2593" s="569" t="s">
        <v>4557</v>
      </c>
      <c r="T2593" s="569" t="s">
        <v>4635</v>
      </c>
      <c r="U2593" s="569">
        <v>176</v>
      </c>
      <c r="V2593" s="569">
        <v>48</v>
      </c>
      <c r="W2593" s="620">
        <v>14000</v>
      </c>
      <c r="X2593" s="621" t="s">
        <v>157</v>
      </c>
      <c r="Y2593" s="621" t="s">
        <v>450</v>
      </c>
      <c r="Z2593" s="621" t="s">
        <v>178</v>
      </c>
      <c r="AA2593" s="622">
        <v>46000</v>
      </c>
      <c r="AB2593" s="622" t="s">
        <v>164</v>
      </c>
      <c r="AC2593" s="622">
        <v>35811</v>
      </c>
      <c r="AD2593" s="623">
        <v>0.05</v>
      </c>
      <c r="AE2593" s="621" t="s">
        <v>4637</v>
      </c>
    </row>
    <row r="2594" spans="1:31" s="572" customFormat="1">
      <c r="A2594" s="570" t="s">
        <v>4643</v>
      </c>
      <c r="B2594" s="573" t="s">
        <v>287</v>
      </c>
      <c r="C2594" s="578">
        <v>26</v>
      </c>
      <c r="D2594" s="573" t="s">
        <v>3374</v>
      </c>
      <c r="E2594" s="573" t="s">
        <v>187</v>
      </c>
      <c r="F2594" s="573" t="s">
        <v>271</v>
      </c>
      <c r="G2594" s="573">
        <v>2019</v>
      </c>
      <c r="H2594" s="573" t="s">
        <v>4503</v>
      </c>
      <c r="I2594" s="573" t="s">
        <v>4634</v>
      </c>
      <c r="J2594" s="573" t="s">
        <v>3377</v>
      </c>
      <c r="K2594" s="573">
        <v>6</v>
      </c>
      <c r="L2594" s="573">
        <v>0</v>
      </c>
      <c r="M2594" s="573" t="s">
        <v>157</v>
      </c>
      <c r="N2594" s="573">
        <v>2</v>
      </c>
      <c r="O2594" s="573" t="s">
        <v>3846</v>
      </c>
      <c r="P2594" s="571">
        <v>12500</v>
      </c>
      <c r="Q2594" s="573" t="s">
        <v>4231</v>
      </c>
      <c r="R2594" s="573">
        <v>8</v>
      </c>
      <c r="S2594" s="582" t="s">
        <v>4557</v>
      </c>
      <c r="T2594" s="573" t="s">
        <v>4635</v>
      </c>
      <c r="U2594" s="573">
        <v>176</v>
      </c>
      <c r="V2594" s="573">
        <v>48</v>
      </c>
      <c r="W2594" s="616">
        <v>14000</v>
      </c>
      <c r="X2594" s="617" t="s">
        <v>157</v>
      </c>
      <c r="Y2594" s="617" t="s">
        <v>728</v>
      </c>
      <c r="Z2594" s="617" t="s">
        <v>1523</v>
      </c>
      <c r="AA2594" s="618">
        <v>55120</v>
      </c>
      <c r="AB2594" s="618" t="s">
        <v>164</v>
      </c>
      <c r="AC2594" s="618">
        <v>44005</v>
      </c>
      <c r="AD2594" s="619">
        <v>0.05</v>
      </c>
      <c r="AE2594" s="617" t="s">
        <v>4639</v>
      </c>
    </row>
    <row r="2595" spans="1:31" s="572" customFormat="1">
      <c r="A2595" s="570" t="s">
        <v>4644</v>
      </c>
      <c r="B2595" s="569" t="s">
        <v>280</v>
      </c>
      <c r="C2595" s="580">
        <v>27</v>
      </c>
      <c r="D2595" s="569" t="s">
        <v>3374</v>
      </c>
      <c r="E2595" s="569" t="s">
        <v>187</v>
      </c>
      <c r="F2595" s="569" t="s">
        <v>271</v>
      </c>
      <c r="G2595" s="569">
        <v>2019</v>
      </c>
      <c r="H2595" s="569" t="s">
        <v>4503</v>
      </c>
      <c r="I2595" s="569" t="s">
        <v>4634</v>
      </c>
      <c r="J2595" s="569" t="s">
        <v>3377</v>
      </c>
      <c r="K2595" s="569">
        <v>6</v>
      </c>
      <c r="L2595" s="569">
        <v>0</v>
      </c>
      <c r="M2595" s="569" t="s">
        <v>157</v>
      </c>
      <c r="N2595" s="569">
        <v>2</v>
      </c>
      <c r="O2595" s="569" t="s">
        <v>3846</v>
      </c>
      <c r="P2595" s="568">
        <v>12500</v>
      </c>
      <c r="Q2595" s="569" t="s">
        <v>4235</v>
      </c>
      <c r="R2595" s="569">
        <v>8</v>
      </c>
      <c r="S2595" s="569" t="s">
        <v>4557</v>
      </c>
      <c r="T2595" s="569" t="s">
        <v>4635</v>
      </c>
      <c r="U2595" s="569">
        <v>176</v>
      </c>
      <c r="V2595" s="569">
        <v>34</v>
      </c>
      <c r="W2595" s="620">
        <v>14000</v>
      </c>
      <c r="X2595" s="621" t="s">
        <v>157</v>
      </c>
      <c r="Y2595" s="621" t="s">
        <v>450</v>
      </c>
      <c r="Z2595" s="621" t="s">
        <v>178</v>
      </c>
      <c r="AA2595" s="622">
        <v>46000</v>
      </c>
      <c r="AB2595" s="622" t="s">
        <v>164</v>
      </c>
      <c r="AC2595" s="622">
        <v>35553.389473684212</v>
      </c>
      <c r="AD2595" s="623">
        <v>0.03</v>
      </c>
      <c r="AE2595" s="621" t="s">
        <v>4633</v>
      </c>
    </row>
    <row r="2596" spans="1:31" s="572" customFormat="1">
      <c r="A2596" s="570" t="s">
        <v>4645</v>
      </c>
      <c r="B2596" s="573" t="s">
        <v>280</v>
      </c>
      <c r="C2596" s="578">
        <v>27</v>
      </c>
      <c r="D2596" s="573" t="s">
        <v>3374</v>
      </c>
      <c r="E2596" s="573" t="s">
        <v>187</v>
      </c>
      <c r="F2596" s="573" t="s">
        <v>271</v>
      </c>
      <c r="G2596" s="573">
        <v>2019</v>
      </c>
      <c r="H2596" s="573" t="s">
        <v>4503</v>
      </c>
      <c r="I2596" s="573" t="s">
        <v>4634</v>
      </c>
      <c r="J2596" s="573" t="s">
        <v>3377</v>
      </c>
      <c r="K2596" s="573">
        <v>6</v>
      </c>
      <c r="L2596" s="573">
        <v>0</v>
      </c>
      <c r="M2596" s="573" t="s">
        <v>157</v>
      </c>
      <c r="N2596" s="573">
        <v>2</v>
      </c>
      <c r="O2596" s="573" t="s">
        <v>3846</v>
      </c>
      <c r="P2596" s="571">
        <v>12500</v>
      </c>
      <c r="Q2596" s="573" t="s">
        <v>4235</v>
      </c>
      <c r="R2596" s="573">
        <v>8</v>
      </c>
      <c r="S2596" s="582" t="s">
        <v>4557</v>
      </c>
      <c r="T2596" s="573" t="s">
        <v>4635</v>
      </c>
      <c r="U2596" s="573">
        <v>176</v>
      </c>
      <c r="V2596" s="573">
        <v>48</v>
      </c>
      <c r="W2596" s="616">
        <v>14000</v>
      </c>
      <c r="X2596" s="617" t="s">
        <v>157</v>
      </c>
      <c r="Y2596" s="617" t="s">
        <v>450</v>
      </c>
      <c r="Z2596" s="617" t="s">
        <v>178</v>
      </c>
      <c r="AA2596" s="618">
        <v>46000</v>
      </c>
      <c r="AB2596" s="618" t="s">
        <v>164</v>
      </c>
      <c r="AC2596" s="618">
        <v>35553.389473684212</v>
      </c>
      <c r="AD2596" s="619">
        <v>0.03</v>
      </c>
      <c r="AE2596" s="617" t="s">
        <v>4637</v>
      </c>
    </row>
    <row r="2597" spans="1:31" s="572" customFormat="1">
      <c r="A2597" s="570" t="s">
        <v>4646</v>
      </c>
      <c r="B2597" s="569" t="s">
        <v>280</v>
      </c>
      <c r="C2597" s="580">
        <v>27</v>
      </c>
      <c r="D2597" s="569" t="s">
        <v>3374</v>
      </c>
      <c r="E2597" s="569" t="s">
        <v>187</v>
      </c>
      <c r="F2597" s="569" t="s">
        <v>271</v>
      </c>
      <c r="G2597" s="569">
        <v>2019</v>
      </c>
      <c r="H2597" s="569" t="s">
        <v>4503</v>
      </c>
      <c r="I2597" s="569" t="s">
        <v>4634</v>
      </c>
      <c r="J2597" s="569" t="s">
        <v>3377</v>
      </c>
      <c r="K2597" s="569">
        <v>6</v>
      </c>
      <c r="L2597" s="569">
        <v>0</v>
      </c>
      <c r="M2597" s="569" t="s">
        <v>157</v>
      </c>
      <c r="N2597" s="569">
        <v>2</v>
      </c>
      <c r="O2597" s="569" t="s">
        <v>3846</v>
      </c>
      <c r="P2597" s="568">
        <v>12500</v>
      </c>
      <c r="Q2597" s="569" t="s">
        <v>4231</v>
      </c>
      <c r="R2597" s="569">
        <v>8</v>
      </c>
      <c r="S2597" s="569" t="s">
        <v>4557</v>
      </c>
      <c r="T2597" s="569" t="s">
        <v>4635</v>
      </c>
      <c r="U2597" s="569">
        <v>176</v>
      </c>
      <c r="V2597" s="569">
        <v>48</v>
      </c>
      <c r="W2597" s="620">
        <v>14000</v>
      </c>
      <c r="X2597" s="621" t="s">
        <v>157</v>
      </c>
      <c r="Y2597" s="621" t="s">
        <v>728</v>
      </c>
      <c r="Z2597" s="621" t="s">
        <v>1523</v>
      </c>
      <c r="AA2597" s="622">
        <v>55120</v>
      </c>
      <c r="AB2597" s="622" t="s">
        <v>164</v>
      </c>
      <c r="AC2597" s="622">
        <v>43745.578947368427</v>
      </c>
      <c r="AD2597" s="623">
        <v>0.03</v>
      </c>
      <c r="AE2597" s="621" t="s">
        <v>4639</v>
      </c>
    </row>
    <row r="2598" spans="1:31" s="572" customFormat="1">
      <c r="A2598" s="570" t="s">
        <v>4647</v>
      </c>
      <c r="B2598" s="573" t="s">
        <v>269</v>
      </c>
      <c r="C2598" s="578" t="s">
        <v>270</v>
      </c>
      <c r="D2598" s="573" t="s">
        <v>3374</v>
      </c>
      <c r="E2598" s="573" t="s">
        <v>187</v>
      </c>
      <c r="F2598" s="573" t="s">
        <v>271</v>
      </c>
      <c r="G2598" s="573">
        <v>2019</v>
      </c>
      <c r="H2598" s="573" t="s">
        <v>4503</v>
      </c>
      <c r="I2598" s="573" t="s">
        <v>4634</v>
      </c>
      <c r="J2598" s="573" t="s">
        <v>752</v>
      </c>
      <c r="K2598" s="573">
        <v>6</v>
      </c>
      <c r="L2598" s="573">
        <v>0</v>
      </c>
      <c r="M2598" s="573" t="s">
        <v>157</v>
      </c>
      <c r="N2598" s="573">
        <v>2</v>
      </c>
      <c r="O2598" s="573" t="s">
        <v>3846</v>
      </c>
      <c r="P2598" s="571">
        <v>12100</v>
      </c>
      <c r="Q2598" s="573" t="s">
        <v>4235</v>
      </c>
      <c r="R2598" s="573">
        <v>8</v>
      </c>
      <c r="S2598" s="582" t="s">
        <v>4572</v>
      </c>
      <c r="T2598" s="573" t="s">
        <v>4635</v>
      </c>
      <c r="U2598" s="573">
        <v>176</v>
      </c>
      <c r="V2598" s="573">
        <v>34</v>
      </c>
      <c r="W2598" s="616">
        <v>14000</v>
      </c>
      <c r="X2598" s="617" t="s">
        <v>157</v>
      </c>
      <c r="Y2598" s="617" t="s">
        <v>450</v>
      </c>
      <c r="Z2598" s="617" t="s">
        <v>178</v>
      </c>
      <c r="AA2598" s="618">
        <v>48810</v>
      </c>
      <c r="AB2598" s="618" t="s">
        <v>164</v>
      </c>
      <c r="AC2598" s="618">
        <v>38149.178947368426</v>
      </c>
      <c r="AD2598" s="619">
        <v>0.03</v>
      </c>
      <c r="AE2598" s="617" t="s">
        <v>4648</v>
      </c>
    </row>
    <row r="2599" spans="1:31" s="572" customFormat="1">
      <c r="A2599" s="570" t="s">
        <v>4649</v>
      </c>
      <c r="B2599" s="569" t="s">
        <v>269</v>
      </c>
      <c r="C2599" s="580" t="s">
        <v>270</v>
      </c>
      <c r="D2599" s="569" t="s">
        <v>3374</v>
      </c>
      <c r="E2599" s="569" t="s">
        <v>187</v>
      </c>
      <c r="F2599" s="569" t="s">
        <v>271</v>
      </c>
      <c r="G2599" s="569">
        <v>2019</v>
      </c>
      <c r="H2599" s="569" t="s">
        <v>4503</v>
      </c>
      <c r="I2599" s="569" t="s">
        <v>4634</v>
      </c>
      <c r="J2599" s="569" t="s">
        <v>752</v>
      </c>
      <c r="K2599" s="569">
        <v>6</v>
      </c>
      <c r="L2599" s="569">
        <v>0</v>
      </c>
      <c r="M2599" s="569" t="s">
        <v>157</v>
      </c>
      <c r="N2599" s="569">
        <v>2</v>
      </c>
      <c r="O2599" s="569" t="s">
        <v>3846</v>
      </c>
      <c r="P2599" s="568">
        <v>12100</v>
      </c>
      <c r="Q2599" s="569" t="s">
        <v>4235</v>
      </c>
      <c r="R2599" s="569">
        <v>8</v>
      </c>
      <c r="S2599" s="569" t="s">
        <v>4572</v>
      </c>
      <c r="T2599" s="569" t="s">
        <v>4635</v>
      </c>
      <c r="U2599" s="569">
        <v>176</v>
      </c>
      <c r="V2599" s="569">
        <v>48</v>
      </c>
      <c r="W2599" s="620">
        <v>14000</v>
      </c>
      <c r="X2599" s="621" t="s">
        <v>157</v>
      </c>
      <c r="Y2599" s="621" t="s">
        <v>450</v>
      </c>
      <c r="Z2599" s="621" t="s">
        <v>178</v>
      </c>
      <c r="AA2599" s="622">
        <v>48810</v>
      </c>
      <c r="AB2599" s="622" t="s">
        <v>164</v>
      </c>
      <c r="AC2599" s="622">
        <v>38149.178947368426</v>
      </c>
      <c r="AD2599" s="623">
        <v>0.03</v>
      </c>
      <c r="AE2599" s="621" t="s">
        <v>4650</v>
      </c>
    </row>
    <row r="2600" spans="1:31" s="572" customFormat="1">
      <c r="A2600" s="570" t="s">
        <v>4651</v>
      </c>
      <c r="B2600" s="573" t="s">
        <v>269</v>
      </c>
      <c r="C2600" s="578" t="s">
        <v>270</v>
      </c>
      <c r="D2600" s="573" t="s">
        <v>3374</v>
      </c>
      <c r="E2600" s="573" t="s">
        <v>187</v>
      </c>
      <c r="F2600" s="573" t="s">
        <v>271</v>
      </c>
      <c r="G2600" s="573">
        <v>2019</v>
      </c>
      <c r="H2600" s="573" t="s">
        <v>4503</v>
      </c>
      <c r="I2600" s="573" t="s">
        <v>4634</v>
      </c>
      <c r="J2600" s="573" t="s">
        <v>752</v>
      </c>
      <c r="K2600" s="573">
        <v>6</v>
      </c>
      <c r="L2600" s="573">
        <v>0</v>
      </c>
      <c r="M2600" s="573" t="s">
        <v>157</v>
      </c>
      <c r="N2600" s="573">
        <v>2</v>
      </c>
      <c r="O2600" s="573" t="s">
        <v>3846</v>
      </c>
      <c r="P2600" s="571">
        <v>12100</v>
      </c>
      <c r="Q2600" s="573" t="s">
        <v>4231</v>
      </c>
      <c r="R2600" s="573">
        <v>8</v>
      </c>
      <c r="S2600" s="582" t="s">
        <v>4572</v>
      </c>
      <c r="T2600" s="573" t="s">
        <v>4635</v>
      </c>
      <c r="U2600" s="573">
        <v>176</v>
      </c>
      <c r="V2600" s="573">
        <v>48</v>
      </c>
      <c r="W2600" s="616">
        <v>14000</v>
      </c>
      <c r="X2600" s="617" t="s">
        <v>157</v>
      </c>
      <c r="Y2600" s="617" t="s">
        <v>728</v>
      </c>
      <c r="Z2600" s="617" t="s">
        <v>1523</v>
      </c>
      <c r="AA2600" s="618">
        <v>57930</v>
      </c>
      <c r="AB2600" s="618" t="s">
        <v>164</v>
      </c>
      <c r="AC2600" s="618">
        <v>46341.368421052633</v>
      </c>
      <c r="AD2600" s="619">
        <v>0.03</v>
      </c>
      <c r="AE2600" s="617" t="s">
        <v>4652</v>
      </c>
    </row>
    <row r="2601" spans="1:31" s="572" customFormat="1">
      <c r="A2601" s="570" t="s">
        <v>4653</v>
      </c>
      <c r="B2601" s="569" t="s">
        <v>278</v>
      </c>
      <c r="C2601" s="580">
        <v>15</v>
      </c>
      <c r="D2601" s="569" t="s">
        <v>3374</v>
      </c>
      <c r="E2601" s="569" t="s">
        <v>187</v>
      </c>
      <c r="F2601" s="569" t="s">
        <v>271</v>
      </c>
      <c r="G2601" s="569">
        <v>2019</v>
      </c>
      <c r="H2601" s="569" t="s">
        <v>4503</v>
      </c>
      <c r="I2601" s="569" t="s">
        <v>4634</v>
      </c>
      <c r="J2601" s="569" t="s">
        <v>752</v>
      </c>
      <c r="K2601" s="569">
        <v>6</v>
      </c>
      <c r="L2601" s="569">
        <v>0</v>
      </c>
      <c r="M2601" s="569" t="s">
        <v>157</v>
      </c>
      <c r="N2601" s="569">
        <v>2</v>
      </c>
      <c r="O2601" s="569" t="s">
        <v>3846</v>
      </c>
      <c r="P2601" s="568">
        <v>12100</v>
      </c>
      <c r="Q2601" s="569" t="s">
        <v>4235</v>
      </c>
      <c r="R2601" s="569">
        <v>8</v>
      </c>
      <c r="S2601" s="569" t="s">
        <v>4572</v>
      </c>
      <c r="T2601" s="569" t="s">
        <v>4635</v>
      </c>
      <c r="U2601" s="569">
        <v>176</v>
      </c>
      <c r="V2601" s="569">
        <v>48</v>
      </c>
      <c r="W2601" s="620">
        <v>14000</v>
      </c>
      <c r="X2601" s="621" t="s">
        <v>157</v>
      </c>
      <c r="Y2601" s="621" t="s">
        <v>450</v>
      </c>
      <c r="Z2601" s="621" t="s">
        <v>178</v>
      </c>
      <c r="AA2601" s="622">
        <v>48810</v>
      </c>
      <c r="AB2601" s="622" t="s">
        <v>164</v>
      </c>
      <c r="AC2601" s="622">
        <v>38350</v>
      </c>
      <c r="AD2601" s="623">
        <v>0.01</v>
      </c>
      <c r="AE2601" s="621" t="s">
        <v>4650</v>
      </c>
    </row>
    <row r="2602" spans="1:31" s="572" customFormat="1">
      <c r="A2602" s="570" t="s">
        <v>4654</v>
      </c>
      <c r="B2602" s="573" t="s">
        <v>278</v>
      </c>
      <c r="C2602" s="578">
        <v>15</v>
      </c>
      <c r="D2602" s="573" t="s">
        <v>3374</v>
      </c>
      <c r="E2602" s="573" t="s">
        <v>187</v>
      </c>
      <c r="F2602" s="573" t="s">
        <v>271</v>
      </c>
      <c r="G2602" s="573">
        <v>2019</v>
      </c>
      <c r="H2602" s="573" t="s">
        <v>4503</v>
      </c>
      <c r="I2602" s="573" t="s">
        <v>4634</v>
      </c>
      <c r="J2602" s="573" t="s">
        <v>752</v>
      </c>
      <c r="K2602" s="573">
        <v>6</v>
      </c>
      <c r="L2602" s="573">
        <v>0</v>
      </c>
      <c r="M2602" s="573" t="s">
        <v>157</v>
      </c>
      <c r="N2602" s="573">
        <v>2</v>
      </c>
      <c r="O2602" s="573" t="s">
        <v>3846</v>
      </c>
      <c r="P2602" s="571">
        <v>12100</v>
      </c>
      <c r="Q2602" s="573" t="s">
        <v>4231</v>
      </c>
      <c r="R2602" s="573">
        <v>8</v>
      </c>
      <c r="S2602" s="582" t="s">
        <v>4572</v>
      </c>
      <c r="T2602" s="573" t="s">
        <v>4635</v>
      </c>
      <c r="U2602" s="573">
        <v>176</v>
      </c>
      <c r="V2602" s="573">
        <v>48</v>
      </c>
      <c r="W2602" s="616">
        <v>14000</v>
      </c>
      <c r="X2602" s="617" t="s">
        <v>157</v>
      </c>
      <c r="Y2602" s="617" t="s">
        <v>728</v>
      </c>
      <c r="Z2602" s="617" t="s">
        <v>1523</v>
      </c>
      <c r="AA2602" s="618">
        <v>57930</v>
      </c>
      <c r="AB2602" s="618" t="s">
        <v>164</v>
      </c>
      <c r="AC2602" s="618">
        <v>46650</v>
      </c>
      <c r="AD2602" s="619">
        <v>0.01</v>
      </c>
      <c r="AE2602" s="617" t="s">
        <v>4652</v>
      </c>
    </row>
    <row r="2603" spans="1:31" s="572" customFormat="1">
      <c r="A2603" s="570" t="s">
        <v>4655</v>
      </c>
      <c r="B2603" s="569" t="s">
        <v>287</v>
      </c>
      <c r="C2603" s="580">
        <v>26</v>
      </c>
      <c r="D2603" s="569" t="s">
        <v>3374</v>
      </c>
      <c r="E2603" s="569" t="s">
        <v>187</v>
      </c>
      <c r="F2603" s="569" t="s">
        <v>271</v>
      </c>
      <c r="G2603" s="569">
        <v>2019</v>
      </c>
      <c r="H2603" s="569" t="s">
        <v>4503</v>
      </c>
      <c r="I2603" s="569" t="s">
        <v>4634</v>
      </c>
      <c r="J2603" s="569" t="s">
        <v>752</v>
      </c>
      <c r="K2603" s="569">
        <v>6</v>
      </c>
      <c r="L2603" s="569">
        <v>0</v>
      </c>
      <c r="M2603" s="569" t="s">
        <v>157</v>
      </c>
      <c r="N2603" s="569">
        <v>2</v>
      </c>
      <c r="O2603" s="569" t="s">
        <v>3846</v>
      </c>
      <c r="P2603" s="568">
        <v>12100</v>
      </c>
      <c r="Q2603" s="569" t="s">
        <v>4235</v>
      </c>
      <c r="R2603" s="569">
        <v>8</v>
      </c>
      <c r="S2603" s="569" t="s">
        <v>4572</v>
      </c>
      <c r="T2603" s="569" t="s">
        <v>4635</v>
      </c>
      <c r="U2603" s="569">
        <v>176</v>
      </c>
      <c r="V2603" s="569">
        <v>48</v>
      </c>
      <c r="W2603" s="620">
        <v>14000</v>
      </c>
      <c r="X2603" s="621" t="s">
        <v>157</v>
      </c>
      <c r="Y2603" s="621" t="s">
        <v>450</v>
      </c>
      <c r="Z2603" s="621" t="s">
        <v>178</v>
      </c>
      <c r="AA2603" s="622">
        <v>48810</v>
      </c>
      <c r="AB2603" s="622" t="s">
        <v>164</v>
      </c>
      <c r="AC2603" s="622">
        <v>38445</v>
      </c>
      <c r="AD2603" s="623">
        <v>0.05</v>
      </c>
      <c r="AE2603" s="621" t="s">
        <v>4650</v>
      </c>
    </row>
    <row r="2604" spans="1:31" s="572" customFormat="1">
      <c r="A2604" s="570" t="s">
        <v>4656</v>
      </c>
      <c r="B2604" s="573" t="s">
        <v>287</v>
      </c>
      <c r="C2604" s="578">
        <v>26</v>
      </c>
      <c r="D2604" s="573" t="s">
        <v>3374</v>
      </c>
      <c r="E2604" s="573" t="s">
        <v>187</v>
      </c>
      <c r="F2604" s="573" t="s">
        <v>271</v>
      </c>
      <c r="G2604" s="573">
        <v>2019</v>
      </c>
      <c r="H2604" s="573" t="s">
        <v>4503</v>
      </c>
      <c r="I2604" s="573" t="s">
        <v>4634</v>
      </c>
      <c r="J2604" s="573" t="s">
        <v>752</v>
      </c>
      <c r="K2604" s="573">
        <v>6</v>
      </c>
      <c r="L2604" s="573">
        <v>0</v>
      </c>
      <c r="M2604" s="573" t="s">
        <v>157</v>
      </c>
      <c r="N2604" s="573">
        <v>2</v>
      </c>
      <c r="O2604" s="573" t="s">
        <v>3846</v>
      </c>
      <c r="P2604" s="571">
        <v>12100</v>
      </c>
      <c r="Q2604" s="573" t="s">
        <v>4231</v>
      </c>
      <c r="R2604" s="573">
        <v>8</v>
      </c>
      <c r="S2604" s="582" t="s">
        <v>4572</v>
      </c>
      <c r="T2604" s="573" t="s">
        <v>4635</v>
      </c>
      <c r="U2604" s="573">
        <v>176</v>
      </c>
      <c r="V2604" s="573">
        <v>48</v>
      </c>
      <c r="W2604" s="616">
        <v>14000</v>
      </c>
      <c r="X2604" s="617" t="s">
        <v>157</v>
      </c>
      <c r="Y2604" s="617" t="s">
        <v>728</v>
      </c>
      <c r="Z2604" s="617" t="s">
        <v>1523</v>
      </c>
      <c r="AA2604" s="618">
        <v>57930</v>
      </c>
      <c r="AB2604" s="618" t="s">
        <v>164</v>
      </c>
      <c r="AC2604" s="618">
        <v>46640</v>
      </c>
      <c r="AD2604" s="619">
        <v>0.05</v>
      </c>
      <c r="AE2604" s="617" t="s">
        <v>4652</v>
      </c>
    </row>
    <row r="2605" spans="1:31" s="572" customFormat="1">
      <c r="A2605" s="570" t="s">
        <v>4657</v>
      </c>
      <c r="B2605" s="569" t="s">
        <v>280</v>
      </c>
      <c r="C2605" s="580">
        <v>27</v>
      </c>
      <c r="D2605" s="569" t="s">
        <v>3374</v>
      </c>
      <c r="E2605" s="569" t="s">
        <v>187</v>
      </c>
      <c r="F2605" s="569" t="s">
        <v>271</v>
      </c>
      <c r="G2605" s="569">
        <v>2019</v>
      </c>
      <c r="H2605" s="569" t="s">
        <v>4503</v>
      </c>
      <c r="I2605" s="569" t="s">
        <v>4634</v>
      </c>
      <c r="J2605" s="569" t="s">
        <v>752</v>
      </c>
      <c r="K2605" s="569">
        <v>6</v>
      </c>
      <c r="L2605" s="569">
        <v>0</v>
      </c>
      <c r="M2605" s="569" t="s">
        <v>157</v>
      </c>
      <c r="N2605" s="569">
        <v>2</v>
      </c>
      <c r="O2605" s="569" t="s">
        <v>3846</v>
      </c>
      <c r="P2605" s="568">
        <v>12100</v>
      </c>
      <c r="Q2605" s="569" t="s">
        <v>4235</v>
      </c>
      <c r="R2605" s="569">
        <v>8</v>
      </c>
      <c r="S2605" s="569" t="s">
        <v>4572</v>
      </c>
      <c r="T2605" s="569" t="s">
        <v>4635</v>
      </c>
      <c r="U2605" s="569">
        <v>176</v>
      </c>
      <c r="V2605" s="569">
        <v>34</v>
      </c>
      <c r="W2605" s="620">
        <v>14000</v>
      </c>
      <c r="X2605" s="621" t="s">
        <v>157</v>
      </c>
      <c r="Y2605" s="621" t="s">
        <v>450</v>
      </c>
      <c r="Z2605" s="621" t="s">
        <v>178</v>
      </c>
      <c r="AA2605" s="622">
        <v>48810</v>
      </c>
      <c r="AB2605" s="622" t="s">
        <v>164</v>
      </c>
      <c r="AC2605" s="622">
        <v>38149.178947368426</v>
      </c>
      <c r="AD2605" s="623">
        <v>0.03</v>
      </c>
      <c r="AE2605" s="621" t="s">
        <v>4648</v>
      </c>
    </row>
    <row r="2606" spans="1:31" s="572" customFormat="1">
      <c r="A2606" s="570" t="s">
        <v>4658</v>
      </c>
      <c r="B2606" s="573" t="s">
        <v>280</v>
      </c>
      <c r="C2606" s="578">
        <v>27</v>
      </c>
      <c r="D2606" s="573" t="s">
        <v>3374</v>
      </c>
      <c r="E2606" s="573" t="s">
        <v>187</v>
      </c>
      <c r="F2606" s="573" t="s">
        <v>271</v>
      </c>
      <c r="G2606" s="573">
        <v>2019</v>
      </c>
      <c r="H2606" s="573" t="s">
        <v>4503</v>
      </c>
      <c r="I2606" s="573" t="s">
        <v>4634</v>
      </c>
      <c r="J2606" s="573" t="s">
        <v>752</v>
      </c>
      <c r="K2606" s="573">
        <v>6</v>
      </c>
      <c r="L2606" s="573">
        <v>0</v>
      </c>
      <c r="M2606" s="573" t="s">
        <v>157</v>
      </c>
      <c r="N2606" s="573">
        <v>2</v>
      </c>
      <c r="O2606" s="573" t="s">
        <v>3846</v>
      </c>
      <c r="P2606" s="571">
        <v>12100</v>
      </c>
      <c r="Q2606" s="573" t="s">
        <v>4235</v>
      </c>
      <c r="R2606" s="573">
        <v>8</v>
      </c>
      <c r="S2606" s="582" t="s">
        <v>4572</v>
      </c>
      <c r="T2606" s="573" t="s">
        <v>4635</v>
      </c>
      <c r="U2606" s="573">
        <v>176</v>
      </c>
      <c r="V2606" s="573">
        <v>48</v>
      </c>
      <c r="W2606" s="616">
        <v>14000</v>
      </c>
      <c r="X2606" s="617" t="s">
        <v>157</v>
      </c>
      <c r="Y2606" s="617" t="s">
        <v>450</v>
      </c>
      <c r="Z2606" s="617" t="s">
        <v>178</v>
      </c>
      <c r="AA2606" s="618">
        <v>48810</v>
      </c>
      <c r="AB2606" s="618" t="s">
        <v>164</v>
      </c>
      <c r="AC2606" s="618">
        <v>38149.178947368426</v>
      </c>
      <c r="AD2606" s="619">
        <v>0.03</v>
      </c>
      <c r="AE2606" s="617" t="s">
        <v>4650</v>
      </c>
    </row>
    <row r="2607" spans="1:31" s="572" customFormat="1">
      <c r="A2607" s="570" t="s">
        <v>4659</v>
      </c>
      <c r="B2607" s="569" t="s">
        <v>280</v>
      </c>
      <c r="C2607" s="580">
        <v>27</v>
      </c>
      <c r="D2607" s="569" t="s">
        <v>3374</v>
      </c>
      <c r="E2607" s="569" t="s">
        <v>187</v>
      </c>
      <c r="F2607" s="569" t="s">
        <v>271</v>
      </c>
      <c r="G2607" s="569">
        <v>2019</v>
      </c>
      <c r="H2607" s="569" t="s">
        <v>4503</v>
      </c>
      <c r="I2607" s="569" t="s">
        <v>4634</v>
      </c>
      <c r="J2607" s="569" t="s">
        <v>752</v>
      </c>
      <c r="K2607" s="569">
        <v>6</v>
      </c>
      <c r="L2607" s="569">
        <v>0</v>
      </c>
      <c r="M2607" s="569" t="s">
        <v>157</v>
      </c>
      <c r="N2607" s="569">
        <v>2</v>
      </c>
      <c r="O2607" s="569" t="s">
        <v>3846</v>
      </c>
      <c r="P2607" s="568">
        <v>12100</v>
      </c>
      <c r="Q2607" s="569" t="s">
        <v>4231</v>
      </c>
      <c r="R2607" s="569">
        <v>8</v>
      </c>
      <c r="S2607" s="569" t="s">
        <v>4572</v>
      </c>
      <c r="T2607" s="569" t="s">
        <v>4635</v>
      </c>
      <c r="U2607" s="569">
        <v>176</v>
      </c>
      <c r="V2607" s="569">
        <v>48</v>
      </c>
      <c r="W2607" s="620">
        <v>14000</v>
      </c>
      <c r="X2607" s="621" t="s">
        <v>157</v>
      </c>
      <c r="Y2607" s="621" t="s">
        <v>728</v>
      </c>
      <c r="Z2607" s="621" t="s">
        <v>1523</v>
      </c>
      <c r="AA2607" s="622">
        <v>57930</v>
      </c>
      <c r="AB2607" s="622" t="s">
        <v>164</v>
      </c>
      <c r="AC2607" s="622">
        <v>46341.368421052633</v>
      </c>
      <c r="AD2607" s="623">
        <v>0.03</v>
      </c>
      <c r="AE2607" s="621" t="s">
        <v>4652</v>
      </c>
    </row>
    <row r="2608" spans="1:31" s="572" customFormat="1">
      <c r="A2608" s="570" t="s">
        <v>4660</v>
      </c>
      <c r="B2608" s="573" t="s">
        <v>269</v>
      </c>
      <c r="C2608" s="578" t="s">
        <v>270</v>
      </c>
      <c r="D2608" s="573" t="s">
        <v>3374</v>
      </c>
      <c r="E2608" s="573" t="s">
        <v>187</v>
      </c>
      <c r="F2608" s="573" t="s">
        <v>271</v>
      </c>
      <c r="G2608" s="573">
        <v>2019</v>
      </c>
      <c r="H2608" s="573" t="s">
        <v>4503</v>
      </c>
      <c r="I2608" s="573" t="s">
        <v>3837</v>
      </c>
      <c r="J2608" s="573" t="s">
        <v>3377</v>
      </c>
      <c r="K2608" s="573">
        <v>3</v>
      </c>
      <c r="L2608" s="573">
        <v>0</v>
      </c>
      <c r="M2608" s="573" t="s">
        <v>157</v>
      </c>
      <c r="N2608" s="573">
        <v>1</v>
      </c>
      <c r="O2608" s="573" t="s">
        <v>3846</v>
      </c>
      <c r="P2608" s="571">
        <v>13100</v>
      </c>
      <c r="Q2608" s="573" t="s">
        <v>4235</v>
      </c>
      <c r="R2608" s="573">
        <v>8</v>
      </c>
      <c r="S2608" s="582" t="s">
        <v>4662</v>
      </c>
      <c r="T2608" s="573" t="s">
        <v>4505</v>
      </c>
      <c r="U2608" s="573">
        <v>142</v>
      </c>
      <c r="V2608" s="573">
        <v>34</v>
      </c>
      <c r="W2608" s="616">
        <v>10000</v>
      </c>
      <c r="X2608" s="617" t="s">
        <v>157</v>
      </c>
      <c r="Y2608" s="617" t="s">
        <v>450</v>
      </c>
      <c r="Z2608" s="617" t="s">
        <v>178</v>
      </c>
      <c r="AA2608" s="618">
        <v>35815</v>
      </c>
      <c r="AB2608" s="618" t="s">
        <v>164</v>
      </c>
      <c r="AC2608" s="618">
        <v>26146.021052631582</v>
      </c>
      <c r="AD2608" s="619">
        <v>0.03</v>
      </c>
      <c r="AE2608" s="617" t="s">
        <v>4661</v>
      </c>
    </row>
    <row r="2609" spans="1:31" s="572" customFormat="1">
      <c r="A2609" s="570" t="s">
        <v>4663</v>
      </c>
      <c r="B2609" s="569" t="s">
        <v>269</v>
      </c>
      <c r="C2609" s="580" t="s">
        <v>270</v>
      </c>
      <c r="D2609" s="569" t="s">
        <v>3374</v>
      </c>
      <c r="E2609" s="569" t="s">
        <v>187</v>
      </c>
      <c r="F2609" s="569" t="s">
        <v>271</v>
      </c>
      <c r="G2609" s="569">
        <v>2019</v>
      </c>
      <c r="H2609" s="569" t="s">
        <v>4503</v>
      </c>
      <c r="I2609" s="569" t="s">
        <v>3837</v>
      </c>
      <c r="J2609" s="569" t="s">
        <v>3377</v>
      </c>
      <c r="K2609" s="569">
        <v>3</v>
      </c>
      <c r="L2609" s="569">
        <v>0</v>
      </c>
      <c r="M2609" s="569" t="s">
        <v>157</v>
      </c>
      <c r="N2609" s="569">
        <v>1</v>
      </c>
      <c r="O2609" s="569" t="s">
        <v>3846</v>
      </c>
      <c r="P2609" s="568">
        <v>13100</v>
      </c>
      <c r="Q2609" s="569" t="s">
        <v>4231</v>
      </c>
      <c r="R2609" s="569">
        <v>8</v>
      </c>
      <c r="S2609" s="569" t="s">
        <v>4662</v>
      </c>
      <c r="T2609" s="569" t="s">
        <v>4505</v>
      </c>
      <c r="U2609" s="569">
        <v>142</v>
      </c>
      <c r="V2609" s="569">
        <v>29</v>
      </c>
      <c r="W2609" s="620">
        <v>10600</v>
      </c>
      <c r="X2609" s="621" t="s">
        <v>157</v>
      </c>
      <c r="Y2609" s="621" t="s">
        <v>728</v>
      </c>
      <c r="Z2609" s="621" t="s">
        <v>1523</v>
      </c>
      <c r="AA2609" s="622">
        <v>44935</v>
      </c>
      <c r="AB2609" s="622" t="s">
        <v>164</v>
      </c>
      <c r="AC2609" s="622">
        <v>34338.210526315794</v>
      </c>
      <c r="AD2609" s="623">
        <v>0.03</v>
      </c>
      <c r="AE2609" s="621" t="s">
        <v>4664</v>
      </c>
    </row>
    <row r="2610" spans="1:31" s="572" customFormat="1">
      <c r="A2610" s="570" t="s">
        <v>4665</v>
      </c>
      <c r="B2610" s="573" t="s">
        <v>278</v>
      </c>
      <c r="C2610" s="578">
        <v>15</v>
      </c>
      <c r="D2610" s="573" t="s">
        <v>3374</v>
      </c>
      <c r="E2610" s="573" t="s">
        <v>187</v>
      </c>
      <c r="F2610" s="573" t="s">
        <v>271</v>
      </c>
      <c r="G2610" s="573">
        <v>2019</v>
      </c>
      <c r="H2610" s="573" t="s">
        <v>4503</v>
      </c>
      <c r="I2610" s="573" t="s">
        <v>3837</v>
      </c>
      <c r="J2610" s="573" t="s">
        <v>3377</v>
      </c>
      <c r="K2610" s="573">
        <v>3</v>
      </c>
      <c r="L2610" s="573">
        <v>0</v>
      </c>
      <c r="M2610" s="573" t="s">
        <v>157</v>
      </c>
      <c r="N2610" s="573">
        <v>1</v>
      </c>
      <c r="O2610" s="573" t="s">
        <v>3846</v>
      </c>
      <c r="P2610" s="571">
        <v>13100</v>
      </c>
      <c r="Q2610" s="573" t="s">
        <v>4235</v>
      </c>
      <c r="R2610" s="573">
        <v>8</v>
      </c>
      <c r="S2610" s="582" t="s">
        <v>4662</v>
      </c>
      <c r="T2610" s="573" t="s">
        <v>4505</v>
      </c>
      <c r="U2610" s="573">
        <v>142</v>
      </c>
      <c r="V2610" s="573">
        <v>34</v>
      </c>
      <c r="W2610" s="616">
        <v>10000</v>
      </c>
      <c r="X2610" s="617" t="s">
        <v>157</v>
      </c>
      <c r="Y2610" s="617" t="s">
        <v>450</v>
      </c>
      <c r="Z2610" s="617" t="s">
        <v>178</v>
      </c>
      <c r="AA2610" s="618">
        <v>35815</v>
      </c>
      <c r="AB2610" s="618" t="s">
        <v>164</v>
      </c>
      <c r="AC2610" s="618">
        <v>26300</v>
      </c>
      <c r="AD2610" s="619">
        <v>0.01</v>
      </c>
      <c r="AE2610" s="617" t="s">
        <v>4661</v>
      </c>
    </row>
    <row r="2611" spans="1:31" s="572" customFormat="1">
      <c r="A2611" s="570" t="s">
        <v>4666</v>
      </c>
      <c r="B2611" s="569" t="s">
        <v>278</v>
      </c>
      <c r="C2611" s="580">
        <v>15</v>
      </c>
      <c r="D2611" s="569" t="s">
        <v>3374</v>
      </c>
      <c r="E2611" s="569" t="s">
        <v>187</v>
      </c>
      <c r="F2611" s="569" t="s">
        <v>271</v>
      </c>
      <c r="G2611" s="569">
        <v>2019</v>
      </c>
      <c r="H2611" s="569" t="s">
        <v>4503</v>
      </c>
      <c r="I2611" s="569" t="s">
        <v>3837</v>
      </c>
      <c r="J2611" s="569" t="s">
        <v>3377</v>
      </c>
      <c r="K2611" s="569">
        <v>3</v>
      </c>
      <c r="L2611" s="569">
        <v>0</v>
      </c>
      <c r="M2611" s="569" t="s">
        <v>157</v>
      </c>
      <c r="N2611" s="569">
        <v>1</v>
      </c>
      <c r="O2611" s="569" t="s">
        <v>3846</v>
      </c>
      <c r="P2611" s="568">
        <v>13100</v>
      </c>
      <c r="Q2611" s="569" t="s">
        <v>4231</v>
      </c>
      <c r="R2611" s="569">
        <v>8</v>
      </c>
      <c r="S2611" s="569" t="s">
        <v>4662</v>
      </c>
      <c r="T2611" s="569" t="s">
        <v>4505</v>
      </c>
      <c r="U2611" s="569">
        <v>142</v>
      </c>
      <c r="V2611" s="569">
        <v>29</v>
      </c>
      <c r="W2611" s="620">
        <v>10600</v>
      </c>
      <c r="X2611" s="621" t="s">
        <v>157</v>
      </c>
      <c r="Y2611" s="621" t="s">
        <v>728</v>
      </c>
      <c r="Z2611" s="621" t="s">
        <v>1523</v>
      </c>
      <c r="AA2611" s="622">
        <v>44935</v>
      </c>
      <c r="AB2611" s="622" t="s">
        <v>164</v>
      </c>
      <c r="AC2611" s="622">
        <v>34500</v>
      </c>
      <c r="AD2611" s="623">
        <v>0.01</v>
      </c>
      <c r="AE2611" s="621" t="s">
        <v>4664</v>
      </c>
    </row>
    <row r="2612" spans="1:31" s="572" customFormat="1">
      <c r="A2612" s="570" t="s">
        <v>4667</v>
      </c>
      <c r="B2612" s="573" t="s">
        <v>287</v>
      </c>
      <c r="C2612" s="578">
        <v>26</v>
      </c>
      <c r="D2612" s="573" t="s">
        <v>3374</v>
      </c>
      <c r="E2612" s="573" t="s">
        <v>187</v>
      </c>
      <c r="F2612" s="573" t="s">
        <v>271</v>
      </c>
      <c r="G2612" s="573">
        <v>2019</v>
      </c>
      <c r="H2612" s="573" t="s">
        <v>4503</v>
      </c>
      <c r="I2612" s="573" t="s">
        <v>3837</v>
      </c>
      <c r="J2612" s="573" t="s">
        <v>3377</v>
      </c>
      <c r="K2612" s="573">
        <v>3</v>
      </c>
      <c r="L2612" s="573">
        <v>0</v>
      </c>
      <c r="M2612" s="573" t="s">
        <v>157</v>
      </c>
      <c r="N2612" s="573">
        <v>1</v>
      </c>
      <c r="O2612" s="573" t="s">
        <v>3846</v>
      </c>
      <c r="P2612" s="571">
        <v>13100</v>
      </c>
      <c r="Q2612" s="573" t="s">
        <v>4235</v>
      </c>
      <c r="R2612" s="573">
        <v>8</v>
      </c>
      <c r="S2612" s="582" t="s">
        <v>4662</v>
      </c>
      <c r="T2612" s="573" t="s">
        <v>4505</v>
      </c>
      <c r="U2612" s="573">
        <v>142</v>
      </c>
      <c r="V2612" s="573">
        <v>34</v>
      </c>
      <c r="W2612" s="616">
        <v>10000</v>
      </c>
      <c r="X2612" s="617" t="s">
        <v>157</v>
      </c>
      <c r="Y2612" s="617" t="s">
        <v>450</v>
      </c>
      <c r="Z2612" s="617" t="s">
        <v>178</v>
      </c>
      <c r="AA2612" s="618">
        <v>35815</v>
      </c>
      <c r="AB2612" s="618" t="s">
        <v>164</v>
      </c>
      <c r="AC2612" s="618">
        <v>26341</v>
      </c>
      <c r="AD2612" s="619">
        <v>0.05</v>
      </c>
      <c r="AE2612" s="617" t="s">
        <v>4661</v>
      </c>
    </row>
    <row r="2613" spans="1:31" s="572" customFormat="1">
      <c r="A2613" s="570" t="s">
        <v>4668</v>
      </c>
      <c r="B2613" s="569" t="s">
        <v>287</v>
      </c>
      <c r="C2613" s="580">
        <v>26</v>
      </c>
      <c r="D2613" s="569" t="s">
        <v>3374</v>
      </c>
      <c r="E2613" s="569" t="s">
        <v>187</v>
      </c>
      <c r="F2613" s="569" t="s">
        <v>271</v>
      </c>
      <c r="G2613" s="569">
        <v>2019</v>
      </c>
      <c r="H2613" s="569" t="s">
        <v>4503</v>
      </c>
      <c r="I2613" s="569" t="s">
        <v>3837</v>
      </c>
      <c r="J2613" s="569" t="s">
        <v>3377</v>
      </c>
      <c r="K2613" s="569">
        <v>3</v>
      </c>
      <c r="L2613" s="569">
        <v>0</v>
      </c>
      <c r="M2613" s="569" t="s">
        <v>157</v>
      </c>
      <c r="N2613" s="569">
        <v>1</v>
      </c>
      <c r="O2613" s="569" t="s">
        <v>3846</v>
      </c>
      <c r="P2613" s="568">
        <v>13100</v>
      </c>
      <c r="Q2613" s="569" t="s">
        <v>4231</v>
      </c>
      <c r="R2613" s="569">
        <v>8</v>
      </c>
      <c r="S2613" s="569" t="s">
        <v>4662</v>
      </c>
      <c r="T2613" s="569" t="s">
        <v>4505</v>
      </c>
      <c r="U2613" s="569">
        <v>142</v>
      </c>
      <c r="V2613" s="569">
        <v>29</v>
      </c>
      <c r="W2613" s="620">
        <v>10600</v>
      </c>
      <c r="X2613" s="621" t="s">
        <v>157</v>
      </c>
      <c r="Y2613" s="621" t="s">
        <v>728</v>
      </c>
      <c r="Z2613" s="621" t="s">
        <v>1523</v>
      </c>
      <c r="AA2613" s="622">
        <v>44935</v>
      </c>
      <c r="AB2613" s="622" t="s">
        <v>164</v>
      </c>
      <c r="AC2613" s="622">
        <v>34535</v>
      </c>
      <c r="AD2613" s="623">
        <v>0.05</v>
      </c>
      <c r="AE2613" s="621" t="s">
        <v>4664</v>
      </c>
    </row>
    <row r="2614" spans="1:31" s="572" customFormat="1">
      <c r="A2614" s="570" t="s">
        <v>4669</v>
      </c>
      <c r="B2614" s="573" t="s">
        <v>280</v>
      </c>
      <c r="C2614" s="578">
        <v>27</v>
      </c>
      <c r="D2614" s="573" t="s">
        <v>3374</v>
      </c>
      <c r="E2614" s="573" t="s">
        <v>187</v>
      </c>
      <c r="F2614" s="573" t="s">
        <v>271</v>
      </c>
      <c r="G2614" s="573">
        <v>2019</v>
      </c>
      <c r="H2614" s="573" t="s">
        <v>4503</v>
      </c>
      <c r="I2614" s="573" t="s">
        <v>3837</v>
      </c>
      <c r="J2614" s="573" t="s">
        <v>3377</v>
      </c>
      <c r="K2614" s="573">
        <v>3</v>
      </c>
      <c r="L2614" s="573">
        <v>0</v>
      </c>
      <c r="M2614" s="573" t="s">
        <v>157</v>
      </c>
      <c r="N2614" s="573">
        <v>1</v>
      </c>
      <c r="O2614" s="573" t="s">
        <v>3846</v>
      </c>
      <c r="P2614" s="571">
        <v>13100</v>
      </c>
      <c r="Q2614" s="573" t="s">
        <v>4235</v>
      </c>
      <c r="R2614" s="573">
        <v>8</v>
      </c>
      <c r="S2614" s="582" t="s">
        <v>4662</v>
      </c>
      <c r="T2614" s="573" t="s">
        <v>4505</v>
      </c>
      <c r="U2614" s="573">
        <v>142</v>
      </c>
      <c r="V2614" s="573">
        <v>34</v>
      </c>
      <c r="W2614" s="616">
        <v>10000</v>
      </c>
      <c r="X2614" s="617" t="s">
        <v>157</v>
      </c>
      <c r="Y2614" s="617" t="s">
        <v>450</v>
      </c>
      <c r="Z2614" s="617" t="s">
        <v>178</v>
      </c>
      <c r="AA2614" s="618">
        <v>35815</v>
      </c>
      <c r="AB2614" s="618" t="s">
        <v>164</v>
      </c>
      <c r="AC2614" s="618">
        <v>26146.021052631582</v>
      </c>
      <c r="AD2614" s="619">
        <v>0.03</v>
      </c>
      <c r="AE2614" s="617" t="s">
        <v>4661</v>
      </c>
    </row>
    <row r="2615" spans="1:31" s="572" customFormat="1">
      <c r="A2615" s="570" t="s">
        <v>4670</v>
      </c>
      <c r="B2615" s="569" t="s">
        <v>280</v>
      </c>
      <c r="C2615" s="580">
        <v>27</v>
      </c>
      <c r="D2615" s="569" t="s">
        <v>3374</v>
      </c>
      <c r="E2615" s="569" t="s">
        <v>187</v>
      </c>
      <c r="F2615" s="569" t="s">
        <v>271</v>
      </c>
      <c r="G2615" s="569">
        <v>2019</v>
      </c>
      <c r="H2615" s="569" t="s">
        <v>4503</v>
      </c>
      <c r="I2615" s="569" t="s">
        <v>3837</v>
      </c>
      <c r="J2615" s="569" t="s">
        <v>3377</v>
      </c>
      <c r="K2615" s="569">
        <v>3</v>
      </c>
      <c r="L2615" s="569">
        <v>0</v>
      </c>
      <c r="M2615" s="569" t="s">
        <v>157</v>
      </c>
      <c r="N2615" s="569">
        <v>1</v>
      </c>
      <c r="O2615" s="569" t="s">
        <v>3846</v>
      </c>
      <c r="P2615" s="568">
        <v>13100</v>
      </c>
      <c r="Q2615" s="569" t="s">
        <v>4231</v>
      </c>
      <c r="R2615" s="569">
        <v>8</v>
      </c>
      <c r="S2615" s="569" t="s">
        <v>4662</v>
      </c>
      <c r="T2615" s="569" t="s">
        <v>4505</v>
      </c>
      <c r="U2615" s="569">
        <v>142</v>
      </c>
      <c r="V2615" s="569">
        <v>29</v>
      </c>
      <c r="W2615" s="620">
        <v>10600</v>
      </c>
      <c r="X2615" s="621" t="s">
        <v>157</v>
      </c>
      <c r="Y2615" s="621" t="s">
        <v>728</v>
      </c>
      <c r="Z2615" s="621" t="s">
        <v>1523</v>
      </c>
      <c r="AA2615" s="622">
        <v>44935</v>
      </c>
      <c r="AB2615" s="622" t="s">
        <v>164</v>
      </c>
      <c r="AC2615" s="622">
        <v>34338.210526315794</v>
      </c>
      <c r="AD2615" s="623">
        <v>0.03</v>
      </c>
      <c r="AE2615" s="621" t="s">
        <v>4664</v>
      </c>
    </row>
    <row r="2616" spans="1:31" s="572" customFormat="1">
      <c r="A2616" s="570" t="s">
        <v>4671</v>
      </c>
      <c r="B2616" s="573" t="s">
        <v>269</v>
      </c>
      <c r="C2616" s="578" t="s">
        <v>270</v>
      </c>
      <c r="D2616" s="573" t="s">
        <v>3374</v>
      </c>
      <c r="E2616" s="573" t="s">
        <v>187</v>
      </c>
      <c r="F2616" s="573" t="s">
        <v>271</v>
      </c>
      <c r="G2616" s="573">
        <v>2019</v>
      </c>
      <c r="H2616" s="573" t="s">
        <v>4503</v>
      </c>
      <c r="I2616" s="573" t="s">
        <v>3837</v>
      </c>
      <c r="J2616" s="573" t="s">
        <v>752</v>
      </c>
      <c r="K2616" s="573">
        <v>3</v>
      </c>
      <c r="L2616" s="573">
        <v>0</v>
      </c>
      <c r="M2616" s="573" t="s">
        <v>157</v>
      </c>
      <c r="N2616" s="573">
        <v>1</v>
      </c>
      <c r="O2616" s="573" t="s">
        <v>3846</v>
      </c>
      <c r="P2616" s="571">
        <v>12600</v>
      </c>
      <c r="Q2616" s="573" t="s">
        <v>4235</v>
      </c>
      <c r="R2616" s="573">
        <v>8</v>
      </c>
      <c r="S2616" s="582" t="s">
        <v>4673</v>
      </c>
      <c r="T2616" s="573" t="s">
        <v>4505</v>
      </c>
      <c r="U2616" s="573">
        <v>142</v>
      </c>
      <c r="V2616" s="573">
        <v>34</v>
      </c>
      <c r="W2616" s="616">
        <v>10300</v>
      </c>
      <c r="X2616" s="617" t="s">
        <v>157</v>
      </c>
      <c r="Y2616" s="617" t="s">
        <v>450</v>
      </c>
      <c r="Z2616" s="617" t="s">
        <v>178</v>
      </c>
      <c r="AA2616" s="618">
        <v>38615</v>
      </c>
      <c r="AB2616" s="618" t="s">
        <v>164</v>
      </c>
      <c r="AC2616" s="618">
        <v>27679.705263157899</v>
      </c>
      <c r="AD2616" s="619">
        <v>0.03</v>
      </c>
      <c r="AE2616" s="617" t="s">
        <v>4672</v>
      </c>
    </row>
    <row r="2617" spans="1:31" s="572" customFormat="1">
      <c r="A2617" s="570" t="s">
        <v>4674</v>
      </c>
      <c r="B2617" s="569" t="s">
        <v>269</v>
      </c>
      <c r="C2617" s="580" t="s">
        <v>270</v>
      </c>
      <c r="D2617" s="569" t="s">
        <v>3374</v>
      </c>
      <c r="E2617" s="569" t="s">
        <v>187</v>
      </c>
      <c r="F2617" s="569" t="s">
        <v>271</v>
      </c>
      <c r="G2617" s="569">
        <v>2019</v>
      </c>
      <c r="H2617" s="569" t="s">
        <v>4503</v>
      </c>
      <c r="I2617" s="569" t="s">
        <v>3837</v>
      </c>
      <c r="J2617" s="569" t="s">
        <v>752</v>
      </c>
      <c r="K2617" s="569">
        <v>3</v>
      </c>
      <c r="L2617" s="569">
        <v>0</v>
      </c>
      <c r="M2617" s="569" t="s">
        <v>157</v>
      </c>
      <c r="N2617" s="569">
        <v>1</v>
      </c>
      <c r="O2617" s="569" t="s">
        <v>3846</v>
      </c>
      <c r="P2617" s="568">
        <v>12600</v>
      </c>
      <c r="Q2617" s="569" t="s">
        <v>4231</v>
      </c>
      <c r="R2617" s="569">
        <v>8</v>
      </c>
      <c r="S2617" s="569" t="s">
        <v>4673</v>
      </c>
      <c r="T2617" s="569" t="s">
        <v>4505</v>
      </c>
      <c r="U2617" s="569">
        <v>142</v>
      </c>
      <c r="V2617" s="569">
        <v>29</v>
      </c>
      <c r="W2617" s="620">
        <v>11000</v>
      </c>
      <c r="X2617" s="621" t="s">
        <v>157</v>
      </c>
      <c r="Y2617" s="621" t="s">
        <v>728</v>
      </c>
      <c r="Z2617" s="621" t="s">
        <v>1523</v>
      </c>
      <c r="AA2617" s="622">
        <v>47735</v>
      </c>
      <c r="AB2617" s="622" t="s">
        <v>164</v>
      </c>
      <c r="AC2617" s="622">
        <v>35871.894736842107</v>
      </c>
      <c r="AD2617" s="623">
        <v>0.03</v>
      </c>
      <c r="AE2617" s="621" t="s">
        <v>4675</v>
      </c>
    </row>
    <row r="2618" spans="1:31" s="572" customFormat="1">
      <c r="A2618" s="570" t="s">
        <v>4676</v>
      </c>
      <c r="B2618" s="573" t="s">
        <v>278</v>
      </c>
      <c r="C2618" s="578">
        <v>15</v>
      </c>
      <c r="D2618" s="573" t="s">
        <v>3374</v>
      </c>
      <c r="E2618" s="573" t="s">
        <v>187</v>
      </c>
      <c r="F2618" s="573" t="s">
        <v>271</v>
      </c>
      <c r="G2618" s="573">
        <v>2019</v>
      </c>
      <c r="H2618" s="573" t="s">
        <v>4503</v>
      </c>
      <c r="I2618" s="573" t="s">
        <v>3837</v>
      </c>
      <c r="J2618" s="573" t="s">
        <v>752</v>
      </c>
      <c r="K2618" s="573">
        <v>3</v>
      </c>
      <c r="L2618" s="573">
        <v>0</v>
      </c>
      <c r="M2618" s="573" t="s">
        <v>157</v>
      </c>
      <c r="N2618" s="573">
        <v>1</v>
      </c>
      <c r="O2618" s="573" t="s">
        <v>3846</v>
      </c>
      <c r="P2618" s="571">
        <v>12600</v>
      </c>
      <c r="Q2618" s="573" t="s">
        <v>4235</v>
      </c>
      <c r="R2618" s="573">
        <v>8</v>
      </c>
      <c r="S2618" s="582" t="s">
        <v>4673</v>
      </c>
      <c r="T2618" s="573" t="s">
        <v>4505</v>
      </c>
      <c r="U2618" s="573">
        <v>142</v>
      </c>
      <c r="V2618" s="573">
        <v>34</v>
      </c>
      <c r="W2618" s="616">
        <v>10300</v>
      </c>
      <c r="X2618" s="617" t="s">
        <v>157</v>
      </c>
      <c r="Y2618" s="617" t="s">
        <v>450</v>
      </c>
      <c r="Z2618" s="617" t="s">
        <v>178</v>
      </c>
      <c r="AA2618" s="618">
        <v>38615</v>
      </c>
      <c r="AB2618" s="618" t="s">
        <v>164</v>
      </c>
      <c r="AC2618" s="618">
        <v>27750</v>
      </c>
      <c r="AD2618" s="619">
        <v>0.01</v>
      </c>
      <c r="AE2618" s="617" t="s">
        <v>4672</v>
      </c>
    </row>
    <row r="2619" spans="1:31" s="572" customFormat="1">
      <c r="A2619" s="570" t="s">
        <v>4677</v>
      </c>
      <c r="B2619" s="569" t="s">
        <v>278</v>
      </c>
      <c r="C2619" s="580">
        <v>15</v>
      </c>
      <c r="D2619" s="569" t="s">
        <v>3374</v>
      </c>
      <c r="E2619" s="569" t="s">
        <v>187</v>
      </c>
      <c r="F2619" s="569" t="s">
        <v>271</v>
      </c>
      <c r="G2619" s="569">
        <v>2019</v>
      </c>
      <c r="H2619" s="569" t="s">
        <v>4503</v>
      </c>
      <c r="I2619" s="569" t="s">
        <v>3837</v>
      </c>
      <c r="J2619" s="569" t="s">
        <v>752</v>
      </c>
      <c r="K2619" s="569">
        <v>3</v>
      </c>
      <c r="L2619" s="569">
        <v>0</v>
      </c>
      <c r="M2619" s="569" t="s">
        <v>157</v>
      </c>
      <c r="N2619" s="569">
        <v>1</v>
      </c>
      <c r="O2619" s="569" t="s">
        <v>3846</v>
      </c>
      <c r="P2619" s="568">
        <v>12600</v>
      </c>
      <c r="Q2619" s="569" t="s">
        <v>4231</v>
      </c>
      <c r="R2619" s="569">
        <v>8</v>
      </c>
      <c r="S2619" s="569" t="s">
        <v>4673</v>
      </c>
      <c r="T2619" s="569" t="s">
        <v>4505</v>
      </c>
      <c r="U2619" s="569">
        <v>142</v>
      </c>
      <c r="V2619" s="569">
        <v>29</v>
      </c>
      <c r="W2619" s="620">
        <v>11000</v>
      </c>
      <c r="X2619" s="621" t="s">
        <v>157</v>
      </c>
      <c r="Y2619" s="621" t="s">
        <v>728</v>
      </c>
      <c r="Z2619" s="621" t="s">
        <v>1523</v>
      </c>
      <c r="AA2619" s="622">
        <v>47735</v>
      </c>
      <c r="AB2619" s="622" t="s">
        <v>164</v>
      </c>
      <c r="AC2619" s="622">
        <v>36100</v>
      </c>
      <c r="AD2619" s="623">
        <v>0.01</v>
      </c>
      <c r="AE2619" s="621" t="s">
        <v>4675</v>
      </c>
    </row>
    <row r="2620" spans="1:31" s="572" customFormat="1">
      <c r="A2620" s="570" t="s">
        <v>4678</v>
      </c>
      <c r="B2620" s="573" t="s">
        <v>287</v>
      </c>
      <c r="C2620" s="578">
        <v>26</v>
      </c>
      <c r="D2620" s="573" t="s">
        <v>3374</v>
      </c>
      <c r="E2620" s="573" t="s">
        <v>187</v>
      </c>
      <c r="F2620" s="573" t="s">
        <v>271</v>
      </c>
      <c r="G2620" s="573">
        <v>2019</v>
      </c>
      <c r="H2620" s="573" t="s">
        <v>4503</v>
      </c>
      <c r="I2620" s="573" t="s">
        <v>3837</v>
      </c>
      <c r="J2620" s="573" t="s">
        <v>752</v>
      </c>
      <c r="K2620" s="573">
        <v>3</v>
      </c>
      <c r="L2620" s="573">
        <v>0</v>
      </c>
      <c r="M2620" s="573" t="s">
        <v>157</v>
      </c>
      <c r="N2620" s="573">
        <v>1</v>
      </c>
      <c r="O2620" s="573" t="s">
        <v>3846</v>
      </c>
      <c r="P2620" s="571">
        <v>12600</v>
      </c>
      <c r="Q2620" s="573" t="s">
        <v>4235</v>
      </c>
      <c r="R2620" s="573">
        <v>8</v>
      </c>
      <c r="S2620" s="582" t="s">
        <v>4673</v>
      </c>
      <c r="T2620" s="573" t="s">
        <v>4505</v>
      </c>
      <c r="U2620" s="573">
        <v>142</v>
      </c>
      <c r="V2620" s="573">
        <v>34</v>
      </c>
      <c r="W2620" s="616">
        <v>10300</v>
      </c>
      <c r="X2620" s="617" t="s">
        <v>157</v>
      </c>
      <c r="Y2620" s="617" t="s">
        <v>450</v>
      </c>
      <c r="Z2620" s="617" t="s">
        <v>178</v>
      </c>
      <c r="AA2620" s="618">
        <v>38615</v>
      </c>
      <c r="AB2620" s="618" t="s">
        <v>164</v>
      </c>
      <c r="AC2620" s="618">
        <v>27897</v>
      </c>
      <c r="AD2620" s="619">
        <v>0.05</v>
      </c>
      <c r="AE2620" s="617" t="s">
        <v>4672</v>
      </c>
    </row>
    <row r="2621" spans="1:31" s="572" customFormat="1">
      <c r="A2621" s="570" t="s">
        <v>4679</v>
      </c>
      <c r="B2621" s="569" t="s">
        <v>287</v>
      </c>
      <c r="C2621" s="580">
        <v>26</v>
      </c>
      <c r="D2621" s="569" t="s">
        <v>3374</v>
      </c>
      <c r="E2621" s="569" t="s">
        <v>187</v>
      </c>
      <c r="F2621" s="569" t="s">
        <v>271</v>
      </c>
      <c r="G2621" s="569">
        <v>2019</v>
      </c>
      <c r="H2621" s="569" t="s">
        <v>4503</v>
      </c>
      <c r="I2621" s="569" t="s">
        <v>3837</v>
      </c>
      <c r="J2621" s="569" t="s">
        <v>752</v>
      </c>
      <c r="K2621" s="569">
        <v>3</v>
      </c>
      <c r="L2621" s="569">
        <v>0</v>
      </c>
      <c r="M2621" s="569" t="s">
        <v>157</v>
      </c>
      <c r="N2621" s="569">
        <v>1</v>
      </c>
      <c r="O2621" s="569" t="s">
        <v>3846</v>
      </c>
      <c r="P2621" s="568">
        <v>12600</v>
      </c>
      <c r="Q2621" s="569" t="s">
        <v>4231</v>
      </c>
      <c r="R2621" s="569">
        <v>8</v>
      </c>
      <c r="S2621" s="569" t="s">
        <v>4673</v>
      </c>
      <c r="T2621" s="569" t="s">
        <v>4505</v>
      </c>
      <c r="U2621" s="569">
        <v>142</v>
      </c>
      <c r="V2621" s="569">
        <v>29</v>
      </c>
      <c r="W2621" s="620">
        <v>11000</v>
      </c>
      <c r="X2621" s="621" t="s">
        <v>157</v>
      </c>
      <c r="Y2621" s="621" t="s">
        <v>728</v>
      </c>
      <c r="Z2621" s="621" t="s">
        <v>1523</v>
      </c>
      <c r="AA2621" s="622">
        <v>47735</v>
      </c>
      <c r="AB2621" s="622" t="s">
        <v>164</v>
      </c>
      <c r="AC2621" s="622">
        <v>36092</v>
      </c>
      <c r="AD2621" s="623">
        <v>0.05</v>
      </c>
      <c r="AE2621" s="621" t="s">
        <v>4675</v>
      </c>
    </row>
    <row r="2622" spans="1:31" s="572" customFormat="1">
      <c r="A2622" s="570" t="s">
        <v>4680</v>
      </c>
      <c r="B2622" s="573" t="s">
        <v>280</v>
      </c>
      <c r="C2622" s="578">
        <v>27</v>
      </c>
      <c r="D2622" s="573" t="s">
        <v>3374</v>
      </c>
      <c r="E2622" s="573" t="s">
        <v>187</v>
      </c>
      <c r="F2622" s="573" t="s">
        <v>271</v>
      </c>
      <c r="G2622" s="573">
        <v>2019</v>
      </c>
      <c r="H2622" s="573" t="s">
        <v>4503</v>
      </c>
      <c r="I2622" s="573" t="s">
        <v>3837</v>
      </c>
      <c r="J2622" s="573" t="s">
        <v>752</v>
      </c>
      <c r="K2622" s="573">
        <v>3</v>
      </c>
      <c r="L2622" s="573">
        <v>0</v>
      </c>
      <c r="M2622" s="573" t="s">
        <v>157</v>
      </c>
      <c r="N2622" s="573">
        <v>1</v>
      </c>
      <c r="O2622" s="573" t="s">
        <v>3846</v>
      </c>
      <c r="P2622" s="571">
        <v>12600</v>
      </c>
      <c r="Q2622" s="573" t="s">
        <v>4235</v>
      </c>
      <c r="R2622" s="573">
        <v>8</v>
      </c>
      <c r="S2622" s="582" t="s">
        <v>4673</v>
      </c>
      <c r="T2622" s="573" t="s">
        <v>4505</v>
      </c>
      <c r="U2622" s="573">
        <v>142</v>
      </c>
      <c r="V2622" s="573">
        <v>34</v>
      </c>
      <c r="W2622" s="616">
        <v>10300</v>
      </c>
      <c r="X2622" s="617" t="s">
        <v>157</v>
      </c>
      <c r="Y2622" s="617" t="s">
        <v>450</v>
      </c>
      <c r="Z2622" s="617" t="s">
        <v>178</v>
      </c>
      <c r="AA2622" s="618">
        <v>38615</v>
      </c>
      <c r="AB2622" s="618" t="s">
        <v>164</v>
      </c>
      <c r="AC2622" s="618">
        <v>27679.705263157899</v>
      </c>
      <c r="AD2622" s="619">
        <v>0.03</v>
      </c>
      <c r="AE2622" s="617" t="s">
        <v>4672</v>
      </c>
    </row>
    <row r="2623" spans="1:31" s="572" customFormat="1">
      <c r="A2623" s="570" t="s">
        <v>4681</v>
      </c>
      <c r="B2623" s="569" t="s">
        <v>280</v>
      </c>
      <c r="C2623" s="580">
        <v>27</v>
      </c>
      <c r="D2623" s="569" t="s">
        <v>3374</v>
      </c>
      <c r="E2623" s="569" t="s">
        <v>187</v>
      </c>
      <c r="F2623" s="569" t="s">
        <v>271</v>
      </c>
      <c r="G2623" s="569">
        <v>2019</v>
      </c>
      <c r="H2623" s="569" t="s">
        <v>4503</v>
      </c>
      <c r="I2623" s="569" t="s">
        <v>3837</v>
      </c>
      <c r="J2623" s="569" t="s">
        <v>752</v>
      </c>
      <c r="K2623" s="569">
        <v>3</v>
      </c>
      <c r="L2623" s="569">
        <v>0</v>
      </c>
      <c r="M2623" s="569" t="s">
        <v>157</v>
      </c>
      <c r="N2623" s="569">
        <v>1</v>
      </c>
      <c r="O2623" s="569" t="s">
        <v>3846</v>
      </c>
      <c r="P2623" s="568">
        <v>12600</v>
      </c>
      <c r="Q2623" s="569" t="s">
        <v>4231</v>
      </c>
      <c r="R2623" s="569">
        <v>8</v>
      </c>
      <c r="S2623" s="569" t="s">
        <v>4673</v>
      </c>
      <c r="T2623" s="569" t="s">
        <v>4505</v>
      </c>
      <c r="U2623" s="569">
        <v>142</v>
      </c>
      <c r="V2623" s="569">
        <v>29</v>
      </c>
      <c r="W2623" s="620">
        <v>11000</v>
      </c>
      <c r="X2623" s="621" t="s">
        <v>157</v>
      </c>
      <c r="Y2623" s="621" t="s">
        <v>728</v>
      </c>
      <c r="Z2623" s="621" t="s">
        <v>1523</v>
      </c>
      <c r="AA2623" s="622">
        <v>47735</v>
      </c>
      <c r="AB2623" s="622" t="s">
        <v>164</v>
      </c>
      <c r="AC2623" s="622">
        <v>35871.894736842107</v>
      </c>
      <c r="AD2623" s="623">
        <v>0.03</v>
      </c>
      <c r="AE2623" s="621" t="s">
        <v>4675</v>
      </c>
    </row>
    <row r="2624" spans="1:31" s="572" customFormat="1">
      <c r="A2624" s="570" t="s">
        <v>4682</v>
      </c>
      <c r="B2624" s="573" t="s">
        <v>269</v>
      </c>
      <c r="C2624" s="578" t="s">
        <v>270</v>
      </c>
      <c r="D2624" s="573" t="s">
        <v>3374</v>
      </c>
      <c r="E2624" s="573" t="s">
        <v>187</v>
      </c>
      <c r="F2624" s="573" t="s">
        <v>271</v>
      </c>
      <c r="G2624" s="573">
        <v>2019</v>
      </c>
      <c r="H2624" s="573" t="s">
        <v>4503</v>
      </c>
      <c r="I2624" s="573" t="s">
        <v>4684</v>
      </c>
      <c r="J2624" s="573" t="s">
        <v>3377</v>
      </c>
      <c r="K2624" s="573">
        <v>3</v>
      </c>
      <c r="L2624" s="573">
        <v>0</v>
      </c>
      <c r="M2624" s="573" t="s">
        <v>157</v>
      </c>
      <c r="N2624" s="573">
        <v>1</v>
      </c>
      <c r="O2624" s="573" t="s">
        <v>3846</v>
      </c>
      <c r="P2624" s="571">
        <v>13200</v>
      </c>
      <c r="Q2624" s="573" t="s">
        <v>4235</v>
      </c>
      <c r="R2624" s="573">
        <v>8</v>
      </c>
      <c r="S2624" s="582" t="s">
        <v>4685</v>
      </c>
      <c r="T2624" s="573" t="s">
        <v>4558</v>
      </c>
      <c r="U2624" s="573">
        <v>142</v>
      </c>
      <c r="V2624" s="573">
        <v>34</v>
      </c>
      <c r="W2624" s="616">
        <v>14000</v>
      </c>
      <c r="X2624" s="617" t="s">
        <v>157</v>
      </c>
      <c r="Y2624" s="617" t="s">
        <v>450</v>
      </c>
      <c r="Z2624" s="617" t="s">
        <v>178</v>
      </c>
      <c r="AA2624" s="618">
        <v>37305</v>
      </c>
      <c r="AB2624" s="618" t="s">
        <v>164</v>
      </c>
      <c r="AC2624" s="618">
        <v>26679.705263157899</v>
      </c>
      <c r="AD2624" s="619">
        <v>0.03</v>
      </c>
      <c r="AE2624" s="617" t="s">
        <v>4683</v>
      </c>
    </row>
    <row r="2625" spans="1:31" s="572" customFormat="1">
      <c r="A2625" s="570" t="s">
        <v>4686</v>
      </c>
      <c r="B2625" s="569" t="s">
        <v>269</v>
      </c>
      <c r="C2625" s="580" t="s">
        <v>270</v>
      </c>
      <c r="D2625" s="569" t="s">
        <v>3374</v>
      </c>
      <c r="E2625" s="569" t="s">
        <v>187</v>
      </c>
      <c r="F2625" s="569" t="s">
        <v>271</v>
      </c>
      <c r="G2625" s="569">
        <v>2019</v>
      </c>
      <c r="H2625" s="569" t="s">
        <v>4503</v>
      </c>
      <c r="I2625" s="569" t="s">
        <v>4684</v>
      </c>
      <c r="J2625" s="569" t="s">
        <v>3377</v>
      </c>
      <c r="K2625" s="569">
        <v>3</v>
      </c>
      <c r="L2625" s="569">
        <v>0</v>
      </c>
      <c r="M2625" s="569" t="s">
        <v>157</v>
      </c>
      <c r="N2625" s="569">
        <v>1</v>
      </c>
      <c r="O2625" s="569" t="s">
        <v>3846</v>
      </c>
      <c r="P2625" s="568">
        <v>13200</v>
      </c>
      <c r="Q2625" s="569" t="s">
        <v>4231</v>
      </c>
      <c r="R2625" s="569">
        <v>8</v>
      </c>
      <c r="S2625" s="569" t="s">
        <v>4685</v>
      </c>
      <c r="T2625" s="569" t="s">
        <v>4558</v>
      </c>
      <c r="U2625" s="569">
        <v>142</v>
      </c>
      <c r="V2625" s="569">
        <v>29</v>
      </c>
      <c r="W2625" s="620">
        <v>14000</v>
      </c>
      <c r="X2625" s="621" t="s">
        <v>157</v>
      </c>
      <c r="Y2625" s="621" t="s">
        <v>728</v>
      </c>
      <c r="Z2625" s="621" t="s">
        <v>1523</v>
      </c>
      <c r="AA2625" s="622">
        <v>46425</v>
      </c>
      <c r="AB2625" s="622" t="s">
        <v>164</v>
      </c>
      <c r="AC2625" s="622">
        <v>34871.894736842107</v>
      </c>
      <c r="AD2625" s="623">
        <v>0.03</v>
      </c>
      <c r="AE2625" s="621" t="s">
        <v>4687</v>
      </c>
    </row>
    <row r="2626" spans="1:31" s="572" customFormat="1">
      <c r="A2626" s="570" t="s">
        <v>4688</v>
      </c>
      <c r="B2626" s="573" t="s">
        <v>278</v>
      </c>
      <c r="C2626" s="578">
        <v>15</v>
      </c>
      <c r="D2626" s="573" t="s">
        <v>3374</v>
      </c>
      <c r="E2626" s="573" t="s">
        <v>187</v>
      </c>
      <c r="F2626" s="573" t="s">
        <v>271</v>
      </c>
      <c r="G2626" s="573">
        <v>2019</v>
      </c>
      <c r="H2626" s="573" t="s">
        <v>4503</v>
      </c>
      <c r="I2626" s="573" t="s">
        <v>4684</v>
      </c>
      <c r="J2626" s="573" t="s">
        <v>3377</v>
      </c>
      <c r="K2626" s="573">
        <v>3</v>
      </c>
      <c r="L2626" s="573">
        <v>0</v>
      </c>
      <c r="M2626" s="573" t="s">
        <v>157</v>
      </c>
      <c r="N2626" s="573">
        <v>1</v>
      </c>
      <c r="O2626" s="573" t="s">
        <v>3846</v>
      </c>
      <c r="P2626" s="571">
        <v>13200</v>
      </c>
      <c r="Q2626" s="573" t="s">
        <v>4235</v>
      </c>
      <c r="R2626" s="573">
        <v>8</v>
      </c>
      <c r="S2626" s="582" t="s">
        <v>4685</v>
      </c>
      <c r="T2626" s="573" t="s">
        <v>4558</v>
      </c>
      <c r="U2626" s="573">
        <v>142</v>
      </c>
      <c r="V2626" s="573">
        <v>34</v>
      </c>
      <c r="W2626" s="616">
        <v>14000</v>
      </c>
      <c r="X2626" s="617" t="s">
        <v>157</v>
      </c>
      <c r="Y2626" s="617" t="s">
        <v>450</v>
      </c>
      <c r="Z2626" s="617" t="s">
        <v>178</v>
      </c>
      <c r="AA2626" s="618">
        <v>37305</v>
      </c>
      <c r="AB2626" s="618" t="s">
        <v>164</v>
      </c>
      <c r="AC2626" s="618">
        <v>26750</v>
      </c>
      <c r="AD2626" s="619">
        <v>0.01</v>
      </c>
      <c r="AE2626" s="617" t="s">
        <v>4683</v>
      </c>
    </row>
    <row r="2627" spans="1:31" s="572" customFormat="1">
      <c r="A2627" s="570" t="s">
        <v>4689</v>
      </c>
      <c r="B2627" s="569" t="s">
        <v>278</v>
      </c>
      <c r="C2627" s="580">
        <v>15</v>
      </c>
      <c r="D2627" s="569" t="s">
        <v>3374</v>
      </c>
      <c r="E2627" s="569" t="s">
        <v>187</v>
      </c>
      <c r="F2627" s="569" t="s">
        <v>271</v>
      </c>
      <c r="G2627" s="569">
        <v>2019</v>
      </c>
      <c r="H2627" s="569" t="s">
        <v>4503</v>
      </c>
      <c r="I2627" s="569" t="s">
        <v>4684</v>
      </c>
      <c r="J2627" s="569" t="s">
        <v>3377</v>
      </c>
      <c r="K2627" s="569">
        <v>3</v>
      </c>
      <c r="L2627" s="569">
        <v>0</v>
      </c>
      <c r="M2627" s="569" t="s">
        <v>157</v>
      </c>
      <c r="N2627" s="569">
        <v>1</v>
      </c>
      <c r="O2627" s="569" t="s">
        <v>3846</v>
      </c>
      <c r="P2627" s="568">
        <v>13200</v>
      </c>
      <c r="Q2627" s="569" t="s">
        <v>4231</v>
      </c>
      <c r="R2627" s="569">
        <v>8</v>
      </c>
      <c r="S2627" s="569" t="s">
        <v>4685</v>
      </c>
      <c r="T2627" s="569" t="s">
        <v>4558</v>
      </c>
      <c r="U2627" s="569">
        <v>142</v>
      </c>
      <c r="V2627" s="569">
        <v>29</v>
      </c>
      <c r="W2627" s="620">
        <v>14000</v>
      </c>
      <c r="X2627" s="621" t="s">
        <v>157</v>
      </c>
      <c r="Y2627" s="621" t="s">
        <v>728</v>
      </c>
      <c r="Z2627" s="621" t="s">
        <v>1523</v>
      </c>
      <c r="AA2627" s="622">
        <v>46425</v>
      </c>
      <c r="AB2627" s="622" t="s">
        <v>164</v>
      </c>
      <c r="AC2627" s="622">
        <v>35100</v>
      </c>
      <c r="AD2627" s="623">
        <v>0.01</v>
      </c>
      <c r="AE2627" s="621" t="s">
        <v>4687</v>
      </c>
    </row>
    <row r="2628" spans="1:31" s="572" customFormat="1">
      <c r="A2628" s="570" t="s">
        <v>4690</v>
      </c>
      <c r="B2628" s="573" t="s">
        <v>287</v>
      </c>
      <c r="C2628" s="578">
        <v>26</v>
      </c>
      <c r="D2628" s="573" t="s">
        <v>3374</v>
      </c>
      <c r="E2628" s="573" t="s">
        <v>187</v>
      </c>
      <c r="F2628" s="573" t="s">
        <v>271</v>
      </c>
      <c r="G2628" s="573">
        <v>2019</v>
      </c>
      <c r="H2628" s="573" t="s">
        <v>4503</v>
      </c>
      <c r="I2628" s="573" t="s">
        <v>4684</v>
      </c>
      <c r="J2628" s="573" t="s">
        <v>3377</v>
      </c>
      <c r="K2628" s="573">
        <v>3</v>
      </c>
      <c r="L2628" s="573">
        <v>0</v>
      </c>
      <c r="M2628" s="573" t="s">
        <v>157</v>
      </c>
      <c r="N2628" s="573">
        <v>1</v>
      </c>
      <c r="O2628" s="573" t="s">
        <v>3846</v>
      </c>
      <c r="P2628" s="571">
        <v>13200</v>
      </c>
      <c r="Q2628" s="573" t="s">
        <v>4235</v>
      </c>
      <c r="R2628" s="573">
        <v>8</v>
      </c>
      <c r="S2628" s="582" t="s">
        <v>4685</v>
      </c>
      <c r="T2628" s="573" t="s">
        <v>4558</v>
      </c>
      <c r="U2628" s="573">
        <v>142</v>
      </c>
      <c r="V2628" s="573">
        <v>34</v>
      </c>
      <c r="W2628" s="616">
        <v>14000</v>
      </c>
      <c r="X2628" s="617" t="s">
        <v>157</v>
      </c>
      <c r="Y2628" s="617" t="s">
        <v>450</v>
      </c>
      <c r="Z2628" s="617" t="s">
        <v>178</v>
      </c>
      <c r="AA2628" s="618">
        <v>37305</v>
      </c>
      <c r="AB2628" s="618" t="s">
        <v>164</v>
      </c>
      <c r="AC2628" s="618">
        <v>26882</v>
      </c>
      <c r="AD2628" s="619">
        <v>0.05</v>
      </c>
      <c r="AE2628" s="617" t="s">
        <v>4683</v>
      </c>
    </row>
    <row r="2629" spans="1:31" s="572" customFormat="1">
      <c r="A2629" s="570" t="s">
        <v>4691</v>
      </c>
      <c r="B2629" s="569" t="s">
        <v>287</v>
      </c>
      <c r="C2629" s="580">
        <v>26</v>
      </c>
      <c r="D2629" s="569" t="s">
        <v>3374</v>
      </c>
      <c r="E2629" s="569" t="s">
        <v>187</v>
      </c>
      <c r="F2629" s="569" t="s">
        <v>271</v>
      </c>
      <c r="G2629" s="569">
        <v>2019</v>
      </c>
      <c r="H2629" s="569" t="s">
        <v>4503</v>
      </c>
      <c r="I2629" s="569" t="s">
        <v>4684</v>
      </c>
      <c r="J2629" s="569" t="s">
        <v>3377</v>
      </c>
      <c r="K2629" s="569">
        <v>3</v>
      </c>
      <c r="L2629" s="569">
        <v>0</v>
      </c>
      <c r="M2629" s="569" t="s">
        <v>157</v>
      </c>
      <c r="N2629" s="569">
        <v>1</v>
      </c>
      <c r="O2629" s="569" t="s">
        <v>3846</v>
      </c>
      <c r="P2629" s="568">
        <v>13200</v>
      </c>
      <c r="Q2629" s="569" t="s">
        <v>4231</v>
      </c>
      <c r="R2629" s="569">
        <v>8</v>
      </c>
      <c r="S2629" s="569" t="s">
        <v>4685</v>
      </c>
      <c r="T2629" s="569" t="s">
        <v>4558</v>
      </c>
      <c r="U2629" s="569">
        <v>142</v>
      </c>
      <c r="V2629" s="569">
        <v>29</v>
      </c>
      <c r="W2629" s="620">
        <v>14000</v>
      </c>
      <c r="X2629" s="621" t="s">
        <v>157</v>
      </c>
      <c r="Y2629" s="621" t="s">
        <v>728</v>
      </c>
      <c r="Z2629" s="621" t="s">
        <v>1523</v>
      </c>
      <c r="AA2629" s="622">
        <v>46425</v>
      </c>
      <c r="AB2629" s="622" t="s">
        <v>164</v>
      </c>
      <c r="AC2629" s="622">
        <v>35076</v>
      </c>
      <c r="AD2629" s="623">
        <v>0.05</v>
      </c>
      <c r="AE2629" s="621" t="s">
        <v>4687</v>
      </c>
    </row>
    <row r="2630" spans="1:31" s="572" customFormat="1">
      <c r="A2630" s="570" t="s">
        <v>4692</v>
      </c>
      <c r="B2630" s="573" t="s">
        <v>280</v>
      </c>
      <c r="C2630" s="578">
        <v>27</v>
      </c>
      <c r="D2630" s="573" t="s">
        <v>3374</v>
      </c>
      <c r="E2630" s="573" t="s">
        <v>187</v>
      </c>
      <c r="F2630" s="573" t="s">
        <v>271</v>
      </c>
      <c r="G2630" s="573">
        <v>2019</v>
      </c>
      <c r="H2630" s="573" t="s">
        <v>4503</v>
      </c>
      <c r="I2630" s="573" t="s">
        <v>4684</v>
      </c>
      <c r="J2630" s="573" t="s">
        <v>3377</v>
      </c>
      <c r="K2630" s="573">
        <v>3</v>
      </c>
      <c r="L2630" s="573">
        <v>0</v>
      </c>
      <c r="M2630" s="573" t="s">
        <v>157</v>
      </c>
      <c r="N2630" s="573">
        <v>1</v>
      </c>
      <c r="O2630" s="573" t="s">
        <v>3846</v>
      </c>
      <c r="P2630" s="571">
        <v>13200</v>
      </c>
      <c r="Q2630" s="573" t="s">
        <v>4235</v>
      </c>
      <c r="R2630" s="573">
        <v>8</v>
      </c>
      <c r="S2630" s="582" t="s">
        <v>4685</v>
      </c>
      <c r="T2630" s="573" t="s">
        <v>4558</v>
      </c>
      <c r="U2630" s="573">
        <v>142</v>
      </c>
      <c r="V2630" s="573">
        <v>34</v>
      </c>
      <c r="W2630" s="616">
        <v>14000</v>
      </c>
      <c r="X2630" s="617" t="s">
        <v>157</v>
      </c>
      <c r="Y2630" s="617" t="s">
        <v>450</v>
      </c>
      <c r="Z2630" s="617" t="s">
        <v>178</v>
      </c>
      <c r="AA2630" s="618">
        <v>37305</v>
      </c>
      <c r="AB2630" s="618" t="s">
        <v>164</v>
      </c>
      <c r="AC2630" s="618">
        <v>26679.705263157899</v>
      </c>
      <c r="AD2630" s="619">
        <v>0.03</v>
      </c>
      <c r="AE2630" s="617" t="s">
        <v>4683</v>
      </c>
    </row>
    <row r="2631" spans="1:31" s="572" customFormat="1">
      <c r="A2631" s="570" t="s">
        <v>4693</v>
      </c>
      <c r="B2631" s="569" t="s">
        <v>280</v>
      </c>
      <c r="C2631" s="580">
        <v>27</v>
      </c>
      <c r="D2631" s="569" t="s">
        <v>3374</v>
      </c>
      <c r="E2631" s="569" t="s">
        <v>187</v>
      </c>
      <c r="F2631" s="569" t="s">
        <v>271</v>
      </c>
      <c r="G2631" s="569">
        <v>2019</v>
      </c>
      <c r="H2631" s="569" t="s">
        <v>4503</v>
      </c>
      <c r="I2631" s="569" t="s">
        <v>4684</v>
      </c>
      <c r="J2631" s="569" t="s">
        <v>3377</v>
      </c>
      <c r="K2631" s="569">
        <v>3</v>
      </c>
      <c r="L2631" s="569">
        <v>0</v>
      </c>
      <c r="M2631" s="569" t="s">
        <v>157</v>
      </c>
      <c r="N2631" s="569">
        <v>1</v>
      </c>
      <c r="O2631" s="569" t="s">
        <v>3846</v>
      </c>
      <c r="P2631" s="568">
        <v>13200</v>
      </c>
      <c r="Q2631" s="569" t="s">
        <v>4231</v>
      </c>
      <c r="R2631" s="569">
        <v>8</v>
      </c>
      <c r="S2631" s="569" t="s">
        <v>4685</v>
      </c>
      <c r="T2631" s="569" t="s">
        <v>4558</v>
      </c>
      <c r="U2631" s="569">
        <v>142</v>
      </c>
      <c r="V2631" s="569">
        <v>29</v>
      </c>
      <c r="W2631" s="620">
        <v>14000</v>
      </c>
      <c r="X2631" s="621" t="s">
        <v>157</v>
      </c>
      <c r="Y2631" s="621" t="s">
        <v>728</v>
      </c>
      <c r="Z2631" s="621" t="s">
        <v>1523</v>
      </c>
      <c r="AA2631" s="622">
        <v>46425</v>
      </c>
      <c r="AB2631" s="622" t="s">
        <v>164</v>
      </c>
      <c r="AC2631" s="622">
        <v>34871.894736842107</v>
      </c>
      <c r="AD2631" s="623">
        <v>0.03</v>
      </c>
      <c r="AE2631" s="621" t="s">
        <v>4687</v>
      </c>
    </row>
    <row r="2632" spans="1:31" s="572" customFormat="1">
      <c r="A2632" s="570" t="s">
        <v>4694</v>
      </c>
      <c r="B2632" s="573" t="s">
        <v>269</v>
      </c>
      <c r="C2632" s="578" t="s">
        <v>270</v>
      </c>
      <c r="D2632" s="573" t="s">
        <v>3374</v>
      </c>
      <c r="E2632" s="573" t="s">
        <v>187</v>
      </c>
      <c r="F2632" s="573" t="s">
        <v>271</v>
      </c>
      <c r="G2632" s="573">
        <v>2019</v>
      </c>
      <c r="H2632" s="573" t="s">
        <v>4503</v>
      </c>
      <c r="I2632" s="573" t="s">
        <v>4684</v>
      </c>
      <c r="J2632" s="573" t="s">
        <v>752</v>
      </c>
      <c r="K2632" s="573">
        <v>3</v>
      </c>
      <c r="L2632" s="573">
        <v>0</v>
      </c>
      <c r="M2632" s="573" t="s">
        <v>157</v>
      </c>
      <c r="N2632" s="573">
        <v>1</v>
      </c>
      <c r="O2632" s="573" t="s">
        <v>3846</v>
      </c>
      <c r="P2632" s="571">
        <v>12700</v>
      </c>
      <c r="Q2632" s="573" t="s">
        <v>4235</v>
      </c>
      <c r="R2632" s="573">
        <v>8</v>
      </c>
      <c r="S2632" s="582" t="s">
        <v>4696</v>
      </c>
      <c r="T2632" s="573" t="s">
        <v>4558</v>
      </c>
      <c r="U2632" s="573">
        <v>142</v>
      </c>
      <c r="V2632" s="573">
        <v>34</v>
      </c>
      <c r="W2632" s="616">
        <v>14000</v>
      </c>
      <c r="X2632" s="617" t="s">
        <v>157</v>
      </c>
      <c r="Y2632" s="617" t="s">
        <v>450</v>
      </c>
      <c r="Z2632" s="617" t="s">
        <v>178</v>
      </c>
      <c r="AA2632" s="618">
        <v>40100</v>
      </c>
      <c r="AB2632" s="618" t="s">
        <v>164</v>
      </c>
      <c r="AC2632" s="618">
        <v>29682.863157894739</v>
      </c>
      <c r="AD2632" s="619">
        <v>0.03</v>
      </c>
      <c r="AE2632" s="617" t="s">
        <v>4695</v>
      </c>
    </row>
    <row r="2633" spans="1:31" s="572" customFormat="1">
      <c r="A2633" s="570" t="s">
        <v>4697</v>
      </c>
      <c r="B2633" s="569" t="s">
        <v>269</v>
      </c>
      <c r="C2633" s="580" t="s">
        <v>270</v>
      </c>
      <c r="D2633" s="569" t="s">
        <v>3374</v>
      </c>
      <c r="E2633" s="569" t="s">
        <v>187</v>
      </c>
      <c r="F2633" s="569" t="s">
        <v>271</v>
      </c>
      <c r="G2633" s="569">
        <v>2019</v>
      </c>
      <c r="H2633" s="569" t="s">
        <v>4503</v>
      </c>
      <c r="I2633" s="569" t="s">
        <v>4684</v>
      </c>
      <c r="J2633" s="569" t="s">
        <v>752</v>
      </c>
      <c r="K2633" s="569">
        <v>3</v>
      </c>
      <c r="L2633" s="569">
        <v>0</v>
      </c>
      <c r="M2633" s="569" t="s">
        <v>157</v>
      </c>
      <c r="N2633" s="569">
        <v>1</v>
      </c>
      <c r="O2633" s="569" t="s">
        <v>3846</v>
      </c>
      <c r="P2633" s="568">
        <v>12700</v>
      </c>
      <c r="Q2633" s="569" t="s">
        <v>4231</v>
      </c>
      <c r="R2633" s="569">
        <v>8</v>
      </c>
      <c r="S2633" s="569" t="s">
        <v>4696</v>
      </c>
      <c r="T2633" s="569" t="s">
        <v>4558</v>
      </c>
      <c r="U2633" s="569">
        <v>142</v>
      </c>
      <c r="V2633" s="569">
        <v>29</v>
      </c>
      <c r="W2633" s="620">
        <v>14000</v>
      </c>
      <c r="X2633" s="621" t="s">
        <v>157</v>
      </c>
      <c r="Y2633" s="621" t="s">
        <v>728</v>
      </c>
      <c r="Z2633" s="621" t="s">
        <v>1523</v>
      </c>
      <c r="AA2633" s="622">
        <v>49220</v>
      </c>
      <c r="AB2633" s="622" t="s">
        <v>164</v>
      </c>
      <c r="AC2633" s="622">
        <v>37875.052631578954</v>
      </c>
      <c r="AD2633" s="623">
        <v>0.03</v>
      </c>
      <c r="AE2633" s="621" t="s">
        <v>4698</v>
      </c>
    </row>
    <row r="2634" spans="1:31" s="572" customFormat="1">
      <c r="A2634" s="570" t="s">
        <v>4699</v>
      </c>
      <c r="B2634" s="573" t="s">
        <v>278</v>
      </c>
      <c r="C2634" s="578">
        <v>15</v>
      </c>
      <c r="D2634" s="573" t="s">
        <v>3374</v>
      </c>
      <c r="E2634" s="573" t="s">
        <v>187</v>
      </c>
      <c r="F2634" s="573" t="s">
        <v>271</v>
      </c>
      <c r="G2634" s="573">
        <v>2019</v>
      </c>
      <c r="H2634" s="573" t="s">
        <v>4503</v>
      </c>
      <c r="I2634" s="573" t="s">
        <v>4684</v>
      </c>
      <c r="J2634" s="573" t="s">
        <v>752</v>
      </c>
      <c r="K2634" s="573">
        <v>3</v>
      </c>
      <c r="L2634" s="573">
        <v>0</v>
      </c>
      <c r="M2634" s="573" t="s">
        <v>157</v>
      </c>
      <c r="N2634" s="573">
        <v>1</v>
      </c>
      <c r="O2634" s="573" t="s">
        <v>3846</v>
      </c>
      <c r="P2634" s="571">
        <v>12700</v>
      </c>
      <c r="Q2634" s="573" t="s">
        <v>4235</v>
      </c>
      <c r="R2634" s="573">
        <v>8</v>
      </c>
      <c r="S2634" s="582" t="s">
        <v>4696</v>
      </c>
      <c r="T2634" s="573" t="s">
        <v>4558</v>
      </c>
      <c r="U2634" s="573">
        <v>142</v>
      </c>
      <c r="V2634" s="573">
        <v>34</v>
      </c>
      <c r="W2634" s="616">
        <v>14000</v>
      </c>
      <c r="X2634" s="617" t="s">
        <v>157</v>
      </c>
      <c r="Y2634" s="617" t="s">
        <v>450</v>
      </c>
      <c r="Z2634" s="617" t="s">
        <v>178</v>
      </c>
      <c r="AA2634" s="618">
        <v>40100</v>
      </c>
      <c r="AB2634" s="618" t="s">
        <v>164</v>
      </c>
      <c r="AC2634" s="618">
        <v>29800</v>
      </c>
      <c r="AD2634" s="619">
        <v>0.01</v>
      </c>
      <c r="AE2634" s="617" t="s">
        <v>4695</v>
      </c>
    </row>
    <row r="2635" spans="1:31" s="572" customFormat="1">
      <c r="A2635" s="570" t="s">
        <v>4700</v>
      </c>
      <c r="B2635" s="569" t="s">
        <v>278</v>
      </c>
      <c r="C2635" s="580">
        <v>15</v>
      </c>
      <c r="D2635" s="569" t="s">
        <v>3374</v>
      </c>
      <c r="E2635" s="569" t="s">
        <v>187</v>
      </c>
      <c r="F2635" s="569" t="s">
        <v>271</v>
      </c>
      <c r="G2635" s="569">
        <v>2019</v>
      </c>
      <c r="H2635" s="569" t="s">
        <v>4503</v>
      </c>
      <c r="I2635" s="569" t="s">
        <v>4684</v>
      </c>
      <c r="J2635" s="569" t="s">
        <v>752</v>
      </c>
      <c r="K2635" s="569">
        <v>3</v>
      </c>
      <c r="L2635" s="569">
        <v>0</v>
      </c>
      <c r="M2635" s="569" t="s">
        <v>157</v>
      </c>
      <c r="N2635" s="569">
        <v>1</v>
      </c>
      <c r="O2635" s="569" t="s">
        <v>3846</v>
      </c>
      <c r="P2635" s="568">
        <v>12700</v>
      </c>
      <c r="Q2635" s="569" t="s">
        <v>4231</v>
      </c>
      <c r="R2635" s="569">
        <v>8</v>
      </c>
      <c r="S2635" s="569" t="s">
        <v>4696</v>
      </c>
      <c r="T2635" s="569" t="s">
        <v>4558</v>
      </c>
      <c r="U2635" s="569">
        <v>142</v>
      </c>
      <c r="V2635" s="569">
        <v>29</v>
      </c>
      <c r="W2635" s="620">
        <v>14000</v>
      </c>
      <c r="X2635" s="621" t="s">
        <v>157</v>
      </c>
      <c r="Y2635" s="621" t="s">
        <v>728</v>
      </c>
      <c r="Z2635" s="621" t="s">
        <v>1523</v>
      </c>
      <c r="AA2635" s="622">
        <v>49220</v>
      </c>
      <c r="AB2635" s="622" t="s">
        <v>164</v>
      </c>
      <c r="AC2635" s="622">
        <v>38100</v>
      </c>
      <c r="AD2635" s="623">
        <v>0.01</v>
      </c>
      <c r="AE2635" s="621" t="s">
        <v>4698</v>
      </c>
    </row>
    <row r="2636" spans="1:31" s="572" customFormat="1">
      <c r="A2636" s="570" t="s">
        <v>4701</v>
      </c>
      <c r="B2636" s="573" t="s">
        <v>287</v>
      </c>
      <c r="C2636" s="578">
        <v>26</v>
      </c>
      <c r="D2636" s="573" t="s">
        <v>3374</v>
      </c>
      <c r="E2636" s="573" t="s">
        <v>187</v>
      </c>
      <c r="F2636" s="573" t="s">
        <v>271</v>
      </c>
      <c r="G2636" s="573">
        <v>2019</v>
      </c>
      <c r="H2636" s="573" t="s">
        <v>4503</v>
      </c>
      <c r="I2636" s="573" t="s">
        <v>4684</v>
      </c>
      <c r="J2636" s="573" t="s">
        <v>752</v>
      </c>
      <c r="K2636" s="573">
        <v>3</v>
      </c>
      <c r="L2636" s="573">
        <v>0</v>
      </c>
      <c r="M2636" s="573" t="s">
        <v>157</v>
      </c>
      <c r="N2636" s="573">
        <v>1</v>
      </c>
      <c r="O2636" s="573" t="s">
        <v>3846</v>
      </c>
      <c r="P2636" s="571">
        <v>12700</v>
      </c>
      <c r="Q2636" s="573" t="s">
        <v>4235</v>
      </c>
      <c r="R2636" s="573">
        <v>8</v>
      </c>
      <c r="S2636" s="582" t="s">
        <v>4696</v>
      </c>
      <c r="T2636" s="573" t="s">
        <v>4558</v>
      </c>
      <c r="U2636" s="573">
        <v>142</v>
      </c>
      <c r="V2636" s="573">
        <v>34</v>
      </c>
      <c r="W2636" s="616">
        <v>14000</v>
      </c>
      <c r="X2636" s="617" t="s">
        <v>157</v>
      </c>
      <c r="Y2636" s="617" t="s">
        <v>450</v>
      </c>
      <c r="Z2636" s="617" t="s">
        <v>178</v>
      </c>
      <c r="AA2636" s="618">
        <v>40100</v>
      </c>
      <c r="AB2636" s="618" t="s">
        <v>164</v>
      </c>
      <c r="AC2636" s="618">
        <v>29929</v>
      </c>
      <c r="AD2636" s="619">
        <v>0.05</v>
      </c>
      <c r="AE2636" s="617" t="s">
        <v>4695</v>
      </c>
    </row>
    <row r="2637" spans="1:31" s="572" customFormat="1">
      <c r="A2637" s="570" t="s">
        <v>4702</v>
      </c>
      <c r="B2637" s="569" t="s">
        <v>287</v>
      </c>
      <c r="C2637" s="580">
        <v>26</v>
      </c>
      <c r="D2637" s="569" t="s">
        <v>3374</v>
      </c>
      <c r="E2637" s="569" t="s">
        <v>187</v>
      </c>
      <c r="F2637" s="569" t="s">
        <v>271</v>
      </c>
      <c r="G2637" s="569">
        <v>2019</v>
      </c>
      <c r="H2637" s="569" t="s">
        <v>4503</v>
      </c>
      <c r="I2637" s="569" t="s">
        <v>4684</v>
      </c>
      <c r="J2637" s="569" t="s">
        <v>752</v>
      </c>
      <c r="K2637" s="569">
        <v>3</v>
      </c>
      <c r="L2637" s="569">
        <v>0</v>
      </c>
      <c r="M2637" s="569" t="s">
        <v>157</v>
      </c>
      <c r="N2637" s="569">
        <v>1</v>
      </c>
      <c r="O2637" s="569" t="s">
        <v>3846</v>
      </c>
      <c r="P2637" s="568">
        <v>12700</v>
      </c>
      <c r="Q2637" s="569" t="s">
        <v>4231</v>
      </c>
      <c r="R2637" s="569">
        <v>8</v>
      </c>
      <c r="S2637" s="569" t="s">
        <v>4696</v>
      </c>
      <c r="T2637" s="569" t="s">
        <v>4558</v>
      </c>
      <c r="U2637" s="569">
        <v>142</v>
      </c>
      <c r="V2637" s="569">
        <v>29</v>
      </c>
      <c r="W2637" s="620">
        <v>14000</v>
      </c>
      <c r="X2637" s="621" t="s">
        <v>157</v>
      </c>
      <c r="Y2637" s="621" t="s">
        <v>728</v>
      </c>
      <c r="Z2637" s="621" t="s">
        <v>1523</v>
      </c>
      <c r="AA2637" s="622">
        <v>49220</v>
      </c>
      <c r="AB2637" s="622" t="s">
        <v>164</v>
      </c>
      <c r="AC2637" s="622">
        <v>38124</v>
      </c>
      <c r="AD2637" s="623">
        <v>0.05</v>
      </c>
      <c r="AE2637" s="621" t="s">
        <v>4698</v>
      </c>
    </row>
    <row r="2638" spans="1:31" s="572" customFormat="1">
      <c r="A2638" s="570" t="s">
        <v>4703</v>
      </c>
      <c r="B2638" s="573" t="s">
        <v>280</v>
      </c>
      <c r="C2638" s="578">
        <v>27</v>
      </c>
      <c r="D2638" s="573" t="s">
        <v>3374</v>
      </c>
      <c r="E2638" s="573" t="s">
        <v>187</v>
      </c>
      <c r="F2638" s="573" t="s">
        <v>271</v>
      </c>
      <c r="G2638" s="573">
        <v>2019</v>
      </c>
      <c r="H2638" s="573" t="s">
        <v>4503</v>
      </c>
      <c r="I2638" s="573" t="s">
        <v>4684</v>
      </c>
      <c r="J2638" s="573" t="s">
        <v>752</v>
      </c>
      <c r="K2638" s="573">
        <v>3</v>
      </c>
      <c r="L2638" s="573">
        <v>0</v>
      </c>
      <c r="M2638" s="573" t="s">
        <v>157</v>
      </c>
      <c r="N2638" s="573">
        <v>1</v>
      </c>
      <c r="O2638" s="573" t="s">
        <v>3846</v>
      </c>
      <c r="P2638" s="571">
        <v>12700</v>
      </c>
      <c r="Q2638" s="573" t="s">
        <v>4235</v>
      </c>
      <c r="R2638" s="573">
        <v>8</v>
      </c>
      <c r="S2638" s="582" t="s">
        <v>4696</v>
      </c>
      <c r="T2638" s="573" t="s">
        <v>4558</v>
      </c>
      <c r="U2638" s="573">
        <v>142</v>
      </c>
      <c r="V2638" s="573">
        <v>34</v>
      </c>
      <c r="W2638" s="616">
        <v>14000</v>
      </c>
      <c r="X2638" s="617" t="s">
        <v>157</v>
      </c>
      <c r="Y2638" s="617" t="s">
        <v>450</v>
      </c>
      <c r="Z2638" s="617" t="s">
        <v>178</v>
      </c>
      <c r="AA2638" s="618">
        <v>40100</v>
      </c>
      <c r="AB2638" s="618" t="s">
        <v>164</v>
      </c>
      <c r="AC2638" s="618">
        <v>29682.863157894739</v>
      </c>
      <c r="AD2638" s="619">
        <v>0.03</v>
      </c>
      <c r="AE2638" s="617" t="s">
        <v>4695</v>
      </c>
    </row>
    <row r="2639" spans="1:31" s="572" customFormat="1">
      <c r="A2639" s="570" t="s">
        <v>4704</v>
      </c>
      <c r="B2639" s="569" t="s">
        <v>280</v>
      </c>
      <c r="C2639" s="580">
        <v>27</v>
      </c>
      <c r="D2639" s="569" t="s">
        <v>3374</v>
      </c>
      <c r="E2639" s="569" t="s">
        <v>187</v>
      </c>
      <c r="F2639" s="569" t="s">
        <v>271</v>
      </c>
      <c r="G2639" s="569">
        <v>2019</v>
      </c>
      <c r="H2639" s="569" t="s">
        <v>4503</v>
      </c>
      <c r="I2639" s="569" t="s">
        <v>4684</v>
      </c>
      <c r="J2639" s="569" t="s">
        <v>752</v>
      </c>
      <c r="K2639" s="569">
        <v>3</v>
      </c>
      <c r="L2639" s="569">
        <v>0</v>
      </c>
      <c r="M2639" s="569" t="s">
        <v>157</v>
      </c>
      <c r="N2639" s="569">
        <v>1</v>
      </c>
      <c r="O2639" s="569" t="s">
        <v>3846</v>
      </c>
      <c r="P2639" s="568">
        <v>12700</v>
      </c>
      <c r="Q2639" s="569" t="s">
        <v>4231</v>
      </c>
      <c r="R2639" s="569">
        <v>8</v>
      </c>
      <c r="S2639" s="569" t="s">
        <v>4696</v>
      </c>
      <c r="T2639" s="569" t="s">
        <v>4558</v>
      </c>
      <c r="U2639" s="569">
        <v>142</v>
      </c>
      <c r="V2639" s="569">
        <v>29</v>
      </c>
      <c r="W2639" s="620">
        <v>14000</v>
      </c>
      <c r="X2639" s="621" t="s">
        <v>157</v>
      </c>
      <c r="Y2639" s="621" t="s">
        <v>728</v>
      </c>
      <c r="Z2639" s="621" t="s">
        <v>1523</v>
      </c>
      <c r="AA2639" s="622">
        <v>49220</v>
      </c>
      <c r="AB2639" s="622" t="s">
        <v>164</v>
      </c>
      <c r="AC2639" s="622">
        <v>37875.052631578954</v>
      </c>
      <c r="AD2639" s="623">
        <v>0.03</v>
      </c>
      <c r="AE2639" s="621" t="s">
        <v>4698</v>
      </c>
    </row>
    <row r="2640" spans="1:31" s="572" customFormat="1">
      <c r="A2640" s="570" t="s">
        <v>4705</v>
      </c>
      <c r="B2640" s="573" t="s">
        <v>269</v>
      </c>
      <c r="C2640" s="578" t="s">
        <v>270</v>
      </c>
      <c r="D2640" s="573" t="s">
        <v>3374</v>
      </c>
      <c r="E2640" s="573" t="s">
        <v>187</v>
      </c>
      <c r="F2640" s="573" t="s">
        <v>271</v>
      </c>
      <c r="G2640" s="573">
        <v>2019</v>
      </c>
      <c r="H2640" s="573" t="s">
        <v>4503</v>
      </c>
      <c r="I2640" s="573" t="s">
        <v>3916</v>
      </c>
      <c r="J2640" s="573" t="s">
        <v>3377</v>
      </c>
      <c r="K2640" s="573">
        <v>3</v>
      </c>
      <c r="L2640" s="573">
        <v>0</v>
      </c>
      <c r="M2640" s="573" t="s">
        <v>157</v>
      </c>
      <c r="N2640" s="573">
        <v>1</v>
      </c>
      <c r="O2640" s="573" t="s">
        <v>3846</v>
      </c>
      <c r="P2640" s="571">
        <v>13000</v>
      </c>
      <c r="Q2640" s="573" t="s">
        <v>4235</v>
      </c>
      <c r="R2640" s="573">
        <v>8</v>
      </c>
      <c r="S2640" s="582" t="s">
        <v>4662</v>
      </c>
      <c r="T2640" s="573" t="s">
        <v>4584</v>
      </c>
      <c r="U2640" s="573">
        <v>142</v>
      </c>
      <c r="V2640" s="573">
        <v>34</v>
      </c>
      <c r="W2640" s="616">
        <v>10400</v>
      </c>
      <c r="X2640" s="617" t="s">
        <v>157</v>
      </c>
      <c r="Y2640" s="617" t="s">
        <v>450</v>
      </c>
      <c r="Z2640" s="617" t="s">
        <v>178</v>
      </c>
      <c r="AA2640" s="618">
        <v>40040</v>
      </c>
      <c r="AB2640" s="618" t="s">
        <v>164</v>
      </c>
      <c r="AC2640" s="618">
        <v>30048.126315789475</v>
      </c>
      <c r="AD2640" s="619">
        <v>0.03</v>
      </c>
      <c r="AE2640" s="617" t="s">
        <v>4706</v>
      </c>
    </row>
    <row r="2641" spans="1:31" s="572" customFormat="1">
      <c r="A2641" s="570" t="s">
        <v>4707</v>
      </c>
      <c r="B2641" s="569" t="s">
        <v>269</v>
      </c>
      <c r="C2641" s="580" t="s">
        <v>270</v>
      </c>
      <c r="D2641" s="569" t="s">
        <v>3374</v>
      </c>
      <c r="E2641" s="569" t="s">
        <v>187</v>
      </c>
      <c r="F2641" s="569" t="s">
        <v>271</v>
      </c>
      <c r="G2641" s="569">
        <v>2019</v>
      </c>
      <c r="H2641" s="569" t="s">
        <v>4503</v>
      </c>
      <c r="I2641" s="569" t="s">
        <v>3916</v>
      </c>
      <c r="J2641" s="569" t="s">
        <v>3377</v>
      </c>
      <c r="K2641" s="569">
        <v>3</v>
      </c>
      <c r="L2641" s="569">
        <v>0</v>
      </c>
      <c r="M2641" s="569" t="s">
        <v>157</v>
      </c>
      <c r="N2641" s="569">
        <v>1</v>
      </c>
      <c r="O2641" s="569" t="s">
        <v>3846</v>
      </c>
      <c r="P2641" s="568">
        <v>13000</v>
      </c>
      <c r="Q2641" s="569" t="s">
        <v>4231</v>
      </c>
      <c r="R2641" s="569">
        <v>8</v>
      </c>
      <c r="S2641" s="569" t="s">
        <v>4662</v>
      </c>
      <c r="T2641" s="569" t="s">
        <v>4584</v>
      </c>
      <c r="U2641" s="569">
        <v>142</v>
      </c>
      <c r="V2641" s="569">
        <v>29</v>
      </c>
      <c r="W2641" s="620">
        <v>11100</v>
      </c>
      <c r="X2641" s="621" t="s">
        <v>157</v>
      </c>
      <c r="Y2641" s="621" t="s">
        <v>728</v>
      </c>
      <c r="Z2641" s="621" t="s">
        <v>1523</v>
      </c>
      <c r="AA2641" s="622">
        <v>49160</v>
      </c>
      <c r="AB2641" s="622" t="s">
        <v>164</v>
      </c>
      <c r="AC2641" s="622">
        <v>38240</v>
      </c>
      <c r="AD2641" s="623">
        <v>0.03</v>
      </c>
      <c r="AE2641" s="621" t="s">
        <v>4708</v>
      </c>
    </row>
    <row r="2642" spans="1:31" s="572" customFormat="1">
      <c r="A2642" s="570" t="s">
        <v>4709</v>
      </c>
      <c r="B2642" s="573" t="s">
        <v>269</v>
      </c>
      <c r="C2642" s="578" t="s">
        <v>270</v>
      </c>
      <c r="D2642" s="573" t="s">
        <v>3374</v>
      </c>
      <c r="E2642" s="573" t="s">
        <v>187</v>
      </c>
      <c r="F2642" s="573" t="s">
        <v>271</v>
      </c>
      <c r="G2642" s="573">
        <v>2019</v>
      </c>
      <c r="H2642" s="573" t="s">
        <v>4503</v>
      </c>
      <c r="I2642" s="573" t="s">
        <v>3916</v>
      </c>
      <c r="J2642" s="573" t="s">
        <v>3377</v>
      </c>
      <c r="K2642" s="573">
        <v>3</v>
      </c>
      <c r="L2642" s="573">
        <v>0</v>
      </c>
      <c r="M2642" s="573" t="s">
        <v>157</v>
      </c>
      <c r="N2642" s="573">
        <v>1</v>
      </c>
      <c r="O2642" s="573" t="s">
        <v>3846</v>
      </c>
      <c r="P2642" s="571">
        <v>13100</v>
      </c>
      <c r="Q2642" s="573" t="s">
        <v>4235</v>
      </c>
      <c r="R2642" s="573">
        <v>8</v>
      </c>
      <c r="S2642" s="582" t="s">
        <v>4662</v>
      </c>
      <c r="T2642" s="573" t="s">
        <v>4584</v>
      </c>
      <c r="U2642" s="573">
        <v>142</v>
      </c>
      <c r="V2642" s="573">
        <v>34</v>
      </c>
      <c r="W2642" s="616">
        <v>10000</v>
      </c>
      <c r="X2642" s="617" t="s">
        <v>157</v>
      </c>
      <c r="Y2642" s="617" t="s">
        <v>450</v>
      </c>
      <c r="Z2642" s="617" t="s">
        <v>178</v>
      </c>
      <c r="AA2642" s="618">
        <v>40040</v>
      </c>
      <c r="AB2642" s="618" t="s">
        <v>164</v>
      </c>
      <c r="AC2642" s="618">
        <v>30048.126315789475</v>
      </c>
      <c r="AD2642" s="619">
        <v>0.03</v>
      </c>
      <c r="AE2642" s="617" t="s">
        <v>4710</v>
      </c>
    </row>
    <row r="2643" spans="1:31" s="572" customFormat="1">
      <c r="A2643" s="570" t="s">
        <v>4711</v>
      </c>
      <c r="B2643" s="569" t="s">
        <v>278</v>
      </c>
      <c r="C2643" s="580">
        <v>15</v>
      </c>
      <c r="D2643" s="569" t="s">
        <v>3374</v>
      </c>
      <c r="E2643" s="569" t="s">
        <v>187</v>
      </c>
      <c r="F2643" s="569" t="s">
        <v>271</v>
      </c>
      <c r="G2643" s="569">
        <v>2019</v>
      </c>
      <c r="H2643" s="569" t="s">
        <v>4503</v>
      </c>
      <c r="I2643" s="569" t="s">
        <v>3916</v>
      </c>
      <c r="J2643" s="569" t="s">
        <v>3377</v>
      </c>
      <c r="K2643" s="569">
        <v>3</v>
      </c>
      <c r="L2643" s="569">
        <v>0</v>
      </c>
      <c r="M2643" s="569" t="s">
        <v>157</v>
      </c>
      <c r="N2643" s="569">
        <v>1</v>
      </c>
      <c r="O2643" s="569" t="s">
        <v>3846</v>
      </c>
      <c r="P2643" s="568">
        <v>13000</v>
      </c>
      <c r="Q2643" s="569" t="s">
        <v>4235</v>
      </c>
      <c r="R2643" s="569">
        <v>8</v>
      </c>
      <c r="S2643" s="569" t="s">
        <v>4662</v>
      </c>
      <c r="T2643" s="569" t="s">
        <v>4584</v>
      </c>
      <c r="U2643" s="569">
        <v>142</v>
      </c>
      <c r="V2643" s="569">
        <v>34</v>
      </c>
      <c r="W2643" s="620">
        <v>10400</v>
      </c>
      <c r="X2643" s="621" t="s">
        <v>157</v>
      </c>
      <c r="Y2643" s="621" t="s">
        <v>450</v>
      </c>
      <c r="Z2643" s="621" t="s">
        <v>178</v>
      </c>
      <c r="AA2643" s="622">
        <v>40040</v>
      </c>
      <c r="AB2643" s="622" t="s">
        <v>164</v>
      </c>
      <c r="AC2643" s="622">
        <v>30150</v>
      </c>
      <c r="AD2643" s="623">
        <v>0.01</v>
      </c>
      <c r="AE2643" s="621" t="s">
        <v>4706</v>
      </c>
    </row>
    <row r="2644" spans="1:31" s="572" customFormat="1">
      <c r="A2644" s="570" t="s">
        <v>4712</v>
      </c>
      <c r="B2644" s="573" t="s">
        <v>278</v>
      </c>
      <c r="C2644" s="578">
        <v>15</v>
      </c>
      <c r="D2644" s="573" t="s">
        <v>3374</v>
      </c>
      <c r="E2644" s="573" t="s">
        <v>187</v>
      </c>
      <c r="F2644" s="573" t="s">
        <v>271</v>
      </c>
      <c r="G2644" s="573">
        <v>2019</v>
      </c>
      <c r="H2644" s="573" t="s">
        <v>4503</v>
      </c>
      <c r="I2644" s="573" t="s">
        <v>3916</v>
      </c>
      <c r="J2644" s="573" t="s">
        <v>3377</v>
      </c>
      <c r="K2644" s="573">
        <v>3</v>
      </c>
      <c r="L2644" s="573">
        <v>0</v>
      </c>
      <c r="M2644" s="573" t="s">
        <v>157</v>
      </c>
      <c r="N2644" s="573">
        <v>1</v>
      </c>
      <c r="O2644" s="573" t="s">
        <v>3846</v>
      </c>
      <c r="P2644" s="571">
        <v>13000</v>
      </c>
      <c r="Q2644" s="573" t="s">
        <v>4231</v>
      </c>
      <c r="R2644" s="573">
        <v>8</v>
      </c>
      <c r="S2644" s="582" t="s">
        <v>4662</v>
      </c>
      <c r="T2644" s="573" t="s">
        <v>4584</v>
      </c>
      <c r="U2644" s="573">
        <v>142</v>
      </c>
      <c r="V2644" s="573">
        <v>29</v>
      </c>
      <c r="W2644" s="616">
        <v>11100</v>
      </c>
      <c r="X2644" s="617" t="s">
        <v>157</v>
      </c>
      <c r="Y2644" s="617" t="s">
        <v>728</v>
      </c>
      <c r="Z2644" s="617" t="s">
        <v>1523</v>
      </c>
      <c r="AA2644" s="618">
        <v>49160</v>
      </c>
      <c r="AB2644" s="618" t="s">
        <v>164</v>
      </c>
      <c r="AC2644" s="618">
        <v>38500</v>
      </c>
      <c r="AD2644" s="619">
        <v>0.01</v>
      </c>
      <c r="AE2644" s="617" t="s">
        <v>4708</v>
      </c>
    </row>
    <row r="2645" spans="1:31" s="572" customFormat="1">
      <c r="A2645" s="570" t="s">
        <v>4713</v>
      </c>
      <c r="B2645" s="569" t="s">
        <v>287</v>
      </c>
      <c r="C2645" s="580">
        <v>26</v>
      </c>
      <c r="D2645" s="569" t="s">
        <v>3374</v>
      </c>
      <c r="E2645" s="569" t="s">
        <v>187</v>
      </c>
      <c r="F2645" s="569" t="s">
        <v>271</v>
      </c>
      <c r="G2645" s="569">
        <v>2019</v>
      </c>
      <c r="H2645" s="569" t="s">
        <v>4503</v>
      </c>
      <c r="I2645" s="569" t="s">
        <v>3916</v>
      </c>
      <c r="J2645" s="569" t="s">
        <v>3377</v>
      </c>
      <c r="K2645" s="569">
        <v>3</v>
      </c>
      <c r="L2645" s="569">
        <v>0</v>
      </c>
      <c r="M2645" s="569" t="s">
        <v>157</v>
      </c>
      <c r="N2645" s="569">
        <v>1</v>
      </c>
      <c r="O2645" s="569" t="s">
        <v>3846</v>
      </c>
      <c r="P2645" s="568">
        <v>13000</v>
      </c>
      <c r="Q2645" s="569" t="s">
        <v>4235</v>
      </c>
      <c r="R2645" s="569">
        <v>8</v>
      </c>
      <c r="S2645" s="569" t="s">
        <v>4662</v>
      </c>
      <c r="T2645" s="569" t="s">
        <v>4584</v>
      </c>
      <c r="U2645" s="569">
        <v>142</v>
      </c>
      <c r="V2645" s="569">
        <v>34</v>
      </c>
      <c r="W2645" s="620">
        <v>10400</v>
      </c>
      <c r="X2645" s="621" t="s">
        <v>157</v>
      </c>
      <c r="Y2645" s="621" t="s">
        <v>450</v>
      </c>
      <c r="Z2645" s="621" t="s">
        <v>178</v>
      </c>
      <c r="AA2645" s="622">
        <v>39590</v>
      </c>
      <c r="AB2645" s="622" t="s">
        <v>164</v>
      </c>
      <c r="AC2645" s="622">
        <v>30222</v>
      </c>
      <c r="AD2645" s="623">
        <v>0.05</v>
      </c>
      <c r="AE2645" s="621" t="s">
        <v>4706</v>
      </c>
    </row>
    <row r="2646" spans="1:31" s="572" customFormat="1">
      <c r="A2646" s="570" t="s">
        <v>4714</v>
      </c>
      <c r="B2646" s="573" t="s">
        <v>287</v>
      </c>
      <c r="C2646" s="578">
        <v>26</v>
      </c>
      <c r="D2646" s="573" t="s">
        <v>3374</v>
      </c>
      <c r="E2646" s="573" t="s">
        <v>187</v>
      </c>
      <c r="F2646" s="573" t="s">
        <v>271</v>
      </c>
      <c r="G2646" s="573">
        <v>2019</v>
      </c>
      <c r="H2646" s="573" t="s">
        <v>4503</v>
      </c>
      <c r="I2646" s="573" t="s">
        <v>3916</v>
      </c>
      <c r="J2646" s="573" t="s">
        <v>3377</v>
      </c>
      <c r="K2646" s="573">
        <v>3</v>
      </c>
      <c r="L2646" s="573">
        <v>0</v>
      </c>
      <c r="M2646" s="573" t="s">
        <v>157</v>
      </c>
      <c r="N2646" s="573">
        <v>1</v>
      </c>
      <c r="O2646" s="573" t="s">
        <v>3846</v>
      </c>
      <c r="P2646" s="571">
        <v>13000</v>
      </c>
      <c r="Q2646" s="573" t="s">
        <v>4231</v>
      </c>
      <c r="R2646" s="573">
        <v>8</v>
      </c>
      <c r="S2646" s="582" t="s">
        <v>4662</v>
      </c>
      <c r="T2646" s="573" t="s">
        <v>4584</v>
      </c>
      <c r="U2646" s="573">
        <v>142</v>
      </c>
      <c r="V2646" s="573">
        <v>29</v>
      </c>
      <c r="W2646" s="616">
        <v>11100</v>
      </c>
      <c r="X2646" s="617" t="s">
        <v>157</v>
      </c>
      <c r="Y2646" s="617" t="s">
        <v>728</v>
      </c>
      <c r="Z2646" s="617" t="s">
        <v>1523</v>
      </c>
      <c r="AA2646" s="618">
        <v>49160</v>
      </c>
      <c r="AB2646" s="618" t="s">
        <v>164</v>
      </c>
      <c r="AC2646" s="618">
        <v>38416</v>
      </c>
      <c r="AD2646" s="619">
        <v>0.05</v>
      </c>
      <c r="AE2646" s="617" t="s">
        <v>4708</v>
      </c>
    </row>
    <row r="2647" spans="1:31" s="572" customFormat="1">
      <c r="A2647" s="570" t="s">
        <v>4715</v>
      </c>
      <c r="B2647" s="569" t="s">
        <v>280</v>
      </c>
      <c r="C2647" s="580">
        <v>27</v>
      </c>
      <c r="D2647" s="569" t="s">
        <v>3374</v>
      </c>
      <c r="E2647" s="569" t="s">
        <v>187</v>
      </c>
      <c r="F2647" s="569" t="s">
        <v>271</v>
      </c>
      <c r="G2647" s="569">
        <v>2019</v>
      </c>
      <c r="H2647" s="569" t="s">
        <v>4503</v>
      </c>
      <c r="I2647" s="569" t="s">
        <v>3916</v>
      </c>
      <c r="J2647" s="569" t="s">
        <v>3377</v>
      </c>
      <c r="K2647" s="569">
        <v>3</v>
      </c>
      <c r="L2647" s="569">
        <v>0</v>
      </c>
      <c r="M2647" s="569" t="s">
        <v>157</v>
      </c>
      <c r="N2647" s="569">
        <v>1</v>
      </c>
      <c r="O2647" s="569" t="s">
        <v>3846</v>
      </c>
      <c r="P2647" s="568">
        <v>13000</v>
      </c>
      <c r="Q2647" s="569" t="s">
        <v>4235</v>
      </c>
      <c r="R2647" s="569">
        <v>8</v>
      </c>
      <c r="S2647" s="569" t="s">
        <v>4662</v>
      </c>
      <c r="T2647" s="569" t="s">
        <v>4584</v>
      </c>
      <c r="U2647" s="569">
        <v>142</v>
      </c>
      <c r="V2647" s="569">
        <v>34</v>
      </c>
      <c r="W2647" s="620">
        <v>10400</v>
      </c>
      <c r="X2647" s="621" t="s">
        <v>157</v>
      </c>
      <c r="Y2647" s="621" t="s">
        <v>450</v>
      </c>
      <c r="Z2647" s="621" t="s">
        <v>178</v>
      </c>
      <c r="AA2647" s="622">
        <v>40040</v>
      </c>
      <c r="AB2647" s="622" t="s">
        <v>164</v>
      </c>
      <c r="AC2647" s="622">
        <v>30048.126315789475</v>
      </c>
      <c r="AD2647" s="623">
        <v>0.03</v>
      </c>
      <c r="AE2647" s="621" t="s">
        <v>4706</v>
      </c>
    </row>
    <row r="2648" spans="1:31" s="572" customFormat="1">
      <c r="A2648" s="570" t="s">
        <v>4716</v>
      </c>
      <c r="B2648" s="573" t="s">
        <v>280</v>
      </c>
      <c r="C2648" s="578">
        <v>27</v>
      </c>
      <c r="D2648" s="573" t="s">
        <v>3374</v>
      </c>
      <c r="E2648" s="573" t="s">
        <v>187</v>
      </c>
      <c r="F2648" s="573" t="s">
        <v>271</v>
      </c>
      <c r="G2648" s="573">
        <v>2019</v>
      </c>
      <c r="H2648" s="573" t="s">
        <v>4503</v>
      </c>
      <c r="I2648" s="573" t="s">
        <v>3916</v>
      </c>
      <c r="J2648" s="573" t="s">
        <v>3377</v>
      </c>
      <c r="K2648" s="573">
        <v>3</v>
      </c>
      <c r="L2648" s="573">
        <v>0</v>
      </c>
      <c r="M2648" s="573" t="s">
        <v>157</v>
      </c>
      <c r="N2648" s="573">
        <v>1</v>
      </c>
      <c r="O2648" s="573" t="s">
        <v>3846</v>
      </c>
      <c r="P2648" s="571">
        <v>13000</v>
      </c>
      <c r="Q2648" s="573" t="s">
        <v>4231</v>
      </c>
      <c r="R2648" s="573">
        <v>8</v>
      </c>
      <c r="S2648" s="582" t="s">
        <v>4662</v>
      </c>
      <c r="T2648" s="573" t="s">
        <v>4584</v>
      </c>
      <c r="U2648" s="573">
        <v>142</v>
      </c>
      <c r="V2648" s="573">
        <v>29</v>
      </c>
      <c r="W2648" s="616">
        <v>11100</v>
      </c>
      <c r="X2648" s="617" t="s">
        <v>157</v>
      </c>
      <c r="Y2648" s="617" t="s">
        <v>728</v>
      </c>
      <c r="Z2648" s="617" t="s">
        <v>1523</v>
      </c>
      <c r="AA2648" s="618">
        <v>49160</v>
      </c>
      <c r="AB2648" s="618" t="s">
        <v>164</v>
      </c>
      <c r="AC2648" s="618">
        <v>38240</v>
      </c>
      <c r="AD2648" s="619">
        <v>0.03</v>
      </c>
      <c r="AE2648" s="617" t="s">
        <v>4708</v>
      </c>
    </row>
    <row r="2649" spans="1:31" s="572" customFormat="1">
      <c r="A2649" s="570" t="s">
        <v>4717</v>
      </c>
      <c r="B2649" s="569" t="s">
        <v>280</v>
      </c>
      <c r="C2649" s="580">
        <v>27</v>
      </c>
      <c r="D2649" s="569" t="s">
        <v>3374</v>
      </c>
      <c r="E2649" s="569" t="s">
        <v>187</v>
      </c>
      <c r="F2649" s="569" t="s">
        <v>271</v>
      </c>
      <c r="G2649" s="569">
        <v>2019</v>
      </c>
      <c r="H2649" s="569" t="s">
        <v>4503</v>
      </c>
      <c r="I2649" s="569" t="s">
        <v>3916</v>
      </c>
      <c r="J2649" s="569" t="s">
        <v>3377</v>
      </c>
      <c r="K2649" s="569">
        <v>3</v>
      </c>
      <c r="L2649" s="569">
        <v>0</v>
      </c>
      <c r="M2649" s="569" t="s">
        <v>157</v>
      </c>
      <c r="N2649" s="569">
        <v>1</v>
      </c>
      <c r="O2649" s="569" t="s">
        <v>3846</v>
      </c>
      <c r="P2649" s="568">
        <v>13100</v>
      </c>
      <c r="Q2649" s="569" t="s">
        <v>4235</v>
      </c>
      <c r="R2649" s="569">
        <v>8</v>
      </c>
      <c r="S2649" s="569" t="s">
        <v>4662</v>
      </c>
      <c r="T2649" s="569" t="s">
        <v>4584</v>
      </c>
      <c r="U2649" s="569">
        <v>142</v>
      </c>
      <c r="V2649" s="569">
        <v>34</v>
      </c>
      <c r="W2649" s="620">
        <v>10000</v>
      </c>
      <c r="X2649" s="621" t="s">
        <v>157</v>
      </c>
      <c r="Y2649" s="621" t="s">
        <v>450</v>
      </c>
      <c r="Z2649" s="621" t="s">
        <v>178</v>
      </c>
      <c r="AA2649" s="622">
        <v>40040</v>
      </c>
      <c r="AB2649" s="622" t="s">
        <v>164</v>
      </c>
      <c r="AC2649" s="622">
        <v>30048.126315789475</v>
      </c>
      <c r="AD2649" s="623">
        <v>0.03</v>
      </c>
      <c r="AE2649" s="621" t="s">
        <v>4710</v>
      </c>
    </row>
    <row r="2650" spans="1:31" s="572" customFormat="1">
      <c r="A2650" s="570" t="s">
        <v>4718</v>
      </c>
      <c r="B2650" s="573" t="s">
        <v>269</v>
      </c>
      <c r="C2650" s="578" t="s">
        <v>270</v>
      </c>
      <c r="D2650" s="573" t="s">
        <v>3374</v>
      </c>
      <c r="E2650" s="573" t="s">
        <v>187</v>
      </c>
      <c r="F2650" s="573" t="s">
        <v>271</v>
      </c>
      <c r="G2650" s="573">
        <v>2019</v>
      </c>
      <c r="H2650" s="573" t="s">
        <v>4503</v>
      </c>
      <c r="I2650" s="573" t="s">
        <v>3916</v>
      </c>
      <c r="J2650" s="573" t="s">
        <v>752</v>
      </c>
      <c r="K2650" s="573">
        <v>3</v>
      </c>
      <c r="L2650" s="573">
        <v>0</v>
      </c>
      <c r="M2650" s="573" t="s">
        <v>157</v>
      </c>
      <c r="N2650" s="573">
        <v>1</v>
      </c>
      <c r="O2650" s="573" t="s">
        <v>3846</v>
      </c>
      <c r="P2650" s="571">
        <v>12600</v>
      </c>
      <c r="Q2650" s="573" t="s">
        <v>4235</v>
      </c>
      <c r="R2650" s="573">
        <v>8</v>
      </c>
      <c r="S2650" s="582" t="s">
        <v>4673</v>
      </c>
      <c r="T2650" s="573" t="s">
        <v>4584</v>
      </c>
      <c r="U2650" s="573">
        <v>142</v>
      </c>
      <c r="V2650" s="573">
        <v>34</v>
      </c>
      <c r="W2650" s="616">
        <v>10800</v>
      </c>
      <c r="X2650" s="617" t="s">
        <v>157</v>
      </c>
      <c r="Y2650" s="617" t="s">
        <v>450</v>
      </c>
      <c r="Z2650" s="617" t="s">
        <v>178</v>
      </c>
      <c r="AA2650" s="618">
        <v>42840</v>
      </c>
      <c r="AB2650" s="618" t="s">
        <v>164</v>
      </c>
      <c r="AC2650" s="618">
        <v>31581.810526315792</v>
      </c>
      <c r="AD2650" s="619">
        <v>0.03</v>
      </c>
      <c r="AE2650" s="617" t="s">
        <v>4719</v>
      </c>
    </row>
    <row r="2651" spans="1:31" s="572" customFormat="1">
      <c r="A2651" s="570" t="s">
        <v>4720</v>
      </c>
      <c r="B2651" s="569" t="s">
        <v>269</v>
      </c>
      <c r="C2651" s="580" t="s">
        <v>270</v>
      </c>
      <c r="D2651" s="569" t="s">
        <v>3374</v>
      </c>
      <c r="E2651" s="569" t="s">
        <v>187</v>
      </c>
      <c r="F2651" s="569" t="s">
        <v>271</v>
      </c>
      <c r="G2651" s="569">
        <v>2019</v>
      </c>
      <c r="H2651" s="569" t="s">
        <v>4503</v>
      </c>
      <c r="I2651" s="569" t="s">
        <v>3916</v>
      </c>
      <c r="J2651" s="569" t="s">
        <v>752</v>
      </c>
      <c r="K2651" s="569">
        <v>3</v>
      </c>
      <c r="L2651" s="569">
        <v>0</v>
      </c>
      <c r="M2651" s="569" t="s">
        <v>157</v>
      </c>
      <c r="N2651" s="569">
        <v>1</v>
      </c>
      <c r="O2651" s="569" t="s">
        <v>3846</v>
      </c>
      <c r="P2651" s="568">
        <v>12600</v>
      </c>
      <c r="Q2651" s="569" t="s">
        <v>4231</v>
      </c>
      <c r="R2651" s="569">
        <v>8</v>
      </c>
      <c r="S2651" s="569" t="s">
        <v>4673</v>
      </c>
      <c r="T2651" s="569" t="s">
        <v>4584</v>
      </c>
      <c r="U2651" s="569">
        <v>142</v>
      </c>
      <c r="V2651" s="569">
        <v>29</v>
      </c>
      <c r="W2651" s="620">
        <v>11500</v>
      </c>
      <c r="X2651" s="621" t="s">
        <v>157</v>
      </c>
      <c r="Y2651" s="621" t="s">
        <v>728</v>
      </c>
      <c r="Z2651" s="621" t="s">
        <v>1523</v>
      </c>
      <c r="AA2651" s="622">
        <v>51960</v>
      </c>
      <c r="AB2651" s="622" t="s">
        <v>164</v>
      </c>
      <c r="AC2651" s="622">
        <v>39774.000000000007</v>
      </c>
      <c r="AD2651" s="623">
        <v>0.03</v>
      </c>
      <c r="AE2651" s="621" t="s">
        <v>4721</v>
      </c>
    </row>
    <row r="2652" spans="1:31" s="572" customFormat="1">
      <c r="A2652" s="570" t="s">
        <v>4722</v>
      </c>
      <c r="B2652" s="573" t="s">
        <v>278</v>
      </c>
      <c r="C2652" s="578">
        <v>15</v>
      </c>
      <c r="D2652" s="573" t="s">
        <v>3374</v>
      </c>
      <c r="E2652" s="573" t="s">
        <v>187</v>
      </c>
      <c r="F2652" s="573" t="s">
        <v>271</v>
      </c>
      <c r="G2652" s="573">
        <v>2019</v>
      </c>
      <c r="H2652" s="573" t="s">
        <v>4503</v>
      </c>
      <c r="I2652" s="573" t="s">
        <v>3916</v>
      </c>
      <c r="J2652" s="573" t="s">
        <v>752</v>
      </c>
      <c r="K2652" s="573">
        <v>3</v>
      </c>
      <c r="L2652" s="573">
        <v>0</v>
      </c>
      <c r="M2652" s="573" t="s">
        <v>157</v>
      </c>
      <c r="N2652" s="573">
        <v>1</v>
      </c>
      <c r="O2652" s="573" t="s">
        <v>3846</v>
      </c>
      <c r="P2652" s="571">
        <v>12600</v>
      </c>
      <c r="Q2652" s="573" t="s">
        <v>4235</v>
      </c>
      <c r="R2652" s="573">
        <v>8</v>
      </c>
      <c r="S2652" s="582" t="s">
        <v>4673</v>
      </c>
      <c r="T2652" s="573" t="s">
        <v>4584</v>
      </c>
      <c r="U2652" s="573">
        <v>142</v>
      </c>
      <c r="V2652" s="573">
        <v>34</v>
      </c>
      <c r="W2652" s="616">
        <v>10800</v>
      </c>
      <c r="X2652" s="617" t="s">
        <v>157</v>
      </c>
      <c r="Y2652" s="617" t="s">
        <v>450</v>
      </c>
      <c r="Z2652" s="617" t="s">
        <v>178</v>
      </c>
      <c r="AA2652" s="618">
        <v>42840</v>
      </c>
      <c r="AB2652" s="618" t="s">
        <v>164</v>
      </c>
      <c r="AC2652" s="618">
        <v>31700</v>
      </c>
      <c r="AD2652" s="619">
        <v>0.01</v>
      </c>
      <c r="AE2652" s="617" t="s">
        <v>4719</v>
      </c>
    </row>
    <row r="2653" spans="1:31" s="572" customFormat="1">
      <c r="A2653" s="570" t="s">
        <v>4723</v>
      </c>
      <c r="B2653" s="569" t="s">
        <v>278</v>
      </c>
      <c r="C2653" s="580">
        <v>15</v>
      </c>
      <c r="D2653" s="569" t="s">
        <v>3374</v>
      </c>
      <c r="E2653" s="569" t="s">
        <v>187</v>
      </c>
      <c r="F2653" s="569" t="s">
        <v>271</v>
      </c>
      <c r="G2653" s="569">
        <v>2019</v>
      </c>
      <c r="H2653" s="569" t="s">
        <v>4503</v>
      </c>
      <c r="I2653" s="569" t="s">
        <v>3916</v>
      </c>
      <c r="J2653" s="569" t="s">
        <v>752</v>
      </c>
      <c r="K2653" s="569">
        <v>3</v>
      </c>
      <c r="L2653" s="569">
        <v>0</v>
      </c>
      <c r="M2653" s="569" t="s">
        <v>157</v>
      </c>
      <c r="N2653" s="569">
        <v>1</v>
      </c>
      <c r="O2653" s="569" t="s">
        <v>3846</v>
      </c>
      <c r="P2653" s="568">
        <v>12600</v>
      </c>
      <c r="Q2653" s="569" t="s">
        <v>4231</v>
      </c>
      <c r="R2653" s="569">
        <v>8</v>
      </c>
      <c r="S2653" s="569" t="s">
        <v>4673</v>
      </c>
      <c r="T2653" s="569" t="s">
        <v>4584</v>
      </c>
      <c r="U2653" s="569">
        <v>142</v>
      </c>
      <c r="V2653" s="569">
        <v>29</v>
      </c>
      <c r="W2653" s="620">
        <v>11500</v>
      </c>
      <c r="X2653" s="621" t="s">
        <v>157</v>
      </c>
      <c r="Y2653" s="621" t="s">
        <v>728</v>
      </c>
      <c r="Z2653" s="621" t="s">
        <v>1523</v>
      </c>
      <c r="AA2653" s="622">
        <v>51960</v>
      </c>
      <c r="AB2653" s="622" t="s">
        <v>164</v>
      </c>
      <c r="AC2653" s="622">
        <v>39995</v>
      </c>
      <c r="AD2653" s="623">
        <v>0.01</v>
      </c>
      <c r="AE2653" s="621" t="s">
        <v>4721</v>
      </c>
    </row>
    <row r="2654" spans="1:31" s="572" customFormat="1">
      <c r="A2654" s="570" t="s">
        <v>4724</v>
      </c>
      <c r="B2654" s="573" t="s">
        <v>287</v>
      </c>
      <c r="C2654" s="578">
        <v>26</v>
      </c>
      <c r="D2654" s="573" t="s">
        <v>3374</v>
      </c>
      <c r="E2654" s="573" t="s">
        <v>187</v>
      </c>
      <c r="F2654" s="573" t="s">
        <v>271</v>
      </c>
      <c r="G2654" s="573">
        <v>2019</v>
      </c>
      <c r="H2654" s="573" t="s">
        <v>4503</v>
      </c>
      <c r="I2654" s="573" t="s">
        <v>3916</v>
      </c>
      <c r="J2654" s="573" t="s">
        <v>752</v>
      </c>
      <c r="K2654" s="573">
        <v>3</v>
      </c>
      <c r="L2654" s="573">
        <v>0</v>
      </c>
      <c r="M2654" s="573" t="s">
        <v>157</v>
      </c>
      <c r="N2654" s="573">
        <v>1</v>
      </c>
      <c r="O2654" s="573" t="s">
        <v>3846</v>
      </c>
      <c r="P2654" s="571">
        <v>12600</v>
      </c>
      <c r="Q2654" s="573" t="s">
        <v>4235</v>
      </c>
      <c r="R2654" s="573">
        <v>8</v>
      </c>
      <c r="S2654" s="582" t="s">
        <v>4673</v>
      </c>
      <c r="T2654" s="573" t="s">
        <v>4584</v>
      </c>
      <c r="U2654" s="573">
        <v>142</v>
      </c>
      <c r="V2654" s="573">
        <v>34</v>
      </c>
      <c r="W2654" s="616">
        <v>10800</v>
      </c>
      <c r="X2654" s="617" t="s">
        <v>157</v>
      </c>
      <c r="Y2654" s="617" t="s">
        <v>450</v>
      </c>
      <c r="Z2654" s="617" t="s">
        <v>178</v>
      </c>
      <c r="AA2654" s="618">
        <v>42840</v>
      </c>
      <c r="AB2654" s="618" t="s">
        <v>164</v>
      </c>
      <c r="AC2654" s="618">
        <v>31779</v>
      </c>
      <c r="AD2654" s="619">
        <v>0.05</v>
      </c>
      <c r="AE2654" s="617" t="s">
        <v>4719</v>
      </c>
    </row>
    <row r="2655" spans="1:31" s="572" customFormat="1">
      <c r="A2655" s="570" t="s">
        <v>4725</v>
      </c>
      <c r="B2655" s="569" t="s">
        <v>287</v>
      </c>
      <c r="C2655" s="580">
        <v>26</v>
      </c>
      <c r="D2655" s="569" t="s">
        <v>3374</v>
      </c>
      <c r="E2655" s="569" t="s">
        <v>187</v>
      </c>
      <c r="F2655" s="569" t="s">
        <v>271</v>
      </c>
      <c r="G2655" s="569">
        <v>2019</v>
      </c>
      <c r="H2655" s="569" t="s">
        <v>4503</v>
      </c>
      <c r="I2655" s="569" t="s">
        <v>3916</v>
      </c>
      <c r="J2655" s="569" t="s">
        <v>752</v>
      </c>
      <c r="K2655" s="569">
        <v>3</v>
      </c>
      <c r="L2655" s="569">
        <v>0</v>
      </c>
      <c r="M2655" s="569" t="s">
        <v>157</v>
      </c>
      <c r="N2655" s="569">
        <v>1</v>
      </c>
      <c r="O2655" s="569" t="s">
        <v>3846</v>
      </c>
      <c r="P2655" s="568">
        <v>12600</v>
      </c>
      <c r="Q2655" s="569" t="s">
        <v>4231</v>
      </c>
      <c r="R2655" s="569">
        <v>8</v>
      </c>
      <c r="S2655" s="569" t="s">
        <v>4673</v>
      </c>
      <c r="T2655" s="569" t="s">
        <v>4584</v>
      </c>
      <c r="U2655" s="569">
        <v>142</v>
      </c>
      <c r="V2655" s="569">
        <v>29</v>
      </c>
      <c r="W2655" s="620">
        <v>11500</v>
      </c>
      <c r="X2655" s="621" t="s">
        <v>157</v>
      </c>
      <c r="Y2655" s="621" t="s">
        <v>728</v>
      </c>
      <c r="Z2655" s="621" t="s">
        <v>1523</v>
      </c>
      <c r="AA2655" s="622">
        <v>51960</v>
      </c>
      <c r="AB2655" s="622" t="s">
        <v>164</v>
      </c>
      <c r="AC2655" s="622">
        <v>39973</v>
      </c>
      <c r="AD2655" s="623">
        <v>0.05</v>
      </c>
      <c r="AE2655" s="621" t="s">
        <v>4721</v>
      </c>
    </row>
    <row r="2656" spans="1:31" s="572" customFormat="1">
      <c r="A2656" s="570" t="s">
        <v>4726</v>
      </c>
      <c r="B2656" s="573" t="s">
        <v>280</v>
      </c>
      <c r="C2656" s="578">
        <v>27</v>
      </c>
      <c r="D2656" s="573" t="s">
        <v>3374</v>
      </c>
      <c r="E2656" s="573" t="s">
        <v>187</v>
      </c>
      <c r="F2656" s="573" t="s">
        <v>271</v>
      </c>
      <c r="G2656" s="573">
        <v>2019</v>
      </c>
      <c r="H2656" s="573" t="s">
        <v>4503</v>
      </c>
      <c r="I2656" s="573" t="s">
        <v>3916</v>
      </c>
      <c r="J2656" s="573" t="s">
        <v>752</v>
      </c>
      <c r="K2656" s="573">
        <v>3</v>
      </c>
      <c r="L2656" s="573">
        <v>0</v>
      </c>
      <c r="M2656" s="573" t="s">
        <v>157</v>
      </c>
      <c r="N2656" s="573">
        <v>1</v>
      </c>
      <c r="O2656" s="573" t="s">
        <v>3846</v>
      </c>
      <c r="P2656" s="571">
        <v>12600</v>
      </c>
      <c r="Q2656" s="573" t="s">
        <v>4235</v>
      </c>
      <c r="R2656" s="573">
        <v>8</v>
      </c>
      <c r="S2656" s="582" t="s">
        <v>4673</v>
      </c>
      <c r="T2656" s="573" t="s">
        <v>4584</v>
      </c>
      <c r="U2656" s="573">
        <v>142</v>
      </c>
      <c r="V2656" s="573">
        <v>34</v>
      </c>
      <c r="W2656" s="616">
        <v>10800</v>
      </c>
      <c r="X2656" s="617" t="s">
        <v>157</v>
      </c>
      <c r="Y2656" s="617" t="s">
        <v>450</v>
      </c>
      <c r="Z2656" s="617" t="s">
        <v>178</v>
      </c>
      <c r="AA2656" s="618">
        <v>42840</v>
      </c>
      <c r="AB2656" s="618" t="s">
        <v>164</v>
      </c>
      <c r="AC2656" s="618">
        <v>31581.810526315792</v>
      </c>
      <c r="AD2656" s="619">
        <v>0.03</v>
      </c>
      <c r="AE2656" s="617" t="s">
        <v>4719</v>
      </c>
    </row>
    <row r="2657" spans="1:31" s="572" customFormat="1">
      <c r="A2657" s="570" t="s">
        <v>4727</v>
      </c>
      <c r="B2657" s="569" t="s">
        <v>280</v>
      </c>
      <c r="C2657" s="580">
        <v>27</v>
      </c>
      <c r="D2657" s="569" t="s">
        <v>3374</v>
      </c>
      <c r="E2657" s="569" t="s">
        <v>187</v>
      </c>
      <c r="F2657" s="569" t="s">
        <v>271</v>
      </c>
      <c r="G2657" s="569">
        <v>2019</v>
      </c>
      <c r="H2657" s="569" t="s">
        <v>4503</v>
      </c>
      <c r="I2657" s="569" t="s">
        <v>3916</v>
      </c>
      <c r="J2657" s="569" t="s">
        <v>752</v>
      </c>
      <c r="K2657" s="569">
        <v>3</v>
      </c>
      <c r="L2657" s="569">
        <v>0</v>
      </c>
      <c r="M2657" s="569" t="s">
        <v>157</v>
      </c>
      <c r="N2657" s="569">
        <v>1</v>
      </c>
      <c r="O2657" s="569" t="s">
        <v>3846</v>
      </c>
      <c r="P2657" s="568">
        <v>12600</v>
      </c>
      <c r="Q2657" s="569" t="s">
        <v>4231</v>
      </c>
      <c r="R2657" s="569">
        <v>8</v>
      </c>
      <c r="S2657" s="569" t="s">
        <v>4673</v>
      </c>
      <c r="T2657" s="569" t="s">
        <v>4584</v>
      </c>
      <c r="U2657" s="569">
        <v>142</v>
      </c>
      <c r="V2657" s="569">
        <v>29</v>
      </c>
      <c r="W2657" s="620">
        <v>11500</v>
      </c>
      <c r="X2657" s="621" t="s">
        <v>157</v>
      </c>
      <c r="Y2657" s="621" t="s">
        <v>728</v>
      </c>
      <c r="Z2657" s="621" t="s">
        <v>1523</v>
      </c>
      <c r="AA2657" s="622">
        <v>51960</v>
      </c>
      <c r="AB2657" s="622" t="s">
        <v>164</v>
      </c>
      <c r="AC2657" s="622">
        <v>39774.000000000007</v>
      </c>
      <c r="AD2657" s="623">
        <v>0.03</v>
      </c>
      <c r="AE2657" s="621" t="s">
        <v>4721</v>
      </c>
    </row>
    <row r="2658" spans="1:31" s="572" customFormat="1">
      <c r="A2658" s="570" t="s">
        <v>4728</v>
      </c>
      <c r="B2658" s="573" t="s">
        <v>269</v>
      </c>
      <c r="C2658" s="578" t="s">
        <v>270</v>
      </c>
      <c r="D2658" s="573" t="s">
        <v>3374</v>
      </c>
      <c r="E2658" s="573" t="s">
        <v>187</v>
      </c>
      <c r="F2658" s="573" t="s">
        <v>271</v>
      </c>
      <c r="G2658" s="573">
        <v>2019</v>
      </c>
      <c r="H2658" s="573" t="s">
        <v>4503</v>
      </c>
      <c r="I2658" s="573" t="s">
        <v>4730</v>
      </c>
      <c r="J2658" s="573" t="s">
        <v>3377</v>
      </c>
      <c r="K2658" s="573">
        <v>3</v>
      </c>
      <c r="L2658" s="573">
        <v>0</v>
      </c>
      <c r="M2658" s="573" t="s">
        <v>157</v>
      </c>
      <c r="N2658" s="573">
        <v>1</v>
      </c>
      <c r="O2658" s="573" t="s">
        <v>3846</v>
      </c>
      <c r="P2658" s="571">
        <v>13200</v>
      </c>
      <c r="Q2658" s="573" t="s">
        <v>4235</v>
      </c>
      <c r="R2658" s="573">
        <v>8</v>
      </c>
      <c r="S2658" s="582" t="s">
        <v>4685</v>
      </c>
      <c r="T2658" s="573" t="s">
        <v>4635</v>
      </c>
      <c r="U2658" s="573">
        <v>142</v>
      </c>
      <c r="V2658" s="573">
        <v>34</v>
      </c>
      <c r="W2658" s="616">
        <v>14000</v>
      </c>
      <c r="X2658" s="617" t="s">
        <v>157</v>
      </c>
      <c r="Y2658" s="617" t="s">
        <v>450</v>
      </c>
      <c r="Z2658" s="617" t="s">
        <v>178</v>
      </c>
      <c r="AA2658" s="618">
        <v>41315</v>
      </c>
      <c r="AB2658" s="618" t="s">
        <v>164</v>
      </c>
      <c r="AC2658" s="618">
        <v>30383.915789473685</v>
      </c>
      <c r="AD2658" s="619">
        <v>0.03</v>
      </c>
      <c r="AE2658" s="617" t="s">
        <v>4729</v>
      </c>
    </row>
    <row r="2659" spans="1:31" s="572" customFormat="1">
      <c r="A2659" s="570" t="s">
        <v>4731</v>
      </c>
      <c r="B2659" s="569" t="s">
        <v>269</v>
      </c>
      <c r="C2659" s="580" t="s">
        <v>270</v>
      </c>
      <c r="D2659" s="569" t="s">
        <v>3374</v>
      </c>
      <c r="E2659" s="569" t="s">
        <v>187</v>
      </c>
      <c r="F2659" s="569" t="s">
        <v>271</v>
      </c>
      <c r="G2659" s="569">
        <v>2019</v>
      </c>
      <c r="H2659" s="569" t="s">
        <v>4503</v>
      </c>
      <c r="I2659" s="569" t="s">
        <v>4730</v>
      </c>
      <c r="J2659" s="569" t="s">
        <v>3377</v>
      </c>
      <c r="K2659" s="569">
        <v>3</v>
      </c>
      <c r="L2659" s="569">
        <v>0</v>
      </c>
      <c r="M2659" s="569" t="s">
        <v>157</v>
      </c>
      <c r="N2659" s="569">
        <v>1</v>
      </c>
      <c r="O2659" s="569" t="s">
        <v>3846</v>
      </c>
      <c r="P2659" s="568">
        <v>13200</v>
      </c>
      <c r="Q2659" s="569" t="s">
        <v>4231</v>
      </c>
      <c r="R2659" s="569">
        <v>8</v>
      </c>
      <c r="S2659" s="569" t="s">
        <v>4685</v>
      </c>
      <c r="T2659" s="569" t="s">
        <v>4635</v>
      </c>
      <c r="U2659" s="569">
        <v>142</v>
      </c>
      <c r="V2659" s="569">
        <v>29</v>
      </c>
      <c r="W2659" s="620">
        <v>14000</v>
      </c>
      <c r="X2659" s="621" t="s">
        <v>157</v>
      </c>
      <c r="Y2659" s="621" t="s">
        <v>728</v>
      </c>
      <c r="Z2659" s="621" t="s">
        <v>1523</v>
      </c>
      <c r="AA2659" s="622">
        <v>50435</v>
      </c>
      <c r="AB2659" s="622" t="s">
        <v>164</v>
      </c>
      <c r="AC2659" s="622">
        <v>38576.1052631579</v>
      </c>
      <c r="AD2659" s="623">
        <v>0.03</v>
      </c>
      <c r="AE2659" s="621" t="s">
        <v>4732</v>
      </c>
    </row>
    <row r="2660" spans="1:31" s="572" customFormat="1">
      <c r="A2660" s="570" t="s">
        <v>4733</v>
      </c>
      <c r="B2660" s="573" t="s">
        <v>278</v>
      </c>
      <c r="C2660" s="578">
        <v>15</v>
      </c>
      <c r="D2660" s="573" t="s">
        <v>3374</v>
      </c>
      <c r="E2660" s="573" t="s">
        <v>187</v>
      </c>
      <c r="F2660" s="573" t="s">
        <v>271</v>
      </c>
      <c r="G2660" s="573">
        <v>2019</v>
      </c>
      <c r="H2660" s="573" t="s">
        <v>4503</v>
      </c>
      <c r="I2660" s="573" t="s">
        <v>4730</v>
      </c>
      <c r="J2660" s="573" t="s">
        <v>3377</v>
      </c>
      <c r="K2660" s="573">
        <v>3</v>
      </c>
      <c r="L2660" s="573">
        <v>0</v>
      </c>
      <c r="M2660" s="573" t="s">
        <v>157</v>
      </c>
      <c r="N2660" s="573">
        <v>1</v>
      </c>
      <c r="O2660" s="573" t="s">
        <v>3846</v>
      </c>
      <c r="P2660" s="571">
        <v>13200</v>
      </c>
      <c r="Q2660" s="573" t="s">
        <v>4235</v>
      </c>
      <c r="R2660" s="573">
        <v>8</v>
      </c>
      <c r="S2660" s="582" t="s">
        <v>4685</v>
      </c>
      <c r="T2660" s="573" t="s">
        <v>4635</v>
      </c>
      <c r="U2660" s="573">
        <v>142</v>
      </c>
      <c r="V2660" s="573">
        <v>34</v>
      </c>
      <c r="W2660" s="616">
        <v>14000</v>
      </c>
      <c r="X2660" s="617" t="s">
        <v>157</v>
      </c>
      <c r="Y2660" s="617" t="s">
        <v>450</v>
      </c>
      <c r="Z2660" s="617" t="s">
        <v>178</v>
      </c>
      <c r="AA2660" s="618">
        <v>41315</v>
      </c>
      <c r="AB2660" s="618" t="s">
        <v>164</v>
      </c>
      <c r="AC2660" s="618">
        <v>30500</v>
      </c>
      <c r="AD2660" s="619">
        <v>0.01</v>
      </c>
      <c r="AE2660" s="617" t="s">
        <v>4729</v>
      </c>
    </row>
    <row r="2661" spans="1:31" s="572" customFormat="1">
      <c r="A2661" s="570" t="s">
        <v>4734</v>
      </c>
      <c r="B2661" s="569" t="s">
        <v>278</v>
      </c>
      <c r="C2661" s="580">
        <v>15</v>
      </c>
      <c r="D2661" s="569" t="s">
        <v>3374</v>
      </c>
      <c r="E2661" s="569" t="s">
        <v>187</v>
      </c>
      <c r="F2661" s="569" t="s">
        <v>271</v>
      </c>
      <c r="G2661" s="569">
        <v>2019</v>
      </c>
      <c r="H2661" s="569" t="s">
        <v>4503</v>
      </c>
      <c r="I2661" s="569" t="s">
        <v>4730</v>
      </c>
      <c r="J2661" s="569" t="s">
        <v>3377</v>
      </c>
      <c r="K2661" s="569">
        <v>3</v>
      </c>
      <c r="L2661" s="569">
        <v>0</v>
      </c>
      <c r="M2661" s="569" t="s">
        <v>157</v>
      </c>
      <c r="N2661" s="569">
        <v>1</v>
      </c>
      <c r="O2661" s="569" t="s">
        <v>3846</v>
      </c>
      <c r="P2661" s="568">
        <v>13200</v>
      </c>
      <c r="Q2661" s="569" t="s">
        <v>4231</v>
      </c>
      <c r="R2661" s="569">
        <v>8</v>
      </c>
      <c r="S2661" s="569" t="s">
        <v>4685</v>
      </c>
      <c r="T2661" s="569" t="s">
        <v>4635</v>
      </c>
      <c r="U2661" s="569">
        <v>142</v>
      </c>
      <c r="V2661" s="569">
        <v>29</v>
      </c>
      <c r="W2661" s="620">
        <v>14000</v>
      </c>
      <c r="X2661" s="621">
        <v>12</v>
      </c>
      <c r="Y2661" s="621" t="s">
        <v>728</v>
      </c>
      <c r="Z2661" s="621" t="s">
        <v>1523</v>
      </c>
      <c r="AA2661" s="622">
        <v>50435</v>
      </c>
      <c r="AB2661" s="622" t="s">
        <v>164</v>
      </c>
      <c r="AC2661" s="622">
        <v>38800</v>
      </c>
      <c r="AD2661" s="623">
        <v>0.01</v>
      </c>
      <c r="AE2661" s="621" t="s">
        <v>4732</v>
      </c>
    </row>
    <row r="2662" spans="1:31" s="572" customFormat="1">
      <c r="A2662" s="570" t="s">
        <v>4735</v>
      </c>
      <c r="B2662" s="573" t="s">
        <v>287</v>
      </c>
      <c r="C2662" s="578">
        <v>26</v>
      </c>
      <c r="D2662" s="573" t="s">
        <v>3374</v>
      </c>
      <c r="E2662" s="573" t="s">
        <v>187</v>
      </c>
      <c r="F2662" s="573" t="s">
        <v>271</v>
      </c>
      <c r="G2662" s="573">
        <v>2019</v>
      </c>
      <c r="H2662" s="573" t="s">
        <v>4503</v>
      </c>
      <c r="I2662" s="573" t="s">
        <v>4730</v>
      </c>
      <c r="J2662" s="573" t="s">
        <v>3377</v>
      </c>
      <c r="K2662" s="573">
        <v>3</v>
      </c>
      <c r="L2662" s="573">
        <v>0</v>
      </c>
      <c r="M2662" s="573" t="s">
        <v>157</v>
      </c>
      <c r="N2662" s="573">
        <v>1</v>
      </c>
      <c r="O2662" s="573" t="s">
        <v>3846</v>
      </c>
      <c r="P2662" s="571">
        <v>13200</v>
      </c>
      <c r="Q2662" s="573" t="s">
        <v>4235</v>
      </c>
      <c r="R2662" s="573">
        <v>8</v>
      </c>
      <c r="S2662" s="582" t="s">
        <v>4685</v>
      </c>
      <c r="T2662" s="573" t="s">
        <v>4635</v>
      </c>
      <c r="U2662" s="573">
        <v>142</v>
      </c>
      <c r="V2662" s="573">
        <v>34</v>
      </c>
      <c r="W2662" s="616">
        <v>14000</v>
      </c>
      <c r="X2662" s="617" t="s">
        <v>157</v>
      </c>
      <c r="Y2662" s="617" t="s">
        <v>450</v>
      </c>
      <c r="Z2662" s="617" t="s">
        <v>178</v>
      </c>
      <c r="AA2662" s="618">
        <v>41315</v>
      </c>
      <c r="AB2662" s="618" t="s">
        <v>164</v>
      </c>
      <c r="AC2662" s="618">
        <v>30563</v>
      </c>
      <c r="AD2662" s="619">
        <v>0.05</v>
      </c>
      <c r="AE2662" s="617" t="s">
        <v>4729</v>
      </c>
    </row>
    <row r="2663" spans="1:31" s="572" customFormat="1">
      <c r="A2663" s="570" t="s">
        <v>4736</v>
      </c>
      <c r="B2663" s="569" t="s">
        <v>287</v>
      </c>
      <c r="C2663" s="580">
        <v>26</v>
      </c>
      <c r="D2663" s="569" t="s">
        <v>3374</v>
      </c>
      <c r="E2663" s="569" t="s">
        <v>187</v>
      </c>
      <c r="F2663" s="569" t="s">
        <v>271</v>
      </c>
      <c r="G2663" s="569">
        <v>2019</v>
      </c>
      <c r="H2663" s="569" t="s">
        <v>4503</v>
      </c>
      <c r="I2663" s="569" t="s">
        <v>4730</v>
      </c>
      <c r="J2663" s="569" t="s">
        <v>3377</v>
      </c>
      <c r="K2663" s="569">
        <v>3</v>
      </c>
      <c r="L2663" s="569">
        <v>0</v>
      </c>
      <c r="M2663" s="569" t="s">
        <v>157</v>
      </c>
      <c r="N2663" s="569">
        <v>1</v>
      </c>
      <c r="O2663" s="569" t="s">
        <v>3846</v>
      </c>
      <c r="P2663" s="568">
        <v>13200</v>
      </c>
      <c r="Q2663" s="569" t="s">
        <v>4231</v>
      </c>
      <c r="R2663" s="569">
        <v>8</v>
      </c>
      <c r="S2663" s="569" t="s">
        <v>4685</v>
      </c>
      <c r="T2663" s="569" t="s">
        <v>4635</v>
      </c>
      <c r="U2663" s="569">
        <v>142</v>
      </c>
      <c r="V2663" s="569">
        <v>29</v>
      </c>
      <c r="W2663" s="620">
        <v>14000</v>
      </c>
      <c r="X2663" s="621">
        <v>12</v>
      </c>
      <c r="Y2663" s="621" t="s">
        <v>728</v>
      </c>
      <c r="Z2663" s="621" t="s">
        <v>1523</v>
      </c>
      <c r="AA2663" s="622">
        <v>49860</v>
      </c>
      <c r="AB2663" s="622" t="s">
        <v>164</v>
      </c>
      <c r="AC2663" s="622">
        <v>38757</v>
      </c>
      <c r="AD2663" s="623">
        <v>0.05</v>
      </c>
      <c r="AE2663" s="621" t="s">
        <v>4732</v>
      </c>
    </row>
    <row r="2664" spans="1:31" s="572" customFormat="1">
      <c r="A2664" s="570" t="s">
        <v>4737</v>
      </c>
      <c r="B2664" s="573" t="s">
        <v>280</v>
      </c>
      <c r="C2664" s="578">
        <v>27</v>
      </c>
      <c r="D2664" s="573" t="s">
        <v>3374</v>
      </c>
      <c r="E2664" s="573" t="s">
        <v>187</v>
      </c>
      <c r="F2664" s="573" t="s">
        <v>271</v>
      </c>
      <c r="G2664" s="573">
        <v>2019</v>
      </c>
      <c r="H2664" s="573" t="s">
        <v>4503</v>
      </c>
      <c r="I2664" s="573" t="s">
        <v>4730</v>
      </c>
      <c r="J2664" s="573" t="s">
        <v>3377</v>
      </c>
      <c r="K2664" s="573">
        <v>3</v>
      </c>
      <c r="L2664" s="573">
        <v>0</v>
      </c>
      <c r="M2664" s="573" t="s">
        <v>157</v>
      </c>
      <c r="N2664" s="573">
        <v>1</v>
      </c>
      <c r="O2664" s="573" t="s">
        <v>3846</v>
      </c>
      <c r="P2664" s="571">
        <v>13200</v>
      </c>
      <c r="Q2664" s="573" t="s">
        <v>4235</v>
      </c>
      <c r="R2664" s="573">
        <v>8</v>
      </c>
      <c r="S2664" s="582" t="s">
        <v>4685</v>
      </c>
      <c r="T2664" s="573" t="s">
        <v>4635</v>
      </c>
      <c r="U2664" s="573">
        <v>142</v>
      </c>
      <c r="V2664" s="573">
        <v>34</v>
      </c>
      <c r="W2664" s="616">
        <v>14000</v>
      </c>
      <c r="X2664" s="617" t="s">
        <v>157</v>
      </c>
      <c r="Y2664" s="617" t="s">
        <v>450</v>
      </c>
      <c r="Z2664" s="617" t="s">
        <v>178</v>
      </c>
      <c r="AA2664" s="618">
        <v>41315</v>
      </c>
      <c r="AB2664" s="618" t="s">
        <v>164</v>
      </c>
      <c r="AC2664" s="618">
        <v>30383.915789473685</v>
      </c>
      <c r="AD2664" s="619">
        <v>0.03</v>
      </c>
      <c r="AE2664" s="617" t="s">
        <v>4729</v>
      </c>
    </row>
    <row r="2665" spans="1:31" s="572" customFormat="1">
      <c r="A2665" s="570" t="s">
        <v>4738</v>
      </c>
      <c r="B2665" s="569" t="s">
        <v>280</v>
      </c>
      <c r="C2665" s="580">
        <v>27</v>
      </c>
      <c r="D2665" s="569" t="s">
        <v>3374</v>
      </c>
      <c r="E2665" s="569" t="s">
        <v>187</v>
      </c>
      <c r="F2665" s="569" t="s">
        <v>271</v>
      </c>
      <c r="G2665" s="569">
        <v>2019</v>
      </c>
      <c r="H2665" s="569" t="s">
        <v>4503</v>
      </c>
      <c r="I2665" s="569" t="s">
        <v>4730</v>
      </c>
      <c r="J2665" s="569" t="s">
        <v>3377</v>
      </c>
      <c r="K2665" s="569">
        <v>3</v>
      </c>
      <c r="L2665" s="569">
        <v>0</v>
      </c>
      <c r="M2665" s="569" t="s">
        <v>157</v>
      </c>
      <c r="N2665" s="569">
        <v>1</v>
      </c>
      <c r="O2665" s="569" t="s">
        <v>3846</v>
      </c>
      <c r="P2665" s="568">
        <v>13200</v>
      </c>
      <c r="Q2665" s="569" t="s">
        <v>4231</v>
      </c>
      <c r="R2665" s="569">
        <v>8</v>
      </c>
      <c r="S2665" s="569" t="s">
        <v>4685</v>
      </c>
      <c r="T2665" s="569" t="s">
        <v>4635</v>
      </c>
      <c r="U2665" s="569">
        <v>142</v>
      </c>
      <c r="V2665" s="569">
        <v>29</v>
      </c>
      <c r="W2665" s="620">
        <v>14000</v>
      </c>
      <c r="X2665" s="621" t="s">
        <v>157</v>
      </c>
      <c r="Y2665" s="621" t="s">
        <v>728</v>
      </c>
      <c r="Z2665" s="621" t="s">
        <v>1523</v>
      </c>
      <c r="AA2665" s="622">
        <v>50435</v>
      </c>
      <c r="AB2665" s="622" t="s">
        <v>164</v>
      </c>
      <c r="AC2665" s="622">
        <v>38576.1052631579</v>
      </c>
      <c r="AD2665" s="623">
        <v>0.03</v>
      </c>
      <c r="AE2665" s="621" t="s">
        <v>4732</v>
      </c>
    </row>
    <row r="2666" spans="1:31" s="572" customFormat="1">
      <c r="A2666" s="570" t="s">
        <v>4739</v>
      </c>
      <c r="B2666" s="573" t="s">
        <v>269</v>
      </c>
      <c r="C2666" s="578" t="s">
        <v>270</v>
      </c>
      <c r="D2666" s="573" t="s">
        <v>3374</v>
      </c>
      <c r="E2666" s="573" t="s">
        <v>187</v>
      </c>
      <c r="F2666" s="573" t="s">
        <v>271</v>
      </c>
      <c r="G2666" s="573">
        <v>2019</v>
      </c>
      <c r="H2666" s="573" t="s">
        <v>4503</v>
      </c>
      <c r="I2666" s="573" t="s">
        <v>4730</v>
      </c>
      <c r="J2666" s="573" t="s">
        <v>752</v>
      </c>
      <c r="K2666" s="573">
        <v>3</v>
      </c>
      <c r="L2666" s="573">
        <v>0</v>
      </c>
      <c r="M2666" s="573" t="s">
        <v>157</v>
      </c>
      <c r="N2666" s="573">
        <v>1</v>
      </c>
      <c r="O2666" s="573" t="s">
        <v>3846</v>
      </c>
      <c r="P2666" s="571">
        <v>12700</v>
      </c>
      <c r="Q2666" s="573" t="s">
        <v>4235</v>
      </c>
      <c r="R2666" s="573">
        <v>8</v>
      </c>
      <c r="S2666" s="582" t="s">
        <v>4696</v>
      </c>
      <c r="T2666" s="573" t="s">
        <v>4635</v>
      </c>
      <c r="U2666" s="573">
        <v>142</v>
      </c>
      <c r="V2666" s="573">
        <v>34</v>
      </c>
      <c r="W2666" s="616">
        <v>14000</v>
      </c>
      <c r="X2666" s="617" t="s">
        <v>157</v>
      </c>
      <c r="Y2666" s="617" t="s">
        <v>450</v>
      </c>
      <c r="Z2666" s="617" t="s">
        <v>178</v>
      </c>
      <c r="AA2666" s="618">
        <v>44115</v>
      </c>
      <c r="AB2666" s="618" t="s">
        <v>164</v>
      </c>
      <c r="AC2666" s="618">
        <v>33391.284210526319</v>
      </c>
      <c r="AD2666" s="619">
        <v>0.03</v>
      </c>
      <c r="AE2666" s="617" t="s">
        <v>4740</v>
      </c>
    </row>
    <row r="2667" spans="1:31" s="572" customFormat="1">
      <c r="A2667" s="570" t="s">
        <v>4741</v>
      </c>
      <c r="B2667" s="569" t="s">
        <v>269</v>
      </c>
      <c r="C2667" s="580" t="s">
        <v>270</v>
      </c>
      <c r="D2667" s="569" t="s">
        <v>3374</v>
      </c>
      <c r="E2667" s="569" t="s">
        <v>187</v>
      </c>
      <c r="F2667" s="569" t="s">
        <v>271</v>
      </c>
      <c r="G2667" s="569">
        <v>2019</v>
      </c>
      <c r="H2667" s="569" t="s">
        <v>4503</v>
      </c>
      <c r="I2667" s="569" t="s">
        <v>4730</v>
      </c>
      <c r="J2667" s="569" t="s">
        <v>752</v>
      </c>
      <c r="K2667" s="569">
        <v>3</v>
      </c>
      <c r="L2667" s="569">
        <v>0</v>
      </c>
      <c r="M2667" s="569" t="s">
        <v>157</v>
      </c>
      <c r="N2667" s="569">
        <v>1</v>
      </c>
      <c r="O2667" s="569" t="s">
        <v>3846</v>
      </c>
      <c r="P2667" s="568">
        <v>12700</v>
      </c>
      <c r="Q2667" s="569" t="s">
        <v>4231</v>
      </c>
      <c r="R2667" s="569">
        <v>8</v>
      </c>
      <c r="S2667" s="569" t="s">
        <v>4696</v>
      </c>
      <c r="T2667" s="569" t="s">
        <v>4635</v>
      </c>
      <c r="U2667" s="569">
        <v>142</v>
      </c>
      <c r="V2667" s="569">
        <v>29</v>
      </c>
      <c r="W2667" s="620">
        <v>14000</v>
      </c>
      <c r="X2667" s="621" t="s">
        <v>157</v>
      </c>
      <c r="Y2667" s="621" t="s">
        <v>728</v>
      </c>
      <c r="Z2667" s="621" t="s">
        <v>1523</v>
      </c>
      <c r="AA2667" s="622">
        <v>53235</v>
      </c>
      <c r="AB2667" s="622" t="s">
        <v>164</v>
      </c>
      <c r="AC2667" s="622">
        <v>41583.473684210534</v>
      </c>
      <c r="AD2667" s="623">
        <v>0.03</v>
      </c>
      <c r="AE2667" s="621" t="s">
        <v>4742</v>
      </c>
    </row>
    <row r="2668" spans="1:31" s="572" customFormat="1">
      <c r="A2668" s="570" t="s">
        <v>4743</v>
      </c>
      <c r="B2668" s="573" t="s">
        <v>278</v>
      </c>
      <c r="C2668" s="578">
        <v>15</v>
      </c>
      <c r="D2668" s="573" t="s">
        <v>3374</v>
      </c>
      <c r="E2668" s="573" t="s">
        <v>187</v>
      </c>
      <c r="F2668" s="573" t="s">
        <v>271</v>
      </c>
      <c r="G2668" s="573">
        <v>2019</v>
      </c>
      <c r="H2668" s="573" t="s">
        <v>4503</v>
      </c>
      <c r="I2668" s="573" t="s">
        <v>4730</v>
      </c>
      <c r="J2668" s="573" t="s">
        <v>752</v>
      </c>
      <c r="K2668" s="573">
        <v>3</v>
      </c>
      <c r="L2668" s="573">
        <v>0</v>
      </c>
      <c r="M2668" s="573" t="s">
        <v>157</v>
      </c>
      <c r="N2668" s="573">
        <v>1</v>
      </c>
      <c r="O2668" s="573" t="s">
        <v>3846</v>
      </c>
      <c r="P2668" s="571">
        <v>12700</v>
      </c>
      <c r="Q2668" s="573" t="s">
        <v>4235</v>
      </c>
      <c r="R2668" s="573">
        <v>8</v>
      </c>
      <c r="S2668" s="582" t="s">
        <v>4696</v>
      </c>
      <c r="T2668" s="573" t="s">
        <v>4635</v>
      </c>
      <c r="U2668" s="573">
        <v>142</v>
      </c>
      <c r="V2668" s="573">
        <v>34</v>
      </c>
      <c r="W2668" s="616">
        <v>14000</v>
      </c>
      <c r="X2668" s="617" t="s">
        <v>157</v>
      </c>
      <c r="Y2668" s="617" t="s">
        <v>450</v>
      </c>
      <c r="Z2668" s="617" t="s">
        <v>178</v>
      </c>
      <c r="AA2668" s="618">
        <v>44115</v>
      </c>
      <c r="AB2668" s="618" t="s">
        <v>164</v>
      </c>
      <c r="AC2668" s="618">
        <v>33600</v>
      </c>
      <c r="AD2668" s="619">
        <v>0.01</v>
      </c>
      <c r="AE2668" s="617" t="s">
        <v>4740</v>
      </c>
    </row>
    <row r="2669" spans="1:31" s="572" customFormat="1">
      <c r="A2669" s="570" t="s">
        <v>4744</v>
      </c>
      <c r="B2669" s="569" t="s">
        <v>278</v>
      </c>
      <c r="C2669" s="580">
        <v>15</v>
      </c>
      <c r="D2669" s="569" t="s">
        <v>3374</v>
      </c>
      <c r="E2669" s="569" t="s">
        <v>187</v>
      </c>
      <c r="F2669" s="569" t="s">
        <v>271</v>
      </c>
      <c r="G2669" s="569">
        <v>2019</v>
      </c>
      <c r="H2669" s="569" t="s">
        <v>4503</v>
      </c>
      <c r="I2669" s="569" t="s">
        <v>4730</v>
      </c>
      <c r="J2669" s="569" t="s">
        <v>752</v>
      </c>
      <c r="K2669" s="569">
        <v>3</v>
      </c>
      <c r="L2669" s="569">
        <v>0</v>
      </c>
      <c r="M2669" s="569" t="s">
        <v>157</v>
      </c>
      <c r="N2669" s="569">
        <v>1</v>
      </c>
      <c r="O2669" s="569" t="s">
        <v>3846</v>
      </c>
      <c r="P2669" s="568">
        <v>12700</v>
      </c>
      <c r="Q2669" s="569" t="s">
        <v>4231</v>
      </c>
      <c r="R2669" s="569">
        <v>8</v>
      </c>
      <c r="S2669" s="569" t="s">
        <v>4696</v>
      </c>
      <c r="T2669" s="569" t="s">
        <v>4635</v>
      </c>
      <c r="U2669" s="569">
        <v>142</v>
      </c>
      <c r="V2669" s="569">
        <v>29</v>
      </c>
      <c r="W2669" s="620">
        <v>14000</v>
      </c>
      <c r="X2669" s="621" t="s">
        <v>157</v>
      </c>
      <c r="Y2669" s="621" t="s">
        <v>728</v>
      </c>
      <c r="Z2669" s="621" t="s">
        <v>1523</v>
      </c>
      <c r="AA2669" s="622">
        <v>53235</v>
      </c>
      <c r="AB2669" s="622" t="s">
        <v>164</v>
      </c>
      <c r="AC2669" s="622">
        <v>41800</v>
      </c>
      <c r="AD2669" s="623">
        <v>0.01</v>
      </c>
      <c r="AE2669" s="621" t="s">
        <v>4742</v>
      </c>
    </row>
    <row r="2670" spans="1:31" s="572" customFormat="1">
      <c r="A2670" s="570" t="s">
        <v>4745</v>
      </c>
      <c r="B2670" s="573" t="s">
        <v>287</v>
      </c>
      <c r="C2670" s="578">
        <v>26</v>
      </c>
      <c r="D2670" s="573" t="s">
        <v>3374</v>
      </c>
      <c r="E2670" s="573" t="s">
        <v>187</v>
      </c>
      <c r="F2670" s="573" t="s">
        <v>271</v>
      </c>
      <c r="G2670" s="573">
        <v>2019</v>
      </c>
      <c r="H2670" s="573" t="s">
        <v>4503</v>
      </c>
      <c r="I2670" s="573" t="s">
        <v>4730</v>
      </c>
      <c r="J2670" s="573" t="s">
        <v>752</v>
      </c>
      <c r="K2670" s="573">
        <v>3</v>
      </c>
      <c r="L2670" s="573">
        <v>0</v>
      </c>
      <c r="M2670" s="573" t="s">
        <v>157</v>
      </c>
      <c r="N2670" s="573">
        <v>1</v>
      </c>
      <c r="O2670" s="573" t="s">
        <v>3846</v>
      </c>
      <c r="P2670" s="571">
        <v>12700</v>
      </c>
      <c r="Q2670" s="573" t="s">
        <v>4235</v>
      </c>
      <c r="R2670" s="573">
        <v>8</v>
      </c>
      <c r="S2670" s="582" t="s">
        <v>4696</v>
      </c>
      <c r="T2670" s="573" t="s">
        <v>4635</v>
      </c>
      <c r="U2670" s="573">
        <v>142</v>
      </c>
      <c r="V2670" s="573">
        <v>34</v>
      </c>
      <c r="W2670" s="616">
        <v>14000</v>
      </c>
      <c r="X2670" s="617" t="s">
        <v>157</v>
      </c>
      <c r="Y2670" s="617" t="s">
        <v>450</v>
      </c>
      <c r="Z2670" s="617" t="s">
        <v>178</v>
      </c>
      <c r="AA2670" s="618">
        <v>44115</v>
      </c>
      <c r="AB2670" s="618" t="s">
        <v>164</v>
      </c>
      <c r="AC2670" s="618">
        <v>33616</v>
      </c>
      <c r="AD2670" s="619">
        <v>0.05</v>
      </c>
      <c r="AE2670" s="617" t="s">
        <v>4740</v>
      </c>
    </row>
    <row r="2671" spans="1:31" s="572" customFormat="1">
      <c r="A2671" s="570" t="s">
        <v>4746</v>
      </c>
      <c r="B2671" s="569" t="s">
        <v>287</v>
      </c>
      <c r="C2671" s="580">
        <v>26</v>
      </c>
      <c r="D2671" s="569" t="s">
        <v>3374</v>
      </c>
      <c r="E2671" s="569" t="s">
        <v>187</v>
      </c>
      <c r="F2671" s="569" t="s">
        <v>271</v>
      </c>
      <c r="G2671" s="569">
        <v>2019</v>
      </c>
      <c r="H2671" s="569" t="s">
        <v>4503</v>
      </c>
      <c r="I2671" s="569" t="s">
        <v>4730</v>
      </c>
      <c r="J2671" s="569" t="s">
        <v>752</v>
      </c>
      <c r="K2671" s="569">
        <v>3</v>
      </c>
      <c r="L2671" s="569">
        <v>0</v>
      </c>
      <c r="M2671" s="569" t="s">
        <v>157</v>
      </c>
      <c r="N2671" s="569">
        <v>1</v>
      </c>
      <c r="O2671" s="569" t="s">
        <v>3846</v>
      </c>
      <c r="P2671" s="568">
        <v>12700</v>
      </c>
      <c r="Q2671" s="569" t="s">
        <v>4231</v>
      </c>
      <c r="R2671" s="569">
        <v>8</v>
      </c>
      <c r="S2671" s="569" t="s">
        <v>4696</v>
      </c>
      <c r="T2671" s="569" t="s">
        <v>4635</v>
      </c>
      <c r="U2671" s="569">
        <v>142</v>
      </c>
      <c r="V2671" s="569">
        <v>29</v>
      </c>
      <c r="W2671" s="620">
        <v>14000</v>
      </c>
      <c r="X2671" s="621" t="s">
        <v>157</v>
      </c>
      <c r="Y2671" s="621" t="s">
        <v>728</v>
      </c>
      <c r="Z2671" s="621" t="s">
        <v>1523</v>
      </c>
      <c r="AA2671" s="622">
        <v>53235</v>
      </c>
      <c r="AB2671" s="622" t="s">
        <v>164</v>
      </c>
      <c r="AC2671" s="622">
        <v>41810</v>
      </c>
      <c r="AD2671" s="623">
        <v>0.05</v>
      </c>
      <c r="AE2671" s="621" t="s">
        <v>4742</v>
      </c>
    </row>
    <row r="2672" spans="1:31" s="572" customFormat="1">
      <c r="A2672" s="570" t="s">
        <v>4747</v>
      </c>
      <c r="B2672" s="573" t="s">
        <v>280</v>
      </c>
      <c r="C2672" s="578">
        <v>27</v>
      </c>
      <c r="D2672" s="573" t="s">
        <v>3374</v>
      </c>
      <c r="E2672" s="573" t="s">
        <v>187</v>
      </c>
      <c r="F2672" s="573" t="s">
        <v>271</v>
      </c>
      <c r="G2672" s="573">
        <v>2019</v>
      </c>
      <c r="H2672" s="573" t="s">
        <v>4503</v>
      </c>
      <c r="I2672" s="573" t="s">
        <v>4730</v>
      </c>
      <c r="J2672" s="573" t="s">
        <v>752</v>
      </c>
      <c r="K2672" s="573">
        <v>3</v>
      </c>
      <c r="L2672" s="573">
        <v>0</v>
      </c>
      <c r="M2672" s="573" t="s">
        <v>157</v>
      </c>
      <c r="N2672" s="573">
        <v>1</v>
      </c>
      <c r="O2672" s="573" t="s">
        <v>3846</v>
      </c>
      <c r="P2672" s="571">
        <v>12700</v>
      </c>
      <c r="Q2672" s="573" t="s">
        <v>4235</v>
      </c>
      <c r="R2672" s="573">
        <v>8</v>
      </c>
      <c r="S2672" s="582" t="s">
        <v>4696</v>
      </c>
      <c r="T2672" s="573" t="s">
        <v>4635</v>
      </c>
      <c r="U2672" s="573">
        <v>142</v>
      </c>
      <c r="V2672" s="573">
        <v>34</v>
      </c>
      <c r="W2672" s="616">
        <v>14000</v>
      </c>
      <c r="X2672" s="617" t="s">
        <v>157</v>
      </c>
      <c r="Y2672" s="617" t="s">
        <v>450</v>
      </c>
      <c r="Z2672" s="617" t="s">
        <v>178</v>
      </c>
      <c r="AA2672" s="618">
        <v>44115</v>
      </c>
      <c r="AB2672" s="618" t="s">
        <v>164</v>
      </c>
      <c r="AC2672" s="618">
        <v>33391.284210526319</v>
      </c>
      <c r="AD2672" s="619">
        <v>0.03</v>
      </c>
      <c r="AE2672" s="617" t="s">
        <v>4740</v>
      </c>
    </row>
    <row r="2673" spans="1:31" s="572" customFormat="1">
      <c r="A2673" s="570" t="s">
        <v>4748</v>
      </c>
      <c r="B2673" s="569" t="s">
        <v>280</v>
      </c>
      <c r="C2673" s="580">
        <v>27</v>
      </c>
      <c r="D2673" s="569" t="s">
        <v>3374</v>
      </c>
      <c r="E2673" s="569" t="s">
        <v>187</v>
      </c>
      <c r="F2673" s="569" t="s">
        <v>271</v>
      </c>
      <c r="G2673" s="569">
        <v>2019</v>
      </c>
      <c r="H2673" s="569" t="s">
        <v>4503</v>
      </c>
      <c r="I2673" s="569" t="s">
        <v>4730</v>
      </c>
      <c r="J2673" s="569" t="s">
        <v>752</v>
      </c>
      <c r="K2673" s="569">
        <v>3</v>
      </c>
      <c r="L2673" s="569">
        <v>0</v>
      </c>
      <c r="M2673" s="569" t="s">
        <v>157</v>
      </c>
      <c r="N2673" s="569">
        <v>1</v>
      </c>
      <c r="O2673" s="569" t="s">
        <v>3846</v>
      </c>
      <c r="P2673" s="568">
        <v>12700</v>
      </c>
      <c r="Q2673" s="569" t="s">
        <v>4231</v>
      </c>
      <c r="R2673" s="569">
        <v>8</v>
      </c>
      <c r="S2673" s="569" t="s">
        <v>4696</v>
      </c>
      <c r="T2673" s="569" t="s">
        <v>4635</v>
      </c>
      <c r="U2673" s="569">
        <v>142</v>
      </c>
      <c r="V2673" s="569">
        <v>29</v>
      </c>
      <c r="W2673" s="620">
        <v>14000</v>
      </c>
      <c r="X2673" s="621" t="s">
        <v>157</v>
      </c>
      <c r="Y2673" s="621" t="s">
        <v>728</v>
      </c>
      <c r="Z2673" s="621" t="s">
        <v>1523</v>
      </c>
      <c r="AA2673" s="622">
        <v>53235</v>
      </c>
      <c r="AB2673" s="622" t="s">
        <v>164</v>
      </c>
      <c r="AC2673" s="622">
        <v>41583.473684210534</v>
      </c>
      <c r="AD2673" s="623">
        <v>0.03</v>
      </c>
      <c r="AE2673" s="621" t="s">
        <v>4742</v>
      </c>
    </row>
    <row r="2674" spans="1:31" s="572" customFormat="1">
      <c r="A2674" s="570" t="s">
        <v>4749</v>
      </c>
      <c r="B2674" s="573" t="s">
        <v>269</v>
      </c>
      <c r="C2674" s="578" t="s">
        <v>270</v>
      </c>
      <c r="D2674" s="573" t="s">
        <v>3374</v>
      </c>
      <c r="E2674" s="573" t="s">
        <v>187</v>
      </c>
      <c r="F2674" s="573" t="s">
        <v>271</v>
      </c>
      <c r="G2674" s="573">
        <v>2019</v>
      </c>
      <c r="H2674" s="573" t="s">
        <v>4503</v>
      </c>
      <c r="I2674" s="573" t="s">
        <v>3996</v>
      </c>
      <c r="J2674" s="573" t="s">
        <v>3377</v>
      </c>
      <c r="K2674" s="573">
        <v>6</v>
      </c>
      <c r="L2674" s="573">
        <v>0</v>
      </c>
      <c r="M2674" s="573" t="s">
        <v>157</v>
      </c>
      <c r="N2674" s="573">
        <v>2</v>
      </c>
      <c r="O2674" s="573" t="s">
        <v>4230</v>
      </c>
      <c r="P2674" s="571">
        <v>12800</v>
      </c>
      <c r="Q2674" s="573" t="s">
        <v>4235</v>
      </c>
      <c r="R2674" s="573">
        <v>8</v>
      </c>
      <c r="S2674" s="582" t="s">
        <v>4751</v>
      </c>
      <c r="T2674" s="573" t="s">
        <v>4505</v>
      </c>
      <c r="U2674" s="573">
        <v>148</v>
      </c>
      <c r="V2674" s="573">
        <v>34</v>
      </c>
      <c r="W2674" s="616">
        <v>10000</v>
      </c>
      <c r="X2674" s="617" t="s">
        <v>157</v>
      </c>
      <c r="Y2674" s="617" t="s">
        <v>450</v>
      </c>
      <c r="Z2674" s="617" t="s">
        <v>178</v>
      </c>
      <c r="AA2674" s="618">
        <v>38155</v>
      </c>
      <c r="AB2674" s="618" t="s">
        <v>164</v>
      </c>
      <c r="AC2674" s="618">
        <v>27886.021052631582</v>
      </c>
      <c r="AD2674" s="619">
        <v>0.03</v>
      </c>
      <c r="AE2674" s="617" t="s">
        <v>4750</v>
      </c>
    </row>
    <row r="2675" spans="1:31" s="572" customFormat="1">
      <c r="A2675" s="570" t="s">
        <v>4752</v>
      </c>
      <c r="B2675" s="569" t="s">
        <v>269</v>
      </c>
      <c r="C2675" s="580" t="s">
        <v>270</v>
      </c>
      <c r="D2675" s="569" t="s">
        <v>3374</v>
      </c>
      <c r="E2675" s="569" t="s">
        <v>187</v>
      </c>
      <c r="F2675" s="569" t="s">
        <v>271</v>
      </c>
      <c r="G2675" s="569">
        <v>2019</v>
      </c>
      <c r="H2675" s="569" t="s">
        <v>4503</v>
      </c>
      <c r="I2675" s="569" t="s">
        <v>3996</v>
      </c>
      <c r="J2675" s="569" t="s">
        <v>3377</v>
      </c>
      <c r="K2675" s="569">
        <v>6</v>
      </c>
      <c r="L2675" s="569">
        <v>0</v>
      </c>
      <c r="M2675" s="569" t="s">
        <v>157</v>
      </c>
      <c r="N2675" s="569">
        <v>2</v>
      </c>
      <c r="O2675" s="569" t="s">
        <v>4230</v>
      </c>
      <c r="P2675" s="568">
        <v>12800</v>
      </c>
      <c r="Q2675" s="569" t="s">
        <v>4231</v>
      </c>
      <c r="R2675" s="569">
        <v>8</v>
      </c>
      <c r="S2675" s="569" t="s">
        <v>4751</v>
      </c>
      <c r="T2675" s="569" t="s">
        <v>4505</v>
      </c>
      <c r="U2675" s="569">
        <v>148</v>
      </c>
      <c r="V2675" s="569">
        <v>34</v>
      </c>
      <c r="W2675" s="620">
        <v>10800</v>
      </c>
      <c r="X2675" s="621" t="s">
        <v>157</v>
      </c>
      <c r="Y2675" s="621" t="s">
        <v>728</v>
      </c>
      <c r="Z2675" s="621" t="s">
        <v>1523</v>
      </c>
      <c r="AA2675" s="622">
        <v>47275</v>
      </c>
      <c r="AB2675" s="622" t="s">
        <v>164</v>
      </c>
      <c r="AC2675" s="622">
        <v>36078.210526315794</v>
      </c>
      <c r="AD2675" s="623">
        <v>0.03</v>
      </c>
      <c r="AE2675" s="621" t="s">
        <v>4753</v>
      </c>
    </row>
    <row r="2676" spans="1:31" s="572" customFormat="1">
      <c r="A2676" s="570" t="s">
        <v>4754</v>
      </c>
      <c r="B2676" s="573" t="s">
        <v>269</v>
      </c>
      <c r="C2676" s="578" t="s">
        <v>270</v>
      </c>
      <c r="D2676" s="573" t="s">
        <v>3374</v>
      </c>
      <c r="E2676" s="573" t="s">
        <v>187</v>
      </c>
      <c r="F2676" s="573" t="s">
        <v>271</v>
      </c>
      <c r="G2676" s="573">
        <v>2019</v>
      </c>
      <c r="H2676" s="573" t="s">
        <v>4503</v>
      </c>
      <c r="I2676" s="573" t="s">
        <v>3996</v>
      </c>
      <c r="J2676" s="573" t="s">
        <v>3377</v>
      </c>
      <c r="K2676" s="573">
        <v>6</v>
      </c>
      <c r="L2676" s="573">
        <v>0</v>
      </c>
      <c r="M2676" s="573" t="s">
        <v>157</v>
      </c>
      <c r="N2676" s="573">
        <v>2</v>
      </c>
      <c r="O2676" s="573" t="s">
        <v>3846</v>
      </c>
      <c r="P2676" s="571">
        <v>12700</v>
      </c>
      <c r="Q2676" s="573" t="s">
        <v>4235</v>
      </c>
      <c r="R2676" s="573">
        <v>8</v>
      </c>
      <c r="S2676" s="582" t="s">
        <v>4751</v>
      </c>
      <c r="T2676" s="573" t="s">
        <v>4505</v>
      </c>
      <c r="U2676" s="573">
        <v>164</v>
      </c>
      <c r="V2676" s="573">
        <v>34</v>
      </c>
      <c r="W2676" s="616">
        <v>10000</v>
      </c>
      <c r="X2676" s="617" t="s">
        <v>157</v>
      </c>
      <c r="Y2676" s="617" t="s">
        <v>450</v>
      </c>
      <c r="Z2676" s="617" t="s">
        <v>178</v>
      </c>
      <c r="AA2676" s="618">
        <v>38355</v>
      </c>
      <c r="AB2676" s="618" t="s">
        <v>164</v>
      </c>
      <c r="AC2676" s="618">
        <v>28070.231578947372</v>
      </c>
      <c r="AD2676" s="619">
        <v>0.03</v>
      </c>
      <c r="AE2676" s="617" t="s">
        <v>4755</v>
      </c>
    </row>
    <row r="2677" spans="1:31" s="572" customFormat="1">
      <c r="A2677" s="570" t="s">
        <v>4754</v>
      </c>
      <c r="B2677" s="569" t="s">
        <v>269</v>
      </c>
      <c r="C2677" s="580" t="s">
        <v>270</v>
      </c>
      <c r="D2677" s="569" t="s">
        <v>3374</v>
      </c>
      <c r="E2677" s="569" t="s">
        <v>187</v>
      </c>
      <c r="F2677" s="569" t="s">
        <v>271</v>
      </c>
      <c r="G2677" s="569">
        <v>2019</v>
      </c>
      <c r="H2677" s="569" t="s">
        <v>4503</v>
      </c>
      <c r="I2677" s="569" t="s">
        <v>3996</v>
      </c>
      <c r="J2677" s="569" t="s">
        <v>3377</v>
      </c>
      <c r="K2677" s="569">
        <v>6</v>
      </c>
      <c r="L2677" s="569">
        <v>0</v>
      </c>
      <c r="M2677" s="569" t="s">
        <v>157</v>
      </c>
      <c r="N2677" s="569">
        <v>2</v>
      </c>
      <c r="O2677" s="569" t="s">
        <v>3846</v>
      </c>
      <c r="P2677" s="568">
        <v>12700</v>
      </c>
      <c r="Q2677" s="569" t="s">
        <v>4235</v>
      </c>
      <c r="R2677" s="569">
        <v>8</v>
      </c>
      <c r="S2677" s="569" t="s">
        <v>4751</v>
      </c>
      <c r="T2677" s="569" t="s">
        <v>4505</v>
      </c>
      <c r="U2677" s="569">
        <v>164</v>
      </c>
      <c r="V2677" s="569">
        <v>34</v>
      </c>
      <c r="W2677" s="620">
        <v>10300</v>
      </c>
      <c r="X2677" s="621" t="s">
        <v>157</v>
      </c>
      <c r="Y2677" s="621" t="s">
        <v>450</v>
      </c>
      <c r="Z2677" s="621" t="s">
        <v>178</v>
      </c>
      <c r="AA2677" s="622">
        <v>38355</v>
      </c>
      <c r="AB2677" s="622" t="s">
        <v>164</v>
      </c>
      <c r="AC2677" s="622">
        <v>28070.231578947372</v>
      </c>
      <c r="AD2677" s="623">
        <v>0.03</v>
      </c>
      <c r="AE2677" s="621" t="s">
        <v>4755</v>
      </c>
    </row>
    <row r="2678" spans="1:31" s="572" customFormat="1">
      <c r="A2678" s="570" t="s">
        <v>4756</v>
      </c>
      <c r="B2678" s="573" t="s">
        <v>269</v>
      </c>
      <c r="C2678" s="578" t="s">
        <v>270</v>
      </c>
      <c r="D2678" s="573" t="s">
        <v>3374</v>
      </c>
      <c r="E2678" s="573" t="s">
        <v>187</v>
      </c>
      <c r="F2678" s="573" t="s">
        <v>271</v>
      </c>
      <c r="G2678" s="573">
        <v>2019</v>
      </c>
      <c r="H2678" s="573" t="s">
        <v>4503</v>
      </c>
      <c r="I2678" s="573" t="s">
        <v>3996</v>
      </c>
      <c r="J2678" s="573" t="s">
        <v>3377</v>
      </c>
      <c r="K2678" s="573">
        <v>6</v>
      </c>
      <c r="L2678" s="573">
        <v>0</v>
      </c>
      <c r="M2678" s="573" t="s">
        <v>157</v>
      </c>
      <c r="N2678" s="573">
        <v>2</v>
      </c>
      <c r="O2678" s="573" t="s">
        <v>3846</v>
      </c>
      <c r="P2678" s="571">
        <v>12700</v>
      </c>
      <c r="Q2678" s="573" t="s">
        <v>4231</v>
      </c>
      <c r="R2678" s="573">
        <v>8</v>
      </c>
      <c r="S2678" s="582" t="s">
        <v>4751</v>
      </c>
      <c r="T2678" s="573" t="s">
        <v>4505</v>
      </c>
      <c r="U2678" s="573">
        <v>164</v>
      </c>
      <c r="V2678" s="573">
        <v>34</v>
      </c>
      <c r="W2678" s="616">
        <v>11000</v>
      </c>
      <c r="X2678" s="617" t="s">
        <v>157</v>
      </c>
      <c r="Y2678" s="617" t="s">
        <v>728</v>
      </c>
      <c r="Z2678" s="617" t="s">
        <v>1523</v>
      </c>
      <c r="AA2678" s="618">
        <v>47475</v>
      </c>
      <c r="AB2678" s="618" t="s">
        <v>164</v>
      </c>
      <c r="AC2678" s="618">
        <v>36262.42105263158</v>
      </c>
      <c r="AD2678" s="619">
        <v>0.03</v>
      </c>
      <c r="AE2678" s="617" t="s">
        <v>4757</v>
      </c>
    </row>
    <row r="2679" spans="1:31" s="572" customFormat="1">
      <c r="A2679" s="570" t="s">
        <v>4758</v>
      </c>
      <c r="B2679" s="569" t="s">
        <v>278</v>
      </c>
      <c r="C2679" s="580">
        <v>15</v>
      </c>
      <c r="D2679" s="569" t="s">
        <v>3374</v>
      </c>
      <c r="E2679" s="569" t="s">
        <v>187</v>
      </c>
      <c r="F2679" s="569" t="s">
        <v>271</v>
      </c>
      <c r="G2679" s="569">
        <v>2019</v>
      </c>
      <c r="H2679" s="569" t="s">
        <v>4503</v>
      </c>
      <c r="I2679" s="569" t="s">
        <v>3996</v>
      </c>
      <c r="J2679" s="569" t="s">
        <v>3377</v>
      </c>
      <c r="K2679" s="569">
        <v>6</v>
      </c>
      <c r="L2679" s="569">
        <v>0</v>
      </c>
      <c r="M2679" s="569" t="s">
        <v>157</v>
      </c>
      <c r="N2679" s="569">
        <v>2</v>
      </c>
      <c r="O2679" s="569" t="s">
        <v>4230</v>
      </c>
      <c r="P2679" s="568">
        <v>12900</v>
      </c>
      <c r="Q2679" s="569" t="s">
        <v>4235</v>
      </c>
      <c r="R2679" s="569">
        <v>8</v>
      </c>
      <c r="S2679" s="569" t="s">
        <v>4751</v>
      </c>
      <c r="T2679" s="569" t="s">
        <v>4505</v>
      </c>
      <c r="U2679" s="569">
        <v>148</v>
      </c>
      <c r="V2679" s="569">
        <v>34</v>
      </c>
      <c r="W2679" s="620">
        <v>10000</v>
      </c>
      <c r="X2679" s="621" t="s">
        <v>157</v>
      </c>
      <c r="Y2679" s="621" t="s">
        <v>450</v>
      </c>
      <c r="Z2679" s="621" t="s">
        <v>178</v>
      </c>
      <c r="AA2679" s="622">
        <v>38155</v>
      </c>
      <c r="AB2679" s="622" t="s">
        <v>164</v>
      </c>
      <c r="AC2679" s="622">
        <v>27995</v>
      </c>
      <c r="AD2679" s="623">
        <v>0.01</v>
      </c>
      <c r="AE2679" s="621" t="s">
        <v>4750</v>
      </c>
    </row>
    <row r="2680" spans="1:31" s="572" customFormat="1">
      <c r="A2680" s="570" t="s">
        <v>4759</v>
      </c>
      <c r="B2680" s="573" t="s">
        <v>278</v>
      </c>
      <c r="C2680" s="578">
        <v>15</v>
      </c>
      <c r="D2680" s="573" t="s">
        <v>3374</v>
      </c>
      <c r="E2680" s="573" t="s">
        <v>187</v>
      </c>
      <c r="F2680" s="573" t="s">
        <v>271</v>
      </c>
      <c r="G2680" s="573">
        <v>2019</v>
      </c>
      <c r="H2680" s="573" t="s">
        <v>4503</v>
      </c>
      <c r="I2680" s="573" t="s">
        <v>3996</v>
      </c>
      <c r="J2680" s="573" t="s">
        <v>3377</v>
      </c>
      <c r="K2680" s="573">
        <v>6</v>
      </c>
      <c r="L2680" s="573">
        <v>0</v>
      </c>
      <c r="M2680" s="573" t="s">
        <v>157</v>
      </c>
      <c r="N2680" s="573">
        <v>2</v>
      </c>
      <c r="O2680" s="573" t="s">
        <v>4230</v>
      </c>
      <c r="P2680" s="571">
        <v>12900</v>
      </c>
      <c r="Q2680" s="573" t="s">
        <v>4231</v>
      </c>
      <c r="R2680" s="573">
        <v>8</v>
      </c>
      <c r="S2680" s="582" t="s">
        <v>4751</v>
      </c>
      <c r="T2680" s="573" t="s">
        <v>4505</v>
      </c>
      <c r="U2680" s="573">
        <v>148</v>
      </c>
      <c r="V2680" s="573">
        <v>29</v>
      </c>
      <c r="W2680" s="616">
        <v>10800</v>
      </c>
      <c r="X2680" s="617" t="s">
        <v>157</v>
      </c>
      <c r="Y2680" s="617" t="s">
        <v>728</v>
      </c>
      <c r="Z2680" s="617" t="s">
        <v>1523</v>
      </c>
      <c r="AA2680" s="618">
        <v>47275</v>
      </c>
      <c r="AB2680" s="618" t="s">
        <v>164</v>
      </c>
      <c r="AC2680" s="618">
        <v>36250</v>
      </c>
      <c r="AD2680" s="619">
        <v>0.01</v>
      </c>
      <c r="AE2680" s="617" t="s">
        <v>4753</v>
      </c>
    </row>
    <row r="2681" spans="1:31" s="572" customFormat="1">
      <c r="A2681" s="570" t="s">
        <v>4760</v>
      </c>
      <c r="B2681" s="569" t="s">
        <v>278</v>
      </c>
      <c r="C2681" s="580">
        <v>15</v>
      </c>
      <c r="D2681" s="569" t="s">
        <v>3374</v>
      </c>
      <c r="E2681" s="569" t="s">
        <v>187</v>
      </c>
      <c r="F2681" s="569" t="s">
        <v>271</v>
      </c>
      <c r="G2681" s="569">
        <v>2019</v>
      </c>
      <c r="H2681" s="569" t="s">
        <v>4503</v>
      </c>
      <c r="I2681" s="569" t="s">
        <v>3996</v>
      </c>
      <c r="J2681" s="569" t="s">
        <v>3377</v>
      </c>
      <c r="K2681" s="569">
        <v>6</v>
      </c>
      <c r="L2681" s="569">
        <v>0</v>
      </c>
      <c r="M2681" s="569" t="s">
        <v>157</v>
      </c>
      <c r="N2681" s="569">
        <v>2</v>
      </c>
      <c r="O2681" s="569" t="s">
        <v>3846</v>
      </c>
      <c r="P2681" s="568">
        <v>12700</v>
      </c>
      <c r="Q2681" s="569" t="s">
        <v>4235</v>
      </c>
      <c r="R2681" s="569">
        <v>8</v>
      </c>
      <c r="S2681" s="569" t="s">
        <v>4751</v>
      </c>
      <c r="T2681" s="569" t="s">
        <v>4505</v>
      </c>
      <c r="U2681" s="569">
        <v>164</v>
      </c>
      <c r="V2681" s="569">
        <v>34</v>
      </c>
      <c r="W2681" s="620">
        <v>10300</v>
      </c>
      <c r="X2681" s="621" t="s">
        <v>157</v>
      </c>
      <c r="Y2681" s="621" t="s">
        <v>450</v>
      </c>
      <c r="Z2681" s="621" t="s">
        <v>178</v>
      </c>
      <c r="AA2681" s="622">
        <v>38355</v>
      </c>
      <c r="AB2681" s="622" t="s">
        <v>164</v>
      </c>
      <c r="AC2681" s="622">
        <v>28150</v>
      </c>
      <c r="AD2681" s="623">
        <v>0.01</v>
      </c>
      <c r="AE2681" s="621" t="s">
        <v>4755</v>
      </c>
    </row>
    <row r="2682" spans="1:31" s="572" customFormat="1">
      <c r="A2682" s="570" t="s">
        <v>4761</v>
      </c>
      <c r="B2682" s="573" t="s">
        <v>278</v>
      </c>
      <c r="C2682" s="578">
        <v>15</v>
      </c>
      <c r="D2682" s="573" t="s">
        <v>3374</v>
      </c>
      <c r="E2682" s="573" t="s">
        <v>187</v>
      </c>
      <c r="F2682" s="573" t="s">
        <v>271</v>
      </c>
      <c r="G2682" s="573">
        <v>2019</v>
      </c>
      <c r="H2682" s="573" t="s">
        <v>4503</v>
      </c>
      <c r="I2682" s="573" t="s">
        <v>3996</v>
      </c>
      <c r="J2682" s="573" t="s">
        <v>3377</v>
      </c>
      <c r="K2682" s="573">
        <v>6</v>
      </c>
      <c r="L2682" s="573">
        <v>0</v>
      </c>
      <c r="M2682" s="573" t="s">
        <v>157</v>
      </c>
      <c r="N2682" s="573">
        <v>2</v>
      </c>
      <c r="O2682" s="573" t="s">
        <v>3846</v>
      </c>
      <c r="P2682" s="571">
        <v>12700</v>
      </c>
      <c r="Q2682" s="573" t="s">
        <v>4231</v>
      </c>
      <c r="R2682" s="573">
        <v>8</v>
      </c>
      <c r="S2682" s="582" t="s">
        <v>4751</v>
      </c>
      <c r="T2682" s="573" t="s">
        <v>4505</v>
      </c>
      <c r="U2682" s="573">
        <v>164</v>
      </c>
      <c r="V2682" s="573">
        <v>34</v>
      </c>
      <c r="W2682" s="616">
        <v>11000</v>
      </c>
      <c r="X2682" s="617" t="s">
        <v>157</v>
      </c>
      <c r="Y2682" s="617" t="s">
        <v>728</v>
      </c>
      <c r="Z2682" s="617" t="s">
        <v>1523</v>
      </c>
      <c r="AA2682" s="618">
        <v>47475</v>
      </c>
      <c r="AB2682" s="618" t="s">
        <v>164</v>
      </c>
      <c r="AC2682" s="618">
        <v>36450</v>
      </c>
      <c r="AD2682" s="619">
        <v>0.01</v>
      </c>
      <c r="AE2682" s="617" t="s">
        <v>4757</v>
      </c>
    </row>
    <row r="2683" spans="1:31" s="572" customFormat="1">
      <c r="A2683" s="570" t="s">
        <v>4762</v>
      </c>
      <c r="B2683" s="569" t="s">
        <v>287</v>
      </c>
      <c r="C2683" s="580">
        <v>26</v>
      </c>
      <c r="D2683" s="569" t="s">
        <v>3374</v>
      </c>
      <c r="E2683" s="569" t="s">
        <v>187</v>
      </c>
      <c r="F2683" s="569" t="s">
        <v>271</v>
      </c>
      <c r="G2683" s="569">
        <v>2019</v>
      </c>
      <c r="H2683" s="569" t="s">
        <v>4503</v>
      </c>
      <c r="I2683" s="569" t="s">
        <v>3996</v>
      </c>
      <c r="J2683" s="569" t="s">
        <v>3377</v>
      </c>
      <c r="K2683" s="569">
        <v>6</v>
      </c>
      <c r="L2683" s="569">
        <v>0</v>
      </c>
      <c r="M2683" s="569" t="s">
        <v>157</v>
      </c>
      <c r="N2683" s="569">
        <v>2</v>
      </c>
      <c r="O2683" s="569" t="s">
        <v>4230</v>
      </c>
      <c r="P2683" s="568">
        <v>12900</v>
      </c>
      <c r="Q2683" s="569" t="s">
        <v>4235</v>
      </c>
      <c r="R2683" s="569">
        <v>8</v>
      </c>
      <c r="S2683" s="569" t="s">
        <v>4751</v>
      </c>
      <c r="T2683" s="569" t="s">
        <v>4505</v>
      </c>
      <c r="U2683" s="569">
        <v>148</v>
      </c>
      <c r="V2683" s="569">
        <v>34</v>
      </c>
      <c r="W2683" s="620">
        <v>10000</v>
      </c>
      <c r="X2683" s="621" t="s">
        <v>157</v>
      </c>
      <c r="Y2683" s="621" t="s">
        <v>450</v>
      </c>
      <c r="Z2683" s="621" t="s">
        <v>178</v>
      </c>
      <c r="AA2683" s="622">
        <v>37790</v>
      </c>
      <c r="AB2683" s="622" t="s">
        <v>164</v>
      </c>
      <c r="AC2683" s="622">
        <v>28107</v>
      </c>
      <c r="AD2683" s="623">
        <v>0.05</v>
      </c>
      <c r="AE2683" s="621" t="s">
        <v>4750</v>
      </c>
    </row>
    <row r="2684" spans="1:31" s="572" customFormat="1">
      <c r="A2684" s="570" t="s">
        <v>4763</v>
      </c>
      <c r="B2684" s="573" t="s">
        <v>287</v>
      </c>
      <c r="C2684" s="578">
        <v>26</v>
      </c>
      <c r="D2684" s="573" t="s">
        <v>3374</v>
      </c>
      <c r="E2684" s="573" t="s">
        <v>187</v>
      </c>
      <c r="F2684" s="573" t="s">
        <v>271</v>
      </c>
      <c r="G2684" s="573">
        <v>2019</v>
      </c>
      <c r="H2684" s="573" t="s">
        <v>4503</v>
      </c>
      <c r="I2684" s="573" t="s">
        <v>3996</v>
      </c>
      <c r="J2684" s="573" t="s">
        <v>3377</v>
      </c>
      <c r="K2684" s="573">
        <v>6</v>
      </c>
      <c r="L2684" s="573">
        <v>0</v>
      </c>
      <c r="M2684" s="573" t="s">
        <v>157</v>
      </c>
      <c r="N2684" s="573">
        <v>2</v>
      </c>
      <c r="O2684" s="573" t="s">
        <v>4230</v>
      </c>
      <c r="P2684" s="571">
        <v>12900</v>
      </c>
      <c r="Q2684" s="573" t="s">
        <v>4231</v>
      </c>
      <c r="R2684" s="573">
        <v>8</v>
      </c>
      <c r="S2684" s="582" t="s">
        <v>4751</v>
      </c>
      <c r="T2684" s="573" t="s">
        <v>4505</v>
      </c>
      <c r="U2684" s="573">
        <v>148</v>
      </c>
      <c r="V2684" s="573">
        <v>29</v>
      </c>
      <c r="W2684" s="616">
        <v>10800</v>
      </c>
      <c r="X2684" s="617" t="s">
        <v>157</v>
      </c>
      <c r="Y2684" s="617" t="s">
        <v>728</v>
      </c>
      <c r="Z2684" s="617" t="s">
        <v>1523</v>
      </c>
      <c r="AA2684" s="618">
        <v>46785</v>
      </c>
      <c r="AB2684" s="618" t="s">
        <v>164</v>
      </c>
      <c r="AC2684" s="618">
        <v>36301</v>
      </c>
      <c r="AD2684" s="619">
        <v>0.05</v>
      </c>
      <c r="AE2684" s="617" t="s">
        <v>4753</v>
      </c>
    </row>
    <row r="2685" spans="1:31" s="572" customFormat="1">
      <c r="A2685" s="570" t="s">
        <v>4764</v>
      </c>
      <c r="B2685" s="569" t="s">
        <v>287</v>
      </c>
      <c r="C2685" s="580">
        <v>26</v>
      </c>
      <c r="D2685" s="569" t="s">
        <v>3374</v>
      </c>
      <c r="E2685" s="569" t="s">
        <v>187</v>
      </c>
      <c r="F2685" s="569" t="s">
        <v>271</v>
      </c>
      <c r="G2685" s="569">
        <v>2019</v>
      </c>
      <c r="H2685" s="569" t="s">
        <v>4503</v>
      </c>
      <c r="I2685" s="569" t="s">
        <v>3996</v>
      </c>
      <c r="J2685" s="569" t="s">
        <v>3377</v>
      </c>
      <c r="K2685" s="569">
        <v>6</v>
      </c>
      <c r="L2685" s="569">
        <v>0</v>
      </c>
      <c r="M2685" s="569" t="s">
        <v>157</v>
      </c>
      <c r="N2685" s="569">
        <v>2</v>
      </c>
      <c r="O2685" s="569" t="s">
        <v>3846</v>
      </c>
      <c r="P2685" s="568">
        <v>12700</v>
      </c>
      <c r="Q2685" s="569" t="s">
        <v>4235</v>
      </c>
      <c r="R2685" s="569">
        <v>8</v>
      </c>
      <c r="S2685" s="569" t="s">
        <v>4751</v>
      </c>
      <c r="T2685" s="569" t="s">
        <v>4505</v>
      </c>
      <c r="U2685" s="569">
        <v>164</v>
      </c>
      <c r="V2685" s="569">
        <v>34</v>
      </c>
      <c r="W2685" s="620">
        <v>10300</v>
      </c>
      <c r="X2685" s="621" t="s">
        <v>157</v>
      </c>
      <c r="Y2685" s="621" t="s">
        <v>450</v>
      </c>
      <c r="Z2685" s="621" t="s">
        <v>178</v>
      </c>
      <c r="AA2685" s="622">
        <v>38355</v>
      </c>
      <c r="AB2685" s="622" t="s">
        <v>164</v>
      </c>
      <c r="AC2685" s="622">
        <v>28294</v>
      </c>
      <c r="AD2685" s="623">
        <v>0.05</v>
      </c>
      <c r="AE2685" s="621" t="s">
        <v>4755</v>
      </c>
    </row>
    <row r="2686" spans="1:31" s="572" customFormat="1">
      <c r="A2686" s="570" t="s">
        <v>4765</v>
      </c>
      <c r="B2686" s="573" t="s">
        <v>287</v>
      </c>
      <c r="C2686" s="578">
        <v>26</v>
      </c>
      <c r="D2686" s="573" t="s">
        <v>3374</v>
      </c>
      <c r="E2686" s="573" t="s">
        <v>187</v>
      </c>
      <c r="F2686" s="573" t="s">
        <v>271</v>
      </c>
      <c r="G2686" s="573">
        <v>2019</v>
      </c>
      <c r="H2686" s="573" t="s">
        <v>4503</v>
      </c>
      <c r="I2686" s="573" t="s">
        <v>3996</v>
      </c>
      <c r="J2686" s="573" t="s">
        <v>3377</v>
      </c>
      <c r="K2686" s="573">
        <v>6</v>
      </c>
      <c r="L2686" s="573">
        <v>0</v>
      </c>
      <c r="M2686" s="573" t="s">
        <v>157</v>
      </c>
      <c r="N2686" s="573">
        <v>2</v>
      </c>
      <c r="O2686" s="573" t="s">
        <v>3846</v>
      </c>
      <c r="P2686" s="571">
        <v>12700</v>
      </c>
      <c r="Q2686" s="573" t="s">
        <v>4231</v>
      </c>
      <c r="R2686" s="573">
        <v>8</v>
      </c>
      <c r="S2686" s="582" t="s">
        <v>4751</v>
      </c>
      <c r="T2686" s="573" t="s">
        <v>4505</v>
      </c>
      <c r="U2686" s="573">
        <v>164</v>
      </c>
      <c r="V2686" s="573">
        <v>34</v>
      </c>
      <c r="W2686" s="616">
        <v>11000</v>
      </c>
      <c r="X2686" s="617" t="s">
        <v>157</v>
      </c>
      <c r="Y2686" s="617" t="s">
        <v>728</v>
      </c>
      <c r="Z2686" s="617" t="s">
        <v>1523</v>
      </c>
      <c r="AA2686" s="618">
        <v>47475</v>
      </c>
      <c r="AB2686" s="618" t="s">
        <v>164</v>
      </c>
      <c r="AC2686" s="618">
        <v>36489</v>
      </c>
      <c r="AD2686" s="619">
        <v>0.05</v>
      </c>
      <c r="AE2686" s="617" t="s">
        <v>4757</v>
      </c>
    </row>
    <row r="2687" spans="1:31" s="572" customFormat="1">
      <c r="A2687" s="570" t="s">
        <v>4766</v>
      </c>
      <c r="B2687" s="569" t="s">
        <v>280</v>
      </c>
      <c r="C2687" s="580">
        <v>27</v>
      </c>
      <c r="D2687" s="569" t="s">
        <v>3374</v>
      </c>
      <c r="E2687" s="569" t="s">
        <v>187</v>
      </c>
      <c r="F2687" s="569" t="s">
        <v>271</v>
      </c>
      <c r="G2687" s="569">
        <v>2019</v>
      </c>
      <c r="H2687" s="569" t="s">
        <v>4503</v>
      </c>
      <c r="I2687" s="569" t="s">
        <v>3996</v>
      </c>
      <c r="J2687" s="569" t="s">
        <v>3377</v>
      </c>
      <c r="K2687" s="569">
        <v>6</v>
      </c>
      <c r="L2687" s="569">
        <v>0</v>
      </c>
      <c r="M2687" s="569" t="s">
        <v>157</v>
      </c>
      <c r="N2687" s="569">
        <v>2</v>
      </c>
      <c r="O2687" s="569" t="s">
        <v>4230</v>
      </c>
      <c r="P2687" s="568">
        <v>12800</v>
      </c>
      <c r="Q2687" s="569" t="s">
        <v>4235</v>
      </c>
      <c r="R2687" s="569">
        <v>8</v>
      </c>
      <c r="S2687" s="569" t="s">
        <v>4751</v>
      </c>
      <c r="T2687" s="569" t="s">
        <v>4505</v>
      </c>
      <c r="U2687" s="569">
        <v>148</v>
      </c>
      <c r="V2687" s="569">
        <v>34</v>
      </c>
      <c r="W2687" s="620">
        <v>10000</v>
      </c>
      <c r="X2687" s="621" t="s">
        <v>157</v>
      </c>
      <c r="Y2687" s="621" t="s">
        <v>450</v>
      </c>
      <c r="Z2687" s="621" t="s">
        <v>178</v>
      </c>
      <c r="AA2687" s="622">
        <v>38155</v>
      </c>
      <c r="AB2687" s="622" t="s">
        <v>164</v>
      </c>
      <c r="AC2687" s="622">
        <v>27886.021052631582</v>
      </c>
      <c r="AD2687" s="623">
        <v>0.03</v>
      </c>
      <c r="AE2687" s="621" t="s">
        <v>4750</v>
      </c>
    </row>
    <row r="2688" spans="1:31" s="572" customFormat="1">
      <c r="A2688" s="570" t="s">
        <v>4767</v>
      </c>
      <c r="B2688" s="573" t="s">
        <v>280</v>
      </c>
      <c r="C2688" s="578">
        <v>27</v>
      </c>
      <c r="D2688" s="573" t="s">
        <v>3374</v>
      </c>
      <c r="E2688" s="573" t="s">
        <v>187</v>
      </c>
      <c r="F2688" s="573" t="s">
        <v>271</v>
      </c>
      <c r="G2688" s="573">
        <v>2019</v>
      </c>
      <c r="H2688" s="573" t="s">
        <v>4503</v>
      </c>
      <c r="I2688" s="573" t="s">
        <v>3996</v>
      </c>
      <c r="J2688" s="573" t="s">
        <v>3377</v>
      </c>
      <c r="K2688" s="573">
        <v>6</v>
      </c>
      <c r="L2688" s="573">
        <v>0</v>
      </c>
      <c r="M2688" s="573" t="s">
        <v>157</v>
      </c>
      <c r="N2688" s="573">
        <v>2</v>
      </c>
      <c r="O2688" s="573" t="s">
        <v>4230</v>
      </c>
      <c r="P2688" s="571">
        <v>12800</v>
      </c>
      <c r="Q2688" s="573" t="s">
        <v>4231</v>
      </c>
      <c r="R2688" s="573">
        <v>8</v>
      </c>
      <c r="S2688" s="582" t="s">
        <v>4751</v>
      </c>
      <c r="T2688" s="573" t="s">
        <v>4505</v>
      </c>
      <c r="U2688" s="573">
        <v>148</v>
      </c>
      <c r="V2688" s="573">
        <v>34</v>
      </c>
      <c r="W2688" s="616">
        <v>10800</v>
      </c>
      <c r="X2688" s="617" t="s">
        <v>157</v>
      </c>
      <c r="Y2688" s="617" t="s">
        <v>728</v>
      </c>
      <c r="Z2688" s="617" t="s">
        <v>1523</v>
      </c>
      <c r="AA2688" s="618">
        <v>47275</v>
      </c>
      <c r="AB2688" s="618" t="s">
        <v>164</v>
      </c>
      <c r="AC2688" s="618">
        <v>36078.210526315794</v>
      </c>
      <c r="AD2688" s="619">
        <v>0.03</v>
      </c>
      <c r="AE2688" s="617" t="s">
        <v>4753</v>
      </c>
    </row>
    <row r="2689" spans="1:31" s="572" customFormat="1">
      <c r="A2689" s="570" t="s">
        <v>4768</v>
      </c>
      <c r="B2689" s="569" t="s">
        <v>280</v>
      </c>
      <c r="C2689" s="580">
        <v>27</v>
      </c>
      <c r="D2689" s="569" t="s">
        <v>3374</v>
      </c>
      <c r="E2689" s="569" t="s">
        <v>187</v>
      </c>
      <c r="F2689" s="569" t="s">
        <v>271</v>
      </c>
      <c r="G2689" s="569">
        <v>2019</v>
      </c>
      <c r="H2689" s="569" t="s">
        <v>4503</v>
      </c>
      <c r="I2689" s="569" t="s">
        <v>3996</v>
      </c>
      <c r="J2689" s="569" t="s">
        <v>3377</v>
      </c>
      <c r="K2689" s="569">
        <v>6</v>
      </c>
      <c r="L2689" s="569">
        <v>0</v>
      </c>
      <c r="M2689" s="569" t="s">
        <v>157</v>
      </c>
      <c r="N2689" s="569">
        <v>2</v>
      </c>
      <c r="O2689" s="569" t="s">
        <v>3846</v>
      </c>
      <c r="P2689" s="568">
        <v>12700</v>
      </c>
      <c r="Q2689" s="569" t="s">
        <v>4231</v>
      </c>
      <c r="R2689" s="569">
        <v>8</v>
      </c>
      <c r="S2689" s="569" t="s">
        <v>4751</v>
      </c>
      <c r="T2689" s="569" t="s">
        <v>4505</v>
      </c>
      <c r="U2689" s="569">
        <v>164</v>
      </c>
      <c r="V2689" s="569">
        <v>34</v>
      </c>
      <c r="W2689" s="620">
        <v>11000</v>
      </c>
      <c r="X2689" s="621" t="s">
        <v>157</v>
      </c>
      <c r="Y2689" s="621" t="s">
        <v>728</v>
      </c>
      <c r="Z2689" s="621" t="s">
        <v>1523</v>
      </c>
      <c r="AA2689" s="622">
        <v>47475</v>
      </c>
      <c r="AB2689" s="622" t="s">
        <v>164</v>
      </c>
      <c r="AC2689" s="622">
        <v>36262.42105263158</v>
      </c>
      <c r="AD2689" s="623">
        <v>0.03</v>
      </c>
      <c r="AE2689" s="621" t="s">
        <v>4757</v>
      </c>
    </row>
    <row r="2690" spans="1:31" s="572" customFormat="1">
      <c r="A2690" s="570" t="s">
        <v>4769</v>
      </c>
      <c r="B2690" s="573" t="s">
        <v>269</v>
      </c>
      <c r="C2690" s="578" t="s">
        <v>270</v>
      </c>
      <c r="D2690" s="573" t="s">
        <v>3374</v>
      </c>
      <c r="E2690" s="573" t="s">
        <v>187</v>
      </c>
      <c r="F2690" s="573" t="s">
        <v>271</v>
      </c>
      <c r="G2690" s="573">
        <v>2019</v>
      </c>
      <c r="H2690" s="573" t="s">
        <v>4503</v>
      </c>
      <c r="I2690" s="573" t="s">
        <v>3996</v>
      </c>
      <c r="J2690" s="573" t="s">
        <v>752</v>
      </c>
      <c r="K2690" s="573">
        <v>6</v>
      </c>
      <c r="L2690" s="573">
        <v>0</v>
      </c>
      <c r="M2690" s="573" t="s">
        <v>157</v>
      </c>
      <c r="N2690" s="573">
        <v>2</v>
      </c>
      <c r="O2690" s="573" t="s">
        <v>4230</v>
      </c>
      <c r="P2690" s="571">
        <v>12300</v>
      </c>
      <c r="Q2690" s="573" t="s">
        <v>4235</v>
      </c>
      <c r="R2690" s="573">
        <v>8</v>
      </c>
      <c r="S2690" s="582" t="s">
        <v>4771</v>
      </c>
      <c r="T2690" s="573" t="s">
        <v>4505</v>
      </c>
      <c r="U2690" s="573">
        <v>148</v>
      </c>
      <c r="V2690" s="573">
        <v>34</v>
      </c>
      <c r="W2690" s="616">
        <v>10400</v>
      </c>
      <c r="X2690" s="617" t="s">
        <v>157</v>
      </c>
      <c r="Y2690" s="617" t="s">
        <v>450</v>
      </c>
      <c r="Z2690" s="617" t="s">
        <v>178</v>
      </c>
      <c r="AA2690" s="618">
        <v>40955</v>
      </c>
      <c r="AB2690" s="618" t="s">
        <v>164</v>
      </c>
      <c r="AC2690" s="618">
        <v>29630.231578947372</v>
      </c>
      <c r="AD2690" s="619">
        <v>0.03</v>
      </c>
      <c r="AE2690" s="617" t="s">
        <v>4770</v>
      </c>
    </row>
    <row r="2691" spans="1:31" s="572" customFormat="1">
      <c r="A2691" s="570" t="s">
        <v>4772</v>
      </c>
      <c r="B2691" s="569" t="s">
        <v>269</v>
      </c>
      <c r="C2691" s="580" t="s">
        <v>270</v>
      </c>
      <c r="D2691" s="569" t="s">
        <v>3374</v>
      </c>
      <c r="E2691" s="569" t="s">
        <v>187</v>
      </c>
      <c r="F2691" s="569" t="s">
        <v>271</v>
      </c>
      <c r="G2691" s="569">
        <v>2019</v>
      </c>
      <c r="H2691" s="569" t="s">
        <v>4503</v>
      </c>
      <c r="I2691" s="569" t="s">
        <v>3996</v>
      </c>
      <c r="J2691" s="569" t="s">
        <v>752</v>
      </c>
      <c r="K2691" s="569">
        <v>6</v>
      </c>
      <c r="L2691" s="569">
        <v>0</v>
      </c>
      <c r="M2691" s="569" t="s">
        <v>157</v>
      </c>
      <c r="N2691" s="569">
        <v>2</v>
      </c>
      <c r="O2691" s="569" t="s">
        <v>4230</v>
      </c>
      <c r="P2691" s="568">
        <v>12400</v>
      </c>
      <c r="Q2691" s="569" t="s">
        <v>4235</v>
      </c>
      <c r="R2691" s="569">
        <v>8</v>
      </c>
      <c r="S2691" s="569" t="s">
        <v>4771</v>
      </c>
      <c r="T2691" s="569" t="s">
        <v>4505</v>
      </c>
      <c r="U2691" s="569">
        <v>148</v>
      </c>
      <c r="V2691" s="569">
        <v>34</v>
      </c>
      <c r="W2691" s="620">
        <v>10400</v>
      </c>
      <c r="X2691" s="621" t="s">
        <v>157</v>
      </c>
      <c r="Y2691" s="621" t="s">
        <v>450</v>
      </c>
      <c r="Z2691" s="621" t="s">
        <v>178</v>
      </c>
      <c r="AA2691" s="622">
        <v>40955</v>
      </c>
      <c r="AB2691" s="622" t="s">
        <v>164</v>
      </c>
      <c r="AC2691" s="622">
        <v>29630.231578947372</v>
      </c>
      <c r="AD2691" s="623">
        <v>0.03</v>
      </c>
      <c r="AE2691" s="621" t="s">
        <v>4773</v>
      </c>
    </row>
    <row r="2692" spans="1:31" s="572" customFormat="1">
      <c r="A2692" s="570" t="s">
        <v>4774</v>
      </c>
      <c r="B2692" s="573" t="s">
        <v>269</v>
      </c>
      <c r="C2692" s="578" t="s">
        <v>270</v>
      </c>
      <c r="D2692" s="573" t="s">
        <v>3374</v>
      </c>
      <c r="E2692" s="573" t="s">
        <v>187</v>
      </c>
      <c r="F2692" s="573" t="s">
        <v>271</v>
      </c>
      <c r="G2692" s="573">
        <v>2019</v>
      </c>
      <c r="H2692" s="573" t="s">
        <v>4503</v>
      </c>
      <c r="I2692" s="573" t="s">
        <v>3996</v>
      </c>
      <c r="J2692" s="573" t="s">
        <v>752</v>
      </c>
      <c r="K2692" s="573">
        <v>6</v>
      </c>
      <c r="L2692" s="573">
        <v>0</v>
      </c>
      <c r="M2692" s="573" t="s">
        <v>157</v>
      </c>
      <c r="N2692" s="573">
        <v>2</v>
      </c>
      <c r="O2692" s="573" t="s">
        <v>4230</v>
      </c>
      <c r="P2692" s="571">
        <v>12400</v>
      </c>
      <c r="Q2692" s="573" t="s">
        <v>4231</v>
      </c>
      <c r="R2692" s="573">
        <v>8</v>
      </c>
      <c r="S2692" s="582" t="s">
        <v>4771</v>
      </c>
      <c r="T2692" s="573" t="s">
        <v>4505</v>
      </c>
      <c r="U2692" s="573">
        <v>148</v>
      </c>
      <c r="V2692" s="573">
        <v>29</v>
      </c>
      <c r="W2692" s="616">
        <v>11100</v>
      </c>
      <c r="X2692" s="617" t="s">
        <v>157</v>
      </c>
      <c r="Y2692" s="617" t="s">
        <v>728</v>
      </c>
      <c r="Z2692" s="617" t="s">
        <v>1523</v>
      </c>
      <c r="AA2692" s="618">
        <v>50075</v>
      </c>
      <c r="AB2692" s="618" t="s">
        <v>164</v>
      </c>
      <c r="AC2692" s="618">
        <v>37822.421052631587</v>
      </c>
      <c r="AD2692" s="619">
        <v>0.03</v>
      </c>
      <c r="AE2692" s="617" t="s">
        <v>4775</v>
      </c>
    </row>
    <row r="2693" spans="1:31" s="572" customFormat="1">
      <c r="A2693" s="570" t="s">
        <v>4776</v>
      </c>
      <c r="B2693" s="569" t="s">
        <v>269</v>
      </c>
      <c r="C2693" s="580" t="s">
        <v>270</v>
      </c>
      <c r="D2693" s="569" t="s">
        <v>3374</v>
      </c>
      <c r="E2693" s="569" t="s">
        <v>187</v>
      </c>
      <c r="F2693" s="569" t="s">
        <v>271</v>
      </c>
      <c r="G2693" s="569">
        <v>2019</v>
      </c>
      <c r="H2693" s="569" t="s">
        <v>4503</v>
      </c>
      <c r="I2693" s="569" t="s">
        <v>3996</v>
      </c>
      <c r="J2693" s="569" t="s">
        <v>752</v>
      </c>
      <c r="K2693" s="569">
        <v>6</v>
      </c>
      <c r="L2693" s="569">
        <v>0</v>
      </c>
      <c r="M2693" s="569" t="s">
        <v>157</v>
      </c>
      <c r="N2693" s="569">
        <v>2</v>
      </c>
      <c r="O2693" s="569" t="s">
        <v>3846</v>
      </c>
      <c r="P2693" s="568">
        <v>12300</v>
      </c>
      <c r="Q2693" s="569" t="s">
        <v>4235</v>
      </c>
      <c r="R2693" s="569">
        <v>8</v>
      </c>
      <c r="S2693" s="569" t="s">
        <v>4771</v>
      </c>
      <c r="T2693" s="569" t="s">
        <v>4505</v>
      </c>
      <c r="U2693" s="569">
        <v>164</v>
      </c>
      <c r="V2693" s="569">
        <v>34</v>
      </c>
      <c r="W2693" s="620">
        <v>10700</v>
      </c>
      <c r="X2693" s="621" t="s">
        <v>157</v>
      </c>
      <c r="Y2693" s="621" t="s">
        <v>450</v>
      </c>
      <c r="Z2693" s="621" t="s">
        <v>178</v>
      </c>
      <c r="AA2693" s="622">
        <v>41155</v>
      </c>
      <c r="AB2693" s="622" t="s">
        <v>164</v>
      </c>
      <c r="AC2693" s="622">
        <v>29814.442105263159</v>
      </c>
      <c r="AD2693" s="623">
        <v>0.03</v>
      </c>
      <c r="AE2693" s="621" t="s">
        <v>4777</v>
      </c>
    </row>
    <row r="2694" spans="1:31" s="572" customFormat="1">
      <c r="A2694" s="570" t="s">
        <v>4778</v>
      </c>
      <c r="B2694" s="573" t="s">
        <v>269</v>
      </c>
      <c r="C2694" s="578" t="s">
        <v>270</v>
      </c>
      <c r="D2694" s="573" t="s">
        <v>3374</v>
      </c>
      <c r="E2694" s="573" t="s">
        <v>187</v>
      </c>
      <c r="F2694" s="573" t="s">
        <v>271</v>
      </c>
      <c r="G2694" s="573">
        <v>2019</v>
      </c>
      <c r="H2694" s="573" t="s">
        <v>4503</v>
      </c>
      <c r="I2694" s="573" t="s">
        <v>3996</v>
      </c>
      <c r="J2694" s="573" t="s">
        <v>752</v>
      </c>
      <c r="K2694" s="573">
        <v>6</v>
      </c>
      <c r="L2694" s="573">
        <v>0</v>
      </c>
      <c r="M2694" s="573" t="s">
        <v>157</v>
      </c>
      <c r="N2694" s="573">
        <v>2</v>
      </c>
      <c r="O2694" s="573" t="s">
        <v>3846</v>
      </c>
      <c r="P2694" s="571">
        <v>12300</v>
      </c>
      <c r="Q2694" s="573" t="s">
        <v>4231</v>
      </c>
      <c r="R2694" s="573">
        <v>8</v>
      </c>
      <c r="S2694" s="582" t="s">
        <v>4771</v>
      </c>
      <c r="T2694" s="573" t="s">
        <v>4505</v>
      </c>
      <c r="U2694" s="573">
        <v>164</v>
      </c>
      <c r="V2694" s="573">
        <v>34</v>
      </c>
      <c r="W2694" s="616">
        <v>11300</v>
      </c>
      <c r="X2694" s="617" t="s">
        <v>157</v>
      </c>
      <c r="Y2694" s="617" t="s">
        <v>728</v>
      </c>
      <c r="Z2694" s="617" t="s">
        <v>1523</v>
      </c>
      <c r="AA2694" s="618">
        <v>50275</v>
      </c>
      <c r="AB2694" s="618" t="s">
        <v>164</v>
      </c>
      <c r="AC2694" s="618">
        <v>38006.631578947374</v>
      </c>
      <c r="AD2694" s="619">
        <v>0.03</v>
      </c>
      <c r="AE2694" s="617" t="s">
        <v>4779</v>
      </c>
    </row>
    <row r="2695" spans="1:31" s="572" customFormat="1">
      <c r="A2695" s="570" t="s">
        <v>4780</v>
      </c>
      <c r="B2695" s="569" t="s">
        <v>278</v>
      </c>
      <c r="C2695" s="580">
        <v>15</v>
      </c>
      <c r="D2695" s="569" t="s">
        <v>3374</v>
      </c>
      <c r="E2695" s="569" t="s">
        <v>187</v>
      </c>
      <c r="F2695" s="569" t="s">
        <v>271</v>
      </c>
      <c r="G2695" s="569">
        <v>2019</v>
      </c>
      <c r="H2695" s="569" t="s">
        <v>4503</v>
      </c>
      <c r="I2695" s="569" t="s">
        <v>3996</v>
      </c>
      <c r="J2695" s="569" t="s">
        <v>752</v>
      </c>
      <c r="K2695" s="569">
        <v>6</v>
      </c>
      <c r="L2695" s="569">
        <v>0</v>
      </c>
      <c r="M2695" s="569" t="s">
        <v>157</v>
      </c>
      <c r="N2695" s="569">
        <v>2</v>
      </c>
      <c r="O2695" s="569" t="s">
        <v>4230</v>
      </c>
      <c r="P2695" s="568">
        <v>12400</v>
      </c>
      <c r="Q2695" s="569" t="s">
        <v>4235</v>
      </c>
      <c r="R2695" s="569">
        <v>8</v>
      </c>
      <c r="S2695" s="569" t="s">
        <v>4771</v>
      </c>
      <c r="T2695" s="569" t="s">
        <v>4505</v>
      </c>
      <c r="U2695" s="569">
        <v>148</v>
      </c>
      <c r="V2695" s="569">
        <v>34</v>
      </c>
      <c r="W2695" s="620">
        <v>10400</v>
      </c>
      <c r="X2695" s="621" t="s">
        <v>157</v>
      </c>
      <c r="Y2695" s="621" t="s">
        <v>450</v>
      </c>
      <c r="Z2695" s="621" t="s">
        <v>178</v>
      </c>
      <c r="AA2695" s="622">
        <v>40955</v>
      </c>
      <c r="AB2695" s="622" t="s">
        <v>164</v>
      </c>
      <c r="AC2695" s="622">
        <v>29750</v>
      </c>
      <c r="AD2695" s="623">
        <v>0.01</v>
      </c>
      <c r="AE2695" s="621" t="s">
        <v>4773</v>
      </c>
    </row>
    <row r="2696" spans="1:31" s="572" customFormat="1">
      <c r="A2696" s="570" t="s">
        <v>4781</v>
      </c>
      <c r="B2696" s="573" t="s">
        <v>278</v>
      </c>
      <c r="C2696" s="578">
        <v>15</v>
      </c>
      <c r="D2696" s="573" t="s">
        <v>3374</v>
      </c>
      <c r="E2696" s="573" t="s">
        <v>187</v>
      </c>
      <c r="F2696" s="573" t="s">
        <v>271</v>
      </c>
      <c r="G2696" s="573">
        <v>2019</v>
      </c>
      <c r="H2696" s="573" t="s">
        <v>4503</v>
      </c>
      <c r="I2696" s="573" t="s">
        <v>3996</v>
      </c>
      <c r="J2696" s="573" t="s">
        <v>752</v>
      </c>
      <c r="K2696" s="573">
        <v>6</v>
      </c>
      <c r="L2696" s="573">
        <v>0</v>
      </c>
      <c r="M2696" s="573" t="s">
        <v>157</v>
      </c>
      <c r="N2696" s="573">
        <v>2</v>
      </c>
      <c r="O2696" s="573" t="s">
        <v>4230</v>
      </c>
      <c r="P2696" s="571">
        <v>12400</v>
      </c>
      <c r="Q2696" s="573" t="s">
        <v>4231</v>
      </c>
      <c r="R2696" s="573">
        <v>8</v>
      </c>
      <c r="S2696" s="582" t="s">
        <v>4771</v>
      </c>
      <c r="T2696" s="573" t="s">
        <v>4505</v>
      </c>
      <c r="U2696" s="573">
        <v>148</v>
      </c>
      <c r="V2696" s="573">
        <v>29</v>
      </c>
      <c r="W2696" s="616">
        <v>11100</v>
      </c>
      <c r="X2696" s="617" t="s">
        <v>157</v>
      </c>
      <c r="Y2696" s="617" t="s">
        <v>728</v>
      </c>
      <c r="Z2696" s="617" t="s">
        <v>1523</v>
      </c>
      <c r="AA2696" s="618">
        <v>50075</v>
      </c>
      <c r="AB2696" s="618" t="s">
        <v>164</v>
      </c>
      <c r="AC2696" s="618">
        <v>37995</v>
      </c>
      <c r="AD2696" s="619">
        <v>0.01</v>
      </c>
      <c r="AE2696" s="617" t="s">
        <v>4775</v>
      </c>
    </row>
    <row r="2697" spans="1:31" s="572" customFormat="1">
      <c r="A2697" s="570" t="s">
        <v>4782</v>
      </c>
      <c r="B2697" s="569" t="s">
        <v>278</v>
      </c>
      <c r="C2697" s="580">
        <v>15</v>
      </c>
      <c r="D2697" s="569" t="s">
        <v>3374</v>
      </c>
      <c r="E2697" s="569" t="s">
        <v>187</v>
      </c>
      <c r="F2697" s="569" t="s">
        <v>271</v>
      </c>
      <c r="G2697" s="569">
        <v>2019</v>
      </c>
      <c r="H2697" s="569" t="s">
        <v>4503</v>
      </c>
      <c r="I2697" s="569" t="s">
        <v>3996</v>
      </c>
      <c r="J2697" s="569" t="s">
        <v>752</v>
      </c>
      <c r="K2697" s="569">
        <v>6</v>
      </c>
      <c r="L2697" s="569">
        <v>0</v>
      </c>
      <c r="M2697" s="569" t="s">
        <v>157</v>
      </c>
      <c r="N2697" s="569">
        <v>2</v>
      </c>
      <c r="O2697" s="569" t="s">
        <v>3846</v>
      </c>
      <c r="P2697" s="568">
        <v>12300</v>
      </c>
      <c r="Q2697" s="569" t="s">
        <v>4235</v>
      </c>
      <c r="R2697" s="569">
        <v>8</v>
      </c>
      <c r="S2697" s="569" t="s">
        <v>4771</v>
      </c>
      <c r="T2697" s="569" t="s">
        <v>4505</v>
      </c>
      <c r="U2697" s="569">
        <v>164</v>
      </c>
      <c r="V2697" s="569">
        <v>34</v>
      </c>
      <c r="W2697" s="620">
        <v>10700</v>
      </c>
      <c r="X2697" s="621" t="s">
        <v>157</v>
      </c>
      <c r="Y2697" s="621" t="s">
        <v>450</v>
      </c>
      <c r="Z2697" s="621" t="s">
        <v>178</v>
      </c>
      <c r="AA2697" s="622">
        <v>41155</v>
      </c>
      <c r="AB2697" s="622" t="s">
        <v>164</v>
      </c>
      <c r="AC2697" s="622">
        <v>29950</v>
      </c>
      <c r="AD2697" s="623">
        <v>0.01</v>
      </c>
      <c r="AE2697" s="621" t="s">
        <v>4777</v>
      </c>
    </row>
    <row r="2698" spans="1:31" s="572" customFormat="1">
      <c r="A2698" s="570" t="s">
        <v>4783</v>
      </c>
      <c r="B2698" s="573" t="s">
        <v>278</v>
      </c>
      <c r="C2698" s="578">
        <v>15</v>
      </c>
      <c r="D2698" s="573" t="s">
        <v>3374</v>
      </c>
      <c r="E2698" s="573" t="s">
        <v>187</v>
      </c>
      <c r="F2698" s="573" t="s">
        <v>271</v>
      </c>
      <c r="G2698" s="573">
        <v>2019</v>
      </c>
      <c r="H2698" s="573" t="s">
        <v>4503</v>
      </c>
      <c r="I2698" s="573" t="s">
        <v>3996</v>
      </c>
      <c r="J2698" s="573" t="s">
        <v>752</v>
      </c>
      <c r="K2698" s="573">
        <v>6</v>
      </c>
      <c r="L2698" s="573">
        <v>0</v>
      </c>
      <c r="M2698" s="573" t="s">
        <v>157</v>
      </c>
      <c r="N2698" s="573">
        <v>2</v>
      </c>
      <c r="O2698" s="573" t="s">
        <v>3846</v>
      </c>
      <c r="P2698" s="571">
        <v>12300</v>
      </c>
      <c r="Q2698" s="573" t="s">
        <v>4231</v>
      </c>
      <c r="R2698" s="573">
        <v>8</v>
      </c>
      <c r="S2698" s="582" t="s">
        <v>4771</v>
      </c>
      <c r="T2698" s="573" t="s">
        <v>4505</v>
      </c>
      <c r="U2698" s="573">
        <v>164</v>
      </c>
      <c r="V2698" s="573">
        <v>34</v>
      </c>
      <c r="W2698" s="616">
        <v>11300</v>
      </c>
      <c r="X2698" s="617" t="s">
        <v>157</v>
      </c>
      <c r="Y2698" s="617" t="s">
        <v>728</v>
      </c>
      <c r="Z2698" s="617" t="s">
        <v>1523</v>
      </c>
      <c r="AA2698" s="618">
        <v>50275</v>
      </c>
      <c r="AB2698" s="618" t="s">
        <v>164</v>
      </c>
      <c r="AC2698" s="618">
        <v>38200</v>
      </c>
      <c r="AD2698" s="619">
        <v>0.01</v>
      </c>
      <c r="AE2698" s="617" t="s">
        <v>4779</v>
      </c>
    </row>
    <row r="2699" spans="1:31" s="572" customFormat="1">
      <c r="A2699" s="570" t="s">
        <v>4784</v>
      </c>
      <c r="B2699" s="569" t="s">
        <v>287</v>
      </c>
      <c r="C2699" s="580">
        <v>26</v>
      </c>
      <c r="D2699" s="569" t="s">
        <v>3374</v>
      </c>
      <c r="E2699" s="569" t="s">
        <v>187</v>
      </c>
      <c r="F2699" s="569" t="s">
        <v>271</v>
      </c>
      <c r="G2699" s="569">
        <v>2019</v>
      </c>
      <c r="H2699" s="569" t="s">
        <v>4503</v>
      </c>
      <c r="I2699" s="569" t="s">
        <v>3996</v>
      </c>
      <c r="J2699" s="569" t="s">
        <v>752</v>
      </c>
      <c r="K2699" s="569">
        <v>6</v>
      </c>
      <c r="L2699" s="569">
        <v>0</v>
      </c>
      <c r="M2699" s="569" t="s">
        <v>157</v>
      </c>
      <c r="N2699" s="569">
        <v>2</v>
      </c>
      <c r="O2699" s="569" t="s">
        <v>4230</v>
      </c>
      <c r="P2699" s="568">
        <v>12400</v>
      </c>
      <c r="Q2699" s="569" t="s">
        <v>4235</v>
      </c>
      <c r="R2699" s="569">
        <v>8</v>
      </c>
      <c r="S2699" s="569" t="s">
        <v>4771</v>
      </c>
      <c r="T2699" s="569" t="s">
        <v>4505</v>
      </c>
      <c r="U2699" s="569">
        <v>148</v>
      </c>
      <c r="V2699" s="569">
        <v>34</v>
      </c>
      <c r="W2699" s="620">
        <v>10400</v>
      </c>
      <c r="X2699" s="621" t="s">
        <v>157</v>
      </c>
      <c r="Y2699" s="621" t="s">
        <v>450</v>
      </c>
      <c r="Z2699" s="621" t="s">
        <v>178</v>
      </c>
      <c r="AA2699" s="622">
        <v>40955</v>
      </c>
      <c r="AB2699" s="622" t="s">
        <v>164</v>
      </c>
      <c r="AC2699" s="622">
        <v>29877</v>
      </c>
      <c r="AD2699" s="623">
        <v>0.05</v>
      </c>
      <c r="AE2699" s="621" t="s">
        <v>4773</v>
      </c>
    </row>
    <row r="2700" spans="1:31" s="572" customFormat="1">
      <c r="A2700" s="570" t="s">
        <v>4785</v>
      </c>
      <c r="B2700" s="573" t="s">
        <v>287</v>
      </c>
      <c r="C2700" s="578">
        <v>26</v>
      </c>
      <c r="D2700" s="573" t="s">
        <v>3374</v>
      </c>
      <c r="E2700" s="573" t="s">
        <v>187</v>
      </c>
      <c r="F2700" s="573" t="s">
        <v>271</v>
      </c>
      <c r="G2700" s="573">
        <v>2019</v>
      </c>
      <c r="H2700" s="573" t="s">
        <v>4503</v>
      </c>
      <c r="I2700" s="573" t="s">
        <v>3996</v>
      </c>
      <c r="J2700" s="573" t="s">
        <v>752</v>
      </c>
      <c r="K2700" s="573">
        <v>6</v>
      </c>
      <c r="L2700" s="573">
        <v>0</v>
      </c>
      <c r="M2700" s="573" t="s">
        <v>157</v>
      </c>
      <c r="N2700" s="573">
        <v>2</v>
      </c>
      <c r="O2700" s="573" t="s">
        <v>4230</v>
      </c>
      <c r="P2700" s="571">
        <v>12400</v>
      </c>
      <c r="Q2700" s="573" t="s">
        <v>4231</v>
      </c>
      <c r="R2700" s="573">
        <v>8</v>
      </c>
      <c r="S2700" s="582" t="s">
        <v>4771</v>
      </c>
      <c r="T2700" s="573" t="s">
        <v>4505</v>
      </c>
      <c r="U2700" s="573">
        <v>148</v>
      </c>
      <c r="V2700" s="573">
        <v>29</v>
      </c>
      <c r="W2700" s="616">
        <v>11100</v>
      </c>
      <c r="X2700" s="617" t="s">
        <v>157</v>
      </c>
      <c r="Y2700" s="617" t="s">
        <v>728</v>
      </c>
      <c r="Z2700" s="617" t="s">
        <v>1523</v>
      </c>
      <c r="AA2700" s="618">
        <v>50075</v>
      </c>
      <c r="AB2700" s="618" t="s">
        <v>164</v>
      </c>
      <c r="AC2700" s="618">
        <v>38072</v>
      </c>
      <c r="AD2700" s="619">
        <v>0.05</v>
      </c>
      <c r="AE2700" s="617" t="s">
        <v>4775</v>
      </c>
    </row>
    <row r="2701" spans="1:31" s="572" customFormat="1">
      <c r="A2701" s="570" t="s">
        <v>4786</v>
      </c>
      <c r="B2701" s="569" t="s">
        <v>287</v>
      </c>
      <c r="C2701" s="580">
        <v>26</v>
      </c>
      <c r="D2701" s="569" t="s">
        <v>3374</v>
      </c>
      <c r="E2701" s="569" t="s">
        <v>187</v>
      </c>
      <c r="F2701" s="569" t="s">
        <v>271</v>
      </c>
      <c r="G2701" s="569">
        <v>2019</v>
      </c>
      <c r="H2701" s="569" t="s">
        <v>4503</v>
      </c>
      <c r="I2701" s="569" t="s">
        <v>3996</v>
      </c>
      <c r="J2701" s="569" t="s">
        <v>752</v>
      </c>
      <c r="K2701" s="569">
        <v>6</v>
      </c>
      <c r="L2701" s="569">
        <v>0</v>
      </c>
      <c r="M2701" s="569" t="s">
        <v>157</v>
      </c>
      <c r="N2701" s="569">
        <v>2</v>
      </c>
      <c r="O2701" s="569" t="s">
        <v>3846</v>
      </c>
      <c r="P2701" s="568">
        <v>12300</v>
      </c>
      <c r="Q2701" s="569" t="s">
        <v>4235</v>
      </c>
      <c r="R2701" s="569">
        <v>8</v>
      </c>
      <c r="S2701" s="569" t="s">
        <v>4771</v>
      </c>
      <c r="T2701" s="569" t="s">
        <v>4505</v>
      </c>
      <c r="U2701" s="569">
        <v>164</v>
      </c>
      <c r="V2701" s="569">
        <v>34</v>
      </c>
      <c r="W2701" s="620">
        <v>10700</v>
      </c>
      <c r="X2701" s="621" t="s">
        <v>157</v>
      </c>
      <c r="Y2701" s="621" t="s">
        <v>450</v>
      </c>
      <c r="Z2701" s="621" t="s">
        <v>178</v>
      </c>
      <c r="AA2701" s="622">
        <v>41155</v>
      </c>
      <c r="AB2701" s="622" t="s">
        <v>164</v>
      </c>
      <c r="AC2701" s="622">
        <v>30032</v>
      </c>
      <c r="AD2701" s="623">
        <v>0.05</v>
      </c>
      <c r="AE2701" s="621" t="s">
        <v>4777</v>
      </c>
    </row>
    <row r="2702" spans="1:31" s="572" customFormat="1">
      <c r="A2702" s="570" t="s">
        <v>4787</v>
      </c>
      <c r="B2702" s="573" t="s">
        <v>287</v>
      </c>
      <c r="C2702" s="578">
        <v>26</v>
      </c>
      <c r="D2702" s="573" t="s">
        <v>3374</v>
      </c>
      <c r="E2702" s="573" t="s">
        <v>187</v>
      </c>
      <c r="F2702" s="573" t="s">
        <v>271</v>
      </c>
      <c r="G2702" s="573">
        <v>2019</v>
      </c>
      <c r="H2702" s="573" t="s">
        <v>4503</v>
      </c>
      <c r="I2702" s="573" t="s">
        <v>3996</v>
      </c>
      <c r="J2702" s="573" t="s">
        <v>752</v>
      </c>
      <c r="K2702" s="573">
        <v>6</v>
      </c>
      <c r="L2702" s="573">
        <v>0</v>
      </c>
      <c r="M2702" s="573" t="s">
        <v>157</v>
      </c>
      <c r="N2702" s="573">
        <v>2</v>
      </c>
      <c r="O2702" s="573" t="s">
        <v>3846</v>
      </c>
      <c r="P2702" s="571">
        <v>12300</v>
      </c>
      <c r="Q2702" s="573" t="s">
        <v>4231</v>
      </c>
      <c r="R2702" s="573">
        <v>8</v>
      </c>
      <c r="S2702" s="582" t="s">
        <v>4771</v>
      </c>
      <c r="T2702" s="573" t="s">
        <v>4505</v>
      </c>
      <c r="U2702" s="573">
        <v>164</v>
      </c>
      <c r="V2702" s="573">
        <v>34</v>
      </c>
      <c r="W2702" s="616">
        <v>11300</v>
      </c>
      <c r="X2702" s="617" t="s">
        <v>157</v>
      </c>
      <c r="Y2702" s="617" t="s">
        <v>728</v>
      </c>
      <c r="Z2702" s="617" t="s">
        <v>1523</v>
      </c>
      <c r="AA2702" s="618">
        <v>50275</v>
      </c>
      <c r="AB2702" s="618" t="s">
        <v>164</v>
      </c>
      <c r="AC2702" s="618">
        <v>38227</v>
      </c>
      <c r="AD2702" s="619">
        <v>0.05</v>
      </c>
      <c r="AE2702" s="617" t="s">
        <v>4779</v>
      </c>
    </row>
    <row r="2703" spans="1:31" s="572" customFormat="1">
      <c r="A2703" s="570" t="s">
        <v>4788</v>
      </c>
      <c r="B2703" s="569" t="s">
        <v>280</v>
      </c>
      <c r="C2703" s="580">
        <v>27</v>
      </c>
      <c r="D2703" s="569" t="s">
        <v>3374</v>
      </c>
      <c r="E2703" s="569" t="s">
        <v>187</v>
      </c>
      <c r="F2703" s="569" t="s">
        <v>271</v>
      </c>
      <c r="G2703" s="569">
        <v>2019</v>
      </c>
      <c r="H2703" s="569" t="s">
        <v>4503</v>
      </c>
      <c r="I2703" s="569" t="s">
        <v>3996</v>
      </c>
      <c r="J2703" s="569" t="s">
        <v>752</v>
      </c>
      <c r="K2703" s="569">
        <v>6</v>
      </c>
      <c r="L2703" s="569">
        <v>0</v>
      </c>
      <c r="M2703" s="569" t="s">
        <v>157</v>
      </c>
      <c r="N2703" s="569">
        <v>2</v>
      </c>
      <c r="O2703" s="569" t="s">
        <v>4230</v>
      </c>
      <c r="P2703" s="568">
        <v>12300</v>
      </c>
      <c r="Q2703" s="569" t="s">
        <v>4235</v>
      </c>
      <c r="R2703" s="569">
        <v>8</v>
      </c>
      <c r="S2703" s="569" t="s">
        <v>4771</v>
      </c>
      <c r="T2703" s="569" t="s">
        <v>4505</v>
      </c>
      <c r="U2703" s="569">
        <v>148</v>
      </c>
      <c r="V2703" s="569">
        <v>34</v>
      </c>
      <c r="W2703" s="620">
        <v>10400</v>
      </c>
      <c r="X2703" s="621" t="s">
        <v>157</v>
      </c>
      <c r="Y2703" s="621" t="s">
        <v>450</v>
      </c>
      <c r="Z2703" s="621" t="s">
        <v>178</v>
      </c>
      <c r="AA2703" s="622">
        <v>40955</v>
      </c>
      <c r="AB2703" s="622" t="s">
        <v>164</v>
      </c>
      <c r="AC2703" s="622">
        <v>29630.231578947372</v>
      </c>
      <c r="AD2703" s="623">
        <v>0.03</v>
      </c>
      <c r="AE2703" s="621" t="s">
        <v>4770</v>
      </c>
    </row>
    <row r="2704" spans="1:31" s="572" customFormat="1">
      <c r="A2704" s="570" t="s">
        <v>4789</v>
      </c>
      <c r="B2704" s="573" t="s">
        <v>280</v>
      </c>
      <c r="C2704" s="578">
        <v>27</v>
      </c>
      <c r="D2704" s="573" t="s">
        <v>3374</v>
      </c>
      <c r="E2704" s="573" t="s">
        <v>187</v>
      </c>
      <c r="F2704" s="573" t="s">
        <v>271</v>
      </c>
      <c r="G2704" s="573">
        <v>2019</v>
      </c>
      <c r="H2704" s="573" t="s">
        <v>4503</v>
      </c>
      <c r="I2704" s="573" t="s">
        <v>3996</v>
      </c>
      <c r="J2704" s="573" t="s">
        <v>752</v>
      </c>
      <c r="K2704" s="573">
        <v>6</v>
      </c>
      <c r="L2704" s="573">
        <v>0</v>
      </c>
      <c r="M2704" s="573" t="s">
        <v>157</v>
      </c>
      <c r="N2704" s="573">
        <v>2</v>
      </c>
      <c r="O2704" s="573" t="s">
        <v>4230</v>
      </c>
      <c r="P2704" s="571">
        <v>12400</v>
      </c>
      <c r="Q2704" s="573" t="s">
        <v>4235</v>
      </c>
      <c r="R2704" s="573">
        <v>8</v>
      </c>
      <c r="S2704" s="582" t="s">
        <v>4771</v>
      </c>
      <c r="T2704" s="573" t="s">
        <v>4505</v>
      </c>
      <c r="U2704" s="573">
        <v>148</v>
      </c>
      <c r="V2704" s="573">
        <v>34</v>
      </c>
      <c r="W2704" s="616">
        <v>10400</v>
      </c>
      <c r="X2704" s="617" t="s">
        <v>157</v>
      </c>
      <c r="Y2704" s="617" t="s">
        <v>450</v>
      </c>
      <c r="Z2704" s="617" t="s">
        <v>178</v>
      </c>
      <c r="AA2704" s="618">
        <v>40955</v>
      </c>
      <c r="AB2704" s="618" t="s">
        <v>164</v>
      </c>
      <c r="AC2704" s="618">
        <v>29630.231578947372</v>
      </c>
      <c r="AD2704" s="619">
        <v>0.03</v>
      </c>
      <c r="AE2704" s="617" t="s">
        <v>4773</v>
      </c>
    </row>
    <row r="2705" spans="1:31" s="572" customFormat="1">
      <c r="A2705" s="570" t="s">
        <v>4790</v>
      </c>
      <c r="B2705" s="569" t="s">
        <v>280</v>
      </c>
      <c r="C2705" s="580">
        <v>27</v>
      </c>
      <c r="D2705" s="569" t="s">
        <v>3374</v>
      </c>
      <c r="E2705" s="569" t="s">
        <v>187</v>
      </c>
      <c r="F2705" s="569" t="s">
        <v>271</v>
      </c>
      <c r="G2705" s="569">
        <v>2019</v>
      </c>
      <c r="H2705" s="569" t="s">
        <v>4503</v>
      </c>
      <c r="I2705" s="569" t="s">
        <v>3996</v>
      </c>
      <c r="J2705" s="569" t="s">
        <v>752</v>
      </c>
      <c r="K2705" s="569">
        <v>6</v>
      </c>
      <c r="L2705" s="569">
        <v>0</v>
      </c>
      <c r="M2705" s="569" t="s">
        <v>157</v>
      </c>
      <c r="N2705" s="569">
        <v>2</v>
      </c>
      <c r="O2705" s="569" t="s">
        <v>4230</v>
      </c>
      <c r="P2705" s="568">
        <v>12400</v>
      </c>
      <c r="Q2705" s="569" t="s">
        <v>4231</v>
      </c>
      <c r="R2705" s="569">
        <v>8</v>
      </c>
      <c r="S2705" s="569" t="s">
        <v>4771</v>
      </c>
      <c r="T2705" s="569" t="s">
        <v>4505</v>
      </c>
      <c r="U2705" s="569">
        <v>148</v>
      </c>
      <c r="V2705" s="569">
        <v>29</v>
      </c>
      <c r="W2705" s="620">
        <v>11100</v>
      </c>
      <c r="X2705" s="621" t="s">
        <v>157</v>
      </c>
      <c r="Y2705" s="621" t="s">
        <v>728</v>
      </c>
      <c r="Z2705" s="621" t="s">
        <v>1523</v>
      </c>
      <c r="AA2705" s="622">
        <v>50075</v>
      </c>
      <c r="AB2705" s="622" t="s">
        <v>164</v>
      </c>
      <c r="AC2705" s="622">
        <v>37822.421052631587</v>
      </c>
      <c r="AD2705" s="623">
        <v>0.03</v>
      </c>
      <c r="AE2705" s="621" t="s">
        <v>4775</v>
      </c>
    </row>
    <row r="2706" spans="1:31" s="572" customFormat="1">
      <c r="A2706" s="570" t="s">
        <v>4791</v>
      </c>
      <c r="B2706" s="573" t="s">
        <v>280</v>
      </c>
      <c r="C2706" s="578">
        <v>27</v>
      </c>
      <c r="D2706" s="573" t="s">
        <v>3374</v>
      </c>
      <c r="E2706" s="573" t="s">
        <v>187</v>
      </c>
      <c r="F2706" s="573" t="s">
        <v>271</v>
      </c>
      <c r="G2706" s="573">
        <v>2019</v>
      </c>
      <c r="H2706" s="573" t="s">
        <v>4503</v>
      </c>
      <c r="I2706" s="573" t="s">
        <v>3996</v>
      </c>
      <c r="J2706" s="573" t="s">
        <v>752</v>
      </c>
      <c r="K2706" s="573">
        <v>6</v>
      </c>
      <c r="L2706" s="573">
        <v>0</v>
      </c>
      <c r="M2706" s="573" t="s">
        <v>157</v>
      </c>
      <c r="N2706" s="573">
        <v>2</v>
      </c>
      <c r="O2706" s="573" t="s">
        <v>3846</v>
      </c>
      <c r="P2706" s="571">
        <v>12300</v>
      </c>
      <c r="Q2706" s="573" t="s">
        <v>4235</v>
      </c>
      <c r="R2706" s="573">
        <v>8</v>
      </c>
      <c r="S2706" s="582" t="s">
        <v>4771</v>
      </c>
      <c r="T2706" s="573" t="s">
        <v>4505</v>
      </c>
      <c r="U2706" s="573">
        <v>164</v>
      </c>
      <c r="V2706" s="573">
        <v>34</v>
      </c>
      <c r="W2706" s="616">
        <v>10700</v>
      </c>
      <c r="X2706" s="617" t="s">
        <v>157</v>
      </c>
      <c r="Y2706" s="617" t="s">
        <v>450</v>
      </c>
      <c r="Z2706" s="617" t="s">
        <v>178</v>
      </c>
      <c r="AA2706" s="618">
        <v>41155</v>
      </c>
      <c r="AB2706" s="618" t="s">
        <v>164</v>
      </c>
      <c r="AC2706" s="618">
        <v>29814.442105263159</v>
      </c>
      <c r="AD2706" s="619">
        <v>0.03</v>
      </c>
      <c r="AE2706" s="617" t="s">
        <v>4777</v>
      </c>
    </row>
    <row r="2707" spans="1:31" s="572" customFormat="1">
      <c r="A2707" s="570" t="s">
        <v>4792</v>
      </c>
      <c r="B2707" s="569" t="s">
        <v>280</v>
      </c>
      <c r="C2707" s="580">
        <v>27</v>
      </c>
      <c r="D2707" s="569" t="s">
        <v>3374</v>
      </c>
      <c r="E2707" s="569" t="s">
        <v>187</v>
      </c>
      <c r="F2707" s="569" t="s">
        <v>271</v>
      </c>
      <c r="G2707" s="569">
        <v>2019</v>
      </c>
      <c r="H2707" s="569" t="s">
        <v>4503</v>
      </c>
      <c r="I2707" s="569" t="s">
        <v>3996</v>
      </c>
      <c r="J2707" s="569" t="s">
        <v>752</v>
      </c>
      <c r="K2707" s="569">
        <v>6</v>
      </c>
      <c r="L2707" s="569">
        <v>0</v>
      </c>
      <c r="M2707" s="569" t="s">
        <v>157</v>
      </c>
      <c r="N2707" s="569">
        <v>2</v>
      </c>
      <c r="O2707" s="569" t="s">
        <v>3846</v>
      </c>
      <c r="P2707" s="568">
        <v>12300</v>
      </c>
      <c r="Q2707" s="569" t="s">
        <v>4231</v>
      </c>
      <c r="R2707" s="569">
        <v>8</v>
      </c>
      <c r="S2707" s="569" t="s">
        <v>4771</v>
      </c>
      <c r="T2707" s="569" t="s">
        <v>4505</v>
      </c>
      <c r="U2707" s="569">
        <v>164</v>
      </c>
      <c r="V2707" s="569">
        <v>34</v>
      </c>
      <c r="W2707" s="620">
        <v>11300</v>
      </c>
      <c r="X2707" s="621" t="s">
        <v>157</v>
      </c>
      <c r="Y2707" s="621" t="s">
        <v>728</v>
      </c>
      <c r="Z2707" s="621" t="s">
        <v>1523</v>
      </c>
      <c r="AA2707" s="622">
        <v>50275</v>
      </c>
      <c r="AB2707" s="622" t="s">
        <v>164</v>
      </c>
      <c r="AC2707" s="622">
        <v>38006.631578947374</v>
      </c>
      <c r="AD2707" s="623">
        <v>0.03</v>
      </c>
      <c r="AE2707" s="621" t="s">
        <v>4779</v>
      </c>
    </row>
    <row r="2708" spans="1:31" s="572" customFormat="1">
      <c r="A2708" s="570" t="s">
        <v>4793</v>
      </c>
      <c r="B2708" s="573" t="s">
        <v>269</v>
      </c>
      <c r="C2708" s="578" t="s">
        <v>270</v>
      </c>
      <c r="D2708" s="573" t="s">
        <v>3374</v>
      </c>
      <c r="E2708" s="573" t="s">
        <v>187</v>
      </c>
      <c r="F2708" s="573" t="s">
        <v>271</v>
      </c>
      <c r="G2708" s="573">
        <v>2019</v>
      </c>
      <c r="H2708" s="573" t="s">
        <v>4503</v>
      </c>
      <c r="I2708" s="573" t="s">
        <v>4795</v>
      </c>
      <c r="J2708" s="573" t="s">
        <v>3377</v>
      </c>
      <c r="K2708" s="573">
        <v>6</v>
      </c>
      <c r="L2708" s="573">
        <v>0</v>
      </c>
      <c r="M2708" s="573" t="s">
        <v>157</v>
      </c>
      <c r="N2708" s="573">
        <v>2</v>
      </c>
      <c r="O2708" s="573" t="s">
        <v>3846</v>
      </c>
      <c r="P2708" s="571">
        <v>12700</v>
      </c>
      <c r="Q2708" s="573" t="s">
        <v>4235</v>
      </c>
      <c r="R2708" s="573">
        <v>8</v>
      </c>
      <c r="S2708" s="582" t="s">
        <v>4796</v>
      </c>
      <c r="T2708" s="573" t="s">
        <v>4558</v>
      </c>
      <c r="U2708" s="573">
        <v>164</v>
      </c>
      <c r="V2708" s="573">
        <v>34</v>
      </c>
      <c r="W2708" s="616">
        <v>14000</v>
      </c>
      <c r="X2708" s="617" t="s">
        <v>157</v>
      </c>
      <c r="Y2708" s="617" t="s">
        <v>450</v>
      </c>
      <c r="Z2708" s="617" t="s">
        <v>178</v>
      </c>
      <c r="AA2708" s="618">
        <v>39840</v>
      </c>
      <c r="AB2708" s="618" t="s">
        <v>164</v>
      </c>
      <c r="AC2708" s="618">
        <v>29442.863157894739</v>
      </c>
      <c r="AD2708" s="619">
        <v>0.03</v>
      </c>
      <c r="AE2708" s="617" t="s">
        <v>4794</v>
      </c>
    </row>
    <row r="2709" spans="1:31" s="572" customFormat="1">
      <c r="A2709" s="570" t="s">
        <v>4797</v>
      </c>
      <c r="B2709" s="569" t="s">
        <v>269</v>
      </c>
      <c r="C2709" s="580" t="s">
        <v>270</v>
      </c>
      <c r="D2709" s="569" t="s">
        <v>3374</v>
      </c>
      <c r="E2709" s="569" t="s">
        <v>187</v>
      </c>
      <c r="F2709" s="569" t="s">
        <v>271</v>
      </c>
      <c r="G2709" s="569">
        <v>2019</v>
      </c>
      <c r="H2709" s="569" t="s">
        <v>4503</v>
      </c>
      <c r="I2709" s="569" t="s">
        <v>4795</v>
      </c>
      <c r="J2709" s="569" t="s">
        <v>3377</v>
      </c>
      <c r="K2709" s="569">
        <v>6</v>
      </c>
      <c r="L2709" s="569">
        <v>0</v>
      </c>
      <c r="M2709" s="569" t="s">
        <v>157</v>
      </c>
      <c r="N2709" s="569">
        <v>2</v>
      </c>
      <c r="O2709" s="569" t="s">
        <v>3846</v>
      </c>
      <c r="P2709" s="568">
        <v>12700</v>
      </c>
      <c r="Q2709" s="569" t="s">
        <v>4231</v>
      </c>
      <c r="R2709" s="569">
        <v>8</v>
      </c>
      <c r="S2709" s="569" t="s">
        <v>4796</v>
      </c>
      <c r="T2709" s="569" t="s">
        <v>4558</v>
      </c>
      <c r="U2709" s="569">
        <v>164</v>
      </c>
      <c r="V2709" s="569">
        <v>34</v>
      </c>
      <c r="W2709" s="620">
        <v>14000</v>
      </c>
      <c r="X2709" s="621" t="s">
        <v>157</v>
      </c>
      <c r="Y2709" s="621" t="s">
        <v>728</v>
      </c>
      <c r="Z2709" s="621" t="s">
        <v>1523</v>
      </c>
      <c r="AA2709" s="622">
        <v>48960</v>
      </c>
      <c r="AB2709" s="622" t="s">
        <v>164</v>
      </c>
      <c r="AC2709" s="622">
        <v>37635.052631578954</v>
      </c>
      <c r="AD2709" s="623">
        <v>0.03</v>
      </c>
      <c r="AE2709" s="621" t="s">
        <v>4798</v>
      </c>
    </row>
    <row r="2710" spans="1:31" s="572" customFormat="1">
      <c r="A2710" s="570" t="s">
        <v>4799</v>
      </c>
      <c r="B2710" s="573" t="s">
        <v>278</v>
      </c>
      <c r="C2710" s="578">
        <v>15</v>
      </c>
      <c r="D2710" s="573" t="s">
        <v>3374</v>
      </c>
      <c r="E2710" s="573" t="s">
        <v>187</v>
      </c>
      <c r="F2710" s="573" t="s">
        <v>271</v>
      </c>
      <c r="G2710" s="573">
        <v>2019</v>
      </c>
      <c r="H2710" s="573" t="s">
        <v>4503</v>
      </c>
      <c r="I2710" s="573" t="s">
        <v>4795</v>
      </c>
      <c r="J2710" s="573" t="s">
        <v>3377</v>
      </c>
      <c r="K2710" s="573">
        <v>6</v>
      </c>
      <c r="L2710" s="573">
        <v>0</v>
      </c>
      <c r="M2710" s="573" t="s">
        <v>157</v>
      </c>
      <c r="N2710" s="573">
        <v>2</v>
      </c>
      <c r="O2710" s="573" t="s">
        <v>3846</v>
      </c>
      <c r="P2710" s="571">
        <v>12700</v>
      </c>
      <c r="Q2710" s="573" t="s">
        <v>4235</v>
      </c>
      <c r="R2710" s="573">
        <v>8</v>
      </c>
      <c r="S2710" s="582" t="s">
        <v>4796</v>
      </c>
      <c r="T2710" s="573" t="s">
        <v>4558</v>
      </c>
      <c r="U2710" s="573">
        <v>164</v>
      </c>
      <c r="V2710" s="573">
        <v>34</v>
      </c>
      <c r="W2710" s="616">
        <v>14000</v>
      </c>
      <c r="X2710" s="617" t="s">
        <v>157</v>
      </c>
      <c r="Y2710" s="617" t="s">
        <v>450</v>
      </c>
      <c r="Z2710" s="617" t="s">
        <v>178</v>
      </c>
      <c r="AA2710" s="618">
        <v>39840</v>
      </c>
      <c r="AB2710" s="618" t="s">
        <v>164</v>
      </c>
      <c r="AC2710" s="618">
        <v>29550</v>
      </c>
      <c r="AD2710" s="619">
        <v>0.01</v>
      </c>
      <c r="AE2710" s="617" t="s">
        <v>4794</v>
      </c>
    </row>
    <row r="2711" spans="1:31" s="572" customFormat="1">
      <c r="A2711" s="570" t="s">
        <v>4800</v>
      </c>
      <c r="B2711" s="569" t="s">
        <v>278</v>
      </c>
      <c r="C2711" s="580">
        <v>15</v>
      </c>
      <c r="D2711" s="569" t="s">
        <v>3374</v>
      </c>
      <c r="E2711" s="569" t="s">
        <v>187</v>
      </c>
      <c r="F2711" s="569" t="s">
        <v>271</v>
      </c>
      <c r="G2711" s="569">
        <v>2019</v>
      </c>
      <c r="H2711" s="569" t="s">
        <v>4503</v>
      </c>
      <c r="I2711" s="569" t="s">
        <v>4795</v>
      </c>
      <c r="J2711" s="569" t="s">
        <v>3377</v>
      </c>
      <c r="K2711" s="569">
        <v>6</v>
      </c>
      <c r="L2711" s="569">
        <v>0</v>
      </c>
      <c r="M2711" s="569" t="s">
        <v>157</v>
      </c>
      <c r="N2711" s="569">
        <v>2</v>
      </c>
      <c r="O2711" s="569" t="s">
        <v>3846</v>
      </c>
      <c r="P2711" s="568">
        <v>12700</v>
      </c>
      <c r="Q2711" s="569" t="s">
        <v>4231</v>
      </c>
      <c r="R2711" s="569">
        <v>8</v>
      </c>
      <c r="S2711" s="569" t="s">
        <v>4796</v>
      </c>
      <c r="T2711" s="569" t="s">
        <v>4558</v>
      </c>
      <c r="U2711" s="569">
        <v>164</v>
      </c>
      <c r="V2711" s="569">
        <v>34</v>
      </c>
      <c r="W2711" s="620">
        <v>14000</v>
      </c>
      <c r="X2711" s="621" t="s">
        <v>157</v>
      </c>
      <c r="Y2711" s="621" t="s">
        <v>728</v>
      </c>
      <c r="Z2711" s="621" t="s">
        <v>1523</v>
      </c>
      <c r="AA2711" s="622">
        <v>48960</v>
      </c>
      <c r="AB2711" s="622" t="s">
        <v>164</v>
      </c>
      <c r="AC2711" s="622">
        <v>37850</v>
      </c>
      <c r="AD2711" s="623">
        <v>0.01</v>
      </c>
      <c r="AE2711" s="621" t="s">
        <v>4798</v>
      </c>
    </row>
    <row r="2712" spans="1:31" s="572" customFormat="1">
      <c r="A2712" s="570" t="s">
        <v>4801</v>
      </c>
      <c r="B2712" s="573" t="s">
        <v>287</v>
      </c>
      <c r="C2712" s="578">
        <v>26</v>
      </c>
      <c r="D2712" s="573" t="s">
        <v>3374</v>
      </c>
      <c r="E2712" s="573" t="s">
        <v>187</v>
      </c>
      <c r="F2712" s="573" t="s">
        <v>271</v>
      </c>
      <c r="G2712" s="573">
        <v>2019</v>
      </c>
      <c r="H2712" s="573" t="s">
        <v>4503</v>
      </c>
      <c r="I2712" s="573" t="s">
        <v>4795</v>
      </c>
      <c r="J2712" s="573" t="s">
        <v>3377</v>
      </c>
      <c r="K2712" s="573">
        <v>6</v>
      </c>
      <c r="L2712" s="573">
        <v>0</v>
      </c>
      <c r="M2712" s="573" t="s">
        <v>157</v>
      </c>
      <c r="N2712" s="573">
        <v>2</v>
      </c>
      <c r="O2712" s="573" t="s">
        <v>3846</v>
      </c>
      <c r="P2712" s="571">
        <v>12700</v>
      </c>
      <c r="Q2712" s="573" t="s">
        <v>4235</v>
      </c>
      <c r="R2712" s="573">
        <v>8</v>
      </c>
      <c r="S2712" s="582" t="s">
        <v>4796</v>
      </c>
      <c r="T2712" s="573" t="s">
        <v>4558</v>
      </c>
      <c r="U2712" s="573">
        <v>164</v>
      </c>
      <c r="V2712" s="573">
        <v>34</v>
      </c>
      <c r="W2712" s="616">
        <v>14000</v>
      </c>
      <c r="X2712" s="617" t="s">
        <v>157</v>
      </c>
      <c r="Y2712" s="617" t="s">
        <v>450</v>
      </c>
      <c r="Z2712" s="617" t="s">
        <v>178</v>
      </c>
      <c r="AA2712" s="618">
        <v>39840</v>
      </c>
      <c r="AB2712" s="618" t="s">
        <v>164</v>
      </c>
      <c r="AC2712" s="618">
        <v>29686</v>
      </c>
      <c r="AD2712" s="619">
        <v>0.05</v>
      </c>
      <c r="AE2712" s="617" t="s">
        <v>4794</v>
      </c>
    </row>
    <row r="2713" spans="1:31" s="572" customFormat="1">
      <c r="A2713" s="570" t="s">
        <v>4802</v>
      </c>
      <c r="B2713" s="569" t="s">
        <v>287</v>
      </c>
      <c r="C2713" s="580">
        <v>26</v>
      </c>
      <c r="D2713" s="569" t="s">
        <v>3374</v>
      </c>
      <c r="E2713" s="569" t="s">
        <v>187</v>
      </c>
      <c r="F2713" s="569" t="s">
        <v>271</v>
      </c>
      <c r="G2713" s="569">
        <v>2019</v>
      </c>
      <c r="H2713" s="569" t="s">
        <v>4503</v>
      </c>
      <c r="I2713" s="569" t="s">
        <v>4795</v>
      </c>
      <c r="J2713" s="569" t="s">
        <v>3377</v>
      </c>
      <c r="K2713" s="569">
        <v>6</v>
      </c>
      <c r="L2713" s="569">
        <v>0</v>
      </c>
      <c r="M2713" s="569" t="s">
        <v>157</v>
      </c>
      <c r="N2713" s="569">
        <v>2</v>
      </c>
      <c r="O2713" s="569" t="s">
        <v>3846</v>
      </c>
      <c r="P2713" s="568">
        <v>12700</v>
      </c>
      <c r="Q2713" s="569" t="s">
        <v>4231</v>
      </c>
      <c r="R2713" s="569">
        <v>8</v>
      </c>
      <c r="S2713" s="569" t="s">
        <v>4796</v>
      </c>
      <c r="T2713" s="569" t="s">
        <v>4558</v>
      </c>
      <c r="U2713" s="569">
        <v>164</v>
      </c>
      <c r="V2713" s="569">
        <v>34</v>
      </c>
      <c r="W2713" s="620">
        <v>14000</v>
      </c>
      <c r="X2713" s="621" t="s">
        <v>157</v>
      </c>
      <c r="Y2713" s="621" t="s">
        <v>728</v>
      </c>
      <c r="Z2713" s="621" t="s">
        <v>1523</v>
      </c>
      <c r="AA2713" s="622">
        <v>48960</v>
      </c>
      <c r="AB2713" s="622" t="s">
        <v>164</v>
      </c>
      <c r="AC2713" s="622">
        <v>37881</v>
      </c>
      <c r="AD2713" s="623">
        <v>0.05</v>
      </c>
      <c r="AE2713" s="621" t="s">
        <v>4798</v>
      </c>
    </row>
    <row r="2714" spans="1:31" s="572" customFormat="1">
      <c r="A2714" s="570" t="s">
        <v>4803</v>
      </c>
      <c r="B2714" s="573" t="s">
        <v>280</v>
      </c>
      <c r="C2714" s="578">
        <v>27</v>
      </c>
      <c r="D2714" s="573" t="s">
        <v>3374</v>
      </c>
      <c r="E2714" s="573" t="s">
        <v>187</v>
      </c>
      <c r="F2714" s="573" t="s">
        <v>271</v>
      </c>
      <c r="G2714" s="573">
        <v>2019</v>
      </c>
      <c r="H2714" s="573" t="s">
        <v>4503</v>
      </c>
      <c r="I2714" s="573" t="s">
        <v>4795</v>
      </c>
      <c r="J2714" s="573" t="s">
        <v>3377</v>
      </c>
      <c r="K2714" s="573">
        <v>6</v>
      </c>
      <c r="L2714" s="573">
        <v>0</v>
      </c>
      <c r="M2714" s="573" t="s">
        <v>157</v>
      </c>
      <c r="N2714" s="573">
        <v>2</v>
      </c>
      <c r="O2714" s="573" t="s">
        <v>3846</v>
      </c>
      <c r="P2714" s="571">
        <v>12700</v>
      </c>
      <c r="Q2714" s="573" t="s">
        <v>4235</v>
      </c>
      <c r="R2714" s="573">
        <v>8</v>
      </c>
      <c r="S2714" s="582" t="s">
        <v>4796</v>
      </c>
      <c r="T2714" s="573" t="s">
        <v>4558</v>
      </c>
      <c r="U2714" s="573">
        <v>164</v>
      </c>
      <c r="V2714" s="573">
        <v>34</v>
      </c>
      <c r="W2714" s="616">
        <v>14000</v>
      </c>
      <c r="X2714" s="617" t="s">
        <v>157</v>
      </c>
      <c r="Y2714" s="617" t="s">
        <v>450</v>
      </c>
      <c r="Z2714" s="617" t="s">
        <v>178</v>
      </c>
      <c r="AA2714" s="618">
        <v>39840</v>
      </c>
      <c r="AB2714" s="618" t="s">
        <v>164</v>
      </c>
      <c r="AC2714" s="618">
        <v>29442.863157894739</v>
      </c>
      <c r="AD2714" s="619">
        <v>0.03</v>
      </c>
      <c r="AE2714" s="617" t="s">
        <v>4794</v>
      </c>
    </row>
    <row r="2715" spans="1:31" s="572" customFormat="1">
      <c r="A2715" s="570" t="s">
        <v>4804</v>
      </c>
      <c r="B2715" s="569" t="s">
        <v>280</v>
      </c>
      <c r="C2715" s="580">
        <v>27</v>
      </c>
      <c r="D2715" s="569" t="s">
        <v>3374</v>
      </c>
      <c r="E2715" s="569" t="s">
        <v>187</v>
      </c>
      <c r="F2715" s="569" t="s">
        <v>271</v>
      </c>
      <c r="G2715" s="569">
        <v>2019</v>
      </c>
      <c r="H2715" s="569" t="s">
        <v>4503</v>
      </c>
      <c r="I2715" s="569" t="s">
        <v>4795</v>
      </c>
      <c r="J2715" s="569" t="s">
        <v>3377</v>
      </c>
      <c r="K2715" s="569">
        <v>6</v>
      </c>
      <c r="L2715" s="569">
        <v>0</v>
      </c>
      <c r="M2715" s="569" t="s">
        <v>157</v>
      </c>
      <c r="N2715" s="569">
        <v>2</v>
      </c>
      <c r="O2715" s="569" t="s">
        <v>3846</v>
      </c>
      <c r="P2715" s="568">
        <v>12700</v>
      </c>
      <c r="Q2715" s="569" t="s">
        <v>4231</v>
      </c>
      <c r="R2715" s="569">
        <v>8</v>
      </c>
      <c r="S2715" s="569" t="s">
        <v>4796</v>
      </c>
      <c r="T2715" s="569" t="s">
        <v>4558</v>
      </c>
      <c r="U2715" s="569">
        <v>164</v>
      </c>
      <c r="V2715" s="569">
        <v>34</v>
      </c>
      <c r="W2715" s="620">
        <v>14000</v>
      </c>
      <c r="X2715" s="621" t="s">
        <v>157</v>
      </c>
      <c r="Y2715" s="621" t="s">
        <v>728</v>
      </c>
      <c r="Z2715" s="621" t="s">
        <v>1523</v>
      </c>
      <c r="AA2715" s="622">
        <v>48960</v>
      </c>
      <c r="AB2715" s="622" t="s">
        <v>164</v>
      </c>
      <c r="AC2715" s="622">
        <v>37635.052631578954</v>
      </c>
      <c r="AD2715" s="623">
        <v>0.03</v>
      </c>
      <c r="AE2715" s="621" t="s">
        <v>4798</v>
      </c>
    </row>
    <row r="2716" spans="1:31" s="572" customFormat="1">
      <c r="A2716" s="570" t="s">
        <v>4805</v>
      </c>
      <c r="B2716" s="573" t="s">
        <v>269</v>
      </c>
      <c r="C2716" s="578" t="s">
        <v>270</v>
      </c>
      <c r="D2716" s="573" t="s">
        <v>3374</v>
      </c>
      <c r="E2716" s="573" t="s">
        <v>187</v>
      </c>
      <c r="F2716" s="573" t="s">
        <v>271</v>
      </c>
      <c r="G2716" s="573">
        <v>2019</v>
      </c>
      <c r="H2716" s="573" t="s">
        <v>4503</v>
      </c>
      <c r="I2716" s="573" t="s">
        <v>4795</v>
      </c>
      <c r="J2716" s="573" t="s">
        <v>752</v>
      </c>
      <c r="K2716" s="573">
        <v>6</v>
      </c>
      <c r="L2716" s="573">
        <v>0</v>
      </c>
      <c r="M2716" s="573" t="s">
        <v>157</v>
      </c>
      <c r="N2716" s="573">
        <v>2</v>
      </c>
      <c r="O2716" s="573" t="s">
        <v>3846</v>
      </c>
      <c r="P2716" s="571">
        <v>12300</v>
      </c>
      <c r="Q2716" s="573" t="s">
        <v>4235</v>
      </c>
      <c r="R2716" s="573">
        <v>8</v>
      </c>
      <c r="S2716" s="582" t="s">
        <v>4807</v>
      </c>
      <c r="T2716" s="573" t="s">
        <v>4558</v>
      </c>
      <c r="U2716" s="573">
        <v>164</v>
      </c>
      <c r="V2716" s="573">
        <v>34</v>
      </c>
      <c r="W2716" s="616">
        <v>14000</v>
      </c>
      <c r="X2716" s="617" t="s">
        <v>157</v>
      </c>
      <c r="Y2716" s="617" t="s">
        <v>450</v>
      </c>
      <c r="Z2716" s="617" t="s">
        <v>178</v>
      </c>
      <c r="AA2716" s="618">
        <v>42635</v>
      </c>
      <c r="AB2716" s="618" t="s">
        <v>164</v>
      </c>
      <c r="AC2716" s="618">
        <v>32867.073684210533</v>
      </c>
      <c r="AD2716" s="619">
        <v>0.03</v>
      </c>
      <c r="AE2716" s="617" t="s">
        <v>4806</v>
      </c>
    </row>
    <row r="2717" spans="1:31" s="572" customFormat="1">
      <c r="A2717" s="570" t="s">
        <v>4808</v>
      </c>
      <c r="B2717" s="569" t="s">
        <v>269</v>
      </c>
      <c r="C2717" s="580" t="s">
        <v>270</v>
      </c>
      <c r="D2717" s="569" t="s">
        <v>3374</v>
      </c>
      <c r="E2717" s="569" t="s">
        <v>187</v>
      </c>
      <c r="F2717" s="569" t="s">
        <v>271</v>
      </c>
      <c r="G2717" s="569">
        <v>2019</v>
      </c>
      <c r="H2717" s="569" t="s">
        <v>4503</v>
      </c>
      <c r="I2717" s="569" t="s">
        <v>4795</v>
      </c>
      <c r="J2717" s="569" t="s">
        <v>752</v>
      </c>
      <c r="K2717" s="569">
        <v>6</v>
      </c>
      <c r="L2717" s="569">
        <v>0</v>
      </c>
      <c r="M2717" s="569" t="s">
        <v>157</v>
      </c>
      <c r="N2717" s="569">
        <v>2</v>
      </c>
      <c r="O2717" s="569" t="s">
        <v>3846</v>
      </c>
      <c r="P2717" s="568">
        <v>12300</v>
      </c>
      <c r="Q2717" s="569" t="s">
        <v>4231</v>
      </c>
      <c r="R2717" s="569">
        <v>8</v>
      </c>
      <c r="S2717" s="569" t="s">
        <v>4807</v>
      </c>
      <c r="T2717" s="569" t="s">
        <v>4558</v>
      </c>
      <c r="U2717" s="569">
        <v>164</v>
      </c>
      <c r="V2717" s="569">
        <v>34</v>
      </c>
      <c r="W2717" s="620">
        <v>14000</v>
      </c>
      <c r="X2717" s="621" t="s">
        <v>157</v>
      </c>
      <c r="Y2717" s="621" t="s">
        <v>728</v>
      </c>
      <c r="Z2717" s="621" t="s">
        <v>1523</v>
      </c>
      <c r="AA2717" s="622">
        <v>51755</v>
      </c>
      <c r="AB2717" s="622" t="s">
        <v>164</v>
      </c>
      <c r="AC2717" s="622">
        <v>41059.26315789474</v>
      </c>
      <c r="AD2717" s="623">
        <v>0.03</v>
      </c>
      <c r="AE2717" s="621" t="s">
        <v>4809</v>
      </c>
    </row>
    <row r="2718" spans="1:31" s="572" customFormat="1">
      <c r="A2718" s="570" t="s">
        <v>4810</v>
      </c>
      <c r="B2718" s="573" t="s">
        <v>278</v>
      </c>
      <c r="C2718" s="578">
        <v>15</v>
      </c>
      <c r="D2718" s="573" t="s">
        <v>3374</v>
      </c>
      <c r="E2718" s="573" t="s">
        <v>187</v>
      </c>
      <c r="F2718" s="573" t="s">
        <v>271</v>
      </c>
      <c r="G2718" s="573">
        <v>2019</v>
      </c>
      <c r="H2718" s="573" t="s">
        <v>4503</v>
      </c>
      <c r="I2718" s="573" t="s">
        <v>4795</v>
      </c>
      <c r="J2718" s="573" t="s">
        <v>752</v>
      </c>
      <c r="K2718" s="573">
        <v>6</v>
      </c>
      <c r="L2718" s="573">
        <v>0</v>
      </c>
      <c r="M2718" s="573" t="s">
        <v>157</v>
      </c>
      <c r="N2718" s="573">
        <v>2</v>
      </c>
      <c r="O2718" s="573" t="s">
        <v>3846</v>
      </c>
      <c r="P2718" s="571">
        <v>12300</v>
      </c>
      <c r="Q2718" s="573" t="s">
        <v>4235</v>
      </c>
      <c r="R2718" s="573">
        <v>8</v>
      </c>
      <c r="S2718" s="582" t="s">
        <v>4807</v>
      </c>
      <c r="T2718" s="573" t="s">
        <v>4558</v>
      </c>
      <c r="U2718" s="573">
        <v>164</v>
      </c>
      <c r="V2718" s="573">
        <v>34</v>
      </c>
      <c r="W2718" s="616">
        <v>14000</v>
      </c>
      <c r="X2718" s="617" t="s">
        <v>157</v>
      </c>
      <c r="Y2718" s="617" t="s">
        <v>450</v>
      </c>
      <c r="Z2718" s="617" t="s">
        <v>178</v>
      </c>
      <c r="AA2718" s="618">
        <v>42635</v>
      </c>
      <c r="AB2718" s="618" t="s">
        <v>164</v>
      </c>
      <c r="AC2718" s="618">
        <v>32995</v>
      </c>
      <c r="AD2718" s="619">
        <v>0.01</v>
      </c>
      <c r="AE2718" s="617" t="s">
        <v>4806</v>
      </c>
    </row>
    <row r="2719" spans="1:31" s="572" customFormat="1">
      <c r="A2719" s="570" t="s">
        <v>4811</v>
      </c>
      <c r="B2719" s="569" t="s">
        <v>278</v>
      </c>
      <c r="C2719" s="580">
        <v>15</v>
      </c>
      <c r="D2719" s="569" t="s">
        <v>3374</v>
      </c>
      <c r="E2719" s="569" t="s">
        <v>187</v>
      </c>
      <c r="F2719" s="569" t="s">
        <v>271</v>
      </c>
      <c r="G2719" s="569">
        <v>2019</v>
      </c>
      <c r="H2719" s="569" t="s">
        <v>4503</v>
      </c>
      <c r="I2719" s="569" t="s">
        <v>4795</v>
      </c>
      <c r="J2719" s="569" t="s">
        <v>752</v>
      </c>
      <c r="K2719" s="569">
        <v>6</v>
      </c>
      <c r="L2719" s="569">
        <v>0</v>
      </c>
      <c r="M2719" s="569" t="s">
        <v>157</v>
      </c>
      <c r="N2719" s="569">
        <v>2</v>
      </c>
      <c r="O2719" s="569" t="s">
        <v>3846</v>
      </c>
      <c r="P2719" s="568">
        <v>12300</v>
      </c>
      <c r="Q2719" s="569" t="s">
        <v>4231</v>
      </c>
      <c r="R2719" s="569">
        <v>8</v>
      </c>
      <c r="S2719" s="569" t="s">
        <v>4807</v>
      </c>
      <c r="T2719" s="569" t="s">
        <v>4558</v>
      </c>
      <c r="U2719" s="569">
        <v>164</v>
      </c>
      <c r="V2719" s="569">
        <v>34</v>
      </c>
      <c r="W2719" s="620">
        <v>14000</v>
      </c>
      <c r="X2719" s="621" t="s">
        <v>157</v>
      </c>
      <c r="Y2719" s="621" t="s">
        <v>728</v>
      </c>
      <c r="Z2719" s="621" t="s">
        <v>1523</v>
      </c>
      <c r="AA2719" s="622">
        <v>51755</v>
      </c>
      <c r="AB2719" s="622" t="s">
        <v>164</v>
      </c>
      <c r="AC2719" s="622">
        <v>41300</v>
      </c>
      <c r="AD2719" s="623">
        <v>0.01</v>
      </c>
      <c r="AE2719" s="621" t="s">
        <v>4809</v>
      </c>
    </row>
    <row r="2720" spans="1:31" s="572" customFormat="1">
      <c r="A2720" s="570" t="s">
        <v>4812</v>
      </c>
      <c r="B2720" s="573" t="s">
        <v>287</v>
      </c>
      <c r="C2720" s="578">
        <v>26</v>
      </c>
      <c r="D2720" s="573" t="s">
        <v>3374</v>
      </c>
      <c r="E2720" s="573" t="s">
        <v>187</v>
      </c>
      <c r="F2720" s="573" t="s">
        <v>271</v>
      </c>
      <c r="G2720" s="573">
        <v>2019</v>
      </c>
      <c r="H2720" s="573" t="s">
        <v>4503</v>
      </c>
      <c r="I2720" s="573" t="s">
        <v>4795</v>
      </c>
      <c r="J2720" s="573" t="s">
        <v>752</v>
      </c>
      <c r="K2720" s="573">
        <v>6</v>
      </c>
      <c r="L2720" s="573">
        <v>0</v>
      </c>
      <c r="M2720" s="573" t="s">
        <v>157</v>
      </c>
      <c r="N2720" s="573">
        <v>2</v>
      </c>
      <c r="O2720" s="573" t="s">
        <v>3846</v>
      </c>
      <c r="P2720" s="571">
        <v>12300</v>
      </c>
      <c r="Q2720" s="573" t="s">
        <v>4235</v>
      </c>
      <c r="R2720" s="573">
        <v>8</v>
      </c>
      <c r="S2720" s="582" t="s">
        <v>4807</v>
      </c>
      <c r="T2720" s="573" t="s">
        <v>4558</v>
      </c>
      <c r="U2720" s="573">
        <v>164</v>
      </c>
      <c r="V2720" s="573">
        <v>34</v>
      </c>
      <c r="W2720" s="616">
        <v>14000</v>
      </c>
      <c r="X2720" s="617" t="s">
        <v>157</v>
      </c>
      <c r="Y2720" s="617" t="s">
        <v>450</v>
      </c>
      <c r="Z2720" s="617" t="s">
        <v>178</v>
      </c>
      <c r="AA2720" s="618">
        <v>42635</v>
      </c>
      <c r="AB2720" s="618" t="s">
        <v>164</v>
      </c>
      <c r="AC2720" s="618">
        <v>33162</v>
      </c>
      <c r="AD2720" s="619">
        <v>0.05</v>
      </c>
      <c r="AE2720" s="617" t="s">
        <v>4806</v>
      </c>
    </row>
    <row r="2721" spans="1:31" s="572" customFormat="1">
      <c r="A2721" s="570" t="s">
        <v>4813</v>
      </c>
      <c r="B2721" s="569" t="s">
        <v>287</v>
      </c>
      <c r="C2721" s="580">
        <v>26</v>
      </c>
      <c r="D2721" s="569" t="s">
        <v>3374</v>
      </c>
      <c r="E2721" s="569" t="s">
        <v>187</v>
      </c>
      <c r="F2721" s="569" t="s">
        <v>271</v>
      </c>
      <c r="G2721" s="569">
        <v>2019</v>
      </c>
      <c r="H2721" s="569" t="s">
        <v>4503</v>
      </c>
      <c r="I2721" s="569" t="s">
        <v>4795</v>
      </c>
      <c r="J2721" s="569" t="s">
        <v>752</v>
      </c>
      <c r="K2721" s="569">
        <v>6</v>
      </c>
      <c r="L2721" s="569">
        <v>0</v>
      </c>
      <c r="M2721" s="569" t="s">
        <v>157</v>
      </c>
      <c r="N2721" s="569">
        <v>2</v>
      </c>
      <c r="O2721" s="569" t="s">
        <v>3846</v>
      </c>
      <c r="P2721" s="568">
        <v>12300</v>
      </c>
      <c r="Q2721" s="569" t="s">
        <v>4231</v>
      </c>
      <c r="R2721" s="569">
        <v>8</v>
      </c>
      <c r="S2721" s="569" t="s">
        <v>4807</v>
      </c>
      <c r="T2721" s="569" t="s">
        <v>4558</v>
      </c>
      <c r="U2721" s="569">
        <v>164</v>
      </c>
      <c r="V2721" s="569">
        <v>34</v>
      </c>
      <c r="W2721" s="620">
        <v>14000</v>
      </c>
      <c r="X2721" s="621" t="s">
        <v>157</v>
      </c>
      <c r="Y2721" s="621" t="s">
        <v>728</v>
      </c>
      <c r="Z2721" s="621" t="s">
        <v>1523</v>
      </c>
      <c r="AA2721" s="622">
        <v>51755</v>
      </c>
      <c r="AB2721" s="622" t="s">
        <v>164</v>
      </c>
      <c r="AC2721" s="622">
        <v>41356</v>
      </c>
      <c r="AD2721" s="623">
        <v>0.05</v>
      </c>
      <c r="AE2721" s="621" t="s">
        <v>4809</v>
      </c>
    </row>
    <row r="2722" spans="1:31" s="572" customFormat="1">
      <c r="A2722" s="570" t="s">
        <v>4814</v>
      </c>
      <c r="B2722" s="573" t="s">
        <v>280</v>
      </c>
      <c r="C2722" s="578">
        <v>27</v>
      </c>
      <c r="D2722" s="573" t="s">
        <v>3374</v>
      </c>
      <c r="E2722" s="573" t="s">
        <v>187</v>
      </c>
      <c r="F2722" s="573" t="s">
        <v>271</v>
      </c>
      <c r="G2722" s="573">
        <v>2019</v>
      </c>
      <c r="H2722" s="573" t="s">
        <v>4503</v>
      </c>
      <c r="I2722" s="573" t="s">
        <v>4795</v>
      </c>
      <c r="J2722" s="573" t="s">
        <v>752</v>
      </c>
      <c r="K2722" s="573">
        <v>6</v>
      </c>
      <c r="L2722" s="573">
        <v>0</v>
      </c>
      <c r="M2722" s="573" t="s">
        <v>157</v>
      </c>
      <c r="N2722" s="573">
        <v>2</v>
      </c>
      <c r="O2722" s="573" t="s">
        <v>3846</v>
      </c>
      <c r="P2722" s="571">
        <v>12300</v>
      </c>
      <c r="Q2722" s="573" t="s">
        <v>4235</v>
      </c>
      <c r="R2722" s="573">
        <v>8</v>
      </c>
      <c r="S2722" s="582" t="s">
        <v>4807</v>
      </c>
      <c r="T2722" s="573" t="s">
        <v>4558</v>
      </c>
      <c r="U2722" s="573">
        <v>164</v>
      </c>
      <c r="V2722" s="573">
        <v>34</v>
      </c>
      <c r="W2722" s="616">
        <v>14000</v>
      </c>
      <c r="X2722" s="617" t="s">
        <v>157</v>
      </c>
      <c r="Y2722" s="617" t="s">
        <v>450</v>
      </c>
      <c r="Z2722" s="617" t="s">
        <v>178</v>
      </c>
      <c r="AA2722" s="618">
        <v>42635</v>
      </c>
      <c r="AB2722" s="618" t="s">
        <v>164</v>
      </c>
      <c r="AC2722" s="618">
        <v>32867.073684210533</v>
      </c>
      <c r="AD2722" s="619">
        <v>0.03</v>
      </c>
      <c r="AE2722" s="617" t="s">
        <v>4806</v>
      </c>
    </row>
    <row r="2723" spans="1:31" s="572" customFormat="1">
      <c r="A2723" s="570" t="s">
        <v>4815</v>
      </c>
      <c r="B2723" s="569" t="s">
        <v>280</v>
      </c>
      <c r="C2723" s="580">
        <v>27</v>
      </c>
      <c r="D2723" s="569" t="s">
        <v>3374</v>
      </c>
      <c r="E2723" s="569" t="s">
        <v>187</v>
      </c>
      <c r="F2723" s="569" t="s">
        <v>271</v>
      </c>
      <c r="G2723" s="569">
        <v>2019</v>
      </c>
      <c r="H2723" s="569" t="s">
        <v>4503</v>
      </c>
      <c r="I2723" s="569" t="s">
        <v>4795</v>
      </c>
      <c r="J2723" s="569" t="s">
        <v>752</v>
      </c>
      <c r="K2723" s="569">
        <v>6</v>
      </c>
      <c r="L2723" s="569">
        <v>0</v>
      </c>
      <c r="M2723" s="569" t="s">
        <v>157</v>
      </c>
      <c r="N2723" s="569">
        <v>2</v>
      </c>
      <c r="O2723" s="569" t="s">
        <v>3846</v>
      </c>
      <c r="P2723" s="568">
        <v>12300</v>
      </c>
      <c r="Q2723" s="569" t="s">
        <v>4231</v>
      </c>
      <c r="R2723" s="569">
        <v>8</v>
      </c>
      <c r="S2723" s="569" t="s">
        <v>4807</v>
      </c>
      <c r="T2723" s="569" t="s">
        <v>4558</v>
      </c>
      <c r="U2723" s="569">
        <v>164</v>
      </c>
      <c r="V2723" s="569">
        <v>34</v>
      </c>
      <c r="W2723" s="620">
        <v>14000</v>
      </c>
      <c r="X2723" s="621" t="s">
        <v>157</v>
      </c>
      <c r="Y2723" s="621" t="s">
        <v>728</v>
      </c>
      <c r="Z2723" s="621" t="s">
        <v>1523</v>
      </c>
      <c r="AA2723" s="622">
        <v>51755</v>
      </c>
      <c r="AB2723" s="622" t="s">
        <v>164</v>
      </c>
      <c r="AC2723" s="622">
        <v>41059.26315789474</v>
      </c>
      <c r="AD2723" s="623">
        <v>0.03</v>
      </c>
      <c r="AE2723" s="621" t="s">
        <v>4809</v>
      </c>
    </row>
    <row r="2724" spans="1:31" s="572" customFormat="1">
      <c r="A2724" s="570" t="s">
        <v>4816</v>
      </c>
      <c r="B2724" s="573" t="s">
        <v>269</v>
      </c>
      <c r="C2724" s="578" t="s">
        <v>270</v>
      </c>
      <c r="D2724" s="573" t="s">
        <v>3374</v>
      </c>
      <c r="E2724" s="573" t="s">
        <v>187</v>
      </c>
      <c r="F2724" s="573" t="s">
        <v>271</v>
      </c>
      <c r="G2724" s="573">
        <v>2019</v>
      </c>
      <c r="H2724" s="573" t="s">
        <v>4503</v>
      </c>
      <c r="I2724" s="573" t="s">
        <v>4070</v>
      </c>
      <c r="J2724" s="573" t="s">
        <v>3377</v>
      </c>
      <c r="K2724" s="573">
        <v>6</v>
      </c>
      <c r="L2724" s="573">
        <v>0</v>
      </c>
      <c r="M2724" s="573" t="s">
        <v>157</v>
      </c>
      <c r="N2724" s="573">
        <v>2</v>
      </c>
      <c r="O2724" s="573" t="s">
        <v>4230</v>
      </c>
      <c r="P2724" s="571">
        <v>12800</v>
      </c>
      <c r="Q2724" s="573" t="s">
        <v>4235</v>
      </c>
      <c r="R2724" s="573">
        <v>8</v>
      </c>
      <c r="S2724" s="582" t="s">
        <v>4751</v>
      </c>
      <c r="T2724" s="573" t="s">
        <v>4584</v>
      </c>
      <c r="U2724" s="573">
        <v>148</v>
      </c>
      <c r="V2724" s="573">
        <v>34</v>
      </c>
      <c r="W2724" s="616">
        <v>10500</v>
      </c>
      <c r="X2724" s="617" t="s">
        <v>157</v>
      </c>
      <c r="Y2724" s="617" t="s">
        <v>450</v>
      </c>
      <c r="Z2724" s="617" t="s">
        <v>178</v>
      </c>
      <c r="AA2724" s="618">
        <v>42700</v>
      </c>
      <c r="AB2724" s="618" t="s">
        <v>164</v>
      </c>
      <c r="AC2724" s="618">
        <v>32084.968421052636</v>
      </c>
      <c r="AD2724" s="619">
        <v>0.03</v>
      </c>
      <c r="AE2724" s="617" t="s">
        <v>4817</v>
      </c>
    </row>
    <row r="2725" spans="1:31" s="572" customFormat="1">
      <c r="A2725" s="570" t="s">
        <v>4818</v>
      </c>
      <c r="B2725" s="569" t="s">
        <v>269</v>
      </c>
      <c r="C2725" s="580" t="s">
        <v>270</v>
      </c>
      <c r="D2725" s="569" t="s">
        <v>3374</v>
      </c>
      <c r="E2725" s="569" t="s">
        <v>187</v>
      </c>
      <c r="F2725" s="569" t="s">
        <v>271</v>
      </c>
      <c r="G2725" s="569">
        <v>2019</v>
      </c>
      <c r="H2725" s="569" t="s">
        <v>4503</v>
      </c>
      <c r="I2725" s="569" t="s">
        <v>4070</v>
      </c>
      <c r="J2725" s="569" t="s">
        <v>3377</v>
      </c>
      <c r="K2725" s="569">
        <v>6</v>
      </c>
      <c r="L2725" s="569">
        <v>0</v>
      </c>
      <c r="M2725" s="569" t="s">
        <v>157</v>
      </c>
      <c r="N2725" s="569">
        <v>2</v>
      </c>
      <c r="O2725" s="569" t="s">
        <v>4230</v>
      </c>
      <c r="P2725" s="568">
        <v>12800</v>
      </c>
      <c r="Q2725" s="569" t="s">
        <v>4231</v>
      </c>
      <c r="R2725" s="569">
        <v>8</v>
      </c>
      <c r="S2725" s="569" t="s">
        <v>4751</v>
      </c>
      <c r="T2725" s="569" t="s">
        <v>4584</v>
      </c>
      <c r="U2725" s="569">
        <v>148</v>
      </c>
      <c r="V2725" s="569">
        <v>34</v>
      </c>
      <c r="W2725" s="620">
        <v>11200</v>
      </c>
      <c r="X2725" s="621" t="s">
        <v>157</v>
      </c>
      <c r="Y2725" s="621" t="s">
        <v>728</v>
      </c>
      <c r="Z2725" s="621" t="s">
        <v>1523</v>
      </c>
      <c r="AA2725" s="622">
        <v>51820</v>
      </c>
      <c r="AB2725" s="622" t="s">
        <v>164</v>
      </c>
      <c r="AC2725" s="622">
        <v>40277.157894736847</v>
      </c>
      <c r="AD2725" s="623">
        <v>0.03</v>
      </c>
      <c r="AE2725" s="621" t="s">
        <v>4819</v>
      </c>
    </row>
    <row r="2726" spans="1:31" s="572" customFormat="1">
      <c r="A2726" s="570" t="s">
        <v>4820</v>
      </c>
      <c r="B2726" s="573" t="s">
        <v>269</v>
      </c>
      <c r="C2726" s="578" t="s">
        <v>270</v>
      </c>
      <c r="D2726" s="573" t="s">
        <v>3374</v>
      </c>
      <c r="E2726" s="573" t="s">
        <v>187</v>
      </c>
      <c r="F2726" s="573" t="s">
        <v>271</v>
      </c>
      <c r="G2726" s="573">
        <v>2019</v>
      </c>
      <c r="H2726" s="573" t="s">
        <v>4503</v>
      </c>
      <c r="I2726" s="573" t="s">
        <v>4070</v>
      </c>
      <c r="J2726" s="573" t="s">
        <v>3377</v>
      </c>
      <c r="K2726" s="573">
        <v>6</v>
      </c>
      <c r="L2726" s="573">
        <v>0</v>
      </c>
      <c r="M2726" s="573" t="s">
        <v>157</v>
      </c>
      <c r="N2726" s="573">
        <v>2</v>
      </c>
      <c r="O2726" s="573" t="s">
        <v>3846</v>
      </c>
      <c r="P2726" s="571">
        <v>12700</v>
      </c>
      <c r="Q2726" s="573" t="s">
        <v>4235</v>
      </c>
      <c r="R2726" s="573">
        <v>8</v>
      </c>
      <c r="S2726" s="582" t="s">
        <v>4751</v>
      </c>
      <c r="T2726" s="573" t="s">
        <v>4584</v>
      </c>
      <c r="U2726" s="573">
        <v>164</v>
      </c>
      <c r="V2726" s="573">
        <v>34</v>
      </c>
      <c r="W2726" s="616">
        <v>10800</v>
      </c>
      <c r="X2726" s="617" t="s">
        <v>157</v>
      </c>
      <c r="Y2726" s="617" t="s">
        <v>450</v>
      </c>
      <c r="Z2726" s="617" t="s">
        <v>178</v>
      </c>
      <c r="AA2726" s="618">
        <v>42900</v>
      </c>
      <c r="AB2726" s="618" t="s">
        <v>164</v>
      </c>
      <c r="AC2726" s="618">
        <v>32269.178947368422</v>
      </c>
      <c r="AD2726" s="619">
        <v>0.03</v>
      </c>
      <c r="AE2726" s="617" t="s">
        <v>4821</v>
      </c>
    </row>
    <row r="2727" spans="1:31" s="572" customFormat="1">
      <c r="A2727" s="570" t="s">
        <v>4822</v>
      </c>
      <c r="B2727" s="569" t="s">
        <v>269</v>
      </c>
      <c r="C2727" s="580" t="s">
        <v>270</v>
      </c>
      <c r="D2727" s="569" t="s">
        <v>3374</v>
      </c>
      <c r="E2727" s="569" t="s">
        <v>187</v>
      </c>
      <c r="F2727" s="569" t="s">
        <v>271</v>
      </c>
      <c r="G2727" s="569">
        <v>2019</v>
      </c>
      <c r="H2727" s="569" t="s">
        <v>4503</v>
      </c>
      <c r="I2727" s="569" t="s">
        <v>4070</v>
      </c>
      <c r="J2727" s="569" t="s">
        <v>3377</v>
      </c>
      <c r="K2727" s="569">
        <v>6</v>
      </c>
      <c r="L2727" s="569">
        <v>0</v>
      </c>
      <c r="M2727" s="569" t="s">
        <v>157</v>
      </c>
      <c r="N2727" s="569">
        <v>2</v>
      </c>
      <c r="O2727" s="569" t="s">
        <v>3846</v>
      </c>
      <c r="P2727" s="568">
        <v>12700</v>
      </c>
      <c r="Q2727" s="569" t="s">
        <v>4231</v>
      </c>
      <c r="R2727" s="569">
        <v>8</v>
      </c>
      <c r="S2727" s="569" t="s">
        <v>4751</v>
      </c>
      <c r="T2727" s="569" t="s">
        <v>4584</v>
      </c>
      <c r="U2727" s="569">
        <v>164</v>
      </c>
      <c r="V2727" s="569">
        <v>34</v>
      </c>
      <c r="W2727" s="620">
        <v>11500</v>
      </c>
      <c r="X2727" s="621" t="s">
        <v>157</v>
      </c>
      <c r="Y2727" s="621" t="s">
        <v>728</v>
      </c>
      <c r="Z2727" s="621" t="s">
        <v>1523</v>
      </c>
      <c r="AA2727" s="622">
        <v>52020</v>
      </c>
      <c r="AB2727" s="622" t="s">
        <v>164</v>
      </c>
      <c r="AC2727" s="622">
        <v>40461.368421052633</v>
      </c>
      <c r="AD2727" s="623">
        <v>0.03</v>
      </c>
      <c r="AE2727" s="621" t="s">
        <v>4823</v>
      </c>
    </row>
    <row r="2728" spans="1:31" s="572" customFormat="1">
      <c r="A2728" s="570" t="s">
        <v>4824</v>
      </c>
      <c r="B2728" s="573" t="s">
        <v>278</v>
      </c>
      <c r="C2728" s="578">
        <v>15</v>
      </c>
      <c r="D2728" s="573" t="s">
        <v>3374</v>
      </c>
      <c r="E2728" s="573" t="s">
        <v>187</v>
      </c>
      <c r="F2728" s="573" t="s">
        <v>271</v>
      </c>
      <c r="G2728" s="573">
        <v>2019</v>
      </c>
      <c r="H2728" s="573" t="s">
        <v>4503</v>
      </c>
      <c r="I2728" s="573" t="s">
        <v>4070</v>
      </c>
      <c r="J2728" s="573" t="s">
        <v>3377</v>
      </c>
      <c r="K2728" s="573">
        <v>6</v>
      </c>
      <c r="L2728" s="573">
        <v>0</v>
      </c>
      <c r="M2728" s="573" t="s">
        <v>157</v>
      </c>
      <c r="N2728" s="573">
        <v>2</v>
      </c>
      <c r="O2728" s="573" t="s">
        <v>4230</v>
      </c>
      <c r="P2728" s="571">
        <v>12800</v>
      </c>
      <c r="Q2728" s="573" t="s">
        <v>4235</v>
      </c>
      <c r="R2728" s="573">
        <v>8</v>
      </c>
      <c r="S2728" s="582" t="s">
        <v>4751</v>
      </c>
      <c r="T2728" s="573" t="s">
        <v>4584</v>
      </c>
      <c r="U2728" s="573">
        <v>148</v>
      </c>
      <c r="V2728" s="573">
        <v>34</v>
      </c>
      <c r="W2728" s="616">
        <v>10500</v>
      </c>
      <c r="X2728" s="617" t="s">
        <v>157</v>
      </c>
      <c r="Y2728" s="617" t="s">
        <v>450</v>
      </c>
      <c r="Z2728" s="617" t="s">
        <v>178</v>
      </c>
      <c r="AA2728" s="618">
        <v>42700</v>
      </c>
      <c r="AB2728" s="618" t="s">
        <v>164</v>
      </c>
      <c r="AC2728" s="618">
        <v>32250</v>
      </c>
      <c r="AD2728" s="619">
        <v>0.01</v>
      </c>
      <c r="AE2728" s="617" t="s">
        <v>4817</v>
      </c>
    </row>
    <row r="2729" spans="1:31" s="572" customFormat="1">
      <c r="A2729" s="570" t="s">
        <v>4825</v>
      </c>
      <c r="B2729" s="569" t="s">
        <v>278</v>
      </c>
      <c r="C2729" s="580">
        <v>15</v>
      </c>
      <c r="D2729" s="569" t="s">
        <v>3374</v>
      </c>
      <c r="E2729" s="569" t="s">
        <v>187</v>
      </c>
      <c r="F2729" s="569" t="s">
        <v>271</v>
      </c>
      <c r="G2729" s="569">
        <v>2019</v>
      </c>
      <c r="H2729" s="569" t="s">
        <v>4503</v>
      </c>
      <c r="I2729" s="569" t="s">
        <v>4070</v>
      </c>
      <c r="J2729" s="569" t="s">
        <v>3377</v>
      </c>
      <c r="K2729" s="569">
        <v>6</v>
      </c>
      <c r="L2729" s="569">
        <v>0</v>
      </c>
      <c r="M2729" s="569" t="s">
        <v>157</v>
      </c>
      <c r="N2729" s="569">
        <v>2</v>
      </c>
      <c r="O2729" s="569" t="s">
        <v>4230</v>
      </c>
      <c r="P2729" s="568">
        <v>12800</v>
      </c>
      <c r="Q2729" s="569" t="s">
        <v>4231</v>
      </c>
      <c r="R2729" s="569">
        <v>8</v>
      </c>
      <c r="S2729" s="569" t="s">
        <v>4751</v>
      </c>
      <c r="T2729" s="569" t="s">
        <v>4584</v>
      </c>
      <c r="U2729" s="569">
        <v>148</v>
      </c>
      <c r="V2729" s="569">
        <v>29</v>
      </c>
      <c r="W2729" s="620">
        <v>11200</v>
      </c>
      <c r="X2729" s="621" t="s">
        <v>157</v>
      </c>
      <c r="Y2729" s="621" t="s">
        <v>728</v>
      </c>
      <c r="Z2729" s="621" t="s">
        <v>1523</v>
      </c>
      <c r="AA2729" s="622">
        <v>51820</v>
      </c>
      <c r="AB2729" s="622" t="s">
        <v>164</v>
      </c>
      <c r="AC2729" s="622">
        <v>40500</v>
      </c>
      <c r="AD2729" s="623">
        <v>0.01</v>
      </c>
      <c r="AE2729" s="621" t="s">
        <v>4819</v>
      </c>
    </row>
    <row r="2730" spans="1:31" s="572" customFormat="1">
      <c r="A2730" s="570" t="s">
        <v>4826</v>
      </c>
      <c r="B2730" s="573" t="s">
        <v>278</v>
      </c>
      <c r="C2730" s="578">
        <v>15</v>
      </c>
      <c r="D2730" s="573" t="s">
        <v>3374</v>
      </c>
      <c r="E2730" s="573" t="s">
        <v>187</v>
      </c>
      <c r="F2730" s="573" t="s">
        <v>271</v>
      </c>
      <c r="G2730" s="573">
        <v>2019</v>
      </c>
      <c r="H2730" s="573" t="s">
        <v>4503</v>
      </c>
      <c r="I2730" s="573" t="s">
        <v>4070</v>
      </c>
      <c r="J2730" s="573" t="s">
        <v>3377</v>
      </c>
      <c r="K2730" s="573">
        <v>6</v>
      </c>
      <c r="L2730" s="573">
        <v>0</v>
      </c>
      <c r="M2730" s="573" t="s">
        <v>157</v>
      </c>
      <c r="N2730" s="573">
        <v>2</v>
      </c>
      <c r="O2730" s="573" t="s">
        <v>3846</v>
      </c>
      <c r="P2730" s="571">
        <v>12700</v>
      </c>
      <c r="Q2730" s="573" t="s">
        <v>4235</v>
      </c>
      <c r="R2730" s="573">
        <v>8</v>
      </c>
      <c r="S2730" s="582" t="s">
        <v>4751</v>
      </c>
      <c r="T2730" s="573" t="s">
        <v>4584</v>
      </c>
      <c r="U2730" s="573">
        <v>164</v>
      </c>
      <c r="V2730" s="573">
        <v>34</v>
      </c>
      <c r="W2730" s="616">
        <v>10800</v>
      </c>
      <c r="X2730" s="617" t="s">
        <v>157</v>
      </c>
      <c r="Y2730" s="617" t="s">
        <v>450</v>
      </c>
      <c r="Z2730" s="617" t="s">
        <v>178</v>
      </c>
      <c r="AA2730" s="618">
        <v>42900</v>
      </c>
      <c r="AB2730" s="618" t="s">
        <v>164</v>
      </c>
      <c r="AC2730" s="618">
        <v>32400</v>
      </c>
      <c r="AD2730" s="619">
        <v>0.01</v>
      </c>
      <c r="AE2730" s="617" t="s">
        <v>4821</v>
      </c>
    </row>
    <row r="2731" spans="1:31" s="572" customFormat="1">
      <c r="A2731" s="570" t="s">
        <v>4827</v>
      </c>
      <c r="B2731" s="569" t="s">
        <v>278</v>
      </c>
      <c r="C2731" s="580">
        <v>15</v>
      </c>
      <c r="D2731" s="569" t="s">
        <v>3374</v>
      </c>
      <c r="E2731" s="569" t="s">
        <v>187</v>
      </c>
      <c r="F2731" s="569" t="s">
        <v>271</v>
      </c>
      <c r="G2731" s="569">
        <v>2019</v>
      </c>
      <c r="H2731" s="569" t="s">
        <v>4503</v>
      </c>
      <c r="I2731" s="569" t="s">
        <v>4070</v>
      </c>
      <c r="J2731" s="569" t="s">
        <v>3377</v>
      </c>
      <c r="K2731" s="569">
        <v>6</v>
      </c>
      <c r="L2731" s="569">
        <v>0</v>
      </c>
      <c r="M2731" s="569" t="s">
        <v>157</v>
      </c>
      <c r="N2731" s="569">
        <v>2</v>
      </c>
      <c r="O2731" s="569" t="s">
        <v>3846</v>
      </c>
      <c r="P2731" s="568">
        <v>12700</v>
      </c>
      <c r="Q2731" s="569" t="s">
        <v>4231</v>
      </c>
      <c r="R2731" s="569">
        <v>8</v>
      </c>
      <c r="S2731" s="569" t="s">
        <v>4751</v>
      </c>
      <c r="T2731" s="569" t="s">
        <v>4584</v>
      </c>
      <c r="U2731" s="569">
        <v>164</v>
      </c>
      <c r="V2731" s="569">
        <v>34</v>
      </c>
      <c r="W2731" s="620">
        <v>11500</v>
      </c>
      <c r="X2731" s="621" t="s">
        <v>157</v>
      </c>
      <c r="Y2731" s="621" t="s">
        <v>728</v>
      </c>
      <c r="Z2731" s="621" t="s">
        <v>1523</v>
      </c>
      <c r="AA2731" s="622">
        <v>52020</v>
      </c>
      <c r="AB2731" s="622" t="s">
        <v>164</v>
      </c>
      <c r="AC2731" s="622">
        <v>40700</v>
      </c>
      <c r="AD2731" s="623">
        <v>0.01</v>
      </c>
      <c r="AE2731" s="621" t="s">
        <v>4823</v>
      </c>
    </row>
    <row r="2732" spans="1:31" s="572" customFormat="1">
      <c r="A2732" s="570" t="s">
        <v>4828</v>
      </c>
      <c r="B2732" s="573" t="s">
        <v>287</v>
      </c>
      <c r="C2732" s="578">
        <v>26</v>
      </c>
      <c r="D2732" s="573" t="s">
        <v>3374</v>
      </c>
      <c r="E2732" s="573" t="s">
        <v>187</v>
      </c>
      <c r="F2732" s="573" t="s">
        <v>271</v>
      </c>
      <c r="G2732" s="573">
        <v>2019</v>
      </c>
      <c r="H2732" s="573" t="s">
        <v>4503</v>
      </c>
      <c r="I2732" s="573" t="s">
        <v>4070</v>
      </c>
      <c r="J2732" s="573" t="s">
        <v>3377</v>
      </c>
      <c r="K2732" s="573">
        <v>6</v>
      </c>
      <c r="L2732" s="573">
        <v>0</v>
      </c>
      <c r="M2732" s="573" t="s">
        <v>157</v>
      </c>
      <c r="N2732" s="573">
        <v>2</v>
      </c>
      <c r="O2732" s="573" t="s">
        <v>4230</v>
      </c>
      <c r="P2732" s="571">
        <v>12800</v>
      </c>
      <c r="Q2732" s="573" t="s">
        <v>4235</v>
      </c>
      <c r="R2732" s="573">
        <v>8</v>
      </c>
      <c r="S2732" s="582" t="s">
        <v>4751</v>
      </c>
      <c r="T2732" s="573" t="s">
        <v>4584</v>
      </c>
      <c r="U2732" s="573">
        <v>148</v>
      </c>
      <c r="V2732" s="573">
        <v>34</v>
      </c>
      <c r="W2732" s="616">
        <v>10500</v>
      </c>
      <c r="X2732" s="617" t="s">
        <v>157</v>
      </c>
      <c r="Y2732" s="617" t="s">
        <v>450</v>
      </c>
      <c r="Z2732" s="617" t="s">
        <v>178</v>
      </c>
      <c r="AA2732" s="618">
        <v>42700</v>
      </c>
      <c r="AB2732" s="618" t="s">
        <v>164</v>
      </c>
      <c r="AC2732" s="618">
        <v>32289</v>
      </c>
      <c r="AD2732" s="619">
        <v>0.05</v>
      </c>
      <c r="AE2732" s="617" t="s">
        <v>4817</v>
      </c>
    </row>
    <row r="2733" spans="1:31" s="572" customFormat="1">
      <c r="A2733" s="570" t="s">
        <v>4829</v>
      </c>
      <c r="B2733" s="569" t="s">
        <v>287</v>
      </c>
      <c r="C2733" s="580">
        <v>26</v>
      </c>
      <c r="D2733" s="569" t="s">
        <v>3374</v>
      </c>
      <c r="E2733" s="569" t="s">
        <v>187</v>
      </c>
      <c r="F2733" s="569" t="s">
        <v>271</v>
      </c>
      <c r="G2733" s="569">
        <v>2019</v>
      </c>
      <c r="H2733" s="569" t="s">
        <v>4503</v>
      </c>
      <c r="I2733" s="569" t="s">
        <v>4070</v>
      </c>
      <c r="J2733" s="569" t="s">
        <v>3377</v>
      </c>
      <c r="K2733" s="569">
        <v>6</v>
      </c>
      <c r="L2733" s="569">
        <v>0</v>
      </c>
      <c r="M2733" s="569" t="s">
        <v>157</v>
      </c>
      <c r="N2733" s="569">
        <v>2</v>
      </c>
      <c r="O2733" s="569" t="s">
        <v>4230</v>
      </c>
      <c r="P2733" s="568">
        <v>12800</v>
      </c>
      <c r="Q2733" s="569" t="s">
        <v>4231</v>
      </c>
      <c r="R2733" s="569">
        <v>8</v>
      </c>
      <c r="S2733" s="569" t="s">
        <v>4751</v>
      </c>
      <c r="T2733" s="569" t="s">
        <v>4584</v>
      </c>
      <c r="U2733" s="569">
        <v>148</v>
      </c>
      <c r="V2733" s="569">
        <v>29</v>
      </c>
      <c r="W2733" s="620">
        <v>11200</v>
      </c>
      <c r="X2733" s="621" t="s">
        <v>157</v>
      </c>
      <c r="Y2733" s="621" t="s">
        <v>728</v>
      </c>
      <c r="Z2733" s="621" t="s">
        <v>1523</v>
      </c>
      <c r="AA2733" s="622">
        <v>51245</v>
      </c>
      <c r="AB2733" s="622" t="s">
        <v>164</v>
      </c>
      <c r="AC2733" s="622">
        <v>40483</v>
      </c>
      <c r="AD2733" s="623">
        <v>0.05</v>
      </c>
      <c r="AE2733" s="621" t="s">
        <v>4819</v>
      </c>
    </row>
    <row r="2734" spans="1:31" s="572" customFormat="1">
      <c r="A2734" s="570" t="s">
        <v>4830</v>
      </c>
      <c r="B2734" s="573" t="s">
        <v>287</v>
      </c>
      <c r="C2734" s="578">
        <v>26</v>
      </c>
      <c r="D2734" s="573" t="s">
        <v>3374</v>
      </c>
      <c r="E2734" s="573" t="s">
        <v>187</v>
      </c>
      <c r="F2734" s="573" t="s">
        <v>271</v>
      </c>
      <c r="G2734" s="573">
        <v>2019</v>
      </c>
      <c r="H2734" s="573" t="s">
        <v>4503</v>
      </c>
      <c r="I2734" s="573" t="s">
        <v>4070</v>
      </c>
      <c r="J2734" s="573" t="s">
        <v>3377</v>
      </c>
      <c r="K2734" s="573">
        <v>6</v>
      </c>
      <c r="L2734" s="573">
        <v>0</v>
      </c>
      <c r="M2734" s="573" t="s">
        <v>157</v>
      </c>
      <c r="N2734" s="573">
        <v>2</v>
      </c>
      <c r="O2734" s="573" t="s">
        <v>3846</v>
      </c>
      <c r="P2734" s="571">
        <v>12700</v>
      </c>
      <c r="Q2734" s="573" t="s">
        <v>4235</v>
      </c>
      <c r="R2734" s="573">
        <v>8</v>
      </c>
      <c r="S2734" s="582" t="s">
        <v>4751</v>
      </c>
      <c r="T2734" s="573" t="s">
        <v>4584</v>
      </c>
      <c r="U2734" s="573">
        <v>164</v>
      </c>
      <c r="V2734" s="573">
        <v>34</v>
      </c>
      <c r="W2734" s="616">
        <v>10800</v>
      </c>
      <c r="X2734" s="617" t="s">
        <v>157</v>
      </c>
      <c r="Y2734" s="617" t="s">
        <v>450</v>
      </c>
      <c r="Z2734" s="617" t="s">
        <v>178</v>
      </c>
      <c r="AA2734" s="618">
        <v>42450</v>
      </c>
      <c r="AB2734" s="618" t="s">
        <v>164</v>
      </c>
      <c r="AC2734" s="618">
        <v>32477</v>
      </c>
      <c r="AD2734" s="619">
        <v>0.05</v>
      </c>
      <c r="AE2734" s="617" t="s">
        <v>4821</v>
      </c>
    </row>
    <row r="2735" spans="1:31" s="572" customFormat="1">
      <c r="A2735" s="570" t="s">
        <v>4831</v>
      </c>
      <c r="B2735" s="569" t="s">
        <v>287</v>
      </c>
      <c r="C2735" s="580">
        <v>26</v>
      </c>
      <c r="D2735" s="569" t="s">
        <v>3374</v>
      </c>
      <c r="E2735" s="569" t="s">
        <v>187</v>
      </c>
      <c r="F2735" s="569" t="s">
        <v>271</v>
      </c>
      <c r="G2735" s="569">
        <v>2019</v>
      </c>
      <c r="H2735" s="569" t="s">
        <v>4503</v>
      </c>
      <c r="I2735" s="569" t="s">
        <v>4070</v>
      </c>
      <c r="J2735" s="569" t="s">
        <v>3377</v>
      </c>
      <c r="K2735" s="569">
        <v>6</v>
      </c>
      <c r="L2735" s="569">
        <v>0</v>
      </c>
      <c r="M2735" s="569" t="s">
        <v>157</v>
      </c>
      <c r="N2735" s="569">
        <v>2</v>
      </c>
      <c r="O2735" s="569" t="s">
        <v>3846</v>
      </c>
      <c r="P2735" s="568">
        <v>12700</v>
      </c>
      <c r="Q2735" s="569" t="s">
        <v>4231</v>
      </c>
      <c r="R2735" s="569">
        <v>8</v>
      </c>
      <c r="S2735" s="569" t="s">
        <v>4751</v>
      </c>
      <c r="T2735" s="569" t="s">
        <v>4584</v>
      </c>
      <c r="U2735" s="569">
        <v>164</v>
      </c>
      <c r="V2735" s="569">
        <v>34</v>
      </c>
      <c r="W2735" s="620">
        <v>11500</v>
      </c>
      <c r="X2735" s="621" t="s">
        <v>157</v>
      </c>
      <c r="Y2735" s="621" t="s">
        <v>728</v>
      </c>
      <c r="Z2735" s="621" t="s">
        <v>1523</v>
      </c>
      <c r="AA2735" s="622">
        <v>52020</v>
      </c>
      <c r="AB2735" s="622" t="s">
        <v>164</v>
      </c>
      <c r="AC2735" s="622">
        <v>40671</v>
      </c>
      <c r="AD2735" s="623">
        <v>0.05</v>
      </c>
      <c r="AE2735" s="621" t="s">
        <v>4823</v>
      </c>
    </row>
    <row r="2736" spans="1:31" s="572" customFormat="1">
      <c r="A2736" s="570" t="s">
        <v>4832</v>
      </c>
      <c r="B2736" s="573" t="s">
        <v>280</v>
      </c>
      <c r="C2736" s="578">
        <v>27</v>
      </c>
      <c r="D2736" s="573" t="s">
        <v>3374</v>
      </c>
      <c r="E2736" s="573" t="s">
        <v>187</v>
      </c>
      <c r="F2736" s="573" t="s">
        <v>271</v>
      </c>
      <c r="G2736" s="573">
        <v>2019</v>
      </c>
      <c r="H2736" s="573" t="s">
        <v>4503</v>
      </c>
      <c r="I2736" s="573" t="s">
        <v>4070</v>
      </c>
      <c r="J2736" s="573" t="s">
        <v>3377</v>
      </c>
      <c r="K2736" s="573">
        <v>6</v>
      </c>
      <c r="L2736" s="573">
        <v>0</v>
      </c>
      <c r="M2736" s="573" t="s">
        <v>157</v>
      </c>
      <c r="N2736" s="573">
        <v>2</v>
      </c>
      <c r="O2736" s="573" t="s">
        <v>4230</v>
      </c>
      <c r="P2736" s="571">
        <v>12800</v>
      </c>
      <c r="Q2736" s="573" t="s">
        <v>4235</v>
      </c>
      <c r="R2736" s="573">
        <v>8</v>
      </c>
      <c r="S2736" s="582" t="s">
        <v>4751</v>
      </c>
      <c r="T2736" s="573" t="s">
        <v>4584</v>
      </c>
      <c r="U2736" s="573">
        <v>148</v>
      </c>
      <c r="V2736" s="573">
        <v>34</v>
      </c>
      <c r="W2736" s="616">
        <v>10500</v>
      </c>
      <c r="X2736" s="617" t="s">
        <v>157</v>
      </c>
      <c r="Y2736" s="617" t="s">
        <v>450</v>
      </c>
      <c r="Z2736" s="617" t="s">
        <v>178</v>
      </c>
      <c r="AA2736" s="618">
        <v>42700</v>
      </c>
      <c r="AB2736" s="618" t="s">
        <v>164</v>
      </c>
      <c r="AC2736" s="618">
        <v>32084.968421052636</v>
      </c>
      <c r="AD2736" s="619">
        <v>0.03</v>
      </c>
      <c r="AE2736" s="617" t="s">
        <v>4817</v>
      </c>
    </row>
    <row r="2737" spans="1:31" s="572" customFormat="1">
      <c r="A2737" s="570" t="s">
        <v>4833</v>
      </c>
      <c r="B2737" s="569" t="s">
        <v>280</v>
      </c>
      <c r="C2737" s="580">
        <v>27</v>
      </c>
      <c r="D2737" s="569" t="s">
        <v>3374</v>
      </c>
      <c r="E2737" s="569" t="s">
        <v>187</v>
      </c>
      <c r="F2737" s="569" t="s">
        <v>271</v>
      </c>
      <c r="G2737" s="569">
        <v>2019</v>
      </c>
      <c r="H2737" s="569" t="s">
        <v>4503</v>
      </c>
      <c r="I2737" s="569" t="s">
        <v>4070</v>
      </c>
      <c r="J2737" s="569" t="s">
        <v>3377</v>
      </c>
      <c r="K2737" s="569">
        <v>6</v>
      </c>
      <c r="L2737" s="569">
        <v>0</v>
      </c>
      <c r="M2737" s="569" t="s">
        <v>157</v>
      </c>
      <c r="N2737" s="569">
        <v>2</v>
      </c>
      <c r="O2737" s="569" t="s">
        <v>4230</v>
      </c>
      <c r="P2737" s="568">
        <v>12800</v>
      </c>
      <c r="Q2737" s="569" t="s">
        <v>4231</v>
      </c>
      <c r="R2737" s="569">
        <v>8</v>
      </c>
      <c r="S2737" s="569" t="s">
        <v>4751</v>
      </c>
      <c r="T2737" s="569" t="s">
        <v>4584</v>
      </c>
      <c r="U2737" s="569">
        <v>148</v>
      </c>
      <c r="V2737" s="569">
        <v>34</v>
      </c>
      <c r="W2737" s="620">
        <v>11200</v>
      </c>
      <c r="X2737" s="621" t="s">
        <v>157</v>
      </c>
      <c r="Y2737" s="621" t="s">
        <v>728</v>
      </c>
      <c r="Z2737" s="621" t="s">
        <v>1523</v>
      </c>
      <c r="AA2737" s="622">
        <v>51820</v>
      </c>
      <c r="AB2737" s="622" t="s">
        <v>164</v>
      </c>
      <c r="AC2737" s="622">
        <v>40277.157894736847</v>
      </c>
      <c r="AD2737" s="623">
        <v>0.03</v>
      </c>
      <c r="AE2737" s="621" t="s">
        <v>4819</v>
      </c>
    </row>
    <row r="2738" spans="1:31" s="572" customFormat="1">
      <c r="A2738" s="570" t="s">
        <v>4834</v>
      </c>
      <c r="B2738" s="573" t="s">
        <v>280</v>
      </c>
      <c r="C2738" s="578">
        <v>27</v>
      </c>
      <c r="D2738" s="573" t="s">
        <v>3374</v>
      </c>
      <c r="E2738" s="573" t="s">
        <v>187</v>
      </c>
      <c r="F2738" s="573" t="s">
        <v>271</v>
      </c>
      <c r="G2738" s="573">
        <v>2019</v>
      </c>
      <c r="H2738" s="573" t="s">
        <v>4503</v>
      </c>
      <c r="I2738" s="573" t="s">
        <v>4070</v>
      </c>
      <c r="J2738" s="573" t="s">
        <v>3377</v>
      </c>
      <c r="K2738" s="573">
        <v>6</v>
      </c>
      <c r="L2738" s="573">
        <v>0</v>
      </c>
      <c r="M2738" s="573" t="s">
        <v>157</v>
      </c>
      <c r="N2738" s="573">
        <v>2</v>
      </c>
      <c r="O2738" s="573" t="s">
        <v>3846</v>
      </c>
      <c r="P2738" s="571">
        <v>12700</v>
      </c>
      <c r="Q2738" s="573" t="s">
        <v>4235</v>
      </c>
      <c r="R2738" s="573">
        <v>8</v>
      </c>
      <c r="S2738" s="582" t="s">
        <v>4751</v>
      </c>
      <c r="T2738" s="573" t="s">
        <v>4584</v>
      </c>
      <c r="U2738" s="573">
        <v>164</v>
      </c>
      <c r="V2738" s="573">
        <v>34</v>
      </c>
      <c r="W2738" s="616">
        <v>10800</v>
      </c>
      <c r="X2738" s="617" t="s">
        <v>157</v>
      </c>
      <c r="Y2738" s="617" t="s">
        <v>450</v>
      </c>
      <c r="Z2738" s="617" t="s">
        <v>178</v>
      </c>
      <c r="AA2738" s="618">
        <v>42900</v>
      </c>
      <c r="AB2738" s="618" t="s">
        <v>164</v>
      </c>
      <c r="AC2738" s="618">
        <v>32269.178947368422</v>
      </c>
      <c r="AD2738" s="619">
        <v>0.03</v>
      </c>
      <c r="AE2738" s="617" t="s">
        <v>4821</v>
      </c>
    </row>
    <row r="2739" spans="1:31" s="572" customFormat="1">
      <c r="A2739" s="570" t="s">
        <v>4835</v>
      </c>
      <c r="B2739" s="569" t="s">
        <v>280</v>
      </c>
      <c r="C2739" s="580">
        <v>27</v>
      </c>
      <c r="D2739" s="569" t="s">
        <v>3374</v>
      </c>
      <c r="E2739" s="569" t="s">
        <v>187</v>
      </c>
      <c r="F2739" s="569" t="s">
        <v>271</v>
      </c>
      <c r="G2739" s="569">
        <v>2019</v>
      </c>
      <c r="H2739" s="569" t="s">
        <v>4503</v>
      </c>
      <c r="I2739" s="569" t="s">
        <v>4070</v>
      </c>
      <c r="J2739" s="569" t="s">
        <v>3377</v>
      </c>
      <c r="K2739" s="569">
        <v>6</v>
      </c>
      <c r="L2739" s="569">
        <v>0</v>
      </c>
      <c r="M2739" s="569" t="s">
        <v>157</v>
      </c>
      <c r="N2739" s="569">
        <v>2</v>
      </c>
      <c r="O2739" s="569" t="s">
        <v>3846</v>
      </c>
      <c r="P2739" s="568">
        <v>12700</v>
      </c>
      <c r="Q2739" s="569" t="s">
        <v>4231</v>
      </c>
      <c r="R2739" s="569">
        <v>8</v>
      </c>
      <c r="S2739" s="569" t="s">
        <v>4751</v>
      </c>
      <c r="T2739" s="569" t="s">
        <v>4584</v>
      </c>
      <c r="U2739" s="569">
        <v>164</v>
      </c>
      <c r="V2739" s="569">
        <v>34</v>
      </c>
      <c r="W2739" s="620">
        <v>11500</v>
      </c>
      <c r="X2739" s="621" t="s">
        <v>157</v>
      </c>
      <c r="Y2739" s="621" t="s">
        <v>728</v>
      </c>
      <c r="Z2739" s="621" t="s">
        <v>1523</v>
      </c>
      <c r="AA2739" s="622">
        <v>52020</v>
      </c>
      <c r="AB2739" s="622" t="s">
        <v>164</v>
      </c>
      <c r="AC2739" s="622">
        <v>40461.368421052633</v>
      </c>
      <c r="AD2739" s="623">
        <v>0.03</v>
      </c>
      <c r="AE2739" s="621" t="s">
        <v>4823</v>
      </c>
    </row>
    <row r="2740" spans="1:31" s="572" customFormat="1">
      <c r="A2740" s="570" t="s">
        <v>4836</v>
      </c>
      <c r="B2740" s="573" t="s">
        <v>269</v>
      </c>
      <c r="C2740" s="578" t="s">
        <v>270</v>
      </c>
      <c r="D2740" s="573" t="s">
        <v>3374</v>
      </c>
      <c r="E2740" s="573" t="s">
        <v>187</v>
      </c>
      <c r="F2740" s="573" t="s">
        <v>271</v>
      </c>
      <c r="G2740" s="573">
        <v>2019</v>
      </c>
      <c r="H2740" s="573" t="s">
        <v>4503</v>
      </c>
      <c r="I2740" s="573" t="s">
        <v>4070</v>
      </c>
      <c r="J2740" s="573" t="s">
        <v>752</v>
      </c>
      <c r="K2740" s="573">
        <v>6</v>
      </c>
      <c r="L2740" s="573">
        <v>0</v>
      </c>
      <c r="M2740" s="573" t="s">
        <v>157</v>
      </c>
      <c r="N2740" s="573">
        <v>2</v>
      </c>
      <c r="O2740" s="573" t="s">
        <v>4230</v>
      </c>
      <c r="P2740" s="571">
        <v>12400</v>
      </c>
      <c r="Q2740" s="573" t="s">
        <v>4235</v>
      </c>
      <c r="R2740" s="573">
        <v>8</v>
      </c>
      <c r="S2740" s="582" t="s">
        <v>4771</v>
      </c>
      <c r="T2740" s="573" t="s">
        <v>4584</v>
      </c>
      <c r="U2740" s="573">
        <v>148</v>
      </c>
      <c r="V2740" s="573">
        <v>34</v>
      </c>
      <c r="W2740" s="616">
        <v>10400</v>
      </c>
      <c r="X2740" s="617" t="s">
        <v>157</v>
      </c>
      <c r="Y2740" s="617" t="s">
        <v>450</v>
      </c>
      <c r="Z2740" s="617" t="s">
        <v>178</v>
      </c>
      <c r="AA2740" s="618">
        <v>45505</v>
      </c>
      <c r="AB2740" s="618" t="s">
        <v>164</v>
      </c>
      <c r="AC2740" s="618">
        <v>33833.389473684212</v>
      </c>
      <c r="AD2740" s="619">
        <v>0.03</v>
      </c>
      <c r="AE2740" s="617" t="s">
        <v>4837</v>
      </c>
    </row>
    <row r="2741" spans="1:31" s="572" customFormat="1">
      <c r="A2741" s="570" t="s">
        <v>4838</v>
      </c>
      <c r="B2741" s="569" t="s">
        <v>269</v>
      </c>
      <c r="C2741" s="580" t="s">
        <v>270</v>
      </c>
      <c r="D2741" s="569" t="s">
        <v>3374</v>
      </c>
      <c r="E2741" s="569" t="s">
        <v>187</v>
      </c>
      <c r="F2741" s="569" t="s">
        <v>271</v>
      </c>
      <c r="G2741" s="569">
        <v>2019</v>
      </c>
      <c r="H2741" s="569" t="s">
        <v>4503</v>
      </c>
      <c r="I2741" s="569" t="s">
        <v>4070</v>
      </c>
      <c r="J2741" s="569" t="s">
        <v>752</v>
      </c>
      <c r="K2741" s="569">
        <v>6</v>
      </c>
      <c r="L2741" s="569">
        <v>0</v>
      </c>
      <c r="M2741" s="569" t="s">
        <v>157</v>
      </c>
      <c r="N2741" s="569">
        <v>2</v>
      </c>
      <c r="O2741" s="569" t="s">
        <v>4230</v>
      </c>
      <c r="P2741" s="568">
        <v>12400</v>
      </c>
      <c r="Q2741" s="569" t="s">
        <v>4231</v>
      </c>
      <c r="R2741" s="569">
        <v>8</v>
      </c>
      <c r="S2741" s="569" t="s">
        <v>4771</v>
      </c>
      <c r="T2741" s="569" t="s">
        <v>4584</v>
      </c>
      <c r="U2741" s="569">
        <v>148</v>
      </c>
      <c r="V2741" s="569">
        <v>29</v>
      </c>
      <c r="W2741" s="620">
        <v>11500</v>
      </c>
      <c r="X2741" s="621" t="s">
        <v>157</v>
      </c>
      <c r="Y2741" s="621" t="s">
        <v>728</v>
      </c>
      <c r="Z2741" s="621" t="s">
        <v>1523</v>
      </c>
      <c r="AA2741" s="622">
        <v>54625</v>
      </c>
      <c r="AB2741" s="622" t="s">
        <v>164</v>
      </c>
      <c r="AC2741" s="622">
        <v>42025.578947368427</v>
      </c>
      <c r="AD2741" s="623">
        <v>0.03</v>
      </c>
      <c r="AE2741" s="621" t="s">
        <v>4839</v>
      </c>
    </row>
    <row r="2742" spans="1:31" s="572" customFormat="1">
      <c r="A2742" s="570" t="s">
        <v>4840</v>
      </c>
      <c r="B2742" s="573" t="s">
        <v>269</v>
      </c>
      <c r="C2742" s="578" t="s">
        <v>270</v>
      </c>
      <c r="D2742" s="573" t="s">
        <v>3374</v>
      </c>
      <c r="E2742" s="573" t="s">
        <v>187</v>
      </c>
      <c r="F2742" s="573" t="s">
        <v>271</v>
      </c>
      <c r="G2742" s="573">
        <v>2019</v>
      </c>
      <c r="H2742" s="573" t="s">
        <v>4503</v>
      </c>
      <c r="I2742" s="573" t="s">
        <v>4070</v>
      </c>
      <c r="J2742" s="573" t="s">
        <v>752</v>
      </c>
      <c r="K2742" s="573">
        <v>6</v>
      </c>
      <c r="L2742" s="573">
        <v>0</v>
      </c>
      <c r="M2742" s="573" t="s">
        <v>157</v>
      </c>
      <c r="N2742" s="573">
        <v>2</v>
      </c>
      <c r="O2742" s="573" t="s">
        <v>3846</v>
      </c>
      <c r="P2742" s="571">
        <v>12300</v>
      </c>
      <c r="Q2742" s="573" t="s">
        <v>4235</v>
      </c>
      <c r="R2742" s="573">
        <v>8</v>
      </c>
      <c r="S2742" s="582" t="s">
        <v>4771</v>
      </c>
      <c r="T2742" s="573" t="s">
        <v>4584</v>
      </c>
      <c r="U2742" s="573">
        <v>164</v>
      </c>
      <c r="V2742" s="573">
        <v>34</v>
      </c>
      <c r="W2742" s="616">
        <v>11200</v>
      </c>
      <c r="X2742" s="617" t="s">
        <v>157</v>
      </c>
      <c r="Y2742" s="617" t="s">
        <v>450</v>
      </c>
      <c r="Z2742" s="617" t="s">
        <v>178</v>
      </c>
      <c r="AA2742" s="618">
        <v>45705</v>
      </c>
      <c r="AB2742" s="618" t="s">
        <v>164</v>
      </c>
      <c r="AC2742" s="618">
        <v>34017.600000000006</v>
      </c>
      <c r="AD2742" s="619">
        <v>0.03</v>
      </c>
      <c r="AE2742" s="617" t="s">
        <v>4841</v>
      </c>
    </row>
    <row r="2743" spans="1:31" s="572" customFormat="1">
      <c r="A2743" s="570" t="s">
        <v>4842</v>
      </c>
      <c r="B2743" s="569" t="s">
        <v>269</v>
      </c>
      <c r="C2743" s="580" t="s">
        <v>270</v>
      </c>
      <c r="D2743" s="569" t="s">
        <v>3374</v>
      </c>
      <c r="E2743" s="569" t="s">
        <v>187</v>
      </c>
      <c r="F2743" s="569" t="s">
        <v>271</v>
      </c>
      <c r="G2743" s="569">
        <v>2019</v>
      </c>
      <c r="H2743" s="569" t="s">
        <v>4503</v>
      </c>
      <c r="I2743" s="569" t="s">
        <v>4070</v>
      </c>
      <c r="J2743" s="569" t="s">
        <v>752</v>
      </c>
      <c r="K2743" s="569">
        <v>6</v>
      </c>
      <c r="L2743" s="569">
        <v>0</v>
      </c>
      <c r="M2743" s="569" t="s">
        <v>157</v>
      </c>
      <c r="N2743" s="569">
        <v>2</v>
      </c>
      <c r="O2743" s="569" t="s">
        <v>3846</v>
      </c>
      <c r="P2743" s="568">
        <v>12300</v>
      </c>
      <c r="Q2743" s="569" t="s">
        <v>4231</v>
      </c>
      <c r="R2743" s="569">
        <v>8</v>
      </c>
      <c r="S2743" s="569" t="s">
        <v>4771</v>
      </c>
      <c r="T2743" s="569" t="s">
        <v>4584</v>
      </c>
      <c r="U2743" s="569">
        <v>164</v>
      </c>
      <c r="V2743" s="569">
        <v>34</v>
      </c>
      <c r="W2743" s="620">
        <v>11500</v>
      </c>
      <c r="X2743" s="621" t="s">
        <v>157</v>
      </c>
      <c r="Y2743" s="621" t="s">
        <v>728</v>
      </c>
      <c r="Z2743" s="621" t="s">
        <v>1523</v>
      </c>
      <c r="AA2743" s="622">
        <v>54825</v>
      </c>
      <c r="AB2743" s="622" t="s">
        <v>164</v>
      </c>
      <c r="AC2743" s="622">
        <v>42209.789473684214</v>
      </c>
      <c r="AD2743" s="623">
        <v>0.03</v>
      </c>
      <c r="AE2743" s="621" t="s">
        <v>4843</v>
      </c>
    </row>
    <row r="2744" spans="1:31" s="572" customFormat="1">
      <c r="A2744" s="570" t="s">
        <v>4844</v>
      </c>
      <c r="B2744" s="573" t="s">
        <v>278</v>
      </c>
      <c r="C2744" s="578">
        <v>15</v>
      </c>
      <c r="D2744" s="573" t="s">
        <v>3374</v>
      </c>
      <c r="E2744" s="573" t="s">
        <v>187</v>
      </c>
      <c r="F2744" s="573" t="s">
        <v>271</v>
      </c>
      <c r="G2744" s="573">
        <v>2019</v>
      </c>
      <c r="H2744" s="573" t="s">
        <v>4503</v>
      </c>
      <c r="I2744" s="573" t="s">
        <v>4070</v>
      </c>
      <c r="J2744" s="573" t="s">
        <v>752</v>
      </c>
      <c r="K2744" s="573">
        <v>6</v>
      </c>
      <c r="L2744" s="573">
        <v>0</v>
      </c>
      <c r="M2744" s="573" t="s">
        <v>157</v>
      </c>
      <c r="N2744" s="573">
        <v>2</v>
      </c>
      <c r="O2744" s="573" t="s">
        <v>4230</v>
      </c>
      <c r="P2744" s="571">
        <v>12400</v>
      </c>
      <c r="Q2744" s="573" t="s">
        <v>4235</v>
      </c>
      <c r="R2744" s="573">
        <v>8</v>
      </c>
      <c r="S2744" s="582" t="s">
        <v>4771</v>
      </c>
      <c r="T2744" s="573" t="s">
        <v>4584</v>
      </c>
      <c r="U2744" s="573">
        <v>148</v>
      </c>
      <c r="V2744" s="573">
        <v>34</v>
      </c>
      <c r="W2744" s="616">
        <v>10800</v>
      </c>
      <c r="X2744" s="617" t="s">
        <v>157</v>
      </c>
      <c r="Y2744" s="617" t="s">
        <v>450</v>
      </c>
      <c r="Z2744" s="617" t="s">
        <v>178</v>
      </c>
      <c r="AA2744" s="618">
        <v>45505</v>
      </c>
      <c r="AB2744" s="618" t="s">
        <v>164</v>
      </c>
      <c r="AC2744" s="618">
        <v>33975</v>
      </c>
      <c r="AD2744" s="619">
        <v>0.01</v>
      </c>
      <c r="AE2744" s="617" t="s">
        <v>4837</v>
      </c>
    </row>
    <row r="2745" spans="1:31" s="572" customFormat="1">
      <c r="A2745" s="570" t="s">
        <v>4845</v>
      </c>
      <c r="B2745" s="569" t="s">
        <v>278</v>
      </c>
      <c r="C2745" s="580">
        <v>15</v>
      </c>
      <c r="D2745" s="569" t="s">
        <v>3374</v>
      </c>
      <c r="E2745" s="569" t="s">
        <v>187</v>
      </c>
      <c r="F2745" s="569" t="s">
        <v>271</v>
      </c>
      <c r="G2745" s="569">
        <v>2019</v>
      </c>
      <c r="H2745" s="569" t="s">
        <v>4503</v>
      </c>
      <c r="I2745" s="569" t="s">
        <v>4070</v>
      </c>
      <c r="J2745" s="569" t="s">
        <v>752</v>
      </c>
      <c r="K2745" s="569">
        <v>6</v>
      </c>
      <c r="L2745" s="569">
        <v>0</v>
      </c>
      <c r="M2745" s="569" t="s">
        <v>157</v>
      </c>
      <c r="N2745" s="569">
        <v>2</v>
      </c>
      <c r="O2745" s="569" t="s">
        <v>4230</v>
      </c>
      <c r="P2745" s="568">
        <v>12400</v>
      </c>
      <c r="Q2745" s="569" t="s">
        <v>4231</v>
      </c>
      <c r="R2745" s="569">
        <v>8</v>
      </c>
      <c r="S2745" s="569" t="s">
        <v>4771</v>
      </c>
      <c r="T2745" s="569" t="s">
        <v>4584</v>
      </c>
      <c r="U2745" s="569">
        <v>148</v>
      </c>
      <c r="V2745" s="569">
        <v>29</v>
      </c>
      <c r="W2745" s="620">
        <v>11500</v>
      </c>
      <c r="X2745" s="621" t="s">
        <v>157</v>
      </c>
      <c r="Y2745" s="621" t="s">
        <v>728</v>
      </c>
      <c r="Z2745" s="621" t="s">
        <v>1523</v>
      </c>
      <c r="AA2745" s="622">
        <v>54625</v>
      </c>
      <c r="AB2745" s="622" t="s">
        <v>164</v>
      </c>
      <c r="AC2745" s="622">
        <v>42250</v>
      </c>
      <c r="AD2745" s="623">
        <v>0.01</v>
      </c>
      <c r="AE2745" s="621" t="s">
        <v>4839</v>
      </c>
    </row>
    <row r="2746" spans="1:31" s="572" customFormat="1">
      <c r="A2746" s="570" t="s">
        <v>4846</v>
      </c>
      <c r="B2746" s="573" t="s">
        <v>278</v>
      </c>
      <c r="C2746" s="578">
        <v>15</v>
      </c>
      <c r="D2746" s="573" t="s">
        <v>3374</v>
      </c>
      <c r="E2746" s="573" t="s">
        <v>187</v>
      </c>
      <c r="F2746" s="573" t="s">
        <v>271</v>
      </c>
      <c r="G2746" s="573">
        <v>2019</v>
      </c>
      <c r="H2746" s="573" t="s">
        <v>4503</v>
      </c>
      <c r="I2746" s="573" t="s">
        <v>4070</v>
      </c>
      <c r="J2746" s="573" t="s">
        <v>752</v>
      </c>
      <c r="K2746" s="573">
        <v>6</v>
      </c>
      <c r="L2746" s="573">
        <v>0</v>
      </c>
      <c r="M2746" s="573" t="s">
        <v>157</v>
      </c>
      <c r="N2746" s="573">
        <v>2</v>
      </c>
      <c r="O2746" s="573" t="s">
        <v>3846</v>
      </c>
      <c r="P2746" s="571">
        <v>12300</v>
      </c>
      <c r="Q2746" s="573" t="s">
        <v>4235</v>
      </c>
      <c r="R2746" s="573">
        <v>8</v>
      </c>
      <c r="S2746" s="582" t="s">
        <v>4771</v>
      </c>
      <c r="T2746" s="573" t="s">
        <v>4584</v>
      </c>
      <c r="U2746" s="573">
        <v>164</v>
      </c>
      <c r="V2746" s="573">
        <v>34</v>
      </c>
      <c r="W2746" s="616">
        <v>11200</v>
      </c>
      <c r="X2746" s="617" t="s">
        <v>157</v>
      </c>
      <c r="Y2746" s="617" t="s">
        <v>450</v>
      </c>
      <c r="Z2746" s="617" t="s">
        <v>178</v>
      </c>
      <c r="AA2746" s="618">
        <v>45705</v>
      </c>
      <c r="AB2746" s="618" t="s">
        <v>164</v>
      </c>
      <c r="AC2746" s="618">
        <v>34200</v>
      </c>
      <c r="AD2746" s="619">
        <v>0.01</v>
      </c>
      <c r="AE2746" s="617" t="s">
        <v>4841</v>
      </c>
    </row>
    <row r="2747" spans="1:31" s="572" customFormat="1">
      <c r="A2747" s="570" t="s">
        <v>4847</v>
      </c>
      <c r="B2747" s="569" t="s">
        <v>278</v>
      </c>
      <c r="C2747" s="580">
        <v>15</v>
      </c>
      <c r="D2747" s="569" t="s">
        <v>3374</v>
      </c>
      <c r="E2747" s="569" t="s">
        <v>187</v>
      </c>
      <c r="F2747" s="569" t="s">
        <v>271</v>
      </c>
      <c r="G2747" s="569">
        <v>2019</v>
      </c>
      <c r="H2747" s="569" t="s">
        <v>4503</v>
      </c>
      <c r="I2747" s="569" t="s">
        <v>4070</v>
      </c>
      <c r="J2747" s="569" t="s">
        <v>752</v>
      </c>
      <c r="K2747" s="569">
        <v>6</v>
      </c>
      <c r="L2747" s="569">
        <v>0</v>
      </c>
      <c r="M2747" s="569" t="s">
        <v>157</v>
      </c>
      <c r="N2747" s="569">
        <v>2</v>
      </c>
      <c r="O2747" s="569" t="s">
        <v>3846</v>
      </c>
      <c r="P2747" s="568">
        <v>12300</v>
      </c>
      <c r="Q2747" s="569" t="s">
        <v>4231</v>
      </c>
      <c r="R2747" s="569">
        <v>8</v>
      </c>
      <c r="S2747" s="569" t="s">
        <v>4771</v>
      </c>
      <c r="T2747" s="569" t="s">
        <v>4584</v>
      </c>
      <c r="U2747" s="569">
        <v>164</v>
      </c>
      <c r="V2747" s="569">
        <v>34</v>
      </c>
      <c r="W2747" s="620">
        <v>11500</v>
      </c>
      <c r="X2747" s="621" t="s">
        <v>157</v>
      </c>
      <c r="Y2747" s="621" t="s">
        <v>728</v>
      </c>
      <c r="Z2747" s="621" t="s">
        <v>1523</v>
      </c>
      <c r="AA2747" s="622">
        <v>54825</v>
      </c>
      <c r="AB2747" s="622" t="s">
        <v>164</v>
      </c>
      <c r="AC2747" s="622">
        <v>42450</v>
      </c>
      <c r="AD2747" s="623">
        <v>0.01</v>
      </c>
      <c r="AE2747" s="621" t="s">
        <v>4843</v>
      </c>
    </row>
    <row r="2748" spans="1:31" s="572" customFormat="1">
      <c r="A2748" s="570" t="s">
        <v>4848</v>
      </c>
      <c r="B2748" s="573" t="s">
        <v>287</v>
      </c>
      <c r="C2748" s="578">
        <v>26</v>
      </c>
      <c r="D2748" s="573" t="s">
        <v>3374</v>
      </c>
      <c r="E2748" s="573" t="s">
        <v>187</v>
      </c>
      <c r="F2748" s="573" t="s">
        <v>271</v>
      </c>
      <c r="G2748" s="573">
        <v>2019</v>
      </c>
      <c r="H2748" s="573" t="s">
        <v>4503</v>
      </c>
      <c r="I2748" s="573" t="s">
        <v>4070</v>
      </c>
      <c r="J2748" s="573" t="s">
        <v>752</v>
      </c>
      <c r="K2748" s="573">
        <v>6</v>
      </c>
      <c r="L2748" s="573">
        <v>0</v>
      </c>
      <c r="M2748" s="573" t="s">
        <v>157</v>
      </c>
      <c r="N2748" s="573">
        <v>2</v>
      </c>
      <c r="O2748" s="573" t="s">
        <v>4230</v>
      </c>
      <c r="P2748" s="571">
        <v>12400</v>
      </c>
      <c r="Q2748" s="573" t="s">
        <v>4235</v>
      </c>
      <c r="R2748" s="573">
        <v>8</v>
      </c>
      <c r="S2748" s="582" t="s">
        <v>4771</v>
      </c>
      <c r="T2748" s="573" t="s">
        <v>4584</v>
      </c>
      <c r="U2748" s="573">
        <v>148</v>
      </c>
      <c r="V2748" s="573">
        <v>34</v>
      </c>
      <c r="W2748" s="616">
        <v>10800</v>
      </c>
      <c r="X2748" s="617" t="s">
        <v>157</v>
      </c>
      <c r="Y2748" s="617" t="s">
        <v>450</v>
      </c>
      <c r="Z2748" s="617" t="s">
        <v>178</v>
      </c>
      <c r="AA2748" s="618">
        <v>45055</v>
      </c>
      <c r="AB2748" s="618" t="s">
        <v>164</v>
      </c>
      <c r="AC2748" s="618">
        <v>34064</v>
      </c>
      <c r="AD2748" s="619">
        <v>0.05</v>
      </c>
      <c r="AE2748" s="617" t="s">
        <v>4837</v>
      </c>
    </row>
    <row r="2749" spans="1:31" s="572" customFormat="1">
      <c r="A2749" s="570" t="s">
        <v>4849</v>
      </c>
      <c r="B2749" s="569" t="s">
        <v>287</v>
      </c>
      <c r="C2749" s="580">
        <v>26</v>
      </c>
      <c r="D2749" s="569" t="s">
        <v>3374</v>
      </c>
      <c r="E2749" s="569" t="s">
        <v>187</v>
      </c>
      <c r="F2749" s="569" t="s">
        <v>271</v>
      </c>
      <c r="G2749" s="569">
        <v>2019</v>
      </c>
      <c r="H2749" s="569" t="s">
        <v>4503</v>
      </c>
      <c r="I2749" s="569" t="s">
        <v>4070</v>
      </c>
      <c r="J2749" s="569" t="s">
        <v>752</v>
      </c>
      <c r="K2749" s="569">
        <v>6</v>
      </c>
      <c r="L2749" s="569">
        <v>0</v>
      </c>
      <c r="M2749" s="569" t="s">
        <v>157</v>
      </c>
      <c r="N2749" s="569">
        <v>2</v>
      </c>
      <c r="O2749" s="569" t="s">
        <v>4230</v>
      </c>
      <c r="P2749" s="568">
        <v>12400</v>
      </c>
      <c r="Q2749" s="569" t="s">
        <v>4231</v>
      </c>
      <c r="R2749" s="569">
        <v>8</v>
      </c>
      <c r="S2749" s="569" t="s">
        <v>4771</v>
      </c>
      <c r="T2749" s="569" t="s">
        <v>4584</v>
      </c>
      <c r="U2749" s="569">
        <v>148</v>
      </c>
      <c r="V2749" s="569">
        <v>29</v>
      </c>
      <c r="W2749" s="620">
        <v>11500</v>
      </c>
      <c r="X2749" s="621" t="s">
        <v>157</v>
      </c>
      <c r="Y2749" s="621" t="s">
        <v>728</v>
      </c>
      <c r="Z2749" s="621" t="s">
        <v>1523</v>
      </c>
      <c r="AA2749" s="622">
        <v>54625</v>
      </c>
      <c r="AB2749" s="622" t="s">
        <v>164</v>
      </c>
      <c r="AC2749" s="622">
        <v>42259</v>
      </c>
      <c r="AD2749" s="623">
        <v>0.05</v>
      </c>
      <c r="AE2749" s="621" t="s">
        <v>4839</v>
      </c>
    </row>
    <row r="2750" spans="1:31" s="572" customFormat="1">
      <c r="A2750" s="570" t="s">
        <v>4850</v>
      </c>
      <c r="B2750" s="573" t="s">
        <v>287</v>
      </c>
      <c r="C2750" s="578">
        <v>26</v>
      </c>
      <c r="D2750" s="573" t="s">
        <v>3374</v>
      </c>
      <c r="E2750" s="573" t="s">
        <v>187</v>
      </c>
      <c r="F2750" s="573" t="s">
        <v>271</v>
      </c>
      <c r="G2750" s="573">
        <v>2019</v>
      </c>
      <c r="H2750" s="573" t="s">
        <v>4503</v>
      </c>
      <c r="I2750" s="573" t="s">
        <v>4070</v>
      </c>
      <c r="J2750" s="573" t="s">
        <v>752</v>
      </c>
      <c r="K2750" s="573">
        <v>6</v>
      </c>
      <c r="L2750" s="573">
        <v>0</v>
      </c>
      <c r="M2750" s="573" t="s">
        <v>157</v>
      </c>
      <c r="N2750" s="573">
        <v>2</v>
      </c>
      <c r="O2750" s="573" t="s">
        <v>3846</v>
      </c>
      <c r="P2750" s="571">
        <v>12300</v>
      </c>
      <c r="Q2750" s="573" t="s">
        <v>4235</v>
      </c>
      <c r="R2750" s="573">
        <v>8</v>
      </c>
      <c r="S2750" s="582" t="s">
        <v>4771</v>
      </c>
      <c r="T2750" s="573" t="s">
        <v>4584</v>
      </c>
      <c r="U2750" s="573">
        <v>164</v>
      </c>
      <c r="V2750" s="573">
        <v>34</v>
      </c>
      <c r="W2750" s="616">
        <v>11200</v>
      </c>
      <c r="X2750" s="617" t="s">
        <v>157</v>
      </c>
      <c r="Y2750" s="617" t="s">
        <v>450</v>
      </c>
      <c r="Z2750" s="617" t="s">
        <v>178</v>
      </c>
      <c r="AA2750" s="618">
        <v>45705</v>
      </c>
      <c r="AB2750" s="618" t="s">
        <v>164</v>
      </c>
      <c r="AC2750" s="618">
        <v>34252</v>
      </c>
      <c r="AD2750" s="619">
        <v>0.05</v>
      </c>
      <c r="AE2750" s="617" t="s">
        <v>4841</v>
      </c>
    </row>
    <row r="2751" spans="1:31" s="572" customFormat="1">
      <c r="A2751" s="570" t="s">
        <v>4851</v>
      </c>
      <c r="B2751" s="569" t="s">
        <v>287</v>
      </c>
      <c r="C2751" s="580">
        <v>26</v>
      </c>
      <c r="D2751" s="569" t="s">
        <v>3374</v>
      </c>
      <c r="E2751" s="569" t="s">
        <v>187</v>
      </c>
      <c r="F2751" s="569" t="s">
        <v>271</v>
      </c>
      <c r="G2751" s="569">
        <v>2019</v>
      </c>
      <c r="H2751" s="569" t="s">
        <v>4503</v>
      </c>
      <c r="I2751" s="569" t="s">
        <v>4070</v>
      </c>
      <c r="J2751" s="569" t="s">
        <v>752</v>
      </c>
      <c r="K2751" s="569">
        <v>6</v>
      </c>
      <c r="L2751" s="569">
        <v>0</v>
      </c>
      <c r="M2751" s="569" t="s">
        <v>157</v>
      </c>
      <c r="N2751" s="569">
        <v>2</v>
      </c>
      <c r="O2751" s="569" t="s">
        <v>3846</v>
      </c>
      <c r="P2751" s="568">
        <v>12300</v>
      </c>
      <c r="Q2751" s="569" t="s">
        <v>4231</v>
      </c>
      <c r="R2751" s="569">
        <v>8</v>
      </c>
      <c r="S2751" s="569" t="s">
        <v>4771</v>
      </c>
      <c r="T2751" s="569" t="s">
        <v>4584</v>
      </c>
      <c r="U2751" s="569">
        <v>164</v>
      </c>
      <c r="V2751" s="569">
        <v>34</v>
      </c>
      <c r="W2751" s="620">
        <v>11500</v>
      </c>
      <c r="X2751" s="621" t="s">
        <v>157</v>
      </c>
      <c r="Y2751" s="621" t="s">
        <v>728</v>
      </c>
      <c r="Z2751" s="621" t="s">
        <v>1523</v>
      </c>
      <c r="AA2751" s="622">
        <v>54825</v>
      </c>
      <c r="AB2751" s="622" t="s">
        <v>164</v>
      </c>
      <c r="AC2751" s="622">
        <v>42446</v>
      </c>
      <c r="AD2751" s="623">
        <v>0.05</v>
      </c>
      <c r="AE2751" s="621" t="s">
        <v>4843</v>
      </c>
    </row>
    <row r="2752" spans="1:31" s="572" customFormat="1">
      <c r="A2752" s="570" t="s">
        <v>4852</v>
      </c>
      <c r="B2752" s="573" t="s">
        <v>280</v>
      </c>
      <c r="C2752" s="578">
        <v>27</v>
      </c>
      <c r="D2752" s="573" t="s">
        <v>3374</v>
      </c>
      <c r="E2752" s="573" t="s">
        <v>187</v>
      </c>
      <c r="F2752" s="573" t="s">
        <v>271</v>
      </c>
      <c r="G2752" s="573">
        <v>2019</v>
      </c>
      <c r="H2752" s="573" t="s">
        <v>4503</v>
      </c>
      <c r="I2752" s="573" t="s">
        <v>4070</v>
      </c>
      <c r="J2752" s="573" t="s">
        <v>752</v>
      </c>
      <c r="K2752" s="573">
        <v>6</v>
      </c>
      <c r="L2752" s="573">
        <v>0</v>
      </c>
      <c r="M2752" s="573" t="s">
        <v>157</v>
      </c>
      <c r="N2752" s="573">
        <v>2</v>
      </c>
      <c r="O2752" s="573" t="s">
        <v>4230</v>
      </c>
      <c r="P2752" s="571">
        <v>12400</v>
      </c>
      <c r="Q2752" s="573" t="s">
        <v>4235</v>
      </c>
      <c r="R2752" s="573">
        <v>8</v>
      </c>
      <c r="S2752" s="582" t="s">
        <v>4771</v>
      </c>
      <c r="T2752" s="573" t="s">
        <v>4584</v>
      </c>
      <c r="U2752" s="573">
        <v>148</v>
      </c>
      <c r="V2752" s="573">
        <v>34</v>
      </c>
      <c r="W2752" s="616">
        <v>10400</v>
      </c>
      <c r="X2752" s="617" t="s">
        <v>157</v>
      </c>
      <c r="Y2752" s="617" t="s">
        <v>450</v>
      </c>
      <c r="Z2752" s="617" t="s">
        <v>178</v>
      </c>
      <c r="AA2752" s="618">
        <v>45505</v>
      </c>
      <c r="AB2752" s="618" t="s">
        <v>164</v>
      </c>
      <c r="AC2752" s="618">
        <v>33833.389473684212</v>
      </c>
      <c r="AD2752" s="619">
        <v>0.03</v>
      </c>
      <c r="AE2752" s="617" t="s">
        <v>4837</v>
      </c>
    </row>
    <row r="2753" spans="1:31" s="572" customFormat="1">
      <c r="A2753" s="570" t="s">
        <v>4853</v>
      </c>
      <c r="B2753" s="569" t="s">
        <v>280</v>
      </c>
      <c r="C2753" s="580">
        <v>27</v>
      </c>
      <c r="D2753" s="569" t="s">
        <v>3374</v>
      </c>
      <c r="E2753" s="569" t="s">
        <v>187</v>
      </c>
      <c r="F2753" s="569" t="s">
        <v>271</v>
      </c>
      <c r="G2753" s="569">
        <v>2019</v>
      </c>
      <c r="H2753" s="569" t="s">
        <v>4503</v>
      </c>
      <c r="I2753" s="569" t="s">
        <v>4070</v>
      </c>
      <c r="J2753" s="569" t="s">
        <v>752</v>
      </c>
      <c r="K2753" s="569">
        <v>6</v>
      </c>
      <c r="L2753" s="569">
        <v>0</v>
      </c>
      <c r="M2753" s="569" t="s">
        <v>157</v>
      </c>
      <c r="N2753" s="569">
        <v>2</v>
      </c>
      <c r="O2753" s="569" t="s">
        <v>4230</v>
      </c>
      <c r="P2753" s="568">
        <v>12400</v>
      </c>
      <c r="Q2753" s="569" t="s">
        <v>4231</v>
      </c>
      <c r="R2753" s="569">
        <v>8</v>
      </c>
      <c r="S2753" s="569" t="s">
        <v>4771</v>
      </c>
      <c r="T2753" s="569" t="s">
        <v>4584</v>
      </c>
      <c r="U2753" s="569">
        <v>148</v>
      </c>
      <c r="V2753" s="569">
        <v>29</v>
      </c>
      <c r="W2753" s="620">
        <v>11500</v>
      </c>
      <c r="X2753" s="621" t="s">
        <v>157</v>
      </c>
      <c r="Y2753" s="621" t="s">
        <v>728</v>
      </c>
      <c r="Z2753" s="621" t="s">
        <v>1523</v>
      </c>
      <c r="AA2753" s="622">
        <v>54625</v>
      </c>
      <c r="AB2753" s="622" t="s">
        <v>164</v>
      </c>
      <c r="AC2753" s="622">
        <v>42025.578947368427</v>
      </c>
      <c r="AD2753" s="623">
        <v>0.03</v>
      </c>
      <c r="AE2753" s="621" t="s">
        <v>4839</v>
      </c>
    </row>
    <row r="2754" spans="1:31" s="572" customFormat="1">
      <c r="A2754" s="570" t="s">
        <v>4854</v>
      </c>
      <c r="B2754" s="573" t="s">
        <v>280</v>
      </c>
      <c r="C2754" s="578">
        <v>27</v>
      </c>
      <c r="D2754" s="573" t="s">
        <v>3374</v>
      </c>
      <c r="E2754" s="573" t="s">
        <v>187</v>
      </c>
      <c r="F2754" s="573" t="s">
        <v>271</v>
      </c>
      <c r="G2754" s="573">
        <v>2019</v>
      </c>
      <c r="H2754" s="573" t="s">
        <v>4503</v>
      </c>
      <c r="I2754" s="573" t="s">
        <v>4070</v>
      </c>
      <c r="J2754" s="573" t="s">
        <v>752</v>
      </c>
      <c r="K2754" s="573">
        <v>6</v>
      </c>
      <c r="L2754" s="573">
        <v>0</v>
      </c>
      <c r="M2754" s="573" t="s">
        <v>157</v>
      </c>
      <c r="N2754" s="573">
        <v>2</v>
      </c>
      <c r="O2754" s="573" t="s">
        <v>3846</v>
      </c>
      <c r="P2754" s="571">
        <v>12300</v>
      </c>
      <c r="Q2754" s="573" t="s">
        <v>4235</v>
      </c>
      <c r="R2754" s="573">
        <v>8</v>
      </c>
      <c r="S2754" s="582" t="s">
        <v>4771</v>
      </c>
      <c r="T2754" s="573" t="s">
        <v>4584</v>
      </c>
      <c r="U2754" s="573">
        <v>164</v>
      </c>
      <c r="V2754" s="573">
        <v>34</v>
      </c>
      <c r="W2754" s="616">
        <v>11200</v>
      </c>
      <c r="X2754" s="617" t="s">
        <v>157</v>
      </c>
      <c r="Y2754" s="617" t="s">
        <v>450</v>
      </c>
      <c r="Z2754" s="617" t="s">
        <v>178</v>
      </c>
      <c r="AA2754" s="618">
        <v>45705</v>
      </c>
      <c r="AB2754" s="618" t="s">
        <v>164</v>
      </c>
      <c r="AC2754" s="618">
        <v>34017.600000000006</v>
      </c>
      <c r="AD2754" s="619">
        <v>0.03</v>
      </c>
      <c r="AE2754" s="617" t="s">
        <v>4841</v>
      </c>
    </row>
    <row r="2755" spans="1:31" s="572" customFormat="1">
      <c r="A2755" s="570" t="s">
        <v>4855</v>
      </c>
      <c r="B2755" s="569" t="s">
        <v>280</v>
      </c>
      <c r="C2755" s="580">
        <v>27</v>
      </c>
      <c r="D2755" s="569" t="s">
        <v>3374</v>
      </c>
      <c r="E2755" s="569" t="s">
        <v>187</v>
      </c>
      <c r="F2755" s="569" t="s">
        <v>271</v>
      </c>
      <c r="G2755" s="569">
        <v>2019</v>
      </c>
      <c r="H2755" s="569" t="s">
        <v>4503</v>
      </c>
      <c r="I2755" s="569" t="s">
        <v>4070</v>
      </c>
      <c r="J2755" s="569" t="s">
        <v>752</v>
      </c>
      <c r="K2755" s="569">
        <v>6</v>
      </c>
      <c r="L2755" s="569">
        <v>0</v>
      </c>
      <c r="M2755" s="569" t="s">
        <v>157</v>
      </c>
      <c r="N2755" s="569">
        <v>2</v>
      </c>
      <c r="O2755" s="569" t="s">
        <v>3846</v>
      </c>
      <c r="P2755" s="568">
        <v>12300</v>
      </c>
      <c r="Q2755" s="569" t="s">
        <v>4231</v>
      </c>
      <c r="R2755" s="569">
        <v>8</v>
      </c>
      <c r="S2755" s="569" t="s">
        <v>4771</v>
      </c>
      <c r="T2755" s="569" t="s">
        <v>4584</v>
      </c>
      <c r="U2755" s="569">
        <v>164</v>
      </c>
      <c r="V2755" s="569">
        <v>34</v>
      </c>
      <c r="W2755" s="620">
        <v>11500</v>
      </c>
      <c r="X2755" s="621" t="s">
        <v>157</v>
      </c>
      <c r="Y2755" s="621" t="s">
        <v>728</v>
      </c>
      <c r="Z2755" s="621" t="s">
        <v>1523</v>
      </c>
      <c r="AA2755" s="622">
        <v>54825</v>
      </c>
      <c r="AB2755" s="622" t="s">
        <v>164</v>
      </c>
      <c r="AC2755" s="622">
        <v>42209.789473684214</v>
      </c>
      <c r="AD2755" s="623">
        <v>0.03</v>
      </c>
      <c r="AE2755" s="621" t="s">
        <v>4843</v>
      </c>
    </row>
    <row r="2756" spans="1:31" s="572" customFormat="1">
      <c r="A2756" s="570" t="s">
        <v>4856</v>
      </c>
      <c r="B2756" s="573" t="s">
        <v>269</v>
      </c>
      <c r="C2756" s="578" t="s">
        <v>270</v>
      </c>
      <c r="D2756" s="573" t="s">
        <v>3374</v>
      </c>
      <c r="E2756" s="573" t="s">
        <v>187</v>
      </c>
      <c r="F2756" s="573" t="s">
        <v>271</v>
      </c>
      <c r="G2756" s="573">
        <v>2019</v>
      </c>
      <c r="H2756" s="573" t="s">
        <v>4503</v>
      </c>
      <c r="I2756" s="573" t="s">
        <v>4858</v>
      </c>
      <c r="J2756" s="573" t="s">
        <v>3377</v>
      </c>
      <c r="K2756" s="573">
        <v>6</v>
      </c>
      <c r="L2756" s="573">
        <v>0</v>
      </c>
      <c r="M2756" s="573" t="s">
        <v>157</v>
      </c>
      <c r="N2756" s="573">
        <v>2</v>
      </c>
      <c r="O2756" s="573" t="s">
        <v>3846</v>
      </c>
      <c r="P2756" s="571">
        <v>12700</v>
      </c>
      <c r="Q2756" s="573" t="s">
        <v>4235</v>
      </c>
      <c r="R2756" s="573">
        <v>8</v>
      </c>
      <c r="S2756" s="582" t="s">
        <v>4796</v>
      </c>
      <c r="T2756" s="573" t="s">
        <v>4635</v>
      </c>
      <c r="U2756" s="573">
        <v>164</v>
      </c>
      <c r="V2756" s="573">
        <v>34</v>
      </c>
      <c r="W2756" s="616">
        <v>14000</v>
      </c>
      <c r="X2756" s="617" t="s">
        <v>157</v>
      </c>
      <c r="Y2756" s="617" t="s">
        <v>450</v>
      </c>
      <c r="Z2756" s="617" t="s">
        <v>178</v>
      </c>
      <c r="AA2756" s="618">
        <v>44175</v>
      </c>
      <c r="AB2756" s="618" t="s">
        <v>164</v>
      </c>
      <c r="AC2756" s="618">
        <v>33446.021052631579</v>
      </c>
      <c r="AD2756" s="619">
        <v>0.03</v>
      </c>
      <c r="AE2756" s="617" t="s">
        <v>4857</v>
      </c>
    </row>
    <row r="2757" spans="1:31" s="572" customFormat="1">
      <c r="A2757" s="570" t="s">
        <v>4859</v>
      </c>
      <c r="B2757" s="569" t="s">
        <v>269</v>
      </c>
      <c r="C2757" s="580" t="s">
        <v>270</v>
      </c>
      <c r="D2757" s="569" t="s">
        <v>3374</v>
      </c>
      <c r="E2757" s="569" t="s">
        <v>187</v>
      </c>
      <c r="F2757" s="569" t="s">
        <v>271</v>
      </c>
      <c r="G2757" s="569">
        <v>2019</v>
      </c>
      <c r="H2757" s="569" t="s">
        <v>4503</v>
      </c>
      <c r="I2757" s="569" t="s">
        <v>4858</v>
      </c>
      <c r="J2757" s="569" t="s">
        <v>3377</v>
      </c>
      <c r="K2757" s="569">
        <v>6</v>
      </c>
      <c r="L2757" s="569">
        <v>0</v>
      </c>
      <c r="M2757" s="569" t="s">
        <v>157</v>
      </c>
      <c r="N2757" s="569">
        <v>2</v>
      </c>
      <c r="O2757" s="569" t="s">
        <v>3846</v>
      </c>
      <c r="P2757" s="568">
        <v>12700</v>
      </c>
      <c r="Q2757" s="569" t="s">
        <v>4231</v>
      </c>
      <c r="R2757" s="569">
        <v>8</v>
      </c>
      <c r="S2757" s="569" t="s">
        <v>4796</v>
      </c>
      <c r="T2757" s="569" t="s">
        <v>4635</v>
      </c>
      <c r="U2757" s="569">
        <v>164</v>
      </c>
      <c r="V2757" s="569">
        <v>34</v>
      </c>
      <c r="W2757" s="620">
        <v>14000</v>
      </c>
      <c r="X2757" s="621" t="s">
        <v>157</v>
      </c>
      <c r="Y2757" s="621" t="s">
        <v>728</v>
      </c>
      <c r="Z2757" s="621" t="s">
        <v>1523</v>
      </c>
      <c r="AA2757" s="622">
        <v>53295</v>
      </c>
      <c r="AB2757" s="622" t="s">
        <v>164</v>
      </c>
      <c r="AC2757" s="622">
        <v>41638.210526315794</v>
      </c>
      <c r="AD2757" s="623">
        <v>0.03</v>
      </c>
      <c r="AE2757" s="621" t="s">
        <v>4860</v>
      </c>
    </row>
    <row r="2758" spans="1:31" s="572" customFormat="1">
      <c r="A2758" s="570" t="s">
        <v>4861</v>
      </c>
      <c r="B2758" s="573" t="s">
        <v>278</v>
      </c>
      <c r="C2758" s="578">
        <v>15</v>
      </c>
      <c r="D2758" s="573" t="s">
        <v>3374</v>
      </c>
      <c r="E2758" s="573" t="s">
        <v>187</v>
      </c>
      <c r="F2758" s="573" t="s">
        <v>271</v>
      </c>
      <c r="G2758" s="573">
        <v>2019</v>
      </c>
      <c r="H2758" s="573" t="s">
        <v>4503</v>
      </c>
      <c r="I2758" s="573" t="s">
        <v>4858</v>
      </c>
      <c r="J2758" s="573" t="s">
        <v>3377</v>
      </c>
      <c r="K2758" s="573">
        <v>6</v>
      </c>
      <c r="L2758" s="573">
        <v>0</v>
      </c>
      <c r="M2758" s="573" t="s">
        <v>157</v>
      </c>
      <c r="N2758" s="573">
        <v>2</v>
      </c>
      <c r="O2758" s="573" t="s">
        <v>3846</v>
      </c>
      <c r="P2758" s="571">
        <v>12700</v>
      </c>
      <c r="Q2758" s="573" t="s">
        <v>4235</v>
      </c>
      <c r="R2758" s="573">
        <v>8</v>
      </c>
      <c r="S2758" s="582" t="s">
        <v>4796</v>
      </c>
      <c r="T2758" s="573" t="s">
        <v>4635</v>
      </c>
      <c r="U2758" s="573">
        <v>164</v>
      </c>
      <c r="V2758" s="573">
        <v>34</v>
      </c>
      <c r="W2758" s="616">
        <v>14000</v>
      </c>
      <c r="X2758" s="617" t="s">
        <v>157</v>
      </c>
      <c r="Y2758" s="617" t="s">
        <v>450</v>
      </c>
      <c r="Z2758" s="617" t="s">
        <v>178</v>
      </c>
      <c r="AA2758" s="618">
        <v>44175</v>
      </c>
      <c r="AB2758" s="618" t="s">
        <v>164</v>
      </c>
      <c r="AC2758" s="618">
        <v>33600</v>
      </c>
      <c r="AD2758" s="619">
        <v>0.01</v>
      </c>
      <c r="AE2758" s="617" t="s">
        <v>4857</v>
      </c>
    </row>
    <row r="2759" spans="1:31" s="572" customFormat="1">
      <c r="A2759" s="570" t="s">
        <v>4862</v>
      </c>
      <c r="B2759" s="569" t="s">
        <v>278</v>
      </c>
      <c r="C2759" s="580">
        <v>15</v>
      </c>
      <c r="D2759" s="569" t="s">
        <v>3374</v>
      </c>
      <c r="E2759" s="569" t="s">
        <v>187</v>
      </c>
      <c r="F2759" s="569" t="s">
        <v>271</v>
      </c>
      <c r="G2759" s="569">
        <v>2019</v>
      </c>
      <c r="H2759" s="569" t="s">
        <v>4503</v>
      </c>
      <c r="I2759" s="569" t="s">
        <v>4858</v>
      </c>
      <c r="J2759" s="569" t="s">
        <v>3377</v>
      </c>
      <c r="K2759" s="569">
        <v>6</v>
      </c>
      <c r="L2759" s="569">
        <v>0</v>
      </c>
      <c r="M2759" s="569" t="s">
        <v>157</v>
      </c>
      <c r="N2759" s="569">
        <v>2</v>
      </c>
      <c r="O2759" s="569" t="s">
        <v>3846</v>
      </c>
      <c r="P2759" s="568">
        <v>12700</v>
      </c>
      <c r="Q2759" s="569" t="s">
        <v>4231</v>
      </c>
      <c r="R2759" s="569">
        <v>8</v>
      </c>
      <c r="S2759" s="569" t="s">
        <v>4796</v>
      </c>
      <c r="T2759" s="569" t="s">
        <v>4635</v>
      </c>
      <c r="U2759" s="569">
        <v>164</v>
      </c>
      <c r="V2759" s="569">
        <v>34</v>
      </c>
      <c r="W2759" s="620">
        <v>14000</v>
      </c>
      <c r="X2759" s="621" t="s">
        <v>157</v>
      </c>
      <c r="Y2759" s="621" t="s">
        <v>728</v>
      </c>
      <c r="Z2759" s="621" t="s">
        <v>1523</v>
      </c>
      <c r="AA2759" s="622">
        <v>53295</v>
      </c>
      <c r="AB2759" s="622" t="s">
        <v>164</v>
      </c>
      <c r="AC2759" s="622">
        <v>41900</v>
      </c>
      <c r="AD2759" s="623">
        <v>0.01</v>
      </c>
      <c r="AE2759" s="621" t="s">
        <v>4860</v>
      </c>
    </row>
    <row r="2760" spans="1:31" s="572" customFormat="1">
      <c r="A2760" s="570" t="s">
        <v>4863</v>
      </c>
      <c r="B2760" s="573" t="s">
        <v>287</v>
      </c>
      <c r="C2760" s="578">
        <v>26</v>
      </c>
      <c r="D2760" s="573" t="s">
        <v>3374</v>
      </c>
      <c r="E2760" s="573" t="s">
        <v>187</v>
      </c>
      <c r="F2760" s="573" t="s">
        <v>271</v>
      </c>
      <c r="G2760" s="573">
        <v>2019</v>
      </c>
      <c r="H2760" s="573" t="s">
        <v>4503</v>
      </c>
      <c r="I2760" s="573" t="s">
        <v>4858</v>
      </c>
      <c r="J2760" s="573" t="s">
        <v>3377</v>
      </c>
      <c r="K2760" s="573">
        <v>6</v>
      </c>
      <c r="L2760" s="573">
        <v>0</v>
      </c>
      <c r="M2760" s="573" t="s">
        <v>157</v>
      </c>
      <c r="N2760" s="573">
        <v>2</v>
      </c>
      <c r="O2760" s="573" t="s">
        <v>3846</v>
      </c>
      <c r="P2760" s="571">
        <v>12700</v>
      </c>
      <c r="Q2760" s="573" t="s">
        <v>4235</v>
      </c>
      <c r="R2760" s="573">
        <v>8</v>
      </c>
      <c r="S2760" s="582" t="s">
        <v>4796</v>
      </c>
      <c r="T2760" s="573" t="s">
        <v>4635</v>
      </c>
      <c r="U2760" s="573">
        <v>164</v>
      </c>
      <c r="V2760" s="573">
        <v>34</v>
      </c>
      <c r="W2760" s="616">
        <v>14000</v>
      </c>
      <c r="X2760" s="617" t="s">
        <v>157</v>
      </c>
      <c r="Y2760" s="617" t="s">
        <v>450</v>
      </c>
      <c r="Z2760" s="617" t="s">
        <v>178</v>
      </c>
      <c r="AA2760" s="618">
        <v>44175</v>
      </c>
      <c r="AB2760" s="618" t="s">
        <v>164</v>
      </c>
      <c r="AC2760" s="618">
        <v>33162</v>
      </c>
      <c r="AD2760" s="619">
        <v>0.05</v>
      </c>
      <c r="AE2760" s="617" t="s">
        <v>4857</v>
      </c>
    </row>
    <row r="2761" spans="1:31" s="572" customFormat="1">
      <c r="A2761" s="570" t="s">
        <v>4864</v>
      </c>
      <c r="B2761" s="569" t="s">
        <v>287</v>
      </c>
      <c r="C2761" s="580">
        <v>26</v>
      </c>
      <c r="D2761" s="569" t="s">
        <v>3374</v>
      </c>
      <c r="E2761" s="569" t="s">
        <v>187</v>
      </c>
      <c r="F2761" s="569" t="s">
        <v>271</v>
      </c>
      <c r="G2761" s="569">
        <v>2019</v>
      </c>
      <c r="H2761" s="569" t="s">
        <v>4503</v>
      </c>
      <c r="I2761" s="569" t="s">
        <v>4858</v>
      </c>
      <c r="J2761" s="569" t="s">
        <v>3377</v>
      </c>
      <c r="K2761" s="569">
        <v>6</v>
      </c>
      <c r="L2761" s="569">
        <v>0</v>
      </c>
      <c r="M2761" s="569" t="s">
        <v>157</v>
      </c>
      <c r="N2761" s="569">
        <v>2</v>
      </c>
      <c r="O2761" s="569" t="s">
        <v>3846</v>
      </c>
      <c r="P2761" s="568">
        <v>12700</v>
      </c>
      <c r="Q2761" s="569" t="s">
        <v>4231</v>
      </c>
      <c r="R2761" s="569">
        <v>8</v>
      </c>
      <c r="S2761" s="569" t="s">
        <v>4796</v>
      </c>
      <c r="T2761" s="569" t="s">
        <v>4635</v>
      </c>
      <c r="U2761" s="569">
        <v>164</v>
      </c>
      <c r="V2761" s="569">
        <v>34</v>
      </c>
      <c r="W2761" s="620">
        <v>14000</v>
      </c>
      <c r="X2761" s="621" t="s">
        <v>157</v>
      </c>
      <c r="Y2761" s="621" t="s">
        <v>728</v>
      </c>
      <c r="Z2761" s="621" t="s">
        <v>1523</v>
      </c>
      <c r="AA2761" s="622">
        <v>53295</v>
      </c>
      <c r="AB2761" s="622" t="s">
        <v>164</v>
      </c>
      <c r="AC2761" s="622">
        <v>45345</v>
      </c>
      <c r="AD2761" s="623">
        <v>0.05</v>
      </c>
      <c r="AE2761" s="621" t="s">
        <v>4860</v>
      </c>
    </row>
    <row r="2762" spans="1:31" s="572" customFormat="1">
      <c r="A2762" s="570" t="s">
        <v>4865</v>
      </c>
      <c r="B2762" s="573" t="s">
        <v>280</v>
      </c>
      <c r="C2762" s="578">
        <v>27</v>
      </c>
      <c r="D2762" s="573" t="s">
        <v>3374</v>
      </c>
      <c r="E2762" s="573" t="s">
        <v>187</v>
      </c>
      <c r="F2762" s="573" t="s">
        <v>271</v>
      </c>
      <c r="G2762" s="573">
        <v>2019</v>
      </c>
      <c r="H2762" s="573" t="s">
        <v>4503</v>
      </c>
      <c r="I2762" s="573" t="s">
        <v>4858</v>
      </c>
      <c r="J2762" s="573" t="s">
        <v>3377</v>
      </c>
      <c r="K2762" s="573">
        <v>6</v>
      </c>
      <c r="L2762" s="573">
        <v>0</v>
      </c>
      <c r="M2762" s="573" t="s">
        <v>157</v>
      </c>
      <c r="N2762" s="573">
        <v>2</v>
      </c>
      <c r="O2762" s="573" t="s">
        <v>3846</v>
      </c>
      <c r="P2762" s="571">
        <v>12700</v>
      </c>
      <c r="Q2762" s="573" t="s">
        <v>4235</v>
      </c>
      <c r="R2762" s="573">
        <v>8</v>
      </c>
      <c r="S2762" s="582" t="s">
        <v>4796</v>
      </c>
      <c r="T2762" s="573" t="s">
        <v>4635</v>
      </c>
      <c r="U2762" s="573">
        <v>164</v>
      </c>
      <c r="V2762" s="573">
        <v>34</v>
      </c>
      <c r="W2762" s="616">
        <v>14000</v>
      </c>
      <c r="X2762" s="617" t="s">
        <v>157</v>
      </c>
      <c r="Y2762" s="617" t="s">
        <v>450</v>
      </c>
      <c r="Z2762" s="617" t="s">
        <v>178</v>
      </c>
      <c r="AA2762" s="618">
        <v>44175</v>
      </c>
      <c r="AB2762" s="618" t="s">
        <v>164</v>
      </c>
      <c r="AC2762" s="618">
        <v>33446.021052631579</v>
      </c>
      <c r="AD2762" s="619">
        <v>0.03</v>
      </c>
      <c r="AE2762" s="617" t="s">
        <v>4857</v>
      </c>
    </row>
    <row r="2763" spans="1:31" s="572" customFormat="1">
      <c r="A2763" s="570" t="s">
        <v>4866</v>
      </c>
      <c r="B2763" s="569" t="s">
        <v>280</v>
      </c>
      <c r="C2763" s="580">
        <v>27</v>
      </c>
      <c r="D2763" s="569" t="s">
        <v>3374</v>
      </c>
      <c r="E2763" s="569" t="s">
        <v>187</v>
      </c>
      <c r="F2763" s="569" t="s">
        <v>271</v>
      </c>
      <c r="G2763" s="569">
        <v>2019</v>
      </c>
      <c r="H2763" s="569" t="s">
        <v>4503</v>
      </c>
      <c r="I2763" s="569" t="s">
        <v>4858</v>
      </c>
      <c r="J2763" s="569" t="s">
        <v>3377</v>
      </c>
      <c r="K2763" s="569">
        <v>6</v>
      </c>
      <c r="L2763" s="569">
        <v>0</v>
      </c>
      <c r="M2763" s="569" t="s">
        <v>157</v>
      </c>
      <c r="N2763" s="569">
        <v>2</v>
      </c>
      <c r="O2763" s="569" t="s">
        <v>3846</v>
      </c>
      <c r="P2763" s="568">
        <v>12700</v>
      </c>
      <c r="Q2763" s="569" t="s">
        <v>4231</v>
      </c>
      <c r="R2763" s="569">
        <v>8</v>
      </c>
      <c r="S2763" s="569" t="s">
        <v>4796</v>
      </c>
      <c r="T2763" s="569" t="s">
        <v>4635</v>
      </c>
      <c r="U2763" s="569">
        <v>164</v>
      </c>
      <c r="V2763" s="569">
        <v>34</v>
      </c>
      <c r="W2763" s="620">
        <v>14000</v>
      </c>
      <c r="X2763" s="621" t="s">
        <v>157</v>
      </c>
      <c r="Y2763" s="621" t="s">
        <v>728</v>
      </c>
      <c r="Z2763" s="621" t="s">
        <v>1523</v>
      </c>
      <c r="AA2763" s="622">
        <v>53295</v>
      </c>
      <c r="AB2763" s="622" t="s">
        <v>164</v>
      </c>
      <c r="AC2763" s="622">
        <v>41638.210526315794</v>
      </c>
      <c r="AD2763" s="623">
        <v>0.03</v>
      </c>
      <c r="AE2763" s="621" t="s">
        <v>4860</v>
      </c>
    </row>
    <row r="2764" spans="1:31" s="572" customFormat="1">
      <c r="A2764" s="570" t="s">
        <v>4867</v>
      </c>
      <c r="B2764" s="573" t="s">
        <v>269</v>
      </c>
      <c r="C2764" s="578" t="s">
        <v>270</v>
      </c>
      <c r="D2764" s="573" t="s">
        <v>3374</v>
      </c>
      <c r="E2764" s="573" t="s">
        <v>187</v>
      </c>
      <c r="F2764" s="573" t="s">
        <v>271</v>
      </c>
      <c r="G2764" s="573">
        <v>2019</v>
      </c>
      <c r="H2764" s="573" t="s">
        <v>4503</v>
      </c>
      <c r="I2764" s="573" t="s">
        <v>4858</v>
      </c>
      <c r="J2764" s="573" t="s">
        <v>752</v>
      </c>
      <c r="K2764" s="573">
        <v>6</v>
      </c>
      <c r="L2764" s="573">
        <v>0</v>
      </c>
      <c r="M2764" s="573" t="s">
        <v>157</v>
      </c>
      <c r="N2764" s="573">
        <v>2</v>
      </c>
      <c r="O2764" s="573" t="s">
        <v>3846</v>
      </c>
      <c r="P2764" s="571">
        <v>12300</v>
      </c>
      <c r="Q2764" s="573" t="s">
        <v>4235</v>
      </c>
      <c r="R2764" s="573">
        <v>8</v>
      </c>
      <c r="S2764" s="582" t="s">
        <v>4807</v>
      </c>
      <c r="T2764" s="573" t="s">
        <v>4635</v>
      </c>
      <c r="U2764" s="573">
        <v>164</v>
      </c>
      <c r="V2764" s="573">
        <v>34</v>
      </c>
      <c r="W2764" s="616">
        <v>14000</v>
      </c>
      <c r="X2764" s="617" t="s">
        <v>157</v>
      </c>
      <c r="Y2764" s="617" t="s">
        <v>450</v>
      </c>
      <c r="Z2764" s="617" t="s">
        <v>178</v>
      </c>
      <c r="AA2764" s="618">
        <v>46975</v>
      </c>
      <c r="AB2764" s="618" t="s">
        <v>164</v>
      </c>
      <c r="AC2764" s="618">
        <v>36874.442105263159</v>
      </c>
      <c r="AD2764" s="619">
        <v>0.03</v>
      </c>
      <c r="AE2764" s="617" t="s">
        <v>4868</v>
      </c>
    </row>
    <row r="2765" spans="1:31" s="572" customFormat="1">
      <c r="A2765" s="570" t="s">
        <v>4869</v>
      </c>
      <c r="B2765" s="569" t="s">
        <v>269</v>
      </c>
      <c r="C2765" s="580" t="s">
        <v>270</v>
      </c>
      <c r="D2765" s="569" t="s">
        <v>3374</v>
      </c>
      <c r="E2765" s="569" t="s">
        <v>187</v>
      </c>
      <c r="F2765" s="569" t="s">
        <v>271</v>
      </c>
      <c r="G2765" s="569">
        <v>2019</v>
      </c>
      <c r="H2765" s="569" t="s">
        <v>4503</v>
      </c>
      <c r="I2765" s="569" t="s">
        <v>4858</v>
      </c>
      <c r="J2765" s="569" t="s">
        <v>752</v>
      </c>
      <c r="K2765" s="569">
        <v>6</v>
      </c>
      <c r="L2765" s="569">
        <v>0</v>
      </c>
      <c r="M2765" s="569" t="s">
        <v>157</v>
      </c>
      <c r="N2765" s="569">
        <v>2</v>
      </c>
      <c r="O2765" s="569" t="s">
        <v>3846</v>
      </c>
      <c r="P2765" s="568">
        <v>12300</v>
      </c>
      <c r="Q2765" s="569" t="s">
        <v>4231</v>
      </c>
      <c r="R2765" s="569">
        <v>8</v>
      </c>
      <c r="S2765" s="569" t="s">
        <v>4807</v>
      </c>
      <c r="T2765" s="569" t="s">
        <v>4635</v>
      </c>
      <c r="U2765" s="569">
        <v>164</v>
      </c>
      <c r="V2765" s="569">
        <v>34</v>
      </c>
      <c r="W2765" s="620">
        <v>14000</v>
      </c>
      <c r="X2765" s="621" t="s">
        <v>157</v>
      </c>
      <c r="Y2765" s="621" t="s">
        <v>728</v>
      </c>
      <c r="Z2765" s="621" t="s">
        <v>1523</v>
      </c>
      <c r="AA2765" s="622">
        <v>56095</v>
      </c>
      <c r="AB2765" s="622" t="s">
        <v>164</v>
      </c>
      <c r="AC2765" s="622">
        <v>45066.631578947374</v>
      </c>
      <c r="AD2765" s="623">
        <v>0.03</v>
      </c>
      <c r="AE2765" s="621" t="s">
        <v>4870</v>
      </c>
    </row>
    <row r="2766" spans="1:31" s="572" customFormat="1">
      <c r="A2766" s="570" t="s">
        <v>4871</v>
      </c>
      <c r="B2766" s="573" t="s">
        <v>278</v>
      </c>
      <c r="C2766" s="578">
        <v>15</v>
      </c>
      <c r="D2766" s="573" t="s">
        <v>3374</v>
      </c>
      <c r="E2766" s="573" t="s">
        <v>187</v>
      </c>
      <c r="F2766" s="573" t="s">
        <v>271</v>
      </c>
      <c r="G2766" s="573">
        <v>2019</v>
      </c>
      <c r="H2766" s="573" t="s">
        <v>4503</v>
      </c>
      <c r="I2766" s="573" t="s">
        <v>4858</v>
      </c>
      <c r="J2766" s="573" t="s">
        <v>752</v>
      </c>
      <c r="K2766" s="573">
        <v>6</v>
      </c>
      <c r="L2766" s="573">
        <v>0</v>
      </c>
      <c r="M2766" s="573" t="s">
        <v>157</v>
      </c>
      <c r="N2766" s="573">
        <v>2</v>
      </c>
      <c r="O2766" s="573" t="s">
        <v>3846</v>
      </c>
      <c r="P2766" s="571">
        <v>12300</v>
      </c>
      <c r="Q2766" s="573" t="s">
        <v>4235</v>
      </c>
      <c r="R2766" s="573">
        <v>8</v>
      </c>
      <c r="S2766" s="582" t="s">
        <v>4807</v>
      </c>
      <c r="T2766" s="573" t="s">
        <v>4635</v>
      </c>
      <c r="U2766" s="573">
        <v>164</v>
      </c>
      <c r="V2766" s="573">
        <v>34</v>
      </c>
      <c r="W2766" s="616">
        <v>14000</v>
      </c>
      <c r="X2766" s="617">
        <v>12</v>
      </c>
      <c r="Y2766" s="617" t="s">
        <v>450</v>
      </c>
      <c r="Z2766" s="617" t="s">
        <v>178</v>
      </c>
      <c r="AA2766" s="618">
        <v>46975</v>
      </c>
      <c r="AB2766" s="618" t="s">
        <v>164</v>
      </c>
      <c r="AC2766" s="618">
        <v>37100</v>
      </c>
      <c r="AD2766" s="619">
        <v>0.01</v>
      </c>
      <c r="AE2766" s="617" t="s">
        <v>4868</v>
      </c>
    </row>
    <row r="2767" spans="1:31" s="572" customFormat="1">
      <c r="A2767" s="570" t="s">
        <v>4872</v>
      </c>
      <c r="B2767" s="569" t="s">
        <v>278</v>
      </c>
      <c r="C2767" s="580">
        <v>15</v>
      </c>
      <c r="D2767" s="569" t="s">
        <v>3374</v>
      </c>
      <c r="E2767" s="569" t="s">
        <v>187</v>
      </c>
      <c r="F2767" s="569" t="s">
        <v>271</v>
      </c>
      <c r="G2767" s="569">
        <v>2019</v>
      </c>
      <c r="H2767" s="569" t="s">
        <v>4503</v>
      </c>
      <c r="I2767" s="569" t="s">
        <v>4858</v>
      </c>
      <c r="J2767" s="569" t="s">
        <v>752</v>
      </c>
      <c r="K2767" s="569">
        <v>6</v>
      </c>
      <c r="L2767" s="569">
        <v>0</v>
      </c>
      <c r="M2767" s="569" t="s">
        <v>157</v>
      </c>
      <c r="N2767" s="569">
        <v>2</v>
      </c>
      <c r="O2767" s="569" t="s">
        <v>3846</v>
      </c>
      <c r="P2767" s="568">
        <v>12300</v>
      </c>
      <c r="Q2767" s="569" t="s">
        <v>4231</v>
      </c>
      <c r="R2767" s="569">
        <v>8</v>
      </c>
      <c r="S2767" s="569" t="s">
        <v>4807</v>
      </c>
      <c r="T2767" s="569" t="s">
        <v>4635</v>
      </c>
      <c r="U2767" s="569">
        <v>164</v>
      </c>
      <c r="V2767" s="569">
        <v>34</v>
      </c>
      <c r="W2767" s="620">
        <v>14000</v>
      </c>
      <c r="X2767" s="621" t="s">
        <v>157</v>
      </c>
      <c r="Y2767" s="621" t="s">
        <v>728</v>
      </c>
      <c r="Z2767" s="621" t="s">
        <v>1523</v>
      </c>
      <c r="AA2767" s="622">
        <v>56095</v>
      </c>
      <c r="AB2767" s="622" t="s">
        <v>164</v>
      </c>
      <c r="AC2767" s="622">
        <v>45400</v>
      </c>
      <c r="AD2767" s="623">
        <v>0.01</v>
      </c>
      <c r="AE2767" s="621" t="s">
        <v>4870</v>
      </c>
    </row>
    <row r="2768" spans="1:31" s="572" customFormat="1">
      <c r="A2768" s="570" t="s">
        <v>4873</v>
      </c>
      <c r="B2768" s="573" t="s">
        <v>287</v>
      </c>
      <c r="C2768" s="578">
        <v>26</v>
      </c>
      <c r="D2768" s="573" t="s">
        <v>3374</v>
      </c>
      <c r="E2768" s="573" t="s">
        <v>187</v>
      </c>
      <c r="F2768" s="573" t="s">
        <v>271</v>
      </c>
      <c r="G2768" s="573">
        <v>2019</v>
      </c>
      <c r="H2768" s="573" t="s">
        <v>4503</v>
      </c>
      <c r="I2768" s="573" t="s">
        <v>4858</v>
      </c>
      <c r="J2768" s="573" t="s">
        <v>752</v>
      </c>
      <c r="K2768" s="573">
        <v>6</v>
      </c>
      <c r="L2768" s="573">
        <v>0</v>
      </c>
      <c r="M2768" s="573" t="s">
        <v>157</v>
      </c>
      <c r="N2768" s="573">
        <v>2</v>
      </c>
      <c r="O2768" s="573" t="s">
        <v>3846</v>
      </c>
      <c r="P2768" s="571">
        <v>12300</v>
      </c>
      <c r="Q2768" s="573" t="s">
        <v>4235</v>
      </c>
      <c r="R2768" s="573">
        <v>8</v>
      </c>
      <c r="S2768" s="582" t="s">
        <v>4807</v>
      </c>
      <c r="T2768" s="573" t="s">
        <v>4635</v>
      </c>
      <c r="U2768" s="573">
        <v>164</v>
      </c>
      <c r="V2768" s="573">
        <v>34</v>
      </c>
      <c r="W2768" s="616">
        <v>14000</v>
      </c>
      <c r="X2768" s="617">
        <v>12</v>
      </c>
      <c r="Y2768" s="617" t="s">
        <v>450</v>
      </c>
      <c r="Z2768" s="617" t="s">
        <v>178</v>
      </c>
      <c r="AA2768" s="618">
        <v>46525</v>
      </c>
      <c r="AB2768" s="618" t="s">
        <v>164</v>
      </c>
      <c r="AC2768" s="618">
        <v>37151</v>
      </c>
      <c r="AD2768" s="619">
        <v>0.05</v>
      </c>
      <c r="AE2768" s="617" t="s">
        <v>4868</v>
      </c>
    </row>
    <row r="2769" spans="1:31" s="572" customFormat="1">
      <c r="A2769" s="570" t="s">
        <v>4874</v>
      </c>
      <c r="B2769" s="569" t="s">
        <v>287</v>
      </c>
      <c r="C2769" s="580">
        <v>26</v>
      </c>
      <c r="D2769" s="569" t="s">
        <v>3374</v>
      </c>
      <c r="E2769" s="569" t="s">
        <v>187</v>
      </c>
      <c r="F2769" s="569" t="s">
        <v>271</v>
      </c>
      <c r="G2769" s="569">
        <v>2019</v>
      </c>
      <c r="H2769" s="569" t="s">
        <v>4503</v>
      </c>
      <c r="I2769" s="569" t="s">
        <v>4858</v>
      </c>
      <c r="J2769" s="569" t="s">
        <v>752</v>
      </c>
      <c r="K2769" s="569">
        <v>6</v>
      </c>
      <c r="L2769" s="569">
        <v>0</v>
      </c>
      <c r="M2769" s="569" t="s">
        <v>157</v>
      </c>
      <c r="N2769" s="569">
        <v>2</v>
      </c>
      <c r="O2769" s="569" t="s">
        <v>3846</v>
      </c>
      <c r="P2769" s="568">
        <v>12300</v>
      </c>
      <c r="Q2769" s="569" t="s">
        <v>4231</v>
      </c>
      <c r="R2769" s="569">
        <v>8</v>
      </c>
      <c r="S2769" s="569" t="s">
        <v>4807</v>
      </c>
      <c r="T2769" s="569" t="s">
        <v>4635</v>
      </c>
      <c r="U2769" s="569">
        <v>164</v>
      </c>
      <c r="V2769" s="569">
        <v>34</v>
      </c>
      <c r="W2769" s="620">
        <v>14000</v>
      </c>
      <c r="X2769" s="621" t="s">
        <v>157</v>
      </c>
      <c r="Y2769" s="621" t="s">
        <v>728</v>
      </c>
      <c r="Z2769" s="621" t="s">
        <v>1523</v>
      </c>
      <c r="AA2769" s="622">
        <v>56095</v>
      </c>
      <c r="AB2769" s="622" t="s">
        <v>164</v>
      </c>
      <c r="AC2769" s="622">
        <v>45345</v>
      </c>
      <c r="AD2769" s="623">
        <v>0.05</v>
      </c>
      <c r="AE2769" s="621" t="s">
        <v>4870</v>
      </c>
    </row>
    <row r="2770" spans="1:31" s="572" customFormat="1">
      <c r="A2770" s="570" t="s">
        <v>4875</v>
      </c>
      <c r="B2770" s="573" t="s">
        <v>280</v>
      </c>
      <c r="C2770" s="578">
        <v>27</v>
      </c>
      <c r="D2770" s="573" t="s">
        <v>3374</v>
      </c>
      <c r="E2770" s="573" t="s">
        <v>187</v>
      </c>
      <c r="F2770" s="573" t="s">
        <v>271</v>
      </c>
      <c r="G2770" s="573">
        <v>2019</v>
      </c>
      <c r="H2770" s="573" t="s">
        <v>4503</v>
      </c>
      <c r="I2770" s="573" t="s">
        <v>4858</v>
      </c>
      <c r="J2770" s="573" t="s">
        <v>752</v>
      </c>
      <c r="K2770" s="573">
        <v>6</v>
      </c>
      <c r="L2770" s="573">
        <v>0</v>
      </c>
      <c r="M2770" s="573" t="s">
        <v>157</v>
      </c>
      <c r="N2770" s="573">
        <v>2</v>
      </c>
      <c r="O2770" s="573" t="s">
        <v>3846</v>
      </c>
      <c r="P2770" s="571">
        <v>12300</v>
      </c>
      <c r="Q2770" s="573" t="s">
        <v>4235</v>
      </c>
      <c r="R2770" s="573">
        <v>8</v>
      </c>
      <c r="S2770" s="582" t="s">
        <v>4807</v>
      </c>
      <c r="T2770" s="573" t="s">
        <v>4635</v>
      </c>
      <c r="U2770" s="573">
        <v>164</v>
      </c>
      <c r="V2770" s="573">
        <v>34</v>
      </c>
      <c r="W2770" s="616">
        <v>14000</v>
      </c>
      <c r="X2770" s="617" t="s">
        <v>157</v>
      </c>
      <c r="Y2770" s="617" t="s">
        <v>450</v>
      </c>
      <c r="Z2770" s="617" t="s">
        <v>178</v>
      </c>
      <c r="AA2770" s="618">
        <v>46975</v>
      </c>
      <c r="AB2770" s="618" t="s">
        <v>164</v>
      </c>
      <c r="AC2770" s="618">
        <v>36874.442105263159</v>
      </c>
      <c r="AD2770" s="619">
        <v>0.03</v>
      </c>
      <c r="AE2770" s="617" t="s">
        <v>4868</v>
      </c>
    </row>
    <row r="2771" spans="1:31" s="572" customFormat="1">
      <c r="A2771" s="570" t="s">
        <v>4876</v>
      </c>
      <c r="B2771" s="569" t="s">
        <v>280</v>
      </c>
      <c r="C2771" s="580">
        <v>27</v>
      </c>
      <c r="D2771" s="569" t="s">
        <v>3374</v>
      </c>
      <c r="E2771" s="569" t="s">
        <v>187</v>
      </c>
      <c r="F2771" s="569" t="s">
        <v>271</v>
      </c>
      <c r="G2771" s="569">
        <v>2019</v>
      </c>
      <c r="H2771" s="569" t="s">
        <v>4503</v>
      </c>
      <c r="I2771" s="569" t="s">
        <v>4858</v>
      </c>
      <c r="J2771" s="569" t="s">
        <v>752</v>
      </c>
      <c r="K2771" s="569">
        <v>6</v>
      </c>
      <c r="L2771" s="569">
        <v>0</v>
      </c>
      <c r="M2771" s="569" t="s">
        <v>157</v>
      </c>
      <c r="N2771" s="569">
        <v>2</v>
      </c>
      <c r="O2771" s="569" t="s">
        <v>3846</v>
      </c>
      <c r="P2771" s="568">
        <v>12300</v>
      </c>
      <c r="Q2771" s="569" t="s">
        <v>4231</v>
      </c>
      <c r="R2771" s="569">
        <v>8</v>
      </c>
      <c r="S2771" s="569" t="s">
        <v>4807</v>
      </c>
      <c r="T2771" s="569" t="s">
        <v>4635</v>
      </c>
      <c r="U2771" s="569">
        <v>164</v>
      </c>
      <c r="V2771" s="569">
        <v>34</v>
      </c>
      <c r="W2771" s="620">
        <v>14000</v>
      </c>
      <c r="X2771" s="621" t="s">
        <v>157</v>
      </c>
      <c r="Y2771" s="621" t="s">
        <v>728</v>
      </c>
      <c r="Z2771" s="621" t="s">
        <v>1523</v>
      </c>
      <c r="AA2771" s="622">
        <v>56095</v>
      </c>
      <c r="AB2771" s="622" t="s">
        <v>164</v>
      </c>
      <c r="AC2771" s="622">
        <v>45066.631578947374</v>
      </c>
      <c r="AD2771" s="623">
        <v>0.03</v>
      </c>
      <c r="AE2771" s="621" t="s">
        <v>4870</v>
      </c>
    </row>
    <row r="2772" spans="1:31" s="572" customFormat="1">
      <c r="A2772" s="570" t="s">
        <v>4877</v>
      </c>
      <c r="B2772" s="573" t="s">
        <v>269</v>
      </c>
      <c r="C2772" s="578" t="s">
        <v>270</v>
      </c>
      <c r="D2772" s="573" t="s">
        <v>3374</v>
      </c>
      <c r="E2772" s="573" t="s">
        <v>1684</v>
      </c>
      <c r="F2772" s="573" t="s">
        <v>271</v>
      </c>
      <c r="G2772" s="573">
        <v>2019</v>
      </c>
      <c r="H2772" s="573" t="s">
        <v>4879</v>
      </c>
      <c r="I2772" s="573" t="s">
        <v>4556</v>
      </c>
      <c r="J2772" s="573" t="s">
        <v>3377</v>
      </c>
      <c r="K2772" s="573">
        <v>6</v>
      </c>
      <c r="L2772" s="573">
        <v>0</v>
      </c>
      <c r="M2772" s="573" t="s">
        <v>157</v>
      </c>
      <c r="N2772" s="573">
        <v>2</v>
      </c>
      <c r="O2772" s="573" t="s">
        <v>157</v>
      </c>
      <c r="P2772" s="571">
        <v>12800</v>
      </c>
      <c r="Q2772" s="573" t="s">
        <v>4235</v>
      </c>
      <c r="R2772" s="573">
        <v>8</v>
      </c>
      <c r="S2772" s="582" t="s">
        <v>4880</v>
      </c>
      <c r="T2772" s="573" t="s">
        <v>4881</v>
      </c>
      <c r="U2772" s="573">
        <v>179</v>
      </c>
      <c r="V2772" s="573">
        <v>40</v>
      </c>
      <c r="W2772" s="616">
        <v>14000</v>
      </c>
      <c r="X2772" s="617" t="s">
        <v>157</v>
      </c>
      <c r="Y2772" s="617" t="s">
        <v>450</v>
      </c>
      <c r="Z2772" s="617" t="s">
        <v>178</v>
      </c>
      <c r="AA2772" s="618">
        <v>39550</v>
      </c>
      <c r="AB2772" s="618" t="s">
        <v>164</v>
      </c>
      <c r="AC2772" s="618">
        <v>28963.915789473685</v>
      </c>
      <c r="AD2772" s="619">
        <v>0.03</v>
      </c>
      <c r="AE2772" s="617" t="s">
        <v>4878</v>
      </c>
    </row>
    <row r="2773" spans="1:31" s="572" customFormat="1">
      <c r="A2773" s="570" t="s">
        <v>4882</v>
      </c>
      <c r="B2773" s="569" t="s">
        <v>269</v>
      </c>
      <c r="C2773" s="580" t="s">
        <v>270</v>
      </c>
      <c r="D2773" s="569" t="s">
        <v>3374</v>
      </c>
      <c r="E2773" s="569" t="s">
        <v>1684</v>
      </c>
      <c r="F2773" s="569" t="s">
        <v>271</v>
      </c>
      <c r="G2773" s="569">
        <v>2019</v>
      </c>
      <c r="H2773" s="569" t="s">
        <v>4879</v>
      </c>
      <c r="I2773" s="569" t="s">
        <v>4556</v>
      </c>
      <c r="J2773" s="569" t="s">
        <v>3377</v>
      </c>
      <c r="K2773" s="569">
        <v>6</v>
      </c>
      <c r="L2773" s="569">
        <v>0</v>
      </c>
      <c r="M2773" s="569" t="s">
        <v>157</v>
      </c>
      <c r="N2773" s="569">
        <v>2</v>
      </c>
      <c r="O2773" s="569" t="s">
        <v>157</v>
      </c>
      <c r="P2773" s="568">
        <v>12800</v>
      </c>
      <c r="Q2773" s="569" t="s">
        <v>4231</v>
      </c>
      <c r="R2773" s="569">
        <v>8</v>
      </c>
      <c r="S2773" s="569" t="s">
        <v>4880</v>
      </c>
      <c r="T2773" s="569" t="s">
        <v>4881</v>
      </c>
      <c r="U2773" s="569">
        <v>179</v>
      </c>
      <c r="V2773" s="569">
        <v>40</v>
      </c>
      <c r="W2773" s="620">
        <v>14000</v>
      </c>
      <c r="X2773" s="621" t="s">
        <v>157</v>
      </c>
      <c r="Y2773" s="621" t="s">
        <v>728</v>
      </c>
      <c r="Z2773" s="621" t="s">
        <v>1523</v>
      </c>
      <c r="AA2773" s="622">
        <v>48670</v>
      </c>
      <c r="AB2773" s="622" t="s">
        <v>164</v>
      </c>
      <c r="AC2773" s="622">
        <v>37156.1052631579</v>
      </c>
      <c r="AD2773" s="623">
        <v>0.03</v>
      </c>
      <c r="AE2773" s="621" t="s">
        <v>4883</v>
      </c>
    </row>
    <row r="2774" spans="1:31" s="572" customFormat="1">
      <c r="A2774" s="570" t="s">
        <v>4884</v>
      </c>
      <c r="B2774" s="573" t="s">
        <v>278</v>
      </c>
      <c r="C2774" s="578">
        <v>15</v>
      </c>
      <c r="D2774" s="573" t="s">
        <v>3374</v>
      </c>
      <c r="E2774" s="573" t="s">
        <v>1684</v>
      </c>
      <c r="F2774" s="573" t="s">
        <v>271</v>
      </c>
      <c r="G2774" s="573">
        <v>2019</v>
      </c>
      <c r="H2774" s="573" t="s">
        <v>4879</v>
      </c>
      <c r="I2774" s="573" t="s">
        <v>4556</v>
      </c>
      <c r="J2774" s="573" t="s">
        <v>3377</v>
      </c>
      <c r="K2774" s="573">
        <v>6</v>
      </c>
      <c r="L2774" s="573">
        <v>0</v>
      </c>
      <c r="M2774" s="573" t="s">
        <v>157</v>
      </c>
      <c r="N2774" s="573">
        <v>2</v>
      </c>
      <c r="O2774" s="573" t="s">
        <v>157</v>
      </c>
      <c r="P2774" s="571">
        <v>12800</v>
      </c>
      <c r="Q2774" s="573" t="s">
        <v>4235</v>
      </c>
      <c r="R2774" s="573">
        <v>8</v>
      </c>
      <c r="S2774" s="582" t="s">
        <v>4880</v>
      </c>
      <c r="T2774" s="573" t="s">
        <v>4881</v>
      </c>
      <c r="U2774" s="573">
        <v>179</v>
      </c>
      <c r="V2774" s="573">
        <v>40</v>
      </c>
      <c r="W2774" s="616">
        <v>14000</v>
      </c>
      <c r="X2774" s="617" t="s">
        <v>157</v>
      </c>
      <c r="Y2774" s="617" t="s">
        <v>450</v>
      </c>
      <c r="Z2774" s="617" t="s">
        <v>178</v>
      </c>
      <c r="AA2774" s="618">
        <v>39550</v>
      </c>
      <c r="AB2774" s="618" t="s">
        <v>164</v>
      </c>
      <c r="AC2774" s="618">
        <v>29100</v>
      </c>
      <c r="AD2774" s="619">
        <v>0.01</v>
      </c>
      <c r="AE2774" s="617" t="s">
        <v>4878</v>
      </c>
    </row>
    <row r="2775" spans="1:31" s="572" customFormat="1">
      <c r="A2775" s="570" t="s">
        <v>4885</v>
      </c>
      <c r="B2775" s="569" t="s">
        <v>278</v>
      </c>
      <c r="C2775" s="580">
        <v>15</v>
      </c>
      <c r="D2775" s="569" t="s">
        <v>3374</v>
      </c>
      <c r="E2775" s="569" t="s">
        <v>1684</v>
      </c>
      <c r="F2775" s="569" t="s">
        <v>271</v>
      </c>
      <c r="G2775" s="569">
        <v>2019</v>
      </c>
      <c r="H2775" s="569" t="s">
        <v>4879</v>
      </c>
      <c r="I2775" s="569" t="s">
        <v>4556</v>
      </c>
      <c r="J2775" s="569" t="s">
        <v>3377</v>
      </c>
      <c r="K2775" s="569">
        <v>6</v>
      </c>
      <c r="L2775" s="569">
        <v>0</v>
      </c>
      <c r="M2775" s="569" t="s">
        <v>157</v>
      </c>
      <c r="N2775" s="569">
        <v>2</v>
      </c>
      <c r="O2775" s="569" t="s">
        <v>157</v>
      </c>
      <c r="P2775" s="568">
        <v>12800</v>
      </c>
      <c r="Q2775" s="569" t="s">
        <v>4231</v>
      </c>
      <c r="R2775" s="569">
        <v>8</v>
      </c>
      <c r="S2775" s="569" t="s">
        <v>4880</v>
      </c>
      <c r="T2775" s="569" t="s">
        <v>4881</v>
      </c>
      <c r="U2775" s="569">
        <v>179</v>
      </c>
      <c r="V2775" s="569">
        <v>40</v>
      </c>
      <c r="W2775" s="620">
        <v>14000</v>
      </c>
      <c r="X2775" s="621" t="s">
        <v>157</v>
      </c>
      <c r="Y2775" s="621" t="s">
        <v>728</v>
      </c>
      <c r="Z2775" s="621" t="s">
        <v>1523</v>
      </c>
      <c r="AA2775" s="622">
        <v>48670</v>
      </c>
      <c r="AB2775" s="622" t="s">
        <v>164</v>
      </c>
      <c r="AC2775" s="622">
        <v>37350</v>
      </c>
      <c r="AD2775" s="623">
        <v>0.01</v>
      </c>
      <c r="AE2775" s="621" t="s">
        <v>4883</v>
      </c>
    </row>
    <row r="2776" spans="1:31" s="572" customFormat="1">
      <c r="A2776" s="570" t="s">
        <v>4886</v>
      </c>
      <c r="B2776" s="573" t="s">
        <v>287</v>
      </c>
      <c r="C2776" s="578">
        <v>26</v>
      </c>
      <c r="D2776" s="573" t="s">
        <v>3374</v>
      </c>
      <c r="E2776" s="573" t="s">
        <v>1684</v>
      </c>
      <c r="F2776" s="573" t="s">
        <v>271</v>
      </c>
      <c r="G2776" s="573">
        <v>2019</v>
      </c>
      <c r="H2776" s="573" t="s">
        <v>4879</v>
      </c>
      <c r="I2776" s="573" t="s">
        <v>4556</v>
      </c>
      <c r="J2776" s="573" t="s">
        <v>3377</v>
      </c>
      <c r="K2776" s="573">
        <v>6</v>
      </c>
      <c r="L2776" s="573">
        <v>0</v>
      </c>
      <c r="M2776" s="573" t="s">
        <v>157</v>
      </c>
      <c r="N2776" s="573">
        <v>2</v>
      </c>
      <c r="O2776" s="573" t="s">
        <v>157</v>
      </c>
      <c r="P2776" s="571">
        <v>12800</v>
      </c>
      <c r="Q2776" s="573" t="s">
        <v>4235</v>
      </c>
      <c r="R2776" s="573">
        <v>8</v>
      </c>
      <c r="S2776" s="582" t="s">
        <v>4880</v>
      </c>
      <c r="T2776" s="573" t="s">
        <v>4881</v>
      </c>
      <c r="U2776" s="573">
        <v>179</v>
      </c>
      <c r="V2776" s="573">
        <v>40</v>
      </c>
      <c r="W2776" s="616">
        <v>14000</v>
      </c>
      <c r="X2776" s="617" t="s">
        <v>157</v>
      </c>
      <c r="Y2776" s="617" t="s">
        <v>450</v>
      </c>
      <c r="Z2776" s="617" t="s">
        <v>178</v>
      </c>
      <c r="AA2776" s="618">
        <v>39550</v>
      </c>
      <c r="AB2776" s="618" t="s">
        <v>164</v>
      </c>
      <c r="AC2776" s="618">
        <v>29201</v>
      </c>
      <c r="AD2776" s="619">
        <v>0.05</v>
      </c>
      <c r="AE2776" s="617" t="s">
        <v>4878</v>
      </c>
    </row>
    <row r="2777" spans="1:31" s="572" customFormat="1">
      <c r="A2777" s="570" t="s">
        <v>4887</v>
      </c>
      <c r="B2777" s="569" t="s">
        <v>287</v>
      </c>
      <c r="C2777" s="580">
        <v>26</v>
      </c>
      <c r="D2777" s="569" t="s">
        <v>3374</v>
      </c>
      <c r="E2777" s="569" t="s">
        <v>1684</v>
      </c>
      <c r="F2777" s="569" t="s">
        <v>271</v>
      </c>
      <c r="G2777" s="569">
        <v>2019</v>
      </c>
      <c r="H2777" s="569" t="s">
        <v>4879</v>
      </c>
      <c r="I2777" s="569" t="s">
        <v>4556</v>
      </c>
      <c r="J2777" s="569" t="s">
        <v>3377</v>
      </c>
      <c r="K2777" s="569">
        <v>6</v>
      </c>
      <c r="L2777" s="569">
        <v>0</v>
      </c>
      <c r="M2777" s="569" t="s">
        <v>157</v>
      </c>
      <c r="N2777" s="569">
        <v>2</v>
      </c>
      <c r="O2777" s="569" t="s">
        <v>157</v>
      </c>
      <c r="P2777" s="568">
        <v>12800</v>
      </c>
      <c r="Q2777" s="569" t="s">
        <v>4231</v>
      </c>
      <c r="R2777" s="569">
        <v>8</v>
      </c>
      <c r="S2777" s="569" t="s">
        <v>4880</v>
      </c>
      <c r="T2777" s="569" t="s">
        <v>4881</v>
      </c>
      <c r="U2777" s="569">
        <v>179</v>
      </c>
      <c r="V2777" s="569">
        <v>40</v>
      </c>
      <c r="W2777" s="620">
        <v>14000</v>
      </c>
      <c r="X2777" s="621" t="s">
        <v>157</v>
      </c>
      <c r="Y2777" s="621" t="s">
        <v>728</v>
      </c>
      <c r="Z2777" s="621" t="s">
        <v>1523</v>
      </c>
      <c r="AA2777" s="622">
        <v>48670</v>
      </c>
      <c r="AB2777" s="622" t="s">
        <v>164</v>
      </c>
      <c r="AC2777" s="622">
        <v>37395</v>
      </c>
      <c r="AD2777" s="623">
        <v>0.05</v>
      </c>
      <c r="AE2777" s="621" t="s">
        <v>4883</v>
      </c>
    </row>
    <row r="2778" spans="1:31" s="572" customFormat="1">
      <c r="A2778" s="570" t="s">
        <v>4888</v>
      </c>
      <c r="B2778" s="573" t="s">
        <v>280</v>
      </c>
      <c r="C2778" s="578">
        <v>27</v>
      </c>
      <c r="D2778" s="573" t="s">
        <v>3374</v>
      </c>
      <c r="E2778" s="573" t="s">
        <v>1684</v>
      </c>
      <c r="F2778" s="573" t="s">
        <v>271</v>
      </c>
      <c r="G2778" s="573">
        <v>2019</v>
      </c>
      <c r="H2778" s="573" t="s">
        <v>4879</v>
      </c>
      <c r="I2778" s="573" t="s">
        <v>4556</v>
      </c>
      <c r="J2778" s="573" t="s">
        <v>3377</v>
      </c>
      <c r="K2778" s="573">
        <v>6</v>
      </c>
      <c r="L2778" s="573">
        <v>0</v>
      </c>
      <c r="M2778" s="573" t="s">
        <v>157</v>
      </c>
      <c r="N2778" s="573">
        <v>2</v>
      </c>
      <c r="O2778" s="573" t="s">
        <v>157</v>
      </c>
      <c r="P2778" s="571">
        <v>12800</v>
      </c>
      <c r="Q2778" s="573" t="s">
        <v>4235</v>
      </c>
      <c r="R2778" s="573">
        <v>8</v>
      </c>
      <c r="S2778" s="582" t="s">
        <v>4880</v>
      </c>
      <c r="T2778" s="573" t="s">
        <v>4881</v>
      </c>
      <c r="U2778" s="573">
        <v>179</v>
      </c>
      <c r="V2778" s="573">
        <v>40</v>
      </c>
      <c r="W2778" s="616">
        <v>14000</v>
      </c>
      <c r="X2778" s="617" t="s">
        <v>157</v>
      </c>
      <c r="Y2778" s="617" t="s">
        <v>450</v>
      </c>
      <c r="Z2778" s="617" t="s">
        <v>178</v>
      </c>
      <c r="AA2778" s="618">
        <v>39550</v>
      </c>
      <c r="AB2778" s="618" t="s">
        <v>164</v>
      </c>
      <c r="AC2778" s="618">
        <v>28963.915789473685</v>
      </c>
      <c r="AD2778" s="619">
        <v>0.03</v>
      </c>
      <c r="AE2778" s="617" t="s">
        <v>4878</v>
      </c>
    </row>
    <row r="2779" spans="1:31" s="572" customFormat="1">
      <c r="A2779" s="570" t="s">
        <v>4889</v>
      </c>
      <c r="B2779" s="569" t="s">
        <v>280</v>
      </c>
      <c r="C2779" s="580">
        <v>27</v>
      </c>
      <c r="D2779" s="569" t="s">
        <v>3374</v>
      </c>
      <c r="E2779" s="569" t="s">
        <v>1684</v>
      </c>
      <c r="F2779" s="569" t="s">
        <v>271</v>
      </c>
      <c r="G2779" s="569">
        <v>2019</v>
      </c>
      <c r="H2779" s="569" t="s">
        <v>4879</v>
      </c>
      <c r="I2779" s="569" t="s">
        <v>4556</v>
      </c>
      <c r="J2779" s="569" t="s">
        <v>3377</v>
      </c>
      <c r="K2779" s="569">
        <v>6</v>
      </c>
      <c r="L2779" s="569">
        <v>0</v>
      </c>
      <c r="M2779" s="569" t="s">
        <v>157</v>
      </c>
      <c r="N2779" s="569">
        <v>2</v>
      </c>
      <c r="O2779" s="569" t="s">
        <v>157</v>
      </c>
      <c r="P2779" s="568">
        <v>12800</v>
      </c>
      <c r="Q2779" s="569" t="s">
        <v>4231</v>
      </c>
      <c r="R2779" s="569">
        <v>8</v>
      </c>
      <c r="S2779" s="569" t="s">
        <v>4880</v>
      </c>
      <c r="T2779" s="569" t="s">
        <v>4881</v>
      </c>
      <c r="U2779" s="569">
        <v>179</v>
      </c>
      <c r="V2779" s="569">
        <v>40</v>
      </c>
      <c r="W2779" s="620">
        <v>14000</v>
      </c>
      <c r="X2779" s="621" t="s">
        <v>157</v>
      </c>
      <c r="Y2779" s="621" t="s">
        <v>728</v>
      </c>
      <c r="Z2779" s="621" t="s">
        <v>1523</v>
      </c>
      <c r="AA2779" s="622">
        <v>48670</v>
      </c>
      <c r="AB2779" s="622" t="s">
        <v>164</v>
      </c>
      <c r="AC2779" s="622">
        <v>37156.1052631579</v>
      </c>
      <c r="AD2779" s="623">
        <v>0.03</v>
      </c>
      <c r="AE2779" s="621" t="s">
        <v>4883</v>
      </c>
    </row>
    <row r="2780" spans="1:31" s="572" customFormat="1">
      <c r="A2780" s="570" t="s">
        <v>4890</v>
      </c>
      <c r="B2780" s="573" t="s">
        <v>269</v>
      </c>
      <c r="C2780" s="578" t="s">
        <v>270</v>
      </c>
      <c r="D2780" s="573" t="s">
        <v>3374</v>
      </c>
      <c r="E2780" s="573" t="s">
        <v>1684</v>
      </c>
      <c r="F2780" s="573" t="s">
        <v>271</v>
      </c>
      <c r="G2780" s="573">
        <v>2019</v>
      </c>
      <c r="H2780" s="573" t="s">
        <v>4879</v>
      </c>
      <c r="I2780" s="573" t="s">
        <v>4556</v>
      </c>
      <c r="J2780" s="573" t="s">
        <v>752</v>
      </c>
      <c r="K2780" s="573">
        <v>6</v>
      </c>
      <c r="L2780" s="573">
        <v>0</v>
      </c>
      <c r="M2780" s="573" t="s">
        <v>157</v>
      </c>
      <c r="N2780" s="573">
        <v>2</v>
      </c>
      <c r="O2780" s="573" t="s">
        <v>157</v>
      </c>
      <c r="P2780" s="571">
        <v>12400</v>
      </c>
      <c r="Q2780" s="573" t="s">
        <v>4235</v>
      </c>
      <c r="R2780" s="573">
        <v>8</v>
      </c>
      <c r="S2780" s="582" t="s">
        <v>4892</v>
      </c>
      <c r="T2780" s="573" t="s">
        <v>4881</v>
      </c>
      <c r="U2780" s="573">
        <v>179</v>
      </c>
      <c r="V2780" s="573">
        <v>40</v>
      </c>
      <c r="W2780" s="616">
        <v>14000</v>
      </c>
      <c r="X2780" s="617" t="s">
        <v>157</v>
      </c>
      <c r="Y2780" s="617" t="s">
        <v>450</v>
      </c>
      <c r="Z2780" s="617" t="s">
        <v>178</v>
      </c>
      <c r="AA2780" s="618">
        <v>43050</v>
      </c>
      <c r="AB2780" s="618" t="s">
        <v>164</v>
      </c>
      <c r="AC2780" s="618">
        <v>31354.442105263162</v>
      </c>
      <c r="AD2780" s="619">
        <v>0.03</v>
      </c>
      <c r="AE2780" s="617" t="s">
        <v>4891</v>
      </c>
    </row>
    <row r="2781" spans="1:31" s="572" customFormat="1">
      <c r="A2781" s="570" t="s">
        <v>4893</v>
      </c>
      <c r="B2781" s="569" t="s">
        <v>269</v>
      </c>
      <c r="C2781" s="580" t="s">
        <v>270</v>
      </c>
      <c r="D2781" s="569" t="s">
        <v>3374</v>
      </c>
      <c r="E2781" s="569" t="s">
        <v>1684</v>
      </c>
      <c r="F2781" s="569" t="s">
        <v>271</v>
      </c>
      <c r="G2781" s="569">
        <v>2019</v>
      </c>
      <c r="H2781" s="569" t="s">
        <v>4879</v>
      </c>
      <c r="I2781" s="569" t="s">
        <v>4556</v>
      </c>
      <c r="J2781" s="569" t="s">
        <v>752</v>
      </c>
      <c r="K2781" s="569">
        <v>6</v>
      </c>
      <c r="L2781" s="569">
        <v>0</v>
      </c>
      <c r="M2781" s="569" t="s">
        <v>157</v>
      </c>
      <c r="N2781" s="569">
        <v>2</v>
      </c>
      <c r="O2781" s="569" t="s">
        <v>157</v>
      </c>
      <c r="P2781" s="568">
        <v>12400</v>
      </c>
      <c r="Q2781" s="569" t="s">
        <v>4231</v>
      </c>
      <c r="R2781" s="569">
        <v>8</v>
      </c>
      <c r="S2781" s="569" t="s">
        <v>4892</v>
      </c>
      <c r="T2781" s="569" t="s">
        <v>4881</v>
      </c>
      <c r="U2781" s="569">
        <v>179</v>
      </c>
      <c r="V2781" s="569">
        <v>40</v>
      </c>
      <c r="W2781" s="620">
        <v>14000</v>
      </c>
      <c r="X2781" s="621" t="s">
        <v>157</v>
      </c>
      <c r="Y2781" s="621" t="s">
        <v>728</v>
      </c>
      <c r="Z2781" s="621" t="s">
        <v>1523</v>
      </c>
      <c r="AA2781" s="622">
        <v>52170</v>
      </c>
      <c r="AB2781" s="622" t="s">
        <v>164</v>
      </c>
      <c r="AC2781" s="622">
        <v>39546.631578947374</v>
      </c>
      <c r="AD2781" s="623">
        <v>0.03</v>
      </c>
      <c r="AE2781" s="621" t="s">
        <v>4894</v>
      </c>
    </row>
    <row r="2782" spans="1:31" s="572" customFormat="1">
      <c r="A2782" s="570" t="s">
        <v>4893</v>
      </c>
      <c r="B2782" s="573" t="s">
        <v>269</v>
      </c>
      <c r="C2782" s="578" t="s">
        <v>270</v>
      </c>
      <c r="D2782" s="573" t="s">
        <v>3374</v>
      </c>
      <c r="E2782" s="573" t="s">
        <v>1684</v>
      </c>
      <c r="F2782" s="573" t="s">
        <v>271</v>
      </c>
      <c r="G2782" s="573">
        <v>2019</v>
      </c>
      <c r="H2782" s="573" t="s">
        <v>4879</v>
      </c>
      <c r="I2782" s="573" t="s">
        <v>4556</v>
      </c>
      <c r="J2782" s="573" t="s">
        <v>752</v>
      </c>
      <c r="K2782" s="573">
        <v>6</v>
      </c>
      <c r="L2782" s="573">
        <v>0</v>
      </c>
      <c r="M2782" s="573" t="s">
        <v>157</v>
      </c>
      <c r="N2782" s="573">
        <v>2</v>
      </c>
      <c r="O2782" s="573" t="s">
        <v>157</v>
      </c>
      <c r="P2782" s="571">
        <v>12800</v>
      </c>
      <c r="Q2782" s="573" t="s">
        <v>4231</v>
      </c>
      <c r="R2782" s="573">
        <v>8</v>
      </c>
      <c r="S2782" s="582" t="s">
        <v>4892</v>
      </c>
      <c r="T2782" s="573" t="s">
        <v>4881</v>
      </c>
      <c r="U2782" s="573">
        <v>179</v>
      </c>
      <c r="V2782" s="573">
        <v>40</v>
      </c>
      <c r="W2782" s="616">
        <v>14000</v>
      </c>
      <c r="X2782" s="617" t="s">
        <v>157</v>
      </c>
      <c r="Y2782" s="617" t="s">
        <v>728</v>
      </c>
      <c r="Z2782" s="617" t="s">
        <v>1523</v>
      </c>
      <c r="AA2782" s="618">
        <v>52170</v>
      </c>
      <c r="AB2782" s="618" t="s">
        <v>164</v>
      </c>
      <c r="AC2782" s="618">
        <v>39546.631578947374</v>
      </c>
      <c r="AD2782" s="619">
        <v>0.03</v>
      </c>
      <c r="AE2782" s="617" t="s">
        <v>4894</v>
      </c>
    </row>
    <row r="2783" spans="1:31" s="572" customFormat="1">
      <c r="A2783" s="570" t="s">
        <v>4895</v>
      </c>
      <c r="B2783" s="569" t="s">
        <v>278</v>
      </c>
      <c r="C2783" s="580">
        <v>15</v>
      </c>
      <c r="D2783" s="569" t="s">
        <v>3374</v>
      </c>
      <c r="E2783" s="569" t="s">
        <v>1684</v>
      </c>
      <c r="F2783" s="569" t="s">
        <v>271</v>
      </c>
      <c r="G2783" s="569">
        <v>2019</v>
      </c>
      <c r="H2783" s="569" t="s">
        <v>4879</v>
      </c>
      <c r="I2783" s="569" t="s">
        <v>4556</v>
      </c>
      <c r="J2783" s="569" t="s">
        <v>752</v>
      </c>
      <c r="K2783" s="569">
        <v>6</v>
      </c>
      <c r="L2783" s="569">
        <v>0</v>
      </c>
      <c r="M2783" s="569" t="s">
        <v>157</v>
      </c>
      <c r="N2783" s="569">
        <v>2</v>
      </c>
      <c r="O2783" s="569" t="s">
        <v>157</v>
      </c>
      <c r="P2783" s="568">
        <v>12400</v>
      </c>
      <c r="Q2783" s="569" t="s">
        <v>4235</v>
      </c>
      <c r="R2783" s="569">
        <v>8</v>
      </c>
      <c r="S2783" s="569" t="s">
        <v>4892</v>
      </c>
      <c r="T2783" s="569" t="s">
        <v>4881</v>
      </c>
      <c r="U2783" s="569">
        <v>179</v>
      </c>
      <c r="V2783" s="569">
        <v>40</v>
      </c>
      <c r="W2783" s="620">
        <v>14000</v>
      </c>
      <c r="X2783" s="621" t="s">
        <v>157</v>
      </c>
      <c r="Y2783" s="621" t="s">
        <v>450</v>
      </c>
      <c r="Z2783" s="621" t="s">
        <v>178</v>
      </c>
      <c r="AA2783" s="622">
        <v>43050</v>
      </c>
      <c r="AB2783" s="622" t="s">
        <v>164</v>
      </c>
      <c r="AC2783" s="622">
        <v>31500</v>
      </c>
      <c r="AD2783" s="623">
        <v>0.01</v>
      </c>
      <c r="AE2783" s="621" t="s">
        <v>4891</v>
      </c>
    </row>
    <row r="2784" spans="1:31" s="572" customFormat="1">
      <c r="A2784" s="570" t="s">
        <v>4896</v>
      </c>
      <c r="B2784" s="573" t="s">
        <v>278</v>
      </c>
      <c r="C2784" s="578">
        <v>15</v>
      </c>
      <c r="D2784" s="573" t="s">
        <v>3374</v>
      </c>
      <c r="E2784" s="573" t="s">
        <v>1684</v>
      </c>
      <c r="F2784" s="573" t="s">
        <v>271</v>
      </c>
      <c r="G2784" s="573">
        <v>2019</v>
      </c>
      <c r="H2784" s="573" t="s">
        <v>4879</v>
      </c>
      <c r="I2784" s="573" t="s">
        <v>4556</v>
      </c>
      <c r="J2784" s="573" t="s">
        <v>752</v>
      </c>
      <c r="K2784" s="573">
        <v>6</v>
      </c>
      <c r="L2784" s="573">
        <v>0</v>
      </c>
      <c r="M2784" s="573" t="s">
        <v>157</v>
      </c>
      <c r="N2784" s="573">
        <v>2</v>
      </c>
      <c r="O2784" s="573" t="s">
        <v>157</v>
      </c>
      <c r="P2784" s="571">
        <v>12400</v>
      </c>
      <c r="Q2784" s="573" t="s">
        <v>4231</v>
      </c>
      <c r="R2784" s="573">
        <v>8</v>
      </c>
      <c r="S2784" s="582" t="s">
        <v>4892</v>
      </c>
      <c r="T2784" s="573" t="s">
        <v>4881</v>
      </c>
      <c r="U2784" s="573">
        <v>179</v>
      </c>
      <c r="V2784" s="573">
        <v>40</v>
      </c>
      <c r="W2784" s="616">
        <v>14000</v>
      </c>
      <c r="X2784" s="617" t="s">
        <v>157</v>
      </c>
      <c r="Y2784" s="617" t="s">
        <v>728</v>
      </c>
      <c r="Z2784" s="617" t="s">
        <v>1523</v>
      </c>
      <c r="AA2784" s="618">
        <v>52170</v>
      </c>
      <c r="AB2784" s="618" t="s">
        <v>164</v>
      </c>
      <c r="AC2784" s="618">
        <v>39750</v>
      </c>
      <c r="AD2784" s="619">
        <v>0.01</v>
      </c>
      <c r="AE2784" s="617" t="s">
        <v>4894</v>
      </c>
    </row>
    <row r="2785" spans="1:31" s="572" customFormat="1">
      <c r="A2785" s="570" t="s">
        <v>4897</v>
      </c>
      <c r="B2785" s="569" t="s">
        <v>287</v>
      </c>
      <c r="C2785" s="580">
        <v>26</v>
      </c>
      <c r="D2785" s="569" t="s">
        <v>3374</v>
      </c>
      <c r="E2785" s="569" t="s">
        <v>1684</v>
      </c>
      <c r="F2785" s="569" t="s">
        <v>271</v>
      </c>
      <c r="G2785" s="569">
        <v>2019</v>
      </c>
      <c r="H2785" s="569" t="s">
        <v>4879</v>
      </c>
      <c r="I2785" s="569" t="s">
        <v>4556</v>
      </c>
      <c r="J2785" s="569" t="s">
        <v>752</v>
      </c>
      <c r="K2785" s="569">
        <v>6</v>
      </c>
      <c r="L2785" s="569">
        <v>0</v>
      </c>
      <c r="M2785" s="569" t="s">
        <v>157</v>
      </c>
      <c r="N2785" s="569">
        <v>2</v>
      </c>
      <c r="O2785" s="569" t="s">
        <v>157</v>
      </c>
      <c r="P2785" s="568">
        <v>12400</v>
      </c>
      <c r="Q2785" s="569" t="s">
        <v>4235</v>
      </c>
      <c r="R2785" s="569">
        <v>8</v>
      </c>
      <c r="S2785" s="569" t="s">
        <v>4892</v>
      </c>
      <c r="T2785" s="569" t="s">
        <v>4881</v>
      </c>
      <c r="U2785" s="569">
        <v>179</v>
      </c>
      <c r="V2785" s="569">
        <v>40</v>
      </c>
      <c r="W2785" s="620">
        <v>14000</v>
      </c>
      <c r="X2785" s="621" t="s">
        <v>157</v>
      </c>
      <c r="Y2785" s="621" t="s">
        <v>450</v>
      </c>
      <c r="Z2785" s="621" t="s">
        <v>178</v>
      </c>
      <c r="AA2785" s="622">
        <v>43050</v>
      </c>
      <c r="AB2785" s="622" t="s">
        <v>164</v>
      </c>
      <c r="AC2785" s="622">
        <v>31628</v>
      </c>
      <c r="AD2785" s="623">
        <v>0.05</v>
      </c>
      <c r="AE2785" s="621" t="s">
        <v>4891</v>
      </c>
    </row>
    <row r="2786" spans="1:31" s="572" customFormat="1">
      <c r="A2786" s="570" t="s">
        <v>4898</v>
      </c>
      <c r="B2786" s="573" t="s">
        <v>287</v>
      </c>
      <c r="C2786" s="578">
        <v>26</v>
      </c>
      <c r="D2786" s="573" t="s">
        <v>3374</v>
      </c>
      <c r="E2786" s="573" t="s">
        <v>1684</v>
      </c>
      <c r="F2786" s="573" t="s">
        <v>271</v>
      </c>
      <c r="G2786" s="573">
        <v>2019</v>
      </c>
      <c r="H2786" s="573" t="s">
        <v>4879</v>
      </c>
      <c r="I2786" s="573" t="s">
        <v>4556</v>
      </c>
      <c r="J2786" s="573" t="s">
        <v>752</v>
      </c>
      <c r="K2786" s="573">
        <v>6</v>
      </c>
      <c r="L2786" s="573">
        <v>0</v>
      </c>
      <c r="M2786" s="573" t="s">
        <v>157</v>
      </c>
      <c r="N2786" s="573">
        <v>2</v>
      </c>
      <c r="O2786" s="573" t="s">
        <v>157</v>
      </c>
      <c r="P2786" s="571">
        <v>12400</v>
      </c>
      <c r="Q2786" s="573" t="s">
        <v>4231</v>
      </c>
      <c r="R2786" s="573">
        <v>8</v>
      </c>
      <c r="S2786" s="582" t="s">
        <v>4892</v>
      </c>
      <c r="T2786" s="573" t="s">
        <v>4881</v>
      </c>
      <c r="U2786" s="573">
        <v>179</v>
      </c>
      <c r="V2786" s="573">
        <v>40</v>
      </c>
      <c r="W2786" s="616">
        <v>14000</v>
      </c>
      <c r="X2786" s="617" t="s">
        <v>157</v>
      </c>
      <c r="Y2786" s="617" t="s">
        <v>728</v>
      </c>
      <c r="Z2786" s="617" t="s">
        <v>1523</v>
      </c>
      <c r="AA2786" s="618">
        <v>52170</v>
      </c>
      <c r="AB2786" s="618" t="s">
        <v>164</v>
      </c>
      <c r="AC2786" s="618">
        <v>39823</v>
      </c>
      <c r="AD2786" s="619">
        <v>0.05</v>
      </c>
      <c r="AE2786" s="617" t="s">
        <v>4894</v>
      </c>
    </row>
    <row r="2787" spans="1:31" s="572" customFormat="1">
      <c r="A2787" s="570" t="s">
        <v>4899</v>
      </c>
      <c r="B2787" s="569" t="s">
        <v>280</v>
      </c>
      <c r="C2787" s="580">
        <v>27</v>
      </c>
      <c r="D2787" s="569" t="s">
        <v>3374</v>
      </c>
      <c r="E2787" s="569" t="s">
        <v>1684</v>
      </c>
      <c r="F2787" s="569" t="s">
        <v>271</v>
      </c>
      <c r="G2787" s="569">
        <v>2019</v>
      </c>
      <c r="H2787" s="569" t="s">
        <v>4879</v>
      </c>
      <c r="I2787" s="569" t="s">
        <v>4556</v>
      </c>
      <c r="J2787" s="569" t="s">
        <v>752</v>
      </c>
      <c r="K2787" s="569">
        <v>6</v>
      </c>
      <c r="L2787" s="569">
        <v>0</v>
      </c>
      <c r="M2787" s="569" t="s">
        <v>157</v>
      </c>
      <c r="N2787" s="569">
        <v>2</v>
      </c>
      <c r="O2787" s="569" t="s">
        <v>157</v>
      </c>
      <c r="P2787" s="568">
        <v>12400</v>
      </c>
      <c r="Q2787" s="569" t="s">
        <v>4235</v>
      </c>
      <c r="R2787" s="569">
        <v>8</v>
      </c>
      <c r="S2787" s="569" t="s">
        <v>4892</v>
      </c>
      <c r="T2787" s="569" t="s">
        <v>4881</v>
      </c>
      <c r="U2787" s="569">
        <v>179</v>
      </c>
      <c r="V2787" s="569">
        <v>40</v>
      </c>
      <c r="W2787" s="620">
        <v>14000</v>
      </c>
      <c r="X2787" s="621" t="s">
        <v>157</v>
      </c>
      <c r="Y2787" s="621" t="s">
        <v>450</v>
      </c>
      <c r="Z2787" s="621" t="s">
        <v>178</v>
      </c>
      <c r="AA2787" s="622">
        <v>43050</v>
      </c>
      <c r="AB2787" s="622" t="s">
        <v>164</v>
      </c>
      <c r="AC2787" s="622">
        <v>31354.442105263162</v>
      </c>
      <c r="AD2787" s="623">
        <v>0.03</v>
      </c>
      <c r="AE2787" s="621" t="s">
        <v>4891</v>
      </c>
    </row>
    <row r="2788" spans="1:31" s="572" customFormat="1">
      <c r="A2788" s="570" t="s">
        <v>4900</v>
      </c>
      <c r="B2788" s="573" t="s">
        <v>280</v>
      </c>
      <c r="C2788" s="578">
        <v>27</v>
      </c>
      <c r="D2788" s="573" t="s">
        <v>3374</v>
      </c>
      <c r="E2788" s="573" t="s">
        <v>1684</v>
      </c>
      <c r="F2788" s="573" t="s">
        <v>271</v>
      </c>
      <c r="G2788" s="573">
        <v>2019</v>
      </c>
      <c r="H2788" s="573" t="s">
        <v>4879</v>
      </c>
      <c r="I2788" s="573" t="s">
        <v>4556</v>
      </c>
      <c r="J2788" s="573" t="s">
        <v>752</v>
      </c>
      <c r="K2788" s="573">
        <v>6</v>
      </c>
      <c r="L2788" s="573">
        <v>0</v>
      </c>
      <c r="M2788" s="573" t="s">
        <v>157</v>
      </c>
      <c r="N2788" s="573">
        <v>2</v>
      </c>
      <c r="O2788" s="573" t="s">
        <v>157</v>
      </c>
      <c r="P2788" s="571">
        <v>12400</v>
      </c>
      <c r="Q2788" s="573" t="s">
        <v>4231</v>
      </c>
      <c r="R2788" s="573">
        <v>8</v>
      </c>
      <c r="S2788" s="582" t="s">
        <v>4892</v>
      </c>
      <c r="T2788" s="573" t="s">
        <v>4881</v>
      </c>
      <c r="U2788" s="573">
        <v>179</v>
      </c>
      <c r="V2788" s="573">
        <v>40</v>
      </c>
      <c r="W2788" s="616">
        <v>14000</v>
      </c>
      <c r="X2788" s="617" t="s">
        <v>157</v>
      </c>
      <c r="Y2788" s="617" t="s">
        <v>728</v>
      </c>
      <c r="Z2788" s="617" t="s">
        <v>1523</v>
      </c>
      <c r="AA2788" s="618">
        <v>52170</v>
      </c>
      <c r="AB2788" s="618" t="s">
        <v>164</v>
      </c>
      <c r="AC2788" s="618">
        <v>39546.631578947374</v>
      </c>
      <c r="AD2788" s="619">
        <v>0.03</v>
      </c>
      <c r="AE2788" s="617" t="s">
        <v>4894</v>
      </c>
    </row>
    <row r="2789" spans="1:31" s="572" customFormat="1">
      <c r="A2789" s="570" t="s">
        <v>4900</v>
      </c>
      <c r="B2789" s="569" t="s">
        <v>280</v>
      </c>
      <c r="C2789" s="580">
        <v>27</v>
      </c>
      <c r="D2789" s="569" t="s">
        <v>3374</v>
      </c>
      <c r="E2789" s="569" t="s">
        <v>1684</v>
      </c>
      <c r="F2789" s="569" t="s">
        <v>271</v>
      </c>
      <c r="G2789" s="569">
        <v>2019</v>
      </c>
      <c r="H2789" s="569" t="s">
        <v>4879</v>
      </c>
      <c r="I2789" s="569" t="s">
        <v>4556</v>
      </c>
      <c r="J2789" s="569" t="s">
        <v>752</v>
      </c>
      <c r="K2789" s="569">
        <v>6</v>
      </c>
      <c r="L2789" s="569">
        <v>0</v>
      </c>
      <c r="M2789" s="569" t="s">
        <v>157</v>
      </c>
      <c r="N2789" s="569">
        <v>2</v>
      </c>
      <c r="O2789" s="569" t="s">
        <v>157</v>
      </c>
      <c r="P2789" s="568">
        <v>12800</v>
      </c>
      <c r="Q2789" s="569" t="s">
        <v>4231</v>
      </c>
      <c r="R2789" s="569">
        <v>8</v>
      </c>
      <c r="S2789" s="569" t="s">
        <v>4892</v>
      </c>
      <c r="T2789" s="569" t="s">
        <v>4881</v>
      </c>
      <c r="U2789" s="569">
        <v>179</v>
      </c>
      <c r="V2789" s="569">
        <v>40</v>
      </c>
      <c r="W2789" s="620">
        <v>14000</v>
      </c>
      <c r="X2789" s="621" t="s">
        <v>157</v>
      </c>
      <c r="Y2789" s="621" t="s">
        <v>728</v>
      </c>
      <c r="Z2789" s="621" t="s">
        <v>1523</v>
      </c>
      <c r="AA2789" s="622">
        <v>52170</v>
      </c>
      <c r="AB2789" s="622" t="s">
        <v>164</v>
      </c>
      <c r="AC2789" s="622">
        <v>39546.631578947374</v>
      </c>
      <c r="AD2789" s="623">
        <v>0.03</v>
      </c>
      <c r="AE2789" s="621" t="s">
        <v>4894</v>
      </c>
    </row>
    <row r="2790" spans="1:31" s="572" customFormat="1">
      <c r="A2790" s="570" t="s">
        <v>4901</v>
      </c>
      <c r="B2790" s="573" t="s">
        <v>269</v>
      </c>
      <c r="C2790" s="578" t="s">
        <v>270</v>
      </c>
      <c r="D2790" s="573" t="s">
        <v>3374</v>
      </c>
      <c r="E2790" s="573" t="s">
        <v>1684</v>
      </c>
      <c r="F2790" s="573" t="s">
        <v>271</v>
      </c>
      <c r="G2790" s="573">
        <v>2019</v>
      </c>
      <c r="H2790" s="573" t="s">
        <v>4879</v>
      </c>
      <c r="I2790" s="573" t="s">
        <v>4903</v>
      </c>
      <c r="J2790" s="573" t="s">
        <v>3377</v>
      </c>
      <c r="K2790" s="573">
        <v>6</v>
      </c>
      <c r="L2790" s="573">
        <v>0</v>
      </c>
      <c r="M2790" s="573" t="s">
        <v>157</v>
      </c>
      <c r="N2790" s="573">
        <v>2</v>
      </c>
      <c r="O2790" s="573" t="s">
        <v>157</v>
      </c>
      <c r="P2790" s="571">
        <v>12600</v>
      </c>
      <c r="Q2790" s="573" t="s">
        <v>4235</v>
      </c>
      <c r="R2790" s="573">
        <v>8</v>
      </c>
      <c r="S2790" s="582" t="s">
        <v>4904</v>
      </c>
      <c r="T2790" s="573" t="s">
        <v>4905</v>
      </c>
      <c r="U2790" s="573">
        <v>179</v>
      </c>
      <c r="V2790" s="573">
        <v>40</v>
      </c>
      <c r="W2790" s="616">
        <v>11000</v>
      </c>
      <c r="X2790" s="617" t="s">
        <v>157</v>
      </c>
      <c r="Y2790" s="617" t="s">
        <v>450</v>
      </c>
      <c r="Z2790" s="617" t="s">
        <v>178</v>
      </c>
      <c r="AA2790" s="618">
        <v>38345</v>
      </c>
      <c r="AB2790" s="618" t="s">
        <v>164</v>
      </c>
      <c r="AC2790" s="618">
        <v>29114.442105263159</v>
      </c>
      <c r="AD2790" s="619">
        <v>0.03</v>
      </c>
      <c r="AE2790" s="617" t="s">
        <v>4902</v>
      </c>
    </row>
    <row r="2791" spans="1:31" s="572" customFormat="1">
      <c r="A2791" s="570" t="s">
        <v>4906</v>
      </c>
      <c r="B2791" s="569" t="s">
        <v>269</v>
      </c>
      <c r="C2791" s="580" t="s">
        <v>270</v>
      </c>
      <c r="D2791" s="569" t="s">
        <v>3374</v>
      </c>
      <c r="E2791" s="569" t="s">
        <v>1684</v>
      </c>
      <c r="F2791" s="569" t="s">
        <v>271</v>
      </c>
      <c r="G2791" s="569">
        <v>2019</v>
      </c>
      <c r="H2791" s="569" t="s">
        <v>4879</v>
      </c>
      <c r="I2791" s="569" t="s">
        <v>4903</v>
      </c>
      <c r="J2791" s="569" t="s">
        <v>3377</v>
      </c>
      <c r="K2791" s="569">
        <v>6</v>
      </c>
      <c r="L2791" s="569">
        <v>0</v>
      </c>
      <c r="M2791" s="569" t="s">
        <v>157</v>
      </c>
      <c r="N2791" s="569">
        <v>2</v>
      </c>
      <c r="O2791" s="569" t="s">
        <v>157</v>
      </c>
      <c r="P2791" s="568">
        <v>12600</v>
      </c>
      <c r="Q2791" s="569" t="s">
        <v>4231</v>
      </c>
      <c r="R2791" s="569">
        <v>8</v>
      </c>
      <c r="S2791" s="569" t="s">
        <v>4904</v>
      </c>
      <c r="T2791" s="569" t="s">
        <v>4905</v>
      </c>
      <c r="U2791" s="569">
        <v>179</v>
      </c>
      <c r="V2791" s="569">
        <v>40</v>
      </c>
      <c r="W2791" s="620">
        <v>11500</v>
      </c>
      <c r="X2791" s="621" t="s">
        <v>157</v>
      </c>
      <c r="Y2791" s="621" t="s">
        <v>728</v>
      </c>
      <c r="Z2791" s="621" t="s">
        <v>1523</v>
      </c>
      <c r="AA2791" s="622">
        <v>47465</v>
      </c>
      <c r="AB2791" s="622" t="s">
        <v>164</v>
      </c>
      <c r="AC2791" s="622">
        <v>37306.631578947374</v>
      </c>
      <c r="AD2791" s="623">
        <v>0.03</v>
      </c>
      <c r="AE2791" s="621" t="s">
        <v>4907</v>
      </c>
    </row>
    <row r="2792" spans="1:31" s="572" customFormat="1">
      <c r="A2792" s="570" t="s">
        <v>4908</v>
      </c>
      <c r="B2792" s="573" t="s">
        <v>278</v>
      </c>
      <c r="C2792" s="578">
        <v>15</v>
      </c>
      <c r="D2792" s="573" t="s">
        <v>3374</v>
      </c>
      <c r="E2792" s="573" t="s">
        <v>1684</v>
      </c>
      <c r="F2792" s="573" t="s">
        <v>271</v>
      </c>
      <c r="G2792" s="573">
        <v>2019</v>
      </c>
      <c r="H2792" s="573" t="s">
        <v>4879</v>
      </c>
      <c r="I2792" s="573" t="s">
        <v>4903</v>
      </c>
      <c r="J2792" s="573" t="s">
        <v>3377</v>
      </c>
      <c r="K2792" s="573">
        <v>6</v>
      </c>
      <c r="L2792" s="573">
        <v>0</v>
      </c>
      <c r="M2792" s="573" t="s">
        <v>157</v>
      </c>
      <c r="N2792" s="573">
        <v>2</v>
      </c>
      <c r="O2792" s="573" t="s">
        <v>157</v>
      </c>
      <c r="P2792" s="571">
        <v>12600</v>
      </c>
      <c r="Q2792" s="573" t="s">
        <v>4235</v>
      </c>
      <c r="R2792" s="573">
        <v>8</v>
      </c>
      <c r="S2792" s="582" t="s">
        <v>4904</v>
      </c>
      <c r="T2792" s="573" t="s">
        <v>4905</v>
      </c>
      <c r="U2792" s="573">
        <v>179</v>
      </c>
      <c r="V2792" s="573">
        <v>40</v>
      </c>
      <c r="W2792" s="616">
        <v>11000</v>
      </c>
      <c r="X2792" s="617" t="s">
        <v>157</v>
      </c>
      <c r="Y2792" s="617" t="s">
        <v>450</v>
      </c>
      <c r="Z2792" s="617" t="s">
        <v>178</v>
      </c>
      <c r="AA2792" s="618">
        <v>38345</v>
      </c>
      <c r="AB2792" s="618" t="s">
        <v>164</v>
      </c>
      <c r="AC2792" s="618">
        <v>29200</v>
      </c>
      <c r="AD2792" s="619">
        <v>0.01</v>
      </c>
      <c r="AE2792" s="617" t="s">
        <v>4902</v>
      </c>
    </row>
    <row r="2793" spans="1:31" s="572" customFormat="1">
      <c r="A2793" s="570" t="s">
        <v>4909</v>
      </c>
      <c r="B2793" s="569" t="s">
        <v>278</v>
      </c>
      <c r="C2793" s="580">
        <v>15</v>
      </c>
      <c r="D2793" s="569" t="s">
        <v>3374</v>
      </c>
      <c r="E2793" s="569" t="s">
        <v>1684</v>
      </c>
      <c r="F2793" s="569" t="s">
        <v>271</v>
      </c>
      <c r="G2793" s="569">
        <v>2019</v>
      </c>
      <c r="H2793" s="569" t="s">
        <v>4879</v>
      </c>
      <c r="I2793" s="569" t="s">
        <v>4903</v>
      </c>
      <c r="J2793" s="569" t="s">
        <v>3377</v>
      </c>
      <c r="K2793" s="569">
        <v>6</v>
      </c>
      <c r="L2793" s="569">
        <v>0</v>
      </c>
      <c r="M2793" s="569" t="s">
        <v>157</v>
      </c>
      <c r="N2793" s="569">
        <v>2</v>
      </c>
      <c r="O2793" s="569" t="s">
        <v>157</v>
      </c>
      <c r="P2793" s="568">
        <v>12600</v>
      </c>
      <c r="Q2793" s="569" t="s">
        <v>4231</v>
      </c>
      <c r="R2793" s="569">
        <v>8</v>
      </c>
      <c r="S2793" s="569" t="s">
        <v>4904</v>
      </c>
      <c r="T2793" s="569" t="s">
        <v>4905</v>
      </c>
      <c r="U2793" s="569">
        <v>179</v>
      </c>
      <c r="V2793" s="569">
        <v>40</v>
      </c>
      <c r="W2793" s="620">
        <v>11500</v>
      </c>
      <c r="X2793" s="621" t="s">
        <v>157</v>
      </c>
      <c r="Y2793" s="621" t="s">
        <v>728</v>
      </c>
      <c r="Z2793" s="621" t="s">
        <v>1523</v>
      </c>
      <c r="AA2793" s="622">
        <v>47465</v>
      </c>
      <c r="AB2793" s="622" t="s">
        <v>164</v>
      </c>
      <c r="AC2793" s="622">
        <v>37500</v>
      </c>
      <c r="AD2793" s="623">
        <v>0.01</v>
      </c>
      <c r="AE2793" s="621" t="s">
        <v>4907</v>
      </c>
    </row>
    <row r="2794" spans="1:31" s="572" customFormat="1">
      <c r="A2794" s="570" t="s">
        <v>4910</v>
      </c>
      <c r="B2794" s="573" t="s">
        <v>287</v>
      </c>
      <c r="C2794" s="578">
        <v>26</v>
      </c>
      <c r="D2794" s="573" t="s">
        <v>3374</v>
      </c>
      <c r="E2794" s="573" t="s">
        <v>1684</v>
      </c>
      <c r="F2794" s="573" t="s">
        <v>271</v>
      </c>
      <c r="G2794" s="573">
        <v>2019</v>
      </c>
      <c r="H2794" s="573" t="s">
        <v>4879</v>
      </c>
      <c r="I2794" s="573" t="s">
        <v>4903</v>
      </c>
      <c r="J2794" s="573" t="s">
        <v>3377</v>
      </c>
      <c r="K2794" s="573">
        <v>6</v>
      </c>
      <c r="L2794" s="573">
        <v>0</v>
      </c>
      <c r="M2794" s="573" t="s">
        <v>157</v>
      </c>
      <c r="N2794" s="573">
        <v>2</v>
      </c>
      <c r="O2794" s="573" t="s">
        <v>157</v>
      </c>
      <c r="P2794" s="571">
        <v>12600</v>
      </c>
      <c r="Q2794" s="573" t="s">
        <v>4235</v>
      </c>
      <c r="R2794" s="573">
        <v>8</v>
      </c>
      <c r="S2794" s="582" t="s">
        <v>4904</v>
      </c>
      <c r="T2794" s="573" t="s">
        <v>4905</v>
      </c>
      <c r="U2794" s="573">
        <v>179</v>
      </c>
      <c r="V2794" s="573">
        <v>40</v>
      </c>
      <c r="W2794" s="616">
        <v>11000</v>
      </c>
      <c r="X2794" s="617" t="s">
        <v>157</v>
      </c>
      <c r="Y2794" s="617" t="s">
        <v>450</v>
      </c>
      <c r="Z2794" s="617" t="s">
        <v>178</v>
      </c>
      <c r="AA2794" s="618">
        <v>38345</v>
      </c>
      <c r="AB2794" s="618" t="s">
        <v>164</v>
      </c>
      <c r="AC2794" s="618">
        <v>29381</v>
      </c>
      <c r="AD2794" s="619">
        <v>0.05</v>
      </c>
      <c r="AE2794" s="617" t="s">
        <v>4902</v>
      </c>
    </row>
    <row r="2795" spans="1:31" s="572" customFormat="1">
      <c r="A2795" s="570" t="s">
        <v>4911</v>
      </c>
      <c r="B2795" s="569" t="s">
        <v>287</v>
      </c>
      <c r="C2795" s="580">
        <v>26</v>
      </c>
      <c r="D2795" s="569" t="s">
        <v>3374</v>
      </c>
      <c r="E2795" s="569" t="s">
        <v>1684</v>
      </c>
      <c r="F2795" s="569" t="s">
        <v>271</v>
      </c>
      <c r="G2795" s="569">
        <v>2019</v>
      </c>
      <c r="H2795" s="569" t="s">
        <v>4879</v>
      </c>
      <c r="I2795" s="569" t="s">
        <v>4903</v>
      </c>
      <c r="J2795" s="569" t="s">
        <v>3377</v>
      </c>
      <c r="K2795" s="569">
        <v>6</v>
      </c>
      <c r="L2795" s="569">
        <v>0</v>
      </c>
      <c r="M2795" s="569" t="s">
        <v>157</v>
      </c>
      <c r="N2795" s="569">
        <v>2</v>
      </c>
      <c r="O2795" s="569" t="s">
        <v>157</v>
      </c>
      <c r="P2795" s="568">
        <v>12600</v>
      </c>
      <c r="Q2795" s="569" t="s">
        <v>4231</v>
      </c>
      <c r="R2795" s="569">
        <v>8</v>
      </c>
      <c r="S2795" s="569" t="s">
        <v>4904</v>
      </c>
      <c r="T2795" s="569" t="s">
        <v>4905</v>
      </c>
      <c r="U2795" s="569">
        <v>179</v>
      </c>
      <c r="V2795" s="569">
        <v>40</v>
      </c>
      <c r="W2795" s="620">
        <v>11500</v>
      </c>
      <c r="X2795" s="621" t="s">
        <v>157</v>
      </c>
      <c r="Y2795" s="621" t="s">
        <v>728</v>
      </c>
      <c r="Z2795" s="621" t="s">
        <v>1523</v>
      </c>
      <c r="AA2795" s="622">
        <v>47465</v>
      </c>
      <c r="AB2795" s="622" t="s">
        <v>164</v>
      </c>
      <c r="AC2795" s="622">
        <v>37575</v>
      </c>
      <c r="AD2795" s="623">
        <v>0.05</v>
      </c>
      <c r="AE2795" s="621" t="s">
        <v>4907</v>
      </c>
    </row>
    <row r="2796" spans="1:31" s="572" customFormat="1">
      <c r="A2796" s="570" t="s">
        <v>4912</v>
      </c>
      <c r="B2796" s="573" t="s">
        <v>280</v>
      </c>
      <c r="C2796" s="578">
        <v>27</v>
      </c>
      <c r="D2796" s="573" t="s">
        <v>3374</v>
      </c>
      <c r="E2796" s="573" t="s">
        <v>1684</v>
      </c>
      <c r="F2796" s="573" t="s">
        <v>271</v>
      </c>
      <c r="G2796" s="573">
        <v>2019</v>
      </c>
      <c r="H2796" s="573" t="s">
        <v>4879</v>
      </c>
      <c r="I2796" s="573" t="s">
        <v>4903</v>
      </c>
      <c r="J2796" s="573" t="s">
        <v>3377</v>
      </c>
      <c r="K2796" s="573">
        <v>6</v>
      </c>
      <c r="L2796" s="573">
        <v>0</v>
      </c>
      <c r="M2796" s="573" t="s">
        <v>157</v>
      </c>
      <c r="N2796" s="573">
        <v>2</v>
      </c>
      <c r="O2796" s="573" t="s">
        <v>157</v>
      </c>
      <c r="P2796" s="571">
        <v>12600</v>
      </c>
      <c r="Q2796" s="573" t="s">
        <v>4235</v>
      </c>
      <c r="R2796" s="573">
        <v>8</v>
      </c>
      <c r="S2796" s="582" t="s">
        <v>4904</v>
      </c>
      <c r="T2796" s="573" t="s">
        <v>4905</v>
      </c>
      <c r="U2796" s="573">
        <v>179</v>
      </c>
      <c r="V2796" s="573">
        <v>40</v>
      </c>
      <c r="W2796" s="616">
        <v>11000</v>
      </c>
      <c r="X2796" s="617" t="s">
        <v>157</v>
      </c>
      <c r="Y2796" s="617" t="s">
        <v>450</v>
      </c>
      <c r="Z2796" s="617" t="s">
        <v>178</v>
      </c>
      <c r="AA2796" s="618">
        <v>38345</v>
      </c>
      <c r="AB2796" s="618" t="s">
        <v>164</v>
      </c>
      <c r="AC2796" s="618">
        <v>29114.442105263159</v>
      </c>
      <c r="AD2796" s="619">
        <v>0.03</v>
      </c>
      <c r="AE2796" s="617" t="s">
        <v>4902</v>
      </c>
    </row>
    <row r="2797" spans="1:31" s="572" customFormat="1">
      <c r="A2797" s="570" t="s">
        <v>4913</v>
      </c>
      <c r="B2797" s="569" t="s">
        <v>280</v>
      </c>
      <c r="C2797" s="580">
        <v>27</v>
      </c>
      <c r="D2797" s="569" t="s">
        <v>3374</v>
      </c>
      <c r="E2797" s="569" t="s">
        <v>1684</v>
      </c>
      <c r="F2797" s="569" t="s">
        <v>271</v>
      </c>
      <c r="G2797" s="569">
        <v>2019</v>
      </c>
      <c r="H2797" s="569" t="s">
        <v>4879</v>
      </c>
      <c r="I2797" s="569" t="s">
        <v>4903</v>
      </c>
      <c r="J2797" s="569" t="s">
        <v>3377</v>
      </c>
      <c r="K2797" s="569">
        <v>6</v>
      </c>
      <c r="L2797" s="569">
        <v>0</v>
      </c>
      <c r="M2797" s="569" t="s">
        <v>157</v>
      </c>
      <c r="N2797" s="569">
        <v>2</v>
      </c>
      <c r="O2797" s="569" t="s">
        <v>157</v>
      </c>
      <c r="P2797" s="568">
        <v>12600</v>
      </c>
      <c r="Q2797" s="569" t="s">
        <v>4231</v>
      </c>
      <c r="R2797" s="569">
        <v>8</v>
      </c>
      <c r="S2797" s="569" t="s">
        <v>4904</v>
      </c>
      <c r="T2797" s="569" t="s">
        <v>4905</v>
      </c>
      <c r="U2797" s="569">
        <v>179</v>
      </c>
      <c r="V2797" s="569">
        <v>40</v>
      </c>
      <c r="W2797" s="620">
        <v>11500</v>
      </c>
      <c r="X2797" s="621" t="s">
        <v>157</v>
      </c>
      <c r="Y2797" s="621" t="s">
        <v>728</v>
      </c>
      <c r="Z2797" s="621" t="s">
        <v>1523</v>
      </c>
      <c r="AA2797" s="622">
        <v>47465</v>
      </c>
      <c r="AB2797" s="622" t="s">
        <v>164</v>
      </c>
      <c r="AC2797" s="622">
        <v>37306.631578947374</v>
      </c>
      <c r="AD2797" s="623">
        <v>0.03</v>
      </c>
      <c r="AE2797" s="621" t="s">
        <v>4907</v>
      </c>
    </row>
    <row r="2798" spans="1:31" s="572" customFormat="1">
      <c r="A2798" s="570" t="s">
        <v>4914</v>
      </c>
      <c r="B2798" s="573" t="s">
        <v>269</v>
      </c>
      <c r="C2798" s="578" t="s">
        <v>270</v>
      </c>
      <c r="D2798" s="573" t="s">
        <v>3374</v>
      </c>
      <c r="E2798" s="573" t="s">
        <v>1684</v>
      </c>
      <c r="F2798" s="573" t="s">
        <v>271</v>
      </c>
      <c r="G2798" s="573">
        <v>2019</v>
      </c>
      <c r="H2798" s="573" t="s">
        <v>4879</v>
      </c>
      <c r="I2798" s="573" t="s">
        <v>4903</v>
      </c>
      <c r="J2798" s="573" t="s">
        <v>752</v>
      </c>
      <c r="K2798" s="573">
        <v>6</v>
      </c>
      <c r="L2798" s="573">
        <v>0</v>
      </c>
      <c r="M2798" s="573" t="s">
        <v>157</v>
      </c>
      <c r="N2798" s="573">
        <v>2</v>
      </c>
      <c r="O2798" s="573" t="s">
        <v>157</v>
      </c>
      <c r="P2798" s="571">
        <v>12100</v>
      </c>
      <c r="Q2798" s="573" t="s">
        <v>4235</v>
      </c>
      <c r="R2798" s="573">
        <v>8</v>
      </c>
      <c r="S2798" s="582" t="s">
        <v>4916</v>
      </c>
      <c r="T2798" s="573" t="s">
        <v>4905</v>
      </c>
      <c r="U2798" s="573">
        <v>179</v>
      </c>
      <c r="V2798" s="573">
        <v>40</v>
      </c>
      <c r="W2798" s="616">
        <v>11400</v>
      </c>
      <c r="X2798" s="617" t="s">
        <v>157</v>
      </c>
      <c r="Y2798" s="617" t="s">
        <v>450</v>
      </c>
      <c r="Z2798" s="617" t="s">
        <v>178</v>
      </c>
      <c r="AA2798" s="618">
        <v>41845</v>
      </c>
      <c r="AB2798" s="618" t="s">
        <v>164</v>
      </c>
      <c r="AC2798" s="618">
        <v>31715.494736842109</v>
      </c>
      <c r="AD2798" s="619">
        <v>0.03</v>
      </c>
      <c r="AE2798" s="617" t="s">
        <v>4915</v>
      </c>
    </row>
    <row r="2799" spans="1:31" s="572" customFormat="1">
      <c r="A2799" s="570" t="s">
        <v>4917</v>
      </c>
      <c r="B2799" s="569" t="s">
        <v>269</v>
      </c>
      <c r="C2799" s="580" t="s">
        <v>270</v>
      </c>
      <c r="D2799" s="569" t="s">
        <v>3374</v>
      </c>
      <c r="E2799" s="569" t="s">
        <v>1684</v>
      </c>
      <c r="F2799" s="569" t="s">
        <v>271</v>
      </c>
      <c r="G2799" s="569">
        <v>2019</v>
      </c>
      <c r="H2799" s="569" t="s">
        <v>4879</v>
      </c>
      <c r="I2799" s="569" t="s">
        <v>4903</v>
      </c>
      <c r="J2799" s="569" t="s">
        <v>752</v>
      </c>
      <c r="K2799" s="569">
        <v>6</v>
      </c>
      <c r="L2799" s="569">
        <v>0</v>
      </c>
      <c r="M2799" s="569" t="s">
        <v>157</v>
      </c>
      <c r="N2799" s="569">
        <v>2</v>
      </c>
      <c r="O2799" s="569" t="s">
        <v>157</v>
      </c>
      <c r="P2799" s="568">
        <v>12100</v>
      </c>
      <c r="Q2799" s="569" t="s">
        <v>4231</v>
      </c>
      <c r="R2799" s="569">
        <v>8</v>
      </c>
      <c r="S2799" s="569" t="s">
        <v>4916</v>
      </c>
      <c r="T2799" s="569" t="s">
        <v>4905</v>
      </c>
      <c r="U2799" s="569">
        <v>179</v>
      </c>
      <c r="V2799" s="569">
        <v>40</v>
      </c>
      <c r="W2799" s="620">
        <v>11500</v>
      </c>
      <c r="X2799" s="621" t="s">
        <v>157</v>
      </c>
      <c r="Y2799" s="621" t="s">
        <v>728</v>
      </c>
      <c r="Z2799" s="621" t="s">
        <v>1523</v>
      </c>
      <c r="AA2799" s="622">
        <v>50965</v>
      </c>
      <c r="AB2799" s="622" t="s">
        <v>164</v>
      </c>
      <c r="AC2799" s="622">
        <v>39907.68421052632</v>
      </c>
      <c r="AD2799" s="623">
        <v>0.03</v>
      </c>
      <c r="AE2799" s="621" t="s">
        <v>4918</v>
      </c>
    </row>
    <row r="2800" spans="1:31" s="572" customFormat="1">
      <c r="A2800" s="570" t="s">
        <v>4919</v>
      </c>
      <c r="B2800" s="573" t="s">
        <v>278</v>
      </c>
      <c r="C2800" s="578">
        <v>15</v>
      </c>
      <c r="D2800" s="573" t="s">
        <v>3374</v>
      </c>
      <c r="E2800" s="573" t="s">
        <v>1684</v>
      </c>
      <c r="F2800" s="573" t="s">
        <v>271</v>
      </c>
      <c r="G2800" s="573">
        <v>2019</v>
      </c>
      <c r="H2800" s="573" t="s">
        <v>4879</v>
      </c>
      <c r="I2800" s="573" t="s">
        <v>4903</v>
      </c>
      <c r="J2800" s="573" t="s">
        <v>752</v>
      </c>
      <c r="K2800" s="573">
        <v>6</v>
      </c>
      <c r="L2800" s="573">
        <v>0</v>
      </c>
      <c r="M2800" s="573" t="s">
        <v>157</v>
      </c>
      <c r="N2800" s="573">
        <v>2</v>
      </c>
      <c r="O2800" s="573" t="s">
        <v>157</v>
      </c>
      <c r="P2800" s="571">
        <v>12200</v>
      </c>
      <c r="Q2800" s="573" t="s">
        <v>4235</v>
      </c>
      <c r="R2800" s="573">
        <v>8</v>
      </c>
      <c r="S2800" s="582" t="s">
        <v>4916</v>
      </c>
      <c r="T2800" s="573" t="s">
        <v>4905</v>
      </c>
      <c r="U2800" s="573">
        <v>179</v>
      </c>
      <c r="V2800" s="573">
        <v>40</v>
      </c>
      <c r="W2800" s="616">
        <v>11400</v>
      </c>
      <c r="X2800" s="617" t="s">
        <v>157</v>
      </c>
      <c r="Y2800" s="617" t="s">
        <v>450</v>
      </c>
      <c r="Z2800" s="617" t="s">
        <v>178</v>
      </c>
      <c r="AA2800" s="618">
        <v>41845</v>
      </c>
      <c r="AB2800" s="618" t="s">
        <v>164</v>
      </c>
      <c r="AC2800" s="618">
        <v>31900</v>
      </c>
      <c r="AD2800" s="619">
        <v>0.01</v>
      </c>
      <c r="AE2800" s="617" t="s">
        <v>4920</v>
      </c>
    </row>
    <row r="2801" spans="1:31" s="572" customFormat="1">
      <c r="A2801" s="570" t="s">
        <v>4921</v>
      </c>
      <c r="B2801" s="569" t="s">
        <v>278</v>
      </c>
      <c r="C2801" s="580">
        <v>15</v>
      </c>
      <c r="D2801" s="569" t="s">
        <v>3374</v>
      </c>
      <c r="E2801" s="569" t="s">
        <v>1684</v>
      </c>
      <c r="F2801" s="569" t="s">
        <v>271</v>
      </c>
      <c r="G2801" s="569">
        <v>2019</v>
      </c>
      <c r="H2801" s="569" t="s">
        <v>4879</v>
      </c>
      <c r="I2801" s="569" t="s">
        <v>4903</v>
      </c>
      <c r="J2801" s="569" t="s">
        <v>752</v>
      </c>
      <c r="K2801" s="569">
        <v>6</v>
      </c>
      <c r="L2801" s="569">
        <v>0</v>
      </c>
      <c r="M2801" s="569" t="s">
        <v>157</v>
      </c>
      <c r="N2801" s="569">
        <v>2</v>
      </c>
      <c r="O2801" s="569" t="s">
        <v>157</v>
      </c>
      <c r="P2801" s="568">
        <v>12200</v>
      </c>
      <c r="Q2801" s="569" t="s">
        <v>4231</v>
      </c>
      <c r="R2801" s="569">
        <v>8</v>
      </c>
      <c r="S2801" s="569" t="s">
        <v>4916</v>
      </c>
      <c r="T2801" s="569" t="s">
        <v>4905</v>
      </c>
      <c r="U2801" s="569">
        <v>179</v>
      </c>
      <c r="V2801" s="569">
        <v>40</v>
      </c>
      <c r="W2801" s="620">
        <v>11500</v>
      </c>
      <c r="X2801" s="621" t="s">
        <v>157</v>
      </c>
      <c r="Y2801" s="621" t="s">
        <v>728</v>
      </c>
      <c r="Z2801" s="621" t="s">
        <v>1523</v>
      </c>
      <c r="AA2801" s="622">
        <v>50965</v>
      </c>
      <c r="AB2801" s="622" t="s">
        <v>164</v>
      </c>
      <c r="AC2801" s="622">
        <v>40150</v>
      </c>
      <c r="AD2801" s="623">
        <v>0.01</v>
      </c>
      <c r="AE2801" s="621" t="s">
        <v>4918</v>
      </c>
    </row>
    <row r="2802" spans="1:31" s="572" customFormat="1">
      <c r="A2802" s="570" t="s">
        <v>4922</v>
      </c>
      <c r="B2802" s="573" t="s">
        <v>287</v>
      </c>
      <c r="C2802" s="578">
        <v>26</v>
      </c>
      <c r="D2802" s="573" t="s">
        <v>3374</v>
      </c>
      <c r="E2802" s="573" t="s">
        <v>1684</v>
      </c>
      <c r="F2802" s="573" t="s">
        <v>271</v>
      </c>
      <c r="G2802" s="573">
        <v>2019</v>
      </c>
      <c r="H2802" s="573" t="s">
        <v>4879</v>
      </c>
      <c r="I2802" s="573" t="s">
        <v>4903</v>
      </c>
      <c r="J2802" s="573" t="s">
        <v>752</v>
      </c>
      <c r="K2802" s="573">
        <v>6</v>
      </c>
      <c r="L2802" s="573">
        <v>0</v>
      </c>
      <c r="M2802" s="573" t="s">
        <v>157</v>
      </c>
      <c r="N2802" s="573">
        <v>2</v>
      </c>
      <c r="O2802" s="573" t="s">
        <v>157</v>
      </c>
      <c r="P2802" s="571">
        <v>12200</v>
      </c>
      <c r="Q2802" s="573" t="s">
        <v>4235</v>
      </c>
      <c r="R2802" s="573">
        <v>8</v>
      </c>
      <c r="S2802" s="582" t="s">
        <v>4916</v>
      </c>
      <c r="T2802" s="573" t="s">
        <v>4905</v>
      </c>
      <c r="U2802" s="573">
        <v>179</v>
      </c>
      <c r="V2802" s="573">
        <v>40</v>
      </c>
      <c r="W2802" s="616">
        <v>11400</v>
      </c>
      <c r="X2802" s="617" t="s">
        <v>157</v>
      </c>
      <c r="Y2802" s="617" t="s">
        <v>450</v>
      </c>
      <c r="Z2802" s="617" t="s">
        <v>178</v>
      </c>
      <c r="AA2802" s="618">
        <v>41480</v>
      </c>
      <c r="AB2802" s="618" t="s">
        <v>164</v>
      </c>
      <c r="AC2802" s="618">
        <v>32021</v>
      </c>
      <c r="AD2802" s="619">
        <v>0.05</v>
      </c>
      <c r="AE2802" s="617" t="s">
        <v>4920</v>
      </c>
    </row>
    <row r="2803" spans="1:31" s="572" customFormat="1">
      <c r="A2803" s="570" t="s">
        <v>4923</v>
      </c>
      <c r="B2803" s="569" t="s">
        <v>287</v>
      </c>
      <c r="C2803" s="580">
        <v>26</v>
      </c>
      <c r="D2803" s="569" t="s">
        <v>3374</v>
      </c>
      <c r="E2803" s="569" t="s">
        <v>1684</v>
      </c>
      <c r="F2803" s="569" t="s">
        <v>271</v>
      </c>
      <c r="G2803" s="569">
        <v>2019</v>
      </c>
      <c r="H2803" s="569" t="s">
        <v>4879</v>
      </c>
      <c r="I2803" s="569" t="s">
        <v>4903</v>
      </c>
      <c r="J2803" s="569" t="s">
        <v>752</v>
      </c>
      <c r="K2803" s="569">
        <v>6</v>
      </c>
      <c r="L2803" s="569">
        <v>0</v>
      </c>
      <c r="M2803" s="569" t="s">
        <v>157</v>
      </c>
      <c r="N2803" s="569">
        <v>2</v>
      </c>
      <c r="O2803" s="569" t="s">
        <v>157</v>
      </c>
      <c r="P2803" s="568">
        <v>12200</v>
      </c>
      <c r="Q2803" s="569" t="s">
        <v>4231</v>
      </c>
      <c r="R2803" s="569">
        <v>8</v>
      </c>
      <c r="S2803" s="569" t="s">
        <v>4916</v>
      </c>
      <c r="T2803" s="569" t="s">
        <v>4905</v>
      </c>
      <c r="U2803" s="569">
        <v>179</v>
      </c>
      <c r="V2803" s="569">
        <v>40</v>
      </c>
      <c r="W2803" s="620">
        <v>11500</v>
      </c>
      <c r="X2803" s="621" t="s">
        <v>157</v>
      </c>
      <c r="Y2803" s="621" t="s">
        <v>728</v>
      </c>
      <c r="Z2803" s="621" t="s">
        <v>1523</v>
      </c>
      <c r="AA2803" s="622">
        <v>50475</v>
      </c>
      <c r="AB2803" s="622" t="s">
        <v>164</v>
      </c>
      <c r="AC2803" s="622">
        <v>40215</v>
      </c>
      <c r="AD2803" s="623">
        <v>0.05</v>
      </c>
      <c r="AE2803" s="621" t="s">
        <v>4918</v>
      </c>
    </row>
    <row r="2804" spans="1:31" s="572" customFormat="1">
      <c r="A2804" s="570" t="s">
        <v>4924</v>
      </c>
      <c r="B2804" s="573" t="s">
        <v>280</v>
      </c>
      <c r="C2804" s="578">
        <v>27</v>
      </c>
      <c r="D2804" s="573" t="s">
        <v>3374</v>
      </c>
      <c r="E2804" s="573" t="s">
        <v>1684</v>
      </c>
      <c r="F2804" s="573" t="s">
        <v>271</v>
      </c>
      <c r="G2804" s="573">
        <v>2019</v>
      </c>
      <c r="H2804" s="573" t="s">
        <v>4879</v>
      </c>
      <c r="I2804" s="573" t="s">
        <v>4903</v>
      </c>
      <c r="J2804" s="573" t="s">
        <v>752</v>
      </c>
      <c r="K2804" s="573">
        <v>6</v>
      </c>
      <c r="L2804" s="573">
        <v>0</v>
      </c>
      <c r="M2804" s="573" t="s">
        <v>157</v>
      </c>
      <c r="N2804" s="573">
        <v>2</v>
      </c>
      <c r="O2804" s="573" t="s">
        <v>157</v>
      </c>
      <c r="P2804" s="571">
        <v>12100</v>
      </c>
      <c r="Q2804" s="573" t="s">
        <v>4235</v>
      </c>
      <c r="R2804" s="573">
        <v>8</v>
      </c>
      <c r="S2804" s="582" t="s">
        <v>4916</v>
      </c>
      <c r="T2804" s="573" t="s">
        <v>4905</v>
      </c>
      <c r="U2804" s="573">
        <v>179</v>
      </c>
      <c r="V2804" s="573">
        <v>40</v>
      </c>
      <c r="W2804" s="616">
        <v>11400</v>
      </c>
      <c r="X2804" s="617" t="s">
        <v>157</v>
      </c>
      <c r="Y2804" s="617" t="s">
        <v>450</v>
      </c>
      <c r="Z2804" s="617" t="s">
        <v>178</v>
      </c>
      <c r="AA2804" s="618">
        <v>41845</v>
      </c>
      <c r="AB2804" s="618" t="s">
        <v>164</v>
      </c>
      <c r="AC2804" s="618">
        <v>31715.494736842109</v>
      </c>
      <c r="AD2804" s="619">
        <v>0.03</v>
      </c>
      <c r="AE2804" s="617" t="s">
        <v>4915</v>
      </c>
    </row>
    <row r="2805" spans="1:31" s="572" customFormat="1">
      <c r="A2805" s="570" t="s">
        <v>4925</v>
      </c>
      <c r="B2805" s="569" t="s">
        <v>280</v>
      </c>
      <c r="C2805" s="580">
        <v>27</v>
      </c>
      <c r="D2805" s="569" t="s">
        <v>3374</v>
      </c>
      <c r="E2805" s="569" t="s">
        <v>1684</v>
      </c>
      <c r="F2805" s="569" t="s">
        <v>271</v>
      </c>
      <c r="G2805" s="569">
        <v>2019</v>
      </c>
      <c r="H2805" s="569" t="s">
        <v>4879</v>
      </c>
      <c r="I2805" s="569" t="s">
        <v>4903</v>
      </c>
      <c r="J2805" s="569" t="s">
        <v>752</v>
      </c>
      <c r="K2805" s="569">
        <v>6</v>
      </c>
      <c r="L2805" s="569">
        <v>0</v>
      </c>
      <c r="M2805" s="569" t="s">
        <v>157</v>
      </c>
      <c r="N2805" s="569">
        <v>2</v>
      </c>
      <c r="O2805" s="569" t="s">
        <v>157</v>
      </c>
      <c r="P2805" s="568">
        <v>12100</v>
      </c>
      <c r="Q2805" s="569" t="s">
        <v>4231</v>
      </c>
      <c r="R2805" s="569">
        <v>8</v>
      </c>
      <c r="S2805" s="569" t="s">
        <v>4916</v>
      </c>
      <c r="T2805" s="569" t="s">
        <v>4905</v>
      </c>
      <c r="U2805" s="569">
        <v>179</v>
      </c>
      <c r="V2805" s="569">
        <v>40</v>
      </c>
      <c r="W2805" s="620">
        <v>11500</v>
      </c>
      <c r="X2805" s="621" t="s">
        <v>157</v>
      </c>
      <c r="Y2805" s="621" t="s">
        <v>728</v>
      </c>
      <c r="Z2805" s="621" t="s">
        <v>1523</v>
      </c>
      <c r="AA2805" s="622">
        <v>50965</v>
      </c>
      <c r="AB2805" s="622" t="s">
        <v>164</v>
      </c>
      <c r="AC2805" s="622">
        <v>39907.68421052632</v>
      </c>
      <c r="AD2805" s="623">
        <v>0.03</v>
      </c>
      <c r="AE2805" s="621" t="s">
        <v>4918</v>
      </c>
    </row>
    <row r="2806" spans="1:31" s="572" customFormat="1">
      <c r="A2806" s="570" t="s">
        <v>4926</v>
      </c>
      <c r="B2806" s="573" t="s">
        <v>269</v>
      </c>
      <c r="C2806" s="578" t="s">
        <v>270</v>
      </c>
      <c r="D2806" s="573" t="s">
        <v>3374</v>
      </c>
      <c r="E2806" s="573" t="s">
        <v>1684</v>
      </c>
      <c r="F2806" s="573" t="s">
        <v>271</v>
      </c>
      <c r="G2806" s="573">
        <v>2019</v>
      </c>
      <c r="H2806" s="573" t="s">
        <v>4879</v>
      </c>
      <c r="I2806" s="573" t="s">
        <v>4634</v>
      </c>
      <c r="J2806" s="573" t="s">
        <v>3377</v>
      </c>
      <c r="K2806" s="573">
        <v>6</v>
      </c>
      <c r="L2806" s="573">
        <v>0</v>
      </c>
      <c r="M2806" s="573" t="s">
        <v>157</v>
      </c>
      <c r="N2806" s="573">
        <v>2</v>
      </c>
      <c r="O2806" s="573" t="s">
        <v>157</v>
      </c>
      <c r="P2806" s="571">
        <v>12800</v>
      </c>
      <c r="Q2806" s="573" t="s">
        <v>4235</v>
      </c>
      <c r="R2806" s="573">
        <v>8</v>
      </c>
      <c r="S2806" s="582" t="s">
        <v>4880</v>
      </c>
      <c r="T2806" s="573" t="s">
        <v>4928</v>
      </c>
      <c r="U2806" s="573">
        <v>179</v>
      </c>
      <c r="V2806" s="573">
        <v>40</v>
      </c>
      <c r="W2806" s="616">
        <v>14000</v>
      </c>
      <c r="X2806" s="617" t="s">
        <v>157</v>
      </c>
      <c r="Y2806" s="617" t="s">
        <v>450</v>
      </c>
      <c r="Z2806" s="617" t="s">
        <v>178</v>
      </c>
      <c r="AA2806" s="618">
        <v>43945</v>
      </c>
      <c r="AB2806" s="618" t="s">
        <v>164</v>
      </c>
      <c r="AC2806" s="618">
        <v>33023.915789473685</v>
      </c>
      <c r="AD2806" s="619">
        <v>0.03</v>
      </c>
      <c r="AE2806" s="617" t="s">
        <v>4927</v>
      </c>
    </row>
    <row r="2807" spans="1:31" s="572" customFormat="1">
      <c r="A2807" s="570" t="s">
        <v>4929</v>
      </c>
      <c r="B2807" s="569" t="s">
        <v>269</v>
      </c>
      <c r="C2807" s="580" t="s">
        <v>270</v>
      </c>
      <c r="D2807" s="569" t="s">
        <v>3374</v>
      </c>
      <c r="E2807" s="569" t="s">
        <v>1684</v>
      </c>
      <c r="F2807" s="569" t="s">
        <v>271</v>
      </c>
      <c r="G2807" s="569">
        <v>2019</v>
      </c>
      <c r="H2807" s="569" t="s">
        <v>4879</v>
      </c>
      <c r="I2807" s="569" t="s">
        <v>4634</v>
      </c>
      <c r="J2807" s="569" t="s">
        <v>3377</v>
      </c>
      <c r="K2807" s="569">
        <v>6</v>
      </c>
      <c r="L2807" s="569">
        <v>0</v>
      </c>
      <c r="M2807" s="569" t="s">
        <v>157</v>
      </c>
      <c r="N2807" s="569">
        <v>2</v>
      </c>
      <c r="O2807" s="569" t="s">
        <v>157</v>
      </c>
      <c r="P2807" s="568">
        <v>12800</v>
      </c>
      <c r="Q2807" s="569" t="s">
        <v>4231</v>
      </c>
      <c r="R2807" s="569">
        <v>8</v>
      </c>
      <c r="S2807" s="569" t="s">
        <v>4880</v>
      </c>
      <c r="T2807" s="569" t="s">
        <v>4928</v>
      </c>
      <c r="U2807" s="569">
        <v>179</v>
      </c>
      <c r="V2807" s="569">
        <v>40</v>
      </c>
      <c r="W2807" s="620">
        <v>14000</v>
      </c>
      <c r="X2807" s="621" t="s">
        <v>157</v>
      </c>
      <c r="Y2807" s="621" t="s">
        <v>728</v>
      </c>
      <c r="Z2807" s="621" t="s">
        <v>1523</v>
      </c>
      <c r="AA2807" s="622">
        <v>53065</v>
      </c>
      <c r="AB2807" s="622" t="s">
        <v>164</v>
      </c>
      <c r="AC2807" s="622">
        <v>41216.1052631579</v>
      </c>
      <c r="AD2807" s="623">
        <v>0.03</v>
      </c>
      <c r="AE2807" s="621" t="s">
        <v>4930</v>
      </c>
    </row>
    <row r="2808" spans="1:31" s="572" customFormat="1">
      <c r="A2808" s="570" t="s">
        <v>4931</v>
      </c>
      <c r="B2808" s="573" t="s">
        <v>278</v>
      </c>
      <c r="C2808" s="578">
        <v>15</v>
      </c>
      <c r="D2808" s="573" t="s">
        <v>3374</v>
      </c>
      <c r="E2808" s="573" t="s">
        <v>1684</v>
      </c>
      <c r="F2808" s="573" t="s">
        <v>271</v>
      </c>
      <c r="G2808" s="573">
        <v>2019</v>
      </c>
      <c r="H2808" s="573" t="s">
        <v>4879</v>
      </c>
      <c r="I2808" s="573" t="s">
        <v>4634</v>
      </c>
      <c r="J2808" s="573" t="s">
        <v>3377</v>
      </c>
      <c r="K2808" s="573">
        <v>6</v>
      </c>
      <c r="L2808" s="573">
        <v>0</v>
      </c>
      <c r="M2808" s="573" t="s">
        <v>157</v>
      </c>
      <c r="N2808" s="573">
        <v>2</v>
      </c>
      <c r="O2808" s="573" t="s">
        <v>157</v>
      </c>
      <c r="P2808" s="571">
        <v>12800</v>
      </c>
      <c r="Q2808" s="573" t="s">
        <v>4235</v>
      </c>
      <c r="R2808" s="573">
        <v>8</v>
      </c>
      <c r="S2808" s="582" t="s">
        <v>4880</v>
      </c>
      <c r="T2808" s="573" t="s">
        <v>4928</v>
      </c>
      <c r="U2808" s="573">
        <v>179</v>
      </c>
      <c r="V2808" s="573">
        <v>40</v>
      </c>
      <c r="W2808" s="616">
        <v>14000</v>
      </c>
      <c r="X2808" s="617" t="s">
        <v>157</v>
      </c>
      <c r="Y2808" s="617" t="s">
        <v>450</v>
      </c>
      <c r="Z2808" s="617" t="s">
        <v>178</v>
      </c>
      <c r="AA2808" s="618">
        <v>43945</v>
      </c>
      <c r="AB2808" s="618" t="s">
        <v>164</v>
      </c>
      <c r="AC2808" s="618">
        <v>33200</v>
      </c>
      <c r="AD2808" s="619">
        <v>0.01</v>
      </c>
      <c r="AE2808" s="617" t="s">
        <v>4927</v>
      </c>
    </row>
    <row r="2809" spans="1:31" s="572" customFormat="1">
      <c r="A2809" s="570" t="s">
        <v>4932</v>
      </c>
      <c r="B2809" s="569" t="s">
        <v>278</v>
      </c>
      <c r="C2809" s="580">
        <v>15</v>
      </c>
      <c r="D2809" s="569" t="s">
        <v>3374</v>
      </c>
      <c r="E2809" s="569" t="s">
        <v>1684</v>
      </c>
      <c r="F2809" s="569" t="s">
        <v>271</v>
      </c>
      <c r="G2809" s="569">
        <v>2019</v>
      </c>
      <c r="H2809" s="569" t="s">
        <v>4879</v>
      </c>
      <c r="I2809" s="569" t="s">
        <v>4634</v>
      </c>
      <c r="J2809" s="569" t="s">
        <v>3377</v>
      </c>
      <c r="K2809" s="569">
        <v>6</v>
      </c>
      <c r="L2809" s="569">
        <v>0</v>
      </c>
      <c r="M2809" s="569" t="s">
        <v>157</v>
      </c>
      <c r="N2809" s="569">
        <v>2</v>
      </c>
      <c r="O2809" s="569" t="s">
        <v>157</v>
      </c>
      <c r="P2809" s="568">
        <v>12800</v>
      </c>
      <c r="Q2809" s="569" t="s">
        <v>4231</v>
      </c>
      <c r="R2809" s="569">
        <v>8</v>
      </c>
      <c r="S2809" s="569" t="s">
        <v>4880</v>
      </c>
      <c r="T2809" s="569" t="s">
        <v>4928</v>
      </c>
      <c r="U2809" s="569">
        <v>179</v>
      </c>
      <c r="V2809" s="569">
        <v>40</v>
      </c>
      <c r="W2809" s="620">
        <v>14000</v>
      </c>
      <c r="X2809" s="621" t="s">
        <v>157</v>
      </c>
      <c r="Y2809" s="621" t="s">
        <v>728</v>
      </c>
      <c r="Z2809" s="621" t="s">
        <v>1523</v>
      </c>
      <c r="AA2809" s="622">
        <v>53065</v>
      </c>
      <c r="AB2809" s="622" t="s">
        <v>164</v>
      </c>
      <c r="AC2809" s="622">
        <v>41450</v>
      </c>
      <c r="AD2809" s="623">
        <v>0.01</v>
      </c>
      <c r="AE2809" s="621" t="s">
        <v>4930</v>
      </c>
    </row>
    <row r="2810" spans="1:31" s="572" customFormat="1">
      <c r="A2810" s="570" t="s">
        <v>4933</v>
      </c>
      <c r="B2810" s="573" t="s">
        <v>287</v>
      </c>
      <c r="C2810" s="578">
        <v>26</v>
      </c>
      <c r="D2810" s="573" t="s">
        <v>3374</v>
      </c>
      <c r="E2810" s="573" t="s">
        <v>1684</v>
      </c>
      <c r="F2810" s="573" t="s">
        <v>271</v>
      </c>
      <c r="G2810" s="573">
        <v>2019</v>
      </c>
      <c r="H2810" s="573" t="s">
        <v>4879</v>
      </c>
      <c r="I2810" s="573" t="s">
        <v>4634</v>
      </c>
      <c r="J2810" s="573" t="s">
        <v>3377</v>
      </c>
      <c r="K2810" s="573">
        <v>6</v>
      </c>
      <c r="L2810" s="573">
        <v>0</v>
      </c>
      <c r="M2810" s="573" t="s">
        <v>157</v>
      </c>
      <c r="N2810" s="573">
        <v>2</v>
      </c>
      <c r="O2810" s="573" t="s">
        <v>157</v>
      </c>
      <c r="P2810" s="571">
        <v>12800</v>
      </c>
      <c r="Q2810" s="573" t="s">
        <v>4235</v>
      </c>
      <c r="R2810" s="573">
        <v>8</v>
      </c>
      <c r="S2810" s="582" t="s">
        <v>4880</v>
      </c>
      <c r="T2810" s="573" t="s">
        <v>4928</v>
      </c>
      <c r="U2810" s="573">
        <v>179</v>
      </c>
      <c r="V2810" s="573">
        <v>40</v>
      </c>
      <c r="W2810" s="616">
        <v>14000</v>
      </c>
      <c r="X2810" s="617" t="s">
        <v>157</v>
      </c>
      <c r="Y2810" s="617" t="s">
        <v>450</v>
      </c>
      <c r="Z2810" s="617" t="s">
        <v>178</v>
      </c>
      <c r="AA2810" s="618">
        <v>43945</v>
      </c>
      <c r="AB2810" s="618" t="s">
        <v>164</v>
      </c>
      <c r="AC2810" s="618">
        <v>33242</v>
      </c>
      <c r="AD2810" s="619">
        <v>0.05</v>
      </c>
      <c r="AE2810" s="617" t="s">
        <v>4927</v>
      </c>
    </row>
    <row r="2811" spans="1:31" s="572" customFormat="1">
      <c r="A2811" s="570" t="s">
        <v>4934</v>
      </c>
      <c r="B2811" s="569" t="s">
        <v>287</v>
      </c>
      <c r="C2811" s="580">
        <v>26</v>
      </c>
      <c r="D2811" s="569" t="s">
        <v>3374</v>
      </c>
      <c r="E2811" s="569" t="s">
        <v>1684</v>
      </c>
      <c r="F2811" s="569" t="s">
        <v>271</v>
      </c>
      <c r="G2811" s="569">
        <v>2019</v>
      </c>
      <c r="H2811" s="569" t="s">
        <v>4879</v>
      </c>
      <c r="I2811" s="569" t="s">
        <v>4634</v>
      </c>
      <c r="J2811" s="569" t="s">
        <v>3377</v>
      </c>
      <c r="K2811" s="569">
        <v>6</v>
      </c>
      <c r="L2811" s="569">
        <v>0</v>
      </c>
      <c r="M2811" s="569" t="s">
        <v>157</v>
      </c>
      <c r="N2811" s="569">
        <v>2</v>
      </c>
      <c r="O2811" s="569" t="s">
        <v>157</v>
      </c>
      <c r="P2811" s="568">
        <v>12800</v>
      </c>
      <c r="Q2811" s="569" t="s">
        <v>4231</v>
      </c>
      <c r="R2811" s="569">
        <v>8</v>
      </c>
      <c r="S2811" s="569" t="s">
        <v>4880</v>
      </c>
      <c r="T2811" s="569" t="s">
        <v>4928</v>
      </c>
      <c r="U2811" s="569">
        <v>179</v>
      </c>
      <c r="V2811" s="569">
        <v>40</v>
      </c>
      <c r="W2811" s="620">
        <v>14000</v>
      </c>
      <c r="X2811" s="621" t="s">
        <v>157</v>
      </c>
      <c r="Y2811" s="621" t="s">
        <v>728</v>
      </c>
      <c r="Z2811" s="621" t="s">
        <v>1523</v>
      </c>
      <c r="AA2811" s="622">
        <v>53065</v>
      </c>
      <c r="AB2811" s="622" t="s">
        <v>164</v>
      </c>
      <c r="AC2811" s="622">
        <v>41436</v>
      </c>
      <c r="AD2811" s="623">
        <v>0.05</v>
      </c>
      <c r="AE2811" s="621" t="s">
        <v>4930</v>
      </c>
    </row>
    <row r="2812" spans="1:31" s="572" customFormat="1">
      <c r="A2812" s="570" t="s">
        <v>4935</v>
      </c>
      <c r="B2812" s="573" t="s">
        <v>280</v>
      </c>
      <c r="C2812" s="578">
        <v>27</v>
      </c>
      <c r="D2812" s="573" t="s">
        <v>3374</v>
      </c>
      <c r="E2812" s="573" t="s">
        <v>1684</v>
      </c>
      <c r="F2812" s="573" t="s">
        <v>271</v>
      </c>
      <c r="G2812" s="573">
        <v>2019</v>
      </c>
      <c r="H2812" s="573" t="s">
        <v>4879</v>
      </c>
      <c r="I2812" s="573" t="s">
        <v>4634</v>
      </c>
      <c r="J2812" s="573" t="s">
        <v>3377</v>
      </c>
      <c r="K2812" s="573">
        <v>6</v>
      </c>
      <c r="L2812" s="573">
        <v>0</v>
      </c>
      <c r="M2812" s="573" t="s">
        <v>157</v>
      </c>
      <c r="N2812" s="573">
        <v>2</v>
      </c>
      <c r="O2812" s="573" t="s">
        <v>157</v>
      </c>
      <c r="P2812" s="571">
        <v>12800</v>
      </c>
      <c r="Q2812" s="573" t="s">
        <v>4235</v>
      </c>
      <c r="R2812" s="573">
        <v>8</v>
      </c>
      <c r="S2812" s="582" t="s">
        <v>4880</v>
      </c>
      <c r="T2812" s="573" t="s">
        <v>4928</v>
      </c>
      <c r="U2812" s="573">
        <v>179</v>
      </c>
      <c r="V2812" s="573">
        <v>40</v>
      </c>
      <c r="W2812" s="616">
        <v>14000</v>
      </c>
      <c r="X2812" s="617" t="s">
        <v>157</v>
      </c>
      <c r="Y2812" s="617" t="s">
        <v>450</v>
      </c>
      <c r="Z2812" s="617" t="s">
        <v>178</v>
      </c>
      <c r="AA2812" s="618">
        <v>43945</v>
      </c>
      <c r="AB2812" s="618" t="s">
        <v>164</v>
      </c>
      <c r="AC2812" s="618">
        <v>33023.915789473685</v>
      </c>
      <c r="AD2812" s="619">
        <v>0.03</v>
      </c>
      <c r="AE2812" s="617" t="s">
        <v>4927</v>
      </c>
    </row>
    <row r="2813" spans="1:31" s="572" customFormat="1">
      <c r="A2813" s="570" t="s">
        <v>4936</v>
      </c>
      <c r="B2813" s="569" t="s">
        <v>280</v>
      </c>
      <c r="C2813" s="580">
        <v>27</v>
      </c>
      <c r="D2813" s="569" t="s">
        <v>3374</v>
      </c>
      <c r="E2813" s="569" t="s">
        <v>1684</v>
      </c>
      <c r="F2813" s="569" t="s">
        <v>271</v>
      </c>
      <c r="G2813" s="569">
        <v>2019</v>
      </c>
      <c r="H2813" s="569" t="s">
        <v>4879</v>
      </c>
      <c r="I2813" s="569" t="s">
        <v>4634</v>
      </c>
      <c r="J2813" s="569" t="s">
        <v>3377</v>
      </c>
      <c r="K2813" s="569">
        <v>6</v>
      </c>
      <c r="L2813" s="569">
        <v>0</v>
      </c>
      <c r="M2813" s="569" t="s">
        <v>157</v>
      </c>
      <c r="N2813" s="569">
        <v>2</v>
      </c>
      <c r="O2813" s="569" t="s">
        <v>157</v>
      </c>
      <c r="P2813" s="568">
        <v>12800</v>
      </c>
      <c r="Q2813" s="569" t="s">
        <v>4231</v>
      </c>
      <c r="R2813" s="569">
        <v>8</v>
      </c>
      <c r="S2813" s="569" t="s">
        <v>4880</v>
      </c>
      <c r="T2813" s="569" t="s">
        <v>4928</v>
      </c>
      <c r="U2813" s="569">
        <v>179</v>
      </c>
      <c r="V2813" s="569">
        <v>40</v>
      </c>
      <c r="W2813" s="620">
        <v>14000</v>
      </c>
      <c r="X2813" s="621" t="s">
        <v>157</v>
      </c>
      <c r="Y2813" s="621" t="s">
        <v>728</v>
      </c>
      <c r="Z2813" s="621" t="s">
        <v>1523</v>
      </c>
      <c r="AA2813" s="622">
        <v>53065</v>
      </c>
      <c r="AB2813" s="622" t="s">
        <v>164</v>
      </c>
      <c r="AC2813" s="622">
        <v>41216.1052631579</v>
      </c>
      <c r="AD2813" s="623">
        <v>0.03</v>
      </c>
      <c r="AE2813" s="621" t="s">
        <v>4930</v>
      </c>
    </row>
    <row r="2814" spans="1:31" s="572" customFormat="1">
      <c r="A2814" s="570" t="s">
        <v>4937</v>
      </c>
      <c r="B2814" s="573" t="s">
        <v>269</v>
      </c>
      <c r="C2814" s="578" t="s">
        <v>270</v>
      </c>
      <c r="D2814" s="573" t="s">
        <v>3374</v>
      </c>
      <c r="E2814" s="573" t="s">
        <v>1684</v>
      </c>
      <c r="F2814" s="573" t="s">
        <v>271</v>
      </c>
      <c r="G2814" s="573">
        <v>2019</v>
      </c>
      <c r="H2814" s="573" t="s">
        <v>4879</v>
      </c>
      <c r="I2814" s="573" t="s">
        <v>4634</v>
      </c>
      <c r="J2814" s="573" t="s">
        <v>752</v>
      </c>
      <c r="K2814" s="573">
        <v>6</v>
      </c>
      <c r="L2814" s="573">
        <v>0</v>
      </c>
      <c r="M2814" s="573" t="s">
        <v>157</v>
      </c>
      <c r="N2814" s="573">
        <v>2</v>
      </c>
      <c r="O2814" s="573" t="s">
        <v>157</v>
      </c>
      <c r="P2814" s="571">
        <v>12400</v>
      </c>
      <c r="Q2814" s="573" t="s">
        <v>4235</v>
      </c>
      <c r="R2814" s="573">
        <v>8</v>
      </c>
      <c r="S2814" s="582" t="s">
        <v>4892</v>
      </c>
      <c r="T2814" s="573" t="s">
        <v>4928</v>
      </c>
      <c r="U2814" s="573">
        <v>179</v>
      </c>
      <c r="V2814" s="573">
        <v>40</v>
      </c>
      <c r="W2814" s="616">
        <v>14000</v>
      </c>
      <c r="X2814" s="617" t="s">
        <v>157</v>
      </c>
      <c r="Y2814" s="617" t="s">
        <v>450</v>
      </c>
      <c r="Z2814" s="617" t="s">
        <v>178</v>
      </c>
      <c r="AA2814" s="618">
        <v>47450</v>
      </c>
      <c r="AB2814" s="618" t="s">
        <v>164</v>
      </c>
      <c r="AC2814" s="618">
        <v>35418.652631578952</v>
      </c>
      <c r="AD2814" s="619">
        <v>0.03</v>
      </c>
      <c r="AE2814" s="617" t="s">
        <v>4938</v>
      </c>
    </row>
    <row r="2815" spans="1:31" s="572" customFormat="1">
      <c r="A2815" s="570" t="s">
        <v>4939</v>
      </c>
      <c r="B2815" s="569" t="s">
        <v>269</v>
      </c>
      <c r="C2815" s="580" t="s">
        <v>270</v>
      </c>
      <c r="D2815" s="569" t="s">
        <v>3374</v>
      </c>
      <c r="E2815" s="569" t="s">
        <v>1684</v>
      </c>
      <c r="F2815" s="569" t="s">
        <v>271</v>
      </c>
      <c r="G2815" s="569">
        <v>2019</v>
      </c>
      <c r="H2815" s="569" t="s">
        <v>4879</v>
      </c>
      <c r="I2815" s="569" t="s">
        <v>4634</v>
      </c>
      <c r="J2815" s="569" t="s">
        <v>752</v>
      </c>
      <c r="K2815" s="569">
        <v>6</v>
      </c>
      <c r="L2815" s="569">
        <v>0</v>
      </c>
      <c r="M2815" s="569" t="s">
        <v>157</v>
      </c>
      <c r="N2815" s="569">
        <v>2</v>
      </c>
      <c r="O2815" s="569" t="s">
        <v>157</v>
      </c>
      <c r="P2815" s="568">
        <v>12400</v>
      </c>
      <c r="Q2815" s="569" t="s">
        <v>4231</v>
      </c>
      <c r="R2815" s="569">
        <v>8</v>
      </c>
      <c r="S2815" s="569" t="s">
        <v>4892</v>
      </c>
      <c r="T2815" s="569" t="s">
        <v>4928</v>
      </c>
      <c r="U2815" s="569">
        <v>179</v>
      </c>
      <c r="V2815" s="569">
        <v>40</v>
      </c>
      <c r="W2815" s="620">
        <v>14000</v>
      </c>
      <c r="X2815" s="621" t="s">
        <v>157</v>
      </c>
      <c r="Y2815" s="621" t="s">
        <v>728</v>
      </c>
      <c r="Z2815" s="621" t="s">
        <v>1523</v>
      </c>
      <c r="AA2815" s="622">
        <v>56570</v>
      </c>
      <c r="AB2815" s="622" t="s">
        <v>164</v>
      </c>
      <c r="AC2815" s="622">
        <v>43610.526315789473</v>
      </c>
      <c r="AD2815" s="623">
        <v>0.03</v>
      </c>
      <c r="AE2815" s="621" t="s">
        <v>4940</v>
      </c>
    </row>
    <row r="2816" spans="1:31" s="572" customFormat="1">
      <c r="A2816" s="570" t="s">
        <v>4941</v>
      </c>
      <c r="B2816" s="573" t="s">
        <v>278</v>
      </c>
      <c r="C2816" s="578">
        <v>15</v>
      </c>
      <c r="D2816" s="573" t="s">
        <v>3374</v>
      </c>
      <c r="E2816" s="573" t="s">
        <v>1684</v>
      </c>
      <c r="F2816" s="573" t="s">
        <v>271</v>
      </c>
      <c r="G2816" s="573">
        <v>2019</v>
      </c>
      <c r="H2816" s="573" t="s">
        <v>4879</v>
      </c>
      <c r="I2816" s="573" t="s">
        <v>4634</v>
      </c>
      <c r="J2816" s="573" t="s">
        <v>752</v>
      </c>
      <c r="K2816" s="573">
        <v>6</v>
      </c>
      <c r="L2816" s="573">
        <v>0</v>
      </c>
      <c r="M2816" s="573" t="s">
        <v>157</v>
      </c>
      <c r="N2816" s="573">
        <v>2</v>
      </c>
      <c r="O2816" s="573" t="s">
        <v>157</v>
      </c>
      <c r="P2816" s="571">
        <v>12400</v>
      </c>
      <c r="Q2816" s="573" t="s">
        <v>4235</v>
      </c>
      <c r="R2816" s="573">
        <v>8</v>
      </c>
      <c r="S2816" s="582" t="s">
        <v>4892</v>
      </c>
      <c r="T2816" s="573" t="s">
        <v>4928</v>
      </c>
      <c r="U2816" s="573">
        <v>179</v>
      </c>
      <c r="V2816" s="573">
        <v>40</v>
      </c>
      <c r="W2816" s="616">
        <v>14000</v>
      </c>
      <c r="X2816" s="617" t="s">
        <v>157</v>
      </c>
      <c r="Y2816" s="617" t="s">
        <v>450</v>
      </c>
      <c r="Z2816" s="617" t="s">
        <v>178</v>
      </c>
      <c r="AA2816" s="618">
        <v>47450</v>
      </c>
      <c r="AB2816" s="618" t="s">
        <v>164</v>
      </c>
      <c r="AC2816" s="618">
        <v>35600</v>
      </c>
      <c r="AD2816" s="619">
        <v>0.01</v>
      </c>
      <c r="AE2816" s="617" t="s">
        <v>4938</v>
      </c>
    </row>
    <row r="2817" spans="1:31" s="572" customFormat="1">
      <c r="A2817" s="570" t="s">
        <v>4942</v>
      </c>
      <c r="B2817" s="569" t="s">
        <v>278</v>
      </c>
      <c r="C2817" s="580">
        <v>15</v>
      </c>
      <c r="D2817" s="569" t="s">
        <v>3374</v>
      </c>
      <c r="E2817" s="569" t="s">
        <v>1684</v>
      </c>
      <c r="F2817" s="569" t="s">
        <v>271</v>
      </c>
      <c r="G2817" s="569">
        <v>2019</v>
      </c>
      <c r="H2817" s="569" t="s">
        <v>4879</v>
      </c>
      <c r="I2817" s="569" t="s">
        <v>4634</v>
      </c>
      <c r="J2817" s="569" t="s">
        <v>752</v>
      </c>
      <c r="K2817" s="569">
        <v>6</v>
      </c>
      <c r="L2817" s="569">
        <v>0</v>
      </c>
      <c r="M2817" s="569" t="s">
        <v>157</v>
      </c>
      <c r="N2817" s="569">
        <v>2</v>
      </c>
      <c r="O2817" s="569" t="s">
        <v>157</v>
      </c>
      <c r="P2817" s="568">
        <v>12400</v>
      </c>
      <c r="Q2817" s="569" t="s">
        <v>4231</v>
      </c>
      <c r="R2817" s="569">
        <v>8</v>
      </c>
      <c r="S2817" s="569" t="s">
        <v>4892</v>
      </c>
      <c r="T2817" s="569" t="s">
        <v>4928</v>
      </c>
      <c r="U2817" s="569">
        <v>179</v>
      </c>
      <c r="V2817" s="569">
        <v>40</v>
      </c>
      <c r="W2817" s="620">
        <v>14000</v>
      </c>
      <c r="X2817" s="621" t="s">
        <v>157</v>
      </c>
      <c r="Y2817" s="621" t="s">
        <v>728</v>
      </c>
      <c r="Z2817" s="621" t="s">
        <v>1523</v>
      </c>
      <c r="AA2817" s="622">
        <v>56570</v>
      </c>
      <c r="AB2817" s="622" t="s">
        <v>164</v>
      </c>
      <c r="AC2817" s="622">
        <v>43900</v>
      </c>
      <c r="AD2817" s="623">
        <v>0.01</v>
      </c>
      <c r="AE2817" s="621" t="s">
        <v>4940</v>
      </c>
    </row>
    <row r="2818" spans="1:31" s="572" customFormat="1">
      <c r="A2818" s="570" t="s">
        <v>4943</v>
      </c>
      <c r="B2818" s="573" t="s">
        <v>287</v>
      </c>
      <c r="C2818" s="578">
        <v>26</v>
      </c>
      <c r="D2818" s="573" t="s">
        <v>3374</v>
      </c>
      <c r="E2818" s="573" t="s">
        <v>1684</v>
      </c>
      <c r="F2818" s="573" t="s">
        <v>271</v>
      </c>
      <c r="G2818" s="573">
        <v>2019</v>
      </c>
      <c r="H2818" s="573" t="s">
        <v>4879</v>
      </c>
      <c r="I2818" s="573" t="s">
        <v>4634</v>
      </c>
      <c r="J2818" s="573" t="s">
        <v>752</v>
      </c>
      <c r="K2818" s="573">
        <v>6</v>
      </c>
      <c r="L2818" s="573">
        <v>0</v>
      </c>
      <c r="M2818" s="573" t="s">
        <v>157</v>
      </c>
      <c r="N2818" s="573">
        <v>2</v>
      </c>
      <c r="O2818" s="573" t="s">
        <v>157</v>
      </c>
      <c r="P2818" s="571">
        <v>12400</v>
      </c>
      <c r="Q2818" s="573" t="s">
        <v>4235</v>
      </c>
      <c r="R2818" s="573">
        <v>8</v>
      </c>
      <c r="S2818" s="582" t="s">
        <v>4892</v>
      </c>
      <c r="T2818" s="573" t="s">
        <v>4928</v>
      </c>
      <c r="U2818" s="573">
        <v>179</v>
      </c>
      <c r="V2818" s="573">
        <v>40</v>
      </c>
      <c r="W2818" s="616">
        <v>14000</v>
      </c>
      <c r="X2818" s="617" t="s">
        <v>157</v>
      </c>
      <c r="Y2818" s="617" t="s">
        <v>450</v>
      </c>
      <c r="Z2818" s="617" t="s">
        <v>178</v>
      </c>
      <c r="AA2818" s="618">
        <v>47450</v>
      </c>
      <c r="AB2818" s="618" t="s">
        <v>164</v>
      </c>
      <c r="AC2818" s="618">
        <v>35673</v>
      </c>
      <c r="AD2818" s="619">
        <v>0.05</v>
      </c>
      <c r="AE2818" s="617" t="s">
        <v>4938</v>
      </c>
    </row>
    <row r="2819" spans="1:31" s="572" customFormat="1">
      <c r="A2819" s="570" t="s">
        <v>4944</v>
      </c>
      <c r="B2819" s="569" t="s">
        <v>287</v>
      </c>
      <c r="C2819" s="580">
        <v>26</v>
      </c>
      <c r="D2819" s="569" t="s">
        <v>3374</v>
      </c>
      <c r="E2819" s="569" t="s">
        <v>1684</v>
      </c>
      <c r="F2819" s="569" t="s">
        <v>271</v>
      </c>
      <c r="G2819" s="569">
        <v>2019</v>
      </c>
      <c r="H2819" s="569" t="s">
        <v>4879</v>
      </c>
      <c r="I2819" s="569" t="s">
        <v>4634</v>
      </c>
      <c r="J2819" s="569" t="s">
        <v>752</v>
      </c>
      <c r="K2819" s="569">
        <v>6</v>
      </c>
      <c r="L2819" s="569">
        <v>0</v>
      </c>
      <c r="M2819" s="569" t="s">
        <v>157</v>
      </c>
      <c r="N2819" s="569">
        <v>2</v>
      </c>
      <c r="O2819" s="569" t="s">
        <v>157</v>
      </c>
      <c r="P2819" s="568">
        <v>12400</v>
      </c>
      <c r="Q2819" s="569" t="s">
        <v>4231</v>
      </c>
      <c r="R2819" s="569">
        <v>8</v>
      </c>
      <c r="S2819" s="569" t="s">
        <v>4892</v>
      </c>
      <c r="T2819" s="569" t="s">
        <v>4928</v>
      </c>
      <c r="U2819" s="569">
        <v>179</v>
      </c>
      <c r="V2819" s="569">
        <v>40</v>
      </c>
      <c r="W2819" s="620">
        <v>14000</v>
      </c>
      <c r="X2819" s="621" t="s">
        <v>157</v>
      </c>
      <c r="Y2819" s="621" t="s">
        <v>728</v>
      </c>
      <c r="Z2819" s="621" t="s">
        <v>1523</v>
      </c>
      <c r="AA2819" s="622">
        <v>56570</v>
      </c>
      <c r="AB2819" s="622" t="s">
        <v>164</v>
      </c>
      <c r="AC2819" s="622">
        <v>43868</v>
      </c>
      <c r="AD2819" s="623">
        <v>0.05</v>
      </c>
      <c r="AE2819" s="621" t="s">
        <v>4940</v>
      </c>
    </row>
    <row r="2820" spans="1:31" s="572" customFormat="1">
      <c r="A2820" s="570" t="s">
        <v>4945</v>
      </c>
      <c r="B2820" s="573" t="s">
        <v>280</v>
      </c>
      <c r="C2820" s="578">
        <v>27</v>
      </c>
      <c r="D2820" s="573" t="s">
        <v>3374</v>
      </c>
      <c r="E2820" s="573" t="s">
        <v>1684</v>
      </c>
      <c r="F2820" s="573" t="s">
        <v>271</v>
      </c>
      <c r="G2820" s="573">
        <v>2019</v>
      </c>
      <c r="H2820" s="573" t="s">
        <v>4879</v>
      </c>
      <c r="I2820" s="573" t="s">
        <v>4634</v>
      </c>
      <c r="J2820" s="573" t="s">
        <v>752</v>
      </c>
      <c r="K2820" s="573">
        <v>6</v>
      </c>
      <c r="L2820" s="573">
        <v>0</v>
      </c>
      <c r="M2820" s="573" t="s">
        <v>157</v>
      </c>
      <c r="N2820" s="573">
        <v>2</v>
      </c>
      <c r="O2820" s="573" t="s">
        <v>157</v>
      </c>
      <c r="P2820" s="571">
        <v>12400</v>
      </c>
      <c r="Q2820" s="573" t="s">
        <v>4235</v>
      </c>
      <c r="R2820" s="573">
        <v>8</v>
      </c>
      <c r="S2820" s="582" t="s">
        <v>4892</v>
      </c>
      <c r="T2820" s="573" t="s">
        <v>4928</v>
      </c>
      <c r="U2820" s="573">
        <v>179</v>
      </c>
      <c r="V2820" s="573">
        <v>40</v>
      </c>
      <c r="W2820" s="616">
        <v>14000</v>
      </c>
      <c r="X2820" s="617" t="s">
        <v>157</v>
      </c>
      <c r="Y2820" s="617" t="s">
        <v>450</v>
      </c>
      <c r="Z2820" s="617" t="s">
        <v>178</v>
      </c>
      <c r="AA2820" s="618">
        <v>47450</v>
      </c>
      <c r="AB2820" s="618" t="s">
        <v>164</v>
      </c>
      <c r="AC2820" s="618">
        <v>35418.652631578952</v>
      </c>
      <c r="AD2820" s="619">
        <v>0.03</v>
      </c>
      <c r="AE2820" s="617" t="s">
        <v>4938</v>
      </c>
    </row>
    <row r="2821" spans="1:31" s="572" customFormat="1">
      <c r="A2821" s="570" t="s">
        <v>4946</v>
      </c>
      <c r="B2821" s="569" t="s">
        <v>280</v>
      </c>
      <c r="C2821" s="580">
        <v>27</v>
      </c>
      <c r="D2821" s="569" t="s">
        <v>3374</v>
      </c>
      <c r="E2821" s="569" t="s">
        <v>1684</v>
      </c>
      <c r="F2821" s="569" t="s">
        <v>271</v>
      </c>
      <c r="G2821" s="569">
        <v>2019</v>
      </c>
      <c r="H2821" s="569" t="s">
        <v>4879</v>
      </c>
      <c r="I2821" s="569" t="s">
        <v>4634</v>
      </c>
      <c r="J2821" s="569" t="s">
        <v>752</v>
      </c>
      <c r="K2821" s="569">
        <v>6</v>
      </c>
      <c r="L2821" s="569">
        <v>0</v>
      </c>
      <c r="M2821" s="569" t="s">
        <v>157</v>
      </c>
      <c r="N2821" s="569">
        <v>2</v>
      </c>
      <c r="O2821" s="569" t="s">
        <v>157</v>
      </c>
      <c r="P2821" s="568">
        <v>12400</v>
      </c>
      <c r="Q2821" s="569" t="s">
        <v>4231</v>
      </c>
      <c r="R2821" s="569">
        <v>8</v>
      </c>
      <c r="S2821" s="569" t="s">
        <v>4892</v>
      </c>
      <c r="T2821" s="569" t="s">
        <v>4928</v>
      </c>
      <c r="U2821" s="569">
        <v>179</v>
      </c>
      <c r="V2821" s="569">
        <v>40</v>
      </c>
      <c r="W2821" s="620">
        <v>14000</v>
      </c>
      <c r="X2821" s="621" t="s">
        <v>157</v>
      </c>
      <c r="Y2821" s="621" t="s">
        <v>728</v>
      </c>
      <c r="Z2821" s="621" t="s">
        <v>1523</v>
      </c>
      <c r="AA2821" s="622">
        <v>56570</v>
      </c>
      <c r="AB2821" s="622" t="s">
        <v>164</v>
      </c>
      <c r="AC2821" s="622">
        <v>43610.526315789473</v>
      </c>
      <c r="AD2821" s="623">
        <v>0.03</v>
      </c>
      <c r="AE2821" s="621" t="s">
        <v>4940</v>
      </c>
    </row>
    <row r="2822" spans="1:31" s="572" customFormat="1">
      <c r="A2822" s="570" t="s">
        <v>4947</v>
      </c>
      <c r="B2822" s="573" t="s">
        <v>269</v>
      </c>
      <c r="C2822" s="578" t="s">
        <v>270</v>
      </c>
      <c r="D2822" s="573" t="s">
        <v>3374</v>
      </c>
      <c r="E2822" s="573" t="s">
        <v>1684</v>
      </c>
      <c r="F2822" s="573" t="s">
        <v>271</v>
      </c>
      <c r="G2822" s="573">
        <v>2019</v>
      </c>
      <c r="H2822" s="573" t="s">
        <v>4879</v>
      </c>
      <c r="I2822" s="573" t="s">
        <v>4949</v>
      </c>
      <c r="J2822" s="573" t="s">
        <v>3377</v>
      </c>
      <c r="K2822" s="573">
        <v>6</v>
      </c>
      <c r="L2822" s="573">
        <v>0</v>
      </c>
      <c r="M2822" s="573" t="s">
        <v>157</v>
      </c>
      <c r="N2822" s="573">
        <v>2</v>
      </c>
      <c r="O2822" s="573" t="s">
        <v>157</v>
      </c>
      <c r="P2822" s="571">
        <v>12600</v>
      </c>
      <c r="Q2822" s="573" t="s">
        <v>4235</v>
      </c>
      <c r="R2822" s="573">
        <v>8</v>
      </c>
      <c r="S2822" s="582" t="s">
        <v>4904</v>
      </c>
      <c r="T2822" s="573" t="s">
        <v>4950</v>
      </c>
      <c r="U2822" s="573">
        <v>179</v>
      </c>
      <c r="V2822" s="573">
        <v>40</v>
      </c>
      <c r="W2822" s="616">
        <v>11000</v>
      </c>
      <c r="X2822" s="617" t="s">
        <v>157</v>
      </c>
      <c r="Y2822" s="617" t="s">
        <v>450</v>
      </c>
      <c r="Z2822" s="617" t="s">
        <v>178</v>
      </c>
      <c r="AA2822" s="618">
        <v>42860</v>
      </c>
      <c r="AB2822" s="618" t="s">
        <v>164</v>
      </c>
      <c r="AC2822" s="618">
        <v>33283.915789473685</v>
      </c>
      <c r="AD2822" s="619">
        <v>0.03</v>
      </c>
      <c r="AE2822" s="617" t="s">
        <v>4948</v>
      </c>
    </row>
    <row r="2823" spans="1:31" s="572" customFormat="1">
      <c r="A2823" s="570" t="s">
        <v>4951</v>
      </c>
      <c r="B2823" s="569" t="s">
        <v>269</v>
      </c>
      <c r="C2823" s="580" t="s">
        <v>270</v>
      </c>
      <c r="D2823" s="569" t="s">
        <v>3374</v>
      </c>
      <c r="E2823" s="569" t="s">
        <v>1684</v>
      </c>
      <c r="F2823" s="569" t="s">
        <v>271</v>
      </c>
      <c r="G2823" s="569">
        <v>2019</v>
      </c>
      <c r="H2823" s="569" t="s">
        <v>4879</v>
      </c>
      <c r="I2823" s="569" t="s">
        <v>4949</v>
      </c>
      <c r="J2823" s="569" t="s">
        <v>3377</v>
      </c>
      <c r="K2823" s="569">
        <v>6</v>
      </c>
      <c r="L2823" s="569">
        <v>0</v>
      </c>
      <c r="M2823" s="569" t="s">
        <v>157</v>
      </c>
      <c r="N2823" s="569">
        <v>2</v>
      </c>
      <c r="O2823" s="569" t="s">
        <v>157</v>
      </c>
      <c r="P2823" s="568">
        <v>12600</v>
      </c>
      <c r="Q2823" s="569" t="s">
        <v>4231</v>
      </c>
      <c r="R2823" s="569">
        <v>8</v>
      </c>
      <c r="S2823" s="569" t="s">
        <v>4904</v>
      </c>
      <c r="T2823" s="569" t="s">
        <v>4950</v>
      </c>
      <c r="U2823" s="569">
        <v>179</v>
      </c>
      <c r="V2823" s="569">
        <v>40</v>
      </c>
      <c r="W2823" s="620">
        <v>11500</v>
      </c>
      <c r="X2823" s="621" t="s">
        <v>157</v>
      </c>
      <c r="Y2823" s="621" t="s">
        <v>728</v>
      </c>
      <c r="Z2823" s="621" t="s">
        <v>1523</v>
      </c>
      <c r="AA2823" s="622">
        <v>51980</v>
      </c>
      <c r="AB2823" s="622" t="s">
        <v>164</v>
      </c>
      <c r="AC2823" s="622">
        <v>41476.1052631579</v>
      </c>
      <c r="AD2823" s="623">
        <v>0.03</v>
      </c>
      <c r="AE2823" s="621" t="s">
        <v>4952</v>
      </c>
    </row>
    <row r="2824" spans="1:31" s="572" customFormat="1">
      <c r="A2824" s="570" t="s">
        <v>4953</v>
      </c>
      <c r="B2824" s="573" t="s">
        <v>278</v>
      </c>
      <c r="C2824" s="578">
        <v>15</v>
      </c>
      <c r="D2824" s="573" t="s">
        <v>3374</v>
      </c>
      <c r="E2824" s="573" t="s">
        <v>1684</v>
      </c>
      <c r="F2824" s="573" t="s">
        <v>271</v>
      </c>
      <c r="G2824" s="573">
        <v>2019</v>
      </c>
      <c r="H2824" s="573" t="s">
        <v>4879</v>
      </c>
      <c r="I2824" s="573" t="s">
        <v>4949</v>
      </c>
      <c r="J2824" s="573" t="s">
        <v>3377</v>
      </c>
      <c r="K2824" s="573">
        <v>6</v>
      </c>
      <c r="L2824" s="573">
        <v>0</v>
      </c>
      <c r="M2824" s="573" t="s">
        <v>157</v>
      </c>
      <c r="N2824" s="573">
        <v>2</v>
      </c>
      <c r="O2824" s="573" t="s">
        <v>157</v>
      </c>
      <c r="P2824" s="571">
        <v>12600</v>
      </c>
      <c r="Q2824" s="573" t="s">
        <v>4235</v>
      </c>
      <c r="R2824" s="573">
        <v>8</v>
      </c>
      <c r="S2824" s="582" t="s">
        <v>4904</v>
      </c>
      <c r="T2824" s="573" t="s">
        <v>4950</v>
      </c>
      <c r="U2824" s="573">
        <v>179</v>
      </c>
      <c r="V2824" s="573">
        <v>40</v>
      </c>
      <c r="W2824" s="616">
        <v>11000</v>
      </c>
      <c r="X2824" s="617" t="s">
        <v>157</v>
      </c>
      <c r="Y2824" s="617" t="s">
        <v>450</v>
      </c>
      <c r="Z2824" s="617" t="s">
        <v>178</v>
      </c>
      <c r="AA2824" s="618">
        <v>42860</v>
      </c>
      <c r="AB2824" s="618" t="s">
        <v>164</v>
      </c>
      <c r="AC2824" s="618">
        <v>33450</v>
      </c>
      <c r="AD2824" s="619">
        <v>0.01</v>
      </c>
      <c r="AE2824" s="617" t="s">
        <v>4948</v>
      </c>
    </row>
    <row r="2825" spans="1:31" s="572" customFormat="1">
      <c r="A2825" s="570" t="s">
        <v>4954</v>
      </c>
      <c r="B2825" s="569" t="s">
        <v>278</v>
      </c>
      <c r="C2825" s="580">
        <v>15</v>
      </c>
      <c r="D2825" s="569" t="s">
        <v>3374</v>
      </c>
      <c r="E2825" s="569" t="s">
        <v>1684</v>
      </c>
      <c r="F2825" s="569" t="s">
        <v>271</v>
      </c>
      <c r="G2825" s="569">
        <v>2019</v>
      </c>
      <c r="H2825" s="569" t="s">
        <v>4879</v>
      </c>
      <c r="I2825" s="569" t="s">
        <v>4949</v>
      </c>
      <c r="J2825" s="569" t="s">
        <v>3377</v>
      </c>
      <c r="K2825" s="569">
        <v>6</v>
      </c>
      <c r="L2825" s="569">
        <v>0</v>
      </c>
      <c r="M2825" s="569" t="s">
        <v>157</v>
      </c>
      <c r="N2825" s="569">
        <v>2</v>
      </c>
      <c r="O2825" s="569" t="s">
        <v>157</v>
      </c>
      <c r="P2825" s="568">
        <v>12600</v>
      </c>
      <c r="Q2825" s="569" t="s">
        <v>4231</v>
      </c>
      <c r="R2825" s="569">
        <v>8</v>
      </c>
      <c r="S2825" s="569" t="s">
        <v>4904</v>
      </c>
      <c r="T2825" s="569" t="s">
        <v>4950</v>
      </c>
      <c r="U2825" s="569">
        <v>179</v>
      </c>
      <c r="V2825" s="569">
        <v>40</v>
      </c>
      <c r="W2825" s="620">
        <v>11500</v>
      </c>
      <c r="X2825" s="621" t="s">
        <v>157</v>
      </c>
      <c r="Y2825" s="621" t="s">
        <v>728</v>
      </c>
      <c r="Z2825" s="621" t="s">
        <v>1523</v>
      </c>
      <c r="AA2825" s="622">
        <v>51980</v>
      </c>
      <c r="AB2825" s="622" t="s">
        <v>164</v>
      </c>
      <c r="AC2825" s="622">
        <v>41700</v>
      </c>
      <c r="AD2825" s="623">
        <v>0.01</v>
      </c>
      <c r="AE2825" s="621" t="s">
        <v>4952</v>
      </c>
    </row>
    <row r="2826" spans="1:31" s="572" customFormat="1">
      <c r="A2826" s="570" t="s">
        <v>4955</v>
      </c>
      <c r="B2826" s="573" t="s">
        <v>287</v>
      </c>
      <c r="C2826" s="578">
        <v>26</v>
      </c>
      <c r="D2826" s="573" t="s">
        <v>3374</v>
      </c>
      <c r="E2826" s="573" t="s">
        <v>1684</v>
      </c>
      <c r="F2826" s="573" t="s">
        <v>271</v>
      </c>
      <c r="G2826" s="573">
        <v>2019</v>
      </c>
      <c r="H2826" s="573" t="s">
        <v>4879</v>
      </c>
      <c r="I2826" s="573" t="s">
        <v>4949</v>
      </c>
      <c r="J2826" s="573" t="s">
        <v>3377</v>
      </c>
      <c r="K2826" s="573">
        <v>6</v>
      </c>
      <c r="L2826" s="573">
        <v>0</v>
      </c>
      <c r="M2826" s="573" t="s">
        <v>157</v>
      </c>
      <c r="N2826" s="573">
        <v>2</v>
      </c>
      <c r="O2826" s="573" t="s">
        <v>157</v>
      </c>
      <c r="P2826" s="571">
        <v>12600</v>
      </c>
      <c r="Q2826" s="573" t="s">
        <v>4235</v>
      </c>
      <c r="R2826" s="573">
        <v>8</v>
      </c>
      <c r="S2826" s="582" t="s">
        <v>4904</v>
      </c>
      <c r="T2826" s="573" t="s">
        <v>4950</v>
      </c>
      <c r="U2826" s="573">
        <v>179</v>
      </c>
      <c r="V2826" s="573">
        <v>40</v>
      </c>
      <c r="W2826" s="616">
        <v>11000</v>
      </c>
      <c r="X2826" s="617" t="s">
        <v>157</v>
      </c>
      <c r="Y2826" s="617" t="s">
        <v>450</v>
      </c>
      <c r="Z2826" s="617" t="s">
        <v>178</v>
      </c>
      <c r="AA2826" s="618">
        <v>42860</v>
      </c>
      <c r="AB2826" s="618" t="s">
        <v>164</v>
      </c>
      <c r="AC2826" s="618">
        <v>33533</v>
      </c>
      <c r="AD2826" s="619">
        <v>0.05</v>
      </c>
      <c r="AE2826" s="617" t="s">
        <v>4948</v>
      </c>
    </row>
    <row r="2827" spans="1:31" s="572" customFormat="1">
      <c r="A2827" s="570" t="s">
        <v>4956</v>
      </c>
      <c r="B2827" s="569" t="s">
        <v>287</v>
      </c>
      <c r="C2827" s="580">
        <v>26</v>
      </c>
      <c r="D2827" s="569" t="s">
        <v>3374</v>
      </c>
      <c r="E2827" s="569" t="s">
        <v>1684</v>
      </c>
      <c r="F2827" s="569" t="s">
        <v>271</v>
      </c>
      <c r="G2827" s="569">
        <v>2019</v>
      </c>
      <c r="H2827" s="569" t="s">
        <v>4879</v>
      </c>
      <c r="I2827" s="569" t="s">
        <v>4949</v>
      </c>
      <c r="J2827" s="569" t="s">
        <v>3377</v>
      </c>
      <c r="K2827" s="569">
        <v>6</v>
      </c>
      <c r="L2827" s="569">
        <v>0</v>
      </c>
      <c r="M2827" s="569" t="s">
        <v>157</v>
      </c>
      <c r="N2827" s="569">
        <v>2</v>
      </c>
      <c r="O2827" s="569" t="s">
        <v>157</v>
      </c>
      <c r="P2827" s="568">
        <v>12600</v>
      </c>
      <c r="Q2827" s="569" t="s">
        <v>4231</v>
      </c>
      <c r="R2827" s="569">
        <v>8</v>
      </c>
      <c r="S2827" s="569" t="s">
        <v>4904</v>
      </c>
      <c r="T2827" s="569" t="s">
        <v>4950</v>
      </c>
      <c r="U2827" s="569">
        <v>179</v>
      </c>
      <c r="V2827" s="569">
        <v>40</v>
      </c>
      <c r="W2827" s="620">
        <v>11500</v>
      </c>
      <c r="X2827" s="621" t="s">
        <v>157</v>
      </c>
      <c r="Y2827" s="621" t="s">
        <v>728</v>
      </c>
      <c r="Z2827" s="621" t="s">
        <v>1523</v>
      </c>
      <c r="AA2827" s="622">
        <v>51980</v>
      </c>
      <c r="AB2827" s="622" t="s">
        <v>164</v>
      </c>
      <c r="AC2827" s="622">
        <v>41727</v>
      </c>
      <c r="AD2827" s="623">
        <v>0.05</v>
      </c>
      <c r="AE2827" s="621" t="s">
        <v>4952</v>
      </c>
    </row>
    <row r="2828" spans="1:31" s="572" customFormat="1">
      <c r="A2828" s="570" t="s">
        <v>4957</v>
      </c>
      <c r="B2828" s="573" t="s">
        <v>280</v>
      </c>
      <c r="C2828" s="578">
        <v>27</v>
      </c>
      <c r="D2828" s="573" t="s">
        <v>3374</v>
      </c>
      <c r="E2828" s="573" t="s">
        <v>1684</v>
      </c>
      <c r="F2828" s="573" t="s">
        <v>271</v>
      </c>
      <c r="G2828" s="573">
        <v>2019</v>
      </c>
      <c r="H2828" s="573" t="s">
        <v>4879</v>
      </c>
      <c r="I2828" s="573" t="s">
        <v>4949</v>
      </c>
      <c r="J2828" s="573" t="s">
        <v>3377</v>
      </c>
      <c r="K2828" s="573">
        <v>6</v>
      </c>
      <c r="L2828" s="573">
        <v>0</v>
      </c>
      <c r="M2828" s="573" t="s">
        <v>157</v>
      </c>
      <c r="N2828" s="573">
        <v>2</v>
      </c>
      <c r="O2828" s="573" t="s">
        <v>157</v>
      </c>
      <c r="P2828" s="571">
        <v>12600</v>
      </c>
      <c r="Q2828" s="573" t="s">
        <v>4235</v>
      </c>
      <c r="R2828" s="573">
        <v>8</v>
      </c>
      <c r="S2828" s="582" t="s">
        <v>4904</v>
      </c>
      <c r="T2828" s="573" t="s">
        <v>4950</v>
      </c>
      <c r="U2828" s="573">
        <v>179</v>
      </c>
      <c r="V2828" s="573">
        <v>40</v>
      </c>
      <c r="W2828" s="616">
        <v>11000</v>
      </c>
      <c r="X2828" s="617" t="s">
        <v>157</v>
      </c>
      <c r="Y2828" s="617" t="s">
        <v>450</v>
      </c>
      <c r="Z2828" s="617" t="s">
        <v>178</v>
      </c>
      <c r="AA2828" s="618">
        <v>42860</v>
      </c>
      <c r="AB2828" s="618" t="s">
        <v>164</v>
      </c>
      <c r="AC2828" s="618">
        <v>33283.915789473685</v>
      </c>
      <c r="AD2828" s="619">
        <v>0.03</v>
      </c>
      <c r="AE2828" s="617" t="s">
        <v>4948</v>
      </c>
    </row>
    <row r="2829" spans="1:31" s="572" customFormat="1">
      <c r="A2829" s="570" t="s">
        <v>4958</v>
      </c>
      <c r="B2829" s="569" t="s">
        <v>280</v>
      </c>
      <c r="C2829" s="580">
        <v>27</v>
      </c>
      <c r="D2829" s="569" t="s">
        <v>3374</v>
      </c>
      <c r="E2829" s="569" t="s">
        <v>1684</v>
      </c>
      <c r="F2829" s="569" t="s">
        <v>271</v>
      </c>
      <c r="G2829" s="569">
        <v>2019</v>
      </c>
      <c r="H2829" s="569" t="s">
        <v>4879</v>
      </c>
      <c r="I2829" s="569" t="s">
        <v>4949</v>
      </c>
      <c r="J2829" s="569" t="s">
        <v>3377</v>
      </c>
      <c r="K2829" s="569">
        <v>6</v>
      </c>
      <c r="L2829" s="569">
        <v>0</v>
      </c>
      <c r="M2829" s="569" t="s">
        <v>157</v>
      </c>
      <c r="N2829" s="569">
        <v>2</v>
      </c>
      <c r="O2829" s="569" t="s">
        <v>157</v>
      </c>
      <c r="P2829" s="568">
        <v>12600</v>
      </c>
      <c r="Q2829" s="569" t="s">
        <v>4231</v>
      </c>
      <c r="R2829" s="569">
        <v>8</v>
      </c>
      <c r="S2829" s="569" t="s">
        <v>4904</v>
      </c>
      <c r="T2829" s="569" t="s">
        <v>4950</v>
      </c>
      <c r="U2829" s="569">
        <v>179</v>
      </c>
      <c r="V2829" s="569">
        <v>40</v>
      </c>
      <c r="W2829" s="620">
        <v>11500</v>
      </c>
      <c r="X2829" s="621" t="s">
        <v>157</v>
      </c>
      <c r="Y2829" s="621" t="s">
        <v>728</v>
      </c>
      <c r="Z2829" s="621" t="s">
        <v>1523</v>
      </c>
      <c r="AA2829" s="622">
        <v>51980</v>
      </c>
      <c r="AB2829" s="622" t="s">
        <v>164</v>
      </c>
      <c r="AC2829" s="622">
        <v>41476.1052631579</v>
      </c>
      <c r="AD2829" s="623">
        <v>0.03</v>
      </c>
      <c r="AE2829" s="621" t="s">
        <v>4952</v>
      </c>
    </row>
    <row r="2830" spans="1:31" s="572" customFormat="1">
      <c r="A2830" s="570" t="s">
        <v>4959</v>
      </c>
      <c r="B2830" s="573" t="s">
        <v>269</v>
      </c>
      <c r="C2830" s="578" t="s">
        <v>270</v>
      </c>
      <c r="D2830" s="573" t="s">
        <v>3374</v>
      </c>
      <c r="E2830" s="573" t="s">
        <v>1684</v>
      </c>
      <c r="F2830" s="573" t="s">
        <v>271</v>
      </c>
      <c r="G2830" s="573">
        <v>2019</v>
      </c>
      <c r="H2830" s="573" t="s">
        <v>4879</v>
      </c>
      <c r="I2830" s="573" t="s">
        <v>4949</v>
      </c>
      <c r="J2830" s="573" t="s">
        <v>752</v>
      </c>
      <c r="K2830" s="573">
        <v>6</v>
      </c>
      <c r="L2830" s="573">
        <v>0</v>
      </c>
      <c r="M2830" s="573" t="s">
        <v>157</v>
      </c>
      <c r="N2830" s="573">
        <v>2</v>
      </c>
      <c r="O2830" s="573" t="s">
        <v>157</v>
      </c>
      <c r="P2830" s="571">
        <v>12100</v>
      </c>
      <c r="Q2830" s="573" t="s">
        <v>4235</v>
      </c>
      <c r="R2830" s="573">
        <v>8</v>
      </c>
      <c r="S2830" s="582" t="s">
        <v>4916</v>
      </c>
      <c r="T2830" s="573" t="s">
        <v>4950</v>
      </c>
      <c r="U2830" s="573">
        <v>179</v>
      </c>
      <c r="V2830" s="573">
        <v>40</v>
      </c>
      <c r="W2830" s="616">
        <v>11400</v>
      </c>
      <c r="X2830" s="617" t="s">
        <v>157</v>
      </c>
      <c r="Y2830" s="617" t="s">
        <v>450</v>
      </c>
      <c r="Z2830" s="617" t="s">
        <v>178</v>
      </c>
      <c r="AA2830" s="618">
        <v>46365</v>
      </c>
      <c r="AB2830" s="618" t="s">
        <v>164</v>
      </c>
      <c r="AC2830" s="618">
        <v>35890.231578947372</v>
      </c>
      <c r="AD2830" s="619">
        <v>0.03</v>
      </c>
      <c r="AE2830" s="617" t="s">
        <v>4960</v>
      </c>
    </row>
    <row r="2831" spans="1:31" s="572" customFormat="1">
      <c r="A2831" s="570" t="s">
        <v>4961</v>
      </c>
      <c r="B2831" s="569" t="s">
        <v>269</v>
      </c>
      <c r="C2831" s="580" t="s">
        <v>270</v>
      </c>
      <c r="D2831" s="569" t="s">
        <v>3374</v>
      </c>
      <c r="E2831" s="569" t="s">
        <v>1684</v>
      </c>
      <c r="F2831" s="569" t="s">
        <v>271</v>
      </c>
      <c r="G2831" s="569">
        <v>2019</v>
      </c>
      <c r="H2831" s="569" t="s">
        <v>4879</v>
      </c>
      <c r="I2831" s="569" t="s">
        <v>4949</v>
      </c>
      <c r="J2831" s="569" t="s">
        <v>752</v>
      </c>
      <c r="K2831" s="569">
        <v>6</v>
      </c>
      <c r="L2831" s="569">
        <v>0</v>
      </c>
      <c r="M2831" s="569" t="s">
        <v>157</v>
      </c>
      <c r="N2831" s="569">
        <v>2</v>
      </c>
      <c r="O2831" s="569" t="s">
        <v>157</v>
      </c>
      <c r="P2831" s="568">
        <v>12100</v>
      </c>
      <c r="Q2831" s="569" t="s">
        <v>4231</v>
      </c>
      <c r="R2831" s="569">
        <v>8</v>
      </c>
      <c r="S2831" s="569" t="s">
        <v>4916</v>
      </c>
      <c r="T2831" s="569" t="s">
        <v>4950</v>
      </c>
      <c r="U2831" s="569">
        <v>179</v>
      </c>
      <c r="V2831" s="569">
        <v>40</v>
      </c>
      <c r="W2831" s="620">
        <v>11500</v>
      </c>
      <c r="X2831" s="621" t="s">
        <v>157</v>
      </c>
      <c r="Y2831" s="621" t="s">
        <v>728</v>
      </c>
      <c r="Z2831" s="621" t="s">
        <v>1523</v>
      </c>
      <c r="AA2831" s="622">
        <v>55485</v>
      </c>
      <c r="AB2831" s="622" t="s">
        <v>164</v>
      </c>
      <c r="AC2831" s="622">
        <v>44082.421052631587</v>
      </c>
      <c r="AD2831" s="623">
        <v>0.03</v>
      </c>
      <c r="AE2831" s="621" t="s">
        <v>4962</v>
      </c>
    </row>
    <row r="2832" spans="1:31" s="572" customFormat="1">
      <c r="A2832" s="570" t="s">
        <v>4963</v>
      </c>
      <c r="B2832" s="573" t="s">
        <v>278</v>
      </c>
      <c r="C2832" s="578">
        <v>15</v>
      </c>
      <c r="D2832" s="573" t="s">
        <v>3374</v>
      </c>
      <c r="E2832" s="573" t="s">
        <v>1684</v>
      </c>
      <c r="F2832" s="573" t="s">
        <v>271</v>
      </c>
      <c r="G2832" s="573">
        <v>2019</v>
      </c>
      <c r="H2832" s="573" t="s">
        <v>4879</v>
      </c>
      <c r="I2832" s="573" t="s">
        <v>4949</v>
      </c>
      <c r="J2832" s="573" t="s">
        <v>752</v>
      </c>
      <c r="K2832" s="573">
        <v>6</v>
      </c>
      <c r="L2832" s="573">
        <v>0</v>
      </c>
      <c r="M2832" s="573" t="s">
        <v>157</v>
      </c>
      <c r="N2832" s="573">
        <v>2</v>
      </c>
      <c r="O2832" s="573" t="s">
        <v>157</v>
      </c>
      <c r="P2832" s="571">
        <v>12200</v>
      </c>
      <c r="Q2832" s="573" t="s">
        <v>4235</v>
      </c>
      <c r="R2832" s="573">
        <v>8</v>
      </c>
      <c r="S2832" s="582" t="s">
        <v>4916</v>
      </c>
      <c r="T2832" s="573" t="s">
        <v>4950</v>
      </c>
      <c r="U2832" s="573">
        <v>179</v>
      </c>
      <c r="V2832" s="573">
        <v>40</v>
      </c>
      <c r="W2832" s="616">
        <v>11400</v>
      </c>
      <c r="X2832" s="617" t="s">
        <v>157</v>
      </c>
      <c r="Y2832" s="617" t="s">
        <v>450</v>
      </c>
      <c r="Z2832" s="617" t="s">
        <v>178</v>
      </c>
      <c r="AA2832" s="618">
        <v>46365</v>
      </c>
      <c r="AB2832" s="618" t="s">
        <v>164</v>
      </c>
      <c r="AC2832" s="618">
        <v>36100</v>
      </c>
      <c r="AD2832" s="619">
        <v>0.01</v>
      </c>
      <c r="AE2832" s="617" t="s">
        <v>4964</v>
      </c>
    </row>
    <row r="2833" spans="1:31" s="572" customFormat="1">
      <c r="A2833" s="570" t="s">
        <v>4965</v>
      </c>
      <c r="B2833" s="569" t="s">
        <v>278</v>
      </c>
      <c r="C2833" s="580">
        <v>15</v>
      </c>
      <c r="D2833" s="569" t="s">
        <v>3374</v>
      </c>
      <c r="E2833" s="569" t="s">
        <v>1684</v>
      </c>
      <c r="F2833" s="569" t="s">
        <v>271</v>
      </c>
      <c r="G2833" s="569">
        <v>2019</v>
      </c>
      <c r="H2833" s="569" t="s">
        <v>4879</v>
      </c>
      <c r="I2833" s="569" t="s">
        <v>4949</v>
      </c>
      <c r="J2833" s="569" t="s">
        <v>752</v>
      </c>
      <c r="K2833" s="569">
        <v>6</v>
      </c>
      <c r="L2833" s="569">
        <v>0</v>
      </c>
      <c r="M2833" s="569" t="s">
        <v>157</v>
      </c>
      <c r="N2833" s="569">
        <v>2</v>
      </c>
      <c r="O2833" s="569" t="s">
        <v>157</v>
      </c>
      <c r="P2833" s="568">
        <v>12200</v>
      </c>
      <c r="Q2833" s="569" t="s">
        <v>4231</v>
      </c>
      <c r="R2833" s="569">
        <v>8</v>
      </c>
      <c r="S2833" s="569" t="s">
        <v>4916</v>
      </c>
      <c r="T2833" s="569" t="s">
        <v>4950</v>
      </c>
      <c r="U2833" s="569">
        <v>179</v>
      </c>
      <c r="V2833" s="569">
        <v>40</v>
      </c>
      <c r="W2833" s="620">
        <v>11500</v>
      </c>
      <c r="X2833" s="621" t="s">
        <v>157</v>
      </c>
      <c r="Y2833" s="621" t="s">
        <v>728</v>
      </c>
      <c r="Z2833" s="621" t="s">
        <v>1523</v>
      </c>
      <c r="AA2833" s="622">
        <v>55485</v>
      </c>
      <c r="AB2833" s="622" t="s">
        <v>164</v>
      </c>
      <c r="AC2833" s="622">
        <v>44350</v>
      </c>
      <c r="AD2833" s="623">
        <v>0.01</v>
      </c>
      <c r="AE2833" s="621" t="s">
        <v>4962</v>
      </c>
    </row>
    <row r="2834" spans="1:31" s="572" customFormat="1">
      <c r="A2834" s="570" t="s">
        <v>4966</v>
      </c>
      <c r="B2834" s="573" t="s">
        <v>287</v>
      </c>
      <c r="C2834" s="578">
        <v>26</v>
      </c>
      <c r="D2834" s="573" t="s">
        <v>3374</v>
      </c>
      <c r="E2834" s="573" t="s">
        <v>1684</v>
      </c>
      <c r="F2834" s="573" t="s">
        <v>271</v>
      </c>
      <c r="G2834" s="573">
        <v>2019</v>
      </c>
      <c r="H2834" s="573" t="s">
        <v>4879</v>
      </c>
      <c r="I2834" s="573" t="s">
        <v>4949</v>
      </c>
      <c r="J2834" s="573" t="s">
        <v>752</v>
      </c>
      <c r="K2834" s="573">
        <v>6</v>
      </c>
      <c r="L2834" s="573">
        <v>0</v>
      </c>
      <c r="M2834" s="573" t="s">
        <v>157</v>
      </c>
      <c r="N2834" s="573">
        <v>2</v>
      </c>
      <c r="O2834" s="573" t="s">
        <v>157</v>
      </c>
      <c r="P2834" s="571">
        <v>12200</v>
      </c>
      <c r="Q2834" s="573" t="s">
        <v>4235</v>
      </c>
      <c r="R2834" s="573">
        <v>8</v>
      </c>
      <c r="S2834" s="582" t="s">
        <v>4916</v>
      </c>
      <c r="T2834" s="573" t="s">
        <v>4950</v>
      </c>
      <c r="U2834" s="573">
        <v>179</v>
      </c>
      <c r="V2834" s="573">
        <v>40</v>
      </c>
      <c r="W2834" s="616">
        <v>11400</v>
      </c>
      <c r="X2834" s="617" t="s">
        <v>157</v>
      </c>
      <c r="Y2834" s="617" t="s">
        <v>450</v>
      </c>
      <c r="Z2834" s="617" t="s">
        <v>178</v>
      </c>
      <c r="AA2834" s="618">
        <v>45915</v>
      </c>
      <c r="AB2834" s="618" t="s">
        <v>164</v>
      </c>
      <c r="AC2834" s="618">
        <v>36179</v>
      </c>
      <c r="AD2834" s="619">
        <v>0.05</v>
      </c>
      <c r="AE2834" s="617" t="s">
        <v>4964</v>
      </c>
    </row>
    <row r="2835" spans="1:31" s="572" customFormat="1">
      <c r="A2835" s="570" t="s">
        <v>4967</v>
      </c>
      <c r="B2835" s="569" t="s">
        <v>287</v>
      </c>
      <c r="C2835" s="580">
        <v>26</v>
      </c>
      <c r="D2835" s="569" t="s">
        <v>3374</v>
      </c>
      <c r="E2835" s="569" t="s">
        <v>1684</v>
      </c>
      <c r="F2835" s="569" t="s">
        <v>271</v>
      </c>
      <c r="G2835" s="569">
        <v>2019</v>
      </c>
      <c r="H2835" s="569" t="s">
        <v>4879</v>
      </c>
      <c r="I2835" s="569" t="s">
        <v>4949</v>
      </c>
      <c r="J2835" s="569" t="s">
        <v>752</v>
      </c>
      <c r="K2835" s="569">
        <v>6</v>
      </c>
      <c r="L2835" s="569">
        <v>0</v>
      </c>
      <c r="M2835" s="569" t="s">
        <v>157</v>
      </c>
      <c r="N2835" s="569">
        <v>2</v>
      </c>
      <c r="O2835" s="569" t="s">
        <v>157</v>
      </c>
      <c r="P2835" s="568">
        <v>12200</v>
      </c>
      <c r="Q2835" s="569" t="s">
        <v>4231</v>
      </c>
      <c r="R2835" s="569">
        <v>8</v>
      </c>
      <c r="S2835" s="569" t="s">
        <v>4916</v>
      </c>
      <c r="T2835" s="569" t="s">
        <v>4950</v>
      </c>
      <c r="U2835" s="569">
        <v>179</v>
      </c>
      <c r="V2835" s="569">
        <v>40</v>
      </c>
      <c r="W2835" s="620">
        <v>11500</v>
      </c>
      <c r="X2835" s="621" t="s">
        <v>157</v>
      </c>
      <c r="Y2835" s="621" t="s">
        <v>728</v>
      </c>
      <c r="Z2835" s="621" t="s">
        <v>1523</v>
      </c>
      <c r="AA2835" s="622">
        <v>54910</v>
      </c>
      <c r="AB2835" s="622" t="s">
        <v>164</v>
      </c>
      <c r="AC2835" s="622">
        <v>44373</v>
      </c>
      <c r="AD2835" s="623">
        <v>0.05</v>
      </c>
      <c r="AE2835" s="621" t="s">
        <v>4962</v>
      </c>
    </row>
    <row r="2836" spans="1:31" s="572" customFormat="1">
      <c r="A2836" s="570" t="s">
        <v>4968</v>
      </c>
      <c r="B2836" s="573" t="s">
        <v>280</v>
      </c>
      <c r="C2836" s="578">
        <v>27</v>
      </c>
      <c r="D2836" s="573" t="s">
        <v>3374</v>
      </c>
      <c r="E2836" s="573" t="s">
        <v>1684</v>
      </c>
      <c r="F2836" s="573" t="s">
        <v>271</v>
      </c>
      <c r="G2836" s="573">
        <v>2019</v>
      </c>
      <c r="H2836" s="573" t="s">
        <v>4879</v>
      </c>
      <c r="I2836" s="573" t="s">
        <v>4949</v>
      </c>
      <c r="J2836" s="573" t="s">
        <v>752</v>
      </c>
      <c r="K2836" s="573">
        <v>6</v>
      </c>
      <c r="L2836" s="573">
        <v>0</v>
      </c>
      <c r="M2836" s="573" t="s">
        <v>157</v>
      </c>
      <c r="N2836" s="573">
        <v>2</v>
      </c>
      <c r="O2836" s="573" t="s">
        <v>157</v>
      </c>
      <c r="P2836" s="571">
        <v>12100</v>
      </c>
      <c r="Q2836" s="573" t="s">
        <v>4235</v>
      </c>
      <c r="R2836" s="573">
        <v>8</v>
      </c>
      <c r="S2836" s="582" t="s">
        <v>4916</v>
      </c>
      <c r="T2836" s="573" t="s">
        <v>4950</v>
      </c>
      <c r="U2836" s="573">
        <v>179</v>
      </c>
      <c r="V2836" s="573">
        <v>40</v>
      </c>
      <c r="W2836" s="616">
        <v>11400</v>
      </c>
      <c r="X2836" s="617" t="s">
        <v>157</v>
      </c>
      <c r="Y2836" s="617" t="s">
        <v>450</v>
      </c>
      <c r="Z2836" s="617" t="s">
        <v>178</v>
      </c>
      <c r="AA2836" s="618">
        <v>46365</v>
      </c>
      <c r="AB2836" s="618" t="s">
        <v>164</v>
      </c>
      <c r="AC2836" s="618">
        <v>35890.231578947372</v>
      </c>
      <c r="AD2836" s="619">
        <v>0.03</v>
      </c>
      <c r="AE2836" s="617" t="s">
        <v>4960</v>
      </c>
    </row>
    <row r="2837" spans="1:31" s="572" customFormat="1">
      <c r="A2837" s="570" t="s">
        <v>4969</v>
      </c>
      <c r="B2837" s="569" t="s">
        <v>280</v>
      </c>
      <c r="C2837" s="580">
        <v>27</v>
      </c>
      <c r="D2837" s="569" t="s">
        <v>3374</v>
      </c>
      <c r="E2837" s="569" t="s">
        <v>1684</v>
      </c>
      <c r="F2837" s="569" t="s">
        <v>271</v>
      </c>
      <c r="G2837" s="569">
        <v>2019</v>
      </c>
      <c r="H2837" s="569" t="s">
        <v>4879</v>
      </c>
      <c r="I2837" s="569" t="s">
        <v>4949</v>
      </c>
      <c r="J2837" s="569" t="s">
        <v>752</v>
      </c>
      <c r="K2837" s="569">
        <v>6</v>
      </c>
      <c r="L2837" s="569">
        <v>0</v>
      </c>
      <c r="M2837" s="569" t="s">
        <v>157</v>
      </c>
      <c r="N2837" s="569">
        <v>2</v>
      </c>
      <c r="O2837" s="569" t="s">
        <v>157</v>
      </c>
      <c r="P2837" s="568">
        <v>12100</v>
      </c>
      <c r="Q2837" s="569" t="s">
        <v>4231</v>
      </c>
      <c r="R2837" s="569">
        <v>8</v>
      </c>
      <c r="S2837" s="569" t="s">
        <v>4916</v>
      </c>
      <c r="T2837" s="569" t="s">
        <v>4950</v>
      </c>
      <c r="U2837" s="569">
        <v>179</v>
      </c>
      <c r="V2837" s="569">
        <v>40</v>
      </c>
      <c r="W2837" s="620">
        <v>11500</v>
      </c>
      <c r="X2837" s="621" t="s">
        <v>157</v>
      </c>
      <c r="Y2837" s="621" t="s">
        <v>728</v>
      </c>
      <c r="Z2837" s="621" t="s">
        <v>1523</v>
      </c>
      <c r="AA2837" s="622">
        <v>55485</v>
      </c>
      <c r="AB2837" s="622" t="s">
        <v>164</v>
      </c>
      <c r="AC2837" s="622">
        <v>44082.421052631587</v>
      </c>
      <c r="AD2837" s="623">
        <v>0.03</v>
      </c>
      <c r="AE2837" s="621" t="s">
        <v>4962</v>
      </c>
    </row>
    <row r="2838" spans="1:31" s="572" customFormat="1">
      <c r="A2838" s="570" t="s">
        <v>4970</v>
      </c>
      <c r="B2838" s="573" t="s">
        <v>269</v>
      </c>
      <c r="C2838" s="578" t="s">
        <v>270</v>
      </c>
      <c r="D2838" s="573" t="s">
        <v>3374</v>
      </c>
      <c r="E2838" s="573" t="s">
        <v>1684</v>
      </c>
      <c r="F2838" s="573" t="s">
        <v>271</v>
      </c>
      <c r="G2838" s="573">
        <v>2019</v>
      </c>
      <c r="H2838" s="573" t="s">
        <v>4879</v>
      </c>
      <c r="I2838" s="573" t="s">
        <v>4684</v>
      </c>
      <c r="J2838" s="573" t="s">
        <v>3377</v>
      </c>
      <c r="K2838" s="573">
        <v>3</v>
      </c>
      <c r="L2838" s="573">
        <v>0</v>
      </c>
      <c r="M2838" s="573" t="s">
        <v>157</v>
      </c>
      <c r="N2838" s="573">
        <v>1</v>
      </c>
      <c r="O2838" s="573" t="s">
        <v>157</v>
      </c>
      <c r="P2838" s="571">
        <v>13140</v>
      </c>
      <c r="Q2838" s="573" t="s">
        <v>4235</v>
      </c>
      <c r="R2838" s="573">
        <v>8</v>
      </c>
      <c r="S2838" s="582" t="s">
        <v>4972</v>
      </c>
      <c r="T2838" s="573" t="s">
        <v>4881</v>
      </c>
      <c r="U2838" s="573">
        <v>169</v>
      </c>
      <c r="V2838" s="573">
        <v>40</v>
      </c>
      <c r="W2838" s="616">
        <v>14000</v>
      </c>
      <c r="X2838" s="617" t="s">
        <v>157</v>
      </c>
      <c r="Y2838" s="617" t="s">
        <v>450</v>
      </c>
      <c r="Z2838" s="617" t="s">
        <v>178</v>
      </c>
      <c r="AA2838" s="618">
        <v>36575</v>
      </c>
      <c r="AB2838" s="618" t="s">
        <v>164</v>
      </c>
      <c r="AC2838" s="618">
        <v>26004.968421052636</v>
      </c>
      <c r="AD2838" s="619">
        <v>0.03</v>
      </c>
      <c r="AE2838" s="617" t="s">
        <v>4971</v>
      </c>
    </row>
    <row r="2839" spans="1:31" s="572" customFormat="1">
      <c r="A2839" s="570" t="s">
        <v>4973</v>
      </c>
      <c r="B2839" s="569" t="s">
        <v>269</v>
      </c>
      <c r="C2839" s="580" t="s">
        <v>270</v>
      </c>
      <c r="D2839" s="569" t="s">
        <v>3374</v>
      </c>
      <c r="E2839" s="569" t="s">
        <v>1684</v>
      </c>
      <c r="F2839" s="569" t="s">
        <v>271</v>
      </c>
      <c r="G2839" s="569">
        <v>2019</v>
      </c>
      <c r="H2839" s="569" t="s">
        <v>4879</v>
      </c>
      <c r="I2839" s="569" t="s">
        <v>4684</v>
      </c>
      <c r="J2839" s="569" t="s">
        <v>3377</v>
      </c>
      <c r="K2839" s="569">
        <v>3</v>
      </c>
      <c r="L2839" s="569">
        <v>0</v>
      </c>
      <c r="M2839" s="569" t="s">
        <v>157</v>
      </c>
      <c r="N2839" s="569">
        <v>1</v>
      </c>
      <c r="O2839" s="569" t="s">
        <v>157</v>
      </c>
      <c r="P2839" s="568">
        <v>13140</v>
      </c>
      <c r="Q2839" s="569" t="s">
        <v>4231</v>
      </c>
      <c r="R2839" s="569">
        <v>8</v>
      </c>
      <c r="S2839" s="569" t="s">
        <v>4972</v>
      </c>
      <c r="T2839" s="569" t="s">
        <v>4881</v>
      </c>
      <c r="U2839" s="569">
        <v>169</v>
      </c>
      <c r="V2839" s="569">
        <v>40</v>
      </c>
      <c r="W2839" s="620">
        <v>14000</v>
      </c>
      <c r="X2839" s="621" t="s">
        <v>157</v>
      </c>
      <c r="Y2839" s="621" t="s">
        <v>728</v>
      </c>
      <c r="Z2839" s="621" t="s">
        <v>1523</v>
      </c>
      <c r="AA2839" s="622">
        <v>45695</v>
      </c>
      <c r="AB2839" s="622" t="s">
        <v>164</v>
      </c>
      <c r="AC2839" s="622">
        <v>34197.157894736847</v>
      </c>
      <c r="AD2839" s="623">
        <v>0.03</v>
      </c>
      <c r="AE2839" s="621" t="s">
        <v>4974</v>
      </c>
    </row>
    <row r="2840" spans="1:31" s="572" customFormat="1">
      <c r="A2840" s="570" t="s">
        <v>4975</v>
      </c>
      <c r="B2840" s="573" t="s">
        <v>269</v>
      </c>
      <c r="C2840" s="578" t="s">
        <v>270</v>
      </c>
      <c r="D2840" s="573" t="s">
        <v>3374</v>
      </c>
      <c r="E2840" s="573" t="s">
        <v>1684</v>
      </c>
      <c r="F2840" s="573" t="s">
        <v>271</v>
      </c>
      <c r="G2840" s="573">
        <v>2019</v>
      </c>
      <c r="H2840" s="573" t="s">
        <v>4879</v>
      </c>
      <c r="I2840" s="573" t="s">
        <v>4684</v>
      </c>
      <c r="J2840" s="573" t="s">
        <v>3377</v>
      </c>
      <c r="K2840" s="573">
        <v>3</v>
      </c>
      <c r="L2840" s="573">
        <v>0</v>
      </c>
      <c r="M2840" s="573" t="s">
        <v>157</v>
      </c>
      <c r="N2840" s="573">
        <v>1</v>
      </c>
      <c r="O2840" s="573" t="s">
        <v>157</v>
      </c>
      <c r="P2840" s="571">
        <v>13300</v>
      </c>
      <c r="Q2840" s="573" t="s">
        <v>4235</v>
      </c>
      <c r="R2840" s="573">
        <v>8</v>
      </c>
      <c r="S2840" s="582" t="s">
        <v>4972</v>
      </c>
      <c r="T2840" s="573" t="s">
        <v>4881</v>
      </c>
      <c r="U2840" s="573">
        <v>145</v>
      </c>
      <c r="V2840" s="573">
        <v>40</v>
      </c>
      <c r="W2840" s="616">
        <v>14000</v>
      </c>
      <c r="X2840" s="617" t="s">
        <v>157</v>
      </c>
      <c r="Y2840" s="617" t="s">
        <v>450</v>
      </c>
      <c r="Z2840" s="617" t="s">
        <v>178</v>
      </c>
      <c r="AA2840" s="618">
        <v>36400</v>
      </c>
      <c r="AB2840" s="618" t="s">
        <v>164</v>
      </c>
      <c r="AC2840" s="618">
        <v>25843.915789473685</v>
      </c>
      <c r="AD2840" s="619">
        <v>0.03</v>
      </c>
      <c r="AE2840" s="617" t="s">
        <v>4976</v>
      </c>
    </row>
    <row r="2841" spans="1:31" s="572" customFormat="1">
      <c r="A2841" s="570" t="s">
        <v>4977</v>
      </c>
      <c r="B2841" s="569" t="s">
        <v>269</v>
      </c>
      <c r="C2841" s="580" t="s">
        <v>270</v>
      </c>
      <c r="D2841" s="569" t="s">
        <v>3374</v>
      </c>
      <c r="E2841" s="569" t="s">
        <v>1684</v>
      </c>
      <c r="F2841" s="569" t="s">
        <v>271</v>
      </c>
      <c r="G2841" s="569">
        <v>2019</v>
      </c>
      <c r="H2841" s="569" t="s">
        <v>4879</v>
      </c>
      <c r="I2841" s="569" t="s">
        <v>4684</v>
      </c>
      <c r="J2841" s="569" t="s">
        <v>3377</v>
      </c>
      <c r="K2841" s="569">
        <v>3</v>
      </c>
      <c r="L2841" s="569">
        <v>0</v>
      </c>
      <c r="M2841" s="569" t="s">
        <v>157</v>
      </c>
      <c r="N2841" s="569">
        <v>1</v>
      </c>
      <c r="O2841" s="569" t="s">
        <v>157</v>
      </c>
      <c r="P2841" s="568">
        <v>13300</v>
      </c>
      <c r="Q2841" s="569" t="s">
        <v>4231</v>
      </c>
      <c r="R2841" s="569">
        <v>8</v>
      </c>
      <c r="S2841" s="569" t="s">
        <v>4972</v>
      </c>
      <c r="T2841" s="569" t="s">
        <v>4881</v>
      </c>
      <c r="U2841" s="569">
        <v>145</v>
      </c>
      <c r="V2841" s="569">
        <v>40</v>
      </c>
      <c r="W2841" s="620">
        <v>14000</v>
      </c>
      <c r="X2841" s="621" t="s">
        <v>157</v>
      </c>
      <c r="Y2841" s="621" t="s">
        <v>728</v>
      </c>
      <c r="Z2841" s="621" t="s">
        <v>1523</v>
      </c>
      <c r="AA2841" s="622">
        <v>45520</v>
      </c>
      <c r="AB2841" s="622" t="s">
        <v>164</v>
      </c>
      <c r="AC2841" s="622">
        <v>34036.1052631579</v>
      </c>
      <c r="AD2841" s="623">
        <v>0.03</v>
      </c>
      <c r="AE2841" s="621" t="s">
        <v>4978</v>
      </c>
    </row>
    <row r="2842" spans="1:31" s="572" customFormat="1">
      <c r="A2842" s="570" t="s">
        <v>4979</v>
      </c>
      <c r="B2842" s="573" t="s">
        <v>278</v>
      </c>
      <c r="C2842" s="578">
        <v>15</v>
      </c>
      <c r="D2842" s="573" t="s">
        <v>3374</v>
      </c>
      <c r="E2842" s="573" t="s">
        <v>1684</v>
      </c>
      <c r="F2842" s="573" t="s">
        <v>271</v>
      </c>
      <c r="G2842" s="573">
        <v>2019</v>
      </c>
      <c r="H2842" s="573" t="s">
        <v>4879</v>
      </c>
      <c r="I2842" s="573" t="s">
        <v>4684</v>
      </c>
      <c r="J2842" s="573" t="s">
        <v>3377</v>
      </c>
      <c r="K2842" s="573">
        <v>3</v>
      </c>
      <c r="L2842" s="573">
        <v>0</v>
      </c>
      <c r="M2842" s="573" t="s">
        <v>157</v>
      </c>
      <c r="N2842" s="573">
        <v>1</v>
      </c>
      <c r="O2842" s="573" t="s">
        <v>157</v>
      </c>
      <c r="P2842" s="571">
        <v>13200</v>
      </c>
      <c r="Q2842" s="573" t="s">
        <v>4235</v>
      </c>
      <c r="R2842" s="573">
        <v>8</v>
      </c>
      <c r="S2842" s="582" t="s">
        <v>4972</v>
      </c>
      <c r="T2842" s="573" t="s">
        <v>4881</v>
      </c>
      <c r="U2842" s="573">
        <v>169</v>
      </c>
      <c r="V2842" s="573">
        <v>40</v>
      </c>
      <c r="W2842" s="616">
        <v>14000</v>
      </c>
      <c r="X2842" s="617" t="s">
        <v>157</v>
      </c>
      <c r="Y2842" s="617" t="s">
        <v>450</v>
      </c>
      <c r="Z2842" s="617" t="s">
        <v>178</v>
      </c>
      <c r="AA2842" s="618">
        <v>36575</v>
      </c>
      <c r="AB2842" s="618" t="s">
        <v>164</v>
      </c>
      <c r="AC2842" s="618">
        <v>26100</v>
      </c>
      <c r="AD2842" s="619">
        <v>0.01</v>
      </c>
      <c r="AE2842" s="617" t="s">
        <v>4971</v>
      </c>
    </row>
    <row r="2843" spans="1:31" s="572" customFormat="1">
      <c r="A2843" s="570" t="s">
        <v>4980</v>
      </c>
      <c r="B2843" s="569" t="s">
        <v>278</v>
      </c>
      <c r="C2843" s="580">
        <v>15</v>
      </c>
      <c r="D2843" s="569" t="s">
        <v>3374</v>
      </c>
      <c r="E2843" s="569" t="s">
        <v>1684</v>
      </c>
      <c r="F2843" s="569" t="s">
        <v>271</v>
      </c>
      <c r="G2843" s="569">
        <v>2019</v>
      </c>
      <c r="H2843" s="569" t="s">
        <v>4879</v>
      </c>
      <c r="I2843" s="569" t="s">
        <v>4684</v>
      </c>
      <c r="J2843" s="569" t="s">
        <v>3377</v>
      </c>
      <c r="K2843" s="569">
        <v>3</v>
      </c>
      <c r="L2843" s="569">
        <v>0</v>
      </c>
      <c r="M2843" s="569" t="s">
        <v>157</v>
      </c>
      <c r="N2843" s="569">
        <v>1</v>
      </c>
      <c r="O2843" s="569" t="s">
        <v>157</v>
      </c>
      <c r="P2843" s="568">
        <v>13200</v>
      </c>
      <c r="Q2843" s="569" t="s">
        <v>4231</v>
      </c>
      <c r="R2843" s="569">
        <v>8</v>
      </c>
      <c r="S2843" s="569" t="s">
        <v>4972</v>
      </c>
      <c r="T2843" s="569" t="s">
        <v>4881</v>
      </c>
      <c r="U2843" s="569">
        <v>169</v>
      </c>
      <c r="V2843" s="569">
        <v>40</v>
      </c>
      <c r="W2843" s="620">
        <v>14000</v>
      </c>
      <c r="X2843" s="621" t="s">
        <v>157</v>
      </c>
      <c r="Y2843" s="621" t="s">
        <v>728</v>
      </c>
      <c r="Z2843" s="621" t="s">
        <v>1523</v>
      </c>
      <c r="AA2843" s="622">
        <v>45695</v>
      </c>
      <c r="AB2843" s="622" t="s">
        <v>164</v>
      </c>
      <c r="AC2843" s="622">
        <v>34350</v>
      </c>
      <c r="AD2843" s="623">
        <v>0.01</v>
      </c>
      <c r="AE2843" s="621" t="s">
        <v>4974</v>
      </c>
    </row>
    <row r="2844" spans="1:31" s="572" customFormat="1">
      <c r="A2844" s="570" t="s">
        <v>4981</v>
      </c>
      <c r="B2844" s="573" t="s">
        <v>278</v>
      </c>
      <c r="C2844" s="578">
        <v>15</v>
      </c>
      <c r="D2844" s="573" t="s">
        <v>3374</v>
      </c>
      <c r="E2844" s="573" t="s">
        <v>1684</v>
      </c>
      <c r="F2844" s="573" t="s">
        <v>271</v>
      </c>
      <c r="G2844" s="573">
        <v>2019</v>
      </c>
      <c r="H2844" s="573" t="s">
        <v>4879</v>
      </c>
      <c r="I2844" s="573" t="s">
        <v>4684</v>
      </c>
      <c r="J2844" s="573" t="s">
        <v>3377</v>
      </c>
      <c r="K2844" s="573">
        <v>3</v>
      </c>
      <c r="L2844" s="573">
        <v>0</v>
      </c>
      <c r="M2844" s="573" t="s">
        <v>157</v>
      </c>
      <c r="N2844" s="573">
        <v>1</v>
      </c>
      <c r="O2844" s="573" t="s">
        <v>157</v>
      </c>
      <c r="P2844" s="571">
        <v>13400</v>
      </c>
      <c r="Q2844" s="573" t="s">
        <v>4235</v>
      </c>
      <c r="R2844" s="573">
        <v>8</v>
      </c>
      <c r="S2844" s="582" t="s">
        <v>4972</v>
      </c>
      <c r="T2844" s="573" t="s">
        <v>4881</v>
      </c>
      <c r="U2844" s="573">
        <v>145</v>
      </c>
      <c r="V2844" s="573">
        <v>40</v>
      </c>
      <c r="W2844" s="616">
        <v>14000</v>
      </c>
      <c r="X2844" s="617" t="s">
        <v>157</v>
      </c>
      <c r="Y2844" s="617" t="s">
        <v>450</v>
      </c>
      <c r="Z2844" s="617" t="s">
        <v>178</v>
      </c>
      <c r="AA2844" s="618">
        <v>36400</v>
      </c>
      <c r="AB2844" s="618" t="s">
        <v>164</v>
      </c>
      <c r="AC2844" s="618">
        <v>25900</v>
      </c>
      <c r="AD2844" s="619">
        <v>0.01</v>
      </c>
      <c r="AE2844" s="617" t="s">
        <v>4976</v>
      </c>
    </row>
    <row r="2845" spans="1:31" s="572" customFormat="1">
      <c r="A2845" s="570" t="s">
        <v>4982</v>
      </c>
      <c r="B2845" s="569" t="s">
        <v>278</v>
      </c>
      <c r="C2845" s="580">
        <v>15</v>
      </c>
      <c r="D2845" s="569" t="s">
        <v>3374</v>
      </c>
      <c r="E2845" s="569" t="s">
        <v>1684</v>
      </c>
      <c r="F2845" s="569" t="s">
        <v>271</v>
      </c>
      <c r="G2845" s="569">
        <v>2019</v>
      </c>
      <c r="H2845" s="569" t="s">
        <v>4879</v>
      </c>
      <c r="I2845" s="569" t="s">
        <v>4684</v>
      </c>
      <c r="J2845" s="569" t="s">
        <v>3377</v>
      </c>
      <c r="K2845" s="569">
        <v>3</v>
      </c>
      <c r="L2845" s="569">
        <v>0</v>
      </c>
      <c r="M2845" s="569" t="s">
        <v>157</v>
      </c>
      <c r="N2845" s="569">
        <v>1</v>
      </c>
      <c r="O2845" s="569" t="s">
        <v>157</v>
      </c>
      <c r="P2845" s="568">
        <v>13400</v>
      </c>
      <c r="Q2845" s="569" t="s">
        <v>4231</v>
      </c>
      <c r="R2845" s="569">
        <v>8</v>
      </c>
      <c r="S2845" s="569" t="s">
        <v>4972</v>
      </c>
      <c r="T2845" s="569" t="s">
        <v>4881</v>
      </c>
      <c r="U2845" s="569">
        <v>145</v>
      </c>
      <c r="V2845" s="569">
        <v>40</v>
      </c>
      <c r="W2845" s="620">
        <v>14000</v>
      </c>
      <c r="X2845" s="621" t="s">
        <v>157</v>
      </c>
      <c r="Y2845" s="621" t="s">
        <v>728</v>
      </c>
      <c r="Z2845" s="621" t="s">
        <v>1523</v>
      </c>
      <c r="AA2845" s="622">
        <v>45520</v>
      </c>
      <c r="AB2845" s="622" t="s">
        <v>164</v>
      </c>
      <c r="AC2845" s="622">
        <v>34200</v>
      </c>
      <c r="AD2845" s="623">
        <v>0.01</v>
      </c>
      <c r="AE2845" s="621" t="s">
        <v>4978</v>
      </c>
    </row>
    <row r="2846" spans="1:31" s="572" customFormat="1">
      <c r="A2846" s="570" t="s">
        <v>4983</v>
      </c>
      <c r="B2846" s="573" t="s">
        <v>287</v>
      </c>
      <c r="C2846" s="578">
        <v>26</v>
      </c>
      <c r="D2846" s="573" t="s">
        <v>3374</v>
      </c>
      <c r="E2846" s="573" t="s">
        <v>1684</v>
      </c>
      <c r="F2846" s="573" t="s">
        <v>271</v>
      </c>
      <c r="G2846" s="573">
        <v>2019</v>
      </c>
      <c r="H2846" s="573" t="s">
        <v>4879</v>
      </c>
      <c r="I2846" s="573" t="s">
        <v>4684</v>
      </c>
      <c r="J2846" s="573" t="s">
        <v>3377</v>
      </c>
      <c r="K2846" s="573">
        <v>3</v>
      </c>
      <c r="L2846" s="573">
        <v>0</v>
      </c>
      <c r="M2846" s="573" t="s">
        <v>157</v>
      </c>
      <c r="N2846" s="573">
        <v>1</v>
      </c>
      <c r="O2846" s="573" t="s">
        <v>157</v>
      </c>
      <c r="P2846" s="571">
        <v>13200</v>
      </c>
      <c r="Q2846" s="573" t="s">
        <v>4235</v>
      </c>
      <c r="R2846" s="573">
        <v>8</v>
      </c>
      <c r="S2846" s="582" t="s">
        <v>4972</v>
      </c>
      <c r="T2846" s="573" t="s">
        <v>4881</v>
      </c>
      <c r="U2846" s="573">
        <v>169</v>
      </c>
      <c r="V2846" s="573">
        <v>40</v>
      </c>
      <c r="W2846" s="616">
        <v>14000</v>
      </c>
      <c r="X2846" s="617" t="s">
        <v>157</v>
      </c>
      <c r="Y2846" s="617" t="s">
        <v>450</v>
      </c>
      <c r="Z2846" s="617" t="s">
        <v>178</v>
      </c>
      <c r="AA2846" s="618">
        <v>36210</v>
      </c>
      <c r="AB2846" s="618" t="s">
        <v>164</v>
      </c>
      <c r="AC2846" s="618">
        <v>26197</v>
      </c>
      <c r="AD2846" s="619">
        <v>0.05</v>
      </c>
      <c r="AE2846" s="617" t="s">
        <v>4971</v>
      </c>
    </row>
    <row r="2847" spans="1:31" s="572" customFormat="1">
      <c r="A2847" s="570" t="s">
        <v>4984</v>
      </c>
      <c r="B2847" s="569" t="s">
        <v>287</v>
      </c>
      <c r="C2847" s="580">
        <v>26</v>
      </c>
      <c r="D2847" s="569" t="s">
        <v>3374</v>
      </c>
      <c r="E2847" s="569" t="s">
        <v>1684</v>
      </c>
      <c r="F2847" s="569" t="s">
        <v>271</v>
      </c>
      <c r="G2847" s="569">
        <v>2019</v>
      </c>
      <c r="H2847" s="569" t="s">
        <v>4879</v>
      </c>
      <c r="I2847" s="569" t="s">
        <v>4684</v>
      </c>
      <c r="J2847" s="569" t="s">
        <v>3377</v>
      </c>
      <c r="K2847" s="569">
        <v>3</v>
      </c>
      <c r="L2847" s="569">
        <v>0</v>
      </c>
      <c r="M2847" s="569" t="s">
        <v>157</v>
      </c>
      <c r="N2847" s="569">
        <v>1</v>
      </c>
      <c r="O2847" s="569" t="s">
        <v>157</v>
      </c>
      <c r="P2847" s="568">
        <v>13200</v>
      </c>
      <c r="Q2847" s="569" t="s">
        <v>4231</v>
      </c>
      <c r="R2847" s="569">
        <v>8</v>
      </c>
      <c r="S2847" s="569" t="s">
        <v>4972</v>
      </c>
      <c r="T2847" s="569" t="s">
        <v>4881</v>
      </c>
      <c r="U2847" s="569">
        <v>169</v>
      </c>
      <c r="V2847" s="569">
        <v>40</v>
      </c>
      <c r="W2847" s="620">
        <v>14000</v>
      </c>
      <c r="X2847" s="621" t="s">
        <v>157</v>
      </c>
      <c r="Y2847" s="621" t="s">
        <v>728</v>
      </c>
      <c r="Z2847" s="621" t="s">
        <v>1523</v>
      </c>
      <c r="AA2847" s="622">
        <v>45205</v>
      </c>
      <c r="AB2847" s="622" t="s">
        <v>164</v>
      </c>
      <c r="AC2847" s="622">
        <v>34391</v>
      </c>
      <c r="AD2847" s="623">
        <v>0.05</v>
      </c>
      <c r="AE2847" s="621" t="s">
        <v>4974</v>
      </c>
    </row>
    <row r="2848" spans="1:31" s="572" customFormat="1">
      <c r="A2848" s="570" t="s">
        <v>4985</v>
      </c>
      <c r="B2848" s="573" t="s">
        <v>287</v>
      </c>
      <c r="C2848" s="578">
        <v>26</v>
      </c>
      <c r="D2848" s="573" t="s">
        <v>3374</v>
      </c>
      <c r="E2848" s="573" t="s">
        <v>1684</v>
      </c>
      <c r="F2848" s="573" t="s">
        <v>271</v>
      </c>
      <c r="G2848" s="573">
        <v>2019</v>
      </c>
      <c r="H2848" s="573" t="s">
        <v>4879</v>
      </c>
      <c r="I2848" s="573" t="s">
        <v>4684</v>
      </c>
      <c r="J2848" s="573" t="s">
        <v>3377</v>
      </c>
      <c r="K2848" s="573">
        <v>3</v>
      </c>
      <c r="L2848" s="573">
        <v>0</v>
      </c>
      <c r="M2848" s="573" t="s">
        <v>157</v>
      </c>
      <c r="N2848" s="573">
        <v>1</v>
      </c>
      <c r="O2848" s="573" t="s">
        <v>157</v>
      </c>
      <c r="P2848" s="571">
        <v>13400</v>
      </c>
      <c r="Q2848" s="573" t="s">
        <v>4235</v>
      </c>
      <c r="R2848" s="573">
        <v>8</v>
      </c>
      <c r="S2848" s="582" t="s">
        <v>4972</v>
      </c>
      <c r="T2848" s="573" t="s">
        <v>4881</v>
      </c>
      <c r="U2848" s="573">
        <v>145</v>
      </c>
      <c r="V2848" s="573">
        <v>40</v>
      </c>
      <c r="W2848" s="616">
        <v>14000</v>
      </c>
      <c r="X2848" s="617" t="s">
        <v>157</v>
      </c>
      <c r="Y2848" s="617" t="s">
        <v>450</v>
      </c>
      <c r="Z2848" s="617" t="s">
        <v>178</v>
      </c>
      <c r="AA2848" s="618">
        <v>36035</v>
      </c>
      <c r="AB2848" s="618" t="s">
        <v>164</v>
      </c>
      <c r="AC2848" s="618">
        <v>26033</v>
      </c>
      <c r="AD2848" s="619">
        <v>0.05</v>
      </c>
      <c r="AE2848" s="617" t="s">
        <v>4976</v>
      </c>
    </row>
    <row r="2849" spans="1:31" s="572" customFormat="1">
      <c r="A2849" s="570" t="s">
        <v>4986</v>
      </c>
      <c r="B2849" s="569" t="s">
        <v>287</v>
      </c>
      <c r="C2849" s="580">
        <v>26</v>
      </c>
      <c r="D2849" s="569" t="s">
        <v>3374</v>
      </c>
      <c r="E2849" s="569" t="s">
        <v>1684</v>
      </c>
      <c r="F2849" s="569" t="s">
        <v>271</v>
      </c>
      <c r="G2849" s="569">
        <v>2019</v>
      </c>
      <c r="H2849" s="569" t="s">
        <v>4879</v>
      </c>
      <c r="I2849" s="569" t="s">
        <v>4684</v>
      </c>
      <c r="J2849" s="569" t="s">
        <v>3377</v>
      </c>
      <c r="K2849" s="569">
        <v>3</v>
      </c>
      <c r="L2849" s="569">
        <v>0</v>
      </c>
      <c r="M2849" s="569" t="s">
        <v>157</v>
      </c>
      <c r="N2849" s="569">
        <v>1</v>
      </c>
      <c r="O2849" s="569" t="s">
        <v>157</v>
      </c>
      <c r="P2849" s="568">
        <v>13400</v>
      </c>
      <c r="Q2849" s="569" t="s">
        <v>4231</v>
      </c>
      <c r="R2849" s="569">
        <v>8</v>
      </c>
      <c r="S2849" s="569" t="s">
        <v>4972</v>
      </c>
      <c r="T2849" s="569" t="s">
        <v>4881</v>
      </c>
      <c r="U2849" s="569">
        <v>145</v>
      </c>
      <c r="V2849" s="569">
        <v>40</v>
      </c>
      <c r="W2849" s="620">
        <v>14000</v>
      </c>
      <c r="X2849" s="621" t="s">
        <v>157</v>
      </c>
      <c r="Y2849" s="621" t="s">
        <v>728</v>
      </c>
      <c r="Z2849" s="621" t="s">
        <v>1523</v>
      </c>
      <c r="AA2849" s="622">
        <v>45030</v>
      </c>
      <c r="AB2849" s="622" t="s">
        <v>164</v>
      </c>
      <c r="AC2849" s="622">
        <v>34228</v>
      </c>
      <c r="AD2849" s="623">
        <v>0.05</v>
      </c>
      <c r="AE2849" s="621" t="s">
        <v>4978</v>
      </c>
    </row>
    <row r="2850" spans="1:31" s="572" customFormat="1">
      <c r="A2850" s="570" t="s">
        <v>4987</v>
      </c>
      <c r="B2850" s="573" t="s">
        <v>280</v>
      </c>
      <c r="C2850" s="578">
        <v>27</v>
      </c>
      <c r="D2850" s="573" t="s">
        <v>3374</v>
      </c>
      <c r="E2850" s="573" t="s">
        <v>1684</v>
      </c>
      <c r="F2850" s="573" t="s">
        <v>271</v>
      </c>
      <c r="G2850" s="573">
        <v>2019</v>
      </c>
      <c r="H2850" s="573" t="s">
        <v>4879</v>
      </c>
      <c r="I2850" s="573" t="s">
        <v>4684</v>
      </c>
      <c r="J2850" s="573" t="s">
        <v>3377</v>
      </c>
      <c r="K2850" s="573">
        <v>3</v>
      </c>
      <c r="L2850" s="573">
        <v>0</v>
      </c>
      <c r="M2850" s="573" t="s">
        <v>157</v>
      </c>
      <c r="N2850" s="573">
        <v>1</v>
      </c>
      <c r="O2850" s="573" t="s">
        <v>157</v>
      </c>
      <c r="P2850" s="571">
        <v>13140</v>
      </c>
      <c r="Q2850" s="573" t="s">
        <v>4235</v>
      </c>
      <c r="R2850" s="573">
        <v>8</v>
      </c>
      <c r="S2850" s="582" t="s">
        <v>4972</v>
      </c>
      <c r="T2850" s="573" t="s">
        <v>4881</v>
      </c>
      <c r="U2850" s="573">
        <v>169</v>
      </c>
      <c r="V2850" s="573">
        <v>40</v>
      </c>
      <c r="W2850" s="616">
        <v>14000</v>
      </c>
      <c r="X2850" s="617" t="s">
        <v>157</v>
      </c>
      <c r="Y2850" s="617" t="s">
        <v>450</v>
      </c>
      <c r="Z2850" s="617" t="s">
        <v>178</v>
      </c>
      <c r="AA2850" s="618">
        <v>36575</v>
      </c>
      <c r="AB2850" s="618" t="s">
        <v>164</v>
      </c>
      <c r="AC2850" s="618">
        <v>26004.968421052636</v>
      </c>
      <c r="AD2850" s="619">
        <v>0.03</v>
      </c>
      <c r="AE2850" s="617" t="s">
        <v>4971</v>
      </c>
    </row>
    <row r="2851" spans="1:31" s="572" customFormat="1">
      <c r="A2851" s="570" t="s">
        <v>4988</v>
      </c>
      <c r="B2851" s="569" t="s">
        <v>280</v>
      </c>
      <c r="C2851" s="580">
        <v>27</v>
      </c>
      <c r="D2851" s="569" t="s">
        <v>3374</v>
      </c>
      <c r="E2851" s="569" t="s">
        <v>1684</v>
      </c>
      <c r="F2851" s="569" t="s">
        <v>271</v>
      </c>
      <c r="G2851" s="569">
        <v>2019</v>
      </c>
      <c r="H2851" s="569" t="s">
        <v>4879</v>
      </c>
      <c r="I2851" s="569" t="s">
        <v>4684</v>
      </c>
      <c r="J2851" s="569" t="s">
        <v>3377</v>
      </c>
      <c r="K2851" s="569">
        <v>3</v>
      </c>
      <c r="L2851" s="569">
        <v>0</v>
      </c>
      <c r="M2851" s="569" t="s">
        <v>157</v>
      </c>
      <c r="N2851" s="569">
        <v>1</v>
      </c>
      <c r="O2851" s="569" t="s">
        <v>157</v>
      </c>
      <c r="P2851" s="568">
        <v>13140</v>
      </c>
      <c r="Q2851" s="569" t="s">
        <v>4231</v>
      </c>
      <c r="R2851" s="569">
        <v>8</v>
      </c>
      <c r="S2851" s="569" t="s">
        <v>4972</v>
      </c>
      <c r="T2851" s="569" t="s">
        <v>4881</v>
      </c>
      <c r="U2851" s="569">
        <v>169</v>
      </c>
      <c r="V2851" s="569">
        <v>40</v>
      </c>
      <c r="W2851" s="620">
        <v>14000</v>
      </c>
      <c r="X2851" s="621" t="s">
        <v>157</v>
      </c>
      <c r="Y2851" s="621" t="s">
        <v>728</v>
      </c>
      <c r="Z2851" s="621" t="s">
        <v>1523</v>
      </c>
      <c r="AA2851" s="622">
        <v>45695</v>
      </c>
      <c r="AB2851" s="622" t="s">
        <v>164</v>
      </c>
      <c r="AC2851" s="622">
        <v>34197.157894736847</v>
      </c>
      <c r="AD2851" s="623">
        <v>0.03</v>
      </c>
      <c r="AE2851" s="621" t="s">
        <v>4974</v>
      </c>
    </row>
    <row r="2852" spans="1:31" s="572" customFormat="1">
      <c r="A2852" s="570" t="s">
        <v>4989</v>
      </c>
      <c r="B2852" s="573" t="s">
        <v>280</v>
      </c>
      <c r="C2852" s="578">
        <v>27</v>
      </c>
      <c r="D2852" s="573" t="s">
        <v>3374</v>
      </c>
      <c r="E2852" s="573" t="s">
        <v>1684</v>
      </c>
      <c r="F2852" s="573" t="s">
        <v>271</v>
      </c>
      <c r="G2852" s="573">
        <v>2019</v>
      </c>
      <c r="H2852" s="573" t="s">
        <v>4879</v>
      </c>
      <c r="I2852" s="573" t="s">
        <v>4684</v>
      </c>
      <c r="J2852" s="573" t="s">
        <v>3377</v>
      </c>
      <c r="K2852" s="573">
        <v>3</v>
      </c>
      <c r="L2852" s="573">
        <v>0</v>
      </c>
      <c r="M2852" s="573" t="s">
        <v>157</v>
      </c>
      <c r="N2852" s="573">
        <v>1</v>
      </c>
      <c r="O2852" s="573" t="s">
        <v>157</v>
      </c>
      <c r="P2852" s="571">
        <v>13300</v>
      </c>
      <c r="Q2852" s="573" t="s">
        <v>4235</v>
      </c>
      <c r="R2852" s="573">
        <v>8</v>
      </c>
      <c r="S2852" s="582" t="s">
        <v>4972</v>
      </c>
      <c r="T2852" s="573" t="s">
        <v>4881</v>
      </c>
      <c r="U2852" s="573">
        <v>145</v>
      </c>
      <c r="V2852" s="573">
        <v>40</v>
      </c>
      <c r="W2852" s="616">
        <v>14000</v>
      </c>
      <c r="X2852" s="617" t="s">
        <v>157</v>
      </c>
      <c r="Y2852" s="617" t="s">
        <v>450</v>
      </c>
      <c r="Z2852" s="617" t="s">
        <v>178</v>
      </c>
      <c r="AA2852" s="618">
        <v>36400</v>
      </c>
      <c r="AB2852" s="618" t="s">
        <v>164</v>
      </c>
      <c r="AC2852" s="618">
        <v>25843.915789473685</v>
      </c>
      <c r="AD2852" s="619">
        <v>0.03</v>
      </c>
      <c r="AE2852" s="617" t="s">
        <v>4976</v>
      </c>
    </row>
    <row r="2853" spans="1:31" s="572" customFormat="1">
      <c r="A2853" s="570" t="s">
        <v>4990</v>
      </c>
      <c r="B2853" s="569" t="s">
        <v>280</v>
      </c>
      <c r="C2853" s="580">
        <v>27</v>
      </c>
      <c r="D2853" s="569" t="s">
        <v>3374</v>
      </c>
      <c r="E2853" s="569" t="s">
        <v>1684</v>
      </c>
      <c r="F2853" s="569" t="s">
        <v>271</v>
      </c>
      <c r="G2853" s="569">
        <v>2019</v>
      </c>
      <c r="H2853" s="569" t="s">
        <v>4879</v>
      </c>
      <c r="I2853" s="569" t="s">
        <v>4684</v>
      </c>
      <c r="J2853" s="569" t="s">
        <v>3377</v>
      </c>
      <c r="K2853" s="569">
        <v>3</v>
      </c>
      <c r="L2853" s="569">
        <v>0</v>
      </c>
      <c r="M2853" s="569" t="s">
        <v>157</v>
      </c>
      <c r="N2853" s="569">
        <v>1</v>
      </c>
      <c r="O2853" s="569" t="s">
        <v>157</v>
      </c>
      <c r="P2853" s="568">
        <v>13300</v>
      </c>
      <c r="Q2853" s="569" t="s">
        <v>4231</v>
      </c>
      <c r="R2853" s="569">
        <v>8</v>
      </c>
      <c r="S2853" s="569" t="s">
        <v>4972</v>
      </c>
      <c r="T2853" s="569" t="s">
        <v>4881</v>
      </c>
      <c r="U2853" s="569">
        <v>145</v>
      </c>
      <c r="V2853" s="569">
        <v>40</v>
      </c>
      <c r="W2853" s="620">
        <v>14000</v>
      </c>
      <c r="X2853" s="621" t="s">
        <v>157</v>
      </c>
      <c r="Y2853" s="621" t="s">
        <v>728</v>
      </c>
      <c r="Z2853" s="621" t="s">
        <v>1523</v>
      </c>
      <c r="AA2853" s="622">
        <v>45520</v>
      </c>
      <c r="AB2853" s="622" t="s">
        <v>164</v>
      </c>
      <c r="AC2853" s="622">
        <v>34036.1052631579</v>
      </c>
      <c r="AD2853" s="623">
        <v>0.03</v>
      </c>
      <c r="AE2853" s="621" t="s">
        <v>4978</v>
      </c>
    </row>
    <row r="2854" spans="1:31" s="572" customFormat="1">
      <c r="A2854" s="570" t="s">
        <v>4991</v>
      </c>
      <c r="B2854" s="573" t="s">
        <v>269</v>
      </c>
      <c r="C2854" s="578" t="s">
        <v>270</v>
      </c>
      <c r="D2854" s="573" t="s">
        <v>3374</v>
      </c>
      <c r="E2854" s="573" t="s">
        <v>1684</v>
      </c>
      <c r="F2854" s="573" t="s">
        <v>271</v>
      </c>
      <c r="G2854" s="573">
        <v>2019</v>
      </c>
      <c r="H2854" s="573" t="s">
        <v>4879</v>
      </c>
      <c r="I2854" s="573" t="s">
        <v>4684</v>
      </c>
      <c r="J2854" s="573" t="s">
        <v>752</v>
      </c>
      <c r="K2854" s="573">
        <v>3</v>
      </c>
      <c r="L2854" s="573">
        <v>0</v>
      </c>
      <c r="M2854" s="573" t="s">
        <v>157</v>
      </c>
      <c r="N2854" s="573">
        <v>1</v>
      </c>
      <c r="O2854" s="573" t="s">
        <v>157</v>
      </c>
      <c r="P2854" s="571">
        <v>12740</v>
      </c>
      <c r="Q2854" s="573" t="s">
        <v>4235</v>
      </c>
      <c r="R2854" s="573">
        <v>8</v>
      </c>
      <c r="S2854" s="582" t="s">
        <v>4993</v>
      </c>
      <c r="T2854" s="573" t="s">
        <v>4881</v>
      </c>
      <c r="U2854" s="573">
        <v>169</v>
      </c>
      <c r="V2854" s="573">
        <v>40</v>
      </c>
      <c r="W2854" s="616">
        <v>14000</v>
      </c>
      <c r="X2854" s="617" t="s">
        <v>157</v>
      </c>
      <c r="Y2854" s="617" t="s">
        <v>450</v>
      </c>
      <c r="Z2854" s="617" t="s">
        <v>178</v>
      </c>
      <c r="AA2854" s="618">
        <v>40055</v>
      </c>
      <c r="AB2854" s="618" t="s">
        <v>164</v>
      </c>
      <c r="AC2854" s="618">
        <v>30062.863157894739</v>
      </c>
      <c r="AD2854" s="619">
        <v>0.03</v>
      </c>
      <c r="AE2854" s="617" t="s">
        <v>4992</v>
      </c>
    </row>
    <row r="2855" spans="1:31" s="572" customFormat="1">
      <c r="A2855" s="570" t="s">
        <v>4994</v>
      </c>
      <c r="B2855" s="569" t="s">
        <v>269</v>
      </c>
      <c r="C2855" s="580" t="s">
        <v>270</v>
      </c>
      <c r="D2855" s="569" t="s">
        <v>3374</v>
      </c>
      <c r="E2855" s="569" t="s">
        <v>1684</v>
      </c>
      <c r="F2855" s="569" t="s">
        <v>271</v>
      </c>
      <c r="G2855" s="569">
        <v>2019</v>
      </c>
      <c r="H2855" s="569" t="s">
        <v>4879</v>
      </c>
      <c r="I2855" s="569" t="s">
        <v>4684</v>
      </c>
      <c r="J2855" s="569" t="s">
        <v>752</v>
      </c>
      <c r="K2855" s="569">
        <v>3</v>
      </c>
      <c r="L2855" s="569">
        <v>0</v>
      </c>
      <c r="M2855" s="569" t="s">
        <v>157</v>
      </c>
      <c r="N2855" s="569">
        <v>1</v>
      </c>
      <c r="O2855" s="569" t="s">
        <v>157</v>
      </c>
      <c r="P2855" s="568">
        <v>12740</v>
      </c>
      <c r="Q2855" s="569" t="s">
        <v>4231</v>
      </c>
      <c r="R2855" s="569">
        <v>8</v>
      </c>
      <c r="S2855" s="569" t="s">
        <v>4993</v>
      </c>
      <c r="T2855" s="569" t="s">
        <v>4881</v>
      </c>
      <c r="U2855" s="569">
        <v>169</v>
      </c>
      <c r="V2855" s="569">
        <v>40</v>
      </c>
      <c r="W2855" s="620">
        <v>14000</v>
      </c>
      <c r="X2855" s="621" t="s">
        <v>157</v>
      </c>
      <c r="Y2855" s="621" t="s">
        <v>728</v>
      </c>
      <c r="Z2855" s="621" t="s">
        <v>1523</v>
      </c>
      <c r="AA2855" s="622">
        <v>49175</v>
      </c>
      <c r="AB2855" s="622" t="s">
        <v>164</v>
      </c>
      <c r="AC2855" s="622">
        <v>38255.052631578954</v>
      </c>
      <c r="AD2855" s="623">
        <v>0.03</v>
      </c>
      <c r="AE2855" s="621" t="s">
        <v>4995</v>
      </c>
    </row>
    <row r="2856" spans="1:31" s="572" customFormat="1">
      <c r="A2856" s="570" t="s">
        <v>4996</v>
      </c>
      <c r="B2856" s="573" t="s">
        <v>269</v>
      </c>
      <c r="C2856" s="578" t="s">
        <v>270</v>
      </c>
      <c r="D2856" s="573" t="s">
        <v>3374</v>
      </c>
      <c r="E2856" s="573" t="s">
        <v>1684</v>
      </c>
      <c r="F2856" s="573" t="s">
        <v>271</v>
      </c>
      <c r="G2856" s="573">
        <v>2019</v>
      </c>
      <c r="H2856" s="573" t="s">
        <v>4879</v>
      </c>
      <c r="I2856" s="573" t="s">
        <v>4684</v>
      </c>
      <c r="J2856" s="573" t="s">
        <v>752</v>
      </c>
      <c r="K2856" s="573">
        <v>3</v>
      </c>
      <c r="L2856" s="573">
        <v>0</v>
      </c>
      <c r="M2856" s="573" t="s">
        <v>157</v>
      </c>
      <c r="N2856" s="573">
        <v>1</v>
      </c>
      <c r="O2856" s="573" t="s">
        <v>157</v>
      </c>
      <c r="P2856" s="571">
        <v>12900</v>
      </c>
      <c r="Q2856" s="573" t="s">
        <v>4235</v>
      </c>
      <c r="R2856" s="573">
        <v>8</v>
      </c>
      <c r="S2856" s="582" t="s">
        <v>4993</v>
      </c>
      <c r="T2856" s="573" t="s">
        <v>4881</v>
      </c>
      <c r="U2856" s="573">
        <v>145</v>
      </c>
      <c r="V2856" s="573">
        <v>40</v>
      </c>
      <c r="W2856" s="616">
        <v>14000</v>
      </c>
      <c r="X2856" s="617" t="s">
        <v>157</v>
      </c>
      <c r="Y2856" s="617" t="s">
        <v>450</v>
      </c>
      <c r="Z2856" s="617" t="s">
        <v>178</v>
      </c>
      <c r="AA2856" s="618">
        <v>39875</v>
      </c>
      <c r="AB2856" s="618" t="s">
        <v>164</v>
      </c>
      <c r="AC2856" s="618">
        <v>29896.547368421056</v>
      </c>
      <c r="AD2856" s="619">
        <v>0.03</v>
      </c>
      <c r="AE2856" s="617" t="s">
        <v>4997</v>
      </c>
    </row>
    <row r="2857" spans="1:31" s="572" customFormat="1">
      <c r="A2857" s="570" t="s">
        <v>4998</v>
      </c>
      <c r="B2857" s="569" t="s">
        <v>269</v>
      </c>
      <c r="C2857" s="580" t="s">
        <v>270</v>
      </c>
      <c r="D2857" s="569" t="s">
        <v>3374</v>
      </c>
      <c r="E2857" s="569" t="s">
        <v>1684</v>
      </c>
      <c r="F2857" s="569" t="s">
        <v>271</v>
      </c>
      <c r="G2857" s="569">
        <v>2019</v>
      </c>
      <c r="H2857" s="569" t="s">
        <v>4879</v>
      </c>
      <c r="I2857" s="569" t="s">
        <v>4684</v>
      </c>
      <c r="J2857" s="569" t="s">
        <v>752</v>
      </c>
      <c r="K2857" s="569">
        <v>3</v>
      </c>
      <c r="L2857" s="569">
        <v>0</v>
      </c>
      <c r="M2857" s="569" t="s">
        <v>157</v>
      </c>
      <c r="N2857" s="569">
        <v>1</v>
      </c>
      <c r="O2857" s="569" t="s">
        <v>157</v>
      </c>
      <c r="P2857" s="568">
        <v>12900</v>
      </c>
      <c r="Q2857" s="569" t="s">
        <v>4231</v>
      </c>
      <c r="R2857" s="569">
        <v>8</v>
      </c>
      <c r="S2857" s="569" t="s">
        <v>4993</v>
      </c>
      <c r="T2857" s="569" t="s">
        <v>4881</v>
      </c>
      <c r="U2857" s="569">
        <v>145</v>
      </c>
      <c r="V2857" s="569">
        <v>40</v>
      </c>
      <c r="W2857" s="620">
        <v>14000</v>
      </c>
      <c r="X2857" s="621" t="s">
        <v>157</v>
      </c>
      <c r="Y2857" s="621" t="s">
        <v>728</v>
      </c>
      <c r="Z2857" s="621" t="s">
        <v>1523</v>
      </c>
      <c r="AA2857" s="622">
        <v>48995</v>
      </c>
      <c r="AB2857" s="622" t="s">
        <v>164</v>
      </c>
      <c r="AC2857" s="622">
        <v>38088.736842105267</v>
      </c>
      <c r="AD2857" s="623">
        <v>0.03</v>
      </c>
      <c r="AE2857" s="621" t="s">
        <v>4999</v>
      </c>
    </row>
    <row r="2858" spans="1:31" s="572" customFormat="1">
      <c r="A2858" s="570" t="s">
        <v>5000</v>
      </c>
      <c r="B2858" s="573" t="s">
        <v>278</v>
      </c>
      <c r="C2858" s="578">
        <v>15</v>
      </c>
      <c r="D2858" s="573" t="s">
        <v>3374</v>
      </c>
      <c r="E2858" s="573" t="s">
        <v>1684</v>
      </c>
      <c r="F2858" s="573" t="s">
        <v>271</v>
      </c>
      <c r="G2858" s="573">
        <v>2019</v>
      </c>
      <c r="H2858" s="573" t="s">
        <v>4879</v>
      </c>
      <c r="I2858" s="573" t="s">
        <v>4684</v>
      </c>
      <c r="J2858" s="573" t="s">
        <v>752</v>
      </c>
      <c r="K2858" s="573">
        <v>3</v>
      </c>
      <c r="L2858" s="573">
        <v>0</v>
      </c>
      <c r="M2858" s="573" t="s">
        <v>157</v>
      </c>
      <c r="N2858" s="573">
        <v>1</v>
      </c>
      <c r="O2858" s="573" t="s">
        <v>157</v>
      </c>
      <c r="P2858" s="571">
        <v>12800</v>
      </c>
      <c r="Q2858" s="573" t="s">
        <v>4235</v>
      </c>
      <c r="R2858" s="573">
        <v>8</v>
      </c>
      <c r="S2858" s="582" t="s">
        <v>4993</v>
      </c>
      <c r="T2858" s="573" t="s">
        <v>4881</v>
      </c>
      <c r="U2858" s="573">
        <v>169</v>
      </c>
      <c r="V2858" s="573">
        <v>40</v>
      </c>
      <c r="W2858" s="616">
        <v>14000</v>
      </c>
      <c r="X2858" s="617" t="s">
        <v>157</v>
      </c>
      <c r="Y2858" s="617" t="s">
        <v>450</v>
      </c>
      <c r="Z2858" s="617" t="s">
        <v>178</v>
      </c>
      <c r="AA2858" s="618">
        <v>40055</v>
      </c>
      <c r="AB2858" s="618" t="s">
        <v>164</v>
      </c>
      <c r="AC2858" s="618">
        <v>30200</v>
      </c>
      <c r="AD2858" s="619">
        <v>0.01</v>
      </c>
      <c r="AE2858" s="617" t="s">
        <v>4992</v>
      </c>
    </row>
    <row r="2859" spans="1:31" s="572" customFormat="1">
      <c r="A2859" s="570" t="s">
        <v>5001</v>
      </c>
      <c r="B2859" s="569" t="s">
        <v>278</v>
      </c>
      <c r="C2859" s="580">
        <v>15</v>
      </c>
      <c r="D2859" s="569" t="s">
        <v>3374</v>
      </c>
      <c r="E2859" s="569" t="s">
        <v>1684</v>
      </c>
      <c r="F2859" s="569" t="s">
        <v>271</v>
      </c>
      <c r="G2859" s="569">
        <v>2019</v>
      </c>
      <c r="H2859" s="569" t="s">
        <v>4879</v>
      </c>
      <c r="I2859" s="569" t="s">
        <v>4684</v>
      </c>
      <c r="J2859" s="569" t="s">
        <v>752</v>
      </c>
      <c r="K2859" s="569">
        <v>3</v>
      </c>
      <c r="L2859" s="569">
        <v>0</v>
      </c>
      <c r="M2859" s="569" t="s">
        <v>157</v>
      </c>
      <c r="N2859" s="569">
        <v>1</v>
      </c>
      <c r="O2859" s="569" t="s">
        <v>157</v>
      </c>
      <c r="P2859" s="568">
        <v>12800</v>
      </c>
      <c r="Q2859" s="569" t="s">
        <v>4231</v>
      </c>
      <c r="R2859" s="569">
        <v>8</v>
      </c>
      <c r="S2859" s="569" t="s">
        <v>4993</v>
      </c>
      <c r="T2859" s="569" t="s">
        <v>4881</v>
      </c>
      <c r="U2859" s="569">
        <v>169</v>
      </c>
      <c r="V2859" s="569">
        <v>40</v>
      </c>
      <c r="W2859" s="620">
        <v>14000</v>
      </c>
      <c r="X2859" s="621" t="s">
        <v>157</v>
      </c>
      <c r="Y2859" s="621" t="s">
        <v>728</v>
      </c>
      <c r="Z2859" s="621" t="s">
        <v>1523</v>
      </c>
      <c r="AA2859" s="622">
        <v>49175</v>
      </c>
      <c r="AB2859" s="622" t="s">
        <v>164</v>
      </c>
      <c r="AC2859" s="622">
        <v>38500</v>
      </c>
      <c r="AD2859" s="623">
        <v>0.01</v>
      </c>
      <c r="AE2859" s="621" t="s">
        <v>4995</v>
      </c>
    </row>
    <row r="2860" spans="1:31" s="572" customFormat="1">
      <c r="A2860" s="570" t="s">
        <v>5002</v>
      </c>
      <c r="B2860" s="573" t="s">
        <v>278</v>
      </c>
      <c r="C2860" s="578">
        <v>15</v>
      </c>
      <c r="D2860" s="573" t="s">
        <v>3374</v>
      </c>
      <c r="E2860" s="573" t="s">
        <v>1684</v>
      </c>
      <c r="F2860" s="573" t="s">
        <v>271</v>
      </c>
      <c r="G2860" s="573">
        <v>2019</v>
      </c>
      <c r="H2860" s="573" t="s">
        <v>4879</v>
      </c>
      <c r="I2860" s="573" t="s">
        <v>4684</v>
      </c>
      <c r="J2860" s="573" t="s">
        <v>752</v>
      </c>
      <c r="K2860" s="573">
        <v>3</v>
      </c>
      <c r="L2860" s="573">
        <v>0</v>
      </c>
      <c r="M2860" s="573" t="s">
        <v>157</v>
      </c>
      <c r="N2860" s="573">
        <v>1</v>
      </c>
      <c r="O2860" s="573" t="s">
        <v>157</v>
      </c>
      <c r="P2860" s="571">
        <v>12900</v>
      </c>
      <c r="Q2860" s="573" t="s">
        <v>4235</v>
      </c>
      <c r="R2860" s="573">
        <v>8</v>
      </c>
      <c r="S2860" s="582" t="s">
        <v>4993</v>
      </c>
      <c r="T2860" s="573" t="s">
        <v>4881</v>
      </c>
      <c r="U2860" s="573">
        <v>145</v>
      </c>
      <c r="V2860" s="573">
        <v>40</v>
      </c>
      <c r="W2860" s="616">
        <v>14000</v>
      </c>
      <c r="X2860" s="617" t="s">
        <v>157</v>
      </c>
      <c r="Y2860" s="617" t="s">
        <v>450</v>
      </c>
      <c r="Z2860" s="617" t="s">
        <v>178</v>
      </c>
      <c r="AA2860" s="618">
        <v>39875</v>
      </c>
      <c r="AB2860" s="618" t="s">
        <v>164</v>
      </c>
      <c r="AC2860" s="618">
        <v>29995</v>
      </c>
      <c r="AD2860" s="619">
        <v>0.01</v>
      </c>
      <c r="AE2860" s="617" t="s">
        <v>4997</v>
      </c>
    </row>
    <row r="2861" spans="1:31" s="572" customFormat="1">
      <c r="A2861" s="570" t="s">
        <v>5003</v>
      </c>
      <c r="B2861" s="569" t="s">
        <v>278</v>
      </c>
      <c r="C2861" s="580">
        <v>15</v>
      </c>
      <c r="D2861" s="569" t="s">
        <v>3374</v>
      </c>
      <c r="E2861" s="569" t="s">
        <v>1684</v>
      </c>
      <c r="F2861" s="569" t="s">
        <v>271</v>
      </c>
      <c r="G2861" s="569">
        <v>2019</v>
      </c>
      <c r="H2861" s="569" t="s">
        <v>4879</v>
      </c>
      <c r="I2861" s="569" t="s">
        <v>4684</v>
      </c>
      <c r="J2861" s="569" t="s">
        <v>752</v>
      </c>
      <c r="K2861" s="569">
        <v>3</v>
      </c>
      <c r="L2861" s="569">
        <v>0</v>
      </c>
      <c r="M2861" s="569" t="s">
        <v>157</v>
      </c>
      <c r="N2861" s="569">
        <v>1</v>
      </c>
      <c r="O2861" s="569" t="s">
        <v>157</v>
      </c>
      <c r="P2861" s="568">
        <v>12900</v>
      </c>
      <c r="Q2861" s="569" t="s">
        <v>4231</v>
      </c>
      <c r="R2861" s="569">
        <v>8</v>
      </c>
      <c r="S2861" s="569" t="s">
        <v>4993</v>
      </c>
      <c r="T2861" s="569" t="s">
        <v>4881</v>
      </c>
      <c r="U2861" s="569">
        <v>145</v>
      </c>
      <c r="V2861" s="569">
        <v>40</v>
      </c>
      <c r="W2861" s="620">
        <v>14000</v>
      </c>
      <c r="X2861" s="621" t="s">
        <v>157</v>
      </c>
      <c r="Y2861" s="621" t="s">
        <v>728</v>
      </c>
      <c r="Z2861" s="621" t="s">
        <v>1523</v>
      </c>
      <c r="AA2861" s="622">
        <v>48995</v>
      </c>
      <c r="AB2861" s="622" t="s">
        <v>164</v>
      </c>
      <c r="AC2861" s="622">
        <v>38300</v>
      </c>
      <c r="AD2861" s="623">
        <v>0.01</v>
      </c>
      <c r="AE2861" s="621" t="s">
        <v>4999</v>
      </c>
    </row>
    <row r="2862" spans="1:31" s="572" customFormat="1">
      <c r="A2862" s="570" t="s">
        <v>5004</v>
      </c>
      <c r="B2862" s="573" t="s">
        <v>287</v>
      </c>
      <c r="C2862" s="578">
        <v>26</v>
      </c>
      <c r="D2862" s="573" t="s">
        <v>3374</v>
      </c>
      <c r="E2862" s="573" t="s">
        <v>1684</v>
      </c>
      <c r="F2862" s="573" t="s">
        <v>271</v>
      </c>
      <c r="G2862" s="573">
        <v>2019</v>
      </c>
      <c r="H2862" s="573" t="s">
        <v>4879</v>
      </c>
      <c r="I2862" s="573" t="s">
        <v>4684</v>
      </c>
      <c r="J2862" s="573" t="s">
        <v>752</v>
      </c>
      <c r="K2862" s="573">
        <v>3</v>
      </c>
      <c r="L2862" s="573">
        <v>0</v>
      </c>
      <c r="M2862" s="573" t="s">
        <v>157</v>
      </c>
      <c r="N2862" s="573">
        <v>1</v>
      </c>
      <c r="O2862" s="573" t="s">
        <v>157</v>
      </c>
      <c r="P2862" s="571">
        <v>12800</v>
      </c>
      <c r="Q2862" s="573" t="s">
        <v>4235</v>
      </c>
      <c r="R2862" s="573">
        <v>8</v>
      </c>
      <c r="S2862" s="582" t="s">
        <v>4993</v>
      </c>
      <c r="T2862" s="573" t="s">
        <v>4881</v>
      </c>
      <c r="U2862" s="573">
        <v>169</v>
      </c>
      <c r="V2862" s="573">
        <v>40</v>
      </c>
      <c r="W2862" s="616">
        <v>14000</v>
      </c>
      <c r="X2862" s="617" t="s">
        <v>157</v>
      </c>
      <c r="Y2862" s="617" t="s">
        <v>450</v>
      </c>
      <c r="Z2862" s="617" t="s">
        <v>178</v>
      </c>
      <c r="AA2862" s="618">
        <v>39690</v>
      </c>
      <c r="AB2862" s="618" t="s">
        <v>164</v>
      </c>
      <c r="AC2862" s="618">
        <v>30315</v>
      </c>
      <c r="AD2862" s="619">
        <v>0.05</v>
      </c>
      <c r="AE2862" s="617" t="s">
        <v>4992</v>
      </c>
    </row>
    <row r="2863" spans="1:31" s="572" customFormat="1">
      <c r="A2863" s="570" t="s">
        <v>5005</v>
      </c>
      <c r="B2863" s="569" t="s">
        <v>287</v>
      </c>
      <c r="C2863" s="580">
        <v>26</v>
      </c>
      <c r="D2863" s="569" t="s">
        <v>3374</v>
      </c>
      <c r="E2863" s="569" t="s">
        <v>1684</v>
      </c>
      <c r="F2863" s="569" t="s">
        <v>271</v>
      </c>
      <c r="G2863" s="569">
        <v>2019</v>
      </c>
      <c r="H2863" s="569" t="s">
        <v>4879</v>
      </c>
      <c r="I2863" s="569" t="s">
        <v>4684</v>
      </c>
      <c r="J2863" s="569" t="s">
        <v>752</v>
      </c>
      <c r="K2863" s="569">
        <v>3</v>
      </c>
      <c r="L2863" s="569">
        <v>0</v>
      </c>
      <c r="M2863" s="569" t="s">
        <v>157</v>
      </c>
      <c r="N2863" s="569">
        <v>1</v>
      </c>
      <c r="O2863" s="569" t="s">
        <v>157</v>
      </c>
      <c r="P2863" s="568">
        <v>12800</v>
      </c>
      <c r="Q2863" s="569" t="s">
        <v>4231</v>
      </c>
      <c r="R2863" s="569">
        <v>8</v>
      </c>
      <c r="S2863" s="569" t="s">
        <v>4993</v>
      </c>
      <c r="T2863" s="569" t="s">
        <v>4881</v>
      </c>
      <c r="U2863" s="569">
        <v>169</v>
      </c>
      <c r="V2863" s="569">
        <v>40</v>
      </c>
      <c r="W2863" s="620">
        <v>14000</v>
      </c>
      <c r="X2863" s="621" t="s">
        <v>157</v>
      </c>
      <c r="Y2863" s="621" t="s">
        <v>728</v>
      </c>
      <c r="Z2863" s="621" t="s">
        <v>1523</v>
      </c>
      <c r="AA2863" s="622">
        <v>48685</v>
      </c>
      <c r="AB2863" s="622" t="s">
        <v>164</v>
      </c>
      <c r="AC2863" s="622">
        <v>38509</v>
      </c>
      <c r="AD2863" s="623">
        <v>0.05</v>
      </c>
      <c r="AE2863" s="621" t="s">
        <v>4995</v>
      </c>
    </row>
    <row r="2864" spans="1:31" s="572" customFormat="1">
      <c r="A2864" s="570" t="s">
        <v>5006</v>
      </c>
      <c r="B2864" s="573" t="s">
        <v>287</v>
      </c>
      <c r="C2864" s="578">
        <v>26</v>
      </c>
      <c r="D2864" s="573" t="s">
        <v>3374</v>
      </c>
      <c r="E2864" s="573" t="s">
        <v>1684</v>
      </c>
      <c r="F2864" s="573" t="s">
        <v>271</v>
      </c>
      <c r="G2864" s="573">
        <v>2019</v>
      </c>
      <c r="H2864" s="573" t="s">
        <v>4879</v>
      </c>
      <c r="I2864" s="573" t="s">
        <v>4684</v>
      </c>
      <c r="J2864" s="573" t="s">
        <v>752</v>
      </c>
      <c r="K2864" s="573">
        <v>3</v>
      </c>
      <c r="L2864" s="573">
        <v>0</v>
      </c>
      <c r="M2864" s="573" t="s">
        <v>157</v>
      </c>
      <c r="N2864" s="573">
        <v>1</v>
      </c>
      <c r="O2864" s="573" t="s">
        <v>157</v>
      </c>
      <c r="P2864" s="571">
        <v>12900</v>
      </c>
      <c r="Q2864" s="573" t="s">
        <v>4235</v>
      </c>
      <c r="R2864" s="573">
        <v>8</v>
      </c>
      <c r="S2864" s="582" t="s">
        <v>4993</v>
      </c>
      <c r="T2864" s="573" t="s">
        <v>4881</v>
      </c>
      <c r="U2864" s="573">
        <v>145</v>
      </c>
      <c r="V2864" s="573">
        <v>40</v>
      </c>
      <c r="W2864" s="616">
        <v>14000</v>
      </c>
      <c r="X2864" s="617" t="s">
        <v>157</v>
      </c>
      <c r="Y2864" s="617" t="s">
        <v>450</v>
      </c>
      <c r="Z2864" s="617" t="s">
        <v>178</v>
      </c>
      <c r="AA2864" s="618">
        <v>39875</v>
      </c>
      <c r="AB2864" s="618" t="s">
        <v>164</v>
      </c>
      <c r="AC2864" s="618">
        <v>30147</v>
      </c>
      <c r="AD2864" s="619">
        <v>0.05</v>
      </c>
      <c r="AE2864" s="617" t="s">
        <v>4997</v>
      </c>
    </row>
    <row r="2865" spans="1:31" s="572" customFormat="1">
      <c r="A2865" s="570" t="s">
        <v>5007</v>
      </c>
      <c r="B2865" s="569" t="s">
        <v>287</v>
      </c>
      <c r="C2865" s="580">
        <v>26</v>
      </c>
      <c r="D2865" s="569" t="s">
        <v>3374</v>
      </c>
      <c r="E2865" s="569" t="s">
        <v>1684</v>
      </c>
      <c r="F2865" s="569" t="s">
        <v>271</v>
      </c>
      <c r="G2865" s="569">
        <v>2019</v>
      </c>
      <c r="H2865" s="569" t="s">
        <v>4879</v>
      </c>
      <c r="I2865" s="569" t="s">
        <v>4684</v>
      </c>
      <c r="J2865" s="569" t="s">
        <v>752</v>
      </c>
      <c r="K2865" s="569">
        <v>3</v>
      </c>
      <c r="L2865" s="569">
        <v>0</v>
      </c>
      <c r="M2865" s="569" t="s">
        <v>157</v>
      </c>
      <c r="N2865" s="569">
        <v>1</v>
      </c>
      <c r="O2865" s="569" t="s">
        <v>157</v>
      </c>
      <c r="P2865" s="568">
        <v>12900</v>
      </c>
      <c r="Q2865" s="569" t="s">
        <v>4231</v>
      </c>
      <c r="R2865" s="569">
        <v>8</v>
      </c>
      <c r="S2865" s="569" t="s">
        <v>4993</v>
      </c>
      <c r="T2865" s="569" t="s">
        <v>4881</v>
      </c>
      <c r="U2865" s="569">
        <v>145</v>
      </c>
      <c r="V2865" s="569">
        <v>40</v>
      </c>
      <c r="W2865" s="620">
        <v>14000</v>
      </c>
      <c r="X2865" s="621" t="s">
        <v>157</v>
      </c>
      <c r="Y2865" s="621" t="s">
        <v>728</v>
      </c>
      <c r="Z2865" s="621" t="s">
        <v>1523</v>
      </c>
      <c r="AA2865" s="622">
        <v>48995</v>
      </c>
      <c r="AB2865" s="622" t="s">
        <v>164</v>
      </c>
      <c r="AC2865" s="622">
        <v>38341</v>
      </c>
      <c r="AD2865" s="623">
        <v>0.05</v>
      </c>
      <c r="AE2865" s="621" t="s">
        <v>4999</v>
      </c>
    </row>
    <row r="2866" spans="1:31" s="572" customFormat="1">
      <c r="A2866" s="570" t="s">
        <v>5008</v>
      </c>
      <c r="B2866" s="573" t="s">
        <v>280</v>
      </c>
      <c r="C2866" s="578">
        <v>27</v>
      </c>
      <c r="D2866" s="573" t="s">
        <v>3374</v>
      </c>
      <c r="E2866" s="573" t="s">
        <v>1684</v>
      </c>
      <c r="F2866" s="573" t="s">
        <v>271</v>
      </c>
      <c r="G2866" s="573">
        <v>2019</v>
      </c>
      <c r="H2866" s="573" t="s">
        <v>4879</v>
      </c>
      <c r="I2866" s="573" t="s">
        <v>4684</v>
      </c>
      <c r="J2866" s="573" t="s">
        <v>752</v>
      </c>
      <c r="K2866" s="573">
        <v>3</v>
      </c>
      <c r="L2866" s="573">
        <v>0</v>
      </c>
      <c r="M2866" s="573" t="s">
        <v>157</v>
      </c>
      <c r="N2866" s="573">
        <v>1</v>
      </c>
      <c r="O2866" s="573" t="s">
        <v>157</v>
      </c>
      <c r="P2866" s="571">
        <v>12740</v>
      </c>
      <c r="Q2866" s="573" t="s">
        <v>4235</v>
      </c>
      <c r="R2866" s="573">
        <v>8</v>
      </c>
      <c r="S2866" s="582" t="s">
        <v>4993</v>
      </c>
      <c r="T2866" s="573" t="s">
        <v>4881</v>
      </c>
      <c r="U2866" s="573">
        <v>169</v>
      </c>
      <c r="V2866" s="573">
        <v>40</v>
      </c>
      <c r="W2866" s="616">
        <v>14000</v>
      </c>
      <c r="X2866" s="617" t="s">
        <v>157</v>
      </c>
      <c r="Y2866" s="617" t="s">
        <v>450</v>
      </c>
      <c r="Z2866" s="617" t="s">
        <v>178</v>
      </c>
      <c r="AA2866" s="618">
        <v>40055</v>
      </c>
      <c r="AB2866" s="618" t="s">
        <v>164</v>
      </c>
      <c r="AC2866" s="618">
        <v>30062.863157894739</v>
      </c>
      <c r="AD2866" s="619">
        <v>0.03</v>
      </c>
      <c r="AE2866" s="617" t="s">
        <v>4992</v>
      </c>
    </row>
    <row r="2867" spans="1:31" s="572" customFormat="1">
      <c r="A2867" s="570" t="s">
        <v>5009</v>
      </c>
      <c r="B2867" s="569" t="s">
        <v>280</v>
      </c>
      <c r="C2867" s="580">
        <v>27</v>
      </c>
      <c r="D2867" s="569" t="s">
        <v>3374</v>
      </c>
      <c r="E2867" s="569" t="s">
        <v>1684</v>
      </c>
      <c r="F2867" s="569" t="s">
        <v>271</v>
      </c>
      <c r="G2867" s="569">
        <v>2019</v>
      </c>
      <c r="H2867" s="569" t="s">
        <v>4879</v>
      </c>
      <c r="I2867" s="569" t="s">
        <v>4684</v>
      </c>
      <c r="J2867" s="569" t="s">
        <v>752</v>
      </c>
      <c r="K2867" s="569">
        <v>3</v>
      </c>
      <c r="L2867" s="569">
        <v>0</v>
      </c>
      <c r="M2867" s="569" t="s">
        <v>157</v>
      </c>
      <c r="N2867" s="569">
        <v>1</v>
      </c>
      <c r="O2867" s="569" t="s">
        <v>157</v>
      </c>
      <c r="P2867" s="568">
        <v>12740</v>
      </c>
      <c r="Q2867" s="569" t="s">
        <v>4231</v>
      </c>
      <c r="R2867" s="569">
        <v>8</v>
      </c>
      <c r="S2867" s="569" t="s">
        <v>4993</v>
      </c>
      <c r="T2867" s="569" t="s">
        <v>4881</v>
      </c>
      <c r="U2867" s="569">
        <v>169</v>
      </c>
      <c r="V2867" s="569">
        <v>40</v>
      </c>
      <c r="W2867" s="620">
        <v>14000</v>
      </c>
      <c r="X2867" s="621" t="s">
        <v>157</v>
      </c>
      <c r="Y2867" s="621" t="s">
        <v>728</v>
      </c>
      <c r="Z2867" s="621" t="s">
        <v>1523</v>
      </c>
      <c r="AA2867" s="622">
        <v>49175</v>
      </c>
      <c r="AB2867" s="622" t="s">
        <v>164</v>
      </c>
      <c r="AC2867" s="622">
        <v>38255.052631578954</v>
      </c>
      <c r="AD2867" s="623">
        <v>0.03</v>
      </c>
      <c r="AE2867" s="621" t="s">
        <v>4995</v>
      </c>
    </row>
    <row r="2868" spans="1:31" s="572" customFormat="1">
      <c r="A2868" s="570" t="s">
        <v>5010</v>
      </c>
      <c r="B2868" s="573" t="s">
        <v>280</v>
      </c>
      <c r="C2868" s="578">
        <v>27</v>
      </c>
      <c r="D2868" s="573" t="s">
        <v>3374</v>
      </c>
      <c r="E2868" s="573" t="s">
        <v>1684</v>
      </c>
      <c r="F2868" s="573" t="s">
        <v>271</v>
      </c>
      <c r="G2868" s="573">
        <v>2019</v>
      </c>
      <c r="H2868" s="573" t="s">
        <v>4879</v>
      </c>
      <c r="I2868" s="573" t="s">
        <v>4684</v>
      </c>
      <c r="J2868" s="573" t="s">
        <v>752</v>
      </c>
      <c r="K2868" s="573">
        <v>3</v>
      </c>
      <c r="L2868" s="573">
        <v>0</v>
      </c>
      <c r="M2868" s="573" t="s">
        <v>157</v>
      </c>
      <c r="N2868" s="573">
        <v>1</v>
      </c>
      <c r="O2868" s="573" t="s">
        <v>157</v>
      </c>
      <c r="P2868" s="571">
        <v>12900</v>
      </c>
      <c r="Q2868" s="573" t="s">
        <v>4235</v>
      </c>
      <c r="R2868" s="573">
        <v>8</v>
      </c>
      <c r="S2868" s="582" t="s">
        <v>4993</v>
      </c>
      <c r="T2868" s="573" t="s">
        <v>4881</v>
      </c>
      <c r="U2868" s="573">
        <v>145</v>
      </c>
      <c r="V2868" s="573">
        <v>40</v>
      </c>
      <c r="W2868" s="616">
        <v>14000</v>
      </c>
      <c r="X2868" s="617" t="s">
        <v>157</v>
      </c>
      <c r="Y2868" s="617" t="s">
        <v>450</v>
      </c>
      <c r="Z2868" s="617" t="s">
        <v>178</v>
      </c>
      <c r="AA2868" s="618">
        <v>39875</v>
      </c>
      <c r="AB2868" s="618" t="s">
        <v>164</v>
      </c>
      <c r="AC2868" s="618">
        <v>29896.547368421056</v>
      </c>
      <c r="AD2868" s="619">
        <v>0.03</v>
      </c>
      <c r="AE2868" s="617" t="s">
        <v>4997</v>
      </c>
    </row>
    <row r="2869" spans="1:31" s="572" customFormat="1">
      <c r="A2869" s="570" t="s">
        <v>5011</v>
      </c>
      <c r="B2869" s="569" t="s">
        <v>280</v>
      </c>
      <c r="C2869" s="580">
        <v>27</v>
      </c>
      <c r="D2869" s="569" t="s">
        <v>3374</v>
      </c>
      <c r="E2869" s="569" t="s">
        <v>1684</v>
      </c>
      <c r="F2869" s="569" t="s">
        <v>271</v>
      </c>
      <c r="G2869" s="569">
        <v>2019</v>
      </c>
      <c r="H2869" s="569" t="s">
        <v>4879</v>
      </c>
      <c r="I2869" s="569" t="s">
        <v>4684</v>
      </c>
      <c r="J2869" s="569" t="s">
        <v>752</v>
      </c>
      <c r="K2869" s="569">
        <v>3</v>
      </c>
      <c r="L2869" s="569">
        <v>0</v>
      </c>
      <c r="M2869" s="569" t="s">
        <v>157</v>
      </c>
      <c r="N2869" s="569">
        <v>1</v>
      </c>
      <c r="O2869" s="569" t="s">
        <v>157</v>
      </c>
      <c r="P2869" s="568">
        <v>12900</v>
      </c>
      <c r="Q2869" s="569" t="s">
        <v>4231</v>
      </c>
      <c r="R2869" s="569">
        <v>8</v>
      </c>
      <c r="S2869" s="569" t="s">
        <v>4993</v>
      </c>
      <c r="T2869" s="569" t="s">
        <v>4881</v>
      </c>
      <c r="U2869" s="569">
        <v>145</v>
      </c>
      <c r="V2869" s="569">
        <v>40</v>
      </c>
      <c r="W2869" s="620">
        <v>14000</v>
      </c>
      <c r="X2869" s="621" t="s">
        <v>157</v>
      </c>
      <c r="Y2869" s="621" t="s">
        <v>728</v>
      </c>
      <c r="Z2869" s="621" t="s">
        <v>1523</v>
      </c>
      <c r="AA2869" s="622">
        <v>48995</v>
      </c>
      <c r="AB2869" s="622" t="s">
        <v>164</v>
      </c>
      <c r="AC2869" s="622">
        <v>38088.736842105267</v>
      </c>
      <c r="AD2869" s="623">
        <v>0.03</v>
      </c>
      <c r="AE2869" s="621" t="s">
        <v>4999</v>
      </c>
    </row>
    <row r="2870" spans="1:31" s="572" customFormat="1">
      <c r="A2870" s="570" t="s">
        <v>5012</v>
      </c>
      <c r="B2870" s="573" t="s">
        <v>269</v>
      </c>
      <c r="C2870" s="578" t="s">
        <v>270</v>
      </c>
      <c r="D2870" s="573" t="s">
        <v>3374</v>
      </c>
      <c r="E2870" s="573" t="s">
        <v>1684</v>
      </c>
      <c r="F2870" s="573" t="s">
        <v>271</v>
      </c>
      <c r="G2870" s="573">
        <v>2019</v>
      </c>
      <c r="H2870" s="573" t="s">
        <v>4879</v>
      </c>
      <c r="I2870" s="573" t="s">
        <v>5014</v>
      </c>
      <c r="J2870" s="573" t="s">
        <v>3377</v>
      </c>
      <c r="K2870" s="573">
        <v>3</v>
      </c>
      <c r="L2870" s="573">
        <v>0</v>
      </c>
      <c r="M2870" s="573" t="s">
        <v>157</v>
      </c>
      <c r="N2870" s="573">
        <v>1</v>
      </c>
      <c r="O2870" s="573" t="s">
        <v>157</v>
      </c>
      <c r="P2870" s="571">
        <v>13100</v>
      </c>
      <c r="Q2870" s="573" t="s">
        <v>4235</v>
      </c>
      <c r="R2870" s="573">
        <v>8</v>
      </c>
      <c r="S2870" s="582" t="s">
        <v>5015</v>
      </c>
      <c r="T2870" s="573" t="s">
        <v>4905</v>
      </c>
      <c r="U2870" s="573">
        <v>145</v>
      </c>
      <c r="V2870" s="573">
        <v>40</v>
      </c>
      <c r="W2870" s="616">
        <v>10500</v>
      </c>
      <c r="X2870" s="617" t="s">
        <v>157</v>
      </c>
      <c r="Y2870" s="617" t="s">
        <v>450</v>
      </c>
      <c r="Z2870" s="617" t="s">
        <v>178</v>
      </c>
      <c r="AA2870" s="618">
        <v>35195</v>
      </c>
      <c r="AB2870" s="618" t="s">
        <v>164</v>
      </c>
      <c r="AC2870" s="618">
        <v>26626.021052631582</v>
      </c>
      <c r="AD2870" s="619">
        <v>0.03</v>
      </c>
      <c r="AE2870" s="617" t="s">
        <v>5013</v>
      </c>
    </row>
    <row r="2871" spans="1:31" s="572" customFormat="1">
      <c r="A2871" s="570" t="s">
        <v>5016</v>
      </c>
      <c r="B2871" s="569" t="s">
        <v>269</v>
      </c>
      <c r="C2871" s="580" t="s">
        <v>270</v>
      </c>
      <c r="D2871" s="569" t="s">
        <v>3374</v>
      </c>
      <c r="E2871" s="569" t="s">
        <v>1684</v>
      </c>
      <c r="F2871" s="569" t="s">
        <v>271</v>
      </c>
      <c r="G2871" s="569">
        <v>2019</v>
      </c>
      <c r="H2871" s="569" t="s">
        <v>4879</v>
      </c>
      <c r="I2871" s="569" t="s">
        <v>5014</v>
      </c>
      <c r="J2871" s="569" t="s">
        <v>3377</v>
      </c>
      <c r="K2871" s="569">
        <v>3</v>
      </c>
      <c r="L2871" s="569">
        <v>0</v>
      </c>
      <c r="M2871" s="569" t="s">
        <v>157</v>
      </c>
      <c r="N2871" s="569">
        <v>1</v>
      </c>
      <c r="O2871" s="569" t="s">
        <v>157</v>
      </c>
      <c r="P2871" s="568">
        <v>13100</v>
      </c>
      <c r="Q2871" s="569" t="s">
        <v>4231</v>
      </c>
      <c r="R2871" s="569">
        <v>8</v>
      </c>
      <c r="S2871" s="569" t="s">
        <v>5015</v>
      </c>
      <c r="T2871" s="569" t="s">
        <v>4905</v>
      </c>
      <c r="U2871" s="569">
        <v>145</v>
      </c>
      <c r="V2871" s="569">
        <v>40</v>
      </c>
      <c r="W2871" s="620">
        <v>11100</v>
      </c>
      <c r="X2871" s="621" t="s">
        <v>157</v>
      </c>
      <c r="Y2871" s="621" t="s">
        <v>728</v>
      </c>
      <c r="Z2871" s="621" t="s">
        <v>1523</v>
      </c>
      <c r="AA2871" s="622">
        <v>44315</v>
      </c>
      <c r="AB2871" s="622" t="s">
        <v>164</v>
      </c>
      <c r="AC2871" s="622">
        <v>34818.210526315794</v>
      </c>
      <c r="AD2871" s="623">
        <v>0.03</v>
      </c>
      <c r="AE2871" s="621" t="s">
        <v>5017</v>
      </c>
    </row>
    <row r="2872" spans="1:31" s="572" customFormat="1">
      <c r="A2872" s="570" t="s">
        <v>5018</v>
      </c>
      <c r="B2872" s="573" t="s">
        <v>278</v>
      </c>
      <c r="C2872" s="578">
        <v>15</v>
      </c>
      <c r="D2872" s="573" t="s">
        <v>3374</v>
      </c>
      <c r="E2872" s="573" t="s">
        <v>1684</v>
      </c>
      <c r="F2872" s="573" t="s">
        <v>271</v>
      </c>
      <c r="G2872" s="573">
        <v>2019</v>
      </c>
      <c r="H2872" s="573" t="s">
        <v>4879</v>
      </c>
      <c r="I2872" s="573" t="s">
        <v>5014</v>
      </c>
      <c r="J2872" s="573" t="s">
        <v>3377</v>
      </c>
      <c r="K2872" s="573">
        <v>3</v>
      </c>
      <c r="L2872" s="573">
        <v>0</v>
      </c>
      <c r="M2872" s="573" t="s">
        <v>157</v>
      </c>
      <c r="N2872" s="573">
        <v>1</v>
      </c>
      <c r="O2872" s="573" t="s">
        <v>157</v>
      </c>
      <c r="P2872" s="571">
        <v>13200</v>
      </c>
      <c r="Q2872" s="573" t="s">
        <v>4235</v>
      </c>
      <c r="R2872" s="573">
        <v>8</v>
      </c>
      <c r="S2872" s="582" t="s">
        <v>5015</v>
      </c>
      <c r="T2872" s="573" t="s">
        <v>4905</v>
      </c>
      <c r="U2872" s="573">
        <v>145</v>
      </c>
      <c r="V2872" s="573">
        <v>40</v>
      </c>
      <c r="W2872" s="616">
        <v>10500</v>
      </c>
      <c r="X2872" s="617" t="s">
        <v>157</v>
      </c>
      <c r="Y2872" s="617" t="s">
        <v>450</v>
      </c>
      <c r="Z2872" s="617" t="s">
        <v>178</v>
      </c>
      <c r="AA2872" s="618">
        <v>35195</v>
      </c>
      <c r="AB2872" s="618" t="s">
        <v>164</v>
      </c>
      <c r="AC2872" s="618">
        <v>26700</v>
      </c>
      <c r="AD2872" s="619">
        <v>0.01</v>
      </c>
      <c r="AE2872" s="617" t="s">
        <v>5013</v>
      </c>
    </row>
    <row r="2873" spans="1:31" s="572" customFormat="1">
      <c r="A2873" s="570" t="s">
        <v>5019</v>
      </c>
      <c r="B2873" s="569" t="s">
        <v>278</v>
      </c>
      <c r="C2873" s="580">
        <v>15</v>
      </c>
      <c r="D2873" s="569" t="s">
        <v>3374</v>
      </c>
      <c r="E2873" s="569" t="s">
        <v>1684</v>
      </c>
      <c r="F2873" s="569" t="s">
        <v>271</v>
      </c>
      <c r="G2873" s="569">
        <v>2019</v>
      </c>
      <c r="H2873" s="569" t="s">
        <v>4879</v>
      </c>
      <c r="I2873" s="569" t="s">
        <v>5014</v>
      </c>
      <c r="J2873" s="569" t="s">
        <v>3377</v>
      </c>
      <c r="K2873" s="569">
        <v>3</v>
      </c>
      <c r="L2873" s="569">
        <v>0</v>
      </c>
      <c r="M2873" s="569" t="s">
        <v>157</v>
      </c>
      <c r="N2873" s="569">
        <v>1</v>
      </c>
      <c r="O2873" s="569" t="s">
        <v>157</v>
      </c>
      <c r="P2873" s="568">
        <v>13200</v>
      </c>
      <c r="Q2873" s="569" t="s">
        <v>4231</v>
      </c>
      <c r="R2873" s="569">
        <v>8</v>
      </c>
      <c r="S2873" s="569" t="s">
        <v>5015</v>
      </c>
      <c r="T2873" s="569" t="s">
        <v>4905</v>
      </c>
      <c r="U2873" s="569">
        <v>145</v>
      </c>
      <c r="V2873" s="569">
        <v>40</v>
      </c>
      <c r="W2873" s="620">
        <v>11100</v>
      </c>
      <c r="X2873" s="621" t="s">
        <v>157</v>
      </c>
      <c r="Y2873" s="621" t="s">
        <v>728</v>
      </c>
      <c r="Z2873" s="621" t="s">
        <v>1523</v>
      </c>
      <c r="AA2873" s="622">
        <v>44315</v>
      </c>
      <c r="AB2873" s="622" t="s">
        <v>164</v>
      </c>
      <c r="AC2873" s="622">
        <v>34995</v>
      </c>
      <c r="AD2873" s="623">
        <v>0.01</v>
      </c>
      <c r="AE2873" s="621" t="s">
        <v>5017</v>
      </c>
    </row>
    <row r="2874" spans="1:31" s="572" customFormat="1">
      <c r="A2874" s="570" t="s">
        <v>5020</v>
      </c>
      <c r="B2874" s="573" t="s">
        <v>287</v>
      </c>
      <c r="C2874" s="578">
        <v>26</v>
      </c>
      <c r="D2874" s="573" t="s">
        <v>3374</v>
      </c>
      <c r="E2874" s="573" t="s">
        <v>1684</v>
      </c>
      <c r="F2874" s="573" t="s">
        <v>271</v>
      </c>
      <c r="G2874" s="573">
        <v>2019</v>
      </c>
      <c r="H2874" s="573" t="s">
        <v>4879</v>
      </c>
      <c r="I2874" s="573" t="s">
        <v>5014</v>
      </c>
      <c r="J2874" s="573" t="s">
        <v>3377</v>
      </c>
      <c r="K2874" s="573">
        <v>3</v>
      </c>
      <c r="L2874" s="573">
        <v>0</v>
      </c>
      <c r="M2874" s="573" t="s">
        <v>157</v>
      </c>
      <c r="N2874" s="573">
        <v>1</v>
      </c>
      <c r="O2874" s="573" t="s">
        <v>157</v>
      </c>
      <c r="P2874" s="571">
        <v>13200</v>
      </c>
      <c r="Q2874" s="573" t="s">
        <v>4235</v>
      </c>
      <c r="R2874" s="573">
        <v>8</v>
      </c>
      <c r="S2874" s="582" t="s">
        <v>5015</v>
      </c>
      <c r="T2874" s="573" t="s">
        <v>4905</v>
      </c>
      <c r="U2874" s="573">
        <v>145</v>
      </c>
      <c r="V2874" s="573">
        <v>40</v>
      </c>
      <c r="W2874" s="616">
        <v>10500</v>
      </c>
      <c r="X2874" s="617" t="s">
        <v>157</v>
      </c>
      <c r="Y2874" s="617" t="s">
        <v>450</v>
      </c>
      <c r="Z2874" s="617" t="s">
        <v>178</v>
      </c>
      <c r="AA2874" s="618">
        <v>34830</v>
      </c>
      <c r="AB2874" s="618" t="s">
        <v>164</v>
      </c>
      <c r="AC2874" s="618">
        <v>26853</v>
      </c>
      <c r="AD2874" s="619">
        <v>0.05</v>
      </c>
      <c r="AE2874" s="617" t="s">
        <v>5013</v>
      </c>
    </row>
    <row r="2875" spans="1:31" s="572" customFormat="1">
      <c r="A2875" s="570" t="s">
        <v>5021</v>
      </c>
      <c r="B2875" s="569" t="s">
        <v>287</v>
      </c>
      <c r="C2875" s="580">
        <v>26</v>
      </c>
      <c r="D2875" s="569" t="s">
        <v>3374</v>
      </c>
      <c r="E2875" s="569" t="s">
        <v>1684</v>
      </c>
      <c r="F2875" s="569" t="s">
        <v>271</v>
      </c>
      <c r="G2875" s="569">
        <v>2019</v>
      </c>
      <c r="H2875" s="569" t="s">
        <v>4879</v>
      </c>
      <c r="I2875" s="569" t="s">
        <v>5014</v>
      </c>
      <c r="J2875" s="569" t="s">
        <v>3377</v>
      </c>
      <c r="K2875" s="569">
        <v>3</v>
      </c>
      <c r="L2875" s="569">
        <v>0</v>
      </c>
      <c r="M2875" s="569" t="s">
        <v>157</v>
      </c>
      <c r="N2875" s="569">
        <v>1</v>
      </c>
      <c r="O2875" s="569" t="s">
        <v>157</v>
      </c>
      <c r="P2875" s="568">
        <v>13200</v>
      </c>
      <c r="Q2875" s="569" t="s">
        <v>4231</v>
      </c>
      <c r="R2875" s="569">
        <v>8</v>
      </c>
      <c r="S2875" s="569" t="s">
        <v>5015</v>
      </c>
      <c r="T2875" s="569" t="s">
        <v>4905</v>
      </c>
      <c r="U2875" s="569">
        <v>145</v>
      </c>
      <c r="V2875" s="569">
        <v>40</v>
      </c>
      <c r="W2875" s="620">
        <v>11100</v>
      </c>
      <c r="X2875" s="621" t="s">
        <v>157</v>
      </c>
      <c r="Y2875" s="621" t="s">
        <v>728</v>
      </c>
      <c r="Z2875" s="621" t="s">
        <v>1523</v>
      </c>
      <c r="AA2875" s="622">
        <v>43825</v>
      </c>
      <c r="AB2875" s="622" t="s">
        <v>164</v>
      </c>
      <c r="AC2875" s="622">
        <v>35048</v>
      </c>
      <c r="AD2875" s="623">
        <v>0.05</v>
      </c>
      <c r="AE2875" s="621" t="s">
        <v>5017</v>
      </c>
    </row>
    <row r="2876" spans="1:31" s="572" customFormat="1">
      <c r="A2876" s="570" t="s">
        <v>5022</v>
      </c>
      <c r="B2876" s="573" t="s">
        <v>280</v>
      </c>
      <c r="C2876" s="578">
        <v>27</v>
      </c>
      <c r="D2876" s="573" t="s">
        <v>3374</v>
      </c>
      <c r="E2876" s="573" t="s">
        <v>1684</v>
      </c>
      <c r="F2876" s="573" t="s">
        <v>271</v>
      </c>
      <c r="G2876" s="573">
        <v>2019</v>
      </c>
      <c r="H2876" s="573" t="s">
        <v>4879</v>
      </c>
      <c r="I2876" s="573" t="s">
        <v>5014</v>
      </c>
      <c r="J2876" s="573" t="s">
        <v>3377</v>
      </c>
      <c r="K2876" s="573">
        <v>3</v>
      </c>
      <c r="L2876" s="573">
        <v>0</v>
      </c>
      <c r="M2876" s="573" t="s">
        <v>157</v>
      </c>
      <c r="N2876" s="573">
        <v>1</v>
      </c>
      <c r="O2876" s="573" t="s">
        <v>157</v>
      </c>
      <c r="P2876" s="571">
        <v>13100</v>
      </c>
      <c r="Q2876" s="573" t="s">
        <v>4235</v>
      </c>
      <c r="R2876" s="573">
        <v>8</v>
      </c>
      <c r="S2876" s="582" t="s">
        <v>5015</v>
      </c>
      <c r="T2876" s="573" t="s">
        <v>4905</v>
      </c>
      <c r="U2876" s="573">
        <v>145</v>
      </c>
      <c r="V2876" s="573">
        <v>40</v>
      </c>
      <c r="W2876" s="616">
        <v>10500</v>
      </c>
      <c r="X2876" s="617" t="s">
        <v>157</v>
      </c>
      <c r="Y2876" s="617" t="s">
        <v>450</v>
      </c>
      <c r="Z2876" s="617" t="s">
        <v>178</v>
      </c>
      <c r="AA2876" s="618">
        <v>35195</v>
      </c>
      <c r="AB2876" s="618" t="s">
        <v>164</v>
      </c>
      <c r="AC2876" s="618">
        <v>26626.021052631582</v>
      </c>
      <c r="AD2876" s="619">
        <v>0.03</v>
      </c>
      <c r="AE2876" s="617" t="s">
        <v>5013</v>
      </c>
    </row>
    <row r="2877" spans="1:31" s="572" customFormat="1">
      <c r="A2877" s="570" t="s">
        <v>5023</v>
      </c>
      <c r="B2877" s="569" t="s">
        <v>280</v>
      </c>
      <c r="C2877" s="580">
        <v>27</v>
      </c>
      <c r="D2877" s="569" t="s">
        <v>3374</v>
      </c>
      <c r="E2877" s="569" t="s">
        <v>1684</v>
      </c>
      <c r="F2877" s="569" t="s">
        <v>271</v>
      </c>
      <c r="G2877" s="569">
        <v>2019</v>
      </c>
      <c r="H2877" s="569" t="s">
        <v>4879</v>
      </c>
      <c r="I2877" s="569" t="s">
        <v>5014</v>
      </c>
      <c r="J2877" s="569" t="s">
        <v>3377</v>
      </c>
      <c r="K2877" s="569">
        <v>3</v>
      </c>
      <c r="L2877" s="569">
        <v>0</v>
      </c>
      <c r="M2877" s="569" t="s">
        <v>157</v>
      </c>
      <c r="N2877" s="569">
        <v>1</v>
      </c>
      <c r="O2877" s="569" t="s">
        <v>157</v>
      </c>
      <c r="P2877" s="568">
        <v>13100</v>
      </c>
      <c r="Q2877" s="569" t="s">
        <v>4231</v>
      </c>
      <c r="R2877" s="569">
        <v>8</v>
      </c>
      <c r="S2877" s="569" t="s">
        <v>5015</v>
      </c>
      <c r="T2877" s="569" t="s">
        <v>4905</v>
      </c>
      <c r="U2877" s="569">
        <v>145</v>
      </c>
      <c r="V2877" s="569">
        <v>40</v>
      </c>
      <c r="W2877" s="620">
        <v>11100</v>
      </c>
      <c r="X2877" s="621" t="s">
        <v>157</v>
      </c>
      <c r="Y2877" s="621" t="s">
        <v>728</v>
      </c>
      <c r="Z2877" s="621" t="s">
        <v>1523</v>
      </c>
      <c r="AA2877" s="622">
        <v>44315</v>
      </c>
      <c r="AB2877" s="622" t="s">
        <v>164</v>
      </c>
      <c r="AC2877" s="622">
        <v>34818.210526315794</v>
      </c>
      <c r="AD2877" s="623">
        <v>0.03</v>
      </c>
      <c r="AE2877" s="621" t="s">
        <v>5017</v>
      </c>
    </row>
    <row r="2878" spans="1:31" s="572" customFormat="1">
      <c r="A2878" s="570" t="s">
        <v>5024</v>
      </c>
      <c r="B2878" s="573" t="s">
        <v>269</v>
      </c>
      <c r="C2878" s="578" t="s">
        <v>270</v>
      </c>
      <c r="D2878" s="573" t="s">
        <v>3374</v>
      </c>
      <c r="E2878" s="573" t="s">
        <v>1684</v>
      </c>
      <c r="F2878" s="573" t="s">
        <v>271</v>
      </c>
      <c r="G2878" s="573">
        <v>2019</v>
      </c>
      <c r="H2878" s="573" t="s">
        <v>4879</v>
      </c>
      <c r="I2878" s="573" t="s">
        <v>5014</v>
      </c>
      <c r="J2878" s="573" t="s">
        <v>752</v>
      </c>
      <c r="K2878" s="573">
        <v>3</v>
      </c>
      <c r="L2878" s="573">
        <v>0</v>
      </c>
      <c r="M2878" s="573" t="s">
        <v>157</v>
      </c>
      <c r="N2878" s="573">
        <v>1</v>
      </c>
      <c r="O2878" s="573" t="s">
        <v>157</v>
      </c>
      <c r="P2878" s="571">
        <v>12700</v>
      </c>
      <c r="Q2878" s="573" t="s">
        <v>4235</v>
      </c>
      <c r="R2878" s="573">
        <v>8</v>
      </c>
      <c r="S2878" s="582" t="s">
        <v>5026</v>
      </c>
      <c r="T2878" s="573" t="s">
        <v>4905</v>
      </c>
      <c r="U2878" s="573">
        <v>145</v>
      </c>
      <c r="V2878" s="573">
        <v>40</v>
      </c>
      <c r="W2878" s="616">
        <v>10900</v>
      </c>
      <c r="X2878" s="617" t="s">
        <v>157</v>
      </c>
      <c r="Y2878" s="617" t="s">
        <v>450</v>
      </c>
      <c r="Z2878" s="617" t="s">
        <v>178</v>
      </c>
      <c r="AA2878" s="618">
        <v>38695</v>
      </c>
      <c r="AB2878" s="618" t="s">
        <v>164</v>
      </c>
      <c r="AC2878" s="618">
        <v>29227.073684210529</v>
      </c>
      <c r="AD2878" s="619">
        <v>0.03</v>
      </c>
      <c r="AE2878" s="617" t="s">
        <v>5025</v>
      </c>
    </row>
    <row r="2879" spans="1:31" s="572" customFormat="1">
      <c r="A2879" s="570" t="s">
        <v>5027</v>
      </c>
      <c r="B2879" s="569" t="s">
        <v>269</v>
      </c>
      <c r="C2879" s="580" t="s">
        <v>270</v>
      </c>
      <c r="D2879" s="569" t="s">
        <v>3374</v>
      </c>
      <c r="E2879" s="569" t="s">
        <v>1684</v>
      </c>
      <c r="F2879" s="569" t="s">
        <v>271</v>
      </c>
      <c r="G2879" s="569">
        <v>2019</v>
      </c>
      <c r="H2879" s="569" t="s">
        <v>4879</v>
      </c>
      <c r="I2879" s="569" t="s">
        <v>5014</v>
      </c>
      <c r="J2879" s="569" t="s">
        <v>752</v>
      </c>
      <c r="K2879" s="569">
        <v>3</v>
      </c>
      <c r="L2879" s="569">
        <v>0</v>
      </c>
      <c r="M2879" s="569" t="s">
        <v>157</v>
      </c>
      <c r="N2879" s="569">
        <v>1</v>
      </c>
      <c r="O2879" s="569" t="s">
        <v>157</v>
      </c>
      <c r="P2879" s="568">
        <v>12700</v>
      </c>
      <c r="Q2879" s="569" t="s">
        <v>4231</v>
      </c>
      <c r="R2879" s="569">
        <v>8</v>
      </c>
      <c r="S2879" s="569" t="s">
        <v>5026</v>
      </c>
      <c r="T2879" s="569" t="s">
        <v>4905</v>
      </c>
      <c r="U2879" s="569">
        <v>145</v>
      </c>
      <c r="V2879" s="569">
        <v>40</v>
      </c>
      <c r="W2879" s="620">
        <v>11500</v>
      </c>
      <c r="X2879" s="621" t="s">
        <v>157</v>
      </c>
      <c r="Y2879" s="621" t="s">
        <v>728</v>
      </c>
      <c r="Z2879" s="621" t="s">
        <v>1523</v>
      </c>
      <c r="AA2879" s="622">
        <v>47815</v>
      </c>
      <c r="AB2879" s="622" t="s">
        <v>164</v>
      </c>
      <c r="AC2879" s="622">
        <v>37419.26315789474</v>
      </c>
      <c r="AD2879" s="623">
        <v>0.03</v>
      </c>
      <c r="AE2879" s="621" t="s">
        <v>5028</v>
      </c>
    </row>
    <row r="2880" spans="1:31" s="572" customFormat="1">
      <c r="A2880" s="570" t="s">
        <v>5029</v>
      </c>
      <c r="B2880" s="573" t="s">
        <v>278</v>
      </c>
      <c r="C2880" s="578">
        <v>15</v>
      </c>
      <c r="D2880" s="573" t="s">
        <v>3374</v>
      </c>
      <c r="E2880" s="573" t="s">
        <v>1684</v>
      </c>
      <c r="F2880" s="573" t="s">
        <v>271</v>
      </c>
      <c r="G2880" s="573">
        <v>2019</v>
      </c>
      <c r="H2880" s="573" t="s">
        <v>4879</v>
      </c>
      <c r="I2880" s="573" t="s">
        <v>5014</v>
      </c>
      <c r="J2880" s="573" t="s">
        <v>752</v>
      </c>
      <c r="K2880" s="573">
        <v>3</v>
      </c>
      <c r="L2880" s="573">
        <v>0</v>
      </c>
      <c r="M2880" s="573" t="s">
        <v>157</v>
      </c>
      <c r="N2880" s="573">
        <v>1</v>
      </c>
      <c r="O2880" s="573" t="s">
        <v>157</v>
      </c>
      <c r="P2880" s="571">
        <v>12700</v>
      </c>
      <c r="Q2880" s="573" t="s">
        <v>4235</v>
      </c>
      <c r="R2880" s="573">
        <v>8</v>
      </c>
      <c r="S2880" s="582" t="s">
        <v>5026</v>
      </c>
      <c r="T2880" s="573" t="s">
        <v>4905</v>
      </c>
      <c r="U2880" s="573">
        <v>145</v>
      </c>
      <c r="V2880" s="573">
        <v>40</v>
      </c>
      <c r="W2880" s="616">
        <v>10900</v>
      </c>
      <c r="X2880" s="617" t="s">
        <v>157</v>
      </c>
      <c r="Y2880" s="617" t="s">
        <v>450</v>
      </c>
      <c r="Z2880" s="617" t="s">
        <v>178</v>
      </c>
      <c r="AA2880" s="618">
        <v>38695</v>
      </c>
      <c r="AB2880" s="618" t="s">
        <v>164</v>
      </c>
      <c r="AC2880" s="618">
        <v>29350</v>
      </c>
      <c r="AD2880" s="619">
        <v>0.01</v>
      </c>
      <c r="AE2880" s="617" t="s">
        <v>5025</v>
      </c>
    </row>
    <row r="2881" spans="1:31" s="572" customFormat="1">
      <c r="A2881" s="570" t="s">
        <v>5030</v>
      </c>
      <c r="B2881" s="569" t="s">
        <v>278</v>
      </c>
      <c r="C2881" s="580">
        <v>15</v>
      </c>
      <c r="D2881" s="569" t="s">
        <v>3374</v>
      </c>
      <c r="E2881" s="569" t="s">
        <v>1684</v>
      </c>
      <c r="F2881" s="569" t="s">
        <v>271</v>
      </c>
      <c r="G2881" s="569">
        <v>2019</v>
      </c>
      <c r="H2881" s="569" t="s">
        <v>4879</v>
      </c>
      <c r="I2881" s="569" t="s">
        <v>5014</v>
      </c>
      <c r="J2881" s="569" t="s">
        <v>752</v>
      </c>
      <c r="K2881" s="569">
        <v>3</v>
      </c>
      <c r="L2881" s="569">
        <v>0</v>
      </c>
      <c r="M2881" s="569" t="s">
        <v>157</v>
      </c>
      <c r="N2881" s="569">
        <v>1</v>
      </c>
      <c r="O2881" s="569" t="s">
        <v>157</v>
      </c>
      <c r="P2881" s="568">
        <v>12700</v>
      </c>
      <c r="Q2881" s="569" t="s">
        <v>4231</v>
      </c>
      <c r="R2881" s="569">
        <v>8</v>
      </c>
      <c r="S2881" s="569" t="s">
        <v>5026</v>
      </c>
      <c r="T2881" s="569" t="s">
        <v>4905</v>
      </c>
      <c r="U2881" s="569">
        <v>145</v>
      </c>
      <c r="V2881" s="569">
        <v>40</v>
      </c>
      <c r="W2881" s="620">
        <v>11500</v>
      </c>
      <c r="X2881" s="621" t="s">
        <v>157</v>
      </c>
      <c r="Y2881" s="621" t="s">
        <v>728</v>
      </c>
      <c r="Z2881" s="621" t="s">
        <v>1523</v>
      </c>
      <c r="AA2881" s="622">
        <v>47815</v>
      </c>
      <c r="AB2881" s="622" t="s">
        <v>164</v>
      </c>
      <c r="AC2881" s="622">
        <v>37600</v>
      </c>
      <c r="AD2881" s="623">
        <v>0.01</v>
      </c>
      <c r="AE2881" s="621" t="s">
        <v>5028</v>
      </c>
    </row>
    <row r="2882" spans="1:31" s="572" customFormat="1">
      <c r="A2882" s="570" t="s">
        <v>5031</v>
      </c>
      <c r="B2882" s="573" t="s">
        <v>287</v>
      </c>
      <c r="C2882" s="578">
        <v>26</v>
      </c>
      <c r="D2882" s="573" t="s">
        <v>3374</v>
      </c>
      <c r="E2882" s="573" t="s">
        <v>1684</v>
      </c>
      <c r="F2882" s="573" t="s">
        <v>271</v>
      </c>
      <c r="G2882" s="573">
        <v>2019</v>
      </c>
      <c r="H2882" s="573" t="s">
        <v>4879</v>
      </c>
      <c r="I2882" s="573" t="s">
        <v>5014</v>
      </c>
      <c r="J2882" s="573" t="s">
        <v>752</v>
      </c>
      <c r="K2882" s="573">
        <v>3</v>
      </c>
      <c r="L2882" s="573">
        <v>0</v>
      </c>
      <c r="M2882" s="573" t="s">
        <v>157</v>
      </c>
      <c r="N2882" s="573">
        <v>1</v>
      </c>
      <c r="O2882" s="573" t="s">
        <v>157</v>
      </c>
      <c r="P2882" s="571">
        <v>12700</v>
      </c>
      <c r="Q2882" s="573" t="s">
        <v>4235</v>
      </c>
      <c r="R2882" s="573">
        <v>8</v>
      </c>
      <c r="S2882" s="582" t="s">
        <v>5026</v>
      </c>
      <c r="T2882" s="573" t="s">
        <v>4905</v>
      </c>
      <c r="U2882" s="573">
        <v>145</v>
      </c>
      <c r="V2882" s="573">
        <v>40</v>
      </c>
      <c r="W2882" s="616">
        <v>10900</v>
      </c>
      <c r="X2882" s="617" t="s">
        <v>157</v>
      </c>
      <c r="Y2882" s="617" t="s">
        <v>450</v>
      </c>
      <c r="Z2882" s="617" t="s">
        <v>178</v>
      </c>
      <c r="AA2882" s="618">
        <v>38330</v>
      </c>
      <c r="AB2882" s="618" t="s">
        <v>164</v>
      </c>
      <c r="AC2882" s="618">
        <v>29494</v>
      </c>
      <c r="AD2882" s="619">
        <v>0.05</v>
      </c>
      <c r="AE2882" s="617" t="s">
        <v>5025</v>
      </c>
    </row>
    <row r="2883" spans="1:31" s="572" customFormat="1">
      <c r="A2883" s="570" t="s">
        <v>5032</v>
      </c>
      <c r="B2883" s="569" t="s">
        <v>287</v>
      </c>
      <c r="C2883" s="580">
        <v>26</v>
      </c>
      <c r="D2883" s="569" t="s">
        <v>3374</v>
      </c>
      <c r="E2883" s="569" t="s">
        <v>1684</v>
      </c>
      <c r="F2883" s="569" t="s">
        <v>271</v>
      </c>
      <c r="G2883" s="569">
        <v>2019</v>
      </c>
      <c r="H2883" s="569" t="s">
        <v>4879</v>
      </c>
      <c r="I2883" s="569" t="s">
        <v>5014</v>
      </c>
      <c r="J2883" s="569" t="s">
        <v>752</v>
      </c>
      <c r="K2883" s="569">
        <v>3</v>
      </c>
      <c r="L2883" s="569">
        <v>0</v>
      </c>
      <c r="M2883" s="569" t="s">
        <v>157</v>
      </c>
      <c r="N2883" s="569">
        <v>1</v>
      </c>
      <c r="O2883" s="569" t="s">
        <v>157</v>
      </c>
      <c r="P2883" s="568">
        <v>12700</v>
      </c>
      <c r="Q2883" s="569" t="s">
        <v>4231</v>
      </c>
      <c r="R2883" s="569">
        <v>8</v>
      </c>
      <c r="S2883" s="569" t="s">
        <v>5026</v>
      </c>
      <c r="T2883" s="569" t="s">
        <v>4905</v>
      </c>
      <c r="U2883" s="569">
        <v>145</v>
      </c>
      <c r="V2883" s="569">
        <v>40</v>
      </c>
      <c r="W2883" s="620">
        <v>11500</v>
      </c>
      <c r="X2883" s="621" t="s">
        <v>157</v>
      </c>
      <c r="Y2883" s="621" t="s">
        <v>728</v>
      </c>
      <c r="Z2883" s="621" t="s">
        <v>1523</v>
      </c>
      <c r="AA2883" s="622">
        <v>47815</v>
      </c>
      <c r="AB2883" s="622" t="s">
        <v>164</v>
      </c>
      <c r="AC2883" s="622">
        <v>37689</v>
      </c>
      <c r="AD2883" s="623">
        <v>0.05</v>
      </c>
      <c r="AE2883" s="621" t="s">
        <v>5028</v>
      </c>
    </row>
    <row r="2884" spans="1:31" s="572" customFormat="1">
      <c r="A2884" s="570" t="s">
        <v>5033</v>
      </c>
      <c r="B2884" s="573" t="s">
        <v>280</v>
      </c>
      <c r="C2884" s="578">
        <v>27</v>
      </c>
      <c r="D2884" s="573" t="s">
        <v>3374</v>
      </c>
      <c r="E2884" s="573" t="s">
        <v>1684</v>
      </c>
      <c r="F2884" s="573" t="s">
        <v>271</v>
      </c>
      <c r="G2884" s="573">
        <v>2019</v>
      </c>
      <c r="H2884" s="573" t="s">
        <v>4879</v>
      </c>
      <c r="I2884" s="573" t="s">
        <v>5014</v>
      </c>
      <c r="J2884" s="573" t="s">
        <v>752</v>
      </c>
      <c r="K2884" s="573">
        <v>3</v>
      </c>
      <c r="L2884" s="573">
        <v>0</v>
      </c>
      <c r="M2884" s="573" t="s">
        <v>157</v>
      </c>
      <c r="N2884" s="573">
        <v>1</v>
      </c>
      <c r="O2884" s="573" t="s">
        <v>157</v>
      </c>
      <c r="P2884" s="571">
        <v>12700</v>
      </c>
      <c r="Q2884" s="573" t="s">
        <v>4235</v>
      </c>
      <c r="R2884" s="573">
        <v>8</v>
      </c>
      <c r="S2884" s="582" t="s">
        <v>5026</v>
      </c>
      <c r="T2884" s="573" t="s">
        <v>4905</v>
      </c>
      <c r="U2884" s="573">
        <v>145</v>
      </c>
      <c r="V2884" s="573">
        <v>40</v>
      </c>
      <c r="W2884" s="616">
        <v>10900</v>
      </c>
      <c r="X2884" s="617" t="s">
        <v>157</v>
      </c>
      <c r="Y2884" s="617" t="s">
        <v>450</v>
      </c>
      <c r="Z2884" s="617" t="s">
        <v>178</v>
      </c>
      <c r="AA2884" s="618">
        <v>38695</v>
      </c>
      <c r="AB2884" s="618" t="s">
        <v>164</v>
      </c>
      <c r="AC2884" s="618">
        <v>29227.073684210529</v>
      </c>
      <c r="AD2884" s="619">
        <v>0.03</v>
      </c>
      <c r="AE2884" s="617" t="s">
        <v>5025</v>
      </c>
    </row>
    <row r="2885" spans="1:31" s="572" customFormat="1">
      <c r="A2885" s="570" t="s">
        <v>5034</v>
      </c>
      <c r="B2885" s="569" t="s">
        <v>280</v>
      </c>
      <c r="C2885" s="580">
        <v>27</v>
      </c>
      <c r="D2885" s="569" t="s">
        <v>3374</v>
      </c>
      <c r="E2885" s="569" t="s">
        <v>1684</v>
      </c>
      <c r="F2885" s="569" t="s">
        <v>271</v>
      </c>
      <c r="G2885" s="569">
        <v>2019</v>
      </c>
      <c r="H2885" s="569" t="s">
        <v>4879</v>
      </c>
      <c r="I2885" s="569" t="s">
        <v>5014</v>
      </c>
      <c r="J2885" s="569" t="s">
        <v>752</v>
      </c>
      <c r="K2885" s="569">
        <v>3</v>
      </c>
      <c r="L2885" s="569">
        <v>0</v>
      </c>
      <c r="M2885" s="569" t="s">
        <v>157</v>
      </c>
      <c r="N2885" s="569">
        <v>1</v>
      </c>
      <c r="O2885" s="569" t="s">
        <v>157</v>
      </c>
      <c r="P2885" s="568">
        <v>12700</v>
      </c>
      <c r="Q2885" s="569" t="s">
        <v>4231</v>
      </c>
      <c r="R2885" s="569">
        <v>8</v>
      </c>
      <c r="S2885" s="569" t="s">
        <v>5026</v>
      </c>
      <c r="T2885" s="569" t="s">
        <v>4905</v>
      </c>
      <c r="U2885" s="569">
        <v>145</v>
      </c>
      <c r="V2885" s="569">
        <v>40</v>
      </c>
      <c r="W2885" s="620">
        <v>11500</v>
      </c>
      <c r="X2885" s="621" t="s">
        <v>157</v>
      </c>
      <c r="Y2885" s="621" t="s">
        <v>728</v>
      </c>
      <c r="Z2885" s="621" t="s">
        <v>1523</v>
      </c>
      <c r="AA2885" s="622">
        <v>47815</v>
      </c>
      <c r="AB2885" s="622" t="s">
        <v>164</v>
      </c>
      <c r="AC2885" s="622">
        <v>37419.26315789474</v>
      </c>
      <c r="AD2885" s="623">
        <v>0.03</v>
      </c>
      <c r="AE2885" s="621" t="s">
        <v>5028</v>
      </c>
    </row>
    <row r="2886" spans="1:31" s="572" customFormat="1">
      <c r="A2886" s="570" t="s">
        <v>5035</v>
      </c>
      <c r="B2886" s="573" t="s">
        <v>269</v>
      </c>
      <c r="C2886" s="578" t="s">
        <v>270</v>
      </c>
      <c r="D2886" s="573" t="s">
        <v>3374</v>
      </c>
      <c r="E2886" s="573" t="s">
        <v>1684</v>
      </c>
      <c r="F2886" s="573" t="s">
        <v>271</v>
      </c>
      <c r="G2886" s="573">
        <v>2019</v>
      </c>
      <c r="H2886" s="573" t="s">
        <v>4879</v>
      </c>
      <c r="I2886" s="573" t="s">
        <v>4730</v>
      </c>
      <c r="J2886" s="573" t="s">
        <v>3377</v>
      </c>
      <c r="K2886" s="573">
        <v>3</v>
      </c>
      <c r="L2886" s="573">
        <v>0</v>
      </c>
      <c r="M2886" s="573" t="s">
        <v>157</v>
      </c>
      <c r="N2886" s="573">
        <v>1</v>
      </c>
      <c r="O2886" s="573" t="s">
        <v>157</v>
      </c>
      <c r="P2886" s="571">
        <v>13140</v>
      </c>
      <c r="Q2886" s="573" t="s">
        <v>4235</v>
      </c>
      <c r="R2886" s="573">
        <v>8</v>
      </c>
      <c r="S2886" s="582" t="s">
        <v>4972</v>
      </c>
      <c r="T2886" s="573" t="s">
        <v>4928</v>
      </c>
      <c r="U2886" s="573">
        <v>169</v>
      </c>
      <c r="V2886" s="573">
        <v>40</v>
      </c>
      <c r="W2886" s="616">
        <v>14000</v>
      </c>
      <c r="X2886" s="617" t="s">
        <v>157</v>
      </c>
      <c r="Y2886" s="617" t="s">
        <v>450</v>
      </c>
      <c r="Z2886" s="617" t="s">
        <v>178</v>
      </c>
      <c r="AA2886" s="618">
        <v>39935</v>
      </c>
      <c r="AB2886" s="618" t="s">
        <v>164</v>
      </c>
      <c r="AC2886" s="618">
        <v>29109.178947368422</v>
      </c>
      <c r="AD2886" s="619">
        <v>0.03</v>
      </c>
      <c r="AE2886" s="617" t="s">
        <v>5036</v>
      </c>
    </row>
    <row r="2887" spans="1:31" s="572" customFormat="1">
      <c r="A2887" s="570" t="s">
        <v>5037</v>
      </c>
      <c r="B2887" s="569" t="s">
        <v>269</v>
      </c>
      <c r="C2887" s="580" t="s">
        <v>270</v>
      </c>
      <c r="D2887" s="569" t="s">
        <v>3374</v>
      </c>
      <c r="E2887" s="569" t="s">
        <v>1684</v>
      </c>
      <c r="F2887" s="569" t="s">
        <v>271</v>
      </c>
      <c r="G2887" s="569">
        <v>2019</v>
      </c>
      <c r="H2887" s="569" t="s">
        <v>4879</v>
      </c>
      <c r="I2887" s="569" t="s">
        <v>4730</v>
      </c>
      <c r="J2887" s="569" t="s">
        <v>3377</v>
      </c>
      <c r="K2887" s="569">
        <v>3</v>
      </c>
      <c r="L2887" s="569">
        <v>0</v>
      </c>
      <c r="M2887" s="569" t="s">
        <v>157</v>
      </c>
      <c r="N2887" s="569">
        <v>1</v>
      </c>
      <c r="O2887" s="569" t="s">
        <v>157</v>
      </c>
      <c r="P2887" s="568">
        <v>13140</v>
      </c>
      <c r="Q2887" s="569" t="s">
        <v>4231</v>
      </c>
      <c r="R2887" s="569">
        <v>8</v>
      </c>
      <c r="S2887" s="569" t="s">
        <v>4972</v>
      </c>
      <c r="T2887" s="569" t="s">
        <v>4928</v>
      </c>
      <c r="U2887" s="569">
        <v>169</v>
      </c>
      <c r="V2887" s="569">
        <v>40</v>
      </c>
      <c r="W2887" s="620">
        <v>14000</v>
      </c>
      <c r="X2887" s="621" t="s">
        <v>157</v>
      </c>
      <c r="Y2887" s="621" t="s">
        <v>728</v>
      </c>
      <c r="Z2887" s="621" t="s">
        <v>1523</v>
      </c>
      <c r="AA2887" s="622">
        <v>49055</v>
      </c>
      <c r="AB2887" s="622" t="s">
        <v>164</v>
      </c>
      <c r="AC2887" s="622">
        <v>37301.368421052633</v>
      </c>
      <c r="AD2887" s="623">
        <v>0.03</v>
      </c>
      <c r="AE2887" s="621" t="s">
        <v>5038</v>
      </c>
    </row>
    <row r="2888" spans="1:31" s="572" customFormat="1">
      <c r="A2888" s="570" t="s">
        <v>5039</v>
      </c>
      <c r="B2888" s="573" t="s">
        <v>269</v>
      </c>
      <c r="C2888" s="578" t="s">
        <v>270</v>
      </c>
      <c r="D2888" s="573" t="s">
        <v>3374</v>
      </c>
      <c r="E2888" s="573" t="s">
        <v>1684</v>
      </c>
      <c r="F2888" s="573" t="s">
        <v>271</v>
      </c>
      <c r="G2888" s="573">
        <v>2019</v>
      </c>
      <c r="H2888" s="573" t="s">
        <v>4879</v>
      </c>
      <c r="I2888" s="573" t="s">
        <v>4730</v>
      </c>
      <c r="J2888" s="573" t="s">
        <v>3377</v>
      </c>
      <c r="K2888" s="573">
        <v>3</v>
      </c>
      <c r="L2888" s="573">
        <v>0</v>
      </c>
      <c r="M2888" s="573" t="s">
        <v>157</v>
      </c>
      <c r="N2888" s="573">
        <v>1</v>
      </c>
      <c r="O2888" s="573" t="s">
        <v>157</v>
      </c>
      <c r="P2888" s="571">
        <v>13300</v>
      </c>
      <c r="Q2888" s="573" t="s">
        <v>4235</v>
      </c>
      <c r="R2888" s="573">
        <v>8</v>
      </c>
      <c r="S2888" s="582" t="s">
        <v>4972</v>
      </c>
      <c r="T2888" s="573" t="s">
        <v>4928</v>
      </c>
      <c r="U2888" s="573">
        <v>145</v>
      </c>
      <c r="V2888" s="573">
        <v>40</v>
      </c>
      <c r="W2888" s="616">
        <v>14000</v>
      </c>
      <c r="X2888" s="617" t="s">
        <v>157</v>
      </c>
      <c r="Y2888" s="617" t="s">
        <v>450</v>
      </c>
      <c r="Z2888" s="617" t="s">
        <v>178</v>
      </c>
      <c r="AA2888" s="618">
        <v>39755</v>
      </c>
      <c r="AB2888" s="618" t="s">
        <v>164</v>
      </c>
      <c r="AC2888" s="618">
        <v>28942.863157894739</v>
      </c>
      <c r="AD2888" s="619">
        <v>0.03</v>
      </c>
      <c r="AE2888" s="617" t="s">
        <v>5040</v>
      </c>
    </row>
    <row r="2889" spans="1:31" s="572" customFormat="1">
      <c r="A2889" s="570" t="s">
        <v>5041</v>
      </c>
      <c r="B2889" s="569" t="s">
        <v>269</v>
      </c>
      <c r="C2889" s="580" t="s">
        <v>270</v>
      </c>
      <c r="D2889" s="569" t="s">
        <v>3374</v>
      </c>
      <c r="E2889" s="569" t="s">
        <v>1684</v>
      </c>
      <c r="F2889" s="569" t="s">
        <v>271</v>
      </c>
      <c r="G2889" s="569">
        <v>2019</v>
      </c>
      <c r="H2889" s="569" t="s">
        <v>4879</v>
      </c>
      <c r="I2889" s="569" t="s">
        <v>4730</v>
      </c>
      <c r="J2889" s="569" t="s">
        <v>3377</v>
      </c>
      <c r="K2889" s="569">
        <v>3</v>
      </c>
      <c r="L2889" s="569">
        <v>0</v>
      </c>
      <c r="M2889" s="569" t="s">
        <v>157</v>
      </c>
      <c r="N2889" s="569">
        <v>1</v>
      </c>
      <c r="O2889" s="569" t="s">
        <v>157</v>
      </c>
      <c r="P2889" s="568">
        <v>13300</v>
      </c>
      <c r="Q2889" s="569" t="s">
        <v>4231</v>
      </c>
      <c r="R2889" s="569">
        <v>8</v>
      </c>
      <c r="S2889" s="569" t="s">
        <v>4972</v>
      </c>
      <c r="T2889" s="569" t="s">
        <v>4928</v>
      </c>
      <c r="U2889" s="569">
        <v>145</v>
      </c>
      <c r="V2889" s="569">
        <v>40</v>
      </c>
      <c r="W2889" s="620">
        <v>14000</v>
      </c>
      <c r="X2889" s="621" t="s">
        <v>157</v>
      </c>
      <c r="Y2889" s="621" t="s">
        <v>728</v>
      </c>
      <c r="Z2889" s="621" t="s">
        <v>1523</v>
      </c>
      <c r="AA2889" s="622">
        <v>48875</v>
      </c>
      <c r="AB2889" s="622" t="s">
        <v>164</v>
      </c>
      <c r="AC2889" s="622">
        <v>37135.052631578954</v>
      </c>
      <c r="AD2889" s="623">
        <v>0.03</v>
      </c>
      <c r="AE2889" s="621" t="s">
        <v>5042</v>
      </c>
    </row>
    <row r="2890" spans="1:31" s="572" customFormat="1">
      <c r="A2890" s="570" t="s">
        <v>5043</v>
      </c>
      <c r="B2890" s="573" t="s">
        <v>278</v>
      </c>
      <c r="C2890" s="578">
        <v>15</v>
      </c>
      <c r="D2890" s="573" t="s">
        <v>3374</v>
      </c>
      <c r="E2890" s="573" t="s">
        <v>1684</v>
      </c>
      <c r="F2890" s="573" t="s">
        <v>271</v>
      </c>
      <c r="G2890" s="573">
        <v>2019</v>
      </c>
      <c r="H2890" s="573" t="s">
        <v>4879</v>
      </c>
      <c r="I2890" s="573" t="s">
        <v>4730</v>
      </c>
      <c r="J2890" s="573" t="s">
        <v>3377</v>
      </c>
      <c r="K2890" s="573">
        <v>3</v>
      </c>
      <c r="L2890" s="573">
        <v>0</v>
      </c>
      <c r="M2890" s="573" t="s">
        <v>157</v>
      </c>
      <c r="N2890" s="573">
        <v>1</v>
      </c>
      <c r="O2890" s="573" t="s">
        <v>157</v>
      </c>
      <c r="P2890" s="571">
        <v>13200</v>
      </c>
      <c r="Q2890" s="573" t="s">
        <v>4235</v>
      </c>
      <c r="R2890" s="573">
        <v>8</v>
      </c>
      <c r="S2890" s="582" t="s">
        <v>4972</v>
      </c>
      <c r="T2890" s="573" t="s">
        <v>4928</v>
      </c>
      <c r="U2890" s="573">
        <v>169</v>
      </c>
      <c r="V2890" s="573">
        <v>40</v>
      </c>
      <c r="W2890" s="616">
        <v>14000</v>
      </c>
      <c r="X2890" s="617" t="s">
        <v>157</v>
      </c>
      <c r="Y2890" s="617" t="s">
        <v>450</v>
      </c>
      <c r="Z2890" s="617" t="s">
        <v>178</v>
      </c>
      <c r="AA2890" s="618">
        <v>39935</v>
      </c>
      <c r="AB2890" s="618" t="s">
        <v>164</v>
      </c>
      <c r="AC2890" s="618">
        <v>29200</v>
      </c>
      <c r="AD2890" s="619">
        <v>0.01</v>
      </c>
      <c r="AE2890" s="617" t="s">
        <v>5036</v>
      </c>
    </row>
    <row r="2891" spans="1:31" s="572" customFormat="1">
      <c r="A2891" s="570" t="s">
        <v>5044</v>
      </c>
      <c r="B2891" s="569" t="s">
        <v>278</v>
      </c>
      <c r="C2891" s="580">
        <v>15</v>
      </c>
      <c r="D2891" s="569" t="s">
        <v>3374</v>
      </c>
      <c r="E2891" s="569" t="s">
        <v>1684</v>
      </c>
      <c r="F2891" s="569" t="s">
        <v>271</v>
      </c>
      <c r="G2891" s="569">
        <v>2019</v>
      </c>
      <c r="H2891" s="569" t="s">
        <v>4879</v>
      </c>
      <c r="I2891" s="569" t="s">
        <v>4730</v>
      </c>
      <c r="J2891" s="569" t="s">
        <v>3377</v>
      </c>
      <c r="K2891" s="569">
        <v>3</v>
      </c>
      <c r="L2891" s="569">
        <v>0</v>
      </c>
      <c r="M2891" s="569" t="s">
        <v>157</v>
      </c>
      <c r="N2891" s="569">
        <v>1</v>
      </c>
      <c r="O2891" s="569" t="s">
        <v>157</v>
      </c>
      <c r="P2891" s="568">
        <v>13200</v>
      </c>
      <c r="Q2891" s="569" t="s">
        <v>4231</v>
      </c>
      <c r="R2891" s="569">
        <v>8</v>
      </c>
      <c r="S2891" s="569" t="s">
        <v>4972</v>
      </c>
      <c r="T2891" s="569" t="s">
        <v>4928</v>
      </c>
      <c r="U2891" s="569">
        <v>169</v>
      </c>
      <c r="V2891" s="569">
        <v>40</v>
      </c>
      <c r="W2891" s="620">
        <v>14000</v>
      </c>
      <c r="X2891" s="621" t="s">
        <v>157</v>
      </c>
      <c r="Y2891" s="621" t="s">
        <v>728</v>
      </c>
      <c r="Z2891" s="621" t="s">
        <v>1523</v>
      </c>
      <c r="AA2891" s="622">
        <v>49055</v>
      </c>
      <c r="AB2891" s="622" t="s">
        <v>164</v>
      </c>
      <c r="AC2891" s="622">
        <v>37500</v>
      </c>
      <c r="AD2891" s="623">
        <v>0.01</v>
      </c>
      <c r="AE2891" s="621" t="s">
        <v>5038</v>
      </c>
    </row>
    <row r="2892" spans="1:31" s="572" customFormat="1">
      <c r="A2892" s="570" t="s">
        <v>5045</v>
      </c>
      <c r="B2892" s="573" t="s">
        <v>278</v>
      </c>
      <c r="C2892" s="578">
        <v>15</v>
      </c>
      <c r="D2892" s="573" t="s">
        <v>3374</v>
      </c>
      <c r="E2892" s="573" t="s">
        <v>1684</v>
      </c>
      <c r="F2892" s="573" t="s">
        <v>271</v>
      </c>
      <c r="G2892" s="573">
        <v>2019</v>
      </c>
      <c r="H2892" s="573" t="s">
        <v>4879</v>
      </c>
      <c r="I2892" s="573" t="s">
        <v>4730</v>
      </c>
      <c r="J2892" s="573" t="s">
        <v>3377</v>
      </c>
      <c r="K2892" s="573">
        <v>3</v>
      </c>
      <c r="L2892" s="573">
        <v>0</v>
      </c>
      <c r="M2892" s="573" t="s">
        <v>157</v>
      </c>
      <c r="N2892" s="573">
        <v>1</v>
      </c>
      <c r="O2892" s="573" t="s">
        <v>157</v>
      </c>
      <c r="P2892" s="571">
        <v>13400</v>
      </c>
      <c r="Q2892" s="573" t="s">
        <v>4235</v>
      </c>
      <c r="R2892" s="573">
        <v>8</v>
      </c>
      <c r="S2892" s="582" t="s">
        <v>4972</v>
      </c>
      <c r="T2892" s="573" t="s">
        <v>4928</v>
      </c>
      <c r="U2892" s="573">
        <v>145</v>
      </c>
      <c r="V2892" s="573">
        <v>40</v>
      </c>
      <c r="W2892" s="616">
        <v>14000</v>
      </c>
      <c r="X2892" s="617" t="s">
        <v>157</v>
      </c>
      <c r="Y2892" s="617" t="s">
        <v>450</v>
      </c>
      <c r="Z2892" s="617" t="s">
        <v>178</v>
      </c>
      <c r="AA2892" s="618">
        <v>39755</v>
      </c>
      <c r="AB2892" s="618" t="s">
        <v>164</v>
      </c>
      <c r="AC2892" s="618">
        <v>29050</v>
      </c>
      <c r="AD2892" s="619">
        <v>0.01</v>
      </c>
      <c r="AE2892" s="617" t="s">
        <v>5040</v>
      </c>
    </row>
    <row r="2893" spans="1:31" s="572" customFormat="1">
      <c r="A2893" s="570" t="s">
        <v>5046</v>
      </c>
      <c r="B2893" s="569" t="s">
        <v>278</v>
      </c>
      <c r="C2893" s="580">
        <v>15</v>
      </c>
      <c r="D2893" s="569" t="s">
        <v>3374</v>
      </c>
      <c r="E2893" s="569" t="s">
        <v>1684</v>
      </c>
      <c r="F2893" s="569" t="s">
        <v>271</v>
      </c>
      <c r="G2893" s="569">
        <v>2019</v>
      </c>
      <c r="H2893" s="569" t="s">
        <v>4879</v>
      </c>
      <c r="I2893" s="569" t="s">
        <v>4730</v>
      </c>
      <c r="J2893" s="569" t="s">
        <v>3377</v>
      </c>
      <c r="K2893" s="569">
        <v>3</v>
      </c>
      <c r="L2893" s="569">
        <v>0</v>
      </c>
      <c r="M2893" s="569" t="s">
        <v>157</v>
      </c>
      <c r="N2893" s="569">
        <v>1</v>
      </c>
      <c r="O2893" s="569" t="s">
        <v>157</v>
      </c>
      <c r="P2893" s="568">
        <v>13400</v>
      </c>
      <c r="Q2893" s="569" t="s">
        <v>4231</v>
      </c>
      <c r="R2893" s="569">
        <v>8</v>
      </c>
      <c r="S2893" s="569" t="s">
        <v>4972</v>
      </c>
      <c r="T2893" s="569" t="s">
        <v>4928</v>
      </c>
      <c r="U2893" s="569">
        <v>145</v>
      </c>
      <c r="V2893" s="569">
        <v>40</v>
      </c>
      <c r="W2893" s="620">
        <v>14000</v>
      </c>
      <c r="X2893" s="621" t="s">
        <v>157</v>
      </c>
      <c r="Y2893" s="621" t="s">
        <v>728</v>
      </c>
      <c r="Z2893" s="621" t="s">
        <v>1523</v>
      </c>
      <c r="AA2893" s="622">
        <v>48875</v>
      </c>
      <c r="AB2893" s="622" t="s">
        <v>164</v>
      </c>
      <c r="AC2893" s="622">
        <v>37350</v>
      </c>
      <c r="AD2893" s="623">
        <v>0.01</v>
      </c>
      <c r="AE2893" s="621" t="s">
        <v>5042</v>
      </c>
    </row>
    <row r="2894" spans="1:31" s="572" customFormat="1">
      <c r="A2894" s="570" t="s">
        <v>5047</v>
      </c>
      <c r="B2894" s="573" t="s">
        <v>287</v>
      </c>
      <c r="C2894" s="578">
        <v>26</v>
      </c>
      <c r="D2894" s="573" t="s">
        <v>3374</v>
      </c>
      <c r="E2894" s="573" t="s">
        <v>1684</v>
      </c>
      <c r="F2894" s="573" t="s">
        <v>271</v>
      </c>
      <c r="G2894" s="573">
        <v>2019</v>
      </c>
      <c r="H2894" s="573" t="s">
        <v>4879</v>
      </c>
      <c r="I2894" s="573" t="s">
        <v>4730</v>
      </c>
      <c r="J2894" s="573" t="s">
        <v>3377</v>
      </c>
      <c r="K2894" s="573">
        <v>3</v>
      </c>
      <c r="L2894" s="573">
        <v>0</v>
      </c>
      <c r="M2894" s="573" t="s">
        <v>157</v>
      </c>
      <c r="N2894" s="573">
        <v>1</v>
      </c>
      <c r="O2894" s="573" t="s">
        <v>157</v>
      </c>
      <c r="P2894" s="571">
        <v>13200</v>
      </c>
      <c r="Q2894" s="573" t="s">
        <v>4235</v>
      </c>
      <c r="R2894" s="573">
        <v>8</v>
      </c>
      <c r="S2894" s="582" t="s">
        <v>4972</v>
      </c>
      <c r="T2894" s="573" t="s">
        <v>4928</v>
      </c>
      <c r="U2894" s="573">
        <v>169</v>
      </c>
      <c r="V2894" s="573">
        <v>40</v>
      </c>
      <c r="W2894" s="616">
        <v>14000</v>
      </c>
      <c r="X2894" s="617" t="s">
        <v>157</v>
      </c>
      <c r="Y2894" s="617" t="s">
        <v>450</v>
      </c>
      <c r="Z2894" s="617" t="s">
        <v>178</v>
      </c>
      <c r="AA2894" s="618">
        <v>39485</v>
      </c>
      <c r="AB2894" s="618" t="s">
        <v>164</v>
      </c>
      <c r="AC2894" s="618">
        <v>29269</v>
      </c>
      <c r="AD2894" s="619">
        <v>0.05</v>
      </c>
      <c r="AE2894" s="617" t="s">
        <v>5036</v>
      </c>
    </row>
    <row r="2895" spans="1:31" s="572" customFormat="1">
      <c r="A2895" s="570" t="s">
        <v>5048</v>
      </c>
      <c r="B2895" s="569" t="s">
        <v>287</v>
      </c>
      <c r="C2895" s="580">
        <v>26</v>
      </c>
      <c r="D2895" s="569" t="s">
        <v>3374</v>
      </c>
      <c r="E2895" s="569" t="s">
        <v>1684</v>
      </c>
      <c r="F2895" s="569" t="s">
        <v>271</v>
      </c>
      <c r="G2895" s="569">
        <v>2019</v>
      </c>
      <c r="H2895" s="569" t="s">
        <v>4879</v>
      </c>
      <c r="I2895" s="569" t="s">
        <v>4730</v>
      </c>
      <c r="J2895" s="569" t="s">
        <v>3377</v>
      </c>
      <c r="K2895" s="569">
        <v>3</v>
      </c>
      <c r="L2895" s="569">
        <v>0</v>
      </c>
      <c r="M2895" s="569" t="s">
        <v>157</v>
      </c>
      <c r="N2895" s="569">
        <v>1</v>
      </c>
      <c r="O2895" s="569" t="s">
        <v>157</v>
      </c>
      <c r="P2895" s="568">
        <v>13200</v>
      </c>
      <c r="Q2895" s="569" t="s">
        <v>4231</v>
      </c>
      <c r="R2895" s="569">
        <v>8</v>
      </c>
      <c r="S2895" s="569" t="s">
        <v>4972</v>
      </c>
      <c r="T2895" s="569" t="s">
        <v>4928</v>
      </c>
      <c r="U2895" s="569">
        <v>169</v>
      </c>
      <c r="V2895" s="569">
        <v>40</v>
      </c>
      <c r="W2895" s="620">
        <v>14000</v>
      </c>
      <c r="X2895" s="621" t="s">
        <v>157</v>
      </c>
      <c r="Y2895" s="621" t="s">
        <v>728</v>
      </c>
      <c r="Z2895" s="621" t="s">
        <v>1523</v>
      </c>
      <c r="AA2895" s="622">
        <v>48480</v>
      </c>
      <c r="AB2895" s="622" t="s">
        <v>164</v>
      </c>
      <c r="AC2895" s="622">
        <v>37463</v>
      </c>
      <c r="AD2895" s="623">
        <v>0.05</v>
      </c>
      <c r="AE2895" s="621" t="s">
        <v>5038</v>
      </c>
    </row>
    <row r="2896" spans="1:31" s="572" customFormat="1">
      <c r="A2896" s="570" t="s">
        <v>5049</v>
      </c>
      <c r="B2896" s="573" t="s">
        <v>287</v>
      </c>
      <c r="C2896" s="578">
        <v>26</v>
      </c>
      <c r="D2896" s="573" t="s">
        <v>3374</v>
      </c>
      <c r="E2896" s="573" t="s">
        <v>1684</v>
      </c>
      <c r="F2896" s="573" t="s">
        <v>271</v>
      </c>
      <c r="G2896" s="573">
        <v>2019</v>
      </c>
      <c r="H2896" s="573" t="s">
        <v>4879</v>
      </c>
      <c r="I2896" s="573" t="s">
        <v>4730</v>
      </c>
      <c r="J2896" s="573" t="s">
        <v>3377</v>
      </c>
      <c r="K2896" s="573">
        <v>3</v>
      </c>
      <c r="L2896" s="573">
        <v>0</v>
      </c>
      <c r="M2896" s="573" t="s">
        <v>157</v>
      </c>
      <c r="N2896" s="573">
        <v>1</v>
      </c>
      <c r="O2896" s="573" t="s">
        <v>157</v>
      </c>
      <c r="P2896" s="571">
        <v>13400</v>
      </c>
      <c r="Q2896" s="573" t="s">
        <v>4235</v>
      </c>
      <c r="R2896" s="573">
        <v>8</v>
      </c>
      <c r="S2896" s="582" t="s">
        <v>4972</v>
      </c>
      <c r="T2896" s="573" t="s">
        <v>4928</v>
      </c>
      <c r="U2896" s="573">
        <v>145</v>
      </c>
      <c r="V2896" s="573">
        <v>40</v>
      </c>
      <c r="W2896" s="616">
        <v>14000</v>
      </c>
      <c r="X2896" s="617" t="s">
        <v>157</v>
      </c>
      <c r="Y2896" s="617" t="s">
        <v>450</v>
      </c>
      <c r="Z2896" s="617" t="s">
        <v>178</v>
      </c>
      <c r="AA2896" s="618">
        <v>39305</v>
      </c>
      <c r="AB2896" s="618" t="s">
        <v>164</v>
      </c>
      <c r="AC2896" s="618">
        <v>29099</v>
      </c>
      <c r="AD2896" s="619">
        <v>0.05</v>
      </c>
      <c r="AE2896" s="617" t="s">
        <v>5040</v>
      </c>
    </row>
    <row r="2897" spans="1:31" s="572" customFormat="1">
      <c r="A2897" s="570" t="s">
        <v>5050</v>
      </c>
      <c r="B2897" s="569" t="s">
        <v>287</v>
      </c>
      <c r="C2897" s="580">
        <v>26</v>
      </c>
      <c r="D2897" s="569" t="s">
        <v>3374</v>
      </c>
      <c r="E2897" s="569" t="s">
        <v>1684</v>
      </c>
      <c r="F2897" s="569" t="s">
        <v>271</v>
      </c>
      <c r="G2897" s="569">
        <v>2019</v>
      </c>
      <c r="H2897" s="569" t="s">
        <v>4879</v>
      </c>
      <c r="I2897" s="569" t="s">
        <v>4730</v>
      </c>
      <c r="J2897" s="569" t="s">
        <v>3377</v>
      </c>
      <c r="K2897" s="569">
        <v>3</v>
      </c>
      <c r="L2897" s="569">
        <v>0</v>
      </c>
      <c r="M2897" s="569" t="s">
        <v>157</v>
      </c>
      <c r="N2897" s="569">
        <v>1</v>
      </c>
      <c r="O2897" s="569" t="s">
        <v>157</v>
      </c>
      <c r="P2897" s="568">
        <v>13400</v>
      </c>
      <c r="Q2897" s="569" t="s">
        <v>4231</v>
      </c>
      <c r="R2897" s="569">
        <v>8</v>
      </c>
      <c r="S2897" s="569" t="s">
        <v>4972</v>
      </c>
      <c r="T2897" s="569" t="s">
        <v>4928</v>
      </c>
      <c r="U2897" s="569">
        <v>145</v>
      </c>
      <c r="V2897" s="569">
        <v>40</v>
      </c>
      <c r="W2897" s="620">
        <v>14000</v>
      </c>
      <c r="X2897" s="621" t="s">
        <v>157</v>
      </c>
      <c r="Y2897" s="621" t="s">
        <v>728</v>
      </c>
      <c r="Z2897" s="621" t="s">
        <v>1523</v>
      </c>
      <c r="AA2897" s="622">
        <v>48300</v>
      </c>
      <c r="AB2897" s="622" t="s">
        <v>164</v>
      </c>
      <c r="AC2897" s="622">
        <v>37294</v>
      </c>
      <c r="AD2897" s="623">
        <v>0.05</v>
      </c>
      <c r="AE2897" s="621" t="s">
        <v>5042</v>
      </c>
    </row>
    <row r="2898" spans="1:31" s="572" customFormat="1">
      <c r="A2898" s="570" t="s">
        <v>5051</v>
      </c>
      <c r="B2898" s="573" t="s">
        <v>280</v>
      </c>
      <c r="C2898" s="578">
        <v>27</v>
      </c>
      <c r="D2898" s="573" t="s">
        <v>3374</v>
      </c>
      <c r="E2898" s="573" t="s">
        <v>1684</v>
      </c>
      <c r="F2898" s="573" t="s">
        <v>271</v>
      </c>
      <c r="G2898" s="573">
        <v>2019</v>
      </c>
      <c r="H2898" s="573" t="s">
        <v>4879</v>
      </c>
      <c r="I2898" s="573" t="s">
        <v>4730</v>
      </c>
      <c r="J2898" s="573" t="s">
        <v>3377</v>
      </c>
      <c r="K2898" s="573">
        <v>3</v>
      </c>
      <c r="L2898" s="573">
        <v>0</v>
      </c>
      <c r="M2898" s="573" t="s">
        <v>157</v>
      </c>
      <c r="N2898" s="573">
        <v>1</v>
      </c>
      <c r="O2898" s="573" t="s">
        <v>157</v>
      </c>
      <c r="P2898" s="571">
        <v>13140</v>
      </c>
      <c r="Q2898" s="573" t="s">
        <v>4235</v>
      </c>
      <c r="R2898" s="573">
        <v>8</v>
      </c>
      <c r="S2898" s="582" t="s">
        <v>4972</v>
      </c>
      <c r="T2898" s="573" t="s">
        <v>4928</v>
      </c>
      <c r="U2898" s="573">
        <v>169</v>
      </c>
      <c r="V2898" s="573">
        <v>40</v>
      </c>
      <c r="W2898" s="616">
        <v>14000</v>
      </c>
      <c r="X2898" s="617" t="s">
        <v>157</v>
      </c>
      <c r="Y2898" s="617" t="s">
        <v>450</v>
      </c>
      <c r="Z2898" s="617" t="s">
        <v>178</v>
      </c>
      <c r="AA2898" s="618">
        <v>39935</v>
      </c>
      <c r="AB2898" s="618" t="s">
        <v>164</v>
      </c>
      <c r="AC2898" s="618">
        <v>29109.178947368422</v>
      </c>
      <c r="AD2898" s="619">
        <v>0.03</v>
      </c>
      <c r="AE2898" s="617" t="s">
        <v>5036</v>
      </c>
    </row>
    <row r="2899" spans="1:31" s="572" customFormat="1">
      <c r="A2899" s="570" t="s">
        <v>5052</v>
      </c>
      <c r="B2899" s="569" t="s">
        <v>280</v>
      </c>
      <c r="C2899" s="580">
        <v>27</v>
      </c>
      <c r="D2899" s="569" t="s">
        <v>3374</v>
      </c>
      <c r="E2899" s="569" t="s">
        <v>1684</v>
      </c>
      <c r="F2899" s="569" t="s">
        <v>271</v>
      </c>
      <c r="G2899" s="569">
        <v>2019</v>
      </c>
      <c r="H2899" s="569" t="s">
        <v>4879</v>
      </c>
      <c r="I2899" s="569" t="s">
        <v>4730</v>
      </c>
      <c r="J2899" s="569" t="s">
        <v>3377</v>
      </c>
      <c r="K2899" s="569">
        <v>3</v>
      </c>
      <c r="L2899" s="569">
        <v>0</v>
      </c>
      <c r="M2899" s="569" t="s">
        <v>157</v>
      </c>
      <c r="N2899" s="569">
        <v>1</v>
      </c>
      <c r="O2899" s="569" t="s">
        <v>157</v>
      </c>
      <c r="P2899" s="568">
        <v>13140</v>
      </c>
      <c r="Q2899" s="569" t="s">
        <v>4231</v>
      </c>
      <c r="R2899" s="569">
        <v>8</v>
      </c>
      <c r="S2899" s="569" t="s">
        <v>4972</v>
      </c>
      <c r="T2899" s="569" t="s">
        <v>4928</v>
      </c>
      <c r="U2899" s="569">
        <v>169</v>
      </c>
      <c r="V2899" s="569">
        <v>40</v>
      </c>
      <c r="W2899" s="620">
        <v>14000</v>
      </c>
      <c r="X2899" s="621" t="s">
        <v>157</v>
      </c>
      <c r="Y2899" s="621" t="s">
        <v>728</v>
      </c>
      <c r="Z2899" s="621" t="s">
        <v>1523</v>
      </c>
      <c r="AA2899" s="622">
        <v>49055</v>
      </c>
      <c r="AB2899" s="622" t="s">
        <v>164</v>
      </c>
      <c r="AC2899" s="622">
        <v>37301.368421052633</v>
      </c>
      <c r="AD2899" s="623">
        <v>0.03</v>
      </c>
      <c r="AE2899" s="621" t="s">
        <v>5038</v>
      </c>
    </row>
    <row r="2900" spans="1:31" s="572" customFormat="1">
      <c r="A2900" s="570" t="s">
        <v>5053</v>
      </c>
      <c r="B2900" s="573" t="s">
        <v>280</v>
      </c>
      <c r="C2900" s="578">
        <v>27</v>
      </c>
      <c r="D2900" s="573" t="s">
        <v>3374</v>
      </c>
      <c r="E2900" s="573" t="s">
        <v>1684</v>
      </c>
      <c r="F2900" s="573" t="s">
        <v>271</v>
      </c>
      <c r="G2900" s="573">
        <v>2019</v>
      </c>
      <c r="H2900" s="573" t="s">
        <v>4879</v>
      </c>
      <c r="I2900" s="573" t="s">
        <v>4730</v>
      </c>
      <c r="J2900" s="573" t="s">
        <v>3377</v>
      </c>
      <c r="K2900" s="573">
        <v>3</v>
      </c>
      <c r="L2900" s="573">
        <v>0</v>
      </c>
      <c r="M2900" s="573" t="s">
        <v>157</v>
      </c>
      <c r="N2900" s="573">
        <v>1</v>
      </c>
      <c r="O2900" s="573" t="s">
        <v>157</v>
      </c>
      <c r="P2900" s="571">
        <v>13300</v>
      </c>
      <c r="Q2900" s="573" t="s">
        <v>4235</v>
      </c>
      <c r="R2900" s="573">
        <v>8</v>
      </c>
      <c r="S2900" s="582" t="s">
        <v>4972</v>
      </c>
      <c r="T2900" s="573" t="s">
        <v>4928</v>
      </c>
      <c r="U2900" s="573">
        <v>145</v>
      </c>
      <c r="V2900" s="573">
        <v>40</v>
      </c>
      <c r="W2900" s="616">
        <v>14000</v>
      </c>
      <c r="X2900" s="617" t="s">
        <v>157</v>
      </c>
      <c r="Y2900" s="617" t="s">
        <v>450</v>
      </c>
      <c r="Z2900" s="617" t="s">
        <v>178</v>
      </c>
      <c r="AA2900" s="618">
        <v>39755</v>
      </c>
      <c r="AB2900" s="618" t="s">
        <v>164</v>
      </c>
      <c r="AC2900" s="618">
        <v>28942.863157894739</v>
      </c>
      <c r="AD2900" s="619">
        <v>0.03</v>
      </c>
      <c r="AE2900" s="617" t="s">
        <v>5040</v>
      </c>
    </row>
    <row r="2901" spans="1:31" s="572" customFormat="1">
      <c r="A2901" s="570" t="s">
        <v>5054</v>
      </c>
      <c r="B2901" s="569" t="s">
        <v>280</v>
      </c>
      <c r="C2901" s="580">
        <v>27</v>
      </c>
      <c r="D2901" s="569" t="s">
        <v>3374</v>
      </c>
      <c r="E2901" s="569" t="s">
        <v>1684</v>
      </c>
      <c r="F2901" s="569" t="s">
        <v>271</v>
      </c>
      <c r="G2901" s="569">
        <v>2019</v>
      </c>
      <c r="H2901" s="569" t="s">
        <v>4879</v>
      </c>
      <c r="I2901" s="569" t="s">
        <v>4730</v>
      </c>
      <c r="J2901" s="569" t="s">
        <v>3377</v>
      </c>
      <c r="K2901" s="569">
        <v>3</v>
      </c>
      <c r="L2901" s="569">
        <v>0</v>
      </c>
      <c r="M2901" s="569" t="s">
        <v>157</v>
      </c>
      <c r="N2901" s="569">
        <v>1</v>
      </c>
      <c r="O2901" s="569" t="s">
        <v>157</v>
      </c>
      <c r="P2901" s="568">
        <v>13300</v>
      </c>
      <c r="Q2901" s="569" t="s">
        <v>4231</v>
      </c>
      <c r="R2901" s="569">
        <v>8</v>
      </c>
      <c r="S2901" s="569" t="s">
        <v>4972</v>
      </c>
      <c r="T2901" s="569" t="s">
        <v>4928</v>
      </c>
      <c r="U2901" s="569">
        <v>145</v>
      </c>
      <c r="V2901" s="569">
        <v>40</v>
      </c>
      <c r="W2901" s="620">
        <v>14000</v>
      </c>
      <c r="X2901" s="621" t="s">
        <v>157</v>
      </c>
      <c r="Y2901" s="621" t="s">
        <v>728</v>
      </c>
      <c r="Z2901" s="621" t="s">
        <v>1523</v>
      </c>
      <c r="AA2901" s="622">
        <v>48875</v>
      </c>
      <c r="AB2901" s="622" t="s">
        <v>164</v>
      </c>
      <c r="AC2901" s="622">
        <v>37135.052631578954</v>
      </c>
      <c r="AD2901" s="623">
        <v>0.03</v>
      </c>
      <c r="AE2901" s="621" t="s">
        <v>5042</v>
      </c>
    </row>
    <row r="2902" spans="1:31" s="572" customFormat="1">
      <c r="A2902" s="570" t="s">
        <v>5055</v>
      </c>
      <c r="B2902" s="573" t="s">
        <v>269</v>
      </c>
      <c r="C2902" s="578" t="s">
        <v>270</v>
      </c>
      <c r="D2902" s="573" t="s">
        <v>3374</v>
      </c>
      <c r="E2902" s="573" t="s">
        <v>1684</v>
      </c>
      <c r="F2902" s="573" t="s">
        <v>271</v>
      </c>
      <c r="G2902" s="573">
        <v>2019</v>
      </c>
      <c r="H2902" s="573" t="s">
        <v>4879</v>
      </c>
      <c r="I2902" s="573" t="s">
        <v>4730</v>
      </c>
      <c r="J2902" s="573" t="s">
        <v>752</v>
      </c>
      <c r="K2902" s="573">
        <v>3</v>
      </c>
      <c r="L2902" s="573">
        <v>0</v>
      </c>
      <c r="M2902" s="573" t="s">
        <v>157</v>
      </c>
      <c r="N2902" s="573">
        <v>1</v>
      </c>
      <c r="O2902" s="573" t="s">
        <v>157</v>
      </c>
      <c r="P2902" s="571">
        <v>12740</v>
      </c>
      <c r="Q2902" s="573" t="s">
        <v>4235</v>
      </c>
      <c r="R2902" s="573">
        <v>8</v>
      </c>
      <c r="S2902" s="582" t="s">
        <v>4993</v>
      </c>
      <c r="T2902" s="573" t="s">
        <v>4928</v>
      </c>
      <c r="U2902" s="573">
        <v>169</v>
      </c>
      <c r="V2902" s="573">
        <v>40</v>
      </c>
      <c r="W2902" s="616">
        <v>14000</v>
      </c>
      <c r="X2902" s="617" t="s">
        <v>157</v>
      </c>
      <c r="Y2902" s="617" t="s">
        <v>450</v>
      </c>
      <c r="Z2902" s="617" t="s">
        <v>178</v>
      </c>
      <c r="AA2902" s="618">
        <v>43410</v>
      </c>
      <c r="AB2902" s="618" t="s">
        <v>164</v>
      </c>
      <c r="AC2902" s="618">
        <v>33160.757894736846</v>
      </c>
      <c r="AD2902" s="619">
        <v>0.03</v>
      </c>
      <c r="AE2902" s="617" t="s">
        <v>5056</v>
      </c>
    </row>
    <row r="2903" spans="1:31" s="572" customFormat="1">
      <c r="A2903" s="570" t="s">
        <v>5057</v>
      </c>
      <c r="B2903" s="569" t="s">
        <v>269</v>
      </c>
      <c r="C2903" s="580" t="s">
        <v>270</v>
      </c>
      <c r="D2903" s="569" t="s">
        <v>3374</v>
      </c>
      <c r="E2903" s="569" t="s">
        <v>1684</v>
      </c>
      <c r="F2903" s="569" t="s">
        <v>271</v>
      </c>
      <c r="G2903" s="569">
        <v>2019</v>
      </c>
      <c r="H2903" s="569" t="s">
        <v>4879</v>
      </c>
      <c r="I2903" s="569" t="s">
        <v>4730</v>
      </c>
      <c r="J2903" s="569" t="s">
        <v>752</v>
      </c>
      <c r="K2903" s="569">
        <v>3</v>
      </c>
      <c r="L2903" s="569">
        <v>0</v>
      </c>
      <c r="M2903" s="569" t="s">
        <v>157</v>
      </c>
      <c r="N2903" s="569">
        <v>1</v>
      </c>
      <c r="O2903" s="569" t="s">
        <v>157</v>
      </c>
      <c r="P2903" s="568">
        <v>12740</v>
      </c>
      <c r="Q2903" s="569" t="s">
        <v>4231</v>
      </c>
      <c r="R2903" s="569">
        <v>8</v>
      </c>
      <c r="S2903" s="569" t="s">
        <v>4993</v>
      </c>
      <c r="T2903" s="569" t="s">
        <v>4928</v>
      </c>
      <c r="U2903" s="569">
        <v>169</v>
      </c>
      <c r="V2903" s="569">
        <v>40</v>
      </c>
      <c r="W2903" s="620">
        <v>14000</v>
      </c>
      <c r="X2903" s="621" t="s">
        <v>157</v>
      </c>
      <c r="Y2903" s="621" t="s">
        <v>728</v>
      </c>
      <c r="Z2903" s="621" t="s">
        <v>1523</v>
      </c>
      <c r="AA2903" s="622">
        <v>52530</v>
      </c>
      <c r="AB2903" s="622" t="s">
        <v>164</v>
      </c>
      <c r="AC2903" s="622">
        <v>41352.947368421061</v>
      </c>
      <c r="AD2903" s="623">
        <v>0.03</v>
      </c>
      <c r="AE2903" s="621" t="s">
        <v>5058</v>
      </c>
    </row>
    <row r="2904" spans="1:31" s="572" customFormat="1">
      <c r="A2904" s="570" t="s">
        <v>5059</v>
      </c>
      <c r="B2904" s="573" t="s">
        <v>269</v>
      </c>
      <c r="C2904" s="578" t="s">
        <v>270</v>
      </c>
      <c r="D2904" s="573" t="s">
        <v>3374</v>
      </c>
      <c r="E2904" s="573" t="s">
        <v>1684</v>
      </c>
      <c r="F2904" s="573" t="s">
        <v>271</v>
      </c>
      <c r="G2904" s="573">
        <v>2019</v>
      </c>
      <c r="H2904" s="573" t="s">
        <v>4879</v>
      </c>
      <c r="I2904" s="573" t="s">
        <v>4730</v>
      </c>
      <c r="J2904" s="573" t="s">
        <v>752</v>
      </c>
      <c r="K2904" s="573">
        <v>3</v>
      </c>
      <c r="L2904" s="573">
        <v>0</v>
      </c>
      <c r="M2904" s="573" t="s">
        <v>157</v>
      </c>
      <c r="N2904" s="573">
        <v>1</v>
      </c>
      <c r="O2904" s="573" t="s">
        <v>157</v>
      </c>
      <c r="P2904" s="571">
        <v>12900</v>
      </c>
      <c r="Q2904" s="573" t="s">
        <v>4235</v>
      </c>
      <c r="R2904" s="573">
        <v>8</v>
      </c>
      <c r="S2904" s="582" t="s">
        <v>4993</v>
      </c>
      <c r="T2904" s="573" t="s">
        <v>4928</v>
      </c>
      <c r="U2904" s="573">
        <v>145</v>
      </c>
      <c r="V2904" s="573">
        <v>40</v>
      </c>
      <c r="W2904" s="616">
        <v>14000</v>
      </c>
      <c r="X2904" s="617" t="s">
        <v>157</v>
      </c>
      <c r="Y2904" s="617" t="s">
        <v>450</v>
      </c>
      <c r="Z2904" s="617" t="s">
        <v>178</v>
      </c>
      <c r="AA2904" s="618">
        <v>43240</v>
      </c>
      <c r="AB2904" s="618" t="s">
        <v>164</v>
      </c>
      <c r="AC2904" s="618">
        <v>33003.915789473685</v>
      </c>
      <c r="AD2904" s="619">
        <v>0.03</v>
      </c>
      <c r="AE2904" s="617" t="s">
        <v>5060</v>
      </c>
    </row>
    <row r="2905" spans="1:31" s="572" customFormat="1">
      <c r="A2905" s="570" t="s">
        <v>5061</v>
      </c>
      <c r="B2905" s="569" t="s">
        <v>269</v>
      </c>
      <c r="C2905" s="580" t="s">
        <v>270</v>
      </c>
      <c r="D2905" s="569" t="s">
        <v>3374</v>
      </c>
      <c r="E2905" s="569" t="s">
        <v>1684</v>
      </c>
      <c r="F2905" s="569" t="s">
        <v>271</v>
      </c>
      <c r="G2905" s="569">
        <v>2019</v>
      </c>
      <c r="H2905" s="569" t="s">
        <v>4879</v>
      </c>
      <c r="I2905" s="569" t="s">
        <v>4730</v>
      </c>
      <c r="J2905" s="569" t="s">
        <v>752</v>
      </c>
      <c r="K2905" s="569">
        <v>3</v>
      </c>
      <c r="L2905" s="569">
        <v>0</v>
      </c>
      <c r="M2905" s="569" t="s">
        <v>157</v>
      </c>
      <c r="N2905" s="569">
        <v>1</v>
      </c>
      <c r="O2905" s="569" t="s">
        <v>157</v>
      </c>
      <c r="P2905" s="568">
        <v>12900</v>
      </c>
      <c r="Q2905" s="569" t="s">
        <v>4231</v>
      </c>
      <c r="R2905" s="569">
        <v>8</v>
      </c>
      <c r="S2905" s="569" t="s">
        <v>4993</v>
      </c>
      <c r="T2905" s="569" t="s">
        <v>4928</v>
      </c>
      <c r="U2905" s="569">
        <v>145</v>
      </c>
      <c r="V2905" s="569">
        <v>40</v>
      </c>
      <c r="W2905" s="620">
        <v>14000</v>
      </c>
      <c r="X2905" s="621" t="s">
        <v>157</v>
      </c>
      <c r="Y2905" s="621" t="s">
        <v>728</v>
      </c>
      <c r="Z2905" s="621" t="s">
        <v>1523</v>
      </c>
      <c r="AA2905" s="622">
        <v>52360</v>
      </c>
      <c r="AB2905" s="622" t="s">
        <v>164</v>
      </c>
      <c r="AC2905" s="622">
        <v>41196.1052631579</v>
      </c>
      <c r="AD2905" s="623">
        <v>0.03</v>
      </c>
      <c r="AE2905" s="621" t="s">
        <v>5062</v>
      </c>
    </row>
    <row r="2906" spans="1:31" s="572" customFormat="1">
      <c r="A2906" s="570" t="s">
        <v>5063</v>
      </c>
      <c r="B2906" s="573" t="s">
        <v>278</v>
      </c>
      <c r="C2906" s="578">
        <v>15</v>
      </c>
      <c r="D2906" s="573" t="s">
        <v>3374</v>
      </c>
      <c r="E2906" s="573" t="s">
        <v>1684</v>
      </c>
      <c r="F2906" s="573" t="s">
        <v>271</v>
      </c>
      <c r="G2906" s="573">
        <v>2019</v>
      </c>
      <c r="H2906" s="573" t="s">
        <v>4879</v>
      </c>
      <c r="I2906" s="573" t="s">
        <v>4730</v>
      </c>
      <c r="J2906" s="573" t="s">
        <v>752</v>
      </c>
      <c r="K2906" s="573">
        <v>3</v>
      </c>
      <c r="L2906" s="573">
        <v>0</v>
      </c>
      <c r="M2906" s="573" t="s">
        <v>157</v>
      </c>
      <c r="N2906" s="573">
        <v>1</v>
      </c>
      <c r="O2906" s="573" t="s">
        <v>157</v>
      </c>
      <c r="P2906" s="571">
        <v>12800</v>
      </c>
      <c r="Q2906" s="573" t="s">
        <v>4235</v>
      </c>
      <c r="R2906" s="573">
        <v>8</v>
      </c>
      <c r="S2906" s="582" t="s">
        <v>4993</v>
      </c>
      <c r="T2906" s="573" t="s">
        <v>4928</v>
      </c>
      <c r="U2906" s="573">
        <v>169</v>
      </c>
      <c r="V2906" s="573">
        <v>40</v>
      </c>
      <c r="W2906" s="616">
        <v>14000</v>
      </c>
      <c r="X2906" s="617" t="s">
        <v>157</v>
      </c>
      <c r="Y2906" s="617" t="s">
        <v>450</v>
      </c>
      <c r="Z2906" s="617" t="s">
        <v>178</v>
      </c>
      <c r="AA2906" s="618">
        <v>43410</v>
      </c>
      <c r="AB2906" s="618" t="s">
        <v>164</v>
      </c>
      <c r="AC2906" s="618">
        <v>33300</v>
      </c>
      <c r="AD2906" s="619">
        <v>0.01</v>
      </c>
      <c r="AE2906" s="617" t="s">
        <v>5056</v>
      </c>
    </row>
    <row r="2907" spans="1:31" s="572" customFormat="1">
      <c r="A2907" s="570" t="s">
        <v>5064</v>
      </c>
      <c r="B2907" s="569" t="s">
        <v>278</v>
      </c>
      <c r="C2907" s="580">
        <v>15</v>
      </c>
      <c r="D2907" s="569" t="s">
        <v>3374</v>
      </c>
      <c r="E2907" s="569" t="s">
        <v>1684</v>
      </c>
      <c r="F2907" s="569" t="s">
        <v>271</v>
      </c>
      <c r="G2907" s="569">
        <v>2019</v>
      </c>
      <c r="H2907" s="569" t="s">
        <v>4879</v>
      </c>
      <c r="I2907" s="569" t="s">
        <v>4730</v>
      </c>
      <c r="J2907" s="569" t="s">
        <v>752</v>
      </c>
      <c r="K2907" s="569">
        <v>3</v>
      </c>
      <c r="L2907" s="569">
        <v>0</v>
      </c>
      <c r="M2907" s="569" t="s">
        <v>157</v>
      </c>
      <c r="N2907" s="569">
        <v>1</v>
      </c>
      <c r="O2907" s="569" t="s">
        <v>157</v>
      </c>
      <c r="P2907" s="568">
        <v>12800</v>
      </c>
      <c r="Q2907" s="569" t="s">
        <v>4231</v>
      </c>
      <c r="R2907" s="569">
        <v>8</v>
      </c>
      <c r="S2907" s="569" t="s">
        <v>4993</v>
      </c>
      <c r="T2907" s="569" t="s">
        <v>4928</v>
      </c>
      <c r="U2907" s="569">
        <v>169</v>
      </c>
      <c r="V2907" s="569">
        <v>40</v>
      </c>
      <c r="W2907" s="620">
        <v>14000</v>
      </c>
      <c r="X2907" s="621" t="s">
        <v>157</v>
      </c>
      <c r="Y2907" s="621" t="s">
        <v>728</v>
      </c>
      <c r="Z2907" s="621" t="s">
        <v>1523</v>
      </c>
      <c r="AA2907" s="622">
        <v>52530</v>
      </c>
      <c r="AB2907" s="622" t="s">
        <v>164</v>
      </c>
      <c r="AC2907" s="622">
        <v>41600</v>
      </c>
      <c r="AD2907" s="623">
        <v>0.01</v>
      </c>
      <c r="AE2907" s="621" t="s">
        <v>5058</v>
      </c>
    </row>
    <row r="2908" spans="1:31" s="572" customFormat="1">
      <c r="A2908" s="570" t="s">
        <v>5065</v>
      </c>
      <c r="B2908" s="573" t="s">
        <v>278</v>
      </c>
      <c r="C2908" s="578">
        <v>15</v>
      </c>
      <c r="D2908" s="573" t="s">
        <v>3374</v>
      </c>
      <c r="E2908" s="573" t="s">
        <v>1684</v>
      </c>
      <c r="F2908" s="573" t="s">
        <v>271</v>
      </c>
      <c r="G2908" s="573">
        <v>2019</v>
      </c>
      <c r="H2908" s="573" t="s">
        <v>4879</v>
      </c>
      <c r="I2908" s="573" t="s">
        <v>4730</v>
      </c>
      <c r="J2908" s="573" t="s">
        <v>752</v>
      </c>
      <c r="K2908" s="573">
        <v>3</v>
      </c>
      <c r="L2908" s="573">
        <v>0</v>
      </c>
      <c r="M2908" s="573" t="s">
        <v>157</v>
      </c>
      <c r="N2908" s="573">
        <v>1</v>
      </c>
      <c r="O2908" s="573" t="s">
        <v>157</v>
      </c>
      <c r="P2908" s="571">
        <v>12900</v>
      </c>
      <c r="Q2908" s="573" t="s">
        <v>4235</v>
      </c>
      <c r="R2908" s="573">
        <v>8</v>
      </c>
      <c r="S2908" s="582" t="s">
        <v>4993</v>
      </c>
      <c r="T2908" s="573" t="s">
        <v>4928</v>
      </c>
      <c r="U2908" s="573">
        <v>145</v>
      </c>
      <c r="V2908" s="573">
        <v>40</v>
      </c>
      <c r="W2908" s="616">
        <v>14000</v>
      </c>
      <c r="X2908" s="617" t="s">
        <v>157</v>
      </c>
      <c r="Y2908" s="617" t="s">
        <v>450</v>
      </c>
      <c r="Z2908" s="617" t="s">
        <v>178</v>
      </c>
      <c r="AA2908" s="618">
        <v>43240</v>
      </c>
      <c r="AB2908" s="618" t="s">
        <v>164</v>
      </c>
      <c r="AC2908" s="618">
        <v>33150</v>
      </c>
      <c r="AD2908" s="619">
        <v>0.01</v>
      </c>
      <c r="AE2908" s="617" t="s">
        <v>5060</v>
      </c>
    </row>
    <row r="2909" spans="1:31" s="572" customFormat="1">
      <c r="A2909" s="570" t="s">
        <v>5066</v>
      </c>
      <c r="B2909" s="569" t="s">
        <v>278</v>
      </c>
      <c r="C2909" s="580">
        <v>15</v>
      </c>
      <c r="D2909" s="569" t="s">
        <v>3374</v>
      </c>
      <c r="E2909" s="569" t="s">
        <v>1684</v>
      </c>
      <c r="F2909" s="569" t="s">
        <v>271</v>
      </c>
      <c r="G2909" s="569">
        <v>2019</v>
      </c>
      <c r="H2909" s="569" t="s">
        <v>4879</v>
      </c>
      <c r="I2909" s="569" t="s">
        <v>4730</v>
      </c>
      <c r="J2909" s="569" t="s">
        <v>752</v>
      </c>
      <c r="K2909" s="569">
        <v>3</v>
      </c>
      <c r="L2909" s="569">
        <v>0</v>
      </c>
      <c r="M2909" s="569" t="s">
        <v>157</v>
      </c>
      <c r="N2909" s="569">
        <v>1</v>
      </c>
      <c r="O2909" s="569" t="s">
        <v>157</v>
      </c>
      <c r="P2909" s="568">
        <v>12900</v>
      </c>
      <c r="Q2909" s="569" t="s">
        <v>4231</v>
      </c>
      <c r="R2909" s="569">
        <v>8</v>
      </c>
      <c r="S2909" s="569" t="s">
        <v>4993</v>
      </c>
      <c r="T2909" s="569" t="s">
        <v>4928</v>
      </c>
      <c r="U2909" s="569">
        <v>145</v>
      </c>
      <c r="V2909" s="569">
        <v>40</v>
      </c>
      <c r="W2909" s="620">
        <v>14000</v>
      </c>
      <c r="X2909" s="621" t="s">
        <v>157</v>
      </c>
      <c r="Y2909" s="621" t="s">
        <v>728</v>
      </c>
      <c r="Z2909" s="621" t="s">
        <v>1523</v>
      </c>
      <c r="AA2909" s="622">
        <v>52360</v>
      </c>
      <c r="AB2909" s="622" t="s">
        <v>164</v>
      </c>
      <c r="AC2909" s="622">
        <v>41450</v>
      </c>
      <c r="AD2909" s="623">
        <v>0.01</v>
      </c>
      <c r="AE2909" s="621" t="s">
        <v>5062</v>
      </c>
    </row>
    <row r="2910" spans="1:31" s="572" customFormat="1">
      <c r="A2910" s="570" t="s">
        <v>5067</v>
      </c>
      <c r="B2910" s="573" t="s">
        <v>287</v>
      </c>
      <c r="C2910" s="578">
        <v>26</v>
      </c>
      <c r="D2910" s="573" t="s">
        <v>3374</v>
      </c>
      <c r="E2910" s="573" t="s">
        <v>1684</v>
      </c>
      <c r="F2910" s="573" t="s">
        <v>271</v>
      </c>
      <c r="G2910" s="573">
        <v>2019</v>
      </c>
      <c r="H2910" s="573" t="s">
        <v>4879</v>
      </c>
      <c r="I2910" s="573" t="s">
        <v>4730</v>
      </c>
      <c r="J2910" s="573" t="s">
        <v>752</v>
      </c>
      <c r="K2910" s="573">
        <v>3</v>
      </c>
      <c r="L2910" s="573">
        <v>0</v>
      </c>
      <c r="M2910" s="573" t="s">
        <v>157</v>
      </c>
      <c r="N2910" s="573">
        <v>1</v>
      </c>
      <c r="O2910" s="573" t="s">
        <v>157</v>
      </c>
      <c r="P2910" s="571">
        <v>12800</v>
      </c>
      <c r="Q2910" s="573" t="s">
        <v>4235</v>
      </c>
      <c r="R2910" s="573">
        <v>8</v>
      </c>
      <c r="S2910" s="582" t="s">
        <v>4993</v>
      </c>
      <c r="T2910" s="573" t="s">
        <v>4928</v>
      </c>
      <c r="U2910" s="573">
        <v>169</v>
      </c>
      <c r="V2910" s="573">
        <v>40</v>
      </c>
      <c r="W2910" s="616">
        <v>14000</v>
      </c>
      <c r="X2910" s="617" t="s">
        <v>157</v>
      </c>
      <c r="Y2910" s="617" t="s">
        <v>450</v>
      </c>
      <c r="Z2910" s="617" t="s">
        <v>178</v>
      </c>
      <c r="AA2910" s="618">
        <v>42960</v>
      </c>
      <c r="AB2910" s="618" t="s">
        <v>164</v>
      </c>
      <c r="AC2910" s="618">
        <v>33382</v>
      </c>
      <c r="AD2910" s="619">
        <v>0.05</v>
      </c>
      <c r="AE2910" s="617" t="s">
        <v>5056</v>
      </c>
    </row>
    <row r="2911" spans="1:31" s="572" customFormat="1">
      <c r="A2911" s="570" t="s">
        <v>5068</v>
      </c>
      <c r="B2911" s="569" t="s">
        <v>287</v>
      </c>
      <c r="C2911" s="580">
        <v>26</v>
      </c>
      <c r="D2911" s="569" t="s">
        <v>3374</v>
      </c>
      <c r="E2911" s="569" t="s">
        <v>1684</v>
      </c>
      <c r="F2911" s="569" t="s">
        <v>271</v>
      </c>
      <c r="G2911" s="569">
        <v>2019</v>
      </c>
      <c r="H2911" s="569" t="s">
        <v>4879</v>
      </c>
      <c r="I2911" s="569" t="s">
        <v>4730</v>
      </c>
      <c r="J2911" s="569" t="s">
        <v>752</v>
      </c>
      <c r="K2911" s="569">
        <v>3</v>
      </c>
      <c r="L2911" s="569">
        <v>0</v>
      </c>
      <c r="M2911" s="569" t="s">
        <v>157</v>
      </c>
      <c r="N2911" s="569">
        <v>1</v>
      </c>
      <c r="O2911" s="569" t="s">
        <v>157</v>
      </c>
      <c r="P2911" s="568">
        <v>12800</v>
      </c>
      <c r="Q2911" s="569" t="s">
        <v>4231</v>
      </c>
      <c r="R2911" s="569">
        <v>8</v>
      </c>
      <c r="S2911" s="569" t="s">
        <v>4993</v>
      </c>
      <c r="T2911" s="569" t="s">
        <v>4928</v>
      </c>
      <c r="U2911" s="569">
        <v>169</v>
      </c>
      <c r="V2911" s="569">
        <v>40</v>
      </c>
      <c r="W2911" s="620">
        <v>14000</v>
      </c>
      <c r="X2911" s="621" t="s">
        <v>157</v>
      </c>
      <c r="Y2911" s="621" t="s">
        <v>728</v>
      </c>
      <c r="Z2911" s="621" t="s">
        <v>1523</v>
      </c>
      <c r="AA2911" s="622">
        <v>51955</v>
      </c>
      <c r="AB2911" s="622" t="s">
        <v>164</v>
      </c>
      <c r="AC2911" s="622">
        <v>41576</v>
      </c>
      <c r="AD2911" s="623">
        <v>0.05</v>
      </c>
      <c r="AE2911" s="621" t="s">
        <v>5058</v>
      </c>
    </row>
    <row r="2912" spans="1:31" s="572" customFormat="1">
      <c r="A2912" s="570" t="s">
        <v>5069</v>
      </c>
      <c r="B2912" s="573" t="s">
        <v>287</v>
      </c>
      <c r="C2912" s="578">
        <v>26</v>
      </c>
      <c r="D2912" s="573" t="s">
        <v>3374</v>
      </c>
      <c r="E2912" s="573" t="s">
        <v>1684</v>
      </c>
      <c r="F2912" s="573" t="s">
        <v>271</v>
      </c>
      <c r="G2912" s="573">
        <v>2019</v>
      </c>
      <c r="H2912" s="573" t="s">
        <v>4879</v>
      </c>
      <c r="I2912" s="573" t="s">
        <v>4730</v>
      </c>
      <c r="J2912" s="573" t="s">
        <v>752</v>
      </c>
      <c r="K2912" s="573">
        <v>3</v>
      </c>
      <c r="L2912" s="573">
        <v>0</v>
      </c>
      <c r="M2912" s="573" t="s">
        <v>157</v>
      </c>
      <c r="N2912" s="573">
        <v>1</v>
      </c>
      <c r="O2912" s="573" t="s">
        <v>157</v>
      </c>
      <c r="P2912" s="571">
        <v>12900</v>
      </c>
      <c r="Q2912" s="573" t="s">
        <v>4235</v>
      </c>
      <c r="R2912" s="573">
        <v>8</v>
      </c>
      <c r="S2912" s="582" t="s">
        <v>4993</v>
      </c>
      <c r="T2912" s="573" t="s">
        <v>4928</v>
      </c>
      <c r="U2912" s="573">
        <v>145</v>
      </c>
      <c r="V2912" s="573">
        <v>40</v>
      </c>
      <c r="W2912" s="616">
        <v>14000</v>
      </c>
      <c r="X2912" s="617" t="s">
        <v>157</v>
      </c>
      <c r="Y2912" s="617" t="s">
        <v>450</v>
      </c>
      <c r="Z2912" s="617" t="s">
        <v>178</v>
      </c>
      <c r="AA2912" s="618">
        <v>43240</v>
      </c>
      <c r="AB2912" s="618" t="s">
        <v>164</v>
      </c>
      <c r="AC2912" s="618">
        <v>33222</v>
      </c>
      <c r="AD2912" s="619">
        <v>0.05</v>
      </c>
      <c r="AE2912" s="617" t="s">
        <v>5060</v>
      </c>
    </row>
    <row r="2913" spans="1:31" s="572" customFormat="1">
      <c r="A2913" s="570" t="s">
        <v>5070</v>
      </c>
      <c r="B2913" s="569" t="s">
        <v>287</v>
      </c>
      <c r="C2913" s="580">
        <v>26</v>
      </c>
      <c r="D2913" s="569" t="s">
        <v>3374</v>
      </c>
      <c r="E2913" s="569" t="s">
        <v>1684</v>
      </c>
      <c r="F2913" s="569" t="s">
        <v>271</v>
      </c>
      <c r="G2913" s="569">
        <v>2019</v>
      </c>
      <c r="H2913" s="569" t="s">
        <v>4879</v>
      </c>
      <c r="I2913" s="569" t="s">
        <v>4730</v>
      </c>
      <c r="J2913" s="569" t="s">
        <v>752</v>
      </c>
      <c r="K2913" s="569">
        <v>3</v>
      </c>
      <c r="L2913" s="569">
        <v>0</v>
      </c>
      <c r="M2913" s="569" t="s">
        <v>157</v>
      </c>
      <c r="N2913" s="569">
        <v>1</v>
      </c>
      <c r="O2913" s="569" t="s">
        <v>157</v>
      </c>
      <c r="P2913" s="568">
        <v>12900</v>
      </c>
      <c r="Q2913" s="569" t="s">
        <v>4231</v>
      </c>
      <c r="R2913" s="569">
        <v>8</v>
      </c>
      <c r="S2913" s="569" t="s">
        <v>4993</v>
      </c>
      <c r="T2913" s="569" t="s">
        <v>4928</v>
      </c>
      <c r="U2913" s="569">
        <v>145</v>
      </c>
      <c r="V2913" s="569">
        <v>40</v>
      </c>
      <c r="W2913" s="620">
        <v>14000</v>
      </c>
      <c r="X2913" s="621" t="s">
        <v>157</v>
      </c>
      <c r="Y2913" s="621" t="s">
        <v>728</v>
      </c>
      <c r="Z2913" s="621" t="s">
        <v>1523</v>
      </c>
      <c r="AA2913" s="622">
        <v>52360</v>
      </c>
      <c r="AB2913" s="622" t="s">
        <v>164</v>
      </c>
      <c r="AC2913" s="622">
        <v>41417</v>
      </c>
      <c r="AD2913" s="623">
        <v>0.05</v>
      </c>
      <c r="AE2913" s="621" t="s">
        <v>5062</v>
      </c>
    </row>
    <row r="2914" spans="1:31" s="572" customFormat="1">
      <c r="A2914" s="570" t="s">
        <v>5071</v>
      </c>
      <c r="B2914" s="573" t="s">
        <v>280</v>
      </c>
      <c r="C2914" s="578">
        <v>27</v>
      </c>
      <c r="D2914" s="573" t="s">
        <v>3374</v>
      </c>
      <c r="E2914" s="573" t="s">
        <v>1684</v>
      </c>
      <c r="F2914" s="573" t="s">
        <v>271</v>
      </c>
      <c r="G2914" s="573">
        <v>2019</v>
      </c>
      <c r="H2914" s="573" t="s">
        <v>4879</v>
      </c>
      <c r="I2914" s="573" t="s">
        <v>4730</v>
      </c>
      <c r="J2914" s="573" t="s">
        <v>752</v>
      </c>
      <c r="K2914" s="573">
        <v>3</v>
      </c>
      <c r="L2914" s="573">
        <v>0</v>
      </c>
      <c r="M2914" s="573" t="s">
        <v>157</v>
      </c>
      <c r="N2914" s="573">
        <v>1</v>
      </c>
      <c r="O2914" s="573" t="s">
        <v>157</v>
      </c>
      <c r="P2914" s="571">
        <v>12740</v>
      </c>
      <c r="Q2914" s="573" t="s">
        <v>4235</v>
      </c>
      <c r="R2914" s="573">
        <v>8</v>
      </c>
      <c r="S2914" s="582" t="s">
        <v>4993</v>
      </c>
      <c r="T2914" s="573" t="s">
        <v>4928</v>
      </c>
      <c r="U2914" s="573">
        <v>169</v>
      </c>
      <c r="V2914" s="573">
        <v>40</v>
      </c>
      <c r="W2914" s="616">
        <v>14000</v>
      </c>
      <c r="X2914" s="617" t="s">
        <v>157</v>
      </c>
      <c r="Y2914" s="617" t="s">
        <v>450</v>
      </c>
      <c r="Z2914" s="617" t="s">
        <v>178</v>
      </c>
      <c r="AA2914" s="618">
        <v>43410</v>
      </c>
      <c r="AB2914" s="618" t="s">
        <v>164</v>
      </c>
      <c r="AC2914" s="618">
        <v>33160.757894736846</v>
      </c>
      <c r="AD2914" s="619">
        <v>0.03</v>
      </c>
      <c r="AE2914" s="617" t="s">
        <v>5056</v>
      </c>
    </row>
    <row r="2915" spans="1:31" s="572" customFormat="1">
      <c r="A2915" s="570" t="s">
        <v>5072</v>
      </c>
      <c r="B2915" s="569" t="s">
        <v>280</v>
      </c>
      <c r="C2915" s="580">
        <v>27</v>
      </c>
      <c r="D2915" s="569" t="s">
        <v>3374</v>
      </c>
      <c r="E2915" s="569" t="s">
        <v>1684</v>
      </c>
      <c r="F2915" s="569" t="s">
        <v>271</v>
      </c>
      <c r="G2915" s="569">
        <v>2019</v>
      </c>
      <c r="H2915" s="569" t="s">
        <v>4879</v>
      </c>
      <c r="I2915" s="569" t="s">
        <v>4730</v>
      </c>
      <c r="J2915" s="569" t="s">
        <v>752</v>
      </c>
      <c r="K2915" s="569">
        <v>3</v>
      </c>
      <c r="L2915" s="569">
        <v>0</v>
      </c>
      <c r="M2915" s="569" t="s">
        <v>157</v>
      </c>
      <c r="N2915" s="569">
        <v>1</v>
      </c>
      <c r="O2915" s="569" t="s">
        <v>157</v>
      </c>
      <c r="P2915" s="568">
        <v>12740</v>
      </c>
      <c r="Q2915" s="569" t="s">
        <v>4231</v>
      </c>
      <c r="R2915" s="569">
        <v>8</v>
      </c>
      <c r="S2915" s="569" t="s">
        <v>4993</v>
      </c>
      <c r="T2915" s="569" t="s">
        <v>4928</v>
      </c>
      <c r="U2915" s="569">
        <v>169</v>
      </c>
      <c r="V2915" s="569">
        <v>40</v>
      </c>
      <c r="W2915" s="620">
        <v>14000</v>
      </c>
      <c r="X2915" s="621" t="s">
        <v>157</v>
      </c>
      <c r="Y2915" s="621" t="s">
        <v>728</v>
      </c>
      <c r="Z2915" s="621" t="s">
        <v>1523</v>
      </c>
      <c r="AA2915" s="622">
        <v>52530</v>
      </c>
      <c r="AB2915" s="622" t="s">
        <v>164</v>
      </c>
      <c r="AC2915" s="622">
        <v>41352.947368421061</v>
      </c>
      <c r="AD2915" s="623">
        <v>0.03</v>
      </c>
      <c r="AE2915" s="621" t="s">
        <v>5058</v>
      </c>
    </row>
    <row r="2916" spans="1:31" s="572" customFormat="1">
      <c r="A2916" s="570" t="s">
        <v>5073</v>
      </c>
      <c r="B2916" s="573" t="s">
        <v>280</v>
      </c>
      <c r="C2916" s="578">
        <v>27</v>
      </c>
      <c r="D2916" s="573" t="s">
        <v>3374</v>
      </c>
      <c r="E2916" s="573" t="s">
        <v>1684</v>
      </c>
      <c r="F2916" s="573" t="s">
        <v>271</v>
      </c>
      <c r="G2916" s="573">
        <v>2019</v>
      </c>
      <c r="H2916" s="573" t="s">
        <v>4879</v>
      </c>
      <c r="I2916" s="573" t="s">
        <v>4730</v>
      </c>
      <c r="J2916" s="573" t="s">
        <v>752</v>
      </c>
      <c r="K2916" s="573">
        <v>3</v>
      </c>
      <c r="L2916" s="573">
        <v>0</v>
      </c>
      <c r="M2916" s="573" t="s">
        <v>157</v>
      </c>
      <c r="N2916" s="573">
        <v>1</v>
      </c>
      <c r="O2916" s="573" t="s">
        <v>157</v>
      </c>
      <c r="P2916" s="571">
        <v>12900</v>
      </c>
      <c r="Q2916" s="573" t="s">
        <v>4235</v>
      </c>
      <c r="R2916" s="573">
        <v>8</v>
      </c>
      <c r="S2916" s="582" t="s">
        <v>4993</v>
      </c>
      <c r="T2916" s="573" t="s">
        <v>4928</v>
      </c>
      <c r="U2916" s="573">
        <v>145</v>
      </c>
      <c r="V2916" s="573">
        <v>40</v>
      </c>
      <c r="W2916" s="616">
        <v>14000</v>
      </c>
      <c r="X2916" s="617" t="s">
        <v>157</v>
      </c>
      <c r="Y2916" s="617" t="s">
        <v>450</v>
      </c>
      <c r="Z2916" s="617" t="s">
        <v>178</v>
      </c>
      <c r="AA2916" s="618">
        <v>43240</v>
      </c>
      <c r="AB2916" s="618" t="s">
        <v>164</v>
      </c>
      <c r="AC2916" s="618">
        <v>33003.915789473685</v>
      </c>
      <c r="AD2916" s="619">
        <v>0.03</v>
      </c>
      <c r="AE2916" s="617" t="s">
        <v>5060</v>
      </c>
    </row>
    <row r="2917" spans="1:31" s="572" customFormat="1">
      <c r="A2917" s="570" t="s">
        <v>5074</v>
      </c>
      <c r="B2917" s="569" t="s">
        <v>280</v>
      </c>
      <c r="C2917" s="580">
        <v>27</v>
      </c>
      <c r="D2917" s="569" t="s">
        <v>3374</v>
      </c>
      <c r="E2917" s="569" t="s">
        <v>1684</v>
      </c>
      <c r="F2917" s="569" t="s">
        <v>271</v>
      </c>
      <c r="G2917" s="569">
        <v>2019</v>
      </c>
      <c r="H2917" s="569" t="s">
        <v>4879</v>
      </c>
      <c r="I2917" s="569" t="s">
        <v>4730</v>
      </c>
      <c r="J2917" s="569" t="s">
        <v>752</v>
      </c>
      <c r="K2917" s="569">
        <v>3</v>
      </c>
      <c r="L2917" s="569">
        <v>0</v>
      </c>
      <c r="M2917" s="569" t="s">
        <v>157</v>
      </c>
      <c r="N2917" s="569">
        <v>1</v>
      </c>
      <c r="O2917" s="569" t="s">
        <v>157</v>
      </c>
      <c r="P2917" s="568">
        <v>12900</v>
      </c>
      <c r="Q2917" s="569" t="s">
        <v>4231</v>
      </c>
      <c r="R2917" s="569">
        <v>8</v>
      </c>
      <c r="S2917" s="569" t="s">
        <v>4993</v>
      </c>
      <c r="T2917" s="569" t="s">
        <v>4928</v>
      </c>
      <c r="U2917" s="569">
        <v>145</v>
      </c>
      <c r="V2917" s="569">
        <v>40</v>
      </c>
      <c r="W2917" s="620">
        <v>14000</v>
      </c>
      <c r="X2917" s="621" t="s">
        <v>157</v>
      </c>
      <c r="Y2917" s="621" t="s">
        <v>728</v>
      </c>
      <c r="Z2917" s="621" t="s">
        <v>1523</v>
      </c>
      <c r="AA2917" s="622">
        <v>52360</v>
      </c>
      <c r="AB2917" s="622" t="s">
        <v>164</v>
      </c>
      <c r="AC2917" s="622">
        <v>41196.1052631579</v>
      </c>
      <c r="AD2917" s="623">
        <v>0.03</v>
      </c>
      <c r="AE2917" s="621" t="s">
        <v>5062</v>
      </c>
    </row>
    <row r="2918" spans="1:31" s="572" customFormat="1">
      <c r="A2918" s="570" t="s">
        <v>5075</v>
      </c>
      <c r="B2918" s="573" t="s">
        <v>269</v>
      </c>
      <c r="C2918" s="578" t="s">
        <v>270</v>
      </c>
      <c r="D2918" s="573" t="s">
        <v>3374</v>
      </c>
      <c r="E2918" s="573" t="s">
        <v>1684</v>
      </c>
      <c r="F2918" s="573" t="s">
        <v>271</v>
      </c>
      <c r="G2918" s="573">
        <v>2019</v>
      </c>
      <c r="H2918" s="573" t="s">
        <v>4879</v>
      </c>
      <c r="I2918" s="573" t="s">
        <v>5077</v>
      </c>
      <c r="J2918" s="573" t="s">
        <v>3377</v>
      </c>
      <c r="K2918" s="573">
        <v>3</v>
      </c>
      <c r="L2918" s="573">
        <v>0</v>
      </c>
      <c r="M2918" s="573" t="s">
        <v>157</v>
      </c>
      <c r="N2918" s="573">
        <v>1</v>
      </c>
      <c r="O2918" s="573" t="s">
        <v>157</v>
      </c>
      <c r="P2918" s="571">
        <v>13100</v>
      </c>
      <c r="Q2918" s="573" t="s">
        <v>4235</v>
      </c>
      <c r="R2918" s="573">
        <v>8</v>
      </c>
      <c r="S2918" s="582" t="s">
        <v>5015</v>
      </c>
      <c r="T2918" s="573" t="s">
        <v>4950</v>
      </c>
      <c r="U2918" s="573">
        <v>145</v>
      </c>
      <c r="V2918" s="573">
        <v>40</v>
      </c>
      <c r="W2918" s="616">
        <v>10500</v>
      </c>
      <c r="X2918" s="617" t="s">
        <v>157</v>
      </c>
      <c r="Y2918" s="617" t="s">
        <v>450</v>
      </c>
      <c r="Z2918" s="617" t="s">
        <v>178</v>
      </c>
      <c r="AA2918" s="618">
        <v>38670</v>
      </c>
      <c r="AB2918" s="618" t="s">
        <v>164</v>
      </c>
      <c r="AC2918" s="618">
        <v>29835.494736842109</v>
      </c>
      <c r="AD2918" s="619">
        <v>0.03</v>
      </c>
      <c r="AE2918" s="617" t="s">
        <v>5076</v>
      </c>
    </row>
    <row r="2919" spans="1:31" s="572" customFormat="1">
      <c r="A2919" s="570" t="s">
        <v>5078</v>
      </c>
      <c r="B2919" s="569" t="s">
        <v>269</v>
      </c>
      <c r="C2919" s="580" t="s">
        <v>270</v>
      </c>
      <c r="D2919" s="569" t="s">
        <v>3374</v>
      </c>
      <c r="E2919" s="569" t="s">
        <v>1684</v>
      </c>
      <c r="F2919" s="569" t="s">
        <v>271</v>
      </c>
      <c r="G2919" s="569">
        <v>2019</v>
      </c>
      <c r="H2919" s="569" t="s">
        <v>4879</v>
      </c>
      <c r="I2919" s="569" t="s">
        <v>5077</v>
      </c>
      <c r="J2919" s="569" t="s">
        <v>3377</v>
      </c>
      <c r="K2919" s="569">
        <v>3</v>
      </c>
      <c r="L2919" s="569">
        <v>0</v>
      </c>
      <c r="M2919" s="569" t="s">
        <v>157</v>
      </c>
      <c r="N2919" s="569">
        <v>1</v>
      </c>
      <c r="O2919" s="569" t="s">
        <v>157</v>
      </c>
      <c r="P2919" s="568">
        <v>13100</v>
      </c>
      <c r="Q2919" s="569" t="s">
        <v>4231</v>
      </c>
      <c r="R2919" s="569">
        <v>8</v>
      </c>
      <c r="S2919" s="569" t="s">
        <v>5015</v>
      </c>
      <c r="T2919" s="569" t="s">
        <v>4950</v>
      </c>
      <c r="U2919" s="569">
        <v>145</v>
      </c>
      <c r="V2919" s="569">
        <v>40</v>
      </c>
      <c r="W2919" s="620">
        <v>11100</v>
      </c>
      <c r="X2919" s="621" t="s">
        <v>157</v>
      </c>
      <c r="Y2919" s="621" t="s">
        <v>728</v>
      </c>
      <c r="Z2919" s="621" t="s">
        <v>1523</v>
      </c>
      <c r="AA2919" s="622">
        <v>47790</v>
      </c>
      <c r="AB2919" s="622" t="s">
        <v>164</v>
      </c>
      <c r="AC2919" s="622">
        <v>38027.68421052632</v>
      </c>
      <c r="AD2919" s="623">
        <v>0.03</v>
      </c>
      <c r="AE2919" s="621" t="s">
        <v>5079</v>
      </c>
    </row>
    <row r="2920" spans="1:31" s="572" customFormat="1">
      <c r="A2920" s="570" t="s">
        <v>5080</v>
      </c>
      <c r="B2920" s="573" t="s">
        <v>278</v>
      </c>
      <c r="C2920" s="578">
        <v>15</v>
      </c>
      <c r="D2920" s="573" t="s">
        <v>3374</v>
      </c>
      <c r="E2920" s="573" t="s">
        <v>1684</v>
      </c>
      <c r="F2920" s="573" t="s">
        <v>271</v>
      </c>
      <c r="G2920" s="573">
        <v>2019</v>
      </c>
      <c r="H2920" s="573" t="s">
        <v>4879</v>
      </c>
      <c r="I2920" s="573" t="s">
        <v>5077</v>
      </c>
      <c r="J2920" s="573" t="s">
        <v>3377</v>
      </c>
      <c r="K2920" s="573">
        <v>3</v>
      </c>
      <c r="L2920" s="573">
        <v>0</v>
      </c>
      <c r="M2920" s="573" t="s">
        <v>157</v>
      </c>
      <c r="N2920" s="573">
        <v>1</v>
      </c>
      <c r="O2920" s="573" t="s">
        <v>157</v>
      </c>
      <c r="P2920" s="571">
        <v>13200</v>
      </c>
      <c r="Q2920" s="573" t="s">
        <v>4235</v>
      </c>
      <c r="R2920" s="573">
        <v>8</v>
      </c>
      <c r="S2920" s="582" t="s">
        <v>5015</v>
      </c>
      <c r="T2920" s="573" t="s">
        <v>4950</v>
      </c>
      <c r="U2920" s="573">
        <v>145</v>
      </c>
      <c r="V2920" s="573">
        <v>40</v>
      </c>
      <c r="W2920" s="616">
        <v>10500</v>
      </c>
      <c r="X2920" s="617" t="s">
        <v>157</v>
      </c>
      <c r="Y2920" s="617" t="s">
        <v>450</v>
      </c>
      <c r="Z2920" s="617" t="s">
        <v>178</v>
      </c>
      <c r="AA2920" s="618">
        <v>38670</v>
      </c>
      <c r="AB2920" s="618" t="s">
        <v>164</v>
      </c>
      <c r="AC2920" s="618">
        <v>29950</v>
      </c>
      <c r="AD2920" s="619">
        <v>0.01</v>
      </c>
      <c r="AE2920" s="617" t="s">
        <v>5076</v>
      </c>
    </row>
    <row r="2921" spans="1:31" s="572" customFormat="1">
      <c r="A2921" s="570" t="s">
        <v>5081</v>
      </c>
      <c r="B2921" s="569" t="s">
        <v>278</v>
      </c>
      <c r="C2921" s="580">
        <v>15</v>
      </c>
      <c r="D2921" s="569" t="s">
        <v>3374</v>
      </c>
      <c r="E2921" s="569" t="s">
        <v>1684</v>
      </c>
      <c r="F2921" s="569" t="s">
        <v>271</v>
      </c>
      <c r="G2921" s="569">
        <v>2019</v>
      </c>
      <c r="H2921" s="569" t="s">
        <v>4879</v>
      </c>
      <c r="I2921" s="569" t="s">
        <v>5077</v>
      </c>
      <c r="J2921" s="569" t="s">
        <v>3377</v>
      </c>
      <c r="K2921" s="569">
        <v>3</v>
      </c>
      <c r="L2921" s="569">
        <v>0</v>
      </c>
      <c r="M2921" s="569" t="s">
        <v>157</v>
      </c>
      <c r="N2921" s="569">
        <v>1</v>
      </c>
      <c r="O2921" s="569" t="s">
        <v>157</v>
      </c>
      <c r="P2921" s="568">
        <v>13200</v>
      </c>
      <c r="Q2921" s="569" t="s">
        <v>4231</v>
      </c>
      <c r="R2921" s="569">
        <v>8</v>
      </c>
      <c r="S2921" s="569" t="s">
        <v>5015</v>
      </c>
      <c r="T2921" s="569" t="s">
        <v>4950</v>
      </c>
      <c r="U2921" s="569">
        <v>145</v>
      </c>
      <c r="V2921" s="569">
        <v>40</v>
      </c>
      <c r="W2921" s="620">
        <v>11100</v>
      </c>
      <c r="X2921" s="621" t="s">
        <v>157</v>
      </c>
      <c r="Y2921" s="621" t="s">
        <v>728</v>
      </c>
      <c r="Z2921" s="621" t="s">
        <v>1523</v>
      </c>
      <c r="AA2921" s="622">
        <v>47790</v>
      </c>
      <c r="AB2921" s="622" t="s">
        <v>164</v>
      </c>
      <c r="AC2921" s="622">
        <v>38250</v>
      </c>
      <c r="AD2921" s="623">
        <v>0.01</v>
      </c>
      <c r="AE2921" s="621" t="s">
        <v>5079</v>
      </c>
    </row>
    <row r="2922" spans="1:31" s="572" customFormat="1">
      <c r="A2922" s="570" t="s">
        <v>5082</v>
      </c>
      <c r="B2922" s="573" t="s">
        <v>287</v>
      </c>
      <c r="C2922" s="578">
        <v>26</v>
      </c>
      <c r="D2922" s="573" t="s">
        <v>3374</v>
      </c>
      <c r="E2922" s="573" t="s">
        <v>1684</v>
      </c>
      <c r="F2922" s="573" t="s">
        <v>271</v>
      </c>
      <c r="G2922" s="573">
        <v>2019</v>
      </c>
      <c r="H2922" s="573" t="s">
        <v>4879</v>
      </c>
      <c r="I2922" s="573" t="s">
        <v>5077</v>
      </c>
      <c r="J2922" s="573" t="s">
        <v>3377</v>
      </c>
      <c r="K2922" s="573">
        <v>3</v>
      </c>
      <c r="L2922" s="573">
        <v>0</v>
      </c>
      <c r="M2922" s="573" t="s">
        <v>157</v>
      </c>
      <c r="N2922" s="573">
        <v>1</v>
      </c>
      <c r="O2922" s="573" t="s">
        <v>157</v>
      </c>
      <c r="P2922" s="571">
        <v>13200</v>
      </c>
      <c r="Q2922" s="573" t="s">
        <v>4235</v>
      </c>
      <c r="R2922" s="573">
        <v>8</v>
      </c>
      <c r="S2922" s="582" t="s">
        <v>5015</v>
      </c>
      <c r="T2922" s="573" t="s">
        <v>4950</v>
      </c>
      <c r="U2922" s="573">
        <v>145</v>
      </c>
      <c r="V2922" s="573">
        <v>40</v>
      </c>
      <c r="W2922" s="616">
        <v>10500</v>
      </c>
      <c r="X2922" s="617" t="s">
        <v>157</v>
      </c>
      <c r="Y2922" s="617" t="s">
        <v>450</v>
      </c>
      <c r="Z2922" s="617" t="s">
        <v>178</v>
      </c>
      <c r="AA2922" s="618">
        <v>38220</v>
      </c>
      <c r="AB2922" s="618" t="s">
        <v>164</v>
      </c>
      <c r="AC2922" s="618">
        <v>30032</v>
      </c>
      <c r="AD2922" s="619">
        <v>0.05</v>
      </c>
      <c r="AE2922" s="617" t="s">
        <v>5076</v>
      </c>
    </row>
    <row r="2923" spans="1:31" s="572" customFormat="1">
      <c r="A2923" s="570" t="s">
        <v>5083</v>
      </c>
      <c r="B2923" s="569" t="s">
        <v>287</v>
      </c>
      <c r="C2923" s="580">
        <v>26</v>
      </c>
      <c r="D2923" s="569" t="s">
        <v>3374</v>
      </c>
      <c r="E2923" s="569" t="s">
        <v>1684</v>
      </c>
      <c r="F2923" s="569" t="s">
        <v>271</v>
      </c>
      <c r="G2923" s="569">
        <v>2019</v>
      </c>
      <c r="H2923" s="569" t="s">
        <v>4879</v>
      </c>
      <c r="I2923" s="569" t="s">
        <v>5077</v>
      </c>
      <c r="J2923" s="569" t="s">
        <v>3377</v>
      </c>
      <c r="K2923" s="569">
        <v>3</v>
      </c>
      <c r="L2923" s="569">
        <v>0</v>
      </c>
      <c r="M2923" s="569" t="s">
        <v>157</v>
      </c>
      <c r="N2923" s="569">
        <v>1</v>
      </c>
      <c r="O2923" s="569" t="s">
        <v>157</v>
      </c>
      <c r="P2923" s="568">
        <v>13200</v>
      </c>
      <c r="Q2923" s="569" t="s">
        <v>4231</v>
      </c>
      <c r="R2923" s="569">
        <v>8</v>
      </c>
      <c r="S2923" s="569" t="s">
        <v>5015</v>
      </c>
      <c r="T2923" s="569" t="s">
        <v>4950</v>
      </c>
      <c r="U2923" s="569">
        <v>145</v>
      </c>
      <c r="V2923" s="569">
        <v>40</v>
      </c>
      <c r="W2923" s="620">
        <v>11100</v>
      </c>
      <c r="X2923" s="621" t="s">
        <v>157</v>
      </c>
      <c r="Y2923" s="621" t="s">
        <v>728</v>
      </c>
      <c r="Z2923" s="621" t="s">
        <v>1523</v>
      </c>
      <c r="AA2923" s="622">
        <v>47215</v>
      </c>
      <c r="AB2923" s="622" t="s">
        <v>164</v>
      </c>
      <c r="AC2923" s="622">
        <v>38227</v>
      </c>
      <c r="AD2923" s="623">
        <v>0.05</v>
      </c>
      <c r="AE2923" s="621" t="s">
        <v>5079</v>
      </c>
    </row>
    <row r="2924" spans="1:31" s="572" customFormat="1">
      <c r="A2924" s="570" t="s">
        <v>5084</v>
      </c>
      <c r="B2924" s="573" t="s">
        <v>280</v>
      </c>
      <c r="C2924" s="578">
        <v>27</v>
      </c>
      <c r="D2924" s="573" t="s">
        <v>3374</v>
      </c>
      <c r="E2924" s="573" t="s">
        <v>1684</v>
      </c>
      <c r="F2924" s="573" t="s">
        <v>271</v>
      </c>
      <c r="G2924" s="573">
        <v>2019</v>
      </c>
      <c r="H2924" s="573" t="s">
        <v>4879</v>
      </c>
      <c r="I2924" s="573" t="s">
        <v>5077</v>
      </c>
      <c r="J2924" s="573" t="s">
        <v>3377</v>
      </c>
      <c r="K2924" s="573">
        <v>3</v>
      </c>
      <c r="L2924" s="573">
        <v>0</v>
      </c>
      <c r="M2924" s="573" t="s">
        <v>157</v>
      </c>
      <c r="N2924" s="573">
        <v>1</v>
      </c>
      <c r="O2924" s="573" t="s">
        <v>157</v>
      </c>
      <c r="P2924" s="571">
        <v>13100</v>
      </c>
      <c r="Q2924" s="573" t="s">
        <v>4235</v>
      </c>
      <c r="R2924" s="573">
        <v>8</v>
      </c>
      <c r="S2924" s="582" t="s">
        <v>5015</v>
      </c>
      <c r="T2924" s="573" t="s">
        <v>4950</v>
      </c>
      <c r="U2924" s="573">
        <v>145</v>
      </c>
      <c r="V2924" s="573">
        <v>40</v>
      </c>
      <c r="W2924" s="616">
        <v>10500</v>
      </c>
      <c r="X2924" s="617" t="s">
        <v>157</v>
      </c>
      <c r="Y2924" s="617" t="s">
        <v>450</v>
      </c>
      <c r="Z2924" s="617" t="s">
        <v>178</v>
      </c>
      <c r="AA2924" s="618">
        <v>38670</v>
      </c>
      <c r="AB2924" s="618" t="s">
        <v>164</v>
      </c>
      <c r="AC2924" s="618">
        <v>29835.494736842109</v>
      </c>
      <c r="AD2924" s="619">
        <v>0.03</v>
      </c>
      <c r="AE2924" s="617" t="s">
        <v>5076</v>
      </c>
    </row>
    <row r="2925" spans="1:31" s="572" customFormat="1">
      <c r="A2925" s="570" t="s">
        <v>5085</v>
      </c>
      <c r="B2925" s="569" t="s">
        <v>280</v>
      </c>
      <c r="C2925" s="580">
        <v>27</v>
      </c>
      <c r="D2925" s="569" t="s">
        <v>3374</v>
      </c>
      <c r="E2925" s="569" t="s">
        <v>1684</v>
      </c>
      <c r="F2925" s="569" t="s">
        <v>271</v>
      </c>
      <c r="G2925" s="569">
        <v>2019</v>
      </c>
      <c r="H2925" s="569" t="s">
        <v>4879</v>
      </c>
      <c r="I2925" s="569" t="s">
        <v>5077</v>
      </c>
      <c r="J2925" s="569" t="s">
        <v>3377</v>
      </c>
      <c r="K2925" s="569">
        <v>3</v>
      </c>
      <c r="L2925" s="569">
        <v>0</v>
      </c>
      <c r="M2925" s="569" t="s">
        <v>157</v>
      </c>
      <c r="N2925" s="569">
        <v>1</v>
      </c>
      <c r="O2925" s="569" t="s">
        <v>157</v>
      </c>
      <c r="P2925" s="568">
        <v>13100</v>
      </c>
      <c r="Q2925" s="569" t="s">
        <v>4231</v>
      </c>
      <c r="R2925" s="569">
        <v>8</v>
      </c>
      <c r="S2925" s="569" t="s">
        <v>5015</v>
      </c>
      <c r="T2925" s="569" t="s">
        <v>4950</v>
      </c>
      <c r="U2925" s="569">
        <v>145</v>
      </c>
      <c r="V2925" s="569">
        <v>40</v>
      </c>
      <c r="W2925" s="620">
        <v>11100</v>
      </c>
      <c r="X2925" s="621" t="s">
        <v>157</v>
      </c>
      <c r="Y2925" s="621" t="s">
        <v>728</v>
      </c>
      <c r="Z2925" s="621" t="s">
        <v>1523</v>
      </c>
      <c r="AA2925" s="622">
        <v>47790</v>
      </c>
      <c r="AB2925" s="622" t="s">
        <v>164</v>
      </c>
      <c r="AC2925" s="622">
        <v>38027.68421052632</v>
      </c>
      <c r="AD2925" s="623">
        <v>0.03</v>
      </c>
      <c r="AE2925" s="621" t="s">
        <v>5079</v>
      </c>
    </row>
    <row r="2926" spans="1:31" s="572" customFormat="1">
      <c r="A2926" s="570" t="s">
        <v>5086</v>
      </c>
      <c r="B2926" s="573" t="s">
        <v>269</v>
      </c>
      <c r="C2926" s="578" t="s">
        <v>270</v>
      </c>
      <c r="D2926" s="573" t="s">
        <v>3374</v>
      </c>
      <c r="E2926" s="573" t="s">
        <v>1684</v>
      </c>
      <c r="F2926" s="573" t="s">
        <v>271</v>
      </c>
      <c r="G2926" s="573">
        <v>2019</v>
      </c>
      <c r="H2926" s="573" t="s">
        <v>4879</v>
      </c>
      <c r="I2926" s="573" t="s">
        <v>5077</v>
      </c>
      <c r="J2926" s="573" t="s">
        <v>752</v>
      </c>
      <c r="K2926" s="573">
        <v>3</v>
      </c>
      <c r="L2926" s="573">
        <v>0</v>
      </c>
      <c r="M2926" s="573" t="s">
        <v>157</v>
      </c>
      <c r="N2926" s="573">
        <v>1</v>
      </c>
      <c r="O2926" s="573" t="s">
        <v>157</v>
      </c>
      <c r="P2926" s="571">
        <v>12700</v>
      </c>
      <c r="Q2926" s="573" t="s">
        <v>4235</v>
      </c>
      <c r="R2926" s="573">
        <v>8</v>
      </c>
      <c r="S2926" s="582" t="s">
        <v>5026</v>
      </c>
      <c r="T2926" s="573" t="s">
        <v>4950</v>
      </c>
      <c r="U2926" s="573">
        <v>145</v>
      </c>
      <c r="V2926" s="573">
        <v>40</v>
      </c>
      <c r="W2926" s="616">
        <v>10900</v>
      </c>
      <c r="X2926" s="617" t="s">
        <v>157</v>
      </c>
      <c r="Y2926" s="617" t="s">
        <v>450</v>
      </c>
      <c r="Z2926" s="617" t="s">
        <v>178</v>
      </c>
      <c r="AA2926" s="618">
        <v>42175</v>
      </c>
      <c r="AB2926" s="618" t="s">
        <v>164</v>
      </c>
      <c r="AC2926" s="618">
        <v>32440.757894736846</v>
      </c>
      <c r="AD2926" s="619">
        <v>0.03</v>
      </c>
      <c r="AE2926" s="617" t="s">
        <v>5087</v>
      </c>
    </row>
    <row r="2927" spans="1:31" s="572" customFormat="1">
      <c r="A2927" s="570" t="s">
        <v>5088</v>
      </c>
      <c r="B2927" s="569" t="s">
        <v>269</v>
      </c>
      <c r="C2927" s="580" t="s">
        <v>270</v>
      </c>
      <c r="D2927" s="569" t="s">
        <v>3374</v>
      </c>
      <c r="E2927" s="569" t="s">
        <v>1684</v>
      </c>
      <c r="F2927" s="569" t="s">
        <v>271</v>
      </c>
      <c r="G2927" s="569">
        <v>2019</v>
      </c>
      <c r="H2927" s="569" t="s">
        <v>4879</v>
      </c>
      <c r="I2927" s="569" t="s">
        <v>5077</v>
      </c>
      <c r="J2927" s="569" t="s">
        <v>752</v>
      </c>
      <c r="K2927" s="569">
        <v>3</v>
      </c>
      <c r="L2927" s="569">
        <v>0</v>
      </c>
      <c r="M2927" s="569" t="s">
        <v>157</v>
      </c>
      <c r="N2927" s="569">
        <v>1</v>
      </c>
      <c r="O2927" s="569" t="s">
        <v>157</v>
      </c>
      <c r="P2927" s="568">
        <v>12700</v>
      </c>
      <c r="Q2927" s="569" t="s">
        <v>4231</v>
      </c>
      <c r="R2927" s="569">
        <v>8</v>
      </c>
      <c r="S2927" s="569" t="s">
        <v>5026</v>
      </c>
      <c r="T2927" s="569" t="s">
        <v>4950</v>
      </c>
      <c r="U2927" s="569">
        <v>145</v>
      </c>
      <c r="V2927" s="569">
        <v>40</v>
      </c>
      <c r="W2927" s="620">
        <v>11500</v>
      </c>
      <c r="X2927" s="621" t="s">
        <v>157</v>
      </c>
      <c r="Y2927" s="621" t="s">
        <v>728</v>
      </c>
      <c r="Z2927" s="621" t="s">
        <v>1523</v>
      </c>
      <c r="AA2927" s="622">
        <v>51295</v>
      </c>
      <c r="AB2927" s="622" t="s">
        <v>164</v>
      </c>
      <c r="AC2927" s="622">
        <v>40632.947368421061</v>
      </c>
      <c r="AD2927" s="623">
        <v>0.03</v>
      </c>
      <c r="AE2927" s="621" t="s">
        <v>5089</v>
      </c>
    </row>
    <row r="2928" spans="1:31" s="572" customFormat="1">
      <c r="A2928" s="570" t="s">
        <v>5090</v>
      </c>
      <c r="B2928" s="573" t="s">
        <v>278</v>
      </c>
      <c r="C2928" s="578">
        <v>15</v>
      </c>
      <c r="D2928" s="573" t="s">
        <v>3374</v>
      </c>
      <c r="E2928" s="573" t="s">
        <v>1684</v>
      </c>
      <c r="F2928" s="573" t="s">
        <v>271</v>
      </c>
      <c r="G2928" s="573">
        <v>2019</v>
      </c>
      <c r="H2928" s="573" t="s">
        <v>4879</v>
      </c>
      <c r="I2928" s="573" t="s">
        <v>5077</v>
      </c>
      <c r="J2928" s="573" t="s">
        <v>752</v>
      </c>
      <c r="K2928" s="573">
        <v>3</v>
      </c>
      <c r="L2928" s="573">
        <v>0</v>
      </c>
      <c r="M2928" s="573" t="s">
        <v>157</v>
      </c>
      <c r="N2928" s="573">
        <v>1</v>
      </c>
      <c r="O2928" s="573" t="s">
        <v>157</v>
      </c>
      <c r="P2928" s="571">
        <v>12700</v>
      </c>
      <c r="Q2928" s="573" t="s">
        <v>4235</v>
      </c>
      <c r="R2928" s="573">
        <v>8</v>
      </c>
      <c r="S2928" s="582" t="s">
        <v>5026</v>
      </c>
      <c r="T2928" s="573" t="s">
        <v>4950</v>
      </c>
      <c r="U2928" s="573">
        <v>145</v>
      </c>
      <c r="V2928" s="573">
        <v>40</v>
      </c>
      <c r="W2928" s="616">
        <v>10900</v>
      </c>
      <c r="X2928" s="617" t="s">
        <v>157</v>
      </c>
      <c r="Y2928" s="617" t="s">
        <v>450</v>
      </c>
      <c r="Z2928" s="617" t="s">
        <v>178</v>
      </c>
      <c r="AA2928" s="618">
        <v>42175</v>
      </c>
      <c r="AB2928" s="618" t="s">
        <v>164</v>
      </c>
      <c r="AC2928" s="618">
        <v>32575</v>
      </c>
      <c r="AD2928" s="619">
        <v>0.01</v>
      </c>
      <c r="AE2928" s="617" t="s">
        <v>5087</v>
      </c>
    </row>
    <row r="2929" spans="1:31" s="572" customFormat="1">
      <c r="A2929" s="570" t="s">
        <v>5091</v>
      </c>
      <c r="B2929" s="569" t="s">
        <v>278</v>
      </c>
      <c r="C2929" s="580">
        <v>15</v>
      </c>
      <c r="D2929" s="569" t="s">
        <v>3374</v>
      </c>
      <c r="E2929" s="569" t="s">
        <v>1684</v>
      </c>
      <c r="F2929" s="569" t="s">
        <v>271</v>
      </c>
      <c r="G2929" s="569">
        <v>2019</v>
      </c>
      <c r="H2929" s="569" t="s">
        <v>4879</v>
      </c>
      <c r="I2929" s="569" t="s">
        <v>5077</v>
      </c>
      <c r="J2929" s="569" t="s">
        <v>752</v>
      </c>
      <c r="K2929" s="569">
        <v>3</v>
      </c>
      <c r="L2929" s="569">
        <v>0</v>
      </c>
      <c r="M2929" s="569" t="s">
        <v>157</v>
      </c>
      <c r="N2929" s="569">
        <v>1</v>
      </c>
      <c r="O2929" s="569" t="s">
        <v>157</v>
      </c>
      <c r="P2929" s="568">
        <v>12700</v>
      </c>
      <c r="Q2929" s="569" t="s">
        <v>4231</v>
      </c>
      <c r="R2929" s="569">
        <v>8</v>
      </c>
      <c r="S2929" s="569" t="s">
        <v>5026</v>
      </c>
      <c r="T2929" s="569" t="s">
        <v>4950</v>
      </c>
      <c r="U2929" s="569">
        <v>145</v>
      </c>
      <c r="V2929" s="569">
        <v>40</v>
      </c>
      <c r="W2929" s="620">
        <v>11500</v>
      </c>
      <c r="X2929" s="621" t="s">
        <v>157</v>
      </c>
      <c r="Y2929" s="621" t="s">
        <v>728</v>
      </c>
      <c r="Z2929" s="621" t="s">
        <v>1523</v>
      </c>
      <c r="AA2929" s="622">
        <v>51295</v>
      </c>
      <c r="AB2929" s="622" t="s">
        <v>164</v>
      </c>
      <c r="AC2929" s="622">
        <v>40850</v>
      </c>
      <c r="AD2929" s="623">
        <v>0.01</v>
      </c>
      <c r="AE2929" s="621" t="s">
        <v>5089</v>
      </c>
    </row>
    <row r="2930" spans="1:31" s="572" customFormat="1">
      <c r="A2930" s="570" t="s">
        <v>5092</v>
      </c>
      <c r="B2930" s="573" t="s">
        <v>287</v>
      </c>
      <c r="C2930" s="578">
        <v>26</v>
      </c>
      <c r="D2930" s="573" t="s">
        <v>3374</v>
      </c>
      <c r="E2930" s="573" t="s">
        <v>1684</v>
      </c>
      <c r="F2930" s="573" t="s">
        <v>271</v>
      </c>
      <c r="G2930" s="573">
        <v>2019</v>
      </c>
      <c r="H2930" s="573" t="s">
        <v>4879</v>
      </c>
      <c r="I2930" s="573" t="s">
        <v>5077</v>
      </c>
      <c r="J2930" s="573" t="s">
        <v>752</v>
      </c>
      <c r="K2930" s="573">
        <v>3</v>
      </c>
      <c r="L2930" s="573">
        <v>0</v>
      </c>
      <c r="M2930" s="573" t="s">
        <v>157</v>
      </c>
      <c r="N2930" s="573">
        <v>1</v>
      </c>
      <c r="O2930" s="573" t="s">
        <v>157</v>
      </c>
      <c r="P2930" s="571">
        <v>12700</v>
      </c>
      <c r="Q2930" s="573" t="s">
        <v>4235</v>
      </c>
      <c r="R2930" s="573">
        <v>8</v>
      </c>
      <c r="S2930" s="582" t="s">
        <v>5026</v>
      </c>
      <c r="T2930" s="573" t="s">
        <v>4950</v>
      </c>
      <c r="U2930" s="573">
        <v>145</v>
      </c>
      <c r="V2930" s="573">
        <v>40</v>
      </c>
      <c r="W2930" s="616">
        <v>10900</v>
      </c>
      <c r="X2930" s="617" t="s">
        <v>157</v>
      </c>
      <c r="Y2930" s="617" t="s">
        <v>450</v>
      </c>
      <c r="Z2930" s="617" t="s">
        <v>178</v>
      </c>
      <c r="AA2930" s="618">
        <v>42175</v>
      </c>
      <c r="AB2930" s="618" t="s">
        <v>164</v>
      </c>
      <c r="AC2930" s="618">
        <v>32677</v>
      </c>
      <c r="AD2930" s="619">
        <v>0.05</v>
      </c>
      <c r="AE2930" s="617" t="s">
        <v>5087</v>
      </c>
    </row>
    <row r="2931" spans="1:31" s="572" customFormat="1">
      <c r="A2931" s="570" t="s">
        <v>5093</v>
      </c>
      <c r="B2931" s="569" t="s">
        <v>287</v>
      </c>
      <c r="C2931" s="580">
        <v>26</v>
      </c>
      <c r="D2931" s="569" t="s">
        <v>3374</v>
      </c>
      <c r="E2931" s="569" t="s">
        <v>1684</v>
      </c>
      <c r="F2931" s="569" t="s">
        <v>271</v>
      </c>
      <c r="G2931" s="569">
        <v>2019</v>
      </c>
      <c r="H2931" s="569" t="s">
        <v>4879</v>
      </c>
      <c r="I2931" s="569" t="s">
        <v>5077</v>
      </c>
      <c r="J2931" s="569" t="s">
        <v>752</v>
      </c>
      <c r="K2931" s="569">
        <v>3</v>
      </c>
      <c r="L2931" s="569">
        <v>0</v>
      </c>
      <c r="M2931" s="569" t="s">
        <v>157</v>
      </c>
      <c r="N2931" s="569">
        <v>1</v>
      </c>
      <c r="O2931" s="569" t="s">
        <v>157</v>
      </c>
      <c r="P2931" s="568">
        <v>12700</v>
      </c>
      <c r="Q2931" s="569" t="s">
        <v>4231</v>
      </c>
      <c r="R2931" s="569">
        <v>8</v>
      </c>
      <c r="S2931" s="569" t="s">
        <v>5026</v>
      </c>
      <c r="T2931" s="569" t="s">
        <v>4950</v>
      </c>
      <c r="U2931" s="569">
        <v>145</v>
      </c>
      <c r="V2931" s="569">
        <v>40</v>
      </c>
      <c r="W2931" s="620">
        <v>11500</v>
      </c>
      <c r="X2931" s="621" t="s">
        <v>157</v>
      </c>
      <c r="Y2931" s="621" t="s">
        <v>728</v>
      </c>
      <c r="Z2931" s="621" t="s">
        <v>1523</v>
      </c>
      <c r="AA2931" s="622">
        <v>51295</v>
      </c>
      <c r="AB2931" s="622" t="s">
        <v>164</v>
      </c>
      <c r="AC2931" s="622">
        <v>40872</v>
      </c>
      <c r="AD2931" s="623">
        <v>0.05</v>
      </c>
      <c r="AE2931" s="621" t="s">
        <v>5089</v>
      </c>
    </row>
    <row r="2932" spans="1:31" s="572" customFormat="1">
      <c r="A2932" s="570" t="s">
        <v>5094</v>
      </c>
      <c r="B2932" s="573" t="s">
        <v>280</v>
      </c>
      <c r="C2932" s="578">
        <v>27</v>
      </c>
      <c r="D2932" s="573" t="s">
        <v>3374</v>
      </c>
      <c r="E2932" s="573" t="s">
        <v>1684</v>
      </c>
      <c r="F2932" s="573" t="s">
        <v>271</v>
      </c>
      <c r="G2932" s="573">
        <v>2019</v>
      </c>
      <c r="H2932" s="573" t="s">
        <v>4879</v>
      </c>
      <c r="I2932" s="573" t="s">
        <v>5077</v>
      </c>
      <c r="J2932" s="573" t="s">
        <v>752</v>
      </c>
      <c r="K2932" s="573">
        <v>3</v>
      </c>
      <c r="L2932" s="573">
        <v>0</v>
      </c>
      <c r="M2932" s="573" t="s">
        <v>157</v>
      </c>
      <c r="N2932" s="573">
        <v>1</v>
      </c>
      <c r="O2932" s="573" t="s">
        <v>157</v>
      </c>
      <c r="P2932" s="571">
        <v>12700</v>
      </c>
      <c r="Q2932" s="573" t="s">
        <v>4235</v>
      </c>
      <c r="R2932" s="573">
        <v>8</v>
      </c>
      <c r="S2932" s="582" t="s">
        <v>5026</v>
      </c>
      <c r="T2932" s="573" t="s">
        <v>4950</v>
      </c>
      <c r="U2932" s="573">
        <v>145</v>
      </c>
      <c r="V2932" s="573">
        <v>40</v>
      </c>
      <c r="W2932" s="616">
        <v>10900</v>
      </c>
      <c r="X2932" s="617" t="s">
        <v>157</v>
      </c>
      <c r="Y2932" s="617" t="s">
        <v>450</v>
      </c>
      <c r="Z2932" s="617" t="s">
        <v>178</v>
      </c>
      <c r="AA2932" s="618">
        <v>42175</v>
      </c>
      <c r="AB2932" s="618" t="s">
        <v>164</v>
      </c>
      <c r="AC2932" s="618">
        <v>32440.757894736846</v>
      </c>
      <c r="AD2932" s="619">
        <v>0.03</v>
      </c>
      <c r="AE2932" s="617" t="s">
        <v>5087</v>
      </c>
    </row>
    <row r="2933" spans="1:31" s="572" customFormat="1">
      <c r="A2933" s="570" t="s">
        <v>5095</v>
      </c>
      <c r="B2933" s="569" t="s">
        <v>280</v>
      </c>
      <c r="C2933" s="580">
        <v>27</v>
      </c>
      <c r="D2933" s="569" t="s">
        <v>3374</v>
      </c>
      <c r="E2933" s="569" t="s">
        <v>1684</v>
      </c>
      <c r="F2933" s="569" t="s">
        <v>271</v>
      </c>
      <c r="G2933" s="569">
        <v>2019</v>
      </c>
      <c r="H2933" s="569" t="s">
        <v>4879</v>
      </c>
      <c r="I2933" s="569" t="s">
        <v>5077</v>
      </c>
      <c r="J2933" s="569" t="s">
        <v>752</v>
      </c>
      <c r="K2933" s="569">
        <v>3</v>
      </c>
      <c r="L2933" s="569">
        <v>0</v>
      </c>
      <c r="M2933" s="569" t="s">
        <v>157</v>
      </c>
      <c r="N2933" s="569">
        <v>1</v>
      </c>
      <c r="O2933" s="569" t="s">
        <v>157</v>
      </c>
      <c r="P2933" s="568">
        <v>12700</v>
      </c>
      <c r="Q2933" s="569" t="s">
        <v>4231</v>
      </c>
      <c r="R2933" s="569">
        <v>8</v>
      </c>
      <c r="S2933" s="569" t="s">
        <v>5026</v>
      </c>
      <c r="T2933" s="569" t="s">
        <v>4950</v>
      </c>
      <c r="U2933" s="569">
        <v>145</v>
      </c>
      <c r="V2933" s="569">
        <v>40</v>
      </c>
      <c r="W2933" s="620">
        <v>11500</v>
      </c>
      <c r="X2933" s="621" t="s">
        <v>157</v>
      </c>
      <c r="Y2933" s="621" t="s">
        <v>728</v>
      </c>
      <c r="Z2933" s="621" t="s">
        <v>1523</v>
      </c>
      <c r="AA2933" s="622">
        <v>51295</v>
      </c>
      <c r="AB2933" s="622" t="s">
        <v>164</v>
      </c>
      <c r="AC2933" s="622">
        <v>40632.947368421061</v>
      </c>
      <c r="AD2933" s="623">
        <v>0.03</v>
      </c>
      <c r="AE2933" s="621" t="s">
        <v>5089</v>
      </c>
    </row>
    <row r="2934" spans="1:31" s="572" customFormat="1">
      <c r="A2934" s="570" t="s">
        <v>5096</v>
      </c>
      <c r="B2934" s="573" t="s">
        <v>269</v>
      </c>
      <c r="C2934" s="578" t="s">
        <v>270</v>
      </c>
      <c r="D2934" s="573" t="s">
        <v>3374</v>
      </c>
      <c r="E2934" s="573" t="s">
        <v>1684</v>
      </c>
      <c r="F2934" s="573" t="s">
        <v>271</v>
      </c>
      <c r="G2934" s="573">
        <v>2019</v>
      </c>
      <c r="H2934" s="573" t="s">
        <v>4879</v>
      </c>
      <c r="I2934" s="573" t="s">
        <v>4795</v>
      </c>
      <c r="J2934" s="573" t="s">
        <v>3377</v>
      </c>
      <c r="K2934" s="573">
        <v>6</v>
      </c>
      <c r="L2934" s="573">
        <v>0</v>
      </c>
      <c r="M2934" s="573" t="s">
        <v>157</v>
      </c>
      <c r="N2934" s="573">
        <v>2</v>
      </c>
      <c r="O2934" s="573" t="s">
        <v>157</v>
      </c>
      <c r="P2934" s="571">
        <v>12900</v>
      </c>
      <c r="Q2934" s="573" t="s">
        <v>4235</v>
      </c>
      <c r="R2934" s="573">
        <v>8</v>
      </c>
      <c r="S2934" s="582" t="s">
        <v>5098</v>
      </c>
      <c r="T2934" s="573" t="s">
        <v>4881</v>
      </c>
      <c r="U2934" s="573">
        <v>168</v>
      </c>
      <c r="V2934" s="573">
        <v>40</v>
      </c>
      <c r="W2934" s="616">
        <v>14000</v>
      </c>
      <c r="X2934" s="617" t="s">
        <v>157</v>
      </c>
      <c r="Y2934" s="617" t="s">
        <v>450</v>
      </c>
      <c r="Z2934" s="617" t="s">
        <v>178</v>
      </c>
      <c r="AA2934" s="618">
        <v>38685</v>
      </c>
      <c r="AB2934" s="618" t="s">
        <v>164</v>
      </c>
      <c r="AC2934" s="618">
        <v>29427.368421052633</v>
      </c>
      <c r="AD2934" s="619">
        <v>0.03</v>
      </c>
      <c r="AE2934" s="617" t="s">
        <v>5097</v>
      </c>
    </row>
    <row r="2935" spans="1:31" s="572" customFormat="1">
      <c r="A2935" s="570" t="s">
        <v>5099</v>
      </c>
      <c r="B2935" s="569" t="s">
        <v>269</v>
      </c>
      <c r="C2935" s="580" t="s">
        <v>270</v>
      </c>
      <c r="D2935" s="569" t="s">
        <v>3374</v>
      </c>
      <c r="E2935" s="569" t="s">
        <v>1684</v>
      </c>
      <c r="F2935" s="569" t="s">
        <v>271</v>
      </c>
      <c r="G2935" s="569">
        <v>2019</v>
      </c>
      <c r="H2935" s="569" t="s">
        <v>4879</v>
      </c>
      <c r="I2935" s="569" t="s">
        <v>4795</v>
      </c>
      <c r="J2935" s="569" t="s">
        <v>3377</v>
      </c>
      <c r="K2935" s="569">
        <v>6</v>
      </c>
      <c r="L2935" s="569">
        <v>0</v>
      </c>
      <c r="M2935" s="569" t="s">
        <v>157</v>
      </c>
      <c r="N2935" s="569">
        <v>2</v>
      </c>
      <c r="O2935" s="569" t="s">
        <v>157</v>
      </c>
      <c r="P2935" s="568">
        <v>12900</v>
      </c>
      <c r="Q2935" s="569" t="s">
        <v>4231</v>
      </c>
      <c r="R2935" s="569">
        <v>8</v>
      </c>
      <c r="S2935" s="569" t="s">
        <v>5098</v>
      </c>
      <c r="T2935" s="569" t="s">
        <v>4881</v>
      </c>
      <c r="U2935" s="569">
        <v>168</v>
      </c>
      <c r="V2935" s="569">
        <v>40</v>
      </c>
      <c r="W2935" s="620">
        <v>14000</v>
      </c>
      <c r="X2935" s="621" t="s">
        <v>157</v>
      </c>
      <c r="Y2935" s="621" t="s">
        <v>728</v>
      </c>
      <c r="Z2935" s="621" t="s">
        <v>1523</v>
      </c>
      <c r="AA2935" s="622">
        <v>47805</v>
      </c>
      <c r="AB2935" s="622" t="s">
        <v>164</v>
      </c>
      <c r="AC2935" s="622">
        <v>37620.315789473687</v>
      </c>
      <c r="AD2935" s="623">
        <v>0.03</v>
      </c>
      <c r="AE2935" s="621" t="s">
        <v>5100</v>
      </c>
    </row>
    <row r="2936" spans="1:31" s="572" customFormat="1">
      <c r="A2936" s="570" t="s">
        <v>5101</v>
      </c>
      <c r="B2936" s="573" t="s">
        <v>278</v>
      </c>
      <c r="C2936" s="578">
        <v>15</v>
      </c>
      <c r="D2936" s="573" t="s">
        <v>3374</v>
      </c>
      <c r="E2936" s="573" t="s">
        <v>1684</v>
      </c>
      <c r="F2936" s="573" t="s">
        <v>271</v>
      </c>
      <c r="G2936" s="573">
        <v>2019</v>
      </c>
      <c r="H2936" s="573" t="s">
        <v>4879</v>
      </c>
      <c r="I2936" s="573" t="s">
        <v>4795</v>
      </c>
      <c r="J2936" s="573" t="s">
        <v>3377</v>
      </c>
      <c r="K2936" s="573">
        <v>6</v>
      </c>
      <c r="L2936" s="573">
        <v>0</v>
      </c>
      <c r="M2936" s="573" t="s">
        <v>157</v>
      </c>
      <c r="N2936" s="573">
        <v>2</v>
      </c>
      <c r="O2936" s="573" t="s">
        <v>157</v>
      </c>
      <c r="P2936" s="571">
        <v>13000</v>
      </c>
      <c r="Q2936" s="573" t="s">
        <v>4235</v>
      </c>
      <c r="R2936" s="573">
        <v>8</v>
      </c>
      <c r="S2936" s="582" t="s">
        <v>5098</v>
      </c>
      <c r="T2936" s="573" t="s">
        <v>4881</v>
      </c>
      <c r="U2936" s="573">
        <v>168</v>
      </c>
      <c r="V2936" s="573">
        <v>40</v>
      </c>
      <c r="W2936" s="616">
        <v>14000</v>
      </c>
      <c r="X2936" s="617" t="s">
        <v>157</v>
      </c>
      <c r="Y2936" s="617" t="s">
        <v>450</v>
      </c>
      <c r="Z2936" s="617" t="s">
        <v>178</v>
      </c>
      <c r="AA2936" s="618">
        <v>38685</v>
      </c>
      <c r="AB2936" s="618" t="s">
        <v>164</v>
      </c>
      <c r="AC2936" s="618">
        <v>29550</v>
      </c>
      <c r="AD2936" s="619">
        <v>0.01</v>
      </c>
      <c r="AE2936" s="617" t="s">
        <v>5097</v>
      </c>
    </row>
    <row r="2937" spans="1:31" s="572" customFormat="1">
      <c r="A2937" s="570" t="s">
        <v>5102</v>
      </c>
      <c r="B2937" s="569" t="s">
        <v>278</v>
      </c>
      <c r="C2937" s="580">
        <v>15</v>
      </c>
      <c r="D2937" s="569" t="s">
        <v>3374</v>
      </c>
      <c r="E2937" s="569" t="s">
        <v>1684</v>
      </c>
      <c r="F2937" s="569" t="s">
        <v>271</v>
      </c>
      <c r="G2937" s="569">
        <v>2019</v>
      </c>
      <c r="H2937" s="569" t="s">
        <v>4879</v>
      </c>
      <c r="I2937" s="569" t="s">
        <v>4795</v>
      </c>
      <c r="J2937" s="569" t="s">
        <v>3377</v>
      </c>
      <c r="K2937" s="569">
        <v>6</v>
      </c>
      <c r="L2937" s="569">
        <v>0</v>
      </c>
      <c r="M2937" s="569" t="s">
        <v>157</v>
      </c>
      <c r="N2937" s="569">
        <v>2</v>
      </c>
      <c r="O2937" s="569" t="s">
        <v>157</v>
      </c>
      <c r="P2937" s="568">
        <v>13000</v>
      </c>
      <c r="Q2937" s="569" t="s">
        <v>4231</v>
      </c>
      <c r="R2937" s="569">
        <v>8</v>
      </c>
      <c r="S2937" s="569" t="s">
        <v>5098</v>
      </c>
      <c r="T2937" s="569" t="s">
        <v>4881</v>
      </c>
      <c r="U2937" s="569">
        <v>168</v>
      </c>
      <c r="V2937" s="569">
        <v>40</v>
      </c>
      <c r="W2937" s="620">
        <v>14000</v>
      </c>
      <c r="X2937" s="621" t="s">
        <v>157</v>
      </c>
      <c r="Y2937" s="621" t="s">
        <v>728</v>
      </c>
      <c r="Z2937" s="621" t="s">
        <v>1523</v>
      </c>
      <c r="AA2937" s="622">
        <v>47805</v>
      </c>
      <c r="AB2937" s="622" t="s">
        <v>164</v>
      </c>
      <c r="AC2937" s="622">
        <v>37800</v>
      </c>
      <c r="AD2937" s="623">
        <v>0.01</v>
      </c>
      <c r="AE2937" s="621" t="s">
        <v>5100</v>
      </c>
    </row>
    <row r="2938" spans="1:31" s="572" customFormat="1">
      <c r="A2938" s="570" t="s">
        <v>5103</v>
      </c>
      <c r="B2938" s="573" t="s">
        <v>287</v>
      </c>
      <c r="C2938" s="578">
        <v>26</v>
      </c>
      <c r="D2938" s="573" t="s">
        <v>3374</v>
      </c>
      <c r="E2938" s="573" t="s">
        <v>1684</v>
      </c>
      <c r="F2938" s="573" t="s">
        <v>271</v>
      </c>
      <c r="G2938" s="573">
        <v>2019</v>
      </c>
      <c r="H2938" s="573" t="s">
        <v>4879</v>
      </c>
      <c r="I2938" s="573" t="s">
        <v>4795</v>
      </c>
      <c r="J2938" s="573" t="s">
        <v>3377</v>
      </c>
      <c r="K2938" s="573">
        <v>6</v>
      </c>
      <c r="L2938" s="573">
        <v>0</v>
      </c>
      <c r="M2938" s="573" t="s">
        <v>157</v>
      </c>
      <c r="N2938" s="573">
        <v>2</v>
      </c>
      <c r="O2938" s="573" t="s">
        <v>157</v>
      </c>
      <c r="P2938" s="571">
        <v>13000</v>
      </c>
      <c r="Q2938" s="573" t="s">
        <v>4235</v>
      </c>
      <c r="R2938" s="573">
        <v>8</v>
      </c>
      <c r="S2938" s="582" t="s">
        <v>5098</v>
      </c>
      <c r="T2938" s="573" t="s">
        <v>4881</v>
      </c>
      <c r="U2938" s="573">
        <v>168</v>
      </c>
      <c r="V2938" s="573">
        <v>40</v>
      </c>
      <c r="W2938" s="616">
        <v>14000</v>
      </c>
      <c r="X2938" s="617" t="s">
        <v>157</v>
      </c>
      <c r="Y2938" s="617" t="s">
        <v>450</v>
      </c>
      <c r="Z2938" s="617" t="s">
        <v>178</v>
      </c>
      <c r="AA2938" s="618">
        <v>38320</v>
      </c>
      <c r="AB2938" s="618" t="s">
        <v>164</v>
      </c>
      <c r="AC2938" s="618">
        <v>29672</v>
      </c>
      <c r="AD2938" s="619">
        <v>0.05</v>
      </c>
      <c r="AE2938" s="617" t="s">
        <v>5097</v>
      </c>
    </row>
    <row r="2939" spans="1:31" s="572" customFormat="1">
      <c r="A2939" s="570" t="s">
        <v>5104</v>
      </c>
      <c r="B2939" s="569" t="s">
        <v>287</v>
      </c>
      <c r="C2939" s="580">
        <v>26</v>
      </c>
      <c r="D2939" s="569" t="s">
        <v>3374</v>
      </c>
      <c r="E2939" s="569" t="s">
        <v>1684</v>
      </c>
      <c r="F2939" s="569" t="s">
        <v>271</v>
      </c>
      <c r="G2939" s="569">
        <v>2019</v>
      </c>
      <c r="H2939" s="569" t="s">
        <v>4879</v>
      </c>
      <c r="I2939" s="569" t="s">
        <v>4795</v>
      </c>
      <c r="J2939" s="569" t="s">
        <v>3377</v>
      </c>
      <c r="K2939" s="569">
        <v>6</v>
      </c>
      <c r="L2939" s="569">
        <v>0</v>
      </c>
      <c r="M2939" s="569" t="s">
        <v>157</v>
      </c>
      <c r="N2939" s="569">
        <v>2</v>
      </c>
      <c r="O2939" s="569" t="s">
        <v>157</v>
      </c>
      <c r="P2939" s="568">
        <v>13000</v>
      </c>
      <c r="Q2939" s="569" t="s">
        <v>4231</v>
      </c>
      <c r="R2939" s="569">
        <v>8</v>
      </c>
      <c r="S2939" s="569" t="s">
        <v>5098</v>
      </c>
      <c r="T2939" s="569" t="s">
        <v>4881</v>
      </c>
      <c r="U2939" s="569">
        <v>168</v>
      </c>
      <c r="V2939" s="569">
        <v>40</v>
      </c>
      <c r="W2939" s="620">
        <v>14000</v>
      </c>
      <c r="X2939" s="621" t="s">
        <v>157</v>
      </c>
      <c r="Y2939" s="621" t="s">
        <v>728</v>
      </c>
      <c r="Z2939" s="621" t="s">
        <v>1523</v>
      </c>
      <c r="AA2939" s="622">
        <v>47315</v>
      </c>
      <c r="AB2939" s="622" t="s">
        <v>164</v>
      </c>
      <c r="AC2939" s="622">
        <v>37867</v>
      </c>
      <c r="AD2939" s="623">
        <v>0.05</v>
      </c>
      <c r="AE2939" s="621" t="s">
        <v>5100</v>
      </c>
    </row>
    <row r="2940" spans="1:31" s="572" customFormat="1">
      <c r="A2940" s="570" t="s">
        <v>5105</v>
      </c>
      <c r="B2940" s="573" t="s">
        <v>280</v>
      </c>
      <c r="C2940" s="578">
        <v>27</v>
      </c>
      <c r="D2940" s="573" t="s">
        <v>3374</v>
      </c>
      <c r="E2940" s="573" t="s">
        <v>1684</v>
      </c>
      <c r="F2940" s="573" t="s">
        <v>271</v>
      </c>
      <c r="G2940" s="573">
        <v>2019</v>
      </c>
      <c r="H2940" s="573" t="s">
        <v>4879</v>
      </c>
      <c r="I2940" s="573" t="s">
        <v>4795</v>
      </c>
      <c r="J2940" s="573" t="s">
        <v>3377</v>
      </c>
      <c r="K2940" s="573">
        <v>6</v>
      </c>
      <c r="L2940" s="573">
        <v>0</v>
      </c>
      <c r="M2940" s="573" t="s">
        <v>157</v>
      </c>
      <c r="N2940" s="573">
        <v>2</v>
      </c>
      <c r="O2940" s="573" t="s">
        <v>157</v>
      </c>
      <c r="P2940" s="571">
        <v>12900</v>
      </c>
      <c r="Q2940" s="573" t="s">
        <v>4235</v>
      </c>
      <c r="R2940" s="573">
        <v>8</v>
      </c>
      <c r="S2940" s="582" t="s">
        <v>5098</v>
      </c>
      <c r="T2940" s="573" t="s">
        <v>4881</v>
      </c>
      <c r="U2940" s="573">
        <v>168</v>
      </c>
      <c r="V2940" s="573">
        <v>40</v>
      </c>
      <c r="W2940" s="616">
        <v>14000</v>
      </c>
      <c r="X2940" s="617" t="s">
        <v>157</v>
      </c>
      <c r="Y2940" s="617" t="s">
        <v>450</v>
      </c>
      <c r="Z2940" s="617" t="s">
        <v>178</v>
      </c>
      <c r="AA2940" s="618">
        <v>38685</v>
      </c>
      <c r="AB2940" s="618" t="s">
        <v>164</v>
      </c>
      <c r="AC2940" s="618">
        <v>29427.368421052633</v>
      </c>
      <c r="AD2940" s="619">
        <v>0.03</v>
      </c>
      <c r="AE2940" s="617" t="s">
        <v>5097</v>
      </c>
    </row>
    <row r="2941" spans="1:31" s="572" customFormat="1">
      <c r="A2941" s="570" t="s">
        <v>5106</v>
      </c>
      <c r="B2941" s="569" t="s">
        <v>280</v>
      </c>
      <c r="C2941" s="580">
        <v>27</v>
      </c>
      <c r="D2941" s="569" t="s">
        <v>3374</v>
      </c>
      <c r="E2941" s="569" t="s">
        <v>1684</v>
      </c>
      <c r="F2941" s="569" t="s">
        <v>271</v>
      </c>
      <c r="G2941" s="569">
        <v>2019</v>
      </c>
      <c r="H2941" s="569" t="s">
        <v>4879</v>
      </c>
      <c r="I2941" s="569" t="s">
        <v>4795</v>
      </c>
      <c r="J2941" s="569" t="s">
        <v>3377</v>
      </c>
      <c r="K2941" s="569">
        <v>6</v>
      </c>
      <c r="L2941" s="569">
        <v>0</v>
      </c>
      <c r="M2941" s="569" t="s">
        <v>157</v>
      </c>
      <c r="N2941" s="569">
        <v>2</v>
      </c>
      <c r="O2941" s="569" t="s">
        <v>157</v>
      </c>
      <c r="P2941" s="568">
        <v>12900</v>
      </c>
      <c r="Q2941" s="569" t="s">
        <v>4231</v>
      </c>
      <c r="R2941" s="569">
        <v>8</v>
      </c>
      <c r="S2941" s="569" t="s">
        <v>5098</v>
      </c>
      <c r="T2941" s="569" t="s">
        <v>4881</v>
      </c>
      <c r="U2941" s="569">
        <v>168</v>
      </c>
      <c r="V2941" s="569">
        <v>40</v>
      </c>
      <c r="W2941" s="620">
        <v>14000</v>
      </c>
      <c r="X2941" s="621" t="s">
        <v>157</v>
      </c>
      <c r="Y2941" s="621" t="s">
        <v>728</v>
      </c>
      <c r="Z2941" s="621" t="s">
        <v>1523</v>
      </c>
      <c r="AA2941" s="622">
        <v>47805</v>
      </c>
      <c r="AB2941" s="622" t="s">
        <v>164</v>
      </c>
      <c r="AC2941" s="622">
        <v>37620.315789473687</v>
      </c>
      <c r="AD2941" s="623">
        <v>0.03</v>
      </c>
      <c r="AE2941" s="621" t="s">
        <v>5100</v>
      </c>
    </row>
    <row r="2942" spans="1:31" s="572" customFormat="1">
      <c r="A2942" s="570" t="s">
        <v>5107</v>
      </c>
      <c r="B2942" s="573" t="s">
        <v>269</v>
      </c>
      <c r="C2942" s="578" t="s">
        <v>270</v>
      </c>
      <c r="D2942" s="573" t="s">
        <v>3374</v>
      </c>
      <c r="E2942" s="573" t="s">
        <v>1684</v>
      </c>
      <c r="F2942" s="573" t="s">
        <v>271</v>
      </c>
      <c r="G2942" s="573">
        <v>2019</v>
      </c>
      <c r="H2942" s="573" t="s">
        <v>4879</v>
      </c>
      <c r="I2942" s="573" t="s">
        <v>4795</v>
      </c>
      <c r="J2942" s="573" t="s">
        <v>752</v>
      </c>
      <c r="K2942" s="573">
        <v>6</v>
      </c>
      <c r="L2942" s="573">
        <v>0</v>
      </c>
      <c r="M2942" s="573" t="s">
        <v>157</v>
      </c>
      <c r="N2942" s="573">
        <v>2</v>
      </c>
      <c r="O2942" s="573" t="s">
        <v>157</v>
      </c>
      <c r="P2942" s="571">
        <v>12500</v>
      </c>
      <c r="Q2942" s="573" t="s">
        <v>4235</v>
      </c>
      <c r="R2942" s="573">
        <v>8</v>
      </c>
      <c r="S2942" s="582" t="s">
        <v>5109</v>
      </c>
      <c r="T2942" s="573" t="s">
        <v>4881</v>
      </c>
      <c r="U2942" s="573">
        <v>168</v>
      </c>
      <c r="V2942" s="573">
        <v>40</v>
      </c>
      <c r="W2942" s="616">
        <v>14000</v>
      </c>
      <c r="X2942" s="617" t="s">
        <v>157</v>
      </c>
      <c r="Y2942" s="617" t="s">
        <v>450</v>
      </c>
      <c r="Z2942" s="617" t="s">
        <v>178</v>
      </c>
      <c r="AA2942" s="618">
        <v>42185</v>
      </c>
      <c r="AB2942" s="618" t="s">
        <v>164</v>
      </c>
      <c r="AC2942" s="618">
        <v>32660.757894736846</v>
      </c>
      <c r="AD2942" s="619">
        <v>0.03</v>
      </c>
      <c r="AE2942" s="617" t="s">
        <v>5108</v>
      </c>
    </row>
    <row r="2943" spans="1:31" s="572" customFormat="1">
      <c r="A2943" s="570" t="s">
        <v>5110</v>
      </c>
      <c r="B2943" s="569" t="s">
        <v>269</v>
      </c>
      <c r="C2943" s="580" t="s">
        <v>270</v>
      </c>
      <c r="D2943" s="569" t="s">
        <v>3374</v>
      </c>
      <c r="E2943" s="569" t="s">
        <v>1684</v>
      </c>
      <c r="F2943" s="569" t="s">
        <v>271</v>
      </c>
      <c r="G2943" s="569">
        <v>2019</v>
      </c>
      <c r="H2943" s="569" t="s">
        <v>4879</v>
      </c>
      <c r="I2943" s="569" t="s">
        <v>4795</v>
      </c>
      <c r="J2943" s="569" t="s">
        <v>752</v>
      </c>
      <c r="K2943" s="569">
        <v>6</v>
      </c>
      <c r="L2943" s="569">
        <v>0</v>
      </c>
      <c r="M2943" s="569" t="s">
        <v>157</v>
      </c>
      <c r="N2943" s="569">
        <v>2</v>
      </c>
      <c r="O2943" s="569" t="s">
        <v>157</v>
      </c>
      <c r="P2943" s="568">
        <v>12500</v>
      </c>
      <c r="Q2943" s="569" t="s">
        <v>4231</v>
      </c>
      <c r="R2943" s="569">
        <v>8</v>
      </c>
      <c r="S2943" s="569" t="s">
        <v>5109</v>
      </c>
      <c r="T2943" s="569" t="s">
        <v>4881</v>
      </c>
      <c r="U2943" s="569">
        <v>168</v>
      </c>
      <c r="V2943" s="569">
        <v>40</v>
      </c>
      <c r="W2943" s="620">
        <v>14000</v>
      </c>
      <c r="X2943" s="621" t="s">
        <v>157</v>
      </c>
      <c r="Y2943" s="621" t="s">
        <v>728</v>
      </c>
      <c r="Z2943" s="621" t="s">
        <v>1523</v>
      </c>
      <c r="AA2943" s="622">
        <v>51305</v>
      </c>
      <c r="AB2943" s="622" t="s">
        <v>164</v>
      </c>
      <c r="AC2943" s="622">
        <v>40852.947368421061</v>
      </c>
      <c r="AD2943" s="623">
        <v>0.03</v>
      </c>
      <c r="AE2943" s="621" t="s">
        <v>5111</v>
      </c>
    </row>
    <row r="2944" spans="1:31" s="572" customFormat="1">
      <c r="A2944" s="570" t="s">
        <v>5112</v>
      </c>
      <c r="B2944" s="573" t="s">
        <v>278</v>
      </c>
      <c r="C2944" s="578">
        <v>15</v>
      </c>
      <c r="D2944" s="573" t="s">
        <v>3374</v>
      </c>
      <c r="E2944" s="573" t="s">
        <v>1684</v>
      </c>
      <c r="F2944" s="573" t="s">
        <v>271</v>
      </c>
      <c r="G2944" s="573">
        <v>2019</v>
      </c>
      <c r="H2944" s="573" t="s">
        <v>4879</v>
      </c>
      <c r="I2944" s="573" t="s">
        <v>4795</v>
      </c>
      <c r="J2944" s="573" t="s">
        <v>752</v>
      </c>
      <c r="K2944" s="573">
        <v>6</v>
      </c>
      <c r="L2944" s="573">
        <v>0</v>
      </c>
      <c r="M2944" s="573" t="s">
        <v>157</v>
      </c>
      <c r="N2944" s="573">
        <v>2</v>
      </c>
      <c r="O2944" s="573" t="s">
        <v>157</v>
      </c>
      <c r="P2944" s="571">
        <v>12600</v>
      </c>
      <c r="Q2944" s="573" t="s">
        <v>4235</v>
      </c>
      <c r="R2944" s="573">
        <v>8</v>
      </c>
      <c r="S2944" s="582" t="s">
        <v>5109</v>
      </c>
      <c r="T2944" s="573" t="s">
        <v>4881</v>
      </c>
      <c r="U2944" s="573">
        <v>168</v>
      </c>
      <c r="V2944" s="573">
        <v>40</v>
      </c>
      <c r="W2944" s="616">
        <v>14000</v>
      </c>
      <c r="X2944" s="617" t="s">
        <v>157</v>
      </c>
      <c r="Y2944" s="617" t="s">
        <v>450</v>
      </c>
      <c r="Z2944" s="617" t="s">
        <v>178</v>
      </c>
      <c r="AA2944" s="618">
        <v>42185</v>
      </c>
      <c r="AB2944" s="618" t="s">
        <v>164</v>
      </c>
      <c r="AC2944" s="618">
        <v>32800</v>
      </c>
      <c r="AD2944" s="619">
        <v>0.01</v>
      </c>
      <c r="AE2944" s="617" t="s">
        <v>5108</v>
      </c>
    </row>
    <row r="2945" spans="1:31" s="572" customFormat="1">
      <c r="A2945" s="570" t="s">
        <v>5113</v>
      </c>
      <c r="B2945" s="569" t="s">
        <v>278</v>
      </c>
      <c r="C2945" s="580">
        <v>15</v>
      </c>
      <c r="D2945" s="569" t="s">
        <v>3374</v>
      </c>
      <c r="E2945" s="569" t="s">
        <v>1684</v>
      </c>
      <c r="F2945" s="569" t="s">
        <v>271</v>
      </c>
      <c r="G2945" s="569">
        <v>2019</v>
      </c>
      <c r="H2945" s="569" t="s">
        <v>4879</v>
      </c>
      <c r="I2945" s="569" t="s">
        <v>4795</v>
      </c>
      <c r="J2945" s="569" t="s">
        <v>752</v>
      </c>
      <c r="K2945" s="569">
        <v>6</v>
      </c>
      <c r="L2945" s="569">
        <v>0</v>
      </c>
      <c r="M2945" s="569" t="s">
        <v>157</v>
      </c>
      <c r="N2945" s="569">
        <v>2</v>
      </c>
      <c r="O2945" s="569" t="s">
        <v>157</v>
      </c>
      <c r="P2945" s="568">
        <v>12600</v>
      </c>
      <c r="Q2945" s="569" t="s">
        <v>4231</v>
      </c>
      <c r="R2945" s="569">
        <v>8</v>
      </c>
      <c r="S2945" s="569" t="s">
        <v>5109</v>
      </c>
      <c r="T2945" s="569" t="s">
        <v>4881</v>
      </c>
      <c r="U2945" s="569">
        <v>168</v>
      </c>
      <c r="V2945" s="569">
        <v>40</v>
      </c>
      <c r="W2945" s="620">
        <v>14000</v>
      </c>
      <c r="X2945" s="621" t="s">
        <v>157</v>
      </c>
      <c r="Y2945" s="621" t="s">
        <v>728</v>
      </c>
      <c r="Z2945" s="621" t="s">
        <v>1523</v>
      </c>
      <c r="AA2945" s="622">
        <v>51305</v>
      </c>
      <c r="AB2945" s="622" t="s">
        <v>164</v>
      </c>
      <c r="AC2945" s="622">
        <v>41100</v>
      </c>
      <c r="AD2945" s="623">
        <v>0.01</v>
      </c>
      <c r="AE2945" s="621" t="s">
        <v>5111</v>
      </c>
    </row>
    <row r="2946" spans="1:31" s="572" customFormat="1">
      <c r="A2946" s="570" t="s">
        <v>5114</v>
      </c>
      <c r="B2946" s="573" t="s">
        <v>287</v>
      </c>
      <c r="C2946" s="578">
        <v>26</v>
      </c>
      <c r="D2946" s="573" t="s">
        <v>3374</v>
      </c>
      <c r="E2946" s="573" t="s">
        <v>1684</v>
      </c>
      <c r="F2946" s="573" t="s">
        <v>271</v>
      </c>
      <c r="G2946" s="573">
        <v>2019</v>
      </c>
      <c r="H2946" s="573" t="s">
        <v>4879</v>
      </c>
      <c r="I2946" s="573" t="s">
        <v>4795</v>
      </c>
      <c r="J2946" s="573" t="s">
        <v>752</v>
      </c>
      <c r="K2946" s="573">
        <v>6</v>
      </c>
      <c r="L2946" s="573">
        <v>0</v>
      </c>
      <c r="M2946" s="573" t="s">
        <v>157</v>
      </c>
      <c r="N2946" s="573">
        <v>2</v>
      </c>
      <c r="O2946" s="573" t="s">
        <v>157</v>
      </c>
      <c r="P2946" s="571">
        <v>12600</v>
      </c>
      <c r="Q2946" s="573" t="s">
        <v>4235</v>
      </c>
      <c r="R2946" s="573">
        <v>8</v>
      </c>
      <c r="S2946" s="582" t="s">
        <v>5109</v>
      </c>
      <c r="T2946" s="573" t="s">
        <v>4881</v>
      </c>
      <c r="U2946" s="573">
        <v>168</v>
      </c>
      <c r="V2946" s="573">
        <v>40</v>
      </c>
      <c r="W2946" s="616">
        <v>14000</v>
      </c>
      <c r="X2946" s="617" t="s">
        <v>157</v>
      </c>
      <c r="Y2946" s="617" t="s">
        <v>450</v>
      </c>
      <c r="Z2946" s="617" t="s">
        <v>178</v>
      </c>
      <c r="AA2946" s="618">
        <v>41820</v>
      </c>
      <c r="AB2946" s="618" t="s">
        <v>164</v>
      </c>
      <c r="AC2946" s="618">
        <v>32954</v>
      </c>
      <c r="AD2946" s="619">
        <v>0.05</v>
      </c>
      <c r="AE2946" s="617" t="s">
        <v>5108</v>
      </c>
    </row>
    <row r="2947" spans="1:31" s="572" customFormat="1">
      <c r="A2947" s="570" t="s">
        <v>5115</v>
      </c>
      <c r="B2947" s="569" t="s">
        <v>287</v>
      </c>
      <c r="C2947" s="580">
        <v>26</v>
      </c>
      <c r="D2947" s="569" t="s">
        <v>3374</v>
      </c>
      <c r="E2947" s="569" t="s">
        <v>1684</v>
      </c>
      <c r="F2947" s="569" t="s">
        <v>271</v>
      </c>
      <c r="G2947" s="569">
        <v>2019</v>
      </c>
      <c r="H2947" s="569" t="s">
        <v>4879</v>
      </c>
      <c r="I2947" s="569" t="s">
        <v>4795</v>
      </c>
      <c r="J2947" s="569" t="s">
        <v>752</v>
      </c>
      <c r="K2947" s="569">
        <v>6</v>
      </c>
      <c r="L2947" s="569">
        <v>0</v>
      </c>
      <c r="M2947" s="569" t="s">
        <v>157</v>
      </c>
      <c r="N2947" s="569">
        <v>2</v>
      </c>
      <c r="O2947" s="569" t="s">
        <v>157</v>
      </c>
      <c r="P2947" s="568">
        <v>12600</v>
      </c>
      <c r="Q2947" s="569" t="s">
        <v>4231</v>
      </c>
      <c r="R2947" s="569">
        <v>8</v>
      </c>
      <c r="S2947" s="569" t="s">
        <v>5109</v>
      </c>
      <c r="T2947" s="569" t="s">
        <v>4881</v>
      </c>
      <c r="U2947" s="569">
        <v>168</v>
      </c>
      <c r="V2947" s="569">
        <v>40</v>
      </c>
      <c r="W2947" s="620">
        <v>14000</v>
      </c>
      <c r="X2947" s="621" t="s">
        <v>157</v>
      </c>
      <c r="Y2947" s="621" t="s">
        <v>728</v>
      </c>
      <c r="Z2947" s="621" t="s">
        <v>1523</v>
      </c>
      <c r="AA2947" s="622">
        <v>50815</v>
      </c>
      <c r="AB2947" s="622" t="s">
        <v>164</v>
      </c>
      <c r="AC2947" s="622">
        <v>41148</v>
      </c>
      <c r="AD2947" s="623">
        <v>0.05</v>
      </c>
      <c r="AE2947" s="621" t="s">
        <v>5111</v>
      </c>
    </row>
    <row r="2948" spans="1:31" s="572" customFormat="1">
      <c r="A2948" s="570" t="s">
        <v>5116</v>
      </c>
      <c r="B2948" s="573" t="s">
        <v>280</v>
      </c>
      <c r="C2948" s="578">
        <v>27</v>
      </c>
      <c r="D2948" s="573" t="s">
        <v>3374</v>
      </c>
      <c r="E2948" s="573" t="s">
        <v>1684</v>
      </c>
      <c r="F2948" s="573" t="s">
        <v>271</v>
      </c>
      <c r="G2948" s="573">
        <v>2019</v>
      </c>
      <c r="H2948" s="573" t="s">
        <v>4879</v>
      </c>
      <c r="I2948" s="573" t="s">
        <v>4795</v>
      </c>
      <c r="J2948" s="573" t="s">
        <v>752</v>
      </c>
      <c r="K2948" s="573">
        <v>6</v>
      </c>
      <c r="L2948" s="573">
        <v>0</v>
      </c>
      <c r="M2948" s="573" t="s">
        <v>157</v>
      </c>
      <c r="N2948" s="573">
        <v>2</v>
      </c>
      <c r="O2948" s="573" t="s">
        <v>157</v>
      </c>
      <c r="P2948" s="571">
        <v>12500</v>
      </c>
      <c r="Q2948" s="573" t="s">
        <v>4235</v>
      </c>
      <c r="R2948" s="573">
        <v>8</v>
      </c>
      <c r="S2948" s="582" t="s">
        <v>5109</v>
      </c>
      <c r="T2948" s="573" t="s">
        <v>4881</v>
      </c>
      <c r="U2948" s="573">
        <v>168</v>
      </c>
      <c r="V2948" s="573">
        <v>40</v>
      </c>
      <c r="W2948" s="616">
        <v>14000</v>
      </c>
      <c r="X2948" s="617" t="s">
        <v>157</v>
      </c>
      <c r="Y2948" s="617" t="s">
        <v>450</v>
      </c>
      <c r="Z2948" s="617" t="s">
        <v>178</v>
      </c>
      <c r="AA2948" s="618">
        <v>42185</v>
      </c>
      <c r="AB2948" s="618" t="s">
        <v>164</v>
      </c>
      <c r="AC2948" s="618">
        <v>32660.757894736846</v>
      </c>
      <c r="AD2948" s="619">
        <v>0.03</v>
      </c>
      <c r="AE2948" s="617" t="s">
        <v>5108</v>
      </c>
    </row>
    <row r="2949" spans="1:31" s="572" customFormat="1">
      <c r="A2949" s="570" t="s">
        <v>5117</v>
      </c>
      <c r="B2949" s="569" t="s">
        <v>280</v>
      </c>
      <c r="C2949" s="580">
        <v>27</v>
      </c>
      <c r="D2949" s="569" t="s">
        <v>3374</v>
      </c>
      <c r="E2949" s="569" t="s">
        <v>1684</v>
      </c>
      <c r="F2949" s="569" t="s">
        <v>271</v>
      </c>
      <c r="G2949" s="569">
        <v>2019</v>
      </c>
      <c r="H2949" s="569" t="s">
        <v>4879</v>
      </c>
      <c r="I2949" s="569" t="s">
        <v>4795</v>
      </c>
      <c r="J2949" s="569" t="s">
        <v>752</v>
      </c>
      <c r="K2949" s="569">
        <v>6</v>
      </c>
      <c r="L2949" s="569">
        <v>0</v>
      </c>
      <c r="M2949" s="569" t="s">
        <v>157</v>
      </c>
      <c r="N2949" s="569">
        <v>2</v>
      </c>
      <c r="O2949" s="569" t="s">
        <v>157</v>
      </c>
      <c r="P2949" s="568">
        <v>12500</v>
      </c>
      <c r="Q2949" s="569" t="s">
        <v>4231</v>
      </c>
      <c r="R2949" s="569">
        <v>8</v>
      </c>
      <c r="S2949" s="569" t="s">
        <v>5109</v>
      </c>
      <c r="T2949" s="569" t="s">
        <v>4881</v>
      </c>
      <c r="U2949" s="569">
        <v>168</v>
      </c>
      <c r="V2949" s="569">
        <v>40</v>
      </c>
      <c r="W2949" s="620">
        <v>14000</v>
      </c>
      <c r="X2949" s="621" t="s">
        <v>157</v>
      </c>
      <c r="Y2949" s="621" t="s">
        <v>728</v>
      </c>
      <c r="Z2949" s="621" t="s">
        <v>1523</v>
      </c>
      <c r="AA2949" s="622">
        <v>51305</v>
      </c>
      <c r="AB2949" s="622" t="s">
        <v>164</v>
      </c>
      <c r="AC2949" s="622">
        <v>40852.947368421061</v>
      </c>
      <c r="AD2949" s="623">
        <v>0.03</v>
      </c>
      <c r="AE2949" s="621" t="s">
        <v>5111</v>
      </c>
    </row>
    <row r="2950" spans="1:31" s="572" customFormat="1">
      <c r="A2950" s="570" t="s">
        <v>5118</v>
      </c>
      <c r="B2950" s="573" t="s">
        <v>269</v>
      </c>
      <c r="C2950" s="578" t="s">
        <v>270</v>
      </c>
      <c r="D2950" s="573" t="s">
        <v>3374</v>
      </c>
      <c r="E2950" s="573" t="s">
        <v>1684</v>
      </c>
      <c r="F2950" s="573" t="s">
        <v>271</v>
      </c>
      <c r="G2950" s="573">
        <v>2019</v>
      </c>
      <c r="H2950" s="573" t="s">
        <v>4879</v>
      </c>
      <c r="I2950" s="573" t="s">
        <v>5120</v>
      </c>
      <c r="J2950" s="573" t="s">
        <v>3377</v>
      </c>
      <c r="K2950" s="573">
        <v>6</v>
      </c>
      <c r="L2950" s="573">
        <v>0</v>
      </c>
      <c r="M2950" s="573" t="s">
        <v>157</v>
      </c>
      <c r="N2950" s="573">
        <v>2</v>
      </c>
      <c r="O2950" s="573" t="s">
        <v>157</v>
      </c>
      <c r="P2950" s="571">
        <v>12800</v>
      </c>
      <c r="Q2950" s="573" t="s">
        <v>4235</v>
      </c>
      <c r="R2950" s="573">
        <v>8</v>
      </c>
      <c r="S2950" s="582" t="s">
        <v>5121</v>
      </c>
      <c r="T2950" s="573" t="s">
        <v>4905</v>
      </c>
      <c r="U2950" s="573">
        <v>168</v>
      </c>
      <c r="V2950" s="573">
        <v>40</v>
      </c>
      <c r="W2950" s="616">
        <v>10900</v>
      </c>
      <c r="X2950" s="617" t="s">
        <v>157</v>
      </c>
      <c r="Y2950" s="617" t="s">
        <v>450</v>
      </c>
      <c r="Z2950" s="617" t="s">
        <v>178</v>
      </c>
      <c r="AA2950" s="618">
        <v>37480</v>
      </c>
      <c r="AB2950" s="618" t="s">
        <v>164</v>
      </c>
      <c r="AC2950" s="618">
        <v>28314.442105263159</v>
      </c>
      <c r="AD2950" s="619">
        <v>0.03</v>
      </c>
      <c r="AE2950" s="617" t="s">
        <v>5119</v>
      </c>
    </row>
    <row r="2951" spans="1:31" s="572" customFormat="1">
      <c r="A2951" s="570" t="s">
        <v>5122</v>
      </c>
      <c r="B2951" s="569" t="s">
        <v>269</v>
      </c>
      <c r="C2951" s="580" t="s">
        <v>270</v>
      </c>
      <c r="D2951" s="569" t="s">
        <v>3374</v>
      </c>
      <c r="E2951" s="569" t="s">
        <v>1684</v>
      </c>
      <c r="F2951" s="569" t="s">
        <v>271</v>
      </c>
      <c r="G2951" s="569">
        <v>2019</v>
      </c>
      <c r="H2951" s="569" t="s">
        <v>4879</v>
      </c>
      <c r="I2951" s="569" t="s">
        <v>5120</v>
      </c>
      <c r="J2951" s="569" t="s">
        <v>3377</v>
      </c>
      <c r="K2951" s="569">
        <v>6</v>
      </c>
      <c r="L2951" s="569">
        <v>0</v>
      </c>
      <c r="M2951" s="569" t="s">
        <v>157</v>
      </c>
      <c r="N2951" s="569">
        <v>2</v>
      </c>
      <c r="O2951" s="569" t="s">
        <v>157</v>
      </c>
      <c r="P2951" s="568">
        <v>12800</v>
      </c>
      <c r="Q2951" s="569" t="s">
        <v>4231</v>
      </c>
      <c r="R2951" s="569">
        <v>8</v>
      </c>
      <c r="S2951" s="569" t="s">
        <v>5121</v>
      </c>
      <c r="T2951" s="569" t="s">
        <v>4905</v>
      </c>
      <c r="U2951" s="569">
        <v>168</v>
      </c>
      <c r="V2951" s="569">
        <v>40</v>
      </c>
      <c r="W2951" s="620">
        <v>11500</v>
      </c>
      <c r="X2951" s="621" t="s">
        <v>157</v>
      </c>
      <c r="Y2951" s="621" t="s">
        <v>728</v>
      </c>
      <c r="Z2951" s="621" t="s">
        <v>1523</v>
      </c>
      <c r="AA2951" s="622">
        <v>46600</v>
      </c>
      <c r="AB2951" s="622" t="s">
        <v>164</v>
      </c>
      <c r="AC2951" s="622">
        <v>36506.631578947374</v>
      </c>
      <c r="AD2951" s="623">
        <v>0.03</v>
      </c>
      <c r="AE2951" s="621" t="s">
        <v>5123</v>
      </c>
    </row>
    <row r="2952" spans="1:31" s="572" customFormat="1">
      <c r="A2952" s="570" t="s">
        <v>5124</v>
      </c>
      <c r="B2952" s="573" t="s">
        <v>278</v>
      </c>
      <c r="C2952" s="578">
        <v>15</v>
      </c>
      <c r="D2952" s="573" t="s">
        <v>3374</v>
      </c>
      <c r="E2952" s="573" t="s">
        <v>1684</v>
      </c>
      <c r="F2952" s="573" t="s">
        <v>271</v>
      </c>
      <c r="G2952" s="573">
        <v>2019</v>
      </c>
      <c r="H2952" s="573" t="s">
        <v>4879</v>
      </c>
      <c r="I2952" s="573" t="s">
        <v>5120</v>
      </c>
      <c r="J2952" s="573" t="s">
        <v>3377</v>
      </c>
      <c r="K2952" s="573">
        <v>6</v>
      </c>
      <c r="L2952" s="573">
        <v>0</v>
      </c>
      <c r="M2952" s="573" t="s">
        <v>157</v>
      </c>
      <c r="N2952" s="573">
        <v>2</v>
      </c>
      <c r="O2952" s="573" t="s">
        <v>157</v>
      </c>
      <c r="P2952" s="571">
        <v>12900</v>
      </c>
      <c r="Q2952" s="573" t="s">
        <v>4235</v>
      </c>
      <c r="R2952" s="573">
        <v>8</v>
      </c>
      <c r="S2952" s="582" t="s">
        <v>5121</v>
      </c>
      <c r="T2952" s="573" t="s">
        <v>4905</v>
      </c>
      <c r="U2952" s="573">
        <v>168</v>
      </c>
      <c r="V2952" s="573">
        <v>40</v>
      </c>
      <c r="W2952" s="616">
        <v>10900</v>
      </c>
      <c r="X2952" s="617" t="s">
        <v>157</v>
      </c>
      <c r="Y2952" s="617" t="s">
        <v>450</v>
      </c>
      <c r="Z2952" s="617" t="s">
        <v>178</v>
      </c>
      <c r="AA2952" s="618">
        <v>37480</v>
      </c>
      <c r="AB2952" s="618" t="s">
        <v>164</v>
      </c>
      <c r="AC2952" s="618">
        <v>28400</v>
      </c>
      <c r="AD2952" s="619">
        <v>0.01</v>
      </c>
      <c r="AE2952" s="617" t="s">
        <v>5119</v>
      </c>
    </row>
    <row r="2953" spans="1:31" s="572" customFormat="1">
      <c r="A2953" s="570" t="s">
        <v>5125</v>
      </c>
      <c r="B2953" s="569" t="s">
        <v>278</v>
      </c>
      <c r="C2953" s="580">
        <v>15</v>
      </c>
      <c r="D2953" s="569" t="s">
        <v>3374</v>
      </c>
      <c r="E2953" s="569" t="s">
        <v>1684</v>
      </c>
      <c r="F2953" s="569" t="s">
        <v>271</v>
      </c>
      <c r="G2953" s="569">
        <v>2019</v>
      </c>
      <c r="H2953" s="569" t="s">
        <v>4879</v>
      </c>
      <c r="I2953" s="569" t="s">
        <v>5120</v>
      </c>
      <c r="J2953" s="569" t="s">
        <v>3377</v>
      </c>
      <c r="K2953" s="569">
        <v>6</v>
      </c>
      <c r="L2953" s="569">
        <v>0</v>
      </c>
      <c r="M2953" s="569" t="s">
        <v>157</v>
      </c>
      <c r="N2953" s="569">
        <v>2</v>
      </c>
      <c r="O2953" s="569" t="s">
        <v>157</v>
      </c>
      <c r="P2953" s="568">
        <v>12900</v>
      </c>
      <c r="Q2953" s="569" t="s">
        <v>4231</v>
      </c>
      <c r="R2953" s="569">
        <v>8</v>
      </c>
      <c r="S2953" s="569" t="s">
        <v>5121</v>
      </c>
      <c r="T2953" s="569" t="s">
        <v>4905</v>
      </c>
      <c r="U2953" s="569">
        <v>168</v>
      </c>
      <c r="V2953" s="569">
        <v>40</v>
      </c>
      <c r="W2953" s="620">
        <v>11500</v>
      </c>
      <c r="X2953" s="621" t="s">
        <v>157</v>
      </c>
      <c r="Y2953" s="621" t="s">
        <v>728</v>
      </c>
      <c r="Z2953" s="621" t="s">
        <v>1523</v>
      </c>
      <c r="AA2953" s="622">
        <v>46600</v>
      </c>
      <c r="AB2953" s="622" t="s">
        <v>164</v>
      </c>
      <c r="AC2953" s="622">
        <v>36700</v>
      </c>
      <c r="AD2953" s="623">
        <v>0.01</v>
      </c>
      <c r="AE2953" s="621" t="s">
        <v>5123</v>
      </c>
    </row>
    <row r="2954" spans="1:31" s="572" customFormat="1">
      <c r="A2954" s="570" t="s">
        <v>5126</v>
      </c>
      <c r="B2954" s="573" t="s">
        <v>287</v>
      </c>
      <c r="C2954" s="578">
        <v>26</v>
      </c>
      <c r="D2954" s="573" t="s">
        <v>3374</v>
      </c>
      <c r="E2954" s="573" t="s">
        <v>1684</v>
      </c>
      <c r="F2954" s="573" t="s">
        <v>271</v>
      </c>
      <c r="G2954" s="573">
        <v>2019</v>
      </c>
      <c r="H2954" s="573" t="s">
        <v>4879</v>
      </c>
      <c r="I2954" s="573" t="s">
        <v>5120</v>
      </c>
      <c r="J2954" s="573" t="s">
        <v>3377</v>
      </c>
      <c r="K2954" s="573">
        <v>6</v>
      </c>
      <c r="L2954" s="573">
        <v>0</v>
      </c>
      <c r="M2954" s="573" t="s">
        <v>157</v>
      </c>
      <c r="N2954" s="573">
        <v>2</v>
      </c>
      <c r="O2954" s="573" t="s">
        <v>157</v>
      </c>
      <c r="P2954" s="571">
        <v>12900</v>
      </c>
      <c r="Q2954" s="573" t="s">
        <v>4235</v>
      </c>
      <c r="R2954" s="573">
        <v>8</v>
      </c>
      <c r="S2954" s="582" t="s">
        <v>5121</v>
      </c>
      <c r="T2954" s="573" t="s">
        <v>4905</v>
      </c>
      <c r="U2954" s="573">
        <v>168</v>
      </c>
      <c r="V2954" s="573">
        <v>40</v>
      </c>
      <c r="W2954" s="616">
        <v>10900</v>
      </c>
      <c r="X2954" s="617" t="s">
        <v>157</v>
      </c>
      <c r="Y2954" s="617" t="s">
        <v>450</v>
      </c>
      <c r="Z2954" s="617" t="s">
        <v>178</v>
      </c>
      <c r="AA2954" s="618">
        <v>37115</v>
      </c>
      <c r="AB2954" s="618" t="s">
        <v>164</v>
      </c>
      <c r="AC2954" s="618">
        <v>28569</v>
      </c>
      <c r="AD2954" s="619">
        <v>0.05</v>
      </c>
      <c r="AE2954" s="617" t="s">
        <v>5119</v>
      </c>
    </row>
    <row r="2955" spans="1:31" s="572" customFormat="1">
      <c r="A2955" s="570" t="s">
        <v>5127</v>
      </c>
      <c r="B2955" s="569" t="s">
        <v>287</v>
      </c>
      <c r="C2955" s="580">
        <v>26</v>
      </c>
      <c r="D2955" s="569" t="s">
        <v>3374</v>
      </c>
      <c r="E2955" s="569" t="s">
        <v>1684</v>
      </c>
      <c r="F2955" s="569" t="s">
        <v>271</v>
      </c>
      <c r="G2955" s="569">
        <v>2019</v>
      </c>
      <c r="H2955" s="569" t="s">
        <v>4879</v>
      </c>
      <c r="I2955" s="569" t="s">
        <v>5120</v>
      </c>
      <c r="J2955" s="569" t="s">
        <v>3377</v>
      </c>
      <c r="K2955" s="569">
        <v>6</v>
      </c>
      <c r="L2955" s="569">
        <v>0</v>
      </c>
      <c r="M2955" s="569" t="s">
        <v>157</v>
      </c>
      <c r="N2955" s="569">
        <v>2</v>
      </c>
      <c r="O2955" s="569" t="s">
        <v>157</v>
      </c>
      <c r="P2955" s="568">
        <v>12900</v>
      </c>
      <c r="Q2955" s="569" t="s">
        <v>4231</v>
      </c>
      <c r="R2955" s="569">
        <v>8</v>
      </c>
      <c r="S2955" s="569" t="s">
        <v>5121</v>
      </c>
      <c r="T2955" s="569" t="s">
        <v>4905</v>
      </c>
      <c r="U2955" s="569">
        <v>168</v>
      </c>
      <c r="V2955" s="569">
        <v>40</v>
      </c>
      <c r="W2955" s="620">
        <v>11500</v>
      </c>
      <c r="X2955" s="621" t="s">
        <v>157</v>
      </c>
      <c r="Y2955" s="621" t="s">
        <v>728</v>
      </c>
      <c r="Z2955" s="621" t="s">
        <v>1523</v>
      </c>
      <c r="AA2955" s="622">
        <v>46110</v>
      </c>
      <c r="AB2955" s="622" t="s">
        <v>164</v>
      </c>
      <c r="AC2955" s="622">
        <v>36763</v>
      </c>
      <c r="AD2955" s="623">
        <v>0.05</v>
      </c>
      <c r="AE2955" s="621" t="s">
        <v>5123</v>
      </c>
    </row>
    <row r="2956" spans="1:31" s="572" customFormat="1">
      <c r="A2956" s="570" t="s">
        <v>5128</v>
      </c>
      <c r="B2956" s="573" t="s">
        <v>280</v>
      </c>
      <c r="C2956" s="578">
        <v>27</v>
      </c>
      <c r="D2956" s="573" t="s">
        <v>3374</v>
      </c>
      <c r="E2956" s="573" t="s">
        <v>1684</v>
      </c>
      <c r="F2956" s="573" t="s">
        <v>271</v>
      </c>
      <c r="G2956" s="573">
        <v>2019</v>
      </c>
      <c r="H2956" s="573" t="s">
        <v>4879</v>
      </c>
      <c r="I2956" s="573" t="s">
        <v>5120</v>
      </c>
      <c r="J2956" s="573" t="s">
        <v>3377</v>
      </c>
      <c r="K2956" s="573">
        <v>6</v>
      </c>
      <c r="L2956" s="573">
        <v>0</v>
      </c>
      <c r="M2956" s="573" t="s">
        <v>157</v>
      </c>
      <c r="N2956" s="573">
        <v>2</v>
      </c>
      <c r="O2956" s="573" t="s">
        <v>157</v>
      </c>
      <c r="P2956" s="571">
        <v>12800</v>
      </c>
      <c r="Q2956" s="573" t="s">
        <v>4235</v>
      </c>
      <c r="R2956" s="573">
        <v>8</v>
      </c>
      <c r="S2956" s="582" t="s">
        <v>5121</v>
      </c>
      <c r="T2956" s="573" t="s">
        <v>4905</v>
      </c>
      <c r="U2956" s="573">
        <v>168</v>
      </c>
      <c r="V2956" s="573">
        <v>40</v>
      </c>
      <c r="W2956" s="616">
        <v>10900</v>
      </c>
      <c r="X2956" s="617" t="s">
        <v>157</v>
      </c>
      <c r="Y2956" s="617" t="s">
        <v>450</v>
      </c>
      <c r="Z2956" s="617" t="s">
        <v>178</v>
      </c>
      <c r="AA2956" s="618">
        <v>37480</v>
      </c>
      <c r="AB2956" s="618" t="s">
        <v>164</v>
      </c>
      <c r="AC2956" s="618">
        <v>28314.442105263159</v>
      </c>
      <c r="AD2956" s="619">
        <v>0.03</v>
      </c>
      <c r="AE2956" s="617" t="s">
        <v>5119</v>
      </c>
    </row>
    <row r="2957" spans="1:31" s="572" customFormat="1">
      <c r="A2957" s="570" t="s">
        <v>5129</v>
      </c>
      <c r="B2957" s="569" t="s">
        <v>280</v>
      </c>
      <c r="C2957" s="580">
        <v>27</v>
      </c>
      <c r="D2957" s="569" t="s">
        <v>3374</v>
      </c>
      <c r="E2957" s="569" t="s">
        <v>1684</v>
      </c>
      <c r="F2957" s="569" t="s">
        <v>271</v>
      </c>
      <c r="G2957" s="569">
        <v>2019</v>
      </c>
      <c r="H2957" s="569" t="s">
        <v>4879</v>
      </c>
      <c r="I2957" s="569" t="s">
        <v>5120</v>
      </c>
      <c r="J2957" s="569" t="s">
        <v>3377</v>
      </c>
      <c r="K2957" s="569">
        <v>6</v>
      </c>
      <c r="L2957" s="569">
        <v>0</v>
      </c>
      <c r="M2957" s="569" t="s">
        <v>157</v>
      </c>
      <c r="N2957" s="569">
        <v>2</v>
      </c>
      <c r="O2957" s="569" t="s">
        <v>157</v>
      </c>
      <c r="P2957" s="568">
        <v>12800</v>
      </c>
      <c r="Q2957" s="569" t="s">
        <v>4231</v>
      </c>
      <c r="R2957" s="569">
        <v>8</v>
      </c>
      <c r="S2957" s="569" t="s">
        <v>5121</v>
      </c>
      <c r="T2957" s="569" t="s">
        <v>4905</v>
      </c>
      <c r="U2957" s="569">
        <v>168</v>
      </c>
      <c r="V2957" s="569">
        <v>40</v>
      </c>
      <c r="W2957" s="620">
        <v>11500</v>
      </c>
      <c r="X2957" s="621" t="s">
        <v>157</v>
      </c>
      <c r="Y2957" s="621" t="s">
        <v>728</v>
      </c>
      <c r="Z2957" s="621" t="s">
        <v>1523</v>
      </c>
      <c r="AA2957" s="622">
        <v>46600</v>
      </c>
      <c r="AB2957" s="622" t="s">
        <v>164</v>
      </c>
      <c r="AC2957" s="622">
        <v>36506.631578947374</v>
      </c>
      <c r="AD2957" s="623">
        <v>0.03</v>
      </c>
      <c r="AE2957" s="621" t="s">
        <v>5123</v>
      </c>
    </row>
    <row r="2958" spans="1:31" s="572" customFormat="1">
      <c r="A2958" s="570" t="s">
        <v>5130</v>
      </c>
      <c r="B2958" s="573" t="s">
        <v>269</v>
      </c>
      <c r="C2958" s="578" t="s">
        <v>270</v>
      </c>
      <c r="D2958" s="573" t="s">
        <v>3374</v>
      </c>
      <c r="E2958" s="573" t="s">
        <v>1684</v>
      </c>
      <c r="F2958" s="573" t="s">
        <v>271</v>
      </c>
      <c r="G2958" s="573">
        <v>2019</v>
      </c>
      <c r="H2958" s="573" t="s">
        <v>4879</v>
      </c>
      <c r="I2958" s="573" t="s">
        <v>5120</v>
      </c>
      <c r="J2958" s="573" t="s">
        <v>752</v>
      </c>
      <c r="K2958" s="573">
        <v>6</v>
      </c>
      <c r="L2958" s="573">
        <v>0</v>
      </c>
      <c r="M2958" s="573" t="s">
        <v>157</v>
      </c>
      <c r="N2958" s="573">
        <v>2</v>
      </c>
      <c r="O2958" s="573" t="s">
        <v>157</v>
      </c>
      <c r="P2958" s="571">
        <v>12200</v>
      </c>
      <c r="Q2958" s="573" t="s">
        <v>4235</v>
      </c>
      <c r="R2958" s="573">
        <v>8</v>
      </c>
      <c r="S2958" s="582" t="s">
        <v>5132</v>
      </c>
      <c r="T2958" s="573" t="s">
        <v>4905</v>
      </c>
      <c r="U2958" s="573">
        <v>168</v>
      </c>
      <c r="V2958" s="573">
        <v>40</v>
      </c>
      <c r="W2958" s="616">
        <v>11300</v>
      </c>
      <c r="X2958" s="617" t="s">
        <v>157</v>
      </c>
      <c r="Y2958" s="617" t="s">
        <v>450</v>
      </c>
      <c r="Z2958" s="617" t="s">
        <v>178</v>
      </c>
      <c r="AA2958" s="618">
        <v>40980</v>
      </c>
      <c r="AB2958" s="618" t="s">
        <v>164</v>
      </c>
      <c r="AC2958" s="618">
        <v>31548.126315789475</v>
      </c>
      <c r="AD2958" s="619">
        <v>0.03</v>
      </c>
      <c r="AE2958" s="617" t="s">
        <v>5131</v>
      </c>
    </row>
    <row r="2959" spans="1:31" s="572" customFormat="1">
      <c r="A2959" s="570" t="s">
        <v>5133</v>
      </c>
      <c r="B2959" s="569" t="s">
        <v>269</v>
      </c>
      <c r="C2959" s="580" t="s">
        <v>270</v>
      </c>
      <c r="D2959" s="569" t="s">
        <v>3374</v>
      </c>
      <c r="E2959" s="569" t="s">
        <v>1684</v>
      </c>
      <c r="F2959" s="569" t="s">
        <v>271</v>
      </c>
      <c r="G2959" s="569">
        <v>2019</v>
      </c>
      <c r="H2959" s="569" t="s">
        <v>4879</v>
      </c>
      <c r="I2959" s="569" t="s">
        <v>5120</v>
      </c>
      <c r="J2959" s="569" t="s">
        <v>752</v>
      </c>
      <c r="K2959" s="569">
        <v>6</v>
      </c>
      <c r="L2959" s="569">
        <v>0</v>
      </c>
      <c r="M2959" s="569" t="s">
        <v>157</v>
      </c>
      <c r="N2959" s="569">
        <v>2</v>
      </c>
      <c r="O2959" s="569" t="s">
        <v>157</v>
      </c>
      <c r="P2959" s="568">
        <v>12400</v>
      </c>
      <c r="Q2959" s="569" t="s">
        <v>4235</v>
      </c>
      <c r="R2959" s="569">
        <v>8</v>
      </c>
      <c r="S2959" s="569" t="s">
        <v>5132</v>
      </c>
      <c r="T2959" s="569" t="s">
        <v>4905</v>
      </c>
      <c r="U2959" s="569">
        <v>168</v>
      </c>
      <c r="V2959" s="569">
        <v>40</v>
      </c>
      <c r="W2959" s="620">
        <v>11300</v>
      </c>
      <c r="X2959" s="621" t="s">
        <v>157</v>
      </c>
      <c r="Y2959" s="621" t="s">
        <v>450</v>
      </c>
      <c r="Z2959" s="621" t="s">
        <v>178</v>
      </c>
      <c r="AA2959" s="622">
        <v>40980</v>
      </c>
      <c r="AB2959" s="622" t="s">
        <v>164</v>
      </c>
      <c r="AC2959" s="622">
        <v>31548.126315789475</v>
      </c>
      <c r="AD2959" s="623">
        <v>0.03</v>
      </c>
      <c r="AE2959" s="621" t="s">
        <v>5134</v>
      </c>
    </row>
    <row r="2960" spans="1:31" s="572" customFormat="1">
      <c r="A2960" s="570" t="s">
        <v>5135</v>
      </c>
      <c r="B2960" s="573" t="s">
        <v>269</v>
      </c>
      <c r="C2960" s="578" t="s">
        <v>270</v>
      </c>
      <c r="D2960" s="573" t="s">
        <v>3374</v>
      </c>
      <c r="E2960" s="573" t="s">
        <v>1684</v>
      </c>
      <c r="F2960" s="573" t="s">
        <v>271</v>
      </c>
      <c r="G2960" s="573">
        <v>2019</v>
      </c>
      <c r="H2960" s="573" t="s">
        <v>4879</v>
      </c>
      <c r="I2960" s="573" t="s">
        <v>5120</v>
      </c>
      <c r="J2960" s="573" t="s">
        <v>752</v>
      </c>
      <c r="K2960" s="573">
        <v>6</v>
      </c>
      <c r="L2960" s="573">
        <v>0</v>
      </c>
      <c r="M2960" s="573" t="s">
        <v>157</v>
      </c>
      <c r="N2960" s="573">
        <v>2</v>
      </c>
      <c r="O2960" s="573" t="s">
        <v>157</v>
      </c>
      <c r="P2960" s="571">
        <v>12400</v>
      </c>
      <c r="Q2960" s="573" t="s">
        <v>4231</v>
      </c>
      <c r="R2960" s="573">
        <v>8</v>
      </c>
      <c r="S2960" s="582" t="s">
        <v>5132</v>
      </c>
      <c r="T2960" s="573" t="s">
        <v>4905</v>
      </c>
      <c r="U2960" s="573">
        <v>168</v>
      </c>
      <c r="V2960" s="573">
        <v>40</v>
      </c>
      <c r="W2960" s="616">
        <v>11500</v>
      </c>
      <c r="X2960" s="617" t="s">
        <v>157</v>
      </c>
      <c r="Y2960" s="617" t="s">
        <v>728</v>
      </c>
      <c r="Z2960" s="617" t="s">
        <v>1523</v>
      </c>
      <c r="AA2960" s="618">
        <v>50100</v>
      </c>
      <c r="AB2960" s="618" t="s">
        <v>164</v>
      </c>
      <c r="AC2960" s="618">
        <v>39740.315789473687</v>
      </c>
      <c r="AD2960" s="619">
        <v>0.03</v>
      </c>
      <c r="AE2960" s="617" t="s">
        <v>5136</v>
      </c>
    </row>
    <row r="2961" spans="1:31" s="572" customFormat="1">
      <c r="A2961" s="570" t="s">
        <v>5137</v>
      </c>
      <c r="B2961" s="569" t="s">
        <v>278</v>
      </c>
      <c r="C2961" s="580">
        <v>15</v>
      </c>
      <c r="D2961" s="569" t="s">
        <v>3374</v>
      </c>
      <c r="E2961" s="569" t="s">
        <v>1684</v>
      </c>
      <c r="F2961" s="569" t="s">
        <v>271</v>
      </c>
      <c r="G2961" s="569">
        <v>2019</v>
      </c>
      <c r="H2961" s="569" t="s">
        <v>4879</v>
      </c>
      <c r="I2961" s="569" t="s">
        <v>5120</v>
      </c>
      <c r="J2961" s="569" t="s">
        <v>752</v>
      </c>
      <c r="K2961" s="569">
        <v>6</v>
      </c>
      <c r="L2961" s="569">
        <v>0</v>
      </c>
      <c r="M2961" s="569" t="s">
        <v>157</v>
      </c>
      <c r="N2961" s="569">
        <v>2</v>
      </c>
      <c r="O2961" s="569" t="s">
        <v>157</v>
      </c>
      <c r="P2961" s="568">
        <v>12400</v>
      </c>
      <c r="Q2961" s="569" t="s">
        <v>4235</v>
      </c>
      <c r="R2961" s="569">
        <v>8</v>
      </c>
      <c r="S2961" s="569" t="s">
        <v>5132</v>
      </c>
      <c r="T2961" s="569" t="s">
        <v>4905</v>
      </c>
      <c r="U2961" s="569">
        <v>168</v>
      </c>
      <c r="V2961" s="569">
        <v>40</v>
      </c>
      <c r="W2961" s="620">
        <v>11300</v>
      </c>
      <c r="X2961" s="621" t="s">
        <v>157</v>
      </c>
      <c r="Y2961" s="621" t="s">
        <v>450</v>
      </c>
      <c r="Z2961" s="621" t="s">
        <v>178</v>
      </c>
      <c r="AA2961" s="622">
        <v>40980</v>
      </c>
      <c r="AB2961" s="622" t="s">
        <v>164</v>
      </c>
      <c r="AC2961" s="622">
        <v>31700</v>
      </c>
      <c r="AD2961" s="623">
        <v>0.01</v>
      </c>
      <c r="AE2961" s="621" t="s">
        <v>5134</v>
      </c>
    </row>
    <row r="2962" spans="1:31" s="572" customFormat="1">
      <c r="A2962" s="570" t="s">
        <v>5138</v>
      </c>
      <c r="B2962" s="573" t="s">
        <v>278</v>
      </c>
      <c r="C2962" s="578">
        <v>15</v>
      </c>
      <c r="D2962" s="573" t="s">
        <v>3374</v>
      </c>
      <c r="E2962" s="573" t="s">
        <v>1684</v>
      </c>
      <c r="F2962" s="573" t="s">
        <v>271</v>
      </c>
      <c r="G2962" s="573">
        <v>2019</v>
      </c>
      <c r="H2962" s="573" t="s">
        <v>4879</v>
      </c>
      <c r="I2962" s="573" t="s">
        <v>5120</v>
      </c>
      <c r="J2962" s="573" t="s">
        <v>752</v>
      </c>
      <c r="K2962" s="573">
        <v>6</v>
      </c>
      <c r="L2962" s="573">
        <v>0</v>
      </c>
      <c r="M2962" s="573" t="s">
        <v>157</v>
      </c>
      <c r="N2962" s="573">
        <v>2</v>
      </c>
      <c r="O2962" s="573" t="s">
        <v>157</v>
      </c>
      <c r="P2962" s="571">
        <v>12400</v>
      </c>
      <c r="Q2962" s="573" t="s">
        <v>4231</v>
      </c>
      <c r="R2962" s="573">
        <v>8</v>
      </c>
      <c r="S2962" s="582" t="s">
        <v>5132</v>
      </c>
      <c r="T2962" s="573" t="s">
        <v>4905</v>
      </c>
      <c r="U2962" s="573">
        <v>168</v>
      </c>
      <c r="V2962" s="573">
        <v>40</v>
      </c>
      <c r="W2962" s="616">
        <v>11500</v>
      </c>
      <c r="X2962" s="617" t="s">
        <v>157</v>
      </c>
      <c r="Y2962" s="617" t="s">
        <v>728</v>
      </c>
      <c r="Z2962" s="617" t="s">
        <v>1523</v>
      </c>
      <c r="AA2962" s="618">
        <v>50100</v>
      </c>
      <c r="AB2962" s="618" t="s">
        <v>164</v>
      </c>
      <c r="AC2962" s="618">
        <v>39950</v>
      </c>
      <c r="AD2962" s="619">
        <v>0.01</v>
      </c>
      <c r="AE2962" s="617" t="s">
        <v>5136</v>
      </c>
    </row>
    <row r="2963" spans="1:31" s="572" customFormat="1">
      <c r="A2963" s="570" t="s">
        <v>5139</v>
      </c>
      <c r="B2963" s="569" t="s">
        <v>287</v>
      </c>
      <c r="C2963" s="580">
        <v>26</v>
      </c>
      <c r="D2963" s="569" t="s">
        <v>3374</v>
      </c>
      <c r="E2963" s="569" t="s">
        <v>1684</v>
      </c>
      <c r="F2963" s="569" t="s">
        <v>271</v>
      </c>
      <c r="G2963" s="569">
        <v>2019</v>
      </c>
      <c r="H2963" s="569" t="s">
        <v>4879</v>
      </c>
      <c r="I2963" s="569" t="s">
        <v>5120</v>
      </c>
      <c r="J2963" s="569" t="s">
        <v>752</v>
      </c>
      <c r="K2963" s="569">
        <v>6</v>
      </c>
      <c r="L2963" s="569">
        <v>0</v>
      </c>
      <c r="M2963" s="569" t="s">
        <v>157</v>
      </c>
      <c r="N2963" s="569">
        <v>2</v>
      </c>
      <c r="O2963" s="569" t="s">
        <v>157</v>
      </c>
      <c r="P2963" s="568">
        <v>12400</v>
      </c>
      <c r="Q2963" s="569" t="s">
        <v>4235</v>
      </c>
      <c r="R2963" s="569">
        <v>8</v>
      </c>
      <c r="S2963" s="569" t="s">
        <v>5132</v>
      </c>
      <c r="T2963" s="569" t="s">
        <v>4905</v>
      </c>
      <c r="U2963" s="569">
        <v>168</v>
      </c>
      <c r="V2963" s="569">
        <v>40</v>
      </c>
      <c r="W2963" s="620">
        <v>11300</v>
      </c>
      <c r="X2963" s="621" t="s">
        <v>157</v>
      </c>
      <c r="Y2963" s="621" t="s">
        <v>450</v>
      </c>
      <c r="Z2963" s="621" t="s">
        <v>178</v>
      </c>
      <c r="AA2963" s="622">
        <v>40615</v>
      </c>
      <c r="AB2963" s="622" t="s">
        <v>164</v>
      </c>
      <c r="AC2963" s="622">
        <v>31851</v>
      </c>
      <c r="AD2963" s="623">
        <v>0.05</v>
      </c>
      <c r="AE2963" s="621" t="s">
        <v>5134</v>
      </c>
    </row>
    <row r="2964" spans="1:31" s="572" customFormat="1">
      <c r="A2964" s="570" t="s">
        <v>5140</v>
      </c>
      <c r="B2964" s="573" t="s">
        <v>287</v>
      </c>
      <c r="C2964" s="578">
        <v>26</v>
      </c>
      <c r="D2964" s="573" t="s">
        <v>3374</v>
      </c>
      <c r="E2964" s="573" t="s">
        <v>1684</v>
      </c>
      <c r="F2964" s="573" t="s">
        <v>271</v>
      </c>
      <c r="G2964" s="573">
        <v>2019</v>
      </c>
      <c r="H2964" s="573" t="s">
        <v>4879</v>
      </c>
      <c r="I2964" s="573" t="s">
        <v>5120</v>
      </c>
      <c r="J2964" s="573" t="s">
        <v>752</v>
      </c>
      <c r="K2964" s="573">
        <v>6</v>
      </c>
      <c r="L2964" s="573">
        <v>0</v>
      </c>
      <c r="M2964" s="573" t="s">
        <v>157</v>
      </c>
      <c r="N2964" s="573">
        <v>2</v>
      </c>
      <c r="O2964" s="573" t="s">
        <v>157</v>
      </c>
      <c r="P2964" s="571">
        <v>12400</v>
      </c>
      <c r="Q2964" s="573" t="s">
        <v>4231</v>
      </c>
      <c r="R2964" s="573">
        <v>8</v>
      </c>
      <c r="S2964" s="582" t="s">
        <v>5132</v>
      </c>
      <c r="T2964" s="573" t="s">
        <v>4905</v>
      </c>
      <c r="U2964" s="573">
        <v>168</v>
      </c>
      <c r="V2964" s="573">
        <v>40</v>
      </c>
      <c r="W2964" s="616">
        <v>11500</v>
      </c>
      <c r="X2964" s="617" t="s">
        <v>157</v>
      </c>
      <c r="Y2964" s="617" t="s">
        <v>728</v>
      </c>
      <c r="Z2964" s="617" t="s">
        <v>1523</v>
      </c>
      <c r="AA2964" s="618">
        <v>50100</v>
      </c>
      <c r="AB2964" s="618" t="s">
        <v>164</v>
      </c>
      <c r="AC2964" s="618">
        <v>40046</v>
      </c>
      <c r="AD2964" s="619">
        <v>0.05</v>
      </c>
      <c r="AE2964" s="617" t="s">
        <v>5136</v>
      </c>
    </row>
    <row r="2965" spans="1:31" s="572" customFormat="1">
      <c r="A2965" s="570" t="s">
        <v>5141</v>
      </c>
      <c r="B2965" s="569" t="s">
        <v>280</v>
      </c>
      <c r="C2965" s="580">
        <v>27</v>
      </c>
      <c r="D2965" s="569" t="s">
        <v>3374</v>
      </c>
      <c r="E2965" s="569" t="s">
        <v>1684</v>
      </c>
      <c r="F2965" s="569" t="s">
        <v>271</v>
      </c>
      <c r="G2965" s="569">
        <v>2019</v>
      </c>
      <c r="H2965" s="569" t="s">
        <v>4879</v>
      </c>
      <c r="I2965" s="569" t="s">
        <v>5120</v>
      </c>
      <c r="J2965" s="569" t="s">
        <v>752</v>
      </c>
      <c r="K2965" s="569">
        <v>6</v>
      </c>
      <c r="L2965" s="569">
        <v>0</v>
      </c>
      <c r="M2965" s="569" t="s">
        <v>157</v>
      </c>
      <c r="N2965" s="569">
        <v>2</v>
      </c>
      <c r="O2965" s="569" t="s">
        <v>157</v>
      </c>
      <c r="P2965" s="568">
        <v>12200</v>
      </c>
      <c r="Q2965" s="569" t="s">
        <v>4235</v>
      </c>
      <c r="R2965" s="569">
        <v>8</v>
      </c>
      <c r="S2965" s="569" t="s">
        <v>5132</v>
      </c>
      <c r="T2965" s="569" t="s">
        <v>4905</v>
      </c>
      <c r="U2965" s="569">
        <v>168</v>
      </c>
      <c r="V2965" s="569">
        <v>40</v>
      </c>
      <c r="W2965" s="620">
        <v>11300</v>
      </c>
      <c r="X2965" s="621" t="s">
        <v>157</v>
      </c>
      <c r="Y2965" s="621" t="s">
        <v>450</v>
      </c>
      <c r="Z2965" s="621" t="s">
        <v>178</v>
      </c>
      <c r="AA2965" s="622">
        <v>40980</v>
      </c>
      <c r="AB2965" s="622" t="s">
        <v>164</v>
      </c>
      <c r="AC2965" s="622">
        <v>31548.126315789475</v>
      </c>
      <c r="AD2965" s="623">
        <v>0.03</v>
      </c>
      <c r="AE2965" s="621" t="s">
        <v>5131</v>
      </c>
    </row>
    <row r="2966" spans="1:31" s="572" customFormat="1">
      <c r="A2966" s="570" t="s">
        <v>5142</v>
      </c>
      <c r="B2966" s="573" t="s">
        <v>280</v>
      </c>
      <c r="C2966" s="578">
        <v>27</v>
      </c>
      <c r="D2966" s="573" t="s">
        <v>3374</v>
      </c>
      <c r="E2966" s="573" t="s">
        <v>1684</v>
      </c>
      <c r="F2966" s="573" t="s">
        <v>271</v>
      </c>
      <c r="G2966" s="573">
        <v>2019</v>
      </c>
      <c r="H2966" s="573" t="s">
        <v>4879</v>
      </c>
      <c r="I2966" s="573" t="s">
        <v>5120</v>
      </c>
      <c r="J2966" s="573" t="s">
        <v>752</v>
      </c>
      <c r="K2966" s="573">
        <v>6</v>
      </c>
      <c r="L2966" s="573">
        <v>0</v>
      </c>
      <c r="M2966" s="573" t="s">
        <v>157</v>
      </c>
      <c r="N2966" s="573">
        <v>2</v>
      </c>
      <c r="O2966" s="573" t="s">
        <v>157</v>
      </c>
      <c r="P2966" s="571">
        <v>12400</v>
      </c>
      <c r="Q2966" s="573" t="s">
        <v>4235</v>
      </c>
      <c r="R2966" s="573">
        <v>8</v>
      </c>
      <c r="S2966" s="582" t="s">
        <v>5132</v>
      </c>
      <c r="T2966" s="573" t="s">
        <v>4905</v>
      </c>
      <c r="U2966" s="573">
        <v>168</v>
      </c>
      <c r="V2966" s="573">
        <v>40</v>
      </c>
      <c r="W2966" s="616">
        <v>11300</v>
      </c>
      <c r="X2966" s="617" t="s">
        <v>157</v>
      </c>
      <c r="Y2966" s="617" t="s">
        <v>450</v>
      </c>
      <c r="Z2966" s="617" t="s">
        <v>178</v>
      </c>
      <c r="AA2966" s="618">
        <v>40980</v>
      </c>
      <c r="AB2966" s="618" t="s">
        <v>164</v>
      </c>
      <c r="AC2966" s="618">
        <v>31548.126315789475</v>
      </c>
      <c r="AD2966" s="619">
        <v>0.03</v>
      </c>
      <c r="AE2966" s="617" t="s">
        <v>5134</v>
      </c>
    </row>
    <row r="2967" spans="1:31" s="572" customFormat="1">
      <c r="A2967" s="570" t="s">
        <v>5143</v>
      </c>
      <c r="B2967" s="569" t="s">
        <v>280</v>
      </c>
      <c r="C2967" s="580">
        <v>27</v>
      </c>
      <c r="D2967" s="569" t="s">
        <v>3374</v>
      </c>
      <c r="E2967" s="569" t="s">
        <v>1684</v>
      </c>
      <c r="F2967" s="569" t="s">
        <v>271</v>
      </c>
      <c r="G2967" s="569">
        <v>2019</v>
      </c>
      <c r="H2967" s="569" t="s">
        <v>4879</v>
      </c>
      <c r="I2967" s="569" t="s">
        <v>5120</v>
      </c>
      <c r="J2967" s="569" t="s">
        <v>752</v>
      </c>
      <c r="K2967" s="569">
        <v>6</v>
      </c>
      <c r="L2967" s="569">
        <v>0</v>
      </c>
      <c r="M2967" s="569" t="s">
        <v>157</v>
      </c>
      <c r="N2967" s="569">
        <v>2</v>
      </c>
      <c r="O2967" s="569" t="s">
        <v>157</v>
      </c>
      <c r="P2967" s="568">
        <v>12400</v>
      </c>
      <c r="Q2967" s="569" t="s">
        <v>4231</v>
      </c>
      <c r="R2967" s="569">
        <v>8</v>
      </c>
      <c r="S2967" s="569" t="s">
        <v>5132</v>
      </c>
      <c r="T2967" s="569" t="s">
        <v>4905</v>
      </c>
      <c r="U2967" s="569">
        <v>168</v>
      </c>
      <c r="V2967" s="569">
        <v>40</v>
      </c>
      <c r="W2967" s="620">
        <v>11500</v>
      </c>
      <c r="X2967" s="621" t="s">
        <v>157</v>
      </c>
      <c r="Y2967" s="621" t="s">
        <v>728</v>
      </c>
      <c r="Z2967" s="621" t="s">
        <v>1523</v>
      </c>
      <c r="AA2967" s="622">
        <v>50100</v>
      </c>
      <c r="AB2967" s="622" t="s">
        <v>164</v>
      </c>
      <c r="AC2967" s="622">
        <v>39740.315789473687</v>
      </c>
      <c r="AD2967" s="623">
        <v>0.03</v>
      </c>
      <c r="AE2967" s="621" t="s">
        <v>5136</v>
      </c>
    </row>
    <row r="2968" spans="1:31" s="572" customFormat="1">
      <c r="A2968" s="570" t="s">
        <v>5144</v>
      </c>
      <c r="B2968" s="573" t="s">
        <v>269</v>
      </c>
      <c r="C2968" s="578" t="s">
        <v>270</v>
      </c>
      <c r="D2968" s="573" t="s">
        <v>3374</v>
      </c>
      <c r="E2968" s="573" t="s">
        <v>1684</v>
      </c>
      <c r="F2968" s="573" t="s">
        <v>271</v>
      </c>
      <c r="G2968" s="573">
        <v>2019</v>
      </c>
      <c r="H2968" s="573" t="s">
        <v>4879</v>
      </c>
      <c r="I2968" s="573" t="s">
        <v>4858</v>
      </c>
      <c r="J2968" s="573" t="s">
        <v>3377</v>
      </c>
      <c r="K2968" s="573">
        <v>6</v>
      </c>
      <c r="L2968" s="573">
        <v>0</v>
      </c>
      <c r="M2968" s="573" t="s">
        <v>157</v>
      </c>
      <c r="N2968" s="573">
        <v>2</v>
      </c>
      <c r="O2968" s="573" t="s">
        <v>157</v>
      </c>
      <c r="P2968" s="571">
        <v>12900</v>
      </c>
      <c r="Q2968" s="573" t="s">
        <v>4235</v>
      </c>
      <c r="R2968" s="573">
        <v>8</v>
      </c>
      <c r="S2968" s="582" t="s">
        <v>5098</v>
      </c>
      <c r="T2968" s="573" t="s">
        <v>4928</v>
      </c>
      <c r="U2968" s="573">
        <v>168</v>
      </c>
      <c r="V2968" s="573">
        <v>40</v>
      </c>
      <c r="W2968" s="616">
        <v>14000</v>
      </c>
      <c r="X2968" s="617" t="s">
        <v>157</v>
      </c>
      <c r="Y2968" s="617" t="s">
        <v>450</v>
      </c>
      <c r="Z2968" s="617" t="s">
        <v>178</v>
      </c>
      <c r="AA2968" s="618">
        <v>42315</v>
      </c>
      <c r="AB2968" s="618" t="s">
        <v>164</v>
      </c>
      <c r="AC2968" s="618">
        <v>38015.789473684214</v>
      </c>
      <c r="AD2968" s="619">
        <v>0.03</v>
      </c>
      <c r="AE2968" s="617" t="s">
        <v>5145</v>
      </c>
    </row>
    <row r="2969" spans="1:31" s="572" customFormat="1">
      <c r="A2969" s="570" t="s">
        <v>5146</v>
      </c>
      <c r="B2969" s="569" t="s">
        <v>269</v>
      </c>
      <c r="C2969" s="580" t="s">
        <v>270</v>
      </c>
      <c r="D2969" s="569" t="s">
        <v>3374</v>
      </c>
      <c r="E2969" s="569" t="s">
        <v>1684</v>
      </c>
      <c r="F2969" s="569" t="s">
        <v>271</v>
      </c>
      <c r="G2969" s="569">
        <v>2019</v>
      </c>
      <c r="H2969" s="569" t="s">
        <v>4879</v>
      </c>
      <c r="I2969" s="569" t="s">
        <v>4858</v>
      </c>
      <c r="J2969" s="569" t="s">
        <v>3377</v>
      </c>
      <c r="K2969" s="569">
        <v>6</v>
      </c>
      <c r="L2969" s="569">
        <v>0</v>
      </c>
      <c r="M2969" s="569" t="s">
        <v>157</v>
      </c>
      <c r="N2969" s="569">
        <v>2</v>
      </c>
      <c r="O2969" s="569" t="s">
        <v>157</v>
      </c>
      <c r="P2969" s="568">
        <v>12900</v>
      </c>
      <c r="Q2969" s="569" t="s">
        <v>4231</v>
      </c>
      <c r="R2969" s="569">
        <v>8</v>
      </c>
      <c r="S2969" s="569" t="s">
        <v>5098</v>
      </c>
      <c r="T2969" s="569" t="s">
        <v>4928</v>
      </c>
      <c r="U2969" s="569">
        <v>168</v>
      </c>
      <c r="V2969" s="569">
        <v>40</v>
      </c>
      <c r="W2969" s="620">
        <v>14000</v>
      </c>
      <c r="X2969" s="621" t="s">
        <v>157</v>
      </c>
      <c r="Y2969" s="621" t="s">
        <v>728</v>
      </c>
      <c r="Z2969" s="621" t="s">
        <v>1523</v>
      </c>
      <c r="AA2969" s="622">
        <v>51435</v>
      </c>
      <c r="AB2969" s="622" t="s">
        <v>164</v>
      </c>
      <c r="AC2969" s="622">
        <v>40972.947368421061</v>
      </c>
      <c r="AD2969" s="623">
        <v>0.03</v>
      </c>
      <c r="AE2969" s="621" t="s">
        <v>5147</v>
      </c>
    </row>
    <row r="2970" spans="1:31" s="572" customFormat="1">
      <c r="A2970" s="570" t="s">
        <v>5148</v>
      </c>
      <c r="B2970" s="573" t="s">
        <v>278</v>
      </c>
      <c r="C2970" s="578">
        <v>15</v>
      </c>
      <c r="D2970" s="573" t="s">
        <v>3374</v>
      </c>
      <c r="E2970" s="573" t="s">
        <v>1684</v>
      </c>
      <c r="F2970" s="573" t="s">
        <v>271</v>
      </c>
      <c r="G2970" s="573">
        <v>2019</v>
      </c>
      <c r="H2970" s="573" t="s">
        <v>4879</v>
      </c>
      <c r="I2970" s="573" t="s">
        <v>4858</v>
      </c>
      <c r="J2970" s="573" t="s">
        <v>3377</v>
      </c>
      <c r="K2970" s="573">
        <v>6</v>
      </c>
      <c r="L2970" s="573">
        <v>0</v>
      </c>
      <c r="M2970" s="573" t="s">
        <v>157</v>
      </c>
      <c r="N2970" s="573">
        <v>2</v>
      </c>
      <c r="O2970" s="573" t="s">
        <v>157</v>
      </c>
      <c r="P2970" s="571">
        <v>13000</v>
      </c>
      <c r="Q2970" s="573" t="s">
        <v>4235</v>
      </c>
      <c r="R2970" s="573">
        <v>8</v>
      </c>
      <c r="S2970" s="582" t="s">
        <v>5098</v>
      </c>
      <c r="T2970" s="573" t="s">
        <v>4928</v>
      </c>
      <c r="U2970" s="573">
        <v>168</v>
      </c>
      <c r="V2970" s="573">
        <v>40</v>
      </c>
      <c r="W2970" s="616">
        <v>14000</v>
      </c>
      <c r="X2970" s="617" t="s">
        <v>157</v>
      </c>
      <c r="Y2970" s="617" t="s">
        <v>450</v>
      </c>
      <c r="Z2970" s="617" t="s">
        <v>178</v>
      </c>
      <c r="AA2970" s="618">
        <v>42315</v>
      </c>
      <c r="AB2970" s="618" t="s">
        <v>164</v>
      </c>
      <c r="AC2970" s="618">
        <v>32950</v>
      </c>
      <c r="AD2970" s="619">
        <v>0.01</v>
      </c>
      <c r="AE2970" s="617" t="s">
        <v>5145</v>
      </c>
    </row>
    <row r="2971" spans="1:31" s="572" customFormat="1">
      <c r="A2971" s="570" t="s">
        <v>5149</v>
      </c>
      <c r="B2971" s="569" t="s">
        <v>278</v>
      </c>
      <c r="C2971" s="580">
        <v>15</v>
      </c>
      <c r="D2971" s="569" t="s">
        <v>3374</v>
      </c>
      <c r="E2971" s="569" t="s">
        <v>1684</v>
      </c>
      <c r="F2971" s="569" t="s">
        <v>271</v>
      </c>
      <c r="G2971" s="569">
        <v>2019</v>
      </c>
      <c r="H2971" s="569" t="s">
        <v>4879</v>
      </c>
      <c r="I2971" s="569" t="s">
        <v>4858</v>
      </c>
      <c r="J2971" s="569" t="s">
        <v>3377</v>
      </c>
      <c r="K2971" s="569">
        <v>6</v>
      </c>
      <c r="L2971" s="569">
        <v>0</v>
      </c>
      <c r="M2971" s="569" t="s">
        <v>157</v>
      </c>
      <c r="N2971" s="569">
        <v>2</v>
      </c>
      <c r="O2971" s="569" t="s">
        <v>157</v>
      </c>
      <c r="P2971" s="568">
        <v>13000</v>
      </c>
      <c r="Q2971" s="569" t="s">
        <v>4231</v>
      </c>
      <c r="R2971" s="569">
        <v>8</v>
      </c>
      <c r="S2971" s="569" t="s">
        <v>5098</v>
      </c>
      <c r="T2971" s="569" t="s">
        <v>4928</v>
      </c>
      <c r="U2971" s="569">
        <v>168</v>
      </c>
      <c r="V2971" s="569">
        <v>40</v>
      </c>
      <c r="W2971" s="620">
        <v>14000</v>
      </c>
      <c r="X2971" s="621" t="s">
        <v>157</v>
      </c>
      <c r="Y2971" s="621" t="s">
        <v>728</v>
      </c>
      <c r="Z2971" s="621" t="s">
        <v>1523</v>
      </c>
      <c r="AA2971" s="622">
        <v>51435</v>
      </c>
      <c r="AB2971" s="622" t="s">
        <v>164</v>
      </c>
      <c r="AC2971" s="622">
        <v>41200</v>
      </c>
      <c r="AD2971" s="623">
        <v>0.01</v>
      </c>
      <c r="AE2971" s="621" t="s">
        <v>5147</v>
      </c>
    </row>
    <row r="2972" spans="1:31" s="572" customFormat="1">
      <c r="A2972" s="570" t="s">
        <v>5150</v>
      </c>
      <c r="B2972" s="573" t="s">
        <v>287</v>
      </c>
      <c r="C2972" s="578">
        <v>26</v>
      </c>
      <c r="D2972" s="573" t="s">
        <v>3374</v>
      </c>
      <c r="E2972" s="573" t="s">
        <v>1684</v>
      </c>
      <c r="F2972" s="573" t="s">
        <v>271</v>
      </c>
      <c r="G2972" s="573">
        <v>2019</v>
      </c>
      <c r="H2972" s="573" t="s">
        <v>4879</v>
      </c>
      <c r="I2972" s="573" t="s">
        <v>4858</v>
      </c>
      <c r="J2972" s="573" t="s">
        <v>3377</v>
      </c>
      <c r="K2972" s="573">
        <v>6</v>
      </c>
      <c r="L2972" s="573">
        <v>0</v>
      </c>
      <c r="M2972" s="573" t="s">
        <v>157</v>
      </c>
      <c r="N2972" s="573">
        <v>2</v>
      </c>
      <c r="O2972" s="573" t="s">
        <v>157</v>
      </c>
      <c r="P2972" s="571">
        <v>13000</v>
      </c>
      <c r="Q2972" s="573" t="s">
        <v>4235</v>
      </c>
      <c r="R2972" s="573">
        <v>8</v>
      </c>
      <c r="S2972" s="582" t="s">
        <v>5098</v>
      </c>
      <c r="T2972" s="573" t="s">
        <v>4928</v>
      </c>
      <c r="U2972" s="573">
        <v>168</v>
      </c>
      <c r="V2972" s="573">
        <v>40</v>
      </c>
      <c r="W2972" s="616">
        <v>14000</v>
      </c>
      <c r="X2972" s="617" t="s">
        <v>157</v>
      </c>
      <c r="Y2972" s="617" t="s">
        <v>450</v>
      </c>
      <c r="Z2972" s="617" t="s">
        <v>178</v>
      </c>
      <c r="AA2972" s="618">
        <v>41865</v>
      </c>
      <c r="AB2972" s="618" t="s">
        <v>164</v>
      </c>
      <c r="AC2972" s="618">
        <v>32996</v>
      </c>
      <c r="AD2972" s="619">
        <v>0.05</v>
      </c>
      <c r="AE2972" s="617" t="s">
        <v>5145</v>
      </c>
    </row>
    <row r="2973" spans="1:31" s="572" customFormat="1">
      <c r="A2973" s="570" t="s">
        <v>5151</v>
      </c>
      <c r="B2973" s="569" t="s">
        <v>287</v>
      </c>
      <c r="C2973" s="580">
        <v>26</v>
      </c>
      <c r="D2973" s="569" t="s">
        <v>3374</v>
      </c>
      <c r="E2973" s="569" t="s">
        <v>1684</v>
      </c>
      <c r="F2973" s="569" t="s">
        <v>271</v>
      </c>
      <c r="G2973" s="569">
        <v>2019</v>
      </c>
      <c r="H2973" s="569" t="s">
        <v>4879</v>
      </c>
      <c r="I2973" s="569" t="s">
        <v>4858</v>
      </c>
      <c r="J2973" s="569" t="s">
        <v>3377</v>
      </c>
      <c r="K2973" s="569">
        <v>6</v>
      </c>
      <c r="L2973" s="569">
        <v>0</v>
      </c>
      <c r="M2973" s="569" t="s">
        <v>157</v>
      </c>
      <c r="N2973" s="569">
        <v>2</v>
      </c>
      <c r="O2973" s="569" t="s">
        <v>157</v>
      </c>
      <c r="P2973" s="568">
        <v>13000</v>
      </c>
      <c r="Q2973" s="569" t="s">
        <v>4231</v>
      </c>
      <c r="R2973" s="569">
        <v>8</v>
      </c>
      <c r="S2973" s="569" t="s">
        <v>5098</v>
      </c>
      <c r="T2973" s="569" t="s">
        <v>4928</v>
      </c>
      <c r="U2973" s="569">
        <v>168</v>
      </c>
      <c r="V2973" s="569">
        <v>40</v>
      </c>
      <c r="W2973" s="620">
        <v>14000</v>
      </c>
      <c r="X2973" s="621" t="s">
        <v>157</v>
      </c>
      <c r="Y2973" s="621" t="s">
        <v>728</v>
      </c>
      <c r="Z2973" s="621" t="s">
        <v>1523</v>
      </c>
      <c r="AA2973" s="622">
        <v>50860</v>
      </c>
      <c r="AB2973" s="622" t="s">
        <v>164</v>
      </c>
      <c r="AC2973" s="622">
        <v>41191</v>
      </c>
      <c r="AD2973" s="623">
        <v>0.05</v>
      </c>
      <c r="AE2973" s="621" t="s">
        <v>5147</v>
      </c>
    </row>
    <row r="2974" spans="1:31" s="572" customFormat="1">
      <c r="A2974" s="570" t="s">
        <v>5152</v>
      </c>
      <c r="B2974" s="573" t="s">
        <v>280</v>
      </c>
      <c r="C2974" s="578">
        <v>27</v>
      </c>
      <c r="D2974" s="573" t="s">
        <v>3374</v>
      </c>
      <c r="E2974" s="573" t="s">
        <v>1684</v>
      </c>
      <c r="F2974" s="573" t="s">
        <v>271</v>
      </c>
      <c r="G2974" s="573">
        <v>2019</v>
      </c>
      <c r="H2974" s="573" t="s">
        <v>4879</v>
      </c>
      <c r="I2974" s="573" t="s">
        <v>4858</v>
      </c>
      <c r="J2974" s="573" t="s">
        <v>3377</v>
      </c>
      <c r="K2974" s="573">
        <v>6</v>
      </c>
      <c r="L2974" s="573">
        <v>0</v>
      </c>
      <c r="M2974" s="573" t="s">
        <v>157</v>
      </c>
      <c r="N2974" s="573">
        <v>2</v>
      </c>
      <c r="O2974" s="573" t="s">
        <v>157</v>
      </c>
      <c r="P2974" s="571">
        <v>12900</v>
      </c>
      <c r="Q2974" s="573" t="s">
        <v>4235</v>
      </c>
      <c r="R2974" s="573">
        <v>8</v>
      </c>
      <c r="S2974" s="582" t="s">
        <v>5098</v>
      </c>
      <c r="T2974" s="573" t="s">
        <v>4928</v>
      </c>
      <c r="U2974" s="573">
        <v>168</v>
      </c>
      <c r="V2974" s="573">
        <v>40</v>
      </c>
      <c r="W2974" s="616">
        <v>14000</v>
      </c>
      <c r="X2974" s="617" t="s">
        <v>157</v>
      </c>
      <c r="Y2974" s="617" t="s">
        <v>450</v>
      </c>
      <c r="Z2974" s="617" t="s">
        <v>178</v>
      </c>
      <c r="AA2974" s="618">
        <v>42315</v>
      </c>
      <c r="AB2974" s="618" t="s">
        <v>164</v>
      </c>
      <c r="AC2974" s="618">
        <v>38015.789473684214</v>
      </c>
      <c r="AD2974" s="619">
        <v>0.03</v>
      </c>
      <c r="AE2974" s="617" t="s">
        <v>5145</v>
      </c>
    </row>
    <row r="2975" spans="1:31" s="572" customFormat="1">
      <c r="A2975" s="570" t="s">
        <v>5153</v>
      </c>
      <c r="B2975" s="569" t="s">
        <v>280</v>
      </c>
      <c r="C2975" s="580">
        <v>27</v>
      </c>
      <c r="D2975" s="569" t="s">
        <v>3374</v>
      </c>
      <c r="E2975" s="569" t="s">
        <v>1684</v>
      </c>
      <c r="F2975" s="569" t="s">
        <v>271</v>
      </c>
      <c r="G2975" s="569">
        <v>2019</v>
      </c>
      <c r="H2975" s="569" t="s">
        <v>4879</v>
      </c>
      <c r="I2975" s="569" t="s">
        <v>4858</v>
      </c>
      <c r="J2975" s="569" t="s">
        <v>3377</v>
      </c>
      <c r="K2975" s="569">
        <v>6</v>
      </c>
      <c r="L2975" s="569">
        <v>0</v>
      </c>
      <c r="M2975" s="569" t="s">
        <v>157</v>
      </c>
      <c r="N2975" s="569">
        <v>2</v>
      </c>
      <c r="O2975" s="569" t="s">
        <v>157</v>
      </c>
      <c r="P2975" s="568">
        <v>12900</v>
      </c>
      <c r="Q2975" s="569" t="s">
        <v>4231</v>
      </c>
      <c r="R2975" s="569">
        <v>8</v>
      </c>
      <c r="S2975" s="569" t="s">
        <v>5098</v>
      </c>
      <c r="T2975" s="569" t="s">
        <v>4928</v>
      </c>
      <c r="U2975" s="569">
        <v>168</v>
      </c>
      <c r="V2975" s="569">
        <v>40</v>
      </c>
      <c r="W2975" s="620">
        <v>14000</v>
      </c>
      <c r="X2975" s="621" t="s">
        <v>157</v>
      </c>
      <c r="Y2975" s="621" t="s">
        <v>728</v>
      </c>
      <c r="Z2975" s="621" t="s">
        <v>1523</v>
      </c>
      <c r="AA2975" s="622">
        <v>51435</v>
      </c>
      <c r="AB2975" s="622" t="s">
        <v>164</v>
      </c>
      <c r="AC2975" s="622">
        <v>40972.947368421061</v>
      </c>
      <c r="AD2975" s="623">
        <v>0.03</v>
      </c>
      <c r="AE2975" s="621" t="s">
        <v>5147</v>
      </c>
    </row>
    <row r="2976" spans="1:31" s="572" customFormat="1">
      <c r="A2976" s="570" t="s">
        <v>5154</v>
      </c>
      <c r="B2976" s="573" t="s">
        <v>269</v>
      </c>
      <c r="C2976" s="578" t="s">
        <v>270</v>
      </c>
      <c r="D2976" s="573" t="s">
        <v>3374</v>
      </c>
      <c r="E2976" s="573" t="s">
        <v>1684</v>
      </c>
      <c r="F2976" s="573" t="s">
        <v>271</v>
      </c>
      <c r="G2976" s="573">
        <v>2019</v>
      </c>
      <c r="H2976" s="573" t="s">
        <v>4879</v>
      </c>
      <c r="I2976" s="573" t="s">
        <v>4858</v>
      </c>
      <c r="J2976" s="573" t="s">
        <v>752</v>
      </c>
      <c r="K2976" s="573">
        <v>6</v>
      </c>
      <c r="L2976" s="573">
        <v>0</v>
      </c>
      <c r="M2976" s="573" t="s">
        <v>157</v>
      </c>
      <c r="N2976" s="573">
        <v>2</v>
      </c>
      <c r="O2976" s="573" t="s">
        <v>157</v>
      </c>
      <c r="P2976" s="571">
        <v>12500</v>
      </c>
      <c r="Q2976" s="573" t="s">
        <v>4235</v>
      </c>
      <c r="R2976" s="573">
        <v>8</v>
      </c>
      <c r="S2976" s="582" t="s">
        <v>5109</v>
      </c>
      <c r="T2976" s="573" t="s">
        <v>4928</v>
      </c>
      <c r="U2976" s="573">
        <v>168</v>
      </c>
      <c r="V2976" s="573">
        <v>40</v>
      </c>
      <c r="W2976" s="616">
        <v>14000</v>
      </c>
      <c r="X2976" s="617" t="s">
        <v>157</v>
      </c>
      <c r="Y2976" s="617" t="s">
        <v>450</v>
      </c>
      <c r="Z2976" s="617" t="s">
        <v>178</v>
      </c>
      <c r="AA2976" s="618">
        <v>45820</v>
      </c>
      <c r="AB2976" s="618" t="s">
        <v>164</v>
      </c>
      <c r="AC2976" s="618">
        <v>36018.652631578952</v>
      </c>
      <c r="AD2976" s="619">
        <v>0.03</v>
      </c>
      <c r="AE2976" s="617" t="s">
        <v>5155</v>
      </c>
    </row>
    <row r="2977" spans="1:31" s="572" customFormat="1">
      <c r="A2977" s="570" t="s">
        <v>5156</v>
      </c>
      <c r="B2977" s="569" t="s">
        <v>269</v>
      </c>
      <c r="C2977" s="580" t="s">
        <v>270</v>
      </c>
      <c r="D2977" s="569" t="s">
        <v>3374</v>
      </c>
      <c r="E2977" s="569" t="s">
        <v>1684</v>
      </c>
      <c r="F2977" s="569" t="s">
        <v>271</v>
      </c>
      <c r="G2977" s="569">
        <v>2019</v>
      </c>
      <c r="H2977" s="569" t="s">
        <v>4879</v>
      </c>
      <c r="I2977" s="569" t="s">
        <v>4858</v>
      </c>
      <c r="J2977" s="569" t="s">
        <v>752</v>
      </c>
      <c r="K2977" s="569">
        <v>6</v>
      </c>
      <c r="L2977" s="569">
        <v>0</v>
      </c>
      <c r="M2977" s="569" t="s">
        <v>157</v>
      </c>
      <c r="N2977" s="569">
        <v>2</v>
      </c>
      <c r="O2977" s="569" t="s">
        <v>157</v>
      </c>
      <c r="P2977" s="568">
        <v>12500</v>
      </c>
      <c r="Q2977" s="569" t="s">
        <v>4231</v>
      </c>
      <c r="R2977" s="569">
        <v>8</v>
      </c>
      <c r="S2977" s="569" t="s">
        <v>5109</v>
      </c>
      <c r="T2977" s="569" t="s">
        <v>4928</v>
      </c>
      <c r="U2977" s="569">
        <v>168</v>
      </c>
      <c r="V2977" s="569">
        <v>40</v>
      </c>
      <c r="W2977" s="620">
        <v>14000</v>
      </c>
      <c r="X2977" s="621" t="s">
        <v>157</v>
      </c>
      <c r="Y2977" s="621" t="s">
        <v>728</v>
      </c>
      <c r="Z2977" s="621" t="s">
        <v>1523</v>
      </c>
      <c r="AA2977" s="622">
        <v>54940</v>
      </c>
      <c r="AB2977" s="622" t="s">
        <v>164</v>
      </c>
      <c r="AC2977" s="622">
        <v>44210.84210526316</v>
      </c>
      <c r="AD2977" s="623">
        <v>0.03</v>
      </c>
      <c r="AE2977" s="621" t="s">
        <v>5157</v>
      </c>
    </row>
    <row r="2978" spans="1:31" s="572" customFormat="1">
      <c r="A2978" s="570" t="s">
        <v>5158</v>
      </c>
      <c r="B2978" s="573" t="s">
        <v>278</v>
      </c>
      <c r="C2978" s="578">
        <v>15</v>
      </c>
      <c r="D2978" s="573" t="s">
        <v>3374</v>
      </c>
      <c r="E2978" s="573" t="s">
        <v>1684</v>
      </c>
      <c r="F2978" s="573" t="s">
        <v>271</v>
      </c>
      <c r="G2978" s="573">
        <v>2019</v>
      </c>
      <c r="H2978" s="573" t="s">
        <v>4879</v>
      </c>
      <c r="I2978" s="573" t="s">
        <v>4858</v>
      </c>
      <c r="J2978" s="573" t="s">
        <v>752</v>
      </c>
      <c r="K2978" s="573">
        <v>6</v>
      </c>
      <c r="L2978" s="573">
        <v>0</v>
      </c>
      <c r="M2978" s="573" t="s">
        <v>157</v>
      </c>
      <c r="N2978" s="573">
        <v>2</v>
      </c>
      <c r="O2978" s="573" t="s">
        <v>157</v>
      </c>
      <c r="P2978" s="571">
        <v>12600</v>
      </c>
      <c r="Q2978" s="573" t="s">
        <v>4235</v>
      </c>
      <c r="R2978" s="573">
        <v>8</v>
      </c>
      <c r="S2978" s="582" t="s">
        <v>5109</v>
      </c>
      <c r="T2978" s="573" t="s">
        <v>4928</v>
      </c>
      <c r="U2978" s="573">
        <v>168</v>
      </c>
      <c r="V2978" s="573">
        <v>40</v>
      </c>
      <c r="W2978" s="616">
        <v>14000</v>
      </c>
      <c r="X2978" s="617" t="s">
        <v>157</v>
      </c>
      <c r="Y2978" s="617" t="s">
        <v>450</v>
      </c>
      <c r="Z2978" s="617" t="s">
        <v>178</v>
      </c>
      <c r="AA2978" s="618">
        <v>45820</v>
      </c>
      <c r="AB2978" s="618" t="s">
        <v>164</v>
      </c>
      <c r="AC2978" s="618">
        <v>36200</v>
      </c>
      <c r="AD2978" s="619">
        <v>0.01</v>
      </c>
      <c r="AE2978" s="617" t="s">
        <v>5155</v>
      </c>
    </row>
    <row r="2979" spans="1:31" s="572" customFormat="1">
      <c r="A2979" s="570" t="s">
        <v>5159</v>
      </c>
      <c r="B2979" s="569" t="s">
        <v>278</v>
      </c>
      <c r="C2979" s="580">
        <v>15</v>
      </c>
      <c r="D2979" s="569" t="s">
        <v>3374</v>
      </c>
      <c r="E2979" s="569" t="s">
        <v>1684</v>
      </c>
      <c r="F2979" s="569" t="s">
        <v>271</v>
      </c>
      <c r="G2979" s="569">
        <v>2019</v>
      </c>
      <c r="H2979" s="569" t="s">
        <v>4879</v>
      </c>
      <c r="I2979" s="569" t="s">
        <v>4858</v>
      </c>
      <c r="J2979" s="569" t="s">
        <v>752</v>
      </c>
      <c r="K2979" s="569">
        <v>6</v>
      </c>
      <c r="L2979" s="569">
        <v>0</v>
      </c>
      <c r="M2979" s="569" t="s">
        <v>157</v>
      </c>
      <c r="N2979" s="569">
        <v>2</v>
      </c>
      <c r="O2979" s="569" t="s">
        <v>157</v>
      </c>
      <c r="P2979" s="568">
        <v>12600</v>
      </c>
      <c r="Q2979" s="569" t="s">
        <v>4231</v>
      </c>
      <c r="R2979" s="569">
        <v>8</v>
      </c>
      <c r="S2979" s="569" t="s">
        <v>5109</v>
      </c>
      <c r="T2979" s="569" t="s">
        <v>4928</v>
      </c>
      <c r="U2979" s="569">
        <v>168</v>
      </c>
      <c r="V2979" s="569">
        <v>40</v>
      </c>
      <c r="W2979" s="620">
        <v>14000</v>
      </c>
      <c r="X2979" s="621" t="s">
        <v>157</v>
      </c>
      <c r="Y2979" s="621" t="s">
        <v>728</v>
      </c>
      <c r="Z2979" s="621" t="s">
        <v>1523</v>
      </c>
      <c r="AA2979" s="622">
        <v>54940</v>
      </c>
      <c r="AB2979" s="622" t="s">
        <v>164</v>
      </c>
      <c r="AC2979" s="622">
        <v>44500</v>
      </c>
      <c r="AD2979" s="623">
        <v>0.01</v>
      </c>
      <c r="AE2979" s="621" t="s">
        <v>5157</v>
      </c>
    </row>
    <row r="2980" spans="1:31" s="572" customFormat="1">
      <c r="A2980" s="570" t="s">
        <v>5160</v>
      </c>
      <c r="B2980" s="573" t="s">
        <v>287</v>
      </c>
      <c r="C2980" s="578">
        <v>26</v>
      </c>
      <c r="D2980" s="573" t="s">
        <v>3374</v>
      </c>
      <c r="E2980" s="573" t="s">
        <v>1684</v>
      </c>
      <c r="F2980" s="573" t="s">
        <v>271</v>
      </c>
      <c r="G2980" s="573">
        <v>2019</v>
      </c>
      <c r="H2980" s="573" t="s">
        <v>4879</v>
      </c>
      <c r="I2980" s="573" t="s">
        <v>4858</v>
      </c>
      <c r="J2980" s="573" t="s">
        <v>752</v>
      </c>
      <c r="K2980" s="573">
        <v>6</v>
      </c>
      <c r="L2980" s="573">
        <v>0</v>
      </c>
      <c r="M2980" s="573" t="s">
        <v>157</v>
      </c>
      <c r="N2980" s="573">
        <v>2</v>
      </c>
      <c r="O2980" s="573" t="s">
        <v>157</v>
      </c>
      <c r="P2980" s="571">
        <v>12600</v>
      </c>
      <c r="Q2980" s="573" t="s">
        <v>4235</v>
      </c>
      <c r="R2980" s="573">
        <v>8</v>
      </c>
      <c r="S2980" s="582" t="s">
        <v>5109</v>
      </c>
      <c r="T2980" s="573" t="s">
        <v>4928</v>
      </c>
      <c r="U2980" s="573">
        <v>168</v>
      </c>
      <c r="V2980" s="573">
        <v>40</v>
      </c>
      <c r="W2980" s="616">
        <v>14000</v>
      </c>
      <c r="X2980" s="617" t="s">
        <v>157</v>
      </c>
      <c r="Y2980" s="617" t="s">
        <v>450</v>
      </c>
      <c r="Z2980" s="617" t="s">
        <v>178</v>
      </c>
      <c r="AA2980" s="618">
        <v>45370</v>
      </c>
      <c r="AB2980" s="618" t="s">
        <v>164</v>
      </c>
      <c r="AC2980" s="618">
        <v>36282</v>
      </c>
      <c r="AD2980" s="619">
        <v>0.05</v>
      </c>
      <c r="AE2980" s="617" t="s">
        <v>5155</v>
      </c>
    </row>
    <row r="2981" spans="1:31" s="572" customFormat="1">
      <c r="A2981" s="570" t="s">
        <v>5161</v>
      </c>
      <c r="B2981" s="569" t="s">
        <v>287</v>
      </c>
      <c r="C2981" s="580">
        <v>26</v>
      </c>
      <c r="D2981" s="569" t="s">
        <v>3374</v>
      </c>
      <c r="E2981" s="569" t="s">
        <v>1684</v>
      </c>
      <c r="F2981" s="569" t="s">
        <v>271</v>
      </c>
      <c r="G2981" s="569">
        <v>2019</v>
      </c>
      <c r="H2981" s="569" t="s">
        <v>4879</v>
      </c>
      <c r="I2981" s="569" t="s">
        <v>4858</v>
      </c>
      <c r="J2981" s="569" t="s">
        <v>752</v>
      </c>
      <c r="K2981" s="569">
        <v>6</v>
      </c>
      <c r="L2981" s="569">
        <v>0</v>
      </c>
      <c r="M2981" s="569" t="s">
        <v>157</v>
      </c>
      <c r="N2981" s="569">
        <v>2</v>
      </c>
      <c r="O2981" s="569" t="s">
        <v>157</v>
      </c>
      <c r="P2981" s="568">
        <v>12600</v>
      </c>
      <c r="Q2981" s="569" t="s">
        <v>4231</v>
      </c>
      <c r="R2981" s="569">
        <v>8</v>
      </c>
      <c r="S2981" s="569" t="s">
        <v>5109</v>
      </c>
      <c r="T2981" s="569" t="s">
        <v>4928</v>
      </c>
      <c r="U2981" s="569">
        <v>168</v>
      </c>
      <c r="V2981" s="569">
        <v>40</v>
      </c>
      <c r="W2981" s="620">
        <v>14000</v>
      </c>
      <c r="X2981" s="621" t="s">
        <v>157</v>
      </c>
      <c r="Y2981" s="621" t="s">
        <v>728</v>
      </c>
      <c r="Z2981" s="621" t="s">
        <v>1523</v>
      </c>
      <c r="AA2981" s="622">
        <v>54365</v>
      </c>
      <c r="AB2981" s="622" t="s">
        <v>164</v>
      </c>
      <c r="AC2981" s="622">
        <v>44477</v>
      </c>
      <c r="AD2981" s="623">
        <v>0.05</v>
      </c>
      <c r="AE2981" s="621" t="s">
        <v>5157</v>
      </c>
    </row>
    <row r="2982" spans="1:31" s="572" customFormat="1">
      <c r="A2982" s="570" t="s">
        <v>5162</v>
      </c>
      <c r="B2982" s="573" t="s">
        <v>280</v>
      </c>
      <c r="C2982" s="578">
        <v>27</v>
      </c>
      <c r="D2982" s="573" t="s">
        <v>3374</v>
      </c>
      <c r="E2982" s="573" t="s">
        <v>1684</v>
      </c>
      <c r="F2982" s="573" t="s">
        <v>271</v>
      </c>
      <c r="G2982" s="573">
        <v>2019</v>
      </c>
      <c r="H2982" s="573" t="s">
        <v>4879</v>
      </c>
      <c r="I2982" s="573" t="s">
        <v>4858</v>
      </c>
      <c r="J2982" s="573" t="s">
        <v>752</v>
      </c>
      <c r="K2982" s="573">
        <v>6</v>
      </c>
      <c r="L2982" s="573">
        <v>0</v>
      </c>
      <c r="M2982" s="573" t="s">
        <v>157</v>
      </c>
      <c r="N2982" s="573">
        <v>2</v>
      </c>
      <c r="O2982" s="573" t="s">
        <v>157</v>
      </c>
      <c r="P2982" s="571">
        <v>12500</v>
      </c>
      <c r="Q2982" s="573" t="s">
        <v>4235</v>
      </c>
      <c r="R2982" s="573">
        <v>8</v>
      </c>
      <c r="S2982" s="582" t="s">
        <v>5109</v>
      </c>
      <c r="T2982" s="573" t="s">
        <v>4928</v>
      </c>
      <c r="U2982" s="573">
        <v>168</v>
      </c>
      <c r="V2982" s="573">
        <v>40</v>
      </c>
      <c r="W2982" s="616">
        <v>14000</v>
      </c>
      <c r="X2982" s="617" t="s">
        <v>157</v>
      </c>
      <c r="Y2982" s="617" t="s">
        <v>450</v>
      </c>
      <c r="Z2982" s="617" t="s">
        <v>178</v>
      </c>
      <c r="AA2982" s="618">
        <v>45820</v>
      </c>
      <c r="AB2982" s="618" t="s">
        <v>164</v>
      </c>
      <c r="AC2982" s="618">
        <v>36018.652631578952</v>
      </c>
      <c r="AD2982" s="619">
        <v>0.03</v>
      </c>
      <c r="AE2982" s="617" t="s">
        <v>5155</v>
      </c>
    </row>
    <row r="2983" spans="1:31" s="572" customFormat="1">
      <c r="A2983" s="570" t="s">
        <v>5163</v>
      </c>
      <c r="B2983" s="569" t="s">
        <v>280</v>
      </c>
      <c r="C2983" s="580">
        <v>27</v>
      </c>
      <c r="D2983" s="569" t="s">
        <v>3374</v>
      </c>
      <c r="E2983" s="569" t="s">
        <v>1684</v>
      </c>
      <c r="F2983" s="569" t="s">
        <v>271</v>
      </c>
      <c r="G2983" s="569">
        <v>2019</v>
      </c>
      <c r="H2983" s="569" t="s">
        <v>4879</v>
      </c>
      <c r="I2983" s="569" t="s">
        <v>4858</v>
      </c>
      <c r="J2983" s="569" t="s">
        <v>752</v>
      </c>
      <c r="K2983" s="569">
        <v>6</v>
      </c>
      <c r="L2983" s="569">
        <v>0</v>
      </c>
      <c r="M2983" s="569" t="s">
        <v>157</v>
      </c>
      <c r="N2983" s="569">
        <v>2</v>
      </c>
      <c r="O2983" s="569" t="s">
        <v>157</v>
      </c>
      <c r="P2983" s="568">
        <v>12500</v>
      </c>
      <c r="Q2983" s="569" t="s">
        <v>4231</v>
      </c>
      <c r="R2983" s="569">
        <v>8</v>
      </c>
      <c r="S2983" s="569" t="s">
        <v>5109</v>
      </c>
      <c r="T2983" s="569" t="s">
        <v>4928</v>
      </c>
      <c r="U2983" s="569">
        <v>168</v>
      </c>
      <c r="V2983" s="569">
        <v>40</v>
      </c>
      <c r="W2983" s="620">
        <v>14000</v>
      </c>
      <c r="X2983" s="621" t="s">
        <v>157</v>
      </c>
      <c r="Y2983" s="621" t="s">
        <v>728</v>
      </c>
      <c r="Z2983" s="621" t="s">
        <v>1523</v>
      </c>
      <c r="AA2983" s="622">
        <v>54940</v>
      </c>
      <c r="AB2983" s="622" t="s">
        <v>164</v>
      </c>
      <c r="AC2983" s="622">
        <v>44210.84210526316</v>
      </c>
      <c r="AD2983" s="623">
        <v>0.03</v>
      </c>
      <c r="AE2983" s="621" t="s">
        <v>5157</v>
      </c>
    </row>
    <row r="2984" spans="1:31" s="572" customFormat="1">
      <c r="A2984" s="570" t="s">
        <v>5164</v>
      </c>
      <c r="B2984" s="573" t="s">
        <v>269</v>
      </c>
      <c r="C2984" s="578" t="s">
        <v>270</v>
      </c>
      <c r="D2984" s="573" t="s">
        <v>3374</v>
      </c>
      <c r="E2984" s="573" t="s">
        <v>1684</v>
      </c>
      <c r="F2984" s="573" t="s">
        <v>271</v>
      </c>
      <c r="G2984" s="573">
        <v>2019</v>
      </c>
      <c r="H2984" s="573" t="s">
        <v>4879</v>
      </c>
      <c r="I2984" s="573" t="s">
        <v>5166</v>
      </c>
      <c r="J2984" s="573" t="s">
        <v>3377</v>
      </c>
      <c r="K2984" s="573">
        <v>6</v>
      </c>
      <c r="L2984" s="573">
        <v>0</v>
      </c>
      <c r="M2984" s="573" t="s">
        <v>157</v>
      </c>
      <c r="N2984" s="573">
        <v>2</v>
      </c>
      <c r="O2984" s="573" t="s">
        <v>157</v>
      </c>
      <c r="P2984" s="571">
        <v>12800</v>
      </c>
      <c r="Q2984" s="573" t="s">
        <v>4235</v>
      </c>
      <c r="R2984" s="573">
        <v>8</v>
      </c>
      <c r="S2984" s="582" t="s">
        <v>5121</v>
      </c>
      <c r="T2984" s="573" t="s">
        <v>4950</v>
      </c>
      <c r="U2984" s="573">
        <v>168</v>
      </c>
      <c r="V2984" s="573">
        <v>40</v>
      </c>
      <c r="W2984" s="616">
        <v>10900</v>
      </c>
      <c r="X2984" s="617" t="s">
        <v>157</v>
      </c>
      <c r="Y2984" s="617" t="s">
        <v>450</v>
      </c>
      <c r="Z2984" s="617" t="s">
        <v>178</v>
      </c>
      <c r="AA2984" s="618">
        <v>41230</v>
      </c>
      <c r="AB2984" s="618" t="s">
        <v>164</v>
      </c>
      <c r="AC2984" s="618">
        <v>31778.652631578949</v>
      </c>
      <c r="AD2984" s="619">
        <v>0.03</v>
      </c>
      <c r="AE2984" s="617" t="s">
        <v>5165</v>
      </c>
    </row>
    <row r="2985" spans="1:31" s="572" customFormat="1">
      <c r="A2985" s="570" t="s">
        <v>5167</v>
      </c>
      <c r="B2985" s="569" t="s">
        <v>269</v>
      </c>
      <c r="C2985" s="580" t="s">
        <v>270</v>
      </c>
      <c r="D2985" s="569" t="s">
        <v>3374</v>
      </c>
      <c r="E2985" s="569" t="s">
        <v>1684</v>
      </c>
      <c r="F2985" s="569" t="s">
        <v>271</v>
      </c>
      <c r="G2985" s="569">
        <v>2019</v>
      </c>
      <c r="H2985" s="569" t="s">
        <v>4879</v>
      </c>
      <c r="I2985" s="569" t="s">
        <v>5166</v>
      </c>
      <c r="J2985" s="569" t="s">
        <v>3377</v>
      </c>
      <c r="K2985" s="569">
        <v>6</v>
      </c>
      <c r="L2985" s="569">
        <v>0</v>
      </c>
      <c r="M2985" s="569" t="s">
        <v>157</v>
      </c>
      <c r="N2985" s="569">
        <v>2</v>
      </c>
      <c r="O2985" s="569" t="s">
        <v>157</v>
      </c>
      <c r="P2985" s="568">
        <v>12800</v>
      </c>
      <c r="Q2985" s="569" t="s">
        <v>4231</v>
      </c>
      <c r="R2985" s="569">
        <v>8</v>
      </c>
      <c r="S2985" s="569" t="s">
        <v>5121</v>
      </c>
      <c r="T2985" s="569" t="s">
        <v>4950</v>
      </c>
      <c r="U2985" s="569">
        <v>168</v>
      </c>
      <c r="V2985" s="569">
        <v>40</v>
      </c>
      <c r="W2985" s="620">
        <v>11500</v>
      </c>
      <c r="X2985" s="621" t="s">
        <v>157</v>
      </c>
      <c r="Y2985" s="621" t="s">
        <v>728</v>
      </c>
      <c r="Z2985" s="621" t="s">
        <v>1523</v>
      </c>
      <c r="AA2985" s="622">
        <v>50350</v>
      </c>
      <c r="AB2985" s="622" t="s">
        <v>164</v>
      </c>
      <c r="AC2985" s="622">
        <v>39970.84210526316</v>
      </c>
      <c r="AD2985" s="623">
        <v>0.03</v>
      </c>
      <c r="AE2985" s="621" t="s">
        <v>5168</v>
      </c>
    </row>
    <row r="2986" spans="1:31" s="572" customFormat="1">
      <c r="A2986" s="570" t="s">
        <v>5169</v>
      </c>
      <c r="B2986" s="573" t="s">
        <v>278</v>
      </c>
      <c r="C2986" s="578">
        <v>15</v>
      </c>
      <c r="D2986" s="573" t="s">
        <v>3374</v>
      </c>
      <c r="E2986" s="573" t="s">
        <v>1684</v>
      </c>
      <c r="F2986" s="573" t="s">
        <v>271</v>
      </c>
      <c r="G2986" s="573">
        <v>2019</v>
      </c>
      <c r="H2986" s="573" t="s">
        <v>4879</v>
      </c>
      <c r="I2986" s="573" t="s">
        <v>5166</v>
      </c>
      <c r="J2986" s="573" t="s">
        <v>3377</v>
      </c>
      <c r="K2986" s="573">
        <v>6</v>
      </c>
      <c r="L2986" s="573">
        <v>0</v>
      </c>
      <c r="M2986" s="573" t="s">
        <v>157</v>
      </c>
      <c r="N2986" s="573">
        <v>2</v>
      </c>
      <c r="O2986" s="573" t="s">
        <v>157</v>
      </c>
      <c r="P2986" s="571">
        <v>12900</v>
      </c>
      <c r="Q2986" s="573" t="s">
        <v>4235</v>
      </c>
      <c r="R2986" s="573">
        <v>8</v>
      </c>
      <c r="S2986" s="582" t="s">
        <v>5121</v>
      </c>
      <c r="T2986" s="573" t="s">
        <v>4950</v>
      </c>
      <c r="U2986" s="573">
        <v>168</v>
      </c>
      <c r="V2986" s="573">
        <v>40</v>
      </c>
      <c r="W2986" s="616">
        <v>10900</v>
      </c>
      <c r="X2986" s="617" t="s">
        <v>157</v>
      </c>
      <c r="Y2986" s="617" t="s">
        <v>450</v>
      </c>
      <c r="Z2986" s="617" t="s">
        <v>178</v>
      </c>
      <c r="AA2986" s="618">
        <v>41230</v>
      </c>
      <c r="AB2986" s="618" t="s">
        <v>164</v>
      </c>
      <c r="AC2986" s="618">
        <v>31900</v>
      </c>
      <c r="AD2986" s="619">
        <v>0.01</v>
      </c>
      <c r="AE2986" s="617" t="s">
        <v>5165</v>
      </c>
    </row>
    <row r="2987" spans="1:31" s="572" customFormat="1">
      <c r="A2987" s="570" t="s">
        <v>5170</v>
      </c>
      <c r="B2987" s="569" t="s">
        <v>278</v>
      </c>
      <c r="C2987" s="580">
        <v>15</v>
      </c>
      <c r="D2987" s="569" t="s">
        <v>3374</v>
      </c>
      <c r="E2987" s="569" t="s">
        <v>1684</v>
      </c>
      <c r="F2987" s="569" t="s">
        <v>271</v>
      </c>
      <c r="G2987" s="569">
        <v>2019</v>
      </c>
      <c r="H2987" s="569" t="s">
        <v>4879</v>
      </c>
      <c r="I2987" s="569" t="s">
        <v>5166</v>
      </c>
      <c r="J2987" s="569" t="s">
        <v>3377</v>
      </c>
      <c r="K2987" s="569">
        <v>6</v>
      </c>
      <c r="L2987" s="569">
        <v>0</v>
      </c>
      <c r="M2987" s="569" t="s">
        <v>157</v>
      </c>
      <c r="N2987" s="569">
        <v>2</v>
      </c>
      <c r="O2987" s="569" t="s">
        <v>157</v>
      </c>
      <c r="P2987" s="568">
        <v>12900</v>
      </c>
      <c r="Q2987" s="569" t="s">
        <v>4231</v>
      </c>
      <c r="R2987" s="569">
        <v>8</v>
      </c>
      <c r="S2987" s="569" t="s">
        <v>5121</v>
      </c>
      <c r="T2987" s="569" t="s">
        <v>4950</v>
      </c>
      <c r="U2987" s="569">
        <v>168</v>
      </c>
      <c r="V2987" s="569">
        <v>40</v>
      </c>
      <c r="W2987" s="620">
        <v>11500</v>
      </c>
      <c r="X2987" s="621" t="s">
        <v>157</v>
      </c>
      <c r="Y2987" s="621" t="s">
        <v>728</v>
      </c>
      <c r="Z2987" s="621" t="s">
        <v>1523</v>
      </c>
      <c r="AA2987" s="622">
        <v>50350</v>
      </c>
      <c r="AB2987" s="622" t="s">
        <v>164</v>
      </c>
      <c r="AC2987" s="622">
        <v>40200</v>
      </c>
      <c r="AD2987" s="623">
        <v>0.01</v>
      </c>
      <c r="AE2987" s="621" t="s">
        <v>5168</v>
      </c>
    </row>
    <row r="2988" spans="1:31" s="572" customFormat="1">
      <c r="A2988" s="570" t="s">
        <v>5171</v>
      </c>
      <c r="B2988" s="573" t="s">
        <v>287</v>
      </c>
      <c r="C2988" s="578">
        <v>26</v>
      </c>
      <c r="D2988" s="573" t="s">
        <v>3374</v>
      </c>
      <c r="E2988" s="573" t="s">
        <v>1684</v>
      </c>
      <c r="F2988" s="573" t="s">
        <v>271</v>
      </c>
      <c r="G2988" s="573">
        <v>2019</v>
      </c>
      <c r="H2988" s="573" t="s">
        <v>4879</v>
      </c>
      <c r="I2988" s="573" t="s">
        <v>5166</v>
      </c>
      <c r="J2988" s="573" t="s">
        <v>3377</v>
      </c>
      <c r="K2988" s="573">
        <v>6</v>
      </c>
      <c r="L2988" s="573">
        <v>0</v>
      </c>
      <c r="M2988" s="573" t="s">
        <v>157</v>
      </c>
      <c r="N2988" s="573">
        <v>2</v>
      </c>
      <c r="O2988" s="573" t="s">
        <v>157</v>
      </c>
      <c r="P2988" s="571">
        <v>12900</v>
      </c>
      <c r="Q2988" s="573" t="s">
        <v>4235</v>
      </c>
      <c r="R2988" s="573">
        <v>8</v>
      </c>
      <c r="S2988" s="582" t="s">
        <v>5121</v>
      </c>
      <c r="T2988" s="573" t="s">
        <v>4950</v>
      </c>
      <c r="U2988" s="573">
        <v>168</v>
      </c>
      <c r="V2988" s="573">
        <v>40</v>
      </c>
      <c r="W2988" s="616">
        <v>10900</v>
      </c>
      <c r="X2988" s="617" t="s">
        <v>157</v>
      </c>
      <c r="Y2988" s="617" t="s">
        <v>450</v>
      </c>
      <c r="Z2988" s="617" t="s">
        <v>178</v>
      </c>
      <c r="AA2988" s="618">
        <v>40780</v>
      </c>
      <c r="AB2988" s="618" t="s">
        <v>164</v>
      </c>
      <c r="AC2988" s="618">
        <v>32006</v>
      </c>
      <c r="AD2988" s="619">
        <v>0.05</v>
      </c>
      <c r="AE2988" s="617" t="s">
        <v>5165</v>
      </c>
    </row>
    <row r="2989" spans="1:31" s="572" customFormat="1">
      <c r="A2989" s="570" t="s">
        <v>5172</v>
      </c>
      <c r="B2989" s="569" t="s">
        <v>287</v>
      </c>
      <c r="C2989" s="580">
        <v>26</v>
      </c>
      <c r="D2989" s="569" t="s">
        <v>3374</v>
      </c>
      <c r="E2989" s="569" t="s">
        <v>1684</v>
      </c>
      <c r="F2989" s="569" t="s">
        <v>271</v>
      </c>
      <c r="G2989" s="569">
        <v>2019</v>
      </c>
      <c r="H2989" s="569" t="s">
        <v>4879</v>
      </c>
      <c r="I2989" s="569" t="s">
        <v>5166</v>
      </c>
      <c r="J2989" s="569" t="s">
        <v>3377</v>
      </c>
      <c r="K2989" s="569">
        <v>6</v>
      </c>
      <c r="L2989" s="569">
        <v>0</v>
      </c>
      <c r="M2989" s="569" t="s">
        <v>157</v>
      </c>
      <c r="N2989" s="569">
        <v>2</v>
      </c>
      <c r="O2989" s="569" t="s">
        <v>157</v>
      </c>
      <c r="P2989" s="568">
        <v>12900</v>
      </c>
      <c r="Q2989" s="569" t="s">
        <v>4231</v>
      </c>
      <c r="R2989" s="569">
        <v>8</v>
      </c>
      <c r="S2989" s="569" t="s">
        <v>5121</v>
      </c>
      <c r="T2989" s="569" t="s">
        <v>4950</v>
      </c>
      <c r="U2989" s="569">
        <v>168</v>
      </c>
      <c r="V2989" s="569">
        <v>40</v>
      </c>
      <c r="W2989" s="620">
        <v>11500</v>
      </c>
      <c r="X2989" s="621" t="s">
        <v>157</v>
      </c>
      <c r="Y2989" s="621" t="s">
        <v>728</v>
      </c>
      <c r="Z2989" s="621" t="s">
        <v>1523</v>
      </c>
      <c r="AA2989" s="622">
        <v>49775</v>
      </c>
      <c r="AB2989" s="622" t="s">
        <v>164</v>
      </c>
      <c r="AC2989" s="622">
        <v>40200</v>
      </c>
      <c r="AD2989" s="623">
        <v>0.05</v>
      </c>
      <c r="AE2989" s="621" t="s">
        <v>5168</v>
      </c>
    </row>
    <row r="2990" spans="1:31" s="572" customFormat="1">
      <c r="A2990" s="570" t="s">
        <v>5173</v>
      </c>
      <c r="B2990" s="573" t="s">
        <v>280</v>
      </c>
      <c r="C2990" s="578">
        <v>27</v>
      </c>
      <c r="D2990" s="573" t="s">
        <v>3374</v>
      </c>
      <c r="E2990" s="573" t="s">
        <v>1684</v>
      </c>
      <c r="F2990" s="573" t="s">
        <v>271</v>
      </c>
      <c r="G2990" s="573">
        <v>2019</v>
      </c>
      <c r="H2990" s="573" t="s">
        <v>4879</v>
      </c>
      <c r="I2990" s="573" t="s">
        <v>5166</v>
      </c>
      <c r="J2990" s="573" t="s">
        <v>3377</v>
      </c>
      <c r="K2990" s="573">
        <v>6</v>
      </c>
      <c r="L2990" s="573">
        <v>0</v>
      </c>
      <c r="M2990" s="573" t="s">
        <v>157</v>
      </c>
      <c r="N2990" s="573">
        <v>2</v>
      </c>
      <c r="O2990" s="573" t="s">
        <v>157</v>
      </c>
      <c r="P2990" s="571">
        <v>12800</v>
      </c>
      <c r="Q2990" s="573" t="s">
        <v>4235</v>
      </c>
      <c r="R2990" s="573">
        <v>8</v>
      </c>
      <c r="S2990" s="582" t="s">
        <v>5121</v>
      </c>
      <c r="T2990" s="573" t="s">
        <v>4950</v>
      </c>
      <c r="U2990" s="573">
        <v>168</v>
      </c>
      <c r="V2990" s="573">
        <v>40</v>
      </c>
      <c r="W2990" s="616">
        <v>10900</v>
      </c>
      <c r="X2990" s="617" t="s">
        <v>157</v>
      </c>
      <c r="Y2990" s="617" t="s">
        <v>450</v>
      </c>
      <c r="Z2990" s="617" t="s">
        <v>178</v>
      </c>
      <c r="AA2990" s="618">
        <v>41230</v>
      </c>
      <c r="AB2990" s="618" t="s">
        <v>164</v>
      </c>
      <c r="AC2990" s="618">
        <v>31778.652631578949</v>
      </c>
      <c r="AD2990" s="619">
        <v>0.03</v>
      </c>
      <c r="AE2990" s="617" t="s">
        <v>5165</v>
      </c>
    </row>
    <row r="2991" spans="1:31" s="572" customFormat="1">
      <c r="A2991" s="570" t="s">
        <v>5174</v>
      </c>
      <c r="B2991" s="569" t="s">
        <v>280</v>
      </c>
      <c r="C2991" s="580">
        <v>27</v>
      </c>
      <c r="D2991" s="569" t="s">
        <v>3374</v>
      </c>
      <c r="E2991" s="569" t="s">
        <v>1684</v>
      </c>
      <c r="F2991" s="569" t="s">
        <v>271</v>
      </c>
      <c r="G2991" s="569">
        <v>2019</v>
      </c>
      <c r="H2991" s="569" t="s">
        <v>4879</v>
      </c>
      <c r="I2991" s="569" t="s">
        <v>5166</v>
      </c>
      <c r="J2991" s="569" t="s">
        <v>3377</v>
      </c>
      <c r="K2991" s="569">
        <v>6</v>
      </c>
      <c r="L2991" s="569">
        <v>0</v>
      </c>
      <c r="M2991" s="569" t="s">
        <v>157</v>
      </c>
      <c r="N2991" s="569">
        <v>2</v>
      </c>
      <c r="O2991" s="569" t="s">
        <v>157</v>
      </c>
      <c r="P2991" s="568">
        <v>12800</v>
      </c>
      <c r="Q2991" s="569" t="s">
        <v>4231</v>
      </c>
      <c r="R2991" s="569">
        <v>8</v>
      </c>
      <c r="S2991" s="569" t="s">
        <v>5121</v>
      </c>
      <c r="T2991" s="569" t="s">
        <v>4950</v>
      </c>
      <c r="U2991" s="569">
        <v>168</v>
      </c>
      <c r="V2991" s="569">
        <v>40</v>
      </c>
      <c r="W2991" s="620">
        <v>11500</v>
      </c>
      <c r="X2991" s="621" t="s">
        <v>157</v>
      </c>
      <c r="Y2991" s="621" t="s">
        <v>728</v>
      </c>
      <c r="Z2991" s="621" t="s">
        <v>1523</v>
      </c>
      <c r="AA2991" s="622">
        <v>50350</v>
      </c>
      <c r="AB2991" s="622" t="s">
        <v>164</v>
      </c>
      <c r="AC2991" s="622">
        <v>39970.84210526316</v>
      </c>
      <c r="AD2991" s="623">
        <v>0.03</v>
      </c>
      <c r="AE2991" s="621" t="s">
        <v>5168</v>
      </c>
    </row>
    <row r="2992" spans="1:31" s="572" customFormat="1">
      <c r="A2992" s="570" t="s">
        <v>5175</v>
      </c>
      <c r="B2992" s="573" t="s">
        <v>269</v>
      </c>
      <c r="C2992" s="578" t="s">
        <v>270</v>
      </c>
      <c r="D2992" s="573" t="s">
        <v>3374</v>
      </c>
      <c r="E2992" s="573" t="s">
        <v>1684</v>
      </c>
      <c r="F2992" s="573" t="s">
        <v>271</v>
      </c>
      <c r="G2992" s="573">
        <v>2019</v>
      </c>
      <c r="H2992" s="573" t="s">
        <v>4879</v>
      </c>
      <c r="I2992" s="573" t="s">
        <v>5166</v>
      </c>
      <c r="J2992" s="573" t="s">
        <v>752</v>
      </c>
      <c r="K2992" s="573">
        <v>6</v>
      </c>
      <c r="L2992" s="573">
        <v>0</v>
      </c>
      <c r="M2992" s="573" t="s">
        <v>157</v>
      </c>
      <c r="N2992" s="573">
        <v>2</v>
      </c>
      <c r="O2992" s="573" t="s">
        <v>157</v>
      </c>
      <c r="P2992" s="571">
        <v>12200</v>
      </c>
      <c r="Q2992" s="573" t="s">
        <v>4235</v>
      </c>
      <c r="R2992" s="573">
        <v>8</v>
      </c>
      <c r="S2992" s="582" t="s">
        <v>5132</v>
      </c>
      <c r="T2992" s="573" t="s">
        <v>4950</v>
      </c>
      <c r="U2992" s="573">
        <v>168</v>
      </c>
      <c r="V2992" s="573">
        <v>40</v>
      </c>
      <c r="W2992" s="616">
        <v>11300</v>
      </c>
      <c r="X2992" s="617" t="s">
        <v>157</v>
      </c>
      <c r="Y2992" s="617" t="s">
        <v>450</v>
      </c>
      <c r="Z2992" s="617" t="s">
        <v>178</v>
      </c>
      <c r="AA2992" s="618">
        <v>44725</v>
      </c>
      <c r="AB2992" s="618" t="s">
        <v>164</v>
      </c>
      <c r="AC2992" s="618">
        <v>35007.073684210533</v>
      </c>
      <c r="AD2992" s="619">
        <v>0.03</v>
      </c>
      <c r="AE2992" s="617" t="s">
        <v>5176</v>
      </c>
    </row>
    <row r="2993" spans="1:31" s="572" customFormat="1">
      <c r="A2993" s="570" t="s">
        <v>5177</v>
      </c>
      <c r="B2993" s="569" t="s">
        <v>269</v>
      </c>
      <c r="C2993" s="580" t="s">
        <v>270</v>
      </c>
      <c r="D2993" s="569" t="s">
        <v>3374</v>
      </c>
      <c r="E2993" s="569" t="s">
        <v>1684</v>
      </c>
      <c r="F2993" s="569" t="s">
        <v>271</v>
      </c>
      <c r="G2993" s="569">
        <v>2019</v>
      </c>
      <c r="H2993" s="569" t="s">
        <v>4879</v>
      </c>
      <c r="I2993" s="569" t="s">
        <v>5166</v>
      </c>
      <c r="J2993" s="569" t="s">
        <v>752</v>
      </c>
      <c r="K2993" s="569">
        <v>6</v>
      </c>
      <c r="L2993" s="569">
        <v>0</v>
      </c>
      <c r="M2993" s="569" t="s">
        <v>157</v>
      </c>
      <c r="N2993" s="569">
        <v>2</v>
      </c>
      <c r="O2993" s="569" t="s">
        <v>157</v>
      </c>
      <c r="P2993" s="568">
        <v>12400</v>
      </c>
      <c r="Q2993" s="569" t="s">
        <v>4235</v>
      </c>
      <c r="R2993" s="569">
        <v>8</v>
      </c>
      <c r="S2993" s="569" t="s">
        <v>5132</v>
      </c>
      <c r="T2993" s="569" t="s">
        <v>4950</v>
      </c>
      <c r="U2993" s="569">
        <v>168</v>
      </c>
      <c r="V2993" s="569">
        <v>40</v>
      </c>
      <c r="W2993" s="620">
        <v>11300</v>
      </c>
      <c r="X2993" s="621" t="s">
        <v>157</v>
      </c>
      <c r="Y2993" s="621" t="s">
        <v>450</v>
      </c>
      <c r="Z2993" s="621" t="s">
        <v>178</v>
      </c>
      <c r="AA2993" s="622">
        <v>44725</v>
      </c>
      <c r="AB2993" s="622" t="s">
        <v>164</v>
      </c>
      <c r="AC2993" s="622">
        <v>35007.073684210533</v>
      </c>
      <c r="AD2993" s="623">
        <v>0.03</v>
      </c>
      <c r="AE2993" s="621" t="s">
        <v>5178</v>
      </c>
    </row>
    <row r="2994" spans="1:31" s="572" customFormat="1">
      <c r="A2994" s="570" t="s">
        <v>5179</v>
      </c>
      <c r="B2994" s="573" t="s">
        <v>269</v>
      </c>
      <c r="C2994" s="578" t="s">
        <v>270</v>
      </c>
      <c r="D2994" s="573" t="s">
        <v>3374</v>
      </c>
      <c r="E2994" s="573" t="s">
        <v>1684</v>
      </c>
      <c r="F2994" s="573" t="s">
        <v>271</v>
      </c>
      <c r="G2994" s="573">
        <v>2019</v>
      </c>
      <c r="H2994" s="573" t="s">
        <v>4879</v>
      </c>
      <c r="I2994" s="573" t="s">
        <v>5166</v>
      </c>
      <c r="J2994" s="573" t="s">
        <v>752</v>
      </c>
      <c r="K2994" s="573">
        <v>6</v>
      </c>
      <c r="L2994" s="573">
        <v>0</v>
      </c>
      <c r="M2994" s="573" t="s">
        <v>157</v>
      </c>
      <c r="N2994" s="573">
        <v>2</v>
      </c>
      <c r="O2994" s="573" t="s">
        <v>157</v>
      </c>
      <c r="P2994" s="571">
        <v>12400</v>
      </c>
      <c r="Q2994" s="573" t="s">
        <v>4231</v>
      </c>
      <c r="R2994" s="573">
        <v>8</v>
      </c>
      <c r="S2994" s="582" t="s">
        <v>5132</v>
      </c>
      <c r="T2994" s="573" t="s">
        <v>4950</v>
      </c>
      <c r="U2994" s="573">
        <v>168</v>
      </c>
      <c r="V2994" s="573">
        <v>40</v>
      </c>
      <c r="W2994" s="616">
        <v>11500</v>
      </c>
      <c r="X2994" s="617" t="s">
        <v>157</v>
      </c>
      <c r="Y2994" s="617" t="s">
        <v>728</v>
      </c>
      <c r="Z2994" s="617" t="s">
        <v>1523</v>
      </c>
      <c r="AA2994" s="618">
        <v>53845</v>
      </c>
      <c r="AB2994" s="618" t="s">
        <v>164</v>
      </c>
      <c r="AC2994" s="618">
        <v>43199.26315789474</v>
      </c>
      <c r="AD2994" s="619">
        <v>0.03</v>
      </c>
      <c r="AE2994" s="617" t="s">
        <v>5180</v>
      </c>
    </row>
    <row r="2995" spans="1:31" s="572" customFormat="1">
      <c r="A2995" s="570" t="s">
        <v>5181</v>
      </c>
      <c r="B2995" s="569" t="s">
        <v>278</v>
      </c>
      <c r="C2995" s="580">
        <v>15</v>
      </c>
      <c r="D2995" s="569" t="s">
        <v>3374</v>
      </c>
      <c r="E2995" s="569" t="s">
        <v>1684</v>
      </c>
      <c r="F2995" s="569" t="s">
        <v>271</v>
      </c>
      <c r="G2995" s="569">
        <v>2019</v>
      </c>
      <c r="H2995" s="569" t="s">
        <v>4879</v>
      </c>
      <c r="I2995" s="569" t="s">
        <v>5166</v>
      </c>
      <c r="J2995" s="569" t="s">
        <v>752</v>
      </c>
      <c r="K2995" s="569">
        <v>6</v>
      </c>
      <c r="L2995" s="569">
        <v>0</v>
      </c>
      <c r="M2995" s="569" t="s">
        <v>157</v>
      </c>
      <c r="N2995" s="569">
        <v>2</v>
      </c>
      <c r="O2995" s="569" t="s">
        <v>157</v>
      </c>
      <c r="P2995" s="568">
        <v>12400</v>
      </c>
      <c r="Q2995" s="569" t="s">
        <v>4235</v>
      </c>
      <c r="R2995" s="569">
        <v>8</v>
      </c>
      <c r="S2995" s="569" t="s">
        <v>5132</v>
      </c>
      <c r="T2995" s="569" t="s">
        <v>4950</v>
      </c>
      <c r="U2995" s="569">
        <v>168</v>
      </c>
      <c r="V2995" s="569">
        <v>40</v>
      </c>
      <c r="W2995" s="620">
        <v>11300</v>
      </c>
      <c r="X2995" s="621" t="s">
        <v>157</v>
      </c>
      <c r="Y2995" s="621" t="s">
        <v>450</v>
      </c>
      <c r="Z2995" s="621" t="s">
        <v>178</v>
      </c>
      <c r="AA2995" s="622">
        <v>44725</v>
      </c>
      <c r="AB2995" s="622" t="s">
        <v>164</v>
      </c>
      <c r="AC2995" s="622">
        <v>35200</v>
      </c>
      <c r="AD2995" s="623">
        <v>0.01</v>
      </c>
      <c r="AE2995" s="621" t="s">
        <v>5178</v>
      </c>
    </row>
    <row r="2996" spans="1:31" s="572" customFormat="1">
      <c r="A2996" s="570" t="s">
        <v>5182</v>
      </c>
      <c r="B2996" s="573" t="s">
        <v>278</v>
      </c>
      <c r="C2996" s="578">
        <v>15</v>
      </c>
      <c r="D2996" s="573" t="s">
        <v>3374</v>
      </c>
      <c r="E2996" s="573" t="s">
        <v>1684</v>
      </c>
      <c r="F2996" s="573" t="s">
        <v>271</v>
      </c>
      <c r="G2996" s="573">
        <v>2019</v>
      </c>
      <c r="H2996" s="573" t="s">
        <v>4879</v>
      </c>
      <c r="I2996" s="573" t="s">
        <v>5166</v>
      </c>
      <c r="J2996" s="573" t="s">
        <v>752</v>
      </c>
      <c r="K2996" s="573">
        <v>6</v>
      </c>
      <c r="L2996" s="573">
        <v>0</v>
      </c>
      <c r="M2996" s="573" t="s">
        <v>157</v>
      </c>
      <c r="N2996" s="573">
        <v>2</v>
      </c>
      <c r="O2996" s="573" t="s">
        <v>157</v>
      </c>
      <c r="P2996" s="571">
        <v>12400</v>
      </c>
      <c r="Q2996" s="573" t="s">
        <v>4231</v>
      </c>
      <c r="R2996" s="573">
        <v>8</v>
      </c>
      <c r="S2996" s="582" t="s">
        <v>5132</v>
      </c>
      <c r="T2996" s="573" t="s">
        <v>4950</v>
      </c>
      <c r="U2996" s="573">
        <v>168</v>
      </c>
      <c r="V2996" s="573">
        <v>40</v>
      </c>
      <c r="W2996" s="616">
        <v>11500</v>
      </c>
      <c r="X2996" s="617" t="s">
        <v>157</v>
      </c>
      <c r="Y2996" s="617" t="s">
        <v>728</v>
      </c>
      <c r="Z2996" s="617" t="s">
        <v>1523</v>
      </c>
      <c r="AA2996" s="618">
        <v>53845</v>
      </c>
      <c r="AB2996" s="618" t="s">
        <v>164</v>
      </c>
      <c r="AC2996" s="618">
        <v>43500</v>
      </c>
      <c r="AD2996" s="619">
        <v>0.01</v>
      </c>
      <c r="AE2996" s="617" t="s">
        <v>5180</v>
      </c>
    </row>
    <row r="2997" spans="1:31" s="572" customFormat="1">
      <c r="A2997" s="570" t="s">
        <v>5183</v>
      </c>
      <c r="B2997" s="569" t="s">
        <v>287</v>
      </c>
      <c r="C2997" s="580">
        <v>26</v>
      </c>
      <c r="D2997" s="569" t="s">
        <v>3374</v>
      </c>
      <c r="E2997" s="569" t="s">
        <v>1684</v>
      </c>
      <c r="F2997" s="569" t="s">
        <v>271</v>
      </c>
      <c r="G2997" s="569">
        <v>2019</v>
      </c>
      <c r="H2997" s="569" t="s">
        <v>4879</v>
      </c>
      <c r="I2997" s="569" t="s">
        <v>5166</v>
      </c>
      <c r="J2997" s="569" t="s">
        <v>752</v>
      </c>
      <c r="K2997" s="569">
        <v>6</v>
      </c>
      <c r="L2997" s="569">
        <v>0</v>
      </c>
      <c r="M2997" s="569" t="s">
        <v>157</v>
      </c>
      <c r="N2997" s="569">
        <v>2</v>
      </c>
      <c r="O2997" s="569" t="s">
        <v>157</v>
      </c>
      <c r="P2997" s="568">
        <v>12400</v>
      </c>
      <c r="Q2997" s="569" t="s">
        <v>4235</v>
      </c>
      <c r="R2997" s="569">
        <v>8</v>
      </c>
      <c r="S2997" s="569" t="s">
        <v>5132</v>
      </c>
      <c r="T2997" s="569" t="s">
        <v>4950</v>
      </c>
      <c r="U2997" s="569">
        <v>168</v>
      </c>
      <c r="V2997" s="569">
        <v>40</v>
      </c>
      <c r="W2997" s="620">
        <v>11300</v>
      </c>
      <c r="X2997" s="621" t="s">
        <v>157</v>
      </c>
      <c r="Y2997" s="621" t="s">
        <v>450</v>
      </c>
      <c r="Z2997" s="621" t="s">
        <v>178</v>
      </c>
      <c r="AA2997" s="622">
        <v>44275</v>
      </c>
      <c r="AB2997" s="622" t="s">
        <v>164</v>
      </c>
      <c r="AC2997" s="622">
        <v>35282</v>
      </c>
      <c r="AD2997" s="623">
        <v>0.05</v>
      </c>
      <c r="AE2997" s="621" t="s">
        <v>5178</v>
      </c>
    </row>
    <row r="2998" spans="1:31" s="572" customFormat="1">
      <c r="A2998" s="570" t="s">
        <v>5184</v>
      </c>
      <c r="B2998" s="573" t="s">
        <v>287</v>
      </c>
      <c r="C2998" s="578">
        <v>26</v>
      </c>
      <c r="D2998" s="573" t="s">
        <v>3374</v>
      </c>
      <c r="E2998" s="573" t="s">
        <v>1684</v>
      </c>
      <c r="F2998" s="573" t="s">
        <v>271</v>
      </c>
      <c r="G2998" s="573">
        <v>2019</v>
      </c>
      <c r="H2998" s="573" t="s">
        <v>4879</v>
      </c>
      <c r="I2998" s="573" t="s">
        <v>5166</v>
      </c>
      <c r="J2998" s="573" t="s">
        <v>752</v>
      </c>
      <c r="K2998" s="573">
        <v>6</v>
      </c>
      <c r="L2998" s="573">
        <v>0</v>
      </c>
      <c r="M2998" s="573" t="s">
        <v>157</v>
      </c>
      <c r="N2998" s="573">
        <v>2</v>
      </c>
      <c r="O2998" s="573" t="s">
        <v>157</v>
      </c>
      <c r="P2998" s="571">
        <v>12400</v>
      </c>
      <c r="Q2998" s="573" t="s">
        <v>4231</v>
      </c>
      <c r="R2998" s="573">
        <v>8</v>
      </c>
      <c r="S2998" s="582" t="s">
        <v>5132</v>
      </c>
      <c r="T2998" s="573" t="s">
        <v>4950</v>
      </c>
      <c r="U2998" s="573">
        <v>168</v>
      </c>
      <c r="V2998" s="573">
        <v>40</v>
      </c>
      <c r="W2998" s="616">
        <v>11500</v>
      </c>
      <c r="X2998" s="617" t="s">
        <v>157</v>
      </c>
      <c r="Y2998" s="617" t="s">
        <v>728</v>
      </c>
      <c r="Z2998" s="617" t="s">
        <v>1523</v>
      </c>
      <c r="AA2998" s="618">
        <v>53845</v>
      </c>
      <c r="AB2998" s="618" t="s">
        <v>164</v>
      </c>
      <c r="AC2998" s="618">
        <v>43476</v>
      </c>
      <c r="AD2998" s="619">
        <v>0.05</v>
      </c>
      <c r="AE2998" s="617" t="s">
        <v>5180</v>
      </c>
    </row>
    <row r="2999" spans="1:31" s="572" customFormat="1">
      <c r="A2999" s="570" t="s">
        <v>5185</v>
      </c>
      <c r="B2999" s="569" t="s">
        <v>280</v>
      </c>
      <c r="C2999" s="580">
        <v>27</v>
      </c>
      <c r="D2999" s="569" t="s">
        <v>3374</v>
      </c>
      <c r="E2999" s="569" t="s">
        <v>1684</v>
      </c>
      <c r="F2999" s="569" t="s">
        <v>271</v>
      </c>
      <c r="G2999" s="569">
        <v>2019</v>
      </c>
      <c r="H2999" s="569" t="s">
        <v>4879</v>
      </c>
      <c r="I2999" s="569" t="s">
        <v>5166</v>
      </c>
      <c r="J2999" s="569" t="s">
        <v>752</v>
      </c>
      <c r="K2999" s="569">
        <v>6</v>
      </c>
      <c r="L2999" s="569">
        <v>0</v>
      </c>
      <c r="M2999" s="569" t="s">
        <v>157</v>
      </c>
      <c r="N2999" s="569">
        <v>2</v>
      </c>
      <c r="O2999" s="569" t="s">
        <v>157</v>
      </c>
      <c r="P2999" s="568">
        <v>12200</v>
      </c>
      <c r="Q2999" s="569" t="s">
        <v>4235</v>
      </c>
      <c r="R2999" s="569">
        <v>8</v>
      </c>
      <c r="S2999" s="569" t="s">
        <v>5132</v>
      </c>
      <c r="T2999" s="569" t="s">
        <v>4950</v>
      </c>
      <c r="U2999" s="569">
        <v>168</v>
      </c>
      <c r="V2999" s="569">
        <v>40</v>
      </c>
      <c r="W2999" s="620">
        <v>11300</v>
      </c>
      <c r="X2999" s="621" t="s">
        <v>157</v>
      </c>
      <c r="Y2999" s="621" t="s">
        <v>450</v>
      </c>
      <c r="Z2999" s="621" t="s">
        <v>178</v>
      </c>
      <c r="AA2999" s="622">
        <v>44725</v>
      </c>
      <c r="AB2999" s="622" t="s">
        <v>164</v>
      </c>
      <c r="AC2999" s="622">
        <v>35007.073684210533</v>
      </c>
      <c r="AD2999" s="623">
        <v>0.03</v>
      </c>
      <c r="AE2999" s="621" t="s">
        <v>5176</v>
      </c>
    </row>
    <row r="3000" spans="1:31" s="572" customFormat="1">
      <c r="A3000" s="570" t="s">
        <v>5186</v>
      </c>
      <c r="B3000" s="573" t="s">
        <v>280</v>
      </c>
      <c r="C3000" s="578">
        <v>27</v>
      </c>
      <c r="D3000" s="573" t="s">
        <v>3374</v>
      </c>
      <c r="E3000" s="573" t="s">
        <v>1684</v>
      </c>
      <c r="F3000" s="573" t="s">
        <v>271</v>
      </c>
      <c r="G3000" s="573">
        <v>2019</v>
      </c>
      <c r="H3000" s="573" t="s">
        <v>4879</v>
      </c>
      <c r="I3000" s="573" t="s">
        <v>5166</v>
      </c>
      <c r="J3000" s="573" t="s">
        <v>752</v>
      </c>
      <c r="K3000" s="573">
        <v>6</v>
      </c>
      <c r="L3000" s="573">
        <v>0</v>
      </c>
      <c r="M3000" s="573" t="s">
        <v>157</v>
      </c>
      <c r="N3000" s="573">
        <v>2</v>
      </c>
      <c r="O3000" s="573" t="s">
        <v>157</v>
      </c>
      <c r="P3000" s="571">
        <v>12400</v>
      </c>
      <c r="Q3000" s="573" t="s">
        <v>4235</v>
      </c>
      <c r="R3000" s="573">
        <v>8</v>
      </c>
      <c r="S3000" s="582" t="s">
        <v>5132</v>
      </c>
      <c r="T3000" s="573" t="s">
        <v>4950</v>
      </c>
      <c r="U3000" s="573">
        <v>168</v>
      </c>
      <c r="V3000" s="573">
        <v>40</v>
      </c>
      <c r="W3000" s="616">
        <v>11300</v>
      </c>
      <c r="X3000" s="617" t="s">
        <v>157</v>
      </c>
      <c r="Y3000" s="617" t="s">
        <v>450</v>
      </c>
      <c r="Z3000" s="617" t="s">
        <v>178</v>
      </c>
      <c r="AA3000" s="618">
        <v>44725</v>
      </c>
      <c r="AB3000" s="618" t="s">
        <v>164</v>
      </c>
      <c r="AC3000" s="618">
        <v>35007.073684210533</v>
      </c>
      <c r="AD3000" s="619">
        <v>0.03</v>
      </c>
      <c r="AE3000" s="617" t="s">
        <v>5178</v>
      </c>
    </row>
    <row r="3001" spans="1:31" s="572" customFormat="1">
      <c r="A3001" s="570" t="s">
        <v>5187</v>
      </c>
      <c r="B3001" s="569" t="s">
        <v>280</v>
      </c>
      <c r="C3001" s="580">
        <v>27</v>
      </c>
      <c r="D3001" s="569" t="s">
        <v>3374</v>
      </c>
      <c r="E3001" s="569" t="s">
        <v>1684</v>
      </c>
      <c r="F3001" s="569" t="s">
        <v>271</v>
      </c>
      <c r="G3001" s="569">
        <v>2019</v>
      </c>
      <c r="H3001" s="569" t="s">
        <v>4879</v>
      </c>
      <c r="I3001" s="569" t="s">
        <v>5166</v>
      </c>
      <c r="J3001" s="569" t="s">
        <v>752</v>
      </c>
      <c r="K3001" s="569">
        <v>6</v>
      </c>
      <c r="L3001" s="569">
        <v>0</v>
      </c>
      <c r="M3001" s="569" t="s">
        <v>157</v>
      </c>
      <c r="N3001" s="569">
        <v>2</v>
      </c>
      <c r="O3001" s="569" t="s">
        <v>157</v>
      </c>
      <c r="P3001" s="568">
        <v>12400</v>
      </c>
      <c r="Q3001" s="569" t="s">
        <v>4231</v>
      </c>
      <c r="R3001" s="569">
        <v>8</v>
      </c>
      <c r="S3001" s="569" t="s">
        <v>5132</v>
      </c>
      <c r="T3001" s="569" t="s">
        <v>4950</v>
      </c>
      <c r="U3001" s="569">
        <v>168</v>
      </c>
      <c r="V3001" s="569">
        <v>40</v>
      </c>
      <c r="W3001" s="620">
        <v>11500</v>
      </c>
      <c r="X3001" s="621" t="s">
        <v>157</v>
      </c>
      <c r="Y3001" s="621" t="s">
        <v>728</v>
      </c>
      <c r="Z3001" s="621" t="s">
        <v>1523</v>
      </c>
      <c r="AA3001" s="622">
        <v>53845</v>
      </c>
      <c r="AB3001" s="622" t="s">
        <v>164</v>
      </c>
      <c r="AC3001" s="622">
        <v>43199.26315789474</v>
      </c>
      <c r="AD3001" s="623">
        <v>0.03</v>
      </c>
      <c r="AE3001" s="621" t="s">
        <v>5180</v>
      </c>
    </row>
    <row r="3002" spans="1:31" s="572" customFormat="1">
      <c r="A3002" s="570" t="s">
        <v>5188</v>
      </c>
      <c r="B3002" s="573" t="s">
        <v>269</v>
      </c>
      <c r="C3002" s="578" t="s">
        <v>270</v>
      </c>
      <c r="D3002" s="573" t="s">
        <v>3374</v>
      </c>
      <c r="E3002" s="573" t="s">
        <v>796</v>
      </c>
      <c r="F3002" s="573" t="s">
        <v>271</v>
      </c>
      <c r="G3002" s="573">
        <v>2019</v>
      </c>
      <c r="H3002" s="573" t="s">
        <v>5190</v>
      </c>
      <c r="I3002" s="573" t="s">
        <v>5191</v>
      </c>
      <c r="J3002" s="573" t="s">
        <v>3377</v>
      </c>
      <c r="K3002" s="573">
        <v>6</v>
      </c>
      <c r="L3002" s="573">
        <v>0</v>
      </c>
      <c r="M3002" s="573" t="s">
        <v>157</v>
      </c>
      <c r="N3002" s="573">
        <v>2</v>
      </c>
      <c r="O3002" s="573" t="s">
        <v>3846</v>
      </c>
      <c r="P3002" s="571">
        <v>21000</v>
      </c>
      <c r="Q3002" s="573" t="s">
        <v>4231</v>
      </c>
      <c r="R3002" s="573">
        <v>8</v>
      </c>
      <c r="S3002" s="582" t="s">
        <v>5192</v>
      </c>
      <c r="T3002" s="573" t="s">
        <v>5193</v>
      </c>
      <c r="U3002" s="573">
        <v>176</v>
      </c>
      <c r="V3002" s="573">
        <v>48</v>
      </c>
      <c r="W3002" s="616">
        <v>14000</v>
      </c>
      <c r="X3002" s="617" t="s">
        <v>157</v>
      </c>
      <c r="Y3002" s="617" t="s">
        <v>728</v>
      </c>
      <c r="Z3002" s="617" t="s">
        <v>728</v>
      </c>
      <c r="AA3002" s="618">
        <v>56055</v>
      </c>
      <c r="AB3002" s="618" t="s">
        <v>164</v>
      </c>
      <c r="AC3002" s="618">
        <v>48428.42105263158</v>
      </c>
      <c r="AD3002" s="619">
        <v>0.03</v>
      </c>
      <c r="AE3002" s="617" t="s">
        <v>5189</v>
      </c>
    </row>
    <row r="3003" spans="1:31" s="572" customFormat="1">
      <c r="A3003" s="570" t="s">
        <v>5194</v>
      </c>
      <c r="B3003" s="569" t="s">
        <v>287</v>
      </c>
      <c r="C3003" s="580">
        <v>26</v>
      </c>
      <c r="D3003" s="569" t="s">
        <v>3374</v>
      </c>
      <c r="E3003" s="569" t="s">
        <v>796</v>
      </c>
      <c r="F3003" s="569" t="s">
        <v>271</v>
      </c>
      <c r="G3003" s="569">
        <v>2019</v>
      </c>
      <c r="H3003" s="569" t="s">
        <v>5190</v>
      </c>
      <c r="I3003" s="569" t="s">
        <v>5191</v>
      </c>
      <c r="J3003" s="569" t="s">
        <v>3377</v>
      </c>
      <c r="K3003" s="569">
        <v>6</v>
      </c>
      <c r="L3003" s="569">
        <v>0</v>
      </c>
      <c r="M3003" s="569" t="s">
        <v>157</v>
      </c>
      <c r="N3003" s="569">
        <v>2</v>
      </c>
      <c r="O3003" s="569" t="s">
        <v>3846</v>
      </c>
      <c r="P3003" s="568">
        <v>21000</v>
      </c>
      <c r="Q3003" s="569" t="s">
        <v>4231</v>
      </c>
      <c r="R3003" s="569">
        <v>8</v>
      </c>
      <c r="S3003" s="569" t="s">
        <v>5192</v>
      </c>
      <c r="T3003" s="569" t="s">
        <v>5193</v>
      </c>
      <c r="U3003" s="569">
        <v>176</v>
      </c>
      <c r="V3003" s="569">
        <v>48</v>
      </c>
      <c r="W3003" s="620">
        <v>14000</v>
      </c>
      <c r="X3003" s="621" t="s">
        <v>157</v>
      </c>
      <c r="Y3003" s="621" t="s">
        <v>728</v>
      </c>
      <c r="Z3003" s="621" t="s">
        <v>728</v>
      </c>
      <c r="AA3003" s="622">
        <v>56055</v>
      </c>
      <c r="AB3003" s="622" t="s">
        <v>164</v>
      </c>
      <c r="AC3003" s="622">
        <v>48950</v>
      </c>
      <c r="AD3003" s="623">
        <v>0.05</v>
      </c>
      <c r="AE3003" s="621" t="s">
        <v>5189</v>
      </c>
    </row>
    <row r="3004" spans="1:31" s="572" customFormat="1">
      <c r="A3004" s="570" t="s">
        <v>5195</v>
      </c>
      <c r="B3004" s="573" t="s">
        <v>280</v>
      </c>
      <c r="C3004" s="578">
        <v>27</v>
      </c>
      <c r="D3004" s="573" t="s">
        <v>3374</v>
      </c>
      <c r="E3004" s="573" t="s">
        <v>796</v>
      </c>
      <c r="F3004" s="573" t="s">
        <v>271</v>
      </c>
      <c r="G3004" s="573">
        <v>2019</v>
      </c>
      <c r="H3004" s="573" t="s">
        <v>5190</v>
      </c>
      <c r="I3004" s="573" t="s">
        <v>5191</v>
      </c>
      <c r="J3004" s="573" t="s">
        <v>3377</v>
      </c>
      <c r="K3004" s="573">
        <v>6</v>
      </c>
      <c r="L3004" s="573">
        <v>0</v>
      </c>
      <c r="M3004" s="573" t="s">
        <v>157</v>
      </c>
      <c r="N3004" s="573">
        <v>2</v>
      </c>
      <c r="O3004" s="573" t="s">
        <v>3846</v>
      </c>
      <c r="P3004" s="571">
        <v>21000</v>
      </c>
      <c r="Q3004" s="573" t="s">
        <v>4231</v>
      </c>
      <c r="R3004" s="573">
        <v>8</v>
      </c>
      <c r="S3004" s="582" t="s">
        <v>5192</v>
      </c>
      <c r="T3004" s="573" t="s">
        <v>5193</v>
      </c>
      <c r="U3004" s="573">
        <v>176</v>
      </c>
      <c r="V3004" s="573">
        <v>48</v>
      </c>
      <c r="W3004" s="616">
        <v>14000</v>
      </c>
      <c r="X3004" s="617" t="s">
        <v>157</v>
      </c>
      <c r="Y3004" s="617" t="s">
        <v>728</v>
      </c>
      <c r="Z3004" s="617" t="s">
        <v>728</v>
      </c>
      <c r="AA3004" s="618">
        <v>56055</v>
      </c>
      <c r="AB3004" s="618" t="s">
        <v>164</v>
      </c>
      <c r="AC3004" s="618">
        <v>48428.42105263158</v>
      </c>
      <c r="AD3004" s="619">
        <v>0.03</v>
      </c>
      <c r="AE3004" s="617" t="s">
        <v>5189</v>
      </c>
    </row>
    <row r="3005" spans="1:31" s="572" customFormat="1">
      <c r="A3005" s="570" t="s">
        <v>5196</v>
      </c>
      <c r="B3005" s="569" t="s">
        <v>269</v>
      </c>
      <c r="C3005" s="580" t="s">
        <v>270</v>
      </c>
      <c r="D3005" s="569" t="s">
        <v>3374</v>
      </c>
      <c r="E3005" s="569" t="s">
        <v>796</v>
      </c>
      <c r="F3005" s="569" t="s">
        <v>271</v>
      </c>
      <c r="G3005" s="569">
        <v>2019</v>
      </c>
      <c r="H3005" s="569" t="s">
        <v>5190</v>
      </c>
      <c r="I3005" s="569" t="s">
        <v>5191</v>
      </c>
      <c r="J3005" s="569" t="s">
        <v>752</v>
      </c>
      <c r="K3005" s="569">
        <v>6</v>
      </c>
      <c r="L3005" s="569">
        <v>0</v>
      </c>
      <c r="M3005" s="569" t="s">
        <v>157</v>
      </c>
      <c r="N3005" s="569">
        <v>2</v>
      </c>
      <c r="O3005" s="569" t="s">
        <v>3846</v>
      </c>
      <c r="P3005" s="568">
        <v>21000</v>
      </c>
      <c r="Q3005" s="569" t="s">
        <v>4231</v>
      </c>
      <c r="R3005" s="569">
        <v>8</v>
      </c>
      <c r="S3005" s="569" t="s">
        <v>5198</v>
      </c>
      <c r="T3005" s="569" t="s">
        <v>5193</v>
      </c>
      <c r="U3005" s="569">
        <v>176</v>
      </c>
      <c r="V3005" s="569">
        <v>48</v>
      </c>
      <c r="W3005" s="620">
        <v>14000</v>
      </c>
      <c r="X3005" s="621" t="s">
        <v>157</v>
      </c>
      <c r="Y3005" s="621" t="s">
        <v>728</v>
      </c>
      <c r="Z3005" s="621" t="s">
        <v>728</v>
      </c>
      <c r="AA3005" s="622">
        <v>53290</v>
      </c>
      <c r="AB3005" s="622" t="s">
        <v>164</v>
      </c>
      <c r="AC3005" s="622">
        <v>45874.000000000007</v>
      </c>
      <c r="AD3005" s="623">
        <v>0.03</v>
      </c>
      <c r="AE3005" s="621" t="s">
        <v>5197</v>
      </c>
    </row>
    <row r="3006" spans="1:31" s="572" customFormat="1">
      <c r="A3006" s="570" t="s">
        <v>5199</v>
      </c>
      <c r="B3006" s="573" t="s">
        <v>287</v>
      </c>
      <c r="C3006" s="578">
        <v>26</v>
      </c>
      <c r="D3006" s="573" t="s">
        <v>3374</v>
      </c>
      <c r="E3006" s="573" t="s">
        <v>796</v>
      </c>
      <c r="F3006" s="573" t="s">
        <v>271</v>
      </c>
      <c r="G3006" s="573">
        <v>2019</v>
      </c>
      <c r="H3006" s="573" t="s">
        <v>5190</v>
      </c>
      <c r="I3006" s="573" t="s">
        <v>5191</v>
      </c>
      <c r="J3006" s="573" t="s">
        <v>752</v>
      </c>
      <c r="K3006" s="573">
        <v>6</v>
      </c>
      <c r="L3006" s="573">
        <v>0</v>
      </c>
      <c r="M3006" s="573" t="s">
        <v>157</v>
      </c>
      <c r="N3006" s="573">
        <v>2</v>
      </c>
      <c r="O3006" s="573" t="s">
        <v>3846</v>
      </c>
      <c r="P3006" s="571">
        <v>21000</v>
      </c>
      <c r="Q3006" s="573" t="s">
        <v>4231</v>
      </c>
      <c r="R3006" s="573">
        <v>8</v>
      </c>
      <c r="S3006" s="582" t="s">
        <v>5198</v>
      </c>
      <c r="T3006" s="573" t="s">
        <v>5193</v>
      </c>
      <c r="U3006" s="573">
        <v>176</v>
      </c>
      <c r="V3006" s="573">
        <v>48</v>
      </c>
      <c r="W3006" s="616">
        <v>14000</v>
      </c>
      <c r="X3006" s="617" t="s">
        <v>157</v>
      </c>
      <c r="Y3006" s="617" t="s">
        <v>728</v>
      </c>
      <c r="Z3006" s="617" t="s">
        <v>728</v>
      </c>
      <c r="AA3006" s="618">
        <v>53290</v>
      </c>
      <c r="AB3006" s="618" t="s">
        <v>164</v>
      </c>
      <c r="AC3006" s="618">
        <v>46358</v>
      </c>
      <c r="AD3006" s="619">
        <v>0.05</v>
      </c>
      <c r="AE3006" s="617" t="s">
        <v>5197</v>
      </c>
    </row>
    <row r="3007" spans="1:31" s="572" customFormat="1">
      <c r="A3007" s="570" t="s">
        <v>5200</v>
      </c>
      <c r="B3007" s="569" t="s">
        <v>280</v>
      </c>
      <c r="C3007" s="580">
        <v>27</v>
      </c>
      <c r="D3007" s="569" t="s">
        <v>3374</v>
      </c>
      <c r="E3007" s="569" t="s">
        <v>796</v>
      </c>
      <c r="F3007" s="569" t="s">
        <v>271</v>
      </c>
      <c r="G3007" s="569">
        <v>2019</v>
      </c>
      <c r="H3007" s="569" t="s">
        <v>5190</v>
      </c>
      <c r="I3007" s="569" t="s">
        <v>5191</v>
      </c>
      <c r="J3007" s="569" t="s">
        <v>752</v>
      </c>
      <c r="K3007" s="569">
        <v>6</v>
      </c>
      <c r="L3007" s="569">
        <v>0</v>
      </c>
      <c r="M3007" s="569" t="s">
        <v>157</v>
      </c>
      <c r="N3007" s="569">
        <v>2</v>
      </c>
      <c r="O3007" s="569" t="s">
        <v>3846</v>
      </c>
      <c r="P3007" s="568">
        <v>21000</v>
      </c>
      <c r="Q3007" s="569" t="s">
        <v>4231</v>
      </c>
      <c r="R3007" s="569">
        <v>8</v>
      </c>
      <c r="S3007" s="569" t="s">
        <v>5198</v>
      </c>
      <c r="T3007" s="569" t="s">
        <v>5193</v>
      </c>
      <c r="U3007" s="569">
        <v>176</v>
      </c>
      <c r="V3007" s="569">
        <v>48</v>
      </c>
      <c r="W3007" s="620">
        <v>14000</v>
      </c>
      <c r="X3007" s="621" t="s">
        <v>157</v>
      </c>
      <c r="Y3007" s="621" t="s">
        <v>728</v>
      </c>
      <c r="Z3007" s="621" t="s">
        <v>728</v>
      </c>
      <c r="AA3007" s="622">
        <v>53290</v>
      </c>
      <c r="AB3007" s="622" t="s">
        <v>164</v>
      </c>
      <c r="AC3007" s="622">
        <v>45874.000000000007</v>
      </c>
      <c r="AD3007" s="623">
        <v>0.03</v>
      </c>
      <c r="AE3007" s="621" t="s">
        <v>5197</v>
      </c>
    </row>
    <row r="3008" spans="1:31" s="572" customFormat="1">
      <c r="A3008" s="570" t="s">
        <v>5201</v>
      </c>
      <c r="B3008" s="573" t="s">
        <v>269</v>
      </c>
      <c r="C3008" s="578" t="s">
        <v>270</v>
      </c>
      <c r="D3008" s="573" t="s">
        <v>3374</v>
      </c>
      <c r="E3008" s="573" t="s">
        <v>796</v>
      </c>
      <c r="F3008" s="573" t="s">
        <v>271</v>
      </c>
      <c r="G3008" s="573">
        <v>2019</v>
      </c>
      <c r="H3008" s="573" t="s">
        <v>5190</v>
      </c>
      <c r="I3008" s="573" t="s">
        <v>5203</v>
      </c>
      <c r="J3008" s="573" t="s">
        <v>3377</v>
      </c>
      <c r="K3008" s="573">
        <v>6</v>
      </c>
      <c r="L3008" s="573">
        <v>0</v>
      </c>
      <c r="M3008" s="573" t="s">
        <v>157</v>
      </c>
      <c r="N3008" s="573">
        <v>2</v>
      </c>
      <c r="O3008" s="573" t="s">
        <v>3846</v>
      </c>
      <c r="P3008" s="571">
        <v>21000</v>
      </c>
      <c r="Q3008" s="573" t="s">
        <v>4231</v>
      </c>
      <c r="R3008" s="573">
        <v>8</v>
      </c>
      <c r="S3008" s="582" t="s">
        <v>5192</v>
      </c>
      <c r="T3008" s="573" t="s">
        <v>5204</v>
      </c>
      <c r="U3008" s="573">
        <v>176</v>
      </c>
      <c r="V3008" s="573">
        <v>48</v>
      </c>
      <c r="W3008" s="616">
        <v>14000</v>
      </c>
      <c r="X3008" s="617" t="s">
        <v>157</v>
      </c>
      <c r="Y3008" s="617" t="s">
        <v>728</v>
      </c>
      <c r="Z3008" s="617" t="s">
        <v>728</v>
      </c>
      <c r="AA3008" s="618">
        <v>60935</v>
      </c>
      <c r="AB3008" s="618" t="s">
        <v>164</v>
      </c>
      <c r="AC3008" s="618">
        <v>52935.052631578954</v>
      </c>
      <c r="AD3008" s="619">
        <v>0.03</v>
      </c>
      <c r="AE3008" s="617" t="s">
        <v>5202</v>
      </c>
    </row>
    <row r="3009" spans="1:31" s="572" customFormat="1">
      <c r="A3009" s="570" t="s">
        <v>5205</v>
      </c>
      <c r="B3009" s="569" t="s">
        <v>287</v>
      </c>
      <c r="C3009" s="580">
        <v>26</v>
      </c>
      <c r="D3009" s="569" t="s">
        <v>3374</v>
      </c>
      <c r="E3009" s="569" t="s">
        <v>796</v>
      </c>
      <c r="F3009" s="569" t="s">
        <v>271</v>
      </c>
      <c r="G3009" s="569">
        <v>2019</v>
      </c>
      <c r="H3009" s="569" t="s">
        <v>5190</v>
      </c>
      <c r="I3009" s="569" t="s">
        <v>5203</v>
      </c>
      <c r="J3009" s="569" t="s">
        <v>3377</v>
      </c>
      <c r="K3009" s="569">
        <v>6</v>
      </c>
      <c r="L3009" s="569">
        <v>0</v>
      </c>
      <c r="M3009" s="569" t="s">
        <v>157</v>
      </c>
      <c r="N3009" s="569">
        <v>2</v>
      </c>
      <c r="O3009" s="569" t="s">
        <v>3846</v>
      </c>
      <c r="P3009" s="568">
        <v>21000</v>
      </c>
      <c r="Q3009" s="569" t="s">
        <v>4231</v>
      </c>
      <c r="R3009" s="569">
        <v>8</v>
      </c>
      <c r="S3009" s="569" t="s">
        <v>5192</v>
      </c>
      <c r="T3009" s="569" t="s">
        <v>5204</v>
      </c>
      <c r="U3009" s="569">
        <v>176</v>
      </c>
      <c r="V3009" s="569">
        <v>48</v>
      </c>
      <c r="W3009" s="620">
        <v>14000</v>
      </c>
      <c r="X3009" s="621" t="s">
        <v>157</v>
      </c>
      <c r="Y3009" s="621" t="s">
        <v>728</v>
      </c>
      <c r="Z3009" s="621" t="s">
        <v>728</v>
      </c>
      <c r="AA3009" s="622">
        <v>60935</v>
      </c>
      <c r="AB3009" s="622" t="s">
        <v>164</v>
      </c>
      <c r="AC3009" s="622">
        <v>53447</v>
      </c>
      <c r="AD3009" s="623">
        <v>0.05</v>
      </c>
      <c r="AE3009" s="621" t="s">
        <v>5202</v>
      </c>
    </row>
    <row r="3010" spans="1:31" s="572" customFormat="1">
      <c r="A3010" s="570" t="s">
        <v>5206</v>
      </c>
      <c r="B3010" s="573" t="s">
        <v>280</v>
      </c>
      <c r="C3010" s="578">
        <v>27</v>
      </c>
      <c r="D3010" s="573" t="s">
        <v>3374</v>
      </c>
      <c r="E3010" s="573" t="s">
        <v>796</v>
      </c>
      <c r="F3010" s="573" t="s">
        <v>271</v>
      </c>
      <c r="G3010" s="573">
        <v>2019</v>
      </c>
      <c r="H3010" s="573" t="s">
        <v>5190</v>
      </c>
      <c r="I3010" s="573" t="s">
        <v>5203</v>
      </c>
      <c r="J3010" s="573" t="s">
        <v>3377</v>
      </c>
      <c r="K3010" s="573">
        <v>6</v>
      </c>
      <c r="L3010" s="573">
        <v>0</v>
      </c>
      <c r="M3010" s="573" t="s">
        <v>157</v>
      </c>
      <c r="N3010" s="573">
        <v>2</v>
      </c>
      <c r="O3010" s="573" t="s">
        <v>3846</v>
      </c>
      <c r="P3010" s="571">
        <v>21000</v>
      </c>
      <c r="Q3010" s="573" t="s">
        <v>4231</v>
      </c>
      <c r="R3010" s="573">
        <v>8</v>
      </c>
      <c r="S3010" s="582" t="s">
        <v>5192</v>
      </c>
      <c r="T3010" s="573" t="s">
        <v>5204</v>
      </c>
      <c r="U3010" s="573">
        <v>176</v>
      </c>
      <c r="V3010" s="573">
        <v>48</v>
      </c>
      <c r="W3010" s="616">
        <v>14000</v>
      </c>
      <c r="X3010" s="617" t="s">
        <v>157</v>
      </c>
      <c r="Y3010" s="617" t="s">
        <v>728</v>
      </c>
      <c r="Z3010" s="617" t="s">
        <v>728</v>
      </c>
      <c r="AA3010" s="618">
        <v>60935</v>
      </c>
      <c r="AB3010" s="618" t="s">
        <v>164</v>
      </c>
      <c r="AC3010" s="618">
        <v>52935.052631578954</v>
      </c>
      <c r="AD3010" s="619">
        <v>0.03</v>
      </c>
      <c r="AE3010" s="617" t="s">
        <v>5202</v>
      </c>
    </row>
    <row r="3011" spans="1:31" s="572" customFormat="1">
      <c r="A3011" s="570" t="s">
        <v>5207</v>
      </c>
      <c r="B3011" s="569" t="s">
        <v>269</v>
      </c>
      <c r="C3011" s="580" t="s">
        <v>270</v>
      </c>
      <c r="D3011" s="569" t="s">
        <v>3374</v>
      </c>
      <c r="E3011" s="569" t="s">
        <v>796</v>
      </c>
      <c r="F3011" s="569" t="s">
        <v>271</v>
      </c>
      <c r="G3011" s="569">
        <v>2019</v>
      </c>
      <c r="H3011" s="569" t="s">
        <v>5190</v>
      </c>
      <c r="I3011" s="569" t="s">
        <v>5203</v>
      </c>
      <c r="J3011" s="569" t="s">
        <v>752</v>
      </c>
      <c r="K3011" s="569">
        <v>6</v>
      </c>
      <c r="L3011" s="569">
        <v>0</v>
      </c>
      <c r="M3011" s="569" t="s">
        <v>157</v>
      </c>
      <c r="N3011" s="569">
        <v>2</v>
      </c>
      <c r="O3011" s="569" t="s">
        <v>3846</v>
      </c>
      <c r="P3011" s="568">
        <v>21000</v>
      </c>
      <c r="Q3011" s="569" t="s">
        <v>4231</v>
      </c>
      <c r="R3011" s="569">
        <v>8</v>
      </c>
      <c r="S3011" s="569" t="s">
        <v>5198</v>
      </c>
      <c r="T3011" s="569" t="s">
        <v>5204</v>
      </c>
      <c r="U3011" s="569">
        <v>176</v>
      </c>
      <c r="V3011" s="569">
        <v>48</v>
      </c>
      <c r="W3011" s="620">
        <v>14000</v>
      </c>
      <c r="X3011" s="621" t="s">
        <v>157</v>
      </c>
      <c r="Y3011" s="621" t="s">
        <v>728</v>
      </c>
      <c r="Z3011" s="621" t="s">
        <v>728</v>
      </c>
      <c r="AA3011" s="622">
        <v>58175</v>
      </c>
      <c r="AB3011" s="622" t="s">
        <v>164</v>
      </c>
      <c r="AC3011" s="622">
        <v>50385.578947368427</v>
      </c>
      <c r="AD3011" s="623">
        <v>0.03</v>
      </c>
      <c r="AE3011" s="621" t="s">
        <v>5208</v>
      </c>
    </row>
    <row r="3012" spans="1:31" s="572" customFormat="1">
      <c r="A3012" s="570" t="s">
        <v>5209</v>
      </c>
      <c r="B3012" s="573" t="s">
        <v>287</v>
      </c>
      <c r="C3012" s="578">
        <v>26</v>
      </c>
      <c r="D3012" s="573" t="s">
        <v>3374</v>
      </c>
      <c r="E3012" s="573" t="s">
        <v>796</v>
      </c>
      <c r="F3012" s="573" t="s">
        <v>271</v>
      </c>
      <c r="G3012" s="573">
        <v>2019</v>
      </c>
      <c r="H3012" s="573" t="s">
        <v>5190</v>
      </c>
      <c r="I3012" s="573" t="s">
        <v>5203</v>
      </c>
      <c r="J3012" s="573" t="s">
        <v>752</v>
      </c>
      <c r="K3012" s="573">
        <v>6</v>
      </c>
      <c r="L3012" s="573">
        <v>0</v>
      </c>
      <c r="M3012" s="573" t="s">
        <v>157</v>
      </c>
      <c r="N3012" s="573">
        <v>2</v>
      </c>
      <c r="O3012" s="573" t="s">
        <v>3846</v>
      </c>
      <c r="P3012" s="571">
        <v>21000</v>
      </c>
      <c r="Q3012" s="573" t="s">
        <v>4231</v>
      </c>
      <c r="R3012" s="573">
        <v>8</v>
      </c>
      <c r="S3012" s="582" t="s">
        <v>5198</v>
      </c>
      <c r="T3012" s="573" t="s">
        <v>5204</v>
      </c>
      <c r="U3012" s="573">
        <v>176</v>
      </c>
      <c r="V3012" s="573">
        <v>48</v>
      </c>
      <c r="W3012" s="616">
        <v>14000</v>
      </c>
      <c r="X3012" s="617" t="s">
        <v>157</v>
      </c>
      <c r="Y3012" s="617" t="s">
        <v>728</v>
      </c>
      <c r="Z3012" s="617" t="s">
        <v>728</v>
      </c>
      <c r="AA3012" s="618">
        <v>58175</v>
      </c>
      <c r="AB3012" s="618" t="s">
        <v>164</v>
      </c>
      <c r="AC3012" s="618">
        <v>50858</v>
      </c>
      <c r="AD3012" s="619">
        <v>0.05</v>
      </c>
      <c r="AE3012" s="617" t="s">
        <v>5208</v>
      </c>
    </row>
    <row r="3013" spans="1:31" s="572" customFormat="1">
      <c r="A3013" s="570" t="s">
        <v>5210</v>
      </c>
      <c r="B3013" s="569" t="s">
        <v>280</v>
      </c>
      <c r="C3013" s="580">
        <v>27</v>
      </c>
      <c r="D3013" s="569" t="s">
        <v>3374</v>
      </c>
      <c r="E3013" s="569" t="s">
        <v>796</v>
      </c>
      <c r="F3013" s="569" t="s">
        <v>271</v>
      </c>
      <c r="G3013" s="569">
        <v>2019</v>
      </c>
      <c r="H3013" s="569" t="s">
        <v>5190</v>
      </c>
      <c r="I3013" s="569" t="s">
        <v>5203</v>
      </c>
      <c r="J3013" s="569" t="s">
        <v>752</v>
      </c>
      <c r="K3013" s="569">
        <v>6</v>
      </c>
      <c r="L3013" s="569">
        <v>0</v>
      </c>
      <c r="M3013" s="569" t="s">
        <v>157</v>
      </c>
      <c r="N3013" s="569">
        <v>2</v>
      </c>
      <c r="O3013" s="569" t="s">
        <v>3846</v>
      </c>
      <c r="P3013" s="568">
        <v>21000</v>
      </c>
      <c r="Q3013" s="569" t="s">
        <v>4231</v>
      </c>
      <c r="R3013" s="569">
        <v>8</v>
      </c>
      <c r="S3013" s="569" t="s">
        <v>5198</v>
      </c>
      <c r="T3013" s="569" t="s">
        <v>5204</v>
      </c>
      <c r="U3013" s="569">
        <v>176</v>
      </c>
      <c r="V3013" s="569">
        <v>48</v>
      </c>
      <c r="W3013" s="620">
        <v>14000</v>
      </c>
      <c r="X3013" s="621" t="s">
        <v>157</v>
      </c>
      <c r="Y3013" s="621" t="s">
        <v>728</v>
      </c>
      <c r="Z3013" s="621" t="s">
        <v>728</v>
      </c>
      <c r="AA3013" s="622">
        <v>58175</v>
      </c>
      <c r="AB3013" s="622" t="s">
        <v>164</v>
      </c>
      <c r="AC3013" s="622">
        <v>50385.578947368427</v>
      </c>
      <c r="AD3013" s="623">
        <v>0.03</v>
      </c>
      <c r="AE3013" s="621" t="s">
        <v>5208</v>
      </c>
    </row>
    <row r="3014" spans="1:31" s="572" customFormat="1">
      <c r="A3014" s="570" t="s">
        <v>5211</v>
      </c>
      <c r="B3014" s="573" t="s">
        <v>269</v>
      </c>
      <c r="C3014" s="578" t="s">
        <v>270</v>
      </c>
      <c r="D3014" s="573" t="s">
        <v>3374</v>
      </c>
      <c r="E3014" s="573" t="s">
        <v>796</v>
      </c>
      <c r="F3014" s="573" t="s">
        <v>271</v>
      </c>
      <c r="G3014" s="573">
        <v>2019</v>
      </c>
      <c r="H3014" s="573" t="s">
        <v>5190</v>
      </c>
      <c r="I3014" s="573" t="s">
        <v>5213</v>
      </c>
      <c r="J3014" s="573" t="s">
        <v>3377</v>
      </c>
      <c r="K3014" s="573">
        <v>6</v>
      </c>
      <c r="L3014" s="573">
        <v>0</v>
      </c>
      <c r="M3014" s="573" t="s">
        <v>157</v>
      </c>
      <c r="N3014" s="573">
        <v>2</v>
      </c>
      <c r="O3014" s="573" t="s">
        <v>3846</v>
      </c>
      <c r="P3014" s="571">
        <v>21000</v>
      </c>
      <c r="Q3014" s="573" t="s">
        <v>4231</v>
      </c>
      <c r="R3014" s="573">
        <v>8</v>
      </c>
      <c r="S3014" s="582" t="s">
        <v>5192</v>
      </c>
      <c r="T3014" s="573" t="s">
        <v>5193</v>
      </c>
      <c r="U3014" s="573">
        <v>176</v>
      </c>
      <c r="V3014" s="573">
        <v>48</v>
      </c>
      <c r="W3014" s="616">
        <v>14000</v>
      </c>
      <c r="X3014" s="617" t="s">
        <v>157</v>
      </c>
      <c r="Y3014" s="617" t="s">
        <v>728</v>
      </c>
      <c r="Z3014" s="617" t="s">
        <v>1523</v>
      </c>
      <c r="AA3014" s="618">
        <v>56055</v>
      </c>
      <c r="AB3014" s="618" t="s">
        <v>164</v>
      </c>
      <c r="AC3014" s="618">
        <v>48428.42105263158</v>
      </c>
      <c r="AD3014" s="619">
        <v>0.03</v>
      </c>
      <c r="AE3014" s="617" t="s">
        <v>5212</v>
      </c>
    </row>
    <row r="3015" spans="1:31" s="572" customFormat="1">
      <c r="A3015" s="570" t="s">
        <v>5214</v>
      </c>
      <c r="B3015" s="569" t="s">
        <v>278</v>
      </c>
      <c r="C3015" s="580">
        <v>15</v>
      </c>
      <c r="D3015" s="569" t="s">
        <v>3374</v>
      </c>
      <c r="E3015" s="569" t="s">
        <v>796</v>
      </c>
      <c r="F3015" s="569" t="s">
        <v>271</v>
      </c>
      <c r="G3015" s="569">
        <v>2019</v>
      </c>
      <c r="H3015" s="569" t="s">
        <v>5190</v>
      </c>
      <c r="I3015" s="569" t="s">
        <v>5213</v>
      </c>
      <c r="J3015" s="569" t="s">
        <v>3377</v>
      </c>
      <c r="K3015" s="569">
        <v>6</v>
      </c>
      <c r="L3015" s="569">
        <v>0</v>
      </c>
      <c r="M3015" s="569" t="s">
        <v>157</v>
      </c>
      <c r="N3015" s="569">
        <v>2</v>
      </c>
      <c r="O3015" s="569" t="s">
        <v>3846</v>
      </c>
      <c r="P3015" s="568">
        <v>21000</v>
      </c>
      <c r="Q3015" s="569" t="s">
        <v>4231</v>
      </c>
      <c r="R3015" s="569">
        <v>8</v>
      </c>
      <c r="S3015" s="569" t="s">
        <v>5192</v>
      </c>
      <c r="T3015" s="569" t="s">
        <v>5193</v>
      </c>
      <c r="U3015" s="569">
        <v>176</v>
      </c>
      <c r="V3015" s="569">
        <v>48</v>
      </c>
      <c r="W3015" s="620">
        <v>14000</v>
      </c>
      <c r="X3015" s="621" t="s">
        <v>157</v>
      </c>
      <c r="Y3015" s="621" t="s">
        <v>728</v>
      </c>
      <c r="Z3015" s="621" t="s">
        <v>1523</v>
      </c>
      <c r="AA3015" s="622">
        <v>56055</v>
      </c>
      <c r="AB3015" s="622" t="s">
        <v>164</v>
      </c>
      <c r="AC3015" s="622">
        <v>48750</v>
      </c>
      <c r="AD3015" s="623">
        <v>0.01</v>
      </c>
      <c r="AE3015" s="621" t="s">
        <v>5212</v>
      </c>
    </row>
    <row r="3016" spans="1:31" s="572" customFormat="1">
      <c r="A3016" s="570" t="s">
        <v>5215</v>
      </c>
      <c r="B3016" s="573" t="s">
        <v>278</v>
      </c>
      <c r="C3016" s="578">
        <v>15</v>
      </c>
      <c r="D3016" s="573" t="s">
        <v>3374</v>
      </c>
      <c r="E3016" s="573" t="s">
        <v>796</v>
      </c>
      <c r="F3016" s="573" t="s">
        <v>271</v>
      </c>
      <c r="G3016" s="573">
        <v>2019</v>
      </c>
      <c r="H3016" s="573" t="s">
        <v>5190</v>
      </c>
      <c r="I3016" s="573" t="s">
        <v>5213</v>
      </c>
      <c r="J3016" s="573" t="s">
        <v>3377</v>
      </c>
      <c r="K3016" s="573">
        <v>6</v>
      </c>
      <c r="L3016" s="573">
        <v>0</v>
      </c>
      <c r="M3016" s="573" t="s">
        <v>157</v>
      </c>
      <c r="N3016" s="573">
        <v>2</v>
      </c>
      <c r="O3016" s="573" t="s">
        <v>3846</v>
      </c>
      <c r="P3016" s="571">
        <v>21000</v>
      </c>
      <c r="Q3016" s="573" t="s">
        <v>4231</v>
      </c>
      <c r="R3016" s="573">
        <v>8</v>
      </c>
      <c r="S3016" s="582" t="s">
        <v>5198</v>
      </c>
      <c r="T3016" s="573" t="s">
        <v>5193</v>
      </c>
      <c r="U3016" s="573">
        <v>176</v>
      </c>
      <c r="V3016" s="573">
        <v>48</v>
      </c>
      <c r="W3016" s="616">
        <v>14000</v>
      </c>
      <c r="X3016" s="617" t="s">
        <v>157</v>
      </c>
      <c r="Y3016" s="617" t="s">
        <v>728</v>
      </c>
      <c r="Z3016" s="617" t="s">
        <v>1523</v>
      </c>
      <c r="AA3016" s="618">
        <v>53290</v>
      </c>
      <c r="AB3016" s="618" t="s">
        <v>164</v>
      </c>
      <c r="AC3016" s="618">
        <v>46150</v>
      </c>
      <c r="AD3016" s="619">
        <v>0.01</v>
      </c>
      <c r="AE3016" s="617" t="s">
        <v>5216</v>
      </c>
    </row>
    <row r="3017" spans="1:31" s="572" customFormat="1">
      <c r="A3017" s="570" t="s">
        <v>5217</v>
      </c>
      <c r="B3017" s="569" t="s">
        <v>280</v>
      </c>
      <c r="C3017" s="580">
        <v>27</v>
      </c>
      <c r="D3017" s="569" t="s">
        <v>3374</v>
      </c>
      <c r="E3017" s="569" t="s">
        <v>796</v>
      </c>
      <c r="F3017" s="569" t="s">
        <v>271</v>
      </c>
      <c r="G3017" s="569">
        <v>2019</v>
      </c>
      <c r="H3017" s="569" t="s">
        <v>5190</v>
      </c>
      <c r="I3017" s="569" t="s">
        <v>5213</v>
      </c>
      <c r="J3017" s="569" t="s">
        <v>3377</v>
      </c>
      <c r="K3017" s="569">
        <v>6</v>
      </c>
      <c r="L3017" s="569">
        <v>0</v>
      </c>
      <c r="M3017" s="569" t="s">
        <v>157</v>
      </c>
      <c r="N3017" s="569">
        <v>2</v>
      </c>
      <c r="O3017" s="569" t="s">
        <v>3846</v>
      </c>
      <c r="P3017" s="568">
        <v>21000</v>
      </c>
      <c r="Q3017" s="569" t="s">
        <v>4231</v>
      </c>
      <c r="R3017" s="569">
        <v>8</v>
      </c>
      <c r="S3017" s="569" t="s">
        <v>5192</v>
      </c>
      <c r="T3017" s="569" t="s">
        <v>5193</v>
      </c>
      <c r="U3017" s="569">
        <v>176</v>
      </c>
      <c r="V3017" s="569">
        <v>48</v>
      </c>
      <c r="W3017" s="620">
        <v>14000</v>
      </c>
      <c r="X3017" s="621" t="s">
        <v>157</v>
      </c>
      <c r="Y3017" s="621" t="s">
        <v>728</v>
      </c>
      <c r="Z3017" s="621" t="s">
        <v>1523</v>
      </c>
      <c r="AA3017" s="622">
        <v>56055</v>
      </c>
      <c r="AB3017" s="622" t="s">
        <v>164</v>
      </c>
      <c r="AC3017" s="622">
        <v>48428.42105263158</v>
      </c>
      <c r="AD3017" s="623">
        <v>0.03</v>
      </c>
      <c r="AE3017" s="621" t="s">
        <v>5212</v>
      </c>
    </row>
    <row r="3018" spans="1:31" s="572" customFormat="1">
      <c r="A3018" s="570" t="s">
        <v>5218</v>
      </c>
      <c r="B3018" s="573" t="s">
        <v>269</v>
      </c>
      <c r="C3018" s="578" t="s">
        <v>270</v>
      </c>
      <c r="D3018" s="573" t="s">
        <v>3374</v>
      </c>
      <c r="E3018" s="573" t="s">
        <v>796</v>
      </c>
      <c r="F3018" s="573" t="s">
        <v>271</v>
      </c>
      <c r="G3018" s="573">
        <v>2019</v>
      </c>
      <c r="H3018" s="573" t="s">
        <v>5190</v>
      </c>
      <c r="I3018" s="573" t="s">
        <v>5213</v>
      </c>
      <c r="J3018" s="573" t="s">
        <v>752</v>
      </c>
      <c r="K3018" s="573">
        <v>6</v>
      </c>
      <c r="L3018" s="573">
        <v>0</v>
      </c>
      <c r="M3018" s="573" t="s">
        <v>157</v>
      </c>
      <c r="N3018" s="573">
        <v>2</v>
      </c>
      <c r="O3018" s="573" t="s">
        <v>3846</v>
      </c>
      <c r="P3018" s="571">
        <v>21000</v>
      </c>
      <c r="Q3018" s="573" t="s">
        <v>4231</v>
      </c>
      <c r="R3018" s="573">
        <v>8</v>
      </c>
      <c r="S3018" s="582" t="s">
        <v>5198</v>
      </c>
      <c r="T3018" s="573" t="s">
        <v>5193</v>
      </c>
      <c r="U3018" s="573">
        <v>176</v>
      </c>
      <c r="V3018" s="573">
        <v>48</v>
      </c>
      <c r="W3018" s="616">
        <v>14000</v>
      </c>
      <c r="X3018" s="617" t="s">
        <v>157</v>
      </c>
      <c r="Y3018" s="617" t="s">
        <v>728</v>
      </c>
      <c r="Z3018" s="617" t="s">
        <v>1523</v>
      </c>
      <c r="AA3018" s="618">
        <v>56055</v>
      </c>
      <c r="AB3018" s="618" t="s">
        <v>164</v>
      </c>
      <c r="AC3018" s="618">
        <v>48428.736842105267</v>
      </c>
      <c r="AD3018" s="619">
        <v>0.03</v>
      </c>
      <c r="AE3018" s="617" t="s">
        <v>5219</v>
      </c>
    </row>
    <row r="3019" spans="1:31" s="572" customFormat="1">
      <c r="A3019" s="570" t="s">
        <v>5220</v>
      </c>
      <c r="B3019" s="569" t="s">
        <v>280</v>
      </c>
      <c r="C3019" s="580">
        <v>27</v>
      </c>
      <c r="D3019" s="569" t="s">
        <v>3374</v>
      </c>
      <c r="E3019" s="569" t="s">
        <v>796</v>
      </c>
      <c r="F3019" s="569" t="s">
        <v>271</v>
      </c>
      <c r="G3019" s="569">
        <v>2019</v>
      </c>
      <c r="H3019" s="569" t="s">
        <v>5190</v>
      </c>
      <c r="I3019" s="569" t="s">
        <v>5213</v>
      </c>
      <c r="J3019" s="569" t="s">
        <v>752</v>
      </c>
      <c r="K3019" s="569">
        <v>6</v>
      </c>
      <c r="L3019" s="569">
        <v>0</v>
      </c>
      <c r="M3019" s="569" t="s">
        <v>157</v>
      </c>
      <c r="N3019" s="569">
        <v>2</v>
      </c>
      <c r="O3019" s="569" t="s">
        <v>3846</v>
      </c>
      <c r="P3019" s="568">
        <v>21000</v>
      </c>
      <c r="Q3019" s="569" t="s">
        <v>4231</v>
      </c>
      <c r="R3019" s="569">
        <v>8</v>
      </c>
      <c r="S3019" s="569" t="s">
        <v>5198</v>
      </c>
      <c r="T3019" s="569" t="s">
        <v>5193</v>
      </c>
      <c r="U3019" s="569">
        <v>176</v>
      </c>
      <c r="V3019" s="569">
        <v>48</v>
      </c>
      <c r="W3019" s="620">
        <v>14000</v>
      </c>
      <c r="X3019" s="621" t="s">
        <v>157</v>
      </c>
      <c r="Y3019" s="621" t="s">
        <v>728</v>
      </c>
      <c r="Z3019" s="621" t="s">
        <v>1523</v>
      </c>
      <c r="AA3019" s="622">
        <v>56055</v>
      </c>
      <c r="AB3019" s="622" t="s">
        <v>164</v>
      </c>
      <c r="AC3019" s="622">
        <v>48428.736842105267</v>
      </c>
      <c r="AD3019" s="623">
        <v>0.03</v>
      </c>
      <c r="AE3019" s="621" t="s">
        <v>5219</v>
      </c>
    </row>
    <row r="3020" spans="1:31" s="572" customFormat="1" ht="30">
      <c r="A3020" s="570" t="s">
        <v>5221</v>
      </c>
      <c r="B3020" s="573" t="s">
        <v>269</v>
      </c>
      <c r="C3020" s="578" t="s">
        <v>270</v>
      </c>
      <c r="D3020" s="573" t="s">
        <v>3374</v>
      </c>
      <c r="E3020" s="573" t="s">
        <v>796</v>
      </c>
      <c r="F3020" s="573" t="s">
        <v>271</v>
      </c>
      <c r="G3020" s="573">
        <v>2019</v>
      </c>
      <c r="H3020" s="573" t="s">
        <v>5190</v>
      </c>
      <c r="I3020" s="573" t="s">
        <v>5223</v>
      </c>
      <c r="J3020" s="573" t="s">
        <v>3377</v>
      </c>
      <c r="K3020" s="573">
        <v>6</v>
      </c>
      <c r="L3020" s="573">
        <v>0</v>
      </c>
      <c r="M3020" s="573" t="s">
        <v>157</v>
      </c>
      <c r="N3020" s="573">
        <v>2</v>
      </c>
      <c r="O3020" s="573" t="s">
        <v>3846</v>
      </c>
      <c r="P3020" s="571">
        <v>21000</v>
      </c>
      <c r="Q3020" s="573" t="s">
        <v>4231</v>
      </c>
      <c r="R3020" s="573">
        <v>8</v>
      </c>
      <c r="S3020" s="582" t="s">
        <v>5192</v>
      </c>
      <c r="T3020" s="573" t="s">
        <v>5204</v>
      </c>
      <c r="U3020" s="573">
        <v>176</v>
      </c>
      <c r="V3020" s="573">
        <v>48</v>
      </c>
      <c r="W3020" s="616">
        <v>14000</v>
      </c>
      <c r="X3020" s="617" t="s">
        <v>157</v>
      </c>
      <c r="Y3020" s="617" t="s">
        <v>728</v>
      </c>
      <c r="Z3020" s="617" t="s">
        <v>1523</v>
      </c>
      <c r="AA3020" s="618">
        <v>60935</v>
      </c>
      <c r="AB3020" s="618" t="s">
        <v>164</v>
      </c>
      <c r="AC3020" s="618">
        <v>52935.052631578954</v>
      </c>
      <c r="AD3020" s="619">
        <v>0.03</v>
      </c>
      <c r="AE3020" s="617" t="s">
        <v>5222</v>
      </c>
    </row>
    <row r="3021" spans="1:31" s="572" customFormat="1" ht="30">
      <c r="A3021" s="570" t="s">
        <v>5224</v>
      </c>
      <c r="B3021" s="569" t="s">
        <v>278</v>
      </c>
      <c r="C3021" s="580">
        <v>15</v>
      </c>
      <c r="D3021" s="569" t="s">
        <v>3374</v>
      </c>
      <c r="E3021" s="569" t="s">
        <v>796</v>
      </c>
      <c r="F3021" s="569" t="s">
        <v>271</v>
      </c>
      <c r="G3021" s="569">
        <v>2019</v>
      </c>
      <c r="H3021" s="569" t="s">
        <v>5190</v>
      </c>
      <c r="I3021" s="569" t="s">
        <v>5223</v>
      </c>
      <c r="J3021" s="569" t="s">
        <v>3377</v>
      </c>
      <c r="K3021" s="569">
        <v>6</v>
      </c>
      <c r="L3021" s="569">
        <v>0</v>
      </c>
      <c r="M3021" s="569" t="s">
        <v>157</v>
      </c>
      <c r="N3021" s="569">
        <v>2</v>
      </c>
      <c r="O3021" s="569" t="s">
        <v>3846</v>
      </c>
      <c r="P3021" s="568">
        <v>21000</v>
      </c>
      <c r="Q3021" s="569" t="s">
        <v>4231</v>
      </c>
      <c r="R3021" s="569">
        <v>8</v>
      </c>
      <c r="S3021" s="569" t="s">
        <v>5198</v>
      </c>
      <c r="T3021" s="569" t="s">
        <v>5204</v>
      </c>
      <c r="U3021" s="569">
        <v>176</v>
      </c>
      <c r="V3021" s="569">
        <v>48</v>
      </c>
      <c r="W3021" s="620">
        <v>14000</v>
      </c>
      <c r="X3021" s="621" t="s">
        <v>157</v>
      </c>
      <c r="Y3021" s="621" t="s">
        <v>728</v>
      </c>
      <c r="Z3021" s="621" t="s">
        <v>1523</v>
      </c>
      <c r="AA3021" s="622">
        <v>56055</v>
      </c>
      <c r="AB3021" s="622" t="s">
        <v>164</v>
      </c>
      <c r="AC3021" s="622">
        <v>50700</v>
      </c>
      <c r="AD3021" s="623">
        <v>0.01</v>
      </c>
      <c r="AE3021" s="621" t="s">
        <v>5225</v>
      </c>
    </row>
    <row r="3022" spans="1:31" s="572" customFormat="1" ht="30">
      <c r="A3022" s="570" t="s">
        <v>5226</v>
      </c>
      <c r="B3022" s="573" t="s">
        <v>280</v>
      </c>
      <c r="C3022" s="578">
        <v>27</v>
      </c>
      <c r="D3022" s="573" t="s">
        <v>3374</v>
      </c>
      <c r="E3022" s="573" t="s">
        <v>796</v>
      </c>
      <c r="F3022" s="573" t="s">
        <v>271</v>
      </c>
      <c r="G3022" s="573">
        <v>2019</v>
      </c>
      <c r="H3022" s="573" t="s">
        <v>5190</v>
      </c>
      <c r="I3022" s="573" t="s">
        <v>5223</v>
      </c>
      <c r="J3022" s="573" t="s">
        <v>3377</v>
      </c>
      <c r="K3022" s="573">
        <v>6</v>
      </c>
      <c r="L3022" s="573">
        <v>0</v>
      </c>
      <c r="M3022" s="573" t="s">
        <v>157</v>
      </c>
      <c r="N3022" s="573">
        <v>2</v>
      </c>
      <c r="O3022" s="573" t="s">
        <v>3846</v>
      </c>
      <c r="P3022" s="571">
        <v>21000</v>
      </c>
      <c r="Q3022" s="573" t="s">
        <v>4231</v>
      </c>
      <c r="R3022" s="573">
        <v>8</v>
      </c>
      <c r="S3022" s="582" t="s">
        <v>5192</v>
      </c>
      <c r="T3022" s="573" t="s">
        <v>5204</v>
      </c>
      <c r="U3022" s="573">
        <v>176</v>
      </c>
      <c r="V3022" s="573">
        <v>48</v>
      </c>
      <c r="W3022" s="616">
        <v>14000</v>
      </c>
      <c r="X3022" s="617" t="s">
        <v>157</v>
      </c>
      <c r="Y3022" s="617" t="s">
        <v>728</v>
      </c>
      <c r="Z3022" s="617" t="s">
        <v>1523</v>
      </c>
      <c r="AA3022" s="618">
        <v>60935</v>
      </c>
      <c r="AB3022" s="618" t="s">
        <v>164</v>
      </c>
      <c r="AC3022" s="618">
        <v>52935.052631578954</v>
      </c>
      <c r="AD3022" s="619">
        <v>0.03</v>
      </c>
      <c r="AE3022" s="617" t="s">
        <v>5222</v>
      </c>
    </row>
    <row r="3023" spans="1:31" s="572" customFormat="1" ht="30">
      <c r="A3023" s="570" t="s">
        <v>5227</v>
      </c>
      <c r="B3023" s="569" t="s">
        <v>269</v>
      </c>
      <c r="C3023" s="580" t="s">
        <v>270</v>
      </c>
      <c r="D3023" s="569" t="s">
        <v>3374</v>
      </c>
      <c r="E3023" s="569" t="s">
        <v>796</v>
      </c>
      <c r="F3023" s="569" t="s">
        <v>271</v>
      </c>
      <c r="G3023" s="569">
        <v>2019</v>
      </c>
      <c r="H3023" s="569" t="s">
        <v>5190</v>
      </c>
      <c r="I3023" s="569" t="s">
        <v>5223</v>
      </c>
      <c r="J3023" s="569" t="s">
        <v>752</v>
      </c>
      <c r="K3023" s="569">
        <v>6</v>
      </c>
      <c r="L3023" s="569">
        <v>0</v>
      </c>
      <c r="M3023" s="569" t="s">
        <v>157</v>
      </c>
      <c r="N3023" s="569">
        <v>2</v>
      </c>
      <c r="O3023" s="569" t="s">
        <v>3846</v>
      </c>
      <c r="P3023" s="568">
        <v>21000</v>
      </c>
      <c r="Q3023" s="569" t="s">
        <v>4231</v>
      </c>
      <c r="R3023" s="569">
        <v>8</v>
      </c>
      <c r="S3023" s="569" t="s">
        <v>5198</v>
      </c>
      <c r="T3023" s="569" t="s">
        <v>5204</v>
      </c>
      <c r="U3023" s="569">
        <v>176</v>
      </c>
      <c r="V3023" s="569">
        <v>48</v>
      </c>
      <c r="W3023" s="620">
        <v>14000</v>
      </c>
      <c r="X3023" s="621" t="s">
        <v>157</v>
      </c>
      <c r="Y3023" s="621" t="s">
        <v>728</v>
      </c>
      <c r="Z3023" s="621" t="s">
        <v>1523</v>
      </c>
      <c r="AA3023" s="622">
        <v>60935</v>
      </c>
      <c r="AB3023" s="622" t="s">
        <v>164</v>
      </c>
      <c r="AC3023" s="622">
        <v>52935.052631578954</v>
      </c>
      <c r="AD3023" s="623">
        <v>0.03</v>
      </c>
      <c r="AE3023" s="621" t="s">
        <v>5228</v>
      </c>
    </row>
    <row r="3024" spans="1:31" s="572" customFormat="1" ht="30">
      <c r="A3024" s="570" t="s">
        <v>5229</v>
      </c>
      <c r="B3024" s="573" t="s">
        <v>278</v>
      </c>
      <c r="C3024" s="578">
        <v>15</v>
      </c>
      <c r="D3024" s="573" t="s">
        <v>3374</v>
      </c>
      <c r="E3024" s="573" t="s">
        <v>796</v>
      </c>
      <c r="F3024" s="573" t="s">
        <v>271</v>
      </c>
      <c r="G3024" s="573">
        <v>2019</v>
      </c>
      <c r="H3024" s="573" t="s">
        <v>5190</v>
      </c>
      <c r="I3024" s="573" t="s">
        <v>5223</v>
      </c>
      <c r="J3024" s="573" t="s">
        <v>752</v>
      </c>
      <c r="K3024" s="573">
        <v>6</v>
      </c>
      <c r="L3024" s="573">
        <v>0</v>
      </c>
      <c r="M3024" s="573" t="s">
        <v>157</v>
      </c>
      <c r="N3024" s="573">
        <v>2</v>
      </c>
      <c r="O3024" s="573" t="s">
        <v>3846</v>
      </c>
      <c r="P3024" s="571">
        <v>21000</v>
      </c>
      <c r="Q3024" s="573" t="s">
        <v>4231</v>
      </c>
      <c r="R3024" s="573">
        <v>8</v>
      </c>
      <c r="S3024" s="582" t="s">
        <v>5192</v>
      </c>
      <c r="T3024" s="573" t="s">
        <v>5204</v>
      </c>
      <c r="U3024" s="573">
        <v>176</v>
      </c>
      <c r="V3024" s="573">
        <v>48</v>
      </c>
      <c r="W3024" s="616">
        <v>14000</v>
      </c>
      <c r="X3024" s="617" t="s">
        <v>157</v>
      </c>
      <c r="Y3024" s="617" t="s">
        <v>728</v>
      </c>
      <c r="Z3024" s="617" t="s">
        <v>1523</v>
      </c>
      <c r="AA3024" s="618">
        <v>60935</v>
      </c>
      <c r="AB3024" s="618" t="s">
        <v>164</v>
      </c>
      <c r="AC3024" s="618">
        <v>53300</v>
      </c>
      <c r="AD3024" s="619">
        <v>0.01</v>
      </c>
      <c r="AE3024" s="617" t="s">
        <v>5230</v>
      </c>
    </row>
    <row r="3025" spans="1:31" s="572" customFormat="1" ht="30">
      <c r="A3025" s="570" t="s">
        <v>5231</v>
      </c>
      <c r="B3025" s="569" t="s">
        <v>280</v>
      </c>
      <c r="C3025" s="580">
        <v>27</v>
      </c>
      <c r="D3025" s="569" t="s">
        <v>3374</v>
      </c>
      <c r="E3025" s="569" t="s">
        <v>796</v>
      </c>
      <c r="F3025" s="569" t="s">
        <v>271</v>
      </c>
      <c r="G3025" s="569">
        <v>2019</v>
      </c>
      <c r="H3025" s="569" t="s">
        <v>5190</v>
      </c>
      <c r="I3025" s="569" t="s">
        <v>5223</v>
      </c>
      <c r="J3025" s="569" t="s">
        <v>752</v>
      </c>
      <c r="K3025" s="569">
        <v>6</v>
      </c>
      <c r="L3025" s="569">
        <v>0</v>
      </c>
      <c r="M3025" s="569" t="s">
        <v>157</v>
      </c>
      <c r="N3025" s="569">
        <v>2</v>
      </c>
      <c r="O3025" s="569" t="s">
        <v>3846</v>
      </c>
      <c r="P3025" s="568">
        <v>21000</v>
      </c>
      <c r="Q3025" s="569" t="s">
        <v>4231</v>
      </c>
      <c r="R3025" s="569">
        <v>8</v>
      </c>
      <c r="S3025" s="569" t="s">
        <v>5198</v>
      </c>
      <c r="T3025" s="569" t="s">
        <v>5204</v>
      </c>
      <c r="U3025" s="569">
        <v>176</v>
      </c>
      <c r="V3025" s="569">
        <v>48</v>
      </c>
      <c r="W3025" s="620">
        <v>14000</v>
      </c>
      <c r="X3025" s="621" t="s">
        <v>157</v>
      </c>
      <c r="Y3025" s="621" t="s">
        <v>728</v>
      </c>
      <c r="Z3025" s="621" t="s">
        <v>1523</v>
      </c>
      <c r="AA3025" s="622">
        <v>60935</v>
      </c>
      <c r="AB3025" s="622" t="s">
        <v>164</v>
      </c>
      <c r="AC3025" s="622">
        <v>52935.052631578954</v>
      </c>
      <c r="AD3025" s="623">
        <v>0.03</v>
      </c>
      <c r="AE3025" s="621" t="s">
        <v>5228</v>
      </c>
    </row>
    <row r="3026" spans="1:31" s="572" customFormat="1" ht="30">
      <c r="A3026" s="570" t="s">
        <v>5232</v>
      </c>
      <c r="B3026" s="573" t="s">
        <v>269</v>
      </c>
      <c r="C3026" s="578" t="s">
        <v>270</v>
      </c>
      <c r="D3026" s="573" t="s">
        <v>3374</v>
      </c>
      <c r="E3026" s="573" t="s">
        <v>211</v>
      </c>
      <c r="F3026" s="573" t="s">
        <v>271</v>
      </c>
      <c r="G3026" s="573">
        <v>2019</v>
      </c>
      <c r="H3026" s="573" t="s">
        <v>5234</v>
      </c>
      <c r="I3026" s="573" t="s">
        <v>5235</v>
      </c>
      <c r="J3026" s="573" t="s">
        <v>3377</v>
      </c>
      <c r="K3026" s="573">
        <v>4</v>
      </c>
      <c r="L3026" s="573">
        <v>0</v>
      </c>
      <c r="M3026" s="573" t="s">
        <v>157</v>
      </c>
      <c r="N3026" s="573">
        <v>2</v>
      </c>
      <c r="O3026" s="573" t="s">
        <v>157</v>
      </c>
      <c r="P3026" s="571">
        <v>7500</v>
      </c>
      <c r="Q3026" s="573" t="s">
        <v>1235</v>
      </c>
      <c r="R3026" s="573">
        <v>4</v>
      </c>
      <c r="S3026" s="582" t="s">
        <v>5236</v>
      </c>
      <c r="T3026" s="573" t="s">
        <v>276</v>
      </c>
      <c r="U3026" s="573">
        <v>127</v>
      </c>
      <c r="V3026" s="573">
        <v>18</v>
      </c>
      <c r="W3026" s="616">
        <v>6050</v>
      </c>
      <c r="X3026" s="617">
        <v>23</v>
      </c>
      <c r="Y3026" s="617" t="s">
        <v>178</v>
      </c>
      <c r="Z3026" s="617" t="s">
        <v>178</v>
      </c>
      <c r="AA3026" s="618">
        <v>25095</v>
      </c>
      <c r="AB3026" s="618" t="s">
        <v>164</v>
      </c>
      <c r="AC3026" s="618">
        <v>22454.375</v>
      </c>
      <c r="AD3026" s="619">
        <v>0.03</v>
      </c>
      <c r="AE3026" s="617" t="s">
        <v>5233</v>
      </c>
    </row>
    <row r="3027" spans="1:31" s="572" customFormat="1" ht="30">
      <c r="A3027" s="570" t="s">
        <v>5237</v>
      </c>
      <c r="B3027" s="569" t="s">
        <v>280</v>
      </c>
      <c r="C3027" s="580">
        <v>27</v>
      </c>
      <c r="D3027" s="569" t="s">
        <v>3374</v>
      </c>
      <c r="E3027" s="569" t="s">
        <v>211</v>
      </c>
      <c r="F3027" s="569" t="s">
        <v>271</v>
      </c>
      <c r="G3027" s="569">
        <v>2019</v>
      </c>
      <c r="H3027" s="569" t="s">
        <v>5234</v>
      </c>
      <c r="I3027" s="569" t="s">
        <v>5235</v>
      </c>
      <c r="J3027" s="569" t="s">
        <v>3377</v>
      </c>
      <c r="K3027" s="569">
        <v>4</v>
      </c>
      <c r="L3027" s="569">
        <v>0</v>
      </c>
      <c r="M3027" s="569" t="s">
        <v>157</v>
      </c>
      <c r="N3027" s="569">
        <v>2</v>
      </c>
      <c r="O3027" s="569" t="s">
        <v>157</v>
      </c>
      <c r="P3027" s="568">
        <v>7500</v>
      </c>
      <c r="Q3027" s="569" t="s">
        <v>1235</v>
      </c>
      <c r="R3027" s="569">
        <v>4</v>
      </c>
      <c r="S3027" s="569" t="s">
        <v>5236</v>
      </c>
      <c r="T3027" s="569" t="s">
        <v>276</v>
      </c>
      <c r="U3027" s="569">
        <v>127</v>
      </c>
      <c r="V3027" s="569">
        <v>18</v>
      </c>
      <c r="W3027" s="620">
        <v>6050</v>
      </c>
      <c r="X3027" s="621">
        <v>23</v>
      </c>
      <c r="Y3027" s="621" t="s">
        <v>178</v>
      </c>
      <c r="Z3027" s="621" t="s">
        <v>178</v>
      </c>
      <c r="AA3027" s="622">
        <v>25095</v>
      </c>
      <c r="AB3027" s="622" t="s">
        <v>164</v>
      </c>
      <c r="AC3027" s="622">
        <v>22454.375</v>
      </c>
      <c r="AD3027" s="623">
        <v>0.03</v>
      </c>
      <c r="AE3027" s="621" t="s">
        <v>5233</v>
      </c>
    </row>
    <row r="3028" spans="1:31" s="572" customFormat="1">
      <c r="A3028" s="570" t="s">
        <v>5238</v>
      </c>
      <c r="B3028" s="573" t="s">
        <v>269</v>
      </c>
      <c r="C3028" s="578" t="s">
        <v>270</v>
      </c>
      <c r="D3028" s="573" t="s">
        <v>3374</v>
      </c>
      <c r="E3028" s="573" t="s">
        <v>211</v>
      </c>
      <c r="F3028" s="573" t="s">
        <v>271</v>
      </c>
      <c r="G3028" s="573">
        <v>2019</v>
      </c>
      <c r="H3028" s="573" t="s">
        <v>5234</v>
      </c>
      <c r="I3028" s="573" t="s">
        <v>4207</v>
      </c>
      <c r="J3028" s="573" t="s">
        <v>3377</v>
      </c>
      <c r="K3028" s="573">
        <v>4</v>
      </c>
      <c r="L3028" s="573">
        <v>0</v>
      </c>
      <c r="M3028" s="573" t="s">
        <v>157</v>
      </c>
      <c r="N3028" s="573">
        <v>2</v>
      </c>
      <c r="O3028" s="573" t="s">
        <v>5240</v>
      </c>
      <c r="P3028" s="571">
        <v>7500</v>
      </c>
      <c r="Q3028" s="573" t="s">
        <v>1235</v>
      </c>
      <c r="R3028" s="573">
        <v>4</v>
      </c>
      <c r="S3028" s="582" t="s">
        <v>5241</v>
      </c>
      <c r="T3028" s="573" t="s">
        <v>276</v>
      </c>
      <c r="U3028" s="573">
        <v>127</v>
      </c>
      <c r="V3028" s="573">
        <v>18</v>
      </c>
      <c r="W3028" s="616">
        <v>6050</v>
      </c>
      <c r="X3028" s="617">
        <v>23</v>
      </c>
      <c r="Y3028" s="617" t="s">
        <v>178</v>
      </c>
      <c r="Z3028" s="617" t="s">
        <v>178</v>
      </c>
      <c r="AA3028" s="618">
        <v>25395</v>
      </c>
      <c r="AB3028" s="618" t="s">
        <v>164</v>
      </c>
      <c r="AC3028" s="618">
        <v>22735.729166666668</v>
      </c>
      <c r="AD3028" s="619">
        <v>0.03</v>
      </c>
      <c r="AE3028" s="617" t="s">
        <v>5239</v>
      </c>
    </row>
    <row r="3029" spans="1:31" s="572" customFormat="1">
      <c r="A3029" s="570" t="s">
        <v>5242</v>
      </c>
      <c r="B3029" s="569" t="s">
        <v>280</v>
      </c>
      <c r="C3029" s="580">
        <v>27</v>
      </c>
      <c r="D3029" s="569" t="s">
        <v>3374</v>
      </c>
      <c r="E3029" s="569" t="s">
        <v>211</v>
      </c>
      <c r="F3029" s="569" t="s">
        <v>271</v>
      </c>
      <c r="G3029" s="569">
        <v>2019</v>
      </c>
      <c r="H3029" s="569" t="s">
        <v>5234</v>
      </c>
      <c r="I3029" s="569" t="s">
        <v>4207</v>
      </c>
      <c r="J3029" s="569" t="s">
        <v>3377</v>
      </c>
      <c r="K3029" s="569">
        <v>4</v>
      </c>
      <c r="L3029" s="569">
        <v>0</v>
      </c>
      <c r="M3029" s="569" t="s">
        <v>157</v>
      </c>
      <c r="N3029" s="569">
        <v>2</v>
      </c>
      <c r="O3029" s="569" t="s">
        <v>5240</v>
      </c>
      <c r="P3029" s="568">
        <v>7500</v>
      </c>
      <c r="Q3029" s="569" t="s">
        <v>1235</v>
      </c>
      <c r="R3029" s="569">
        <v>4</v>
      </c>
      <c r="S3029" s="569" t="s">
        <v>5241</v>
      </c>
      <c r="T3029" s="569" t="s">
        <v>276</v>
      </c>
      <c r="U3029" s="569">
        <v>127</v>
      </c>
      <c r="V3029" s="569">
        <v>18</v>
      </c>
      <c r="W3029" s="620">
        <v>6050</v>
      </c>
      <c r="X3029" s="621">
        <v>23</v>
      </c>
      <c r="Y3029" s="621" t="s">
        <v>178</v>
      </c>
      <c r="Z3029" s="621" t="s">
        <v>178</v>
      </c>
      <c r="AA3029" s="622">
        <v>25395</v>
      </c>
      <c r="AB3029" s="622" t="s">
        <v>164</v>
      </c>
      <c r="AC3029" s="622">
        <v>22735.729166666668</v>
      </c>
      <c r="AD3029" s="623">
        <v>0.03</v>
      </c>
      <c r="AE3029" s="621" t="s">
        <v>5239</v>
      </c>
    </row>
    <row r="3030" spans="1:31" s="572" customFormat="1">
      <c r="A3030" s="570" t="s">
        <v>5243</v>
      </c>
      <c r="B3030" s="573" t="s">
        <v>269</v>
      </c>
      <c r="C3030" s="578" t="s">
        <v>270</v>
      </c>
      <c r="D3030" s="573" t="s">
        <v>3374</v>
      </c>
      <c r="E3030" s="573" t="s">
        <v>211</v>
      </c>
      <c r="F3030" s="573" t="s">
        <v>271</v>
      </c>
      <c r="G3030" s="573">
        <v>2019</v>
      </c>
      <c r="H3030" s="573" t="s">
        <v>5234</v>
      </c>
      <c r="I3030" s="573" t="s">
        <v>4207</v>
      </c>
      <c r="J3030" s="573" t="s">
        <v>752</v>
      </c>
      <c r="K3030" s="573">
        <v>4</v>
      </c>
      <c r="L3030" s="573">
        <v>0</v>
      </c>
      <c r="M3030" s="573"/>
      <c r="N3030" s="573">
        <v>2</v>
      </c>
      <c r="O3030" s="573" t="s">
        <v>5240</v>
      </c>
      <c r="P3030" s="571">
        <v>7500</v>
      </c>
      <c r="Q3030" s="573" t="s">
        <v>1235</v>
      </c>
      <c r="R3030" s="573">
        <v>4</v>
      </c>
      <c r="S3030" s="582" t="s">
        <v>5245</v>
      </c>
      <c r="T3030" s="573" t="s">
        <v>276</v>
      </c>
      <c r="U3030" s="573">
        <v>127</v>
      </c>
      <c r="V3030" s="573">
        <v>18</v>
      </c>
      <c r="W3030" s="616">
        <v>6050</v>
      </c>
      <c r="X3030" s="617">
        <v>23</v>
      </c>
      <c r="Y3030" s="617" t="s">
        <v>178</v>
      </c>
      <c r="Z3030" s="617" t="s">
        <v>178</v>
      </c>
      <c r="AA3030" s="618">
        <v>29555</v>
      </c>
      <c r="AB3030" s="618" t="s">
        <v>164</v>
      </c>
      <c r="AC3030" s="618">
        <v>24436.666666666668</v>
      </c>
      <c r="AD3030" s="619">
        <v>0.03</v>
      </c>
      <c r="AE3030" s="617" t="s">
        <v>5244</v>
      </c>
    </row>
    <row r="3031" spans="1:31" s="572" customFormat="1">
      <c r="A3031" s="570" t="s">
        <v>5246</v>
      </c>
      <c r="B3031" s="569" t="s">
        <v>280</v>
      </c>
      <c r="C3031" s="580">
        <v>27</v>
      </c>
      <c r="D3031" s="569" t="s">
        <v>3374</v>
      </c>
      <c r="E3031" s="569" t="s">
        <v>211</v>
      </c>
      <c r="F3031" s="569" t="s">
        <v>271</v>
      </c>
      <c r="G3031" s="569">
        <v>2019</v>
      </c>
      <c r="H3031" s="569" t="s">
        <v>5234</v>
      </c>
      <c r="I3031" s="569" t="s">
        <v>4207</v>
      </c>
      <c r="J3031" s="569" t="s">
        <v>752</v>
      </c>
      <c r="K3031" s="569">
        <v>4</v>
      </c>
      <c r="L3031" s="569">
        <v>0</v>
      </c>
      <c r="M3031" s="569" t="s">
        <v>157</v>
      </c>
      <c r="N3031" s="569">
        <v>2</v>
      </c>
      <c r="O3031" s="569" t="s">
        <v>5240</v>
      </c>
      <c r="P3031" s="568">
        <v>7500</v>
      </c>
      <c r="Q3031" s="569" t="s">
        <v>1235</v>
      </c>
      <c r="R3031" s="569">
        <v>4</v>
      </c>
      <c r="S3031" s="569" t="s">
        <v>5245</v>
      </c>
      <c r="T3031" s="569" t="s">
        <v>276</v>
      </c>
      <c r="U3031" s="569">
        <v>127</v>
      </c>
      <c r="V3031" s="569">
        <v>18</v>
      </c>
      <c r="W3031" s="620">
        <v>6050</v>
      </c>
      <c r="X3031" s="621">
        <v>23</v>
      </c>
      <c r="Y3031" s="621" t="s">
        <v>178</v>
      </c>
      <c r="Z3031" s="621" t="s">
        <v>178</v>
      </c>
      <c r="AA3031" s="622">
        <v>29555</v>
      </c>
      <c r="AB3031" s="622" t="s">
        <v>164</v>
      </c>
      <c r="AC3031" s="622">
        <v>24436.666666666668</v>
      </c>
      <c r="AD3031" s="623">
        <v>0.03</v>
      </c>
      <c r="AE3031" s="621" t="s">
        <v>5244</v>
      </c>
    </row>
    <row r="3032" spans="1:31" s="572" customFormat="1">
      <c r="A3032" s="570" t="s">
        <v>5247</v>
      </c>
      <c r="B3032" s="573" t="s">
        <v>269</v>
      </c>
      <c r="C3032" s="578" t="s">
        <v>270</v>
      </c>
      <c r="D3032" s="573" t="s">
        <v>3374</v>
      </c>
      <c r="E3032" s="573" t="s">
        <v>211</v>
      </c>
      <c r="F3032" s="573" t="s">
        <v>271</v>
      </c>
      <c r="G3032" s="573">
        <v>2019</v>
      </c>
      <c r="H3032" s="573" t="s">
        <v>5234</v>
      </c>
      <c r="I3032" s="573" t="s">
        <v>5249</v>
      </c>
      <c r="J3032" s="573" t="s">
        <v>3377</v>
      </c>
      <c r="K3032" s="573">
        <v>4</v>
      </c>
      <c r="L3032" s="573">
        <v>0</v>
      </c>
      <c r="M3032" s="573"/>
      <c r="N3032" s="573">
        <v>2</v>
      </c>
      <c r="O3032" s="573" t="s">
        <v>5240</v>
      </c>
      <c r="P3032" s="571">
        <v>7500</v>
      </c>
      <c r="Q3032" s="573" t="s">
        <v>1235</v>
      </c>
      <c r="R3032" s="573">
        <v>4</v>
      </c>
      <c r="S3032" s="582" t="s">
        <v>5241</v>
      </c>
      <c r="T3032" s="573" t="s">
        <v>318</v>
      </c>
      <c r="U3032" s="573">
        <v>127</v>
      </c>
      <c r="V3032" s="573">
        <v>18</v>
      </c>
      <c r="W3032" s="616">
        <v>6050</v>
      </c>
      <c r="X3032" s="617">
        <v>23</v>
      </c>
      <c r="Y3032" s="617" t="s">
        <v>178</v>
      </c>
      <c r="Z3032" s="617" t="s">
        <v>178</v>
      </c>
      <c r="AA3032" s="618">
        <v>29035</v>
      </c>
      <c r="AB3032" s="618" t="s">
        <v>164</v>
      </c>
      <c r="AC3032" s="618">
        <v>25846.197916666668</v>
      </c>
      <c r="AD3032" s="619">
        <v>0.03</v>
      </c>
      <c r="AE3032" s="617" t="s">
        <v>5248</v>
      </c>
    </row>
    <row r="3033" spans="1:31" s="572" customFormat="1">
      <c r="A3033" s="570" t="s">
        <v>5250</v>
      </c>
      <c r="B3033" s="569" t="s">
        <v>280</v>
      </c>
      <c r="C3033" s="580">
        <v>27</v>
      </c>
      <c r="D3033" s="569" t="s">
        <v>3374</v>
      </c>
      <c r="E3033" s="569" t="s">
        <v>211</v>
      </c>
      <c r="F3033" s="569" t="s">
        <v>271</v>
      </c>
      <c r="G3033" s="569">
        <v>2019</v>
      </c>
      <c r="H3033" s="569" t="s">
        <v>5234</v>
      </c>
      <c r="I3033" s="569" t="s">
        <v>5249</v>
      </c>
      <c r="J3033" s="569" t="s">
        <v>3377</v>
      </c>
      <c r="K3033" s="569">
        <v>4</v>
      </c>
      <c r="L3033" s="569">
        <v>0</v>
      </c>
      <c r="M3033" s="569" t="s">
        <v>157</v>
      </c>
      <c r="N3033" s="569">
        <v>2</v>
      </c>
      <c r="O3033" s="569" t="s">
        <v>5240</v>
      </c>
      <c r="P3033" s="568">
        <v>7500</v>
      </c>
      <c r="Q3033" s="569" t="s">
        <v>1235</v>
      </c>
      <c r="R3033" s="569">
        <v>4</v>
      </c>
      <c r="S3033" s="569" t="s">
        <v>5241</v>
      </c>
      <c r="T3033" s="569" t="s">
        <v>318</v>
      </c>
      <c r="U3033" s="569">
        <v>127</v>
      </c>
      <c r="V3033" s="569">
        <v>18</v>
      </c>
      <c r="W3033" s="620">
        <v>6050</v>
      </c>
      <c r="X3033" s="621">
        <v>23</v>
      </c>
      <c r="Y3033" s="621" t="s">
        <v>178</v>
      </c>
      <c r="Z3033" s="621" t="s">
        <v>178</v>
      </c>
      <c r="AA3033" s="622">
        <v>29035</v>
      </c>
      <c r="AB3033" s="622" t="s">
        <v>164</v>
      </c>
      <c r="AC3033" s="622">
        <v>25846.197916666668</v>
      </c>
      <c r="AD3033" s="623">
        <v>0.03</v>
      </c>
      <c r="AE3033" s="621" t="s">
        <v>5248</v>
      </c>
    </row>
    <row r="3034" spans="1:31" s="572" customFormat="1">
      <c r="A3034" s="570" t="s">
        <v>5251</v>
      </c>
      <c r="B3034" s="573" t="s">
        <v>269</v>
      </c>
      <c r="C3034" s="578" t="s">
        <v>270</v>
      </c>
      <c r="D3034" s="573" t="s">
        <v>3374</v>
      </c>
      <c r="E3034" s="573" t="s">
        <v>211</v>
      </c>
      <c r="F3034" s="573" t="s">
        <v>271</v>
      </c>
      <c r="G3034" s="573">
        <v>2019</v>
      </c>
      <c r="H3034" s="573" t="s">
        <v>5234</v>
      </c>
      <c r="I3034" s="573" t="s">
        <v>5249</v>
      </c>
      <c r="J3034" s="573" t="s">
        <v>752</v>
      </c>
      <c r="K3034" s="573">
        <v>4</v>
      </c>
      <c r="L3034" s="573">
        <v>0</v>
      </c>
      <c r="M3034" s="573"/>
      <c r="N3034" s="573">
        <v>2</v>
      </c>
      <c r="O3034" s="573" t="s">
        <v>5240</v>
      </c>
      <c r="P3034" s="571">
        <v>7500</v>
      </c>
      <c r="Q3034" s="573" t="s">
        <v>1235</v>
      </c>
      <c r="R3034" s="573">
        <v>4</v>
      </c>
      <c r="S3034" s="582" t="s">
        <v>5245</v>
      </c>
      <c r="T3034" s="573" t="s">
        <v>318</v>
      </c>
      <c r="U3034" s="573">
        <v>127</v>
      </c>
      <c r="V3034" s="573">
        <v>18</v>
      </c>
      <c r="W3034" s="616">
        <v>6050</v>
      </c>
      <c r="X3034" s="617">
        <v>23</v>
      </c>
      <c r="Y3034" s="617" t="s">
        <v>178</v>
      </c>
      <c r="Z3034" s="617" t="s">
        <v>178</v>
      </c>
      <c r="AA3034" s="618">
        <v>33035</v>
      </c>
      <c r="AB3034" s="618" t="s">
        <v>164</v>
      </c>
      <c r="AC3034" s="618">
        <v>27356.614583333332</v>
      </c>
      <c r="AD3034" s="619">
        <v>0.03</v>
      </c>
      <c r="AE3034" s="617" t="s">
        <v>5252</v>
      </c>
    </row>
    <row r="3035" spans="1:31" s="572" customFormat="1">
      <c r="A3035" s="570" t="s">
        <v>5253</v>
      </c>
      <c r="B3035" s="569" t="s">
        <v>280</v>
      </c>
      <c r="C3035" s="580">
        <v>27</v>
      </c>
      <c r="D3035" s="569" t="s">
        <v>3374</v>
      </c>
      <c r="E3035" s="569" t="s">
        <v>211</v>
      </c>
      <c r="F3035" s="569" t="s">
        <v>271</v>
      </c>
      <c r="G3035" s="569">
        <v>2019</v>
      </c>
      <c r="H3035" s="569" t="s">
        <v>5234</v>
      </c>
      <c r="I3035" s="569" t="s">
        <v>5249</v>
      </c>
      <c r="J3035" s="569" t="s">
        <v>752</v>
      </c>
      <c r="K3035" s="569">
        <v>4</v>
      </c>
      <c r="L3035" s="569">
        <v>0</v>
      </c>
      <c r="M3035" s="569" t="s">
        <v>157</v>
      </c>
      <c r="N3035" s="569">
        <v>2</v>
      </c>
      <c r="O3035" s="569" t="s">
        <v>5240</v>
      </c>
      <c r="P3035" s="568">
        <v>7500</v>
      </c>
      <c r="Q3035" s="569" t="s">
        <v>1235</v>
      </c>
      <c r="R3035" s="569">
        <v>4</v>
      </c>
      <c r="S3035" s="569" t="s">
        <v>5245</v>
      </c>
      <c r="T3035" s="569" t="s">
        <v>318</v>
      </c>
      <c r="U3035" s="569">
        <v>127</v>
      </c>
      <c r="V3035" s="569">
        <v>18</v>
      </c>
      <c r="W3035" s="620">
        <v>6050</v>
      </c>
      <c r="X3035" s="621">
        <v>23</v>
      </c>
      <c r="Y3035" s="621" t="s">
        <v>178</v>
      </c>
      <c r="Z3035" s="621" t="s">
        <v>178</v>
      </c>
      <c r="AA3035" s="622">
        <v>33035</v>
      </c>
      <c r="AB3035" s="622" t="s">
        <v>164</v>
      </c>
      <c r="AC3035" s="622">
        <v>27356.614583333332</v>
      </c>
      <c r="AD3035" s="623">
        <v>0.03</v>
      </c>
      <c r="AE3035" s="621" t="s">
        <v>5252</v>
      </c>
    </row>
    <row r="3036" spans="1:31" s="572" customFormat="1">
      <c r="A3036" s="570" t="s">
        <v>5254</v>
      </c>
      <c r="B3036" s="573" t="s">
        <v>269</v>
      </c>
      <c r="C3036" s="578" t="s">
        <v>270</v>
      </c>
      <c r="D3036" s="573" t="s">
        <v>3374</v>
      </c>
      <c r="E3036" s="573" t="s">
        <v>211</v>
      </c>
      <c r="F3036" s="573" t="s">
        <v>271</v>
      </c>
      <c r="G3036" s="573">
        <v>2019</v>
      </c>
      <c r="H3036" s="573" t="s">
        <v>5234</v>
      </c>
      <c r="I3036" s="573" t="s">
        <v>5256</v>
      </c>
      <c r="J3036" s="573" t="s">
        <v>3377</v>
      </c>
      <c r="K3036" s="573">
        <v>5</v>
      </c>
      <c r="L3036" s="573">
        <v>0</v>
      </c>
      <c r="M3036" s="573"/>
      <c r="N3036" s="573">
        <v>2</v>
      </c>
      <c r="O3036" s="573" t="s">
        <v>5257</v>
      </c>
      <c r="P3036" s="571">
        <v>7500</v>
      </c>
      <c r="Q3036" s="573" t="s">
        <v>1235</v>
      </c>
      <c r="R3036" s="573">
        <v>4</v>
      </c>
      <c r="S3036" s="582" t="s">
        <v>5258</v>
      </c>
      <c r="T3036" s="573" t="s">
        <v>276</v>
      </c>
      <c r="U3036" s="573">
        <v>127</v>
      </c>
      <c r="V3036" s="573">
        <v>18</v>
      </c>
      <c r="W3036" s="616">
        <v>6050</v>
      </c>
      <c r="X3036" s="617">
        <v>23</v>
      </c>
      <c r="Y3036" s="617" t="s">
        <v>178</v>
      </c>
      <c r="Z3036" s="617" t="s">
        <v>178</v>
      </c>
      <c r="AA3036" s="618">
        <v>27615</v>
      </c>
      <c r="AB3036" s="618" t="s">
        <v>164</v>
      </c>
      <c r="AC3036" s="618">
        <v>23768.958333333336</v>
      </c>
      <c r="AD3036" s="619">
        <v>0.03</v>
      </c>
      <c r="AE3036" s="617" t="s">
        <v>5255</v>
      </c>
    </row>
    <row r="3037" spans="1:31" s="572" customFormat="1">
      <c r="A3037" s="570" t="s">
        <v>5259</v>
      </c>
      <c r="B3037" s="569" t="s">
        <v>280</v>
      </c>
      <c r="C3037" s="580">
        <v>27</v>
      </c>
      <c r="D3037" s="569" t="s">
        <v>3374</v>
      </c>
      <c r="E3037" s="569" t="s">
        <v>211</v>
      </c>
      <c r="F3037" s="569" t="s">
        <v>271</v>
      </c>
      <c r="G3037" s="569">
        <v>2019</v>
      </c>
      <c r="H3037" s="569" t="s">
        <v>5234</v>
      </c>
      <c r="I3037" s="569" t="s">
        <v>5256</v>
      </c>
      <c r="J3037" s="569" t="s">
        <v>3377</v>
      </c>
      <c r="K3037" s="569">
        <v>5</v>
      </c>
      <c r="L3037" s="569">
        <v>0</v>
      </c>
      <c r="M3037" s="569" t="s">
        <v>157</v>
      </c>
      <c r="N3037" s="569">
        <v>2</v>
      </c>
      <c r="O3037" s="569" t="s">
        <v>5257</v>
      </c>
      <c r="P3037" s="568">
        <v>7500</v>
      </c>
      <c r="Q3037" s="569" t="s">
        <v>1235</v>
      </c>
      <c r="R3037" s="569">
        <v>4</v>
      </c>
      <c r="S3037" s="569" t="s">
        <v>5258</v>
      </c>
      <c r="T3037" s="569" t="s">
        <v>276</v>
      </c>
      <c r="U3037" s="569">
        <v>127</v>
      </c>
      <c r="V3037" s="569">
        <v>18</v>
      </c>
      <c r="W3037" s="620">
        <v>6050</v>
      </c>
      <c r="X3037" s="621">
        <v>23</v>
      </c>
      <c r="Y3037" s="621" t="s">
        <v>178</v>
      </c>
      <c r="Z3037" s="621" t="s">
        <v>178</v>
      </c>
      <c r="AA3037" s="622">
        <v>27615</v>
      </c>
      <c r="AB3037" s="622" t="s">
        <v>164</v>
      </c>
      <c r="AC3037" s="622">
        <v>23768.958333333336</v>
      </c>
      <c r="AD3037" s="623">
        <v>0.03</v>
      </c>
      <c r="AE3037" s="621" t="s">
        <v>5255</v>
      </c>
    </row>
    <row r="3038" spans="1:31" s="572" customFormat="1">
      <c r="A3038" s="570" t="s">
        <v>5260</v>
      </c>
      <c r="B3038" s="573" t="s">
        <v>269</v>
      </c>
      <c r="C3038" s="578" t="s">
        <v>270</v>
      </c>
      <c r="D3038" s="573" t="s">
        <v>3374</v>
      </c>
      <c r="E3038" s="573" t="s">
        <v>211</v>
      </c>
      <c r="F3038" s="573" t="s">
        <v>271</v>
      </c>
      <c r="G3038" s="573">
        <v>2019</v>
      </c>
      <c r="H3038" s="573" t="s">
        <v>5234</v>
      </c>
      <c r="I3038" s="573" t="s">
        <v>5256</v>
      </c>
      <c r="J3038" s="573" t="s">
        <v>752</v>
      </c>
      <c r="K3038" s="573">
        <v>5</v>
      </c>
      <c r="L3038" s="573">
        <v>0</v>
      </c>
      <c r="M3038" s="573"/>
      <c r="N3038" s="573">
        <v>2</v>
      </c>
      <c r="O3038" s="573" t="s">
        <v>5257</v>
      </c>
      <c r="P3038" s="571">
        <v>7500</v>
      </c>
      <c r="Q3038" s="573" t="s">
        <v>1235</v>
      </c>
      <c r="R3038" s="573">
        <v>4</v>
      </c>
      <c r="S3038" s="582" t="s">
        <v>5262</v>
      </c>
      <c r="T3038" s="573" t="s">
        <v>276</v>
      </c>
      <c r="U3038" s="573">
        <v>127</v>
      </c>
      <c r="V3038" s="573">
        <v>18</v>
      </c>
      <c r="W3038" s="616">
        <v>6050</v>
      </c>
      <c r="X3038" s="617">
        <v>23</v>
      </c>
      <c r="Y3038" s="617" t="s">
        <v>178</v>
      </c>
      <c r="Z3038" s="617" t="s">
        <v>178</v>
      </c>
      <c r="AA3038" s="618">
        <v>31775</v>
      </c>
      <c r="AB3038" s="618" t="s">
        <v>164</v>
      </c>
      <c r="AC3038" s="618">
        <v>26511.666666666668</v>
      </c>
      <c r="AD3038" s="619">
        <v>0.03</v>
      </c>
      <c r="AE3038" s="617" t="s">
        <v>5261</v>
      </c>
    </row>
    <row r="3039" spans="1:31" s="572" customFormat="1">
      <c r="A3039" s="570" t="s">
        <v>5263</v>
      </c>
      <c r="B3039" s="569" t="s">
        <v>280</v>
      </c>
      <c r="C3039" s="580">
        <v>27</v>
      </c>
      <c r="D3039" s="569" t="s">
        <v>3374</v>
      </c>
      <c r="E3039" s="569" t="s">
        <v>211</v>
      </c>
      <c r="F3039" s="569" t="s">
        <v>271</v>
      </c>
      <c r="G3039" s="569">
        <v>2019</v>
      </c>
      <c r="H3039" s="569" t="s">
        <v>5234</v>
      </c>
      <c r="I3039" s="569" t="s">
        <v>5256</v>
      </c>
      <c r="J3039" s="569" t="s">
        <v>752</v>
      </c>
      <c r="K3039" s="569">
        <v>5</v>
      </c>
      <c r="L3039" s="569">
        <v>0</v>
      </c>
      <c r="M3039" s="569" t="s">
        <v>157</v>
      </c>
      <c r="N3039" s="569">
        <v>2</v>
      </c>
      <c r="O3039" s="569" t="s">
        <v>5257</v>
      </c>
      <c r="P3039" s="568">
        <v>7500</v>
      </c>
      <c r="Q3039" s="569" t="s">
        <v>1235</v>
      </c>
      <c r="R3039" s="569">
        <v>4</v>
      </c>
      <c r="S3039" s="569" t="s">
        <v>5262</v>
      </c>
      <c r="T3039" s="569" t="s">
        <v>276</v>
      </c>
      <c r="U3039" s="569">
        <v>127</v>
      </c>
      <c r="V3039" s="569">
        <v>18</v>
      </c>
      <c r="W3039" s="620">
        <v>6050</v>
      </c>
      <c r="X3039" s="621">
        <v>23</v>
      </c>
      <c r="Y3039" s="621" t="s">
        <v>178</v>
      </c>
      <c r="Z3039" s="621" t="s">
        <v>178</v>
      </c>
      <c r="AA3039" s="622">
        <v>31775</v>
      </c>
      <c r="AB3039" s="622" t="s">
        <v>164</v>
      </c>
      <c r="AC3039" s="622">
        <v>26511.666666666668</v>
      </c>
      <c r="AD3039" s="623">
        <v>0.03</v>
      </c>
      <c r="AE3039" s="621" t="s">
        <v>5261</v>
      </c>
    </row>
    <row r="3040" spans="1:31" s="572" customFormat="1">
      <c r="A3040" s="570" t="s">
        <v>5264</v>
      </c>
      <c r="B3040" s="573" t="s">
        <v>269</v>
      </c>
      <c r="C3040" s="578" t="s">
        <v>270</v>
      </c>
      <c r="D3040" s="573" t="s">
        <v>3374</v>
      </c>
      <c r="E3040" s="573" t="s">
        <v>211</v>
      </c>
      <c r="F3040" s="573" t="s">
        <v>271</v>
      </c>
      <c r="G3040" s="573">
        <v>2019</v>
      </c>
      <c r="H3040" s="573" t="s">
        <v>5234</v>
      </c>
      <c r="I3040" s="573" t="s">
        <v>5266</v>
      </c>
      <c r="J3040" s="573" t="s">
        <v>3377</v>
      </c>
      <c r="K3040" s="573">
        <v>5</v>
      </c>
      <c r="L3040" s="573">
        <v>0</v>
      </c>
      <c r="M3040" s="573"/>
      <c r="N3040" s="573">
        <v>2</v>
      </c>
      <c r="O3040" s="573" t="s">
        <v>5257</v>
      </c>
      <c r="P3040" s="571">
        <v>7500</v>
      </c>
      <c r="Q3040" s="573" t="s">
        <v>1235</v>
      </c>
      <c r="R3040" s="573">
        <v>4</v>
      </c>
      <c r="S3040" s="582" t="s">
        <v>5258</v>
      </c>
      <c r="T3040" s="573" t="s">
        <v>318</v>
      </c>
      <c r="U3040" s="573">
        <v>127</v>
      </c>
      <c r="V3040" s="573">
        <v>18</v>
      </c>
      <c r="W3040" s="616">
        <v>6050</v>
      </c>
      <c r="X3040" s="617">
        <v>23</v>
      </c>
      <c r="Y3040" s="617" t="s">
        <v>178</v>
      </c>
      <c r="Z3040" s="617" t="s">
        <v>178</v>
      </c>
      <c r="AA3040" s="618">
        <v>31210</v>
      </c>
      <c r="AB3040" s="618" t="s">
        <v>164</v>
      </c>
      <c r="AC3040" s="618">
        <v>26814.947916666668</v>
      </c>
      <c r="AD3040" s="619">
        <v>0.03</v>
      </c>
      <c r="AE3040" s="617" t="s">
        <v>5265</v>
      </c>
    </row>
    <row r="3041" spans="1:31" s="572" customFormat="1">
      <c r="A3041" s="570" t="s">
        <v>5267</v>
      </c>
      <c r="B3041" s="569" t="s">
        <v>280</v>
      </c>
      <c r="C3041" s="580">
        <v>27</v>
      </c>
      <c r="D3041" s="569" t="s">
        <v>3374</v>
      </c>
      <c r="E3041" s="569" t="s">
        <v>211</v>
      </c>
      <c r="F3041" s="569" t="s">
        <v>271</v>
      </c>
      <c r="G3041" s="569">
        <v>2019</v>
      </c>
      <c r="H3041" s="569" t="s">
        <v>5234</v>
      </c>
      <c r="I3041" s="569" t="s">
        <v>5266</v>
      </c>
      <c r="J3041" s="569" t="s">
        <v>3377</v>
      </c>
      <c r="K3041" s="569">
        <v>5</v>
      </c>
      <c r="L3041" s="569">
        <v>0</v>
      </c>
      <c r="M3041" s="569" t="s">
        <v>157</v>
      </c>
      <c r="N3041" s="569">
        <v>2</v>
      </c>
      <c r="O3041" s="569" t="s">
        <v>5257</v>
      </c>
      <c r="P3041" s="568">
        <v>7500</v>
      </c>
      <c r="Q3041" s="569" t="s">
        <v>1235</v>
      </c>
      <c r="R3041" s="569">
        <v>4</v>
      </c>
      <c r="S3041" s="569" t="s">
        <v>5258</v>
      </c>
      <c r="T3041" s="569" t="s">
        <v>318</v>
      </c>
      <c r="U3041" s="569">
        <v>127</v>
      </c>
      <c r="V3041" s="569">
        <v>18</v>
      </c>
      <c r="W3041" s="620">
        <v>6050</v>
      </c>
      <c r="X3041" s="621">
        <v>23</v>
      </c>
      <c r="Y3041" s="621" t="s">
        <v>178</v>
      </c>
      <c r="Z3041" s="621" t="s">
        <v>178</v>
      </c>
      <c r="AA3041" s="622">
        <v>31210</v>
      </c>
      <c r="AB3041" s="622" t="s">
        <v>164</v>
      </c>
      <c r="AC3041" s="622">
        <v>26814.947916666668</v>
      </c>
      <c r="AD3041" s="623">
        <v>0.03</v>
      </c>
      <c r="AE3041" s="621" t="s">
        <v>5265</v>
      </c>
    </row>
    <row r="3042" spans="1:31" s="572" customFormat="1">
      <c r="A3042" s="570" t="s">
        <v>5268</v>
      </c>
      <c r="B3042" s="573" t="s">
        <v>269</v>
      </c>
      <c r="C3042" s="578" t="s">
        <v>270</v>
      </c>
      <c r="D3042" s="573" t="s">
        <v>3374</v>
      </c>
      <c r="E3042" s="573" t="s">
        <v>211</v>
      </c>
      <c r="F3042" s="573" t="s">
        <v>271</v>
      </c>
      <c r="G3042" s="573">
        <v>2019</v>
      </c>
      <c r="H3042" s="573" t="s">
        <v>5234</v>
      </c>
      <c r="I3042" s="573" t="s">
        <v>5266</v>
      </c>
      <c r="J3042" s="573" t="s">
        <v>752</v>
      </c>
      <c r="K3042" s="573">
        <v>5</v>
      </c>
      <c r="L3042" s="573">
        <v>0</v>
      </c>
      <c r="M3042" s="573"/>
      <c r="N3042" s="573">
        <v>2</v>
      </c>
      <c r="O3042" s="573" t="s">
        <v>5257</v>
      </c>
      <c r="P3042" s="571">
        <v>7500</v>
      </c>
      <c r="Q3042" s="573" t="s">
        <v>1235</v>
      </c>
      <c r="R3042" s="573">
        <v>4</v>
      </c>
      <c r="S3042" s="582" t="s">
        <v>5262</v>
      </c>
      <c r="T3042" s="573" t="s">
        <v>318</v>
      </c>
      <c r="U3042" s="573">
        <v>127</v>
      </c>
      <c r="V3042" s="573">
        <v>18</v>
      </c>
      <c r="W3042" s="616">
        <v>6050</v>
      </c>
      <c r="X3042" s="617">
        <v>23</v>
      </c>
      <c r="Y3042" s="617" t="s">
        <v>178</v>
      </c>
      <c r="Z3042" s="617" t="s">
        <v>178</v>
      </c>
      <c r="AA3042" s="618">
        <v>35210</v>
      </c>
      <c r="AB3042" s="618" t="s">
        <v>164</v>
      </c>
      <c r="AC3042" s="618">
        <v>29367.03125</v>
      </c>
      <c r="AD3042" s="619">
        <v>0.03</v>
      </c>
      <c r="AE3042" s="617" t="s">
        <v>5269</v>
      </c>
    </row>
    <row r="3043" spans="1:31" s="572" customFormat="1">
      <c r="A3043" s="570" t="s">
        <v>5270</v>
      </c>
      <c r="B3043" s="569" t="s">
        <v>280</v>
      </c>
      <c r="C3043" s="580">
        <v>27</v>
      </c>
      <c r="D3043" s="569" t="s">
        <v>3374</v>
      </c>
      <c r="E3043" s="569" t="s">
        <v>211</v>
      </c>
      <c r="F3043" s="569" t="s">
        <v>271</v>
      </c>
      <c r="G3043" s="569">
        <v>2019</v>
      </c>
      <c r="H3043" s="569" t="s">
        <v>5234</v>
      </c>
      <c r="I3043" s="569" t="s">
        <v>5266</v>
      </c>
      <c r="J3043" s="569" t="s">
        <v>752</v>
      </c>
      <c r="K3043" s="569">
        <v>5</v>
      </c>
      <c r="L3043" s="569">
        <v>0</v>
      </c>
      <c r="M3043" s="569" t="s">
        <v>157</v>
      </c>
      <c r="N3043" s="569">
        <v>2</v>
      </c>
      <c r="O3043" s="569" t="s">
        <v>5257</v>
      </c>
      <c r="P3043" s="568">
        <v>7500</v>
      </c>
      <c r="Q3043" s="569" t="s">
        <v>1235</v>
      </c>
      <c r="R3043" s="569">
        <v>4</v>
      </c>
      <c r="S3043" s="569" t="s">
        <v>5262</v>
      </c>
      <c r="T3043" s="569" t="s">
        <v>318</v>
      </c>
      <c r="U3043" s="569">
        <v>127</v>
      </c>
      <c r="V3043" s="569">
        <v>18</v>
      </c>
      <c r="W3043" s="620">
        <v>6050</v>
      </c>
      <c r="X3043" s="621">
        <v>23</v>
      </c>
      <c r="Y3043" s="621" t="s">
        <v>178</v>
      </c>
      <c r="Z3043" s="621" t="s">
        <v>178</v>
      </c>
      <c r="AA3043" s="622">
        <v>35210</v>
      </c>
      <c r="AB3043" s="622" t="s">
        <v>164</v>
      </c>
      <c r="AC3043" s="622">
        <v>29367.03125</v>
      </c>
      <c r="AD3043" s="623">
        <v>0.03</v>
      </c>
      <c r="AE3043" s="621" t="s">
        <v>5269</v>
      </c>
    </row>
    <row r="3044" spans="1:31" s="572" customFormat="1">
      <c r="A3044" s="570" t="s">
        <v>5271</v>
      </c>
      <c r="B3044" s="573" t="s">
        <v>287</v>
      </c>
      <c r="C3044" s="578">
        <v>26</v>
      </c>
      <c r="D3044" s="573" t="s">
        <v>3374</v>
      </c>
      <c r="E3044" s="573" t="s">
        <v>211</v>
      </c>
      <c r="F3044" s="573" t="s">
        <v>271</v>
      </c>
      <c r="G3044" s="573">
        <v>2019</v>
      </c>
      <c r="H3044" s="573" t="s">
        <v>5234</v>
      </c>
      <c r="I3044" s="573" t="s">
        <v>5273</v>
      </c>
      <c r="J3044" s="573" t="s">
        <v>3377</v>
      </c>
      <c r="K3044" s="573">
        <v>5</v>
      </c>
      <c r="L3044" s="573">
        <v>0</v>
      </c>
      <c r="M3044" s="573" t="s">
        <v>157</v>
      </c>
      <c r="N3044" s="573">
        <v>2</v>
      </c>
      <c r="O3044" s="573" t="s">
        <v>5257</v>
      </c>
      <c r="P3044" s="571">
        <v>7500</v>
      </c>
      <c r="Q3044" s="573" t="s">
        <v>1245</v>
      </c>
      <c r="R3044" s="573">
        <v>4</v>
      </c>
      <c r="S3044" s="582" t="s">
        <v>5258</v>
      </c>
      <c r="T3044" s="573" t="s">
        <v>276</v>
      </c>
      <c r="U3044" s="573">
        <v>127</v>
      </c>
      <c r="V3044" s="573">
        <v>15.8</v>
      </c>
      <c r="W3044" s="616">
        <v>4232</v>
      </c>
      <c r="X3044" s="617">
        <v>24</v>
      </c>
      <c r="Y3044" s="617" t="s">
        <v>178</v>
      </c>
      <c r="Z3044" s="617" t="s">
        <v>178</v>
      </c>
      <c r="AA3044" s="618">
        <v>27615</v>
      </c>
      <c r="AB3044" s="618" t="s">
        <v>164</v>
      </c>
      <c r="AC3044" s="618">
        <v>24581</v>
      </c>
      <c r="AD3044" s="619">
        <v>0.05</v>
      </c>
      <c r="AE3044" s="617" t="s">
        <v>5272</v>
      </c>
    </row>
    <row r="3045" spans="1:31" s="572" customFormat="1">
      <c r="A3045" s="570" t="s">
        <v>5274</v>
      </c>
      <c r="B3045" s="569" t="s">
        <v>287</v>
      </c>
      <c r="C3045" s="580">
        <v>26</v>
      </c>
      <c r="D3045" s="569" t="s">
        <v>3374</v>
      </c>
      <c r="E3045" s="569" t="s">
        <v>211</v>
      </c>
      <c r="F3045" s="569" t="s">
        <v>271</v>
      </c>
      <c r="G3045" s="569">
        <v>2019</v>
      </c>
      <c r="H3045" s="569" t="s">
        <v>5234</v>
      </c>
      <c r="I3045" s="569" t="s">
        <v>5276</v>
      </c>
      <c r="J3045" s="569" t="s">
        <v>752</v>
      </c>
      <c r="K3045" s="569">
        <v>5</v>
      </c>
      <c r="L3045" s="569">
        <v>0</v>
      </c>
      <c r="M3045" s="569" t="s">
        <v>157</v>
      </c>
      <c r="N3045" s="569">
        <v>2</v>
      </c>
      <c r="O3045" s="569" t="s">
        <v>5257</v>
      </c>
      <c r="P3045" s="568">
        <v>7500</v>
      </c>
      <c r="Q3045" s="569" t="s">
        <v>1245</v>
      </c>
      <c r="R3045" s="569">
        <v>4</v>
      </c>
      <c r="S3045" s="569" t="s">
        <v>5262</v>
      </c>
      <c r="T3045" s="569" t="s">
        <v>276</v>
      </c>
      <c r="U3045" s="569">
        <v>127</v>
      </c>
      <c r="V3045" s="569">
        <v>15.8</v>
      </c>
      <c r="W3045" s="620">
        <v>4232</v>
      </c>
      <c r="X3045" s="621">
        <v>24</v>
      </c>
      <c r="Y3045" s="621" t="s">
        <v>178</v>
      </c>
      <c r="Z3045" s="621" t="s">
        <v>178</v>
      </c>
      <c r="AA3045" s="622">
        <v>31775</v>
      </c>
      <c r="AB3045" s="622" t="s">
        <v>164</v>
      </c>
      <c r="AC3045" s="622">
        <v>27408</v>
      </c>
      <c r="AD3045" s="623">
        <v>0.05</v>
      </c>
      <c r="AE3045" s="621" t="s">
        <v>5275</v>
      </c>
    </row>
    <row r="3046" spans="1:31" s="572" customFormat="1">
      <c r="A3046" s="570" t="s">
        <v>5277</v>
      </c>
      <c r="B3046" s="573" t="s">
        <v>287</v>
      </c>
      <c r="C3046" s="578">
        <v>26</v>
      </c>
      <c r="D3046" s="573" t="s">
        <v>3374</v>
      </c>
      <c r="E3046" s="573" t="s">
        <v>211</v>
      </c>
      <c r="F3046" s="573" t="s">
        <v>271</v>
      </c>
      <c r="G3046" s="573">
        <v>2019</v>
      </c>
      <c r="H3046" s="573" t="s">
        <v>5234</v>
      </c>
      <c r="I3046" s="573" t="s">
        <v>5279</v>
      </c>
      <c r="J3046" s="573" t="s">
        <v>3377</v>
      </c>
      <c r="K3046" s="573">
        <v>4</v>
      </c>
      <c r="L3046" s="573">
        <v>0</v>
      </c>
      <c r="M3046" s="573" t="s">
        <v>157</v>
      </c>
      <c r="N3046" s="573">
        <v>2</v>
      </c>
      <c r="O3046" s="573" t="s">
        <v>157</v>
      </c>
      <c r="P3046" s="571">
        <v>7500</v>
      </c>
      <c r="Q3046" s="573" t="s">
        <v>1245</v>
      </c>
      <c r="R3046" s="573">
        <v>4</v>
      </c>
      <c r="S3046" s="582" t="s">
        <v>5236</v>
      </c>
      <c r="T3046" s="573" t="s">
        <v>276</v>
      </c>
      <c r="U3046" s="573">
        <v>127</v>
      </c>
      <c r="V3046" s="573">
        <v>15.8</v>
      </c>
      <c r="W3046" s="616">
        <v>3922</v>
      </c>
      <c r="X3046" s="617">
        <v>24</v>
      </c>
      <c r="Y3046" s="617" t="s">
        <v>178</v>
      </c>
      <c r="Z3046" s="617" t="s">
        <v>178</v>
      </c>
      <c r="AA3046" s="618">
        <v>25095</v>
      </c>
      <c r="AB3046" s="618" t="s">
        <v>164</v>
      </c>
      <c r="AC3046" s="618">
        <v>23227</v>
      </c>
      <c r="AD3046" s="619">
        <v>0.05</v>
      </c>
      <c r="AE3046" s="617" t="s">
        <v>5278</v>
      </c>
    </row>
    <row r="3047" spans="1:31" s="572" customFormat="1">
      <c r="A3047" s="570" t="s">
        <v>5280</v>
      </c>
      <c r="B3047" s="569" t="s">
        <v>287</v>
      </c>
      <c r="C3047" s="580">
        <v>26</v>
      </c>
      <c r="D3047" s="569" t="s">
        <v>3374</v>
      </c>
      <c r="E3047" s="569" t="s">
        <v>211</v>
      </c>
      <c r="F3047" s="569" t="s">
        <v>271</v>
      </c>
      <c r="G3047" s="569">
        <v>2019</v>
      </c>
      <c r="H3047" s="569" t="s">
        <v>5234</v>
      </c>
      <c r="I3047" s="569" t="s">
        <v>5282</v>
      </c>
      <c r="J3047" s="569" t="s">
        <v>3377</v>
      </c>
      <c r="K3047" s="569">
        <v>4</v>
      </c>
      <c r="L3047" s="569">
        <v>0</v>
      </c>
      <c r="M3047" s="569" t="s">
        <v>157</v>
      </c>
      <c r="N3047" s="569">
        <v>2</v>
      </c>
      <c r="O3047" s="569" t="s">
        <v>5240</v>
      </c>
      <c r="P3047" s="568">
        <v>7500</v>
      </c>
      <c r="Q3047" s="569" t="s">
        <v>1245</v>
      </c>
      <c r="R3047" s="569">
        <v>4</v>
      </c>
      <c r="S3047" s="569" t="s">
        <v>5241</v>
      </c>
      <c r="T3047" s="569" t="s">
        <v>276</v>
      </c>
      <c r="U3047" s="569">
        <v>127</v>
      </c>
      <c r="V3047" s="569">
        <v>15.8</v>
      </c>
      <c r="W3047" s="620">
        <v>4145</v>
      </c>
      <c r="X3047" s="621">
        <v>24</v>
      </c>
      <c r="Y3047" s="621" t="s">
        <v>178</v>
      </c>
      <c r="Z3047" s="621" t="s">
        <v>178</v>
      </c>
      <c r="AA3047" s="622">
        <v>25395</v>
      </c>
      <c r="AB3047" s="622" t="s">
        <v>164</v>
      </c>
      <c r="AC3047" s="622">
        <v>23516</v>
      </c>
      <c r="AD3047" s="623">
        <v>0.05</v>
      </c>
      <c r="AE3047" s="621" t="s">
        <v>5281</v>
      </c>
    </row>
    <row r="3048" spans="1:31" s="572" customFormat="1">
      <c r="A3048" s="570" t="s">
        <v>5283</v>
      </c>
      <c r="B3048" s="573" t="s">
        <v>287</v>
      </c>
      <c r="C3048" s="578">
        <v>26</v>
      </c>
      <c r="D3048" s="573" t="s">
        <v>3374</v>
      </c>
      <c r="E3048" s="573" t="s">
        <v>211</v>
      </c>
      <c r="F3048" s="573" t="s">
        <v>271</v>
      </c>
      <c r="G3048" s="573">
        <v>2019</v>
      </c>
      <c r="H3048" s="573" t="s">
        <v>5234</v>
      </c>
      <c r="I3048" s="573" t="s">
        <v>5285</v>
      </c>
      <c r="J3048" s="573" t="s">
        <v>752</v>
      </c>
      <c r="K3048" s="573">
        <v>4</v>
      </c>
      <c r="L3048" s="573">
        <v>0</v>
      </c>
      <c r="M3048" s="573" t="s">
        <v>157</v>
      </c>
      <c r="N3048" s="573">
        <v>2</v>
      </c>
      <c r="O3048" s="573" t="s">
        <v>5240</v>
      </c>
      <c r="P3048" s="571">
        <v>7500</v>
      </c>
      <c r="Q3048" s="573" t="s">
        <v>1245</v>
      </c>
      <c r="R3048" s="573">
        <v>4</v>
      </c>
      <c r="S3048" s="582" t="s">
        <v>5245</v>
      </c>
      <c r="T3048" s="573" t="s">
        <v>276</v>
      </c>
      <c r="U3048" s="573">
        <v>127</v>
      </c>
      <c r="V3048" s="573">
        <v>15.8</v>
      </c>
      <c r="W3048" s="616">
        <v>4145</v>
      </c>
      <c r="X3048" s="617">
        <v>24</v>
      </c>
      <c r="Y3048" s="617" t="s">
        <v>178</v>
      </c>
      <c r="Z3048" s="617" t="s">
        <v>178</v>
      </c>
      <c r="AA3048" s="618">
        <v>29555</v>
      </c>
      <c r="AB3048" s="618" t="s">
        <v>164</v>
      </c>
      <c r="AC3048" s="618">
        <v>25271</v>
      </c>
      <c r="AD3048" s="619">
        <v>0.05</v>
      </c>
      <c r="AE3048" s="617" t="s">
        <v>5284</v>
      </c>
    </row>
    <row r="3049" spans="1:31" s="572" customFormat="1">
      <c r="A3049" s="570" t="s">
        <v>5286</v>
      </c>
      <c r="B3049" s="569" t="s">
        <v>287</v>
      </c>
      <c r="C3049" s="580">
        <v>26</v>
      </c>
      <c r="D3049" s="569" t="s">
        <v>3374</v>
      </c>
      <c r="E3049" s="569" t="s">
        <v>211</v>
      </c>
      <c r="F3049" s="569" t="s">
        <v>271</v>
      </c>
      <c r="G3049" s="569">
        <v>2019</v>
      </c>
      <c r="H3049" s="569" t="s">
        <v>5234</v>
      </c>
      <c r="I3049" s="569" t="s">
        <v>5288</v>
      </c>
      <c r="J3049" s="569" t="s">
        <v>3377</v>
      </c>
      <c r="K3049" s="569">
        <v>5</v>
      </c>
      <c r="L3049" s="569">
        <v>0</v>
      </c>
      <c r="M3049" s="569" t="s">
        <v>157</v>
      </c>
      <c r="N3049" s="569">
        <v>2</v>
      </c>
      <c r="O3049" s="569" t="s">
        <v>5257</v>
      </c>
      <c r="P3049" s="568">
        <v>7500</v>
      </c>
      <c r="Q3049" s="569" t="s">
        <v>1245</v>
      </c>
      <c r="R3049" s="569">
        <v>4</v>
      </c>
      <c r="S3049" s="569" t="s">
        <v>5258</v>
      </c>
      <c r="T3049" s="569" t="s">
        <v>318</v>
      </c>
      <c r="U3049" s="569">
        <v>127</v>
      </c>
      <c r="V3049" s="569">
        <v>15.8</v>
      </c>
      <c r="W3049" s="620">
        <v>4232</v>
      </c>
      <c r="X3049" s="621">
        <v>22</v>
      </c>
      <c r="Y3049" s="621" t="s">
        <v>178</v>
      </c>
      <c r="Z3049" s="621" t="s">
        <v>178</v>
      </c>
      <c r="AA3049" s="622">
        <v>31210</v>
      </c>
      <c r="AB3049" s="622" t="s">
        <v>164</v>
      </c>
      <c r="AC3049" s="622">
        <v>27721</v>
      </c>
      <c r="AD3049" s="623">
        <v>0.05</v>
      </c>
      <c r="AE3049" s="621" t="s">
        <v>5287</v>
      </c>
    </row>
    <row r="3050" spans="1:31" s="572" customFormat="1">
      <c r="A3050" s="570" t="s">
        <v>5289</v>
      </c>
      <c r="B3050" s="573" t="s">
        <v>287</v>
      </c>
      <c r="C3050" s="578">
        <v>26</v>
      </c>
      <c r="D3050" s="573" t="s">
        <v>3374</v>
      </c>
      <c r="E3050" s="573" t="s">
        <v>211</v>
      </c>
      <c r="F3050" s="573" t="s">
        <v>271</v>
      </c>
      <c r="G3050" s="573">
        <v>2019</v>
      </c>
      <c r="H3050" s="573" t="s">
        <v>5234</v>
      </c>
      <c r="I3050" s="573" t="s">
        <v>5291</v>
      </c>
      <c r="J3050" s="573" t="s">
        <v>752</v>
      </c>
      <c r="K3050" s="573">
        <v>5</v>
      </c>
      <c r="L3050" s="573">
        <v>0</v>
      </c>
      <c r="M3050" s="573" t="s">
        <v>157</v>
      </c>
      <c r="N3050" s="573">
        <v>2</v>
      </c>
      <c r="O3050" s="573" t="s">
        <v>5257</v>
      </c>
      <c r="P3050" s="571">
        <v>7500</v>
      </c>
      <c r="Q3050" s="573" t="s">
        <v>1245</v>
      </c>
      <c r="R3050" s="573">
        <v>4</v>
      </c>
      <c r="S3050" s="582" t="s">
        <v>5262</v>
      </c>
      <c r="T3050" s="573" t="s">
        <v>318</v>
      </c>
      <c r="U3050" s="573">
        <v>127</v>
      </c>
      <c r="V3050" s="573">
        <v>15.8</v>
      </c>
      <c r="W3050" s="616">
        <v>4232</v>
      </c>
      <c r="X3050" s="617">
        <v>22</v>
      </c>
      <c r="Y3050" s="617" t="s">
        <v>178</v>
      </c>
      <c r="Z3050" s="617" t="s">
        <v>178</v>
      </c>
      <c r="AA3050" s="618">
        <v>35210</v>
      </c>
      <c r="AB3050" s="618" t="s">
        <v>164</v>
      </c>
      <c r="AC3050" s="618">
        <v>30351</v>
      </c>
      <c r="AD3050" s="619">
        <v>0.05</v>
      </c>
      <c r="AE3050" s="617" t="s">
        <v>5290</v>
      </c>
    </row>
    <row r="3051" spans="1:31" s="572" customFormat="1">
      <c r="A3051" s="570" t="s">
        <v>5292</v>
      </c>
      <c r="B3051" s="569" t="s">
        <v>287</v>
      </c>
      <c r="C3051" s="580">
        <v>26</v>
      </c>
      <c r="D3051" s="569" t="s">
        <v>3374</v>
      </c>
      <c r="E3051" s="569" t="s">
        <v>211</v>
      </c>
      <c r="F3051" s="569" t="s">
        <v>271</v>
      </c>
      <c r="G3051" s="569">
        <v>2019</v>
      </c>
      <c r="H3051" s="569" t="s">
        <v>5234</v>
      </c>
      <c r="I3051" s="569" t="s">
        <v>5294</v>
      </c>
      <c r="J3051" s="569" t="s">
        <v>3377</v>
      </c>
      <c r="K3051" s="569">
        <v>4</v>
      </c>
      <c r="L3051" s="569">
        <v>0</v>
      </c>
      <c r="M3051" s="569" t="s">
        <v>157</v>
      </c>
      <c r="N3051" s="569">
        <v>2</v>
      </c>
      <c r="O3051" s="569" t="s">
        <v>5240</v>
      </c>
      <c r="P3051" s="568">
        <v>7500</v>
      </c>
      <c r="Q3051" s="569" t="s">
        <v>1245</v>
      </c>
      <c r="R3051" s="569">
        <v>4</v>
      </c>
      <c r="S3051" s="569" t="s">
        <v>5241</v>
      </c>
      <c r="T3051" s="569" t="s">
        <v>318</v>
      </c>
      <c r="U3051" s="569">
        <v>127</v>
      </c>
      <c r="V3051" s="569">
        <v>15.8</v>
      </c>
      <c r="W3051" s="620">
        <v>4145</v>
      </c>
      <c r="X3051" s="621">
        <v>24</v>
      </c>
      <c r="Y3051" s="621" t="s">
        <v>178</v>
      </c>
      <c r="Z3051" s="621" t="s">
        <v>178</v>
      </c>
      <c r="AA3051" s="622">
        <v>29035</v>
      </c>
      <c r="AB3051" s="622" t="s">
        <v>164</v>
      </c>
      <c r="AC3051" s="622">
        <v>26722</v>
      </c>
      <c r="AD3051" s="623">
        <v>0.05</v>
      </c>
      <c r="AE3051" s="621" t="s">
        <v>5293</v>
      </c>
    </row>
    <row r="3052" spans="1:31" s="572" customFormat="1">
      <c r="A3052" s="570" t="s">
        <v>5295</v>
      </c>
      <c r="B3052" s="573" t="s">
        <v>287</v>
      </c>
      <c r="C3052" s="578">
        <v>26</v>
      </c>
      <c r="D3052" s="573" t="s">
        <v>3374</v>
      </c>
      <c r="E3052" s="573" t="s">
        <v>211</v>
      </c>
      <c r="F3052" s="573" t="s">
        <v>271</v>
      </c>
      <c r="G3052" s="573">
        <v>2019</v>
      </c>
      <c r="H3052" s="573" t="s">
        <v>5234</v>
      </c>
      <c r="I3052" s="573" t="s">
        <v>5297</v>
      </c>
      <c r="J3052" s="573" t="s">
        <v>752</v>
      </c>
      <c r="K3052" s="573">
        <v>4</v>
      </c>
      <c r="L3052" s="573">
        <v>0</v>
      </c>
      <c r="M3052" s="573" t="s">
        <v>157</v>
      </c>
      <c r="N3052" s="573">
        <v>2</v>
      </c>
      <c r="O3052" s="573" t="s">
        <v>5240</v>
      </c>
      <c r="P3052" s="571">
        <v>7500</v>
      </c>
      <c r="Q3052" s="573" t="s">
        <v>1245</v>
      </c>
      <c r="R3052" s="573">
        <v>4</v>
      </c>
      <c r="S3052" s="582" t="s">
        <v>5245</v>
      </c>
      <c r="T3052" s="573" t="s">
        <v>318</v>
      </c>
      <c r="U3052" s="573">
        <v>127</v>
      </c>
      <c r="V3052" s="573">
        <v>15.8</v>
      </c>
      <c r="W3052" s="616">
        <v>4145</v>
      </c>
      <c r="X3052" s="617">
        <v>22</v>
      </c>
      <c r="Y3052" s="617" t="s">
        <v>178</v>
      </c>
      <c r="Z3052" s="617" t="s">
        <v>178</v>
      </c>
      <c r="AA3052" s="618">
        <v>33035</v>
      </c>
      <c r="AB3052" s="618" t="s">
        <v>164</v>
      </c>
      <c r="AC3052" s="618">
        <v>28279</v>
      </c>
      <c r="AD3052" s="619">
        <v>0.05</v>
      </c>
      <c r="AE3052" s="617" t="s">
        <v>5296</v>
      </c>
    </row>
    <row r="3053" spans="1:31" s="572" customFormat="1" ht="30">
      <c r="A3053" s="570" t="s">
        <v>5298</v>
      </c>
      <c r="B3053" s="569" t="s">
        <v>467</v>
      </c>
      <c r="C3053" s="580" t="s">
        <v>468</v>
      </c>
      <c r="D3053" s="569" t="s">
        <v>3374</v>
      </c>
      <c r="E3053" s="569" t="s">
        <v>211</v>
      </c>
      <c r="F3053" s="569" t="s">
        <v>469</v>
      </c>
      <c r="G3053" s="569">
        <v>2019</v>
      </c>
      <c r="H3053" s="569" t="s">
        <v>5300</v>
      </c>
      <c r="I3053" s="569" t="s">
        <v>5301</v>
      </c>
      <c r="J3053" s="569" t="s">
        <v>3377</v>
      </c>
      <c r="K3053" s="569">
        <v>5</v>
      </c>
      <c r="L3053" s="569">
        <v>0</v>
      </c>
      <c r="M3053" s="569" t="s">
        <v>157</v>
      </c>
      <c r="N3053" s="569">
        <v>2</v>
      </c>
      <c r="O3053" s="569" t="s">
        <v>5302</v>
      </c>
      <c r="P3053" s="568">
        <v>3500</v>
      </c>
      <c r="Q3053" s="569" t="s">
        <v>316</v>
      </c>
      <c r="R3053" s="569">
        <v>6</v>
      </c>
      <c r="S3053" s="569" t="s">
        <v>5303</v>
      </c>
      <c r="T3053" s="569" t="s">
        <v>157</v>
      </c>
      <c r="U3053" s="569">
        <v>125.2</v>
      </c>
      <c r="V3053" s="569">
        <v>19.5</v>
      </c>
      <c r="W3053" s="620">
        <v>5710</v>
      </c>
      <c r="X3053" s="621">
        <v>22</v>
      </c>
      <c r="Y3053" s="621" t="s">
        <v>178</v>
      </c>
      <c r="Z3053" s="621" t="s">
        <v>178</v>
      </c>
      <c r="AA3053" s="622">
        <v>30985</v>
      </c>
      <c r="AB3053" s="622" t="s">
        <v>164</v>
      </c>
      <c r="AC3053" s="622">
        <v>30139</v>
      </c>
      <c r="AD3053" s="623">
        <v>0.03</v>
      </c>
      <c r="AE3053" s="621" t="s">
        <v>5299</v>
      </c>
    </row>
    <row r="3054" spans="1:31" s="572" customFormat="1" ht="30">
      <c r="A3054" s="570" t="s">
        <v>5304</v>
      </c>
      <c r="B3054" s="573" t="s">
        <v>467</v>
      </c>
      <c r="C3054" s="578" t="s">
        <v>468</v>
      </c>
      <c r="D3054" s="573" t="s">
        <v>3374</v>
      </c>
      <c r="E3054" s="573" t="s">
        <v>211</v>
      </c>
      <c r="F3054" s="573" t="s">
        <v>469</v>
      </c>
      <c r="G3054" s="573">
        <v>2019</v>
      </c>
      <c r="H3054" s="573" t="s">
        <v>5300</v>
      </c>
      <c r="I3054" s="573" t="s">
        <v>5306</v>
      </c>
      <c r="J3054" s="573" t="s">
        <v>752</v>
      </c>
      <c r="K3054" s="573">
        <v>5</v>
      </c>
      <c r="L3054" s="573">
        <v>0</v>
      </c>
      <c r="M3054" s="573" t="s">
        <v>157</v>
      </c>
      <c r="N3054" s="573">
        <v>2</v>
      </c>
      <c r="O3054" s="573" t="s">
        <v>5302</v>
      </c>
      <c r="P3054" s="571">
        <v>3500</v>
      </c>
      <c r="Q3054" s="573" t="s">
        <v>316</v>
      </c>
      <c r="R3054" s="573">
        <v>6</v>
      </c>
      <c r="S3054" s="582" t="s">
        <v>5307</v>
      </c>
      <c r="T3054" s="573" t="s">
        <v>157</v>
      </c>
      <c r="U3054" s="573">
        <v>125.2</v>
      </c>
      <c r="V3054" s="573">
        <v>19.5</v>
      </c>
      <c r="W3054" s="616">
        <v>6019</v>
      </c>
      <c r="X3054" s="617">
        <v>21</v>
      </c>
      <c r="Y3054" s="617" t="s">
        <v>178</v>
      </c>
      <c r="Z3054" s="617" t="s">
        <v>178</v>
      </c>
      <c r="AA3054" s="618">
        <v>37765</v>
      </c>
      <c r="AB3054" s="618" t="s">
        <v>164</v>
      </c>
      <c r="AC3054" s="618">
        <v>36379</v>
      </c>
      <c r="AD3054" s="619">
        <v>0.03</v>
      </c>
      <c r="AE3054" s="617" t="s">
        <v>5305</v>
      </c>
    </row>
    <row r="3055" spans="1:31" s="572" customFormat="1" ht="30">
      <c r="A3055" s="570" t="s">
        <v>5308</v>
      </c>
      <c r="B3055" s="569" t="s">
        <v>473</v>
      </c>
      <c r="C3055" s="580">
        <v>14</v>
      </c>
      <c r="D3055" s="569" t="s">
        <v>3374</v>
      </c>
      <c r="E3055" s="569" t="s">
        <v>211</v>
      </c>
      <c r="F3055" s="569" t="s">
        <v>469</v>
      </c>
      <c r="G3055" s="569">
        <v>2019</v>
      </c>
      <c r="H3055" s="569" t="s">
        <v>5300</v>
      </c>
      <c r="I3055" s="569" t="s">
        <v>5306</v>
      </c>
      <c r="J3055" s="569" t="s">
        <v>752</v>
      </c>
      <c r="K3055" s="569">
        <v>5</v>
      </c>
      <c r="L3055" s="569">
        <v>0</v>
      </c>
      <c r="M3055" s="569" t="s">
        <v>157</v>
      </c>
      <c r="N3055" s="569">
        <v>2</v>
      </c>
      <c r="O3055" s="569" t="s">
        <v>5302</v>
      </c>
      <c r="P3055" s="568">
        <v>5000</v>
      </c>
      <c r="Q3055" s="569" t="s">
        <v>316</v>
      </c>
      <c r="R3055" s="569">
        <v>6</v>
      </c>
      <c r="S3055" s="569" t="s">
        <v>5307</v>
      </c>
      <c r="T3055" s="569" t="s">
        <v>157</v>
      </c>
      <c r="U3055" s="569">
        <v>125.2</v>
      </c>
      <c r="V3055" s="569">
        <v>19.5</v>
      </c>
      <c r="W3055" s="620">
        <v>6019</v>
      </c>
      <c r="X3055" s="621">
        <v>21</v>
      </c>
      <c r="Y3055" s="621" t="s">
        <v>178</v>
      </c>
      <c r="Z3055" s="621" t="s">
        <v>178</v>
      </c>
      <c r="AA3055" s="622">
        <v>37765</v>
      </c>
      <c r="AB3055" s="622" t="s">
        <v>164</v>
      </c>
      <c r="AC3055" s="622">
        <v>35300</v>
      </c>
      <c r="AD3055" s="623">
        <v>0.1</v>
      </c>
      <c r="AE3055" s="621" t="s">
        <v>5305</v>
      </c>
    </row>
    <row r="3056" spans="1:31" s="572" customFormat="1" ht="30">
      <c r="A3056" s="570" t="s">
        <v>5309</v>
      </c>
      <c r="B3056" s="573" t="s">
        <v>467</v>
      </c>
      <c r="C3056" s="578" t="s">
        <v>468</v>
      </c>
      <c r="D3056" s="573" t="s">
        <v>3374</v>
      </c>
      <c r="E3056" s="573" t="s">
        <v>211</v>
      </c>
      <c r="F3056" s="573" t="s">
        <v>469</v>
      </c>
      <c r="G3056" s="573">
        <v>2019</v>
      </c>
      <c r="H3056" s="573" t="s">
        <v>5300</v>
      </c>
      <c r="I3056" s="573" t="s">
        <v>409</v>
      </c>
      <c r="J3056" s="573" t="s">
        <v>752</v>
      </c>
      <c r="K3056" s="573">
        <v>5</v>
      </c>
      <c r="L3056" s="573">
        <v>0</v>
      </c>
      <c r="M3056" s="573" t="s">
        <v>157</v>
      </c>
      <c r="N3056" s="573">
        <v>2</v>
      </c>
      <c r="O3056" s="573" t="s">
        <v>5302</v>
      </c>
      <c r="P3056" s="571">
        <v>5000</v>
      </c>
      <c r="Q3056" s="573" t="s">
        <v>316</v>
      </c>
      <c r="R3056" s="573">
        <v>6</v>
      </c>
      <c r="S3056" s="582" t="s">
        <v>5311</v>
      </c>
      <c r="T3056" s="573" t="s">
        <v>157</v>
      </c>
      <c r="U3056" s="573">
        <v>125.2</v>
      </c>
      <c r="V3056" s="573">
        <v>19.5</v>
      </c>
      <c r="W3056" s="616">
        <v>6019</v>
      </c>
      <c r="X3056" s="617">
        <v>21</v>
      </c>
      <c r="Y3056" s="617" t="s">
        <v>178</v>
      </c>
      <c r="Z3056" s="617" t="s">
        <v>178</v>
      </c>
      <c r="AA3056" s="618">
        <v>36285</v>
      </c>
      <c r="AB3056" s="618" t="s">
        <v>164</v>
      </c>
      <c r="AC3056" s="618">
        <v>35009</v>
      </c>
      <c r="AD3056" s="619">
        <v>0.03</v>
      </c>
      <c r="AE3056" s="617" t="s">
        <v>5310</v>
      </c>
    </row>
    <row r="3057" spans="1:31" s="572" customFormat="1" ht="30">
      <c r="A3057" s="570" t="s">
        <v>5312</v>
      </c>
      <c r="B3057" s="569" t="s">
        <v>473</v>
      </c>
      <c r="C3057" s="580">
        <v>14</v>
      </c>
      <c r="D3057" s="569" t="s">
        <v>3374</v>
      </c>
      <c r="E3057" s="569" t="s">
        <v>211</v>
      </c>
      <c r="F3057" s="569" t="s">
        <v>469</v>
      </c>
      <c r="G3057" s="569">
        <v>2019</v>
      </c>
      <c r="H3057" s="569" t="s">
        <v>5300</v>
      </c>
      <c r="I3057" s="569" t="s">
        <v>409</v>
      </c>
      <c r="J3057" s="569" t="s">
        <v>752</v>
      </c>
      <c r="K3057" s="569">
        <v>5</v>
      </c>
      <c r="L3057" s="569">
        <v>0</v>
      </c>
      <c r="M3057" s="569" t="s">
        <v>157</v>
      </c>
      <c r="N3057" s="569">
        <v>2</v>
      </c>
      <c r="O3057" s="569" t="s">
        <v>5313</v>
      </c>
      <c r="P3057" s="568">
        <v>5000</v>
      </c>
      <c r="Q3057" s="569" t="s">
        <v>316</v>
      </c>
      <c r="R3057" s="569">
        <v>6</v>
      </c>
      <c r="S3057" s="569" t="s">
        <v>5311</v>
      </c>
      <c r="T3057" s="569" t="s">
        <v>157</v>
      </c>
      <c r="U3057" s="569">
        <v>125.2</v>
      </c>
      <c r="V3057" s="569">
        <v>19.5</v>
      </c>
      <c r="W3057" s="620">
        <v>6019</v>
      </c>
      <c r="X3057" s="621">
        <v>21</v>
      </c>
      <c r="Y3057" s="621" t="s">
        <v>178</v>
      </c>
      <c r="Z3057" s="621" t="s">
        <v>178</v>
      </c>
      <c r="AA3057" s="622">
        <v>36285</v>
      </c>
      <c r="AB3057" s="622" t="s">
        <v>164</v>
      </c>
      <c r="AC3057" s="622">
        <v>34100</v>
      </c>
      <c r="AD3057" s="623">
        <v>0.1</v>
      </c>
      <c r="AE3057" s="621" t="s">
        <v>5310</v>
      </c>
    </row>
    <row r="3058" spans="1:31" s="572" customFormat="1">
      <c r="A3058" s="570" t="s">
        <v>5314</v>
      </c>
      <c r="B3058" s="573" t="s">
        <v>543</v>
      </c>
      <c r="C3058" s="578" t="s">
        <v>544</v>
      </c>
      <c r="D3058" s="573" t="s">
        <v>3374</v>
      </c>
      <c r="E3058" s="573" t="s">
        <v>211</v>
      </c>
      <c r="F3058" s="573" t="s">
        <v>545</v>
      </c>
      <c r="G3058" s="573">
        <v>2019</v>
      </c>
      <c r="H3058" s="573" t="s">
        <v>5316</v>
      </c>
      <c r="I3058" s="573" t="s">
        <v>5317</v>
      </c>
      <c r="J3058" s="573" t="s">
        <v>3377</v>
      </c>
      <c r="K3058" s="573">
        <v>5</v>
      </c>
      <c r="L3058" s="573">
        <v>0</v>
      </c>
      <c r="M3058" s="573" t="s">
        <v>157</v>
      </c>
      <c r="N3058" s="573">
        <v>2</v>
      </c>
      <c r="O3058" s="573" t="s">
        <v>5318</v>
      </c>
      <c r="P3058" s="571">
        <v>6300</v>
      </c>
      <c r="Q3058" s="573" t="s">
        <v>3193</v>
      </c>
      <c r="R3058" s="573">
        <v>6</v>
      </c>
      <c r="S3058" s="582">
        <v>32519</v>
      </c>
      <c r="T3058" s="573" t="s">
        <v>157</v>
      </c>
      <c r="U3058" s="573">
        <v>125.9</v>
      </c>
      <c r="V3058" s="573">
        <v>21.1</v>
      </c>
      <c r="W3058" s="616">
        <v>5600</v>
      </c>
      <c r="X3058" s="617">
        <v>19</v>
      </c>
      <c r="Y3058" s="617" t="s">
        <v>178</v>
      </c>
      <c r="Z3058" s="617" t="s">
        <v>178</v>
      </c>
      <c r="AA3058" s="618">
        <v>28775</v>
      </c>
      <c r="AB3058" s="618" t="s">
        <v>164</v>
      </c>
      <c r="AC3058" s="618">
        <v>23897.7</v>
      </c>
      <c r="AD3058" s="619">
        <v>0.03</v>
      </c>
      <c r="AE3058" s="617" t="s">
        <v>5315</v>
      </c>
    </row>
    <row r="3059" spans="1:31" s="572" customFormat="1">
      <c r="A3059" s="570" t="s">
        <v>5319</v>
      </c>
      <c r="B3059" s="569" t="s">
        <v>543</v>
      </c>
      <c r="C3059" s="580" t="s">
        <v>544</v>
      </c>
      <c r="D3059" s="569" t="s">
        <v>3374</v>
      </c>
      <c r="E3059" s="569" t="s">
        <v>211</v>
      </c>
      <c r="F3059" s="569" t="s">
        <v>545</v>
      </c>
      <c r="G3059" s="569">
        <v>2019</v>
      </c>
      <c r="H3059" s="569" t="s">
        <v>5316</v>
      </c>
      <c r="I3059" s="569" t="s">
        <v>5321</v>
      </c>
      <c r="J3059" s="569" t="s">
        <v>3377</v>
      </c>
      <c r="K3059" s="569">
        <v>5</v>
      </c>
      <c r="L3059" s="569">
        <v>0</v>
      </c>
      <c r="M3059" s="569" t="s">
        <v>157</v>
      </c>
      <c r="N3059" s="569">
        <v>2</v>
      </c>
      <c r="O3059" s="569" t="s">
        <v>5318</v>
      </c>
      <c r="P3059" s="568">
        <v>6300</v>
      </c>
      <c r="Q3059" s="569" t="s">
        <v>3193</v>
      </c>
      <c r="R3059" s="569">
        <v>6</v>
      </c>
      <c r="S3059" s="569">
        <v>32119</v>
      </c>
      <c r="T3059" s="569" t="s">
        <v>157</v>
      </c>
      <c r="U3059" s="569">
        <v>125.9</v>
      </c>
      <c r="V3059" s="569">
        <v>21.1</v>
      </c>
      <c r="W3059" s="620">
        <v>5730</v>
      </c>
      <c r="X3059" s="621">
        <v>18</v>
      </c>
      <c r="Y3059" s="621" t="s">
        <v>178</v>
      </c>
      <c r="Z3059" s="621" t="s">
        <v>178</v>
      </c>
      <c r="AA3059" s="622">
        <v>27045</v>
      </c>
      <c r="AB3059" s="622" t="s">
        <v>164</v>
      </c>
      <c r="AC3059" s="622">
        <v>22185</v>
      </c>
      <c r="AD3059" s="623">
        <v>0.03</v>
      </c>
      <c r="AE3059" s="621" t="s">
        <v>5320</v>
      </c>
    </row>
    <row r="3060" spans="1:31" s="572" customFormat="1">
      <c r="A3060" s="570" t="s">
        <v>5322</v>
      </c>
      <c r="B3060" s="573" t="s">
        <v>543</v>
      </c>
      <c r="C3060" s="578" t="s">
        <v>544</v>
      </c>
      <c r="D3060" s="573" t="s">
        <v>3374</v>
      </c>
      <c r="E3060" s="573" t="s">
        <v>211</v>
      </c>
      <c r="F3060" s="573" t="s">
        <v>545</v>
      </c>
      <c r="G3060" s="573">
        <v>2019</v>
      </c>
      <c r="H3060" s="573" t="s">
        <v>5316</v>
      </c>
      <c r="I3060" s="573" t="s">
        <v>5321</v>
      </c>
      <c r="J3060" s="573" t="s">
        <v>752</v>
      </c>
      <c r="K3060" s="573">
        <v>5</v>
      </c>
      <c r="L3060" s="573">
        <v>0</v>
      </c>
      <c r="M3060" s="573" t="s">
        <v>157</v>
      </c>
      <c r="N3060" s="573">
        <v>2</v>
      </c>
      <c r="O3060" s="573" t="s">
        <v>5318</v>
      </c>
      <c r="P3060" s="571">
        <v>6100</v>
      </c>
      <c r="Q3060" s="573" t="s">
        <v>3193</v>
      </c>
      <c r="R3060" s="573">
        <v>6</v>
      </c>
      <c r="S3060" s="582">
        <v>32019</v>
      </c>
      <c r="T3060" s="573" t="s">
        <v>157</v>
      </c>
      <c r="U3060" s="573">
        <v>125.9</v>
      </c>
      <c r="V3060" s="573">
        <v>21.1</v>
      </c>
      <c r="W3060" s="616">
        <v>5816</v>
      </c>
      <c r="X3060" s="617">
        <v>17</v>
      </c>
      <c r="Y3060" s="617" t="s">
        <v>178</v>
      </c>
      <c r="Z3060" s="617" t="s">
        <v>178</v>
      </c>
      <c r="AA3060" s="618">
        <v>30435</v>
      </c>
      <c r="AB3060" s="618" t="s">
        <v>164</v>
      </c>
      <c r="AC3060" s="618">
        <v>25541.1</v>
      </c>
      <c r="AD3060" s="619">
        <v>0.03</v>
      </c>
      <c r="AE3060" s="617" t="s">
        <v>5323</v>
      </c>
    </row>
    <row r="3061" spans="1:31" s="572" customFormat="1">
      <c r="A3061" s="570" t="s">
        <v>5324</v>
      </c>
      <c r="B3061" s="569" t="s">
        <v>549</v>
      </c>
      <c r="C3061" s="580">
        <v>16</v>
      </c>
      <c r="D3061" s="569" t="s">
        <v>3374</v>
      </c>
      <c r="E3061" s="569" t="s">
        <v>211</v>
      </c>
      <c r="F3061" s="569" t="s">
        <v>545</v>
      </c>
      <c r="G3061" s="569">
        <v>2019</v>
      </c>
      <c r="H3061" s="569" t="s">
        <v>5316</v>
      </c>
      <c r="I3061" s="569" t="s">
        <v>5321</v>
      </c>
      <c r="J3061" s="569" t="s">
        <v>752</v>
      </c>
      <c r="K3061" s="569">
        <v>5</v>
      </c>
      <c r="L3061" s="569">
        <v>0</v>
      </c>
      <c r="M3061" s="569" t="s">
        <v>157</v>
      </c>
      <c r="N3061" s="569">
        <v>2</v>
      </c>
      <c r="O3061" s="569" t="s">
        <v>5318</v>
      </c>
      <c r="P3061" s="568">
        <v>6100</v>
      </c>
      <c r="Q3061" s="569" t="s">
        <v>3193</v>
      </c>
      <c r="R3061" s="569">
        <v>6</v>
      </c>
      <c r="S3061" s="569">
        <v>32019</v>
      </c>
      <c r="T3061" s="569" t="s">
        <v>157</v>
      </c>
      <c r="U3061" s="569">
        <v>125.9</v>
      </c>
      <c r="V3061" s="569">
        <v>21.1</v>
      </c>
      <c r="W3061" s="620">
        <v>5816</v>
      </c>
      <c r="X3061" s="621">
        <v>17</v>
      </c>
      <c r="Y3061" s="621" t="s">
        <v>178</v>
      </c>
      <c r="Z3061" s="621" t="s">
        <v>178</v>
      </c>
      <c r="AA3061" s="622">
        <v>30385</v>
      </c>
      <c r="AB3061" s="622" t="s">
        <v>164</v>
      </c>
      <c r="AC3061" s="622">
        <v>24990</v>
      </c>
      <c r="AD3061" s="623">
        <v>0.05</v>
      </c>
      <c r="AE3061" s="621" t="s">
        <v>5323</v>
      </c>
    </row>
    <row r="3062" spans="1:31" s="572" customFormat="1">
      <c r="A3062" s="570" t="s">
        <v>5325</v>
      </c>
      <c r="B3062" s="573" t="s">
        <v>543</v>
      </c>
      <c r="C3062" s="578" t="s">
        <v>544</v>
      </c>
      <c r="D3062" s="573" t="s">
        <v>3374</v>
      </c>
      <c r="E3062" s="573" t="s">
        <v>211</v>
      </c>
      <c r="F3062" s="573" t="s">
        <v>545</v>
      </c>
      <c r="G3062" s="573">
        <v>2019</v>
      </c>
      <c r="H3062" s="573" t="s">
        <v>5316</v>
      </c>
      <c r="I3062" s="573" t="s">
        <v>5327</v>
      </c>
      <c r="J3062" s="573" t="s">
        <v>3377</v>
      </c>
      <c r="K3062" s="573">
        <v>5</v>
      </c>
      <c r="L3062" s="573">
        <v>0</v>
      </c>
      <c r="M3062" s="573" t="s">
        <v>157</v>
      </c>
      <c r="N3062" s="573">
        <v>2</v>
      </c>
      <c r="O3062" s="573" t="s">
        <v>5318</v>
      </c>
      <c r="P3062" s="571">
        <v>6300</v>
      </c>
      <c r="Q3062" s="573" t="s">
        <v>3193</v>
      </c>
      <c r="R3062" s="573">
        <v>6</v>
      </c>
      <c r="S3062" s="582">
        <v>32319</v>
      </c>
      <c r="T3062" s="573" t="s">
        <v>157</v>
      </c>
      <c r="U3062" s="573">
        <v>125.9</v>
      </c>
      <c r="V3062" s="573">
        <v>21.1</v>
      </c>
      <c r="W3062" s="616">
        <v>5730</v>
      </c>
      <c r="X3062" s="617">
        <v>18</v>
      </c>
      <c r="Y3062" s="617" t="s">
        <v>178</v>
      </c>
      <c r="Z3062" s="617" t="s">
        <v>178</v>
      </c>
      <c r="AA3062" s="618">
        <v>27795</v>
      </c>
      <c r="AB3062" s="618" t="s">
        <v>164</v>
      </c>
      <c r="AC3062" s="618">
        <v>22927.5</v>
      </c>
      <c r="AD3062" s="619">
        <v>0.03</v>
      </c>
      <c r="AE3062" s="617" t="s">
        <v>5326</v>
      </c>
    </row>
    <row r="3063" spans="1:31" s="572" customFormat="1">
      <c r="A3063" s="570" t="s">
        <v>5328</v>
      </c>
      <c r="B3063" s="569" t="s">
        <v>543</v>
      </c>
      <c r="C3063" s="580" t="s">
        <v>544</v>
      </c>
      <c r="D3063" s="569" t="s">
        <v>3374</v>
      </c>
      <c r="E3063" s="569" t="s">
        <v>211</v>
      </c>
      <c r="F3063" s="569" t="s">
        <v>545</v>
      </c>
      <c r="G3063" s="569">
        <v>2019</v>
      </c>
      <c r="H3063" s="569" t="s">
        <v>5316</v>
      </c>
      <c r="I3063" s="569" t="s">
        <v>5327</v>
      </c>
      <c r="J3063" s="569" t="s">
        <v>752</v>
      </c>
      <c r="K3063" s="569">
        <v>5</v>
      </c>
      <c r="L3063" s="569">
        <v>0</v>
      </c>
      <c r="M3063" s="569" t="s">
        <v>157</v>
      </c>
      <c r="N3063" s="569">
        <v>2</v>
      </c>
      <c r="O3063" s="569" t="s">
        <v>5318</v>
      </c>
      <c r="P3063" s="568">
        <v>6100</v>
      </c>
      <c r="Q3063" s="569" t="s">
        <v>3193</v>
      </c>
      <c r="R3063" s="569">
        <v>6</v>
      </c>
      <c r="S3063" s="569">
        <v>32219</v>
      </c>
      <c r="T3063" s="569" t="s">
        <v>157</v>
      </c>
      <c r="U3063" s="569">
        <v>125.9</v>
      </c>
      <c r="V3063" s="569">
        <v>21.1</v>
      </c>
      <c r="W3063" s="620">
        <v>5816</v>
      </c>
      <c r="X3063" s="621">
        <v>17</v>
      </c>
      <c r="Y3063" s="621" t="s">
        <v>178</v>
      </c>
      <c r="Z3063" s="621" t="s">
        <v>178</v>
      </c>
      <c r="AA3063" s="622">
        <v>30985</v>
      </c>
      <c r="AB3063" s="622" t="s">
        <v>164</v>
      </c>
      <c r="AC3063" s="622">
        <v>26085.599999999999</v>
      </c>
      <c r="AD3063" s="623">
        <v>0.03</v>
      </c>
      <c r="AE3063" s="621" t="s">
        <v>5329</v>
      </c>
    </row>
    <row r="3064" spans="1:31" s="572" customFormat="1">
      <c r="A3064" s="570" t="s">
        <v>5330</v>
      </c>
      <c r="B3064" s="573" t="s">
        <v>549</v>
      </c>
      <c r="C3064" s="578">
        <v>16</v>
      </c>
      <c r="D3064" s="573" t="s">
        <v>3374</v>
      </c>
      <c r="E3064" s="573" t="s">
        <v>211</v>
      </c>
      <c r="F3064" s="573" t="s">
        <v>545</v>
      </c>
      <c r="G3064" s="573">
        <v>2019</v>
      </c>
      <c r="H3064" s="573" t="s">
        <v>5316</v>
      </c>
      <c r="I3064" s="573" t="s">
        <v>5327</v>
      </c>
      <c r="J3064" s="573" t="s">
        <v>752</v>
      </c>
      <c r="K3064" s="573">
        <v>5</v>
      </c>
      <c r="L3064" s="573">
        <v>0</v>
      </c>
      <c r="M3064" s="573" t="s">
        <v>157</v>
      </c>
      <c r="N3064" s="573">
        <v>2</v>
      </c>
      <c r="O3064" s="573" t="s">
        <v>5318</v>
      </c>
      <c r="P3064" s="571">
        <v>6100</v>
      </c>
      <c r="Q3064" s="573" t="s">
        <v>3193</v>
      </c>
      <c r="R3064" s="573">
        <v>6</v>
      </c>
      <c r="S3064" s="582">
        <v>32219</v>
      </c>
      <c r="T3064" s="573" t="s">
        <v>157</v>
      </c>
      <c r="U3064" s="573">
        <v>125.9</v>
      </c>
      <c r="V3064" s="573">
        <v>21.1</v>
      </c>
      <c r="W3064" s="616">
        <v>5816</v>
      </c>
      <c r="X3064" s="617">
        <v>17</v>
      </c>
      <c r="Y3064" s="617" t="s">
        <v>178</v>
      </c>
      <c r="Z3064" s="617" t="s">
        <v>178</v>
      </c>
      <c r="AA3064" s="618">
        <v>30935</v>
      </c>
      <c r="AB3064" s="618" t="s">
        <v>164</v>
      </c>
      <c r="AC3064" s="618">
        <v>25490</v>
      </c>
      <c r="AD3064" s="619">
        <v>0.05</v>
      </c>
      <c r="AE3064" s="617" t="s">
        <v>5329</v>
      </c>
    </row>
    <row r="3065" spans="1:31" s="572" customFormat="1">
      <c r="A3065" s="570" t="s">
        <v>5331</v>
      </c>
      <c r="B3065" s="569" t="s">
        <v>543</v>
      </c>
      <c r="C3065" s="580" t="s">
        <v>544</v>
      </c>
      <c r="D3065" s="569" t="s">
        <v>3374</v>
      </c>
      <c r="E3065" s="569" t="s">
        <v>211</v>
      </c>
      <c r="F3065" s="569" t="s">
        <v>545</v>
      </c>
      <c r="G3065" s="569">
        <v>2019</v>
      </c>
      <c r="H3065" s="569" t="s">
        <v>5316</v>
      </c>
      <c r="I3065" s="569" t="s">
        <v>5333</v>
      </c>
      <c r="J3065" s="569" t="s">
        <v>3377</v>
      </c>
      <c r="K3065" s="569">
        <v>4</v>
      </c>
      <c r="L3065" s="569">
        <v>0</v>
      </c>
      <c r="M3065" s="569" t="s">
        <v>157</v>
      </c>
      <c r="N3065" s="569">
        <v>2</v>
      </c>
      <c r="O3065" s="569" t="s">
        <v>5334</v>
      </c>
      <c r="P3065" s="568">
        <v>6500</v>
      </c>
      <c r="Q3065" s="569" t="s">
        <v>3193</v>
      </c>
      <c r="R3065" s="569">
        <v>6</v>
      </c>
      <c r="S3065" s="569">
        <v>31719</v>
      </c>
      <c r="T3065" s="569" t="s">
        <v>157</v>
      </c>
      <c r="U3065" s="569">
        <v>125.9</v>
      </c>
      <c r="V3065" s="569">
        <v>21.1</v>
      </c>
      <c r="W3065" s="620">
        <v>5600</v>
      </c>
      <c r="X3065" s="621">
        <v>19</v>
      </c>
      <c r="Y3065" s="621" t="s">
        <v>178</v>
      </c>
      <c r="Z3065" s="621" t="s">
        <v>178</v>
      </c>
      <c r="AA3065" s="622">
        <v>27345</v>
      </c>
      <c r="AB3065" s="622" t="s">
        <v>164</v>
      </c>
      <c r="AC3065" s="622">
        <v>22569</v>
      </c>
      <c r="AD3065" s="623">
        <v>0.03</v>
      </c>
      <c r="AE3065" s="621" t="s">
        <v>5332</v>
      </c>
    </row>
    <row r="3066" spans="1:31" s="572" customFormat="1">
      <c r="A3066" s="570" t="s">
        <v>5335</v>
      </c>
      <c r="B3066" s="573" t="s">
        <v>543</v>
      </c>
      <c r="C3066" s="578" t="s">
        <v>544</v>
      </c>
      <c r="D3066" s="573" t="s">
        <v>3374</v>
      </c>
      <c r="E3066" s="573" t="s">
        <v>211</v>
      </c>
      <c r="F3066" s="573" t="s">
        <v>545</v>
      </c>
      <c r="G3066" s="573">
        <v>2019</v>
      </c>
      <c r="H3066" s="573" t="s">
        <v>5316</v>
      </c>
      <c r="I3066" s="573" t="s">
        <v>5337</v>
      </c>
      <c r="J3066" s="573" t="s">
        <v>3377</v>
      </c>
      <c r="K3066" s="573">
        <v>4</v>
      </c>
      <c r="L3066" s="573">
        <v>0</v>
      </c>
      <c r="M3066" s="573" t="s">
        <v>157</v>
      </c>
      <c r="N3066" s="573">
        <v>2</v>
      </c>
      <c r="O3066" s="573" t="s">
        <v>5334</v>
      </c>
      <c r="P3066" s="571">
        <v>3500</v>
      </c>
      <c r="Q3066" s="573" t="s">
        <v>189</v>
      </c>
      <c r="R3066" s="573">
        <v>4</v>
      </c>
      <c r="S3066" s="582">
        <v>31119</v>
      </c>
      <c r="T3066" s="573" t="s">
        <v>157</v>
      </c>
      <c r="U3066" s="573">
        <v>125.9</v>
      </c>
      <c r="V3066" s="573">
        <v>21.1</v>
      </c>
      <c r="W3066" s="616">
        <v>4700</v>
      </c>
      <c r="X3066" s="617">
        <v>19</v>
      </c>
      <c r="Y3066" s="617" t="s">
        <v>178</v>
      </c>
      <c r="Z3066" s="617" t="s">
        <v>178</v>
      </c>
      <c r="AA3066" s="618">
        <v>24105</v>
      </c>
      <c r="AB3066" s="618" t="s">
        <v>164</v>
      </c>
      <c r="AC3066" s="618">
        <v>19559</v>
      </c>
      <c r="AD3066" s="619">
        <v>0.03</v>
      </c>
      <c r="AE3066" s="617" t="s">
        <v>5336</v>
      </c>
    </row>
    <row r="3067" spans="1:31" s="572" customFormat="1">
      <c r="A3067" s="570" t="s">
        <v>5338</v>
      </c>
      <c r="B3067" s="569" t="s">
        <v>549</v>
      </c>
      <c r="C3067" s="580">
        <v>16</v>
      </c>
      <c r="D3067" s="569" t="s">
        <v>3374</v>
      </c>
      <c r="E3067" s="569" t="s">
        <v>211</v>
      </c>
      <c r="F3067" s="569" t="s">
        <v>545</v>
      </c>
      <c r="G3067" s="569">
        <v>2019</v>
      </c>
      <c r="H3067" s="569" t="s">
        <v>5316</v>
      </c>
      <c r="I3067" s="569" t="s">
        <v>5337</v>
      </c>
      <c r="J3067" s="569" t="s">
        <v>3377</v>
      </c>
      <c r="K3067" s="569">
        <v>4</v>
      </c>
      <c r="L3067" s="569">
        <v>0</v>
      </c>
      <c r="M3067" s="569" t="s">
        <v>157</v>
      </c>
      <c r="N3067" s="569">
        <v>2</v>
      </c>
      <c r="O3067" s="569" t="s">
        <v>5334</v>
      </c>
      <c r="P3067" s="568">
        <v>3500</v>
      </c>
      <c r="Q3067" s="569" t="s">
        <v>189</v>
      </c>
      <c r="R3067" s="569">
        <v>4</v>
      </c>
      <c r="S3067" s="569">
        <v>31119</v>
      </c>
      <c r="T3067" s="569" t="s">
        <v>157</v>
      </c>
      <c r="U3067" s="569">
        <v>125.9</v>
      </c>
      <c r="V3067" s="569">
        <v>21.1</v>
      </c>
      <c r="W3067" s="620">
        <v>4690</v>
      </c>
      <c r="X3067" s="621">
        <v>19</v>
      </c>
      <c r="Y3067" s="621" t="s">
        <v>178</v>
      </c>
      <c r="Z3067" s="621" t="s">
        <v>178</v>
      </c>
      <c r="AA3067" s="622">
        <v>24055</v>
      </c>
      <c r="AB3067" s="622" t="s">
        <v>164</v>
      </c>
      <c r="AC3067" s="622">
        <v>18990</v>
      </c>
      <c r="AD3067" s="623">
        <v>0.05</v>
      </c>
      <c r="AE3067" s="621" t="s">
        <v>5336</v>
      </c>
    </row>
    <row r="3068" spans="1:31" s="572" customFormat="1">
      <c r="A3068" s="570" t="s">
        <v>5339</v>
      </c>
      <c r="B3068" s="573" t="s">
        <v>543</v>
      </c>
      <c r="C3068" s="578" t="s">
        <v>544</v>
      </c>
      <c r="D3068" s="573" t="s">
        <v>3374</v>
      </c>
      <c r="E3068" s="573" t="s">
        <v>211</v>
      </c>
      <c r="F3068" s="573" t="s">
        <v>545</v>
      </c>
      <c r="G3068" s="573">
        <v>2019</v>
      </c>
      <c r="H3068" s="573" t="s">
        <v>5316</v>
      </c>
      <c r="I3068" s="573" t="s">
        <v>5341</v>
      </c>
      <c r="J3068" s="573" t="s">
        <v>3377</v>
      </c>
      <c r="K3068" s="573">
        <v>4</v>
      </c>
      <c r="L3068" s="573">
        <v>0</v>
      </c>
      <c r="M3068" s="573" t="s">
        <v>157</v>
      </c>
      <c r="N3068" s="573">
        <v>2</v>
      </c>
      <c r="O3068" s="573" t="s">
        <v>5334</v>
      </c>
      <c r="P3068" s="571">
        <v>6500</v>
      </c>
      <c r="Q3068" s="573" t="s">
        <v>3193</v>
      </c>
      <c r="R3068" s="573">
        <v>6</v>
      </c>
      <c r="S3068" s="582">
        <v>31519</v>
      </c>
      <c r="T3068" s="573" t="s">
        <v>157</v>
      </c>
      <c r="U3068" s="573">
        <v>125.9</v>
      </c>
      <c r="V3068" s="573">
        <v>21.1</v>
      </c>
      <c r="W3068" s="616">
        <v>5589</v>
      </c>
      <c r="X3068" s="617">
        <v>18</v>
      </c>
      <c r="Y3068" s="617" t="s">
        <v>178</v>
      </c>
      <c r="Z3068" s="617" t="s">
        <v>178</v>
      </c>
      <c r="AA3068" s="618">
        <v>26665</v>
      </c>
      <c r="AB3068" s="618" t="s">
        <v>164</v>
      </c>
      <c r="AC3068" s="618">
        <v>21999</v>
      </c>
      <c r="AD3068" s="619">
        <v>0.03</v>
      </c>
      <c r="AE3068" s="617" t="s">
        <v>5340</v>
      </c>
    </row>
    <row r="3069" spans="1:31" s="572" customFormat="1">
      <c r="A3069" s="570" t="s">
        <v>5342</v>
      </c>
      <c r="B3069" s="569" t="s">
        <v>543</v>
      </c>
      <c r="C3069" s="580" t="s">
        <v>544</v>
      </c>
      <c r="D3069" s="569" t="s">
        <v>3374</v>
      </c>
      <c r="E3069" s="569" t="s">
        <v>211</v>
      </c>
      <c r="F3069" s="569" t="s">
        <v>545</v>
      </c>
      <c r="G3069" s="569">
        <v>2019</v>
      </c>
      <c r="H3069" s="569" t="s">
        <v>5316</v>
      </c>
      <c r="I3069" s="569" t="s">
        <v>5341</v>
      </c>
      <c r="J3069" s="569" t="s">
        <v>752</v>
      </c>
      <c r="K3069" s="569">
        <v>4</v>
      </c>
      <c r="L3069" s="569">
        <v>0</v>
      </c>
      <c r="M3069" s="569" t="s">
        <v>157</v>
      </c>
      <c r="N3069" s="569">
        <v>2</v>
      </c>
      <c r="O3069" s="569" t="s">
        <v>5334</v>
      </c>
      <c r="P3069" s="568">
        <v>6300</v>
      </c>
      <c r="Q3069" s="569" t="s">
        <v>3193</v>
      </c>
      <c r="R3069" s="569">
        <v>6</v>
      </c>
      <c r="S3069" s="569">
        <v>31219</v>
      </c>
      <c r="T3069" s="569" t="s">
        <v>157</v>
      </c>
      <c r="U3069" s="569">
        <v>125.9</v>
      </c>
      <c r="V3069" s="569">
        <v>21.1</v>
      </c>
      <c r="W3069" s="620">
        <v>5690</v>
      </c>
      <c r="X3069" s="621">
        <v>17</v>
      </c>
      <c r="Y3069" s="621" t="s">
        <v>178</v>
      </c>
      <c r="Z3069" s="621" t="s">
        <v>178</v>
      </c>
      <c r="AA3069" s="622">
        <v>29555</v>
      </c>
      <c r="AB3069" s="622" t="s">
        <v>164</v>
      </c>
      <c r="AC3069" s="622">
        <v>24669.9</v>
      </c>
      <c r="AD3069" s="623">
        <v>0.03</v>
      </c>
      <c r="AE3069" s="621" t="s">
        <v>5343</v>
      </c>
    </row>
    <row r="3070" spans="1:31" s="572" customFormat="1">
      <c r="A3070" s="570" t="s">
        <v>5344</v>
      </c>
      <c r="B3070" s="573" t="s">
        <v>549</v>
      </c>
      <c r="C3070" s="578">
        <v>16</v>
      </c>
      <c r="D3070" s="573" t="s">
        <v>3374</v>
      </c>
      <c r="E3070" s="573" t="s">
        <v>211</v>
      </c>
      <c r="F3070" s="573" t="s">
        <v>545</v>
      </c>
      <c r="G3070" s="573">
        <v>2019</v>
      </c>
      <c r="H3070" s="573" t="s">
        <v>5316</v>
      </c>
      <c r="I3070" s="573" t="s">
        <v>5341</v>
      </c>
      <c r="J3070" s="573" t="s">
        <v>752</v>
      </c>
      <c r="K3070" s="573">
        <v>4</v>
      </c>
      <c r="L3070" s="573">
        <v>0</v>
      </c>
      <c r="M3070" s="573" t="s">
        <v>157</v>
      </c>
      <c r="N3070" s="573">
        <v>2</v>
      </c>
      <c r="O3070" s="573" t="s">
        <v>5334</v>
      </c>
      <c r="P3070" s="571">
        <v>6300</v>
      </c>
      <c r="Q3070" s="573" t="s">
        <v>3193</v>
      </c>
      <c r="R3070" s="573">
        <v>6</v>
      </c>
      <c r="S3070" s="582">
        <v>31219</v>
      </c>
      <c r="T3070" s="573" t="s">
        <v>157</v>
      </c>
      <c r="U3070" s="573">
        <v>125.9</v>
      </c>
      <c r="V3070" s="573">
        <v>21.1</v>
      </c>
      <c r="W3070" s="616">
        <v>5690</v>
      </c>
      <c r="X3070" s="617">
        <v>17</v>
      </c>
      <c r="Y3070" s="617" t="s">
        <v>178</v>
      </c>
      <c r="Z3070" s="617" t="s">
        <v>178</v>
      </c>
      <c r="AA3070" s="618">
        <v>29505</v>
      </c>
      <c r="AB3070" s="618" t="s">
        <v>164</v>
      </c>
      <c r="AC3070" s="618">
        <v>24490</v>
      </c>
      <c r="AD3070" s="619">
        <v>0.05</v>
      </c>
      <c r="AE3070" s="617" t="s">
        <v>5343</v>
      </c>
    </row>
    <row r="3071" spans="1:31" s="572" customFormat="1">
      <c r="A3071" s="570" t="s">
        <v>5345</v>
      </c>
      <c r="B3071" s="569" t="s">
        <v>543</v>
      </c>
      <c r="C3071" s="580" t="s">
        <v>544</v>
      </c>
      <c r="D3071" s="569" t="s">
        <v>3374</v>
      </c>
      <c r="E3071" s="569" t="s">
        <v>211</v>
      </c>
      <c r="F3071" s="569" t="s">
        <v>545</v>
      </c>
      <c r="G3071" s="569">
        <v>2019</v>
      </c>
      <c r="H3071" s="569" t="s">
        <v>5316</v>
      </c>
      <c r="I3071" s="569" t="s">
        <v>5347</v>
      </c>
      <c r="J3071" s="569" t="s">
        <v>3377</v>
      </c>
      <c r="K3071" s="569">
        <v>4</v>
      </c>
      <c r="L3071" s="569">
        <v>0</v>
      </c>
      <c r="M3071" s="569" t="s">
        <v>157</v>
      </c>
      <c r="N3071" s="569">
        <v>2</v>
      </c>
      <c r="O3071" s="569" t="s">
        <v>5334</v>
      </c>
      <c r="P3071" s="568">
        <v>3500</v>
      </c>
      <c r="Q3071" s="569" t="s">
        <v>189</v>
      </c>
      <c r="R3071" s="569">
        <v>4</v>
      </c>
      <c r="S3071" s="569">
        <v>31319</v>
      </c>
      <c r="T3071" s="569" t="s">
        <v>157</v>
      </c>
      <c r="U3071" s="569">
        <v>125.9</v>
      </c>
      <c r="V3071" s="569">
        <v>21.1</v>
      </c>
      <c r="W3071" s="620">
        <v>4700</v>
      </c>
      <c r="X3071" s="621">
        <v>19</v>
      </c>
      <c r="Y3071" s="621" t="s">
        <v>178</v>
      </c>
      <c r="Z3071" s="621" t="s">
        <v>178</v>
      </c>
      <c r="AA3071" s="622">
        <v>25955</v>
      </c>
      <c r="AB3071" s="622" t="s">
        <v>164</v>
      </c>
      <c r="AC3071" s="622">
        <v>21399</v>
      </c>
      <c r="AD3071" s="623">
        <v>0.03</v>
      </c>
      <c r="AE3071" s="621" t="s">
        <v>5346</v>
      </c>
    </row>
    <row r="3072" spans="1:31" s="572" customFormat="1">
      <c r="A3072" s="570" t="s">
        <v>5348</v>
      </c>
      <c r="B3072" s="573" t="s">
        <v>543</v>
      </c>
      <c r="C3072" s="578" t="s">
        <v>544</v>
      </c>
      <c r="D3072" s="573" t="s">
        <v>3374</v>
      </c>
      <c r="E3072" s="573" t="s">
        <v>152</v>
      </c>
      <c r="F3072" s="573" t="s">
        <v>545</v>
      </c>
      <c r="G3072" s="573">
        <v>2019</v>
      </c>
      <c r="H3072" s="573" t="s">
        <v>5350</v>
      </c>
      <c r="I3072" s="573" t="s">
        <v>5321</v>
      </c>
      <c r="J3072" s="573" t="s">
        <v>3377</v>
      </c>
      <c r="K3072" s="573">
        <v>6</v>
      </c>
      <c r="L3072" s="573">
        <v>0</v>
      </c>
      <c r="M3072" s="573" t="s">
        <v>157</v>
      </c>
      <c r="N3072" s="573">
        <v>2</v>
      </c>
      <c r="O3072" s="573" t="s">
        <v>5351</v>
      </c>
      <c r="P3072" s="571">
        <v>9380</v>
      </c>
      <c r="Q3072" s="573" t="s">
        <v>3203</v>
      </c>
      <c r="R3072" s="573">
        <v>8</v>
      </c>
      <c r="S3072" s="582">
        <v>38119</v>
      </c>
      <c r="T3072" s="573" t="s">
        <v>157</v>
      </c>
      <c r="U3072" s="573">
        <v>139.80000000000001</v>
      </c>
      <c r="V3072" s="573">
        <v>26</v>
      </c>
      <c r="W3072" s="616">
        <v>7100</v>
      </c>
      <c r="X3072" s="617">
        <v>18</v>
      </c>
      <c r="Y3072" s="617" t="s">
        <v>178</v>
      </c>
      <c r="Z3072" s="617" t="s">
        <v>178</v>
      </c>
      <c r="AA3072" s="618">
        <v>37745</v>
      </c>
      <c r="AB3072" s="618" t="s">
        <v>164</v>
      </c>
      <c r="AC3072" s="618">
        <v>29881.5</v>
      </c>
      <c r="AD3072" s="619">
        <v>0.03</v>
      </c>
      <c r="AE3072" s="617" t="s">
        <v>5349</v>
      </c>
    </row>
    <row r="3073" spans="1:31" s="572" customFormat="1">
      <c r="A3073" s="570" t="s">
        <v>5352</v>
      </c>
      <c r="B3073" s="569" t="s">
        <v>543</v>
      </c>
      <c r="C3073" s="580" t="s">
        <v>544</v>
      </c>
      <c r="D3073" s="569" t="s">
        <v>3374</v>
      </c>
      <c r="E3073" s="569" t="s">
        <v>152</v>
      </c>
      <c r="F3073" s="569" t="s">
        <v>545</v>
      </c>
      <c r="G3073" s="569">
        <v>2019</v>
      </c>
      <c r="H3073" s="569" t="s">
        <v>5350</v>
      </c>
      <c r="I3073" s="569" t="s">
        <v>5321</v>
      </c>
      <c r="J3073" s="569" t="s">
        <v>752</v>
      </c>
      <c r="K3073" s="569">
        <v>6</v>
      </c>
      <c r="L3073" s="569">
        <v>0</v>
      </c>
      <c r="M3073" s="569" t="s">
        <v>157</v>
      </c>
      <c r="N3073" s="569">
        <v>2</v>
      </c>
      <c r="O3073" s="569" t="s">
        <v>5351</v>
      </c>
      <c r="P3073" s="568">
        <v>9240</v>
      </c>
      <c r="Q3073" s="569" t="s">
        <v>3203</v>
      </c>
      <c r="R3073" s="569">
        <v>8</v>
      </c>
      <c r="S3073" s="569">
        <v>38019</v>
      </c>
      <c r="T3073" s="569" t="s">
        <v>157</v>
      </c>
      <c r="U3073" s="569">
        <v>139.80000000000001</v>
      </c>
      <c r="V3073" s="569">
        <v>26</v>
      </c>
      <c r="W3073" s="620">
        <v>7300</v>
      </c>
      <c r="X3073" s="621">
        <v>18</v>
      </c>
      <c r="Y3073" s="621" t="s">
        <v>178</v>
      </c>
      <c r="Z3073" s="621" t="s">
        <v>178</v>
      </c>
      <c r="AA3073" s="622">
        <v>40875</v>
      </c>
      <c r="AB3073" s="622" t="s">
        <v>164</v>
      </c>
      <c r="AC3073" s="622">
        <v>32980.199999999997</v>
      </c>
      <c r="AD3073" s="623">
        <v>0.03</v>
      </c>
      <c r="AE3073" s="621" t="s">
        <v>5353</v>
      </c>
    </row>
    <row r="3074" spans="1:31" s="572" customFormat="1">
      <c r="A3074" s="570" t="s">
        <v>5354</v>
      </c>
      <c r="B3074" s="573" t="s">
        <v>549</v>
      </c>
      <c r="C3074" s="578">
        <v>16</v>
      </c>
      <c r="D3074" s="573" t="s">
        <v>3374</v>
      </c>
      <c r="E3074" s="573" t="s">
        <v>152</v>
      </c>
      <c r="F3074" s="573" t="s">
        <v>545</v>
      </c>
      <c r="G3074" s="573">
        <v>2019</v>
      </c>
      <c r="H3074" s="573" t="s">
        <v>5350</v>
      </c>
      <c r="I3074" s="573" t="s">
        <v>5321</v>
      </c>
      <c r="J3074" s="573" t="s">
        <v>752</v>
      </c>
      <c r="K3074" s="573">
        <v>6</v>
      </c>
      <c r="L3074" s="573">
        <v>0</v>
      </c>
      <c r="M3074" s="573" t="s">
        <v>157</v>
      </c>
      <c r="N3074" s="573">
        <v>2</v>
      </c>
      <c r="O3074" s="573" t="s">
        <v>5351</v>
      </c>
      <c r="P3074" s="571">
        <v>7300</v>
      </c>
      <c r="Q3074" s="573" t="s">
        <v>3203</v>
      </c>
      <c r="R3074" s="573">
        <v>8</v>
      </c>
      <c r="S3074" s="582">
        <v>38019</v>
      </c>
      <c r="T3074" s="573" t="s">
        <v>157</v>
      </c>
      <c r="U3074" s="573">
        <v>139.80000000000001</v>
      </c>
      <c r="V3074" s="573">
        <v>26</v>
      </c>
      <c r="W3074" s="616">
        <v>7200</v>
      </c>
      <c r="X3074" s="617">
        <v>18</v>
      </c>
      <c r="Y3074" s="617" t="s">
        <v>178</v>
      </c>
      <c r="Z3074" s="617" t="s">
        <v>178</v>
      </c>
      <c r="AA3074" s="618">
        <v>40875</v>
      </c>
      <c r="AB3074" s="618" t="s">
        <v>164</v>
      </c>
      <c r="AC3074" s="618">
        <v>32490</v>
      </c>
      <c r="AD3074" s="619">
        <v>0.05</v>
      </c>
      <c r="AE3074" s="617" t="s">
        <v>5353</v>
      </c>
    </row>
    <row r="3075" spans="1:31" s="572" customFormat="1">
      <c r="A3075" s="570" t="s">
        <v>5355</v>
      </c>
      <c r="B3075" s="569" t="s">
        <v>543</v>
      </c>
      <c r="C3075" s="580" t="s">
        <v>544</v>
      </c>
      <c r="D3075" s="569" t="s">
        <v>3374</v>
      </c>
      <c r="E3075" s="569" t="s">
        <v>152</v>
      </c>
      <c r="F3075" s="569" t="s">
        <v>545</v>
      </c>
      <c r="G3075" s="569">
        <v>2019</v>
      </c>
      <c r="H3075" s="569" t="s">
        <v>5350</v>
      </c>
      <c r="I3075" s="569" t="s">
        <v>5357</v>
      </c>
      <c r="J3075" s="569" t="s">
        <v>3377</v>
      </c>
      <c r="K3075" s="569">
        <v>6</v>
      </c>
      <c r="L3075" s="569">
        <v>0</v>
      </c>
      <c r="M3075" s="569" t="s">
        <v>157</v>
      </c>
      <c r="N3075" s="569">
        <v>2</v>
      </c>
      <c r="O3075" s="569" t="s">
        <v>5351</v>
      </c>
      <c r="P3075" s="568">
        <v>9380</v>
      </c>
      <c r="Q3075" s="569" t="s">
        <v>3203</v>
      </c>
      <c r="R3075" s="569">
        <v>8</v>
      </c>
      <c r="S3075" s="569">
        <v>38519</v>
      </c>
      <c r="T3075" s="569" t="s">
        <v>157</v>
      </c>
      <c r="U3075" s="569">
        <v>139.80000000000001</v>
      </c>
      <c r="V3075" s="569">
        <v>26</v>
      </c>
      <c r="W3075" s="620">
        <v>7100</v>
      </c>
      <c r="X3075" s="621">
        <v>18</v>
      </c>
      <c r="Y3075" s="621" t="s">
        <v>178</v>
      </c>
      <c r="Z3075" s="621" t="s">
        <v>178</v>
      </c>
      <c r="AA3075" s="622">
        <v>49735</v>
      </c>
      <c r="AB3075" s="622" t="s">
        <v>164</v>
      </c>
      <c r="AC3075" s="622">
        <v>40989</v>
      </c>
      <c r="AD3075" s="623">
        <v>0.03</v>
      </c>
      <c r="AE3075" s="621" t="s">
        <v>5356</v>
      </c>
    </row>
    <row r="3076" spans="1:31" s="572" customFormat="1">
      <c r="A3076" s="570" t="s">
        <v>5358</v>
      </c>
      <c r="B3076" s="573" t="s">
        <v>543</v>
      </c>
      <c r="C3076" s="578" t="s">
        <v>544</v>
      </c>
      <c r="D3076" s="573" t="s">
        <v>3374</v>
      </c>
      <c r="E3076" s="573" t="s">
        <v>152</v>
      </c>
      <c r="F3076" s="573" t="s">
        <v>545</v>
      </c>
      <c r="G3076" s="573">
        <v>2019</v>
      </c>
      <c r="H3076" s="573" t="s">
        <v>5350</v>
      </c>
      <c r="I3076" s="573" t="s">
        <v>5357</v>
      </c>
      <c r="J3076" s="573" t="s">
        <v>752</v>
      </c>
      <c r="K3076" s="573">
        <v>6</v>
      </c>
      <c r="L3076" s="573">
        <v>0</v>
      </c>
      <c r="M3076" s="573" t="s">
        <v>157</v>
      </c>
      <c r="N3076" s="573">
        <v>2</v>
      </c>
      <c r="O3076" s="573" t="s">
        <v>5351</v>
      </c>
      <c r="P3076" s="571">
        <v>9240</v>
      </c>
      <c r="Q3076" s="573" t="s">
        <v>3203</v>
      </c>
      <c r="R3076" s="573">
        <v>8</v>
      </c>
      <c r="S3076" s="582">
        <v>38619</v>
      </c>
      <c r="T3076" s="573" t="s">
        <v>157</v>
      </c>
      <c r="U3076" s="573">
        <v>139.80000000000001</v>
      </c>
      <c r="V3076" s="573">
        <v>26</v>
      </c>
      <c r="W3076" s="616">
        <v>7300</v>
      </c>
      <c r="X3076" s="617">
        <v>18</v>
      </c>
      <c r="Y3076" s="617" t="s">
        <v>178</v>
      </c>
      <c r="Z3076" s="617" t="s">
        <v>178</v>
      </c>
      <c r="AA3076" s="618">
        <v>52915</v>
      </c>
      <c r="AB3076" s="618" t="s">
        <v>164</v>
      </c>
      <c r="AC3076" s="618">
        <v>43999</v>
      </c>
      <c r="AD3076" s="619">
        <v>0.03</v>
      </c>
      <c r="AE3076" s="617" t="s">
        <v>5359</v>
      </c>
    </row>
    <row r="3077" spans="1:31" s="572" customFormat="1">
      <c r="A3077" s="570" t="s">
        <v>5360</v>
      </c>
      <c r="B3077" s="569" t="s">
        <v>543</v>
      </c>
      <c r="C3077" s="580" t="s">
        <v>544</v>
      </c>
      <c r="D3077" s="569" t="s">
        <v>3374</v>
      </c>
      <c r="E3077" s="569" t="s">
        <v>152</v>
      </c>
      <c r="F3077" s="569" t="s">
        <v>545</v>
      </c>
      <c r="G3077" s="569">
        <v>2019</v>
      </c>
      <c r="H3077" s="569" t="s">
        <v>5350</v>
      </c>
      <c r="I3077" s="569" t="s">
        <v>5327</v>
      </c>
      <c r="J3077" s="569" t="s">
        <v>3377</v>
      </c>
      <c r="K3077" s="569">
        <v>6</v>
      </c>
      <c r="L3077" s="569">
        <v>0</v>
      </c>
      <c r="M3077" s="569" t="s">
        <v>157</v>
      </c>
      <c r="N3077" s="569">
        <v>2</v>
      </c>
      <c r="O3077" s="569" t="s">
        <v>5351</v>
      </c>
      <c r="P3077" s="568">
        <v>9380</v>
      </c>
      <c r="Q3077" s="569" t="s">
        <v>3203</v>
      </c>
      <c r="R3077" s="569">
        <v>8</v>
      </c>
      <c r="S3077" s="569">
        <v>38319</v>
      </c>
      <c r="T3077" s="569" t="s">
        <v>157</v>
      </c>
      <c r="U3077" s="569">
        <v>139.80000000000001</v>
      </c>
      <c r="V3077" s="569">
        <v>26</v>
      </c>
      <c r="W3077" s="620">
        <v>7100</v>
      </c>
      <c r="X3077" s="621">
        <v>18</v>
      </c>
      <c r="Y3077" s="621" t="s">
        <v>178</v>
      </c>
      <c r="Z3077" s="621" t="s">
        <v>178</v>
      </c>
      <c r="AA3077" s="622">
        <v>40915</v>
      </c>
      <c r="AB3077" s="622" t="s">
        <v>164</v>
      </c>
      <c r="AC3077" s="622">
        <v>32624.6</v>
      </c>
      <c r="AD3077" s="623">
        <v>0.03</v>
      </c>
      <c r="AE3077" s="621" t="s">
        <v>5361</v>
      </c>
    </row>
    <row r="3078" spans="1:31" s="572" customFormat="1">
      <c r="A3078" s="570" t="s">
        <v>5362</v>
      </c>
      <c r="B3078" s="573" t="s">
        <v>543</v>
      </c>
      <c r="C3078" s="578" t="s">
        <v>544</v>
      </c>
      <c r="D3078" s="573" t="s">
        <v>3374</v>
      </c>
      <c r="E3078" s="573" t="s">
        <v>152</v>
      </c>
      <c r="F3078" s="573" t="s">
        <v>545</v>
      </c>
      <c r="G3078" s="573">
        <v>2019</v>
      </c>
      <c r="H3078" s="573" t="s">
        <v>5350</v>
      </c>
      <c r="I3078" s="573" t="s">
        <v>5327</v>
      </c>
      <c r="J3078" s="573" t="s">
        <v>752</v>
      </c>
      <c r="K3078" s="573">
        <v>6</v>
      </c>
      <c r="L3078" s="573">
        <v>0</v>
      </c>
      <c r="M3078" s="573" t="s">
        <v>157</v>
      </c>
      <c r="N3078" s="573">
        <v>2</v>
      </c>
      <c r="O3078" s="573" t="s">
        <v>5351</v>
      </c>
      <c r="P3078" s="571">
        <v>9240</v>
      </c>
      <c r="Q3078" s="573" t="s">
        <v>3203</v>
      </c>
      <c r="R3078" s="573">
        <v>8</v>
      </c>
      <c r="S3078" s="582">
        <v>38219</v>
      </c>
      <c r="T3078" s="573" t="s">
        <v>157</v>
      </c>
      <c r="U3078" s="573">
        <v>139.80000000000001</v>
      </c>
      <c r="V3078" s="573">
        <v>26</v>
      </c>
      <c r="W3078" s="616">
        <v>7300</v>
      </c>
      <c r="X3078" s="617">
        <v>18</v>
      </c>
      <c r="Y3078" s="617" t="s">
        <v>178</v>
      </c>
      <c r="Z3078" s="617" t="s">
        <v>178</v>
      </c>
      <c r="AA3078" s="618">
        <v>44045</v>
      </c>
      <c r="AB3078" s="618" t="s">
        <v>164</v>
      </c>
      <c r="AC3078" s="618">
        <v>35692</v>
      </c>
      <c r="AD3078" s="619">
        <v>0.03</v>
      </c>
      <c r="AE3078" s="617" t="s">
        <v>5363</v>
      </c>
    </row>
    <row r="3079" spans="1:31" s="572" customFormat="1">
      <c r="A3079" s="570" t="s">
        <v>5364</v>
      </c>
      <c r="B3079" s="569" t="s">
        <v>549</v>
      </c>
      <c r="C3079" s="580">
        <v>16</v>
      </c>
      <c r="D3079" s="569" t="s">
        <v>3374</v>
      </c>
      <c r="E3079" s="569" t="s">
        <v>152</v>
      </c>
      <c r="F3079" s="569" t="s">
        <v>545</v>
      </c>
      <c r="G3079" s="569">
        <v>2019</v>
      </c>
      <c r="H3079" s="569" t="s">
        <v>5350</v>
      </c>
      <c r="I3079" s="569" t="s">
        <v>5327</v>
      </c>
      <c r="J3079" s="569" t="s">
        <v>752</v>
      </c>
      <c r="K3079" s="569">
        <v>6</v>
      </c>
      <c r="L3079" s="569">
        <v>0</v>
      </c>
      <c r="M3079" s="569" t="s">
        <v>157</v>
      </c>
      <c r="N3079" s="569">
        <v>2</v>
      </c>
      <c r="O3079" s="569" t="s">
        <v>5351</v>
      </c>
      <c r="P3079" s="568">
        <v>7300</v>
      </c>
      <c r="Q3079" s="569" t="s">
        <v>3203</v>
      </c>
      <c r="R3079" s="569">
        <v>8</v>
      </c>
      <c r="S3079" s="569">
        <v>38219</v>
      </c>
      <c r="T3079" s="569" t="s">
        <v>157</v>
      </c>
      <c r="U3079" s="569">
        <v>139.80000000000001</v>
      </c>
      <c r="V3079" s="569">
        <v>26</v>
      </c>
      <c r="W3079" s="620">
        <v>7200</v>
      </c>
      <c r="X3079" s="621">
        <v>18</v>
      </c>
      <c r="Y3079" s="621" t="s">
        <v>178</v>
      </c>
      <c r="Z3079" s="621" t="s">
        <v>178</v>
      </c>
      <c r="AA3079" s="622">
        <v>44045</v>
      </c>
      <c r="AB3079" s="622" t="s">
        <v>164</v>
      </c>
      <c r="AC3079" s="622">
        <v>35790</v>
      </c>
      <c r="AD3079" s="623">
        <v>0.05</v>
      </c>
      <c r="AE3079" s="621" t="s">
        <v>5363</v>
      </c>
    </row>
    <row r="3080" spans="1:31" s="572" customFormat="1">
      <c r="A3080" s="570" t="s">
        <v>5365</v>
      </c>
      <c r="B3080" s="573" t="s">
        <v>543</v>
      </c>
      <c r="C3080" s="578" t="s">
        <v>544</v>
      </c>
      <c r="D3080" s="573" t="s">
        <v>3374</v>
      </c>
      <c r="E3080" s="573" t="s">
        <v>152</v>
      </c>
      <c r="F3080" s="573" t="s">
        <v>545</v>
      </c>
      <c r="G3080" s="573">
        <v>2019</v>
      </c>
      <c r="H3080" s="573" t="s">
        <v>5350</v>
      </c>
      <c r="I3080" s="573" t="s">
        <v>5337</v>
      </c>
      <c r="J3080" s="573" t="s">
        <v>3377</v>
      </c>
      <c r="K3080" s="573">
        <v>6</v>
      </c>
      <c r="L3080" s="573">
        <v>0</v>
      </c>
      <c r="M3080" s="573" t="s">
        <v>157</v>
      </c>
      <c r="N3080" s="573">
        <v>2</v>
      </c>
      <c r="O3080" s="573" t="s">
        <v>5367</v>
      </c>
      <c r="P3080" s="571">
        <v>9450</v>
      </c>
      <c r="Q3080" s="573" t="s">
        <v>3203</v>
      </c>
      <c r="R3080" s="573">
        <v>8</v>
      </c>
      <c r="S3080" s="582">
        <v>37119</v>
      </c>
      <c r="T3080" s="573" t="s">
        <v>157</v>
      </c>
      <c r="U3080" s="573">
        <v>139.80000000000001</v>
      </c>
      <c r="V3080" s="573">
        <v>26</v>
      </c>
      <c r="W3080" s="616">
        <v>7100</v>
      </c>
      <c r="X3080" s="617">
        <v>18</v>
      </c>
      <c r="Y3080" s="617" t="s">
        <v>178</v>
      </c>
      <c r="Z3080" s="617" t="s">
        <v>178</v>
      </c>
      <c r="AA3080" s="618">
        <v>35035</v>
      </c>
      <c r="AB3080" s="618" t="s">
        <v>164</v>
      </c>
      <c r="AC3080" s="618">
        <v>27599</v>
      </c>
      <c r="AD3080" s="619">
        <v>0.03</v>
      </c>
      <c r="AE3080" s="617" t="s">
        <v>5366</v>
      </c>
    </row>
    <row r="3081" spans="1:31" s="572" customFormat="1">
      <c r="A3081" s="570" t="s">
        <v>5368</v>
      </c>
      <c r="B3081" s="569" t="s">
        <v>543</v>
      </c>
      <c r="C3081" s="580" t="s">
        <v>544</v>
      </c>
      <c r="D3081" s="569" t="s">
        <v>3374</v>
      </c>
      <c r="E3081" s="569" t="s">
        <v>152</v>
      </c>
      <c r="F3081" s="569" t="s">
        <v>545</v>
      </c>
      <c r="G3081" s="569">
        <v>2019</v>
      </c>
      <c r="H3081" s="569" t="s">
        <v>5350</v>
      </c>
      <c r="I3081" s="569" t="s">
        <v>5337</v>
      </c>
      <c r="J3081" s="569" t="s">
        <v>752</v>
      </c>
      <c r="K3081" s="569">
        <v>6</v>
      </c>
      <c r="L3081" s="569">
        <v>0</v>
      </c>
      <c r="M3081" s="569" t="s">
        <v>157</v>
      </c>
      <c r="N3081" s="569">
        <v>2</v>
      </c>
      <c r="O3081" s="569" t="s">
        <v>5367</v>
      </c>
      <c r="P3081" s="568">
        <v>9250</v>
      </c>
      <c r="Q3081" s="569" t="s">
        <v>3203</v>
      </c>
      <c r="R3081" s="569">
        <v>8</v>
      </c>
      <c r="S3081" s="569">
        <v>37019</v>
      </c>
      <c r="T3081" s="569" t="s">
        <v>157</v>
      </c>
      <c r="U3081" s="569">
        <v>139.80000000000001</v>
      </c>
      <c r="V3081" s="569">
        <v>26</v>
      </c>
      <c r="W3081" s="620">
        <v>7300</v>
      </c>
      <c r="X3081" s="621">
        <v>18</v>
      </c>
      <c r="Y3081" s="621" t="s">
        <v>178</v>
      </c>
      <c r="Z3081" s="621" t="s">
        <v>178</v>
      </c>
      <c r="AA3081" s="622">
        <v>38165</v>
      </c>
      <c r="AB3081" s="622" t="s">
        <v>164</v>
      </c>
      <c r="AC3081" s="622">
        <v>30297.300000000003</v>
      </c>
      <c r="AD3081" s="623">
        <v>0.03</v>
      </c>
      <c r="AE3081" s="621" t="s">
        <v>5369</v>
      </c>
    </row>
    <row r="3082" spans="1:31" s="572" customFormat="1">
      <c r="A3082" s="570" t="s">
        <v>5370</v>
      </c>
      <c r="B3082" s="573" t="s">
        <v>549</v>
      </c>
      <c r="C3082" s="578">
        <v>16</v>
      </c>
      <c r="D3082" s="573" t="s">
        <v>3374</v>
      </c>
      <c r="E3082" s="573" t="s">
        <v>152</v>
      </c>
      <c r="F3082" s="573" t="s">
        <v>545</v>
      </c>
      <c r="G3082" s="573">
        <v>2019</v>
      </c>
      <c r="H3082" s="573" t="s">
        <v>5350</v>
      </c>
      <c r="I3082" s="573" t="s">
        <v>5337</v>
      </c>
      <c r="J3082" s="573" t="s">
        <v>752</v>
      </c>
      <c r="K3082" s="573">
        <v>6</v>
      </c>
      <c r="L3082" s="573">
        <v>0</v>
      </c>
      <c r="M3082" s="573" t="s">
        <v>157</v>
      </c>
      <c r="N3082" s="573">
        <v>2</v>
      </c>
      <c r="O3082" s="573" t="s">
        <v>5367</v>
      </c>
      <c r="P3082" s="571">
        <v>7400</v>
      </c>
      <c r="Q3082" s="573" t="s">
        <v>3203</v>
      </c>
      <c r="R3082" s="573">
        <v>8</v>
      </c>
      <c r="S3082" s="582">
        <v>37019</v>
      </c>
      <c r="T3082" s="573" t="s">
        <v>157</v>
      </c>
      <c r="U3082" s="573">
        <v>139.80000000000001</v>
      </c>
      <c r="V3082" s="573">
        <v>26</v>
      </c>
      <c r="W3082" s="616">
        <v>7300</v>
      </c>
      <c r="X3082" s="617">
        <v>18</v>
      </c>
      <c r="Y3082" s="617" t="s">
        <v>178</v>
      </c>
      <c r="Z3082" s="617" t="s">
        <v>178</v>
      </c>
      <c r="AA3082" s="618">
        <v>38165</v>
      </c>
      <c r="AB3082" s="618" t="s">
        <v>164</v>
      </c>
      <c r="AC3082" s="618">
        <v>29990</v>
      </c>
      <c r="AD3082" s="619">
        <v>0.05</v>
      </c>
      <c r="AE3082" s="617" t="s">
        <v>5369</v>
      </c>
    </row>
    <row r="3083" spans="1:31" s="572" customFormat="1">
      <c r="A3083" s="570" t="s">
        <v>5371</v>
      </c>
      <c r="B3083" s="569" t="s">
        <v>543</v>
      </c>
      <c r="C3083" s="580" t="s">
        <v>544</v>
      </c>
      <c r="D3083" s="569" t="s">
        <v>3374</v>
      </c>
      <c r="E3083" s="569" t="s">
        <v>152</v>
      </c>
      <c r="F3083" s="569" t="s">
        <v>545</v>
      </c>
      <c r="G3083" s="569">
        <v>2019</v>
      </c>
      <c r="H3083" s="569" t="s">
        <v>5350</v>
      </c>
      <c r="I3083" s="569" t="s">
        <v>5341</v>
      </c>
      <c r="J3083" s="569" t="s">
        <v>3377</v>
      </c>
      <c r="K3083" s="569">
        <v>6</v>
      </c>
      <c r="L3083" s="569">
        <v>0</v>
      </c>
      <c r="M3083" s="569" t="s">
        <v>157</v>
      </c>
      <c r="N3083" s="569">
        <v>2</v>
      </c>
      <c r="O3083" s="569" t="s">
        <v>5367</v>
      </c>
      <c r="P3083" s="568">
        <v>9450</v>
      </c>
      <c r="Q3083" s="569" t="s">
        <v>3203</v>
      </c>
      <c r="R3083" s="569">
        <v>8</v>
      </c>
      <c r="S3083" s="569">
        <v>37319</v>
      </c>
      <c r="T3083" s="569" t="s">
        <v>157</v>
      </c>
      <c r="U3083" s="569">
        <v>139.80000000000001</v>
      </c>
      <c r="V3083" s="569">
        <v>26</v>
      </c>
      <c r="W3083" s="620">
        <v>7100</v>
      </c>
      <c r="X3083" s="621">
        <v>18</v>
      </c>
      <c r="Y3083" s="621" t="s">
        <v>178</v>
      </c>
      <c r="Z3083" s="621" t="s">
        <v>178</v>
      </c>
      <c r="AA3083" s="622">
        <v>38445</v>
      </c>
      <c r="AB3083" s="622" t="s">
        <v>164</v>
      </c>
      <c r="AC3083" s="622">
        <v>30574.5</v>
      </c>
      <c r="AD3083" s="623">
        <v>0.03</v>
      </c>
      <c r="AE3083" s="621" t="s">
        <v>5372</v>
      </c>
    </row>
    <row r="3084" spans="1:31" s="572" customFormat="1">
      <c r="A3084" s="570" t="s">
        <v>5373</v>
      </c>
      <c r="B3084" s="573" t="s">
        <v>543</v>
      </c>
      <c r="C3084" s="578" t="s">
        <v>544</v>
      </c>
      <c r="D3084" s="573" t="s">
        <v>3374</v>
      </c>
      <c r="E3084" s="573" t="s">
        <v>152</v>
      </c>
      <c r="F3084" s="573" t="s">
        <v>545</v>
      </c>
      <c r="G3084" s="573">
        <v>2019</v>
      </c>
      <c r="H3084" s="573" t="s">
        <v>5350</v>
      </c>
      <c r="I3084" s="573" t="s">
        <v>5341</v>
      </c>
      <c r="J3084" s="573" t="s">
        <v>752</v>
      </c>
      <c r="K3084" s="573">
        <v>6</v>
      </c>
      <c r="L3084" s="573">
        <v>0</v>
      </c>
      <c r="M3084" s="573" t="s">
        <v>157</v>
      </c>
      <c r="N3084" s="573">
        <v>2</v>
      </c>
      <c r="O3084" s="573" t="s">
        <v>5367</v>
      </c>
      <c r="P3084" s="571">
        <v>9250</v>
      </c>
      <c r="Q3084" s="573" t="s">
        <v>3203</v>
      </c>
      <c r="R3084" s="573">
        <v>8</v>
      </c>
      <c r="S3084" s="582">
        <v>37219</v>
      </c>
      <c r="T3084" s="573" t="s">
        <v>157</v>
      </c>
      <c r="U3084" s="573">
        <v>139.80000000000001</v>
      </c>
      <c r="V3084" s="573">
        <v>26</v>
      </c>
      <c r="W3084" s="616">
        <v>7300</v>
      </c>
      <c r="X3084" s="617">
        <v>18</v>
      </c>
      <c r="Y3084" s="617" t="s">
        <v>178</v>
      </c>
      <c r="Z3084" s="617" t="s">
        <v>178</v>
      </c>
      <c r="AA3084" s="618">
        <v>41575</v>
      </c>
      <c r="AB3084" s="618" t="s">
        <v>164</v>
      </c>
      <c r="AC3084" s="618">
        <v>33673.199999999997</v>
      </c>
      <c r="AD3084" s="619">
        <v>0.03</v>
      </c>
      <c r="AE3084" s="617" t="s">
        <v>5374</v>
      </c>
    </row>
    <row r="3085" spans="1:31" s="572" customFormat="1">
      <c r="A3085" s="570" t="s">
        <v>5375</v>
      </c>
      <c r="B3085" s="569" t="s">
        <v>549</v>
      </c>
      <c r="C3085" s="580">
        <v>16</v>
      </c>
      <c r="D3085" s="569" t="s">
        <v>3374</v>
      </c>
      <c r="E3085" s="569" t="s">
        <v>152</v>
      </c>
      <c r="F3085" s="569" t="s">
        <v>545</v>
      </c>
      <c r="G3085" s="569">
        <v>2019</v>
      </c>
      <c r="H3085" s="569" t="s">
        <v>5350</v>
      </c>
      <c r="I3085" s="569" t="s">
        <v>5341</v>
      </c>
      <c r="J3085" s="569" t="s">
        <v>752</v>
      </c>
      <c r="K3085" s="569">
        <v>6</v>
      </c>
      <c r="L3085" s="569">
        <v>0</v>
      </c>
      <c r="M3085" s="569" t="s">
        <v>157</v>
      </c>
      <c r="N3085" s="569">
        <v>2</v>
      </c>
      <c r="O3085" s="569" t="s">
        <v>5367</v>
      </c>
      <c r="P3085" s="568">
        <v>7400</v>
      </c>
      <c r="Q3085" s="569" t="s">
        <v>3203</v>
      </c>
      <c r="R3085" s="569">
        <v>8</v>
      </c>
      <c r="S3085" s="569">
        <v>37219</v>
      </c>
      <c r="T3085" s="569" t="s">
        <v>157</v>
      </c>
      <c r="U3085" s="569">
        <v>139.80000000000001</v>
      </c>
      <c r="V3085" s="569">
        <v>26</v>
      </c>
      <c r="W3085" s="620">
        <v>7101</v>
      </c>
      <c r="X3085" s="621">
        <v>18</v>
      </c>
      <c r="Y3085" s="621" t="s">
        <v>178</v>
      </c>
      <c r="Z3085" s="621" t="s">
        <v>178</v>
      </c>
      <c r="AA3085" s="622">
        <v>41575</v>
      </c>
      <c r="AB3085" s="622" t="s">
        <v>164</v>
      </c>
      <c r="AC3085" s="622">
        <v>32990</v>
      </c>
      <c r="AD3085" s="623">
        <v>0.05</v>
      </c>
      <c r="AE3085" s="621" t="s">
        <v>5374</v>
      </c>
    </row>
    <row r="3086" spans="1:31" s="572" customFormat="1">
      <c r="A3086" s="570" t="s">
        <v>5376</v>
      </c>
      <c r="B3086" s="573" t="s">
        <v>543</v>
      </c>
      <c r="C3086" s="578" t="s">
        <v>544</v>
      </c>
      <c r="D3086" s="573" t="s">
        <v>3374</v>
      </c>
      <c r="E3086" s="573" t="s">
        <v>152</v>
      </c>
      <c r="F3086" s="573" t="s">
        <v>545</v>
      </c>
      <c r="G3086" s="573">
        <v>2019</v>
      </c>
      <c r="H3086" s="573" t="s">
        <v>5350</v>
      </c>
      <c r="I3086" s="573" t="s">
        <v>5378</v>
      </c>
      <c r="J3086" s="573" t="s">
        <v>752</v>
      </c>
      <c r="K3086" s="573">
        <v>3</v>
      </c>
      <c r="L3086" s="573">
        <v>0</v>
      </c>
      <c r="M3086" s="573" t="s">
        <v>157</v>
      </c>
      <c r="N3086" s="573">
        <v>1</v>
      </c>
      <c r="O3086" s="573" t="s">
        <v>5367</v>
      </c>
      <c r="P3086" s="571">
        <v>9540</v>
      </c>
      <c r="Q3086" s="573" t="s">
        <v>3203</v>
      </c>
      <c r="R3086" s="573">
        <v>6</v>
      </c>
      <c r="S3086" s="582">
        <v>36019</v>
      </c>
      <c r="T3086" s="573" t="s">
        <v>157</v>
      </c>
      <c r="U3086" s="573">
        <v>139.80000000000001</v>
      </c>
      <c r="V3086" s="573">
        <v>26</v>
      </c>
      <c r="W3086" s="616">
        <v>7300</v>
      </c>
      <c r="X3086" s="617">
        <v>18</v>
      </c>
      <c r="Y3086" s="617" t="s">
        <v>178</v>
      </c>
      <c r="Z3086" s="617" t="s">
        <v>178</v>
      </c>
      <c r="AA3086" s="618">
        <v>35165</v>
      </c>
      <c r="AB3086" s="618" t="s">
        <v>164</v>
      </c>
      <c r="AC3086" s="618">
        <v>27909</v>
      </c>
      <c r="AD3086" s="619">
        <v>0.03</v>
      </c>
      <c r="AE3086" s="617" t="s">
        <v>5377</v>
      </c>
    </row>
    <row r="3087" spans="1:31" s="572" customFormat="1">
      <c r="A3087" s="570" t="s">
        <v>5379</v>
      </c>
      <c r="B3087" s="569" t="s">
        <v>543</v>
      </c>
      <c r="C3087" s="580" t="s">
        <v>544</v>
      </c>
      <c r="D3087" s="569" t="s">
        <v>3374</v>
      </c>
      <c r="E3087" s="569" t="s">
        <v>152</v>
      </c>
      <c r="F3087" s="569" t="s">
        <v>545</v>
      </c>
      <c r="G3087" s="569">
        <v>2019</v>
      </c>
      <c r="H3087" s="569" t="s">
        <v>5350</v>
      </c>
      <c r="I3087" s="569" t="s">
        <v>5381</v>
      </c>
      <c r="J3087" s="569" t="s">
        <v>752</v>
      </c>
      <c r="K3087" s="569">
        <v>3</v>
      </c>
      <c r="L3087" s="569">
        <v>0</v>
      </c>
      <c r="M3087" s="569" t="s">
        <v>157</v>
      </c>
      <c r="N3087" s="569">
        <v>1</v>
      </c>
      <c r="O3087" s="569" t="s">
        <v>5367</v>
      </c>
      <c r="P3087" s="568">
        <v>9540</v>
      </c>
      <c r="Q3087" s="569" t="s">
        <v>3203</v>
      </c>
      <c r="R3087" s="569">
        <v>6</v>
      </c>
      <c r="S3087" s="569">
        <v>36219</v>
      </c>
      <c r="T3087" s="569" t="s">
        <v>157</v>
      </c>
      <c r="U3087" s="569">
        <v>139.80000000000001</v>
      </c>
      <c r="V3087" s="569">
        <v>26</v>
      </c>
      <c r="W3087" s="620">
        <v>7300</v>
      </c>
      <c r="X3087" s="621">
        <v>18</v>
      </c>
      <c r="Y3087" s="621" t="s">
        <v>178</v>
      </c>
      <c r="Z3087" s="621" t="s">
        <v>178</v>
      </c>
      <c r="AA3087" s="622">
        <v>38525</v>
      </c>
      <c r="AB3087" s="622" t="s">
        <v>164</v>
      </c>
      <c r="AC3087" s="622">
        <v>30369</v>
      </c>
      <c r="AD3087" s="623">
        <v>0.03</v>
      </c>
      <c r="AE3087" s="621" t="s">
        <v>5380</v>
      </c>
    </row>
    <row r="3088" spans="1:31" s="572" customFormat="1">
      <c r="A3088" s="570" t="s">
        <v>5382</v>
      </c>
      <c r="B3088" s="573" t="s">
        <v>543</v>
      </c>
      <c r="C3088" s="578" t="s">
        <v>544</v>
      </c>
      <c r="D3088" s="573" t="s">
        <v>3374</v>
      </c>
      <c r="E3088" s="573" t="s">
        <v>152</v>
      </c>
      <c r="F3088" s="573" t="s">
        <v>545</v>
      </c>
      <c r="G3088" s="573">
        <v>2019</v>
      </c>
      <c r="H3088" s="573" t="s">
        <v>5384</v>
      </c>
      <c r="I3088" s="573" t="s">
        <v>5321</v>
      </c>
      <c r="J3088" s="573" t="s">
        <v>752</v>
      </c>
      <c r="K3088" s="573">
        <v>6</v>
      </c>
      <c r="L3088" s="573">
        <v>0</v>
      </c>
      <c r="M3088" s="573" t="s">
        <v>157</v>
      </c>
      <c r="N3088" s="573">
        <v>2</v>
      </c>
      <c r="O3088" s="573" t="s">
        <v>5367</v>
      </c>
      <c r="P3088" s="571">
        <v>12310</v>
      </c>
      <c r="Q3088" s="573" t="s">
        <v>3203</v>
      </c>
      <c r="R3088" s="573">
        <v>8</v>
      </c>
      <c r="S3088" s="582">
        <v>53019</v>
      </c>
      <c r="T3088" s="573" t="s">
        <v>5385</v>
      </c>
      <c r="U3088" s="573">
        <v>151.6</v>
      </c>
      <c r="V3088" s="573">
        <v>26</v>
      </c>
      <c r="W3088" s="616">
        <v>8800</v>
      </c>
      <c r="X3088" s="617">
        <v>18</v>
      </c>
      <c r="Y3088" s="617" t="s">
        <v>178</v>
      </c>
      <c r="Z3088" s="617" t="s">
        <v>178</v>
      </c>
      <c r="AA3088" s="618">
        <v>42455</v>
      </c>
      <c r="AB3088" s="618" t="s">
        <v>164</v>
      </c>
      <c r="AC3088" s="618">
        <v>34544.400000000001</v>
      </c>
      <c r="AD3088" s="619">
        <v>0.03</v>
      </c>
      <c r="AE3088" s="617" t="s">
        <v>5383</v>
      </c>
    </row>
    <row r="3089" spans="1:31" s="572" customFormat="1">
      <c r="A3089" s="570" t="s">
        <v>5386</v>
      </c>
      <c r="B3089" s="569" t="s">
        <v>549</v>
      </c>
      <c r="C3089" s="580">
        <v>16</v>
      </c>
      <c r="D3089" s="569" t="s">
        <v>3374</v>
      </c>
      <c r="E3089" s="569" t="s">
        <v>152</v>
      </c>
      <c r="F3089" s="569" t="s">
        <v>545</v>
      </c>
      <c r="G3089" s="569">
        <v>2019</v>
      </c>
      <c r="H3089" s="569" t="s">
        <v>5384</v>
      </c>
      <c r="I3089" s="569" t="s">
        <v>5387</v>
      </c>
      <c r="J3089" s="569" t="s">
        <v>752</v>
      </c>
      <c r="K3089" s="569">
        <v>6</v>
      </c>
      <c r="L3089" s="569">
        <v>0</v>
      </c>
      <c r="M3089" s="569" t="s">
        <v>157</v>
      </c>
      <c r="N3089" s="569">
        <v>2</v>
      </c>
      <c r="O3089" s="569" t="s">
        <v>5367</v>
      </c>
      <c r="P3089" s="568">
        <v>12310</v>
      </c>
      <c r="Q3089" s="569" t="s">
        <v>3203</v>
      </c>
      <c r="R3089" s="569">
        <v>8</v>
      </c>
      <c r="S3089" s="569">
        <v>53019</v>
      </c>
      <c r="T3089" s="569" t="s">
        <v>5385</v>
      </c>
      <c r="U3089" s="569">
        <v>151.6</v>
      </c>
      <c r="V3089" s="569">
        <v>26</v>
      </c>
      <c r="W3089" s="620">
        <v>8800</v>
      </c>
      <c r="X3089" s="621">
        <v>18</v>
      </c>
      <c r="Y3089" s="621" t="s">
        <v>178</v>
      </c>
      <c r="Z3089" s="621" t="s">
        <v>178</v>
      </c>
      <c r="AA3089" s="622">
        <v>42455</v>
      </c>
      <c r="AB3089" s="622" t="s">
        <v>164</v>
      </c>
      <c r="AC3089" s="622">
        <v>33990</v>
      </c>
      <c r="AD3089" s="623">
        <v>0.05</v>
      </c>
      <c r="AE3089" s="621" t="s">
        <v>5383</v>
      </c>
    </row>
    <row r="3090" spans="1:31" s="572" customFormat="1">
      <c r="A3090" s="570" t="s">
        <v>5388</v>
      </c>
      <c r="B3090" s="573" t="s">
        <v>543</v>
      </c>
      <c r="C3090" s="578" t="s">
        <v>544</v>
      </c>
      <c r="D3090" s="573" t="s">
        <v>3374</v>
      </c>
      <c r="E3090" s="573" t="s">
        <v>152</v>
      </c>
      <c r="F3090" s="573" t="s">
        <v>545</v>
      </c>
      <c r="G3090" s="573">
        <v>2019</v>
      </c>
      <c r="H3090" s="573" t="s">
        <v>5384</v>
      </c>
      <c r="I3090" s="573" t="s">
        <v>5390</v>
      </c>
      <c r="J3090" s="573" t="s">
        <v>752</v>
      </c>
      <c r="K3090" s="573">
        <v>6</v>
      </c>
      <c r="L3090" s="573">
        <v>0</v>
      </c>
      <c r="M3090" s="573" t="s">
        <v>157</v>
      </c>
      <c r="N3090" s="573">
        <v>2</v>
      </c>
      <c r="O3090" s="573" t="s">
        <v>5367</v>
      </c>
      <c r="P3090" s="571">
        <v>12310</v>
      </c>
      <c r="Q3090" s="573" t="s">
        <v>3203</v>
      </c>
      <c r="R3090" s="573">
        <v>8</v>
      </c>
      <c r="S3090" s="582">
        <v>52019</v>
      </c>
      <c r="T3090" s="573" t="s">
        <v>5385</v>
      </c>
      <c r="U3090" s="573">
        <v>151.6</v>
      </c>
      <c r="V3090" s="573">
        <v>26</v>
      </c>
      <c r="W3090" s="616">
        <v>8800</v>
      </c>
      <c r="X3090" s="617">
        <v>18</v>
      </c>
      <c r="Y3090" s="617" t="s">
        <v>178</v>
      </c>
      <c r="Z3090" s="617" t="s">
        <v>178</v>
      </c>
      <c r="AA3090" s="618">
        <v>39185</v>
      </c>
      <c r="AB3090" s="618" t="s">
        <v>164</v>
      </c>
      <c r="AC3090" s="618">
        <v>31307.1</v>
      </c>
      <c r="AD3090" s="619">
        <v>0.03</v>
      </c>
      <c r="AE3090" s="617" t="s">
        <v>5389</v>
      </c>
    </row>
    <row r="3091" spans="1:31" s="572" customFormat="1">
      <c r="A3091" s="570" t="s">
        <v>5391</v>
      </c>
      <c r="B3091" s="569" t="s">
        <v>543</v>
      </c>
      <c r="C3091" s="580" t="s">
        <v>544</v>
      </c>
      <c r="D3091" s="569" t="s">
        <v>3374</v>
      </c>
      <c r="E3091" s="569" t="s">
        <v>152</v>
      </c>
      <c r="F3091" s="569" t="s">
        <v>545</v>
      </c>
      <c r="G3091" s="569">
        <v>2019</v>
      </c>
      <c r="H3091" s="569" t="s">
        <v>5384</v>
      </c>
      <c r="I3091" s="569" t="s">
        <v>5378</v>
      </c>
      <c r="J3091" s="569" t="s">
        <v>752</v>
      </c>
      <c r="K3091" s="569">
        <v>3</v>
      </c>
      <c r="L3091" s="569">
        <v>0</v>
      </c>
      <c r="M3091" s="569" t="s">
        <v>157</v>
      </c>
      <c r="N3091" s="569">
        <v>1</v>
      </c>
      <c r="O3091" s="569" t="s">
        <v>5367</v>
      </c>
      <c r="P3091" s="568">
        <v>12310</v>
      </c>
      <c r="Q3091" s="569" t="s">
        <v>3203</v>
      </c>
      <c r="R3091" s="569">
        <v>8</v>
      </c>
      <c r="S3091" s="569">
        <v>51019</v>
      </c>
      <c r="T3091" s="569" t="s">
        <v>5385</v>
      </c>
      <c r="U3091" s="569">
        <v>151.6</v>
      </c>
      <c r="V3091" s="569">
        <v>26</v>
      </c>
      <c r="W3091" s="620">
        <v>8800</v>
      </c>
      <c r="X3091" s="621">
        <v>18</v>
      </c>
      <c r="Y3091" s="621" t="s">
        <v>178</v>
      </c>
      <c r="Z3091" s="621" t="s">
        <v>178</v>
      </c>
      <c r="AA3091" s="622">
        <v>37195</v>
      </c>
      <c r="AB3091" s="622" t="s">
        <v>164</v>
      </c>
      <c r="AC3091" s="622">
        <v>29337</v>
      </c>
      <c r="AD3091" s="623">
        <v>0.03</v>
      </c>
      <c r="AE3091" s="621" t="s">
        <v>5392</v>
      </c>
    </row>
    <row r="3092" spans="1:31" s="572" customFormat="1">
      <c r="A3092" s="570" t="s">
        <v>5393</v>
      </c>
      <c r="B3092" s="573" t="s">
        <v>240</v>
      </c>
      <c r="C3092" s="578" t="s">
        <v>241</v>
      </c>
      <c r="D3092" s="573" t="s">
        <v>3374</v>
      </c>
      <c r="E3092" s="573" t="s">
        <v>152</v>
      </c>
      <c r="F3092" s="573" t="s">
        <v>3265</v>
      </c>
      <c r="G3092" s="573">
        <v>2019</v>
      </c>
      <c r="H3092" s="573" t="s">
        <v>5395</v>
      </c>
      <c r="I3092" s="573" t="s">
        <v>5396</v>
      </c>
      <c r="J3092" s="573" t="s">
        <v>3377</v>
      </c>
      <c r="K3092" s="573">
        <v>6</v>
      </c>
      <c r="L3092" s="573">
        <v>0</v>
      </c>
      <c r="M3092" s="573" t="s">
        <v>157</v>
      </c>
      <c r="N3092" s="573">
        <v>2</v>
      </c>
      <c r="O3092" s="573" t="s">
        <v>5351</v>
      </c>
      <c r="P3092" s="571">
        <v>4510</v>
      </c>
      <c r="Q3092" s="573" t="s">
        <v>231</v>
      </c>
      <c r="R3092" s="573">
        <v>6</v>
      </c>
      <c r="S3092" s="582" t="s">
        <v>5397</v>
      </c>
      <c r="T3092" s="573" t="s">
        <v>5398</v>
      </c>
      <c r="U3092" s="573">
        <v>140</v>
      </c>
      <c r="V3092" s="573">
        <v>26</v>
      </c>
      <c r="W3092" s="616">
        <v>6800</v>
      </c>
      <c r="X3092" s="617">
        <v>20</v>
      </c>
      <c r="Y3092" s="617" t="s">
        <v>178</v>
      </c>
      <c r="Z3092" s="617" t="s">
        <v>178</v>
      </c>
      <c r="AA3092" s="618">
        <v>39490</v>
      </c>
      <c r="AB3092" s="618" t="s">
        <v>164</v>
      </c>
      <c r="AC3092" s="618">
        <v>24815.78947368421</v>
      </c>
      <c r="AD3092" s="619">
        <v>0.05</v>
      </c>
      <c r="AE3092" s="617" t="s">
        <v>5394</v>
      </c>
    </row>
    <row r="3093" spans="1:31" s="572" customFormat="1">
      <c r="A3093" s="570" t="s">
        <v>5399</v>
      </c>
      <c r="B3093" s="569" t="s">
        <v>240</v>
      </c>
      <c r="C3093" s="580" t="s">
        <v>241</v>
      </c>
      <c r="D3093" s="569" t="s">
        <v>3374</v>
      </c>
      <c r="E3093" s="569" t="s">
        <v>152</v>
      </c>
      <c r="F3093" s="569" t="s">
        <v>3265</v>
      </c>
      <c r="G3093" s="569">
        <v>2019</v>
      </c>
      <c r="H3093" s="569" t="s">
        <v>5395</v>
      </c>
      <c r="I3093" s="569" t="s">
        <v>5396</v>
      </c>
      <c r="J3093" s="569" t="s">
        <v>3377</v>
      </c>
      <c r="K3093" s="569">
        <v>6</v>
      </c>
      <c r="L3093" s="569">
        <v>0</v>
      </c>
      <c r="M3093" s="569" t="s">
        <v>157</v>
      </c>
      <c r="N3093" s="569">
        <v>2</v>
      </c>
      <c r="O3093" s="569" t="s">
        <v>5351</v>
      </c>
      <c r="P3093" s="568">
        <v>8220</v>
      </c>
      <c r="Q3093" s="569" t="s">
        <v>5401</v>
      </c>
      <c r="R3093" s="569">
        <v>8</v>
      </c>
      <c r="S3093" s="569" t="s">
        <v>5397</v>
      </c>
      <c r="T3093" s="569" t="s">
        <v>5402</v>
      </c>
      <c r="U3093" s="569">
        <v>140</v>
      </c>
      <c r="V3093" s="569">
        <v>26</v>
      </c>
      <c r="W3093" s="620">
        <v>6800</v>
      </c>
      <c r="X3093" s="621">
        <v>17</v>
      </c>
      <c r="Y3093" s="621" t="s">
        <v>178</v>
      </c>
      <c r="Z3093" s="621" t="s">
        <v>178</v>
      </c>
      <c r="AA3093" s="622">
        <v>41440</v>
      </c>
      <c r="AB3093" s="622" t="s">
        <v>164</v>
      </c>
      <c r="AC3093" s="622">
        <v>26623.157894736843</v>
      </c>
      <c r="AD3093" s="623">
        <v>0.05</v>
      </c>
      <c r="AE3093" s="621" t="s">
        <v>5400</v>
      </c>
    </row>
    <row r="3094" spans="1:31" s="572" customFormat="1">
      <c r="A3094" s="570" t="s">
        <v>5403</v>
      </c>
      <c r="B3094" s="573" t="s">
        <v>240</v>
      </c>
      <c r="C3094" s="578" t="s">
        <v>241</v>
      </c>
      <c r="D3094" s="573" t="s">
        <v>3374</v>
      </c>
      <c r="E3094" s="573" t="s">
        <v>152</v>
      </c>
      <c r="F3094" s="573" t="s">
        <v>3265</v>
      </c>
      <c r="G3094" s="573">
        <v>2019</v>
      </c>
      <c r="H3094" s="573" t="s">
        <v>5395</v>
      </c>
      <c r="I3094" s="573" t="s">
        <v>5396</v>
      </c>
      <c r="J3094" s="573" t="s">
        <v>3377</v>
      </c>
      <c r="K3094" s="573">
        <v>6</v>
      </c>
      <c r="L3094" s="573">
        <v>0</v>
      </c>
      <c r="M3094" s="573" t="s">
        <v>157</v>
      </c>
      <c r="N3094" s="573">
        <v>2</v>
      </c>
      <c r="O3094" s="573" t="s">
        <v>5405</v>
      </c>
      <c r="P3094" s="571">
        <v>8010</v>
      </c>
      <c r="Q3094" s="573" t="s">
        <v>5401</v>
      </c>
      <c r="R3094" s="573">
        <v>8</v>
      </c>
      <c r="S3094" s="582" t="s">
        <v>5406</v>
      </c>
      <c r="T3094" s="573" t="s">
        <v>5402</v>
      </c>
      <c r="U3094" s="573">
        <v>149</v>
      </c>
      <c r="V3094" s="573">
        <v>26</v>
      </c>
      <c r="W3094" s="616">
        <v>6900</v>
      </c>
      <c r="X3094" s="617">
        <v>17</v>
      </c>
      <c r="Y3094" s="617" t="s">
        <v>178</v>
      </c>
      <c r="Z3094" s="617" t="s">
        <v>178</v>
      </c>
      <c r="AA3094" s="618">
        <v>41490</v>
      </c>
      <c r="AB3094" s="618" t="s">
        <v>164</v>
      </c>
      <c r="AC3094" s="618">
        <v>26626.315789473687</v>
      </c>
      <c r="AD3094" s="619">
        <v>0.05</v>
      </c>
      <c r="AE3094" s="617" t="s">
        <v>5404</v>
      </c>
    </row>
    <row r="3095" spans="1:31" s="572" customFormat="1">
      <c r="A3095" s="570" t="s">
        <v>5407</v>
      </c>
      <c r="B3095" s="569" t="s">
        <v>240</v>
      </c>
      <c r="C3095" s="580" t="s">
        <v>241</v>
      </c>
      <c r="D3095" s="569" t="s">
        <v>3374</v>
      </c>
      <c r="E3095" s="569" t="s">
        <v>152</v>
      </c>
      <c r="F3095" s="569" t="s">
        <v>3265</v>
      </c>
      <c r="G3095" s="569">
        <v>2019</v>
      </c>
      <c r="H3095" s="569" t="s">
        <v>5395</v>
      </c>
      <c r="I3095" s="569" t="s">
        <v>5396</v>
      </c>
      <c r="J3095" s="569" t="s">
        <v>752</v>
      </c>
      <c r="K3095" s="569">
        <v>6</v>
      </c>
      <c r="L3095" s="569">
        <v>0</v>
      </c>
      <c r="M3095" s="569" t="s">
        <v>157</v>
      </c>
      <c r="N3095" s="569">
        <v>2</v>
      </c>
      <c r="O3095" s="569" t="s">
        <v>5405</v>
      </c>
      <c r="P3095" s="568">
        <v>7760</v>
      </c>
      <c r="Q3095" s="569" t="s">
        <v>5401</v>
      </c>
      <c r="R3095" s="569">
        <v>8</v>
      </c>
      <c r="S3095" s="569" t="s">
        <v>5409</v>
      </c>
      <c r="T3095" s="569" t="s">
        <v>5402</v>
      </c>
      <c r="U3095" s="569">
        <v>149</v>
      </c>
      <c r="V3095" s="569">
        <v>26</v>
      </c>
      <c r="W3095" s="620">
        <v>6900</v>
      </c>
      <c r="X3095" s="621">
        <v>17</v>
      </c>
      <c r="Y3095" s="621" t="s">
        <v>178</v>
      </c>
      <c r="Z3095" s="621" t="s">
        <v>178</v>
      </c>
      <c r="AA3095" s="622">
        <v>45090</v>
      </c>
      <c r="AB3095" s="622" t="s">
        <v>164</v>
      </c>
      <c r="AC3095" s="622">
        <v>29464.21052631579</v>
      </c>
      <c r="AD3095" s="623">
        <v>0.05</v>
      </c>
      <c r="AE3095" s="621" t="s">
        <v>5408</v>
      </c>
    </row>
    <row r="3096" spans="1:31" s="572" customFormat="1">
      <c r="A3096" s="570" t="s">
        <v>5410</v>
      </c>
      <c r="B3096" s="573" t="s">
        <v>240</v>
      </c>
      <c r="C3096" s="578" t="s">
        <v>241</v>
      </c>
      <c r="D3096" s="573" t="s">
        <v>3374</v>
      </c>
      <c r="E3096" s="573" t="s">
        <v>152</v>
      </c>
      <c r="F3096" s="573" t="s">
        <v>3265</v>
      </c>
      <c r="G3096" s="573">
        <v>2019</v>
      </c>
      <c r="H3096" s="573" t="s">
        <v>5395</v>
      </c>
      <c r="I3096" s="573" t="s">
        <v>5412</v>
      </c>
      <c r="J3096" s="573" t="s">
        <v>752</v>
      </c>
      <c r="K3096" s="573">
        <v>6</v>
      </c>
      <c r="L3096" s="573">
        <v>0</v>
      </c>
      <c r="M3096" s="573" t="s">
        <v>157</v>
      </c>
      <c r="N3096" s="573">
        <v>2</v>
      </c>
      <c r="O3096" s="573" t="s">
        <v>5351</v>
      </c>
      <c r="P3096" s="571">
        <v>4250</v>
      </c>
      <c r="Q3096" s="573" t="s">
        <v>231</v>
      </c>
      <c r="R3096" s="573">
        <v>6</v>
      </c>
      <c r="S3096" s="582" t="s">
        <v>5413</v>
      </c>
      <c r="T3096" s="573" t="s">
        <v>5398</v>
      </c>
      <c r="U3096" s="573">
        <v>140</v>
      </c>
      <c r="V3096" s="573">
        <v>26</v>
      </c>
      <c r="W3096" s="616">
        <v>6800</v>
      </c>
      <c r="X3096" s="617">
        <v>19</v>
      </c>
      <c r="Y3096" s="617" t="s">
        <v>178</v>
      </c>
      <c r="Z3096" s="617" t="s">
        <v>178</v>
      </c>
      <c r="AA3096" s="618">
        <v>43090</v>
      </c>
      <c r="AB3096" s="618" t="s">
        <v>164</v>
      </c>
      <c r="AC3096" s="618">
        <v>27653.684210526317</v>
      </c>
      <c r="AD3096" s="619">
        <v>0.05</v>
      </c>
      <c r="AE3096" s="617" t="s">
        <v>5411</v>
      </c>
    </row>
    <row r="3097" spans="1:31" s="572" customFormat="1">
      <c r="A3097" s="570" t="s">
        <v>5414</v>
      </c>
      <c r="B3097" s="569" t="s">
        <v>240</v>
      </c>
      <c r="C3097" s="580" t="s">
        <v>241</v>
      </c>
      <c r="D3097" s="569" t="s">
        <v>3374</v>
      </c>
      <c r="E3097" s="569" t="s">
        <v>152</v>
      </c>
      <c r="F3097" s="569" t="s">
        <v>3265</v>
      </c>
      <c r="G3097" s="569">
        <v>2019</v>
      </c>
      <c r="H3097" s="569" t="s">
        <v>5395</v>
      </c>
      <c r="I3097" s="569" t="s">
        <v>5412</v>
      </c>
      <c r="J3097" s="569" t="s">
        <v>752</v>
      </c>
      <c r="K3097" s="569">
        <v>6</v>
      </c>
      <c r="L3097" s="569">
        <v>0</v>
      </c>
      <c r="M3097" s="569" t="s">
        <v>157</v>
      </c>
      <c r="N3097" s="569">
        <v>2</v>
      </c>
      <c r="O3097" s="569" t="s">
        <v>5351</v>
      </c>
      <c r="P3097" s="568">
        <v>8060</v>
      </c>
      <c r="Q3097" s="569" t="s">
        <v>5401</v>
      </c>
      <c r="R3097" s="569">
        <v>8</v>
      </c>
      <c r="S3097" s="569" t="s">
        <v>5413</v>
      </c>
      <c r="T3097" s="569" t="s">
        <v>5402</v>
      </c>
      <c r="U3097" s="569">
        <v>140</v>
      </c>
      <c r="V3097" s="569">
        <v>26</v>
      </c>
      <c r="W3097" s="620">
        <v>6800</v>
      </c>
      <c r="X3097" s="621">
        <v>17</v>
      </c>
      <c r="Y3097" s="621" t="s">
        <v>178</v>
      </c>
      <c r="Z3097" s="621" t="s">
        <v>178</v>
      </c>
      <c r="AA3097" s="622">
        <v>45040</v>
      </c>
      <c r="AB3097" s="622" t="s">
        <v>164</v>
      </c>
      <c r="AC3097" s="622">
        <v>29461.05263157895</v>
      </c>
      <c r="AD3097" s="623">
        <v>0.05</v>
      </c>
      <c r="AE3097" s="621" t="s">
        <v>5415</v>
      </c>
    </row>
    <row r="3098" spans="1:31" s="572" customFormat="1">
      <c r="A3098" s="570" t="s">
        <v>5416</v>
      </c>
      <c r="B3098" s="573" t="s">
        <v>240</v>
      </c>
      <c r="C3098" s="578" t="s">
        <v>241</v>
      </c>
      <c r="D3098" s="573" t="s">
        <v>3374</v>
      </c>
      <c r="E3098" s="573" t="s">
        <v>152</v>
      </c>
      <c r="F3098" s="573" t="s">
        <v>3265</v>
      </c>
      <c r="G3098" s="573">
        <v>2019</v>
      </c>
      <c r="H3098" s="573" t="s">
        <v>5395</v>
      </c>
      <c r="I3098" s="573" t="s">
        <v>5418</v>
      </c>
      <c r="J3098" s="573" t="s">
        <v>3377</v>
      </c>
      <c r="K3098" s="573">
        <v>6</v>
      </c>
      <c r="L3098" s="573">
        <v>0</v>
      </c>
      <c r="M3098" s="573" t="s">
        <v>157</v>
      </c>
      <c r="N3098" s="573">
        <v>2</v>
      </c>
      <c r="O3098" s="573" t="s">
        <v>5405</v>
      </c>
      <c r="P3098" s="571">
        <v>4610</v>
      </c>
      <c r="Q3098" s="573" t="s">
        <v>231</v>
      </c>
      <c r="R3098" s="573">
        <v>6</v>
      </c>
      <c r="S3098" s="582" t="s">
        <v>5419</v>
      </c>
      <c r="T3098" s="573" t="s">
        <v>5398</v>
      </c>
      <c r="U3098" s="573">
        <v>140</v>
      </c>
      <c r="V3098" s="573">
        <v>26</v>
      </c>
      <c r="W3098" s="616">
        <v>6800</v>
      </c>
      <c r="X3098" s="617">
        <v>20</v>
      </c>
      <c r="Y3098" s="617" t="s">
        <v>178</v>
      </c>
      <c r="Z3098" s="617" t="s">
        <v>178</v>
      </c>
      <c r="AA3098" s="618">
        <v>36840</v>
      </c>
      <c r="AB3098" s="618" t="s">
        <v>164</v>
      </c>
      <c r="AC3098" s="618">
        <v>23611.702127659577</v>
      </c>
      <c r="AD3098" s="619">
        <v>0.05</v>
      </c>
      <c r="AE3098" s="617" t="s">
        <v>5417</v>
      </c>
    </row>
    <row r="3099" spans="1:31" s="572" customFormat="1">
      <c r="A3099" s="570" t="s">
        <v>5420</v>
      </c>
      <c r="B3099" s="569" t="s">
        <v>240</v>
      </c>
      <c r="C3099" s="580" t="s">
        <v>241</v>
      </c>
      <c r="D3099" s="569" t="s">
        <v>3374</v>
      </c>
      <c r="E3099" s="569" t="s">
        <v>152</v>
      </c>
      <c r="F3099" s="569" t="s">
        <v>3265</v>
      </c>
      <c r="G3099" s="569">
        <v>2019</v>
      </c>
      <c r="H3099" s="569" t="s">
        <v>5395</v>
      </c>
      <c r="I3099" s="569" t="s">
        <v>5418</v>
      </c>
      <c r="J3099" s="569" t="s">
        <v>3377</v>
      </c>
      <c r="K3099" s="569">
        <v>6</v>
      </c>
      <c r="L3099" s="569">
        <v>0</v>
      </c>
      <c r="M3099" s="569" t="s">
        <v>157</v>
      </c>
      <c r="N3099" s="569">
        <v>2</v>
      </c>
      <c r="O3099" s="569" t="s">
        <v>5405</v>
      </c>
      <c r="P3099" s="568">
        <v>8290</v>
      </c>
      <c r="Q3099" s="569" t="s">
        <v>5401</v>
      </c>
      <c r="R3099" s="569">
        <v>8</v>
      </c>
      <c r="S3099" s="569" t="s">
        <v>5419</v>
      </c>
      <c r="T3099" s="569" t="s">
        <v>5402</v>
      </c>
      <c r="U3099" s="569">
        <v>140</v>
      </c>
      <c r="V3099" s="569">
        <v>26</v>
      </c>
      <c r="W3099" s="620">
        <v>6800</v>
      </c>
      <c r="X3099" s="621">
        <v>17</v>
      </c>
      <c r="Y3099" s="621" t="s">
        <v>178</v>
      </c>
      <c r="Z3099" s="621" t="s">
        <v>178</v>
      </c>
      <c r="AA3099" s="622">
        <v>38790</v>
      </c>
      <c r="AB3099" s="622" t="s">
        <v>164</v>
      </c>
      <c r="AC3099" s="622">
        <v>25437.234042553195</v>
      </c>
      <c r="AD3099" s="623">
        <v>0.05</v>
      </c>
      <c r="AE3099" s="621" t="s">
        <v>5421</v>
      </c>
    </row>
    <row r="3100" spans="1:31" s="572" customFormat="1">
      <c r="A3100" s="570" t="s">
        <v>5422</v>
      </c>
      <c r="B3100" s="573" t="s">
        <v>240</v>
      </c>
      <c r="C3100" s="578" t="s">
        <v>241</v>
      </c>
      <c r="D3100" s="573" t="s">
        <v>3374</v>
      </c>
      <c r="E3100" s="573" t="s">
        <v>152</v>
      </c>
      <c r="F3100" s="573" t="s">
        <v>3265</v>
      </c>
      <c r="G3100" s="573">
        <v>2019</v>
      </c>
      <c r="H3100" s="573" t="s">
        <v>5395</v>
      </c>
      <c r="I3100" s="573" t="s">
        <v>5418</v>
      </c>
      <c r="J3100" s="573" t="s">
        <v>752</v>
      </c>
      <c r="K3100" s="573">
        <v>6</v>
      </c>
      <c r="L3100" s="573">
        <v>0</v>
      </c>
      <c r="M3100" s="573" t="s">
        <v>157</v>
      </c>
      <c r="N3100" s="573">
        <v>2</v>
      </c>
      <c r="O3100" s="573" t="s">
        <v>5405</v>
      </c>
      <c r="P3100" s="571">
        <v>4430</v>
      </c>
      <c r="Q3100" s="573" t="s">
        <v>231</v>
      </c>
      <c r="R3100" s="573">
        <v>6</v>
      </c>
      <c r="S3100" s="582" t="s">
        <v>5424</v>
      </c>
      <c r="T3100" s="573" t="s">
        <v>5398</v>
      </c>
      <c r="U3100" s="573">
        <v>140</v>
      </c>
      <c r="V3100" s="573">
        <v>26</v>
      </c>
      <c r="W3100" s="616">
        <v>6800</v>
      </c>
      <c r="X3100" s="617">
        <v>19</v>
      </c>
      <c r="Y3100" s="617" t="s">
        <v>178</v>
      </c>
      <c r="Z3100" s="617" t="s">
        <v>178</v>
      </c>
      <c r="AA3100" s="618">
        <v>40540</v>
      </c>
      <c r="AB3100" s="618" t="s">
        <v>164</v>
      </c>
      <c r="AC3100" s="618">
        <v>26396.84210526316</v>
      </c>
      <c r="AD3100" s="619">
        <v>0.05</v>
      </c>
      <c r="AE3100" s="617" t="s">
        <v>5423</v>
      </c>
    </row>
    <row r="3101" spans="1:31" s="572" customFormat="1">
      <c r="A3101" s="570" t="s">
        <v>5425</v>
      </c>
      <c r="B3101" s="569" t="s">
        <v>240</v>
      </c>
      <c r="C3101" s="580" t="s">
        <v>241</v>
      </c>
      <c r="D3101" s="569" t="s">
        <v>3374</v>
      </c>
      <c r="E3101" s="569" t="s">
        <v>152</v>
      </c>
      <c r="F3101" s="569" t="s">
        <v>3265</v>
      </c>
      <c r="G3101" s="569">
        <v>2019</v>
      </c>
      <c r="H3101" s="569" t="s">
        <v>5395</v>
      </c>
      <c r="I3101" s="569" t="s">
        <v>5418</v>
      </c>
      <c r="J3101" s="569" t="s">
        <v>752</v>
      </c>
      <c r="K3101" s="569">
        <v>6</v>
      </c>
      <c r="L3101" s="569">
        <v>0</v>
      </c>
      <c r="M3101" s="569" t="s">
        <v>157</v>
      </c>
      <c r="N3101" s="569">
        <v>2</v>
      </c>
      <c r="O3101" s="569" t="s">
        <v>5405</v>
      </c>
      <c r="P3101" s="568">
        <v>8110</v>
      </c>
      <c r="Q3101" s="569" t="s">
        <v>5401</v>
      </c>
      <c r="R3101" s="569">
        <v>8</v>
      </c>
      <c r="S3101" s="569" t="s">
        <v>5424</v>
      </c>
      <c r="T3101" s="569" t="s">
        <v>5402</v>
      </c>
      <c r="U3101" s="569">
        <v>140</v>
      </c>
      <c r="V3101" s="569">
        <v>26</v>
      </c>
      <c r="W3101" s="620">
        <v>6800</v>
      </c>
      <c r="X3101" s="621">
        <v>17</v>
      </c>
      <c r="Y3101" s="621" t="s">
        <v>178</v>
      </c>
      <c r="Z3101" s="621" t="s">
        <v>178</v>
      </c>
      <c r="AA3101" s="622">
        <v>42490</v>
      </c>
      <c r="AB3101" s="622" t="s">
        <v>164</v>
      </c>
      <c r="AC3101" s="622">
        <v>28203.157894736843</v>
      </c>
      <c r="AD3101" s="623">
        <v>0.05</v>
      </c>
      <c r="AE3101" s="621" t="s">
        <v>5426</v>
      </c>
    </row>
    <row r="3102" spans="1:31" s="572" customFormat="1">
      <c r="A3102" s="570" t="s">
        <v>5427</v>
      </c>
      <c r="B3102" s="573" t="s">
        <v>240</v>
      </c>
      <c r="C3102" s="578" t="s">
        <v>241</v>
      </c>
      <c r="D3102" s="573" t="s">
        <v>3374</v>
      </c>
      <c r="E3102" s="573" t="s">
        <v>152</v>
      </c>
      <c r="F3102" s="573" t="s">
        <v>3265</v>
      </c>
      <c r="G3102" s="573">
        <v>2019</v>
      </c>
      <c r="H3102" s="573" t="s">
        <v>5395</v>
      </c>
      <c r="I3102" s="573" t="s">
        <v>5429</v>
      </c>
      <c r="J3102" s="573" t="s">
        <v>3377</v>
      </c>
      <c r="K3102" s="573">
        <v>3</v>
      </c>
      <c r="L3102" s="573">
        <v>0</v>
      </c>
      <c r="M3102" s="573" t="s">
        <v>157</v>
      </c>
      <c r="N3102" s="573">
        <v>1</v>
      </c>
      <c r="O3102" s="573" t="s">
        <v>5405</v>
      </c>
      <c r="P3102" s="571">
        <v>4940</v>
      </c>
      <c r="Q3102" s="573" t="s">
        <v>231</v>
      </c>
      <c r="R3102" s="573">
        <v>6</v>
      </c>
      <c r="S3102" s="582" t="s">
        <v>5430</v>
      </c>
      <c r="T3102" s="573" t="s">
        <v>5398</v>
      </c>
      <c r="U3102" s="573">
        <v>120</v>
      </c>
      <c r="V3102" s="573">
        <v>26</v>
      </c>
      <c r="W3102" s="616">
        <v>6025</v>
      </c>
      <c r="X3102" s="617">
        <v>20</v>
      </c>
      <c r="Y3102" s="617" t="s">
        <v>178</v>
      </c>
      <c r="Z3102" s="617" t="s">
        <v>178</v>
      </c>
      <c r="AA3102" s="618">
        <v>33090</v>
      </c>
      <c r="AB3102" s="618" t="s">
        <v>164</v>
      </c>
      <c r="AC3102" s="618">
        <v>21990.425531914894</v>
      </c>
      <c r="AD3102" s="619">
        <v>0.05</v>
      </c>
      <c r="AE3102" s="617" t="s">
        <v>5428</v>
      </c>
    </row>
    <row r="3103" spans="1:31" s="572" customFormat="1">
      <c r="A3103" s="570" t="s">
        <v>5431</v>
      </c>
      <c r="B3103" s="569" t="s">
        <v>240</v>
      </c>
      <c r="C3103" s="580" t="s">
        <v>241</v>
      </c>
      <c r="D3103" s="569" t="s">
        <v>3374</v>
      </c>
      <c r="E3103" s="569" t="s">
        <v>152</v>
      </c>
      <c r="F3103" s="569" t="s">
        <v>3265</v>
      </c>
      <c r="G3103" s="569">
        <v>2019</v>
      </c>
      <c r="H3103" s="569" t="s">
        <v>5395</v>
      </c>
      <c r="I3103" s="569" t="s">
        <v>5429</v>
      </c>
      <c r="J3103" s="569" t="s">
        <v>3377</v>
      </c>
      <c r="K3103" s="569">
        <v>3</v>
      </c>
      <c r="L3103" s="569">
        <v>0</v>
      </c>
      <c r="M3103" s="569" t="s">
        <v>157</v>
      </c>
      <c r="N3103" s="569">
        <v>1</v>
      </c>
      <c r="O3103" s="569" t="s">
        <v>5405</v>
      </c>
      <c r="P3103" s="568">
        <v>8660</v>
      </c>
      <c r="Q3103" s="569" t="s">
        <v>5401</v>
      </c>
      <c r="R3103" s="569">
        <v>8</v>
      </c>
      <c r="S3103" s="569" t="s">
        <v>5430</v>
      </c>
      <c r="T3103" s="569" t="s">
        <v>5402</v>
      </c>
      <c r="U3103" s="569">
        <v>120</v>
      </c>
      <c r="V3103" s="569">
        <v>26</v>
      </c>
      <c r="W3103" s="620">
        <v>6025</v>
      </c>
      <c r="X3103" s="621">
        <v>17</v>
      </c>
      <c r="Y3103" s="621" t="s">
        <v>178</v>
      </c>
      <c r="Z3103" s="621" t="s">
        <v>178</v>
      </c>
      <c r="AA3103" s="622">
        <v>35040</v>
      </c>
      <c r="AB3103" s="622" t="s">
        <v>164</v>
      </c>
      <c r="AC3103" s="622">
        <v>23817.021276595748</v>
      </c>
      <c r="AD3103" s="623">
        <v>0.05</v>
      </c>
      <c r="AE3103" s="621" t="s">
        <v>5432</v>
      </c>
    </row>
    <row r="3104" spans="1:31" s="572" customFormat="1">
      <c r="A3104" s="570" t="s">
        <v>5433</v>
      </c>
      <c r="B3104" s="573" t="s">
        <v>240</v>
      </c>
      <c r="C3104" s="578" t="s">
        <v>241</v>
      </c>
      <c r="D3104" s="573" t="s">
        <v>3374</v>
      </c>
      <c r="E3104" s="573" t="s">
        <v>152</v>
      </c>
      <c r="F3104" s="573" t="s">
        <v>3265</v>
      </c>
      <c r="G3104" s="573">
        <v>2019</v>
      </c>
      <c r="H3104" s="573" t="s">
        <v>5395</v>
      </c>
      <c r="I3104" s="573" t="s">
        <v>5429</v>
      </c>
      <c r="J3104" s="573" t="s">
        <v>3377</v>
      </c>
      <c r="K3104" s="573">
        <v>3</v>
      </c>
      <c r="L3104" s="573">
        <v>0</v>
      </c>
      <c r="M3104" s="573" t="s">
        <v>157</v>
      </c>
      <c r="N3104" s="573">
        <v>1</v>
      </c>
      <c r="O3104" s="573" t="s">
        <v>3846</v>
      </c>
      <c r="P3104" s="571">
        <v>4770</v>
      </c>
      <c r="Q3104" s="573" t="s">
        <v>231</v>
      </c>
      <c r="R3104" s="573">
        <v>6</v>
      </c>
      <c r="S3104" s="582" t="s">
        <v>5435</v>
      </c>
      <c r="T3104" s="573" t="s">
        <v>5398</v>
      </c>
      <c r="U3104" s="573">
        <v>140</v>
      </c>
      <c r="V3104" s="573">
        <v>32</v>
      </c>
      <c r="W3104" s="616">
        <v>6600</v>
      </c>
      <c r="X3104" s="617">
        <v>20</v>
      </c>
      <c r="Y3104" s="617" t="s">
        <v>178</v>
      </c>
      <c r="Z3104" s="617" t="s">
        <v>178</v>
      </c>
      <c r="AA3104" s="618">
        <v>33390</v>
      </c>
      <c r="AB3104" s="618" t="s">
        <v>164</v>
      </c>
      <c r="AC3104" s="618">
        <v>22264.893617021276</v>
      </c>
      <c r="AD3104" s="619">
        <v>0.05</v>
      </c>
      <c r="AE3104" s="617" t="s">
        <v>5434</v>
      </c>
    </row>
    <row r="3105" spans="1:31" s="572" customFormat="1">
      <c r="A3105" s="570" t="s">
        <v>5436</v>
      </c>
      <c r="B3105" s="569" t="s">
        <v>240</v>
      </c>
      <c r="C3105" s="580" t="s">
        <v>241</v>
      </c>
      <c r="D3105" s="569" t="s">
        <v>3374</v>
      </c>
      <c r="E3105" s="569" t="s">
        <v>152</v>
      </c>
      <c r="F3105" s="569" t="s">
        <v>3265</v>
      </c>
      <c r="G3105" s="569">
        <v>2019</v>
      </c>
      <c r="H3105" s="569" t="s">
        <v>5395</v>
      </c>
      <c r="I3105" s="569" t="s">
        <v>5429</v>
      </c>
      <c r="J3105" s="569" t="s">
        <v>3377</v>
      </c>
      <c r="K3105" s="569">
        <v>3</v>
      </c>
      <c r="L3105" s="569">
        <v>0</v>
      </c>
      <c r="M3105" s="569" t="s">
        <v>157</v>
      </c>
      <c r="N3105" s="569">
        <v>1</v>
      </c>
      <c r="O3105" s="569" t="s">
        <v>3846</v>
      </c>
      <c r="P3105" s="568">
        <v>8450</v>
      </c>
      <c r="Q3105" s="569" t="s">
        <v>5401</v>
      </c>
      <c r="R3105" s="569">
        <v>8</v>
      </c>
      <c r="S3105" s="569" t="s">
        <v>5435</v>
      </c>
      <c r="T3105" s="569" t="s">
        <v>5402</v>
      </c>
      <c r="U3105" s="569">
        <v>140</v>
      </c>
      <c r="V3105" s="569">
        <v>32</v>
      </c>
      <c r="W3105" s="620">
        <v>6600</v>
      </c>
      <c r="X3105" s="621">
        <v>17</v>
      </c>
      <c r="Y3105" s="621" t="s">
        <v>178</v>
      </c>
      <c r="Z3105" s="621" t="s">
        <v>178</v>
      </c>
      <c r="AA3105" s="622">
        <v>35340</v>
      </c>
      <c r="AB3105" s="622" t="s">
        <v>164</v>
      </c>
      <c r="AC3105" s="622">
        <v>24091.48936170213</v>
      </c>
      <c r="AD3105" s="623">
        <v>0.05</v>
      </c>
      <c r="AE3105" s="621" t="s">
        <v>5437</v>
      </c>
    </row>
    <row r="3106" spans="1:31" s="572" customFormat="1">
      <c r="A3106" s="570" t="s">
        <v>5438</v>
      </c>
      <c r="B3106" s="573" t="s">
        <v>240</v>
      </c>
      <c r="C3106" s="578" t="s">
        <v>241</v>
      </c>
      <c r="D3106" s="573" t="s">
        <v>3374</v>
      </c>
      <c r="E3106" s="573" t="s">
        <v>152</v>
      </c>
      <c r="F3106" s="573" t="s">
        <v>3265</v>
      </c>
      <c r="G3106" s="573">
        <v>2019</v>
      </c>
      <c r="H3106" s="573" t="s">
        <v>5395</v>
      </c>
      <c r="I3106" s="573" t="s">
        <v>5429</v>
      </c>
      <c r="J3106" s="573" t="s">
        <v>752</v>
      </c>
      <c r="K3106" s="573">
        <v>3</v>
      </c>
      <c r="L3106" s="573">
        <v>0</v>
      </c>
      <c r="M3106" s="573" t="s">
        <v>157</v>
      </c>
      <c r="N3106" s="573">
        <v>1</v>
      </c>
      <c r="O3106" s="573" t="s">
        <v>5405</v>
      </c>
      <c r="P3106" s="571">
        <v>4740</v>
      </c>
      <c r="Q3106" s="573" t="s">
        <v>231</v>
      </c>
      <c r="R3106" s="573">
        <v>6</v>
      </c>
      <c r="S3106" s="582" t="s">
        <v>5440</v>
      </c>
      <c r="T3106" s="573" t="s">
        <v>5398</v>
      </c>
      <c r="U3106" s="573">
        <v>120</v>
      </c>
      <c r="V3106" s="573">
        <v>26</v>
      </c>
      <c r="W3106" s="616">
        <v>6300</v>
      </c>
      <c r="X3106" s="617">
        <v>19</v>
      </c>
      <c r="Y3106" s="617" t="s">
        <v>178</v>
      </c>
      <c r="Z3106" s="617" t="s">
        <v>178</v>
      </c>
      <c r="AA3106" s="618">
        <v>37590</v>
      </c>
      <c r="AB3106" s="618" t="s">
        <v>164</v>
      </c>
      <c r="AC3106" s="618">
        <v>24464.21052631579</v>
      </c>
      <c r="AD3106" s="619">
        <v>0.05</v>
      </c>
      <c r="AE3106" s="617" t="s">
        <v>5439</v>
      </c>
    </row>
    <row r="3107" spans="1:31" s="572" customFormat="1">
      <c r="A3107" s="570" t="s">
        <v>5441</v>
      </c>
      <c r="B3107" s="569" t="s">
        <v>240</v>
      </c>
      <c r="C3107" s="580" t="s">
        <v>241</v>
      </c>
      <c r="D3107" s="569" t="s">
        <v>3374</v>
      </c>
      <c r="E3107" s="569" t="s">
        <v>152</v>
      </c>
      <c r="F3107" s="569" t="s">
        <v>3265</v>
      </c>
      <c r="G3107" s="569">
        <v>2019</v>
      </c>
      <c r="H3107" s="569" t="s">
        <v>5395</v>
      </c>
      <c r="I3107" s="569" t="s">
        <v>5429</v>
      </c>
      <c r="J3107" s="569" t="s">
        <v>752</v>
      </c>
      <c r="K3107" s="569">
        <v>3</v>
      </c>
      <c r="L3107" s="569">
        <v>0</v>
      </c>
      <c r="M3107" s="569" t="s">
        <v>157</v>
      </c>
      <c r="N3107" s="569">
        <v>1</v>
      </c>
      <c r="O3107" s="569" t="s">
        <v>5405</v>
      </c>
      <c r="P3107" s="568">
        <v>8380</v>
      </c>
      <c r="Q3107" s="569" t="s">
        <v>5401</v>
      </c>
      <c r="R3107" s="569">
        <v>8</v>
      </c>
      <c r="S3107" s="569" t="s">
        <v>5440</v>
      </c>
      <c r="T3107" s="569" t="s">
        <v>5402</v>
      </c>
      <c r="U3107" s="569">
        <v>120</v>
      </c>
      <c r="V3107" s="569">
        <v>26</v>
      </c>
      <c r="W3107" s="620">
        <v>6300</v>
      </c>
      <c r="X3107" s="621">
        <v>17</v>
      </c>
      <c r="Y3107" s="621" t="s">
        <v>178</v>
      </c>
      <c r="Z3107" s="621" t="s">
        <v>178</v>
      </c>
      <c r="AA3107" s="622">
        <v>39540</v>
      </c>
      <c r="AB3107" s="622" t="s">
        <v>164</v>
      </c>
      <c r="AC3107" s="622">
        <v>26229.473684210527</v>
      </c>
      <c r="AD3107" s="623">
        <v>0.05</v>
      </c>
      <c r="AE3107" s="621" t="s">
        <v>5442</v>
      </c>
    </row>
    <row r="3108" spans="1:31" s="572" customFormat="1">
      <c r="A3108" s="570" t="s">
        <v>5443</v>
      </c>
      <c r="B3108" s="573" t="s">
        <v>240</v>
      </c>
      <c r="C3108" s="578" t="s">
        <v>241</v>
      </c>
      <c r="D3108" s="573" t="s">
        <v>3374</v>
      </c>
      <c r="E3108" s="573" t="s">
        <v>152</v>
      </c>
      <c r="F3108" s="573" t="s">
        <v>3265</v>
      </c>
      <c r="G3108" s="573">
        <v>2019</v>
      </c>
      <c r="H3108" s="573" t="s">
        <v>5395</v>
      </c>
      <c r="I3108" s="573" t="s">
        <v>5429</v>
      </c>
      <c r="J3108" s="573" t="s">
        <v>752</v>
      </c>
      <c r="K3108" s="573">
        <v>3</v>
      </c>
      <c r="L3108" s="573">
        <v>0</v>
      </c>
      <c r="M3108" s="573" t="s">
        <v>157</v>
      </c>
      <c r="N3108" s="573">
        <v>1</v>
      </c>
      <c r="O3108" s="573" t="s">
        <v>3846</v>
      </c>
      <c r="P3108" s="571">
        <v>4570</v>
      </c>
      <c r="Q3108" s="573" t="s">
        <v>231</v>
      </c>
      <c r="R3108" s="573">
        <v>6</v>
      </c>
      <c r="S3108" s="582" t="s">
        <v>5445</v>
      </c>
      <c r="T3108" s="573" t="s">
        <v>5398</v>
      </c>
      <c r="U3108" s="573">
        <v>140</v>
      </c>
      <c r="V3108" s="573">
        <v>32</v>
      </c>
      <c r="W3108" s="616">
        <v>6600</v>
      </c>
      <c r="X3108" s="617">
        <v>19</v>
      </c>
      <c r="Y3108" s="617" t="s">
        <v>178</v>
      </c>
      <c r="Z3108" s="617" t="s">
        <v>178</v>
      </c>
      <c r="AA3108" s="618">
        <v>37890</v>
      </c>
      <c r="AB3108" s="618" t="s">
        <v>164</v>
      </c>
      <c r="AC3108" s="618">
        <v>24735.78947368421</v>
      </c>
      <c r="AD3108" s="619">
        <v>0.05</v>
      </c>
      <c r="AE3108" s="617" t="s">
        <v>5444</v>
      </c>
    </row>
    <row r="3109" spans="1:31" s="572" customFormat="1">
      <c r="A3109" s="570" t="s">
        <v>5446</v>
      </c>
      <c r="B3109" s="569" t="s">
        <v>240</v>
      </c>
      <c r="C3109" s="580" t="s">
        <v>241</v>
      </c>
      <c r="D3109" s="569" t="s">
        <v>3374</v>
      </c>
      <c r="E3109" s="569" t="s">
        <v>152</v>
      </c>
      <c r="F3109" s="569" t="s">
        <v>3265</v>
      </c>
      <c r="G3109" s="569">
        <v>2019</v>
      </c>
      <c r="H3109" s="569" t="s">
        <v>5395</v>
      </c>
      <c r="I3109" s="569" t="s">
        <v>5429</v>
      </c>
      <c r="J3109" s="569" t="s">
        <v>752</v>
      </c>
      <c r="K3109" s="569">
        <v>3</v>
      </c>
      <c r="L3109" s="569">
        <v>0</v>
      </c>
      <c r="M3109" s="569" t="s">
        <v>157</v>
      </c>
      <c r="N3109" s="569">
        <v>1</v>
      </c>
      <c r="O3109" s="569" t="s">
        <v>3846</v>
      </c>
      <c r="P3109" s="568">
        <v>8250</v>
      </c>
      <c r="Q3109" s="569" t="s">
        <v>5401</v>
      </c>
      <c r="R3109" s="569">
        <v>8</v>
      </c>
      <c r="S3109" s="569" t="s">
        <v>5445</v>
      </c>
      <c r="T3109" s="569" t="s">
        <v>5402</v>
      </c>
      <c r="U3109" s="569">
        <v>140</v>
      </c>
      <c r="V3109" s="569">
        <v>32</v>
      </c>
      <c r="W3109" s="620">
        <v>6600</v>
      </c>
      <c r="X3109" s="621">
        <v>17</v>
      </c>
      <c r="Y3109" s="621" t="s">
        <v>178</v>
      </c>
      <c r="Z3109" s="621" t="s">
        <v>178</v>
      </c>
      <c r="AA3109" s="622">
        <v>39840</v>
      </c>
      <c r="AB3109" s="622" t="s">
        <v>164</v>
      </c>
      <c r="AC3109" s="622">
        <v>26501.05263157895</v>
      </c>
      <c r="AD3109" s="623">
        <v>0.05</v>
      </c>
      <c r="AE3109" s="621" t="s">
        <v>5447</v>
      </c>
    </row>
    <row r="3110" spans="1:31" s="572" customFormat="1">
      <c r="A3110" s="570" t="s">
        <v>5448</v>
      </c>
      <c r="B3110" s="573" t="s">
        <v>240</v>
      </c>
      <c r="C3110" s="578" t="s">
        <v>241</v>
      </c>
      <c r="D3110" s="573" t="s">
        <v>3374</v>
      </c>
      <c r="E3110" s="573" t="s">
        <v>152</v>
      </c>
      <c r="F3110" s="573" t="s">
        <v>3265</v>
      </c>
      <c r="G3110" s="573">
        <v>2019</v>
      </c>
      <c r="H3110" s="573" t="s">
        <v>5395</v>
      </c>
      <c r="I3110" s="573" t="s">
        <v>5450</v>
      </c>
      <c r="J3110" s="573" t="s">
        <v>3377</v>
      </c>
      <c r="K3110" s="573">
        <v>6</v>
      </c>
      <c r="L3110" s="573">
        <v>0</v>
      </c>
      <c r="M3110" s="573" t="s">
        <v>157</v>
      </c>
      <c r="N3110" s="573">
        <v>2</v>
      </c>
      <c r="O3110" s="573" t="s">
        <v>5351</v>
      </c>
      <c r="P3110" s="571">
        <v>4600</v>
      </c>
      <c r="Q3110" s="573" t="s">
        <v>231</v>
      </c>
      <c r="R3110" s="573">
        <v>6</v>
      </c>
      <c r="S3110" s="582" t="s">
        <v>5451</v>
      </c>
      <c r="T3110" s="573" t="s">
        <v>5452</v>
      </c>
      <c r="U3110" s="573">
        <v>140</v>
      </c>
      <c r="V3110" s="573">
        <v>26</v>
      </c>
      <c r="W3110" s="616">
        <v>6800</v>
      </c>
      <c r="X3110" s="617">
        <v>20</v>
      </c>
      <c r="Y3110" s="617" t="s">
        <v>178</v>
      </c>
      <c r="Z3110" s="617" t="s">
        <v>178</v>
      </c>
      <c r="AA3110" s="618">
        <v>35190</v>
      </c>
      <c r="AB3110" s="618" t="s">
        <v>164</v>
      </c>
      <c r="AC3110" s="618">
        <v>21559</v>
      </c>
      <c r="AD3110" s="619">
        <v>0.05</v>
      </c>
      <c r="AE3110" s="617" t="s">
        <v>5449</v>
      </c>
    </row>
    <row r="3111" spans="1:31" s="572" customFormat="1">
      <c r="A3111" s="570" t="s">
        <v>5453</v>
      </c>
      <c r="B3111" s="569" t="s">
        <v>240</v>
      </c>
      <c r="C3111" s="580" t="s">
        <v>241</v>
      </c>
      <c r="D3111" s="569" t="s">
        <v>3374</v>
      </c>
      <c r="E3111" s="569" t="s">
        <v>152</v>
      </c>
      <c r="F3111" s="569" t="s">
        <v>3265</v>
      </c>
      <c r="G3111" s="569">
        <v>2019</v>
      </c>
      <c r="H3111" s="569" t="s">
        <v>5395</v>
      </c>
      <c r="I3111" s="569" t="s">
        <v>5450</v>
      </c>
      <c r="J3111" s="569" t="s">
        <v>3377</v>
      </c>
      <c r="K3111" s="569">
        <v>6</v>
      </c>
      <c r="L3111" s="569">
        <v>0</v>
      </c>
      <c r="M3111" s="569" t="s">
        <v>157</v>
      </c>
      <c r="N3111" s="569">
        <v>2</v>
      </c>
      <c r="O3111" s="569" t="s">
        <v>5351</v>
      </c>
      <c r="P3111" s="568">
        <v>8250</v>
      </c>
      <c r="Q3111" s="569" t="s">
        <v>5401</v>
      </c>
      <c r="R3111" s="569">
        <v>8</v>
      </c>
      <c r="S3111" s="569" t="s">
        <v>5451</v>
      </c>
      <c r="T3111" s="569" t="s">
        <v>5455</v>
      </c>
      <c r="U3111" s="569">
        <v>140</v>
      </c>
      <c r="V3111" s="569">
        <v>26</v>
      </c>
      <c r="W3111" s="620">
        <v>6800</v>
      </c>
      <c r="X3111" s="621">
        <v>17</v>
      </c>
      <c r="Y3111" s="621" t="s">
        <v>178</v>
      </c>
      <c r="Z3111" s="621" t="s">
        <v>178</v>
      </c>
      <c r="AA3111" s="622">
        <v>37140</v>
      </c>
      <c r="AB3111" s="622" t="s">
        <v>164</v>
      </c>
      <c r="AC3111" s="622">
        <v>23259</v>
      </c>
      <c r="AD3111" s="623">
        <v>0.05</v>
      </c>
      <c r="AE3111" s="621" t="s">
        <v>5454</v>
      </c>
    </row>
    <row r="3112" spans="1:31" s="572" customFormat="1">
      <c r="A3112" s="570" t="s">
        <v>5456</v>
      </c>
      <c r="B3112" s="573" t="s">
        <v>240</v>
      </c>
      <c r="C3112" s="578" t="s">
        <v>241</v>
      </c>
      <c r="D3112" s="573" t="s">
        <v>3374</v>
      </c>
      <c r="E3112" s="573" t="s">
        <v>152</v>
      </c>
      <c r="F3112" s="573" t="s">
        <v>3265</v>
      </c>
      <c r="G3112" s="573">
        <v>2019</v>
      </c>
      <c r="H3112" s="573" t="s">
        <v>5395</v>
      </c>
      <c r="I3112" s="573" t="s">
        <v>5450</v>
      </c>
      <c r="J3112" s="573" t="s">
        <v>3377</v>
      </c>
      <c r="K3112" s="573">
        <v>6</v>
      </c>
      <c r="L3112" s="573">
        <v>0</v>
      </c>
      <c r="M3112" s="573" t="s">
        <v>157</v>
      </c>
      <c r="N3112" s="573">
        <v>2</v>
      </c>
      <c r="O3112" s="573" t="s">
        <v>5458</v>
      </c>
      <c r="P3112" s="571">
        <v>8230</v>
      </c>
      <c r="Q3112" s="573" t="s">
        <v>5401</v>
      </c>
      <c r="R3112" s="573">
        <v>8</v>
      </c>
      <c r="S3112" s="582" t="s">
        <v>5459</v>
      </c>
      <c r="T3112" s="573" t="s">
        <v>5455</v>
      </c>
      <c r="U3112" s="573">
        <v>149</v>
      </c>
      <c r="V3112" s="573">
        <v>26</v>
      </c>
      <c r="W3112" s="616">
        <v>6800</v>
      </c>
      <c r="X3112" s="617">
        <v>17</v>
      </c>
      <c r="Y3112" s="617" t="s">
        <v>178</v>
      </c>
      <c r="Z3112" s="617" t="s">
        <v>178</v>
      </c>
      <c r="AA3112" s="618">
        <v>35890</v>
      </c>
      <c r="AB3112" s="618" t="s">
        <v>164</v>
      </c>
      <c r="AC3112" s="618">
        <v>21916.84210526316</v>
      </c>
      <c r="AD3112" s="619">
        <v>0.05</v>
      </c>
      <c r="AE3112" s="617" t="s">
        <v>5457</v>
      </c>
    </row>
    <row r="3113" spans="1:31" s="572" customFormat="1">
      <c r="A3113" s="570" t="s">
        <v>5460</v>
      </c>
      <c r="B3113" s="569" t="s">
        <v>240</v>
      </c>
      <c r="C3113" s="580" t="s">
        <v>241</v>
      </c>
      <c r="D3113" s="569" t="s">
        <v>3374</v>
      </c>
      <c r="E3113" s="569" t="s">
        <v>152</v>
      </c>
      <c r="F3113" s="569" t="s">
        <v>3265</v>
      </c>
      <c r="G3113" s="569">
        <v>2019</v>
      </c>
      <c r="H3113" s="569" t="s">
        <v>5395</v>
      </c>
      <c r="I3113" s="569" t="s">
        <v>5450</v>
      </c>
      <c r="J3113" s="569" t="s">
        <v>752</v>
      </c>
      <c r="K3113" s="569">
        <v>6</v>
      </c>
      <c r="L3113" s="569">
        <v>0</v>
      </c>
      <c r="M3113" s="569" t="s">
        <v>157</v>
      </c>
      <c r="N3113" s="569">
        <v>2</v>
      </c>
      <c r="O3113" s="569" t="s">
        <v>5351</v>
      </c>
      <c r="P3113" s="568">
        <v>4410</v>
      </c>
      <c r="Q3113" s="569" t="s">
        <v>231</v>
      </c>
      <c r="R3113" s="569">
        <v>6</v>
      </c>
      <c r="S3113" s="569" t="s">
        <v>5462</v>
      </c>
      <c r="T3113" s="569" t="s">
        <v>5452</v>
      </c>
      <c r="U3113" s="569">
        <v>140</v>
      </c>
      <c r="V3113" s="569">
        <v>26</v>
      </c>
      <c r="W3113" s="620">
        <v>6800</v>
      </c>
      <c r="X3113" s="621">
        <v>19</v>
      </c>
      <c r="Y3113" s="621" t="s">
        <v>178</v>
      </c>
      <c r="Z3113" s="621" t="s">
        <v>178</v>
      </c>
      <c r="AA3113" s="622">
        <v>38890</v>
      </c>
      <c r="AB3113" s="622" t="s">
        <v>164</v>
      </c>
      <c r="AC3113" s="622">
        <v>24243.157894736843</v>
      </c>
      <c r="AD3113" s="623">
        <v>0.05</v>
      </c>
      <c r="AE3113" s="621" t="s">
        <v>5461</v>
      </c>
    </row>
    <row r="3114" spans="1:31" s="572" customFormat="1">
      <c r="A3114" s="570" t="s">
        <v>5463</v>
      </c>
      <c r="B3114" s="573" t="s">
        <v>240</v>
      </c>
      <c r="C3114" s="578" t="s">
        <v>241</v>
      </c>
      <c r="D3114" s="573" t="s">
        <v>3374</v>
      </c>
      <c r="E3114" s="573" t="s">
        <v>152</v>
      </c>
      <c r="F3114" s="573" t="s">
        <v>3265</v>
      </c>
      <c r="G3114" s="573">
        <v>2019</v>
      </c>
      <c r="H3114" s="573" t="s">
        <v>5395</v>
      </c>
      <c r="I3114" s="573" t="s">
        <v>5450</v>
      </c>
      <c r="J3114" s="573" t="s">
        <v>752</v>
      </c>
      <c r="K3114" s="573">
        <v>6</v>
      </c>
      <c r="L3114" s="573">
        <v>0</v>
      </c>
      <c r="M3114" s="573" t="s">
        <v>157</v>
      </c>
      <c r="N3114" s="573">
        <v>2</v>
      </c>
      <c r="O3114" s="573" t="s">
        <v>5351</v>
      </c>
      <c r="P3114" s="571">
        <v>8070</v>
      </c>
      <c r="Q3114" s="573" t="s">
        <v>5401</v>
      </c>
      <c r="R3114" s="573">
        <v>8</v>
      </c>
      <c r="S3114" s="582" t="s">
        <v>5462</v>
      </c>
      <c r="T3114" s="573" t="s">
        <v>5455</v>
      </c>
      <c r="U3114" s="573">
        <v>140</v>
      </c>
      <c r="V3114" s="573">
        <v>26</v>
      </c>
      <c r="W3114" s="616">
        <v>6800</v>
      </c>
      <c r="X3114" s="617">
        <v>17</v>
      </c>
      <c r="Y3114" s="617" t="s">
        <v>178</v>
      </c>
      <c r="Z3114" s="617" t="s">
        <v>178</v>
      </c>
      <c r="AA3114" s="618">
        <v>40840</v>
      </c>
      <c r="AB3114" s="618" t="s">
        <v>164</v>
      </c>
      <c r="AC3114" s="618">
        <v>26050.526315789473</v>
      </c>
      <c r="AD3114" s="619">
        <v>0.05</v>
      </c>
      <c r="AE3114" s="617" t="s">
        <v>5464</v>
      </c>
    </row>
    <row r="3115" spans="1:31" s="572" customFormat="1">
      <c r="A3115" s="570" t="s">
        <v>5465</v>
      </c>
      <c r="B3115" s="569" t="s">
        <v>240</v>
      </c>
      <c r="C3115" s="580" t="s">
        <v>241</v>
      </c>
      <c r="D3115" s="569" t="s">
        <v>3374</v>
      </c>
      <c r="E3115" s="569" t="s">
        <v>152</v>
      </c>
      <c r="F3115" s="569" t="s">
        <v>3265</v>
      </c>
      <c r="G3115" s="569">
        <v>2019</v>
      </c>
      <c r="H3115" s="569" t="s">
        <v>5395</v>
      </c>
      <c r="I3115" s="569" t="s">
        <v>5450</v>
      </c>
      <c r="J3115" s="569" t="s">
        <v>752</v>
      </c>
      <c r="K3115" s="569">
        <v>6</v>
      </c>
      <c r="L3115" s="569">
        <v>0</v>
      </c>
      <c r="M3115" s="569" t="s">
        <v>157</v>
      </c>
      <c r="N3115" s="569">
        <v>2</v>
      </c>
      <c r="O3115" s="569" t="s">
        <v>5405</v>
      </c>
      <c r="P3115" s="568">
        <v>8040</v>
      </c>
      <c r="Q3115" s="569" t="s">
        <v>5401</v>
      </c>
      <c r="R3115" s="569">
        <v>8</v>
      </c>
      <c r="S3115" s="569" t="s">
        <v>5467</v>
      </c>
      <c r="T3115" s="569" t="s">
        <v>5455</v>
      </c>
      <c r="U3115" s="569">
        <v>149</v>
      </c>
      <c r="V3115" s="569">
        <v>26</v>
      </c>
      <c r="W3115" s="620">
        <v>6800</v>
      </c>
      <c r="X3115" s="621">
        <v>17</v>
      </c>
      <c r="Y3115" s="621" t="s">
        <v>178</v>
      </c>
      <c r="Z3115" s="621" t="s">
        <v>178</v>
      </c>
      <c r="AA3115" s="622">
        <v>39490</v>
      </c>
      <c r="AB3115" s="622" t="s">
        <v>164</v>
      </c>
      <c r="AC3115" s="622">
        <v>24792.63157894737</v>
      </c>
      <c r="AD3115" s="623">
        <v>0.05</v>
      </c>
      <c r="AE3115" s="621" t="s">
        <v>5466</v>
      </c>
    </row>
    <row r="3116" spans="1:31" s="572" customFormat="1">
      <c r="A3116" s="570" t="s">
        <v>5468</v>
      </c>
      <c r="B3116" s="573" t="s">
        <v>240</v>
      </c>
      <c r="C3116" s="578" t="s">
        <v>241</v>
      </c>
      <c r="D3116" s="573" t="s">
        <v>3374</v>
      </c>
      <c r="E3116" s="573" t="s">
        <v>152</v>
      </c>
      <c r="F3116" s="573" t="s">
        <v>3265</v>
      </c>
      <c r="G3116" s="573">
        <v>2019</v>
      </c>
      <c r="H3116" s="573" t="s">
        <v>5395</v>
      </c>
      <c r="I3116" s="573" t="s">
        <v>5470</v>
      </c>
      <c r="J3116" s="573" t="s">
        <v>3377</v>
      </c>
      <c r="K3116" s="573">
        <v>6</v>
      </c>
      <c r="L3116" s="573">
        <v>0</v>
      </c>
      <c r="M3116" s="573" t="s">
        <v>157</v>
      </c>
      <c r="N3116" s="573">
        <v>2</v>
      </c>
      <c r="O3116" s="573" t="s">
        <v>5405</v>
      </c>
      <c r="P3116" s="571">
        <v>4660</v>
      </c>
      <c r="Q3116" s="573" t="s">
        <v>3267</v>
      </c>
      <c r="R3116" s="573">
        <v>6</v>
      </c>
      <c r="S3116" s="582" t="s">
        <v>5471</v>
      </c>
      <c r="T3116" s="573" t="s">
        <v>5452</v>
      </c>
      <c r="U3116" s="573">
        <v>140</v>
      </c>
      <c r="V3116" s="573">
        <v>26</v>
      </c>
      <c r="W3116" s="616">
        <v>6800</v>
      </c>
      <c r="X3116" s="617">
        <v>17</v>
      </c>
      <c r="Y3116" s="617" t="s">
        <v>178</v>
      </c>
      <c r="Z3116" s="617" t="s">
        <v>178</v>
      </c>
      <c r="AA3116" s="618">
        <v>32790</v>
      </c>
      <c r="AB3116" s="618" t="s">
        <v>164</v>
      </c>
      <c r="AC3116" s="618">
        <v>20279</v>
      </c>
      <c r="AD3116" s="619">
        <v>0.05</v>
      </c>
      <c r="AE3116" s="617" t="s">
        <v>5469</v>
      </c>
    </row>
    <row r="3117" spans="1:31" s="572" customFormat="1">
      <c r="A3117" s="570" t="s">
        <v>5472</v>
      </c>
      <c r="B3117" s="569" t="s">
        <v>240</v>
      </c>
      <c r="C3117" s="580" t="s">
        <v>241</v>
      </c>
      <c r="D3117" s="569" t="s">
        <v>3374</v>
      </c>
      <c r="E3117" s="569" t="s">
        <v>152</v>
      </c>
      <c r="F3117" s="569" t="s">
        <v>3265</v>
      </c>
      <c r="G3117" s="569">
        <v>2019</v>
      </c>
      <c r="H3117" s="569" t="s">
        <v>5395</v>
      </c>
      <c r="I3117" s="569" t="s">
        <v>5470</v>
      </c>
      <c r="J3117" s="569" t="s">
        <v>3377</v>
      </c>
      <c r="K3117" s="569">
        <v>6</v>
      </c>
      <c r="L3117" s="569">
        <v>0</v>
      </c>
      <c r="M3117" s="569" t="s">
        <v>157</v>
      </c>
      <c r="N3117" s="569">
        <v>2</v>
      </c>
      <c r="O3117" s="569" t="s">
        <v>5458</v>
      </c>
      <c r="P3117" s="568">
        <v>8340</v>
      </c>
      <c r="Q3117" s="569" t="s">
        <v>5401</v>
      </c>
      <c r="R3117" s="569">
        <v>8</v>
      </c>
      <c r="S3117" s="569" t="s">
        <v>5471</v>
      </c>
      <c r="T3117" s="569" t="s">
        <v>5455</v>
      </c>
      <c r="U3117" s="569">
        <v>140</v>
      </c>
      <c r="V3117" s="569">
        <v>26</v>
      </c>
      <c r="W3117" s="620">
        <v>6800</v>
      </c>
      <c r="X3117" s="621">
        <v>17</v>
      </c>
      <c r="Y3117" s="621" t="s">
        <v>178</v>
      </c>
      <c r="Z3117" s="621" t="s">
        <v>178</v>
      </c>
      <c r="AA3117" s="622">
        <v>34740</v>
      </c>
      <c r="AB3117" s="622" t="s">
        <v>164</v>
      </c>
      <c r="AC3117" s="622">
        <v>21909</v>
      </c>
      <c r="AD3117" s="623">
        <v>0.05</v>
      </c>
      <c r="AE3117" s="621" t="s">
        <v>5473</v>
      </c>
    </row>
    <row r="3118" spans="1:31" s="572" customFormat="1">
      <c r="A3118" s="570" t="s">
        <v>5474</v>
      </c>
      <c r="B3118" s="573" t="s">
        <v>240</v>
      </c>
      <c r="C3118" s="578" t="s">
        <v>241</v>
      </c>
      <c r="D3118" s="573" t="s">
        <v>3374</v>
      </c>
      <c r="E3118" s="573" t="s">
        <v>152</v>
      </c>
      <c r="F3118" s="573" t="s">
        <v>3265</v>
      </c>
      <c r="G3118" s="573">
        <v>2019</v>
      </c>
      <c r="H3118" s="573" t="s">
        <v>5395</v>
      </c>
      <c r="I3118" s="573" t="s">
        <v>5470</v>
      </c>
      <c r="J3118" s="573" t="s">
        <v>752</v>
      </c>
      <c r="K3118" s="573">
        <v>6</v>
      </c>
      <c r="L3118" s="573">
        <v>0</v>
      </c>
      <c r="M3118" s="573" t="s">
        <v>157</v>
      </c>
      <c r="N3118" s="573">
        <v>2</v>
      </c>
      <c r="O3118" s="573" t="s">
        <v>5405</v>
      </c>
      <c r="P3118" s="571">
        <v>4480</v>
      </c>
      <c r="Q3118" s="573" t="s">
        <v>231</v>
      </c>
      <c r="R3118" s="573">
        <v>6</v>
      </c>
      <c r="S3118" s="582" t="s">
        <v>5476</v>
      </c>
      <c r="T3118" s="573" t="s">
        <v>5452</v>
      </c>
      <c r="U3118" s="573">
        <v>140</v>
      </c>
      <c r="V3118" s="573">
        <v>26</v>
      </c>
      <c r="W3118" s="616">
        <v>6800</v>
      </c>
      <c r="X3118" s="617">
        <v>19</v>
      </c>
      <c r="Y3118" s="617" t="s">
        <v>178</v>
      </c>
      <c r="Z3118" s="617" t="s">
        <v>178</v>
      </c>
      <c r="AA3118" s="618">
        <v>36390</v>
      </c>
      <c r="AB3118" s="618" t="s">
        <v>164</v>
      </c>
      <c r="AC3118" s="618">
        <v>23006.315789473687</v>
      </c>
      <c r="AD3118" s="619">
        <v>0.05</v>
      </c>
      <c r="AE3118" s="617" t="s">
        <v>5475</v>
      </c>
    </row>
    <row r="3119" spans="1:31" s="572" customFormat="1">
      <c r="A3119" s="570" t="s">
        <v>5477</v>
      </c>
      <c r="B3119" s="569" t="s">
        <v>240</v>
      </c>
      <c r="C3119" s="580" t="s">
        <v>241</v>
      </c>
      <c r="D3119" s="569" t="s">
        <v>3374</v>
      </c>
      <c r="E3119" s="569" t="s">
        <v>152</v>
      </c>
      <c r="F3119" s="569" t="s">
        <v>3265</v>
      </c>
      <c r="G3119" s="569">
        <v>2019</v>
      </c>
      <c r="H3119" s="569" t="s">
        <v>5395</v>
      </c>
      <c r="I3119" s="569" t="s">
        <v>5470</v>
      </c>
      <c r="J3119" s="569" t="s">
        <v>752</v>
      </c>
      <c r="K3119" s="569">
        <v>6</v>
      </c>
      <c r="L3119" s="569">
        <v>0</v>
      </c>
      <c r="M3119" s="569" t="s">
        <v>157</v>
      </c>
      <c r="N3119" s="569">
        <v>2</v>
      </c>
      <c r="O3119" s="569" t="s">
        <v>5458</v>
      </c>
      <c r="P3119" s="568">
        <v>8120</v>
      </c>
      <c r="Q3119" s="569" t="s">
        <v>5401</v>
      </c>
      <c r="R3119" s="569">
        <v>8</v>
      </c>
      <c r="S3119" s="569" t="s">
        <v>5476</v>
      </c>
      <c r="T3119" s="569" t="s">
        <v>5455</v>
      </c>
      <c r="U3119" s="569">
        <v>140</v>
      </c>
      <c r="V3119" s="569">
        <v>26</v>
      </c>
      <c r="W3119" s="620">
        <v>6800</v>
      </c>
      <c r="X3119" s="621">
        <v>17</v>
      </c>
      <c r="Y3119" s="621" t="s">
        <v>178</v>
      </c>
      <c r="Z3119" s="621" t="s">
        <v>178</v>
      </c>
      <c r="AA3119" s="622">
        <v>38340</v>
      </c>
      <c r="AB3119" s="622" t="s">
        <v>164</v>
      </c>
      <c r="AC3119" s="622">
        <v>24813.684210526317</v>
      </c>
      <c r="AD3119" s="623">
        <v>0.05</v>
      </c>
      <c r="AE3119" s="621" t="s">
        <v>5478</v>
      </c>
    </row>
    <row r="3120" spans="1:31" s="572" customFormat="1">
      <c r="A3120" s="570" t="s">
        <v>5479</v>
      </c>
      <c r="B3120" s="573" t="s">
        <v>240</v>
      </c>
      <c r="C3120" s="578" t="s">
        <v>241</v>
      </c>
      <c r="D3120" s="573" t="s">
        <v>3374</v>
      </c>
      <c r="E3120" s="573" t="s">
        <v>152</v>
      </c>
      <c r="F3120" s="573" t="s">
        <v>3265</v>
      </c>
      <c r="G3120" s="573">
        <v>2019</v>
      </c>
      <c r="H3120" s="573" t="s">
        <v>5395</v>
      </c>
      <c r="I3120" s="573" t="s">
        <v>5481</v>
      </c>
      <c r="J3120" s="573" t="s">
        <v>3377</v>
      </c>
      <c r="K3120" s="573">
        <v>3</v>
      </c>
      <c r="L3120" s="573">
        <v>0</v>
      </c>
      <c r="M3120" s="573" t="s">
        <v>157</v>
      </c>
      <c r="N3120" s="573">
        <v>1</v>
      </c>
      <c r="O3120" s="573" t="s">
        <v>5405</v>
      </c>
      <c r="P3120" s="571">
        <v>5025</v>
      </c>
      <c r="Q3120" s="573" t="s">
        <v>231</v>
      </c>
      <c r="R3120" s="573">
        <v>6</v>
      </c>
      <c r="S3120" s="582" t="s">
        <v>5482</v>
      </c>
      <c r="T3120" s="573" t="s">
        <v>5452</v>
      </c>
      <c r="U3120" s="573">
        <v>120</v>
      </c>
      <c r="V3120" s="573">
        <v>26</v>
      </c>
      <c r="W3120" s="616">
        <v>6025</v>
      </c>
      <c r="X3120" s="617">
        <v>20</v>
      </c>
      <c r="Y3120" s="617" t="s">
        <v>178</v>
      </c>
      <c r="Z3120" s="617" t="s">
        <v>178</v>
      </c>
      <c r="AA3120" s="618">
        <v>28990</v>
      </c>
      <c r="AB3120" s="618" t="s">
        <v>164</v>
      </c>
      <c r="AC3120" s="618">
        <v>18649</v>
      </c>
      <c r="AD3120" s="619">
        <v>0.05</v>
      </c>
      <c r="AE3120" s="617" t="s">
        <v>5480</v>
      </c>
    </row>
    <row r="3121" spans="1:31" s="572" customFormat="1">
      <c r="A3121" s="570" t="s">
        <v>5483</v>
      </c>
      <c r="B3121" s="569" t="s">
        <v>240</v>
      </c>
      <c r="C3121" s="580" t="s">
        <v>241</v>
      </c>
      <c r="D3121" s="569" t="s">
        <v>3374</v>
      </c>
      <c r="E3121" s="569" t="s">
        <v>152</v>
      </c>
      <c r="F3121" s="569" t="s">
        <v>3265</v>
      </c>
      <c r="G3121" s="569">
        <v>2019</v>
      </c>
      <c r="H3121" s="569" t="s">
        <v>5395</v>
      </c>
      <c r="I3121" s="569" t="s">
        <v>5481</v>
      </c>
      <c r="J3121" s="569" t="s">
        <v>3377</v>
      </c>
      <c r="K3121" s="569">
        <v>3</v>
      </c>
      <c r="L3121" s="569">
        <v>0</v>
      </c>
      <c r="M3121" s="569" t="s">
        <v>157</v>
      </c>
      <c r="N3121" s="569">
        <v>1</v>
      </c>
      <c r="O3121" s="569" t="s">
        <v>5458</v>
      </c>
      <c r="P3121" s="568">
        <v>8700</v>
      </c>
      <c r="Q3121" s="569" t="s">
        <v>5401</v>
      </c>
      <c r="R3121" s="569">
        <v>8</v>
      </c>
      <c r="S3121" s="569" t="s">
        <v>5482</v>
      </c>
      <c r="T3121" s="569" t="s">
        <v>5455</v>
      </c>
      <c r="U3121" s="569">
        <v>120</v>
      </c>
      <c r="V3121" s="569">
        <v>26</v>
      </c>
      <c r="W3121" s="620">
        <v>6025</v>
      </c>
      <c r="X3121" s="621">
        <v>17</v>
      </c>
      <c r="Y3121" s="621" t="s">
        <v>178</v>
      </c>
      <c r="Z3121" s="621" t="s">
        <v>178</v>
      </c>
      <c r="AA3121" s="622">
        <v>30940</v>
      </c>
      <c r="AB3121" s="622" t="s">
        <v>164</v>
      </c>
      <c r="AC3121" s="622">
        <v>20349</v>
      </c>
      <c r="AD3121" s="623">
        <v>0.05</v>
      </c>
      <c r="AE3121" s="621" t="s">
        <v>5484</v>
      </c>
    </row>
    <row r="3122" spans="1:31" s="572" customFormat="1">
      <c r="A3122" s="570" t="s">
        <v>5485</v>
      </c>
      <c r="B3122" s="573" t="s">
        <v>240</v>
      </c>
      <c r="C3122" s="578" t="s">
        <v>241</v>
      </c>
      <c r="D3122" s="573" t="s">
        <v>3374</v>
      </c>
      <c r="E3122" s="573" t="s">
        <v>152</v>
      </c>
      <c r="F3122" s="573" t="s">
        <v>3265</v>
      </c>
      <c r="G3122" s="573">
        <v>2019</v>
      </c>
      <c r="H3122" s="573" t="s">
        <v>5395</v>
      </c>
      <c r="I3122" s="573" t="s">
        <v>5481</v>
      </c>
      <c r="J3122" s="573" t="s">
        <v>3377</v>
      </c>
      <c r="K3122" s="573">
        <v>3</v>
      </c>
      <c r="L3122" s="573">
        <v>0</v>
      </c>
      <c r="M3122" s="573" t="s">
        <v>157</v>
      </c>
      <c r="N3122" s="573">
        <v>1</v>
      </c>
      <c r="O3122" s="573" t="s">
        <v>3846</v>
      </c>
      <c r="P3122" s="571">
        <v>4830</v>
      </c>
      <c r="Q3122" s="573" t="s">
        <v>231</v>
      </c>
      <c r="R3122" s="573">
        <v>6</v>
      </c>
      <c r="S3122" s="582" t="s">
        <v>5487</v>
      </c>
      <c r="T3122" s="573" t="s">
        <v>5452</v>
      </c>
      <c r="U3122" s="573">
        <v>140</v>
      </c>
      <c r="V3122" s="573">
        <v>32</v>
      </c>
      <c r="W3122" s="616">
        <v>6600</v>
      </c>
      <c r="X3122" s="617">
        <v>20</v>
      </c>
      <c r="Y3122" s="617" t="s">
        <v>178</v>
      </c>
      <c r="Z3122" s="617" t="s">
        <v>178</v>
      </c>
      <c r="AA3122" s="618">
        <v>28990</v>
      </c>
      <c r="AB3122" s="618" t="s">
        <v>164</v>
      </c>
      <c r="AC3122" s="618">
        <v>18529.787234042553</v>
      </c>
      <c r="AD3122" s="619">
        <v>0.05</v>
      </c>
      <c r="AE3122" s="617" t="s">
        <v>5486</v>
      </c>
    </row>
    <row r="3123" spans="1:31" s="572" customFormat="1">
      <c r="A3123" s="570" t="s">
        <v>5488</v>
      </c>
      <c r="B3123" s="569" t="s">
        <v>240</v>
      </c>
      <c r="C3123" s="580" t="s">
        <v>241</v>
      </c>
      <c r="D3123" s="569" t="s">
        <v>3374</v>
      </c>
      <c r="E3123" s="569" t="s">
        <v>152</v>
      </c>
      <c r="F3123" s="569" t="s">
        <v>3265</v>
      </c>
      <c r="G3123" s="569">
        <v>2019</v>
      </c>
      <c r="H3123" s="569" t="s">
        <v>5395</v>
      </c>
      <c r="I3123" s="569" t="s">
        <v>5481</v>
      </c>
      <c r="J3123" s="569" t="s">
        <v>3377</v>
      </c>
      <c r="K3123" s="569">
        <v>3</v>
      </c>
      <c r="L3123" s="569">
        <v>0</v>
      </c>
      <c r="M3123" s="569" t="s">
        <v>157</v>
      </c>
      <c r="N3123" s="569">
        <v>1</v>
      </c>
      <c r="O3123" s="569" t="s">
        <v>3846</v>
      </c>
      <c r="P3123" s="568">
        <v>8540</v>
      </c>
      <c r="Q3123" s="569" t="s">
        <v>5401</v>
      </c>
      <c r="R3123" s="569">
        <v>8</v>
      </c>
      <c r="S3123" s="569" t="s">
        <v>5487</v>
      </c>
      <c r="T3123" s="569" t="s">
        <v>5455</v>
      </c>
      <c r="U3123" s="569">
        <v>140</v>
      </c>
      <c r="V3123" s="569">
        <v>32</v>
      </c>
      <c r="W3123" s="620">
        <v>6600</v>
      </c>
      <c r="X3123" s="621">
        <v>17</v>
      </c>
      <c r="Y3123" s="621" t="s">
        <v>178</v>
      </c>
      <c r="Z3123" s="621" t="s">
        <v>178</v>
      </c>
      <c r="AA3123" s="622">
        <v>30940</v>
      </c>
      <c r="AB3123" s="622" t="s">
        <v>164</v>
      </c>
      <c r="AC3123" s="622">
        <v>20356.382978723406</v>
      </c>
      <c r="AD3123" s="623">
        <v>0.05</v>
      </c>
      <c r="AE3123" s="621" t="s">
        <v>5489</v>
      </c>
    </row>
    <row r="3124" spans="1:31" s="572" customFormat="1">
      <c r="A3124" s="570" t="s">
        <v>5490</v>
      </c>
      <c r="B3124" s="573" t="s">
        <v>240</v>
      </c>
      <c r="C3124" s="578" t="s">
        <v>241</v>
      </c>
      <c r="D3124" s="573" t="s">
        <v>3374</v>
      </c>
      <c r="E3124" s="573" t="s">
        <v>152</v>
      </c>
      <c r="F3124" s="573" t="s">
        <v>3265</v>
      </c>
      <c r="G3124" s="573">
        <v>2019</v>
      </c>
      <c r="H3124" s="573" t="s">
        <v>5395</v>
      </c>
      <c r="I3124" s="573" t="s">
        <v>5481</v>
      </c>
      <c r="J3124" s="573" t="s">
        <v>752</v>
      </c>
      <c r="K3124" s="573">
        <v>3</v>
      </c>
      <c r="L3124" s="573">
        <v>0</v>
      </c>
      <c r="M3124" s="573" t="s">
        <v>157</v>
      </c>
      <c r="N3124" s="573">
        <v>1</v>
      </c>
      <c r="O3124" s="573" t="s">
        <v>5405</v>
      </c>
      <c r="P3124" s="571">
        <v>4820</v>
      </c>
      <c r="Q3124" s="573" t="s">
        <v>231</v>
      </c>
      <c r="R3124" s="573">
        <v>6</v>
      </c>
      <c r="S3124" s="582" t="s">
        <v>5492</v>
      </c>
      <c r="T3124" s="573" t="s">
        <v>5452</v>
      </c>
      <c r="U3124" s="573">
        <v>120</v>
      </c>
      <c r="V3124" s="573">
        <v>26</v>
      </c>
      <c r="W3124" s="616">
        <v>6300</v>
      </c>
      <c r="X3124" s="617">
        <v>19</v>
      </c>
      <c r="Y3124" s="617" t="s">
        <v>178</v>
      </c>
      <c r="Z3124" s="617" t="s">
        <v>178</v>
      </c>
      <c r="AA3124" s="618">
        <v>33590</v>
      </c>
      <c r="AB3124" s="618" t="s">
        <v>164</v>
      </c>
      <c r="AC3124" s="618">
        <v>21404.255319148939</v>
      </c>
      <c r="AD3124" s="619">
        <v>0.05</v>
      </c>
      <c r="AE3124" s="617" t="s">
        <v>5491</v>
      </c>
    </row>
    <row r="3125" spans="1:31" s="572" customFormat="1">
      <c r="A3125" s="570" t="s">
        <v>5493</v>
      </c>
      <c r="B3125" s="569" t="s">
        <v>240</v>
      </c>
      <c r="C3125" s="580" t="s">
        <v>241</v>
      </c>
      <c r="D3125" s="569" t="s">
        <v>3374</v>
      </c>
      <c r="E3125" s="569" t="s">
        <v>152</v>
      </c>
      <c r="F3125" s="569" t="s">
        <v>3265</v>
      </c>
      <c r="G3125" s="569">
        <v>2019</v>
      </c>
      <c r="H3125" s="569" t="s">
        <v>5395</v>
      </c>
      <c r="I3125" s="569" t="s">
        <v>5481</v>
      </c>
      <c r="J3125" s="569" t="s">
        <v>752</v>
      </c>
      <c r="K3125" s="569">
        <v>3</v>
      </c>
      <c r="L3125" s="569">
        <v>0</v>
      </c>
      <c r="M3125" s="569" t="s">
        <v>157</v>
      </c>
      <c r="N3125" s="569">
        <v>1</v>
      </c>
      <c r="O3125" s="569" t="s">
        <v>5458</v>
      </c>
      <c r="P3125" s="568">
        <v>8490</v>
      </c>
      <c r="Q3125" s="569" t="s">
        <v>5401</v>
      </c>
      <c r="R3125" s="569">
        <v>8</v>
      </c>
      <c r="S3125" s="569" t="s">
        <v>5492</v>
      </c>
      <c r="T3125" s="569" t="s">
        <v>5455</v>
      </c>
      <c r="U3125" s="569">
        <v>120</v>
      </c>
      <c r="V3125" s="569">
        <v>26</v>
      </c>
      <c r="W3125" s="620">
        <v>6300</v>
      </c>
      <c r="X3125" s="621">
        <v>19</v>
      </c>
      <c r="Y3125" s="621" t="s">
        <v>178</v>
      </c>
      <c r="Z3125" s="621" t="s">
        <v>178</v>
      </c>
      <c r="AA3125" s="622">
        <v>35540</v>
      </c>
      <c r="AB3125" s="622" t="s">
        <v>164</v>
      </c>
      <c r="AC3125" s="622">
        <v>23230.851063829788</v>
      </c>
      <c r="AD3125" s="623">
        <v>0.05</v>
      </c>
      <c r="AE3125" s="621" t="s">
        <v>5494</v>
      </c>
    </row>
    <row r="3126" spans="1:31" s="572" customFormat="1">
      <c r="A3126" s="570" t="s">
        <v>5495</v>
      </c>
      <c r="B3126" s="573" t="s">
        <v>240</v>
      </c>
      <c r="C3126" s="578" t="s">
        <v>241</v>
      </c>
      <c r="D3126" s="573" t="s">
        <v>3374</v>
      </c>
      <c r="E3126" s="573" t="s">
        <v>152</v>
      </c>
      <c r="F3126" s="573" t="s">
        <v>3265</v>
      </c>
      <c r="G3126" s="573">
        <v>2019</v>
      </c>
      <c r="H3126" s="573" t="s">
        <v>5395</v>
      </c>
      <c r="I3126" s="573" t="s">
        <v>5481</v>
      </c>
      <c r="J3126" s="573" t="s">
        <v>752</v>
      </c>
      <c r="K3126" s="573">
        <v>3</v>
      </c>
      <c r="L3126" s="573">
        <v>0</v>
      </c>
      <c r="M3126" s="573" t="s">
        <v>157</v>
      </c>
      <c r="N3126" s="573">
        <v>1</v>
      </c>
      <c r="O3126" s="573" t="s">
        <v>3846</v>
      </c>
      <c r="P3126" s="571">
        <v>4650</v>
      </c>
      <c r="Q3126" s="573" t="s">
        <v>231</v>
      </c>
      <c r="R3126" s="573">
        <v>6</v>
      </c>
      <c r="S3126" s="582" t="s">
        <v>5497</v>
      </c>
      <c r="T3126" s="573" t="s">
        <v>5452</v>
      </c>
      <c r="U3126" s="573">
        <v>140</v>
      </c>
      <c r="V3126" s="573">
        <v>32</v>
      </c>
      <c r="W3126" s="616">
        <v>6600</v>
      </c>
      <c r="X3126" s="617">
        <v>19</v>
      </c>
      <c r="Y3126" s="617" t="s">
        <v>178</v>
      </c>
      <c r="Z3126" s="617" t="s">
        <v>178</v>
      </c>
      <c r="AA3126" s="618">
        <v>33590</v>
      </c>
      <c r="AB3126" s="618" t="s">
        <v>164</v>
      </c>
      <c r="AC3126" s="618">
        <v>21309</v>
      </c>
      <c r="AD3126" s="619">
        <v>0.05</v>
      </c>
      <c r="AE3126" s="617" t="s">
        <v>5496</v>
      </c>
    </row>
    <row r="3127" spans="1:31" s="572" customFormat="1">
      <c r="A3127" s="570" t="s">
        <v>5498</v>
      </c>
      <c r="B3127" s="569" t="s">
        <v>240</v>
      </c>
      <c r="C3127" s="580" t="s">
        <v>241</v>
      </c>
      <c r="D3127" s="569" t="s">
        <v>3374</v>
      </c>
      <c r="E3127" s="569" t="s">
        <v>152</v>
      </c>
      <c r="F3127" s="569" t="s">
        <v>3265</v>
      </c>
      <c r="G3127" s="569">
        <v>2019</v>
      </c>
      <c r="H3127" s="569" t="s">
        <v>5395</v>
      </c>
      <c r="I3127" s="569" t="s">
        <v>5481</v>
      </c>
      <c r="J3127" s="569" t="s">
        <v>752</v>
      </c>
      <c r="K3127" s="569">
        <v>3</v>
      </c>
      <c r="L3127" s="569">
        <v>0</v>
      </c>
      <c r="M3127" s="569" t="s">
        <v>157</v>
      </c>
      <c r="N3127" s="569">
        <v>1</v>
      </c>
      <c r="O3127" s="569" t="s">
        <v>3846</v>
      </c>
      <c r="P3127" s="568">
        <v>8320</v>
      </c>
      <c r="Q3127" s="569" t="s">
        <v>5401</v>
      </c>
      <c r="R3127" s="569">
        <v>8</v>
      </c>
      <c r="S3127" s="569" t="s">
        <v>5497</v>
      </c>
      <c r="T3127" s="569" t="s">
        <v>5455</v>
      </c>
      <c r="U3127" s="569">
        <v>140</v>
      </c>
      <c r="V3127" s="569">
        <v>32</v>
      </c>
      <c r="W3127" s="620">
        <v>6600</v>
      </c>
      <c r="X3127" s="621">
        <v>17</v>
      </c>
      <c r="Y3127" s="621" t="s">
        <v>178</v>
      </c>
      <c r="Z3127" s="621" t="s">
        <v>178</v>
      </c>
      <c r="AA3127" s="622">
        <v>35540</v>
      </c>
      <c r="AB3127" s="622" t="s">
        <v>164</v>
      </c>
      <c r="AC3127" s="622">
        <v>23109</v>
      </c>
      <c r="AD3127" s="623">
        <v>0.05</v>
      </c>
      <c r="AE3127" s="621" t="s">
        <v>5499</v>
      </c>
    </row>
    <row r="3128" spans="1:31" s="572" customFormat="1">
      <c r="A3128" s="570" t="s">
        <v>5500</v>
      </c>
      <c r="B3128" s="573" t="s">
        <v>226</v>
      </c>
      <c r="C3128" s="578" t="s">
        <v>227</v>
      </c>
      <c r="D3128" s="573" t="s">
        <v>3374</v>
      </c>
      <c r="E3128" s="573" t="s">
        <v>152</v>
      </c>
      <c r="F3128" s="573" t="s">
        <v>3265</v>
      </c>
      <c r="G3128" s="573">
        <v>2019</v>
      </c>
      <c r="H3128" s="573" t="s">
        <v>5502</v>
      </c>
      <c r="I3128" s="573" t="s">
        <v>5396</v>
      </c>
      <c r="J3128" s="573" t="s">
        <v>3377</v>
      </c>
      <c r="K3128" s="573">
        <v>6</v>
      </c>
      <c r="L3128" s="573">
        <v>0</v>
      </c>
      <c r="M3128" s="573" t="s">
        <v>157</v>
      </c>
      <c r="N3128" s="573">
        <v>2</v>
      </c>
      <c r="O3128" s="573" t="s">
        <v>5351</v>
      </c>
      <c r="P3128" s="571">
        <v>4510</v>
      </c>
      <c r="Q3128" s="573" t="s">
        <v>5503</v>
      </c>
      <c r="R3128" s="573">
        <v>6</v>
      </c>
      <c r="S3128" s="582" t="s">
        <v>5397</v>
      </c>
      <c r="T3128" s="573" t="s">
        <v>5398</v>
      </c>
      <c r="U3128" s="573">
        <v>140</v>
      </c>
      <c r="V3128" s="573">
        <v>26</v>
      </c>
      <c r="W3128" s="616">
        <v>6800</v>
      </c>
      <c r="X3128" s="617">
        <v>20</v>
      </c>
      <c r="Y3128" s="617" t="s">
        <v>450</v>
      </c>
      <c r="Z3128" s="617" t="s">
        <v>178</v>
      </c>
      <c r="AA3128" s="618">
        <v>39490</v>
      </c>
      <c r="AB3128" s="618" t="s">
        <v>164</v>
      </c>
      <c r="AC3128" s="618">
        <v>24765</v>
      </c>
      <c r="AD3128" s="619">
        <v>6.25E-2</v>
      </c>
      <c r="AE3128" s="617" t="s">
        <v>5501</v>
      </c>
    </row>
    <row r="3129" spans="1:31" s="572" customFormat="1">
      <c r="A3129" s="570" t="s">
        <v>5504</v>
      </c>
      <c r="B3129" s="569" t="s">
        <v>226</v>
      </c>
      <c r="C3129" s="580" t="s">
        <v>227</v>
      </c>
      <c r="D3129" s="569" t="s">
        <v>3374</v>
      </c>
      <c r="E3129" s="569" t="s">
        <v>152</v>
      </c>
      <c r="F3129" s="569" t="s">
        <v>3265</v>
      </c>
      <c r="G3129" s="569">
        <v>2019</v>
      </c>
      <c r="H3129" s="569" t="s">
        <v>5502</v>
      </c>
      <c r="I3129" s="569" t="s">
        <v>5396</v>
      </c>
      <c r="J3129" s="569" t="s">
        <v>3377</v>
      </c>
      <c r="K3129" s="569">
        <v>6</v>
      </c>
      <c r="L3129" s="569">
        <v>0</v>
      </c>
      <c r="M3129" s="569" t="s">
        <v>157</v>
      </c>
      <c r="N3129" s="569">
        <v>2</v>
      </c>
      <c r="O3129" s="569" t="s">
        <v>5351</v>
      </c>
      <c r="P3129" s="568">
        <v>8070</v>
      </c>
      <c r="Q3129" s="569" t="s">
        <v>5506</v>
      </c>
      <c r="R3129" s="569">
        <v>8</v>
      </c>
      <c r="S3129" s="569" t="s">
        <v>5397</v>
      </c>
      <c r="T3129" s="569" t="s">
        <v>5402</v>
      </c>
      <c r="U3129" s="569">
        <v>140</v>
      </c>
      <c r="V3129" s="569">
        <v>26</v>
      </c>
      <c r="W3129" s="620">
        <v>6800</v>
      </c>
      <c r="X3129" s="621">
        <v>16</v>
      </c>
      <c r="Y3129" s="621" t="s">
        <v>178</v>
      </c>
      <c r="Z3129" s="621" t="s">
        <v>178</v>
      </c>
      <c r="AA3129" s="622">
        <v>41440</v>
      </c>
      <c r="AB3129" s="622" t="s">
        <v>164</v>
      </c>
      <c r="AC3129" s="622">
        <v>26499</v>
      </c>
      <c r="AD3129" s="623">
        <v>6.25E-2</v>
      </c>
      <c r="AE3129" s="621" t="s">
        <v>5505</v>
      </c>
    </row>
    <row r="3130" spans="1:31" s="572" customFormat="1">
      <c r="A3130" s="570" t="s">
        <v>5507</v>
      </c>
      <c r="B3130" s="573" t="s">
        <v>226</v>
      </c>
      <c r="C3130" s="578" t="s">
        <v>227</v>
      </c>
      <c r="D3130" s="573" t="s">
        <v>3374</v>
      </c>
      <c r="E3130" s="573" t="s">
        <v>152</v>
      </c>
      <c r="F3130" s="573" t="s">
        <v>3265</v>
      </c>
      <c r="G3130" s="573">
        <v>2019</v>
      </c>
      <c r="H3130" s="573" t="s">
        <v>5502</v>
      </c>
      <c r="I3130" s="573" t="s">
        <v>5396</v>
      </c>
      <c r="J3130" s="573" t="s">
        <v>3377</v>
      </c>
      <c r="K3130" s="573">
        <v>6</v>
      </c>
      <c r="L3130" s="573">
        <v>0</v>
      </c>
      <c r="M3130" s="573" t="s">
        <v>157</v>
      </c>
      <c r="N3130" s="573">
        <v>2</v>
      </c>
      <c r="O3130" s="573" t="s">
        <v>5405</v>
      </c>
      <c r="P3130" s="571">
        <v>8010</v>
      </c>
      <c r="Q3130" s="573" t="s">
        <v>5509</v>
      </c>
      <c r="R3130" s="573">
        <v>8</v>
      </c>
      <c r="S3130" s="582" t="s">
        <v>5406</v>
      </c>
      <c r="T3130" s="573" t="s">
        <v>5402</v>
      </c>
      <c r="U3130" s="573">
        <v>149</v>
      </c>
      <c r="V3130" s="573">
        <v>26</v>
      </c>
      <c r="W3130" s="616">
        <v>6350</v>
      </c>
      <c r="X3130" s="617">
        <v>17</v>
      </c>
      <c r="Y3130" s="617" t="s">
        <v>178</v>
      </c>
      <c r="Z3130" s="617" t="s">
        <v>178</v>
      </c>
      <c r="AA3130" s="618">
        <v>41490</v>
      </c>
      <c r="AB3130" s="618" t="s">
        <v>164</v>
      </c>
      <c r="AC3130" s="618">
        <v>26502</v>
      </c>
      <c r="AD3130" s="619">
        <v>6.25E-2</v>
      </c>
      <c r="AE3130" s="617" t="s">
        <v>5508</v>
      </c>
    </row>
    <row r="3131" spans="1:31" s="572" customFormat="1">
      <c r="A3131" s="570" t="s">
        <v>5510</v>
      </c>
      <c r="B3131" s="569" t="s">
        <v>3315</v>
      </c>
      <c r="C3131" s="580" t="s">
        <v>227</v>
      </c>
      <c r="D3131" s="569" t="s">
        <v>3374</v>
      </c>
      <c r="E3131" s="569" t="s">
        <v>152</v>
      </c>
      <c r="F3131" s="569" t="s">
        <v>3265</v>
      </c>
      <c r="G3131" s="569">
        <v>2019</v>
      </c>
      <c r="H3131" s="569" t="s">
        <v>5502</v>
      </c>
      <c r="I3131" s="569" t="s">
        <v>5396</v>
      </c>
      <c r="J3131" s="569" t="s">
        <v>3377</v>
      </c>
      <c r="K3131" s="569">
        <v>6</v>
      </c>
      <c r="L3131" s="569">
        <v>0</v>
      </c>
      <c r="M3131" s="569" t="s">
        <v>157</v>
      </c>
      <c r="N3131" s="569">
        <v>2</v>
      </c>
      <c r="O3131" s="569" t="s">
        <v>5351</v>
      </c>
      <c r="P3131" s="568">
        <v>7500</v>
      </c>
      <c r="Q3131" s="569" t="s">
        <v>5512</v>
      </c>
      <c r="R3131" s="569">
        <v>6</v>
      </c>
      <c r="S3131" s="569" t="s">
        <v>5397</v>
      </c>
      <c r="T3131" s="569" t="s">
        <v>5398</v>
      </c>
      <c r="U3131" s="569">
        <v>140</v>
      </c>
      <c r="V3131" s="569">
        <v>26</v>
      </c>
      <c r="W3131" s="620">
        <v>6800</v>
      </c>
      <c r="X3131" s="621">
        <v>20</v>
      </c>
      <c r="Y3131" s="621" t="s">
        <v>450</v>
      </c>
      <c r="Z3131" s="621" t="s">
        <v>178</v>
      </c>
      <c r="AA3131" s="622">
        <v>39585</v>
      </c>
      <c r="AB3131" s="622" t="s">
        <v>164</v>
      </c>
      <c r="AC3131" s="622">
        <v>24860</v>
      </c>
      <c r="AD3131" s="623">
        <v>6.25E-2</v>
      </c>
      <c r="AE3131" s="621" t="s">
        <v>5511</v>
      </c>
    </row>
    <row r="3132" spans="1:31" s="572" customFormat="1">
      <c r="A3132" s="570" t="s">
        <v>5513</v>
      </c>
      <c r="B3132" s="573" t="s">
        <v>3315</v>
      </c>
      <c r="C3132" s="578" t="s">
        <v>227</v>
      </c>
      <c r="D3132" s="573" t="s">
        <v>3374</v>
      </c>
      <c r="E3132" s="573" t="s">
        <v>152</v>
      </c>
      <c r="F3132" s="573" t="s">
        <v>3265</v>
      </c>
      <c r="G3132" s="573">
        <v>2019</v>
      </c>
      <c r="H3132" s="573" t="s">
        <v>5502</v>
      </c>
      <c r="I3132" s="573" t="s">
        <v>5396</v>
      </c>
      <c r="J3132" s="573" t="s">
        <v>3377</v>
      </c>
      <c r="K3132" s="573">
        <v>6</v>
      </c>
      <c r="L3132" s="573">
        <v>0</v>
      </c>
      <c r="M3132" s="573" t="s">
        <v>157</v>
      </c>
      <c r="N3132" s="573">
        <v>2</v>
      </c>
      <c r="O3132" s="573" t="s">
        <v>5405</v>
      </c>
      <c r="P3132" s="571">
        <v>10190</v>
      </c>
      <c r="Q3132" s="573" t="s">
        <v>5515</v>
      </c>
      <c r="R3132" s="573">
        <v>8</v>
      </c>
      <c r="S3132" s="582" t="s">
        <v>5406</v>
      </c>
      <c r="T3132" s="573" t="s">
        <v>5516</v>
      </c>
      <c r="U3132" s="573">
        <v>149</v>
      </c>
      <c r="V3132" s="573">
        <v>26</v>
      </c>
      <c r="W3132" s="616">
        <v>6350</v>
      </c>
      <c r="X3132" s="617">
        <v>16</v>
      </c>
      <c r="Y3132" s="617" t="s">
        <v>178</v>
      </c>
      <c r="Z3132" s="617" t="s">
        <v>178</v>
      </c>
      <c r="AA3132" s="618">
        <v>41585</v>
      </c>
      <c r="AB3132" s="618" t="s">
        <v>164</v>
      </c>
      <c r="AC3132" s="618">
        <v>26597</v>
      </c>
      <c r="AD3132" s="619">
        <v>6.25E-2</v>
      </c>
      <c r="AE3132" s="617" t="s">
        <v>5514</v>
      </c>
    </row>
    <row r="3133" spans="1:31" s="572" customFormat="1">
      <c r="A3133" s="570" t="s">
        <v>5517</v>
      </c>
      <c r="B3133" s="569" t="s">
        <v>226</v>
      </c>
      <c r="C3133" s="580" t="s">
        <v>227</v>
      </c>
      <c r="D3133" s="569" t="s">
        <v>3374</v>
      </c>
      <c r="E3133" s="569" t="s">
        <v>152</v>
      </c>
      <c r="F3133" s="569" t="s">
        <v>3265</v>
      </c>
      <c r="G3133" s="569">
        <v>2019</v>
      </c>
      <c r="H3133" s="569" t="s">
        <v>5502</v>
      </c>
      <c r="I3133" s="569" t="s">
        <v>5396</v>
      </c>
      <c r="J3133" s="569" t="s">
        <v>752</v>
      </c>
      <c r="K3133" s="569">
        <v>6</v>
      </c>
      <c r="L3133" s="569">
        <v>0</v>
      </c>
      <c r="M3133" s="569" t="s">
        <v>157</v>
      </c>
      <c r="N3133" s="569">
        <v>2</v>
      </c>
      <c r="O3133" s="569" t="s">
        <v>5405</v>
      </c>
      <c r="P3133" s="568">
        <v>7760</v>
      </c>
      <c r="Q3133" s="569" t="s">
        <v>5519</v>
      </c>
      <c r="R3133" s="569">
        <v>8</v>
      </c>
      <c r="S3133" s="569" t="s">
        <v>5409</v>
      </c>
      <c r="T3133" s="569" t="s">
        <v>5402</v>
      </c>
      <c r="U3133" s="569">
        <v>149</v>
      </c>
      <c r="V3133" s="569">
        <v>26</v>
      </c>
      <c r="W3133" s="620">
        <v>6900</v>
      </c>
      <c r="X3133" s="621">
        <v>17</v>
      </c>
      <c r="Y3133" s="621" t="s">
        <v>178</v>
      </c>
      <c r="Z3133" s="621" t="s">
        <v>178</v>
      </c>
      <c r="AA3133" s="622">
        <v>45090</v>
      </c>
      <c r="AB3133" s="622" t="s">
        <v>164</v>
      </c>
      <c r="AC3133" s="622">
        <v>29525</v>
      </c>
      <c r="AD3133" s="623">
        <v>6.25E-2</v>
      </c>
      <c r="AE3133" s="621" t="s">
        <v>5518</v>
      </c>
    </row>
    <row r="3134" spans="1:31" s="572" customFormat="1">
      <c r="A3134" s="570" t="s">
        <v>5520</v>
      </c>
      <c r="B3134" s="573" t="s">
        <v>3315</v>
      </c>
      <c r="C3134" s="578" t="s">
        <v>227</v>
      </c>
      <c r="D3134" s="573" t="s">
        <v>3374</v>
      </c>
      <c r="E3134" s="573" t="s">
        <v>152</v>
      </c>
      <c r="F3134" s="573" t="s">
        <v>3265</v>
      </c>
      <c r="G3134" s="573">
        <v>2019</v>
      </c>
      <c r="H3134" s="573" t="s">
        <v>5502</v>
      </c>
      <c r="I3134" s="573" t="s">
        <v>5396</v>
      </c>
      <c r="J3134" s="573" t="s">
        <v>752</v>
      </c>
      <c r="K3134" s="573">
        <v>6</v>
      </c>
      <c r="L3134" s="573">
        <v>0</v>
      </c>
      <c r="M3134" s="573" t="s">
        <v>157</v>
      </c>
      <c r="N3134" s="573">
        <v>2</v>
      </c>
      <c r="O3134" s="573" t="s">
        <v>5405</v>
      </c>
      <c r="P3134" s="571">
        <v>9810</v>
      </c>
      <c r="Q3134" s="573" t="s">
        <v>5522</v>
      </c>
      <c r="R3134" s="573">
        <v>8</v>
      </c>
      <c r="S3134" s="582" t="s">
        <v>5409</v>
      </c>
      <c r="T3134" s="573" t="s">
        <v>5402</v>
      </c>
      <c r="U3134" s="573">
        <v>149</v>
      </c>
      <c r="V3134" s="573">
        <v>26</v>
      </c>
      <c r="W3134" s="616">
        <v>6900</v>
      </c>
      <c r="X3134" s="617">
        <v>19</v>
      </c>
      <c r="Y3134" s="617" t="s">
        <v>178</v>
      </c>
      <c r="Z3134" s="617" t="s">
        <v>178</v>
      </c>
      <c r="AA3134" s="618">
        <v>45185</v>
      </c>
      <c r="AB3134" s="618" t="s">
        <v>164</v>
      </c>
      <c r="AC3134" s="618">
        <v>29620</v>
      </c>
      <c r="AD3134" s="619">
        <v>6.25E-2</v>
      </c>
      <c r="AE3134" s="617" t="s">
        <v>5521</v>
      </c>
    </row>
    <row r="3135" spans="1:31" s="572" customFormat="1">
      <c r="A3135" s="570" t="s">
        <v>5523</v>
      </c>
      <c r="B3135" s="569" t="s">
        <v>226</v>
      </c>
      <c r="C3135" s="580" t="s">
        <v>227</v>
      </c>
      <c r="D3135" s="569" t="s">
        <v>3374</v>
      </c>
      <c r="E3135" s="569" t="s">
        <v>152</v>
      </c>
      <c r="F3135" s="569" t="s">
        <v>3265</v>
      </c>
      <c r="G3135" s="569">
        <v>2019</v>
      </c>
      <c r="H3135" s="569" t="s">
        <v>5502</v>
      </c>
      <c r="I3135" s="569" t="s">
        <v>5412</v>
      </c>
      <c r="J3135" s="569" t="s">
        <v>752</v>
      </c>
      <c r="K3135" s="569">
        <v>6</v>
      </c>
      <c r="L3135" s="569">
        <v>0</v>
      </c>
      <c r="M3135" s="569" t="s">
        <v>157</v>
      </c>
      <c r="N3135" s="569">
        <v>2</v>
      </c>
      <c r="O3135" s="569" t="s">
        <v>5351</v>
      </c>
      <c r="P3135" s="568">
        <v>4250</v>
      </c>
      <c r="Q3135" s="569" t="s">
        <v>5503</v>
      </c>
      <c r="R3135" s="569">
        <v>6</v>
      </c>
      <c r="S3135" s="569" t="s">
        <v>5413</v>
      </c>
      <c r="T3135" s="569" t="s">
        <v>5398</v>
      </c>
      <c r="U3135" s="569">
        <v>140</v>
      </c>
      <c r="V3135" s="569">
        <v>26</v>
      </c>
      <c r="W3135" s="620">
        <v>6800</v>
      </c>
      <c r="X3135" s="621">
        <v>19</v>
      </c>
      <c r="Y3135" s="621" t="s">
        <v>450</v>
      </c>
      <c r="Z3135" s="621" t="s">
        <v>178</v>
      </c>
      <c r="AA3135" s="622">
        <v>43090</v>
      </c>
      <c r="AB3135" s="622" t="s">
        <v>164</v>
      </c>
      <c r="AC3135" s="622">
        <v>27788</v>
      </c>
      <c r="AD3135" s="623">
        <v>6.25E-2</v>
      </c>
      <c r="AE3135" s="621" t="s">
        <v>5524</v>
      </c>
    </row>
    <row r="3136" spans="1:31" s="572" customFormat="1">
      <c r="A3136" s="570" t="s">
        <v>5525</v>
      </c>
      <c r="B3136" s="573" t="s">
        <v>226</v>
      </c>
      <c r="C3136" s="578" t="s">
        <v>227</v>
      </c>
      <c r="D3136" s="573" t="s">
        <v>3374</v>
      </c>
      <c r="E3136" s="573" t="s">
        <v>152</v>
      </c>
      <c r="F3136" s="573" t="s">
        <v>3265</v>
      </c>
      <c r="G3136" s="573">
        <v>2019</v>
      </c>
      <c r="H3136" s="573" t="s">
        <v>5502</v>
      </c>
      <c r="I3136" s="573" t="s">
        <v>5412</v>
      </c>
      <c r="J3136" s="573" t="s">
        <v>752</v>
      </c>
      <c r="K3136" s="573">
        <v>6</v>
      </c>
      <c r="L3136" s="573">
        <v>0</v>
      </c>
      <c r="M3136" s="573" t="s">
        <v>157</v>
      </c>
      <c r="N3136" s="573">
        <v>2</v>
      </c>
      <c r="O3136" s="573" t="s">
        <v>5351</v>
      </c>
      <c r="P3136" s="571">
        <v>7990</v>
      </c>
      <c r="Q3136" s="573" t="s">
        <v>5509</v>
      </c>
      <c r="R3136" s="573">
        <v>8</v>
      </c>
      <c r="S3136" s="582" t="s">
        <v>5413</v>
      </c>
      <c r="T3136" s="573" t="s">
        <v>5402</v>
      </c>
      <c r="U3136" s="573">
        <v>140</v>
      </c>
      <c r="V3136" s="573">
        <v>26</v>
      </c>
      <c r="W3136" s="616">
        <v>6800</v>
      </c>
      <c r="X3136" s="617">
        <v>17</v>
      </c>
      <c r="Y3136" s="617" t="s">
        <v>178</v>
      </c>
      <c r="Z3136" s="617" t="s">
        <v>178</v>
      </c>
      <c r="AA3136" s="618">
        <v>45040</v>
      </c>
      <c r="AB3136" s="618" t="s">
        <v>164</v>
      </c>
      <c r="AC3136" s="618">
        <v>29522</v>
      </c>
      <c r="AD3136" s="619">
        <v>6.25E-2</v>
      </c>
      <c r="AE3136" s="617" t="s">
        <v>5526</v>
      </c>
    </row>
    <row r="3137" spans="1:31" s="572" customFormat="1">
      <c r="A3137" s="570" t="s">
        <v>5527</v>
      </c>
      <c r="B3137" s="569" t="s">
        <v>3315</v>
      </c>
      <c r="C3137" s="580" t="s">
        <v>227</v>
      </c>
      <c r="D3137" s="569" t="s">
        <v>3374</v>
      </c>
      <c r="E3137" s="569" t="s">
        <v>152</v>
      </c>
      <c r="F3137" s="569" t="s">
        <v>3265</v>
      </c>
      <c r="G3137" s="569">
        <v>2019</v>
      </c>
      <c r="H3137" s="569" t="s">
        <v>5502</v>
      </c>
      <c r="I3137" s="569" t="s">
        <v>5412</v>
      </c>
      <c r="J3137" s="569" t="s">
        <v>752</v>
      </c>
      <c r="K3137" s="569">
        <v>6</v>
      </c>
      <c r="L3137" s="569">
        <v>0</v>
      </c>
      <c r="M3137" s="569" t="s">
        <v>157</v>
      </c>
      <c r="N3137" s="569">
        <v>2</v>
      </c>
      <c r="O3137" s="569" t="s">
        <v>5351</v>
      </c>
      <c r="P3137" s="568">
        <v>10170</v>
      </c>
      <c r="Q3137" s="569" t="s">
        <v>5515</v>
      </c>
      <c r="R3137" s="569">
        <v>8</v>
      </c>
      <c r="S3137" s="569" t="s">
        <v>5413</v>
      </c>
      <c r="T3137" s="569" t="s">
        <v>5516</v>
      </c>
      <c r="U3137" s="569">
        <v>140</v>
      </c>
      <c r="V3137" s="569">
        <v>26</v>
      </c>
      <c r="W3137" s="620">
        <v>6800</v>
      </c>
      <c r="X3137" s="621">
        <v>19</v>
      </c>
      <c r="Y3137" s="621" t="s">
        <v>178</v>
      </c>
      <c r="Z3137" s="621" t="s">
        <v>178</v>
      </c>
      <c r="AA3137" s="622">
        <v>45135</v>
      </c>
      <c r="AB3137" s="622" t="s">
        <v>164</v>
      </c>
      <c r="AC3137" s="622">
        <v>29617</v>
      </c>
      <c r="AD3137" s="623">
        <v>6.25E-2</v>
      </c>
      <c r="AE3137" s="621" t="s">
        <v>5528</v>
      </c>
    </row>
    <row r="3138" spans="1:31" s="572" customFormat="1">
      <c r="A3138" s="570" t="s">
        <v>5529</v>
      </c>
      <c r="B3138" s="573" t="s">
        <v>3315</v>
      </c>
      <c r="C3138" s="578" t="s">
        <v>227</v>
      </c>
      <c r="D3138" s="573" t="s">
        <v>3374</v>
      </c>
      <c r="E3138" s="573" t="s">
        <v>152</v>
      </c>
      <c r="F3138" s="573" t="s">
        <v>3265</v>
      </c>
      <c r="G3138" s="573">
        <v>2019</v>
      </c>
      <c r="H3138" s="573" t="s">
        <v>5502</v>
      </c>
      <c r="I3138" s="573" t="s">
        <v>5412</v>
      </c>
      <c r="J3138" s="573" t="s">
        <v>752</v>
      </c>
      <c r="K3138" s="573">
        <v>6</v>
      </c>
      <c r="L3138" s="573">
        <v>0</v>
      </c>
      <c r="M3138" s="573" t="s">
        <v>157</v>
      </c>
      <c r="N3138" s="573">
        <v>2</v>
      </c>
      <c r="O3138" s="573" t="s">
        <v>5351</v>
      </c>
      <c r="P3138" s="571">
        <v>7250</v>
      </c>
      <c r="Q3138" s="573" t="s">
        <v>5531</v>
      </c>
      <c r="R3138" s="573">
        <v>6</v>
      </c>
      <c r="S3138" s="582" t="s">
        <v>5413</v>
      </c>
      <c r="T3138" s="573" t="s">
        <v>5398</v>
      </c>
      <c r="U3138" s="573">
        <v>140</v>
      </c>
      <c r="V3138" s="573">
        <v>26</v>
      </c>
      <c r="W3138" s="616">
        <v>6800</v>
      </c>
      <c r="X3138" s="617">
        <v>19</v>
      </c>
      <c r="Y3138" s="617" t="s">
        <v>450</v>
      </c>
      <c r="Z3138" s="617" t="s">
        <v>178</v>
      </c>
      <c r="AA3138" s="618">
        <v>43185</v>
      </c>
      <c r="AB3138" s="618" t="s">
        <v>164</v>
      </c>
      <c r="AC3138" s="618">
        <v>27883</v>
      </c>
      <c r="AD3138" s="619">
        <v>6.25E-2</v>
      </c>
      <c r="AE3138" s="617" t="s">
        <v>5530</v>
      </c>
    </row>
    <row r="3139" spans="1:31" s="572" customFormat="1">
      <c r="A3139" s="570" t="s">
        <v>5532</v>
      </c>
      <c r="B3139" s="569" t="s">
        <v>226</v>
      </c>
      <c r="C3139" s="580" t="s">
        <v>227</v>
      </c>
      <c r="D3139" s="569" t="s">
        <v>3374</v>
      </c>
      <c r="E3139" s="569" t="s">
        <v>152</v>
      </c>
      <c r="F3139" s="569" t="s">
        <v>3265</v>
      </c>
      <c r="G3139" s="569">
        <v>2019</v>
      </c>
      <c r="H3139" s="569" t="s">
        <v>5502</v>
      </c>
      <c r="I3139" s="569" t="s">
        <v>5418</v>
      </c>
      <c r="J3139" s="569" t="s">
        <v>3377</v>
      </c>
      <c r="K3139" s="569">
        <v>6</v>
      </c>
      <c r="L3139" s="569">
        <v>0</v>
      </c>
      <c r="M3139" s="569" t="s">
        <v>157</v>
      </c>
      <c r="N3139" s="569">
        <v>2</v>
      </c>
      <c r="O3139" s="569" t="s">
        <v>5405</v>
      </c>
      <c r="P3139" s="568">
        <v>4610</v>
      </c>
      <c r="Q3139" s="569" t="s">
        <v>5503</v>
      </c>
      <c r="R3139" s="569">
        <v>6</v>
      </c>
      <c r="S3139" s="569" t="s">
        <v>5419</v>
      </c>
      <c r="T3139" s="569" t="s">
        <v>5398</v>
      </c>
      <c r="U3139" s="569">
        <v>140</v>
      </c>
      <c r="V3139" s="569">
        <v>26</v>
      </c>
      <c r="W3139" s="620">
        <v>6700</v>
      </c>
      <c r="X3139" s="621">
        <v>20</v>
      </c>
      <c r="Y3139" s="621" t="s">
        <v>450</v>
      </c>
      <c r="Z3139" s="621" t="s">
        <v>178</v>
      </c>
      <c r="AA3139" s="622">
        <v>36840</v>
      </c>
      <c r="AB3139" s="622" t="s">
        <v>164</v>
      </c>
      <c r="AC3139" s="622">
        <v>23371</v>
      </c>
      <c r="AD3139" s="623">
        <v>6.25E-2</v>
      </c>
      <c r="AE3139" s="621" t="s">
        <v>5533</v>
      </c>
    </row>
    <row r="3140" spans="1:31" s="572" customFormat="1">
      <c r="A3140" s="570" t="s">
        <v>5534</v>
      </c>
      <c r="B3140" s="573" t="s">
        <v>226</v>
      </c>
      <c r="C3140" s="578" t="s">
        <v>227</v>
      </c>
      <c r="D3140" s="573" t="s">
        <v>3374</v>
      </c>
      <c r="E3140" s="573" t="s">
        <v>152</v>
      </c>
      <c r="F3140" s="573" t="s">
        <v>3265</v>
      </c>
      <c r="G3140" s="573">
        <v>2019</v>
      </c>
      <c r="H3140" s="573" t="s">
        <v>5502</v>
      </c>
      <c r="I3140" s="573" t="s">
        <v>5418</v>
      </c>
      <c r="J3140" s="573" t="s">
        <v>3377</v>
      </c>
      <c r="K3140" s="573">
        <v>6</v>
      </c>
      <c r="L3140" s="573">
        <v>0</v>
      </c>
      <c r="M3140" s="573" t="s">
        <v>157</v>
      </c>
      <c r="N3140" s="573">
        <v>2</v>
      </c>
      <c r="O3140" s="573" t="s">
        <v>5405</v>
      </c>
      <c r="P3140" s="571">
        <v>8160</v>
      </c>
      <c r="Q3140" s="573" t="s">
        <v>5509</v>
      </c>
      <c r="R3140" s="573">
        <v>8</v>
      </c>
      <c r="S3140" s="582" t="s">
        <v>5419</v>
      </c>
      <c r="T3140" s="573" t="s">
        <v>5402</v>
      </c>
      <c r="U3140" s="573">
        <v>140</v>
      </c>
      <c r="V3140" s="573">
        <v>26</v>
      </c>
      <c r="W3140" s="616">
        <v>6700</v>
      </c>
      <c r="X3140" s="617">
        <v>16</v>
      </c>
      <c r="Y3140" s="617" t="s">
        <v>178</v>
      </c>
      <c r="Z3140" s="617" t="s">
        <v>178</v>
      </c>
      <c r="AA3140" s="618">
        <v>38790</v>
      </c>
      <c r="AB3140" s="618" t="s">
        <v>164</v>
      </c>
      <c r="AC3140" s="618">
        <v>25105</v>
      </c>
      <c r="AD3140" s="619">
        <v>6.25E-2</v>
      </c>
      <c r="AE3140" s="617" t="s">
        <v>5535</v>
      </c>
    </row>
    <row r="3141" spans="1:31" s="572" customFormat="1">
      <c r="A3141" s="570" t="s">
        <v>5536</v>
      </c>
      <c r="B3141" s="569" t="s">
        <v>3315</v>
      </c>
      <c r="C3141" s="580" t="s">
        <v>227</v>
      </c>
      <c r="D3141" s="569" t="s">
        <v>3374</v>
      </c>
      <c r="E3141" s="569" t="s">
        <v>152</v>
      </c>
      <c r="F3141" s="569" t="s">
        <v>3265</v>
      </c>
      <c r="G3141" s="569">
        <v>2019</v>
      </c>
      <c r="H3141" s="569" t="s">
        <v>5502</v>
      </c>
      <c r="I3141" s="569" t="s">
        <v>5418</v>
      </c>
      <c r="J3141" s="569" t="s">
        <v>3377</v>
      </c>
      <c r="K3141" s="569">
        <v>6</v>
      </c>
      <c r="L3141" s="569">
        <v>0</v>
      </c>
      <c r="M3141" s="569" t="s">
        <v>157</v>
      </c>
      <c r="N3141" s="569">
        <v>2</v>
      </c>
      <c r="O3141" s="569" t="s">
        <v>5405</v>
      </c>
      <c r="P3141" s="568">
        <v>7600</v>
      </c>
      <c r="Q3141" s="569" t="s">
        <v>5531</v>
      </c>
      <c r="R3141" s="569">
        <v>6</v>
      </c>
      <c r="S3141" s="569" t="s">
        <v>5419</v>
      </c>
      <c r="T3141" s="569" t="s">
        <v>5398</v>
      </c>
      <c r="U3141" s="569">
        <v>140</v>
      </c>
      <c r="V3141" s="569">
        <v>26</v>
      </c>
      <c r="W3141" s="620">
        <v>6700</v>
      </c>
      <c r="X3141" s="621">
        <v>20</v>
      </c>
      <c r="Y3141" s="621" t="s">
        <v>450</v>
      </c>
      <c r="Z3141" s="621" t="s">
        <v>178</v>
      </c>
      <c r="AA3141" s="622">
        <v>36935</v>
      </c>
      <c r="AB3141" s="622" t="s">
        <v>164</v>
      </c>
      <c r="AC3141" s="622">
        <v>23466</v>
      </c>
      <c r="AD3141" s="623">
        <v>6.25E-2</v>
      </c>
      <c r="AE3141" s="621" t="s">
        <v>5537</v>
      </c>
    </row>
    <row r="3142" spans="1:31" s="572" customFormat="1">
      <c r="A3142" s="570" t="s">
        <v>5538</v>
      </c>
      <c r="B3142" s="573" t="s">
        <v>226</v>
      </c>
      <c r="C3142" s="578" t="s">
        <v>227</v>
      </c>
      <c r="D3142" s="573" t="s">
        <v>3374</v>
      </c>
      <c r="E3142" s="573" t="s">
        <v>152</v>
      </c>
      <c r="F3142" s="573" t="s">
        <v>3265</v>
      </c>
      <c r="G3142" s="573">
        <v>2019</v>
      </c>
      <c r="H3142" s="573" t="s">
        <v>5502</v>
      </c>
      <c r="I3142" s="573" t="s">
        <v>5418</v>
      </c>
      <c r="J3142" s="573" t="s">
        <v>752</v>
      </c>
      <c r="K3142" s="573">
        <v>6</v>
      </c>
      <c r="L3142" s="573">
        <v>0</v>
      </c>
      <c r="M3142" s="573" t="s">
        <v>157</v>
      </c>
      <c r="N3142" s="573">
        <v>2</v>
      </c>
      <c r="O3142" s="573" t="s">
        <v>5405</v>
      </c>
      <c r="P3142" s="571">
        <v>4430</v>
      </c>
      <c r="Q3142" s="573" t="s">
        <v>5503</v>
      </c>
      <c r="R3142" s="573">
        <v>6</v>
      </c>
      <c r="S3142" s="582" t="s">
        <v>5424</v>
      </c>
      <c r="T3142" s="573" t="s">
        <v>5398</v>
      </c>
      <c r="U3142" s="573">
        <v>140</v>
      </c>
      <c r="V3142" s="573">
        <v>26</v>
      </c>
      <c r="W3142" s="616">
        <v>6800</v>
      </c>
      <c r="X3142" s="617">
        <v>19</v>
      </c>
      <c r="Y3142" s="617" t="s">
        <v>450</v>
      </c>
      <c r="Z3142" s="617" t="s">
        <v>178</v>
      </c>
      <c r="AA3142" s="618">
        <v>40540</v>
      </c>
      <c r="AB3142" s="618" t="s">
        <v>164</v>
      </c>
      <c r="AC3142" s="618">
        <v>26582</v>
      </c>
      <c r="AD3142" s="619">
        <v>6.25E-2</v>
      </c>
      <c r="AE3142" s="617" t="s">
        <v>5539</v>
      </c>
    </row>
    <row r="3143" spans="1:31" s="572" customFormat="1">
      <c r="A3143" s="570" t="s">
        <v>5540</v>
      </c>
      <c r="B3143" s="569" t="s">
        <v>226</v>
      </c>
      <c r="C3143" s="580" t="s">
        <v>227</v>
      </c>
      <c r="D3143" s="569" t="s">
        <v>3374</v>
      </c>
      <c r="E3143" s="569" t="s">
        <v>152</v>
      </c>
      <c r="F3143" s="569" t="s">
        <v>3265</v>
      </c>
      <c r="G3143" s="569">
        <v>2019</v>
      </c>
      <c r="H3143" s="569" t="s">
        <v>5502</v>
      </c>
      <c r="I3143" s="569" t="s">
        <v>5418</v>
      </c>
      <c r="J3143" s="569" t="s">
        <v>752</v>
      </c>
      <c r="K3143" s="569">
        <v>6</v>
      </c>
      <c r="L3143" s="569">
        <v>0</v>
      </c>
      <c r="M3143" s="569" t="s">
        <v>157</v>
      </c>
      <c r="N3143" s="569">
        <v>2</v>
      </c>
      <c r="O3143" s="569" t="s">
        <v>5405</v>
      </c>
      <c r="P3143" s="568">
        <v>8040</v>
      </c>
      <c r="Q3143" s="569" t="s">
        <v>5542</v>
      </c>
      <c r="R3143" s="569">
        <v>8</v>
      </c>
      <c r="S3143" s="569" t="s">
        <v>5424</v>
      </c>
      <c r="T3143" s="569" t="s">
        <v>5402</v>
      </c>
      <c r="U3143" s="569">
        <v>140</v>
      </c>
      <c r="V3143" s="569">
        <v>26</v>
      </c>
      <c r="W3143" s="620">
        <v>6800</v>
      </c>
      <c r="X3143" s="621">
        <v>17</v>
      </c>
      <c r="Y3143" s="621" t="s">
        <v>178</v>
      </c>
      <c r="Z3143" s="621" t="s">
        <v>178</v>
      </c>
      <c r="AA3143" s="622">
        <v>42490</v>
      </c>
      <c r="AB3143" s="622" t="s">
        <v>164</v>
      </c>
      <c r="AC3143" s="622">
        <v>28315</v>
      </c>
      <c r="AD3143" s="623">
        <v>6.25E-2</v>
      </c>
      <c r="AE3143" s="621" t="s">
        <v>5541</v>
      </c>
    </row>
    <row r="3144" spans="1:31" s="572" customFormat="1">
      <c r="A3144" s="570" t="s">
        <v>5543</v>
      </c>
      <c r="B3144" s="573" t="s">
        <v>3315</v>
      </c>
      <c r="C3144" s="578" t="s">
        <v>227</v>
      </c>
      <c r="D3144" s="573" t="s">
        <v>3374</v>
      </c>
      <c r="E3144" s="573" t="s">
        <v>152</v>
      </c>
      <c r="F3144" s="573" t="s">
        <v>3265</v>
      </c>
      <c r="G3144" s="573">
        <v>2019</v>
      </c>
      <c r="H3144" s="573" t="s">
        <v>5502</v>
      </c>
      <c r="I3144" s="573" t="s">
        <v>5418</v>
      </c>
      <c r="J3144" s="573" t="s">
        <v>752</v>
      </c>
      <c r="K3144" s="573">
        <v>6</v>
      </c>
      <c r="L3144" s="573">
        <v>0</v>
      </c>
      <c r="M3144" s="573" t="s">
        <v>157</v>
      </c>
      <c r="N3144" s="573">
        <v>2</v>
      </c>
      <c r="O3144" s="573" t="s">
        <v>5405</v>
      </c>
      <c r="P3144" s="571">
        <v>10150</v>
      </c>
      <c r="Q3144" s="573" t="s">
        <v>5545</v>
      </c>
      <c r="R3144" s="573">
        <v>8</v>
      </c>
      <c r="S3144" s="582" t="s">
        <v>5424</v>
      </c>
      <c r="T3144" s="573" t="s">
        <v>5402</v>
      </c>
      <c r="U3144" s="573">
        <v>140</v>
      </c>
      <c r="V3144" s="573">
        <v>26</v>
      </c>
      <c r="W3144" s="616">
        <v>6800</v>
      </c>
      <c r="X3144" s="617">
        <v>19</v>
      </c>
      <c r="Y3144" s="617" t="s">
        <v>178</v>
      </c>
      <c r="Z3144" s="617" t="s">
        <v>178</v>
      </c>
      <c r="AA3144" s="618">
        <v>42585</v>
      </c>
      <c r="AB3144" s="618" t="s">
        <v>164</v>
      </c>
      <c r="AC3144" s="618">
        <v>28410</v>
      </c>
      <c r="AD3144" s="619">
        <v>6.25E-2</v>
      </c>
      <c r="AE3144" s="617" t="s">
        <v>5544</v>
      </c>
    </row>
    <row r="3145" spans="1:31" s="572" customFormat="1">
      <c r="A3145" s="570" t="s">
        <v>5546</v>
      </c>
      <c r="B3145" s="569" t="s">
        <v>3315</v>
      </c>
      <c r="C3145" s="580" t="s">
        <v>227</v>
      </c>
      <c r="D3145" s="569" t="s">
        <v>3374</v>
      </c>
      <c r="E3145" s="569" t="s">
        <v>152</v>
      </c>
      <c r="F3145" s="569" t="s">
        <v>3265</v>
      </c>
      <c r="G3145" s="569">
        <v>2019</v>
      </c>
      <c r="H3145" s="569" t="s">
        <v>5502</v>
      </c>
      <c r="I3145" s="569" t="s">
        <v>5418</v>
      </c>
      <c r="J3145" s="569" t="s">
        <v>752</v>
      </c>
      <c r="K3145" s="569">
        <v>6</v>
      </c>
      <c r="L3145" s="569">
        <v>0</v>
      </c>
      <c r="M3145" s="569" t="s">
        <v>157</v>
      </c>
      <c r="N3145" s="569">
        <v>2</v>
      </c>
      <c r="O3145" s="569" t="s">
        <v>5405</v>
      </c>
      <c r="P3145" s="568">
        <v>7430</v>
      </c>
      <c r="Q3145" s="569" t="s">
        <v>5531</v>
      </c>
      <c r="R3145" s="569">
        <v>6</v>
      </c>
      <c r="S3145" s="569" t="s">
        <v>5424</v>
      </c>
      <c r="T3145" s="569" t="s">
        <v>5398</v>
      </c>
      <c r="U3145" s="569">
        <v>140</v>
      </c>
      <c r="V3145" s="569">
        <v>26</v>
      </c>
      <c r="W3145" s="620">
        <v>6800</v>
      </c>
      <c r="X3145" s="621">
        <v>19</v>
      </c>
      <c r="Y3145" s="621" t="s">
        <v>450</v>
      </c>
      <c r="Z3145" s="621" t="s">
        <v>178</v>
      </c>
      <c r="AA3145" s="622">
        <v>40635</v>
      </c>
      <c r="AB3145" s="622" t="s">
        <v>164</v>
      </c>
      <c r="AC3145" s="622">
        <v>26677</v>
      </c>
      <c r="AD3145" s="623">
        <v>6.25E-2</v>
      </c>
      <c r="AE3145" s="621" t="s">
        <v>5547</v>
      </c>
    </row>
    <row r="3146" spans="1:31" s="572" customFormat="1">
      <c r="A3146" s="570" t="s">
        <v>5548</v>
      </c>
      <c r="B3146" s="573" t="s">
        <v>226</v>
      </c>
      <c r="C3146" s="578" t="s">
        <v>227</v>
      </c>
      <c r="D3146" s="573" t="s">
        <v>3374</v>
      </c>
      <c r="E3146" s="573" t="s">
        <v>152</v>
      </c>
      <c r="F3146" s="573" t="s">
        <v>3265</v>
      </c>
      <c r="G3146" s="573">
        <v>2019</v>
      </c>
      <c r="H3146" s="573" t="s">
        <v>5502</v>
      </c>
      <c r="I3146" s="573" t="s">
        <v>5429</v>
      </c>
      <c r="J3146" s="573" t="s">
        <v>3377</v>
      </c>
      <c r="K3146" s="573">
        <v>3</v>
      </c>
      <c r="L3146" s="573">
        <v>0</v>
      </c>
      <c r="M3146" s="573" t="s">
        <v>157</v>
      </c>
      <c r="N3146" s="573">
        <v>1</v>
      </c>
      <c r="O3146" s="573" t="s">
        <v>5405</v>
      </c>
      <c r="P3146" s="571">
        <v>4940</v>
      </c>
      <c r="Q3146" s="573" t="s">
        <v>5503</v>
      </c>
      <c r="R3146" s="573">
        <v>6</v>
      </c>
      <c r="S3146" s="582" t="s">
        <v>5430</v>
      </c>
      <c r="T3146" s="573" t="s">
        <v>5398</v>
      </c>
      <c r="U3146" s="573">
        <v>120</v>
      </c>
      <c r="V3146" s="573">
        <v>26</v>
      </c>
      <c r="W3146" s="616">
        <v>6025</v>
      </c>
      <c r="X3146" s="617">
        <v>20</v>
      </c>
      <c r="Y3146" s="617" t="s">
        <v>450</v>
      </c>
      <c r="Z3146" s="617" t="s">
        <v>178</v>
      </c>
      <c r="AA3146" s="618">
        <v>33090</v>
      </c>
      <c r="AB3146" s="618" t="s">
        <v>164</v>
      </c>
      <c r="AC3146" s="618">
        <v>23549</v>
      </c>
      <c r="AD3146" s="619">
        <v>6.25E-2</v>
      </c>
      <c r="AE3146" s="617" t="s">
        <v>5549</v>
      </c>
    </row>
    <row r="3147" spans="1:31" s="572" customFormat="1">
      <c r="A3147" s="570" t="s">
        <v>5550</v>
      </c>
      <c r="B3147" s="569" t="s">
        <v>226</v>
      </c>
      <c r="C3147" s="580" t="s">
        <v>227</v>
      </c>
      <c r="D3147" s="569" t="s">
        <v>3374</v>
      </c>
      <c r="E3147" s="569" t="s">
        <v>152</v>
      </c>
      <c r="F3147" s="569" t="s">
        <v>3265</v>
      </c>
      <c r="G3147" s="569">
        <v>2019</v>
      </c>
      <c r="H3147" s="569" t="s">
        <v>5502</v>
      </c>
      <c r="I3147" s="569" t="s">
        <v>5429</v>
      </c>
      <c r="J3147" s="569" t="s">
        <v>3377</v>
      </c>
      <c r="K3147" s="569">
        <v>3</v>
      </c>
      <c r="L3147" s="569">
        <v>0</v>
      </c>
      <c r="M3147" s="569" t="s">
        <v>157</v>
      </c>
      <c r="N3147" s="569">
        <v>1</v>
      </c>
      <c r="O3147" s="569" t="s">
        <v>5405</v>
      </c>
      <c r="P3147" s="568">
        <v>8660</v>
      </c>
      <c r="Q3147" s="569" t="s">
        <v>5509</v>
      </c>
      <c r="R3147" s="569">
        <v>8</v>
      </c>
      <c r="S3147" s="569" t="s">
        <v>5430</v>
      </c>
      <c r="T3147" s="569" t="s">
        <v>5402</v>
      </c>
      <c r="U3147" s="569">
        <v>120</v>
      </c>
      <c r="V3147" s="569">
        <v>26</v>
      </c>
      <c r="W3147" s="620">
        <v>6350</v>
      </c>
      <c r="X3147" s="621">
        <v>16</v>
      </c>
      <c r="Y3147" s="621" t="s">
        <v>178</v>
      </c>
      <c r="Z3147" s="621" t="s">
        <v>178</v>
      </c>
      <c r="AA3147" s="622">
        <v>35040</v>
      </c>
      <c r="AB3147" s="622" t="s">
        <v>164</v>
      </c>
      <c r="AC3147" s="622">
        <v>24273</v>
      </c>
      <c r="AD3147" s="623">
        <v>6.25E-2</v>
      </c>
      <c r="AE3147" s="621" t="s">
        <v>5551</v>
      </c>
    </row>
    <row r="3148" spans="1:31" s="572" customFormat="1">
      <c r="A3148" s="570" t="s">
        <v>5552</v>
      </c>
      <c r="B3148" s="573" t="s">
        <v>226</v>
      </c>
      <c r="C3148" s="578" t="s">
        <v>227</v>
      </c>
      <c r="D3148" s="573" t="s">
        <v>3374</v>
      </c>
      <c r="E3148" s="573" t="s">
        <v>152</v>
      </c>
      <c r="F3148" s="573" t="s">
        <v>3265</v>
      </c>
      <c r="G3148" s="573">
        <v>2019</v>
      </c>
      <c r="H3148" s="573" t="s">
        <v>5502</v>
      </c>
      <c r="I3148" s="573" t="s">
        <v>5429</v>
      </c>
      <c r="J3148" s="573" t="s">
        <v>3377</v>
      </c>
      <c r="K3148" s="573">
        <v>3</v>
      </c>
      <c r="L3148" s="573">
        <v>0</v>
      </c>
      <c r="M3148" s="573" t="s">
        <v>157</v>
      </c>
      <c r="N3148" s="573">
        <v>1</v>
      </c>
      <c r="O3148" s="573" t="s">
        <v>3846</v>
      </c>
      <c r="P3148" s="571">
        <v>4770</v>
      </c>
      <c r="Q3148" s="573" t="s">
        <v>5503</v>
      </c>
      <c r="R3148" s="573">
        <v>6</v>
      </c>
      <c r="S3148" s="582" t="s">
        <v>5435</v>
      </c>
      <c r="T3148" s="573" t="s">
        <v>5398</v>
      </c>
      <c r="U3148" s="573">
        <v>140</v>
      </c>
      <c r="V3148" s="573">
        <v>32</v>
      </c>
      <c r="W3148" s="616">
        <v>6600</v>
      </c>
      <c r="X3148" s="617">
        <v>20</v>
      </c>
      <c r="Y3148" s="617" t="s">
        <v>450</v>
      </c>
      <c r="Z3148" s="617" t="s">
        <v>178</v>
      </c>
      <c r="AA3148" s="618">
        <v>33390</v>
      </c>
      <c r="AB3148" s="618" t="s">
        <v>164</v>
      </c>
      <c r="AC3148" s="618">
        <v>23810</v>
      </c>
      <c r="AD3148" s="619">
        <v>6.25E-2</v>
      </c>
      <c r="AE3148" s="617" t="s">
        <v>5553</v>
      </c>
    </row>
    <row r="3149" spans="1:31" s="572" customFormat="1">
      <c r="A3149" s="570" t="s">
        <v>5554</v>
      </c>
      <c r="B3149" s="569" t="s">
        <v>226</v>
      </c>
      <c r="C3149" s="580" t="s">
        <v>227</v>
      </c>
      <c r="D3149" s="569" t="s">
        <v>3374</v>
      </c>
      <c r="E3149" s="569" t="s">
        <v>152</v>
      </c>
      <c r="F3149" s="569" t="s">
        <v>3265</v>
      </c>
      <c r="G3149" s="569">
        <v>2019</v>
      </c>
      <c r="H3149" s="569" t="s">
        <v>5502</v>
      </c>
      <c r="I3149" s="569" t="s">
        <v>5429</v>
      </c>
      <c r="J3149" s="569" t="s">
        <v>3377</v>
      </c>
      <c r="K3149" s="569">
        <v>3</v>
      </c>
      <c r="L3149" s="569">
        <v>0</v>
      </c>
      <c r="M3149" s="569" t="s">
        <v>157</v>
      </c>
      <c r="N3149" s="569">
        <v>1</v>
      </c>
      <c r="O3149" s="569" t="s">
        <v>3846</v>
      </c>
      <c r="P3149" s="568">
        <v>8450</v>
      </c>
      <c r="Q3149" s="569" t="s">
        <v>5509</v>
      </c>
      <c r="R3149" s="569">
        <v>8</v>
      </c>
      <c r="S3149" s="569" t="s">
        <v>5435</v>
      </c>
      <c r="T3149" s="569" t="s">
        <v>5402</v>
      </c>
      <c r="U3149" s="569">
        <v>140</v>
      </c>
      <c r="V3149" s="569">
        <v>32</v>
      </c>
      <c r="W3149" s="620">
        <v>6600</v>
      </c>
      <c r="X3149" s="621">
        <v>17</v>
      </c>
      <c r="Y3149" s="621" t="s">
        <v>178</v>
      </c>
      <c r="Z3149" s="621" t="s">
        <v>178</v>
      </c>
      <c r="AA3149" s="622">
        <v>35340</v>
      </c>
      <c r="AB3149" s="622" t="s">
        <v>164</v>
      </c>
      <c r="AC3149" s="622">
        <v>24534</v>
      </c>
      <c r="AD3149" s="623">
        <v>6.25E-2</v>
      </c>
      <c r="AE3149" s="621" t="s">
        <v>5555</v>
      </c>
    </row>
    <row r="3150" spans="1:31" s="572" customFormat="1">
      <c r="A3150" s="570" t="s">
        <v>5556</v>
      </c>
      <c r="B3150" s="573" t="s">
        <v>3315</v>
      </c>
      <c r="C3150" s="578" t="s">
        <v>227</v>
      </c>
      <c r="D3150" s="573" t="s">
        <v>3374</v>
      </c>
      <c r="E3150" s="573" t="s">
        <v>152</v>
      </c>
      <c r="F3150" s="573" t="s">
        <v>3265</v>
      </c>
      <c r="G3150" s="573">
        <v>2019</v>
      </c>
      <c r="H3150" s="573" t="s">
        <v>5502</v>
      </c>
      <c r="I3150" s="573" t="s">
        <v>5429</v>
      </c>
      <c r="J3150" s="573" t="s">
        <v>3377</v>
      </c>
      <c r="K3150" s="573">
        <v>3</v>
      </c>
      <c r="L3150" s="573">
        <v>0</v>
      </c>
      <c r="M3150" s="573" t="s">
        <v>157</v>
      </c>
      <c r="N3150" s="573">
        <v>1</v>
      </c>
      <c r="O3150" s="573" t="s">
        <v>5405</v>
      </c>
      <c r="P3150" s="571">
        <v>7240</v>
      </c>
      <c r="Q3150" s="573" t="s">
        <v>5531</v>
      </c>
      <c r="R3150" s="573">
        <v>6</v>
      </c>
      <c r="S3150" s="582" t="s">
        <v>5430</v>
      </c>
      <c r="T3150" s="573" t="s">
        <v>5398</v>
      </c>
      <c r="U3150" s="573">
        <v>120</v>
      </c>
      <c r="V3150" s="573">
        <v>26</v>
      </c>
      <c r="W3150" s="616">
        <v>6025</v>
      </c>
      <c r="X3150" s="617">
        <v>20</v>
      </c>
      <c r="Y3150" s="617" t="s">
        <v>450</v>
      </c>
      <c r="Z3150" s="617" t="s">
        <v>178</v>
      </c>
      <c r="AA3150" s="618">
        <v>33185</v>
      </c>
      <c r="AB3150" s="618" t="s">
        <v>164</v>
      </c>
      <c r="AC3150" s="618">
        <v>23644</v>
      </c>
      <c r="AD3150" s="619">
        <v>6.25E-2</v>
      </c>
      <c r="AE3150" s="617" t="s">
        <v>5557</v>
      </c>
    </row>
    <row r="3151" spans="1:31" s="572" customFormat="1">
      <c r="A3151" s="570" t="s">
        <v>5558</v>
      </c>
      <c r="B3151" s="569" t="s">
        <v>3315</v>
      </c>
      <c r="C3151" s="580" t="s">
        <v>227</v>
      </c>
      <c r="D3151" s="569" t="s">
        <v>3374</v>
      </c>
      <c r="E3151" s="569" t="s">
        <v>152</v>
      </c>
      <c r="F3151" s="569" t="s">
        <v>3265</v>
      </c>
      <c r="G3151" s="569">
        <v>2019</v>
      </c>
      <c r="H3151" s="569" t="s">
        <v>5502</v>
      </c>
      <c r="I3151" s="569" t="s">
        <v>5429</v>
      </c>
      <c r="J3151" s="569" t="s">
        <v>3377</v>
      </c>
      <c r="K3151" s="569">
        <v>3</v>
      </c>
      <c r="L3151" s="569">
        <v>0</v>
      </c>
      <c r="M3151" s="569" t="s">
        <v>157</v>
      </c>
      <c r="N3151" s="569">
        <v>1</v>
      </c>
      <c r="O3151" s="569" t="s">
        <v>3846</v>
      </c>
      <c r="P3151" s="568">
        <v>10620</v>
      </c>
      <c r="Q3151" s="569" t="s">
        <v>5515</v>
      </c>
      <c r="R3151" s="569">
        <v>8</v>
      </c>
      <c r="S3151" s="569" t="s">
        <v>5435</v>
      </c>
      <c r="T3151" s="569" t="s">
        <v>5516</v>
      </c>
      <c r="U3151" s="569">
        <v>140</v>
      </c>
      <c r="V3151" s="569">
        <v>26</v>
      </c>
      <c r="W3151" s="620">
        <v>6600</v>
      </c>
      <c r="X3151" s="621">
        <v>16</v>
      </c>
      <c r="Y3151" s="621" t="s">
        <v>178</v>
      </c>
      <c r="Z3151" s="621" t="s">
        <v>178</v>
      </c>
      <c r="AA3151" s="622">
        <v>35435</v>
      </c>
      <c r="AB3151" s="622" t="s">
        <v>164</v>
      </c>
      <c r="AC3151" s="622">
        <v>24629</v>
      </c>
      <c r="AD3151" s="623">
        <v>6.25E-2</v>
      </c>
      <c r="AE3151" s="621" t="s">
        <v>5559</v>
      </c>
    </row>
    <row r="3152" spans="1:31" s="572" customFormat="1">
      <c r="A3152" s="570" t="s">
        <v>5560</v>
      </c>
      <c r="B3152" s="573" t="s">
        <v>3315</v>
      </c>
      <c r="C3152" s="578" t="s">
        <v>227</v>
      </c>
      <c r="D3152" s="573" t="s">
        <v>3374</v>
      </c>
      <c r="E3152" s="573" t="s">
        <v>152</v>
      </c>
      <c r="F3152" s="573" t="s">
        <v>3265</v>
      </c>
      <c r="G3152" s="573">
        <v>2019</v>
      </c>
      <c r="H3152" s="573" t="s">
        <v>5502</v>
      </c>
      <c r="I3152" s="573" t="s">
        <v>5429</v>
      </c>
      <c r="J3152" s="573" t="s">
        <v>3377</v>
      </c>
      <c r="K3152" s="573">
        <v>3</v>
      </c>
      <c r="L3152" s="573">
        <v>0</v>
      </c>
      <c r="M3152" s="573" t="s">
        <v>157</v>
      </c>
      <c r="N3152" s="573">
        <v>1</v>
      </c>
      <c r="O3152" s="573" t="s">
        <v>3846</v>
      </c>
      <c r="P3152" s="571">
        <v>7260</v>
      </c>
      <c r="Q3152" s="573" t="s">
        <v>5531</v>
      </c>
      <c r="R3152" s="573">
        <v>6</v>
      </c>
      <c r="S3152" s="582" t="s">
        <v>5435</v>
      </c>
      <c r="T3152" s="573" t="s">
        <v>5398</v>
      </c>
      <c r="U3152" s="573">
        <v>140</v>
      </c>
      <c r="V3152" s="573">
        <v>26</v>
      </c>
      <c r="W3152" s="616">
        <v>6600</v>
      </c>
      <c r="X3152" s="617">
        <v>20</v>
      </c>
      <c r="Y3152" s="617" t="s">
        <v>450</v>
      </c>
      <c r="Z3152" s="617" t="s">
        <v>178</v>
      </c>
      <c r="AA3152" s="618">
        <v>33485</v>
      </c>
      <c r="AB3152" s="618" t="s">
        <v>164</v>
      </c>
      <c r="AC3152" s="618">
        <v>23905</v>
      </c>
      <c r="AD3152" s="619">
        <v>6.25E-2</v>
      </c>
      <c r="AE3152" s="617" t="s">
        <v>5561</v>
      </c>
    </row>
    <row r="3153" spans="1:31" s="572" customFormat="1">
      <c r="A3153" s="570" t="s">
        <v>5562</v>
      </c>
      <c r="B3153" s="569" t="s">
        <v>226</v>
      </c>
      <c r="C3153" s="580" t="s">
        <v>227</v>
      </c>
      <c r="D3153" s="569" t="s">
        <v>3374</v>
      </c>
      <c r="E3153" s="569" t="s">
        <v>152</v>
      </c>
      <c r="F3153" s="569" t="s">
        <v>3265</v>
      </c>
      <c r="G3153" s="569">
        <v>2019</v>
      </c>
      <c r="H3153" s="569" t="s">
        <v>5502</v>
      </c>
      <c r="I3153" s="569" t="s">
        <v>5429</v>
      </c>
      <c r="J3153" s="569" t="s">
        <v>752</v>
      </c>
      <c r="K3153" s="569">
        <v>3</v>
      </c>
      <c r="L3153" s="569">
        <v>0</v>
      </c>
      <c r="M3153" s="569" t="s">
        <v>157</v>
      </c>
      <c r="N3153" s="569">
        <v>1</v>
      </c>
      <c r="O3153" s="569" t="s">
        <v>5405</v>
      </c>
      <c r="P3153" s="568">
        <v>4740</v>
      </c>
      <c r="Q3153" s="569" t="s">
        <v>5503</v>
      </c>
      <c r="R3153" s="569">
        <v>6</v>
      </c>
      <c r="S3153" s="569" t="s">
        <v>5440</v>
      </c>
      <c r="T3153" s="569" t="s">
        <v>5398</v>
      </c>
      <c r="U3153" s="569">
        <v>120</v>
      </c>
      <c r="V3153" s="569">
        <v>26</v>
      </c>
      <c r="W3153" s="620">
        <v>6300</v>
      </c>
      <c r="X3153" s="621">
        <v>19</v>
      </c>
      <c r="Y3153" s="621" t="s">
        <v>450</v>
      </c>
      <c r="Z3153" s="621" t="s">
        <v>178</v>
      </c>
      <c r="AA3153" s="622">
        <v>37590</v>
      </c>
      <c r="AB3153" s="622" t="s">
        <v>164</v>
      </c>
      <c r="AC3153" s="622">
        <v>25536</v>
      </c>
      <c r="AD3153" s="623">
        <v>6.25E-2</v>
      </c>
      <c r="AE3153" s="621" t="s">
        <v>5563</v>
      </c>
    </row>
    <row r="3154" spans="1:31" s="572" customFormat="1">
      <c r="A3154" s="570" t="s">
        <v>5564</v>
      </c>
      <c r="B3154" s="573" t="s">
        <v>226</v>
      </c>
      <c r="C3154" s="578" t="s">
        <v>227</v>
      </c>
      <c r="D3154" s="573" t="s">
        <v>3374</v>
      </c>
      <c r="E3154" s="573" t="s">
        <v>152</v>
      </c>
      <c r="F3154" s="573" t="s">
        <v>3265</v>
      </c>
      <c r="G3154" s="573">
        <v>2019</v>
      </c>
      <c r="H3154" s="573" t="s">
        <v>5502</v>
      </c>
      <c r="I3154" s="573" t="s">
        <v>5429</v>
      </c>
      <c r="J3154" s="573" t="s">
        <v>752</v>
      </c>
      <c r="K3154" s="573">
        <v>3</v>
      </c>
      <c r="L3154" s="573">
        <v>0</v>
      </c>
      <c r="M3154" s="573" t="s">
        <v>157</v>
      </c>
      <c r="N3154" s="573">
        <v>1</v>
      </c>
      <c r="O3154" s="573" t="s">
        <v>5405</v>
      </c>
      <c r="P3154" s="571">
        <v>8380</v>
      </c>
      <c r="Q3154" s="573" t="s">
        <v>5509</v>
      </c>
      <c r="R3154" s="573">
        <v>8</v>
      </c>
      <c r="S3154" s="582" t="s">
        <v>5440</v>
      </c>
      <c r="T3154" s="573" t="s">
        <v>5402</v>
      </c>
      <c r="U3154" s="573">
        <v>120</v>
      </c>
      <c r="V3154" s="573">
        <v>26</v>
      </c>
      <c r="W3154" s="616">
        <v>6350</v>
      </c>
      <c r="X3154" s="617">
        <v>19</v>
      </c>
      <c r="Y3154" s="617" t="s">
        <v>178</v>
      </c>
      <c r="Z3154" s="617" t="s">
        <v>178</v>
      </c>
      <c r="AA3154" s="618">
        <v>39540</v>
      </c>
      <c r="AB3154" s="618" t="s">
        <v>164</v>
      </c>
      <c r="AC3154" s="618">
        <v>26422</v>
      </c>
      <c r="AD3154" s="619">
        <v>6.25E-2</v>
      </c>
      <c r="AE3154" s="617" t="s">
        <v>5565</v>
      </c>
    </row>
    <row r="3155" spans="1:31" s="572" customFormat="1">
      <c r="A3155" s="570" t="s">
        <v>5566</v>
      </c>
      <c r="B3155" s="569" t="s">
        <v>226</v>
      </c>
      <c r="C3155" s="580" t="s">
        <v>227</v>
      </c>
      <c r="D3155" s="569" t="s">
        <v>3374</v>
      </c>
      <c r="E3155" s="569" t="s">
        <v>152</v>
      </c>
      <c r="F3155" s="569" t="s">
        <v>3265</v>
      </c>
      <c r="G3155" s="569">
        <v>2019</v>
      </c>
      <c r="H3155" s="569" t="s">
        <v>5502</v>
      </c>
      <c r="I3155" s="569" t="s">
        <v>5429</v>
      </c>
      <c r="J3155" s="569" t="s">
        <v>752</v>
      </c>
      <c r="K3155" s="569">
        <v>3</v>
      </c>
      <c r="L3155" s="569">
        <v>0</v>
      </c>
      <c r="M3155" s="569" t="s">
        <v>157</v>
      </c>
      <c r="N3155" s="569">
        <v>1</v>
      </c>
      <c r="O3155" s="569" t="s">
        <v>3846</v>
      </c>
      <c r="P3155" s="568">
        <v>4570</v>
      </c>
      <c r="Q3155" s="569" t="s">
        <v>5503</v>
      </c>
      <c r="R3155" s="569">
        <v>6</v>
      </c>
      <c r="S3155" s="569" t="s">
        <v>5445</v>
      </c>
      <c r="T3155" s="569" t="s">
        <v>5398</v>
      </c>
      <c r="U3155" s="569">
        <v>140</v>
      </c>
      <c r="V3155" s="569">
        <v>26</v>
      </c>
      <c r="W3155" s="620">
        <v>6600</v>
      </c>
      <c r="X3155" s="621">
        <v>19</v>
      </c>
      <c r="Y3155" s="621" t="s">
        <v>450</v>
      </c>
      <c r="Z3155" s="621" t="s">
        <v>178</v>
      </c>
      <c r="AA3155" s="622">
        <v>37890</v>
      </c>
      <c r="AB3155" s="622" t="s">
        <v>164</v>
      </c>
      <c r="AC3155" s="622">
        <v>25796</v>
      </c>
      <c r="AD3155" s="623">
        <v>6.25E-2</v>
      </c>
      <c r="AE3155" s="621" t="s">
        <v>5567</v>
      </c>
    </row>
    <row r="3156" spans="1:31" s="572" customFormat="1">
      <c r="A3156" s="570" t="s">
        <v>5568</v>
      </c>
      <c r="B3156" s="573" t="s">
        <v>226</v>
      </c>
      <c r="C3156" s="578" t="s">
        <v>227</v>
      </c>
      <c r="D3156" s="573" t="s">
        <v>3374</v>
      </c>
      <c r="E3156" s="573" t="s">
        <v>152</v>
      </c>
      <c r="F3156" s="573" t="s">
        <v>3265</v>
      </c>
      <c r="G3156" s="573">
        <v>2019</v>
      </c>
      <c r="H3156" s="573" t="s">
        <v>5502</v>
      </c>
      <c r="I3156" s="573" t="s">
        <v>5429</v>
      </c>
      <c r="J3156" s="573" t="s">
        <v>752</v>
      </c>
      <c r="K3156" s="573">
        <v>3</v>
      </c>
      <c r="L3156" s="573">
        <v>0</v>
      </c>
      <c r="M3156" s="573" t="s">
        <v>157</v>
      </c>
      <c r="N3156" s="573">
        <v>1</v>
      </c>
      <c r="O3156" s="573" t="s">
        <v>3846</v>
      </c>
      <c r="P3156" s="571">
        <v>8250</v>
      </c>
      <c r="Q3156" s="573" t="s">
        <v>5509</v>
      </c>
      <c r="R3156" s="573">
        <v>8</v>
      </c>
      <c r="S3156" s="582" t="s">
        <v>5445</v>
      </c>
      <c r="T3156" s="573" t="s">
        <v>5402</v>
      </c>
      <c r="U3156" s="573">
        <v>140</v>
      </c>
      <c r="V3156" s="573">
        <v>26</v>
      </c>
      <c r="W3156" s="616">
        <v>6600</v>
      </c>
      <c r="X3156" s="617">
        <v>17</v>
      </c>
      <c r="Y3156" s="617" t="s">
        <v>178</v>
      </c>
      <c r="Z3156" s="617" t="s">
        <v>178</v>
      </c>
      <c r="AA3156" s="618">
        <v>39840</v>
      </c>
      <c r="AB3156" s="618" t="s">
        <v>164</v>
      </c>
      <c r="AC3156" s="618">
        <v>26682</v>
      </c>
      <c r="AD3156" s="619">
        <v>6.25E-2</v>
      </c>
      <c r="AE3156" s="617" t="s">
        <v>5569</v>
      </c>
    </row>
    <row r="3157" spans="1:31" s="572" customFormat="1">
      <c r="A3157" s="570" t="s">
        <v>5570</v>
      </c>
      <c r="B3157" s="569" t="s">
        <v>3315</v>
      </c>
      <c r="C3157" s="580" t="s">
        <v>227</v>
      </c>
      <c r="D3157" s="569" t="s">
        <v>3374</v>
      </c>
      <c r="E3157" s="569" t="s">
        <v>152</v>
      </c>
      <c r="F3157" s="569" t="s">
        <v>3265</v>
      </c>
      <c r="G3157" s="569">
        <v>2019</v>
      </c>
      <c r="H3157" s="569" t="s">
        <v>5502</v>
      </c>
      <c r="I3157" s="569" t="s">
        <v>5429</v>
      </c>
      <c r="J3157" s="569" t="s">
        <v>752</v>
      </c>
      <c r="K3157" s="569">
        <v>3</v>
      </c>
      <c r="L3157" s="569">
        <v>0</v>
      </c>
      <c r="M3157" s="569" t="s">
        <v>157</v>
      </c>
      <c r="N3157" s="569">
        <v>1</v>
      </c>
      <c r="O3157" s="569" t="s">
        <v>5405</v>
      </c>
      <c r="P3157" s="568">
        <v>7030</v>
      </c>
      <c r="Q3157" s="569" t="s">
        <v>5531</v>
      </c>
      <c r="R3157" s="569">
        <v>6</v>
      </c>
      <c r="S3157" s="569" t="s">
        <v>5440</v>
      </c>
      <c r="T3157" s="569" t="s">
        <v>5398</v>
      </c>
      <c r="U3157" s="569">
        <v>120</v>
      </c>
      <c r="V3157" s="569">
        <v>26</v>
      </c>
      <c r="W3157" s="620">
        <v>6300</v>
      </c>
      <c r="X3157" s="621">
        <v>19</v>
      </c>
      <c r="Y3157" s="621" t="s">
        <v>450</v>
      </c>
      <c r="Z3157" s="621" t="s">
        <v>178</v>
      </c>
      <c r="AA3157" s="622">
        <v>37685</v>
      </c>
      <c r="AB3157" s="622" t="s">
        <v>164</v>
      </c>
      <c r="AC3157" s="622">
        <v>25631</v>
      </c>
      <c r="AD3157" s="623">
        <v>6.25E-2</v>
      </c>
      <c r="AE3157" s="621" t="s">
        <v>5571</v>
      </c>
    </row>
    <row r="3158" spans="1:31" s="572" customFormat="1">
      <c r="A3158" s="570" t="s">
        <v>5572</v>
      </c>
      <c r="B3158" s="573" t="s">
        <v>3315</v>
      </c>
      <c r="C3158" s="578" t="s">
        <v>227</v>
      </c>
      <c r="D3158" s="573" t="s">
        <v>3374</v>
      </c>
      <c r="E3158" s="573" t="s">
        <v>152</v>
      </c>
      <c r="F3158" s="573" t="s">
        <v>3265</v>
      </c>
      <c r="G3158" s="573">
        <v>2019</v>
      </c>
      <c r="H3158" s="573" t="s">
        <v>5502</v>
      </c>
      <c r="I3158" s="573" t="s">
        <v>5429</v>
      </c>
      <c r="J3158" s="573" t="s">
        <v>752</v>
      </c>
      <c r="K3158" s="573">
        <v>3</v>
      </c>
      <c r="L3158" s="573">
        <v>0</v>
      </c>
      <c r="M3158" s="573" t="s">
        <v>157</v>
      </c>
      <c r="N3158" s="573">
        <v>1</v>
      </c>
      <c r="O3158" s="573" t="s">
        <v>3846</v>
      </c>
      <c r="P3158" s="571">
        <v>10430</v>
      </c>
      <c r="Q3158" s="573" t="s">
        <v>5515</v>
      </c>
      <c r="R3158" s="573">
        <v>8</v>
      </c>
      <c r="S3158" s="582" t="s">
        <v>5445</v>
      </c>
      <c r="T3158" s="573" t="s">
        <v>5516</v>
      </c>
      <c r="U3158" s="573">
        <v>140</v>
      </c>
      <c r="V3158" s="573">
        <v>32</v>
      </c>
      <c r="W3158" s="616">
        <v>6600</v>
      </c>
      <c r="X3158" s="617">
        <v>19</v>
      </c>
      <c r="Y3158" s="617" t="s">
        <v>178</v>
      </c>
      <c r="Z3158" s="617" t="s">
        <v>178</v>
      </c>
      <c r="AA3158" s="618">
        <v>39935</v>
      </c>
      <c r="AB3158" s="618" t="s">
        <v>164</v>
      </c>
      <c r="AC3158" s="618">
        <v>26777</v>
      </c>
      <c r="AD3158" s="619">
        <v>6.25E-2</v>
      </c>
      <c r="AE3158" s="617" t="s">
        <v>5573</v>
      </c>
    </row>
    <row r="3159" spans="1:31" s="572" customFormat="1">
      <c r="A3159" s="570" t="s">
        <v>5574</v>
      </c>
      <c r="B3159" s="569" t="s">
        <v>3315</v>
      </c>
      <c r="C3159" s="580" t="s">
        <v>227</v>
      </c>
      <c r="D3159" s="569" t="s">
        <v>3374</v>
      </c>
      <c r="E3159" s="569" t="s">
        <v>152</v>
      </c>
      <c r="F3159" s="569" t="s">
        <v>3265</v>
      </c>
      <c r="G3159" s="569">
        <v>2019</v>
      </c>
      <c r="H3159" s="569" t="s">
        <v>5502</v>
      </c>
      <c r="I3159" s="569" t="s">
        <v>5429</v>
      </c>
      <c r="J3159" s="569" t="s">
        <v>752</v>
      </c>
      <c r="K3159" s="569">
        <v>3</v>
      </c>
      <c r="L3159" s="569">
        <v>0</v>
      </c>
      <c r="M3159" s="569" t="s">
        <v>157</v>
      </c>
      <c r="N3159" s="569">
        <v>1</v>
      </c>
      <c r="O3159" s="569" t="s">
        <v>3846</v>
      </c>
      <c r="P3159" s="568">
        <v>7070</v>
      </c>
      <c r="Q3159" s="569" t="s">
        <v>5531</v>
      </c>
      <c r="R3159" s="569">
        <v>6</v>
      </c>
      <c r="S3159" s="569" t="s">
        <v>5445</v>
      </c>
      <c r="T3159" s="569" t="s">
        <v>5398</v>
      </c>
      <c r="U3159" s="569">
        <v>140</v>
      </c>
      <c r="V3159" s="569">
        <v>32</v>
      </c>
      <c r="W3159" s="620">
        <v>6600</v>
      </c>
      <c r="X3159" s="621">
        <v>19</v>
      </c>
      <c r="Y3159" s="621" t="s">
        <v>450</v>
      </c>
      <c r="Z3159" s="621" t="s">
        <v>178</v>
      </c>
      <c r="AA3159" s="622">
        <v>37985</v>
      </c>
      <c r="AB3159" s="622" t="s">
        <v>164</v>
      </c>
      <c r="AC3159" s="622">
        <v>25891</v>
      </c>
      <c r="AD3159" s="623">
        <v>6.25E-2</v>
      </c>
      <c r="AE3159" s="621" t="s">
        <v>5575</v>
      </c>
    </row>
    <row r="3160" spans="1:31" s="572" customFormat="1">
      <c r="A3160" s="570" t="s">
        <v>5576</v>
      </c>
      <c r="B3160" s="573" t="s">
        <v>226</v>
      </c>
      <c r="C3160" s="578" t="s">
        <v>227</v>
      </c>
      <c r="D3160" s="573" t="s">
        <v>3374</v>
      </c>
      <c r="E3160" s="573" t="s">
        <v>152</v>
      </c>
      <c r="F3160" s="573" t="s">
        <v>3265</v>
      </c>
      <c r="G3160" s="573">
        <v>2019</v>
      </c>
      <c r="H3160" s="573" t="s">
        <v>5502</v>
      </c>
      <c r="I3160" s="573" t="s">
        <v>5450</v>
      </c>
      <c r="J3160" s="573" t="s">
        <v>3377</v>
      </c>
      <c r="K3160" s="573">
        <v>6</v>
      </c>
      <c r="L3160" s="573">
        <v>0</v>
      </c>
      <c r="M3160" s="573" t="s">
        <v>157</v>
      </c>
      <c r="N3160" s="573">
        <v>2</v>
      </c>
      <c r="O3160" s="573" t="s">
        <v>5351</v>
      </c>
      <c r="P3160" s="571">
        <v>4510</v>
      </c>
      <c r="Q3160" s="573" t="s">
        <v>5503</v>
      </c>
      <c r="R3160" s="573">
        <v>6</v>
      </c>
      <c r="S3160" s="582" t="s">
        <v>5451</v>
      </c>
      <c r="T3160" s="573" t="s">
        <v>5452</v>
      </c>
      <c r="U3160" s="573">
        <v>140</v>
      </c>
      <c r="V3160" s="573">
        <v>26</v>
      </c>
      <c r="W3160" s="616">
        <v>6800</v>
      </c>
      <c r="X3160" s="617">
        <v>20</v>
      </c>
      <c r="Y3160" s="617" t="s">
        <v>450</v>
      </c>
      <c r="Z3160" s="617" t="s">
        <v>178</v>
      </c>
      <c r="AA3160" s="618">
        <v>35190</v>
      </c>
      <c r="AB3160" s="618" t="s">
        <v>164</v>
      </c>
      <c r="AC3160" s="618">
        <v>21369</v>
      </c>
      <c r="AD3160" s="619">
        <v>6.25E-2</v>
      </c>
      <c r="AE3160" s="617" t="s">
        <v>5577</v>
      </c>
    </row>
    <row r="3161" spans="1:31" s="572" customFormat="1">
      <c r="A3161" s="570" t="s">
        <v>5578</v>
      </c>
      <c r="B3161" s="569" t="s">
        <v>226</v>
      </c>
      <c r="C3161" s="580" t="s">
        <v>227</v>
      </c>
      <c r="D3161" s="569" t="s">
        <v>3374</v>
      </c>
      <c r="E3161" s="569" t="s">
        <v>152</v>
      </c>
      <c r="F3161" s="569" t="s">
        <v>3265</v>
      </c>
      <c r="G3161" s="569">
        <v>2019</v>
      </c>
      <c r="H3161" s="569" t="s">
        <v>5502</v>
      </c>
      <c r="I3161" s="569" t="s">
        <v>5450</v>
      </c>
      <c r="J3161" s="569" t="s">
        <v>3377</v>
      </c>
      <c r="K3161" s="569">
        <v>6</v>
      </c>
      <c r="L3161" s="569">
        <v>0</v>
      </c>
      <c r="M3161" s="569" t="s">
        <v>157</v>
      </c>
      <c r="N3161" s="569">
        <v>2</v>
      </c>
      <c r="O3161" s="569" t="s">
        <v>5351</v>
      </c>
      <c r="P3161" s="568">
        <v>8070</v>
      </c>
      <c r="Q3161" s="569" t="s">
        <v>5509</v>
      </c>
      <c r="R3161" s="569">
        <v>8</v>
      </c>
      <c r="S3161" s="569" t="s">
        <v>5451</v>
      </c>
      <c r="T3161" s="569" t="s">
        <v>5455</v>
      </c>
      <c r="U3161" s="569">
        <v>140</v>
      </c>
      <c r="V3161" s="569">
        <v>26</v>
      </c>
      <c r="W3161" s="620">
        <v>6700</v>
      </c>
      <c r="X3161" s="621">
        <v>17</v>
      </c>
      <c r="Y3161" s="621" t="s">
        <v>178</v>
      </c>
      <c r="Z3161" s="621" t="s">
        <v>178</v>
      </c>
      <c r="AA3161" s="622">
        <v>37140</v>
      </c>
      <c r="AB3161" s="622" t="s">
        <v>164</v>
      </c>
      <c r="AC3161" s="622">
        <v>23103</v>
      </c>
      <c r="AD3161" s="623">
        <v>6.25E-2</v>
      </c>
      <c r="AE3161" s="621" t="s">
        <v>5579</v>
      </c>
    </row>
    <row r="3162" spans="1:31" s="572" customFormat="1">
      <c r="A3162" s="570" t="s">
        <v>5580</v>
      </c>
      <c r="B3162" s="573" t="s">
        <v>226</v>
      </c>
      <c r="C3162" s="578" t="s">
        <v>227</v>
      </c>
      <c r="D3162" s="573" t="s">
        <v>3374</v>
      </c>
      <c r="E3162" s="573" t="s">
        <v>152</v>
      </c>
      <c r="F3162" s="573" t="s">
        <v>3265</v>
      </c>
      <c r="G3162" s="573">
        <v>2019</v>
      </c>
      <c r="H3162" s="573" t="s">
        <v>5502</v>
      </c>
      <c r="I3162" s="573" t="s">
        <v>5450</v>
      </c>
      <c r="J3162" s="573" t="s">
        <v>3377</v>
      </c>
      <c r="K3162" s="573">
        <v>6</v>
      </c>
      <c r="L3162" s="573">
        <v>0</v>
      </c>
      <c r="M3162" s="573" t="s">
        <v>157</v>
      </c>
      <c r="N3162" s="573">
        <v>2</v>
      </c>
      <c r="O3162" s="573" t="s">
        <v>5458</v>
      </c>
      <c r="P3162" s="571">
        <v>8010</v>
      </c>
      <c r="Q3162" s="573" t="s">
        <v>5509</v>
      </c>
      <c r="R3162" s="573">
        <v>8</v>
      </c>
      <c r="S3162" s="582" t="s">
        <v>5459</v>
      </c>
      <c r="T3162" s="573" t="s">
        <v>5455</v>
      </c>
      <c r="U3162" s="573">
        <v>149</v>
      </c>
      <c r="V3162" s="573">
        <v>32</v>
      </c>
      <c r="W3162" s="616">
        <v>6800</v>
      </c>
      <c r="X3162" s="617">
        <v>17</v>
      </c>
      <c r="Y3162" s="617" t="s">
        <v>178</v>
      </c>
      <c r="Z3162" s="617" t="s">
        <v>178</v>
      </c>
      <c r="AA3162" s="618">
        <v>35890</v>
      </c>
      <c r="AB3162" s="618" t="s">
        <v>164</v>
      </c>
      <c r="AC3162" s="618">
        <v>21984</v>
      </c>
      <c r="AD3162" s="619">
        <v>6.25E-2</v>
      </c>
      <c r="AE3162" s="617" t="s">
        <v>5581</v>
      </c>
    </row>
    <row r="3163" spans="1:31" s="572" customFormat="1">
      <c r="A3163" s="570" t="s">
        <v>5582</v>
      </c>
      <c r="B3163" s="569" t="s">
        <v>3315</v>
      </c>
      <c r="C3163" s="580" t="s">
        <v>227</v>
      </c>
      <c r="D3163" s="569" t="s">
        <v>3374</v>
      </c>
      <c r="E3163" s="569" t="s">
        <v>152</v>
      </c>
      <c r="F3163" s="569" t="s">
        <v>3265</v>
      </c>
      <c r="G3163" s="569">
        <v>2019</v>
      </c>
      <c r="H3163" s="569" t="s">
        <v>5502</v>
      </c>
      <c r="I3163" s="569" t="s">
        <v>5450</v>
      </c>
      <c r="J3163" s="569" t="s">
        <v>3377</v>
      </c>
      <c r="K3163" s="569">
        <v>6</v>
      </c>
      <c r="L3163" s="569">
        <v>0</v>
      </c>
      <c r="M3163" s="569" t="s">
        <v>157</v>
      </c>
      <c r="N3163" s="569">
        <v>2</v>
      </c>
      <c r="O3163" s="569" t="s">
        <v>5351</v>
      </c>
      <c r="P3163" s="568">
        <v>7500</v>
      </c>
      <c r="Q3163" s="569" t="s">
        <v>5531</v>
      </c>
      <c r="R3163" s="569">
        <v>6</v>
      </c>
      <c r="S3163" s="569" t="s">
        <v>5451</v>
      </c>
      <c r="T3163" s="569" t="s">
        <v>5452</v>
      </c>
      <c r="U3163" s="569">
        <v>140</v>
      </c>
      <c r="V3163" s="569">
        <v>26</v>
      </c>
      <c r="W3163" s="620">
        <v>6700</v>
      </c>
      <c r="X3163" s="621">
        <v>20</v>
      </c>
      <c r="Y3163" s="621" t="s">
        <v>450</v>
      </c>
      <c r="Z3163" s="621" t="s">
        <v>178</v>
      </c>
      <c r="AA3163" s="622">
        <v>35285</v>
      </c>
      <c r="AB3163" s="622" t="s">
        <v>164</v>
      </c>
      <c r="AC3163" s="622">
        <v>21464</v>
      </c>
      <c r="AD3163" s="623">
        <v>6.25E-2</v>
      </c>
      <c r="AE3163" s="621" t="s">
        <v>5583</v>
      </c>
    </row>
    <row r="3164" spans="1:31" s="572" customFormat="1">
      <c r="A3164" s="570" t="s">
        <v>5584</v>
      </c>
      <c r="B3164" s="573" t="s">
        <v>3315</v>
      </c>
      <c r="C3164" s="578" t="s">
        <v>227</v>
      </c>
      <c r="D3164" s="573" t="s">
        <v>3374</v>
      </c>
      <c r="E3164" s="573" t="s">
        <v>152</v>
      </c>
      <c r="F3164" s="573" t="s">
        <v>3265</v>
      </c>
      <c r="G3164" s="573">
        <v>2019</v>
      </c>
      <c r="H3164" s="573" t="s">
        <v>5502</v>
      </c>
      <c r="I3164" s="573" t="s">
        <v>5450</v>
      </c>
      <c r="J3164" s="573" t="s">
        <v>3377</v>
      </c>
      <c r="K3164" s="573">
        <v>6</v>
      </c>
      <c r="L3164" s="573">
        <v>0</v>
      </c>
      <c r="M3164" s="573" t="s">
        <v>157</v>
      </c>
      <c r="N3164" s="573">
        <v>2</v>
      </c>
      <c r="O3164" s="573" t="s">
        <v>5458</v>
      </c>
      <c r="P3164" s="571">
        <v>10190</v>
      </c>
      <c r="Q3164" s="573" t="s">
        <v>5515</v>
      </c>
      <c r="R3164" s="573">
        <v>8</v>
      </c>
      <c r="S3164" s="582" t="s">
        <v>5459</v>
      </c>
      <c r="T3164" s="573" t="s">
        <v>5586</v>
      </c>
      <c r="U3164" s="573">
        <v>149</v>
      </c>
      <c r="V3164" s="573">
        <v>26</v>
      </c>
      <c r="W3164" s="616">
        <v>6700</v>
      </c>
      <c r="X3164" s="617">
        <v>17</v>
      </c>
      <c r="Y3164" s="617" t="s">
        <v>178</v>
      </c>
      <c r="Z3164" s="617" t="s">
        <v>178</v>
      </c>
      <c r="AA3164" s="618">
        <v>35985</v>
      </c>
      <c r="AB3164" s="618" t="s">
        <v>164</v>
      </c>
      <c r="AC3164" s="618">
        <v>22079</v>
      </c>
      <c r="AD3164" s="619">
        <v>6.25E-2</v>
      </c>
      <c r="AE3164" s="617" t="s">
        <v>5585</v>
      </c>
    </row>
    <row r="3165" spans="1:31" s="572" customFormat="1">
      <c r="A3165" s="570" t="s">
        <v>5587</v>
      </c>
      <c r="B3165" s="569" t="s">
        <v>226</v>
      </c>
      <c r="C3165" s="580" t="s">
        <v>227</v>
      </c>
      <c r="D3165" s="569" t="s">
        <v>3374</v>
      </c>
      <c r="E3165" s="569" t="s">
        <v>152</v>
      </c>
      <c r="F3165" s="569" t="s">
        <v>3265</v>
      </c>
      <c r="G3165" s="569">
        <v>2019</v>
      </c>
      <c r="H3165" s="569" t="s">
        <v>5502</v>
      </c>
      <c r="I3165" s="569" t="s">
        <v>5450</v>
      </c>
      <c r="J3165" s="569" t="s">
        <v>752</v>
      </c>
      <c r="K3165" s="569">
        <v>6</v>
      </c>
      <c r="L3165" s="569">
        <v>0</v>
      </c>
      <c r="M3165" s="569" t="s">
        <v>157</v>
      </c>
      <c r="N3165" s="569">
        <v>2</v>
      </c>
      <c r="O3165" s="569" t="s">
        <v>5351</v>
      </c>
      <c r="P3165" s="568">
        <v>4250</v>
      </c>
      <c r="Q3165" s="569" t="s">
        <v>5503</v>
      </c>
      <c r="R3165" s="569">
        <v>6</v>
      </c>
      <c r="S3165" s="569" t="s">
        <v>5462</v>
      </c>
      <c r="T3165" s="569" t="s">
        <v>5452</v>
      </c>
      <c r="U3165" s="569">
        <v>140</v>
      </c>
      <c r="V3165" s="569">
        <v>26</v>
      </c>
      <c r="W3165" s="620">
        <v>6800</v>
      </c>
      <c r="X3165" s="621">
        <v>19</v>
      </c>
      <c r="Y3165" s="621" t="s">
        <v>450</v>
      </c>
      <c r="Z3165" s="621" t="s">
        <v>178</v>
      </c>
      <c r="AA3165" s="622">
        <v>38890</v>
      </c>
      <c r="AB3165" s="622" t="s">
        <v>164</v>
      </c>
      <c r="AC3165" s="622">
        <v>24516</v>
      </c>
      <c r="AD3165" s="623">
        <v>6.25E-2</v>
      </c>
      <c r="AE3165" s="621" t="s">
        <v>5588</v>
      </c>
    </row>
    <row r="3166" spans="1:31" s="572" customFormat="1">
      <c r="A3166" s="570" t="s">
        <v>5589</v>
      </c>
      <c r="B3166" s="573" t="s">
        <v>226</v>
      </c>
      <c r="C3166" s="578" t="s">
        <v>227</v>
      </c>
      <c r="D3166" s="573" t="s">
        <v>3374</v>
      </c>
      <c r="E3166" s="573" t="s">
        <v>152</v>
      </c>
      <c r="F3166" s="573" t="s">
        <v>3265</v>
      </c>
      <c r="G3166" s="573">
        <v>2019</v>
      </c>
      <c r="H3166" s="573" t="s">
        <v>5502</v>
      </c>
      <c r="I3166" s="573" t="s">
        <v>5450</v>
      </c>
      <c r="J3166" s="573" t="s">
        <v>752</v>
      </c>
      <c r="K3166" s="573">
        <v>6</v>
      </c>
      <c r="L3166" s="573">
        <v>0</v>
      </c>
      <c r="M3166" s="573" t="s">
        <v>157</v>
      </c>
      <c r="N3166" s="573">
        <v>2</v>
      </c>
      <c r="O3166" s="573" t="s">
        <v>5351</v>
      </c>
      <c r="P3166" s="571">
        <v>7990</v>
      </c>
      <c r="Q3166" s="573" t="s">
        <v>5509</v>
      </c>
      <c r="R3166" s="573">
        <v>8</v>
      </c>
      <c r="S3166" s="582" t="s">
        <v>5462</v>
      </c>
      <c r="T3166" s="573" t="s">
        <v>5455</v>
      </c>
      <c r="U3166" s="573">
        <v>140</v>
      </c>
      <c r="V3166" s="573">
        <v>26</v>
      </c>
      <c r="W3166" s="616">
        <v>6800</v>
      </c>
      <c r="X3166" s="617">
        <v>17</v>
      </c>
      <c r="Y3166" s="617" t="s">
        <v>178</v>
      </c>
      <c r="Z3166" s="617" t="s">
        <v>178</v>
      </c>
      <c r="AA3166" s="618">
        <v>40840</v>
      </c>
      <c r="AB3166" s="618" t="s">
        <v>164</v>
      </c>
      <c r="AC3166" s="618">
        <v>26250</v>
      </c>
      <c r="AD3166" s="619">
        <v>6.25E-2</v>
      </c>
      <c r="AE3166" s="617" t="s">
        <v>5590</v>
      </c>
    </row>
    <row r="3167" spans="1:31" s="572" customFormat="1">
      <c r="A3167" s="570" t="s">
        <v>5591</v>
      </c>
      <c r="B3167" s="569" t="s">
        <v>226</v>
      </c>
      <c r="C3167" s="580" t="s">
        <v>227</v>
      </c>
      <c r="D3167" s="569" t="s">
        <v>3374</v>
      </c>
      <c r="E3167" s="569" t="s">
        <v>152</v>
      </c>
      <c r="F3167" s="569" t="s">
        <v>3265</v>
      </c>
      <c r="G3167" s="569">
        <v>2019</v>
      </c>
      <c r="H3167" s="569" t="s">
        <v>5502</v>
      </c>
      <c r="I3167" s="569" t="s">
        <v>5450</v>
      </c>
      <c r="J3167" s="569" t="s">
        <v>752</v>
      </c>
      <c r="K3167" s="569">
        <v>6</v>
      </c>
      <c r="L3167" s="569">
        <v>0</v>
      </c>
      <c r="M3167" s="569" t="s">
        <v>157</v>
      </c>
      <c r="N3167" s="569">
        <v>2</v>
      </c>
      <c r="O3167" s="569" t="s">
        <v>5405</v>
      </c>
      <c r="P3167" s="568">
        <v>7760</v>
      </c>
      <c r="Q3167" s="569" t="s">
        <v>5509</v>
      </c>
      <c r="R3167" s="569">
        <v>8</v>
      </c>
      <c r="S3167" s="569" t="s">
        <v>5467</v>
      </c>
      <c r="T3167" s="569" t="s">
        <v>5455</v>
      </c>
      <c r="U3167" s="569">
        <v>149</v>
      </c>
      <c r="V3167" s="569">
        <v>26</v>
      </c>
      <c r="W3167" s="620">
        <v>6900</v>
      </c>
      <c r="X3167" s="621">
        <v>17</v>
      </c>
      <c r="Y3167" s="621" t="s">
        <v>178</v>
      </c>
      <c r="Z3167" s="621" t="s">
        <v>178</v>
      </c>
      <c r="AA3167" s="622">
        <v>39490</v>
      </c>
      <c r="AB3167" s="622" t="s">
        <v>164</v>
      </c>
      <c r="AC3167" s="622">
        <v>25043</v>
      </c>
      <c r="AD3167" s="623">
        <v>6.25E-2</v>
      </c>
      <c r="AE3167" s="621" t="s">
        <v>5592</v>
      </c>
    </row>
    <row r="3168" spans="1:31" s="572" customFormat="1">
      <c r="A3168" s="570" t="s">
        <v>5593</v>
      </c>
      <c r="B3168" s="573" t="s">
        <v>3315</v>
      </c>
      <c r="C3168" s="578" t="s">
        <v>227</v>
      </c>
      <c r="D3168" s="573" t="s">
        <v>3374</v>
      </c>
      <c r="E3168" s="573" t="s">
        <v>152</v>
      </c>
      <c r="F3168" s="573" t="s">
        <v>3265</v>
      </c>
      <c r="G3168" s="573">
        <v>2019</v>
      </c>
      <c r="H3168" s="573" t="s">
        <v>5502</v>
      </c>
      <c r="I3168" s="573" t="s">
        <v>5450</v>
      </c>
      <c r="J3168" s="573" t="s">
        <v>752</v>
      </c>
      <c r="K3168" s="573">
        <v>6</v>
      </c>
      <c r="L3168" s="573">
        <v>0</v>
      </c>
      <c r="M3168" s="573" t="s">
        <v>157</v>
      </c>
      <c r="N3168" s="573">
        <v>2</v>
      </c>
      <c r="O3168" s="573" t="s">
        <v>5351</v>
      </c>
      <c r="P3168" s="571">
        <v>10170</v>
      </c>
      <c r="Q3168" s="573" t="s">
        <v>5522</v>
      </c>
      <c r="R3168" s="573">
        <v>8</v>
      </c>
      <c r="S3168" s="582" t="s">
        <v>5462</v>
      </c>
      <c r="T3168" s="573" t="s">
        <v>5586</v>
      </c>
      <c r="U3168" s="573">
        <v>140</v>
      </c>
      <c r="V3168" s="573">
        <v>26</v>
      </c>
      <c r="W3168" s="616">
        <v>6800</v>
      </c>
      <c r="X3168" s="617">
        <v>19</v>
      </c>
      <c r="Y3168" s="617" t="s">
        <v>178</v>
      </c>
      <c r="Z3168" s="617" t="s">
        <v>178</v>
      </c>
      <c r="AA3168" s="618">
        <v>40935</v>
      </c>
      <c r="AB3168" s="618" t="s">
        <v>164</v>
      </c>
      <c r="AC3168" s="618">
        <v>26345</v>
      </c>
      <c r="AD3168" s="619">
        <v>6.25E-2</v>
      </c>
      <c r="AE3168" s="617" t="s">
        <v>5594</v>
      </c>
    </row>
    <row r="3169" spans="1:31" s="572" customFormat="1">
      <c r="A3169" s="570" t="s">
        <v>5595</v>
      </c>
      <c r="B3169" s="569" t="s">
        <v>3315</v>
      </c>
      <c r="C3169" s="580" t="s">
        <v>227</v>
      </c>
      <c r="D3169" s="569" t="s">
        <v>3374</v>
      </c>
      <c r="E3169" s="569" t="s">
        <v>152</v>
      </c>
      <c r="F3169" s="569" t="s">
        <v>3265</v>
      </c>
      <c r="G3169" s="569">
        <v>2019</v>
      </c>
      <c r="H3169" s="569" t="s">
        <v>5502</v>
      </c>
      <c r="I3169" s="569" t="s">
        <v>5450</v>
      </c>
      <c r="J3169" s="569" t="s">
        <v>752</v>
      </c>
      <c r="K3169" s="569">
        <v>6</v>
      </c>
      <c r="L3169" s="569">
        <v>0</v>
      </c>
      <c r="M3169" s="569" t="s">
        <v>157</v>
      </c>
      <c r="N3169" s="569">
        <v>2</v>
      </c>
      <c r="O3169" s="569" t="s">
        <v>5351</v>
      </c>
      <c r="P3169" s="568">
        <v>7250</v>
      </c>
      <c r="Q3169" s="569" t="s">
        <v>5531</v>
      </c>
      <c r="R3169" s="569">
        <v>6</v>
      </c>
      <c r="S3169" s="569" t="s">
        <v>5462</v>
      </c>
      <c r="T3169" s="569" t="s">
        <v>5452</v>
      </c>
      <c r="U3169" s="569">
        <v>140</v>
      </c>
      <c r="V3169" s="569">
        <v>26</v>
      </c>
      <c r="W3169" s="620">
        <v>6800</v>
      </c>
      <c r="X3169" s="621">
        <v>19</v>
      </c>
      <c r="Y3169" s="621" t="s">
        <v>450</v>
      </c>
      <c r="Z3169" s="621" t="s">
        <v>178</v>
      </c>
      <c r="AA3169" s="622">
        <v>38985</v>
      </c>
      <c r="AB3169" s="622" t="s">
        <v>164</v>
      </c>
      <c r="AC3169" s="622">
        <v>24611</v>
      </c>
      <c r="AD3169" s="623">
        <v>6.25E-2</v>
      </c>
      <c r="AE3169" s="621" t="s">
        <v>5596</v>
      </c>
    </row>
    <row r="3170" spans="1:31" s="572" customFormat="1">
      <c r="A3170" s="570" t="s">
        <v>5597</v>
      </c>
      <c r="B3170" s="573" t="s">
        <v>3315</v>
      </c>
      <c r="C3170" s="578" t="s">
        <v>227</v>
      </c>
      <c r="D3170" s="573" t="s">
        <v>3374</v>
      </c>
      <c r="E3170" s="573" t="s">
        <v>152</v>
      </c>
      <c r="F3170" s="573" t="s">
        <v>3265</v>
      </c>
      <c r="G3170" s="573">
        <v>2019</v>
      </c>
      <c r="H3170" s="573" t="s">
        <v>5502</v>
      </c>
      <c r="I3170" s="573" t="s">
        <v>5450</v>
      </c>
      <c r="J3170" s="573" t="s">
        <v>752</v>
      </c>
      <c r="K3170" s="573">
        <v>6</v>
      </c>
      <c r="L3170" s="573">
        <v>0</v>
      </c>
      <c r="M3170" s="573" t="s">
        <v>157</v>
      </c>
      <c r="N3170" s="573">
        <v>2</v>
      </c>
      <c r="O3170" s="573" t="s">
        <v>5405</v>
      </c>
      <c r="P3170" s="571">
        <v>9810</v>
      </c>
      <c r="Q3170" s="573" t="s">
        <v>5515</v>
      </c>
      <c r="R3170" s="573">
        <v>8</v>
      </c>
      <c r="S3170" s="582" t="s">
        <v>5467</v>
      </c>
      <c r="T3170" s="573" t="s">
        <v>5586</v>
      </c>
      <c r="U3170" s="573">
        <v>149</v>
      </c>
      <c r="V3170" s="573">
        <v>26</v>
      </c>
      <c r="W3170" s="616">
        <v>6800</v>
      </c>
      <c r="X3170" s="617">
        <v>19</v>
      </c>
      <c r="Y3170" s="617" t="s">
        <v>178</v>
      </c>
      <c r="Z3170" s="617" t="s">
        <v>178</v>
      </c>
      <c r="AA3170" s="618">
        <v>39585</v>
      </c>
      <c r="AB3170" s="618" t="s">
        <v>164</v>
      </c>
      <c r="AC3170" s="618">
        <v>25138</v>
      </c>
      <c r="AD3170" s="619">
        <v>6.25E-2</v>
      </c>
      <c r="AE3170" s="617" t="s">
        <v>5598</v>
      </c>
    </row>
    <row r="3171" spans="1:31" s="572" customFormat="1">
      <c r="A3171" s="570" t="s">
        <v>5599</v>
      </c>
      <c r="B3171" s="569" t="s">
        <v>226</v>
      </c>
      <c r="C3171" s="580" t="s">
        <v>227</v>
      </c>
      <c r="D3171" s="569" t="s">
        <v>3374</v>
      </c>
      <c r="E3171" s="569" t="s">
        <v>152</v>
      </c>
      <c r="F3171" s="569" t="s">
        <v>3265</v>
      </c>
      <c r="G3171" s="569">
        <v>2019</v>
      </c>
      <c r="H3171" s="569" t="s">
        <v>5502</v>
      </c>
      <c r="I3171" s="569" t="s">
        <v>5470</v>
      </c>
      <c r="J3171" s="569" t="s">
        <v>3377</v>
      </c>
      <c r="K3171" s="569">
        <v>6</v>
      </c>
      <c r="L3171" s="569">
        <v>0</v>
      </c>
      <c r="M3171" s="569" t="s">
        <v>157</v>
      </c>
      <c r="N3171" s="569">
        <v>2</v>
      </c>
      <c r="O3171" s="569" t="s">
        <v>5405</v>
      </c>
      <c r="P3171" s="568">
        <v>4610</v>
      </c>
      <c r="Q3171" s="569" t="s">
        <v>5503</v>
      </c>
      <c r="R3171" s="569">
        <v>6</v>
      </c>
      <c r="S3171" s="569" t="s">
        <v>5471</v>
      </c>
      <c r="T3171" s="569" t="s">
        <v>5452</v>
      </c>
      <c r="U3171" s="569">
        <v>140</v>
      </c>
      <c r="V3171" s="569">
        <v>32</v>
      </c>
      <c r="W3171" s="620">
        <v>6800</v>
      </c>
      <c r="X3171" s="621">
        <v>20</v>
      </c>
      <c r="Y3171" s="621" t="s">
        <v>450</v>
      </c>
      <c r="Z3171" s="621" t="s">
        <v>178</v>
      </c>
      <c r="AA3171" s="622">
        <v>32790</v>
      </c>
      <c r="AB3171" s="622" t="s">
        <v>164</v>
      </c>
      <c r="AC3171" s="622">
        <v>20169</v>
      </c>
      <c r="AD3171" s="623">
        <v>6.25E-2</v>
      </c>
      <c r="AE3171" s="621" t="s">
        <v>5600</v>
      </c>
    </row>
    <row r="3172" spans="1:31" s="572" customFormat="1">
      <c r="A3172" s="570" t="s">
        <v>5601</v>
      </c>
      <c r="B3172" s="573" t="s">
        <v>226</v>
      </c>
      <c r="C3172" s="578" t="s">
        <v>227</v>
      </c>
      <c r="D3172" s="573" t="s">
        <v>3374</v>
      </c>
      <c r="E3172" s="573" t="s">
        <v>152</v>
      </c>
      <c r="F3172" s="573" t="s">
        <v>3265</v>
      </c>
      <c r="G3172" s="573">
        <v>2019</v>
      </c>
      <c r="H3172" s="573" t="s">
        <v>5502</v>
      </c>
      <c r="I3172" s="573" t="s">
        <v>5470</v>
      </c>
      <c r="J3172" s="573" t="s">
        <v>3377</v>
      </c>
      <c r="K3172" s="573">
        <v>6</v>
      </c>
      <c r="L3172" s="573">
        <v>0</v>
      </c>
      <c r="M3172" s="573" t="s">
        <v>157</v>
      </c>
      <c r="N3172" s="573">
        <v>2</v>
      </c>
      <c r="O3172" s="573" t="s">
        <v>5458</v>
      </c>
      <c r="P3172" s="571">
        <v>8160</v>
      </c>
      <c r="Q3172" s="573" t="s">
        <v>5509</v>
      </c>
      <c r="R3172" s="573">
        <v>8</v>
      </c>
      <c r="S3172" s="582" t="s">
        <v>5471</v>
      </c>
      <c r="T3172" s="573" t="s">
        <v>5455</v>
      </c>
      <c r="U3172" s="573">
        <v>140</v>
      </c>
      <c r="V3172" s="573">
        <v>32</v>
      </c>
      <c r="W3172" s="616">
        <v>6800</v>
      </c>
      <c r="X3172" s="617">
        <v>17</v>
      </c>
      <c r="Y3172" s="617" t="s">
        <v>178</v>
      </c>
      <c r="Z3172" s="617" t="s">
        <v>178</v>
      </c>
      <c r="AA3172" s="618">
        <v>34740</v>
      </c>
      <c r="AB3172" s="618" t="s">
        <v>164</v>
      </c>
      <c r="AC3172" s="618">
        <v>21903</v>
      </c>
      <c r="AD3172" s="619">
        <v>6.25E-2</v>
      </c>
      <c r="AE3172" s="617" t="s">
        <v>5602</v>
      </c>
    </row>
    <row r="3173" spans="1:31" s="572" customFormat="1">
      <c r="A3173" s="570" t="s">
        <v>5603</v>
      </c>
      <c r="B3173" s="569" t="s">
        <v>3315</v>
      </c>
      <c r="C3173" s="580" t="s">
        <v>227</v>
      </c>
      <c r="D3173" s="569" t="s">
        <v>3374</v>
      </c>
      <c r="E3173" s="569" t="s">
        <v>152</v>
      </c>
      <c r="F3173" s="569" t="s">
        <v>3265</v>
      </c>
      <c r="G3173" s="569">
        <v>2019</v>
      </c>
      <c r="H3173" s="569" t="s">
        <v>5502</v>
      </c>
      <c r="I3173" s="569" t="s">
        <v>5470</v>
      </c>
      <c r="J3173" s="569" t="s">
        <v>3377</v>
      </c>
      <c r="K3173" s="569">
        <v>6</v>
      </c>
      <c r="L3173" s="569">
        <v>0</v>
      </c>
      <c r="M3173" s="569" t="s">
        <v>157</v>
      </c>
      <c r="N3173" s="569">
        <v>2</v>
      </c>
      <c r="O3173" s="569" t="s">
        <v>5405</v>
      </c>
      <c r="P3173" s="568">
        <v>7600</v>
      </c>
      <c r="Q3173" s="569" t="s">
        <v>5531</v>
      </c>
      <c r="R3173" s="569">
        <v>6</v>
      </c>
      <c r="S3173" s="569" t="s">
        <v>5471</v>
      </c>
      <c r="T3173" s="569" t="s">
        <v>5452</v>
      </c>
      <c r="U3173" s="569">
        <v>140</v>
      </c>
      <c r="V3173" s="569">
        <v>26</v>
      </c>
      <c r="W3173" s="620">
        <v>6700</v>
      </c>
      <c r="X3173" s="621">
        <v>20</v>
      </c>
      <c r="Y3173" s="621" t="s">
        <v>450</v>
      </c>
      <c r="Z3173" s="621" t="s">
        <v>178</v>
      </c>
      <c r="AA3173" s="622">
        <v>32885</v>
      </c>
      <c r="AB3173" s="622" t="s">
        <v>164</v>
      </c>
      <c r="AC3173" s="622">
        <v>20264</v>
      </c>
      <c r="AD3173" s="623">
        <v>6.25E-2</v>
      </c>
      <c r="AE3173" s="621" t="s">
        <v>5604</v>
      </c>
    </row>
    <row r="3174" spans="1:31" s="572" customFormat="1">
      <c r="A3174" s="570" t="s">
        <v>5605</v>
      </c>
      <c r="B3174" s="573" t="s">
        <v>3315</v>
      </c>
      <c r="C3174" s="578" t="s">
        <v>227</v>
      </c>
      <c r="D3174" s="573" t="s">
        <v>3374</v>
      </c>
      <c r="E3174" s="573" t="s">
        <v>152</v>
      </c>
      <c r="F3174" s="573" t="s">
        <v>3265</v>
      </c>
      <c r="G3174" s="573">
        <v>2019</v>
      </c>
      <c r="H3174" s="573" t="s">
        <v>5502</v>
      </c>
      <c r="I3174" s="573" t="s">
        <v>5470</v>
      </c>
      <c r="J3174" s="573" t="s">
        <v>3377</v>
      </c>
      <c r="K3174" s="573">
        <v>6</v>
      </c>
      <c r="L3174" s="573">
        <v>0</v>
      </c>
      <c r="M3174" s="573" t="s">
        <v>157</v>
      </c>
      <c r="N3174" s="573">
        <v>2</v>
      </c>
      <c r="O3174" s="573" t="s">
        <v>5458</v>
      </c>
      <c r="P3174" s="571">
        <v>10340</v>
      </c>
      <c r="Q3174" s="573" t="s">
        <v>5515</v>
      </c>
      <c r="R3174" s="573">
        <v>8</v>
      </c>
      <c r="S3174" s="582" t="s">
        <v>5471</v>
      </c>
      <c r="T3174" s="573" t="s">
        <v>5455</v>
      </c>
      <c r="U3174" s="573">
        <v>140</v>
      </c>
      <c r="V3174" s="573">
        <v>26</v>
      </c>
      <c r="W3174" s="616">
        <v>6700</v>
      </c>
      <c r="X3174" s="617">
        <v>17</v>
      </c>
      <c r="Y3174" s="617" t="s">
        <v>178</v>
      </c>
      <c r="Z3174" s="617" t="s">
        <v>178</v>
      </c>
      <c r="AA3174" s="618">
        <v>34835</v>
      </c>
      <c r="AB3174" s="618" t="s">
        <v>164</v>
      </c>
      <c r="AC3174" s="618">
        <v>21998</v>
      </c>
      <c r="AD3174" s="619">
        <v>6.25E-2</v>
      </c>
      <c r="AE3174" s="617" t="s">
        <v>5606</v>
      </c>
    </row>
    <row r="3175" spans="1:31" s="572" customFormat="1">
      <c r="A3175" s="570" t="s">
        <v>5607</v>
      </c>
      <c r="B3175" s="569" t="s">
        <v>3315</v>
      </c>
      <c r="C3175" s="580" t="s">
        <v>227</v>
      </c>
      <c r="D3175" s="569" t="s">
        <v>3374</v>
      </c>
      <c r="E3175" s="569" t="s">
        <v>152</v>
      </c>
      <c r="F3175" s="569" t="s">
        <v>3265</v>
      </c>
      <c r="G3175" s="569">
        <v>2019</v>
      </c>
      <c r="H3175" s="569" t="s">
        <v>5502</v>
      </c>
      <c r="I3175" s="569" t="s">
        <v>5470</v>
      </c>
      <c r="J3175" s="569" t="s">
        <v>752</v>
      </c>
      <c r="K3175" s="569">
        <v>6</v>
      </c>
      <c r="L3175" s="569">
        <v>0</v>
      </c>
      <c r="M3175" s="569" t="s">
        <v>157</v>
      </c>
      <c r="N3175" s="569">
        <v>2</v>
      </c>
      <c r="O3175" s="569" t="s">
        <v>5405</v>
      </c>
      <c r="P3175" s="568">
        <v>4430</v>
      </c>
      <c r="Q3175" s="569" t="s">
        <v>5503</v>
      </c>
      <c r="R3175" s="569">
        <v>6</v>
      </c>
      <c r="S3175" s="569" t="s">
        <v>5476</v>
      </c>
      <c r="T3175" s="569" t="s">
        <v>5452</v>
      </c>
      <c r="U3175" s="569">
        <v>140.5</v>
      </c>
      <c r="V3175" s="569">
        <v>26</v>
      </c>
      <c r="W3175" s="620">
        <v>6800</v>
      </c>
      <c r="X3175" s="621">
        <v>19</v>
      </c>
      <c r="Y3175" s="621" t="s">
        <v>450</v>
      </c>
      <c r="Z3175" s="621" t="s">
        <v>178</v>
      </c>
      <c r="AA3175" s="622">
        <v>36390</v>
      </c>
      <c r="AB3175" s="622" t="s">
        <v>164</v>
      </c>
      <c r="AC3175" s="622">
        <v>23329</v>
      </c>
      <c r="AD3175" s="623">
        <v>6.25E-2</v>
      </c>
      <c r="AE3175" s="621" t="s">
        <v>5608</v>
      </c>
    </row>
    <row r="3176" spans="1:31" s="572" customFormat="1">
      <c r="A3176" s="570" t="s">
        <v>5609</v>
      </c>
      <c r="B3176" s="573" t="s">
        <v>3315</v>
      </c>
      <c r="C3176" s="578" t="s">
        <v>227</v>
      </c>
      <c r="D3176" s="573" t="s">
        <v>3374</v>
      </c>
      <c r="E3176" s="573" t="s">
        <v>152</v>
      </c>
      <c r="F3176" s="573" t="s">
        <v>3265</v>
      </c>
      <c r="G3176" s="573">
        <v>2019</v>
      </c>
      <c r="H3176" s="573" t="s">
        <v>5502</v>
      </c>
      <c r="I3176" s="573" t="s">
        <v>5470</v>
      </c>
      <c r="J3176" s="573" t="s">
        <v>752</v>
      </c>
      <c r="K3176" s="573">
        <v>6</v>
      </c>
      <c r="L3176" s="573">
        <v>0</v>
      </c>
      <c r="M3176" s="573" t="s">
        <v>157</v>
      </c>
      <c r="N3176" s="573">
        <v>2</v>
      </c>
      <c r="O3176" s="573" t="s">
        <v>5405</v>
      </c>
      <c r="P3176" s="571">
        <v>7430</v>
      </c>
      <c r="Q3176" s="573" t="s">
        <v>5531</v>
      </c>
      <c r="R3176" s="573">
        <v>6</v>
      </c>
      <c r="S3176" s="582" t="s">
        <v>5476</v>
      </c>
      <c r="T3176" s="573" t="s">
        <v>5452</v>
      </c>
      <c r="U3176" s="573">
        <v>140.5</v>
      </c>
      <c r="V3176" s="573">
        <v>26</v>
      </c>
      <c r="W3176" s="616">
        <v>6600</v>
      </c>
      <c r="X3176" s="617">
        <v>19</v>
      </c>
      <c r="Y3176" s="617" t="s">
        <v>450</v>
      </c>
      <c r="Z3176" s="617" t="s">
        <v>178</v>
      </c>
      <c r="AA3176" s="618">
        <v>39485</v>
      </c>
      <c r="AB3176" s="618" t="s">
        <v>164</v>
      </c>
      <c r="AC3176" s="618">
        <v>23424</v>
      </c>
      <c r="AD3176" s="619">
        <v>6.25E-2</v>
      </c>
      <c r="AE3176" s="617" t="s">
        <v>5610</v>
      </c>
    </row>
    <row r="3177" spans="1:31" s="572" customFormat="1">
      <c r="A3177" s="570" t="s">
        <v>5611</v>
      </c>
      <c r="B3177" s="569" t="s">
        <v>3315</v>
      </c>
      <c r="C3177" s="580" t="s">
        <v>227</v>
      </c>
      <c r="D3177" s="569" t="s">
        <v>3374</v>
      </c>
      <c r="E3177" s="569" t="s">
        <v>152</v>
      </c>
      <c r="F3177" s="569" t="s">
        <v>3265</v>
      </c>
      <c r="G3177" s="569">
        <v>2019</v>
      </c>
      <c r="H3177" s="569" t="s">
        <v>5502</v>
      </c>
      <c r="I3177" s="569" t="s">
        <v>5470</v>
      </c>
      <c r="J3177" s="569" t="s">
        <v>752</v>
      </c>
      <c r="K3177" s="569">
        <v>6</v>
      </c>
      <c r="L3177" s="569">
        <v>0</v>
      </c>
      <c r="M3177" s="569" t="s">
        <v>157</v>
      </c>
      <c r="N3177" s="569">
        <v>2</v>
      </c>
      <c r="O3177" s="569" t="s">
        <v>5458</v>
      </c>
      <c r="P3177" s="568">
        <v>10210</v>
      </c>
      <c r="Q3177" s="569" t="s">
        <v>5515</v>
      </c>
      <c r="R3177" s="569">
        <v>8</v>
      </c>
      <c r="S3177" s="569" t="s">
        <v>5476</v>
      </c>
      <c r="T3177" s="569" t="s">
        <v>5586</v>
      </c>
      <c r="U3177" s="569">
        <v>140.5</v>
      </c>
      <c r="V3177" s="569">
        <v>26</v>
      </c>
      <c r="W3177" s="620">
        <v>6600</v>
      </c>
      <c r="X3177" s="621">
        <v>19</v>
      </c>
      <c r="Y3177" s="621" t="s">
        <v>178</v>
      </c>
      <c r="Z3177" s="621" t="s">
        <v>178</v>
      </c>
      <c r="AA3177" s="622">
        <v>38435</v>
      </c>
      <c r="AB3177" s="622" t="s">
        <v>164</v>
      </c>
      <c r="AC3177" s="622">
        <v>25358</v>
      </c>
      <c r="AD3177" s="623">
        <v>6.25E-2</v>
      </c>
      <c r="AE3177" s="621" t="s">
        <v>5612</v>
      </c>
    </row>
    <row r="3178" spans="1:31" s="572" customFormat="1">
      <c r="A3178" s="570" t="s">
        <v>5613</v>
      </c>
      <c r="B3178" s="573" t="s">
        <v>3315</v>
      </c>
      <c r="C3178" s="578" t="s">
        <v>227</v>
      </c>
      <c r="D3178" s="573" t="s">
        <v>3374</v>
      </c>
      <c r="E3178" s="573" t="s">
        <v>152</v>
      </c>
      <c r="F3178" s="573" t="s">
        <v>3265</v>
      </c>
      <c r="G3178" s="573">
        <v>2019</v>
      </c>
      <c r="H3178" s="573" t="s">
        <v>5502</v>
      </c>
      <c r="I3178" s="573" t="s">
        <v>5470</v>
      </c>
      <c r="J3178" s="573" t="s">
        <v>752</v>
      </c>
      <c r="K3178" s="573">
        <v>6</v>
      </c>
      <c r="L3178" s="573">
        <v>0</v>
      </c>
      <c r="M3178" s="573" t="s">
        <v>157</v>
      </c>
      <c r="N3178" s="573">
        <v>2</v>
      </c>
      <c r="O3178" s="573" t="s">
        <v>5458</v>
      </c>
      <c r="P3178" s="571">
        <v>8040</v>
      </c>
      <c r="Q3178" s="573" t="s">
        <v>5509</v>
      </c>
      <c r="R3178" s="573">
        <v>8</v>
      </c>
      <c r="S3178" s="582" t="s">
        <v>5476</v>
      </c>
      <c r="T3178" s="573" t="s">
        <v>5586</v>
      </c>
      <c r="U3178" s="573">
        <v>140</v>
      </c>
      <c r="V3178" s="573">
        <v>26</v>
      </c>
      <c r="W3178" s="616">
        <v>6800</v>
      </c>
      <c r="X3178" s="617">
        <v>17</v>
      </c>
      <c r="Y3178" s="617" t="s">
        <v>178</v>
      </c>
      <c r="Z3178" s="617" t="s">
        <v>178</v>
      </c>
      <c r="AA3178" s="618">
        <v>38340</v>
      </c>
      <c r="AB3178" s="618" t="s">
        <v>164</v>
      </c>
      <c r="AC3178" s="618">
        <v>25063</v>
      </c>
      <c r="AD3178" s="619">
        <v>6.25E-2</v>
      </c>
      <c r="AE3178" s="617" t="s">
        <v>5614</v>
      </c>
    </row>
    <row r="3179" spans="1:31" s="572" customFormat="1">
      <c r="A3179" s="570" t="s">
        <v>5615</v>
      </c>
      <c r="B3179" s="569" t="s">
        <v>226</v>
      </c>
      <c r="C3179" s="580" t="s">
        <v>227</v>
      </c>
      <c r="D3179" s="569" t="s">
        <v>3374</v>
      </c>
      <c r="E3179" s="569" t="s">
        <v>152</v>
      </c>
      <c r="F3179" s="569" t="s">
        <v>3265</v>
      </c>
      <c r="G3179" s="569">
        <v>2019</v>
      </c>
      <c r="H3179" s="569" t="s">
        <v>5502</v>
      </c>
      <c r="I3179" s="569" t="s">
        <v>5481</v>
      </c>
      <c r="J3179" s="569" t="s">
        <v>3377</v>
      </c>
      <c r="K3179" s="569">
        <v>3</v>
      </c>
      <c r="L3179" s="569">
        <v>0</v>
      </c>
      <c r="M3179" s="569" t="s">
        <v>157</v>
      </c>
      <c r="N3179" s="569">
        <v>1</v>
      </c>
      <c r="O3179" s="569" t="s">
        <v>5405</v>
      </c>
      <c r="P3179" s="568">
        <v>4940</v>
      </c>
      <c r="Q3179" s="569" t="s">
        <v>5503</v>
      </c>
      <c r="R3179" s="569">
        <v>6</v>
      </c>
      <c r="S3179" s="569" t="s">
        <v>5482</v>
      </c>
      <c r="T3179" s="569" t="s">
        <v>5452</v>
      </c>
      <c r="U3179" s="569">
        <v>120</v>
      </c>
      <c r="V3179" s="569">
        <v>26</v>
      </c>
      <c r="W3179" s="620">
        <v>6025</v>
      </c>
      <c r="X3179" s="621">
        <v>20</v>
      </c>
      <c r="Y3179" s="621" t="s">
        <v>450</v>
      </c>
      <c r="Z3179" s="621" t="s">
        <v>178</v>
      </c>
      <c r="AA3179" s="622">
        <v>28990</v>
      </c>
      <c r="AB3179" s="622" t="s">
        <v>164</v>
      </c>
      <c r="AC3179" s="622">
        <v>18547</v>
      </c>
      <c r="AD3179" s="623">
        <v>6.25E-2</v>
      </c>
      <c r="AE3179" s="621" t="s">
        <v>5616</v>
      </c>
    </row>
    <row r="3180" spans="1:31" s="572" customFormat="1">
      <c r="A3180" s="570" t="s">
        <v>5617</v>
      </c>
      <c r="B3180" s="573" t="s">
        <v>226</v>
      </c>
      <c r="C3180" s="578" t="s">
        <v>227</v>
      </c>
      <c r="D3180" s="573" t="s">
        <v>3374</v>
      </c>
      <c r="E3180" s="573" t="s">
        <v>152</v>
      </c>
      <c r="F3180" s="573" t="s">
        <v>3265</v>
      </c>
      <c r="G3180" s="573">
        <v>2019</v>
      </c>
      <c r="H3180" s="573" t="s">
        <v>5502</v>
      </c>
      <c r="I3180" s="573" t="s">
        <v>5481</v>
      </c>
      <c r="J3180" s="573" t="s">
        <v>3377</v>
      </c>
      <c r="K3180" s="573">
        <v>3</v>
      </c>
      <c r="L3180" s="573">
        <v>0</v>
      </c>
      <c r="M3180" s="573" t="s">
        <v>157</v>
      </c>
      <c r="N3180" s="573">
        <v>1</v>
      </c>
      <c r="O3180" s="573" t="s">
        <v>5458</v>
      </c>
      <c r="P3180" s="571">
        <v>9210</v>
      </c>
      <c r="Q3180" s="573" t="s">
        <v>5515</v>
      </c>
      <c r="R3180" s="573">
        <v>8</v>
      </c>
      <c r="S3180" s="582" t="s">
        <v>5482</v>
      </c>
      <c r="T3180" s="573" t="s">
        <v>5455</v>
      </c>
      <c r="U3180" s="573">
        <v>120</v>
      </c>
      <c r="V3180" s="573">
        <v>26</v>
      </c>
      <c r="W3180" s="616">
        <v>6350</v>
      </c>
      <c r="X3180" s="617">
        <v>17</v>
      </c>
      <c r="Y3180" s="617" t="s">
        <v>178</v>
      </c>
      <c r="Z3180" s="617" t="s">
        <v>178</v>
      </c>
      <c r="AA3180" s="618">
        <v>31035</v>
      </c>
      <c r="AB3180" s="618" t="s">
        <v>164</v>
      </c>
      <c r="AC3180" s="618">
        <v>20376</v>
      </c>
      <c r="AD3180" s="619">
        <v>6.25E-2</v>
      </c>
      <c r="AE3180" s="617" t="s">
        <v>5618</v>
      </c>
    </row>
    <row r="3181" spans="1:31" s="572" customFormat="1">
      <c r="A3181" s="570" t="s">
        <v>5619</v>
      </c>
      <c r="B3181" s="569" t="s">
        <v>226</v>
      </c>
      <c r="C3181" s="580" t="s">
        <v>227</v>
      </c>
      <c r="D3181" s="569" t="s">
        <v>3374</v>
      </c>
      <c r="E3181" s="569" t="s">
        <v>152</v>
      </c>
      <c r="F3181" s="569" t="s">
        <v>3265</v>
      </c>
      <c r="G3181" s="569">
        <v>2019</v>
      </c>
      <c r="H3181" s="569" t="s">
        <v>5502</v>
      </c>
      <c r="I3181" s="569" t="s">
        <v>5481</v>
      </c>
      <c r="J3181" s="569" t="s">
        <v>3377</v>
      </c>
      <c r="K3181" s="569">
        <v>3</v>
      </c>
      <c r="L3181" s="569">
        <v>0</v>
      </c>
      <c r="M3181" s="569" t="s">
        <v>157</v>
      </c>
      <c r="N3181" s="569">
        <v>1</v>
      </c>
      <c r="O3181" s="569" t="s">
        <v>3846</v>
      </c>
      <c r="P3181" s="568">
        <v>4770</v>
      </c>
      <c r="Q3181" s="569" t="s">
        <v>5503</v>
      </c>
      <c r="R3181" s="569">
        <v>6</v>
      </c>
      <c r="S3181" s="569" t="s">
        <v>5487</v>
      </c>
      <c r="T3181" s="569" t="s">
        <v>5452</v>
      </c>
      <c r="U3181" s="569">
        <v>140</v>
      </c>
      <c r="V3181" s="569">
        <v>32</v>
      </c>
      <c r="W3181" s="620">
        <v>6600</v>
      </c>
      <c r="X3181" s="621">
        <v>20</v>
      </c>
      <c r="Y3181" s="621" t="s">
        <v>450</v>
      </c>
      <c r="Z3181" s="621" t="s">
        <v>178</v>
      </c>
      <c r="AA3181" s="622">
        <v>28990</v>
      </c>
      <c r="AB3181" s="622" t="s">
        <v>164</v>
      </c>
      <c r="AC3181" s="622">
        <v>18547</v>
      </c>
      <c r="AD3181" s="623">
        <v>6.25E-2</v>
      </c>
      <c r="AE3181" s="621" t="s">
        <v>5620</v>
      </c>
    </row>
    <row r="3182" spans="1:31" s="572" customFormat="1">
      <c r="A3182" s="570" t="s">
        <v>5621</v>
      </c>
      <c r="B3182" s="573" t="s">
        <v>226</v>
      </c>
      <c r="C3182" s="578" t="s">
        <v>227</v>
      </c>
      <c r="D3182" s="573" t="s">
        <v>3374</v>
      </c>
      <c r="E3182" s="573" t="s">
        <v>152</v>
      </c>
      <c r="F3182" s="573" t="s">
        <v>3265</v>
      </c>
      <c r="G3182" s="573">
        <v>2019</v>
      </c>
      <c r="H3182" s="573" t="s">
        <v>5502</v>
      </c>
      <c r="I3182" s="573" t="s">
        <v>5481</v>
      </c>
      <c r="J3182" s="573" t="s">
        <v>3377</v>
      </c>
      <c r="K3182" s="573">
        <v>3</v>
      </c>
      <c r="L3182" s="573">
        <v>0</v>
      </c>
      <c r="M3182" s="573" t="s">
        <v>157</v>
      </c>
      <c r="N3182" s="573">
        <v>1</v>
      </c>
      <c r="O3182" s="573" t="s">
        <v>3846</v>
      </c>
      <c r="P3182" s="571">
        <v>8450</v>
      </c>
      <c r="Q3182" s="573" t="s">
        <v>5509</v>
      </c>
      <c r="R3182" s="573">
        <v>8</v>
      </c>
      <c r="S3182" s="582" t="s">
        <v>5487</v>
      </c>
      <c r="T3182" s="573" t="s">
        <v>5455</v>
      </c>
      <c r="U3182" s="573">
        <v>140</v>
      </c>
      <c r="V3182" s="573">
        <v>32</v>
      </c>
      <c r="W3182" s="616">
        <v>6600</v>
      </c>
      <c r="X3182" s="617">
        <v>20</v>
      </c>
      <c r="Y3182" s="617" t="s">
        <v>178</v>
      </c>
      <c r="Z3182" s="617" t="s">
        <v>178</v>
      </c>
      <c r="AA3182" s="618">
        <v>30940</v>
      </c>
      <c r="AB3182" s="618" t="s">
        <v>164</v>
      </c>
      <c r="AC3182" s="618">
        <v>20287</v>
      </c>
      <c r="AD3182" s="619">
        <v>6.25E-2</v>
      </c>
      <c r="AE3182" s="617" t="s">
        <v>5622</v>
      </c>
    </row>
    <row r="3183" spans="1:31" s="572" customFormat="1">
      <c r="A3183" s="570" t="s">
        <v>5623</v>
      </c>
      <c r="B3183" s="569" t="s">
        <v>3315</v>
      </c>
      <c r="C3183" s="580" t="s">
        <v>227</v>
      </c>
      <c r="D3183" s="569" t="s">
        <v>3374</v>
      </c>
      <c r="E3183" s="569" t="s">
        <v>152</v>
      </c>
      <c r="F3183" s="569" t="s">
        <v>3265</v>
      </c>
      <c r="G3183" s="569">
        <v>2019</v>
      </c>
      <c r="H3183" s="569" t="s">
        <v>5502</v>
      </c>
      <c r="I3183" s="569" t="s">
        <v>5481</v>
      </c>
      <c r="J3183" s="569" t="s">
        <v>3377</v>
      </c>
      <c r="K3183" s="569">
        <v>3</v>
      </c>
      <c r="L3183" s="569">
        <v>0</v>
      </c>
      <c r="M3183" s="569" t="s">
        <v>157</v>
      </c>
      <c r="N3183" s="569">
        <v>1</v>
      </c>
      <c r="O3183" s="569" t="s">
        <v>5458</v>
      </c>
      <c r="P3183" s="568">
        <v>8660</v>
      </c>
      <c r="Q3183" s="569" t="s">
        <v>5509</v>
      </c>
      <c r="R3183" s="569">
        <v>8</v>
      </c>
      <c r="S3183" s="569" t="s">
        <v>5482</v>
      </c>
      <c r="T3183" s="569" t="s">
        <v>5455</v>
      </c>
      <c r="U3183" s="569">
        <v>140.5</v>
      </c>
      <c r="V3183" s="569">
        <v>26</v>
      </c>
      <c r="W3183" s="620">
        <v>6025</v>
      </c>
      <c r="X3183" s="621">
        <v>17</v>
      </c>
      <c r="Y3183" s="621" t="s">
        <v>178</v>
      </c>
      <c r="Z3183" s="621" t="s">
        <v>178</v>
      </c>
      <c r="AA3183" s="622">
        <v>30940</v>
      </c>
      <c r="AB3183" s="622" t="s">
        <v>164</v>
      </c>
      <c r="AC3183" s="622">
        <v>20281</v>
      </c>
      <c r="AD3183" s="623">
        <v>6.25E-2</v>
      </c>
      <c r="AE3183" s="621" t="s">
        <v>5624</v>
      </c>
    </row>
    <row r="3184" spans="1:31" s="572" customFormat="1">
      <c r="A3184" s="570" t="s">
        <v>5625</v>
      </c>
      <c r="B3184" s="573" t="s">
        <v>3315</v>
      </c>
      <c r="C3184" s="578" t="s">
        <v>227</v>
      </c>
      <c r="D3184" s="573" t="s">
        <v>3374</v>
      </c>
      <c r="E3184" s="573" t="s">
        <v>152</v>
      </c>
      <c r="F3184" s="573" t="s">
        <v>3265</v>
      </c>
      <c r="G3184" s="573">
        <v>2019</v>
      </c>
      <c r="H3184" s="573" t="s">
        <v>5502</v>
      </c>
      <c r="I3184" s="573" t="s">
        <v>5481</v>
      </c>
      <c r="J3184" s="573" t="s">
        <v>3377</v>
      </c>
      <c r="K3184" s="573">
        <v>3</v>
      </c>
      <c r="L3184" s="573">
        <v>0</v>
      </c>
      <c r="M3184" s="573" t="s">
        <v>157</v>
      </c>
      <c r="N3184" s="573">
        <v>1</v>
      </c>
      <c r="O3184" s="573" t="s">
        <v>3846</v>
      </c>
      <c r="P3184" s="571">
        <v>10620</v>
      </c>
      <c r="Q3184" s="573" t="s">
        <v>5515</v>
      </c>
      <c r="R3184" s="573">
        <v>8</v>
      </c>
      <c r="S3184" s="582" t="s">
        <v>5487</v>
      </c>
      <c r="T3184" s="573" t="s">
        <v>5586</v>
      </c>
      <c r="U3184" s="573">
        <v>140</v>
      </c>
      <c r="V3184" s="573">
        <v>32</v>
      </c>
      <c r="W3184" s="616">
        <v>6600</v>
      </c>
      <c r="X3184" s="617">
        <v>17</v>
      </c>
      <c r="Y3184" s="617" t="s">
        <v>178</v>
      </c>
      <c r="Z3184" s="617" t="s">
        <v>178</v>
      </c>
      <c r="AA3184" s="618">
        <v>31035</v>
      </c>
      <c r="AB3184" s="618" t="s">
        <v>164</v>
      </c>
      <c r="AC3184" s="618">
        <v>20382</v>
      </c>
      <c r="AD3184" s="619">
        <v>6.25E-2</v>
      </c>
      <c r="AE3184" s="617" t="s">
        <v>5626</v>
      </c>
    </row>
    <row r="3185" spans="1:31" s="572" customFormat="1">
      <c r="A3185" s="570" t="s">
        <v>5627</v>
      </c>
      <c r="B3185" s="569" t="s">
        <v>3315</v>
      </c>
      <c r="C3185" s="580" t="s">
        <v>227</v>
      </c>
      <c r="D3185" s="569" t="s">
        <v>3374</v>
      </c>
      <c r="E3185" s="569" t="s">
        <v>152</v>
      </c>
      <c r="F3185" s="569" t="s">
        <v>3265</v>
      </c>
      <c r="G3185" s="569">
        <v>2019</v>
      </c>
      <c r="H3185" s="569" t="s">
        <v>5502</v>
      </c>
      <c r="I3185" s="569" t="s">
        <v>5481</v>
      </c>
      <c r="J3185" s="569" t="s">
        <v>3377</v>
      </c>
      <c r="K3185" s="569">
        <v>3</v>
      </c>
      <c r="L3185" s="569">
        <v>0</v>
      </c>
      <c r="M3185" s="569" t="s">
        <v>157</v>
      </c>
      <c r="N3185" s="569">
        <v>1</v>
      </c>
      <c r="O3185" s="569" t="s">
        <v>3846</v>
      </c>
      <c r="P3185" s="568">
        <v>7260</v>
      </c>
      <c r="Q3185" s="569" t="s">
        <v>5531</v>
      </c>
      <c r="R3185" s="569">
        <v>6</v>
      </c>
      <c r="S3185" s="569" t="s">
        <v>5487</v>
      </c>
      <c r="T3185" s="569" t="s">
        <v>5452</v>
      </c>
      <c r="U3185" s="569">
        <v>140</v>
      </c>
      <c r="V3185" s="569">
        <v>32</v>
      </c>
      <c r="W3185" s="620">
        <v>6600</v>
      </c>
      <c r="X3185" s="621">
        <v>20</v>
      </c>
      <c r="Y3185" s="621" t="s">
        <v>450</v>
      </c>
      <c r="Z3185" s="621" t="s">
        <v>178</v>
      </c>
      <c r="AA3185" s="622">
        <v>29085</v>
      </c>
      <c r="AB3185" s="622" t="s">
        <v>164</v>
      </c>
      <c r="AC3185" s="622">
        <v>18642</v>
      </c>
      <c r="AD3185" s="623">
        <v>6.25E-2</v>
      </c>
      <c r="AE3185" s="621" t="s">
        <v>5628</v>
      </c>
    </row>
    <row r="3186" spans="1:31" s="572" customFormat="1">
      <c r="A3186" s="570" t="s">
        <v>5629</v>
      </c>
      <c r="B3186" s="573" t="s">
        <v>226</v>
      </c>
      <c r="C3186" s="578" t="s">
        <v>227</v>
      </c>
      <c r="D3186" s="573" t="s">
        <v>3374</v>
      </c>
      <c r="E3186" s="573" t="s">
        <v>152</v>
      </c>
      <c r="F3186" s="573" t="s">
        <v>3265</v>
      </c>
      <c r="G3186" s="573">
        <v>2019</v>
      </c>
      <c r="H3186" s="573" t="s">
        <v>5502</v>
      </c>
      <c r="I3186" s="573" t="s">
        <v>5481</v>
      </c>
      <c r="J3186" s="573" t="s">
        <v>752</v>
      </c>
      <c r="K3186" s="573">
        <v>3</v>
      </c>
      <c r="L3186" s="573">
        <v>0</v>
      </c>
      <c r="M3186" s="573" t="s">
        <v>157</v>
      </c>
      <c r="N3186" s="573">
        <v>1</v>
      </c>
      <c r="O3186" s="573" t="s">
        <v>5405</v>
      </c>
      <c r="P3186" s="571">
        <v>4740</v>
      </c>
      <c r="Q3186" s="573" t="s">
        <v>5503</v>
      </c>
      <c r="R3186" s="573">
        <v>6</v>
      </c>
      <c r="S3186" s="582" t="s">
        <v>5492</v>
      </c>
      <c r="T3186" s="573" t="s">
        <v>5452</v>
      </c>
      <c r="U3186" s="573">
        <v>120</v>
      </c>
      <c r="V3186" s="573">
        <v>26</v>
      </c>
      <c r="W3186" s="616">
        <v>6300</v>
      </c>
      <c r="X3186" s="617">
        <v>19</v>
      </c>
      <c r="Y3186" s="617" t="s">
        <v>450</v>
      </c>
      <c r="Z3186" s="617" t="s">
        <v>178</v>
      </c>
      <c r="AA3186" s="618">
        <v>35590</v>
      </c>
      <c r="AB3186" s="618" t="s">
        <v>164</v>
      </c>
      <c r="AC3186" s="618">
        <v>21576</v>
      </c>
      <c r="AD3186" s="619">
        <v>6.25E-2</v>
      </c>
      <c r="AE3186" s="617" t="s">
        <v>5630</v>
      </c>
    </row>
    <row r="3187" spans="1:31" s="572" customFormat="1">
      <c r="A3187" s="570" t="s">
        <v>5631</v>
      </c>
      <c r="B3187" s="569" t="s">
        <v>226</v>
      </c>
      <c r="C3187" s="580" t="s">
        <v>227</v>
      </c>
      <c r="D3187" s="569" t="s">
        <v>3374</v>
      </c>
      <c r="E3187" s="569" t="s">
        <v>152</v>
      </c>
      <c r="F3187" s="569" t="s">
        <v>3265</v>
      </c>
      <c r="G3187" s="569">
        <v>2019</v>
      </c>
      <c r="H3187" s="569" t="s">
        <v>5502</v>
      </c>
      <c r="I3187" s="569" t="s">
        <v>5481</v>
      </c>
      <c r="J3187" s="569" t="s">
        <v>752</v>
      </c>
      <c r="K3187" s="569">
        <v>3</v>
      </c>
      <c r="L3187" s="569">
        <v>0</v>
      </c>
      <c r="M3187" s="569" t="s">
        <v>157</v>
      </c>
      <c r="N3187" s="569">
        <v>1</v>
      </c>
      <c r="O3187" s="569" t="s">
        <v>5458</v>
      </c>
      <c r="P3187" s="568">
        <v>8380</v>
      </c>
      <c r="Q3187" s="569" t="s">
        <v>5509</v>
      </c>
      <c r="R3187" s="569">
        <v>8</v>
      </c>
      <c r="S3187" s="569" t="s">
        <v>5492</v>
      </c>
      <c r="T3187" s="569" t="s">
        <v>5455</v>
      </c>
      <c r="U3187" s="569">
        <v>120</v>
      </c>
      <c r="V3187" s="569">
        <v>26</v>
      </c>
      <c r="W3187" s="620">
        <v>6300</v>
      </c>
      <c r="X3187" s="621">
        <v>17</v>
      </c>
      <c r="Y3187" s="621" t="s">
        <v>178</v>
      </c>
      <c r="Z3187" s="621" t="s">
        <v>178</v>
      </c>
      <c r="AA3187" s="622">
        <v>35540</v>
      </c>
      <c r="AB3187" s="622" t="s">
        <v>164</v>
      </c>
      <c r="AC3187" s="622">
        <v>23310</v>
      </c>
      <c r="AD3187" s="623">
        <v>6.25E-2</v>
      </c>
      <c r="AE3187" s="621" t="s">
        <v>5632</v>
      </c>
    </row>
    <row r="3188" spans="1:31" s="572" customFormat="1">
      <c r="A3188" s="570" t="s">
        <v>5633</v>
      </c>
      <c r="B3188" s="573" t="s">
        <v>226</v>
      </c>
      <c r="C3188" s="578" t="s">
        <v>227</v>
      </c>
      <c r="D3188" s="573" t="s">
        <v>3374</v>
      </c>
      <c r="E3188" s="573" t="s">
        <v>152</v>
      </c>
      <c r="F3188" s="573" t="s">
        <v>3265</v>
      </c>
      <c r="G3188" s="573">
        <v>2019</v>
      </c>
      <c r="H3188" s="573" t="s">
        <v>5502</v>
      </c>
      <c r="I3188" s="573" t="s">
        <v>5481</v>
      </c>
      <c r="J3188" s="573" t="s">
        <v>752</v>
      </c>
      <c r="K3188" s="573">
        <v>3</v>
      </c>
      <c r="L3188" s="573">
        <v>0</v>
      </c>
      <c r="M3188" s="573" t="s">
        <v>157</v>
      </c>
      <c r="N3188" s="573">
        <v>1</v>
      </c>
      <c r="O3188" s="573" t="s">
        <v>3846</v>
      </c>
      <c r="P3188" s="571">
        <v>4570</v>
      </c>
      <c r="Q3188" s="573" t="s">
        <v>5503</v>
      </c>
      <c r="R3188" s="573">
        <v>6</v>
      </c>
      <c r="S3188" s="582" t="s">
        <v>5497</v>
      </c>
      <c r="T3188" s="573" t="s">
        <v>5452</v>
      </c>
      <c r="U3188" s="573">
        <v>140</v>
      </c>
      <c r="V3188" s="573">
        <v>32</v>
      </c>
      <c r="W3188" s="616">
        <v>6600</v>
      </c>
      <c r="X3188" s="617">
        <v>19</v>
      </c>
      <c r="Y3188" s="617" t="s">
        <v>450</v>
      </c>
      <c r="Z3188" s="617" t="s">
        <v>178</v>
      </c>
      <c r="AA3188" s="618">
        <v>33590</v>
      </c>
      <c r="AB3188" s="618" t="s">
        <v>164</v>
      </c>
      <c r="AC3188" s="618">
        <v>21576</v>
      </c>
      <c r="AD3188" s="619">
        <v>6.25E-2</v>
      </c>
      <c r="AE3188" s="617" t="s">
        <v>5634</v>
      </c>
    </row>
    <row r="3189" spans="1:31" s="572" customFormat="1">
      <c r="A3189" s="570" t="s">
        <v>5635</v>
      </c>
      <c r="B3189" s="569" t="s">
        <v>226</v>
      </c>
      <c r="C3189" s="580" t="s">
        <v>227</v>
      </c>
      <c r="D3189" s="569" t="s">
        <v>3374</v>
      </c>
      <c r="E3189" s="569" t="s">
        <v>152</v>
      </c>
      <c r="F3189" s="569" t="s">
        <v>3265</v>
      </c>
      <c r="G3189" s="569">
        <v>2019</v>
      </c>
      <c r="H3189" s="569" t="s">
        <v>5502</v>
      </c>
      <c r="I3189" s="569" t="s">
        <v>5481</v>
      </c>
      <c r="J3189" s="569" t="s">
        <v>752</v>
      </c>
      <c r="K3189" s="569">
        <v>3</v>
      </c>
      <c r="L3189" s="569">
        <v>0</v>
      </c>
      <c r="M3189" s="569" t="s">
        <v>157</v>
      </c>
      <c r="N3189" s="569">
        <v>1</v>
      </c>
      <c r="O3189" s="569" t="s">
        <v>3846</v>
      </c>
      <c r="P3189" s="568">
        <v>8250</v>
      </c>
      <c r="Q3189" s="569" t="s">
        <v>5509</v>
      </c>
      <c r="R3189" s="569">
        <v>8</v>
      </c>
      <c r="S3189" s="569" t="s">
        <v>5497</v>
      </c>
      <c r="T3189" s="569" t="s">
        <v>5455</v>
      </c>
      <c r="U3189" s="569">
        <v>140</v>
      </c>
      <c r="V3189" s="569">
        <v>32</v>
      </c>
      <c r="W3189" s="620">
        <v>6600</v>
      </c>
      <c r="X3189" s="621">
        <v>17</v>
      </c>
      <c r="Y3189" s="621" t="s">
        <v>178</v>
      </c>
      <c r="Z3189" s="621" t="s">
        <v>178</v>
      </c>
      <c r="AA3189" s="622">
        <v>35540</v>
      </c>
      <c r="AB3189" s="622" t="s">
        <v>164</v>
      </c>
      <c r="AC3189" s="622">
        <v>23310</v>
      </c>
      <c r="AD3189" s="623">
        <v>6.25E-2</v>
      </c>
      <c r="AE3189" s="621" t="s">
        <v>5636</v>
      </c>
    </row>
    <row r="3190" spans="1:31" s="572" customFormat="1">
      <c r="A3190" s="570" t="s">
        <v>5637</v>
      </c>
      <c r="B3190" s="573" t="s">
        <v>3315</v>
      </c>
      <c r="C3190" s="578" t="s">
        <v>227</v>
      </c>
      <c r="D3190" s="573" t="s">
        <v>3374</v>
      </c>
      <c r="E3190" s="573" t="s">
        <v>152</v>
      </c>
      <c r="F3190" s="573" t="s">
        <v>3265</v>
      </c>
      <c r="G3190" s="573">
        <v>2019</v>
      </c>
      <c r="H3190" s="573" t="s">
        <v>5502</v>
      </c>
      <c r="I3190" s="573" t="s">
        <v>5481</v>
      </c>
      <c r="J3190" s="573" t="s">
        <v>752</v>
      </c>
      <c r="K3190" s="573">
        <v>3</v>
      </c>
      <c r="L3190" s="573">
        <v>0</v>
      </c>
      <c r="M3190" s="573" t="s">
        <v>157</v>
      </c>
      <c r="N3190" s="573">
        <v>1</v>
      </c>
      <c r="O3190" s="573" t="s">
        <v>5458</v>
      </c>
      <c r="P3190" s="571">
        <v>8930</v>
      </c>
      <c r="Q3190" s="573" t="s">
        <v>5515</v>
      </c>
      <c r="R3190" s="573">
        <v>8</v>
      </c>
      <c r="S3190" s="582" t="s">
        <v>5492</v>
      </c>
      <c r="T3190" s="573" t="s">
        <v>5586</v>
      </c>
      <c r="U3190" s="573">
        <v>120</v>
      </c>
      <c r="V3190" s="573">
        <v>26</v>
      </c>
      <c r="W3190" s="616">
        <v>6350</v>
      </c>
      <c r="X3190" s="617">
        <v>19</v>
      </c>
      <c r="Y3190" s="617" t="s">
        <v>178</v>
      </c>
      <c r="Z3190" s="617" t="s">
        <v>178</v>
      </c>
      <c r="AA3190" s="618">
        <v>35635</v>
      </c>
      <c r="AB3190" s="618" t="s">
        <v>164</v>
      </c>
      <c r="AC3190" s="618">
        <v>23405</v>
      </c>
      <c r="AD3190" s="619">
        <v>6.25E-2</v>
      </c>
      <c r="AE3190" s="617" t="s">
        <v>5638</v>
      </c>
    </row>
    <row r="3191" spans="1:31" s="572" customFormat="1">
      <c r="A3191" s="570" t="s">
        <v>5639</v>
      </c>
      <c r="B3191" s="569" t="s">
        <v>3315</v>
      </c>
      <c r="C3191" s="580" t="s">
        <v>227</v>
      </c>
      <c r="D3191" s="569" t="s">
        <v>3374</v>
      </c>
      <c r="E3191" s="569" t="s">
        <v>152</v>
      </c>
      <c r="F3191" s="569" t="s">
        <v>3265</v>
      </c>
      <c r="G3191" s="569">
        <v>2019</v>
      </c>
      <c r="H3191" s="569" t="s">
        <v>5502</v>
      </c>
      <c r="I3191" s="569" t="s">
        <v>5481</v>
      </c>
      <c r="J3191" s="569" t="s">
        <v>752</v>
      </c>
      <c r="K3191" s="569">
        <v>3</v>
      </c>
      <c r="L3191" s="569">
        <v>0</v>
      </c>
      <c r="M3191" s="569" t="s">
        <v>157</v>
      </c>
      <c r="N3191" s="569">
        <v>1</v>
      </c>
      <c r="O3191" s="569" t="s">
        <v>3846</v>
      </c>
      <c r="P3191" s="568">
        <v>10430</v>
      </c>
      <c r="Q3191" s="569" t="s">
        <v>5515</v>
      </c>
      <c r="R3191" s="569">
        <v>8</v>
      </c>
      <c r="S3191" s="569" t="s">
        <v>5497</v>
      </c>
      <c r="T3191" s="569" t="s">
        <v>5586</v>
      </c>
      <c r="U3191" s="569">
        <v>140.5</v>
      </c>
      <c r="V3191" s="569">
        <v>32</v>
      </c>
      <c r="W3191" s="620">
        <v>6800</v>
      </c>
      <c r="X3191" s="621">
        <v>19</v>
      </c>
      <c r="Y3191" s="621" t="s">
        <v>178</v>
      </c>
      <c r="Z3191" s="621" t="s">
        <v>178</v>
      </c>
      <c r="AA3191" s="622">
        <v>35635</v>
      </c>
      <c r="AB3191" s="622" t="s">
        <v>164</v>
      </c>
      <c r="AC3191" s="622">
        <v>23405</v>
      </c>
      <c r="AD3191" s="623">
        <v>6.25E-2</v>
      </c>
      <c r="AE3191" s="621" t="s">
        <v>5640</v>
      </c>
    </row>
    <row r="3192" spans="1:31" s="572" customFormat="1">
      <c r="A3192" s="570" t="s">
        <v>5641</v>
      </c>
      <c r="B3192" s="573" t="s">
        <v>3315</v>
      </c>
      <c r="C3192" s="578" t="s">
        <v>227</v>
      </c>
      <c r="D3192" s="573" t="s">
        <v>3374</v>
      </c>
      <c r="E3192" s="573" t="s">
        <v>152</v>
      </c>
      <c r="F3192" s="573" t="s">
        <v>3265</v>
      </c>
      <c r="G3192" s="573">
        <v>2019</v>
      </c>
      <c r="H3192" s="573" t="s">
        <v>5502</v>
      </c>
      <c r="I3192" s="573" t="s">
        <v>5481</v>
      </c>
      <c r="J3192" s="573" t="s">
        <v>752</v>
      </c>
      <c r="K3192" s="573">
        <v>3</v>
      </c>
      <c r="L3192" s="573">
        <v>0</v>
      </c>
      <c r="M3192" s="573" t="s">
        <v>157</v>
      </c>
      <c r="N3192" s="573">
        <v>1</v>
      </c>
      <c r="O3192" s="573" t="s">
        <v>3846</v>
      </c>
      <c r="P3192" s="571">
        <v>7070</v>
      </c>
      <c r="Q3192" s="573" t="s">
        <v>5512</v>
      </c>
      <c r="R3192" s="573">
        <v>6</v>
      </c>
      <c r="S3192" s="582" t="s">
        <v>5497</v>
      </c>
      <c r="T3192" s="573" t="s">
        <v>5452</v>
      </c>
      <c r="U3192" s="573">
        <v>140.5</v>
      </c>
      <c r="V3192" s="573">
        <v>32</v>
      </c>
      <c r="W3192" s="616">
        <v>6800</v>
      </c>
      <c r="X3192" s="617">
        <v>19</v>
      </c>
      <c r="Y3192" s="617" t="s">
        <v>450</v>
      </c>
      <c r="Z3192" s="617" t="s">
        <v>178</v>
      </c>
      <c r="AA3192" s="618">
        <v>33685</v>
      </c>
      <c r="AB3192" s="618" t="s">
        <v>164</v>
      </c>
      <c r="AC3192" s="618">
        <v>21671</v>
      </c>
      <c r="AD3192" s="619">
        <v>6.25E-2</v>
      </c>
      <c r="AE3192" s="617" t="s">
        <v>5642</v>
      </c>
    </row>
    <row r="3193" spans="1:31" s="572" customFormat="1">
      <c r="A3193" s="570" t="s">
        <v>5643</v>
      </c>
      <c r="B3193" s="569" t="s">
        <v>226</v>
      </c>
      <c r="C3193" s="580" t="s">
        <v>227</v>
      </c>
      <c r="D3193" s="569" t="s">
        <v>3374</v>
      </c>
      <c r="E3193" s="569" t="s">
        <v>196</v>
      </c>
      <c r="F3193" s="569" t="s">
        <v>3265</v>
      </c>
      <c r="G3193" s="569">
        <v>2019</v>
      </c>
      <c r="H3193" s="569" t="s">
        <v>5645</v>
      </c>
      <c r="I3193" s="569" t="s">
        <v>5412</v>
      </c>
      <c r="J3193" s="569" t="s">
        <v>3377</v>
      </c>
      <c r="K3193" s="569">
        <v>6</v>
      </c>
      <c r="L3193" s="569">
        <v>0</v>
      </c>
      <c r="M3193" s="569" t="s">
        <v>157</v>
      </c>
      <c r="N3193" s="569">
        <v>2</v>
      </c>
      <c r="O3193" s="569" t="s">
        <v>5405</v>
      </c>
      <c r="P3193" s="568">
        <v>17450</v>
      </c>
      <c r="Q3193" s="569" t="s">
        <v>5646</v>
      </c>
      <c r="R3193" s="569">
        <v>8</v>
      </c>
      <c r="S3193" s="569" t="s">
        <v>5647</v>
      </c>
      <c r="T3193" s="569" t="s">
        <v>5398</v>
      </c>
      <c r="U3193" s="569">
        <v>149.4</v>
      </c>
      <c r="V3193" s="569">
        <v>31</v>
      </c>
      <c r="W3193" s="620">
        <v>9000</v>
      </c>
      <c r="X3193" s="621">
        <v>15</v>
      </c>
      <c r="Y3193" s="621" t="s">
        <v>178</v>
      </c>
      <c r="Z3193" s="621" t="s">
        <v>178</v>
      </c>
      <c r="AA3193" s="622">
        <v>43140</v>
      </c>
      <c r="AB3193" s="622" t="s">
        <v>164</v>
      </c>
      <c r="AC3193" s="622">
        <v>35842</v>
      </c>
      <c r="AD3193" s="623">
        <v>6.25E-2</v>
      </c>
      <c r="AE3193" s="621" t="s">
        <v>5644</v>
      </c>
    </row>
    <row r="3194" spans="1:31" s="572" customFormat="1">
      <c r="A3194" s="570" t="s">
        <v>5648</v>
      </c>
      <c r="B3194" s="573" t="s">
        <v>226</v>
      </c>
      <c r="C3194" s="578" t="s">
        <v>227</v>
      </c>
      <c r="D3194" s="573" t="s">
        <v>3374</v>
      </c>
      <c r="E3194" s="573" t="s">
        <v>196</v>
      </c>
      <c r="F3194" s="573" t="s">
        <v>3265</v>
      </c>
      <c r="G3194" s="573">
        <v>2019</v>
      </c>
      <c r="H3194" s="573" t="s">
        <v>5645</v>
      </c>
      <c r="I3194" s="573" t="s">
        <v>5412</v>
      </c>
      <c r="J3194" s="573" t="s">
        <v>3377</v>
      </c>
      <c r="K3194" s="573">
        <v>6</v>
      </c>
      <c r="L3194" s="573">
        <v>0</v>
      </c>
      <c r="M3194" s="573" t="s">
        <v>157</v>
      </c>
      <c r="N3194" s="573">
        <v>2</v>
      </c>
      <c r="O3194" s="573" t="s">
        <v>5405</v>
      </c>
      <c r="P3194" s="571">
        <v>17450</v>
      </c>
      <c r="Q3194" s="573" t="s">
        <v>4231</v>
      </c>
      <c r="R3194" s="573">
        <v>8</v>
      </c>
      <c r="S3194" s="582" t="s">
        <v>5647</v>
      </c>
      <c r="T3194" s="573" t="s">
        <v>5650</v>
      </c>
      <c r="U3194" s="573">
        <v>149.4</v>
      </c>
      <c r="V3194" s="573">
        <v>31</v>
      </c>
      <c r="W3194" s="616">
        <v>9000</v>
      </c>
      <c r="X3194" s="617">
        <v>15</v>
      </c>
      <c r="Y3194" s="617" t="s">
        <v>728</v>
      </c>
      <c r="Z3194" s="617" t="s">
        <v>1523</v>
      </c>
      <c r="AA3194" s="618">
        <v>51840</v>
      </c>
      <c r="AB3194" s="618" t="s">
        <v>164</v>
      </c>
      <c r="AC3194" s="618">
        <v>43217</v>
      </c>
      <c r="AD3194" s="619">
        <v>6.25E-2</v>
      </c>
      <c r="AE3194" s="617" t="s">
        <v>5649</v>
      </c>
    </row>
    <row r="3195" spans="1:31" s="572" customFormat="1">
      <c r="A3195" s="570" t="s">
        <v>5651</v>
      </c>
      <c r="B3195" s="569" t="s">
        <v>226</v>
      </c>
      <c r="C3195" s="580" t="s">
        <v>227</v>
      </c>
      <c r="D3195" s="569" t="s">
        <v>3374</v>
      </c>
      <c r="E3195" s="569" t="s">
        <v>196</v>
      </c>
      <c r="F3195" s="569" t="s">
        <v>3265</v>
      </c>
      <c r="G3195" s="569">
        <v>2019</v>
      </c>
      <c r="H3195" s="569" t="s">
        <v>5645</v>
      </c>
      <c r="I3195" s="569" t="s">
        <v>5412</v>
      </c>
      <c r="J3195" s="569" t="s">
        <v>3377</v>
      </c>
      <c r="K3195" s="569">
        <v>6</v>
      </c>
      <c r="L3195" s="569">
        <v>0</v>
      </c>
      <c r="M3195" s="569" t="s">
        <v>157</v>
      </c>
      <c r="N3195" s="569">
        <v>2</v>
      </c>
      <c r="O3195" s="569" t="s">
        <v>3846</v>
      </c>
      <c r="P3195" s="568">
        <v>17320</v>
      </c>
      <c r="Q3195" s="569" t="s">
        <v>5646</v>
      </c>
      <c r="R3195" s="569">
        <v>8</v>
      </c>
      <c r="S3195" s="569" t="s">
        <v>5653</v>
      </c>
      <c r="T3195" s="569" t="s">
        <v>5398</v>
      </c>
      <c r="U3195" s="569">
        <v>169</v>
      </c>
      <c r="V3195" s="569">
        <v>32</v>
      </c>
      <c r="W3195" s="620">
        <v>9000</v>
      </c>
      <c r="X3195" s="621">
        <v>15</v>
      </c>
      <c r="Y3195" s="621" t="s">
        <v>178</v>
      </c>
      <c r="Z3195" s="621" t="s">
        <v>178</v>
      </c>
      <c r="AA3195" s="622">
        <v>43340</v>
      </c>
      <c r="AB3195" s="622" t="s">
        <v>164</v>
      </c>
      <c r="AC3195" s="622">
        <v>36019</v>
      </c>
      <c r="AD3195" s="623">
        <v>6.25E-2</v>
      </c>
      <c r="AE3195" s="621" t="s">
        <v>5652</v>
      </c>
    </row>
    <row r="3196" spans="1:31" s="572" customFormat="1">
      <c r="A3196" s="570" t="s">
        <v>5654</v>
      </c>
      <c r="B3196" s="573" t="s">
        <v>226</v>
      </c>
      <c r="C3196" s="578" t="s">
        <v>227</v>
      </c>
      <c r="D3196" s="573" t="s">
        <v>3374</v>
      </c>
      <c r="E3196" s="573" t="s">
        <v>196</v>
      </c>
      <c r="F3196" s="573" t="s">
        <v>3265</v>
      </c>
      <c r="G3196" s="573">
        <v>2019</v>
      </c>
      <c r="H3196" s="573" t="s">
        <v>5645</v>
      </c>
      <c r="I3196" s="573" t="s">
        <v>5412</v>
      </c>
      <c r="J3196" s="573" t="s">
        <v>3377</v>
      </c>
      <c r="K3196" s="573">
        <v>6</v>
      </c>
      <c r="L3196" s="573">
        <v>0</v>
      </c>
      <c r="M3196" s="573" t="s">
        <v>157</v>
      </c>
      <c r="N3196" s="573">
        <v>2</v>
      </c>
      <c r="O3196" s="573" t="s">
        <v>3846</v>
      </c>
      <c r="P3196" s="571">
        <v>17320</v>
      </c>
      <c r="Q3196" s="573" t="s">
        <v>4231</v>
      </c>
      <c r="R3196" s="573">
        <v>8</v>
      </c>
      <c r="S3196" s="582" t="s">
        <v>5653</v>
      </c>
      <c r="T3196" s="573" t="s">
        <v>5650</v>
      </c>
      <c r="U3196" s="573">
        <v>169</v>
      </c>
      <c r="V3196" s="573">
        <v>32</v>
      </c>
      <c r="W3196" s="616">
        <v>9000</v>
      </c>
      <c r="X3196" s="617">
        <v>15</v>
      </c>
      <c r="Y3196" s="617" t="s">
        <v>728</v>
      </c>
      <c r="Z3196" s="617" t="s">
        <v>1523</v>
      </c>
      <c r="AA3196" s="618">
        <v>52040</v>
      </c>
      <c r="AB3196" s="618" t="s">
        <v>164</v>
      </c>
      <c r="AC3196" s="618">
        <v>43832</v>
      </c>
      <c r="AD3196" s="619">
        <v>6.25E-2</v>
      </c>
      <c r="AE3196" s="617" t="s">
        <v>5655</v>
      </c>
    </row>
    <row r="3197" spans="1:31" s="572" customFormat="1">
      <c r="A3197" s="570" t="s">
        <v>5656</v>
      </c>
      <c r="B3197" s="569" t="s">
        <v>240</v>
      </c>
      <c r="C3197" s="580" t="s">
        <v>241</v>
      </c>
      <c r="D3197" s="569" t="s">
        <v>3374</v>
      </c>
      <c r="E3197" s="569" t="s">
        <v>196</v>
      </c>
      <c r="F3197" s="569" t="s">
        <v>3265</v>
      </c>
      <c r="G3197" s="569">
        <v>2018</v>
      </c>
      <c r="H3197" s="569" t="s">
        <v>5645</v>
      </c>
      <c r="I3197" s="569" t="s">
        <v>5412</v>
      </c>
      <c r="J3197" s="569" t="s">
        <v>3377</v>
      </c>
      <c r="K3197" s="569">
        <v>6</v>
      </c>
      <c r="L3197" s="569">
        <v>0</v>
      </c>
      <c r="M3197" s="569" t="s">
        <v>157</v>
      </c>
      <c r="N3197" s="569">
        <v>2</v>
      </c>
      <c r="O3197" s="569" t="s">
        <v>5405</v>
      </c>
      <c r="P3197" s="568">
        <v>17450</v>
      </c>
      <c r="Q3197" s="569" t="s">
        <v>5401</v>
      </c>
      <c r="R3197" s="569">
        <v>8</v>
      </c>
      <c r="S3197" s="569" t="s">
        <v>5647</v>
      </c>
      <c r="T3197" s="569" t="s">
        <v>5516</v>
      </c>
      <c r="U3197" s="569">
        <v>149.4</v>
      </c>
      <c r="V3197" s="569">
        <v>31</v>
      </c>
      <c r="W3197" s="620">
        <v>9000</v>
      </c>
      <c r="X3197" s="621">
        <v>15</v>
      </c>
      <c r="Y3197" s="621" t="s">
        <v>178</v>
      </c>
      <c r="Z3197" s="621" t="s">
        <v>178</v>
      </c>
      <c r="AA3197" s="622">
        <v>42640</v>
      </c>
      <c r="AB3197" s="622" t="s">
        <v>164</v>
      </c>
      <c r="AC3197" s="622">
        <v>28882</v>
      </c>
      <c r="AD3197" s="623">
        <v>0.05</v>
      </c>
      <c r="AE3197" s="621" t="s">
        <v>5657</v>
      </c>
    </row>
    <row r="3198" spans="1:31" s="572" customFormat="1">
      <c r="A3198" s="570" t="s">
        <v>5658</v>
      </c>
      <c r="B3198" s="573" t="s">
        <v>240</v>
      </c>
      <c r="C3198" s="578" t="s">
        <v>241</v>
      </c>
      <c r="D3198" s="573" t="s">
        <v>3374</v>
      </c>
      <c r="E3198" s="573" t="s">
        <v>196</v>
      </c>
      <c r="F3198" s="573" t="s">
        <v>3265</v>
      </c>
      <c r="G3198" s="573">
        <v>2018</v>
      </c>
      <c r="H3198" s="573" t="s">
        <v>5645</v>
      </c>
      <c r="I3198" s="573" t="s">
        <v>5412</v>
      </c>
      <c r="J3198" s="573" t="s">
        <v>3377</v>
      </c>
      <c r="K3198" s="573">
        <v>6</v>
      </c>
      <c r="L3198" s="573">
        <v>0</v>
      </c>
      <c r="M3198" s="573" t="s">
        <v>157</v>
      </c>
      <c r="N3198" s="573">
        <v>2</v>
      </c>
      <c r="O3198" s="573" t="s">
        <v>5405</v>
      </c>
      <c r="P3198" s="571">
        <v>17450</v>
      </c>
      <c r="Q3198" s="573" t="s">
        <v>5646</v>
      </c>
      <c r="R3198" s="573">
        <v>8</v>
      </c>
      <c r="S3198" s="582" t="s">
        <v>5647</v>
      </c>
      <c r="T3198" s="573" t="s">
        <v>5398</v>
      </c>
      <c r="U3198" s="573">
        <v>149.4</v>
      </c>
      <c r="V3198" s="573">
        <v>31</v>
      </c>
      <c r="W3198" s="616">
        <v>10000</v>
      </c>
      <c r="X3198" s="617">
        <v>15</v>
      </c>
      <c r="Y3198" s="617" t="s">
        <v>178</v>
      </c>
      <c r="Z3198" s="617" t="s">
        <v>178</v>
      </c>
      <c r="AA3198" s="618">
        <v>43140</v>
      </c>
      <c r="AB3198" s="618" t="s">
        <v>164</v>
      </c>
      <c r="AC3198" s="618">
        <v>29341</v>
      </c>
      <c r="AD3198" s="619">
        <v>0.05</v>
      </c>
      <c r="AE3198" s="617" t="s">
        <v>5644</v>
      </c>
    </row>
    <row r="3199" spans="1:31" s="572" customFormat="1">
      <c r="A3199" s="570" t="s">
        <v>5659</v>
      </c>
      <c r="B3199" s="569" t="s">
        <v>240</v>
      </c>
      <c r="C3199" s="580" t="s">
        <v>241</v>
      </c>
      <c r="D3199" s="569" t="s">
        <v>3374</v>
      </c>
      <c r="E3199" s="569" t="s">
        <v>196</v>
      </c>
      <c r="F3199" s="569" t="s">
        <v>3265</v>
      </c>
      <c r="G3199" s="569">
        <v>2018</v>
      </c>
      <c r="H3199" s="569" t="s">
        <v>5645</v>
      </c>
      <c r="I3199" s="569" t="s">
        <v>5412</v>
      </c>
      <c r="J3199" s="569" t="s">
        <v>3377</v>
      </c>
      <c r="K3199" s="569">
        <v>6</v>
      </c>
      <c r="L3199" s="569">
        <v>0</v>
      </c>
      <c r="M3199" s="569" t="s">
        <v>157</v>
      </c>
      <c r="N3199" s="569">
        <v>2</v>
      </c>
      <c r="O3199" s="569" t="s">
        <v>5405</v>
      </c>
      <c r="P3199" s="568">
        <v>17450</v>
      </c>
      <c r="Q3199" s="569" t="s">
        <v>4231</v>
      </c>
      <c r="R3199" s="569">
        <v>8</v>
      </c>
      <c r="S3199" s="569" t="s">
        <v>5647</v>
      </c>
      <c r="T3199" s="569" t="s">
        <v>5650</v>
      </c>
      <c r="U3199" s="569">
        <v>149.4</v>
      </c>
      <c r="V3199" s="569">
        <v>31</v>
      </c>
      <c r="W3199" s="620">
        <v>10000</v>
      </c>
      <c r="X3199" s="621">
        <v>15</v>
      </c>
      <c r="Y3199" s="621" t="s">
        <v>728</v>
      </c>
      <c r="Z3199" s="621" t="s">
        <v>1523</v>
      </c>
      <c r="AA3199" s="622">
        <v>51840</v>
      </c>
      <c r="AB3199" s="622" t="s">
        <v>164</v>
      </c>
      <c r="AC3199" s="622">
        <v>37188</v>
      </c>
      <c r="AD3199" s="623">
        <v>0.05</v>
      </c>
      <c r="AE3199" s="621" t="s">
        <v>5649</v>
      </c>
    </row>
    <row r="3200" spans="1:31" s="572" customFormat="1">
      <c r="A3200" s="570" t="s">
        <v>5660</v>
      </c>
      <c r="B3200" s="573" t="s">
        <v>240</v>
      </c>
      <c r="C3200" s="578" t="s">
        <v>241</v>
      </c>
      <c r="D3200" s="573" t="s">
        <v>3374</v>
      </c>
      <c r="E3200" s="573" t="s">
        <v>196</v>
      </c>
      <c r="F3200" s="573" t="s">
        <v>3265</v>
      </c>
      <c r="G3200" s="573">
        <v>2018</v>
      </c>
      <c r="H3200" s="573" t="s">
        <v>5645</v>
      </c>
      <c r="I3200" s="573" t="s">
        <v>5412</v>
      </c>
      <c r="J3200" s="573" t="s">
        <v>3377</v>
      </c>
      <c r="K3200" s="573">
        <v>6</v>
      </c>
      <c r="L3200" s="573">
        <v>0</v>
      </c>
      <c r="M3200" s="573" t="s">
        <v>157</v>
      </c>
      <c r="N3200" s="573">
        <v>2</v>
      </c>
      <c r="O3200" s="573" t="s">
        <v>3846</v>
      </c>
      <c r="P3200" s="571">
        <v>17320</v>
      </c>
      <c r="Q3200" s="573" t="s">
        <v>5401</v>
      </c>
      <c r="R3200" s="573">
        <v>8</v>
      </c>
      <c r="S3200" s="582" t="s">
        <v>5653</v>
      </c>
      <c r="T3200" s="573" t="s">
        <v>5516</v>
      </c>
      <c r="U3200" s="573">
        <v>169</v>
      </c>
      <c r="V3200" s="573">
        <v>32</v>
      </c>
      <c r="W3200" s="616">
        <v>9000</v>
      </c>
      <c r="X3200" s="617">
        <v>15</v>
      </c>
      <c r="Y3200" s="617" t="s">
        <v>178</v>
      </c>
      <c r="Z3200" s="617" t="s">
        <v>178</v>
      </c>
      <c r="AA3200" s="618">
        <v>42840</v>
      </c>
      <c r="AB3200" s="618" t="s">
        <v>164</v>
      </c>
      <c r="AC3200" s="618">
        <v>29060</v>
      </c>
      <c r="AD3200" s="619">
        <v>0.05</v>
      </c>
      <c r="AE3200" s="617" t="s">
        <v>5661</v>
      </c>
    </row>
    <row r="3201" spans="1:31" s="572" customFormat="1">
      <c r="A3201" s="570" t="s">
        <v>5662</v>
      </c>
      <c r="B3201" s="569" t="s">
        <v>240</v>
      </c>
      <c r="C3201" s="580" t="s">
        <v>241</v>
      </c>
      <c r="D3201" s="569" t="s">
        <v>3374</v>
      </c>
      <c r="E3201" s="569" t="s">
        <v>196</v>
      </c>
      <c r="F3201" s="569" t="s">
        <v>3265</v>
      </c>
      <c r="G3201" s="569">
        <v>2018</v>
      </c>
      <c r="H3201" s="569" t="s">
        <v>5645</v>
      </c>
      <c r="I3201" s="569" t="s">
        <v>5412</v>
      </c>
      <c r="J3201" s="569" t="s">
        <v>3377</v>
      </c>
      <c r="K3201" s="569">
        <v>6</v>
      </c>
      <c r="L3201" s="569">
        <v>0</v>
      </c>
      <c r="M3201" s="569" t="s">
        <v>157</v>
      </c>
      <c r="N3201" s="569">
        <v>2</v>
      </c>
      <c r="O3201" s="569" t="s">
        <v>3846</v>
      </c>
      <c r="P3201" s="568">
        <v>17320</v>
      </c>
      <c r="Q3201" s="569" t="s">
        <v>5646</v>
      </c>
      <c r="R3201" s="569">
        <v>8</v>
      </c>
      <c r="S3201" s="569" t="s">
        <v>5653</v>
      </c>
      <c r="T3201" s="569" t="s">
        <v>5398</v>
      </c>
      <c r="U3201" s="569">
        <v>169</v>
      </c>
      <c r="V3201" s="569">
        <v>32</v>
      </c>
      <c r="W3201" s="620">
        <v>10000</v>
      </c>
      <c r="X3201" s="621">
        <v>15</v>
      </c>
      <c r="Y3201" s="621" t="s">
        <v>178</v>
      </c>
      <c r="Z3201" s="621" t="s">
        <v>178</v>
      </c>
      <c r="AA3201" s="622">
        <v>43340</v>
      </c>
      <c r="AB3201" s="622" t="s">
        <v>164</v>
      </c>
      <c r="AC3201" s="622">
        <v>29519</v>
      </c>
      <c r="AD3201" s="623">
        <v>0.05</v>
      </c>
      <c r="AE3201" s="621" t="s">
        <v>5652</v>
      </c>
    </row>
    <row r="3202" spans="1:31" s="572" customFormat="1">
      <c r="A3202" s="570" t="s">
        <v>5663</v>
      </c>
      <c r="B3202" s="573" t="s">
        <v>240</v>
      </c>
      <c r="C3202" s="578" t="s">
        <v>241</v>
      </c>
      <c r="D3202" s="573" t="s">
        <v>3374</v>
      </c>
      <c r="E3202" s="573" t="s">
        <v>196</v>
      </c>
      <c r="F3202" s="573" t="s">
        <v>3265</v>
      </c>
      <c r="G3202" s="573">
        <v>2018</v>
      </c>
      <c r="H3202" s="573" t="s">
        <v>5645</v>
      </c>
      <c r="I3202" s="573" t="s">
        <v>5412</v>
      </c>
      <c r="J3202" s="573" t="s">
        <v>3377</v>
      </c>
      <c r="K3202" s="573">
        <v>6</v>
      </c>
      <c r="L3202" s="573">
        <v>0</v>
      </c>
      <c r="M3202" s="573" t="s">
        <v>157</v>
      </c>
      <c r="N3202" s="573">
        <v>2</v>
      </c>
      <c r="O3202" s="573" t="s">
        <v>3846</v>
      </c>
      <c r="P3202" s="571">
        <v>17320</v>
      </c>
      <c r="Q3202" s="573" t="s">
        <v>4231</v>
      </c>
      <c r="R3202" s="573">
        <v>8</v>
      </c>
      <c r="S3202" s="582" t="s">
        <v>5653</v>
      </c>
      <c r="T3202" s="573" t="s">
        <v>5650</v>
      </c>
      <c r="U3202" s="573">
        <v>169</v>
      </c>
      <c r="V3202" s="573">
        <v>32</v>
      </c>
      <c r="W3202" s="616">
        <v>10000</v>
      </c>
      <c r="X3202" s="617">
        <v>15</v>
      </c>
      <c r="Y3202" s="617" t="s">
        <v>728</v>
      </c>
      <c r="Z3202" s="617" t="s">
        <v>1523</v>
      </c>
      <c r="AA3202" s="618">
        <v>52040</v>
      </c>
      <c r="AB3202" s="618" t="s">
        <v>164</v>
      </c>
      <c r="AC3202" s="618">
        <v>37368</v>
      </c>
      <c r="AD3202" s="619">
        <v>0.05</v>
      </c>
      <c r="AE3202" s="617" t="s">
        <v>5655</v>
      </c>
    </row>
    <row r="3203" spans="1:31" s="572" customFormat="1">
      <c r="A3203" s="570" t="s">
        <v>5664</v>
      </c>
      <c r="B3203" s="569" t="s">
        <v>226</v>
      </c>
      <c r="C3203" s="580" t="s">
        <v>227</v>
      </c>
      <c r="D3203" s="569" t="s">
        <v>3374</v>
      </c>
      <c r="E3203" s="569" t="s">
        <v>196</v>
      </c>
      <c r="F3203" s="569" t="s">
        <v>3265</v>
      </c>
      <c r="G3203" s="569">
        <v>2019</v>
      </c>
      <c r="H3203" s="569" t="s">
        <v>5645</v>
      </c>
      <c r="I3203" s="569" t="s">
        <v>5412</v>
      </c>
      <c r="J3203" s="569" t="s">
        <v>752</v>
      </c>
      <c r="K3203" s="569">
        <v>6</v>
      </c>
      <c r="L3203" s="569">
        <v>0</v>
      </c>
      <c r="M3203" s="569" t="s">
        <v>157</v>
      </c>
      <c r="N3203" s="569">
        <v>2</v>
      </c>
      <c r="O3203" s="569" t="s">
        <v>5405</v>
      </c>
      <c r="P3203" s="568">
        <v>11880</v>
      </c>
      <c r="Q3203" s="569" t="s">
        <v>5646</v>
      </c>
      <c r="R3203" s="569">
        <v>8</v>
      </c>
      <c r="S3203" s="569" t="s">
        <v>5666</v>
      </c>
      <c r="T3203" s="569" t="s">
        <v>5398</v>
      </c>
      <c r="U3203" s="569">
        <v>149.4</v>
      </c>
      <c r="V3203" s="569">
        <v>31</v>
      </c>
      <c r="W3203" s="620">
        <v>9000</v>
      </c>
      <c r="X3203" s="621">
        <v>14</v>
      </c>
      <c r="Y3203" s="621" t="s">
        <v>178</v>
      </c>
      <c r="Z3203" s="621" t="s">
        <v>178</v>
      </c>
      <c r="AA3203" s="622">
        <v>45940</v>
      </c>
      <c r="AB3203" s="622" t="s">
        <v>164</v>
      </c>
      <c r="AC3203" s="622">
        <v>38000</v>
      </c>
      <c r="AD3203" s="623">
        <v>6.25E-2</v>
      </c>
      <c r="AE3203" s="621" t="s">
        <v>5665</v>
      </c>
    </row>
    <row r="3204" spans="1:31" s="572" customFormat="1">
      <c r="A3204" s="570" t="s">
        <v>5667</v>
      </c>
      <c r="B3204" s="573" t="s">
        <v>226</v>
      </c>
      <c r="C3204" s="578" t="s">
        <v>227</v>
      </c>
      <c r="D3204" s="573" t="s">
        <v>3374</v>
      </c>
      <c r="E3204" s="573" t="s">
        <v>196</v>
      </c>
      <c r="F3204" s="573" t="s">
        <v>3265</v>
      </c>
      <c r="G3204" s="573">
        <v>2019</v>
      </c>
      <c r="H3204" s="573" t="s">
        <v>5645</v>
      </c>
      <c r="I3204" s="573" t="s">
        <v>5412</v>
      </c>
      <c r="J3204" s="573" t="s">
        <v>752</v>
      </c>
      <c r="K3204" s="573">
        <v>6</v>
      </c>
      <c r="L3204" s="573">
        <v>0</v>
      </c>
      <c r="M3204" s="573" t="s">
        <v>157</v>
      </c>
      <c r="N3204" s="573">
        <v>2</v>
      </c>
      <c r="O3204" s="573" t="s">
        <v>5405</v>
      </c>
      <c r="P3204" s="571">
        <v>16110</v>
      </c>
      <c r="Q3204" s="573" t="s">
        <v>4231</v>
      </c>
      <c r="R3204" s="573">
        <v>8</v>
      </c>
      <c r="S3204" s="582" t="s">
        <v>5666</v>
      </c>
      <c r="T3204" s="573" t="s">
        <v>5650</v>
      </c>
      <c r="U3204" s="573">
        <v>149.4</v>
      </c>
      <c r="V3204" s="573">
        <v>31</v>
      </c>
      <c r="W3204" s="616">
        <v>10000</v>
      </c>
      <c r="X3204" s="617">
        <v>14</v>
      </c>
      <c r="Y3204" s="617" t="s">
        <v>728</v>
      </c>
      <c r="Z3204" s="617" t="s">
        <v>1523</v>
      </c>
      <c r="AA3204" s="618">
        <v>54640</v>
      </c>
      <c r="AB3204" s="618" t="s">
        <v>164</v>
      </c>
      <c r="AC3204" s="618">
        <v>45373</v>
      </c>
      <c r="AD3204" s="619">
        <v>6.25E-2</v>
      </c>
      <c r="AE3204" s="617" t="s">
        <v>5668</v>
      </c>
    </row>
    <row r="3205" spans="1:31" s="572" customFormat="1">
      <c r="A3205" s="570" t="s">
        <v>5669</v>
      </c>
      <c r="B3205" s="569" t="s">
        <v>226</v>
      </c>
      <c r="C3205" s="580" t="s">
        <v>227</v>
      </c>
      <c r="D3205" s="569" t="s">
        <v>3374</v>
      </c>
      <c r="E3205" s="569" t="s">
        <v>196</v>
      </c>
      <c r="F3205" s="569" t="s">
        <v>3265</v>
      </c>
      <c r="G3205" s="569">
        <v>2019</v>
      </c>
      <c r="H3205" s="569" t="s">
        <v>5645</v>
      </c>
      <c r="I3205" s="569" t="s">
        <v>5412</v>
      </c>
      <c r="J3205" s="569" t="s">
        <v>752</v>
      </c>
      <c r="K3205" s="569">
        <v>6</v>
      </c>
      <c r="L3205" s="569">
        <v>0</v>
      </c>
      <c r="M3205" s="569" t="s">
        <v>157</v>
      </c>
      <c r="N3205" s="569">
        <v>2</v>
      </c>
      <c r="O3205" s="569" t="s">
        <v>5405</v>
      </c>
      <c r="P3205" s="568">
        <v>17120</v>
      </c>
      <c r="Q3205" s="569" t="s">
        <v>5401</v>
      </c>
      <c r="R3205" s="569">
        <v>8</v>
      </c>
      <c r="S3205" s="569" t="s">
        <v>5666</v>
      </c>
      <c r="T3205" s="569" t="s">
        <v>5516</v>
      </c>
      <c r="U3205" s="569">
        <v>149.4</v>
      </c>
      <c r="V3205" s="569">
        <v>31</v>
      </c>
      <c r="W3205" s="620">
        <v>9000</v>
      </c>
      <c r="X3205" s="621">
        <v>14</v>
      </c>
      <c r="Y3205" s="621" t="s">
        <v>178</v>
      </c>
      <c r="Z3205" s="621" t="s">
        <v>178</v>
      </c>
      <c r="AA3205" s="622">
        <v>45440</v>
      </c>
      <c r="AB3205" s="622" t="s">
        <v>164</v>
      </c>
      <c r="AC3205" s="622">
        <v>37546</v>
      </c>
      <c r="AD3205" s="623">
        <v>6.25E-2</v>
      </c>
      <c r="AE3205" s="621" t="s">
        <v>5670</v>
      </c>
    </row>
    <row r="3206" spans="1:31" s="572" customFormat="1">
      <c r="A3206" s="570" t="s">
        <v>5671</v>
      </c>
      <c r="B3206" s="573" t="s">
        <v>226</v>
      </c>
      <c r="C3206" s="578" t="s">
        <v>227</v>
      </c>
      <c r="D3206" s="573" t="s">
        <v>3374</v>
      </c>
      <c r="E3206" s="573" t="s">
        <v>196</v>
      </c>
      <c r="F3206" s="573" t="s">
        <v>3265</v>
      </c>
      <c r="G3206" s="573">
        <v>2019</v>
      </c>
      <c r="H3206" s="573" t="s">
        <v>5645</v>
      </c>
      <c r="I3206" s="573" t="s">
        <v>5412</v>
      </c>
      <c r="J3206" s="573" t="s">
        <v>752</v>
      </c>
      <c r="K3206" s="573">
        <v>6</v>
      </c>
      <c r="L3206" s="573">
        <v>0</v>
      </c>
      <c r="M3206" s="573" t="s">
        <v>157</v>
      </c>
      <c r="N3206" s="573">
        <v>2</v>
      </c>
      <c r="O3206" s="573" t="s">
        <v>3846</v>
      </c>
      <c r="P3206" s="571">
        <v>11010</v>
      </c>
      <c r="Q3206" s="573" t="s">
        <v>5401</v>
      </c>
      <c r="R3206" s="573">
        <v>8</v>
      </c>
      <c r="S3206" s="582" t="s">
        <v>5673</v>
      </c>
      <c r="T3206" s="573" t="s">
        <v>5516</v>
      </c>
      <c r="U3206" s="573">
        <v>169</v>
      </c>
      <c r="V3206" s="573">
        <v>32</v>
      </c>
      <c r="W3206" s="616">
        <v>9000</v>
      </c>
      <c r="X3206" s="617">
        <v>14</v>
      </c>
      <c r="Y3206" s="617" t="s">
        <v>178</v>
      </c>
      <c r="Z3206" s="617" t="s">
        <v>178</v>
      </c>
      <c r="AA3206" s="618">
        <v>45640</v>
      </c>
      <c r="AB3206" s="618" t="s">
        <v>164</v>
      </c>
      <c r="AC3206" s="618">
        <v>37728</v>
      </c>
      <c r="AD3206" s="619">
        <v>6.25E-2</v>
      </c>
      <c r="AE3206" s="617" t="s">
        <v>5672</v>
      </c>
    </row>
    <row r="3207" spans="1:31" s="572" customFormat="1">
      <c r="A3207" s="570" t="s">
        <v>5674</v>
      </c>
      <c r="B3207" s="569" t="s">
        <v>226</v>
      </c>
      <c r="C3207" s="580" t="s">
        <v>227</v>
      </c>
      <c r="D3207" s="569" t="s">
        <v>3374</v>
      </c>
      <c r="E3207" s="569" t="s">
        <v>196</v>
      </c>
      <c r="F3207" s="569" t="s">
        <v>3265</v>
      </c>
      <c r="G3207" s="569">
        <v>2019</v>
      </c>
      <c r="H3207" s="569" t="s">
        <v>5645</v>
      </c>
      <c r="I3207" s="569" t="s">
        <v>5412</v>
      </c>
      <c r="J3207" s="569" t="s">
        <v>752</v>
      </c>
      <c r="K3207" s="569">
        <v>6</v>
      </c>
      <c r="L3207" s="569">
        <v>0</v>
      </c>
      <c r="M3207" s="569" t="s">
        <v>157</v>
      </c>
      <c r="N3207" s="569">
        <v>2</v>
      </c>
      <c r="O3207" s="569" t="s">
        <v>3846</v>
      </c>
      <c r="P3207" s="568">
        <v>12470</v>
      </c>
      <c r="Q3207" s="569" t="s">
        <v>5676</v>
      </c>
      <c r="R3207" s="569">
        <v>8</v>
      </c>
      <c r="S3207" s="569" t="s">
        <v>5673</v>
      </c>
      <c r="T3207" s="569" t="s">
        <v>5398</v>
      </c>
      <c r="U3207" s="569">
        <v>169</v>
      </c>
      <c r="V3207" s="569">
        <v>32</v>
      </c>
      <c r="W3207" s="620">
        <v>10000</v>
      </c>
      <c r="X3207" s="621">
        <v>14</v>
      </c>
      <c r="Y3207" s="621" t="s">
        <v>178</v>
      </c>
      <c r="Z3207" s="621" t="s">
        <v>178</v>
      </c>
      <c r="AA3207" s="622">
        <v>46140</v>
      </c>
      <c r="AB3207" s="622" t="s">
        <v>164</v>
      </c>
      <c r="AC3207" s="622">
        <v>38176</v>
      </c>
      <c r="AD3207" s="623">
        <v>6.25E-2</v>
      </c>
      <c r="AE3207" s="621" t="s">
        <v>5675</v>
      </c>
    </row>
    <row r="3208" spans="1:31" s="572" customFormat="1">
      <c r="A3208" s="570" t="s">
        <v>5677</v>
      </c>
      <c r="B3208" s="573" t="s">
        <v>226</v>
      </c>
      <c r="C3208" s="578" t="s">
        <v>227</v>
      </c>
      <c r="D3208" s="573" t="s">
        <v>3374</v>
      </c>
      <c r="E3208" s="573" t="s">
        <v>196</v>
      </c>
      <c r="F3208" s="573" t="s">
        <v>3265</v>
      </c>
      <c r="G3208" s="573">
        <v>2019</v>
      </c>
      <c r="H3208" s="573" t="s">
        <v>5645</v>
      </c>
      <c r="I3208" s="573" t="s">
        <v>5412</v>
      </c>
      <c r="J3208" s="573" t="s">
        <v>752</v>
      </c>
      <c r="K3208" s="573">
        <v>6</v>
      </c>
      <c r="L3208" s="573">
        <v>0</v>
      </c>
      <c r="M3208" s="573" t="s">
        <v>157</v>
      </c>
      <c r="N3208" s="573">
        <v>2</v>
      </c>
      <c r="O3208" s="573" t="s">
        <v>3846</v>
      </c>
      <c r="P3208" s="571">
        <v>15470</v>
      </c>
      <c r="Q3208" s="573" t="s">
        <v>5676</v>
      </c>
      <c r="R3208" s="573">
        <v>8</v>
      </c>
      <c r="S3208" s="582" t="s">
        <v>5673</v>
      </c>
      <c r="T3208" s="573" t="s">
        <v>5398</v>
      </c>
      <c r="U3208" s="573">
        <v>169</v>
      </c>
      <c r="V3208" s="573">
        <v>32</v>
      </c>
      <c r="W3208" s="616">
        <v>9000</v>
      </c>
      <c r="X3208" s="617">
        <v>14</v>
      </c>
      <c r="Y3208" s="617" t="s">
        <v>178</v>
      </c>
      <c r="Z3208" s="617" t="s">
        <v>178</v>
      </c>
      <c r="AA3208" s="618">
        <v>46285</v>
      </c>
      <c r="AB3208" s="618" t="s">
        <v>164</v>
      </c>
      <c r="AC3208" s="618">
        <v>38321</v>
      </c>
      <c r="AD3208" s="619">
        <v>6.25E-2</v>
      </c>
      <c r="AE3208" s="617" t="s">
        <v>5678</v>
      </c>
    </row>
    <row r="3209" spans="1:31" s="572" customFormat="1">
      <c r="A3209" s="570" t="s">
        <v>5679</v>
      </c>
      <c r="B3209" s="569" t="s">
        <v>226</v>
      </c>
      <c r="C3209" s="580" t="s">
        <v>227</v>
      </c>
      <c r="D3209" s="569" t="s">
        <v>3374</v>
      </c>
      <c r="E3209" s="569" t="s">
        <v>196</v>
      </c>
      <c r="F3209" s="569" t="s">
        <v>3265</v>
      </c>
      <c r="G3209" s="569">
        <v>2019</v>
      </c>
      <c r="H3209" s="569" t="s">
        <v>5645</v>
      </c>
      <c r="I3209" s="569" t="s">
        <v>5412</v>
      </c>
      <c r="J3209" s="569" t="s">
        <v>752</v>
      </c>
      <c r="K3209" s="569">
        <v>6</v>
      </c>
      <c r="L3209" s="569">
        <v>0</v>
      </c>
      <c r="M3209" s="569" t="s">
        <v>157</v>
      </c>
      <c r="N3209" s="569">
        <v>2</v>
      </c>
      <c r="O3209" s="569" t="s">
        <v>3846</v>
      </c>
      <c r="P3209" s="568">
        <v>6820</v>
      </c>
      <c r="Q3209" s="569" t="s">
        <v>5681</v>
      </c>
      <c r="R3209" s="569">
        <v>8</v>
      </c>
      <c r="S3209" s="569" t="s">
        <v>5673</v>
      </c>
      <c r="T3209" s="569" t="s">
        <v>5402</v>
      </c>
      <c r="U3209" s="569">
        <v>169</v>
      </c>
      <c r="V3209" s="569">
        <v>32</v>
      </c>
      <c r="W3209" s="620">
        <v>9000</v>
      </c>
      <c r="X3209" s="621">
        <v>14</v>
      </c>
      <c r="Y3209" s="621" t="s">
        <v>1529</v>
      </c>
      <c r="Z3209" s="621" t="s">
        <v>1529</v>
      </c>
      <c r="AA3209" s="622">
        <v>56540</v>
      </c>
      <c r="AB3209" s="622" t="s">
        <v>164</v>
      </c>
      <c r="AC3209" s="622">
        <v>49961</v>
      </c>
      <c r="AD3209" s="623">
        <v>6.25E-2</v>
      </c>
      <c r="AE3209" s="621" t="s">
        <v>5680</v>
      </c>
    </row>
    <row r="3210" spans="1:31" s="572" customFormat="1">
      <c r="A3210" s="570" t="s">
        <v>5682</v>
      </c>
      <c r="B3210" s="573" t="s">
        <v>240</v>
      </c>
      <c r="C3210" s="578" t="s">
        <v>241</v>
      </c>
      <c r="D3210" s="573" t="s">
        <v>3374</v>
      </c>
      <c r="E3210" s="573" t="s">
        <v>196</v>
      </c>
      <c r="F3210" s="573" t="s">
        <v>3265</v>
      </c>
      <c r="G3210" s="573">
        <v>2018</v>
      </c>
      <c r="H3210" s="573" t="s">
        <v>5645</v>
      </c>
      <c r="I3210" s="573" t="s">
        <v>5412</v>
      </c>
      <c r="J3210" s="573" t="s">
        <v>752</v>
      </c>
      <c r="K3210" s="573">
        <v>6</v>
      </c>
      <c r="L3210" s="573">
        <v>0</v>
      </c>
      <c r="M3210" s="573" t="s">
        <v>157</v>
      </c>
      <c r="N3210" s="573">
        <v>2</v>
      </c>
      <c r="O3210" s="573" t="s">
        <v>5405</v>
      </c>
      <c r="P3210" s="571">
        <v>17120</v>
      </c>
      <c r="Q3210" s="573" t="s">
        <v>5401</v>
      </c>
      <c r="R3210" s="573">
        <v>8</v>
      </c>
      <c r="S3210" s="582" t="s">
        <v>5666</v>
      </c>
      <c r="T3210" s="573" t="s">
        <v>5516</v>
      </c>
      <c r="U3210" s="573">
        <v>149.4</v>
      </c>
      <c r="V3210" s="573">
        <v>31</v>
      </c>
      <c r="W3210" s="616">
        <v>9000</v>
      </c>
      <c r="X3210" s="617">
        <v>14</v>
      </c>
      <c r="Y3210" s="617" t="s">
        <v>178</v>
      </c>
      <c r="Z3210" s="617" t="s">
        <v>178</v>
      </c>
      <c r="AA3210" s="618">
        <v>45440</v>
      </c>
      <c r="AB3210" s="618" t="s">
        <v>164</v>
      </c>
      <c r="AC3210" s="618">
        <v>31376</v>
      </c>
      <c r="AD3210" s="619">
        <v>0.05</v>
      </c>
      <c r="AE3210" s="617" t="s">
        <v>5670</v>
      </c>
    </row>
    <row r="3211" spans="1:31" s="572" customFormat="1">
      <c r="A3211" s="570" t="s">
        <v>5683</v>
      </c>
      <c r="B3211" s="569" t="s">
        <v>240</v>
      </c>
      <c r="C3211" s="580" t="s">
        <v>241</v>
      </c>
      <c r="D3211" s="569" t="s">
        <v>3374</v>
      </c>
      <c r="E3211" s="569" t="s">
        <v>196</v>
      </c>
      <c r="F3211" s="569" t="s">
        <v>3265</v>
      </c>
      <c r="G3211" s="569">
        <v>2018</v>
      </c>
      <c r="H3211" s="569" t="s">
        <v>5645</v>
      </c>
      <c r="I3211" s="569" t="s">
        <v>5412</v>
      </c>
      <c r="J3211" s="569" t="s">
        <v>752</v>
      </c>
      <c r="K3211" s="569">
        <v>6</v>
      </c>
      <c r="L3211" s="569">
        <v>0</v>
      </c>
      <c r="M3211" s="569" t="s">
        <v>157</v>
      </c>
      <c r="N3211" s="569">
        <v>2</v>
      </c>
      <c r="O3211" s="569" t="s">
        <v>5405</v>
      </c>
      <c r="P3211" s="568">
        <v>17120</v>
      </c>
      <c r="Q3211" s="569" t="s">
        <v>5646</v>
      </c>
      <c r="R3211" s="569">
        <v>8</v>
      </c>
      <c r="S3211" s="569" t="s">
        <v>5666</v>
      </c>
      <c r="T3211" s="569" t="s">
        <v>5398</v>
      </c>
      <c r="U3211" s="569">
        <v>149.4</v>
      </c>
      <c r="V3211" s="569">
        <v>31</v>
      </c>
      <c r="W3211" s="620">
        <v>10000</v>
      </c>
      <c r="X3211" s="621">
        <v>14</v>
      </c>
      <c r="Y3211" s="621" t="s">
        <v>178</v>
      </c>
      <c r="Z3211" s="621" t="s">
        <v>178</v>
      </c>
      <c r="AA3211" s="622">
        <v>45940</v>
      </c>
      <c r="AB3211" s="622" t="s">
        <v>164</v>
      </c>
      <c r="AC3211" s="622">
        <v>31834</v>
      </c>
      <c r="AD3211" s="623">
        <v>0.05</v>
      </c>
      <c r="AE3211" s="621" t="s">
        <v>5684</v>
      </c>
    </row>
    <row r="3212" spans="1:31" s="572" customFormat="1">
      <c r="A3212" s="570" t="s">
        <v>5685</v>
      </c>
      <c r="B3212" s="573" t="s">
        <v>240</v>
      </c>
      <c r="C3212" s="578" t="s">
        <v>241</v>
      </c>
      <c r="D3212" s="573" t="s">
        <v>3374</v>
      </c>
      <c r="E3212" s="573" t="s">
        <v>196</v>
      </c>
      <c r="F3212" s="573" t="s">
        <v>3265</v>
      </c>
      <c r="G3212" s="573">
        <v>2018</v>
      </c>
      <c r="H3212" s="573" t="s">
        <v>5645</v>
      </c>
      <c r="I3212" s="573" t="s">
        <v>5412</v>
      </c>
      <c r="J3212" s="573" t="s">
        <v>752</v>
      </c>
      <c r="K3212" s="573">
        <v>6</v>
      </c>
      <c r="L3212" s="573">
        <v>0</v>
      </c>
      <c r="M3212" s="573" t="s">
        <v>157</v>
      </c>
      <c r="N3212" s="573">
        <v>2</v>
      </c>
      <c r="O3212" s="573" t="s">
        <v>5405</v>
      </c>
      <c r="P3212" s="571">
        <v>17120</v>
      </c>
      <c r="Q3212" s="573" t="s">
        <v>4231</v>
      </c>
      <c r="R3212" s="573">
        <v>8</v>
      </c>
      <c r="S3212" s="582" t="s">
        <v>5666</v>
      </c>
      <c r="T3212" s="573" t="s">
        <v>5650</v>
      </c>
      <c r="U3212" s="573">
        <v>149.4</v>
      </c>
      <c r="V3212" s="573">
        <v>31</v>
      </c>
      <c r="W3212" s="616">
        <v>10000</v>
      </c>
      <c r="X3212" s="617">
        <v>14</v>
      </c>
      <c r="Y3212" s="617" t="s">
        <v>728</v>
      </c>
      <c r="Z3212" s="617" t="s">
        <v>1523</v>
      </c>
      <c r="AA3212" s="618">
        <v>54640</v>
      </c>
      <c r="AB3212" s="618" t="s">
        <v>164</v>
      </c>
      <c r="AC3212" s="618">
        <v>39608</v>
      </c>
      <c r="AD3212" s="619">
        <v>0.05</v>
      </c>
      <c r="AE3212" s="617" t="s">
        <v>5686</v>
      </c>
    </row>
    <row r="3213" spans="1:31" s="572" customFormat="1">
      <c r="A3213" s="570" t="s">
        <v>5687</v>
      </c>
      <c r="B3213" s="569" t="s">
        <v>240</v>
      </c>
      <c r="C3213" s="580" t="s">
        <v>241</v>
      </c>
      <c r="D3213" s="569" t="s">
        <v>3374</v>
      </c>
      <c r="E3213" s="569" t="s">
        <v>196</v>
      </c>
      <c r="F3213" s="569" t="s">
        <v>3265</v>
      </c>
      <c r="G3213" s="569">
        <v>2018</v>
      </c>
      <c r="H3213" s="569" t="s">
        <v>5645</v>
      </c>
      <c r="I3213" s="569" t="s">
        <v>5412</v>
      </c>
      <c r="J3213" s="569" t="s">
        <v>752</v>
      </c>
      <c r="K3213" s="569">
        <v>6</v>
      </c>
      <c r="L3213" s="569">
        <v>0</v>
      </c>
      <c r="M3213" s="569" t="s">
        <v>157</v>
      </c>
      <c r="N3213" s="569">
        <v>2</v>
      </c>
      <c r="O3213" s="569" t="s">
        <v>3846</v>
      </c>
      <c r="P3213" s="568">
        <v>17120</v>
      </c>
      <c r="Q3213" s="569" t="s">
        <v>5689</v>
      </c>
      <c r="R3213" s="569">
        <v>8</v>
      </c>
      <c r="S3213" s="569" t="s">
        <v>5673</v>
      </c>
      <c r="T3213" s="569" t="s">
        <v>5402</v>
      </c>
      <c r="U3213" s="569">
        <v>169</v>
      </c>
      <c r="V3213" s="569">
        <v>32</v>
      </c>
      <c r="W3213" s="620">
        <v>9000</v>
      </c>
      <c r="X3213" s="621">
        <v>14</v>
      </c>
      <c r="Y3213" s="621" t="s">
        <v>1529</v>
      </c>
      <c r="Z3213" s="621" t="s">
        <v>1529</v>
      </c>
      <c r="AA3213" s="622">
        <v>56640</v>
      </c>
      <c r="AB3213" s="622" t="s">
        <v>164</v>
      </c>
      <c r="AC3213" s="622">
        <v>40878</v>
      </c>
      <c r="AD3213" s="623">
        <v>0.05</v>
      </c>
      <c r="AE3213" s="621" t="s">
        <v>5688</v>
      </c>
    </row>
    <row r="3214" spans="1:31" s="572" customFormat="1">
      <c r="A3214" s="570" t="s">
        <v>5690</v>
      </c>
      <c r="B3214" s="573" t="s">
        <v>240</v>
      </c>
      <c r="C3214" s="578" t="s">
        <v>241</v>
      </c>
      <c r="D3214" s="573" t="s">
        <v>3374</v>
      </c>
      <c r="E3214" s="573" t="s">
        <v>196</v>
      </c>
      <c r="F3214" s="573" t="s">
        <v>3265</v>
      </c>
      <c r="G3214" s="573">
        <v>2018</v>
      </c>
      <c r="H3214" s="573" t="s">
        <v>5645</v>
      </c>
      <c r="I3214" s="573" t="s">
        <v>5412</v>
      </c>
      <c r="J3214" s="573" t="s">
        <v>752</v>
      </c>
      <c r="K3214" s="573">
        <v>6</v>
      </c>
      <c r="L3214" s="573">
        <v>0</v>
      </c>
      <c r="M3214" s="573" t="s">
        <v>157</v>
      </c>
      <c r="N3214" s="573">
        <v>2</v>
      </c>
      <c r="O3214" s="573" t="s">
        <v>3846</v>
      </c>
      <c r="P3214" s="571">
        <v>17120</v>
      </c>
      <c r="Q3214" s="573" t="s">
        <v>5401</v>
      </c>
      <c r="R3214" s="573">
        <v>8</v>
      </c>
      <c r="S3214" s="582" t="s">
        <v>5673</v>
      </c>
      <c r="T3214" s="573" t="s">
        <v>5516</v>
      </c>
      <c r="U3214" s="573">
        <v>169</v>
      </c>
      <c r="V3214" s="573">
        <v>32</v>
      </c>
      <c r="W3214" s="616">
        <v>9000</v>
      </c>
      <c r="X3214" s="617">
        <v>14</v>
      </c>
      <c r="Y3214" s="617" t="s">
        <v>178</v>
      </c>
      <c r="Z3214" s="617" t="s">
        <v>178</v>
      </c>
      <c r="AA3214" s="618">
        <v>45640</v>
      </c>
      <c r="AB3214" s="618" t="s">
        <v>164</v>
      </c>
      <c r="AC3214" s="618">
        <v>31554</v>
      </c>
      <c r="AD3214" s="619">
        <v>0.05</v>
      </c>
      <c r="AE3214" s="617" t="s">
        <v>5691</v>
      </c>
    </row>
    <row r="3215" spans="1:31" s="572" customFormat="1">
      <c r="A3215" s="570" t="s">
        <v>5692</v>
      </c>
      <c r="B3215" s="569" t="s">
        <v>240</v>
      </c>
      <c r="C3215" s="580" t="s">
        <v>241</v>
      </c>
      <c r="D3215" s="569" t="s">
        <v>3374</v>
      </c>
      <c r="E3215" s="569" t="s">
        <v>196</v>
      </c>
      <c r="F3215" s="569" t="s">
        <v>3265</v>
      </c>
      <c r="G3215" s="569">
        <v>2018</v>
      </c>
      <c r="H3215" s="569" t="s">
        <v>5645</v>
      </c>
      <c r="I3215" s="569" t="s">
        <v>5412</v>
      </c>
      <c r="J3215" s="569" t="s">
        <v>752</v>
      </c>
      <c r="K3215" s="569">
        <v>6</v>
      </c>
      <c r="L3215" s="569">
        <v>0</v>
      </c>
      <c r="M3215" s="569" t="s">
        <v>157</v>
      </c>
      <c r="N3215" s="569">
        <v>2</v>
      </c>
      <c r="O3215" s="569" t="s">
        <v>3846</v>
      </c>
      <c r="P3215" s="568">
        <v>17120</v>
      </c>
      <c r="Q3215" s="569" t="s">
        <v>5646</v>
      </c>
      <c r="R3215" s="569">
        <v>8</v>
      </c>
      <c r="S3215" s="569" t="s">
        <v>5673</v>
      </c>
      <c r="T3215" s="569" t="s">
        <v>5398</v>
      </c>
      <c r="U3215" s="569">
        <v>169</v>
      </c>
      <c r="V3215" s="569">
        <v>32</v>
      </c>
      <c r="W3215" s="620">
        <v>10000</v>
      </c>
      <c r="X3215" s="621">
        <v>14</v>
      </c>
      <c r="Y3215" s="621" t="s">
        <v>178</v>
      </c>
      <c r="Z3215" s="621" t="s">
        <v>178</v>
      </c>
      <c r="AA3215" s="622">
        <v>46140</v>
      </c>
      <c r="AB3215" s="622" t="s">
        <v>164</v>
      </c>
      <c r="AC3215" s="622">
        <v>32013</v>
      </c>
      <c r="AD3215" s="623">
        <v>0.05</v>
      </c>
      <c r="AE3215" s="621" t="s">
        <v>5693</v>
      </c>
    </row>
    <row r="3216" spans="1:31" s="572" customFormat="1">
      <c r="A3216" s="570" t="s">
        <v>5694</v>
      </c>
      <c r="B3216" s="573" t="s">
        <v>240</v>
      </c>
      <c r="C3216" s="578" t="s">
        <v>241</v>
      </c>
      <c r="D3216" s="573" t="s">
        <v>3374</v>
      </c>
      <c r="E3216" s="573" t="s">
        <v>196</v>
      </c>
      <c r="F3216" s="573" t="s">
        <v>3265</v>
      </c>
      <c r="G3216" s="573">
        <v>2018</v>
      </c>
      <c r="H3216" s="573" t="s">
        <v>5645</v>
      </c>
      <c r="I3216" s="573" t="s">
        <v>5412</v>
      </c>
      <c r="J3216" s="573" t="s">
        <v>752</v>
      </c>
      <c r="K3216" s="573">
        <v>6</v>
      </c>
      <c r="L3216" s="573">
        <v>0</v>
      </c>
      <c r="M3216" s="573" t="s">
        <v>157</v>
      </c>
      <c r="N3216" s="573">
        <v>2</v>
      </c>
      <c r="O3216" s="573" t="s">
        <v>3846</v>
      </c>
      <c r="P3216" s="571">
        <v>17120</v>
      </c>
      <c r="Q3216" s="573" t="s">
        <v>4231</v>
      </c>
      <c r="R3216" s="573">
        <v>8</v>
      </c>
      <c r="S3216" s="582" t="s">
        <v>5673</v>
      </c>
      <c r="T3216" s="573" t="s">
        <v>5650</v>
      </c>
      <c r="U3216" s="573">
        <v>169</v>
      </c>
      <c r="V3216" s="573">
        <v>32</v>
      </c>
      <c r="W3216" s="616">
        <v>10000</v>
      </c>
      <c r="X3216" s="617">
        <v>14</v>
      </c>
      <c r="Y3216" s="617" t="s">
        <v>728</v>
      </c>
      <c r="Z3216" s="617" t="s">
        <v>1523</v>
      </c>
      <c r="AA3216" s="618">
        <v>54840</v>
      </c>
      <c r="AB3216" s="618" t="s">
        <v>164</v>
      </c>
      <c r="AC3216" s="618">
        <v>39778</v>
      </c>
      <c r="AD3216" s="619">
        <v>0.05</v>
      </c>
      <c r="AE3216" s="617" t="s">
        <v>5695</v>
      </c>
    </row>
    <row r="3217" spans="1:31" s="572" customFormat="1">
      <c r="A3217" s="570" t="s">
        <v>5696</v>
      </c>
      <c r="B3217" s="569" t="s">
        <v>226</v>
      </c>
      <c r="C3217" s="580" t="s">
        <v>227</v>
      </c>
      <c r="D3217" s="569" t="s">
        <v>3374</v>
      </c>
      <c r="E3217" s="569" t="s">
        <v>196</v>
      </c>
      <c r="F3217" s="569" t="s">
        <v>3265</v>
      </c>
      <c r="G3217" s="569">
        <v>2019</v>
      </c>
      <c r="H3217" s="569" t="s">
        <v>5645</v>
      </c>
      <c r="I3217" s="569" t="s">
        <v>5698</v>
      </c>
      <c r="J3217" s="569" t="s">
        <v>3377</v>
      </c>
      <c r="K3217" s="569">
        <v>6</v>
      </c>
      <c r="L3217" s="569">
        <v>0</v>
      </c>
      <c r="M3217" s="569" t="s">
        <v>157</v>
      </c>
      <c r="N3217" s="569">
        <v>2</v>
      </c>
      <c r="O3217" s="569" t="s">
        <v>5405</v>
      </c>
      <c r="P3217" s="568">
        <v>11040</v>
      </c>
      <c r="Q3217" s="569" t="s">
        <v>5699</v>
      </c>
      <c r="R3217" s="569">
        <v>8</v>
      </c>
      <c r="S3217" s="569" t="s">
        <v>5700</v>
      </c>
      <c r="T3217" s="569" t="s">
        <v>5516</v>
      </c>
      <c r="U3217" s="569">
        <v>160</v>
      </c>
      <c r="V3217" s="569">
        <v>31</v>
      </c>
      <c r="W3217" s="620">
        <v>9000</v>
      </c>
      <c r="X3217" s="621">
        <v>15</v>
      </c>
      <c r="Y3217" s="621" t="s">
        <v>178</v>
      </c>
      <c r="Z3217" s="621" t="s">
        <v>178</v>
      </c>
      <c r="AA3217" s="622">
        <v>44140</v>
      </c>
      <c r="AB3217" s="622" t="s">
        <v>164</v>
      </c>
      <c r="AC3217" s="622">
        <v>39698</v>
      </c>
      <c r="AD3217" s="623">
        <v>6.25E-2</v>
      </c>
      <c r="AE3217" s="621" t="s">
        <v>5697</v>
      </c>
    </row>
    <row r="3218" spans="1:31" s="572" customFormat="1">
      <c r="A3218" s="570" t="s">
        <v>5701</v>
      </c>
      <c r="B3218" s="573" t="s">
        <v>226</v>
      </c>
      <c r="C3218" s="578" t="s">
        <v>227</v>
      </c>
      <c r="D3218" s="573" t="s">
        <v>3374</v>
      </c>
      <c r="E3218" s="573" t="s">
        <v>196</v>
      </c>
      <c r="F3218" s="573" t="s">
        <v>3265</v>
      </c>
      <c r="G3218" s="573">
        <v>2019</v>
      </c>
      <c r="H3218" s="573" t="s">
        <v>5645</v>
      </c>
      <c r="I3218" s="573" t="s">
        <v>5698</v>
      </c>
      <c r="J3218" s="573" t="s">
        <v>3377</v>
      </c>
      <c r="K3218" s="573">
        <v>6</v>
      </c>
      <c r="L3218" s="573">
        <v>0</v>
      </c>
      <c r="M3218" s="573" t="s">
        <v>157</v>
      </c>
      <c r="N3218" s="573">
        <v>2</v>
      </c>
      <c r="O3218" s="573" t="s">
        <v>5405</v>
      </c>
      <c r="P3218" s="571">
        <v>12510</v>
      </c>
      <c r="Q3218" s="573" t="s">
        <v>5676</v>
      </c>
      <c r="R3218" s="573">
        <v>8</v>
      </c>
      <c r="S3218" s="582" t="s">
        <v>5700</v>
      </c>
      <c r="T3218" s="573" t="s">
        <v>5398</v>
      </c>
      <c r="U3218" s="573">
        <v>160</v>
      </c>
      <c r="V3218" s="573">
        <v>31</v>
      </c>
      <c r="W3218" s="616">
        <v>9000</v>
      </c>
      <c r="X3218" s="617">
        <v>15</v>
      </c>
      <c r="Y3218" s="617" t="s">
        <v>178</v>
      </c>
      <c r="Z3218" s="617" t="s">
        <v>178</v>
      </c>
      <c r="AA3218" s="618">
        <v>44640</v>
      </c>
      <c r="AB3218" s="618" t="s">
        <v>164</v>
      </c>
      <c r="AC3218" s="618">
        <v>40152</v>
      </c>
      <c r="AD3218" s="619">
        <v>6.25E-2</v>
      </c>
      <c r="AE3218" s="617" t="s">
        <v>5702</v>
      </c>
    </row>
    <row r="3219" spans="1:31" s="572" customFormat="1">
      <c r="A3219" s="570" t="s">
        <v>5703</v>
      </c>
      <c r="B3219" s="569" t="s">
        <v>226</v>
      </c>
      <c r="C3219" s="580" t="s">
        <v>227</v>
      </c>
      <c r="D3219" s="569" t="s">
        <v>3374</v>
      </c>
      <c r="E3219" s="569" t="s">
        <v>196</v>
      </c>
      <c r="F3219" s="569" t="s">
        <v>3265</v>
      </c>
      <c r="G3219" s="569">
        <v>2019</v>
      </c>
      <c r="H3219" s="569" t="s">
        <v>5645</v>
      </c>
      <c r="I3219" s="569" t="s">
        <v>5698</v>
      </c>
      <c r="J3219" s="569" t="s">
        <v>3377</v>
      </c>
      <c r="K3219" s="569">
        <v>6</v>
      </c>
      <c r="L3219" s="569">
        <v>0</v>
      </c>
      <c r="M3219" s="569" t="s">
        <v>157</v>
      </c>
      <c r="N3219" s="569">
        <v>2</v>
      </c>
      <c r="O3219" s="569" t="s">
        <v>5405</v>
      </c>
      <c r="P3219" s="568">
        <v>16100</v>
      </c>
      <c r="Q3219" s="569" t="s">
        <v>5705</v>
      </c>
      <c r="R3219" s="569">
        <v>8</v>
      </c>
      <c r="S3219" s="569" t="s">
        <v>5700</v>
      </c>
      <c r="T3219" s="569" t="s">
        <v>5650</v>
      </c>
      <c r="U3219" s="569">
        <v>160</v>
      </c>
      <c r="V3219" s="569">
        <v>31</v>
      </c>
      <c r="W3219" s="620">
        <v>9000</v>
      </c>
      <c r="X3219" s="621">
        <v>15</v>
      </c>
      <c r="Y3219" s="621" t="s">
        <v>728</v>
      </c>
      <c r="Z3219" s="621" t="s">
        <v>1523</v>
      </c>
      <c r="AA3219" s="622">
        <v>53340</v>
      </c>
      <c r="AB3219" s="622" t="s">
        <v>164</v>
      </c>
      <c r="AC3219" s="622">
        <v>49380</v>
      </c>
      <c r="AD3219" s="623">
        <v>6.25E-2</v>
      </c>
      <c r="AE3219" s="621" t="s">
        <v>5704</v>
      </c>
    </row>
    <row r="3220" spans="1:31" s="572" customFormat="1">
      <c r="A3220" s="570" t="s">
        <v>5706</v>
      </c>
      <c r="B3220" s="573" t="s">
        <v>240</v>
      </c>
      <c r="C3220" s="578" t="s">
        <v>241</v>
      </c>
      <c r="D3220" s="573" t="s">
        <v>3374</v>
      </c>
      <c r="E3220" s="573" t="s">
        <v>196</v>
      </c>
      <c r="F3220" s="573" t="s">
        <v>3265</v>
      </c>
      <c r="G3220" s="573">
        <v>2018</v>
      </c>
      <c r="H3220" s="573" t="s">
        <v>5645</v>
      </c>
      <c r="I3220" s="573" t="s">
        <v>5698</v>
      </c>
      <c r="J3220" s="573" t="s">
        <v>3377</v>
      </c>
      <c r="K3220" s="573">
        <v>6</v>
      </c>
      <c r="L3220" s="573">
        <v>0</v>
      </c>
      <c r="M3220" s="573" t="s">
        <v>157</v>
      </c>
      <c r="N3220" s="573">
        <v>2</v>
      </c>
      <c r="O3220" s="573" t="s">
        <v>5405</v>
      </c>
      <c r="P3220" s="571">
        <v>17150</v>
      </c>
      <c r="Q3220" s="573" t="s">
        <v>5401</v>
      </c>
      <c r="R3220" s="573">
        <v>8</v>
      </c>
      <c r="S3220" s="582" t="s">
        <v>5700</v>
      </c>
      <c r="T3220" s="573" t="s">
        <v>5516</v>
      </c>
      <c r="U3220" s="573">
        <v>160</v>
      </c>
      <c r="V3220" s="573">
        <v>31</v>
      </c>
      <c r="W3220" s="616">
        <v>9000</v>
      </c>
      <c r="X3220" s="617">
        <v>15</v>
      </c>
      <c r="Y3220" s="617" t="s">
        <v>178</v>
      </c>
      <c r="Z3220" s="617" t="s">
        <v>178</v>
      </c>
      <c r="AA3220" s="618">
        <v>44140</v>
      </c>
      <c r="AB3220" s="618" t="s">
        <v>164</v>
      </c>
      <c r="AC3220" s="618">
        <v>34348</v>
      </c>
      <c r="AD3220" s="619">
        <v>0.05</v>
      </c>
      <c r="AE3220" s="617" t="s">
        <v>5707</v>
      </c>
    </row>
    <row r="3221" spans="1:31" s="572" customFormat="1">
      <c r="A3221" s="570" t="s">
        <v>5708</v>
      </c>
      <c r="B3221" s="569" t="s">
        <v>240</v>
      </c>
      <c r="C3221" s="580" t="s">
        <v>241</v>
      </c>
      <c r="D3221" s="569" t="s">
        <v>3374</v>
      </c>
      <c r="E3221" s="569" t="s">
        <v>196</v>
      </c>
      <c r="F3221" s="569" t="s">
        <v>3265</v>
      </c>
      <c r="G3221" s="569">
        <v>2018</v>
      </c>
      <c r="H3221" s="569" t="s">
        <v>5645</v>
      </c>
      <c r="I3221" s="569" t="s">
        <v>5698</v>
      </c>
      <c r="J3221" s="569" t="s">
        <v>3377</v>
      </c>
      <c r="K3221" s="569">
        <v>6</v>
      </c>
      <c r="L3221" s="569">
        <v>0</v>
      </c>
      <c r="M3221" s="569" t="s">
        <v>157</v>
      </c>
      <c r="N3221" s="569">
        <v>2</v>
      </c>
      <c r="O3221" s="569" t="s">
        <v>5405</v>
      </c>
      <c r="P3221" s="568">
        <v>17150</v>
      </c>
      <c r="Q3221" s="569" t="s">
        <v>5646</v>
      </c>
      <c r="R3221" s="569">
        <v>8</v>
      </c>
      <c r="S3221" s="569" t="s">
        <v>5700</v>
      </c>
      <c r="T3221" s="569" t="s">
        <v>5398</v>
      </c>
      <c r="U3221" s="569">
        <v>160</v>
      </c>
      <c r="V3221" s="569">
        <v>31</v>
      </c>
      <c r="W3221" s="620">
        <v>10000</v>
      </c>
      <c r="X3221" s="621">
        <v>15</v>
      </c>
      <c r="Y3221" s="621" t="s">
        <v>178</v>
      </c>
      <c r="Z3221" s="621" t="s">
        <v>178</v>
      </c>
      <c r="AA3221" s="622">
        <v>44640</v>
      </c>
      <c r="AB3221" s="622" t="s">
        <v>164</v>
      </c>
      <c r="AC3221" s="622">
        <v>34788</v>
      </c>
      <c r="AD3221" s="623">
        <v>0.05</v>
      </c>
      <c r="AE3221" s="621" t="s">
        <v>5709</v>
      </c>
    </row>
    <row r="3222" spans="1:31" s="572" customFormat="1">
      <c r="A3222" s="570" t="s">
        <v>5710</v>
      </c>
      <c r="B3222" s="573" t="s">
        <v>240</v>
      </c>
      <c r="C3222" s="578" t="s">
        <v>241</v>
      </c>
      <c r="D3222" s="573" t="s">
        <v>3374</v>
      </c>
      <c r="E3222" s="573" t="s">
        <v>196</v>
      </c>
      <c r="F3222" s="573" t="s">
        <v>3265</v>
      </c>
      <c r="G3222" s="573">
        <v>2018</v>
      </c>
      <c r="H3222" s="573" t="s">
        <v>5645</v>
      </c>
      <c r="I3222" s="573" t="s">
        <v>5698</v>
      </c>
      <c r="J3222" s="573" t="s">
        <v>3377</v>
      </c>
      <c r="K3222" s="573">
        <v>6</v>
      </c>
      <c r="L3222" s="573">
        <v>0</v>
      </c>
      <c r="M3222" s="573" t="s">
        <v>157</v>
      </c>
      <c r="N3222" s="573">
        <v>2</v>
      </c>
      <c r="O3222" s="573" t="s">
        <v>5405</v>
      </c>
      <c r="P3222" s="571">
        <v>17150</v>
      </c>
      <c r="Q3222" s="573" t="s">
        <v>4231</v>
      </c>
      <c r="R3222" s="573">
        <v>8</v>
      </c>
      <c r="S3222" s="582" t="s">
        <v>5700</v>
      </c>
      <c r="T3222" s="573" t="s">
        <v>5650</v>
      </c>
      <c r="U3222" s="573">
        <v>160</v>
      </c>
      <c r="V3222" s="573">
        <v>31</v>
      </c>
      <c r="W3222" s="616">
        <v>10000</v>
      </c>
      <c r="X3222" s="617">
        <v>15</v>
      </c>
      <c r="Y3222" s="617" t="s">
        <v>728</v>
      </c>
      <c r="Z3222" s="617" t="s">
        <v>1523</v>
      </c>
      <c r="AA3222" s="618">
        <v>53340</v>
      </c>
      <c r="AB3222" s="618" t="s">
        <v>164</v>
      </c>
      <c r="AC3222" s="618">
        <v>43838</v>
      </c>
      <c r="AD3222" s="619">
        <v>0.05</v>
      </c>
      <c r="AE3222" s="617" t="s">
        <v>5711</v>
      </c>
    </row>
    <row r="3223" spans="1:31" s="572" customFormat="1">
      <c r="A3223" s="570" t="s">
        <v>5712</v>
      </c>
      <c r="B3223" s="569" t="s">
        <v>226</v>
      </c>
      <c r="C3223" s="580" t="s">
        <v>227</v>
      </c>
      <c r="D3223" s="569" t="s">
        <v>3374</v>
      </c>
      <c r="E3223" s="569" t="s">
        <v>196</v>
      </c>
      <c r="F3223" s="569" t="s">
        <v>3265</v>
      </c>
      <c r="G3223" s="569">
        <v>2019</v>
      </c>
      <c r="H3223" s="569" t="s">
        <v>5645</v>
      </c>
      <c r="I3223" s="569" t="s">
        <v>5698</v>
      </c>
      <c r="J3223" s="569" t="s">
        <v>752</v>
      </c>
      <c r="K3223" s="569">
        <v>6</v>
      </c>
      <c r="L3223" s="569">
        <v>0</v>
      </c>
      <c r="M3223" s="569" t="s">
        <v>157</v>
      </c>
      <c r="N3223" s="569">
        <v>2</v>
      </c>
      <c r="O3223" s="569" t="s">
        <v>5405</v>
      </c>
      <c r="P3223" s="568">
        <v>10780</v>
      </c>
      <c r="Q3223" s="569" t="s">
        <v>5699</v>
      </c>
      <c r="R3223" s="569">
        <v>8</v>
      </c>
      <c r="S3223" s="569" t="s">
        <v>5714</v>
      </c>
      <c r="T3223" s="569" t="s">
        <v>5516</v>
      </c>
      <c r="U3223" s="569">
        <v>160</v>
      </c>
      <c r="V3223" s="569">
        <v>31</v>
      </c>
      <c r="W3223" s="620">
        <v>9000</v>
      </c>
      <c r="X3223" s="621">
        <v>14</v>
      </c>
      <c r="Y3223" s="621" t="s">
        <v>178</v>
      </c>
      <c r="Z3223" s="621" t="s">
        <v>178</v>
      </c>
      <c r="AA3223" s="622">
        <v>46940</v>
      </c>
      <c r="AB3223" s="622" t="s">
        <v>164</v>
      </c>
      <c r="AC3223" s="622">
        <v>39383</v>
      </c>
      <c r="AD3223" s="623">
        <v>6.25E-2</v>
      </c>
      <c r="AE3223" s="621" t="s">
        <v>5713</v>
      </c>
    </row>
    <row r="3224" spans="1:31" s="572" customFormat="1">
      <c r="A3224" s="570" t="s">
        <v>5715</v>
      </c>
      <c r="B3224" s="573" t="s">
        <v>226</v>
      </c>
      <c r="C3224" s="578" t="s">
        <v>227</v>
      </c>
      <c r="D3224" s="573" t="s">
        <v>3374</v>
      </c>
      <c r="E3224" s="573" t="s">
        <v>196</v>
      </c>
      <c r="F3224" s="573" t="s">
        <v>3265</v>
      </c>
      <c r="G3224" s="573">
        <v>2019</v>
      </c>
      <c r="H3224" s="573" t="s">
        <v>5645</v>
      </c>
      <c r="I3224" s="573" t="s">
        <v>5698</v>
      </c>
      <c r="J3224" s="573" t="s">
        <v>752</v>
      </c>
      <c r="K3224" s="573">
        <v>6</v>
      </c>
      <c r="L3224" s="573">
        <v>0</v>
      </c>
      <c r="M3224" s="573" t="s">
        <v>157</v>
      </c>
      <c r="N3224" s="573">
        <v>2</v>
      </c>
      <c r="O3224" s="573" t="s">
        <v>5405</v>
      </c>
      <c r="P3224" s="571">
        <v>12240</v>
      </c>
      <c r="Q3224" s="573" t="s">
        <v>5676</v>
      </c>
      <c r="R3224" s="573">
        <v>8</v>
      </c>
      <c r="S3224" s="582" t="s">
        <v>5714</v>
      </c>
      <c r="T3224" s="573" t="s">
        <v>5398</v>
      </c>
      <c r="U3224" s="573">
        <v>160</v>
      </c>
      <c r="V3224" s="573">
        <v>31</v>
      </c>
      <c r="W3224" s="616">
        <v>10000</v>
      </c>
      <c r="X3224" s="617">
        <v>14</v>
      </c>
      <c r="Y3224" s="617" t="s">
        <v>178</v>
      </c>
      <c r="Z3224" s="617" t="s">
        <v>178</v>
      </c>
      <c r="AA3224" s="618">
        <v>47440</v>
      </c>
      <c r="AB3224" s="618" t="s">
        <v>164</v>
      </c>
      <c r="AC3224" s="618">
        <v>39836</v>
      </c>
      <c r="AD3224" s="619">
        <v>6.25E-2</v>
      </c>
      <c r="AE3224" s="617" t="s">
        <v>5716</v>
      </c>
    </row>
    <row r="3225" spans="1:31" s="572" customFormat="1">
      <c r="A3225" s="570" t="s">
        <v>5717</v>
      </c>
      <c r="B3225" s="569" t="s">
        <v>226</v>
      </c>
      <c r="C3225" s="580" t="s">
        <v>227</v>
      </c>
      <c r="D3225" s="569" t="s">
        <v>3374</v>
      </c>
      <c r="E3225" s="569" t="s">
        <v>196</v>
      </c>
      <c r="F3225" s="569" t="s">
        <v>3265</v>
      </c>
      <c r="G3225" s="569">
        <v>2019</v>
      </c>
      <c r="H3225" s="569" t="s">
        <v>5645</v>
      </c>
      <c r="I3225" s="569" t="s">
        <v>5698</v>
      </c>
      <c r="J3225" s="569" t="s">
        <v>752</v>
      </c>
      <c r="K3225" s="569">
        <v>6</v>
      </c>
      <c r="L3225" s="569">
        <v>0</v>
      </c>
      <c r="M3225" s="569" t="s">
        <v>157</v>
      </c>
      <c r="N3225" s="569">
        <v>2</v>
      </c>
      <c r="O3225" s="569" t="s">
        <v>5405</v>
      </c>
      <c r="P3225" s="568">
        <v>14750</v>
      </c>
      <c r="Q3225" s="569" t="s">
        <v>5705</v>
      </c>
      <c r="R3225" s="569">
        <v>8</v>
      </c>
      <c r="S3225" s="569" t="s">
        <v>5714</v>
      </c>
      <c r="T3225" s="569" t="s">
        <v>5650</v>
      </c>
      <c r="U3225" s="569">
        <v>160</v>
      </c>
      <c r="V3225" s="569">
        <v>31</v>
      </c>
      <c r="W3225" s="620">
        <v>10000</v>
      </c>
      <c r="X3225" s="621">
        <v>14</v>
      </c>
      <c r="Y3225" s="621" t="s">
        <v>728</v>
      </c>
      <c r="Z3225" s="621" t="s">
        <v>1523</v>
      </c>
      <c r="AA3225" s="622">
        <v>56140</v>
      </c>
      <c r="AB3225" s="622" t="s">
        <v>164</v>
      </c>
      <c r="AC3225" s="622">
        <v>46592</v>
      </c>
      <c r="AD3225" s="623">
        <v>6.25E-2</v>
      </c>
      <c r="AE3225" s="621" t="s">
        <v>5718</v>
      </c>
    </row>
    <row r="3226" spans="1:31" s="572" customFormat="1">
      <c r="A3226" s="570" t="s">
        <v>5719</v>
      </c>
      <c r="B3226" s="573" t="s">
        <v>226</v>
      </c>
      <c r="C3226" s="578" t="s">
        <v>227</v>
      </c>
      <c r="D3226" s="573" t="s">
        <v>3374</v>
      </c>
      <c r="E3226" s="573" t="s">
        <v>196</v>
      </c>
      <c r="F3226" s="573" t="s">
        <v>3265</v>
      </c>
      <c r="G3226" s="573">
        <v>2019</v>
      </c>
      <c r="H3226" s="573" t="s">
        <v>5645</v>
      </c>
      <c r="I3226" s="573" t="s">
        <v>5698</v>
      </c>
      <c r="J3226" s="573" t="s">
        <v>752</v>
      </c>
      <c r="K3226" s="573">
        <v>6</v>
      </c>
      <c r="L3226" s="573">
        <v>0</v>
      </c>
      <c r="M3226" s="573" t="s">
        <v>157</v>
      </c>
      <c r="N3226" s="573">
        <v>2</v>
      </c>
      <c r="O3226" s="573" t="s">
        <v>5405</v>
      </c>
      <c r="P3226" s="571">
        <v>15240</v>
      </c>
      <c r="Q3226" s="573" t="s">
        <v>5721</v>
      </c>
      <c r="R3226" s="573">
        <v>8</v>
      </c>
      <c r="S3226" s="582" t="s">
        <v>5714</v>
      </c>
      <c r="T3226" s="573" t="s">
        <v>5398</v>
      </c>
      <c r="U3226" s="573">
        <v>160</v>
      </c>
      <c r="V3226" s="573">
        <v>31</v>
      </c>
      <c r="W3226" s="616">
        <v>9000</v>
      </c>
      <c r="X3226" s="617">
        <v>14</v>
      </c>
      <c r="Y3226" s="617" t="s">
        <v>178</v>
      </c>
      <c r="Z3226" s="617" t="s">
        <v>178</v>
      </c>
      <c r="AA3226" s="618">
        <v>47585</v>
      </c>
      <c r="AB3226" s="618" t="s">
        <v>164</v>
      </c>
      <c r="AC3226" s="618">
        <v>39531</v>
      </c>
      <c r="AD3226" s="619">
        <v>6.25E-2</v>
      </c>
      <c r="AE3226" s="617" t="s">
        <v>5720</v>
      </c>
    </row>
    <row r="3227" spans="1:31" s="572" customFormat="1">
      <c r="A3227" s="570" t="s">
        <v>5722</v>
      </c>
      <c r="B3227" s="569" t="s">
        <v>240</v>
      </c>
      <c r="C3227" s="580" t="s">
        <v>241</v>
      </c>
      <c r="D3227" s="569" t="s">
        <v>3374</v>
      </c>
      <c r="E3227" s="569" t="s">
        <v>196</v>
      </c>
      <c r="F3227" s="569" t="s">
        <v>3265</v>
      </c>
      <c r="G3227" s="569">
        <v>2018</v>
      </c>
      <c r="H3227" s="569" t="s">
        <v>5645</v>
      </c>
      <c r="I3227" s="569" t="s">
        <v>5698</v>
      </c>
      <c r="J3227" s="569" t="s">
        <v>752</v>
      </c>
      <c r="K3227" s="569">
        <v>6</v>
      </c>
      <c r="L3227" s="569">
        <v>0</v>
      </c>
      <c r="M3227" s="569" t="s">
        <v>157</v>
      </c>
      <c r="N3227" s="569">
        <v>2</v>
      </c>
      <c r="O3227" s="569" t="s">
        <v>5405</v>
      </c>
      <c r="P3227" s="568">
        <v>16790</v>
      </c>
      <c r="Q3227" s="569" t="s">
        <v>5401</v>
      </c>
      <c r="R3227" s="569">
        <v>8</v>
      </c>
      <c r="S3227" s="569" t="s">
        <v>5714</v>
      </c>
      <c r="T3227" s="569" t="s">
        <v>5516</v>
      </c>
      <c r="U3227" s="569">
        <v>160</v>
      </c>
      <c r="V3227" s="569">
        <v>31</v>
      </c>
      <c r="W3227" s="620">
        <v>9000</v>
      </c>
      <c r="X3227" s="621">
        <v>14</v>
      </c>
      <c r="Y3227" s="621" t="s">
        <v>178</v>
      </c>
      <c r="Z3227" s="621" t="s">
        <v>178</v>
      </c>
      <c r="AA3227" s="622">
        <v>46940</v>
      </c>
      <c r="AB3227" s="622" t="s">
        <v>164</v>
      </c>
      <c r="AC3227" s="622">
        <v>33738</v>
      </c>
      <c r="AD3227" s="623">
        <v>0.05</v>
      </c>
      <c r="AE3227" s="621" t="s">
        <v>5723</v>
      </c>
    </row>
    <row r="3228" spans="1:31" s="572" customFormat="1">
      <c r="A3228" s="570" t="s">
        <v>5724</v>
      </c>
      <c r="B3228" s="573" t="s">
        <v>240</v>
      </c>
      <c r="C3228" s="578" t="s">
        <v>241</v>
      </c>
      <c r="D3228" s="573" t="s">
        <v>3374</v>
      </c>
      <c r="E3228" s="573" t="s">
        <v>196</v>
      </c>
      <c r="F3228" s="573" t="s">
        <v>3265</v>
      </c>
      <c r="G3228" s="573">
        <v>2018</v>
      </c>
      <c r="H3228" s="573" t="s">
        <v>5645</v>
      </c>
      <c r="I3228" s="573" t="s">
        <v>5698</v>
      </c>
      <c r="J3228" s="573" t="s">
        <v>752</v>
      </c>
      <c r="K3228" s="573">
        <v>6</v>
      </c>
      <c r="L3228" s="573">
        <v>0</v>
      </c>
      <c r="M3228" s="573" t="s">
        <v>157</v>
      </c>
      <c r="N3228" s="573">
        <v>2</v>
      </c>
      <c r="O3228" s="573" t="s">
        <v>5405</v>
      </c>
      <c r="P3228" s="571">
        <v>16790</v>
      </c>
      <c r="Q3228" s="573" t="s">
        <v>5646</v>
      </c>
      <c r="R3228" s="573">
        <v>8</v>
      </c>
      <c r="S3228" s="582" t="s">
        <v>5714</v>
      </c>
      <c r="T3228" s="573" t="s">
        <v>5398</v>
      </c>
      <c r="U3228" s="573">
        <v>160</v>
      </c>
      <c r="V3228" s="573">
        <v>31</v>
      </c>
      <c r="W3228" s="616">
        <v>10000</v>
      </c>
      <c r="X3228" s="617">
        <v>14</v>
      </c>
      <c r="Y3228" s="617" t="s">
        <v>178</v>
      </c>
      <c r="Z3228" s="617" t="s">
        <v>178</v>
      </c>
      <c r="AA3228" s="618">
        <v>47440</v>
      </c>
      <c r="AB3228" s="618" t="s">
        <v>164</v>
      </c>
      <c r="AC3228" s="618">
        <v>34178</v>
      </c>
      <c r="AD3228" s="619">
        <v>0.05</v>
      </c>
      <c r="AE3228" s="617" t="s">
        <v>5725</v>
      </c>
    </row>
    <row r="3229" spans="1:31" s="572" customFormat="1">
      <c r="A3229" s="570" t="s">
        <v>5726</v>
      </c>
      <c r="B3229" s="569" t="s">
        <v>240</v>
      </c>
      <c r="C3229" s="580" t="s">
        <v>241</v>
      </c>
      <c r="D3229" s="569" t="s">
        <v>3374</v>
      </c>
      <c r="E3229" s="569" t="s">
        <v>196</v>
      </c>
      <c r="F3229" s="569" t="s">
        <v>3265</v>
      </c>
      <c r="G3229" s="569">
        <v>2018</v>
      </c>
      <c r="H3229" s="569" t="s">
        <v>5645</v>
      </c>
      <c r="I3229" s="569" t="s">
        <v>5698</v>
      </c>
      <c r="J3229" s="569" t="s">
        <v>752</v>
      </c>
      <c r="K3229" s="569">
        <v>6</v>
      </c>
      <c r="L3229" s="569">
        <v>0</v>
      </c>
      <c r="M3229" s="569" t="s">
        <v>157</v>
      </c>
      <c r="N3229" s="569">
        <v>2</v>
      </c>
      <c r="O3229" s="569" t="s">
        <v>5405</v>
      </c>
      <c r="P3229" s="568">
        <v>16790</v>
      </c>
      <c r="Q3229" s="569" t="s">
        <v>4231</v>
      </c>
      <c r="R3229" s="569">
        <v>8</v>
      </c>
      <c r="S3229" s="569" t="s">
        <v>5714</v>
      </c>
      <c r="T3229" s="569" t="s">
        <v>5650</v>
      </c>
      <c r="U3229" s="569">
        <v>160</v>
      </c>
      <c r="V3229" s="569">
        <v>31</v>
      </c>
      <c r="W3229" s="620">
        <v>10000</v>
      </c>
      <c r="X3229" s="621">
        <v>14</v>
      </c>
      <c r="Y3229" s="621" t="s">
        <v>728</v>
      </c>
      <c r="Z3229" s="621" t="s">
        <v>1523</v>
      </c>
      <c r="AA3229" s="622">
        <v>56140</v>
      </c>
      <c r="AB3229" s="622" t="s">
        <v>164</v>
      </c>
      <c r="AC3229" s="622">
        <v>40408</v>
      </c>
      <c r="AD3229" s="623">
        <v>0.05</v>
      </c>
      <c r="AE3229" s="621" t="s">
        <v>5727</v>
      </c>
    </row>
    <row r="3230" spans="1:31" s="572" customFormat="1">
      <c r="A3230" s="570" t="s">
        <v>5728</v>
      </c>
      <c r="B3230" s="573" t="s">
        <v>226</v>
      </c>
      <c r="C3230" s="578" t="s">
        <v>227</v>
      </c>
      <c r="D3230" s="573" t="s">
        <v>3374</v>
      </c>
      <c r="E3230" s="573" t="s">
        <v>196</v>
      </c>
      <c r="F3230" s="573" t="s">
        <v>3265</v>
      </c>
      <c r="G3230" s="573">
        <v>2019</v>
      </c>
      <c r="H3230" s="573" t="s">
        <v>5645</v>
      </c>
      <c r="I3230" s="573" t="s">
        <v>5429</v>
      </c>
      <c r="J3230" s="573" t="s">
        <v>3377</v>
      </c>
      <c r="K3230" s="573">
        <v>3</v>
      </c>
      <c r="L3230" s="573">
        <v>0</v>
      </c>
      <c r="M3230" s="573" t="s">
        <v>157</v>
      </c>
      <c r="N3230" s="573">
        <v>1</v>
      </c>
      <c r="O3230" s="573" t="s">
        <v>3846</v>
      </c>
      <c r="P3230" s="571">
        <v>11880</v>
      </c>
      <c r="Q3230" s="573" t="s">
        <v>5699</v>
      </c>
      <c r="R3230" s="573">
        <v>8</v>
      </c>
      <c r="S3230" s="582" t="s">
        <v>5730</v>
      </c>
      <c r="T3230" s="573" t="s">
        <v>5516</v>
      </c>
      <c r="U3230" s="573">
        <v>140</v>
      </c>
      <c r="V3230" s="573">
        <v>32</v>
      </c>
      <c r="W3230" s="616">
        <v>9000</v>
      </c>
      <c r="X3230" s="617">
        <v>15</v>
      </c>
      <c r="Y3230" s="617" t="s">
        <v>178</v>
      </c>
      <c r="Z3230" s="617" t="s">
        <v>178</v>
      </c>
      <c r="AA3230" s="618">
        <v>38140</v>
      </c>
      <c r="AB3230" s="618" t="s">
        <v>164</v>
      </c>
      <c r="AC3230" s="618">
        <v>32765</v>
      </c>
      <c r="AD3230" s="619">
        <v>6.25E-2</v>
      </c>
      <c r="AE3230" s="617" t="s">
        <v>5729</v>
      </c>
    </row>
    <row r="3231" spans="1:31" s="572" customFormat="1">
      <c r="A3231" s="570" t="s">
        <v>5731</v>
      </c>
      <c r="B3231" s="569" t="s">
        <v>226</v>
      </c>
      <c r="C3231" s="580" t="s">
        <v>227</v>
      </c>
      <c r="D3231" s="569" t="s">
        <v>3374</v>
      </c>
      <c r="E3231" s="569" t="s">
        <v>196</v>
      </c>
      <c r="F3231" s="569" t="s">
        <v>3265</v>
      </c>
      <c r="G3231" s="569">
        <v>2019</v>
      </c>
      <c r="H3231" s="569" t="s">
        <v>5645</v>
      </c>
      <c r="I3231" s="569" t="s">
        <v>5429</v>
      </c>
      <c r="J3231" s="569" t="s">
        <v>3377</v>
      </c>
      <c r="K3231" s="569">
        <v>3</v>
      </c>
      <c r="L3231" s="569">
        <v>0</v>
      </c>
      <c r="M3231" s="569" t="s">
        <v>157</v>
      </c>
      <c r="N3231" s="569">
        <v>1</v>
      </c>
      <c r="O3231" s="569" t="s">
        <v>3846</v>
      </c>
      <c r="P3231" s="568">
        <v>13320</v>
      </c>
      <c r="Q3231" s="569" t="s">
        <v>5676</v>
      </c>
      <c r="R3231" s="569">
        <v>8</v>
      </c>
      <c r="S3231" s="569" t="s">
        <v>5730</v>
      </c>
      <c r="T3231" s="569" t="s">
        <v>5398</v>
      </c>
      <c r="U3231" s="569">
        <v>140</v>
      </c>
      <c r="V3231" s="569">
        <v>32</v>
      </c>
      <c r="W3231" s="620">
        <v>9000</v>
      </c>
      <c r="X3231" s="621">
        <v>15</v>
      </c>
      <c r="Y3231" s="621" t="s">
        <v>178</v>
      </c>
      <c r="Z3231" s="621" t="s">
        <v>178</v>
      </c>
      <c r="AA3231" s="622">
        <v>38640</v>
      </c>
      <c r="AB3231" s="622" t="s">
        <v>164</v>
      </c>
      <c r="AC3231" s="622">
        <v>33218</v>
      </c>
      <c r="AD3231" s="623">
        <v>6.25E-2</v>
      </c>
      <c r="AE3231" s="621" t="s">
        <v>5732</v>
      </c>
    </row>
    <row r="3232" spans="1:31" s="572" customFormat="1">
      <c r="A3232" s="570" t="s">
        <v>5733</v>
      </c>
      <c r="B3232" s="573" t="s">
        <v>226</v>
      </c>
      <c r="C3232" s="578" t="s">
        <v>227</v>
      </c>
      <c r="D3232" s="573" t="s">
        <v>3374</v>
      </c>
      <c r="E3232" s="573" t="s">
        <v>196</v>
      </c>
      <c r="F3232" s="573" t="s">
        <v>3265</v>
      </c>
      <c r="G3232" s="573">
        <v>2019</v>
      </c>
      <c r="H3232" s="573" t="s">
        <v>5645</v>
      </c>
      <c r="I3232" s="573" t="s">
        <v>5429</v>
      </c>
      <c r="J3232" s="573" t="s">
        <v>3377</v>
      </c>
      <c r="K3232" s="573">
        <v>3</v>
      </c>
      <c r="L3232" s="573">
        <v>0</v>
      </c>
      <c r="M3232" s="573" t="s">
        <v>157</v>
      </c>
      <c r="N3232" s="573">
        <v>1</v>
      </c>
      <c r="O3232" s="573" t="s">
        <v>3846</v>
      </c>
      <c r="P3232" s="571">
        <v>16890</v>
      </c>
      <c r="Q3232" s="573" t="s">
        <v>5705</v>
      </c>
      <c r="R3232" s="573">
        <v>8</v>
      </c>
      <c r="S3232" s="582" t="s">
        <v>5730</v>
      </c>
      <c r="T3232" s="573" t="s">
        <v>5650</v>
      </c>
      <c r="U3232" s="573">
        <v>140</v>
      </c>
      <c r="V3232" s="573">
        <v>32</v>
      </c>
      <c r="W3232" s="616">
        <v>10000</v>
      </c>
      <c r="X3232" s="617">
        <v>15</v>
      </c>
      <c r="Y3232" s="617" t="s">
        <v>728</v>
      </c>
      <c r="Z3232" s="617" t="s">
        <v>1523</v>
      </c>
      <c r="AA3232" s="618">
        <v>47340</v>
      </c>
      <c r="AB3232" s="618" t="s">
        <v>164</v>
      </c>
      <c r="AC3232" s="618">
        <v>44302</v>
      </c>
      <c r="AD3232" s="619">
        <v>6.25E-2</v>
      </c>
      <c r="AE3232" s="617" t="s">
        <v>5734</v>
      </c>
    </row>
    <row r="3233" spans="1:31" s="572" customFormat="1">
      <c r="A3233" s="570" t="s">
        <v>5735</v>
      </c>
      <c r="B3233" s="569" t="s">
        <v>240</v>
      </c>
      <c r="C3233" s="580" t="s">
        <v>241</v>
      </c>
      <c r="D3233" s="569" t="s">
        <v>3374</v>
      </c>
      <c r="E3233" s="569" t="s">
        <v>196</v>
      </c>
      <c r="F3233" s="569" t="s">
        <v>3265</v>
      </c>
      <c r="G3233" s="569">
        <v>2018</v>
      </c>
      <c r="H3233" s="569" t="s">
        <v>5645</v>
      </c>
      <c r="I3233" s="569" t="s">
        <v>5429</v>
      </c>
      <c r="J3233" s="569" t="s">
        <v>3377</v>
      </c>
      <c r="K3233" s="569">
        <v>3</v>
      </c>
      <c r="L3233" s="569">
        <v>0</v>
      </c>
      <c r="M3233" s="569" t="s">
        <v>157</v>
      </c>
      <c r="N3233" s="569">
        <v>1</v>
      </c>
      <c r="O3233" s="569" t="s">
        <v>3846</v>
      </c>
      <c r="P3233" s="568">
        <v>17810</v>
      </c>
      <c r="Q3233" s="569" t="s">
        <v>5401</v>
      </c>
      <c r="R3233" s="569">
        <v>8</v>
      </c>
      <c r="S3233" s="569" t="s">
        <v>5730</v>
      </c>
      <c r="T3233" s="569" t="s">
        <v>5516</v>
      </c>
      <c r="U3233" s="569">
        <v>140.5</v>
      </c>
      <c r="V3233" s="569">
        <v>32</v>
      </c>
      <c r="W3233" s="620">
        <v>9000</v>
      </c>
      <c r="X3233" s="621">
        <v>15</v>
      </c>
      <c r="Y3233" s="621" t="s">
        <v>178</v>
      </c>
      <c r="Z3233" s="621" t="s">
        <v>178</v>
      </c>
      <c r="AA3233" s="622">
        <v>38435</v>
      </c>
      <c r="AB3233" s="622" t="s">
        <v>164</v>
      </c>
      <c r="AC3233" s="622">
        <v>27124</v>
      </c>
      <c r="AD3233" s="623">
        <v>0.05</v>
      </c>
      <c r="AE3233" s="621" t="s">
        <v>5736</v>
      </c>
    </row>
    <row r="3234" spans="1:31" s="572" customFormat="1">
      <c r="A3234" s="570" t="s">
        <v>5737</v>
      </c>
      <c r="B3234" s="573" t="s">
        <v>240</v>
      </c>
      <c r="C3234" s="578" t="s">
        <v>241</v>
      </c>
      <c r="D3234" s="573" t="s">
        <v>3374</v>
      </c>
      <c r="E3234" s="573" t="s">
        <v>196</v>
      </c>
      <c r="F3234" s="573" t="s">
        <v>3265</v>
      </c>
      <c r="G3234" s="573">
        <v>2018</v>
      </c>
      <c r="H3234" s="573" t="s">
        <v>5645</v>
      </c>
      <c r="I3234" s="573" t="s">
        <v>5429</v>
      </c>
      <c r="J3234" s="573" t="s">
        <v>3377</v>
      </c>
      <c r="K3234" s="573">
        <v>3</v>
      </c>
      <c r="L3234" s="573">
        <v>0</v>
      </c>
      <c r="M3234" s="573" t="s">
        <v>157</v>
      </c>
      <c r="N3234" s="573">
        <v>1</v>
      </c>
      <c r="O3234" s="573" t="s">
        <v>3846</v>
      </c>
      <c r="P3234" s="571">
        <v>17810</v>
      </c>
      <c r="Q3234" s="573" t="s">
        <v>5646</v>
      </c>
      <c r="R3234" s="573">
        <v>8</v>
      </c>
      <c r="S3234" s="582" t="s">
        <v>5730</v>
      </c>
      <c r="T3234" s="573" t="s">
        <v>5398</v>
      </c>
      <c r="U3234" s="573">
        <v>140.5</v>
      </c>
      <c r="V3234" s="573">
        <v>32</v>
      </c>
      <c r="W3234" s="616">
        <v>10000</v>
      </c>
      <c r="X3234" s="617">
        <v>15</v>
      </c>
      <c r="Y3234" s="617" t="s">
        <v>178</v>
      </c>
      <c r="Z3234" s="617" t="s">
        <v>178</v>
      </c>
      <c r="AA3234" s="618">
        <v>38935</v>
      </c>
      <c r="AB3234" s="618" t="s">
        <v>164</v>
      </c>
      <c r="AC3234" s="618">
        <v>27582</v>
      </c>
      <c r="AD3234" s="619">
        <v>0.05</v>
      </c>
      <c r="AE3234" s="617" t="s">
        <v>5738</v>
      </c>
    </row>
    <row r="3235" spans="1:31" s="572" customFormat="1">
      <c r="A3235" s="570" t="s">
        <v>5739</v>
      </c>
      <c r="B3235" s="569" t="s">
        <v>240</v>
      </c>
      <c r="C3235" s="580" t="s">
        <v>241</v>
      </c>
      <c r="D3235" s="569" t="s">
        <v>3374</v>
      </c>
      <c r="E3235" s="569" t="s">
        <v>196</v>
      </c>
      <c r="F3235" s="569" t="s">
        <v>3265</v>
      </c>
      <c r="G3235" s="569">
        <v>2018</v>
      </c>
      <c r="H3235" s="569" t="s">
        <v>5645</v>
      </c>
      <c r="I3235" s="569" t="s">
        <v>5429</v>
      </c>
      <c r="J3235" s="569" t="s">
        <v>3377</v>
      </c>
      <c r="K3235" s="569">
        <v>3</v>
      </c>
      <c r="L3235" s="569">
        <v>0</v>
      </c>
      <c r="M3235" s="569" t="s">
        <v>157</v>
      </c>
      <c r="N3235" s="569">
        <v>1</v>
      </c>
      <c r="O3235" s="569" t="s">
        <v>3846</v>
      </c>
      <c r="P3235" s="568">
        <v>17810</v>
      </c>
      <c r="Q3235" s="569" t="s">
        <v>4231</v>
      </c>
      <c r="R3235" s="569">
        <v>8</v>
      </c>
      <c r="S3235" s="569" t="s">
        <v>5730</v>
      </c>
      <c r="T3235" s="569" t="s">
        <v>5650</v>
      </c>
      <c r="U3235" s="569">
        <v>140.5</v>
      </c>
      <c r="V3235" s="569">
        <v>32</v>
      </c>
      <c r="W3235" s="620">
        <v>10000</v>
      </c>
      <c r="X3235" s="621">
        <v>15</v>
      </c>
      <c r="Y3235" s="621" t="s">
        <v>728</v>
      </c>
      <c r="Z3235" s="621" t="s">
        <v>1523</v>
      </c>
      <c r="AA3235" s="622">
        <v>47635</v>
      </c>
      <c r="AB3235" s="622" t="s">
        <v>164</v>
      </c>
      <c r="AC3235" s="622">
        <v>39128</v>
      </c>
      <c r="AD3235" s="623">
        <v>0.05</v>
      </c>
      <c r="AE3235" s="621" t="s">
        <v>5740</v>
      </c>
    </row>
    <row r="3236" spans="1:31" s="572" customFormat="1">
      <c r="A3236" s="570" t="s">
        <v>5741</v>
      </c>
      <c r="B3236" s="573" t="s">
        <v>226</v>
      </c>
      <c r="C3236" s="578" t="s">
        <v>227</v>
      </c>
      <c r="D3236" s="573" t="s">
        <v>3374</v>
      </c>
      <c r="E3236" s="573" t="s">
        <v>196</v>
      </c>
      <c r="F3236" s="573" t="s">
        <v>3265</v>
      </c>
      <c r="G3236" s="573">
        <v>2019</v>
      </c>
      <c r="H3236" s="573" t="s">
        <v>5645</v>
      </c>
      <c r="I3236" s="573" t="s">
        <v>5429</v>
      </c>
      <c r="J3236" s="573" t="s">
        <v>752</v>
      </c>
      <c r="K3236" s="573">
        <v>3</v>
      </c>
      <c r="L3236" s="573">
        <v>0</v>
      </c>
      <c r="M3236" s="573" t="s">
        <v>157</v>
      </c>
      <c r="N3236" s="573">
        <v>1</v>
      </c>
      <c r="O3236" s="573" t="s">
        <v>3846</v>
      </c>
      <c r="P3236" s="571">
        <v>11520</v>
      </c>
      <c r="Q3236" s="573" t="s">
        <v>5699</v>
      </c>
      <c r="R3236" s="573">
        <v>8</v>
      </c>
      <c r="S3236" s="582" t="s">
        <v>5743</v>
      </c>
      <c r="T3236" s="573" t="s">
        <v>5516</v>
      </c>
      <c r="U3236" s="573">
        <v>140</v>
      </c>
      <c r="V3236" s="573">
        <v>32</v>
      </c>
      <c r="W3236" s="616">
        <v>9000</v>
      </c>
      <c r="X3236" s="617">
        <v>14</v>
      </c>
      <c r="Y3236" s="617" t="s">
        <v>178</v>
      </c>
      <c r="Z3236" s="617" t="s">
        <v>178</v>
      </c>
      <c r="AA3236" s="618">
        <v>40940</v>
      </c>
      <c r="AB3236" s="618" t="s">
        <v>164</v>
      </c>
      <c r="AC3236" s="618">
        <v>33990</v>
      </c>
      <c r="AD3236" s="619">
        <v>6.25E-2</v>
      </c>
      <c r="AE3236" s="617" t="s">
        <v>5742</v>
      </c>
    </row>
    <row r="3237" spans="1:31" s="572" customFormat="1">
      <c r="A3237" s="570" t="s">
        <v>5744</v>
      </c>
      <c r="B3237" s="569" t="s">
        <v>226</v>
      </c>
      <c r="C3237" s="580" t="s">
        <v>227</v>
      </c>
      <c r="D3237" s="569" t="s">
        <v>3374</v>
      </c>
      <c r="E3237" s="569" t="s">
        <v>196</v>
      </c>
      <c r="F3237" s="569" t="s">
        <v>3265</v>
      </c>
      <c r="G3237" s="569">
        <v>2019</v>
      </c>
      <c r="H3237" s="569" t="s">
        <v>5645</v>
      </c>
      <c r="I3237" s="569" t="s">
        <v>5429</v>
      </c>
      <c r="J3237" s="569" t="s">
        <v>752</v>
      </c>
      <c r="K3237" s="569">
        <v>3</v>
      </c>
      <c r="L3237" s="569">
        <v>0</v>
      </c>
      <c r="M3237" s="569" t="s">
        <v>157</v>
      </c>
      <c r="N3237" s="569">
        <v>1</v>
      </c>
      <c r="O3237" s="569" t="s">
        <v>3846</v>
      </c>
      <c r="P3237" s="568">
        <v>11520</v>
      </c>
      <c r="Q3237" s="569" t="s">
        <v>5676</v>
      </c>
      <c r="R3237" s="569">
        <v>8</v>
      </c>
      <c r="S3237" s="569" t="s">
        <v>5743</v>
      </c>
      <c r="T3237" s="569" t="s">
        <v>5398</v>
      </c>
      <c r="U3237" s="569">
        <v>140</v>
      </c>
      <c r="V3237" s="569">
        <v>32</v>
      </c>
      <c r="W3237" s="620">
        <v>10000</v>
      </c>
      <c r="X3237" s="621">
        <v>14</v>
      </c>
      <c r="Y3237" s="621" t="s">
        <v>178</v>
      </c>
      <c r="Z3237" s="621" t="s">
        <v>178</v>
      </c>
      <c r="AA3237" s="622">
        <v>41440</v>
      </c>
      <c r="AB3237" s="622" t="s">
        <v>164</v>
      </c>
      <c r="AC3237" s="622">
        <v>34443</v>
      </c>
      <c r="AD3237" s="623">
        <v>6.25E-2</v>
      </c>
      <c r="AE3237" s="621" t="s">
        <v>5745</v>
      </c>
    </row>
    <row r="3238" spans="1:31" s="572" customFormat="1">
      <c r="A3238" s="570" t="s">
        <v>5746</v>
      </c>
      <c r="B3238" s="573" t="s">
        <v>226</v>
      </c>
      <c r="C3238" s="578" t="s">
        <v>227</v>
      </c>
      <c r="D3238" s="573" t="s">
        <v>3374</v>
      </c>
      <c r="E3238" s="573" t="s">
        <v>196</v>
      </c>
      <c r="F3238" s="573" t="s">
        <v>3265</v>
      </c>
      <c r="G3238" s="573">
        <v>2019</v>
      </c>
      <c r="H3238" s="573" t="s">
        <v>5645</v>
      </c>
      <c r="I3238" s="573" t="s">
        <v>5429</v>
      </c>
      <c r="J3238" s="573" t="s">
        <v>752</v>
      </c>
      <c r="K3238" s="573">
        <v>3</v>
      </c>
      <c r="L3238" s="573">
        <v>0</v>
      </c>
      <c r="M3238" s="573" t="s">
        <v>157</v>
      </c>
      <c r="N3238" s="573">
        <v>1</v>
      </c>
      <c r="O3238" s="573" t="s">
        <v>3846</v>
      </c>
      <c r="P3238" s="571">
        <v>13520</v>
      </c>
      <c r="Q3238" s="573" t="s">
        <v>5721</v>
      </c>
      <c r="R3238" s="573">
        <v>8</v>
      </c>
      <c r="S3238" s="582" t="s">
        <v>5743</v>
      </c>
      <c r="T3238" s="573" t="s">
        <v>5398</v>
      </c>
      <c r="U3238" s="573">
        <v>140</v>
      </c>
      <c r="V3238" s="573">
        <v>32</v>
      </c>
      <c r="W3238" s="616">
        <v>9000</v>
      </c>
      <c r="X3238" s="617">
        <v>14</v>
      </c>
      <c r="Y3238" s="617" t="s">
        <v>178</v>
      </c>
      <c r="Z3238" s="617" t="s">
        <v>178</v>
      </c>
      <c r="AA3238" s="618">
        <v>41585</v>
      </c>
      <c r="AB3238" s="618" t="s">
        <v>164</v>
      </c>
      <c r="AC3238" s="618">
        <v>34588</v>
      </c>
      <c r="AD3238" s="619">
        <v>6.25E-2</v>
      </c>
      <c r="AE3238" s="617" t="s">
        <v>5747</v>
      </c>
    </row>
    <row r="3239" spans="1:31" s="572" customFormat="1">
      <c r="A3239" s="570" t="s">
        <v>5748</v>
      </c>
      <c r="B3239" s="569" t="s">
        <v>226</v>
      </c>
      <c r="C3239" s="580" t="s">
        <v>227</v>
      </c>
      <c r="D3239" s="569" t="s">
        <v>3374</v>
      </c>
      <c r="E3239" s="569" t="s">
        <v>196</v>
      </c>
      <c r="F3239" s="569" t="s">
        <v>3265</v>
      </c>
      <c r="G3239" s="569">
        <v>2019</v>
      </c>
      <c r="H3239" s="569" t="s">
        <v>5645</v>
      </c>
      <c r="I3239" s="569" t="s">
        <v>5429</v>
      </c>
      <c r="J3239" s="569" t="s">
        <v>752</v>
      </c>
      <c r="K3239" s="569">
        <v>3</v>
      </c>
      <c r="L3239" s="569">
        <v>0</v>
      </c>
      <c r="M3239" s="569" t="s">
        <v>157</v>
      </c>
      <c r="N3239" s="569">
        <v>1</v>
      </c>
      <c r="O3239" s="569" t="s">
        <v>3846</v>
      </c>
      <c r="P3239" s="568">
        <v>17500</v>
      </c>
      <c r="Q3239" s="569" t="s">
        <v>5705</v>
      </c>
      <c r="R3239" s="569">
        <v>8</v>
      </c>
      <c r="S3239" s="569" t="s">
        <v>5743</v>
      </c>
      <c r="T3239" s="569" t="s">
        <v>5650</v>
      </c>
      <c r="U3239" s="569">
        <v>140</v>
      </c>
      <c r="V3239" s="569">
        <v>32</v>
      </c>
      <c r="W3239" s="620">
        <v>10000</v>
      </c>
      <c r="X3239" s="621">
        <v>14</v>
      </c>
      <c r="Y3239" s="621" t="s">
        <v>728</v>
      </c>
      <c r="Z3239" s="621" t="s">
        <v>1523</v>
      </c>
      <c r="AA3239" s="622">
        <v>50140</v>
      </c>
      <c r="AB3239" s="622" t="s">
        <v>164</v>
      </c>
      <c r="AC3239" s="622">
        <v>45222</v>
      </c>
      <c r="AD3239" s="623">
        <v>6.25E-2</v>
      </c>
      <c r="AE3239" s="621" t="s">
        <v>5749</v>
      </c>
    </row>
    <row r="3240" spans="1:31" s="572" customFormat="1">
      <c r="A3240" s="570" t="s">
        <v>5750</v>
      </c>
      <c r="B3240" s="573" t="s">
        <v>240</v>
      </c>
      <c r="C3240" s="578" t="s">
        <v>241</v>
      </c>
      <c r="D3240" s="573" t="s">
        <v>3374</v>
      </c>
      <c r="E3240" s="573" t="s">
        <v>196</v>
      </c>
      <c r="F3240" s="573" t="s">
        <v>3265</v>
      </c>
      <c r="G3240" s="573">
        <v>2018</v>
      </c>
      <c r="H3240" s="573" t="s">
        <v>5645</v>
      </c>
      <c r="I3240" s="573" t="s">
        <v>5429</v>
      </c>
      <c r="J3240" s="573" t="s">
        <v>752</v>
      </c>
      <c r="K3240" s="573">
        <v>3</v>
      </c>
      <c r="L3240" s="573">
        <v>0</v>
      </c>
      <c r="M3240" s="573" t="s">
        <v>157</v>
      </c>
      <c r="N3240" s="573">
        <v>1</v>
      </c>
      <c r="O3240" s="573" t="s">
        <v>3846</v>
      </c>
      <c r="P3240" s="571">
        <v>17440</v>
      </c>
      <c r="Q3240" s="573" t="s">
        <v>5401</v>
      </c>
      <c r="R3240" s="573">
        <v>8</v>
      </c>
      <c r="S3240" s="582" t="s">
        <v>5743</v>
      </c>
      <c r="T3240" s="573" t="s">
        <v>5516</v>
      </c>
      <c r="U3240" s="573">
        <v>140.5</v>
      </c>
      <c r="V3240" s="573">
        <v>32</v>
      </c>
      <c r="W3240" s="616">
        <v>9000</v>
      </c>
      <c r="X3240" s="617">
        <v>14</v>
      </c>
      <c r="Y3240" s="617" t="s">
        <v>178</v>
      </c>
      <c r="Z3240" s="617" t="s">
        <v>178</v>
      </c>
      <c r="AA3240" s="618">
        <v>40940</v>
      </c>
      <c r="AB3240" s="618" t="s">
        <v>164</v>
      </c>
      <c r="AC3240" s="618">
        <v>28301</v>
      </c>
      <c r="AD3240" s="619">
        <v>0.05</v>
      </c>
      <c r="AE3240" s="617" t="s">
        <v>5751</v>
      </c>
    </row>
    <row r="3241" spans="1:31" s="572" customFormat="1">
      <c r="A3241" s="570" t="s">
        <v>5752</v>
      </c>
      <c r="B3241" s="569" t="s">
        <v>240</v>
      </c>
      <c r="C3241" s="580" t="s">
        <v>241</v>
      </c>
      <c r="D3241" s="569" t="s">
        <v>3374</v>
      </c>
      <c r="E3241" s="569" t="s">
        <v>196</v>
      </c>
      <c r="F3241" s="569" t="s">
        <v>3265</v>
      </c>
      <c r="G3241" s="569">
        <v>2018</v>
      </c>
      <c r="H3241" s="569" t="s">
        <v>5645</v>
      </c>
      <c r="I3241" s="569" t="s">
        <v>5429</v>
      </c>
      <c r="J3241" s="569" t="s">
        <v>752</v>
      </c>
      <c r="K3241" s="569">
        <v>3</v>
      </c>
      <c r="L3241" s="569">
        <v>0</v>
      </c>
      <c r="M3241" s="569" t="s">
        <v>157</v>
      </c>
      <c r="N3241" s="569">
        <v>1</v>
      </c>
      <c r="O3241" s="569" t="s">
        <v>3846</v>
      </c>
      <c r="P3241" s="568">
        <v>17440</v>
      </c>
      <c r="Q3241" s="569" t="s">
        <v>5646</v>
      </c>
      <c r="R3241" s="569">
        <v>8</v>
      </c>
      <c r="S3241" s="569" t="s">
        <v>5743</v>
      </c>
      <c r="T3241" s="569" t="s">
        <v>5398</v>
      </c>
      <c r="U3241" s="569">
        <v>140.5</v>
      </c>
      <c r="V3241" s="569">
        <v>32</v>
      </c>
      <c r="W3241" s="620">
        <v>10000</v>
      </c>
      <c r="X3241" s="621">
        <v>14</v>
      </c>
      <c r="Y3241" s="621" t="s">
        <v>178</v>
      </c>
      <c r="Z3241" s="621" t="s">
        <v>178</v>
      </c>
      <c r="AA3241" s="622">
        <v>41440</v>
      </c>
      <c r="AB3241" s="622" t="s">
        <v>164</v>
      </c>
      <c r="AC3241" s="622">
        <v>28759</v>
      </c>
      <c r="AD3241" s="623">
        <v>0.05</v>
      </c>
      <c r="AE3241" s="621" t="s">
        <v>5753</v>
      </c>
    </row>
    <row r="3242" spans="1:31" s="572" customFormat="1">
      <c r="A3242" s="570" t="s">
        <v>5754</v>
      </c>
      <c r="B3242" s="573" t="s">
        <v>240</v>
      </c>
      <c r="C3242" s="578" t="s">
        <v>241</v>
      </c>
      <c r="D3242" s="573" t="s">
        <v>3374</v>
      </c>
      <c r="E3242" s="573" t="s">
        <v>196</v>
      </c>
      <c r="F3242" s="573" t="s">
        <v>3265</v>
      </c>
      <c r="G3242" s="573">
        <v>2018</v>
      </c>
      <c r="H3242" s="573" t="s">
        <v>5645</v>
      </c>
      <c r="I3242" s="573" t="s">
        <v>5429</v>
      </c>
      <c r="J3242" s="573" t="s">
        <v>752</v>
      </c>
      <c r="K3242" s="573">
        <v>3</v>
      </c>
      <c r="L3242" s="573">
        <v>0</v>
      </c>
      <c r="M3242" s="573" t="s">
        <v>157</v>
      </c>
      <c r="N3242" s="573">
        <v>1</v>
      </c>
      <c r="O3242" s="573" t="s">
        <v>3846</v>
      </c>
      <c r="P3242" s="571">
        <v>17440</v>
      </c>
      <c r="Q3242" s="573" t="s">
        <v>4231</v>
      </c>
      <c r="R3242" s="573">
        <v>8</v>
      </c>
      <c r="S3242" s="582" t="s">
        <v>5743</v>
      </c>
      <c r="T3242" s="573" t="s">
        <v>5650</v>
      </c>
      <c r="U3242" s="573">
        <v>140.5</v>
      </c>
      <c r="V3242" s="573">
        <v>32</v>
      </c>
      <c r="W3242" s="616">
        <v>10000</v>
      </c>
      <c r="X3242" s="617">
        <v>14</v>
      </c>
      <c r="Y3242" s="617" t="s">
        <v>728</v>
      </c>
      <c r="Z3242" s="617" t="s">
        <v>1523</v>
      </c>
      <c r="AA3242" s="618">
        <v>50140</v>
      </c>
      <c r="AB3242" s="618" t="s">
        <v>164</v>
      </c>
      <c r="AC3242" s="618">
        <v>37238</v>
      </c>
      <c r="AD3242" s="619">
        <v>0.05</v>
      </c>
      <c r="AE3242" s="617" t="s">
        <v>5755</v>
      </c>
    </row>
    <row r="3243" spans="1:31" s="572" customFormat="1">
      <c r="A3243" s="570" t="s">
        <v>5756</v>
      </c>
      <c r="B3243" s="569" t="s">
        <v>226</v>
      </c>
      <c r="C3243" s="580" t="s">
        <v>227</v>
      </c>
      <c r="D3243" s="569" t="s">
        <v>3374</v>
      </c>
      <c r="E3243" s="569" t="s">
        <v>196</v>
      </c>
      <c r="F3243" s="569" t="s">
        <v>3265</v>
      </c>
      <c r="G3243" s="569">
        <v>2019</v>
      </c>
      <c r="H3243" s="569" t="s">
        <v>5645</v>
      </c>
      <c r="I3243" s="569" t="s">
        <v>5758</v>
      </c>
      <c r="J3243" s="569" t="s">
        <v>3377</v>
      </c>
      <c r="K3243" s="569">
        <v>3</v>
      </c>
      <c r="L3243" s="569">
        <v>0</v>
      </c>
      <c r="M3243" s="569" t="s">
        <v>157</v>
      </c>
      <c r="N3243" s="569">
        <v>1</v>
      </c>
      <c r="O3243" s="569" t="s">
        <v>3846</v>
      </c>
      <c r="P3243" s="568">
        <v>11880</v>
      </c>
      <c r="Q3243" s="569" t="s">
        <v>5699</v>
      </c>
      <c r="R3243" s="569">
        <v>8</v>
      </c>
      <c r="S3243" s="569" t="s">
        <v>5759</v>
      </c>
      <c r="T3243" s="569" t="s">
        <v>5760</v>
      </c>
      <c r="U3243" s="569">
        <v>140</v>
      </c>
      <c r="V3243" s="569">
        <v>26</v>
      </c>
      <c r="W3243" s="620">
        <v>9000</v>
      </c>
      <c r="X3243" s="621">
        <v>15</v>
      </c>
      <c r="Y3243" s="621" t="s">
        <v>178</v>
      </c>
      <c r="Z3243" s="621" t="s">
        <v>178</v>
      </c>
      <c r="AA3243" s="622">
        <v>33940</v>
      </c>
      <c r="AB3243" s="622" t="s">
        <v>164</v>
      </c>
      <c r="AC3243" s="622">
        <v>27836</v>
      </c>
      <c r="AD3243" s="623">
        <v>6.25E-2</v>
      </c>
      <c r="AE3243" s="621" t="s">
        <v>5757</v>
      </c>
    </row>
    <row r="3244" spans="1:31" s="572" customFormat="1">
      <c r="A3244" s="570" t="s">
        <v>5761</v>
      </c>
      <c r="B3244" s="573" t="s">
        <v>226</v>
      </c>
      <c r="C3244" s="578" t="s">
        <v>227</v>
      </c>
      <c r="D3244" s="573" t="s">
        <v>3374</v>
      </c>
      <c r="E3244" s="573" t="s">
        <v>196</v>
      </c>
      <c r="F3244" s="573" t="s">
        <v>3265</v>
      </c>
      <c r="G3244" s="573">
        <v>2019</v>
      </c>
      <c r="H3244" s="573" t="s">
        <v>5645</v>
      </c>
      <c r="I3244" s="573" t="s">
        <v>5758</v>
      </c>
      <c r="J3244" s="573" t="s">
        <v>3377</v>
      </c>
      <c r="K3244" s="573">
        <v>3</v>
      </c>
      <c r="L3244" s="573">
        <v>0</v>
      </c>
      <c r="M3244" s="573" t="s">
        <v>157</v>
      </c>
      <c r="N3244" s="573">
        <v>1</v>
      </c>
      <c r="O3244" s="573" t="s">
        <v>3846</v>
      </c>
      <c r="P3244" s="571">
        <v>13320</v>
      </c>
      <c r="Q3244" s="573" t="s">
        <v>5676</v>
      </c>
      <c r="R3244" s="573">
        <v>8</v>
      </c>
      <c r="S3244" s="582" t="s">
        <v>5759</v>
      </c>
      <c r="T3244" s="573" t="s">
        <v>931</v>
      </c>
      <c r="U3244" s="573">
        <v>140</v>
      </c>
      <c r="V3244" s="573">
        <v>32</v>
      </c>
      <c r="W3244" s="616">
        <v>9000</v>
      </c>
      <c r="X3244" s="617">
        <v>15</v>
      </c>
      <c r="Y3244" s="617" t="s">
        <v>178</v>
      </c>
      <c r="Z3244" s="617" t="s">
        <v>178</v>
      </c>
      <c r="AA3244" s="618">
        <v>34440</v>
      </c>
      <c r="AB3244" s="618" t="s">
        <v>164</v>
      </c>
      <c r="AC3244" s="618">
        <v>28289</v>
      </c>
      <c r="AD3244" s="619">
        <v>6.25E-2</v>
      </c>
      <c r="AE3244" s="617" t="s">
        <v>5762</v>
      </c>
    </row>
    <row r="3245" spans="1:31" s="572" customFormat="1">
      <c r="A3245" s="570" t="s">
        <v>5763</v>
      </c>
      <c r="B3245" s="569" t="s">
        <v>226</v>
      </c>
      <c r="C3245" s="580" t="s">
        <v>227</v>
      </c>
      <c r="D3245" s="569" t="s">
        <v>3374</v>
      </c>
      <c r="E3245" s="569" t="s">
        <v>196</v>
      </c>
      <c r="F3245" s="569" t="s">
        <v>3265</v>
      </c>
      <c r="G3245" s="569">
        <v>2019</v>
      </c>
      <c r="H3245" s="569" t="s">
        <v>5645</v>
      </c>
      <c r="I3245" s="569" t="s">
        <v>5758</v>
      </c>
      <c r="J3245" s="569" t="s">
        <v>3377</v>
      </c>
      <c r="K3245" s="569">
        <v>3</v>
      </c>
      <c r="L3245" s="569">
        <v>0</v>
      </c>
      <c r="M3245" s="569" t="s">
        <v>157</v>
      </c>
      <c r="N3245" s="569">
        <v>1</v>
      </c>
      <c r="O3245" s="569" t="s">
        <v>3846</v>
      </c>
      <c r="P3245" s="568">
        <v>16320</v>
      </c>
      <c r="Q3245" s="569" t="s">
        <v>5721</v>
      </c>
      <c r="R3245" s="569">
        <v>8</v>
      </c>
      <c r="S3245" s="569" t="s">
        <v>5759</v>
      </c>
      <c r="T3245" s="569" t="s">
        <v>931</v>
      </c>
      <c r="U3245" s="569">
        <v>140</v>
      </c>
      <c r="V3245" s="569">
        <v>26</v>
      </c>
      <c r="W3245" s="620">
        <v>10000</v>
      </c>
      <c r="X3245" s="621">
        <v>15</v>
      </c>
      <c r="Y3245" s="621" t="s">
        <v>178</v>
      </c>
      <c r="Z3245" s="621" t="s">
        <v>178</v>
      </c>
      <c r="AA3245" s="622">
        <v>34585</v>
      </c>
      <c r="AB3245" s="622" t="s">
        <v>164</v>
      </c>
      <c r="AC3245" s="622">
        <v>28434</v>
      </c>
      <c r="AD3245" s="623">
        <v>6.25E-2</v>
      </c>
      <c r="AE3245" s="621" t="s">
        <v>5764</v>
      </c>
    </row>
    <row r="3246" spans="1:31" s="572" customFormat="1">
      <c r="A3246" s="570" t="s">
        <v>5765</v>
      </c>
      <c r="B3246" s="573" t="s">
        <v>226</v>
      </c>
      <c r="C3246" s="578" t="s">
        <v>227</v>
      </c>
      <c r="D3246" s="573" t="s">
        <v>3374</v>
      </c>
      <c r="E3246" s="573" t="s">
        <v>196</v>
      </c>
      <c r="F3246" s="573" t="s">
        <v>3265</v>
      </c>
      <c r="G3246" s="573">
        <v>2019</v>
      </c>
      <c r="H3246" s="573" t="s">
        <v>5645</v>
      </c>
      <c r="I3246" s="573" t="s">
        <v>5758</v>
      </c>
      <c r="J3246" s="573" t="s">
        <v>3377</v>
      </c>
      <c r="K3246" s="573">
        <v>3</v>
      </c>
      <c r="L3246" s="573">
        <v>0</v>
      </c>
      <c r="M3246" s="573" t="s">
        <v>157</v>
      </c>
      <c r="N3246" s="573">
        <v>1</v>
      </c>
      <c r="O3246" s="573" t="s">
        <v>3846</v>
      </c>
      <c r="P3246" s="571">
        <v>17980</v>
      </c>
      <c r="Q3246" s="573" t="s">
        <v>5705</v>
      </c>
      <c r="R3246" s="573">
        <v>8</v>
      </c>
      <c r="S3246" s="582" t="s">
        <v>5759</v>
      </c>
      <c r="T3246" s="573" t="s">
        <v>5767</v>
      </c>
      <c r="U3246" s="573">
        <v>140</v>
      </c>
      <c r="V3246" s="573">
        <v>32</v>
      </c>
      <c r="W3246" s="616">
        <v>9000</v>
      </c>
      <c r="X3246" s="617">
        <v>15</v>
      </c>
      <c r="Y3246" s="617" t="s">
        <v>728</v>
      </c>
      <c r="Z3246" s="617" t="s">
        <v>1523</v>
      </c>
      <c r="AA3246" s="618">
        <v>43140</v>
      </c>
      <c r="AB3246" s="618" t="s">
        <v>164</v>
      </c>
      <c r="AC3246" s="618">
        <v>36178</v>
      </c>
      <c r="AD3246" s="619">
        <v>6.25E-2</v>
      </c>
      <c r="AE3246" s="617" t="s">
        <v>5766</v>
      </c>
    </row>
    <row r="3247" spans="1:31" s="572" customFormat="1">
      <c r="A3247" s="570" t="s">
        <v>5768</v>
      </c>
      <c r="B3247" s="569" t="s">
        <v>240</v>
      </c>
      <c r="C3247" s="580" t="s">
        <v>241</v>
      </c>
      <c r="D3247" s="569" t="s">
        <v>3374</v>
      </c>
      <c r="E3247" s="569" t="s">
        <v>196</v>
      </c>
      <c r="F3247" s="569" t="s">
        <v>3265</v>
      </c>
      <c r="G3247" s="569">
        <v>2018</v>
      </c>
      <c r="H3247" s="569" t="s">
        <v>5645</v>
      </c>
      <c r="I3247" s="569" t="s">
        <v>5758</v>
      </c>
      <c r="J3247" s="569" t="s">
        <v>3377</v>
      </c>
      <c r="K3247" s="569">
        <v>3</v>
      </c>
      <c r="L3247" s="569">
        <v>0</v>
      </c>
      <c r="M3247" s="569" t="s">
        <v>157</v>
      </c>
      <c r="N3247" s="569">
        <v>1</v>
      </c>
      <c r="O3247" s="569" t="s">
        <v>3846</v>
      </c>
      <c r="P3247" s="568">
        <v>17970</v>
      </c>
      <c r="Q3247" s="569" t="s">
        <v>5401</v>
      </c>
      <c r="R3247" s="569">
        <v>8</v>
      </c>
      <c r="S3247" s="569" t="s">
        <v>5759</v>
      </c>
      <c r="T3247" s="569" t="s">
        <v>5760</v>
      </c>
      <c r="U3247" s="569">
        <v>140.5</v>
      </c>
      <c r="V3247" s="569">
        <v>26</v>
      </c>
      <c r="W3247" s="620">
        <v>9000</v>
      </c>
      <c r="X3247" s="621">
        <v>15</v>
      </c>
      <c r="Y3247" s="621" t="s">
        <v>178</v>
      </c>
      <c r="Z3247" s="621" t="s">
        <v>178</v>
      </c>
      <c r="AA3247" s="622">
        <v>34035</v>
      </c>
      <c r="AB3247" s="622" t="s">
        <v>164</v>
      </c>
      <c r="AC3247" s="622">
        <v>22367</v>
      </c>
      <c r="AD3247" s="623">
        <v>0.05</v>
      </c>
      <c r="AE3247" s="621" t="s">
        <v>5769</v>
      </c>
    </row>
    <row r="3248" spans="1:31" s="572" customFormat="1">
      <c r="A3248" s="570" t="s">
        <v>5770</v>
      </c>
      <c r="B3248" s="573" t="s">
        <v>240</v>
      </c>
      <c r="C3248" s="578" t="s">
        <v>241</v>
      </c>
      <c r="D3248" s="573" t="s">
        <v>3374</v>
      </c>
      <c r="E3248" s="573" t="s">
        <v>196</v>
      </c>
      <c r="F3248" s="573" t="s">
        <v>3265</v>
      </c>
      <c r="G3248" s="573">
        <v>2018</v>
      </c>
      <c r="H3248" s="573" t="s">
        <v>5645</v>
      </c>
      <c r="I3248" s="573" t="s">
        <v>5758</v>
      </c>
      <c r="J3248" s="573" t="s">
        <v>3377</v>
      </c>
      <c r="K3248" s="573">
        <v>3</v>
      </c>
      <c r="L3248" s="573">
        <v>0</v>
      </c>
      <c r="M3248" s="573" t="s">
        <v>157</v>
      </c>
      <c r="N3248" s="573">
        <v>1</v>
      </c>
      <c r="O3248" s="573" t="s">
        <v>3846</v>
      </c>
      <c r="P3248" s="571">
        <v>17970</v>
      </c>
      <c r="Q3248" s="573" t="s">
        <v>5646</v>
      </c>
      <c r="R3248" s="573">
        <v>8</v>
      </c>
      <c r="S3248" s="582" t="s">
        <v>5759</v>
      </c>
      <c r="T3248" s="573" t="s">
        <v>931</v>
      </c>
      <c r="U3248" s="573">
        <v>140.5</v>
      </c>
      <c r="V3248" s="573">
        <v>26</v>
      </c>
      <c r="W3248" s="616">
        <v>10000</v>
      </c>
      <c r="X3248" s="617">
        <v>15</v>
      </c>
      <c r="Y3248" s="617" t="s">
        <v>178</v>
      </c>
      <c r="Z3248" s="617" t="s">
        <v>178</v>
      </c>
      <c r="AA3248" s="618">
        <v>34535</v>
      </c>
      <c r="AB3248" s="618" t="s">
        <v>164</v>
      </c>
      <c r="AC3248" s="618">
        <v>22825</v>
      </c>
      <c r="AD3248" s="619">
        <v>0.05</v>
      </c>
      <c r="AE3248" s="617" t="s">
        <v>5771</v>
      </c>
    </row>
    <row r="3249" spans="1:31" s="572" customFormat="1">
      <c r="A3249" s="570" t="s">
        <v>5772</v>
      </c>
      <c r="B3249" s="569" t="s">
        <v>240</v>
      </c>
      <c r="C3249" s="580" t="s">
        <v>241</v>
      </c>
      <c r="D3249" s="569" t="s">
        <v>3374</v>
      </c>
      <c r="E3249" s="569" t="s">
        <v>196</v>
      </c>
      <c r="F3249" s="569" t="s">
        <v>3265</v>
      </c>
      <c r="G3249" s="569">
        <v>2018</v>
      </c>
      <c r="H3249" s="569" t="s">
        <v>5645</v>
      </c>
      <c r="I3249" s="569" t="s">
        <v>5758</v>
      </c>
      <c r="J3249" s="569" t="s">
        <v>3377</v>
      </c>
      <c r="K3249" s="569">
        <v>3</v>
      </c>
      <c r="L3249" s="569">
        <v>0</v>
      </c>
      <c r="M3249" s="569" t="s">
        <v>157</v>
      </c>
      <c r="N3249" s="569">
        <v>1</v>
      </c>
      <c r="O3249" s="569" t="s">
        <v>3846</v>
      </c>
      <c r="P3249" s="568">
        <v>17970</v>
      </c>
      <c r="Q3249" s="569" t="s">
        <v>4231</v>
      </c>
      <c r="R3249" s="569">
        <v>8</v>
      </c>
      <c r="S3249" s="569" t="s">
        <v>5759</v>
      </c>
      <c r="T3249" s="569" t="s">
        <v>5767</v>
      </c>
      <c r="U3249" s="569">
        <v>140.5</v>
      </c>
      <c r="V3249" s="569">
        <v>26</v>
      </c>
      <c r="W3249" s="620">
        <v>10000</v>
      </c>
      <c r="X3249" s="621">
        <v>15</v>
      </c>
      <c r="Y3249" s="621" t="s">
        <v>728</v>
      </c>
      <c r="Z3249" s="621" t="s">
        <v>1523</v>
      </c>
      <c r="AA3249" s="622">
        <v>43235</v>
      </c>
      <c r="AB3249" s="622" t="s">
        <v>164</v>
      </c>
      <c r="AC3249" s="622">
        <v>30802</v>
      </c>
      <c r="AD3249" s="623">
        <v>0.05</v>
      </c>
      <c r="AE3249" s="621" t="s">
        <v>5773</v>
      </c>
    </row>
    <row r="3250" spans="1:31" s="572" customFormat="1">
      <c r="A3250" s="570" t="s">
        <v>5774</v>
      </c>
      <c r="B3250" s="573" t="s">
        <v>226</v>
      </c>
      <c r="C3250" s="578" t="s">
        <v>227</v>
      </c>
      <c r="D3250" s="573" t="s">
        <v>3374</v>
      </c>
      <c r="E3250" s="573" t="s">
        <v>196</v>
      </c>
      <c r="F3250" s="573" t="s">
        <v>3265</v>
      </c>
      <c r="G3250" s="573">
        <v>2019</v>
      </c>
      <c r="H3250" s="573" t="s">
        <v>5645</v>
      </c>
      <c r="I3250" s="573" t="s">
        <v>5758</v>
      </c>
      <c r="J3250" s="573" t="s">
        <v>752</v>
      </c>
      <c r="K3250" s="573">
        <v>3</v>
      </c>
      <c r="L3250" s="573">
        <v>0</v>
      </c>
      <c r="M3250" s="573" t="s">
        <v>157</v>
      </c>
      <c r="N3250" s="573">
        <v>1</v>
      </c>
      <c r="O3250" s="573" t="s">
        <v>3846</v>
      </c>
      <c r="P3250" s="571">
        <v>11520</v>
      </c>
      <c r="Q3250" s="573" t="s">
        <v>5699</v>
      </c>
      <c r="R3250" s="573">
        <v>8</v>
      </c>
      <c r="S3250" s="582" t="s">
        <v>5776</v>
      </c>
      <c r="T3250" s="573" t="s">
        <v>5760</v>
      </c>
      <c r="U3250" s="573">
        <v>140</v>
      </c>
      <c r="V3250" s="573">
        <v>32</v>
      </c>
      <c r="W3250" s="616">
        <v>9000</v>
      </c>
      <c r="X3250" s="617">
        <v>14</v>
      </c>
      <c r="Y3250" s="617" t="s">
        <v>178</v>
      </c>
      <c r="Z3250" s="617" t="s">
        <v>178</v>
      </c>
      <c r="AA3250" s="618">
        <v>36740</v>
      </c>
      <c r="AB3250" s="618" t="s">
        <v>164</v>
      </c>
      <c r="AC3250" s="618">
        <v>30496</v>
      </c>
      <c r="AD3250" s="619">
        <v>6.25E-2</v>
      </c>
      <c r="AE3250" s="617" t="s">
        <v>5775</v>
      </c>
    </row>
    <row r="3251" spans="1:31" s="572" customFormat="1">
      <c r="A3251" s="570" t="s">
        <v>5777</v>
      </c>
      <c r="B3251" s="569" t="s">
        <v>226</v>
      </c>
      <c r="C3251" s="580" t="s">
        <v>227</v>
      </c>
      <c r="D3251" s="569" t="s">
        <v>3374</v>
      </c>
      <c r="E3251" s="569" t="s">
        <v>196</v>
      </c>
      <c r="F3251" s="569" t="s">
        <v>3265</v>
      </c>
      <c r="G3251" s="569">
        <v>2019</v>
      </c>
      <c r="H3251" s="569" t="s">
        <v>5645</v>
      </c>
      <c r="I3251" s="569" t="s">
        <v>5758</v>
      </c>
      <c r="J3251" s="569" t="s">
        <v>752</v>
      </c>
      <c r="K3251" s="569">
        <v>3</v>
      </c>
      <c r="L3251" s="569">
        <v>0</v>
      </c>
      <c r="M3251" s="569" t="s">
        <v>157</v>
      </c>
      <c r="N3251" s="569">
        <v>1</v>
      </c>
      <c r="O3251" s="569" t="s">
        <v>3846</v>
      </c>
      <c r="P3251" s="568">
        <v>12940</v>
      </c>
      <c r="Q3251" s="569" t="s">
        <v>5676</v>
      </c>
      <c r="R3251" s="569">
        <v>8</v>
      </c>
      <c r="S3251" s="569" t="s">
        <v>5776</v>
      </c>
      <c r="T3251" s="569" t="s">
        <v>931</v>
      </c>
      <c r="U3251" s="569">
        <v>140</v>
      </c>
      <c r="V3251" s="569">
        <v>32</v>
      </c>
      <c r="W3251" s="620">
        <v>10000</v>
      </c>
      <c r="X3251" s="621">
        <v>14</v>
      </c>
      <c r="Y3251" s="621" t="s">
        <v>178</v>
      </c>
      <c r="Z3251" s="621" t="s">
        <v>178</v>
      </c>
      <c r="AA3251" s="622">
        <v>37240</v>
      </c>
      <c r="AB3251" s="622" t="s">
        <v>164</v>
      </c>
      <c r="AC3251" s="622">
        <v>30949</v>
      </c>
      <c r="AD3251" s="623">
        <v>6.25E-2</v>
      </c>
      <c r="AE3251" s="621" t="s">
        <v>5778</v>
      </c>
    </row>
    <row r="3252" spans="1:31" s="572" customFormat="1">
      <c r="A3252" s="570" t="s">
        <v>5779</v>
      </c>
      <c r="B3252" s="573" t="s">
        <v>226</v>
      </c>
      <c r="C3252" s="578" t="s">
        <v>227</v>
      </c>
      <c r="D3252" s="573" t="s">
        <v>3374</v>
      </c>
      <c r="E3252" s="573" t="s">
        <v>196</v>
      </c>
      <c r="F3252" s="573" t="s">
        <v>3265</v>
      </c>
      <c r="G3252" s="573">
        <v>2019</v>
      </c>
      <c r="H3252" s="573" t="s">
        <v>5645</v>
      </c>
      <c r="I3252" s="573" t="s">
        <v>5758</v>
      </c>
      <c r="J3252" s="573" t="s">
        <v>752</v>
      </c>
      <c r="K3252" s="573">
        <v>3</v>
      </c>
      <c r="L3252" s="573">
        <v>0</v>
      </c>
      <c r="M3252" s="573" t="s">
        <v>157</v>
      </c>
      <c r="N3252" s="573">
        <v>1</v>
      </c>
      <c r="O3252" s="573" t="s">
        <v>3846</v>
      </c>
      <c r="P3252" s="571">
        <v>15940</v>
      </c>
      <c r="Q3252" s="573" t="s">
        <v>5721</v>
      </c>
      <c r="R3252" s="573">
        <v>8</v>
      </c>
      <c r="S3252" s="582" t="s">
        <v>5776</v>
      </c>
      <c r="T3252" s="573" t="s">
        <v>931</v>
      </c>
      <c r="U3252" s="573">
        <v>140</v>
      </c>
      <c r="V3252" s="573">
        <v>32</v>
      </c>
      <c r="W3252" s="616">
        <v>9000</v>
      </c>
      <c r="X3252" s="617">
        <v>14</v>
      </c>
      <c r="Y3252" s="617" t="s">
        <v>178</v>
      </c>
      <c r="Z3252" s="617" t="s">
        <v>178</v>
      </c>
      <c r="AA3252" s="618">
        <v>37385</v>
      </c>
      <c r="AB3252" s="618" t="s">
        <v>164</v>
      </c>
      <c r="AC3252" s="618">
        <v>31094</v>
      </c>
      <c r="AD3252" s="619">
        <v>6.25E-2</v>
      </c>
      <c r="AE3252" s="617" t="s">
        <v>5780</v>
      </c>
    </row>
    <row r="3253" spans="1:31" s="572" customFormat="1">
      <c r="A3253" s="570" t="s">
        <v>5781</v>
      </c>
      <c r="B3253" s="569" t="s">
        <v>226</v>
      </c>
      <c r="C3253" s="580" t="s">
        <v>227</v>
      </c>
      <c r="D3253" s="569" t="s">
        <v>3374</v>
      </c>
      <c r="E3253" s="569" t="s">
        <v>196</v>
      </c>
      <c r="F3253" s="569" t="s">
        <v>3265</v>
      </c>
      <c r="G3253" s="569">
        <v>2019</v>
      </c>
      <c r="H3253" s="569" t="s">
        <v>5645</v>
      </c>
      <c r="I3253" s="569" t="s">
        <v>5758</v>
      </c>
      <c r="J3253" s="569" t="s">
        <v>752</v>
      </c>
      <c r="K3253" s="569">
        <v>3</v>
      </c>
      <c r="L3253" s="569">
        <v>0</v>
      </c>
      <c r="M3253" s="569" t="s">
        <v>157</v>
      </c>
      <c r="N3253" s="569">
        <v>1</v>
      </c>
      <c r="O3253" s="569" t="s">
        <v>3846</v>
      </c>
      <c r="P3253" s="568">
        <v>17500</v>
      </c>
      <c r="Q3253" s="569" t="s">
        <v>5705</v>
      </c>
      <c r="R3253" s="569">
        <v>8</v>
      </c>
      <c r="S3253" s="569" t="s">
        <v>5776</v>
      </c>
      <c r="T3253" s="569" t="s">
        <v>5767</v>
      </c>
      <c r="U3253" s="569">
        <v>140</v>
      </c>
      <c r="V3253" s="569">
        <v>32</v>
      </c>
      <c r="W3253" s="620">
        <v>10000</v>
      </c>
      <c r="X3253" s="621">
        <v>14</v>
      </c>
      <c r="Y3253" s="621" t="s">
        <v>728</v>
      </c>
      <c r="Z3253" s="621" t="s">
        <v>1523</v>
      </c>
      <c r="AA3253" s="622">
        <v>45940</v>
      </c>
      <c r="AB3253" s="622" t="s">
        <v>164</v>
      </c>
      <c r="AC3253" s="622">
        <v>38127</v>
      </c>
      <c r="AD3253" s="623">
        <v>6.25E-2</v>
      </c>
      <c r="AE3253" s="621" t="s">
        <v>5782</v>
      </c>
    </row>
    <row r="3254" spans="1:31" s="572" customFormat="1">
      <c r="A3254" s="570" t="s">
        <v>5783</v>
      </c>
      <c r="B3254" s="573" t="s">
        <v>240</v>
      </c>
      <c r="C3254" s="578" t="s">
        <v>241</v>
      </c>
      <c r="D3254" s="573" t="s">
        <v>3374</v>
      </c>
      <c r="E3254" s="573" t="s">
        <v>196</v>
      </c>
      <c r="F3254" s="573" t="s">
        <v>3265</v>
      </c>
      <c r="G3254" s="573">
        <v>2018</v>
      </c>
      <c r="H3254" s="573" t="s">
        <v>5645</v>
      </c>
      <c r="I3254" s="573" t="s">
        <v>5758</v>
      </c>
      <c r="J3254" s="573" t="s">
        <v>752</v>
      </c>
      <c r="K3254" s="573">
        <v>3</v>
      </c>
      <c r="L3254" s="573">
        <v>0</v>
      </c>
      <c r="M3254" s="573" t="s">
        <v>157</v>
      </c>
      <c r="N3254" s="573">
        <v>1</v>
      </c>
      <c r="O3254" s="573" t="s">
        <v>3846</v>
      </c>
      <c r="P3254" s="571">
        <v>17550</v>
      </c>
      <c r="Q3254" s="573" t="s">
        <v>5401</v>
      </c>
      <c r="R3254" s="573">
        <v>8</v>
      </c>
      <c r="S3254" s="582" t="s">
        <v>5776</v>
      </c>
      <c r="T3254" s="573" t="s">
        <v>5760</v>
      </c>
      <c r="U3254" s="573">
        <v>140.5</v>
      </c>
      <c r="V3254" s="573">
        <v>32</v>
      </c>
      <c r="W3254" s="616">
        <v>9000</v>
      </c>
      <c r="X3254" s="617">
        <v>14</v>
      </c>
      <c r="Y3254" s="617" t="s">
        <v>178</v>
      </c>
      <c r="Z3254" s="617" t="s">
        <v>178</v>
      </c>
      <c r="AA3254" s="618">
        <v>36835</v>
      </c>
      <c r="AB3254" s="618" t="s">
        <v>164</v>
      </c>
      <c r="AC3254" s="618">
        <v>24444</v>
      </c>
      <c r="AD3254" s="619">
        <v>0.05</v>
      </c>
      <c r="AE3254" s="617" t="s">
        <v>5784</v>
      </c>
    </row>
    <row r="3255" spans="1:31" s="572" customFormat="1">
      <c r="A3255" s="570" t="s">
        <v>5785</v>
      </c>
      <c r="B3255" s="569" t="s">
        <v>240</v>
      </c>
      <c r="C3255" s="580" t="s">
        <v>241</v>
      </c>
      <c r="D3255" s="569" t="s">
        <v>3374</v>
      </c>
      <c r="E3255" s="569" t="s">
        <v>196</v>
      </c>
      <c r="F3255" s="569" t="s">
        <v>3265</v>
      </c>
      <c r="G3255" s="569">
        <v>2018</v>
      </c>
      <c r="H3255" s="569" t="s">
        <v>5645</v>
      </c>
      <c r="I3255" s="569" t="s">
        <v>5758</v>
      </c>
      <c r="J3255" s="569" t="s">
        <v>752</v>
      </c>
      <c r="K3255" s="569">
        <v>3</v>
      </c>
      <c r="L3255" s="569">
        <v>0</v>
      </c>
      <c r="M3255" s="569" t="s">
        <v>157</v>
      </c>
      <c r="N3255" s="569">
        <v>1</v>
      </c>
      <c r="O3255" s="569" t="s">
        <v>3846</v>
      </c>
      <c r="P3255" s="568">
        <v>17550</v>
      </c>
      <c r="Q3255" s="569" t="s">
        <v>5646</v>
      </c>
      <c r="R3255" s="569">
        <v>8</v>
      </c>
      <c r="S3255" s="569" t="s">
        <v>5776</v>
      </c>
      <c r="T3255" s="569" t="s">
        <v>931</v>
      </c>
      <c r="U3255" s="569">
        <v>140.5</v>
      </c>
      <c r="V3255" s="569">
        <v>32</v>
      </c>
      <c r="W3255" s="620">
        <v>10000</v>
      </c>
      <c r="X3255" s="621">
        <v>14</v>
      </c>
      <c r="Y3255" s="621" t="s">
        <v>178</v>
      </c>
      <c r="Z3255" s="621" t="s">
        <v>178</v>
      </c>
      <c r="AA3255" s="622">
        <v>37335</v>
      </c>
      <c r="AB3255" s="622" t="s">
        <v>164</v>
      </c>
      <c r="AC3255" s="622">
        <v>24902</v>
      </c>
      <c r="AD3255" s="623">
        <v>0.05</v>
      </c>
      <c r="AE3255" s="621" t="s">
        <v>5786</v>
      </c>
    </row>
    <row r="3256" spans="1:31" s="572" customFormat="1">
      <c r="A3256" s="570" t="s">
        <v>5787</v>
      </c>
      <c r="B3256" s="573" t="s">
        <v>240</v>
      </c>
      <c r="C3256" s="578" t="s">
        <v>241</v>
      </c>
      <c r="D3256" s="573" t="s">
        <v>3374</v>
      </c>
      <c r="E3256" s="573" t="s">
        <v>196</v>
      </c>
      <c r="F3256" s="573" t="s">
        <v>3265</v>
      </c>
      <c r="G3256" s="573">
        <v>2018</v>
      </c>
      <c r="H3256" s="573" t="s">
        <v>5645</v>
      </c>
      <c r="I3256" s="573" t="s">
        <v>5758</v>
      </c>
      <c r="J3256" s="573" t="s">
        <v>752</v>
      </c>
      <c r="K3256" s="573">
        <v>3</v>
      </c>
      <c r="L3256" s="573">
        <v>0</v>
      </c>
      <c r="M3256" s="573" t="s">
        <v>157</v>
      </c>
      <c r="N3256" s="573">
        <v>1</v>
      </c>
      <c r="O3256" s="573" t="s">
        <v>3846</v>
      </c>
      <c r="P3256" s="571">
        <v>17550</v>
      </c>
      <c r="Q3256" s="573" t="s">
        <v>4231</v>
      </c>
      <c r="R3256" s="573">
        <v>8</v>
      </c>
      <c r="S3256" s="582" t="s">
        <v>5776</v>
      </c>
      <c r="T3256" s="573" t="s">
        <v>5767</v>
      </c>
      <c r="U3256" s="573">
        <v>140.5</v>
      </c>
      <c r="V3256" s="573">
        <v>32</v>
      </c>
      <c r="W3256" s="616">
        <v>10000</v>
      </c>
      <c r="X3256" s="617">
        <v>14</v>
      </c>
      <c r="Y3256" s="617" t="s">
        <v>728</v>
      </c>
      <c r="Z3256" s="617" t="s">
        <v>1523</v>
      </c>
      <c r="AA3256" s="618">
        <v>46035</v>
      </c>
      <c r="AB3256" s="618" t="s">
        <v>164</v>
      </c>
      <c r="AC3256" s="618">
        <v>32369</v>
      </c>
      <c r="AD3256" s="619">
        <v>0.05</v>
      </c>
      <c r="AE3256" s="617" t="s">
        <v>5788</v>
      </c>
    </row>
    <row r="3257" spans="1:31" s="572" customFormat="1">
      <c r="A3257" s="570" t="s">
        <v>5789</v>
      </c>
      <c r="B3257" s="569" t="s">
        <v>226</v>
      </c>
      <c r="C3257" s="580" t="s">
        <v>227</v>
      </c>
      <c r="D3257" s="569" t="s">
        <v>3374</v>
      </c>
      <c r="E3257" s="569" t="s">
        <v>196</v>
      </c>
      <c r="F3257" s="569" t="s">
        <v>3265</v>
      </c>
      <c r="G3257" s="569">
        <v>2019</v>
      </c>
      <c r="H3257" s="569" t="s">
        <v>5645</v>
      </c>
      <c r="I3257" s="569" t="s">
        <v>5450</v>
      </c>
      <c r="J3257" s="569" t="s">
        <v>3377</v>
      </c>
      <c r="K3257" s="569">
        <v>6</v>
      </c>
      <c r="L3257" s="569">
        <v>0</v>
      </c>
      <c r="M3257" s="569" t="s">
        <v>157</v>
      </c>
      <c r="N3257" s="569">
        <v>2</v>
      </c>
      <c r="O3257" s="569" t="s">
        <v>5405</v>
      </c>
      <c r="P3257" s="568">
        <v>11520</v>
      </c>
      <c r="Q3257" s="569" t="s">
        <v>5699</v>
      </c>
      <c r="R3257" s="569">
        <v>8</v>
      </c>
      <c r="S3257" s="569" t="s">
        <v>5791</v>
      </c>
      <c r="T3257" s="569" t="s">
        <v>5760</v>
      </c>
      <c r="U3257" s="569">
        <v>149.4</v>
      </c>
      <c r="V3257" s="569">
        <v>31</v>
      </c>
      <c r="W3257" s="620">
        <v>9000</v>
      </c>
      <c r="X3257" s="621">
        <v>15</v>
      </c>
      <c r="Y3257" s="621" t="s">
        <v>178</v>
      </c>
      <c r="Z3257" s="621" t="s">
        <v>178</v>
      </c>
      <c r="AA3257" s="622">
        <v>37540</v>
      </c>
      <c r="AB3257" s="622" t="s">
        <v>164</v>
      </c>
      <c r="AC3257" s="622">
        <v>30388</v>
      </c>
      <c r="AD3257" s="623">
        <v>6.25E-2</v>
      </c>
      <c r="AE3257" s="621" t="s">
        <v>5790</v>
      </c>
    </row>
    <row r="3258" spans="1:31" s="572" customFormat="1">
      <c r="A3258" s="570" t="s">
        <v>5792</v>
      </c>
      <c r="B3258" s="573" t="s">
        <v>226</v>
      </c>
      <c r="C3258" s="578" t="s">
        <v>227</v>
      </c>
      <c r="D3258" s="573" t="s">
        <v>3374</v>
      </c>
      <c r="E3258" s="573" t="s">
        <v>196</v>
      </c>
      <c r="F3258" s="573" t="s">
        <v>3265</v>
      </c>
      <c r="G3258" s="573">
        <v>2019</v>
      </c>
      <c r="H3258" s="573" t="s">
        <v>5645</v>
      </c>
      <c r="I3258" s="573" t="s">
        <v>5450</v>
      </c>
      <c r="J3258" s="573" t="s">
        <v>3377</v>
      </c>
      <c r="K3258" s="573">
        <v>6</v>
      </c>
      <c r="L3258" s="573">
        <v>0</v>
      </c>
      <c r="M3258" s="573" t="s">
        <v>157</v>
      </c>
      <c r="N3258" s="573">
        <v>2</v>
      </c>
      <c r="O3258" s="573" t="s">
        <v>5405</v>
      </c>
      <c r="P3258" s="571">
        <v>12940</v>
      </c>
      <c r="Q3258" s="573" t="s">
        <v>5676</v>
      </c>
      <c r="R3258" s="573">
        <v>8</v>
      </c>
      <c r="S3258" s="582" t="s">
        <v>5791</v>
      </c>
      <c r="T3258" s="573" t="s">
        <v>931</v>
      </c>
      <c r="U3258" s="573">
        <v>149.4</v>
      </c>
      <c r="V3258" s="573">
        <v>31</v>
      </c>
      <c r="W3258" s="616">
        <v>10000</v>
      </c>
      <c r="X3258" s="617">
        <v>15</v>
      </c>
      <c r="Y3258" s="617" t="s">
        <v>178</v>
      </c>
      <c r="Z3258" s="617" t="s">
        <v>178</v>
      </c>
      <c r="AA3258" s="618">
        <v>38040</v>
      </c>
      <c r="AB3258" s="618" t="s">
        <v>164</v>
      </c>
      <c r="AC3258" s="618">
        <v>30841</v>
      </c>
      <c r="AD3258" s="619">
        <v>6.25E-2</v>
      </c>
      <c r="AE3258" s="617" t="s">
        <v>5793</v>
      </c>
    </row>
    <row r="3259" spans="1:31" s="572" customFormat="1">
      <c r="A3259" s="570" t="s">
        <v>5794</v>
      </c>
      <c r="B3259" s="569" t="s">
        <v>226</v>
      </c>
      <c r="C3259" s="580" t="s">
        <v>227</v>
      </c>
      <c r="D3259" s="569" t="s">
        <v>3374</v>
      </c>
      <c r="E3259" s="569" t="s">
        <v>196</v>
      </c>
      <c r="F3259" s="569" t="s">
        <v>3265</v>
      </c>
      <c r="G3259" s="569">
        <v>2019</v>
      </c>
      <c r="H3259" s="569" t="s">
        <v>5645</v>
      </c>
      <c r="I3259" s="569" t="s">
        <v>5450</v>
      </c>
      <c r="J3259" s="569" t="s">
        <v>3377</v>
      </c>
      <c r="K3259" s="569">
        <v>6</v>
      </c>
      <c r="L3259" s="569">
        <v>0</v>
      </c>
      <c r="M3259" s="569" t="s">
        <v>157</v>
      </c>
      <c r="N3259" s="569">
        <v>2</v>
      </c>
      <c r="O3259" s="569" t="s">
        <v>5405</v>
      </c>
      <c r="P3259" s="568">
        <v>15940</v>
      </c>
      <c r="Q3259" s="569" t="s">
        <v>5721</v>
      </c>
      <c r="R3259" s="569">
        <v>8</v>
      </c>
      <c r="S3259" s="569" t="s">
        <v>5791</v>
      </c>
      <c r="T3259" s="569" t="s">
        <v>931</v>
      </c>
      <c r="U3259" s="569">
        <v>149.4</v>
      </c>
      <c r="V3259" s="569">
        <v>31</v>
      </c>
      <c r="W3259" s="620">
        <v>9000</v>
      </c>
      <c r="X3259" s="621">
        <v>15</v>
      </c>
      <c r="Y3259" s="621" t="s">
        <v>178</v>
      </c>
      <c r="Z3259" s="621" t="s">
        <v>178</v>
      </c>
      <c r="AA3259" s="622">
        <v>38185</v>
      </c>
      <c r="AB3259" s="622" t="s">
        <v>164</v>
      </c>
      <c r="AC3259" s="622">
        <v>30986</v>
      </c>
      <c r="AD3259" s="623">
        <v>6.25E-2</v>
      </c>
      <c r="AE3259" s="621" t="s">
        <v>5795</v>
      </c>
    </row>
    <row r="3260" spans="1:31" s="572" customFormat="1">
      <c r="A3260" s="570" t="s">
        <v>5796</v>
      </c>
      <c r="B3260" s="573" t="s">
        <v>226</v>
      </c>
      <c r="C3260" s="578" t="s">
        <v>227</v>
      </c>
      <c r="D3260" s="573" t="s">
        <v>3374</v>
      </c>
      <c r="E3260" s="573" t="s">
        <v>196</v>
      </c>
      <c r="F3260" s="573" t="s">
        <v>3265</v>
      </c>
      <c r="G3260" s="573">
        <v>2019</v>
      </c>
      <c r="H3260" s="573" t="s">
        <v>5645</v>
      </c>
      <c r="I3260" s="573" t="s">
        <v>5450</v>
      </c>
      <c r="J3260" s="573" t="s">
        <v>3377</v>
      </c>
      <c r="K3260" s="573">
        <v>6</v>
      </c>
      <c r="L3260" s="573">
        <v>0</v>
      </c>
      <c r="M3260" s="573" t="s">
        <v>157</v>
      </c>
      <c r="N3260" s="573">
        <v>2</v>
      </c>
      <c r="O3260" s="573" t="s">
        <v>5405</v>
      </c>
      <c r="P3260" s="571">
        <v>17570</v>
      </c>
      <c r="Q3260" s="573" t="s">
        <v>5705</v>
      </c>
      <c r="R3260" s="573">
        <v>8</v>
      </c>
      <c r="S3260" s="582" t="s">
        <v>5791</v>
      </c>
      <c r="T3260" s="573" t="s">
        <v>5767</v>
      </c>
      <c r="U3260" s="573">
        <v>149.4</v>
      </c>
      <c r="V3260" s="573">
        <v>31</v>
      </c>
      <c r="W3260" s="616">
        <v>9000</v>
      </c>
      <c r="X3260" s="617">
        <v>15</v>
      </c>
      <c r="Y3260" s="617" t="s">
        <v>728</v>
      </c>
      <c r="Z3260" s="617" t="s">
        <v>1523</v>
      </c>
      <c r="AA3260" s="618">
        <v>46740</v>
      </c>
      <c r="AB3260" s="618" t="s">
        <v>164</v>
      </c>
      <c r="AC3260" s="618">
        <v>40482</v>
      </c>
      <c r="AD3260" s="619">
        <v>6.25E-2</v>
      </c>
      <c r="AE3260" s="617" t="s">
        <v>5797</v>
      </c>
    </row>
    <row r="3261" spans="1:31" s="572" customFormat="1">
      <c r="A3261" s="570" t="s">
        <v>5798</v>
      </c>
      <c r="B3261" s="569" t="s">
        <v>226</v>
      </c>
      <c r="C3261" s="580" t="s">
        <v>227</v>
      </c>
      <c r="D3261" s="569" t="s">
        <v>3374</v>
      </c>
      <c r="E3261" s="569" t="s">
        <v>196</v>
      </c>
      <c r="F3261" s="569" t="s">
        <v>3265</v>
      </c>
      <c r="G3261" s="569">
        <v>2019</v>
      </c>
      <c r="H3261" s="569" t="s">
        <v>5645</v>
      </c>
      <c r="I3261" s="569" t="s">
        <v>5450</v>
      </c>
      <c r="J3261" s="569" t="s">
        <v>3377</v>
      </c>
      <c r="K3261" s="569">
        <v>6</v>
      </c>
      <c r="L3261" s="569">
        <v>0</v>
      </c>
      <c r="M3261" s="569" t="s">
        <v>157</v>
      </c>
      <c r="N3261" s="569">
        <v>2</v>
      </c>
      <c r="O3261" s="569" t="s">
        <v>3846</v>
      </c>
      <c r="P3261" s="568">
        <v>11390</v>
      </c>
      <c r="Q3261" s="569" t="s">
        <v>5699</v>
      </c>
      <c r="R3261" s="569">
        <v>8</v>
      </c>
      <c r="S3261" s="569" t="s">
        <v>5800</v>
      </c>
      <c r="T3261" s="569" t="s">
        <v>5760</v>
      </c>
      <c r="U3261" s="569">
        <v>169</v>
      </c>
      <c r="V3261" s="569">
        <v>32</v>
      </c>
      <c r="W3261" s="620">
        <v>9000</v>
      </c>
      <c r="X3261" s="621">
        <v>15</v>
      </c>
      <c r="Y3261" s="621" t="s">
        <v>178</v>
      </c>
      <c r="Z3261" s="621" t="s">
        <v>178</v>
      </c>
      <c r="AA3261" s="622">
        <v>37740</v>
      </c>
      <c r="AB3261" s="622" t="s">
        <v>164</v>
      </c>
      <c r="AC3261" s="622">
        <v>30565</v>
      </c>
      <c r="AD3261" s="623">
        <v>6.25E-2</v>
      </c>
      <c r="AE3261" s="621" t="s">
        <v>5799</v>
      </c>
    </row>
    <row r="3262" spans="1:31" s="572" customFormat="1">
      <c r="A3262" s="570" t="s">
        <v>5801</v>
      </c>
      <c r="B3262" s="573" t="s">
        <v>226</v>
      </c>
      <c r="C3262" s="578" t="s">
        <v>227</v>
      </c>
      <c r="D3262" s="573" t="s">
        <v>3374</v>
      </c>
      <c r="E3262" s="573" t="s">
        <v>196</v>
      </c>
      <c r="F3262" s="573" t="s">
        <v>3265</v>
      </c>
      <c r="G3262" s="573">
        <v>2019</v>
      </c>
      <c r="H3262" s="573" t="s">
        <v>5645</v>
      </c>
      <c r="I3262" s="573" t="s">
        <v>5450</v>
      </c>
      <c r="J3262" s="573" t="s">
        <v>3377</v>
      </c>
      <c r="K3262" s="573">
        <v>6</v>
      </c>
      <c r="L3262" s="573">
        <v>0</v>
      </c>
      <c r="M3262" s="573" t="s">
        <v>157</v>
      </c>
      <c r="N3262" s="573">
        <v>2</v>
      </c>
      <c r="O3262" s="573" t="s">
        <v>3846</v>
      </c>
      <c r="P3262" s="571">
        <v>12810</v>
      </c>
      <c r="Q3262" s="573" t="s">
        <v>5676</v>
      </c>
      <c r="R3262" s="573">
        <v>8</v>
      </c>
      <c r="S3262" s="582" t="s">
        <v>5800</v>
      </c>
      <c r="T3262" s="573" t="s">
        <v>931</v>
      </c>
      <c r="U3262" s="573">
        <v>169</v>
      </c>
      <c r="V3262" s="573">
        <v>32</v>
      </c>
      <c r="W3262" s="616">
        <v>10000</v>
      </c>
      <c r="X3262" s="617">
        <v>15</v>
      </c>
      <c r="Y3262" s="617" t="s">
        <v>178</v>
      </c>
      <c r="Z3262" s="617" t="s">
        <v>178</v>
      </c>
      <c r="AA3262" s="618">
        <v>38240</v>
      </c>
      <c r="AB3262" s="618" t="s">
        <v>164</v>
      </c>
      <c r="AC3262" s="618">
        <v>31018</v>
      </c>
      <c r="AD3262" s="619">
        <v>6.25E-2</v>
      </c>
      <c r="AE3262" s="617" t="s">
        <v>5802</v>
      </c>
    </row>
    <row r="3263" spans="1:31" s="572" customFormat="1">
      <c r="A3263" s="570" t="s">
        <v>5803</v>
      </c>
      <c r="B3263" s="569" t="s">
        <v>226</v>
      </c>
      <c r="C3263" s="580" t="s">
        <v>227</v>
      </c>
      <c r="D3263" s="569" t="s">
        <v>3374</v>
      </c>
      <c r="E3263" s="569" t="s">
        <v>196</v>
      </c>
      <c r="F3263" s="569" t="s">
        <v>3265</v>
      </c>
      <c r="G3263" s="569">
        <v>2019</v>
      </c>
      <c r="H3263" s="569" t="s">
        <v>5645</v>
      </c>
      <c r="I3263" s="569" t="s">
        <v>5450</v>
      </c>
      <c r="J3263" s="569" t="s">
        <v>3377</v>
      </c>
      <c r="K3263" s="569">
        <v>6</v>
      </c>
      <c r="L3263" s="569">
        <v>0</v>
      </c>
      <c r="M3263" s="569" t="s">
        <v>157</v>
      </c>
      <c r="N3263" s="569">
        <v>2</v>
      </c>
      <c r="O3263" s="569" t="s">
        <v>3846</v>
      </c>
      <c r="P3263" s="568">
        <v>15810</v>
      </c>
      <c r="Q3263" s="569" t="s">
        <v>5721</v>
      </c>
      <c r="R3263" s="569">
        <v>8</v>
      </c>
      <c r="S3263" s="569" t="s">
        <v>5800</v>
      </c>
      <c r="T3263" s="569" t="s">
        <v>931</v>
      </c>
      <c r="U3263" s="569">
        <v>169</v>
      </c>
      <c r="V3263" s="569">
        <v>32</v>
      </c>
      <c r="W3263" s="620">
        <v>9000</v>
      </c>
      <c r="X3263" s="621">
        <v>15</v>
      </c>
      <c r="Y3263" s="621" t="s">
        <v>178</v>
      </c>
      <c r="Z3263" s="621" t="s">
        <v>178</v>
      </c>
      <c r="AA3263" s="622">
        <v>38385</v>
      </c>
      <c r="AB3263" s="622" t="s">
        <v>164</v>
      </c>
      <c r="AC3263" s="622">
        <v>31163</v>
      </c>
      <c r="AD3263" s="623">
        <v>6.25E-2</v>
      </c>
      <c r="AE3263" s="621" t="s">
        <v>5804</v>
      </c>
    </row>
    <row r="3264" spans="1:31" s="572" customFormat="1">
      <c r="A3264" s="570" t="s">
        <v>5805</v>
      </c>
      <c r="B3264" s="573" t="s">
        <v>226</v>
      </c>
      <c r="C3264" s="578" t="s">
        <v>227</v>
      </c>
      <c r="D3264" s="573" t="s">
        <v>3374</v>
      </c>
      <c r="E3264" s="573" t="s">
        <v>196</v>
      </c>
      <c r="F3264" s="573" t="s">
        <v>3265</v>
      </c>
      <c r="G3264" s="573">
        <v>2019</v>
      </c>
      <c r="H3264" s="573" t="s">
        <v>5645</v>
      </c>
      <c r="I3264" s="573" t="s">
        <v>5450</v>
      </c>
      <c r="J3264" s="573" t="s">
        <v>3377</v>
      </c>
      <c r="K3264" s="573">
        <v>6</v>
      </c>
      <c r="L3264" s="573">
        <v>0</v>
      </c>
      <c r="M3264" s="573" t="s">
        <v>157</v>
      </c>
      <c r="N3264" s="573">
        <v>2</v>
      </c>
      <c r="O3264" s="573" t="s">
        <v>3846</v>
      </c>
      <c r="P3264" s="571">
        <v>17320</v>
      </c>
      <c r="Q3264" s="573" t="s">
        <v>5705</v>
      </c>
      <c r="R3264" s="573">
        <v>8</v>
      </c>
      <c r="S3264" s="582" t="s">
        <v>5800</v>
      </c>
      <c r="T3264" s="573" t="s">
        <v>5767</v>
      </c>
      <c r="U3264" s="573">
        <v>169</v>
      </c>
      <c r="V3264" s="573">
        <v>32</v>
      </c>
      <c r="W3264" s="616">
        <v>9000</v>
      </c>
      <c r="X3264" s="617">
        <v>15</v>
      </c>
      <c r="Y3264" s="617" t="s">
        <v>728</v>
      </c>
      <c r="Z3264" s="617" t="s">
        <v>1523</v>
      </c>
      <c r="AA3264" s="618">
        <v>46940</v>
      </c>
      <c r="AB3264" s="618" t="s">
        <v>164</v>
      </c>
      <c r="AC3264" s="618">
        <v>40659</v>
      </c>
      <c r="AD3264" s="619">
        <v>6.25E-2</v>
      </c>
      <c r="AE3264" s="617" t="s">
        <v>5806</v>
      </c>
    </row>
    <row r="3265" spans="1:31" s="572" customFormat="1">
      <c r="A3265" s="570" t="s">
        <v>5807</v>
      </c>
      <c r="B3265" s="569" t="s">
        <v>240</v>
      </c>
      <c r="C3265" s="580" t="s">
        <v>241</v>
      </c>
      <c r="D3265" s="569" t="s">
        <v>3374</v>
      </c>
      <c r="E3265" s="569" t="s">
        <v>196</v>
      </c>
      <c r="F3265" s="569" t="s">
        <v>3265</v>
      </c>
      <c r="G3265" s="569">
        <v>2018</v>
      </c>
      <c r="H3265" s="569" t="s">
        <v>5645</v>
      </c>
      <c r="I3265" s="569" t="s">
        <v>5450</v>
      </c>
      <c r="J3265" s="569" t="s">
        <v>3377</v>
      </c>
      <c r="K3265" s="569">
        <v>6</v>
      </c>
      <c r="L3265" s="569">
        <v>0</v>
      </c>
      <c r="M3265" s="569" t="s">
        <v>157</v>
      </c>
      <c r="N3265" s="569">
        <v>2</v>
      </c>
      <c r="O3265" s="569" t="s">
        <v>5405</v>
      </c>
      <c r="P3265" s="568">
        <v>17550</v>
      </c>
      <c r="Q3265" s="569" t="s">
        <v>5401</v>
      </c>
      <c r="R3265" s="569">
        <v>8</v>
      </c>
      <c r="S3265" s="569" t="s">
        <v>5791</v>
      </c>
      <c r="T3265" s="569" t="s">
        <v>5760</v>
      </c>
      <c r="U3265" s="569">
        <v>149.4</v>
      </c>
      <c r="V3265" s="569">
        <v>31</v>
      </c>
      <c r="W3265" s="620">
        <v>9000</v>
      </c>
      <c r="X3265" s="621">
        <v>15</v>
      </c>
      <c r="Y3265" s="621" t="s">
        <v>178</v>
      </c>
      <c r="Z3265" s="621" t="s">
        <v>178</v>
      </c>
      <c r="AA3265" s="622">
        <v>37855</v>
      </c>
      <c r="AB3265" s="622" t="s">
        <v>164</v>
      </c>
      <c r="AC3265" s="622">
        <v>24629</v>
      </c>
      <c r="AD3265" s="623">
        <v>0.05</v>
      </c>
      <c r="AE3265" s="621" t="s">
        <v>5808</v>
      </c>
    </row>
    <row r="3266" spans="1:31" s="572" customFormat="1">
      <c r="A3266" s="570" t="s">
        <v>5809</v>
      </c>
      <c r="B3266" s="573" t="s">
        <v>240</v>
      </c>
      <c r="C3266" s="578" t="s">
        <v>241</v>
      </c>
      <c r="D3266" s="573" t="s">
        <v>3374</v>
      </c>
      <c r="E3266" s="573" t="s">
        <v>196</v>
      </c>
      <c r="F3266" s="573" t="s">
        <v>3265</v>
      </c>
      <c r="G3266" s="573">
        <v>2018</v>
      </c>
      <c r="H3266" s="573" t="s">
        <v>5645</v>
      </c>
      <c r="I3266" s="573" t="s">
        <v>5450</v>
      </c>
      <c r="J3266" s="573" t="s">
        <v>3377</v>
      </c>
      <c r="K3266" s="573">
        <v>6</v>
      </c>
      <c r="L3266" s="573">
        <v>0</v>
      </c>
      <c r="M3266" s="573" t="s">
        <v>157</v>
      </c>
      <c r="N3266" s="573">
        <v>2</v>
      </c>
      <c r="O3266" s="573" t="s">
        <v>5405</v>
      </c>
      <c r="P3266" s="571">
        <v>17550</v>
      </c>
      <c r="Q3266" s="573" t="s">
        <v>5646</v>
      </c>
      <c r="R3266" s="573">
        <v>8</v>
      </c>
      <c r="S3266" s="582" t="s">
        <v>5791</v>
      </c>
      <c r="T3266" s="573" t="s">
        <v>931</v>
      </c>
      <c r="U3266" s="573">
        <v>149.4</v>
      </c>
      <c r="V3266" s="573">
        <v>31</v>
      </c>
      <c r="W3266" s="616">
        <v>10000</v>
      </c>
      <c r="X3266" s="617">
        <v>15</v>
      </c>
      <c r="Y3266" s="617" t="s">
        <v>178</v>
      </c>
      <c r="Z3266" s="617" t="s">
        <v>178</v>
      </c>
      <c r="AA3266" s="618">
        <v>38355</v>
      </c>
      <c r="AB3266" s="618" t="s">
        <v>164</v>
      </c>
      <c r="AC3266" s="618">
        <v>25088</v>
      </c>
      <c r="AD3266" s="619">
        <v>0.05</v>
      </c>
      <c r="AE3266" s="617" t="s">
        <v>5810</v>
      </c>
    </row>
    <row r="3267" spans="1:31" s="572" customFormat="1">
      <c r="A3267" s="570" t="s">
        <v>5811</v>
      </c>
      <c r="B3267" s="569" t="s">
        <v>240</v>
      </c>
      <c r="C3267" s="580" t="s">
        <v>241</v>
      </c>
      <c r="D3267" s="569" t="s">
        <v>3374</v>
      </c>
      <c r="E3267" s="569" t="s">
        <v>196</v>
      </c>
      <c r="F3267" s="569" t="s">
        <v>3265</v>
      </c>
      <c r="G3267" s="569">
        <v>2018</v>
      </c>
      <c r="H3267" s="569" t="s">
        <v>5645</v>
      </c>
      <c r="I3267" s="569" t="s">
        <v>5450</v>
      </c>
      <c r="J3267" s="569" t="s">
        <v>3377</v>
      </c>
      <c r="K3267" s="569">
        <v>6</v>
      </c>
      <c r="L3267" s="569">
        <v>0</v>
      </c>
      <c r="M3267" s="569" t="s">
        <v>157</v>
      </c>
      <c r="N3267" s="569">
        <v>2</v>
      </c>
      <c r="O3267" s="569" t="s">
        <v>5405</v>
      </c>
      <c r="P3267" s="568">
        <v>17550</v>
      </c>
      <c r="Q3267" s="569" t="s">
        <v>4231</v>
      </c>
      <c r="R3267" s="569">
        <v>8</v>
      </c>
      <c r="S3267" s="569" t="s">
        <v>5791</v>
      </c>
      <c r="T3267" s="569" t="s">
        <v>5767</v>
      </c>
      <c r="U3267" s="569">
        <v>149.4</v>
      </c>
      <c r="V3267" s="569">
        <v>31</v>
      </c>
      <c r="W3267" s="620">
        <v>10000</v>
      </c>
      <c r="X3267" s="621">
        <v>15</v>
      </c>
      <c r="Y3267" s="621" t="s">
        <v>728</v>
      </c>
      <c r="Z3267" s="621" t="s">
        <v>1523</v>
      </c>
      <c r="AA3267" s="622">
        <v>47055</v>
      </c>
      <c r="AB3267" s="622" t="s">
        <v>164</v>
      </c>
      <c r="AC3267" s="622">
        <v>33065</v>
      </c>
      <c r="AD3267" s="623">
        <v>0.05</v>
      </c>
      <c r="AE3267" s="621" t="s">
        <v>5812</v>
      </c>
    </row>
    <row r="3268" spans="1:31" s="572" customFormat="1">
      <c r="A3268" s="570" t="s">
        <v>5813</v>
      </c>
      <c r="B3268" s="573" t="s">
        <v>240</v>
      </c>
      <c r="C3268" s="578" t="s">
        <v>241</v>
      </c>
      <c r="D3268" s="573" t="s">
        <v>3374</v>
      </c>
      <c r="E3268" s="573" t="s">
        <v>196</v>
      </c>
      <c r="F3268" s="573" t="s">
        <v>3265</v>
      </c>
      <c r="G3268" s="573">
        <v>2018</v>
      </c>
      <c r="H3268" s="573" t="s">
        <v>5645</v>
      </c>
      <c r="I3268" s="573" t="s">
        <v>5450</v>
      </c>
      <c r="J3268" s="573" t="s">
        <v>3377</v>
      </c>
      <c r="K3268" s="573">
        <v>6</v>
      </c>
      <c r="L3268" s="573">
        <v>0</v>
      </c>
      <c r="M3268" s="573" t="s">
        <v>157</v>
      </c>
      <c r="N3268" s="573">
        <v>2</v>
      </c>
      <c r="O3268" s="573" t="s">
        <v>3846</v>
      </c>
      <c r="P3268" s="571">
        <v>17360</v>
      </c>
      <c r="Q3268" s="573" t="s">
        <v>5401</v>
      </c>
      <c r="R3268" s="573">
        <v>8</v>
      </c>
      <c r="S3268" s="582" t="s">
        <v>5800</v>
      </c>
      <c r="T3268" s="573" t="s">
        <v>5760</v>
      </c>
      <c r="U3268" s="573">
        <v>169</v>
      </c>
      <c r="V3268" s="573">
        <v>32</v>
      </c>
      <c r="W3268" s="616">
        <v>9000</v>
      </c>
      <c r="X3268" s="617">
        <v>15</v>
      </c>
      <c r="Y3268" s="617" t="s">
        <v>178</v>
      </c>
      <c r="Z3268" s="617" t="s">
        <v>178</v>
      </c>
      <c r="AA3268" s="618">
        <v>38055</v>
      </c>
      <c r="AB3268" s="618" t="s">
        <v>164</v>
      </c>
      <c r="AC3268" s="618">
        <v>24807</v>
      </c>
      <c r="AD3268" s="619">
        <v>0.05</v>
      </c>
      <c r="AE3268" s="617" t="s">
        <v>5814</v>
      </c>
    </row>
    <row r="3269" spans="1:31" s="572" customFormat="1">
      <c r="A3269" s="570" t="s">
        <v>5815</v>
      </c>
      <c r="B3269" s="569" t="s">
        <v>240</v>
      </c>
      <c r="C3269" s="580" t="s">
        <v>241</v>
      </c>
      <c r="D3269" s="569" t="s">
        <v>3374</v>
      </c>
      <c r="E3269" s="569" t="s">
        <v>196</v>
      </c>
      <c r="F3269" s="569" t="s">
        <v>3265</v>
      </c>
      <c r="G3269" s="569">
        <v>2018</v>
      </c>
      <c r="H3269" s="569" t="s">
        <v>5645</v>
      </c>
      <c r="I3269" s="569" t="s">
        <v>5450</v>
      </c>
      <c r="J3269" s="569" t="s">
        <v>3377</v>
      </c>
      <c r="K3269" s="569">
        <v>6</v>
      </c>
      <c r="L3269" s="569">
        <v>0</v>
      </c>
      <c r="M3269" s="569" t="s">
        <v>157</v>
      </c>
      <c r="N3269" s="569">
        <v>2</v>
      </c>
      <c r="O3269" s="569" t="s">
        <v>3846</v>
      </c>
      <c r="P3269" s="568">
        <v>17360</v>
      </c>
      <c r="Q3269" s="569" t="s">
        <v>5646</v>
      </c>
      <c r="R3269" s="569">
        <v>8</v>
      </c>
      <c r="S3269" s="569" t="s">
        <v>5800</v>
      </c>
      <c r="T3269" s="569" t="s">
        <v>931</v>
      </c>
      <c r="U3269" s="569">
        <v>169</v>
      </c>
      <c r="V3269" s="569">
        <v>32</v>
      </c>
      <c r="W3269" s="620">
        <v>10000</v>
      </c>
      <c r="X3269" s="621">
        <v>15</v>
      </c>
      <c r="Y3269" s="621" t="s">
        <v>178</v>
      </c>
      <c r="Z3269" s="621" t="s">
        <v>178</v>
      </c>
      <c r="AA3269" s="622">
        <v>38555</v>
      </c>
      <c r="AB3269" s="622" t="s">
        <v>164</v>
      </c>
      <c r="AC3269" s="622">
        <v>25266</v>
      </c>
      <c r="AD3269" s="623">
        <v>0.05</v>
      </c>
      <c r="AE3269" s="621" t="s">
        <v>5816</v>
      </c>
    </row>
    <row r="3270" spans="1:31" s="572" customFormat="1">
      <c r="A3270" s="570" t="s">
        <v>5817</v>
      </c>
      <c r="B3270" s="573" t="s">
        <v>240</v>
      </c>
      <c r="C3270" s="578" t="s">
        <v>241</v>
      </c>
      <c r="D3270" s="573" t="s">
        <v>3374</v>
      </c>
      <c r="E3270" s="573" t="s">
        <v>196</v>
      </c>
      <c r="F3270" s="573" t="s">
        <v>3265</v>
      </c>
      <c r="G3270" s="573">
        <v>2018</v>
      </c>
      <c r="H3270" s="573" t="s">
        <v>5645</v>
      </c>
      <c r="I3270" s="573" t="s">
        <v>5450</v>
      </c>
      <c r="J3270" s="573" t="s">
        <v>3377</v>
      </c>
      <c r="K3270" s="573">
        <v>6</v>
      </c>
      <c r="L3270" s="573">
        <v>0</v>
      </c>
      <c r="M3270" s="573" t="s">
        <v>157</v>
      </c>
      <c r="N3270" s="573">
        <v>2</v>
      </c>
      <c r="O3270" s="573" t="s">
        <v>3846</v>
      </c>
      <c r="P3270" s="571">
        <v>17360</v>
      </c>
      <c r="Q3270" s="573" t="s">
        <v>4231</v>
      </c>
      <c r="R3270" s="573">
        <v>8</v>
      </c>
      <c r="S3270" s="582" t="s">
        <v>5800</v>
      </c>
      <c r="T3270" s="573" t="s">
        <v>5767</v>
      </c>
      <c r="U3270" s="573">
        <v>169</v>
      </c>
      <c r="V3270" s="573">
        <v>32</v>
      </c>
      <c r="W3270" s="616">
        <v>10000</v>
      </c>
      <c r="X3270" s="617">
        <v>15</v>
      </c>
      <c r="Y3270" s="617" t="s">
        <v>728</v>
      </c>
      <c r="Z3270" s="617" t="s">
        <v>1523</v>
      </c>
      <c r="AA3270" s="618">
        <v>47255</v>
      </c>
      <c r="AB3270" s="618" t="s">
        <v>164</v>
      </c>
      <c r="AC3270" s="618">
        <v>33243</v>
      </c>
      <c r="AD3270" s="619">
        <v>0.05</v>
      </c>
      <c r="AE3270" s="617" t="s">
        <v>5818</v>
      </c>
    </row>
    <row r="3271" spans="1:31" s="572" customFormat="1">
      <c r="A3271" s="570" t="s">
        <v>5819</v>
      </c>
      <c r="B3271" s="569" t="s">
        <v>226</v>
      </c>
      <c r="C3271" s="580" t="s">
        <v>227</v>
      </c>
      <c r="D3271" s="569" t="s">
        <v>3374</v>
      </c>
      <c r="E3271" s="569" t="s">
        <v>196</v>
      </c>
      <c r="F3271" s="569" t="s">
        <v>3265</v>
      </c>
      <c r="G3271" s="569">
        <v>2019</v>
      </c>
      <c r="H3271" s="569" t="s">
        <v>5645</v>
      </c>
      <c r="I3271" s="569" t="s">
        <v>5450</v>
      </c>
      <c r="J3271" s="569" t="s">
        <v>752</v>
      </c>
      <c r="K3271" s="569">
        <v>6</v>
      </c>
      <c r="L3271" s="569">
        <v>0</v>
      </c>
      <c r="M3271" s="569" t="s">
        <v>157</v>
      </c>
      <c r="N3271" s="569">
        <v>2</v>
      </c>
      <c r="O3271" s="569" t="s">
        <v>5405</v>
      </c>
      <c r="P3271" s="568">
        <v>11180</v>
      </c>
      <c r="Q3271" s="569" t="s">
        <v>5699</v>
      </c>
      <c r="R3271" s="569">
        <v>8</v>
      </c>
      <c r="S3271" s="569" t="s">
        <v>5821</v>
      </c>
      <c r="T3271" s="569" t="s">
        <v>5760</v>
      </c>
      <c r="U3271" s="569">
        <v>149.4</v>
      </c>
      <c r="V3271" s="569">
        <v>31</v>
      </c>
      <c r="W3271" s="620">
        <v>9000</v>
      </c>
      <c r="X3271" s="621">
        <v>14</v>
      </c>
      <c r="Y3271" s="621" t="s">
        <v>178</v>
      </c>
      <c r="Z3271" s="621" t="s">
        <v>178</v>
      </c>
      <c r="AA3271" s="622">
        <v>40340</v>
      </c>
      <c r="AB3271" s="622" t="s">
        <v>164</v>
      </c>
      <c r="AC3271" s="622">
        <v>33048</v>
      </c>
      <c r="AD3271" s="623">
        <v>6.25E-2</v>
      </c>
      <c r="AE3271" s="621" t="s">
        <v>5820</v>
      </c>
    </row>
    <row r="3272" spans="1:31" s="572" customFormat="1">
      <c r="A3272" s="570" t="s">
        <v>5822</v>
      </c>
      <c r="B3272" s="573" t="s">
        <v>226</v>
      </c>
      <c r="C3272" s="578" t="s">
        <v>227</v>
      </c>
      <c r="D3272" s="573" t="s">
        <v>3374</v>
      </c>
      <c r="E3272" s="573" t="s">
        <v>196</v>
      </c>
      <c r="F3272" s="573" t="s">
        <v>3265</v>
      </c>
      <c r="G3272" s="573">
        <v>2019</v>
      </c>
      <c r="H3272" s="573" t="s">
        <v>5645</v>
      </c>
      <c r="I3272" s="573" t="s">
        <v>5450</v>
      </c>
      <c r="J3272" s="573" t="s">
        <v>752</v>
      </c>
      <c r="K3272" s="573">
        <v>6</v>
      </c>
      <c r="L3272" s="573">
        <v>0</v>
      </c>
      <c r="M3272" s="573" t="s">
        <v>157</v>
      </c>
      <c r="N3272" s="573">
        <v>2</v>
      </c>
      <c r="O3272" s="573" t="s">
        <v>5405</v>
      </c>
      <c r="P3272" s="571">
        <v>12630</v>
      </c>
      <c r="Q3272" s="573" t="s">
        <v>5676</v>
      </c>
      <c r="R3272" s="573">
        <v>8</v>
      </c>
      <c r="S3272" s="582" t="s">
        <v>5821</v>
      </c>
      <c r="T3272" s="573" t="s">
        <v>931</v>
      </c>
      <c r="U3272" s="573">
        <v>149.4</v>
      </c>
      <c r="V3272" s="573">
        <v>31</v>
      </c>
      <c r="W3272" s="616">
        <v>10000</v>
      </c>
      <c r="X3272" s="617">
        <v>14</v>
      </c>
      <c r="Y3272" s="617" t="s">
        <v>178</v>
      </c>
      <c r="Z3272" s="617" t="s">
        <v>178</v>
      </c>
      <c r="AA3272" s="618">
        <v>40840</v>
      </c>
      <c r="AB3272" s="618" t="s">
        <v>164</v>
      </c>
      <c r="AC3272" s="618">
        <v>33502</v>
      </c>
      <c r="AD3272" s="619">
        <v>6.25E-2</v>
      </c>
      <c r="AE3272" s="617" t="s">
        <v>5823</v>
      </c>
    </row>
    <row r="3273" spans="1:31" s="572" customFormat="1">
      <c r="A3273" s="570" t="s">
        <v>5824</v>
      </c>
      <c r="B3273" s="569" t="s">
        <v>226</v>
      </c>
      <c r="C3273" s="580" t="s">
        <v>227</v>
      </c>
      <c r="D3273" s="569" t="s">
        <v>3374</v>
      </c>
      <c r="E3273" s="569" t="s">
        <v>196</v>
      </c>
      <c r="F3273" s="569" t="s">
        <v>3265</v>
      </c>
      <c r="G3273" s="569">
        <v>2019</v>
      </c>
      <c r="H3273" s="569" t="s">
        <v>5645</v>
      </c>
      <c r="I3273" s="569" t="s">
        <v>5450</v>
      </c>
      <c r="J3273" s="569" t="s">
        <v>752</v>
      </c>
      <c r="K3273" s="569">
        <v>6</v>
      </c>
      <c r="L3273" s="569">
        <v>0</v>
      </c>
      <c r="M3273" s="569" t="s">
        <v>157</v>
      </c>
      <c r="N3273" s="569">
        <v>2</v>
      </c>
      <c r="O3273" s="569" t="s">
        <v>5405</v>
      </c>
      <c r="P3273" s="568">
        <v>13180</v>
      </c>
      <c r="Q3273" s="569" t="s">
        <v>5826</v>
      </c>
      <c r="R3273" s="569">
        <v>8</v>
      </c>
      <c r="S3273" s="569" t="s">
        <v>5821</v>
      </c>
      <c r="T3273" s="569" t="s">
        <v>5760</v>
      </c>
      <c r="U3273" s="569">
        <v>149.4</v>
      </c>
      <c r="V3273" s="569">
        <v>31</v>
      </c>
      <c r="W3273" s="620">
        <v>9000</v>
      </c>
      <c r="X3273" s="621">
        <v>14</v>
      </c>
      <c r="Y3273" s="621" t="s">
        <v>178</v>
      </c>
      <c r="Z3273" s="621" t="s">
        <v>178</v>
      </c>
      <c r="AA3273" s="622">
        <v>40485</v>
      </c>
      <c r="AB3273" s="622" t="s">
        <v>164</v>
      </c>
      <c r="AC3273" s="622">
        <v>33193</v>
      </c>
      <c r="AD3273" s="623">
        <v>6.25E-2</v>
      </c>
      <c r="AE3273" s="621" t="s">
        <v>5825</v>
      </c>
    </row>
    <row r="3274" spans="1:31" s="572" customFormat="1">
      <c r="A3274" s="570" t="s">
        <v>5827</v>
      </c>
      <c r="B3274" s="573" t="s">
        <v>226</v>
      </c>
      <c r="C3274" s="578" t="s">
        <v>227</v>
      </c>
      <c r="D3274" s="573" t="s">
        <v>3374</v>
      </c>
      <c r="E3274" s="573" t="s">
        <v>196</v>
      </c>
      <c r="F3274" s="573" t="s">
        <v>3265</v>
      </c>
      <c r="G3274" s="573">
        <v>2019</v>
      </c>
      <c r="H3274" s="573" t="s">
        <v>5645</v>
      </c>
      <c r="I3274" s="573" t="s">
        <v>5450</v>
      </c>
      <c r="J3274" s="573" t="s">
        <v>752</v>
      </c>
      <c r="K3274" s="573">
        <v>6</v>
      </c>
      <c r="L3274" s="573">
        <v>0</v>
      </c>
      <c r="M3274" s="573" t="s">
        <v>157</v>
      </c>
      <c r="N3274" s="573">
        <v>2</v>
      </c>
      <c r="O3274" s="573" t="s">
        <v>5405</v>
      </c>
      <c r="P3274" s="571">
        <v>17160</v>
      </c>
      <c r="Q3274" s="573" t="s">
        <v>5829</v>
      </c>
      <c r="R3274" s="573">
        <v>8</v>
      </c>
      <c r="S3274" s="582" t="s">
        <v>5821</v>
      </c>
      <c r="T3274" s="573" t="s">
        <v>5767</v>
      </c>
      <c r="U3274" s="573">
        <v>149.4</v>
      </c>
      <c r="V3274" s="573">
        <v>31</v>
      </c>
      <c r="W3274" s="616">
        <v>10000</v>
      </c>
      <c r="X3274" s="617">
        <v>14</v>
      </c>
      <c r="Y3274" s="617" t="s">
        <v>728</v>
      </c>
      <c r="Z3274" s="617" t="s">
        <v>1523</v>
      </c>
      <c r="AA3274" s="618">
        <v>49540</v>
      </c>
      <c r="AB3274" s="618" t="s">
        <v>164</v>
      </c>
      <c r="AC3274" s="618">
        <v>41289</v>
      </c>
      <c r="AD3274" s="619">
        <v>6.25E-2</v>
      </c>
      <c r="AE3274" s="617" t="s">
        <v>5828</v>
      </c>
    </row>
    <row r="3275" spans="1:31" s="572" customFormat="1">
      <c r="A3275" s="570" t="s">
        <v>5830</v>
      </c>
      <c r="B3275" s="569" t="s">
        <v>226</v>
      </c>
      <c r="C3275" s="580" t="s">
        <v>227</v>
      </c>
      <c r="D3275" s="569" t="s">
        <v>3374</v>
      </c>
      <c r="E3275" s="569" t="s">
        <v>196</v>
      </c>
      <c r="F3275" s="569" t="s">
        <v>3265</v>
      </c>
      <c r="G3275" s="569">
        <v>2019</v>
      </c>
      <c r="H3275" s="569" t="s">
        <v>5645</v>
      </c>
      <c r="I3275" s="569" t="s">
        <v>5450</v>
      </c>
      <c r="J3275" s="569" t="s">
        <v>752</v>
      </c>
      <c r="K3275" s="569">
        <v>6</v>
      </c>
      <c r="L3275" s="569">
        <v>0</v>
      </c>
      <c r="M3275" s="569" t="s">
        <v>157</v>
      </c>
      <c r="N3275" s="569">
        <v>2</v>
      </c>
      <c r="O3275" s="569" t="s">
        <v>3846</v>
      </c>
      <c r="P3275" s="568">
        <v>11010</v>
      </c>
      <c r="Q3275" s="569" t="s">
        <v>5699</v>
      </c>
      <c r="R3275" s="569">
        <v>8</v>
      </c>
      <c r="S3275" s="569" t="s">
        <v>5832</v>
      </c>
      <c r="T3275" s="569" t="s">
        <v>5760</v>
      </c>
      <c r="U3275" s="569">
        <v>169</v>
      </c>
      <c r="V3275" s="569">
        <v>32</v>
      </c>
      <c r="W3275" s="620">
        <v>9000</v>
      </c>
      <c r="X3275" s="621">
        <v>14</v>
      </c>
      <c r="Y3275" s="621" t="s">
        <v>178</v>
      </c>
      <c r="Z3275" s="621" t="s">
        <v>178</v>
      </c>
      <c r="AA3275" s="622">
        <v>40540</v>
      </c>
      <c r="AB3275" s="622" t="s">
        <v>164</v>
      </c>
      <c r="AC3275" s="622">
        <v>33229</v>
      </c>
      <c r="AD3275" s="623">
        <v>6.25E-2</v>
      </c>
      <c r="AE3275" s="621" t="s">
        <v>5831</v>
      </c>
    </row>
    <row r="3276" spans="1:31" s="572" customFormat="1">
      <c r="A3276" s="570" t="s">
        <v>5833</v>
      </c>
      <c r="B3276" s="573" t="s">
        <v>226</v>
      </c>
      <c r="C3276" s="578" t="s">
        <v>227</v>
      </c>
      <c r="D3276" s="573" t="s">
        <v>3374</v>
      </c>
      <c r="E3276" s="573" t="s">
        <v>196</v>
      </c>
      <c r="F3276" s="573" t="s">
        <v>3265</v>
      </c>
      <c r="G3276" s="573">
        <v>2019</v>
      </c>
      <c r="H3276" s="573" t="s">
        <v>5645</v>
      </c>
      <c r="I3276" s="573" t="s">
        <v>5450</v>
      </c>
      <c r="J3276" s="573" t="s">
        <v>752</v>
      </c>
      <c r="K3276" s="573">
        <v>6</v>
      </c>
      <c r="L3276" s="573">
        <v>0</v>
      </c>
      <c r="M3276" s="573" t="s">
        <v>157</v>
      </c>
      <c r="N3276" s="573">
        <v>2</v>
      </c>
      <c r="O3276" s="573" t="s">
        <v>3846</v>
      </c>
      <c r="P3276" s="571">
        <v>12470</v>
      </c>
      <c r="Q3276" s="573" t="s">
        <v>5676</v>
      </c>
      <c r="R3276" s="573">
        <v>8</v>
      </c>
      <c r="S3276" s="582" t="s">
        <v>5832</v>
      </c>
      <c r="T3276" s="573" t="s">
        <v>931</v>
      </c>
      <c r="U3276" s="573">
        <v>169</v>
      </c>
      <c r="V3276" s="573">
        <v>32</v>
      </c>
      <c r="W3276" s="616">
        <v>9000</v>
      </c>
      <c r="X3276" s="617">
        <v>14</v>
      </c>
      <c r="Y3276" s="617" t="s">
        <v>178</v>
      </c>
      <c r="Z3276" s="617" t="s">
        <v>178</v>
      </c>
      <c r="AA3276" s="618">
        <v>41040</v>
      </c>
      <c r="AB3276" s="618" t="s">
        <v>164</v>
      </c>
      <c r="AC3276" s="618">
        <v>33681</v>
      </c>
      <c r="AD3276" s="619">
        <v>6.25E-2</v>
      </c>
      <c r="AE3276" s="617" t="s">
        <v>5834</v>
      </c>
    </row>
    <row r="3277" spans="1:31" s="572" customFormat="1">
      <c r="A3277" s="570" t="s">
        <v>5835</v>
      </c>
      <c r="B3277" s="569" t="s">
        <v>226</v>
      </c>
      <c r="C3277" s="580" t="s">
        <v>227</v>
      </c>
      <c r="D3277" s="569" t="s">
        <v>3374</v>
      </c>
      <c r="E3277" s="569" t="s">
        <v>196</v>
      </c>
      <c r="F3277" s="569" t="s">
        <v>3265</v>
      </c>
      <c r="G3277" s="569">
        <v>2019</v>
      </c>
      <c r="H3277" s="569" t="s">
        <v>5645</v>
      </c>
      <c r="I3277" s="569" t="s">
        <v>5450</v>
      </c>
      <c r="J3277" s="569" t="s">
        <v>752</v>
      </c>
      <c r="K3277" s="569">
        <v>6</v>
      </c>
      <c r="L3277" s="569">
        <v>0</v>
      </c>
      <c r="M3277" s="569" t="s">
        <v>157</v>
      </c>
      <c r="N3277" s="569">
        <v>2</v>
      </c>
      <c r="O3277" s="569" t="s">
        <v>3846</v>
      </c>
      <c r="P3277" s="568">
        <v>16750</v>
      </c>
      <c r="Q3277" s="569" t="s">
        <v>5705</v>
      </c>
      <c r="R3277" s="569">
        <v>8</v>
      </c>
      <c r="S3277" s="569" t="s">
        <v>5832</v>
      </c>
      <c r="T3277" s="569" t="s">
        <v>5767</v>
      </c>
      <c r="U3277" s="569">
        <v>169</v>
      </c>
      <c r="V3277" s="569">
        <v>32</v>
      </c>
      <c r="W3277" s="620">
        <v>10000</v>
      </c>
      <c r="X3277" s="621">
        <v>14</v>
      </c>
      <c r="Y3277" s="621" t="s">
        <v>728</v>
      </c>
      <c r="Z3277" s="621" t="s">
        <v>1523</v>
      </c>
      <c r="AA3277" s="622">
        <v>49740</v>
      </c>
      <c r="AB3277" s="622" t="s">
        <v>164</v>
      </c>
      <c r="AC3277" s="622">
        <v>41721</v>
      </c>
      <c r="AD3277" s="623">
        <v>6.25E-2</v>
      </c>
      <c r="AE3277" s="621" t="s">
        <v>5836</v>
      </c>
    </row>
    <row r="3278" spans="1:31" s="572" customFormat="1" ht="30">
      <c r="A3278" s="570" t="s">
        <v>5837</v>
      </c>
      <c r="B3278" s="573" t="s">
        <v>226</v>
      </c>
      <c r="C3278" s="578" t="s">
        <v>227</v>
      </c>
      <c r="D3278" s="573" t="s">
        <v>3374</v>
      </c>
      <c r="E3278" s="573" t="s">
        <v>196</v>
      </c>
      <c r="F3278" s="573" t="s">
        <v>3265</v>
      </c>
      <c r="G3278" s="573">
        <v>2019</v>
      </c>
      <c r="H3278" s="573" t="s">
        <v>5645</v>
      </c>
      <c r="I3278" s="573" t="s">
        <v>5450</v>
      </c>
      <c r="J3278" s="573" t="s">
        <v>752</v>
      </c>
      <c r="K3278" s="573">
        <v>6</v>
      </c>
      <c r="L3278" s="573">
        <v>0</v>
      </c>
      <c r="M3278" s="573" t="s">
        <v>157</v>
      </c>
      <c r="N3278" s="573">
        <v>2</v>
      </c>
      <c r="O3278" s="573" t="s">
        <v>3846</v>
      </c>
      <c r="P3278" s="571">
        <v>6820</v>
      </c>
      <c r="Q3278" s="573" t="s">
        <v>5839</v>
      </c>
      <c r="R3278" s="573">
        <v>8</v>
      </c>
      <c r="S3278" s="582" t="s">
        <v>5832</v>
      </c>
      <c r="T3278" s="573" t="s">
        <v>653</v>
      </c>
      <c r="U3278" s="573">
        <v>169</v>
      </c>
      <c r="V3278" s="573">
        <v>32</v>
      </c>
      <c r="W3278" s="616">
        <v>9000</v>
      </c>
      <c r="X3278" s="617">
        <v>14</v>
      </c>
      <c r="Y3278" s="617" t="s">
        <v>1529</v>
      </c>
      <c r="Z3278" s="617" t="s">
        <v>1529</v>
      </c>
      <c r="AA3278" s="618">
        <v>51540</v>
      </c>
      <c r="AB3278" s="618" t="s">
        <v>164</v>
      </c>
      <c r="AC3278" s="618">
        <v>42067</v>
      </c>
      <c r="AD3278" s="619">
        <v>6.25E-2</v>
      </c>
      <c r="AE3278" s="617" t="s">
        <v>5838</v>
      </c>
    </row>
    <row r="3279" spans="1:31" s="572" customFormat="1">
      <c r="A3279" s="570" t="s">
        <v>5840</v>
      </c>
      <c r="B3279" s="569" t="s">
        <v>240</v>
      </c>
      <c r="C3279" s="580" t="s">
        <v>241</v>
      </c>
      <c r="D3279" s="569" t="s">
        <v>3374</v>
      </c>
      <c r="E3279" s="569" t="s">
        <v>196</v>
      </c>
      <c r="F3279" s="569" t="s">
        <v>3265</v>
      </c>
      <c r="G3279" s="569">
        <v>2018</v>
      </c>
      <c r="H3279" s="569" t="s">
        <v>5645</v>
      </c>
      <c r="I3279" s="569" t="s">
        <v>5450</v>
      </c>
      <c r="J3279" s="569" t="s">
        <v>752</v>
      </c>
      <c r="K3279" s="569">
        <v>6</v>
      </c>
      <c r="L3279" s="569">
        <v>0</v>
      </c>
      <c r="M3279" s="569" t="s">
        <v>157</v>
      </c>
      <c r="N3279" s="569">
        <v>2</v>
      </c>
      <c r="O3279" s="569" t="s">
        <v>5405</v>
      </c>
      <c r="P3279" s="568">
        <v>17170</v>
      </c>
      <c r="Q3279" s="569" t="s">
        <v>5401</v>
      </c>
      <c r="R3279" s="569">
        <v>8</v>
      </c>
      <c r="S3279" s="569" t="s">
        <v>5821</v>
      </c>
      <c r="T3279" s="569" t="s">
        <v>5760</v>
      </c>
      <c r="U3279" s="569">
        <v>149.4</v>
      </c>
      <c r="V3279" s="569">
        <v>31</v>
      </c>
      <c r="W3279" s="620">
        <v>9000</v>
      </c>
      <c r="X3279" s="621">
        <v>14</v>
      </c>
      <c r="Y3279" s="621" t="s">
        <v>178</v>
      </c>
      <c r="Z3279" s="621" t="s">
        <v>178</v>
      </c>
      <c r="AA3279" s="622">
        <v>40655</v>
      </c>
      <c r="AB3279" s="622" t="s">
        <v>164</v>
      </c>
      <c r="AC3279" s="622">
        <v>27123</v>
      </c>
      <c r="AD3279" s="623">
        <v>0.05</v>
      </c>
      <c r="AE3279" s="621" t="s">
        <v>5841</v>
      </c>
    </row>
    <row r="3280" spans="1:31" s="572" customFormat="1">
      <c r="A3280" s="570" t="s">
        <v>5842</v>
      </c>
      <c r="B3280" s="573" t="s">
        <v>240</v>
      </c>
      <c r="C3280" s="578" t="s">
        <v>241</v>
      </c>
      <c r="D3280" s="573" t="s">
        <v>3374</v>
      </c>
      <c r="E3280" s="573" t="s">
        <v>196</v>
      </c>
      <c r="F3280" s="573" t="s">
        <v>3265</v>
      </c>
      <c r="G3280" s="573">
        <v>2018</v>
      </c>
      <c r="H3280" s="573" t="s">
        <v>5645</v>
      </c>
      <c r="I3280" s="573" t="s">
        <v>5450</v>
      </c>
      <c r="J3280" s="573" t="s">
        <v>752</v>
      </c>
      <c r="K3280" s="573">
        <v>6</v>
      </c>
      <c r="L3280" s="573">
        <v>0</v>
      </c>
      <c r="M3280" s="573" t="s">
        <v>157</v>
      </c>
      <c r="N3280" s="573">
        <v>2</v>
      </c>
      <c r="O3280" s="573" t="s">
        <v>5405</v>
      </c>
      <c r="P3280" s="571">
        <v>17170</v>
      </c>
      <c r="Q3280" s="573" t="s">
        <v>5646</v>
      </c>
      <c r="R3280" s="573">
        <v>8</v>
      </c>
      <c r="S3280" s="582" t="s">
        <v>5821</v>
      </c>
      <c r="T3280" s="573" t="s">
        <v>931</v>
      </c>
      <c r="U3280" s="573">
        <v>149.4</v>
      </c>
      <c r="V3280" s="573">
        <v>31</v>
      </c>
      <c r="W3280" s="616">
        <v>10000</v>
      </c>
      <c r="X3280" s="617">
        <v>14</v>
      </c>
      <c r="Y3280" s="617" t="s">
        <v>178</v>
      </c>
      <c r="Z3280" s="617" t="s">
        <v>178</v>
      </c>
      <c r="AA3280" s="618">
        <v>41155</v>
      </c>
      <c r="AB3280" s="618" t="s">
        <v>164</v>
      </c>
      <c r="AC3280" s="618">
        <v>27581</v>
      </c>
      <c r="AD3280" s="619">
        <v>0.05</v>
      </c>
      <c r="AE3280" s="617" t="s">
        <v>5843</v>
      </c>
    </row>
    <row r="3281" spans="1:31" s="572" customFormat="1">
      <c r="A3281" s="570" t="s">
        <v>5844</v>
      </c>
      <c r="B3281" s="569" t="s">
        <v>240</v>
      </c>
      <c r="C3281" s="580" t="s">
        <v>241</v>
      </c>
      <c r="D3281" s="569" t="s">
        <v>3374</v>
      </c>
      <c r="E3281" s="569" t="s">
        <v>196</v>
      </c>
      <c r="F3281" s="569" t="s">
        <v>3265</v>
      </c>
      <c r="G3281" s="569">
        <v>2018</v>
      </c>
      <c r="H3281" s="569" t="s">
        <v>5645</v>
      </c>
      <c r="I3281" s="569" t="s">
        <v>5450</v>
      </c>
      <c r="J3281" s="569" t="s">
        <v>752</v>
      </c>
      <c r="K3281" s="569">
        <v>6</v>
      </c>
      <c r="L3281" s="569">
        <v>0</v>
      </c>
      <c r="M3281" s="569" t="s">
        <v>157</v>
      </c>
      <c r="N3281" s="569">
        <v>2</v>
      </c>
      <c r="O3281" s="569" t="s">
        <v>5405</v>
      </c>
      <c r="P3281" s="568">
        <v>17170</v>
      </c>
      <c r="Q3281" s="569" t="s">
        <v>4231</v>
      </c>
      <c r="R3281" s="569">
        <v>8</v>
      </c>
      <c r="S3281" s="569" t="s">
        <v>5821</v>
      </c>
      <c r="T3281" s="569" t="s">
        <v>5767</v>
      </c>
      <c r="U3281" s="569">
        <v>149.4</v>
      </c>
      <c r="V3281" s="569">
        <v>31</v>
      </c>
      <c r="W3281" s="620">
        <v>10000</v>
      </c>
      <c r="X3281" s="621">
        <v>14</v>
      </c>
      <c r="Y3281" s="621" t="s">
        <v>728</v>
      </c>
      <c r="Z3281" s="621" t="s">
        <v>1523</v>
      </c>
      <c r="AA3281" s="622">
        <v>49855</v>
      </c>
      <c r="AB3281" s="622" t="s">
        <v>164</v>
      </c>
      <c r="AC3281" s="622">
        <v>35488</v>
      </c>
      <c r="AD3281" s="623">
        <v>0.05</v>
      </c>
      <c r="AE3281" s="621" t="s">
        <v>5845</v>
      </c>
    </row>
    <row r="3282" spans="1:31" s="572" customFormat="1">
      <c r="A3282" s="570" t="s">
        <v>5846</v>
      </c>
      <c r="B3282" s="573" t="s">
        <v>240</v>
      </c>
      <c r="C3282" s="578" t="s">
        <v>241</v>
      </c>
      <c r="D3282" s="573" t="s">
        <v>3374</v>
      </c>
      <c r="E3282" s="573" t="s">
        <v>196</v>
      </c>
      <c r="F3282" s="573" t="s">
        <v>3265</v>
      </c>
      <c r="G3282" s="573">
        <v>2018</v>
      </c>
      <c r="H3282" s="573" t="s">
        <v>5645</v>
      </c>
      <c r="I3282" s="573" t="s">
        <v>5450</v>
      </c>
      <c r="J3282" s="573" t="s">
        <v>752</v>
      </c>
      <c r="K3282" s="573">
        <v>6</v>
      </c>
      <c r="L3282" s="573">
        <v>0</v>
      </c>
      <c r="M3282" s="573" t="s">
        <v>157</v>
      </c>
      <c r="N3282" s="573">
        <v>2</v>
      </c>
      <c r="O3282" s="573" t="s">
        <v>3846</v>
      </c>
      <c r="P3282" s="571">
        <v>17010</v>
      </c>
      <c r="Q3282" s="573" t="s">
        <v>5689</v>
      </c>
      <c r="R3282" s="573">
        <v>8</v>
      </c>
      <c r="S3282" s="582" t="s">
        <v>5832</v>
      </c>
      <c r="T3282" s="573" t="s">
        <v>653</v>
      </c>
      <c r="U3282" s="573">
        <v>169</v>
      </c>
      <c r="V3282" s="573">
        <v>32</v>
      </c>
      <c r="W3282" s="616">
        <v>9000</v>
      </c>
      <c r="X3282" s="617">
        <v>14</v>
      </c>
      <c r="Y3282" s="617" t="s">
        <v>1529</v>
      </c>
      <c r="Z3282" s="617" t="s">
        <v>1529</v>
      </c>
      <c r="AA3282" s="618">
        <v>51855</v>
      </c>
      <c r="AB3282" s="618" t="s">
        <v>164</v>
      </c>
      <c r="AC3282" s="618">
        <v>34018</v>
      </c>
      <c r="AD3282" s="619">
        <v>0.05</v>
      </c>
      <c r="AE3282" s="617" t="s">
        <v>5847</v>
      </c>
    </row>
    <row r="3283" spans="1:31" s="572" customFormat="1">
      <c r="A3283" s="570" t="s">
        <v>5848</v>
      </c>
      <c r="B3283" s="569" t="s">
        <v>240</v>
      </c>
      <c r="C3283" s="580" t="s">
        <v>241</v>
      </c>
      <c r="D3283" s="569" t="s">
        <v>3374</v>
      </c>
      <c r="E3283" s="569" t="s">
        <v>196</v>
      </c>
      <c r="F3283" s="569" t="s">
        <v>3265</v>
      </c>
      <c r="G3283" s="569">
        <v>2018</v>
      </c>
      <c r="H3283" s="569" t="s">
        <v>5645</v>
      </c>
      <c r="I3283" s="569" t="s">
        <v>5450</v>
      </c>
      <c r="J3283" s="569" t="s">
        <v>752</v>
      </c>
      <c r="K3283" s="569">
        <v>6</v>
      </c>
      <c r="L3283" s="569">
        <v>0</v>
      </c>
      <c r="M3283" s="569" t="s">
        <v>157</v>
      </c>
      <c r="N3283" s="569">
        <v>2</v>
      </c>
      <c r="O3283" s="569" t="s">
        <v>3846</v>
      </c>
      <c r="P3283" s="568">
        <v>17010</v>
      </c>
      <c r="Q3283" s="569" t="s">
        <v>5401</v>
      </c>
      <c r="R3283" s="569">
        <v>8</v>
      </c>
      <c r="S3283" s="569" t="s">
        <v>5832</v>
      </c>
      <c r="T3283" s="569" t="s">
        <v>5760</v>
      </c>
      <c r="U3283" s="569">
        <v>169</v>
      </c>
      <c r="V3283" s="569">
        <v>32</v>
      </c>
      <c r="W3283" s="620">
        <v>9000</v>
      </c>
      <c r="X3283" s="621">
        <v>14</v>
      </c>
      <c r="Y3283" s="621" t="s">
        <v>178</v>
      </c>
      <c r="Z3283" s="621" t="s">
        <v>178</v>
      </c>
      <c r="AA3283" s="622">
        <v>40855</v>
      </c>
      <c r="AB3283" s="622" t="s">
        <v>164</v>
      </c>
      <c r="AC3283" s="622">
        <v>27301</v>
      </c>
      <c r="AD3283" s="623">
        <v>0.05</v>
      </c>
      <c r="AE3283" s="621" t="s">
        <v>5849</v>
      </c>
    </row>
    <row r="3284" spans="1:31" s="572" customFormat="1">
      <c r="A3284" s="570" t="s">
        <v>5850</v>
      </c>
      <c r="B3284" s="573" t="s">
        <v>240</v>
      </c>
      <c r="C3284" s="578" t="s">
        <v>241</v>
      </c>
      <c r="D3284" s="573" t="s">
        <v>3374</v>
      </c>
      <c r="E3284" s="573" t="s">
        <v>196</v>
      </c>
      <c r="F3284" s="573" t="s">
        <v>3265</v>
      </c>
      <c r="G3284" s="573">
        <v>2018</v>
      </c>
      <c r="H3284" s="573" t="s">
        <v>5645</v>
      </c>
      <c r="I3284" s="573" t="s">
        <v>5450</v>
      </c>
      <c r="J3284" s="573" t="s">
        <v>752</v>
      </c>
      <c r="K3284" s="573">
        <v>6</v>
      </c>
      <c r="L3284" s="573">
        <v>0</v>
      </c>
      <c r="M3284" s="573" t="s">
        <v>157</v>
      </c>
      <c r="N3284" s="573">
        <v>2</v>
      </c>
      <c r="O3284" s="573" t="s">
        <v>3846</v>
      </c>
      <c r="P3284" s="571">
        <v>17010</v>
      </c>
      <c r="Q3284" s="573" t="s">
        <v>5646</v>
      </c>
      <c r="R3284" s="573">
        <v>8</v>
      </c>
      <c r="S3284" s="582" t="s">
        <v>5832</v>
      </c>
      <c r="T3284" s="573" t="s">
        <v>931</v>
      </c>
      <c r="U3284" s="573">
        <v>169</v>
      </c>
      <c r="V3284" s="573">
        <v>32</v>
      </c>
      <c r="W3284" s="616">
        <v>10000</v>
      </c>
      <c r="X3284" s="617">
        <v>14</v>
      </c>
      <c r="Y3284" s="617" t="s">
        <v>178</v>
      </c>
      <c r="Z3284" s="617" t="s">
        <v>178</v>
      </c>
      <c r="AA3284" s="618">
        <v>41355</v>
      </c>
      <c r="AB3284" s="618" t="s">
        <v>164</v>
      </c>
      <c r="AC3284" s="618">
        <v>27759</v>
      </c>
      <c r="AD3284" s="619">
        <v>0.05</v>
      </c>
      <c r="AE3284" s="617" t="s">
        <v>5851</v>
      </c>
    </row>
    <row r="3285" spans="1:31" s="572" customFormat="1">
      <c r="A3285" s="570" t="s">
        <v>5852</v>
      </c>
      <c r="B3285" s="569" t="s">
        <v>240</v>
      </c>
      <c r="C3285" s="580" t="s">
        <v>241</v>
      </c>
      <c r="D3285" s="569" t="s">
        <v>3374</v>
      </c>
      <c r="E3285" s="569" t="s">
        <v>196</v>
      </c>
      <c r="F3285" s="569" t="s">
        <v>3265</v>
      </c>
      <c r="G3285" s="569">
        <v>2018</v>
      </c>
      <c r="H3285" s="569" t="s">
        <v>5645</v>
      </c>
      <c r="I3285" s="569" t="s">
        <v>5450</v>
      </c>
      <c r="J3285" s="569" t="s">
        <v>752</v>
      </c>
      <c r="K3285" s="569">
        <v>6</v>
      </c>
      <c r="L3285" s="569">
        <v>0</v>
      </c>
      <c r="M3285" s="569" t="s">
        <v>157</v>
      </c>
      <c r="N3285" s="569">
        <v>2</v>
      </c>
      <c r="O3285" s="569" t="s">
        <v>3846</v>
      </c>
      <c r="P3285" s="568">
        <v>17010</v>
      </c>
      <c r="Q3285" s="569" t="s">
        <v>4231</v>
      </c>
      <c r="R3285" s="569">
        <v>8</v>
      </c>
      <c r="S3285" s="569" t="s">
        <v>5832</v>
      </c>
      <c r="T3285" s="569" t="s">
        <v>5767</v>
      </c>
      <c r="U3285" s="569">
        <v>169</v>
      </c>
      <c r="V3285" s="569">
        <v>32</v>
      </c>
      <c r="W3285" s="620">
        <v>10000</v>
      </c>
      <c r="X3285" s="621">
        <v>14</v>
      </c>
      <c r="Y3285" s="621" t="s">
        <v>728</v>
      </c>
      <c r="Z3285" s="621" t="s">
        <v>1523</v>
      </c>
      <c r="AA3285" s="622">
        <v>50055</v>
      </c>
      <c r="AB3285" s="622" t="s">
        <v>164</v>
      </c>
      <c r="AC3285" s="622">
        <v>35658</v>
      </c>
      <c r="AD3285" s="623">
        <v>0.05</v>
      </c>
      <c r="AE3285" s="621" t="s">
        <v>5853</v>
      </c>
    </row>
    <row r="3286" spans="1:31" s="572" customFormat="1">
      <c r="A3286" s="570" t="s">
        <v>5854</v>
      </c>
      <c r="B3286" s="573" t="s">
        <v>226</v>
      </c>
      <c r="C3286" s="578" t="s">
        <v>227</v>
      </c>
      <c r="D3286" s="573" t="s">
        <v>3374</v>
      </c>
      <c r="E3286" s="573" t="s">
        <v>187</v>
      </c>
      <c r="F3286" s="573" t="s">
        <v>3265</v>
      </c>
      <c r="G3286" s="573">
        <v>2019</v>
      </c>
      <c r="H3286" s="573" t="s">
        <v>5856</v>
      </c>
      <c r="I3286" s="573" t="s">
        <v>5698</v>
      </c>
      <c r="J3286" s="573" t="s">
        <v>3377</v>
      </c>
      <c r="K3286" s="573">
        <v>6</v>
      </c>
      <c r="L3286" s="573">
        <v>0</v>
      </c>
      <c r="M3286" s="573" t="s">
        <v>157</v>
      </c>
      <c r="N3286" s="573">
        <v>2</v>
      </c>
      <c r="O3286" s="573" t="s">
        <v>5405</v>
      </c>
      <c r="P3286" s="571">
        <v>11210</v>
      </c>
      <c r="Q3286" s="573" t="s">
        <v>5401</v>
      </c>
      <c r="R3286" s="573">
        <v>8</v>
      </c>
      <c r="S3286" s="582" t="s">
        <v>5857</v>
      </c>
      <c r="T3286" s="573" t="s">
        <v>5516</v>
      </c>
      <c r="U3286" s="573">
        <v>160</v>
      </c>
      <c r="V3286" s="573">
        <v>31</v>
      </c>
      <c r="W3286" s="616">
        <v>11000</v>
      </c>
      <c r="X3286" s="617" t="s">
        <v>157</v>
      </c>
      <c r="Y3286" s="617" t="s">
        <v>178</v>
      </c>
      <c r="Z3286" s="617" t="s">
        <v>178</v>
      </c>
      <c r="AA3286" s="618">
        <v>45240</v>
      </c>
      <c r="AB3286" s="618" t="s">
        <v>164</v>
      </c>
      <c r="AC3286" s="618">
        <v>40384</v>
      </c>
      <c r="AD3286" s="619">
        <v>6.25E-2</v>
      </c>
      <c r="AE3286" s="617" t="s">
        <v>5855</v>
      </c>
    </row>
    <row r="3287" spans="1:31" s="572" customFormat="1">
      <c r="A3287" s="570" t="s">
        <v>5858</v>
      </c>
      <c r="B3287" s="569" t="s">
        <v>240</v>
      </c>
      <c r="C3287" s="580" t="s">
        <v>241</v>
      </c>
      <c r="D3287" s="569" t="s">
        <v>3374</v>
      </c>
      <c r="E3287" s="569" t="s">
        <v>187</v>
      </c>
      <c r="F3287" s="569" t="s">
        <v>3265</v>
      </c>
      <c r="G3287" s="569">
        <v>2018</v>
      </c>
      <c r="H3287" s="569" t="s">
        <v>5856</v>
      </c>
      <c r="I3287" s="569" t="s">
        <v>5698</v>
      </c>
      <c r="J3287" s="569" t="s">
        <v>3377</v>
      </c>
      <c r="K3287" s="569">
        <v>6</v>
      </c>
      <c r="L3287" s="569">
        <v>0</v>
      </c>
      <c r="M3287" s="569" t="s">
        <v>157</v>
      </c>
      <c r="N3287" s="569">
        <v>2</v>
      </c>
      <c r="O3287" s="569" t="s">
        <v>5405</v>
      </c>
      <c r="P3287" s="568">
        <v>11270</v>
      </c>
      <c r="Q3287" s="569" t="s">
        <v>5401</v>
      </c>
      <c r="R3287" s="569">
        <v>8</v>
      </c>
      <c r="S3287" s="569" t="s">
        <v>5857</v>
      </c>
      <c r="T3287" s="569" t="s">
        <v>5760</v>
      </c>
      <c r="U3287" s="569">
        <v>160</v>
      </c>
      <c r="V3287" s="569">
        <v>31</v>
      </c>
      <c r="W3287" s="620">
        <v>11000</v>
      </c>
      <c r="X3287" s="621" t="s">
        <v>157</v>
      </c>
      <c r="Y3287" s="621" t="s">
        <v>178</v>
      </c>
      <c r="Z3287" s="621" t="s">
        <v>178</v>
      </c>
      <c r="AA3287" s="622">
        <v>45240</v>
      </c>
      <c r="AB3287" s="622" t="s">
        <v>164</v>
      </c>
      <c r="AC3287" s="622">
        <v>32370</v>
      </c>
      <c r="AD3287" s="623">
        <v>0.05</v>
      </c>
      <c r="AE3287" s="621" t="s">
        <v>5859</v>
      </c>
    </row>
    <row r="3288" spans="1:31" s="572" customFormat="1">
      <c r="A3288" s="570" t="s">
        <v>5860</v>
      </c>
      <c r="B3288" s="573" t="s">
        <v>226</v>
      </c>
      <c r="C3288" s="578" t="s">
        <v>227</v>
      </c>
      <c r="D3288" s="573" t="s">
        <v>3374</v>
      </c>
      <c r="E3288" s="573" t="s">
        <v>187</v>
      </c>
      <c r="F3288" s="573" t="s">
        <v>3265</v>
      </c>
      <c r="G3288" s="573">
        <v>2019</v>
      </c>
      <c r="H3288" s="573" t="s">
        <v>5856</v>
      </c>
      <c r="I3288" s="573" t="s">
        <v>5698</v>
      </c>
      <c r="J3288" s="573" t="s">
        <v>752</v>
      </c>
      <c r="K3288" s="573">
        <v>6</v>
      </c>
      <c r="L3288" s="573">
        <v>0</v>
      </c>
      <c r="M3288" s="573" t="s">
        <v>157</v>
      </c>
      <c r="N3288" s="573">
        <v>2</v>
      </c>
      <c r="O3288" s="573" t="s">
        <v>5405</v>
      </c>
      <c r="P3288" s="571">
        <v>10880</v>
      </c>
      <c r="Q3288" s="573" t="s">
        <v>5401</v>
      </c>
      <c r="R3288" s="573">
        <v>8</v>
      </c>
      <c r="S3288" s="582" t="s">
        <v>5862</v>
      </c>
      <c r="T3288" s="573" t="s">
        <v>5516</v>
      </c>
      <c r="U3288" s="573">
        <v>160</v>
      </c>
      <c r="V3288" s="573">
        <v>31</v>
      </c>
      <c r="W3288" s="616">
        <v>11300</v>
      </c>
      <c r="X3288" s="617" t="s">
        <v>157</v>
      </c>
      <c r="Y3288" s="617" t="s">
        <v>178</v>
      </c>
      <c r="Z3288" s="617" t="s">
        <v>178</v>
      </c>
      <c r="AA3288" s="618">
        <v>48040</v>
      </c>
      <c r="AB3288" s="618" t="s">
        <v>164</v>
      </c>
      <c r="AC3288" s="618">
        <v>39666</v>
      </c>
      <c r="AD3288" s="619">
        <v>6.25E-2</v>
      </c>
      <c r="AE3288" s="617" t="s">
        <v>5861</v>
      </c>
    </row>
    <row r="3289" spans="1:31" s="572" customFormat="1">
      <c r="A3289" s="570" t="s">
        <v>5863</v>
      </c>
      <c r="B3289" s="569" t="s">
        <v>240</v>
      </c>
      <c r="C3289" s="580" t="s">
        <v>241</v>
      </c>
      <c r="D3289" s="569" t="s">
        <v>3374</v>
      </c>
      <c r="E3289" s="569" t="s">
        <v>187</v>
      </c>
      <c r="F3289" s="569" t="s">
        <v>3265</v>
      </c>
      <c r="G3289" s="569">
        <v>2018</v>
      </c>
      <c r="H3289" s="569" t="s">
        <v>5856</v>
      </c>
      <c r="I3289" s="569" t="s">
        <v>5698</v>
      </c>
      <c r="J3289" s="569" t="s">
        <v>752</v>
      </c>
      <c r="K3289" s="569">
        <v>6</v>
      </c>
      <c r="L3289" s="569">
        <v>0</v>
      </c>
      <c r="M3289" s="569" t="s">
        <v>157</v>
      </c>
      <c r="N3289" s="569">
        <v>2</v>
      </c>
      <c r="O3289" s="569" t="s">
        <v>5405</v>
      </c>
      <c r="P3289" s="568">
        <v>10990</v>
      </c>
      <c r="Q3289" s="569" t="s">
        <v>5401</v>
      </c>
      <c r="R3289" s="569">
        <v>8</v>
      </c>
      <c r="S3289" s="569" t="s">
        <v>5862</v>
      </c>
      <c r="T3289" s="569" t="s">
        <v>5760</v>
      </c>
      <c r="U3289" s="569">
        <v>160</v>
      </c>
      <c r="V3289" s="569">
        <v>31</v>
      </c>
      <c r="W3289" s="620">
        <v>11300</v>
      </c>
      <c r="X3289" s="621" t="s">
        <v>157</v>
      </c>
      <c r="Y3289" s="621" t="s">
        <v>178</v>
      </c>
      <c r="Z3289" s="621" t="s">
        <v>178</v>
      </c>
      <c r="AA3289" s="622">
        <v>48040</v>
      </c>
      <c r="AB3289" s="622" t="s">
        <v>164</v>
      </c>
      <c r="AC3289" s="622">
        <v>34308</v>
      </c>
      <c r="AD3289" s="623">
        <v>0.05</v>
      </c>
      <c r="AE3289" s="621" t="s">
        <v>5864</v>
      </c>
    </row>
    <row r="3290" spans="1:31" s="572" customFormat="1">
      <c r="A3290" s="570" t="s">
        <v>5865</v>
      </c>
      <c r="B3290" s="573" t="s">
        <v>226</v>
      </c>
      <c r="C3290" s="578" t="s">
        <v>227</v>
      </c>
      <c r="D3290" s="573" t="s">
        <v>3374</v>
      </c>
      <c r="E3290" s="573" t="s">
        <v>187</v>
      </c>
      <c r="F3290" s="573" t="s">
        <v>3265</v>
      </c>
      <c r="G3290" s="573">
        <v>2019</v>
      </c>
      <c r="H3290" s="573" t="s">
        <v>5856</v>
      </c>
      <c r="I3290" s="573" t="s">
        <v>5450</v>
      </c>
      <c r="J3290" s="573" t="s">
        <v>3377</v>
      </c>
      <c r="K3290" s="573">
        <v>6</v>
      </c>
      <c r="L3290" s="573">
        <v>0</v>
      </c>
      <c r="M3290" s="573" t="s">
        <v>157</v>
      </c>
      <c r="N3290" s="573">
        <v>2</v>
      </c>
      <c r="O3290" s="573" t="s">
        <v>5405</v>
      </c>
      <c r="P3290" s="571">
        <v>11520</v>
      </c>
      <c r="Q3290" s="573" t="s">
        <v>5699</v>
      </c>
      <c r="R3290" s="573">
        <v>8</v>
      </c>
      <c r="S3290" s="582" t="s">
        <v>5867</v>
      </c>
      <c r="T3290" s="573" t="s">
        <v>5760</v>
      </c>
      <c r="U3290" s="573">
        <v>149</v>
      </c>
      <c r="V3290" s="573">
        <v>31</v>
      </c>
      <c r="W3290" s="616">
        <v>10500</v>
      </c>
      <c r="X3290" s="617" t="s">
        <v>157</v>
      </c>
      <c r="Y3290" s="617" t="s">
        <v>178</v>
      </c>
      <c r="Z3290" s="617" t="s">
        <v>178</v>
      </c>
      <c r="AA3290" s="618">
        <v>38640</v>
      </c>
      <c r="AB3290" s="618" t="s">
        <v>164</v>
      </c>
      <c r="AC3290" s="618">
        <v>30861</v>
      </c>
      <c r="AD3290" s="619">
        <v>6.25E-2</v>
      </c>
      <c r="AE3290" s="617" t="s">
        <v>5866</v>
      </c>
    </row>
    <row r="3291" spans="1:31" s="572" customFormat="1">
      <c r="A3291" s="570" t="s">
        <v>5868</v>
      </c>
      <c r="B3291" s="569" t="s">
        <v>226</v>
      </c>
      <c r="C3291" s="580" t="s">
        <v>227</v>
      </c>
      <c r="D3291" s="569" t="s">
        <v>3374</v>
      </c>
      <c r="E3291" s="569" t="s">
        <v>187</v>
      </c>
      <c r="F3291" s="569" t="s">
        <v>3265</v>
      </c>
      <c r="G3291" s="569">
        <v>2019</v>
      </c>
      <c r="H3291" s="569" t="s">
        <v>5856</v>
      </c>
      <c r="I3291" s="569" t="s">
        <v>5450</v>
      </c>
      <c r="J3291" s="569" t="s">
        <v>3377</v>
      </c>
      <c r="K3291" s="569">
        <v>6</v>
      </c>
      <c r="L3291" s="569">
        <v>0</v>
      </c>
      <c r="M3291" s="569" t="s">
        <v>157</v>
      </c>
      <c r="N3291" s="569">
        <v>2</v>
      </c>
      <c r="O3291" s="569" t="s">
        <v>5405</v>
      </c>
      <c r="P3291" s="568">
        <v>13520</v>
      </c>
      <c r="Q3291" s="569" t="s">
        <v>5826</v>
      </c>
      <c r="R3291" s="569">
        <v>8</v>
      </c>
      <c r="S3291" s="569" t="s">
        <v>5867</v>
      </c>
      <c r="T3291" s="569" t="s">
        <v>5760</v>
      </c>
      <c r="U3291" s="569">
        <v>149</v>
      </c>
      <c r="V3291" s="569">
        <v>31</v>
      </c>
      <c r="W3291" s="620">
        <v>10500</v>
      </c>
      <c r="X3291" s="621" t="s">
        <v>157</v>
      </c>
      <c r="Y3291" s="621" t="s">
        <v>5870</v>
      </c>
      <c r="Z3291" s="621" t="s">
        <v>5870</v>
      </c>
      <c r="AA3291" s="622">
        <v>38785</v>
      </c>
      <c r="AB3291" s="622" t="s">
        <v>164</v>
      </c>
      <c r="AC3291" s="622">
        <v>31006</v>
      </c>
      <c r="AD3291" s="623">
        <v>6.25E-2</v>
      </c>
      <c r="AE3291" s="621" t="s">
        <v>5869</v>
      </c>
    </row>
    <row r="3292" spans="1:31" s="572" customFormat="1">
      <c r="A3292" s="570" t="s">
        <v>5871</v>
      </c>
      <c r="B3292" s="573" t="s">
        <v>226</v>
      </c>
      <c r="C3292" s="578" t="s">
        <v>227</v>
      </c>
      <c r="D3292" s="573" t="s">
        <v>3374</v>
      </c>
      <c r="E3292" s="573" t="s">
        <v>187</v>
      </c>
      <c r="F3292" s="573" t="s">
        <v>3265</v>
      </c>
      <c r="G3292" s="573">
        <v>2019</v>
      </c>
      <c r="H3292" s="573" t="s">
        <v>5856</v>
      </c>
      <c r="I3292" s="573" t="s">
        <v>5450</v>
      </c>
      <c r="J3292" s="573" t="s">
        <v>3377</v>
      </c>
      <c r="K3292" s="573">
        <v>6</v>
      </c>
      <c r="L3292" s="573">
        <v>0</v>
      </c>
      <c r="M3292" s="573" t="s">
        <v>157</v>
      </c>
      <c r="N3292" s="573">
        <v>2</v>
      </c>
      <c r="O3292" s="573" t="s">
        <v>5405</v>
      </c>
      <c r="P3292" s="571">
        <v>15970</v>
      </c>
      <c r="Q3292" s="573" t="s">
        <v>5873</v>
      </c>
      <c r="R3292" s="573">
        <v>8</v>
      </c>
      <c r="S3292" s="582" t="s">
        <v>5867</v>
      </c>
      <c r="T3292" s="573" t="s">
        <v>931</v>
      </c>
      <c r="U3292" s="573">
        <v>149</v>
      </c>
      <c r="V3292" s="573">
        <v>31</v>
      </c>
      <c r="W3292" s="616">
        <v>10500</v>
      </c>
      <c r="X3292" s="617" t="s">
        <v>157</v>
      </c>
      <c r="Y3292" s="617" t="s">
        <v>5870</v>
      </c>
      <c r="Z3292" s="617" t="s">
        <v>5870</v>
      </c>
      <c r="AA3292" s="618">
        <v>39140</v>
      </c>
      <c r="AB3292" s="618" t="s">
        <v>164</v>
      </c>
      <c r="AC3292" s="618">
        <v>31314</v>
      </c>
      <c r="AD3292" s="619">
        <v>6.25E-2</v>
      </c>
      <c r="AE3292" s="617" t="s">
        <v>5872</v>
      </c>
    </row>
    <row r="3293" spans="1:31" s="572" customFormat="1">
      <c r="A3293" s="570" t="s">
        <v>5874</v>
      </c>
      <c r="B3293" s="569" t="s">
        <v>226</v>
      </c>
      <c r="C3293" s="580" t="s">
        <v>227</v>
      </c>
      <c r="D3293" s="569" t="s">
        <v>3374</v>
      </c>
      <c r="E3293" s="569" t="s">
        <v>187</v>
      </c>
      <c r="F3293" s="569" t="s">
        <v>3265</v>
      </c>
      <c r="G3293" s="569">
        <v>2019</v>
      </c>
      <c r="H3293" s="569" t="s">
        <v>5856</v>
      </c>
      <c r="I3293" s="569" t="s">
        <v>5450</v>
      </c>
      <c r="J3293" s="569" t="s">
        <v>3377</v>
      </c>
      <c r="K3293" s="569">
        <v>6</v>
      </c>
      <c r="L3293" s="569">
        <v>0</v>
      </c>
      <c r="M3293" s="569" t="s">
        <v>157</v>
      </c>
      <c r="N3293" s="569">
        <v>2</v>
      </c>
      <c r="O3293" s="569" t="s">
        <v>5405</v>
      </c>
      <c r="P3293" s="568">
        <v>17330</v>
      </c>
      <c r="Q3293" s="569" t="s">
        <v>4231</v>
      </c>
      <c r="R3293" s="569">
        <v>6</v>
      </c>
      <c r="S3293" s="569" t="s">
        <v>5867</v>
      </c>
      <c r="T3293" s="569" t="s">
        <v>5876</v>
      </c>
      <c r="U3293" s="569">
        <v>149</v>
      </c>
      <c r="V3293" s="569">
        <v>31</v>
      </c>
      <c r="W3293" s="620">
        <v>10500</v>
      </c>
      <c r="X3293" s="621" t="s">
        <v>157</v>
      </c>
      <c r="Y3293" s="621" t="s">
        <v>728</v>
      </c>
      <c r="Z3293" s="621" t="s">
        <v>1523</v>
      </c>
      <c r="AA3293" s="622">
        <v>50535</v>
      </c>
      <c r="AB3293" s="622" t="s">
        <v>164</v>
      </c>
      <c r="AC3293" s="622">
        <v>42161</v>
      </c>
      <c r="AD3293" s="623">
        <v>6.25E-2</v>
      </c>
      <c r="AE3293" s="621" t="s">
        <v>5875</v>
      </c>
    </row>
    <row r="3294" spans="1:31" s="572" customFormat="1">
      <c r="A3294" s="570" t="s">
        <v>5877</v>
      </c>
      <c r="B3294" s="573" t="s">
        <v>226</v>
      </c>
      <c r="C3294" s="578" t="s">
        <v>227</v>
      </c>
      <c r="D3294" s="573" t="s">
        <v>3374</v>
      </c>
      <c r="E3294" s="573" t="s">
        <v>187</v>
      </c>
      <c r="F3294" s="573" t="s">
        <v>3265</v>
      </c>
      <c r="G3294" s="573">
        <v>2019</v>
      </c>
      <c r="H3294" s="573" t="s">
        <v>5856</v>
      </c>
      <c r="I3294" s="573" t="s">
        <v>5450</v>
      </c>
      <c r="J3294" s="573" t="s">
        <v>3377</v>
      </c>
      <c r="K3294" s="573">
        <v>6</v>
      </c>
      <c r="L3294" s="573">
        <v>0</v>
      </c>
      <c r="M3294" s="573" t="s">
        <v>157</v>
      </c>
      <c r="N3294" s="573">
        <v>2</v>
      </c>
      <c r="O3294" s="573" t="s">
        <v>5405</v>
      </c>
      <c r="P3294" s="571">
        <v>17480</v>
      </c>
      <c r="Q3294" s="573" t="s">
        <v>4231</v>
      </c>
      <c r="R3294" s="573">
        <v>6</v>
      </c>
      <c r="S3294" s="582" t="s">
        <v>5867</v>
      </c>
      <c r="T3294" s="573" t="s">
        <v>5767</v>
      </c>
      <c r="U3294" s="573">
        <v>149</v>
      </c>
      <c r="V3294" s="573">
        <v>31</v>
      </c>
      <c r="W3294" s="616">
        <v>10500</v>
      </c>
      <c r="X3294" s="617" t="s">
        <v>157</v>
      </c>
      <c r="Y3294" s="617" t="s">
        <v>728</v>
      </c>
      <c r="Z3294" s="617" t="s">
        <v>1523</v>
      </c>
      <c r="AA3294" s="618">
        <v>47840</v>
      </c>
      <c r="AB3294" s="618" t="s">
        <v>164</v>
      </c>
      <c r="AC3294" s="618">
        <v>39719</v>
      </c>
      <c r="AD3294" s="619">
        <v>6.25E-2</v>
      </c>
      <c r="AE3294" s="617" t="s">
        <v>5878</v>
      </c>
    </row>
    <row r="3295" spans="1:31" s="572" customFormat="1">
      <c r="A3295" s="570" t="s">
        <v>5879</v>
      </c>
      <c r="B3295" s="569" t="s">
        <v>226</v>
      </c>
      <c r="C3295" s="580" t="s">
        <v>227</v>
      </c>
      <c r="D3295" s="569" t="s">
        <v>3374</v>
      </c>
      <c r="E3295" s="569" t="s">
        <v>187</v>
      </c>
      <c r="F3295" s="569" t="s">
        <v>3265</v>
      </c>
      <c r="G3295" s="569">
        <v>2019</v>
      </c>
      <c r="H3295" s="569" t="s">
        <v>5856</v>
      </c>
      <c r="I3295" s="569" t="s">
        <v>5450</v>
      </c>
      <c r="J3295" s="569" t="s">
        <v>3377</v>
      </c>
      <c r="K3295" s="569">
        <v>6</v>
      </c>
      <c r="L3295" s="569">
        <v>0</v>
      </c>
      <c r="M3295" s="569" t="s">
        <v>157</v>
      </c>
      <c r="N3295" s="569">
        <v>2</v>
      </c>
      <c r="O3295" s="569" t="s">
        <v>3846</v>
      </c>
      <c r="P3295" s="568">
        <v>11410</v>
      </c>
      <c r="Q3295" s="569" t="s">
        <v>5699</v>
      </c>
      <c r="R3295" s="569">
        <v>8</v>
      </c>
      <c r="S3295" s="569" t="s">
        <v>5881</v>
      </c>
      <c r="T3295" s="569" t="s">
        <v>5760</v>
      </c>
      <c r="U3295" s="569">
        <v>169</v>
      </c>
      <c r="V3295" s="569">
        <v>32</v>
      </c>
      <c r="W3295" s="620">
        <v>11000</v>
      </c>
      <c r="X3295" s="621" t="s">
        <v>157</v>
      </c>
      <c r="Y3295" s="621" t="s">
        <v>178</v>
      </c>
      <c r="Z3295" s="621" t="s">
        <v>178</v>
      </c>
      <c r="AA3295" s="622">
        <v>38840</v>
      </c>
      <c r="AB3295" s="622" t="s">
        <v>164</v>
      </c>
      <c r="AC3295" s="622">
        <v>31037</v>
      </c>
      <c r="AD3295" s="623">
        <v>6.25E-2</v>
      </c>
      <c r="AE3295" s="621" t="s">
        <v>5880</v>
      </c>
    </row>
    <row r="3296" spans="1:31" s="572" customFormat="1">
      <c r="A3296" s="570" t="s">
        <v>5882</v>
      </c>
      <c r="B3296" s="573" t="s">
        <v>226</v>
      </c>
      <c r="C3296" s="578" t="s">
        <v>227</v>
      </c>
      <c r="D3296" s="573" t="s">
        <v>3374</v>
      </c>
      <c r="E3296" s="573" t="s">
        <v>187</v>
      </c>
      <c r="F3296" s="573" t="s">
        <v>3265</v>
      </c>
      <c r="G3296" s="573">
        <v>2019</v>
      </c>
      <c r="H3296" s="573" t="s">
        <v>5856</v>
      </c>
      <c r="I3296" s="573" t="s">
        <v>5450</v>
      </c>
      <c r="J3296" s="573" t="s">
        <v>3377</v>
      </c>
      <c r="K3296" s="573">
        <v>6</v>
      </c>
      <c r="L3296" s="573">
        <v>0</v>
      </c>
      <c r="M3296" s="573" t="s">
        <v>157</v>
      </c>
      <c r="N3296" s="573">
        <v>2</v>
      </c>
      <c r="O3296" s="573" t="s">
        <v>3846</v>
      </c>
      <c r="P3296" s="571">
        <v>13410</v>
      </c>
      <c r="Q3296" s="573" t="s">
        <v>5884</v>
      </c>
      <c r="R3296" s="573">
        <v>8</v>
      </c>
      <c r="S3296" s="582" t="s">
        <v>5881</v>
      </c>
      <c r="T3296" s="573" t="s">
        <v>5760</v>
      </c>
      <c r="U3296" s="573">
        <v>169</v>
      </c>
      <c r="V3296" s="573">
        <v>32</v>
      </c>
      <c r="W3296" s="616">
        <v>11000</v>
      </c>
      <c r="X3296" s="617" t="s">
        <v>157</v>
      </c>
      <c r="Y3296" s="617" t="s">
        <v>5870</v>
      </c>
      <c r="Z3296" s="617" t="s">
        <v>5870</v>
      </c>
      <c r="AA3296" s="618">
        <v>38985</v>
      </c>
      <c r="AB3296" s="618" t="s">
        <v>164</v>
      </c>
      <c r="AC3296" s="618">
        <v>31182</v>
      </c>
      <c r="AD3296" s="619">
        <v>6.25E-2</v>
      </c>
      <c r="AE3296" s="617" t="s">
        <v>5883</v>
      </c>
    </row>
    <row r="3297" spans="1:31" s="572" customFormat="1">
      <c r="A3297" s="570" t="s">
        <v>5885</v>
      </c>
      <c r="B3297" s="569" t="s">
        <v>226</v>
      </c>
      <c r="C3297" s="580" t="s">
        <v>227</v>
      </c>
      <c r="D3297" s="569" t="s">
        <v>3374</v>
      </c>
      <c r="E3297" s="569" t="s">
        <v>187</v>
      </c>
      <c r="F3297" s="569" t="s">
        <v>3265</v>
      </c>
      <c r="G3297" s="569">
        <v>2019</v>
      </c>
      <c r="H3297" s="569" t="s">
        <v>5856</v>
      </c>
      <c r="I3297" s="569" t="s">
        <v>5450</v>
      </c>
      <c r="J3297" s="569" t="s">
        <v>3377</v>
      </c>
      <c r="K3297" s="569">
        <v>6</v>
      </c>
      <c r="L3297" s="569">
        <v>0</v>
      </c>
      <c r="M3297" s="569" t="s">
        <v>157</v>
      </c>
      <c r="N3297" s="569">
        <v>2</v>
      </c>
      <c r="O3297" s="569" t="s">
        <v>3846</v>
      </c>
      <c r="P3297" s="568">
        <v>15950</v>
      </c>
      <c r="Q3297" s="569" t="s">
        <v>5873</v>
      </c>
      <c r="R3297" s="569">
        <v>8</v>
      </c>
      <c r="S3297" s="569" t="s">
        <v>5881</v>
      </c>
      <c r="T3297" s="569" t="s">
        <v>931</v>
      </c>
      <c r="U3297" s="569">
        <v>169</v>
      </c>
      <c r="V3297" s="569">
        <v>32</v>
      </c>
      <c r="W3297" s="620">
        <v>11000</v>
      </c>
      <c r="X3297" s="621" t="s">
        <v>157</v>
      </c>
      <c r="Y3297" s="621" t="s">
        <v>5870</v>
      </c>
      <c r="Z3297" s="621" t="s">
        <v>5870</v>
      </c>
      <c r="AA3297" s="622">
        <v>39340</v>
      </c>
      <c r="AB3297" s="622" t="s">
        <v>164</v>
      </c>
      <c r="AC3297" s="622">
        <v>31490</v>
      </c>
      <c r="AD3297" s="623">
        <v>6.25E-2</v>
      </c>
      <c r="AE3297" s="621" t="s">
        <v>5886</v>
      </c>
    </row>
    <row r="3298" spans="1:31" s="572" customFormat="1">
      <c r="A3298" s="570" t="s">
        <v>5887</v>
      </c>
      <c r="B3298" s="573" t="s">
        <v>226</v>
      </c>
      <c r="C3298" s="578" t="s">
        <v>227</v>
      </c>
      <c r="D3298" s="573" t="s">
        <v>3374</v>
      </c>
      <c r="E3298" s="573" t="s">
        <v>187</v>
      </c>
      <c r="F3298" s="573" t="s">
        <v>3265</v>
      </c>
      <c r="G3298" s="573">
        <v>2019</v>
      </c>
      <c r="H3298" s="573" t="s">
        <v>5856</v>
      </c>
      <c r="I3298" s="573" t="s">
        <v>5450</v>
      </c>
      <c r="J3298" s="573" t="s">
        <v>3377</v>
      </c>
      <c r="K3298" s="573">
        <v>6</v>
      </c>
      <c r="L3298" s="573">
        <v>0</v>
      </c>
      <c r="M3298" s="573" t="s">
        <v>157</v>
      </c>
      <c r="N3298" s="573">
        <v>2</v>
      </c>
      <c r="O3298" s="573" t="s">
        <v>3846</v>
      </c>
      <c r="P3298" s="571">
        <v>17200</v>
      </c>
      <c r="Q3298" s="573" t="s">
        <v>4231</v>
      </c>
      <c r="R3298" s="573">
        <v>6</v>
      </c>
      <c r="S3298" s="582" t="s">
        <v>5881</v>
      </c>
      <c r="T3298" s="573" t="s">
        <v>5876</v>
      </c>
      <c r="U3298" s="573">
        <v>169</v>
      </c>
      <c r="V3298" s="573">
        <v>32</v>
      </c>
      <c r="W3298" s="616">
        <v>11000</v>
      </c>
      <c r="X3298" s="617" t="s">
        <v>157</v>
      </c>
      <c r="Y3298" s="617" t="s">
        <v>728</v>
      </c>
      <c r="Z3298" s="617" t="s">
        <v>1523</v>
      </c>
      <c r="AA3298" s="618">
        <v>50735</v>
      </c>
      <c r="AB3298" s="618" t="s">
        <v>164</v>
      </c>
      <c r="AC3298" s="618">
        <v>42337</v>
      </c>
      <c r="AD3298" s="619">
        <v>6.25E-2</v>
      </c>
      <c r="AE3298" s="617" t="s">
        <v>5888</v>
      </c>
    </row>
    <row r="3299" spans="1:31" s="572" customFormat="1">
      <c r="A3299" s="570" t="s">
        <v>5889</v>
      </c>
      <c r="B3299" s="569" t="s">
        <v>226</v>
      </c>
      <c r="C3299" s="580" t="s">
        <v>227</v>
      </c>
      <c r="D3299" s="569" t="s">
        <v>3374</v>
      </c>
      <c r="E3299" s="569" t="s">
        <v>187</v>
      </c>
      <c r="F3299" s="569" t="s">
        <v>3265</v>
      </c>
      <c r="G3299" s="569">
        <v>2019</v>
      </c>
      <c r="H3299" s="569" t="s">
        <v>5856</v>
      </c>
      <c r="I3299" s="569" t="s">
        <v>5450</v>
      </c>
      <c r="J3299" s="569" t="s">
        <v>3377</v>
      </c>
      <c r="K3299" s="569">
        <v>6</v>
      </c>
      <c r="L3299" s="569">
        <v>0</v>
      </c>
      <c r="M3299" s="569" t="s">
        <v>157</v>
      </c>
      <c r="N3299" s="569">
        <v>2</v>
      </c>
      <c r="O3299" s="569" t="s">
        <v>3846</v>
      </c>
      <c r="P3299" s="568">
        <v>17350</v>
      </c>
      <c r="Q3299" s="569" t="s">
        <v>4231</v>
      </c>
      <c r="R3299" s="569">
        <v>6</v>
      </c>
      <c r="S3299" s="569" t="s">
        <v>5881</v>
      </c>
      <c r="T3299" s="569" t="s">
        <v>5767</v>
      </c>
      <c r="U3299" s="569">
        <v>169</v>
      </c>
      <c r="V3299" s="569">
        <v>32</v>
      </c>
      <c r="W3299" s="620">
        <v>11000</v>
      </c>
      <c r="X3299" s="621" t="s">
        <v>157</v>
      </c>
      <c r="Y3299" s="621" t="s">
        <v>728</v>
      </c>
      <c r="Z3299" s="621" t="s">
        <v>1523</v>
      </c>
      <c r="AA3299" s="622">
        <v>48040</v>
      </c>
      <c r="AB3299" s="622" t="s">
        <v>164</v>
      </c>
      <c r="AC3299" s="622">
        <v>39895</v>
      </c>
      <c r="AD3299" s="623">
        <v>6.25E-2</v>
      </c>
      <c r="AE3299" s="621" t="s">
        <v>5890</v>
      </c>
    </row>
    <row r="3300" spans="1:31" s="572" customFormat="1">
      <c r="A3300" s="570" t="s">
        <v>5891</v>
      </c>
      <c r="B3300" s="573" t="s">
        <v>240</v>
      </c>
      <c r="C3300" s="578" t="s">
        <v>241</v>
      </c>
      <c r="D3300" s="573" t="s">
        <v>3374</v>
      </c>
      <c r="E3300" s="573" t="s">
        <v>187</v>
      </c>
      <c r="F3300" s="573" t="s">
        <v>3265</v>
      </c>
      <c r="G3300" s="573">
        <v>2018</v>
      </c>
      <c r="H3300" s="573" t="s">
        <v>5856</v>
      </c>
      <c r="I3300" s="573" t="s">
        <v>5450</v>
      </c>
      <c r="J3300" s="573" t="s">
        <v>3377</v>
      </c>
      <c r="K3300" s="573">
        <v>6</v>
      </c>
      <c r="L3300" s="573">
        <v>0</v>
      </c>
      <c r="M3300" s="573" t="s">
        <v>157</v>
      </c>
      <c r="N3300" s="573">
        <v>2</v>
      </c>
      <c r="O3300" s="573" t="s">
        <v>5405</v>
      </c>
      <c r="P3300" s="571">
        <v>11520</v>
      </c>
      <c r="Q3300" s="573" t="s">
        <v>5401</v>
      </c>
      <c r="R3300" s="573">
        <v>8</v>
      </c>
      <c r="S3300" s="582" t="s">
        <v>5867</v>
      </c>
      <c r="T3300" s="573" t="s">
        <v>5760</v>
      </c>
      <c r="U3300" s="573">
        <v>149</v>
      </c>
      <c r="V3300" s="573">
        <v>31</v>
      </c>
      <c r="W3300" s="616">
        <v>10500</v>
      </c>
      <c r="X3300" s="617" t="s">
        <v>157</v>
      </c>
      <c r="Y3300" s="617" t="s">
        <v>178</v>
      </c>
      <c r="Z3300" s="617" t="s">
        <v>178</v>
      </c>
      <c r="AA3300" s="618">
        <v>38955</v>
      </c>
      <c r="AB3300" s="618" t="s">
        <v>164</v>
      </c>
      <c r="AC3300" s="618">
        <v>25228</v>
      </c>
      <c r="AD3300" s="619">
        <v>0.05</v>
      </c>
      <c r="AE3300" s="617" t="s">
        <v>5892</v>
      </c>
    </row>
    <row r="3301" spans="1:31" s="572" customFormat="1">
      <c r="A3301" s="570" t="s">
        <v>5893</v>
      </c>
      <c r="B3301" s="569" t="s">
        <v>240</v>
      </c>
      <c r="C3301" s="580" t="s">
        <v>241</v>
      </c>
      <c r="D3301" s="569" t="s">
        <v>3374</v>
      </c>
      <c r="E3301" s="569" t="s">
        <v>187</v>
      </c>
      <c r="F3301" s="569" t="s">
        <v>3265</v>
      </c>
      <c r="G3301" s="569">
        <v>2018</v>
      </c>
      <c r="H3301" s="569" t="s">
        <v>5856</v>
      </c>
      <c r="I3301" s="569" t="s">
        <v>5450</v>
      </c>
      <c r="J3301" s="569" t="s">
        <v>3377</v>
      </c>
      <c r="K3301" s="569">
        <v>6</v>
      </c>
      <c r="L3301" s="569">
        <v>0</v>
      </c>
      <c r="M3301" s="569" t="s">
        <v>157</v>
      </c>
      <c r="N3301" s="569">
        <v>2</v>
      </c>
      <c r="O3301" s="569" t="s">
        <v>3846</v>
      </c>
      <c r="P3301" s="568">
        <v>11410</v>
      </c>
      <c r="Q3301" s="569" t="s">
        <v>5401</v>
      </c>
      <c r="R3301" s="569">
        <v>8</v>
      </c>
      <c r="S3301" s="569" t="s">
        <v>5881</v>
      </c>
      <c r="T3301" s="569" t="s">
        <v>5760</v>
      </c>
      <c r="U3301" s="569">
        <v>169</v>
      </c>
      <c r="V3301" s="569">
        <v>32</v>
      </c>
      <c r="W3301" s="620">
        <v>11000</v>
      </c>
      <c r="X3301" s="621" t="s">
        <v>157</v>
      </c>
      <c r="Y3301" s="621" t="s">
        <v>178</v>
      </c>
      <c r="Z3301" s="621" t="s">
        <v>178</v>
      </c>
      <c r="AA3301" s="622">
        <v>39155</v>
      </c>
      <c r="AB3301" s="622" t="s">
        <v>164</v>
      </c>
      <c r="AC3301" s="622">
        <v>25406</v>
      </c>
      <c r="AD3301" s="623">
        <v>0.05</v>
      </c>
      <c r="AE3301" s="621" t="s">
        <v>5894</v>
      </c>
    </row>
    <row r="3302" spans="1:31" s="572" customFormat="1">
      <c r="A3302" s="570" t="s">
        <v>5895</v>
      </c>
      <c r="B3302" s="573" t="s">
        <v>226</v>
      </c>
      <c r="C3302" s="578" t="s">
        <v>227</v>
      </c>
      <c r="D3302" s="573" t="s">
        <v>3374</v>
      </c>
      <c r="E3302" s="573" t="s">
        <v>187</v>
      </c>
      <c r="F3302" s="573" t="s">
        <v>3265</v>
      </c>
      <c r="G3302" s="573">
        <v>2019</v>
      </c>
      <c r="H3302" s="573" t="s">
        <v>5856</v>
      </c>
      <c r="I3302" s="573" t="s">
        <v>5450</v>
      </c>
      <c r="J3302" s="573" t="s">
        <v>752</v>
      </c>
      <c r="K3302" s="573">
        <v>6</v>
      </c>
      <c r="L3302" s="573">
        <v>0</v>
      </c>
      <c r="M3302" s="573" t="s">
        <v>157</v>
      </c>
      <c r="N3302" s="573">
        <v>2</v>
      </c>
      <c r="O3302" s="573" t="s">
        <v>5405</v>
      </c>
      <c r="P3302" s="571">
        <v>11200</v>
      </c>
      <c r="Q3302" s="573" t="s">
        <v>5699</v>
      </c>
      <c r="R3302" s="573">
        <v>8</v>
      </c>
      <c r="S3302" s="582" t="s">
        <v>5897</v>
      </c>
      <c r="T3302" s="573" t="s">
        <v>5760</v>
      </c>
      <c r="U3302" s="573">
        <v>149</v>
      </c>
      <c r="V3302" s="573">
        <v>31</v>
      </c>
      <c r="W3302" s="616">
        <v>10700</v>
      </c>
      <c r="X3302" s="617" t="s">
        <v>157</v>
      </c>
      <c r="Y3302" s="617" t="s">
        <v>178</v>
      </c>
      <c r="Z3302" s="617" t="s">
        <v>178</v>
      </c>
      <c r="AA3302" s="618">
        <v>41440</v>
      </c>
      <c r="AB3302" s="618" t="s">
        <v>164</v>
      </c>
      <c r="AC3302" s="618">
        <v>35182</v>
      </c>
      <c r="AD3302" s="619">
        <v>6.25E-2</v>
      </c>
      <c r="AE3302" s="617" t="s">
        <v>5896</v>
      </c>
    </row>
    <row r="3303" spans="1:31" s="572" customFormat="1">
      <c r="A3303" s="570" t="s">
        <v>5898</v>
      </c>
      <c r="B3303" s="569" t="s">
        <v>226</v>
      </c>
      <c r="C3303" s="580" t="s">
        <v>227</v>
      </c>
      <c r="D3303" s="569" t="s">
        <v>3374</v>
      </c>
      <c r="E3303" s="569" t="s">
        <v>187</v>
      </c>
      <c r="F3303" s="569" t="s">
        <v>3265</v>
      </c>
      <c r="G3303" s="569">
        <v>2019</v>
      </c>
      <c r="H3303" s="569" t="s">
        <v>5856</v>
      </c>
      <c r="I3303" s="569" t="s">
        <v>5450</v>
      </c>
      <c r="J3303" s="569" t="s">
        <v>752</v>
      </c>
      <c r="K3303" s="569">
        <v>6</v>
      </c>
      <c r="L3303" s="569">
        <v>0</v>
      </c>
      <c r="M3303" s="569" t="s">
        <v>157</v>
      </c>
      <c r="N3303" s="569">
        <v>2</v>
      </c>
      <c r="O3303" s="569" t="s">
        <v>5405</v>
      </c>
      <c r="P3303" s="568">
        <v>13200</v>
      </c>
      <c r="Q3303" s="569" t="s">
        <v>5826</v>
      </c>
      <c r="R3303" s="569">
        <v>8</v>
      </c>
      <c r="S3303" s="569" t="s">
        <v>5897</v>
      </c>
      <c r="T3303" s="569" t="s">
        <v>5760</v>
      </c>
      <c r="U3303" s="569">
        <v>149</v>
      </c>
      <c r="V3303" s="569">
        <v>31</v>
      </c>
      <c r="W3303" s="620">
        <v>10700</v>
      </c>
      <c r="X3303" s="621" t="s">
        <v>157</v>
      </c>
      <c r="Y3303" s="621" t="s">
        <v>5870</v>
      </c>
      <c r="Z3303" s="621" t="s">
        <v>5870</v>
      </c>
      <c r="AA3303" s="622">
        <v>41585</v>
      </c>
      <c r="AB3303" s="622" t="s">
        <v>164</v>
      </c>
      <c r="AC3303" s="622">
        <v>35327</v>
      </c>
      <c r="AD3303" s="623">
        <v>6.25E-2</v>
      </c>
      <c r="AE3303" s="621" t="s">
        <v>5899</v>
      </c>
    </row>
    <row r="3304" spans="1:31" s="572" customFormat="1">
      <c r="A3304" s="570" t="s">
        <v>5900</v>
      </c>
      <c r="B3304" s="573" t="s">
        <v>226</v>
      </c>
      <c r="C3304" s="578" t="s">
        <v>227</v>
      </c>
      <c r="D3304" s="573" t="s">
        <v>3374</v>
      </c>
      <c r="E3304" s="573" t="s">
        <v>187</v>
      </c>
      <c r="F3304" s="573" t="s">
        <v>3265</v>
      </c>
      <c r="G3304" s="573">
        <v>2019</v>
      </c>
      <c r="H3304" s="573" t="s">
        <v>5856</v>
      </c>
      <c r="I3304" s="573" t="s">
        <v>5450</v>
      </c>
      <c r="J3304" s="573" t="s">
        <v>752</v>
      </c>
      <c r="K3304" s="573">
        <v>6</v>
      </c>
      <c r="L3304" s="573">
        <v>0</v>
      </c>
      <c r="M3304" s="573" t="s">
        <v>157</v>
      </c>
      <c r="N3304" s="573">
        <v>2</v>
      </c>
      <c r="O3304" s="573" t="s">
        <v>5405</v>
      </c>
      <c r="P3304" s="571">
        <v>15620</v>
      </c>
      <c r="Q3304" s="573" t="s">
        <v>5873</v>
      </c>
      <c r="R3304" s="573">
        <v>8</v>
      </c>
      <c r="S3304" s="582" t="s">
        <v>5897</v>
      </c>
      <c r="T3304" s="573" t="s">
        <v>931</v>
      </c>
      <c r="U3304" s="573">
        <v>149</v>
      </c>
      <c r="V3304" s="573">
        <v>31</v>
      </c>
      <c r="W3304" s="616">
        <v>10700</v>
      </c>
      <c r="X3304" s="617" t="s">
        <v>157</v>
      </c>
      <c r="Y3304" s="617" t="s">
        <v>5870</v>
      </c>
      <c r="Z3304" s="617" t="s">
        <v>5870</v>
      </c>
      <c r="AA3304" s="618">
        <v>41940</v>
      </c>
      <c r="AB3304" s="618" t="s">
        <v>164</v>
      </c>
      <c r="AC3304" s="618">
        <v>36134</v>
      </c>
      <c r="AD3304" s="619">
        <v>6.25E-2</v>
      </c>
      <c r="AE3304" s="617" t="s">
        <v>5901</v>
      </c>
    </row>
    <row r="3305" spans="1:31" s="572" customFormat="1">
      <c r="A3305" s="570" t="s">
        <v>5902</v>
      </c>
      <c r="B3305" s="569" t="s">
        <v>226</v>
      </c>
      <c r="C3305" s="580" t="s">
        <v>227</v>
      </c>
      <c r="D3305" s="569" t="s">
        <v>3374</v>
      </c>
      <c r="E3305" s="569" t="s">
        <v>187</v>
      </c>
      <c r="F3305" s="569" t="s">
        <v>3265</v>
      </c>
      <c r="G3305" s="569">
        <v>2019</v>
      </c>
      <c r="H3305" s="569" t="s">
        <v>5856</v>
      </c>
      <c r="I3305" s="569" t="s">
        <v>5450</v>
      </c>
      <c r="J3305" s="569" t="s">
        <v>752</v>
      </c>
      <c r="K3305" s="569">
        <v>6</v>
      </c>
      <c r="L3305" s="569">
        <v>0</v>
      </c>
      <c r="M3305" s="569" t="s">
        <v>157</v>
      </c>
      <c r="N3305" s="569">
        <v>2</v>
      </c>
      <c r="O3305" s="569" t="s">
        <v>5405</v>
      </c>
      <c r="P3305" s="568">
        <v>17050</v>
      </c>
      <c r="Q3305" s="569" t="s">
        <v>4231</v>
      </c>
      <c r="R3305" s="569">
        <v>6</v>
      </c>
      <c r="S3305" s="569" t="s">
        <v>5897</v>
      </c>
      <c r="T3305" s="569" t="s">
        <v>5876</v>
      </c>
      <c r="U3305" s="569">
        <v>149</v>
      </c>
      <c r="V3305" s="569">
        <v>31</v>
      </c>
      <c r="W3305" s="620">
        <v>10700</v>
      </c>
      <c r="X3305" s="621" t="s">
        <v>157</v>
      </c>
      <c r="Y3305" s="621" t="s">
        <v>728</v>
      </c>
      <c r="Z3305" s="621" t="s">
        <v>1523</v>
      </c>
      <c r="AA3305" s="622">
        <v>53335</v>
      </c>
      <c r="AB3305" s="622" t="s">
        <v>164</v>
      </c>
      <c r="AC3305" s="622">
        <v>46776</v>
      </c>
      <c r="AD3305" s="623">
        <v>6.25E-2</v>
      </c>
      <c r="AE3305" s="621" t="s">
        <v>5903</v>
      </c>
    </row>
    <row r="3306" spans="1:31" s="572" customFormat="1">
      <c r="A3306" s="570" t="s">
        <v>5904</v>
      </c>
      <c r="B3306" s="573" t="s">
        <v>226</v>
      </c>
      <c r="C3306" s="578" t="s">
        <v>227</v>
      </c>
      <c r="D3306" s="573" t="s">
        <v>3374</v>
      </c>
      <c r="E3306" s="573" t="s">
        <v>187</v>
      </c>
      <c r="F3306" s="573" t="s">
        <v>3265</v>
      </c>
      <c r="G3306" s="573">
        <v>2019</v>
      </c>
      <c r="H3306" s="573" t="s">
        <v>5856</v>
      </c>
      <c r="I3306" s="573" t="s">
        <v>5450</v>
      </c>
      <c r="J3306" s="573" t="s">
        <v>752</v>
      </c>
      <c r="K3306" s="573">
        <v>6</v>
      </c>
      <c r="L3306" s="573">
        <v>0</v>
      </c>
      <c r="M3306" s="573" t="s">
        <v>157</v>
      </c>
      <c r="N3306" s="573">
        <v>2</v>
      </c>
      <c r="O3306" s="573" t="s">
        <v>5405</v>
      </c>
      <c r="P3306" s="571">
        <v>17200</v>
      </c>
      <c r="Q3306" s="573" t="s">
        <v>4231</v>
      </c>
      <c r="R3306" s="573">
        <v>6</v>
      </c>
      <c r="S3306" s="582" t="s">
        <v>5897</v>
      </c>
      <c r="T3306" s="573" t="s">
        <v>5767</v>
      </c>
      <c r="U3306" s="573">
        <v>149</v>
      </c>
      <c r="V3306" s="573">
        <v>31</v>
      </c>
      <c r="W3306" s="616">
        <v>10700</v>
      </c>
      <c r="X3306" s="617" t="s">
        <v>157</v>
      </c>
      <c r="Y3306" s="617" t="s">
        <v>728</v>
      </c>
      <c r="Z3306" s="617" t="s">
        <v>1523</v>
      </c>
      <c r="AA3306" s="618">
        <v>50640</v>
      </c>
      <c r="AB3306" s="618" t="s">
        <v>164</v>
      </c>
      <c r="AC3306" s="618">
        <v>44333</v>
      </c>
      <c r="AD3306" s="619">
        <v>6.25E-2</v>
      </c>
      <c r="AE3306" s="617" t="s">
        <v>5905</v>
      </c>
    </row>
    <row r="3307" spans="1:31" s="572" customFormat="1">
      <c r="A3307" s="570" t="s">
        <v>5906</v>
      </c>
      <c r="B3307" s="569" t="s">
        <v>226</v>
      </c>
      <c r="C3307" s="580" t="s">
        <v>227</v>
      </c>
      <c r="D3307" s="569" t="s">
        <v>3374</v>
      </c>
      <c r="E3307" s="569" t="s">
        <v>187</v>
      </c>
      <c r="F3307" s="569" t="s">
        <v>3265</v>
      </c>
      <c r="G3307" s="569">
        <v>2019</v>
      </c>
      <c r="H3307" s="569" t="s">
        <v>5856</v>
      </c>
      <c r="I3307" s="569" t="s">
        <v>5450</v>
      </c>
      <c r="J3307" s="569" t="s">
        <v>752</v>
      </c>
      <c r="K3307" s="569">
        <v>6</v>
      </c>
      <c r="L3307" s="569">
        <v>0</v>
      </c>
      <c r="M3307" s="569" t="s">
        <v>157</v>
      </c>
      <c r="N3307" s="569">
        <v>2</v>
      </c>
      <c r="O3307" s="569" t="s">
        <v>3846</v>
      </c>
      <c r="P3307" s="568">
        <v>11020</v>
      </c>
      <c r="Q3307" s="569" t="s">
        <v>5699</v>
      </c>
      <c r="R3307" s="569">
        <v>8</v>
      </c>
      <c r="S3307" s="569" t="s">
        <v>5908</v>
      </c>
      <c r="T3307" s="569" t="s">
        <v>5760</v>
      </c>
      <c r="U3307" s="569">
        <v>169</v>
      </c>
      <c r="V3307" s="569">
        <v>32</v>
      </c>
      <c r="W3307" s="620">
        <v>11300</v>
      </c>
      <c r="X3307" s="621" t="s">
        <v>157</v>
      </c>
      <c r="Y3307" s="621" t="s">
        <v>178</v>
      </c>
      <c r="Z3307" s="621" t="s">
        <v>178</v>
      </c>
      <c r="AA3307" s="622">
        <v>41640</v>
      </c>
      <c r="AB3307" s="622" t="s">
        <v>164</v>
      </c>
      <c r="AC3307" s="622">
        <v>35858</v>
      </c>
      <c r="AD3307" s="623">
        <v>6.25E-2</v>
      </c>
      <c r="AE3307" s="621" t="s">
        <v>5907</v>
      </c>
    </row>
    <row r="3308" spans="1:31" s="572" customFormat="1">
      <c r="A3308" s="570" t="s">
        <v>5909</v>
      </c>
      <c r="B3308" s="573" t="s">
        <v>226</v>
      </c>
      <c r="C3308" s="578" t="s">
        <v>227</v>
      </c>
      <c r="D3308" s="573" t="s">
        <v>3374</v>
      </c>
      <c r="E3308" s="573" t="s">
        <v>187</v>
      </c>
      <c r="F3308" s="573" t="s">
        <v>3265</v>
      </c>
      <c r="G3308" s="573">
        <v>2019</v>
      </c>
      <c r="H3308" s="573" t="s">
        <v>5856</v>
      </c>
      <c r="I3308" s="573" t="s">
        <v>5450</v>
      </c>
      <c r="J3308" s="573" t="s">
        <v>752</v>
      </c>
      <c r="K3308" s="573">
        <v>6</v>
      </c>
      <c r="L3308" s="573">
        <v>0</v>
      </c>
      <c r="M3308" s="573" t="s">
        <v>157</v>
      </c>
      <c r="N3308" s="573">
        <v>2</v>
      </c>
      <c r="O3308" s="573" t="s">
        <v>3846</v>
      </c>
      <c r="P3308" s="571">
        <v>13020</v>
      </c>
      <c r="Q3308" s="573" t="s">
        <v>5826</v>
      </c>
      <c r="R3308" s="573">
        <v>8</v>
      </c>
      <c r="S3308" s="582" t="s">
        <v>5908</v>
      </c>
      <c r="T3308" s="573" t="s">
        <v>5760</v>
      </c>
      <c r="U3308" s="573">
        <v>169</v>
      </c>
      <c r="V3308" s="573">
        <v>32</v>
      </c>
      <c r="W3308" s="616">
        <v>13300</v>
      </c>
      <c r="X3308" s="617" t="s">
        <v>157</v>
      </c>
      <c r="Y3308" s="617" t="s">
        <v>5870</v>
      </c>
      <c r="Z3308" s="617" t="s">
        <v>5870</v>
      </c>
      <c r="AA3308" s="618">
        <v>41785</v>
      </c>
      <c r="AB3308" s="618" t="s">
        <v>164</v>
      </c>
      <c r="AC3308" s="618">
        <v>36003</v>
      </c>
      <c r="AD3308" s="619">
        <v>6.25E-2</v>
      </c>
      <c r="AE3308" s="617" t="s">
        <v>5910</v>
      </c>
    </row>
    <row r="3309" spans="1:31" s="572" customFormat="1">
      <c r="A3309" s="570" t="s">
        <v>5911</v>
      </c>
      <c r="B3309" s="569" t="s">
        <v>226</v>
      </c>
      <c r="C3309" s="580" t="s">
        <v>227</v>
      </c>
      <c r="D3309" s="569" t="s">
        <v>3374</v>
      </c>
      <c r="E3309" s="569" t="s">
        <v>187</v>
      </c>
      <c r="F3309" s="569" t="s">
        <v>3265</v>
      </c>
      <c r="G3309" s="569">
        <v>2019</v>
      </c>
      <c r="H3309" s="569" t="s">
        <v>5856</v>
      </c>
      <c r="I3309" s="569" t="s">
        <v>5450</v>
      </c>
      <c r="J3309" s="569" t="s">
        <v>752</v>
      </c>
      <c r="K3309" s="569">
        <v>6</v>
      </c>
      <c r="L3309" s="569">
        <v>0</v>
      </c>
      <c r="M3309" s="569" t="s">
        <v>157</v>
      </c>
      <c r="N3309" s="569">
        <v>2</v>
      </c>
      <c r="O3309" s="569" t="s">
        <v>3846</v>
      </c>
      <c r="P3309" s="568">
        <v>15440</v>
      </c>
      <c r="Q3309" s="569" t="s">
        <v>5873</v>
      </c>
      <c r="R3309" s="569">
        <v>8</v>
      </c>
      <c r="S3309" s="569" t="s">
        <v>5908</v>
      </c>
      <c r="T3309" s="569" t="s">
        <v>931</v>
      </c>
      <c r="U3309" s="569">
        <v>169</v>
      </c>
      <c r="V3309" s="569">
        <v>32</v>
      </c>
      <c r="W3309" s="620">
        <v>11300</v>
      </c>
      <c r="X3309" s="621" t="s">
        <v>157</v>
      </c>
      <c r="Y3309" s="621" t="s">
        <v>5870</v>
      </c>
      <c r="Z3309" s="621" t="s">
        <v>5870</v>
      </c>
      <c r="AA3309" s="622">
        <v>42140</v>
      </c>
      <c r="AB3309" s="622" t="s">
        <v>164</v>
      </c>
      <c r="AC3309" s="622">
        <v>36311</v>
      </c>
      <c r="AD3309" s="623">
        <v>6.25E-2</v>
      </c>
      <c r="AE3309" s="621" t="s">
        <v>5912</v>
      </c>
    </row>
    <row r="3310" spans="1:31" s="572" customFormat="1">
      <c r="A3310" s="570" t="s">
        <v>5913</v>
      </c>
      <c r="B3310" s="573" t="s">
        <v>226</v>
      </c>
      <c r="C3310" s="578" t="s">
        <v>227</v>
      </c>
      <c r="D3310" s="573" t="s">
        <v>3374</v>
      </c>
      <c r="E3310" s="573" t="s">
        <v>187</v>
      </c>
      <c r="F3310" s="573" t="s">
        <v>3265</v>
      </c>
      <c r="G3310" s="573">
        <v>2019</v>
      </c>
      <c r="H3310" s="573" t="s">
        <v>5856</v>
      </c>
      <c r="I3310" s="573" t="s">
        <v>5450</v>
      </c>
      <c r="J3310" s="573" t="s">
        <v>752</v>
      </c>
      <c r="K3310" s="573">
        <v>6</v>
      </c>
      <c r="L3310" s="573">
        <v>0</v>
      </c>
      <c r="M3310" s="573" t="s">
        <v>157</v>
      </c>
      <c r="N3310" s="573">
        <v>2</v>
      </c>
      <c r="O3310" s="573" t="s">
        <v>3846</v>
      </c>
      <c r="P3310" s="571">
        <v>16850</v>
      </c>
      <c r="Q3310" s="573" t="s">
        <v>4231</v>
      </c>
      <c r="R3310" s="573">
        <v>6</v>
      </c>
      <c r="S3310" s="582" t="s">
        <v>5908</v>
      </c>
      <c r="T3310" s="573" t="s">
        <v>5876</v>
      </c>
      <c r="U3310" s="573">
        <v>169</v>
      </c>
      <c r="V3310" s="573">
        <v>32</v>
      </c>
      <c r="W3310" s="616">
        <v>13300</v>
      </c>
      <c r="X3310" s="617" t="s">
        <v>157</v>
      </c>
      <c r="Y3310" s="617" t="s">
        <v>728</v>
      </c>
      <c r="Z3310" s="617" t="s">
        <v>1523</v>
      </c>
      <c r="AA3310" s="618">
        <v>53535</v>
      </c>
      <c r="AB3310" s="618" t="s">
        <v>164</v>
      </c>
      <c r="AC3310" s="618">
        <v>46951</v>
      </c>
      <c r="AD3310" s="619">
        <v>6.25E-2</v>
      </c>
      <c r="AE3310" s="617" t="s">
        <v>5914</v>
      </c>
    </row>
    <row r="3311" spans="1:31" s="572" customFormat="1">
      <c r="A3311" s="570" t="s">
        <v>5915</v>
      </c>
      <c r="B3311" s="569" t="s">
        <v>226</v>
      </c>
      <c r="C3311" s="580" t="s">
        <v>227</v>
      </c>
      <c r="D3311" s="569" t="s">
        <v>3374</v>
      </c>
      <c r="E3311" s="569" t="s">
        <v>187</v>
      </c>
      <c r="F3311" s="569" t="s">
        <v>3265</v>
      </c>
      <c r="G3311" s="569">
        <v>2019</v>
      </c>
      <c r="H3311" s="569" t="s">
        <v>5856</v>
      </c>
      <c r="I3311" s="569" t="s">
        <v>5450</v>
      </c>
      <c r="J3311" s="569" t="s">
        <v>752</v>
      </c>
      <c r="K3311" s="569">
        <v>6</v>
      </c>
      <c r="L3311" s="569">
        <v>0</v>
      </c>
      <c r="M3311" s="569" t="s">
        <v>157</v>
      </c>
      <c r="N3311" s="569">
        <v>2</v>
      </c>
      <c r="O3311" s="569" t="s">
        <v>3846</v>
      </c>
      <c r="P3311" s="568">
        <v>16990</v>
      </c>
      <c r="Q3311" s="569" t="s">
        <v>4231</v>
      </c>
      <c r="R3311" s="569">
        <v>6</v>
      </c>
      <c r="S3311" s="569" t="s">
        <v>5908</v>
      </c>
      <c r="T3311" s="569" t="s">
        <v>5767</v>
      </c>
      <c r="U3311" s="569">
        <v>169</v>
      </c>
      <c r="V3311" s="569">
        <v>32</v>
      </c>
      <c r="W3311" s="620">
        <v>13300</v>
      </c>
      <c r="X3311" s="621" t="s">
        <v>157</v>
      </c>
      <c r="Y3311" s="621" t="s">
        <v>728</v>
      </c>
      <c r="Z3311" s="621" t="s">
        <v>1523</v>
      </c>
      <c r="AA3311" s="622">
        <v>50840</v>
      </c>
      <c r="AB3311" s="622" t="s">
        <v>164</v>
      </c>
      <c r="AC3311" s="622">
        <v>44504</v>
      </c>
      <c r="AD3311" s="623">
        <v>6.25E-2</v>
      </c>
      <c r="AE3311" s="621" t="s">
        <v>5916</v>
      </c>
    </row>
    <row r="3312" spans="1:31" s="572" customFormat="1">
      <c r="A3312" s="570" t="s">
        <v>5917</v>
      </c>
      <c r="B3312" s="573" t="s">
        <v>240</v>
      </c>
      <c r="C3312" s="578" t="s">
        <v>241</v>
      </c>
      <c r="D3312" s="573" t="s">
        <v>3374</v>
      </c>
      <c r="E3312" s="573" t="s">
        <v>187</v>
      </c>
      <c r="F3312" s="573" t="s">
        <v>3265</v>
      </c>
      <c r="G3312" s="573">
        <v>2018</v>
      </c>
      <c r="H3312" s="573" t="s">
        <v>5856</v>
      </c>
      <c r="I3312" s="573" t="s">
        <v>5450</v>
      </c>
      <c r="J3312" s="573" t="s">
        <v>752</v>
      </c>
      <c r="K3312" s="573">
        <v>6</v>
      </c>
      <c r="L3312" s="573">
        <v>0</v>
      </c>
      <c r="M3312" s="573" t="s">
        <v>157</v>
      </c>
      <c r="N3312" s="573">
        <v>2</v>
      </c>
      <c r="O3312" s="573" t="s">
        <v>5405</v>
      </c>
      <c r="P3312" s="571">
        <v>11200</v>
      </c>
      <c r="Q3312" s="573" t="s">
        <v>5401</v>
      </c>
      <c r="R3312" s="573">
        <v>8</v>
      </c>
      <c r="S3312" s="582" t="s">
        <v>5897</v>
      </c>
      <c r="T3312" s="573" t="s">
        <v>5760</v>
      </c>
      <c r="U3312" s="573">
        <v>149</v>
      </c>
      <c r="V3312" s="573">
        <v>31</v>
      </c>
      <c r="W3312" s="616">
        <v>10700</v>
      </c>
      <c r="X3312" s="617" t="s">
        <v>157</v>
      </c>
      <c r="Y3312" s="617" t="s">
        <v>178</v>
      </c>
      <c r="Z3312" s="617" t="s">
        <v>178</v>
      </c>
      <c r="AA3312" s="618">
        <v>41755</v>
      </c>
      <c r="AB3312" s="618" t="s">
        <v>164</v>
      </c>
      <c r="AC3312" s="618">
        <v>28441</v>
      </c>
      <c r="AD3312" s="619">
        <v>0.05</v>
      </c>
      <c r="AE3312" s="617" t="s">
        <v>5918</v>
      </c>
    </row>
    <row r="3313" spans="1:31" s="572" customFormat="1">
      <c r="A3313" s="570" t="s">
        <v>5919</v>
      </c>
      <c r="B3313" s="569" t="s">
        <v>240</v>
      </c>
      <c r="C3313" s="580" t="s">
        <v>241</v>
      </c>
      <c r="D3313" s="569" t="s">
        <v>3374</v>
      </c>
      <c r="E3313" s="569" t="s">
        <v>187</v>
      </c>
      <c r="F3313" s="569" t="s">
        <v>3265</v>
      </c>
      <c r="G3313" s="569">
        <v>2018</v>
      </c>
      <c r="H3313" s="569" t="s">
        <v>5856</v>
      </c>
      <c r="I3313" s="569" t="s">
        <v>5450</v>
      </c>
      <c r="J3313" s="569" t="s">
        <v>752</v>
      </c>
      <c r="K3313" s="569">
        <v>6</v>
      </c>
      <c r="L3313" s="569">
        <v>0</v>
      </c>
      <c r="M3313" s="569" t="s">
        <v>157</v>
      </c>
      <c r="N3313" s="569">
        <v>2</v>
      </c>
      <c r="O3313" s="569" t="s">
        <v>3846</v>
      </c>
      <c r="P3313" s="568">
        <v>11020</v>
      </c>
      <c r="Q3313" s="569" t="s">
        <v>5401</v>
      </c>
      <c r="R3313" s="569">
        <v>8</v>
      </c>
      <c r="S3313" s="569" t="s">
        <v>5908</v>
      </c>
      <c r="T3313" s="569" t="s">
        <v>5760</v>
      </c>
      <c r="U3313" s="569">
        <v>169</v>
      </c>
      <c r="V3313" s="569">
        <v>32</v>
      </c>
      <c r="W3313" s="620">
        <v>11300</v>
      </c>
      <c r="X3313" s="621" t="s">
        <v>157</v>
      </c>
      <c r="Y3313" s="621" t="s">
        <v>178</v>
      </c>
      <c r="Z3313" s="621" t="s">
        <v>178</v>
      </c>
      <c r="AA3313" s="622">
        <v>41955</v>
      </c>
      <c r="AB3313" s="622" t="s">
        <v>164</v>
      </c>
      <c r="AC3313" s="622">
        <v>28619</v>
      </c>
      <c r="AD3313" s="623">
        <v>0.05</v>
      </c>
      <c r="AE3313" s="621" t="s">
        <v>5920</v>
      </c>
    </row>
    <row r="3314" spans="1:31" s="572" customFormat="1">
      <c r="A3314" s="570" t="s">
        <v>5921</v>
      </c>
      <c r="B3314" s="573" t="s">
        <v>226</v>
      </c>
      <c r="C3314" s="578" t="s">
        <v>227</v>
      </c>
      <c r="D3314" s="573" t="s">
        <v>3374</v>
      </c>
      <c r="E3314" s="573" t="s">
        <v>187</v>
      </c>
      <c r="F3314" s="573" t="s">
        <v>3265</v>
      </c>
      <c r="G3314" s="573">
        <v>2019</v>
      </c>
      <c r="H3314" s="573" t="s">
        <v>5856</v>
      </c>
      <c r="I3314" s="573" t="s">
        <v>5481</v>
      </c>
      <c r="J3314" s="573" t="s">
        <v>3377</v>
      </c>
      <c r="K3314" s="573">
        <v>3</v>
      </c>
      <c r="L3314" s="573">
        <v>0</v>
      </c>
      <c r="M3314" s="573" t="s">
        <v>157</v>
      </c>
      <c r="N3314" s="573">
        <v>1</v>
      </c>
      <c r="O3314" s="573" t="s">
        <v>3846</v>
      </c>
      <c r="P3314" s="571">
        <v>11910</v>
      </c>
      <c r="Q3314" s="573" t="s">
        <v>5699</v>
      </c>
      <c r="R3314" s="573">
        <v>8</v>
      </c>
      <c r="S3314" s="582" t="s">
        <v>5923</v>
      </c>
      <c r="T3314" s="573" t="s">
        <v>5760</v>
      </c>
      <c r="U3314" s="573">
        <v>140</v>
      </c>
      <c r="V3314" s="573">
        <v>32</v>
      </c>
      <c r="W3314" s="616">
        <v>10100</v>
      </c>
      <c r="X3314" s="617" t="s">
        <v>157</v>
      </c>
      <c r="Y3314" s="617" t="s">
        <v>178</v>
      </c>
      <c r="Z3314" s="617" t="s">
        <v>178</v>
      </c>
      <c r="AA3314" s="618">
        <v>35040</v>
      </c>
      <c r="AB3314" s="618" t="s">
        <v>164</v>
      </c>
      <c r="AC3314" s="618">
        <v>28499</v>
      </c>
      <c r="AD3314" s="619">
        <v>6.25E-2</v>
      </c>
      <c r="AE3314" s="617" t="s">
        <v>5922</v>
      </c>
    </row>
    <row r="3315" spans="1:31" s="572" customFormat="1">
      <c r="A3315" s="570" t="s">
        <v>5924</v>
      </c>
      <c r="B3315" s="569" t="s">
        <v>226</v>
      </c>
      <c r="C3315" s="580" t="s">
        <v>227</v>
      </c>
      <c r="D3315" s="569" t="s">
        <v>3374</v>
      </c>
      <c r="E3315" s="569" t="s">
        <v>187</v>
      </c>
      <c r="F3315" s="569" t="s">
        <v>3265</v>
      </c>
      <c r="G3315" s="569">
        <v>2019</v>
      </c>
      <c r="H3315" s="569" t="s">
        <v>5856</v>
      </c>
      <c r="I3315" s="569" t="s">
        <v>5481</v>
      </c>
      <c r="J3315" s="569" t="s">
        <v>3377</v>
      </c>
      <c r="K3315" s="569">
        <v>3</v>
      </c>
      <c r="L3315" s="569">
        <v>0</v>
      </c>
      <c r="M3315" s="569" t="s">
        <v>157</v>
      </c>
      <c r="N3315" s="569">
        <v>1</v>
      </c>
      <c r="O3315" s="569" t="s">
        <v>3846</v>
      </c>
      <c r="P3315" s="568">
        <v>13910</v>
      </c>
      <c r="Q3315" s="569" t="s">
        <v>5826</v>
      </c>
      <c r="R3315" s="569">
        <v>8</v>
      </c>
      <c r="S3315" s="569" t="s">
        <v>5923</v>
      </c>
      <c r="T3315" s="569" t="s">
        <v>5760</v>
      </c>
      <c r="U3315" s="569">
        <v>140</v>
      </c>
      <c r="V3315" s="569">
        <v>32</v>
      </c>
      <c r="W3315" s="620">
        <v>10100</v>
      </c>
      <c r="X3315" s="621" t="s">
        <v>157</v>
      </c>
      <c r="Y3315" s="621" t="s">
        <v>5870</v>
      </c>
      <c r="Z3315" s="621" t="s">
        <v>5870</v>
      </c>
      <c r="AA3315" s="622">
        <v>35185</v>
      </c>
      <c r="AB3315" s="622" t="s">
        <v>164</v>
      </c>
      <c r="AC3315" s="622">
        <v>28644</v>
      </c>
      <c r="AD3315" s="623">
        <v>6.25E-2</v>
      </c>
      <c r="AE3315" s="621" t="s">
        <v>5925</v>
      </c>
    </row>
    <row r="3316" spans="1:31" s="572" customFormat="1">
      <c r="A3316" s="570" t="s">
        <v>5926</v>
      </c>
      <c r="B3316" s="573" t="s">
        <v>226</v>
      </c>
      <c r="C3316" s="578" t="s">
        <v>227</v>
      </c>
      <c r="D3316" s="573" t="s">
        <v>3374</v>
      </c>
      <c r="E3316" s="573" t="s">
        <v>187</v>
      </c>
      <c r="F3316" s="573" t="s">
        <v>3265</v>
      </c>
      <c r="G3316" s="573">
        <v>2019</v>
      </c>
      <c r="H3316" s="573" t="s">
        <v>5856</v>
      </c>
      <c r="I3316" s="573" t="s">
        <v>5481</v>
      </c>
      <c r="J3316" s="573" t="s">
        <v>3377</v>
      </c>
      <c r="K3316" s="573">
        <v>3</v>
      </c>
      <c r="L3316" s="573">
        <v>0</v>
      </c>
      <c r="M3316" s="573" t="s">
        <v>157</v>
      </c>
      <c r="N3316" s="573">
        <v>1</v>
      </c>
      <c r="O3316" s="573" t="s">
        <v>3846</v>
      </c>
      <c r="P3316" s="571">
        <v>16270</v>
      </c>
      <c r="Q3316" s="573" t="s">
        <v>5873</v>
      </c>
      <c r="R3316" s="573">
        <v>8</v>
      </c>
      <c r="S3316" s="582" t="s">
        <v>5923</v>
      </c>
      <c r="T3316" s="573" t="s">
        <v>931</v>
      </c>
      <c r="U3316" s="573">
        <v>140</v>
      </c>
      <c r="V3316" s="573">
        <v>32</v>
      </c>
      <c r="W3316" s="616">
        <v>10100</v>
      </c>
      <c r="X3316" s="617" t="s">
        <v>157</v>
      </c>
      <c r="Y3316" s="617" t="s">
        <v>5870</v>
      </c>
      <c r="Z3316" s="617" t="s">
        <v>5870</v>
      </c>
      <c r="AA3316" s="618">
        <v>35540</v>
      </c>
      <c r="AB3316" s="618" t="s">
        <v>164</v>
      </c>
      <c r="AC3316" s="618">
        <v>28951</v>
      </c>
      <c r="AD3316" s="619">
        <v>6.25E-2</v>
      </c>
      <c r="AE3316" s="617" t="s">
        <v>5927</v>
      </c>
    </row>
    <row r="3317" spans="1:31" s="572" customFormat="1">
      <c r="A3317" s="570" t="s">
        <v>5928</v>
      </c>
      <c r="B3317" s="569" t="s">
        <v>226</v>
      </c>
      <c r="C3317" s="580" t="s">
        <v>227</v>
      </c>
      <c r="D3317" s="569" t="s">
        <v>3374</v>
      </c>
      <c r="E3317" s="569" t="s">
        <v>187</v>
      </c>
      <c r="F3317" s="569" t="s">
        <v>3265</v>
      </c>
      <c r="G3317" s="569">
        <v>2019</v>
      </c>
      <c r="H3317" s="569" t="s">
        <v>5856</v>
      </c>
      <c r="I3317" s="569" t="s">
        <v>5481</v>
      </c>
      <c r="J3317" s="569" t="s">
        <v>3377</v>
      </c>
      <c r="K3317" s="569">
        <v>3</v>
      </c>
      <c r="L3317" s="569">
        <v>0</v>
      </c>
      <c r="M3317" s="569" t="s">
        <v>157</v>
      </c>
      <c r="N3317" s="569">
        <v>1</v>
      </c>
      <c r="O3317" s="569" t="s">
        <v>3846</v>
      </c>
      <c r="P3317" s="568">
        <v>17770</v>
      </c>
      <c r="Q3317" s="569" t="s">
        <v>4231</v>
      </c>
      <c r="R3317" s="569">
        <v>6</v>
      </c>
      <c r="S3317" s="569" t="s">
        <v>5923</v>
      </c>
      <c r="T3317" s="569" t="s">
        <v>5876</v>
      </c>
      <c r="U3317" s="569">
        <v>140</v>
      </c>
      <c r="V3317" s="569">
        <v>32</v>
      </c>
      <c r="W3317" s="620">
        <v>10100</v>
      </c>
      <c r="X3317" s="621" t="s">
        <v>157</v>
      </c>
      <c r="Y3317" s="621" t="s">
        <v>728</v>
      </c>
      <c r="Z3317" s="621" t="s">
        <v>1523</v>
      </c>
      <c r="AA3317" s="622">
        <v>46935</v>
      </c>
      <c r="AB3317" s="622" t="s">
        <v>164</v>
      </c>
      <c r="AC3317" s="622">
        <v>37673</v>
      </c>
      <c r="AD3317" s="623">
        <v>6.25E-2</v>
      </c>
      <c r="AE3317" s="621" t="s">
        <v>5929</v>
      </c>
    </row>
    <row r="3318" spans="1:31" s="572" customFormat="1">
      <c r="A3318" s="570" t="s">
        <v>5930</v>
      </c>
      <c r="B3318" s="573" t="s">
        <v>226</v>
      </c>
      <c r="C3318" s="578" t="s">
        <v>227</v>
      </c>
      <c r="D3318" s="573" t="s">
        <v>3374</v>
      </c>
      <c r="E3318" s="573" t="s">
        <v>187</v>
      </c>
      <c r="F3318" s="573" t="s">
        <v>3265</v>
      </c>
      <c r="G3318" s="573">
        <v>2019</v>
      </c>
      <c r="H3318" s="573" t="s">
        <v>5856</v>
      </c>
      <c r="I3318" s="573" t="s">
        <v>5481</v>
      </c>
      <c r="J3318" s="573" t="s">
        <v>3377</v>
      </c>
      <c r="K3318" s="573">
        <v>3</v>
      </c>
      <c r="L3318" s="573">
        <v>0</v>
      </c>
      <c r="M3318" s="573" t="s">
        <v>157</v>
      </c>
      <c r="N3318" s="573">
        <v>1</v>
      </c>
      <c r="O3318" s="573" t="s">
        <v>3846</v>
      </c>
      <c r="P3318" s="571">
        <v>17910</v>
      </c>
      <c r="Q3318" s="573" t="s">
        <v>4231</v>
      </c>
      <c r="R3318" s="573">
        <v>6</v>
      </c>
      <c r="S3318" s="582" t="s">
        <v>5923</v>
      </c>
      <c r="T3318" s="573" t="s">
        <v>5767</v>
      </c>
      <c r="U3318" s="573">
        <v>140</v>
      </c>
      <c r="V3318" s="573">
        <v>32</v>
      </c>
      <c r="W3318" s="616">
        <v>10100</v>
      </c>
      <c r="X3318" s="617" t="s">
        <v>157</v>
      </c>
      <c r="Y3318" s="617" t="s">
        <v>728</v>
      </c>
      <c r="Z3318" s="617" t="s">
        <v>1523</v>
      </c>
      <c r="AA3318" s="618">
        <v>44240</v>
      </c>
      <c r="AB3318" s="618" t="s">
        <v>164</v>
      </c>
      <c r="AC3318" s="618">
        <v>37666</v>
      </c>
      <c r="AD3318" s="619">
        <v>6.25E-2</v>
      </c>
      <c r="AE3318" s="617" t="s">
        <v>5931</v>
      </c>
    </row>
    <row r="3319" spans="1:31" s="572" customFormat="1">
      <c r="A3319" s="570" t="s">
        <v>5932</v>
      </c>
      <c r="B3319" s="569" t="s">
        <v>240</v>
      </c>
      <c r="C3319" s="580" t="s">
        <v>241</v>
      </c>
      <c r="D3319" s="569" t="s">
        <v>3374</v>
      </c>
      <c r="E3319" s="569" t="s">
        <v>187</v>
      </c>
      <c r="F3319" s="569" t="s">
        <v>3265</v>
      </c>
      <c r="G3319" s="569">
        <v>2018</v>
      </c>
      <c r="H3319" s="569" t="s">
        <v>5856</v>
      </c>
      <c r="I3319" s="569" t="s">
        <v>5481</v>
      </c>
      <c r="J3319" s="569" t="s">
        <v>3377</v>
      </c>
      <c r="K3319" s="569">
        <v>3</v>
      </c>
      <c r="L3319" s="569">
        <v>0</v>
      </c>
      <c r="M3319" s="569" t="s">
        <v>157</v>
      </c>
      <c r="N3319" s="569">
        <v>1</v>
      </c>
      <c r="O3319" s="569" t="s">
        <v>3846</v>
      </c>
      <c r="P3319" s="568">
        <v>11910</v>
      </c>
      <c r="Q3319" s="569" t="s">
        <v>5401</v>
      </c>
      <c r="R3319" s="569">
        <v>8</v>
      </c>
      <c r="S3319" s="569" t="s">
        <v>5923</v>
      </c>
      <c r="T3319" s="569" t="s">
        <v>5760</v>
      </c>
      <c r="U3319" s="569">
        <v>140</v>
      </c>
      <c r="V3319" s="569">
        <v>32</v>
      </c>
      <c r="W3319" s="620">
        <v>10100</v>
      </c>
      <c r="X3319" s="621" t="s">
        <v>157</v>
      </c>
      <c r="Y3319" s="621" t="s">
        <v>178</v>
      </c>
      <c r="Z3319" s="621" t="s">
        <v>178</v>
      </c>
      <c r="AA3319" s="622">
        <v>35135</v>
      </c>
      <c r="AB3319" s="622" t="s">
        <v>164</v>
      </c>
      <c r="AC3319" s="622">
        <v>22330</v>
      </c>
      <c r="AD3319" s="623">
        <v>0.05</v>
      </c>
      <c r="AE3319" s="621" t="s">
        <v>5933</v>
      </c>
    </row>
    <row r="3320" spans="1:31" s="572" customFormat="1">
      <c r="A3320" s="570" t="s">
        <v>5934</v>
      </c>
      <c r="B3320" s="573" t="s">
        <v>226</v>
      </c>
      <c r="C3320" s="578" t="s">
        <v>227</v>
      </c>
      <c r="D3320" s="573" t="s">
        <v>3374</v>
      </c>
      <c r="E3320" s="573" t="s">
        <v>187</v>
      </c>
      <c r="F3320" s="573" t="s">
        <v>3265</v>
      </c>
      <c r="G3320" s="573">
        <v>2019</v>
      </c>
      <c r="H3320" s="573" t="s">
        <v>5856</v>
      </c>
      <c r="I3320" s="573" t="s">
        <v>5481</v>
      </c>
      <c r="J3320" s="573" t="s">
        <v>752</v>
      </c>
      <c r="K3320" s="573">
        <v>3</v>
      </c>
      <c r="L3320" s="573">
        <v>0</v>
      </c>
      <c r="M3320" s="573" t="s">
        <v>157</v>
      </c>
      <c r="N3320" s="573">
        <v>1</v>
      </c>
      <c r="O3320" s="573" t="s">
        <v>3846</v>
      </c>
      <c r="P3320" s="571">
        <v>11560</v>
      </c>
      <c r="Q3320" s="573" t="s">
        <v>5699</v>
      </c>
      <c r="R3320" s="573">
        <v>8</v>
      </c>
      <c r="S3320" s="582" t="s">
        <v>5936</v>
      </c>
      <c r="T3320" s="573" t="s">
        <v>5760</v>
      </c>
      <c r="U3320" s="573">
        <v>140</v>
      </c>
      <c r="V3320" s="573">
        <v>32</v>
      </c>
      <c r="W3320" s="616">
        <v>10300</v>
      </c>
      <c r="X3320" s="617" t="s">
        <v>157</v>
      </c>
      <c r="Y3320" s="617" t="s">
        <v>178</v>
      </c>
      <c r="Z3320" s="617" t="s">
        <v>178</v>
      </c>
      <c r="AA3320" s="618">
        <v>37840</v>
      </c>
      <c r="AB3320" s="618" t="s">
        <v>164</v>
      </c>
      <c r="AC3320" s="618">
        <v>31171</v>
      </c>
      <c r="AD3320" s="619">
        <v>6.25E-2</v>
      </c>
      <c r="AE3320" s="617" t="s">
        <v>5935</v>
      </c>
    </row>
    <row r="3321" spans="1:31" s="572" customFormat="1">
      <c r="A3321" s="570" t="s">
        <v>5937</v>
      </c>
      <c r="B3321" s="569" t="s">
        <v>226</v>
      </c>
      <c r="C3321" s="580" t="s">
        <v>227</v>
      </c>
      <c r="D3321" s="569" t="s">
        <v>3374</v>
      </c>
      <c r="E3321" s="569" t="s">
        <v>187</v>
      </c>
      <c r="F3321" s="569" t="s">
        <v>3265</v>
      </c>
      <c r="G3321" s="569">
        <v>2019</v>
      </c>
      <c r="H3321" s="569" t="s">
        <v>5856</v>
      </c>
      <c r="I3321" s="569" t="s">
        <v>5481</v>
      </c>
      <c r="J3321" s="569" t="s">
        <v>752</v>
      </c>
      <c r="K3321" s="569">
        <v>3</v>
      </c>
      <c r="L3321" s="569">
        <v>0</v>
      </c>
      <c r="M3321" s="569" t="s">
        <v>157</v>
      </c>
      <c r="N3321" s="569">
        <v>1</v>
      </c>
      <c r="O3321" s="569" t="s">
        <v>3846</v>
      </c>
      <c r="P3321" s="568">
        <v>13560</v>
      </c>
      <c r="Q3321" s="569" t="s">
        <v>5826</v>
      </c>
      <c r="R3321" s="569">
        <v>8</v>
      </c>
      <c r="S3321" s="569" t="s">
        <v>5936</v>
      </c>
      <c r="T3321" s="569" t="s">
        <v>5760</v>
      </c>
      <c r="U3321" s="569">
        <v>140</v>
      </c>
      <c r="V3321" s="569">
        <v>32</v>
      </c>
      <c r="W3321" s="620">
        <v>10300</v>
      </c>
      <c r="X3321" s="621" t="s">
        <v>157</v>
      </c>
      <c r="Y3321" s="621" t="s">
        <v>5870</v>
      </c>
      <c r="Z3321" s="621" t="s">
        <v>5870</v>
      </c>
      <c r="AA3321" s="622">
        <v>37985</v>
      </c>
      <c r="AB3321" s="622" t="s">
        <v>164</v>
      </c>
      <c r="AC3321" s="622">
        <v>31316</v>
      </c>
      <c r="AD3321" s="623">
        <v>6.25E-2</v>
      </c>
      <c r="AE3321" s="621" t="s">
        <v>5938</v>
      </c>
    </row>
    <row r="3322" spans="1:31" s="572" customFormat="1">
      <c r="A3322" s="570" t="s">
        <v>5939</v>
      </c>
      <c r="B3322" s="573" t="s">
        <v>226</v>
      </c>
      <c r="C3322" s="578" t="s">
        <v>227</v>
      </c>
      <c r="D3322" s="573" t="s">
        <v>3374</v>
      </c>
      <c r="E3322" s="573" t="s">
        <v>187</v>
      </c>
      <c r="F3322" s="573" t="s">
        <v>3265</v>
      </c>
      <c r="G3322" s="573">
        <v>2019</v>
      </c>
      <c r="H3322" s="573" t="s">
        <v>5856</v>
      </c>
      <c r="I3322" s="573" t="s">
        <v>5481</v>
      </c>
      <c r="J3322" s="573" t="s">
        <v>752</v>
      </c>
      <c r="K3322" s="573">
        <v>3</v>
      </c>
      <c r="L3322" s="573">
        <v>0</v>
      </c>
      <c r="M3322" s="573" t="s">
        <v>157</v>
      </c>
      <c r="N3322" s="573">
        <v>1</v>
      </c>
      <c r="O3322" s="573" t="s">
        <v>3846</v>
      </c>
      <c r="P3322" s="571">
        <v>16140</v>
      </c>
      <c r="Q3322" s="573" t="s">
        <v>5873</v>
      </c>
      <c r="R3322" s="573">
        <v>8</v>
      </c>
      <c r="S3322" s="582" t="s">
        <v>5936</v>
      </c>
      <c r="T3322" s="573" t="s">
        <v>931</v>
      </c>
      <c r="U3322" s="573">
        <v>140</v>
      </c>
      <c r="V3322" s="573">
        <v>32</v>
      </c>
      <c r="W3322" s="616">
        <v>10300</v>
      </c>
      <c r="X3322" s="617" t="s">
        <v>157</v>
      </c>
      <c r="Y3322" s="617" t="s">
        <v>5870</v>
      </c>
      <c r="Z3322" s="617" t="s">
        <v>5870</v>
      </c>
      <c r="AA3322" s="618">
        <v>38340</v>
      </c>
      <c r="AB3322" s="618" t="s">
        <v>164</v>
      </c>
      <c r="AC3322" s="618">
        <v>31625</v>
      </c>
      <c r="AD3322" s="619">
        <v>6.25E-2</v>
      </c>
      <c r="AE3322" s="617" t="s">
        <v>5940</v>
      </c>
    </row>
    <row r="3323" spans="1:31" s="572" customFormat="1">
      <c r="A3323" s="570" t="s">
        <v>5941</v>
      </c>
      <c r="B3323" s="569" t="s">
        <v>226</v>
      </c>
      <c r="C3323" s="580" t="s">
        <v>227</v>
      </c>
      <c r="D3323" s="569" t="s">
        <v>3374</v>
      </c>
      <c r="E3323" s="569" t="s">
        <v>187</v>
      </c>
      <c r="F3323" s="569" t="s">
        <v>3265</v>
      </c>
      <c r="G3323" s="569">
        <v>2019</v>
      </c>
      <c r="H3323" s="569" t="s">
        <v>5856</v>
      </c>
      <c r="I3323" s="569" t="s">
        <v>5481</v>
      </c>
      <c r="J3323" s="569" t="s">
        <v>752</v>
      </c>
      <c r="K3323" s="569">
        <v>3</v>
      </c>
      <c r="L3323" s="569">
        <v>0</v>
      </c>
      <c r="M3323" s="569" t="s">
        <v>157</v>
      </c>
      <c r="N3323" s="569">
        <v>1</v>
      </c>
      <c r="O3323" s="569" t="s">
        <v>3846</v>
      </c>
      <c r="P3323" s="568">
        <v>17390</v>
      </c>
      <c r="Q3323" s="569" t="s">
        <v>4231</v>
      </c>
      <c r="R3323" s="569">
        <v>6</v>
      </c>
      <c r="S3323" s="569" t="s">
        <v>5936</v>
      </c>
      <c r="T3323" s="569" t="s">
        <v>5876</v>
      </c>
      <c r="U3323" s="569">
        <v>140</v>
      </c>
      <c r="V3323" s="569">
        <v>32</v>
      </c>
      <c r="W3323" s="620">
        <v>10300</v>
      </c>
      <c r="X3323" s="621" t="s">
        <v>157</v>
      </c>
      <c r="Y3323" s="621" t="s">
        <v>728</v>
      </c>
      <c r="Z3323" s="621" t="s">
        <v>1523</v>
      </c>
      <c r="AA3323" s="622">
        <v>49735</v>
      </c>
      <c r="AB3323" s="622" t="s">
        <v>164</v>
      </c>
      <c r="AC3323" s="622">
        <v>42368</v>
      </c>
      <c r="AD3323" s="623">
        <v>6.25E-2</v>
      </c>
      <c r="AE3323" s="621" t="s">
        <v>5942</v>
      </c>
    </row>
    <row r="3324" spans="1:31" s="572" customFormat="1">
      <c r="A3324" s="570" t="s">
        <v>5943</v>
      </c>
      <c r="B3324" s="573" t="s">
        <v>226</v>
      </c>
      <c r="C3324" s="578" t="s">
        <v>227</v>
      </c>
      <c r="D3324" s="573" t="s">
        <v>3374</v>
      </c>
      <c r="E3324" s="573" t="s">
        <v>187</v>
      </c>
      <c r="F3324" s="573" t="s">
        <v>3265</v>
      </c>
      <c r="G3324" s="573">
        <v>2019</v>
      </c>
      <c r="H3324" s="573" t="s">
        <v>5856</v>
      </c>
      <c r="I3324" s="573" t="s">
        <v>5481</v>
      </c>
      <c r="J3324" s="573" t="s">
        <v>752</v>
      </c>
      <c r="K3324" s="573">
        <v>3</v>
      </c>
      <c r="L3324" s="573">
        <v>0</v>
      </c>
      <c r="M3324" s="573" t="s">
        <v>157</v>
      </c>
      <c r="N3324" s="573">
        <v>1</v>
      </c>
      <c r="O3324" s="573" t="s">
        <v>3846</v>
      </c>
      <c r="P3324" s="571">
        <v>17540</v>
      </c>
      <c r="Q3324" s="573" t="s">
        <v>4231</v>
      </c>
      <c r="R3324" s="573">
        <v>6</v>
      </c>
      <c r="S3324" s="582" t="s">
        <v>5936</v>
      </c>
      <c r="T3324" s="573" t="s">
        <v>5767</v>
      </c>
      <c r="U3324" s="573">
        <v>140</v>
      </c>
      <c r="V3324" s="573">
        <v>32</v>
      </c>
      <c r="W3324" s="616">
        <v>10300</v>
      </c>
      <c r="X3324" s="617" t="s">
        <v>157</v>
      </c>
      <c r="Y3324" s="617" t="s">
        <v>728</v>
      </c>
      <c r="Z3324" s="617" t="s">
        <v>1523</v>
      </c>
      <c r="AA3324" s="618">
        <v>47040</v>
      </c>
      <c r="AB3324" s="618" t="s">
        <v>164</v>
      </c>
      <c r="AC3324" s="618">
        <v>39926</v>
      </c>
      <c r="AD3324" s="619">
        <v>6.25E-2</v>
      </c>
      <c r="AE3324" s="617" t="s">
        <v>5944</v>
      </c>
    </row>
    <row r="3325" spans="1:31" s="572" customFormat="1">
      <c r="A3325" s="570" t="s">
        <v>5945</v>
      </c>
      <c r="B3325" s="569" t="s">
        <v>240</v>
      </c>
      <c r="C3325" s="580" t="s">
        <v>241</v>
      </c>
      <c r="D3325" s="569" t="s">
        <v>3374</v>
      </c>
      <c r="E3325" s="569" t="s">
        <v>187</v>
      </c>
      <c r="F3325" s="569" t="s">
        <v>3265</v>
      </c>
      <c r="G3325" s="569">
        <v>2018</v>
      </c>
      <c r="H3325" s="569" t="s">
        <v>5856</v>
      </c>
      <c r="I3325" s="569" t="s">
        <v>5481</v>
      </c>
      <c r="J3325" s="569" t="s">
        <v>752</v>
      </c>
      <c r="K3325" s="569">
        <v>3</v>
      </c>
      <c r="L3325" s="569">
        <v>0</v>
      </c>
      <c r="M3325" s="569" t="s">
        <v>157</v>
      </c>
      <c r="N3325" s="569">
        <v>1</v>
      </c>
      <c r="O3325" s="569" t="s">
        <v>3846</v>
      </c>
      <c r="P3325" s="568">
        <v>11560</v>
      </c>
      <c r="Q3325" s="569" t="s">
        <v>5401</v>
      </c>
      <c r="R3325" s="569">
        <v>8</v>
      </c>
      <c r="S3325" s="569" t="s">
        <v>5936</v>
      </c>
      <c r="T3325" s="569" t="s">
        <v>5760</v>
      </c>
      <c r="U3325" s="569">
        <v>140</v>
      </c>
      <c r="V3325" s="569">
        <v>32</v>
      </c>
      <c r="W3325" s="620">
        <v>10300</v>
      </c>
      <c r="X3325" s="621" t="s">
        <v>157</v>
      </c>
      <c r="Y3325" s="621" t="s">
        <v>178</v>
      </c>
      <c r="Z3325" s="621" t="s">
        <v>178</v>
      </c>
      <c r="AA3325" s="622">
        <v>37935</v>
      </c>
      <c r="AB3325" s="622" t="s">
        <v>164</v>
      </c>
      <c r="AC3325" s="622">
        <v>25032</v>
      </c>
      <c r="AD3325" s="623">
        <v>0.05</v>
      </c>
      <c r="AE3325" s="621" t="s">
        <v>5946</v>
      </c>
    </row>
    <row r="3326" spans="1:31" s="572" customFormat="1">
      <c r="A3326" s="570" t="s">
        <v>5947</v>
      </c>
      <c r="B3326" s="573" t="s">
        <v>240</v>
      </c>
      <c r="C3326" s="578" t="s">
        <v>241</v>
      </c>
      <c r="D3326" s="573" t="s">
        <v>3374</v>
      </c>
      <c r="E3326" s="573" t="s">
        <v>1684</v>
      </c>
      <c r="F3326" s="573" t="s">
        <v>3265</v>
      </c>
      <c r="G3326" s="573">
        <v>2018</v>
      </c>
      <c r="H3326" s="573" t="s">
        <v>5949</v>
      </c>
      <c r="I3326" s="573" t="s">
        <v>5950</v>
      </c>
      <c r="J3326" s="573" t="s">
        <v>3377</v>
      </c>
      <c r="K3326" s="573">
        <v>6</v>
      </c>
      <c r="L3326" s="573">
        <v>0</v>
      </c>
      <c r="M3326" s="573" t="s">
        <v>157</v>
      </c>
      <c r="N3326" s="573">
        <v>2</v>
      </c>
      <c r="O3326" s="573" t="s">
        <v>157</v>
      </c>
      <c r="P3326" s="571">
        <v>14230</v>
      </c>
      <c r="Q3326" s="573" t="s">
        <v>5873</v>
      </c>
      <c r="R3326" s="573">
        <v>8</v>
      </c>
      <c r="S3326" s="582" t="s">
        <v>5951</v>
      </c>
      <c r="T3326" s="573" t="s">
        <v>931</v>
      </c>
      <c r="U3326" s="573">
        <v>172.4</v>
      </c>
      <c r="V3326" s="573">
        <v>52</v>
      </c>
      <c r="W3326" s="616">
        <v>13500</v>
      </c>
      <c r="X3326" s="617">
        <v>12</v>
      </c>
      <c r="Y3326" s="617" t="s">
        <v>178</v>
      </c>
      <c r="Z3326" s="617" t="s">
        <v>178</v>
      </c>
      <c r="AA3326" s="618">
        <v>38290</v>
      </c>
      <c r="AB3326" s="618" t="s">
        <v>164</v>
      </c>
      <c r="AC3326" s="618">
        <v>27725</v>
      </c>
      <c r="AD3326" s="619">
        <v>0.05</v>
      </c>
      <c r="AE3326" s="617" t="s">
        <v>5948</v>
      </c>
    </row>
    <row r="3327" spans="1:31" s="572" customFormat="1">
      <c r="A3327" s="570" t="s">
        <v>5952</v>
      </c>
      <c r="B3327" s="569" t="s">
        <v>240</v>
      </c>
      <c r="C3327" s="580" t="s">
        <v>241</v>
      </c>
      <c r="D3327" s="569" t="s">
        <v>3374</v>
      </c>
      <c r="E3327" s="569" t="s">
        <v>1684</v>
      </c>
      <c r="F3327" s="569" t="s">
        <v>3265</v>
      </c>
      <c r="G3327" s="569">
        <v>2018</v>
      </c>
      <c r="H3327" s="569" t="s">
        <v>5949</v>
      </c>
      <c r="I3327" s="569" t="s">
        <v>5950</v>
      </c>
      <c r="J3327" s="569" t="s">
        <v>3377</v>
      </c>
      <c r="K3327" s="569">
        <v>6</v>
      </c>
      <c r="L3327" s="569">
        <v>0</v>
      </c>
      <c r="M3327" s="569" t="s">
        <v>157</v>
      </c>
      <c r="N3327" s="569">
        <v>2</v>
      </c>
      <c r="O3327" s="569" t="s">
        <v>157</v>
      </c>
      <c r="P3327" s="568">
        <v>14610</v>
      </c>
      <c r="Q3327" s="569" t="s">
        <v>5873</v>
      </c>
      <c r="R3327" s="569">
        <v>8</v>
      </c>
      <c r="S3327" s="569" t="s">
        <v>5954</v>
      </c>
      <c r="T3327" s="569" t="s">
        <v>931</v>
      </c>
      <c r="U3327" s="569">
        <v>172.4</v>
      </c>
      <c r="V3327" s="569">
        <v>22</v>
      </c>
      <c r="W3327" s="620">
        <v>10000</v>
      </c>
      <c r="X3327" s="621">
        <v>13</v>
      </c>
      <c r="Y3327" s="621" t="s">
        <v>178</v>
      </c>
      <c r="Z3327" s="621" t="s">
        <v>178</v>
      </c>
      <c r="AA3327" s="622">
        <v>37890</v>
      </c>
      <c r="AB3327" s="622" t="s">
        <v>164</v>
      </c>
      <c r="AC3327" s="622">
        <v>27369</v>
      </c>
      <c r="AD3327" s="623">
        <v>0.05</v>
      </c>
      <c r="AE3327" s="621" t="s">
        <v>5953</v>
      </c>
    </row>
    <row r="3328" spans="1:31" s="572" customFormat="1">
      <c r="A3328" s="570" t="s">
        <v>5955</v>
      </c>
      <c r="B3328" s="573" t="s">
        <v>240</v>
      </c>
      <c r="C3328" s="578" t="s">
        <v>241</v>
      </c>
      <c r="D3328" s="573" t="s">
        <v>3374</v>
      </c>
      <c r="E3328" s="573" t="s">
        <v>1684</v>
      </c>
      <c r="F3328" s="573" t="s">
        <v>3265</v>
      </c>
      <c r="G3328" s="573">
        <v>2018</v>
      </c>
      <c r="H3328" s="573" t="s">
        <v>5949</v>
      </c>
      <c r="I3328" s="573" t="s">
        <v>5950</v>
      </c>
      <c r="J3328" s="573" t="s">
        <v>752</v>
      </c>
      <c r="K3328" s="573">
        <v>6</v>
      </c>
      <c r="L3328" s="573">
        <v>0</v>
      </c>
      <c r="M3328" s="573" t="s">
        <v>157</v>
      </c>
      <c r="N3328" s="573">
        <v>2</v>
      </c>
      <c r="O3328" s="573" t="s">
        <v>157</v>
      </c>
      <c r="P3328" s="571">
        <v>13950</v>
      </c>
      <c r="Q3328" s="573" t="s">
        <v>5873</v>
      </c>
      <c r="R3328" s="573">
        <v>8</v>
      </c>
      <c r="S3328" s="582" t="s">
        <v>5957</v>
      </c>
      <c r="T3328" s="573" t="s">
        <v>931</v>
      </c>
      <c r="U3328" s="573">
        <v>172.4</v>
      </c>
      <c r="V3328" s="573">
        <v>52</v>
      </c>
      <c r="W3328" s="616">
        <v>13500</v>
      </c>
      <c r="X3328" s="617">
        <v>12</v>
      </c>
      <c r="Y3328" s="617" t="s">
        <v>178</v>
      </c>
      <c r="Z3328" s="617" t="s">
        <v>178</v>
      </c>
      <c r="AA3328" s="618">
        <v>42140</v>
      </c>
      <c r="AB3328" s="618" t="s">
        <v>164</v>
      </c>
      <c r="AC3328" s="618">
        <v>28861</v>
      </c>
      <c r="AD3328" s="619">
        <v>0.05</v>
      </c>
      <c r="AE3328" s="617" t="s">
        <v>5956</v>
      </c>
    </row>
    <row r="3329" spans="1:31" s="572" customFormat="1">
      <c r="A3329" s="570" t="s">
        <v>5958</v>
      </c>
      <c r="B3329" s="569" t="s">
        <v>240</v>
      </c>
      <c r="C3329" s="580" t="s">
        <v>241</v>
      </c>
      <c r="D3329" s="569" t="s">
        <v>3374</v>
      </c>
      <c r="E3329" s="569" t="s">
        <v>1684</v>
      </c>
      <c r="F3329" s="569" t="s">
        <v>3265</v>
      </c>
      <c r="G3329" s="569">
        <v>2018</v>
      </c>
      <c r="H3329" s="569" t="s">
        <v>5949</v>
      </c>
      <c r="I3329" s="569" t="s">
        <v>5950</v>
      </c>
      <c r="J3329" s="569" t="s">
        <v>752</v>
      </c>
      <c r="K3329" s="569">
        <v>6</v>
      </c>
      <c r="L3329" s="569">
        <v>0</v>
      </c>
      <c r="M3329" s="569" t="s">
        <v>157</v>
      </c>
      <c r="N3329" s="569">
        <v>2</v>
      </c>
      <c r="O3329" s="569" t="s">
        <v>157</v>
      </c>
      <c r="P3329" s="568">
        <v>14290</v>
      </c>
      <c r="Q3329" s="569" t="s">
        <v>5873</v>
      </c>
      <c r="R3329" s="569">
        <v>8</v>
      </c>
      <c r="S3329" s="569" t="s">
        <v>5960</v>
      </c>
      <c r="T3329" s="569" t="s">
        <v>931</v>
      </c>
      <c r="U3329" s="569">
        <v>172.4</v>
      </c>
      <c r="V3329" s="569">
        <v>22</v>
      </c>
      <c r="W3329" s="620">
        <v>10000</v>
      </c>
      <c r="X3329" s="621">
        <v>12</v>
      </c>
      <c r="Y3329" s="621" t="s">
        <v>178</v>
      </c>
      <c r="Z3329" s="621" t="s">
        <v>178</v>
      </c>
      <c r="AA3329" s="622">
        <v>41740</v>
      </c>
      <c r="AB3329" s="622" t="s">
        <v>164</v>
      </c>
      <c r="AC3329" s="622">
        <v>28505</v>
      </c>
      <c r="AD3329" s="623">
        <v>0.05</v>
      </c>
      <c r="AE3329" s="621" t="s">
        <v>5959</v>
      </c>
    </row>
    <row r="3330" spans="1:31" s="572" customFormat="1">
      <c r="A3330" s="570" t="s">
        <v>5961</v>
      </c>
      <c r="B3330" s="573" t="s">
        <v>226</v>
      </c>
      <c r="C3330" s="578" t="s">
        <v>227</v>
      </c>
      <c r="D3330" s="573" t="s">
        <v>3374</v>
      </c>
      <c r="E3330" s="573" t="s">
        <v>1684</v>
      </c>
      <c r="F3330" s="573" t="s">
        <v>3265</v>
      </c>
      <c r="G3330" s="573">
        <v>2019</v>
      </c>
      <c r="H3330" s="573" t="s">
        <v>5949</v>
      </c>
      <c r="I3330" s="573" t="s">
        <v>5963</v>
      </c>
      <c r="J3330" s="573" t="s">
        <v>3377</v>
      </c>
      <c r="K3330" s="573">
        <v>3</v>
      </c>
      <c r="L3330" s="573">
        <v>0</v>
      </c>
      <c r="M3330" s="573" t="s">
        <v>157</v>
      </c>
      <c r="N3330" s="573">
        <v>1</v>
      </c>
      <c r="O3330" s="573" t="s">
        <v>157</v>
      </c>
      <c r="P3330" s="571">
        <v>14620</v>
      </c>
      <c r="Q3330" s="573" t="s">
        <v>5873</v>
      </c>
      <c r="R3330" s="573">
        <v>8</v>
      </c>
      <c r="S3330" s="582" t="s">
        <v>5964</v>
      </c>
      <c r="T3330" s="573" t="s">
        <v>931</v>
      </c>
      <c r="U3330" s="573">
        <v>167.5</v>
      </c>
      <c r="V3330" s="573">
        <v>52</v>
      </c>
      <c r="W3330" s="616">
        <v>13500</v>
      </c>
      <c r="X3330" s="617" t="s">
        <v>157</v>
      </c>
      <c r="Y3330" s="617" t="s">
        <v>178</v>
      </c>
      <c r="Z3330" s="617" t="s">
        <v>178</v>
      </c>
      <c r="AA3330" s="618">
        <v>35190</v>
      </c>
      <c r="AB3330" s="618" t="s">
        <v>164</v>
      </c>
      <c r="AC3330" s="618">
        <v>27737</v>
      </c>
      <c r="AD3330" s="619">
        <v>6.25E-2</v>
      </c>
      <c r="AE3330" s="617" t="s">
        <v>5962</v>
      </c>
    </row>
    <row r="3331" spans="1:31" s="572" customFormat="1">
      <c r="A3331" s="570" t="s">
        <v>5965</v>
      </c>
      <c r="B3331" s="569" t="s">
        <v>226</v>
      </c>
      <c r="C3331" s="580" t="s">
        <v>227</v>
      </c>
      <c r="D3331" s="569" t="s">
        <v>3374</v>
      </c>
      <c r="E3331" s="569" t="s">
        <v>1684</v>
      </c>
      <c r="F3331" s="569" t="s">
        <v>3265</v>
      </c>
      <c r="G3331" s="569">
        <v>2019</v>
      </c>
      <c r="H3331" s="569" t="s">
        <v>5949</v>
      </c>
      <c r="I3331" s="569" t="s">
        <v>5963</v>
      </c>
      <c r="J3331" s="569" t="s">
        <v>3377</v>
      </c>
      <c r="K3331" s="569">
        <v>3</v>
      </c>
      <c r="L3331" s="569">
        <v>0</v>
      </c>
      <c r="M3331" s="569" t="s">
        <v>157</v>
      </c>
      <c r="N3331" s="569">
        <v>1</v>
      </c>
      <c r="O3331" s="569" t="s">
        <v>157</v>
      </c>
      <c r="P3331" s="568">
        <v>14700</v>
      </c>
      <c r="Q3331" s="569" t="s">
        <v>5873</v>
      </c>
      <c r="R3331" s="569">
        <v>8</v>
      </c>
      <c r="S3331" s="569" t="s">
        <v>5967</v>
      </c>
      <c r="T3331" s="569" t="s">
        <v>931</v>
      </c>
      <c r="U3331" s="569">
        <v>143.5</v>
      </c>
      <c r="V3331" s="569">
        <v>52</v>
      </c>
      <c r="W3331" s="620">
        <v>13500</v>
      </c>
      <c r="X3331" s="621" t="s">
        <v>157</v>
      </c>
      <c r="Y3331" s="621" t="s">
        <v>178</v>
      </c>
      <c r="Z3331" s="621" t="s">
        <v>178</v>
      </c>
      <c r="AA3331" s="622">
        <v>34990</v>
      </c>
      <c r="AB3331" s="622" t="s">
        <v>164</v>
      </c>
      <c r="AC3331" s="622">
        <v>27562</v>
      </c>
      <c r="AD3331" s="623">
        <v>6.25E-2</v>
      </c>
      <c r="AE3331" s="621" t="s">
        <v>5966</v>
      </c>
    </row>
    <row r="3332" spans="1:31" s="572" customFormat="1">
      <c r="A3332" s="570" t="s">
        <v>5968</v>
      </c>
      <c r="B3332" s="573" t="s">
        <v>226</v>
      </c>
      <c r="C3332" s="578" t="s">
        <v>227</v>
      </c>
      <c r="D3332" s="573" t="s">
        <v>3374</v>
      </c>
      <c r="E3332" s="573" t="s">
        <v>1684</v>
      </c>
      <c r="F3332" s="573" t="s">
        <v>3265</v>
      </c>
      <c r="G3332" s="573">
        <v>2019</v>
      </c>
      <c r="H3332" s="573" t="s">
        <v>5949</v>
      </c>
      <c r="I3332" s="573" t="s">
        <v>5963</v>
      </c>
      <c r="J3332" s="573" t="s">
        <v>3377</v>
      </c>
      <c r="K3332" s="573">
        <v>3</v>
      </c>
      <c r="L3332" s="573">
        <v>0</v>
      </c>
      <c r="M3332" s="573" t="s">
        <v>157</v>
      </c>
      <c r="N3332" s="573">
        <v>1</v>
      </c>
      <c r="O3332" s="573" t="s">
        <v>157</v>
      </c>
      <c r="P3332" s="571">
        <v>15050</v>
      </c>
      <c r="Q3332" s="573" t="s">
        <v>5873</v>
      </c>
      <c r="R3332" s="573">
        <v>8</v>
      </c>
      <c r="S3332" s="582" t="s">
        <v>5970</v>
      </c>
      <c r="T3332" s="573" t="s">
        <v>931</v>
      </c>
      <c r="U3332" s="573">
        <v>143.5</v>
      </c>
      <c r="V3332" s="573">
        <v>22</v>
      </c>
      <c r="W3332" s="616">
        <v>10000</v>
      </c>
      <c r="X3332" s="617">
        <v>13</v>
      </c>
      <c r="Y3332" s="617" t="s">
        <v>178</v>
      </c>
      <c r="Z3332" s="617" t="s">
        <v>178</v>
      </c>
      <c r="AA3332" s="618">
        <v>34590</v>
      </c>
      <c r="AB3332" s="618" t="s">
        <v>164</v>
      </c>
      <c r="AC3332" s="618">
        <v>29434</v>
      </c>
      <c r="AD3332" s="619">
        <v>6.25E-2</v>
      </c>
      <c r="AE3332" s="617" t="s">
        <v>5969</v>
      </c>
    </row>
    <row r="3333" spans="1:31" s="572" customFormat="1">
      <c r="A3333" s="570" t="s">
        <v>5971</v>
      </c>
      <c r="B3333" s="569" t="s">
        <v>240</v>
      </c>
      <c r="C3333" s="580" t="s">
        <v>241</v>
      </c>
      <c r="D3333" s="569" t="s">
        <v>3374</v>
      </c>
      <c r="E3333" s="569" t="s">
        <v>1684</v>
      </c>
      <c r="F3333" s="569" t="s">
        <v>3265</v>
      </c>
      <c r="G3333" s="569">
        <v>2018</v>
      </c>
      <c r="H3333" s="569" t="s">
        <v>5949</v>
      </c>
      <c r="I3333" s="569" t="s">
        <v>5963</v>
      </c>
      <c r="J3333" s="569" t="s">
        <v>3377</v>
      </c>
      <c r="K3333" s="569">
        <v>3</v>
      </c>
      <c r="L3333" s="569">
        <v>0</v>
      </c>
      <c r="M3333" s="569" t="s">
        <v>157</v>
      </c>
      <c r="N3333" s="569">
        <v>1</v>
      </c>
      <c r="O3333" s="569" t="s">
        <v>157</v>
      </c>
      <c r="P3333" s="568">
        <v>14620</v>
      </c>
      <c r="Q3333" s="569" t="s">
        <v>5873</v>
      </c>
      <c r="R3333" s="569">
        <v>8</v>
      </c>
      <c r="S3333" s="569" t="s">
        <v>5964</v>
      </c>
      <c r="T3333" s="569" t="s">
        <v>931</v>
      </c>
      <c r="U3333" s="569">
        <v>167.5</v>
      </c>
      <c r="V3333" s="569">
        <v>52</v>
      </c>
      <c r="W3333" s="620">
        <v>13500</v>
      </c>
      <c r="X3333" s="621" t="s">
        <v>157</v>
      </c>
      <c r="Y3333" s="621" t="s">
        <v>178</v>
      </c>
      <c r="Z3333" s="621" t="s">
        <v>178</v>
      </c>
      <c r="AA3333" s="622">
        <v>35485</v>
      </c>
      <c r="AB3333" s="622" t="s">
        <v>164</v>
      </c>
      <c r="AC3333" s="622">
        <v>23776</v>
      </c>
      <c r="AD3333" s="623">
        <v>0.05</v>
      </c>
      <c r="AE3333" s="621" t="s">
        <v>5962</v>
      </c>
    </row>
    <row r="3334" spans="1:31" s="572" customFormat="1">
      <c r="A3334" s="570" t="s">
        <v>5972</v>
      </c>
      <c r="B3334" s="573" t="s">
        <v>240</v>
      </c>
      <c r="C3334" s="578" t="s">
        <v>241</v>
      </c>
      <c r="D3334" s="573" t="s">
        <v>3374</v>
      </c>
      <c r="E3334" s="573" t="s">
        <v>1684</v>
      </c>
      <c r="F3334" s="573" t="s">
        <v>3265</v>
      </c>
      <c r="G3334" s="573">
        <v>2018</v>
      </c>
      <c r="H3334" s="573" t="s">
        <v>5949</v>
      </c>
      <c r="I3334" s="573" t="s">
        <v>5963</v>
      </c>
      <c r="J3334" s="573" t="s">
        <v>3377</v>
      </c>
      <c r="K3334" s="573">
        <v>3</v>
      </c>
      <c r="L3334" s="573">
        <v>0</v>
      </c>
      <c r="M3334" s="573" t="s">
        <v>157</v>
      </c>
      <c r="N3334" s="573">
        <v>1</v>
      </c>
      <c r="O3334" s="573" t="s">
        <v>157</v>
      </c>
      <c r="P3334" s="571">
        <v>14700</v>
      </c>
      <c r="Q3334" s="573" t="s">
        <v>5873</v>
      </c>
      <c r="R3334" s="573">
        <v>8</v>
      </c>
      <c r="S3334" s="582" t="s">
        <v>5967</v>
      </c>
      <c r="T3334" s="573" t="s">
        <v>931</v>
      </c>
      <c r="U3334" s="573">
        <v>143.5</v>
      </c>
      <c r="V3334" s="573">
        <v>52</v>
      </c>
      <c r="W3334" s="616">
        <v>13500</v>
      </c>
      <c r="X3334" s="617" t="s">
        <v>157</v>
      </c>
      <c r="Y3334" s="617" t="s">
        <v>178</v>
      </c>
      <c r="Z3334" s="617" t="s">
        <v>178</v>
      </c>
      <c r="AA3334" s="618">
        <v>35285</v>
      </c>
      <c r="AB3334" s="618" t="s">
        <v>164</v>
      </c>
      <c r="AC3334" s="618">
        <v>23598</v>
      </c>
      <c r="AD3334" s="619">
        <v>0.05</v>
      </c>
      <c r="AE3334" s="617" t="s">
        <v>5966</v>
      </c>
    </row>
    <row r="3335" spans="1:31" s="572" customFormat="1">
      <c r="A3335" s="570" t="s">
        <v>5973</v>
      </c>
      <c r="B3335" s="569" t="s">
        <v>240</v>
      </c>
      <c r="C3335" s="580" t="s">
        <v>241</v>
      </c>
      <c r="D3335" s="569" t="s">
        <v>3374</v>
      </c>
      <c r="E3335" s="569" t="s">
        <v>1684</v>
      </c>
      <c r="F3335" s="569" t="s">
        <v>3265</v>
      </c>
      <c r="G3335" s="569">
        <v>2018</v>
      </c>
      <c r="H3335" s="569" t="s">
        <v>5949</v>
      </c>
      <c r="I3335" s="569" t="s">
        <v>5963</v>
      </c>
      <c r="J3335" s="569" t="s">
        <v>3377</v>
      </c>
      <c r="K3335" s="569">
        <v>3</v>
      </c>
      <c r="L3335" s="569">
        <v>0</v>
      </c>
      <c r="M3335" s="569" t="s">
        <v>157</v>
      </c>
      <c r="N3335" s="569">
        <v>1</v>
      </c>
      <c r="O3335" s="569" t="s">
        <v>157</v>
      </c>
      <c r="P3335" s="568">
        <v>15050</v>
      </c>
      <c r="Q3335" s="569" t="s">
        <v>5873</v>
      </c>
      <c r="R3335" s="569">
        <v>8</v>
      </c>
      <c r="S3335" s="569" t="s">
        <v>5970</v>
      </c>
      <c r="T3335" s="569" t="s">
        <v>931</v>
      </c>
      <c r="U3335" s="569">
        <v>143.5</v>
      </c>
      <c r="V3335" s="569">
        <v>22</v>
      </c>
      <c r="W3335" s="620">
        <v>10000</v>
      </c>
      <c r="X3335" s="621">
        <v>13</v>
      </c>
      <c r="Y3335" s="621" t="s">
        <v>178</v>
      </c>
      <c r="Z3335" s="621" t="s">
        <v>178</v>
      </c>
      <c r="AA3335" s="622">
        <v>34590</v>
      </c>
      <c r="AB3335" s="622" t="s">
        <v>164</v>
      </c>
      <c r="AC3335" s="622">
        <v>22972</v>
      </c>
      <c r="AD3335" s="623">
        <v>0.05</v>
      </c>
      <c r="AE3335" s="621" t="s">
        <v>5969</v>
      </c>
    </row>
    <row r="3336" spans="1:31" s="572" customFormat="1">
      <c r="A3336" s="570" t="s">
        <v>5974</v>
      </c>
      <c r="B3336" s="573" t="s">
        <v>226</v>
      </c>
      <c r="C3336" s="578" t="s">
        <v>227</v>
      </c>
      <c r="D3336" s="573" t="s">
        <v>3374</v>
      </c>
      <c r="E3336" s="573" t="s">
        <v>1684</v>
      </c>
      <c r="F3336" s="573" t="s">
        <v>3265</v>
      </c>
      <c r="G3336" s="573">
        <v>2019</v>
      </c>
      <c r="H3336" s="573" t="s">
        <v>5949</v>
      </c>
      <c r="I3336" s="573" t="s">
        <v>5963</v>
      </c>
      <c r="J3336" s="573" t="s">
        <v>752</v>
      </c>
      <c r="K3336" s="573">
        <v>3</v>
      </c>
      <c r="L3336" s="573">
        <v>0</v>
      </c>
      <c r="M3336" s="573" t="s">
        <v>157</v>
      </c>
      <c r="N3336" s="573">
        <v>1</v>
      </c>
      <c r="O3336" s="573" t="s">
        <v>157</v>
      </c>
      <c r="P3336" s="571">
        <v>14340</v>
      </c>
      <c r="Q3336" s="573" t="s">
        <v>5873</v>
      </c>
      <c r="R3336" s="573">
        <v>8</v>
      </c>
      <c r="S3336" s="582" t="s">
        <v>5976</v>
      </c>
      <c r="T3336" s="573" t="s">
        <v>931</v>
      </c>
      <c r="U3336" s="573">
        <v>167.5</v>
      </c>
      <c r="V3336" s="573">
        <v>52</v>
      </c>
      <c r="W3336" s="616">
        <v>13500</v>
      </c>
      <c r="X3336" s="617" t="s">
        <v>157</v>
      </c>
      <c r="Y3336" s="617" t="s">
        <v>178</v>
      </c>
      <c r="Z3336" s="617" t="s">
        <v>178</v>
      </c>
      <c r="AA3336" s="618">
        <v>38440</v>
      </c>
      <c r="AB3336" s="618" t="s">
        <v>164</v>
      </c>
      <c r="AC3336" s="618">
        <v>29672</v>
      </c>
      <c r="AD3336" s="619">
        <v>6.25E-2</v>
      </c>
      <c r="AE3336" s="617" t="s">
        <v>5975</v>
      </c>
    </row>
    <row r="3337" spans="1:31" s="572" customFormat="1">
      <c r="A3337" s="570" t="s">
        <v>5977</v>
      </c>
      <c r="B3337" s="569" t="s">
        <v>226</v>
      </c>
      <c r="C3337" s="580" t="s">
        <v>227</v>
      </c>
      <c r="D3337" s="569" t="s">
        <v>3374</v>
      </c>
      <c r="E3337" s="569" t="s">
        <v>1684</v>
      </c>
      <c r="F3337" s="569" t="s">
        <v>3265</v>
      </c>
      <c r="G3337" s="569">
        <v>2019</v>
      </c>
      <c r="H3337" s="569" t="s">
        <v>5949</v>
      </c>
      <c r="I3337" s="569" t="s">
        <v>5963</v>
      </c>
      <c r="J3337" s="569" t="s">
        <v>752</v>
      </c>
      <c r="K3337" s="569">
        <v>3</v>
      </c>
      <c r="L3337" s="569">
        <v>0</v>
      </c>
      <c r="M3337" s="569" t="s">
        <v>157</v>
      </c>
      <c r="N3337" s="569">
        <v>1</v>
      </c>
      <c r="O3337" s="569" t="s">
        <v>157</v>
      </c>
      <c r="P3337" s="568">
        <v>14470</v>
      </c>
      <c r="Q3337" s="569" t="s">
        <v>5873</v>
      </c>
      <c r="R3337" s="569">
        <v>8</v>
      </c>
      <c r="S3337" s="569" t="s">
        <v>5979</v>
      </c>
      <c r="T3337" s="569" t="s">
        <v>931</v>
      </c>
      <c r="U3337" s="569">
        <v>143.5</v>
      </c>
      <c r="V3337" s="569">
        <v>52</v>
      </c>
      <c r="W3337" s="620">
        <v>13500</v>
      </c>
      <c r="X3337" s="621" t="s">
        <v>157</v>
      </c>
      <c r="Y3337" s="621" t="s">
        <v>178</v>
      </c>
      <c r="Z3337" s="621" t="s">
        <v>178</v>
      </c>
      <c r="AA3337" s="622">
        <v>38240</v>
      </c>
      <c r="AB3337" s="622" t="s">
        <v>164</v>
      </c>
      <c r="AC3337" s="622">
        <v>29495</v>
      </c>
      <c r="AD3337" s="623">
        <v>6.25E-2</v>
      </c>
      <c r="AE3337" s="621" t="s">
        <v>5978</v>
      </c>
    </row>
    <row r="3338" spans="1:31" s="572" customFormat="1">
      <c r="A3338" s="570" t="s">
        <v>5980</v>
      </c>
      <c r="B3338" s="573" t="s">
        <v>226</v>
      </c>
      <c r="C3338" s="578" t="s">
        <v>227</v>
      </c>
      <c r="D3338" s="573" t="s">
        <v>3374</v>
      </c>
      <c r="E3338" s="573" t="s">
        <v>1684</v>
      </c>
      <c r="F3338" s="573" t="s">
        <v>3265</v>
      </c>
      <c r="G3338" s="573">
        <v>2019</v>
      </c>
      <c r="H3338" s="573" t="s">
        <v>5949</v>
      </c>
      <c r="I3338" s="573" t="s">
        <v>5963</v>
      </c>
      <c r="J3338" s="573" t="s">
        <v>752</v>
      </c>
      <c r="K3338" s="573">
        <v>3</v>
      </c>
      <c r="L3338" s="573">
        <v>0</v>
      </c>
      <c r="M3338" s="573" t="s">
        <v>157</v>
      </c>
      <c r="N3338" s="573">
        <v>1</v>
      </c>
      <c r="O3338" s="573" t="s">
        <v>157</v>
      </c>
      <c r="P3338" s="571">
        <v>14810</v>
      </c>
      <c r="Q3338" s="573" t="s">
        <v>5873</v>
      </c>
      <c r="R3338" s="573">
        <v>8</v>
      </c>
      <c r="S3338" s="582" t="s">
        <v>5982</v>
      </c>
      <c r="T3338" s="573" t="s">
        <v>931</v>
      </c>
      <c r="U3338" s="573">
        <v>143.5</v>
      </c>
      <c r="V3338" s="573">
        <v>22</v>
      </c>
      <c r="W3338" s="616">
        <v>10000</v>
      </c>
      <c r="X3338" s="617">
        <v>12</v>
      </c>
      <c r="Y3338" s="617" t="s">
        <v>178</v>
      </c>
      <c r="Z3338" s="617" t="s">
        <v>178</v>
      </c>
      <c r="AA3338" s="618">
        <v>37840</v>
      </c>
      <c r="AB3338" s="618" t="s">
        <v>164</v>
      </c>
      <c r="AC3338" s="618">
        <v>31669</v>
      </c>
      <c r="AD3338" s="619">
        <v>6.25E-2</v>
      </c>
      <c r="AE3338" s="617" t="s">
        <v>5981</v>
      </c>
    </row>
    <row r="3339" spans="1:31" s="572" customFormat="1">
      <c r="A3339" s="570" t="s">
        <v>5983</v>
      </c>
      <c r="B3339" s="569" t="s">
        <v>240</v>
      </c>
      <c r="C3339" s="580" t="s">
        <v>241</v>
      </c>
      <c r="D3339" s="569" t="s">
        <v>3374</v>
      </c>
      <c r="E3339" s="569" t="s">
        <v>1684</v>
      </c>
      <c r="F3339" s="569" t="s">
        <v>3265</v>
      </c>
      <c r="G3339" s="569">
        <v>2018</v>
      </c>
      <c r="H3339" s="569" t="s">
        <v>5949</v>
      </c>
      <c r="I3339" s="569" t="s">
        <v>5963</v>
      </c>
      <c r="J3339" s="569" t="s">
        <v>752</v>
      </c>
      <c r="K3339" s="569">
        <v>3</v>
      </c>
      <c r="L3339" s="569">
        <v>0</v>
      </c>
      <c r="M3339" s="569" t="s">
        <v>157</v>
      </c>
      <c r="N3339" s="569">
        <v>1</v>
      </c>
      <c r="O3339" s="569" t="s">
        <v>157</v>
      </c>
      <c r="P3339" s="568">
        <v>14340</v>
      </c>
      <c r="Q3339" s="569" t="s">
        <v>5873</v>
      </c>
      <c r="R3339" s="569">
        <v>8</v>
      </c>
      <c r="S3339" s="569" t="s">
        <v>5976</v>
      </c>
      <c r="T3339" s="569" t="s">
        <v>931</v>
      </c>
      <c r="U3339" s="569">
        <v>167.5</v>
      </c>
      <c r="V3339" s="569">
        <v>52</v>
      </c>
      <c r="W3339" s="620">
        <v>13500</v>
      </c>
      <c r="X3339" s="621" t="s">
        <v>157</v>
      </c>
      <c r="Y3339" s="621" t="s">
        <v>178</v>
      </c>
      <c r="Z3339" s="621" t="s">
        <v>178</v>
      </c>
      <c r="AA3339" s="622">
        <v>38440</v>
      </c>
      <c r="AB3339" s="622" t="s">
        <v>164</v>
      </c>
      <c r="AC3339" s="622">
        <v>25670</v>
      </c>
      <c r="AD3339" s="623">
        <v>0.05</v>
      </c>
      <c r="AE3339" s="621" t="s">
        <v>5975</v>
      </c>
    </row>
    <row r="3340" spans="1:31" s="572" customFormat="1">
      <c r="A3340" s="570" t="s">
        <v>5984</v>
      </c>
      <c r="B3340" s="573" t="s">
        <v>240</v>
      </c>
      <c r="C3340" s="578" t="s">
        <v>241</v>
      </c>
      <c r="D3340" s="573" t="s">
        <v>3374</v>
      </c>
      <c r="E3340" s="573" t="s">
        <v>1684</v>
      </c>
      <c r="F3340" s="573" t="s">
        <v>3265</v>
      </c>
      <c r="G3340" s="573">
        <v>2018</v>
      </c>
      <c r="H3340" s="573" t="s">
        <v>5949</v>
      </c>
      <c r="I3340" s="573" t="s">
        <v>5963</v>
      </c>
      <c r="J3340" s="573" t="s">
        <v>752</v>
      </c>
      <c r="K3340" s="573">
        <v>3</v>
      </c>
      <c r="L3340" s="573">
        <v>0</v>
      </c>
      <c r="M3340" s="573" t="s">
        <v>157</v>
      </c>
      <c r="N3340" s="573">
        <v>1</v>
      </c>
      <c r="O3340" s="573" t="s">
        <v>157</v>
      </c>
      <c r="P3340" s="571">
        <v>14470</v>
      </c>
      <c r="Q3340" s="573" t="s">
        <v>5873</v>
      </c>
      <c r="R3340" s="573">
        <v>8</v>
      </c>
      <c r="S3340" s="582" t="s">
        <v>5979</v>
      </c>
      <c r="T3340" s="573" t="s">
        <v>931</v>
      </c>
      <c r="U3340" s="573">
        <v>143.5</v>
      </c>
      <c r="V3340" s="573">
        <v>52</v>
      </c>
      <c r="W3340" s="616">
        <v>13500</v>
      </c>
      <c r="X3340" s="617" t="s">
        <v>157</v>
      </c>
      <c r="Y3340" s="617" t="s">
        <v>178</v>
      </c>
      <c r="Z3340" s="617" t="s">
        <v>178</v>
      </c>
      <c r="AA3340" s="618">
        <v>38240</v>
      </c>
      <c r="AB3340" s="618" t="s">
        <v>164</v>
      </c>
      <c r="AC3340" s="618">
        <v>25492</v>
      </c>
      <c r="AD3340" s="619">
        <v>0.05</v>
      </c>
      <c r="AE3340" s="617" t="s">
        <v>5978</v>
      </c>
    </row>
    <row r="3341" spans="1:31" s="572" customFormat="1">
      <c r="A3341" s="570" t="s">
        <v>5985</v>
      </c>
      <c r="B3341" s="569" t="s">
        <v>240</v>
      </c>
      <c r="C3341" s="580" t="s">
        <v>241</v>
      </c>
      <c r="D3341" s="569" t="s">
        <v>3374</v>
      </c>
      <c r="E3341" s="569" t="s">
        <v>1684</v>
      </c>
      <c r="F3341" s="569" t="s">
        <v>3265</v>
      </c>
      <c r="G3341" s="569">
        <v>2018</v>
      </c>
      <c r="H3341" s="569" t="s">
        <v>5949</v>
      </c>
      <c r="I3341" s="569" t="s">
        <v>5963</v>
      </c>
      <c r="J3341" s="569" t="s">
        <v>752</v>
      </c>
      <c r="K3341" s="569">
        <v>3</v>
      </c>
      <c r="L3341" s="569">
        <v>0</v>
      </c>
      <c r="M3341" s="569" t="s">
        <v>157</v>
      </c>
      <c r="N3341" s="569">
        <v>1</v>
      </c>
      <c r="O3341" s="569" t="s">
        <v>157</v>
      </c>
      <c r="P3341" s="568">
        <v>14810</v>
      </c>
      <c r="Q3341" s="569" t="s">
        <v>5873</v>
      </c>
      <c r="R3341" s="569">
        <v>8</v>
      </c>
      <c r="S3341" s="569" t="s">
        <v>5982</v>
      </c>
      <c r="T3341" s="569" t="s">
        <v>931</v>
      </c>
      <c r="U3341" s="569">
        <v>143.5</v>
      </c>
      <c r="V3341" s="569">
        <v>22</v>
      </c>
      <c r="W3341" s="620">
        <v>10000</v>
      </c>
      <c r="X3341" s="621">
        <v>12</v>
      </c>
      <c r="Y3341" s="621" t="s">
        <v>178</v>
      </c>
      <c r="Z3341" s="621" t="s">
        <v>178</v>
      </c>
      <c r="AA3341" s="622">
        <v>37840</v>
      </c>
      <c r="AB3341" s="622" t="s">
        <v>164</v>
      </c>
      <c r="AC3341" s="622">
        <v>25135</v>
      </c>
      <c r="AD3341" s="623">
        <v>0.05</v>
      </c>
      <c r="AE3341" s="621" t="s">
        <v>5981</v>
      </c>
    </row>
    <row r="3342" spans="1:31" s="572" customFormat="1">
      <c r="A3342" s="570" t="s">
        <v>5986</v>
      </c>
      <c r="B3342" s="573" t="s">
        <v>226</v>
      </c>
      <c r="C3342" s="578" t="s">
        <v>227</v>
      </c>
      <c r="D3342" s="573" t="s">
        <v>3374</v>
      </c>
      <c r="E3342" s="573" t="s">
        <v>1684</v>
      </c>
      <c r="F3342" s="573" t="s">
        <v>3265</v>
      </c>
      <c r="G3342" s="573">
        <v>2019</v>
      </c>
      <c r="H3342" s="573" t="s">
        <v>5949</v>
      </c>
      <c r="I3342" s="573" t="s">
        <v>5450</v>
      </c>
      <c r="J3342" s="573" t="s">
        <v>3377</v>
      </c>
      <c r="K3342" s="573">
        <v>6</v>
      </c>
      <c r="L3342" s="573">
        <v>0</v>
      </c>
      <c r="M3342" s="573" t="s">
        <v>157</v>
      </c>
      <c r="N3342" s="573">
        <v>2</v>
      </c>
      <c r="O3342" s="573" t="s">
        <v>5988</v>
      </c>
      <c r="P3342" s="571">
        <v>14610</v>
      </c>
      <c r="Q3342" s="573" t="s">
        <v>5873</v>
      </c>
      <c r="R3342" s="573">
        <v>8</v>
      </c>
      <c r="S3342" s="582" t="s">
        <v>5951</v>
      </c>
      <c r="T3342" s="573" t="s">
        <v>931</v>
      </c>
      <c r="U3342" s="573">
        <v>172.4</v>
      </c>
      <c r="V3342" s="573">
        <v>52</v>
      </c>
      <c r="W3342" s="616">
        <v>13500</v>
      </c>
      <c r="X3342" s="617" t="s">
        <v>157</v>
      </c>
      <c r="Y3342" s="617" t="s">
        <v>5870</v>
      </c>
      <c r="Z3342" s="617" t="s">
        <v>5870</v>
      </c>
      <c r="AA3342" s="618">
        <v>38415</v>
      </c>
      <c r="AB3342" s="618" t="s">
        <v>164</v>
      </c>
      <c r="AC3342" s="618">
        <v>32024</v>
      </c>
      <c r="AD3342" s="619">
        <v>6.25E-2</v>
      </c>
      <c r="AE3342" s="617" t="s">
        <v>5987</v>
      </c>
    </row>
    <row r="3343" spans="1:31" s="572" customFormat="1">
      <c r="A3343" s="570" t="s">
        <v>5989</v>
      </c>
      <c r="B3343" s="569" t="s">
        <v>226</v>
      </c>
      <c r="C3343" s="580" t="s">
        <v>227</v>
      </c>
      <c r="D3343" s="569" t="s">
        <v>3374</v>
      </c>
      <c r="E3343" s="569" t="s">
        <v>1684</v>
      </c>
      <c r="F3343" s="569" t="s">
        <v>3265</v>
      </c>
      <c r="G3343" s="569">
        <v>2019</v>
      </c>
      <c r="H3343" s="569" t="s">
        <v>5949</v>
      </c>
      <c r="I3343" s="569" t="s">
        <v>5450</v>
      </c>
      <c r="J3343" s="569" t="s">
        <v>3377</v>
      </c>
      <c r="K3343" s="569">
        <v>6</v>
      </c>
      <c r="L3343" s="569">
        <v>0</v>
      </c>
      <c r="M3343" s="569" t="s">
        <v>157</v>
      </c>
      <c r="N3343" s="569">
        <v>2</v>
      </c>
      <c r="O3343" s="569" t="s">
        <v>5988</v>
      </c>
      <c r="P3343" s="568">
        <v>14610</v>
      </c>
      <c r="Q3343" s="569" t="s">
        <v>5991</v>
      </c>
      <c r="R3343" s="569">
        <v>8</v>
      </c>
      <c r="S3343" s="569" t="s">
        <v>5954</v>
      </c>
      <c r="T3343" s="569" t="s">
        <v>653</v>
      </c>
      <c r="U3343" s="569">
        <v>172.4</v>
      </c>
      <c r="V3343" s="569">
        <v>22</v>
      </c>
      <c r="W3343" s="620">
        <v>10000</v>
      </c>
      <c r="X3343" s="621">
        <v>13</v>
      </c>
      <c r="Y3343" s="621" t="s">
        <v>178</v>
      </c>
      <c r="Z3343" s="621" t="s">
        <v>178</v>
      </c>
      <c r="AA3343" s="622">
        <v>39615</v>
      </c>
      <c r="AB3343" s="622" t="s">
        <v>164</v>
      </c>
      <c r="AC3343" s="622">
        <v>34616</v>
      </c>
      <c r="AD3343" s="623">
        <v>6.25E-2</v>
      </c>
      <c r="AE3343" s="621" t="s">
        <v>5990</v>
      </c>
    </row>
    <row r="3344" spans="1:31" s="572" customFormat="1">
      <c r="A3344" s="570" t="s">
        <v>5992</v>
      </c>
      <c r="B3344" s="573" t="s">
        <v>226</v>
      </c>
      <c r="C3344" s="578" t="s">
        <v>227</v>
      </c>
      <c r="D3344" s="573" t="s">
        <v>3374</v>
      </c>
      <c r="E3344" s="573" t="s">
        <v>1684</v>
      </c>
      <c r="F3344" s="573" t="s">
        <v>3265</v>
      </c>
      <c r="G3344" s="573">
        <v>2019</v>
      </c>
      <c r="H3344" s="573" t="s">
        <v>5949</v>
      </c>
      <c r="I3344" s="573" t="s">
        <v>5450</v>
      </c>
      <c r="J3344" s="573" t="s">
        <v>3377</v>
      </c>
      <c r="K3344" s="573">
        <v>6</v>
      </c>
      <c r="L3344" s="573">
        <v>0</v>
      </c>
      <c r="M3344" s="573" t="s">
        <v>157</v>
      </c>
      <c r="N3344" s="573">
        <v>2</v>
      </c>
      <c r="O3344" s="573" t="s">
        <v>5988</v>
      </c>
      <c r="P3344" s="571">
        <v>16840</v>
      </c>
      <c r="Q3344" s="573" t="s">
        <v>4231</v>
      </c>
      <c r="R3344" s="573">
        <v>6</v>
      </c>
      <c r="S3344" s="582" t="s">
        <v>5951</v>
      </c>
      <c r="T3344" s="573" t="s">
        <v>5994</v>
      </c>
      <c r="U3344" s="573">
        <v>172.4</v>
      </c>
      <c r="V3344" s="573">
        <v>52</v>
      </c>
      <c r="W3344" s="616">
        <v>13500</v>
      </c>
      <c r="X3344" s="617" t="s">
        <v>157</v>
      </c>
      <c r="Y3344" s="617" t="s">
        <v>728</v>
      </c>
      <c r="Z3344" s="617" t="s">
        <v>1523</v>
      </c>
      <c r="AA3344" s="618">
        <v>47360</v>
      </c>
      <c r="AB3344" s="618" t="s">
        <v>164</v>
      </c>
      <c r="AC3344" s="618">
        <v>39103</v>
      </c>
      <c r="AD3344" s="619">
        <v>6.25E-2</v>
      </c>
      <c r="AE3344" s="617" t="s">
        <v>5993</v>
      </c>
    </row>
    <row r="3345" spans="1:31" s="572" customFormat="1">
      <c r="A3345" s="570" t="s">
        <v>5995</v>
      </c>
      <c r="B3345" s="569" t="s">
        <v>226</v>
      </c>
      <c r="C3345" s="580" t="s">
        <v>227</v>
      </c>
      <c r="D3345" s="569" t="s">
        <v>3374</v>
      </c>
      <c r="E3345" s="569" t="s">
        <v>1684</v>
      </c>
      <c r="F3345" s="569" t="s">
        <v>3265</v>
      </c>
      <c r="G3345" s="569">
        <v>2019</v>
      </c>
      <c r="H3345" s="569" t="s">
        <v>5949</v>
      </c>
      <c r="I3345" s="569" t="s">
        <v>5450</v>
      </c>
      <c r="J3345" s="569" t="s">
        <v>3377</v>
      </c>
      <c r="K3345" s="569">
        <v>6</v>
      </c>
      <c r="L3345" s="569">
        <v>0</v>
      </c>
      <c r="M3345" s="569" t="s">
        <v>157</v>
      </c>
      <c r="N3345" s="569">
        <v>2</v>
      </c>
      <c r="O3345" s="569" t="s">
        <v>5988</v>
      </c>
      <c r="P3345" s="568">
        <v>17480</v>
      </c>
      <c r="Q3345" s="569" t="s">
        <v>5873</v>
      </c>
      <c r="R3345" s="569">
        <v>8</v>
      </c>
      <c r="S3345" s="569" t="s">
        <v>5951</v>
      </c>
      <c r="T3345" s="569" t="s">
        <v>5997</v>
      </c>
      <c r="U3345" s="569">
        <v>172.4</v>
      </c>
      <c r="V3345" s="569">
        <v>52</v>
      </c>
      <c r="W3345" s="620">
        <v>13500</v>
      </c>
      <c r="X3345" s="621" t="s">
        <v>157</v>
      </c>
      <c r="Y3345" s="621" t="s">
        <v>5870</v>
      </c>
      <c r="Z3345" s="621" t="s">
        <v>5870</v>
      </c>
      <c r="AA3345" s="622">
        <v>40015</v>
      </c>
      <c r="AB3345" s="622" t="s">
        <v>164</v>
      </c>
      <c r="AC3345" s="622">
        <v>32444</v>
      </c>
      <c r="AD3345" s="623">
        <v>6.25E-2</v>
      </c>
      <c r="AE3345" s="621" t="s">
        <v>5996</v>
      </c>
    </row>
    <row r="3346" spans="1:31" s="572" customFormat="1">
      <c r="A3346" s="570" t="s">
        <v>5998</v>
      </c>
      <c r="B3346" s="573" t="s">
        <v>226</v>
      </c>
      <c r="C3346" s="578" t="s">
        <v>227</v>
      </c>
      <c r="D3346" s="573" t="s">
        <v>3374</v>
      </c>
      <c r="E3346" s="573" t="s">
        <v>1684</v>
      </c>
      <c r="F3346" s="573" t="s">
        <v>3265</v>
      </c>
      <c r="G3346" s="573">
        <v>2019</v>
      </c>
      <c r="H3346" s="573" t="s">
        <v>5949</v>
      </c>
      <c r="I3346" s="573" t="s">
        <v>5450</v>
      </c>
      <c r="J3346" s="573" t="s">
        <v>752</v>
      </c>
      <c r="K3346" s="573">
        <v>6</v>
      </c>
      <c r="L3346" s="573">
        <v>0</v>
      </c>
      <c r="M3346" s="573" t="s">
        <v>157</v>
      </c>
      <c r="N3346" s="573">
        <v>2</v>
      </c>
      <c r="O3346" s="573" t="s">
        <v>5988</v>
      </c>
      <c r="P3346" s="571">
        <v>14290</v>
      </c>
      <c r="Q3346" s="573" t="s">
        <v>5873</v>
      </c>
      <c r="R3346" s="573">
        <v>8</v>
      </c>
      <c r="S3346" s="582" t="s">
        <v>5957</v>
      </c>
      <c r="T3346" s="573" t="s">
        <v>931</v>
      </c>
      <c r="U3346" s="573">
        <v>172.4</v>
      </c>
      <c r="V3346" s="573">
        <v>52</v>
      </c>
      <c r="W3346" s="616">
        <v>13500</v>
      </c>
      <c r="X3346" s="617" t="s">
        <v>157</v>
      </c>
      <c r="Y3346" s="617" t="s">
        <v>5870</v>
      </c>
      <c r="Z3346" s="617" t="s">
        <v>5870</v>
      </c>
      <c r="AA3346" s="618">
        <v>42265</v>
      </c>
      <c r="AB3346" s="618" t="s">
        <v>164</v>
      </c>
      <c r="AC3346" s="618">
        <v>32735</v>
      </c>
      <c r="AD3346" s="619">
        <v>6.25E-2</v>
      </c>
      <c r="AE3346" s="617" t="s">
        <v>5999</v>
      </c>
    </row>
    <row r="3347" spans="1:31" s="572" customFormat="1">
      <c r="A3347" s="570" t="s">
        <v>6000</v>
      </c>
      <c r="B3347" s="569" t="s">
        <v>226</v>
      </c>
      <c r="C3347" s="580" t="s">
        <v>227</v>
      </c>
      <c r="D3347" s="569" t="s">
        <v>3374</v>
      </c>
      <c r="E3347" s="569" t="s">
        <v>1684</v>
      </c>
      <c r="F3347" s="569" t="s">
        <v>3265</v>
      </c>
      <c r="G3347" s="569">
        <v>2019</v>
      </c>
      <c r="H3347" s="569" t="s">
        <v>5949</v>
      </c>
      <c r="I3347" s="569" t="s">
        <v>5450</v>
      </c>
      <c r="J3347" s="569" t="s">
        <v>752</v>
      </c>
      <c r="K3347" s="569">
        <v>6</v>
      </c>
      <c r="L3347" s="569">
        <v>0</v>
      </c>
      <c r="M3347" s="569" t="s">
        <v>157</v>
      </c>
      <c r="N3347" s="569">
        <v>2</v>
      </c>
      <c r="O3347" s="569" t="s">
        <v>5988</v>
      </c>
      <c r="P3347" s="568">
        <v>16520</v>
      </c>
      <c r="Q3347" s="569" t="s">
        <v>4231</v>
      </c>
      <c r="R3347" s="569">
        <v>6</v>
      </c>
      <c r="S3347" s="569" t="s">
        <v>5957</v>
      </c>
      <c r="T3347" s="569" t="s">
        <v>5994</v>
      </c>
      <c r="U3347" s="569">
        <v>172.4</v>
      </c>
      <c r="V3347" s="569">
        <v>52</v>
      </c>
      <c r="W3347" s="620">
        <v>13500</v>
      </c>
      <c r="X3347" s="621" t="s">
        <v>157</v>
      </c>
      <c r="Y3347" s="621" t="s">
        <v>728</v>
      </c>
      <c r="Z3347" s="621" t="s">
        <v>1523</v>
      </c>
      <c r="AA3347" s="622">
        <v>51210</v>
      </c>
      <c r="AB3347" s="622" t="s">
        <v>164</v>
      </c>
      <c r="AC3347" s="622">
        <v>43008</v>
      </c>
      <c r="AD3347" s="623">
        <v>6.25E-2</v>
      </c>
      <c r="AE3347" s="621" t="s">
        <v>6001</v>
      </c>
    </row>
    <row r="3348" spans="1:31" s="572" customFormat="1">
      <c r="A3348" s="570" t="s">
        <v>6002</v>
      </c>
      <c r="B3348" s="573" t="s">
        <v>226</v>
      </c>
      <c r="C3348" s="578" t="s">
        <v>227</v>
      </c>
      <c r="D3348" s="573" t="s">
        <v>3374</v>
      </c>
      <c r="E3348" s="573" t="s">
        <v>1684</v>
      </c>
      <c r="F3348" s="573" t="s">
        <v>3265</v>
      </c>
      <c r="G3348" s="573">
        <v>2019</v>
      </c>
      <c r="H3348" s="573" t="s">
        <v>5949</v>
      </c>
      <c r="I3348" s="573" t="s">
        <v>5450</v>
      </c>
      <c r="J3348" s="573" t="s">
        <v>752</v>
      </c>
      <c r="K3348" s="573">
        <v>6</v>
      </c>
      <c r="L3348" s="573">
        <v>0</v>
      </c>
      <c r="M3348" s="573" t="s">
        <v>157</v>
      </c>
      <c r="N3348" s="573">
        <v>2</v>
      </c>
      <c r="O3348" s="573" t="s">
        <v>5988</v>
      </c>
      <c r="P3348" s="571">
        <v>17160</v>
      </c>
      <c r="Q3348" s="573" t="s">
        <v>5873</v>
      </c>
      <c r="R3348" s="573">
        <v>8</v>
      </c>
      <c r="S3348" s="582" t="s">
        <v>5957</v>
      </c>
      <c r="T3348" s="573" t="s">
        <v>5997</v>
      </c>
      <c r="U3348" s="573">
        <v>172.4</v>
      </c>
      <c r="V3348" s="573">
        <v>52</v>
      </c>
      <c r="W3348" s="616">
        <v>13500</v>
      </c>
      <c r="X3348" s="617" t="s">
        <v>157</v>
      </c>
      <c r="Y3348" s="617" t="s">
        <v>5870</v>
      </c>
      <c r="Z3348" s="617" t="s">
        <v>5870</v>
      </c>
      <c r="AA3348" s="618">
        <v>43865</v>
      </c>
      <c r="AB3348" s="618" t="s">
        <v>164</v>
      </c>
      <c r="AC3348" s="618">
        <v>34186</v>
      </c>
      <c r="AD3348" s="619">
        <v>6.25E-2</v>
      </c>
      <c r="AE3348" s="617" t="s">
        <v>6003</v>
      </c>
    </row>
    <row r="3349" spans="1:31" s="572" customFormat="1">
      <c r="A3349" s="570" t="s">
        <v>6004</v>
      </c>
      <c r="B3349" s="569" t="s">
        <v>226</v>
      </c>
      <c r="C3349" s="580" t="s">
        <v>227</v>
      </c>
      <c r="D3349" s="569" t="s">
        <v>3374</v>
      </c>
      <c r="E3349" s="569" t="s">
        <v>1684</v>
      </c>
      <c r="F3349" s="569" t="s">
        <v>3265</v>
      </c>
      <c r="G3349" s="569">
        <v>2019</v>
      </c>
      <c r="H3349" s="569" t="s">
        <v>5949</v>
      </c>
      <c r="I3349" s="569" t="s">
        <v>6006</v>
      </c>
      <c r="J3349" s="569" t="s">
        <v>3377</v>
      </c>
      <c r="K3349" s="569">
        <v>6</v>
      </c>
      <c r="L3349" s="569">
        <v>0</v>
      </c>
      <c r="M3349" s="569" t="s">
        <v>157</v>
      </c>
      <c r="N3349" s="569">
        <v>2</v>
      </c>
      <c r="O3349" s="569" t="s">
        <v>5988</v>
      </c>
      <c r="P3349" s="568">
        <v>17610</v>
      </c>
      <c r="Q3349" s="569" t="s">
        <v>5873</v>
      </c>
      <c r="R3349" s="569">
        <v>8</v>
      </c>
      <c r="S3349" s="569" t="s">
        <v>5954</v>
      </c>
      <c r="T3349" s="569" t="s">
        <v>5997</v>
      </c>
      <c r="U3349" s="569">
        <v>172.4</v>
      </c>
      <c r="V3349" s="569">
        <v>22</v>
      </c>
      <c r="W3349" s="620">
        <v>10000</v>
      </c>
      <c r="X3349" s="621">
        <v>13</v>
      </c>
      <c r="Y3349" s="621" t="s">
        <v>5870</v>
      </c>
      <c r="Z3349" s="621" t="s">
        <v>5870</v>
      </c>
      <c r="AA3349" s="622">
        <v>38015</v>
      </c>
      <c r="AB3349" s="622" t="s">
        <v>164</v>
      </c>
      <c r="AC3349" s="622">
        <v>34196</v>
      </c>
      <c r="AD3349" s="623">
        <v>6.25E-2</v>
      </c>
      <c r="AE3349" s="621" t="s">
        <v>6005</v>
      </c>
    </row>
    <row r="3350" spans="1:31" s="572" customFormat="1">
      <c r="A3350" s="570" t="s">
        <v>6007</v>
      </c>
      <c r="B3350" s="573" t="s">
        <v>226</v>
      </c>
      <c r="C3350" s="578" t="s">
        <v>227</v>
      </c>
      <c r="D3350" s="573" t="s">
        <v>3374</v>
      </c>
      <c r="E3350" s="573" t="s">
        <v>1684</v>
      </c>
      <c r="F3350" s="573" t="s">
        <v>3265</v>
      </c>
      <c r="G3350" s="573">
        <v>2019</v>
      </c>
      <c r="H3350" s="573" t="s">
        <v>5949</v>
      </c>
      <c r="I3350" s="573" t="s">
        <v>6006</v>
      </c>
      <c r="J3350" s="573" t="s">
        <v>752</v>
      </c>
      <c r="K3350" s="573">
        <v>6</v>
      </c>
      <c r="L3350" s="573">
        <v>0</v>
      </c>
      <c r="M3350" s="573" t="s">
        <v>157</v>
      </c>
      <c r="N3350" s="573">
        <v>2</v>
      </c>
      <c r="O3350" s="573" t="s">
        <v>5988</v>
      </c>
      <c r="P3350" s="571">
        <v>17680</v>
      </c>
      <c r="Q3350" s="573" t="s">
        <v>5873</v>
      </c>
      <c r="R3350" s="573">
        <v>8</v>
      </c>
      <c r="S3350" s="582" t="s">
        <v>5960</v>
      </c>
      <c r="T3350" s="573" t="s">
        <v>931</v>
      </c>
      <c r="U3350" s="573">
        <v>172.4</v>
      </c>
      <c r="V3350" s="573">
        <v>22</v>
      </c>
      <c r="W3350" s="616">
        <v>10000</v>
      </c>
      <c r="X3350" s="617">
        <v>12</v>
      </c>
      <c r="Y3350" s="617" t="s">
        <v>5870</v>
      </c>
      <c r="Z3350" s="617" t="s">
        <v>5870</v>
      </c>
      <c r="AA3350" s="618">
        <v>41865</v>
      </c>
      <c r="AB3350" s="618" t="s">
        <v>164</v>
      </c>
      <c r="AC3350" s="618">
        <v>34908</v>
      </c>
      <c r="AD3350" s="619">
        <v>6.25E-2</v>
      </c>
      <c r="AE3350" s="617" t="s">
        <v>6008</v>
      </c>
    </row>
    <row r="3351" spans="1:31" s="572" customFormat="1">
      <c r="A3351" s="570" t="s">
        <v>6009</v>
      </c>
      <c r="B3351" s="569" t="s">
        <v>226</v>
      </c>
      <c r="C3351" s="580" t="s">
        <v>227</v>
      </c>
      <c r="D3351" s="569" t="s">
        <v>3374</v>
      </c>
      <c r="E3351" s="569" t="s">
        <v>1684</v>
      </c>
      <c r="F3351" s="569" t="s">
        <v>3265</v>
      </c>
      <c r="G3351" s="569">
        <v>2019</v>
      </c>
      <c r="H3351" s="569" t="s">
        <v>5949</v>
      </c>
      <c r="I3351" s="569" t="s">
        <v>6006</v>
      </c>
      <c r="J3351" s="569" t="s">
        <v>752</v>
      </c>
      <c r="K3351" s="569">
        <v>6</v>
      </c>
      <c r="L3351" s="569">
        <v>0</v>
      </c>
      <c r="M3351" s="569" t="s">
        <v>157</v>
      </c>
      <c r="N3351" s="569">
        <v>2</v>
      </c>
      <c r="O3351" s="569" t="s">
        <v>5988</v>
      </c>
      <c r="P3351" s="568">
        <v>17810</v>
      </c>
      <c r="Q3351" s="569" t="s">
        <v>5873</v>
      </c>
      <c r="R3351" s="569">
        <v>8</v>
      </c>
      <c r="S3351" s="569" t="s">
        <v>5960</v>
      </c>
      <c r="T3351" s="569" t="s">
        <v>5997</v>
      </c>
      <c r="U3351" s="569">
        <v>172.4</v>
      </c>
      <c r="V3351" s="569">
        <v>22</v>
      </c>
      <c r="W3351" s="620">
        <v>10000</v>
      </c>
      <c r="X3351" s="621">
        <v>12</v>
      </c>
      <c r="Y3351" s="621" t="s">
        <v>5870</v>
      </c>
      <c r="Z3351" s="621" t="s">
        <v>5870</v>
      </c>
      <c r="AA3351" s="622">
        <v>43465</v>
      </c>
      <c r="AB3351" s="622" t="s">
        <v>164</v>
      </c>
      <c r="AC3351" s="622">
        <v>36256</v>
      </c>
      <c r="AD3351" s="623">
        <v>6.25E-2</v>
      </c>
      <c r="AE3351" s="621" t="s">
        <v>6010</v>
      </c>
    </row>
    <row r="3352" spans="1:31" s="572" customFormat="1">
      <c r="A3352" s="570" t="s">
        <v>6011</v>
      </c>
      <c r="B3352" s="573" t="s">
        <v>226</v>
      </c>
      <c r="C3352" s="578" t="s">
        <v>227</v>
      </c>
      <c r="D3352" s="573" t="s">
        <v>3374</v>
      </c>
      <c r="E3352" s="573" t="s">
        <v>1684</v>
      </c>
      <c r="F3352" s="573" t="s">
        <v>3265</v>
      </c>
      <c r="G3352" s="573">
        <v>2019</v>
      </c>
      <c r="H3352" s="573" t="s">
        <v>5949</v>
      </c>
      <c r="I3352" s="573" t="s">
        <v>5481</v>
      </c>
      <c r="J3352" s="573" t="s">
        <v>3377</v>
      </c>
      <c r="K3352" s="573">
        <v>3</v>
      </c>
      <c r="L3352" s="573">
        <v>0</v>
      </c>
      <c r="M3352" s="573" t="s">
        <v>157</v>
      </c>
      <c r="N3352" s="573">
        <v>1</v>
      </c>
      <c r="O3352" s="573" t="s">
        <v>5988</v>
      </c>
      <c r="P3352" s="571">
        <v>17570</v>
      </c>
      <c r="Q3352" s="573" t="s">
        <v>5873</v>
      </c>
      <c r="R3352" s="573">
        <v>8</v>
      </c>
      <c r="S3352" s="582" t="s">
        <v>5967</v>
      </c>
      <c r="T3352" s="573" t="s">
        <v>5997</v>
      </c>
      <c r="U3352" s="573">
        <v>143.5</v>
      </c>
      <c r="V3352" s="573">
        <v>52</v>
      </c>
      <c r="W3352" s="616">
        <v>13500</v>
      </c>
      <c r="X3352" s="617" t="s">
        <v>157</v>
      </c>
      <c r="Y3352" s="617" t="s">
        <v>5870</v>
      </c>
      <c r="Z3352" s="617" t="s">
        <v>5870</v>
      </c>
      <c r="AA3352" s="618">
        <v>36715</v>
      </c>
      <c r="AB3352" s="618" t="s">
        <v>164</v>
      </c>
      <c r="AC3352" s="618">
        <v>29125</v>
      </c>
      <c r="AD3352" s="619">
        <v>6.25E-2</v>
      </c>
      <c r="AE3352" s="617" t="s">
        <v>6012</v>
      </c>
    </row>
    <row r="3353" spans="1:31" s="572" customFormat="1">
      <c r="A3353" s="570" t="s">
        <v>6013</v>
      </c>
      <c r="B3353" s="569" t="s">
        <v>226</v>
      </c>
      <c r="C3353" s="580" t="s">
        <v>227</v>
      </c>
      <c r="D3353" s="569" t="s">
        <v>3374</v>
      </c>
      <c r="E3353" s="569" t="s">
        <v>1684</v>
      </c>
      <c r="F3353" s="569" t="s">
        <v>3265</v>
      </c>
      <c r="G3353" s="569">
        <v>2019</v>
      </c>
      <c r="H3353" s="569" t="s">
        <v>5949</v>
      </c>
      <c r="I3353" s="569" t="s">
        <v>5481</v>
      </c>
      <c r="J3353" s="569" t="s">
        <v>3377</v>
      </c>
      <c r="K3353" s="569">
        <v>3</v>
      </c>
      <c r="L3353" s="569">
        <v>0</v>
      </c>
      <c r="M3353" s="569" t="s">
        <v>157</v>
      </c>
      <c r="N3353" s="569">
        <v>1</v>
      </c>
      <c r="O3353" s="569" t="s">
        <v>5988</v>
      </c>
      <c r="P3353" s="568">
        <v>17920</v>
      </c>
      <c r="Q3353" s="569" t="s">
        <v>5873</v>
      </c>
      <c r="R3353" s="569">
        <v>8</v>
      </c>
      <c r="S3353" s="569" t="s">
        <v>5967</v>
      </c>
      <c r="T3353" s="569" t="s">
        <v>931</v>
      </c>
      <c r="U3353" s="569">
        <v>143.5</v>
      </c>
      <c r="V3353" s="569">
        <v>52</v>
      </c>
      <c r="W3353" s="620">
        <v>13500</v>
      </c>
      <c r="X3353" s="621" t="s">
        <v>157</v>
      </c>
      <c r="Y3353" s="621" t="s">
        <v>5870</v>
      </c>
      <c r="Z3353" s="621" t="s">
        <v>5870</v>
      </c>
      <c r="AA3353" s="622">
        <v>35115</v>
      </c>
      <c r="AB3353" s="622" t="s">
        <v>164</v>
      </c>
      <c r="AC3353" s="622">
        <v>27675</v>
      </c>
      <c r="AD3353" s="623">
        <v>6.25E-2</v>
      </c>
      <c r="AE3353" s="621" t="s">
        <v>6014</v>
      </c>
    </row>
    <row r="3354" spans="1:31" s="572" customFormat="1">
      <c r="A3354" s="570" t="s">
        <v>6015</v>
      </c>
      <c r="B3354" s="573" t="s">
        <v>226</v>
      </c>
      <c r="C3354" s="578" t="s">
        <v>227</v>
      </c>
      <c r="D3354" s="573" t="s">
        <v>3374</v>
      </c>
      <c r="E3354" s="573" t="s">
        <v>1684</v>
      </c>
      <c r="F3354" s="573" t="s">
        <v>3265</v>
      </c>
      <c r="G3354" s="573">
        <v>2019</v>
      </c>
      <c r="H3354" s="573" t="s">
        <v>5949</v>
      </c>
      <c r="I3354" s="573" t="s">
        <v>5481</v>
      </c>
      <c r="J3354" s="573" t="s">
        <v>3377</v>
      </c>
      <c r="K3354" s="573">
        <v>3</v>
      </c>
      <c r="L3354" s="573">
        <v>0</v>
      </c>
      <c r="M3354" s="573" t="s">
        <v>157</v>
      </c>
      <c r="N3354" s="573">
        <v>1</v>
      </c>
      <c r="O3354" s="573" t="s">
        <v>5988</v>
      </c>
      <c r="P3354" s="571">
        <v>19270</v>
      </c>
      <c r="Q3354" s="573" t="s">
        <v>4231</v>
      </c>
      <c r="R3354" s="573">
        <v>6</v>
      </c>
      <c r="S3354" s="582" t="s">
        <v>5967</v>
      </c>
      <c r="T3354" s="573" t="s">
        <v>5994</v>
      </c>
      <c r="U3354" s="573">
        <v>143.5</v>
      </c>
      <c r="V3354" s="573">
        <v>52</v>
      </c>
      <c r="W3354" s="616">
        <v>13500</v>
      </c>
      <c r="X3354" s="617" t="s">
        <v>157</v>
      </c>
      <c r="Y3354" s="617" t="s">
        <v>728</v>
      </c>
      <c r="Z3354" s="617" t="s">
        <v>1523</v>
      </c>
      <c r="AA3354" s="618">
        <v>44060</v>
      </c>
      <c r="AB3354" s="618" t="s">
        <v>164</v>
      </c>
      <c r="AC3354" s="618">
        <v>35270</v>
      </c>
      <c r="AD3354" s="619">
        <v>6.25E-2</v>
      </c>
      <c r="AE3354" s="617" t="s">
        <v>6016</v>
      </c>
    </row>
    <row r="3355" spans="1:31" s="572" customFormat="1">
      <c r="A3355" s="570" t="s">
        <v>6017</v>
      </c>
      <c r="B3355" s="569" t="s">
        <v>226</v>
      </c>
      <c r="C3355" s="580" t="s">
        <v>227</v>
      </c>
      <c r="D3355" s="569" t="s">
        <v>3374</v>
      </c>
      <c r="E3355" s="569" t="s">
        <v>1684</v>
      </c>
      <c r="F3355" s="569" t="s">
        <v>3265</v>
      </c>
      <c r="G3355" s="569">
        <v>2019</v>
      </c>
      <c r="H3355" s="569" t="s">
        <v>5949</v>
      </c>
      <c r="I3355" s="569" t="s">
        <v>5481</v>
      </c>
      <c r="J3355" s="569" t="s">
        <v>3377</v>
      </c>
      <c r="K3355" s="569">
        <v>3</v>
      </c>
      <c r="L3355" s="569">
        <v>0</v>
      </c>
      <c r="M3355" s="569" t="s">
        <v>157</v>
      </c>
      <c r="N3355" s="569">
        <v>1</v>
      </c>
      <c r="O3355" s="569" t="s">
        <v>6019</v>
      </c>
      <c r="P3355" s="568">
        <v>17490</v>
      </c>
      <c r="Q3355" s="569" t="s">
        <v>5873</v>
      </c>
      <c r="R3355" s="569">
        <v>8</v>
      </c>
      <c r="S3355" s="569" t="s">
        <v>5964</v>
      </c>
      <c r="T3355" s="569" t="s">
        <v>931</v>
      </c>
      <c r="U3355" s="569">
        <v>167.5</v>
      </c>
      <c r="V3355" s="569">
        <v>52</v>
      </c>
      <c r="W3355" s="620">
        <v>13500</v>
      </c>
      <c r="X3355" s="621" t="s">
        <v>157</v>
      </c>
      <c r="Y3355" s="621" t="s">
        <v>5870</v>
      </c>
      <c r="Z3355" s="621" t="s">
        <v>5870</v>
      </c>
      <c r="AA3355" s="622">
        <v>35315</v>
      </c>
      <c r="AB3355" s="622" t="s">
        <v>164</v>
      </c>
      <c r="AC3355" s="622">
        <v>27851</v>
      </c>
      <c r="AD3355" s="623">
        <v>6.25E-2</v>
      </c>
      <c r="AE3355" s="621" t="s">
        <v>6018</v>
      </c>
    </row>
    <row r="3356" spans="1:31" s="572" customFormat="1">
      <c r="A3356" s="570" t="s">
        <v>6020</v>
      </c>
      <c r="B3356" s="573" t="s">
        <v>226</v>
      </c>
      <c r="C3356" s="578" t="s">
        <v>227</v>
      </c>
      <c r="D3356" s="573" t="s">
        <v>3374</v>
      </c>
      <c r="E3356" s="573" t="s">
        <v>1684</v>
      </c>
      <c r="F3356" s="573" t="s">
        <v>3265</v>
      </c>
      <c r="G3356" s="573">
        <v>2019</v>
      </c>
      <c r="H3356" s="573" t="s">
        <v>5949</v>
      </c>
      <c r="I3356" s="573" t="s">
        <v>5481</v>
      </c>
      <c r="J3356" s="573" t="s">
        <v>3377</v>
      </c>
      <c r="K3356" s="573">
        <v>3</v>
      </c>
      <c r="L3356" s="573">
        <v>0</v>
      </c>
      <c r="M3356" s="573" t="s">
        <v>157</v>
      </c>
      <c r="N3356" s="573">
        <v>1</v>
      </c>
      <c r="O3356" s="573" t="s">
        <v>6019</v>
      </c>
      <c r="P3356" s="571">
        <v>17620</v>
      </c>
      <c r="Q3356" s="573" t="s">
        <v>5873</v>
      </c>
      <c r="R3356" s="573">
        <v>8</v>
      </c>
      <c r="S3356" s="582" t="s">
        <v>5964</v>
      </c>
      <c r="T3356" s="573" t="s">
        <v>5997</v>
      </c>
      <c r="U3356" s="573">
        <v>167.5</v>
      </c>
      <c r="V3356" s="573">
        <v>52</v>
      </c>
      <c r="W3356" s="616">
        <v>13500</v>
      </c>
      <c r="X3356" s="617" t="s">
        <v>157</v>
      </c>
      <c r="Y3356" s="617" t="s">
        <v>5870</v>
      </c>
      <c r="Z3356" s="617" t="s">
        <v>5870</v>
      </c>
      <c r="AA3356" s="618">
        <v>36918</v>
      </c>
      <c r="AB3356" s="618" t="s">
        <v>164</v>
      </c>
      <c r="AC3356" s="618">
        <v>29302</v>
      </c>
      <c r="AD3356" s="619">
        <v>6.25E-2</v>
      </c>
      <c r="AE3356" s="617" t="s">
        <v>6021</v>
      </c>
    </row>
    <row r="3357" spans="1:31" s="572" customFormat="1">
      <c r="A3357" s="570" t="s">
        <v>6022</v>
      </c>
      <c r="B3357" s="569" t="s">
        <v>226</v>
      </c>
      <c r="C3357" s="580" t="s">
        <v>227</v>
      </c>
      <c r="D3357" s="569" t="s">
        <v>3374</v>
      </c>
      <c r="E3357" s="569" t="s">
        <v>1684</v>
      </c>
      <c r="F3357" s="569" t="s">
        <v>3265</v>
      </c>
      <c r="G3357" s="569">
        <v>2019</v>
      </c>
      <c r="H3357" s="569" t="s">
        <v>5949</v>
      </c>
      <c r="I3357" s="569" t="s">
        <v>5481</v>
      </c>
      <c r="J3357" s="569" t="s">
        <v>3377</v>
      </c>
      <c r="K3357" s="569">
        <v>3</v>
      </c>
      <c r="L3357" s="569">
        <v>0</v>
      </c>
      <c r="M3357" s="569" t="s">
        <v>157</v>
      </c>
      <c r="N3357" s="569">
        <v>1</v>
      </c>
      <c r="O3357" s="569" t="s">
        <v>6019</v>
      </c>
      <c r="P3357" s="568">
        <v>23840</v>
      </c>
      <c r="Q3357" s="569" t="s">
        <v>4231</v>
      </c>
      <c r="R3357" s="569">
        <v>6</v>
      </c>
      <c r="S3357" s="569" t="s">
        <v>5964</v>
      </c>
      <c r="T3357" s="569" t="s">
        <v>5994</v>
      </c>
      <c r="U3357" s="569">
        <v>167.5</v>
      </c>
      <c r="V3357" s="569">
        <v>52</v>
      </c>
      <c r="W3357" s="620">
        <v>13500</v>
      </c>
      <c r="X3357" s="621" t="s">
        <v>157</v>
      </c>
      <c r="Y3357" s="621" t="s">
        <v>728</v>
      </c>
      <c r="Z3357" s="621" t="s">
        <v>1523</v>
      </c>
      <c r="AA3357" s="622">
        <v>44260</v>
      </c>
      <c r="AB3357" s="622" t="s">
        <v>164</v>
      </c>
      <c r="AC3357" s="622">
        <v>35436</v>
      </c>
      <c r="AD3357" s="623">
        <v>6.25E-2</v>
      </c>
      <c r="AE3357" s="621" t="s">
        <v>6023</v>
      </c>
    </row>
    <row r="3358" spans="1:31" s="572" customFormat="1">
      <c r="A3358" s="570" t="s">
        <v>6024</v>
      </c>
      <c r="B3358" s="573" t="s">
        <v>226</v>
      </c>
      <c r="C3358" s="578" t="s">
        <v>227</v>
      </c>
      <c r="D3358" s="573" t="s">
        <v>3374</v>
      </c>
      <c r="E3358" s="573" t="s">
        <v>1684</v>
      </c>
      <c r="F3358" s="573" t="s">
        <v>3265</v>
      </c>
      <c r="G3358" s="573">
        <v>2019</v>
      </c>
      <c r="H3358" s="573" t="s">
        <v>5949</v>
      </c>
      <c r="I3358" s="573" t="s">
        <v>5481</v>
      </c>
      <c r="J3358" s="573" t="s">
        <v>752</v>
      </c>
      <c r="K3358" s="573">
        <v>3</v>
      </c>
      <c r="L3358" s="573">
        <v>0</v>
      </c>
      <c r="M3358" s="573" t="s">
        <v>157</v>
      </c>
      <c r="N3358" s="573">
        <v>1</v>
      </c>
      <c r="O3358" s="573" t="s">
        <v>5988</v>
      </c>
      <c r="P3358" s="571">
        <v>17330</v>
      </c>
      <c r="Q3358" s="573" t="s">
        <v>5873</v>
      </c>
      <c r="R3358" s="573">
        <v>8</v>
      </c>
      <c r="S3358" s="582" t="s">
        <v>5979</v>
      </c>
      <c r="T3358" s="573" t="s">
        <v>931</v>
      </c>
      <c r="U3358" s="573">
        <v>143.5</v>
      </c>
      <c r="V3358" s="573">
        <v>52</v>
      </c>
      <c r="W3358" s="616">
        <v>13500</v>
      </c>
      <c r="X3358" s="617" t="s">
        <v>157</v>
      </c>
      <c r="Y3358" s="617" t="s">
        <v>5870</v>
      </c>
      <c r="Z3358" s="617" t="s">
        <v>5870</v>
      </c>
      <c r="AA3358" s="618">
        <v>38365</v>
      </c>
      <c r="AB3358" s="618" t="s">
        <v>164</v>
      </c>
      <c r="AC3358" s="618">
        <v>29609</v>
      </c>
      <c r="AD3358" s="619">
        <v>6.25E-2</v>
      </c>
      <c r="AE3358" s="617" t="s">
        <v>6025</v>
      </c>
    </row>
    <row r="3359" spans="1:31" s="572" customFormat="1">
      <c r="A3359" s="570" t="s">
        <v>6026</v>
      </c>
      <c r="B3359" s="569" t="s">
        <v>226</v>
      </c>
      <c r="C3359" s="580" t="s">
        <v>227</v>
      </c>
      <c r="D3359" s="569" t="s">
        <v>3374</v>
      </c>
      <c r="E3359" s="569" t="s">
        <v>1684</v>
      </c>
      <c r="F3359" s="569" t="s">
        <v>3265</v>
      </c>
      <c r="G3359" s="569">
        <v>2019</v>
      </c>
      <c r="H3359" s="569" t="s">
        <v>5949</v>
      </c>
      <c r="I3359" s="569" t="s">
        <v>5481</v>
      </c>
      <c r="J3359" s="569" t="s">
        <v>752</v>
      </c>
      <c r="K3359" s="569">
        <v>3</v>
      </c>
      <c r="L3359" s="569">
        <v>0</v>
      </c>
      <c r="M3359" s="569" t="s">
        <v>157</v>
      </c>
      <c r="N3359" s="569">
        <v>1</v>
      </c>
      <c r="O3359" s="569" t="s">
        <v>5988</v>
      </c>
      <c r="P3359" s="568">
        <v>17800</v>
      </c>
      <c r="Q3359" s="569" t="s">
        <v>5873</v>
      </c>
      <c r="R3359" s="569">
        <v>8</v>
      </c>
      <c r="S3359" s="569" t="s">
        <v>5979</v>
      </c>
      <c r="T3359" s="569" t="s">
        <v>5997</v>
      </c>
      <c r="U3359" s="569">
        <v>143.5</v>
      </c>
      <c r="V3359" s="569">
        <v>52</v>
      </c>
      <c r="W3359" s="620">
        <v>13500</v>
      </c>
      <c r="X3359" s="621" t="s">
        <v>157</v>
      </c>
      <c r="Y3359" s="621" t="s">
        <v>5870</v>
      </c>
      <c r="Z3359" s="621" t="s">
        <v>5870</v>
      </c>
      <c r="AA3359" s="622">
        <v>39965</v>
      </c>
      <c r="AB3359" s="622" t="s">
        <v>164</v>
      </c>
      <c r="AC3359" s="622">
        <v>31059</v>
      </c>
      <c r="AD3359" s="623">
        <v>6.25E-2</v>
      </c>
      <c r="AE3359" s="621" t="s">
        <v>6027</v>
      </c>
    </row>
    <row r="3360" spans="1:31" s="572" customFormat="1">
      <c r="A3360" s="570" t="s">
        <v>6028</v>
      </c>
      <c r="B3360" s="573" t="s">
        <v>226</v>
      </c>
      <c r="C3360" s="578" t="s">
        <v>227</v>
      </c>
      <c r="D3360" s="573" t="s">
        <v>3374</v>
      </c>
      <c r="E3360" s="573" t="s">
        <v>1684</v>
      </c>
      <c r="F3360" s="573" t="s">
        <v>3265</v>
      </c>
      <c r="G3360" s="573">
        <v>2019</v>
      </c>
      <c r="H3360" s="573" t="s">
        <v>5949</v>
      </c>
      <c r="I3360" s="573" t="s">
        <v>5481</v>
      </c>
      <c r="J3360" s="573" t="s">
        <v>752</v>
      </c>
      <c r="K3360" s="573">
        <v>3</v>
      </c>
      <c r="L3360" s="573">
        <v>0</v>
      </c>
      <c r="M3360" s="573" t="s">
        <v>157</v>
      </c>
      <c r="N3360" s="573">
        <v>1</v>
      </c>
      <c r="O3360" s="573" t="s">
        <v>5988</v>
      </c>
      <c r="P3360" s="571">
        <v>19030</v>
      </c>
      <c r="Q3360" s="573" t="s">
        <v>4231</v>
      </c>
      <c r="R3360" s="573">
        <v>6</v>
      </c>
      <c r="S3360" s="582" t="s">
        <v>5979</v>
      </c>
      <c r="T3360" s="573" t="s">
        <v>5994</v>
      </c>
      <c r="U3360" s="573">
        <v>143.5</v>
      </c>
      <c r="V3360" s="573">
        <v>52</v>
      </c>
      <c r="W3360" s="616">
        <v>13500</v>
      </c>
      <c r="X3360" s="617" t="s">
        <v>157</v>
      </c>
      <c r="Y3360" s="617" t="s">
        <v>728</v>
      </c>
      <c r="Z3360" s="617" t="s">
        <v>1523</v>
      </c>
      <c r="AA3360" s="618">
        <v>47310</v>
      </c>
      <c r="AB3360" s="618" t="s">
        <v>164</v>
      </c>
      <c r="AC3360" s="618">
        <v>37718</v>
      </c>
      <c r="AD3360" s="619">
        <v>6.25E-2</v>
      </c>
      <c r="AE3360" s="617" t="s">
        <v>6029</v>
      </c>
    </row>
    <row r="3361" spans="1:31" s="572" customFormat="1">
      <c r="A3361" s="570" t="s">
        <v>6030</v>
      </c>
      <c r="B3361" s="569" t="s">
        <v>226</v>
      </c>
      <c r="C3361" s="580" t="s">
        <v>227</v>
      </c>
      <c r="D3361" s="569" t="s">
        <v>3374</v>
      </c>
      <c r="E3361" s="569" t="s">
        <v>1684</v>
      </c>
      <c r="F3361" s="569" t="s">
        <v>3265</v>
      </c>
      <c r="G3361" s="569">
        <v>2019</v>
      </c>
      <c r="H3361" s="569" t="s">
        <v>5949</v>
      </c>
      <c r="I3361" s="569" t="s">
        <v>5481</v>
      </c>
      <c r="J3361" s="569" t="s">
        <v>752</v>
      </c>
      <c r="K3361" s="569">
        <v>3</v>
      </c>
      <c r="L3361" s="569">
        <v>0</v>
      </c>
      <c r="M3361" s="569" t="s">
        <v>157</v>
      </c>
      <c r="N3361" s="569">
        <v>1</v>
      </c>
      <c r="O3361" s="569" t="s">
        <v>6019</v>
      </c>
      <c r="P3361" s="568">
        <v>17200</v>
      </c>
      <c r="Q3361" s="569" t="s">
        <v>5873</v>
      </c>
      <c r="R3361" s="569">
        <v>8</v>
      </c>
      <c r="S3361" s="569" t="s">
        <v>5976</v>
      </c>
      <c r="T3361" s="569" t="s">
        <v>931</v>
      </c>
      <c r="U3361" s="569">
        <v>167.5</v>
      </c>
      <c r="V3361" s="569">
        <v>52</v>
      </c>
      <c r="W3361" s="620">
        <v>13500</v>
      </c>
      <c r="X3361" s="621" t="s">
        <v>157</v>
      </c>
      <c r="Y3361" s="621" t="s">
        <v>5870</v>
      </c>
      <c r="Z3361" s="621" t="s">
        <v>5870</v>
      </c>
      <c r="AA3361" s="622">
        <v>38565</v>
      </c>
      <c r="AB3361" s="622" t="s">
        <v>164</v>
      </c>
      <c r="AC3361" s="622">
        <v>29784</v>
      </c>
      <c r="AD3361" s="623">
        <v>6.25E-2</v>
      </c>
      <c r="AE3361" s="621" t="s">
        <v>6031</v>
      </c>
    </row>
    <row r="3362" spans="1:31" s="572" customFormat="1">
      <c r="A3362" s="570" t="s">
        <v>6032</v>
      </c>
      <c r="B3362" s="573" t="s">
        <v>226</v>
      </c>
      <c r="C3362" s="578" t="s">
        <v>227</v>
      </c>
      <c r="D3362" s="573" t="s">
        <v>3374</v>
      </c>
      <c r="E3362" s="573" t="s">
        <v>1684</v>
      </c>
      <c r="F3362" s="573" t="s">
        <v>3265</v>
      </c>
      <c r="G3362" s="573">
        <v>2019</v>
      </c>
      <c r="H3362" s="573" t="s">
        <v>5949</v>
      </c>
      <c r="I3362" s="573" t="s">
        <v>5481</v>
      </c>
      <c r="J3362" s="573" t="s">
        <v>752</v>
      </c>
      <c r="K3362" s="573">
        <v>3</v>
      </c>
      <c r="L3362" s="573">
        <v>0</v>
      </c>
      <c r="M3362" s="573" t="s">
        <v>157</v>
      </c>
      <c r="N3362" s="573">
        <v>1</v>
      </c>
      <c r="O3362" s="573" t="s">
        <v>6019</v>
      </c>
      <c r="P3362" s="571">
        <v>17330</v>
      </c>
      <c r="Q3362" s="573" t="s">
        <v>5873</v>
      </c>
      <c r="R3362" s="573">
        <v>8</v>
      </c>
      <c r="S3362" s="582" t="s">
        <v>5976</v>
      </c>
      <c r="T3362" s="573" t="s">
        <v>5997</v>
      </c>
      <c r="U3362" s="573">
        <v>167.5</v>
      </c>
      <c r="V3362" s="573">
        <v>52</v>
      </c>
      <c r="W3362" s="616">
        <v>13500</v>
      </c>
      <c r="X3362" s="617" t="s">
        <v>157</v>
      </c>
      <c r="Y3362" s="617" t="s">
        <v>5870</v>
      </c>
      <c r="Z3362" s="617" t="s">
        <v>5870</v>
      </c>
      <c r="AA3362" s="618">
        <v>40165</v>
      </c>
      <c r="AB3362" s="618" t="s">
        <v>164</v>
      </c>
      <c r="AC3362" s="618">
        <v>31235</v>
      </c>
      <c r="AD3362" s="619">
        <v>6.25E-2</v>
      </c>
      <c r="AE3362" s="617" t="s">
        <v>6033</v>
      </c>
    </row>
    <row r="3363" spans="1:31" s="572" customFormat="1">
      <c r="A3363" s="570" t="s">
        <v>6034</v>
      </c>
      <c r="B3363" s="569" t="s">
        <v>226</v>
      </c>
      <c r="C3363" s="580" t="s">
        <v>227</v>
      </c>
      <c r="D3363" s="569" t="s">
        <v>3374</v>
      </c>
      <c r="E3363" s="569" t="s">
        <v>1684</v>
      </c>
      <c r="F3363" s="569" t="s">
        <v>3265</v>
      </c>
      <c r="G3363" s="569">
        <v>2019</v>
      </c>
      <c r="H3363" s="569" t="s">
        <v>5949</v>
      </c>
      <c r="I3363" s="569" t="s">
        <v>5481</v>
      </c>
      <c r="J3363" s="569" t="s">
        <v>752</v>
      </c>
      <c r="K3363" s="569">
        <v>3</v>
      </c>
      <c r="L3363" s="569">
        <v>0</v>
      </c>
      <c r="M3363" s="569" t="s">
        <v>157</v>
      </c>
      <c r="N3363" s="569">
        <v>1</v>
      </c>
      <c r="O3363" s="569" t="s">
        <v>6019</v>
      </c>
      <c r="P3363" s="568">
        <v>23560</v>
      </c>
      <c r="Q3363" s="569" t="s">
        <v>4231</v>
      </c>
      <c r="R3363" s="569">
        <v>6</v>
      </c>
      <c r="S3363" s="569" t="s">
        <v>5976</v>
      </c>
      <c r="T3363" s="569" t="s">
        <v>5994</v>
      </c>
      <c r="U3363" s="569">
        <v>167.5</v>
      </c>
      <c r="V3363" s="569">
        <v>52</v>
      </c>
      <c r="W3363" s="620">
        <v>13500</v>
      </c>
      <c r="X3363" s="621" t="s">
        <v>157</v>
      </c>
      <c r="Y3363" s="621" t="s">
        <v>728</v>
      </c>
      <c r="Z3363" s="621" t="s">
        <v>1523</v>
      </c>
      <c r="AA3363" s="622">
        <v>47510</v>
      </c>
      <c r="AB3363" s="622" t="s">
        <v>164</v>
      </c>
      <c r="AC3363" s="622">
        <v>37895</v>
      </c>
      <c r="AD3363" s="623">
        <v>6.25E-2</v>
      </c>
      <c r="AE3363" s="621" t="s">
        <v>6035</v>
      </c>
    </row>
    <row r="3364" spans="1:31" s="572" customFormat="1" ht="30">
      <c r="A3364" s="570" t="s">
        <v>6036</v>
      </c>
      <c r="B3364" s="573" t="s">
        <v>226</v>
      </c>
      <c r="C3364" s="578" t="s">
        <v>227</v>
      </c>
      <c r="D3364" s="573" t="s">
        <v>3374</v>
      </c>
      <c r="E3364" s="573" t="s">
        <v>1684</v>
      </c>
      <c r="F3364" s="573" t="s">
        <v>3265</v>
      </c>
      <c r="G3364" s="573">
        <v>2019</v>
      </c>
      <c r="H3364" s="573" t="s">
        <v>5949</v>
      </c>
      <c r="I3364" s="573" t="s">
        <v>6038</v>
      </c>
      <c r="J3364" s="573" t="s">
        <v>3377</v>
      </c>
      <c r="K3364" s="573">
        <v>3</v>
      </c>
      <c r="L3364" s="573">
        <v>0</v>
      </c>
      <c r="M3364" s="573" t="s">
        <v>157</v>
      </c>
      <c r="N3364" s="573">
        <v>1</v>
      </c>
      <c r="O3364" s="573" t="s">
        <v>5988</v>
      </c>
      <c r="P3364" s="571">
        <v>17270</v>
      </c>
      <c r="Q3364" s="573" t="s">
        <v>4231</v>
      </c>
      <c r="R3364" s="573">
        <v>6</v>
      </c>
      <c r="S3364" s="582" t="s">
        <v>5970</v>
      </c>
      <c r="T3364" s="573" t="s">
        <v>5994</v>
      </c>
      <c r="U3364" s="573">
        <v>143.5</v>
      </c>
      <c r="V3364" s="573">
        <v>22</v>
      </c>
      <c r="W3364" s="616">
        <v>10000</v>
      </c>
      <c r="X3364" s="617">
        <v>13</v>
      </c>
      <c r="Y3364" s="617" t="s">
        <v>728</v>
      </c>
      <c r="Z3364" s="617" t="s">
        <v>1523</v>
      </c>
      <c r="AA3364" s="618">
        <v>43660</v>
      </c>
      <c r="AB3364" s="618" t="s">
        <v>164</v>
      </c>
      <c r="AC3364" s="618">
        <v>37442</v>
      </c>
      <c r="AD3364" s="619">
        <v>6.25E-2</v>
      </c>
      <c r="AE3364" s="617" t="s">
        <v>6037</v>
      </c>
    </row>
    <row r="3365" spans="1:31" s="572" customFormat="1" ht="30">
      <c r="A3365" s="570" t="s">
        <v>6039</v>
      </c>
      <c r="B3365" s="569" t="s">
        <v>226</v>
      </c>
      <c r="C3365" s="580" t="s">
        <v>227</v>
      </c>
      <c r="D3365" s="569" t="s">
        <v>3374</v>
      </c>
      <c r="E3365" s="569" t="s">
        <v>1684</v>
      </c>
      <c r="F3365" s="569" t="s">
        <v>3265</v>
      </c>
      <c r="G3365" s="569">
        <v>2019</v>
      </c>
      <c r="H3365" s="569" t="s">
        <v>5949</v>
      </c>
      <c r="I3365" s="569" t="s">
        <v>6038</v>
      </c>
      <c r="J3365" s="569" t="s">
        <v>3377</v>
      </c>
      <c r="K3365" s="569">
        <v>3</v>
      </c>
      <c r="L3365" s="569">
        <v>0</v>
      </c>
      <c r="M3365" s="569" t="s">
        <v>157</v>
      </c>
      <c r="N3365" s="569">
        <v>1</v>
      </c>
      <c r="O3365" s="569" t="s">
        <v>5988</v>
      </c>
      <c r="P3365" s="568">
        <v>17920</v>
      </c>
      <c r="Q3365" s="569" t="s">
        <v>5873</v>
      </c>
      <c r="R3365" s="569">
        <v>8</v>
      </c>
      <c r="S3365" s="569" t="s">
        <v>5970</v>
      </c>
      <c r="T3365" s="569" t="s">
        <v>931</v>
      </c>
      <c r="U3365" s="569">
        <v>143.5</v>
      </c>
      <c r="V3365" s="569">
        <v>22</v>
      </c>
      <c r="W3365" s="620">
        <v>10000</v>
      </c>
      <c r="X3365" s="621">
        <v>13</v>
      </c>
      <c r="Y3365" s="621" t="s">
        <v>5870</v>
      </c>
      <c r="Z3365" s="621" t="s">
        <v>5870</v>
      </c>
      <c r="AA3365" s="622">
        <v>34715</v>
      </c>
      <c r="AB3365" s="622" t="s">
        <v>164</v>
      </c>
      <c r="AC3365" s="622">
        <v>29847</v>
      </c>
      <c r="AD3365" s="623">
        <v>6.25E-2</v>
      </c>
      <c r="AE3365" s="621" t="s">
        <v>6040</v>
      </c>
    </row>
    <row r="3366" spans="1:31" s="572" customFormat="1" ht="30">
      <c r="A3366" s="570" t="s">
        <v>6041</v>
      </c>
      <c r="B3366" s="573" t="s">
        <v>226</v>
      </c>
      <c r="C3366" s="578" t="s">
        <v>227</v>
      </c>
      <c r="D3366" s="573" t="s">
        <v>3374</v>
      </c>
      <c r="E3366" s="573" t="s">
        <v>1684</v>
      </c>
      <c r="F3366" s="573" t="s">
        <v>3265</v>
      </c>
      <c r="G3366" s="573">
        <v>2019</v>
      </c>
      <c r="H3366" s="573" t="s">
        <v>5949</v>
      </c>
      <c r="I3366" s="573" t="s">
        <v>6038</v>
      </c>
      <c r="J3366" s="573" t="s">
        <v>3377</v>
      </c>
      <c r="K3366" s="573">
        <v>3</v>
      </c>
      <c r="L3366" s="573">
        <v>0</v>
      </c>
      <c r="M3366" s="573" t="s">
        <v>157</v>
      </c>
      <c r="N3366" s="573">
        <v>1</v>
      </c>
      <c r="O3366" s="573" t="s">
        <v>5988</v>
      </c>
      <c r="P3366" s="571">
        <v>18050</v>
      </c>
      <c r="Q3366" s="573" t="s">
        <v>5873</v>
      </c>
      <c r="R3366" s="573">
        <v>8</v>
      </c>
      <c r="S3366" s="582" t="s">
        <v>5970</v>
      </c>
      <c r="T3366" s="573" t="s">
        <v>5997</v>
      </c>
      <c r="U3366" s="573">
        <v>143.5</v>
      </c>
      <c r="V3366" s="573">
        <v>22</v>
      </c>
      <c r="W3366" s="616">
        <v>10000</v>
      </c>
      <c r="X3366" s="617">
        <v>13</v>
      </c>
      <c r="Y3366" s="617" t="s">
        <v>5870</v>
      </c>
      <c r="Z3366" s="617" t="s">
        <v>5870</v>
      </c>
      <c r="AA3366" s="618">
        <v>36315</v>
      </c>
      <c r="AB3366" s="618" t="s">
        <v>164</v>
      </c>
      <c r="AC3366" s="618">
        <v>31297</v>
      </c>
      <c r="AD3366" s="619">
        <v>6.25E-2</v>
      </c>
      <c r="AE3366" s="617" t="s">
        <v>6042</v>
      </c>
    </row>
    <row r="3367" spans="1:31" s="572" customFormat="1" ht="30">
      <c r="A3367" s="570" t="s">
        <v>6043</v>
      </c>
      <c r="B3367" s="569" t="s">
        <v>226</v>
      </c>
      <c r="C3367" s="580" t="s">
        <v>227</v>
      </c>
      <c r="D3367" s="569" t="s">
        <v>3374</v>
      </c>
      <c r="E3367" s="569" t="s">
        <v>1684</v>
      </c>
      <c r="F3367" s="569" t="s">
        <v>3265</v>
      </c>
      <c r="G3367" s="569">
        <v>2019</v>
      </c>
      <c r="H3367" s="569" t="s">
        <v>5949</v>
      </c>
      <c r="I3367" s="569" t="s">
        <v>6038</v>
      </c>
      <c r="J3367" s="569" t="s">
        <v>752</v>
      </c>
      <c r="K3367" s="569">
        <v>3</v>
      </c>
      <c r="L3367" s="569">
        <v>0</v>
      </c>
      <c r="M3367" s="569" t="s">
        <v>157</v>
      </c>
      <c r="N3367" s="569">
        <v>1</v>
      </c>
      <c r="O3367" s="569" t="s">
        <v>5988</v>
      </c>
      <c r="P3367" s="568">
        <v>17030</v>
      </c>
      <c r="Q3367" s="569" t="s">
        <v>4231</v>
      </c>
      <c r="R3367" s="569">
        <v>6</v>
      </c>
      <c r="S3367" s="569" t="s">
        <v>5982</v>
      </c>
      <c r="T3367" s="569" t="s">
        <v>5994</v>
      </c>
      <c r="U3367" s="569">
        <v>143.5</v>
      </c>
      <c r="V3367" s="569">
        <v>22</v>
      </c>
      <c r="W3367" s="620">
        <v>10000</v>
      </c>
      <c r="X3367" s="621">
        <v>12</v>
      </c>
      <c r="Y3367" s="621" t="s">
        <v>728</v>
      </c>
      <c r="Z3367" s="621" t="s">
        <v>1523</v>
      </c>
      <c r="AA3367" s="622">
        <v>46910</v>
      </c>
      <c r="AB3367" s="622" t="s">
        <v>164</v>
      </c>
      <c r="AC3367" s="622">
        <v>39891</v>
      </c>
      <c r="AD3367" s="623">
        <v>6.25E-2</v>
      </c>
      <c r="AE3367" s="621" t="s">
        <v>6044</v>
      </c>
    </row>
    <row r="3368" spans="1:31" s="572" customFormat="1" ht="30">
      <c r="A3368" s="570" t="s">
        <v>6045</v>
      </c>
      <c r="B3368" s="573" t="s">
        <v>226</v>
      </c>
      <c r="C3368" s="578" t="s">
        <v>227</v>
      </c>
      <c r="D3368" s="573" t="s">
        <v>3374</v>
      </c>
      <c r="E3368" s="573" t="s">
        <v>1684</v>
      </c>
      <c r="F3368" s="573" t="s">
        <v>3265</v>
      </c>
      <c r="G3368" s="573">
        <v>2019</v>
      </c>
      <c r="H3368" s="573" t="s">
        <v>5949</v>
      </c>
      <c r="I3368" s="573" t="s">
        <v>6038</v>
      </c>
      <c r="J3368" s="573" t="s">
        <v>752</v>
      </c>
      <c r="K3368" s="573">
        <v>3</v>
      </c>
      <c r="L3368" s="573">
        <v>0</v>
      </c>
      <c r="M3368" s="573" t="s">
        <v>157</v>
      </c>
      <c r="N3368" s="573">
        <v>1</v>
      </c>
      <c r="O3368" s="573" t="s">
        <v>5988</v>
      </c>
      <c r="P3368" s="571">
        <v>17680</v>
      </c>
      <c r="Q3368" s="573" t="s">
        <v>5873</v>
      </c>
      <c r="R3368" s="573">
        <v>8</v>
      </c>
      <c r="S3368" s="582" t="s">
        <v>5982</v>
      </c>
      <c r="T3368" s="573" t="s">
        <v>931</v>
      </c>
      <c r="U3368" s="573">
        <v>143.5</v>
      </c>
      <c r="V3368" s="573">
        <v>22</v>
      </c>
      <c r="W3368" s="616">
        <v>10000</v>
      </c>
      <c r="X3368" s="617">
        <v>12</v>
      </c>
      <c r="Y3368" s="617" t="s">
        <v>5870</v>
      </c>
      <c r="Z3368" s="617" t="s">
        <v>5870</v>
      </c>
      <c r="AA3368" s="618">
        <v>37965</v>
      </c>
      <c r="AB3368" s="618" t="s">
        <v>164</v>
      </c>
      <c r="AC3368" s="618">
        <v>31781</v>
      </c>
      <c r="AD3368" s="619">
        <v>6.25E-2</v>
      </c>
      <c r="AE3368" s="617" t="s">
        <v>6046</v>
      </c>
    </row>
    <row r="3369" spans="1:31" s="572" customFormat="1" ht="30">
      <c r="A3369" s="570" t="s">
        <v>6047</v>
      </c>
      <c r="B3369" s="569" t="s">
        <v>226</v>
      </c>
      <c r="C3369" s="580" t="s">
        <v>227</v>
      </c>
      <c r="D3369" s="569" t="s">
        <v>3374</v>
      </c>
      <c r="E3369" s="569" t="s">
        <v>1684</v>
      </c>
      <c r="F3369" s="569" t="s">
        <v>3265</v>
      </c>
      <c r="G3369" s="569">
        <v>2019</v>
      </c>
      <c r="H3369" s="569" t="s">
        <v>5949</v>
      </c>
      <c r="I3369" s="569" t="s">
        <v>6038</v>
      </c>
      <c r="J3369" s="569" t="s">
        <v>752</v>
      </c>
      <c r="K3369" s="569">
        <v>3</v>
      </c>
      <c r="L3369" s="569">
        <v>0</v>
      </c>
      <c r="M3369" s="569" t="s">
        <v>157</v>
      </c>
      <c r="N3369" s="569">
        <v>1</v>
      </c>
      <c r="O3369" s="569" t="s">
        <v>5988</v>
      </c>
      <c r="P3369" s="568">
        <v>17810</v>
      </c>
      <c r="Q3369" s="569" t="s">
        <v>5873</v>
      </c>
      <c r="R3369" s="569">
        <v>8</v>
      </c>
      <c r="S3369" s="569" t="s">
        <v>5982</v>
      </c>
      <c r="T3369" s="569" t="s">
        <v>5997</v>
      </c>
      <c r="U3369" s="569">
        <v>143.5</v>
      </c>
      <c r="V3369" s="569">
        <v>22</v>
      </c>
      <c r="W3369" s="620">
        <v>10000</v>
      </c>
      <c r="X3369" s="621">
        <v>12</v>
      </c>
      <c r="Y3369" s="621" t="s">
        <v>5870</v>
      </c>
      <c r="Z3369" s="621" t="s">
        <v>5870</v>
      </c>
      <c r="AA3369" s="622">
        <v>39565</v>
      </c>
      <c r="AB3369" s="622" t="s">
        <v>164</v>
      </c>
      <c r="AC3369" s="622">
        <v>33232</v>
      </c>
      <c r="AD3369" s="623">
        <v>6.25E-2</v>
      </c>
      <c r="AE3369" s="621" t="s">
        <v>6048</v>
      </c>
    </row>
    <row r="3370" spans="1:31" s="572" customFormat="1">
      <c r="A3370" s="570" t="s">
        <v>6049</v>
      </c>
      <c r="B3370" s="573" t="s">
        <v>605</v>
      </c>
      <c r="C3370" s="578">
        <v>12</v>
      </c>
      <c r="D3370" s="573" t="s">
        <v>3374</v>
      </c>
      <c r="E3370" s="573" t="s">
        <v>211</v>
      </c>
      <c r="F3370" s="573" t="s">
        <v>606</v>
      </c>
      <c r="G3370" s="573">
        <v>2019</v>
      </c>
      <c r="H3370" s="573" t="s">
        <v>6051</v>
      </c>
      <c r="I3370" s="573" t="s">
        <v>6052</v>
      </c>
      <c r="J3370" s="573" t="s">
        <v>3377</v>
      </c>
      <c r="K3370" s="573">
        <v>4</v>
      </c>
      <c r="L3370" s="573">
        <v>0</v>
      </c>
      <c r="M3370" s="573" t="s">
        <v>157</v>
      </c>
      <c r="N3370" s="573">
        <v>2</v>
      </c>
      <c r="O3370" s="573" t="s">
        <v>5240</v>
      </c>
      <c r="P3370" s="571">
        <v>3500</v>
      </c>
      <c r="Q3370" s="573" t="s">
        <v>1500</v>
      </c>
      <c r="R3370" s="573">
        <v>4</v>
      </c>
      <c r="S3370" s="582">
        <v>7162</v>
      </c>
      <c r="T3370" s="573" t="s">
        <v>609</v>
      </c>
      <c r="U3370" s="573">
        <v>127.4</v>
      </c>
      <c r="V3370" s="573">
        <v>21.1</v>
      </c>
      <c r="W3370" s="616">
        <v>5600</v>
      </c>
      <c r="X3370" s="617">
        <v>21</v>
      </c>
      <c r="Y3370" s="617" t="s">
        <v>178</v>
      </c>
      <c r="Z3370" s="617" t="s">
        <v>178</v>
      </c>
      <c r="AA3370" s="618">
        <v>26645</v>
      </c>
      <c r="AB3370" s="618" t="s">
        <v>164</v>
      </c>
      <c r="AC3370" s="618">
        <v>25200</v>
      </c>
      <c r="AD3370" s="619">
        <v>0.05</v>
      </c>
      <c r="AE3370" s="617" t="s">
        <v>6050</v>
      </c>
    </row>
    <row r="3371" spans="1:31" s="572" customFormat="1">
      <c r="A3371" s="570" t="s">
        <v>6053</v>
      </c>
      <c r="B3371" s="569" t="s">
        <v>605</v>
      </c>
      <c r="C3371" s="580">
        <v>12</v>
      </c>
      <c r="D3371" s="569" t="s">
        <v>3374</v>
      </c>
      <c r="E3371" s="569" t="s">
        <v>211</v>
      </c>
      <c r="F3371" s="569" t="s">
        <v>606</v>
      </c>
      <c r="G3371" s="569">
        <v>2019</v>
      </c>
      <c r="H3371" s="569" t="s">
        <v>6051</v>
      </c>
      <c r="I3371" s="569" t="s">
        <v>6052</v>
      </c>
      <c r="J3371" s="569" t="s">
        <v>752</v>
      </c>
      <c r="K3371" s="569">
        <v>4</v>
      </c>
      <c r="L3371" s="569">
        <v>0</v>
      </c>
      <c r="M3371" s="569" t="s">
        <v>157</v>
      </c>
      <c r="N3371" s="569">
        <v>2</v>
      </c>
      <c r="O3371" s="569" t="s">
        <v>6055</v>
      </c>
      <c r="P3371" s="568">
        <v>3500</v>
      </c>
      <c r="Q3371" s="569" t="s">
        <v>1500</v>
      </c>
      <c r="R3371" s="569">
        <v>4</v>
      </c>
      <c r="S3371" s="569">
        <v>7514</v>
      </c>
      <c r="T3371" s="569" t="s">
        <v>609</v>
      </c>
      <c r="U3371" s="569">
        <v>127.4</v>
      </c>
      <c r="V3371" s="569">
        <v>21.1</v>
      </c>
      <c r="W3371" s="620">
        <v>5600</v>
      </c>
      <c r="X3371" s="621">
        <v>20</v>
      </c>
      <c r="Y3371" s="621" t="s">
        <v>178</v>
      </c>
      <c r="Z3371" s="621" t="s">
        <v>178</v>
      </c>
      <c r="AA3371" s="622">
        <v>29720</v>
      </c>
      <c r="AB3371" s="622" t="s">
        <v>164</v>
      </c>
      <c r="AC3371" s="622">
        <v>28250</v>
      </c>
      <c r="AD3371" s="623">
        <v>0.05</v>
      </c>
      <c r="AE3371" s="621" t="s">
        <v>6054</v>
      </c>
    </row>
    <row r="3372" spans="1:31" s="572" customFormat="1">
      <c r="A3372" s="570" t="s">
        <v>6056</v>
      </c>
      <c r="B3372" s="573" t="s">
        <v>605</v>
      </c>
      <c r="C3372" s="578">
        <v>12</v>
      </c>
      <c r="D3372" s="573" t="s">
        <v>3374</v>
      </c>
      <c r="E3372" s="573" t="s">
        <v>211</v>
      </c>
      <c r="F3372" s="573" t="s">
        <v>606</v>
      </c>
      <c r="G3372" s="573">
        <v>2019</v>
      </c>
      <c r="H3372" s="573" t="s">
        <v>6051</v>
      </c>
      <c r="I3372" s="573" t="s">
        <v>6058</v>
      </c>
      <c r="J3372" s="573" t="s">
        <v>752</v>
      </c>
      <c r="K3372" s="573">
        <v>4</v>
      </c>
      <c r="L3372" s="573">
        <v>0</v>
      </c>
      <c r="M3372" s="573" t="s">
        <v>157</v>
      </c>
      <c r="N3372" s="573">
        <v>2</v>
      </c>
      <c r="O3372" s="573" t="s">
        <v>6055</v>
      </c>
      <c r="P3372" s="571">
        <v>3500</v>
      </c>
      <c r="Q3372" s="573" t="s">
        <v>316</v>
      </c>
      <c r="R3372" s="573">
        <v>6</v>
      </c>
      <c r="S3372" s="582">
        <v>7558</v>
      </c>
      <c r="T3372" s="573" t="s">
        <v>609</v>
      </c>
      <c r="U3372" s="573">
        <v>127.4</v>
      </c>
      <c r="V3372" s="573">
        <v>21.1</v>
      </c>
      <c r="W3372" s="616">
        <v>5600</v>
      </c>
      <c r="X3372" s="617">
        <v>20</v>
      </c>
      <c r="Y3372" s="617" t="s">
        <v>178</v>
      </c>
      <c r="Z3372" s="617" t="s">
        <v>178</v>
      </c>
      <c r="AA3372" s="618">
        <v>34905</v>
      </c>
      <c r="AB3372" s="618" t="s">
        <v>164</v>
      </c>
      <c r="AC3372" s="618">
        <v>33300</v>
      </c>
      <c r="AD3372" s="619">
        <v>0.05</v>
      </c>
      <c r="AE3372" s="617" t="s">
        <v>6057</v>
      </c>
    </row>
    <row r="3373" spans="1:31" s="572" customFormat="1">
      <c r="A3373" s="570" t="s">
        <v>6059</v>
      </c>
      <c r="B3373" s="569" t="s">
        <v>605</v>
      </c>
      <c r="C3373" s="580">
        <v>12</v>
      </c>
      <c r="D3373" s="569" t="s">
        <v>3374</v>
      </c>
      <c r="E3373" s="569" t="s">
        <v>211</v>
      </c>
      <c r="F3373" s="569" t="s">
        <v>606</v>
      </c>
      <c r="G3373" s="569">
        <v>2019</v>
      </c>
      <c r="H3373" s="569" t="s">
        <v>6051</v>
      </c>
      <c r="I3373" s="569" t="s">
        <v>6061</v>
      </c>
      <c r="J3373" s="569" t="s">
        <v>3377</v>
      </c>
      <c r="K3373" s="569">
        <v>5</v>
      </c>
      <c r="L3373" s="569">
        <v>0</v>
      </c>
      <c r="M3373" s="569" t="s">
        <v>157</v>
      </c>
      <c r="N3373" s="569">
        <v>2</v>
      </c>
      <c r="O3373" s="569" t="s">
        <v>5257</v>
      </c>
      <c r="P3373" s="568">
        <v>3500</v>
      </c>
      <c r="Q3373" s="569" t="s">
        <v>1500</v>
      </c>
      <c r="R3373" s="569">
        <v>4</v>
      </c>
      <c r="S3373" s="569">
        <v>7186</v>
      </c>
      <c r="T3373" s="569" t="s">
        <v>609</v>
      </c>
      <c r="U3373" s="569">
        <v>127.4</v>
      </c>
      <c r="V3373" s="569">
        <v>21.1</v>
      </c>
      <c r="W3373" s="620">
        <v>5600</v>
      </c>
      <c r="X3373" s="621">
        <v>21</v>
      </c>
      <c r="Y3373" s="621" t="s">
        <v>178</v>
      </c>
      <c r="Z3373" s="621" t="s">
        <v>178</v>
      </c>
      <c r="AA3373" s="622">
        <v>27475</v>
      </c>
      <c r="AB3373" s="622" t="s">
        <v>164</v>
      </c>
      <c r="AC3373" s="622">
        <v>25700</v>
      </c>
      <c r="AD3373" s="623">
        <v>0.05</v>
      </c>
      <c r="AE3373" s="621" t="s">
        <v>6060</v>
      </c>
    </row>
    <row r="3374" spans="1:31" s="572" customFormat="1">
      <c r="A3374" s="570" t="s">
        <v>6062</v>
      </c>
      <c r="B3374" s="573" t="s">
        <v>605</v>
      </c>
      <c r="C3374" s="578">
        <v>12</v>
      </c>
      <c r="D3374" s="573" t="s">
        <v>3374</v>
      </c>
      <c r="E3374" s="573" t="s">
        <v>211</v>
      </c>
      <c r="F3374" s="573" t="s">
        <v>606</v>
      </c>
      <c r="G3374" s="573">
        <v>2019</v>
      </c>
      <c r="H3374" s="573" t="s">
        <v>6051</v>
      </c>
      <c r="I3374" s="573" t="s">
        <v>6064</v>
      </c>
      <c r="J3374" s="573" t="s">
        <v>752</v>
      </c>
      <c r="K3374" s="573">
        <v>5</v>
      </c>
      <c r="L3374" s="573">
        <v>0</v>
      </c>
      <c r="M3374" s="573" t="s">
        <v>157</v>
      </c>
      <c r="N3374" s="573">
        <v>2</v>
      </c>
      <c r="O3374" s="573" t="s">
        <v>5257</v>
      </c>
      <c r="P3374" s="571">
        <v>3500</v>
      </c>
      <c r="Q3374" s="573" t="s">
        <v>316</v>
      </c>
      <c r="R3374" s="573">
        <v>6</v>
      </c>
      <c r="S3374" s="582">
        <v>7540</v>
      </c>
      <c r="T3374" s="573" t="s">
        <v>609</v>
      </c>
      <c r="U3374" s="573">
        <v>127.4</v>
      </c>
      <c r="V3374" s="573">
        <v>21.1</v>
      </c>
      <c r="W3374" s="616">
        <v>5600</v>
      </c>
      <c r="X3374" s="617">
        <v>20</v>
      </c>
      <c r="Y3374" s="617" t="s">
        <v>178</v>
      </c>
      <c r="Z3374" s="617" t="s">
        <v>178</v>
      </c>
      <c r="AA3374" s="618">
        <v>35785</v>
      </c>
      <c r="AB3374" s="618" t="s">
        <v>164</v>
      </c>
      <c r="AC3374" s="618">
        <v>33750</v>
      </c>
      <c r="AD3374" s="619">
        <v>0.05</v>
      </c>
      <c r="AE3374" s="617" t="s">
        <v>6063</v>
      </c>
    </row>
    <row r="3375" spans="1:31" s="572" customFormat="1">
      <c r="A3375" s="570" t="s">
        <v>6065</v>
      </c>
      <c r="B3375" s="569" t="s">
        <v>605</v>
      </c>
      <c r="C3375" s="580">
        <v>12</v>
      </c>
      <c r="D3375" s="569" t="s">
        <v>3374</v>
      </c>
      <c r="E3375" s="569" t="s">
        <v>211</v>
      </c>
      <c r="F3375" s="569" t="s">
        <v>606</v>
      </c>
      <c r="G3375" s="569">
        <v>2019</v>
      </c>
      <c r="H3375" s="569" t="s">
        <v>6051</v>
      </c>
      <c r="I3375" s="569" t="s">
        <v>6064</v>
      </c>
      <c r="J3375" s="569" t="s">
        <v>752</v>
      </c>
      <c r="K3375" s="569">
        <v>5</v>
      </c>
      <c r="L3375" s="569">
        <v>0</v>
      </c>
      <c r="M3375" s="569" t="s">
        <v>157</v>
      </c>
      <c r="N3375" s="569">
        <v>2</v>
      </c>
      <c r="O3375" s="569" t="s">
        <v>6055</v>
      </c>
      <c r="P3375" s="568">
        <v>3500</v>
      </c>
      <c r="Q3375" s="569" t="s">
        <v>316</v>
      </c>
      <c r="R3375" s="569">
        <v>6</v>
      </c>
      <c r="S3375" s="569">
        <v>7570</v>
      </c>
      <c r="T3375" s="569" t="s">
        <v>609</v>
      </c>
      <c r="U3375" s="569">
        <v>140.6</v>
      </c>
      <c r="V3375" s="569">
        <v>21.1</v>
      </c>
      <c r="W3375" s="620">
        <v>5600</v>
      </c>
      <c r="X3375" s="621">
        <v>20</v>
      </c>
      <c r="Y3375" s="621" t="s">
        <v>178</v>
      </c>
      <c r="Z3375" s="621" t="s">
        <v>178</v>
      </c>
      <c r="AA3375" s="622">
        <v>36285</v>
      </c>
      <c r="AB3375" s="622" t="s">
        <v>164</v>
      </c>
      <c r="AC3375" s="622">
        <v>34400</v>
      </c>
      <c r="AD3375" s="623">
        <v>0.05</v>
      </c>
      <c r="AE3375" s="621" t="s">
        <v>6066</v>
      </c>
    </row>
    <row r="3376" spans="1:31" s="572" customFormat="1">
      <c r="A3376" s="570" t="s">
        <v>6067</v>
      </c>
      <c r="B3376" s="573" t="s">
        <v>605</v>
      </c>
      <c r="C3376" s="578">
        <v>12</v>
      </c>
      <c r="D3376" s="573" t="s">
        <v>3374</v>
      </c>
      <c r="E3376" s="573" t="s">
        <v>152</v>
      </c>
      <c r="F3376" s="573" t="s">
        <v>606</v>
      </c>
      <c r="G3376" s="573">
        <v>2019</v>
      </c>
      <c r="H3376" s="573" t="s">
        <v>6069</v>
      </c>
      <c r="I3376" s="573" t="s">
        <v>6070</v>
      </c>
      <c r="J3376" s="573" t="s">
        <v>3377</v>
      </c>
      <c r="K3376" s="573">
        <v>5</v>
      </c>
      <c r="L3376" s="573">
        <v>0</v>
      </c>
      <c r="M3376" s="573" t="s">
        <v>157</v>
      </c>
      <c r="N3376" s="573">
        <v>2</v>
      </c>
      <c r="O3376" s="573" t="s">
        <v>3767</v>
      </c>
      <c r="P3376" s="571">
        <v>9500</v>
      </c>
      <c r="Q3376" s="573" t="s">
        <v>646</v>
      </c>
      <c r="R3376" s="573">
        <v>8</v>
      </c>
      <c r="S3376" s="582">
        <v>8272</v>
      </c>
      <c r="T3376" s="573" t="s">
        <v>609</v>
      </c>
      <c r="U3376" s="573">
        <v>145.69999999999999</v>
      </c>
      <c r="V3376" s="573">
        <v>38</v>
      </c>
      <c r="W3376" s="616">
        <v>7000</v>
      </c>
      <c r="X3376" s="617">
        <v>15</v>
      </c>
      <c r="Y3376" s="617" t="s">
        <v>178</v>
      </c>
      <c r="Z3376" s="617" t="s">
        <v>178</v>
      </c>
      <c r="AA3376" s="618">
        <v>44045</v>
      </c>
      <c r="AB3376" s="618" t="s">
        <v>164</v>
      </c>
      <c r="AC3376" s="618">
        <v>40950</v>
      </c>
      <c r="AD3376" s="619">
        <v>0.05</v>
      </c>
      <c r="AE3376" s="617" t="s">
        <v>6068</v>
      </c>
    </row>
    <row r="3377" spans="1:31" s="572" customFormat="1">
      <c r="A3377" s="570" t="s">
        <v>6071</v>
      </c>
      <c r="B3377" s="569" t="s">
        <v>605</v>
      </c>
      <c r="C3377" s="580">
        <v>12</v>
      </c>
      <c r="D3377" s="569" t="s">
        <v>3374</v>
      </c>
      <c r="E3377" s="569" t="s">
        <v>152</v>
      </c>
      <c r="F3377" s="569" t="s">
        <v>606</v>
      </c>
      <c r="G3377" s="569">
        <v>2019</v>
      </c>
      <c r="H3377" s="569" t="s">
        <v>6069</v>
      </c>
      <c r="I3377" s="569" t="s">
        <v>6070</v>
      </c>
      <c r="J3377" s="569" t="s">
        <v>752</v>
      </c>
      <c r="K3377" s="569">
        <v>5</v>
      </c>
      <c r="L3377" s="569">
        <v>0</v>
      </c>
      <c r="M3377" s="569" t="s">
        <v>157</v>
      </c>
      <c r="N3377" s="569">
        <v>2</v>
      </c>
      <c r="O3377" s="569" t="s">
        <v>5351</v>
      </c>
      <c r="P3377" s="568">
        <v>8900</v>
      </c>
      <c r="Q3377" s="569" t="s">
        <v>646</v>
      </c>
      <c r="R3377" s="569">
        <v>8</v>
      </c>
      <c r="S3377" s="569">
        <v>8372</v>
      </c>
      <c r="T3377" s="569" t="s">
        <v>609</v>
      </c>
      <c r="U3377" s="569">
        <v>145.69999999999999</v>
      </c>
      <c r="V3377" s="569">
        <v>38</v>
      </c>
      <c r="W3377" s="620">
        <v>7200</v>
      </c>
      <c r="X3377" s="621">
        <v>14</v>
      </c>
      <c r="Y3377" s="621" t="s">
        <v>178</v>
      </c>
      <c r="Z3377" s="621" t="s">
        <v>178</v>
      </c>
      <c r="AA3377" s="622">
        <v>47095</v>
      </c>
      <c r="AB3377" s="622" t="s">
        <v>164</v>
      </c>
      <c r="AC3377" s="622">
        <v>43900</v>
      </c>
      <c r="AD3377" s="623">
        <v>0.05</v>
      </c>
      <c r="AE3377" s="621" t="s">
        <v>6072</v>
      </c>
    </row>
    <row r="3378" spans="1:31" s="572" customFormat="1">
      <c r="A3378" s="570" t="s">
        <v>6073</v>
      </c>
      <c r="B3378" s="573" t="s">
        <v>605</v>
      </c>
      <c r="C3378" s="578">
        <v>12</v>
      </c>
      <c r="D3378" s="573" t="s">
        <v>3374</v>
      </c>
      <c r="E3378" s="573" t="s">
        <v>152</v>
      </c>
      <c r="F3378" s="573" t="s">
        <v>606</v>
      </c>
      <c r="G3378" s="573">
        <v>2019</v>
      </c>
      <c r="H3378" s="573" t="s">
        <v>6069</v>
      </c>
      <c r="I3378" s="573" t="s">
        <v>6075</v>
      </c>
      <c r="J3378" s="573" t="s">
        <v>3377</v>
      </c>
      <c r="K3378" s="573">
        <v>5</v>
      </c>
      <c r="L3378" s="573">
        <v>0</v>
      </c>
      <c r="M3378" s="573" t="s">
        <v>157</v>
      </c>
      <c r="N3378" s="573">
        <v>2</v>
      </c>
      <c r="O3378" s="573" t="s">
        <v>3781</v>
      </c>
      <c r="P3378" s="571">
        <v>10200</v>
      </c>
      <c r="Q3378" s="573" t="s">
        <v>646</v>
      </c>
      <c r="R3378" s="573">
        <v>8</v>
      </c>
      <c r="S3378" s="582">
        <v>8252</v>
      </c>
      <c r="T3378" s="573" t="s">
        <v>609</v>
      </c>
      <c r="U3378" s="573">
        <v>145.69999999999999</v>
      </c>
      <c r="V3378" s="573">
        <v>38</v>
      </c>
      <c r="W3378" s="616">
        <v>6900</v>
      </c>
      <c r="X3378" s="617">
        <v>15</v>
      </c>
      <c r="Y3378" s="617" t="s">
        <v>178</v>
      </c>
      <c r="Z3378" s="617" t="s">
        <v>178</v>
      </c>
      <c r="AA3378" s="618">
        <v>42180</v>
      </c>
      <c r="AB3378" s="618" t="s">
        <v>164</v>
      </c>
      <c r="AC3378" s="618">
        <v>39200</v>
      </c>
      <c r="AD3378" s="619">
        <v>0.05</v>
      </c>
      <c r="AE3378" s="617" t="s">
        <v>6074</v>
      </c>
    </row>
    <row r="3379" spans="1:31" s="572" customFormat="1">
      <c r="A3379" s="570" t="s">
        <v>6076</v>
      </c>
      <c r="B3379" s="569" t="s">
        <v>605</v>
      </c>
      <c r="C3379" s="580">
        <v>12</v>
      </c>
      <c r="D3379" s="569" t="s">
        <v>3374</v>
      </c>
      <c r="E3379" s="569" t="s">
        <v>152</v>
      </c>
      <c r="F3379" s="569" t="s">
        <v>606</v>
      </c>
      <c r="G3379" s="569">
        <v>2019</v>
      </c>
      <c r="H3379" s="569" t="s">
        <v>6069</v>
      </c>
      <c r="I3379" s="569" t="s">
        <v>6075</v>
      </c>
      <c r="J3379" s="569" t="s">
        <v>752</v>
      </c>
      <c r="K3379" s="569">
        <v>5</v>
      </c>
      <c r="L3379" s="569">
        <v>0</v>
      </c>
      <c r="M3379" s="569" t="s">
        <v>157</v>
      </c>
      <c r="N3379" s="569">
        <v>2</v>
      </c>
      <c r="O3379" s="569" t="s">
        <v>3781</v>
      </c>
      <c r="P3379" s="568">
        <v>9100</v>
      </c>
      <c r="Q3379" s="569" t="s">
        <v>646</v>
      </c>
      <c r="R3379" s="569">
        <v>8</v>
      </c>
      <c r="S3379" s="569">
        <v>8352</v>
      </c>
      <c r="T3379" s="569" t="s">
        <v>609</v>
      </c>
      <c r="U3379" s="569">
        <v>145.69999999999999</v>
      </c>
      <c r="V3379" s="569">
        <v>38</v>
      </c>
      <c r="W3379" s="620">
        <v>7100</v>
      </c>
      <c r="X3379" s="621">
        <v>14</v>
      </c>
      <c r="Y3379" s="621" t="s">
        <v>178</v>
      </c>
      <c r="Z3379" s="621" t="s">
        <v>178</v>
      </c>
      <c r="AA3379" s="622">
        <v>45230</v>
      </c>
      <c r="AB3379" s="622" t="s">
        <v>164</v>
      </c>
      <c r="AC3379" s="622">
        <v>42100</v>
      </c>
      <c r="AD3379" s="623">
        <v>0.05</v>
      </c>
      <c r="AE3379" s="621" t="s">
        <v>6077</v>
      </c>
    </row>
    <row r="3380" spans="1:31" s="572" customFormat="1">
      <c r="A3380" s="570" t="s">
        <v>6078</v>
      </c>
      <c r="B3380" s="573" t="s">
        <v>605</v>
      </c>
      <c r="C3380" s="578">
        <v>12</v>
      </c>
      <c r="D3380" s="573" t="s">
        <v>3374</v>
      </c>
      <c r="E3380" s="573" t="s">
        <v>152</v>
      </c>
      <c r="F3380" s="573" t="s">
        <v>606</v>
      </c>
      <c r="G3380" s="573">
        <v>2019</v>
      </c>
      <c r="H3380" s="573" t="s">
        <v>6069</v>
      </c>
      <c r="I3380" s="573" t="s">
        <v>6080</v>
      </c>
      <c r="J3380" s="573" t="s">
        <v>3377</v>
      </c>
      <c r="K3380" s="573">
        <v>6</v>
      </c>
      <c r="L3380" s="573">
        <v>0</v>
      </c>
      <c r="M3380" s="573" t="s">
        <v>157</v>
      </c>
      <c r="N3380" s="573">
        <v>2</v>
      </c>
      <c r="O3380" s="573" t="s">
        <v>3781</v>
      </c>
      <c r="P3380" s="571">
        <v>10200</v>
      </c>
      <c r="Q3380" s="573" t="s">
        <v>646</v>
      </c>
      <c r="R3380" s="573">
        <v>8</v>
      </c>
      <c r="S3380" s="582">
        <v>8242</v>
      </c>
      <c r="T3380" s="573" t="s">
        <v>609</v>
      </c>
      <c r="U3380" s="573">
        <v>145.69999999999999</v>
      </c>
      <c r="V3380" s="573">
        <v>26.4</v>
      </c>
      <c r="W3380" s="616">
        <v>6900</v>
      </c>
      <c r="X3380" s="617">
        <v>15</v>
      </c>
      <c r="Y3380" s="617" t="s">
        <v>178</v>
      </c>
      <c r="Z3380" s="617" t="s">
        <v>178</v>
      </c>
      <c r="AA3380" s="618">
        <v>34185</v>
      </c>
      <c r="AB3380" s="618" t="s">
        <v>164</v>
      </c>
      <c r="AC3380" s="618">
        <v>31500</v>
      </c>
      <c r="AD3380" s="619">
        <v>0.05</v>
      </c>
      <c r="AE3380" s="617" t="s">
        <v>6079</v>
      </c>
    </row>
    <row r="3381" spans="1:31" s="572" customFormat="1">
      <c r="A3381" s="570" t="s">
        <v>6081</v>
      </c>
      <c r="B3381" s="569" t="s">
        <v>605</v>
      </c>
      <c r="C3381" s="580">
        <v>12</v>
      </c>
      <c r="D3381" s="569" t="s">
        <v>3374</v>
      </c>
      <c r="E3381" s="569" t="s">
        <v>152</v>
      </c>
      <c r="F3381" s="569" t="s">
        <v>606</v>
      </c>
      <c r="G3381" s="569">
        <v>2019</v>
      </c>
      <c r="H3381" s="569" t="s">
        <v>6069</v>
      </c>
      <c r="I3381" s="569" t="s">
        <v>6080</v>
      </c>
      <c r="J3381" s="569" t="s">
        <v>3377</v>
      </c>
      <c r="K3381" s="569">
        <v>6</v>
      </c>
      <c r="L3381" s="569">
        <v>0</v>
      </c>
      <c r="M3381" s="569" t="s">
        <v>157</v>
      </c>
      <c r="N3381" s="569">
        <v>2</v>
      </c>
      <c r="O3381" s="569" t="s">
        <v>3781</v>
      </c>
      <c r="P3381" s="568">
        <v>6800</v>
      </c>
      <c r="Q3381" s="569" t="s">
        <v>6083</v>
      </c>
      <c r="R3381" s="569">
        <v>8</v>
      </c>
      <c r="S3381" s="569">
        <v>8239</v>
      </c>
      <c r="T3381" s="569" t="s">
        <v>609</v>
      </c>
      <c r="U3381" s="569">
        <v>145.69999999999999</v>
      </c>
      <c r="V3381" s="569">
        <v>26.4</v>
      </c>
      <c r="W3381" s="620">
        <v>6700</v>
      </c>
      <c r="X3381" s="621">
        <v>16</v>
      </c>
      <c r="Y3381" s="621" t="s">
        <v>178</v>
      </c>
      <c r="Z3381" s="621" t="s">
        <v>178</v>
      </c>
      <c r="AA3381" s="622">
        <v>32915</v>
      </c>
      <c r="AB3381" s="622" t="s">
        <v>164</v>
      </c>
      <c r="AC3381" s="622">
        <v>30200</v>
      </c>
      <c r="AD3381" s="623">
        <v>0.05</v>
      </c>
      <c r="AE3381" s="621" t="s">
        <v>6082</v>
      </c>
    </row>
    <row r="3382" spans="1:31" s="572" customFormat="1">
      <c r="A3382" s="570" t="s">
        <v>6084</v>
      </c>
      <c r="B3382" s="573" t="s">
        <v>605</v>
      </c>
      <c r="C3382" s="578">
        <v>12</v>
      </c>
      <c r="D3382" s="573" t="s">
        <v>3374</v>
      </c>
      <c r="E3382" s="573" t="s">
        <v>152</v>
      </c>
      <c r="F3382" s="573" t="s">
        <v>606</v>
      </c>
      <c r="G3382" s="573">
        <v>2019</v>
      </c>
      <c r="H3382" s="573" t="s">
        <v>6069</v>
      </c>
      <c r="I3382" s="573" t="s">
        <v>6080</v>
      </c>
      <c r="J3382" s="573" t="s">
        <v>3377</v>
      </c>
      <c r="K3382" s="573">
        <v>6</v>
      </c>
      <c r="L3382" s="573">
        <v>0</v>
      </c>
      <c r="M3382" s="573" t="s">
        <v>157</v>
      </c>
      <c r="N3382" s="573">
        <v>2</v>
      </c>
      <c r="O3382" s="573" t="s">
        <v>3508</v>
      </c>
      <c r="P3382" s="571">
        <v>10200</v>
      </c>
      <c r="Q3382" s="573" t="s">
        <v>646</v>
      </c>
      <c r="R3382" s="573">
        <v>8</v>
      </c>
      <c r="S3382" s="582">
        <v>8245</v>
      </c>
      <c r="T3382" s="573" t="s">
        <v>609</v>
      </c>
      <c r="U3382" s="573">
        <v>164.6</v>
      </c>
      <c r="V3382" s="573">
        <v>26.4</v>
      </c>
      <c r="W3382" s="616">
        <v>7000</v>
      </c>
      <c r="X3382" s="617">
        <v>15</v>
      </c>
      <c r="Y3382" s="617" t="s">
        <v>178</v>
      </c>
      <c r="Z3382" s="617" t="s">
        <v>178</v>
      </c>
      <c r="AA3382" s="618">
        <v>34515</v>
      </c>
      <c r="AB3382" s="618" t="s">
        <v>164</v>
      </c>
      <c r="AC3382" s="618">
        <v>31750</v>
      </c>
      <c r="AD3382" s="619">
        <v>0.05</v>
      </c>
      <c r="AE3382" s="617" t="s">
        <v>6085</v>
      </c>
    </row>
    <row r="3383" spans="1:31" s="572" customFormat="1">
      <c r="A3383" s="570" t="s">
        <v>6086</v>
      </c>
      <c r="B3383" s="569" t="s">
        <v>605</v>
      </c>
      <c r="C3383" s="580">
        <v>12</v>
      </c>
      <c r="D3383" s="569" t="s">
        <v>3374</v>
      </c>
      <c r="E3383" s="569" t="s">
        <v>152</v>
      </c>
      <c r="F3383" s="569" t="s">
        <v>606</v>
      </c>
      <c r="G3383" s="569">
        <v>2019</v>
      </c>
      <c r="H3383" s="569" t="s">
        <v>6069</v>
      </c>
      <c r="I3383" s="569" t="s">
        <v>6080</v>
      </c>
      <c r="J3383" s="569" t="s">
        <v>752</v>
      </c>
      <c r="K3383" s="569">
        <v>6</v>
      </c>
      <c r="L3383" s="569">
        <v>0</v>
      </c>
      <c r="M3383" s="569" t="s">
        <v>157</v>
      </c>
      <c r="N3383" s="569">
        <v>2</v>
      </c>
      <c r="O3383" s="569" t="s">
        <v>3781</v>
      </c>
      <c r="P3383" s="568">
        <v>6500</v>
      </c>
      <c r="Q3383" s="569" t="s">
        <v>6083</v>
      </c>
      <c r="R3383" s="569">
        <v>8</v>
      </c>
      <c r="S3383" s="569">
        <v>8339</v>
      </c>
      <c r="T3383" s="569" t="s">
        <v>609</v>
      </c>
      <c r="U3383" s="569">
        <v>145.69999999999999</v>
      </c>
      <c r="V3383" s="569">
        <v>26.4</v>
      </c>
      <c r="W3383" s="620">
        <v>6900</v>
      </c>
      <c r="X3383" s="621">
        <v>16</v>
      </c>
      <c r="Y3383" s="621" t="s">
        <v>178</v>
      </c>
      <c r="Z3383" s="621" t="s">
        <v>178</v>
      </c>
      <c r="AA3383" s="622">
        <v>35965</v>
      </c>
      <c r="AB3383" s="622" t="s">
        <v>164</v>
      </c>
      <c r="AC3383" s="622">
        <v>33150</v>
      </c>
      <c r="AD3383" s="623">
        <v>0.05</v>
      </c>
      <c r="AE3383" s="621" t="s">
        <v>6087</v>
      </c>
    </row>
    <row r="3384" spans="1:31" s="572" customFormat="1">
      <c r="A3384" s="570" t="s">
        <v>6088</v>
      </c>
      <c r="B3384" s="573" t="s">
        <v>605</v>
      </c>
      <c r="C3384" s="578">
        <v>12</v>
      </c>
      <c r="D3384" s="573" t="s">
        <v>3374</v>
      </c>
      <c r="E3384" s="573" t="s">
        <v>152</v>
      </c>
      <c r="F3384" s="573" t="s">
        <v>606</v>
      </c>
      <c r="G3384" s="573">
        <v>2019</v>
      </c>
      <c r="H3384" s="573" t="s">
        <v>6069</v>
      </c>
      <c r="I3384" s="573" t="s">
        <v>6080</v>
      </c>
      <c r="J3384" s="573" t="s">
        <v>752</v>
      </c>
      <c r="K3384" s="573">
        <v>6</v>
      </c>
      <c r="L3384" s="573">
        <v>0</v>
      </c>
      <c r="M3384" s="573" t="s">
        <v>157</v>
      </c>
      <c r="N3384" s="573">
        <v>2</v>
      </c>
      <c r="O3384" s="573" t="s">
        <v>3781</v>
      </c>
      <c r="P3384" s="571">
        <v>9900</v>
      </c>
      <c r="Q3384" s="573" t="s">
        <v>646</v>
      </c>
      <c r="R3384" s="573">
        <v>8</v>
      </c>
      <c r="S3384" s="582">
        <v>8342</v>
      </c>
      <c r="T3384" s="573" t="s">
        <v>609</v>
      </c>
      <c r="U3384" s="573">
        <v>145.69999999999999</v>
      </c>
      <c r="V3384" s="573">
        <v>26.4</v>
      </c>
      <c r="W3384" s="616">
        <v>7100</v>
      </c>
      <c r="X3384" s="617">
        <v>14</v>
      </c>
      <c r="Y3384" s="617" t="s">
        <v>178</v>
      </c>
      <c r="Z3384" s="617" t="s">
        <v>178</v>
      </c>
      <c r="AA3384" s="618">
        <v>37235</v>
      </c>
      <c r="AB3384" s="618" t="s">
        <v>164</v>
      </c>
      <c r="AC3384" s="618">
        <v>34450</v>
      </c>
      <c r="AD3384" s="619">
        <v>0.05</v>
      </c>
      <c r="AE3384" s="617" t="s">
        <v>6089</v>
      </c>
    </row>
    <row r="3385" spans="1:31" s="572" customFormat="1">
      <c r="A3385" s="570" t="s">
        <v>6090</v>
      </c>
      <c r="B3385" s="569" t="s">
        <v>605</v>
      </c>
      <c r="C3385" s="580">
        <v>12</v>
      </c>
      <c r="D3385" s="569" t="s">
        <v>3374</v>
      </c>
      <c r="E3385" s="569" t="s">
        <v>152</v>
      </c>
      <c r="F3385" s="569" t="s">
        <v>606</v>
      </c>
      <c r="G3385" s="569">
        <v>2019</v>
      </c>
      <c r="H3385" s="569" t="s">
        <v>6069</v>
      </c>
      <c r="I3385" s="569" t="s">
        <v>6080</v>
      </c>
      <c r="J3385" s="569" t="s">
        <v>752</v>
      </c>
      <c r="K3385" s="569">
        <v>6</v>
      </c>
      <c r="L3385" s="569">
        <v>0</v>
      </c>
      <c r="M3385" s="569" t="s">
        <v>157</v>
      </c>
      <c r="N3385" s="569">
        <v>2</v>
      </c>
      <c r="O3385" s="569" t="s">
        <v>3508</v>
      </c>
      <c r="P3385" s="568">
        <v>9800</v>
      </c>
      <c r="Q3385" s="569" t="s">
        <v>646</v>
      </c>
      <c r="R3385" s="569">
        <v>8</v>
      </c>
      <c r="S3385" s="569">
        <v>8345</v>
      </c>
      <c r="T3385" s="569" t="s">
        <v>609</v>
      </c>
      <c r="U3385" s="569">
        <v>164.6</v>
      </c>
      <c r="V3385" s="569">
        <v>26.4</v>
      </c>
      <c r="W3385" s="620">
        <v>7200</v>
      </c>
      <c r="X3385" s="621">
        <v>14</v>
      </c>
      <c r="Y3385" s="621" t="s">
        <v>178</v>
      </c>
      <c r="Z3385" s="621" t="s">
        <v>178</v>
      </c>
      <c r="AA3385" s="622">
        <v>37565</v>
      </c>
      <c r="AB3385" s="622" t="s">
        <v>164</v>
      </c>
      <c r="AC3385" s="622">
        <v>34750</v>
      </c>
      <c r="AD3385" s="623">
        <v>0.05</v>
      </c>
      <c r="AE3385" s="621" t="s">
        <v>6091</v>
      </c>
    </row>
    <row r="3386" spans="1:31" s="572" customFormat="1">
      <c r="A3386" s="570" t="s">
        <v>6092</v>
      </c>
      <c r="B3386" s="573" t="s">
        <v>605</v>
      </c>
      <c r="C3386" s="578">
        <v>12</v>
      </c>
      <c r="D3386" s="573" t="s">
        <v>3374</v>
      </c>
      <c r="E3386" s="573" t="s">
        <v>152</v>
      </c>
      <c r="F3386" s="573" t="s">
        <v>606</v>
      </c>
      <c r="G3386" s="573">
        <v>2019</v>
      </c>
      <c r="H3386" s="573" t="s">
        <v>6069</v>
      </c>
      <c r="I3386" s="573" t="s">
        <v>6094</v>
      </c>
      <c r="J3386" s="573" t="s">
        <v>3377</v>
      </c>
      <c r="K3386" s="573">
        <v>6</v>
      </c>
      <c r="L3386" s="573">
        <v>0</v>
      </c>
      <c r="M3386" s="573" t="s">
        <v>157</v>
      </c>
      <c r="N3386" s="573">
        <v>2</v>
      </c>
      <c r="O3386" s="573" t="s">
        <v>3767</v>
      </c>
      <c r="P3386" s="571">
        <v>10100</v>
      </c>
      <c r="Q3386" s="573" t="s">
        <v>646</v>
      </c>
      <c r="R3386" s="573">
        <v>8</v>
      </c>
      <c r="S3386" s="582">
        <v>8261</v>
      </c>
      <c r="T3386" s="573" t="s">
        <v>609</v>
      </c>
      <c r="U3386" s="573">
        <v>145.69999999999999</v>
      </c>
      <c r="V3386" s="573">
        <v>26.4</v>
      </c>
      <c r="W3386" s="616">
        <v>7000</v>
      </c>
      <c r="X3386" s="617">
        <v>15</v>
      </c>
      <c r="Y3386" s="617" t="s">
        <v>178</v>
      </c>
      <c r="Z3386" s="617" t="s">
        <v>178</v>
      </c>
      <c r="AA3386" s="618">
        <v>38590</v>
      </c>
      <c r="AB3386" s="618" t="s">
        <v>164</v>
      </c>
      <c r="AC3386" s="618">
        <v>35700</v>
      </c>
      <c r="AD3386" s="619">
        <v>0.05</v>
      </c>
      <c r="AE3386" s="617" t="s">
        <v>6093</v>
      </c>
    </row>
    <row r="3387" spans="1:31" s="572" customFormat="1">
      <c r="A3387" s="570" t="s">
        <v>6095</v>
      </c>
      <c r="B3387" s="569" t="s">
        <v>605</v>
      </c>
      <c r="C3387" s="580">
        <v>12</v>
      </c>
      <c r="D3387" s="569" t="s">
        <v>3374</v>
      </c>
      <c r="E3387" s="569" t="s">
        <v>152</v>
      </c>
      <c r="F3387" s="569" t="s">
        <v>606</v>
      </c>
      <c r="G3387" s="569">
        <v>2019</v>
      </c>
      <c r="H3387" s="569" t="s">
        <v>6069</v>
      </c>
      <c r="I3387" s="569" t="s">
        <v>6094</v>
      </c>
      <c r="J3387" s="569" t="s">
        <v>3377</v>
      </c>
      <c r="K3387" s="569">
        <v>6</v>
      </c>
      <c r="L3387" s="569">
        <v>0</v>
      </c>
      <c r="M3387" s="569" t="s">
        <v>157</v>
      </c>
      <c r="N3387" s="569">
        <v>2</v>
      </c>
      <c r="O3387" s="569" t="s">
        <v>3767</v>
      </c>
      <c r="P3387" s="568">
        <v>6700</v>
      </c>
      <c r="Q3387" s="569" t="s">
        <v>6083</v>
      </c>
      <c r="R3387" s="569">
        <v>8</v>
      </c>
      <c r="S3387" s="569">
        <v>8259</v>
      </c>
      <c r="T3387" s="569" t="s">
        <v>609</v>
      </c>
      <c r="U3387" s="569">
        <v>145.69999999999999</v>
      </c>
      <c r="V3387" s="569">
        <v>26.4</v>
      </c>
      <c r="W3387" s="620">
        <v>6800</v>
      </c>
      <c r="X3387" s="621">
        <v>16</v>
      </c>
      <c r="Y3387" s="621" t="s">
        <v>178</v>
      </c>
      <c r="Z3387" s="621" t="s">
        <v>178</v>
      </c>
      <c r="AA3387" s="622">
        <v>37320</v>
      </c>
      <c r="AB3387" s="622" t="s">
        <v>164</v>
      </c>
      <c r="AC3387" s="622">
        <v>34400</v>
      </c>
      <c r="AD3387" s="623">
        <v>0.05</v>
      </c>
      <c r="AE3387" s="621" t="s">
        <v>6096</v>
      </c>
    </row>
    <row r="3388" spans="1:31" s="572" customFormat="1">
      <c r="A3388" s="570" t="s">
        <v>6097</v>
      </c>
      <c r="B3388" s="573" t="s">
        <v>605</v>
      </c>
      <c r="C3388" s="578">
        <v>12</v>
      </c>
      <c r="D3388" s="573" t="s">
        <v>3374</v>
      </c>
      <c r="E3388" s="573" t="s">
        <v>152</v>
      </c>
      <c r="F3388" s="573" t="s">
        <v>606</v>
      </c>
      <c r="G3388" s="573">
        <v>2019</v>
      </c>
      <c r="H3388" s="573" t="s">
        <v>6069</v>
      </c>
      <c r="I3388" s="573" t="s">
        <v>6094</v>
      </c>
      <c r="J3388" s="573" t="s">
        <v>752</v>
      </c>
      <c r="K3388" s="573">
        <v>6</v>
      </c>
      <c r="L3388" s="573">
        <v>0</v>
      </c>
      <c r="M3388" s="573" t="s">
        <v>157</v>
      </c>
      <c r="N3388" s="573">
        <v>2</v>
      </c>
      <c r="O3388" s="573" t="s">
        <v>5351</v>
      </c>
      <c r="P3388" s="571">
        <v>6400</v>
      </c>
      <c r="Q3388" s="573" t="s">
        <v>6083</v>
      </c>
      <c r="R3388" s="573">
        <v>8</v>
      </c>
      <c r="S3388" s="582">
        <v>8359</v>
      </c>
      <c r="T3388" s="573" t="s">
        <v>609</v>
      </c>
      <c r="U3388" s="573">
        <v>145.69999999999999</v>
      </c>
      <c r="V3388" s="573">
        <v>26.4</v>
      </c>
      <c r="W3388" s="616">
        <v>7000</v>
      </c>
      <c r="X3388" s="617">
        <v>16</v>
      </c>
      <c r="Y3388" s="617" t="s">
        <v>178</v>
      </c>
      <c r="Z3388" s="617" t="s">
        <v>178</v>
      </c>
      <c r="AA3388" s="618">
        <v>40370</v>
      </c>
      <c r="AB3388" s="618" t="s">
        <v>164</v>
      </c>
      <c r="AC3388" s="618">
        <v>37400</v>
      </c>
      <c r="AD3388" s="619">
        <v>0.05</v>
      </c>
      <c r="AE3388" s="617" t="s">
        <v>6098</v>
      </c>
    </row>
    <row r="3389" spans="1:31" s="572" customFormat="1">
      <c r="A3389" s="570" t="s">
        <v>6099</v>
      </c>
      <c r="B3389" s="569" t="s">
        <v>605</v>
      </c>
      <c r="C3389" s="580">
        <v>12</v>
      </c>
      <c r="D3389" s="569" t="s">
        <v>3374</v>
      </c>
      <c r="E3389" s="569" t="s">
        <v>152</v>
      </c>
      <c r="F3389" s="569" t="s">
        <v>606</v>
      </c>
      <c r="G3389" s="569">
        <v>2019</v>
      </c>
      <c r="H3389" s="569" t="s">
        <v>6069</v>
      </c>
      <c r="I3389" s="569" t="s">
        <v>6094</v>
      </c>
      <c r="J3389" s="569" t="s">
        <v>752</v>
      </c>
      <c r="K3389" s="569">
        <v>6</v>
      </c>
      <c r="L3389" s="569">
        <v>0</v>
      </c>
      <c r="M3389" s="569" t="s">
        <v>157</v>
      </c>
      <c r="N3389" s="569">
        <v>2</v>
      </c>
      <c r="O3389" s="569" t="s">
        <v>5351</v>
      </c>
      <c r="P3389" s="568">
        <v>9800</v>
      </c>
      <c r="Q3389" s="569" t="s">
        <v>646</v>
      </c>
      <c r="R3389" s="569">
        <v>8</v>
      </c>
      <c r="S3389" s="569">
        <v>8361</v>
      </c>
      <c r="T3389" s="569" t="s">
        <v>609</v>
      </c>
      <c r="U3389" s="569">
        <v>145.69999999999999</v>
      </c>
      <c r="V3389" s="569">
        <v>26.4</v>
      </c>
      <c r="W3389" s="620">
        <v>7200</v>
      </c>
      <c r="X3389" s="621">
        <v>15</v>
      </c>
      <c r="Y3389" s="621" t="s">
        <v>178</v>
      </c>
      <c r="Z3389" s="621" t="s">
        <v>178</v>
      </c>
      <c r="AA3389" s="622">
        <v>41640</v>
      </c>
      <c r="AB3389" s="622" t="s">
        <v>164</v>
      </c>
      <c r="AC3389" s="622">
        <v>38650</v>
      </c>
      <c r="AD3389" s="623">
        <v>0.05</v>
      </c>
      <c r="AE3389" s="621" t="s">
        <v>6100</v>
      </c>
    </row>
    <row r="3390" spans="1:31" s="572" customFormat="1">
      <c r="A3390" s="570" t="s">
        <v>6101</v>
      </c>
      <c r="B3390" s="573" t="s">
        <v>605</v>
      </c>
      <c r="C3390" s="578">
        <v>12</v>
      </c>
      <c r="D3390" s="573" t="s">
        <v>3374</v>
      </c>
      <c r="E3390" s="573" t="s">
        <v>152</v>
      </c>
      <c r="F3390" s="573" t="s">
        <v>606</v>
      </c>
      <c r="G3390" s="573">
        <v>2019</v>
      </c>
      <c r="H3390" s="573" t="s">
        <v>6069</v>
      </c>
      <c r="I3390" s="573" t="s">
        <v>6103</v>
      </c>
      <c r="J3390" s="573" t="s">
        <v>3377</v>
      </c>
      <c r="K3390" s="573">
        <v>6</v>
      </c>
      <c r="L3390" s="573">
        <v>0</v>
      </c>
      <c r="M3390" s="573" t="s">
        <v>157</v>
      </c>
      <c r="N3390" s="573">
        <v>2</v>
      </c>
      <c r="O3390" s="573" t="s">
        <v>3781</v>
      </c>
      <c r="P3390" s="571">
        <v>10200</v>
      </c>
      <c r="Q3390" s="573" t="s">
        <v>646</v>
      </c>
      <c r="R3390" s="573">
        <v>8</v>
      </c>
      <c r="S3390" s="582">
        <v>8241</v>
      </c>
      <c r="T3390" s="573" t="s">
        <v>609</v>
      </c>
      <c r="U3390" s="573">
        <v>145.69999999999999</v>
      </c>
      <c r="V3390" s="573">
        <v>26.4</v>
      </c>
      <c r="W3390" s="616">
        <v>6900</v>
      </c>
      <c r="X3390" s="617">
        <v>15</v>
      </c>
      <c r="Y3390" s="617" t="s">
        <v>178</v>
      </c>
      <c r="Z3390" s="617" t="s">
        <v>178</v>
      </c>
      <c r="AA3390" s="618">
        <v>35985</v>
      </c>
      <c r="AB3390" s="618" t="s">
        <v>164</v>
      </c>
      <c r="AC3390" s="618">
        <v>33200</v>
      </c>
      <c r="AD3390" s="619">
        <v>0.05</v>
      </c>
      <c r="AE3390" s="617" t="s">
        <v>6102</v>
      </c>
    </row>
    <row r="3391" spans="1:31" s="572" customFormat="1">
      <c r="A3391" s="570" t="s">
        <v>6104</v>
      </c>
      <c r="B3391" s="569" t="s">
        <v>605</v>
      </c>
      <c r="C3391" s="580">
        <v>12</v>
      </c>
      <c r="D3391" s="569" t="s">
        <v>3374</v>
      </c>
      <c r="E3391" s="569" t="s">
        <v>152</v>
      </c>
      <c r="F3391" s="569" t="s">
        <v>606</v>
      </c>
      <c r="G3391" s="569">
        <v>2019</v>
      </c>
      <c r="H3391" s="569" t="s">
        <v>6069</v>
      </c>
      <c r="I3391" s="569" t="s">
        <v>6103</v>
      </c>
      <c r="J3391" s="569" t="s">
        <v>3377</v>
      </c>
      <c r="K3391" s="569">
        <v>6</v>
      </c>
      <c r="L3391" s="569">
        <v>0</v>
      </c>
      <c r="M3391" s="569" t="s">
        <v>157</v>
      </c>
      <c r="N3391" s="569">
        <v>2</v>
      </c>
      <c r="O3391" s="569" t="s">
        <v>3781</v>
      </c>
      <c r="P3391" s="568">
        <v>6800</v>
      </c>
      <c r="Q3391" s="569" t="s">
        <v>6083</v>
      </c>
      <c r="R3391" s="569">
        <v>8</v>
      </c>
      <c r="S3391" s="569">
        <v>8240</v>
      </c>
      <c r="T3391" s="569" t="s">
        <v>609</v>
      </c>
      <c r="U3391" s="569">
        <v>145.69999999999999</v>
      </c>
      <c r="V3391" s="569">
        <v>26.4</v>
      </c>
      <c r="W3391" s="620">
        <v>6700</v>
      </c>
      <c r="X3391" s="621">
        <v>16</v>
      </c>
      <c r="Y3391" s="621" t="s">
        <v>178</v>
      </c>
      <c r="Z3391" s="621" t="s">
        <v>178</v>
      </c>
      <c r="AA3391" s="622">
        <v>34715</v>
      </c>
      <c r="AB3391" s="622" t="s">
        <v>164</v>
      </c>
      <c r="AC3391" s="622">
        <v>31990</v>
      </c>
      <c r="AD3391" s="623">
        <v>0.05</v>
      </c>
      <c r="AE3391" s="621" t="s">
        <v>6105</v>
      </c>
    </row>
    <row r="3392" spans="1:31" s="572" customFormat="1">
      <c r="A3392" s="570" t="s">
        <v>6106</v>
      </c>
      <c r="B3392" s="573" t="s">
        <v>605</v>
      </c>
      <c r="C3392" s="578">
        <v>12</v>
      </c>
      <c r="D3392" s="573" t="s">
        <v>3374</v>
      </c>
      <c r="E3392" s="573" t="s">
        <v>152</v>
      </c>
      <c r="F3392" s="573" t="s">
        <v>606</v>
      </c>
      <c r="G3392" s="573">
        <v>2019</v>
      </c>
      <c r="H3392" s="573" t="s">
        <v>6069</v>
      </c>
      <c r="I3392" s="573" t="s">
        <v>6103</v>
      </c>
      <c r="J3392" s="573" t="s">
        <v>3377</v>
      </c>
      <c r="K3392" s="573">
        <v>6</v>
      </c>
      <c r="L3392" s="573">
        <v>0</v>
      </c>
      <c r="M3392" s="573" t="s">
        <v>157</v>
      </c>
      <c r="N3392" s="573">
        <v>2</v>
      </c>
      <c r="O3392" s="573" t="s">
        <v>3508</v>
      </c>
      <c r="P3392" s="571">
        <v>10200</v>
      </c>
      <c r="Q3392" s="573" t="s">
        <v>646</v>
      </c>
      <c r="R3392" s="573">
        <v>8</v>
      </c>
      <c r="S3392" s="582">
        <v>8246</v>
      </c>
      <c r="T3392" s="573" t="s">
        <v>609</v>
      </c>
      <c r="U3392" s="573">
        <v>164.6</v>
      </c>
      <c r="V3392" s="573">
        <v>26.4</v>
      </c>
      <c r="W3392" s="616">
        <v>7000</v>
      </c>
      <c r="X3392" s="617">
        <v>15</v>
      </c>
      <c r="Y3392" s="617" t="s">
        <v>178</v>
      </c>
      <c r="Z3392" s="617" t="s">
        <v>178</v>
      </c>
      <c r="AA3392" s="618">
        <v>36315</v>
      </c>
      <c r="AB3392" s="618" t="s">
        <v>164</v>
      </c>
      <c r="AC3392" s="618">
        <v>33500</v>
      </c>
      <c r="AD3392" s="619">
        <v>0.05</v>
      </c>
      <c r="AE3392" s="617" t="s">
        <v>6107</v>
      </c>
    </row>
    <row r="3393" spans="1:31" s="572" customFormat="1">
      <c r="A3393" s="570" t="s">
        <v>6108</v>
      </c>
      <c r="B3393" s="569" t="s">
        <v>605</v>
      </c>
      <c r="C3393" s="580">
        <v>12</v>
      </c>
      <c r="D3393" s="569" t="s">
        <v>3374</v>
      </c>
      <c r="E3393" s="569" t="s">
        <v>152</v>
      </c>
      <c r="F3393" s="569" t="s">
        <v>606</v>
      </c>
      <c r="G3393" s="569">
        <v>2019</v>
      </c>
      <c r="H3393" s="569" t="s">
        <v>6069</v>
      </c>
      <c r="I3393" s="569" t="s">
        <v>6103</v>
      </c>
      <c r="J3393" s="569" t="s">
        <v>752</v>
      </c>
      <c r="K3393" s="569">
        <v>6</v>
      </c>
      <c r="L3393" s="569">
        <v>0</v>
      </c>
      <c r="M3393" s="569" t="s">
        <v>157</v>
      </c>
      <c r="N3393" s="569">
        <v>2</v>
      </c>
      <c r="O3393" s="569" t="s">
        <v>3781</v>
      </c>
      <c r="P3393" s="568">
        <v>6500</v>
      </c>
      <c r="Q3393" s="569" t="s">
        <v>6083</v>
      </c>
      <c r="R3393" s="569">
        <v>8</v>
      </c>
      <c r="S3393" s="569">
        <v>8340</v>
      </c>
      <c r="T3393" s="569" t="s">
        <v>609</v>
      </c>
      <c r="U3393" s="569">
        <v>145.69999999999999</v>
      </c>
      <c r="V3393" s="569">
        <v>26.4</v>
      </c>
      <c r="W3393" s="620">
        <v>6900</v>
      </c>
      <c r="X3393" s="621">
        <v>16</v>
      </c>
      <c r="Y3393" s="621" t="s">
        <v>178</v>
      </c>
      <c r="Z3393" s="621" t="s">
        <v>178</v>
      </c>
      <c r="AA3393" s="622">
        <v>37765</v>
      </c>
      <c r="AB3393" s="622" t="s">
        <v>164</v>
      </c>
      <c r="AC3393" s="622">
        <v>34900</v>
      </c>
      <c r="AD3393" s="623">
        <v>0.05</v>
      </c>
      <c r="AE3393" s="621" t="s">
        <v>6109</v>
      </c>
    </row>
    <row r="3394" spans="1:31" s="572" customFormat="1">
      <c r="A3394" s="570" t="s">
        <v>6110</v>
      </c>
      <c r="B3394" s="573" t="s">
        <v>605</v>
      </c>
      <c r="C3394" s="578">
        <v>12</v>
      </c>
      <c r="D3394" s="573" t="s">
        <v>3374</v>
      </c>
      <c r="E3394" s="573" t="s">
        <v>152</v>
      </c>
      <c r="F3394" s="573" t="s">
        <v>606</v>
      </c>
      <c r="G3394" s="573">
        <v>2019</v>
      </c>
      <c r="H3394" s="573" t="s">
        <v>6069</v>
      </c>
      <c r="I3394" s="573" t="s">
        <v>6103</v>
      </c>
      <c r="J3394" s="573" t="s">
        <v>752</v>
      </c>
      <c r="K3394" s="573">
        <v>6</v>
      </c>
      <c r="L3394" s="573">
        <v>0</v>
      </c>
      <c r="M3394" s="573" t="s">
        <v>157</v>
      </c>
      <c r="N3394" s="573">
        <v>2</v>
      </c>
      <c r="O3394" s="573" t="s">
        <v>3781</v>
      </c>
      <c r="P3394" s="571">
        <v>9900</v>
      </c>
      <c r="Q3394" s="573" t="s">
        <v>646</v>
      </c>
      <c r="R3394" s="573">
        <v>8</v>
      </c>
      <c r="S3394" s="582">
        <v>8341</v>
      </c>
      <c r="T3394" s="573" t="s">
        <v>609</v>
      </c>
      <c r="U3394" s="573">
        <v>145.69999999999999</v>
      </c>
      <c r="V3394" s="573">
        <v>26.4</v>
      </c>
      <c r="W3394" s="616">
        <v>7100</v>
      </c>
      <c r="X3394" s="617">
        <v>14</v>
      </c>
      <c r="Y3394" s="617" t="s">
        <v>178</v>
      </c>
      <c r="Z3394" s="617" t="s">
        <v>178</v>
      </c>
      <c r="AA3394" s="618">
        <v>39035</v>
      </c>
      <c r="AB3394" s="618" t="s">
        <v>164</v>
      </c>
      <c r="AC3394" s="618">
        <v>36100</v>
      </c>
      <c r="AD3394" s="619">
        <v>0.05</v>
      </c>
      <c r="AE3394" s="617" t="s">
        <v>6111</v>
      </c>
    </row>
    <row r="3395" spans="1:31" s="572" customFormat="1">
      <c r="A3395" s="570" t="s">
        <v>6112</v>
      </c>
      <c r="B3395" s="569" t="s">
        <v>605</v>
      </c>
      <c r="C3395" s="580">
        <v>12</v>
      </c>
      <c r="D3395" s="569" t="s">
        <v>3374</v>
      </c>
      <c r="E3395" s="569" t="s">
        <v>152</v>
      </c>
      <c r="F3395" s="569" t="s">
        <v>606</v>
      </c>
      <c r="G3395" s="569">
        <v>2019</v>
      </c>
      <c r="H3395" s="569" t="s">
        <v>6069</v>
      </c>
      <c r="I3395" s="569" t="s">
        <v>6103</v>
      </c>
      <c r="J3395" s="569" t="s">
        <v>752</v>
      </c>
      <c r="K3395" s="569">
        <v>6</v>
      </c>
      <c r="L3395" s="569">
        <v>0</v>
      </c>
      <c r="M3395" s="569" t="s">
        <v>157</v>
      </c>
      <c r="N3395" s="569">
        <v>2</v>
      </c>
      <c r="O3395" s="569" t="s">
        <v>3508</v>
      </c>
      <c r="P3395" s="568">
        <v>9800</v>
      </c>
      <c r="Q3395" s="569" t="s">
        <v>646</v>
      </c>
      <c r="R3395" s="569">
        <v>8</v>
      </c>
      <c r="S3395" s="569">
        <v>8346</v>
      </c>
      <c r="T3395" s="569" t="s">
        <v>609</v>
      </c>
      <c r="U3395" s="569">
        <v>164.6</v>
      </c>
      <c r="V3395" s="569">
        <v>26.4</v>
      </c>
      <c r="W3395" s="620">
        <v>7200</v>
      </c>
      <c r="X3395" s="621">
        <v>15</v>
      </c>
      <c r="Y3395" s="621" t="s">
        <v>178</v>
      </c>
      <c r="Z3395" s="621" t="s">
        <v>178</v>
      </c>
      <c r="AA3395" s="622">
        <v>39365</v>
      </c>
      <c r="AB3395" s="622" t="s">
        <v>164</v>
      </c>
      <c r="AC3395" s="622">
        <v>36450</v>
      </c>
      <c r="AD3395" s="623">
        <v>0.05</v>
      </c>
      <c r="AE3395" s="621" t="s">
        <v>6113</v>
      </c>
    </row>
    <row r="3396" spans="1:31" s="572" customFormat="1" ht="30">
      <c r="A3396" s="570" t="s">
        <v>6114</v>
      </c>
      <c r="B3396" s="573" t="s">
        <v>169</v>
      </c>
      <c r="C3396" s="578">
        <v>11</v>
      </c>
      <c r="D3396" s="573" t="s">
        <v>693</v>
      </c>
      <c r="E3396" s="573" t="s">
        <v>6116</v>
      </c>
      <c r="F3396" s="573" t="s">
        <v>153</v>
      </c>
      <c r="G3396" s="573">
        <v>2019</v>
      </c>
      <c r="H3396" s="573" t="s">
        <v>3464</v>
      </c>
      <c r="I3396" s="573" t="s">
        <v>6117</v>
      </c>
      <c r="J3396" s="573" t="s">
        <v>3377</v>
      </c>
      <c r="K3396" s="573">
        <v>5</v>
      </c>
      <c r="L3396" s="573">
        <v>0</v>
      </c>
      <c r="M3396" s="573" t="s">
        <v>157</v>
      </c>
      <c r="N3396" s="573">
        <v>2</v>
      </c>
      <c r="O3396" s="573" t="s">
        <v>3515</v>
      </c>
      <c r="P3396" s="571" t="s">
        <v>157</v>
      </c>
      <c r="Q3396" s="573" t="s">
        <v>753</v>
      </c>
      <c r="R3396" s="573">
        <v>8</v>
      </c>
      <c r="S3396" s="582" t="s">
        <v>3467</v>
      </c>
      <c r="T3396" s="573" t="s">
        <v>6118</v>
      </c>
      <c r="U3396" s="573">
        <v>147.43</v>
      </c>
      <c r="V3396" s="573">
        <v>24</v>
      </c>
      <c r="W3396" s="616">
        <v>6900</v>
      </c>
      <c r="X3396" s="617">
        <v>17</v>
      </c>
      <c r="Y3396" s="617" t="s">
        <v>178</v>
      </c>
      <c r="Z3396" s="617" t="s">
        <v>178</v>
      </c>
      <c r="AA3396" s="618">
        <v>39160</v>
      </c>
      <c r="AB3396" s="618" t="s">
        <v>164</v>
      </c>
      <c r="AC3396" s="618">
        <v>27873.333333333336</v>
      </c>
      <c r="AD3396" s="619">
        <v>0.05</v>
      </c>
      <c r="AE3396" s="617" t="s">
        <v>6115</v>
      </c>
    </row>
    <row r="3397" spans="1:31" s="572" customFormat="1">
      <c r="A3397" s="570" t="s">
        <v>6119</v>
      </c>
      <c r="B3397" s="569" t="s">
        <v>150</v>
      </c>
      <c r="C3397" s="580">
        <v>13</v>
      </c>
      <c r="D3397" s="569" t="s">
        <v>693</v>
      </c>
      <c r="E3397" s="569" t="s">
        <v>6116</v>
      </c>
      <c r="F3397" s="569" t="s">
        <v>153</v>
      </c>
      <c r="G3397" s="569">
        <v>2019</v>
      </c>
      <c r="H3397" s="569" t="s">
        <v>3464</v>
      </c>
      <c r="I3397" s="569" t="s">
        <v>6117</v>
      </c>
      <c r="J3397" s="569" t="s">
        <v>3377</v>
      </c>
      <c r="K3397" s="569">
        <v>5</v>
      </c>
      <c r="L3397" s="569">
        <v>0</v>
      </c>
      <c r="M3397" s="569" t="s">
        <v>157</v>
      </c>
      <c r="N3397" s="569">
        <v>2</v>
      </c>
      <c r="O3397" s="569" t="s">
        <v>3466</v>
      </c>
      <c r="P3397" s="568" t="s">
        <v>157</v>
      </c>
      <c r="Q3397" s="569" t="s">
        <v>753</v>
      </c>
      <c r="R3397" s="569">
        <v>8</v>
      </c>
      <c r="S3397" s="569" t="s">
        <v>3486</v>
      </c>
      <c r="T3397" s="569" t="s">
        <v>6120</v>
      </c>
      <c r="U3397" s="569">
        <v>143.5</v>
      </c>
      <c r="V3397" s="569">
        <v>26</v>
      </c>
      <c r="W3397" s="620">
        <v>7400</v>
      </c>
      <c r="X3397" s="621">
        <v>18</v>
      </c>
      <c r="Y3397" s="621" t="s">
        <v>450</v>
      </c>
      <c r="Z3397" s="621" t="s">
        <v>178</v>
      </c>
      <c r="AA3397" s="622">
        <v>38735</v>
      </c>
      <c r="AB3397" s="622" t="s">
        <v>164</v>
      </c>
      <c r="AC3397" s="622">
        <v>30234</v>
      </c>
      <c r="AD3397" s="623">
        <v>0.03</v>
      </c>
      <c r="AE3397" s="621" t="s">
        <v>6115</v>
      </c>
    </row>
    <row r="3398" spans="1:31" s="572" customFormat="1">
      <c r="A3398" s="570" t="s">
        <v>6121</v>
      </c>
      <c r="B3398" s="573" t="s">
        <v>166</v>
      </c>
      <c r="C3398" s="578">
        <v>17</v>
      </c>
      <c r="D3398" s="573" t="s">
        <v>693</v>
      </c>
      <c r="E3398" s="573" t="s">
        <v>6116</v>
      </c>
      <c r="F3398" s="573" t="s">
        <v>153</v>
      </c>
      <c r="G3398" s="573">
        <v>2019</v>
      </c>
      <c r="H3398" s="573" t="s">
        <v>3464</v>
      </c>
      <c r="I3398" s="573" t="s">
        <v>6117</v>
      </c>
      <c r="J3398" s="573" t="s">
        <v>3377</v>
      </c>
      <c r="K3398" s="573">
        <v>5</v>
      </c>
      <c r="L3398" s="573">
        <v>0</v>
      </c>
      <c r="M3398" s="573" t="s">
        <v>157</v>
      </c>
      <c r="N3398" s="573">
        <v>2</v>
      </c>
      <c r="O3398" s="573" t="s">
        <v>3466</v>
      </c>
      <c r="P3398" s="571" t="s">
        <v>157</v>
      </c>
      <c r="Q3398" s="573" t="s">
        <v>753</v>
      </c>
      <c r="R3398" s="573">
        <v>8</v>
      </c>
      <c r="S3398" s="582" t="s">
        <v>3486</v>
      </c>
      <c r="T3398" s="573" t="s">
        <v>6120</v>
      </c>
      <c r="U3398" s="573">
        <v>143.5</v>
      </c>
      <c r="V3398" s="573">
        <v>26</v>
      </c>
      <c r="W3398" s="616">
        <v>7100</v>
      </c>
      <c r="X3398" s="617">
        <v>18</v>
      </c>
      <c r="Y3398" s="617" t="s">
        <v>450</v>
      </c>
      <c r="Z3398" s="617" t="s">
        <v>178</v>
      </c>
      <c r="AA3398" s="618">
        <v>38735</v>
      </c>
      <c r="AB3398" s="618" t="s">
        <v>164</v>
      </c>
      <c r="AC3398" s="618">
        <v>28941</v>
      </c>
      <c r="AD3398" s="619">
        <v>7.1999999999999995E-2</v>
      </c>
      <c r="AE3398" s="617" t="s">
        <v>6115</v>
      </c>
    </row>
    <row r="3399" spans="1:31" s="572" customFormat="1">
      <c r="A3399" s="570" t="s">
        <v>6121</v>
      </c>
      <c r="B3399" s="569" t="s">
        <v>166</v>
      </c>
      <c r="C3399" s="580">
        <v>17</v>
      </c>
      <c r="D3399" s="569" t="s">
        <v>693</v>
      </c>
      <c r="E3399" s="569" t="s">
        <v>6116</v>
      </c>
      <c r="F3399" s="569" t="s">
        <v>153</v>
      </c>
      <c r="G3399" s="569">
        <v>2019</v>
      </c>
      <c r="H3399" s="569" t="s">
        <v>3464</v>
      </c>
      <c r="I3399" s="569" t="s">
        <v>6117</v>
      </c>
      <c r="J3399" s="569" t="s">
        <v>3377</v>
      </c>
      <c r="K3399" s="569">
        <v>5</v>
      </c>
      <c r="L3399" s="569">
        <v>0</v>
      </c>
      <c r="M3399" s="569" t="s">
        <v>157</v>
      </c>
      <c r="N3399" s="569">
        <v>2</v>
      </c>
      <c r="O3399" s="569" t="s">
        <v>3466</v>
      </c>
      <c r="P3399" s="568" t="s">
        <v>157</v>
      </c>
      <c r="Q3399" s="569" t="s">
        <v>753</v>
      </c>
      <c r="R3399" s="569">
        <v>8</v>
      </c>
      <c r="S3399" s="569" t="s">
        <v>3486</v>
      </c>
      <c r="T3399" s="569" t="s">
        <v>6120</v>
      </c>
      <c r="U3399" s="569">
        <v>143.5</v>
      </c>
      <c r="V3399" s="569">
        <v>26</v>
      </c>
      <c r="W3399" s="620">
        <v>7400</v>
      </c>
      <c r="X3399" s="621">
        <v>18</v>
      </c>
      <c r="Y3399" s="621" t="s">
        <v>450</v>
      </c>
      <c r="Z3399" s="621" t="s">
        <v>178</v>
      </c>
      <c r="AA3399" s="622">
        <v>38735</v>
      </c>
      <c r="AB3399" s="622" t="s">
        <v>164</v>
      </c>
      <c r="AC3399" s="622">
        <v>28941</v>
      </c>
      <c r="AD3399" s="623">
        <v>7.1999999999999995E-2</v>
      </c>
      <c r="AE3399" s="621" t="s">
        <v>6115</v>
      </c>
    </row>
    <row r="3400" spans="1:31" s="572" customFormat="1" ht="30">
      <c r="A3400" s="570" t="s">
        <v>6122</v>
      </c>
      <c r="B3400" s="573" t="s">
        <v>169</v>
      </c>
      <c r="C3400" s="578">
        <v>11</v>
      </c>
      <c r="D3400" s="573" t="s">
        <v>693</v>
      </c>
      <c r="E3400" s="573" t="s">
        <v>6116</v>
      </c>
      <c r="F3400" s="573" t="s">
        <v>153</v>
      </c>
      <c r="G3400" s="573">
        <v>2019</v>
      </c>
      <c r="H3400" s="573" t="s">
        <v>3464</v>
      </c>
      <c r="I3400" s="573" t="s">
        <v>6117</v>
      </c>
      <c r="J3400" s="573" t="s">
        <v>752</v>
      </c>
      <c r="K3400" s="573">
        <v>5</v>
      </c>
      <c r="L3400" s="573">
        <v>0</v>
      </c>
      <c r="M3400" s="573" t="s">
        <v>157</v>
      </c>
      <c r="N3400" s="573">
        <v>2</v>
      </c>
      <c r="O3400" s="573" t="s">
        <v>3515</v>
      </c>
      <c r="P3400" s="571" t="s">
        <v>157</v>
      </c>
      <c r="Q3400" s="573" t="s">
        <v>753</v>
      </c>
      <c r="R3400" s="573">
        <v>8</v>
      </c>
      <c r="S3400" s="582" t="s">
        <v>3475</v>
      </c>
      <c r="T3400" s="573" t="s">
        <v>6118</v>
      </c>
      <c r="U3400" s="573">
        <v>147.43</v>
      </c>
      <c r="V3400" s="573">
        <v>24</v>
      </c>
      <c r="W3400" s="616">
        <v>7100</v>
      </c>
      <c r="X3400" s="617">
        <v>17</v>
      </c>
      <c r="Y3400" s="617" t="s">
        <v>178</v>
      </c>
      <c r="Z3400" s="617" t="s">
        <v>178</v>
      </c>
      <c r="AA3400" s="618">
        <v>42460</v>
      </c>
      <c r="AB3400" s="618" t="s">
        <v>164</v>
      </c>
      <c r="AC3400" s="618">
        <v>30226.5625</v>
      </c>
      <c r="AD3400" s="619">
        <v>0.05</v>
      </c>
      <c r="AE3400" s="617" t="s">
        <v>6123</v>
      </c>
    </row>
    <row r="3401" spans="1:31" s="572" customFormat="1">
      <c r="A3401" s="570" t="s">
        <v>6124</v>
      </c>
      <c r="B3401" s="569" t="s">
        <v>150</v>
      </c>
      <c r="C3401" s="580">
        <v>13</v>
      </c>
      <c r="D3401" s="569" t="s">
        <v>693</v>
      </c>
      <c r="E3401" s="569" t="s">
        <v>6116</v>
      </c>
      <c r="F3401" s="569" t="s">
        <v>153</v>
      </c>
      <c r="G3401" s="569">
        <v>2019</v>
      </c>
      <c r="H3401" s="569" t="s">
        <v>3464</v>
      </c>
      <c r="I3401" s="569" t="s">
        <v>6117</v>
      </c>
      <c r="J3401" s="569" t="s">
        <v>752</v>
      </c>
      <c r="K3401" s="569">
        <v>5</v>
      </c>
      <c r="L3401" s="569">
        <v>0</v>
      </c>
      <c r="M3401" s="569" t="s">
        <v>157</v>
      </c>
      <c r="N3401" s="569">
        <v>2</v>
      </c>
      <c r="O3401" s="569" t="s">
        <v>3466</v>
      </c>
      <c r="P3401" s="568" t="s">
        <v>157</v>
      </c>
      <c r="Q3401" s="569" t="s">
        <v>753</v>
      </c>
      <c r="R3401" s="569">
        <v>8</v>
      </c>
      <c r="S3401" s="569" t="s">
        <v>3494</v>
      </c>
      <c r="T3401" s="569" t="s">
        <v>6120</v>
      </c>
      <c r="U3401" s="569">
        <v>143.5</v>
      </c>
      <c r="V3401" s="569">
        <v>26</v>
      </c>
      <c r="W3401" s="620">
        <v>7100</v>
      </c>
      <c r="X3401" s="621">
        <v>18</v>
      </c>
      <c r="Y3401" s="621" t="s">
        <v>450</v>
      </c>
      <c r="Z3401" s="621" t="s">
        <v>178</v>
      </c>
      <c r="AA3401" s="622">
        <v>42035</v>
      </c>
      <c r="AB3401" s="622" t="s">
        <v>164</v>
      </c>
      <c r="AC3401" s="622">
        <v>32348</v>
      </c>
      <c r="AD3401" s="623">
        <v>0.03</v>
      </c>
      <c r="AE3401" s="621" t="s">
        <v>6123</v>
      </c>
    </row>
    <row r="3402" spans="1:31" s="572" customFormat="1">
      <c r="A3402" s="570" t="s">
        <v>6125</v>
      </c>
      <c r="B3402" s="573" t="s">
        <v>166</v>
      </c>
      <c r="C3402" s="578">
        <v>17</v>
      </c>
      <c r="D3402" s="573" t="s">
        <v>693</v>
      </c>
      <c r="E3402" s="573" t="s">
        <v>6116</v>
      </c>
      <c r="F3402" s="573" t="s">
        <v>153</v>
      </c>
      <c r="G3402" s="573">
        <v>2019</v>
      </c>
      <c r="H3402" s="573" t="s">
        <v>3464</v>
      </c>
      <c r="I3402" s="573" t="s">
        <v>6117</v>
      </c>
      <c r="J3402" s="573" t="s">
        <v>752</v>
      </c>
      <c r="K3402" s="573">
        <v>5</v>
      </c>
      <c r="L3402" s="573">
        <v>0</v>
      </c>
      <c r="M3402" s="573" t="s">
        <v>157</v>
      </c>
      <c r="N3402" s="573">
        <v>2</v>
      </c>
      <c r="O3402" s="573" t="s">
        <v>3466</v>
      </c>
      <c r="P3402" s="571" t="s">
        <v>157</v>
      </c>
      <c r="Q3402" s="573" t="s">
        <v>753</v>
      </c>
      <c r="R3402" s="573">
        <v>8</v>
      </c>
      <c r="S3402" s="582" t="s">
        <v>3494</v>
      </c>
      <c r="T3402" s="573" t="s">
        <v>6120</v>
      </c>
      <c r="U3402" s="573">
        <v>143.5</v>
      </c>
      <c r="V3402" s="573">
        <v>26</v>
      </c>
      <c r="W3402" s="616">
        <v>7100</v>
      </c>
      <c r="X3402" s="617">
        <v>18</v>
      </c>
      <c r="Y3402" s="617" t="s">
        <v>450</v>
      </c>
      <c r="Z3402" s="617" t="s">
        <v>178</v>
      </c>
      <c r="AA3402" s="618">
        <v>42035</v>
      </c>
      <c r="AB3402" s="618" t="s">
        <v>164</v>
      </c>
      <c r="AC3402" s="618">
        <v>31440</v>
      </c>
      <c r="AD3402" s="619">
        <v>7.1999999999999995E-2</v>
      </c>
      <c r="AE3402" s="617" t="s">
        <v>6123</v>
      </c>
    </row>
    <row r="3403" spans="1:31" s="572" customFormat="1">
      <c r="A3403" s="570" t="s">
        <v>6125</v>
      </c>
      <c r="B3403" s="569" t="s">
        <v>166</v>
      </c>
      <c r="C3403" s="580">
        <v>17</v>
      </c>
      <c r="D3403" s="569" t="s">
        <v>693</v>
      </c>
      <c r="E3403" s="569" t="s">
        <v>6116</v>
      </c>
      <c r="F3403" s="569" t="s">
        <v>153</v>
      </c>
      <c r="G3403" s="569">
        <v>2019</v>
      </c>
      <c r="H3403" s="569" t="s">
        <v>3464</v>
      </c>
      <c r="I3403" s="569" t="s">
        <v>6117</v>
      </c>
      <c r="J3403" s="569" t="s">
        <v>752</v>
      </c>
      <c r="K3403" s="569">
        <v>5</v>
      </c>
      <c r="L3403" s="569">
        <v>0</v>
      </c>
      <c r="M3403" s="569" t="s">
        <v>157</v>
      </c>
      <c r="N3403" s="569">
        <v>2</v>
      </c>
      <c r="O3403" s="569" t="s">
        <v>3466</v>
      </c>
      <c r="P3403" s="568" t="s">
        <v>157</v>
      </c>
      <c r="Q3403" s="569" t="s">
        <v>753</v>
      </c>
      <c r="R3403" s="569">
        <v>8</v>
      </c>
      <c r="S3403" s="569" t="s">
        <v>3494</v>
      </c>
      <c r="T3403" s="569" t="s">
        <v>6120</v>
      </c>
      <c r="U3403" s="569">
        <v>143.5</v>
      </c>
      <c r="V3403" s="569">
        <v>26</v>
      </c>
      <c r="W3403" s="620">
        <v>7600</v>
      </c>
      <c r="X3403" s="621">
        <v>18</v>
      </c>
      <c r="Y3403" s="621" t="s">
        <v>450</v>
      </c>
      <c r="Z3403" s="621" t="s">
        <v>178</v>
      </c>
      <c r="AA3403" s="622">
        <v>42035</v>
      </c>
      <c r="AB3403" s="622" t="s">
        <v>164</v>
      </c>
      <c r="AC3403" s="622">
        <v>31440</v>
      </c>
      <c r="AD3403" s="623">
        <v>7.1999999999999995E-2</v>
      </c>
      <c r="AE3403" s="621" t="s">
        <v>6123</v>
      </c>
    </row>
    <row r="3404" spans="1:31" s="572" customFormat="1" ht="30">
      <c r="A3404" s="570" t="s">
        <v>6126</v>
      </c>
      <c r="B3404" s="573" t="s">
        <v>169</v>
      </c>
      <c r="C3404" s="578">
        <v>11</v>
      </c>
      <c r="D3404" s="573" t="s">
        <v>693</v>
      </c>
      <c r="E3404" s="573" t="s">
        <v>6116</v>
      </c>
      <c r="F3404" s="573" t="s">
        <v>153</v>
      </c>
      <c r="G3404" s="573">
        <v>2019</v>
      </c>
      <c r="H3404" s="573" t="s">
        <v>3464</v>
      </c>
      <c r="I3404" s="573" t="s">
        <v>6128</v>
      </c>
      <c r="J3404" s="573" t="s">
        <v>3377</v>
      </c>
      <c r="K3404" s="573">
        <v>5</v>
      </c>
      <c r="L3404" s="573">
        <v>0</v>
      </c>
      <c r="M3404" s="573" t="s">
        <v>157</v>
      </c>
      <c r="N3404" s="573">
        <v>2</v>
      </c>
      <c r="O3404" s="573" t="s">
        <v>3471</v>
      </c>
      <c r="P3404" s="571" t="s">
        <v>157</v>
      </c>
      <c r="Q3404" s="573" t="s">
        <v>753</v>
      </c>
      <c r="R3404" s="573">
        <v>8</v>
      </c>
      <c r="S3404" s="582" t="s">
        <v>3472</v>
      </c>
      <c r="T3404" s="573" t="s">
        <v>6118</v>
      </c>
      <c r="U3404" s="573">
        <v>156.94999999999999</v>
      </c>
      <c r="V3404" s="573">
        <v>24</v>
      </c>
      <c r="W3404" s="616">
        <v>6900</v>
      </c>
      <c r="X3404" s="617">
        <v>17</v>
      </c>
      <c r="Y3404" s="617" t="s">
        <v>178</v>
      </c>
      <c r="Z3404" s="617" t="s">
        <v>178</v>
      </c>
      <c r="AA3404" s="618">
        <v>39460</v>
      </c>
      <c r="AB3404" s="618" t="s">
        <v>164</v>
      </c>
      <c r="AC3404" s="618">
        <v>27329.6875</v>
      </c>
      <c r="AD3404" s="619">
        <v>0.05</v>
      </c>
      <c r="AE3404" s="617" t="s">
        <v>6127</v>
      </c>
    </row>
    <row r="3405" spans="1:31" s="572" customFormat="1">
      <c r="A3405" s="570" t="s">
        <v>6129</v>
      </c>
      <c r="B3405" s="569" t="s">
        <v>150</v>
      </c>
      <c r="C3405" s="580">
        <v>13</v>
      </c>
      <c r="D3405" s="569" t="s">
        <v>693</v>
      </c>
      <c r="E3405" s="569" t="s">
        <v>6116</v>
      </c>
      <c r="F3405" s="569" t="s">
        <v>153</v>
      </c>
      <c r="G3405" s="569">
        <v>2019</v>
      </c>
      <c r="H3405" s="569" t="s">
        <v>3464</v>
      </c>
      <c r="I3405" s="569" t="s">
        <v>6128</v>
      </c>
      <c r="J3405" s="569" t="s">
        <v>3377</v>
      </c>
      <c r="K3405" s="569">
        <v>5</v>
      </c>
      <c r="L3405" s="569">
        <v>0</v>
      </c>
      <c r="M3405" s="569" t="s">
        <v>157</v>
      </c>
      <c r="N3405" s="569">
        <v>2</v>
      </c>
      <c r="O3405" s="569" t="s">
        <v>3471</v>
      </c>
      <c r="P3405" s="568" t="s">
        <v>157</v>
      </c>
      <c r="Q3405" s="569" t="s">
        <v>753</v>
      </c>
      <c r="R3405" s="569">
        <v>8</v>
      </c>
      <c r="S3405" s="569" t="s">
        <v>3489</v>
      </c>
      <c r="T3405" s="569" t="s">
        <v>6120</v>
      </c>
      <c r="U3405" s="569">
        <v>153</v>
      </c>
      <c r="V3405" s="569">
        <v>26</v>
      </c>
      <c r="W3405" s="620">
        <v>7400</v>
      </c>
      <c r="X3405" s="621">
        <v>18</v>
      </c>
      <c r="Y3405" s="621" t="s">
        <v>450</v>
      </c>
      <c r="Z3405" s="621" t="s">
        <v>178</v>
      </c>
      <c r="AA3405" s="622">
        <v>39035</v>
      </c>
      <c r="AB3405" s="622" t="s">
        <v>164</v>
      </c>
      <c r="AC3405" s="622">
        <v>30473</v>
      </c>
      <c r="AD3405" s="623">
        <v>0.03</v>
      </c>
      <c r="AE3405" s="621" t="s">
        <v>6127</v>
      </c>
    </row>
    <row r="3406" spans="1:31" s="572" customFormat="1">
      <c r="A3406" s="570" t="s">
        <v>6130</v>
      </c>
      <c r="B3406" s="573" t="s">
        <v>166</v>
      </c>
      <c r="C3406" s="578">
        <v>17</v>
      </c>
      <c r="D3406" s="573" t="s">
        <v>693</v>
      </c>
      <c r="E3406" s="573" t="s">
        <v>6116</v>
      </c>
      <c r="F3406" s="573" t="s">
        <v>153</v>
      </c>
      <c r="G3406" s="573">
        <v>2019</v>
      </c>
      <c r="H3406" s="573" t="s">
        <v>3464</v>
      </c>
      <c r="I3406" s="573" t="s">
        <v>6128</v>
      </c>
      <c r="J3406" s="573" t="s">
        <v>3377</v>
      </c>
      <c r="K3406" s="573">
        <v>5</v>
      </c>
      <c r="L3406" s="573">
        <v>0</v>
      </c>
      <c r="M3406" s="573" t="s">
        <v>157</v>
      </c>
      <c r="N3406" s="573">
        <v>2</v>
      </c>
      <c r="O3406" s="573" t="s">
        <v>3471</v>
      </c>
      <c r="P3406" s="571" t="s">
        <v>157</v>
      </c>
      <c r="Q3406" s="573" t="s">
        <v>753</v>
      </c>
      <c r="R3406" s="573">
        <v>8</v>
      </c>
      <c r="S3406" s="582" t="s">
        <v>3489</v>
      </c>
      <c r="T3406" s="573" t="s">
        <v>6120</v>
      </c>
      <c r="U3406" s="573">
        <v>153</v>
      </c>
      <c r="V3406" s="573">
        <v>26</v>
      </c>
      <c r="W3406" s="616">
        <v>7400</v>
      </c>
      <c r="X3406" s="617">
        <v>18</v>
      </c>
      <c r="Y3406" s="617" t="s">
        <v>450</v>
      </c>
      <c r="Z3406" s="617" t="s">
        <v>178</v>
      </c>
      <c r="AA3406" s="618">
        <v>39035</v>
      </c>
      <c r="AB3406" s="618" t="s">
        <v>164</v>
      </c>
      <c r="AC3406" s="618">
        <v>29633</v>
      </c>
      <c r="AD3406" s="619">
        <v>7.1999999999999995E-2</v>
      </c>
      <c r="AE3406" s="617" t="s">
        <v>6127</v>
      </c>
    </row>
    <row r="3407" spans="1:31" s="572" customFormat="1" ht="30">
      <c r="A3407" s="570" t="s">
        <v>6131</v>
      </c>
      <c r="B3407" s="569" t="s">
        <v>169</v>
      </c>
      <c r="C3407" s="580">
        <v>11</v>
      </c>
      <c r="D3407" s="569" t="s">
        <v>693</v>
      </c>
      <c r="E3407" s="569" t="s">
        <v>6116</v>
      </c>
      <c r="F3407" s="569" t="s">
        <v>153</v>
      </c>
      <c r="G3407" s="569">
        <v>2019</v>
      </c>
      <c r="H3407" s="569" t="s">
        <v>3464</v>
      </c>
      <c r="I3407" s="569" t="s">
        <v>6128</v>
      </c>
      <c r="J3407" s="569" t="s">
        <v>752</v>
      </c>
      <c r="K3407" s="569">
        <v>5</v>
      </c>
      <c r="L3407" s="569">
        <v>0</v>
      </c>
      <c r="M3407" s="569" t="s">
        <v>157</v>
      </c>
      <c r="N3407" s="569">
        <v>2</v>
      </c>
      <c r="O3407" s="569" t="s">
        <v>3471</v>
      </c>
      <c r="P3407" s="568" t="s">
        <v>157</v>
      </c>
      <c r="Q3407" s="569" t="s">
        <v>1526</v>
      </c>
      <c r="R3407" s="569">
        <v>6</v>
      </c>
      <c r="S3407" s="569" t="s">
        <v>3478</v>
      </c>
      <c r="T3407" s="569" t="s">
        <v>6118</v>
      </c>
      <c r="U3407" s="569">
        <v>156.94999999999999</v>
      </c>
      <c r="V3407" s="569">
        <v>24</v>
      </c>
      <c r="W3407" s="620">
        <v>7100</v>
      </c>
      <c r="X3407" s="621">
        <v>17</v>
      </c>
      <c r="Y3407" s="621" t="s">
        <v>178</v>
      </c>
      <c r="Z3407" s="621" t="s">
        <v>178</v>
      </c>
      <c r="AA3407" s="622">
        <v>42760</v>
      </c>
      <c r="AB3407" s="622" t="s">
        <v>164</v>
      </c>
      <c r="AC3407" s="622">
        <v>30516.25</v>
      </c>
      <c r="AD3407" s="623">
        <v>0.05</v>
      </c>
      <c r="AE3407" s="621" t="s">
        <v>6132</v>
      </c>
    </row>
    <row r="3408" spans="1:31" s="572" customFormat="1">
      <c r="A3408" s="570" t="s">
        <v>6133</v>
      </c>
      <c r="B3408" s="573" t="s">
        <v>150</v>
      </c>
      <c r="C3408" s="578">
        <v>13</v>
      </c>
      <c r="D3408" s="573" t="s">
        <v>693</v>
      </c>
      <c r="E3408" s="573" t="s">
        <v>6116</v>
      </c>
      <c r="F3408" s="573" t="s">
        <v>153</v>
      </c>
      <c r="G3408" s="573">
        <v>2019</v>
      </c>
      <c r="H3408" s="573" t="s">
        <v>3464</v>
      </c>
      <c r="I3408" s="573" t="s">
        <v>6128</v>
      </c>
      <c r="J3408" s="573" t="s">
        <v>752</v>
      </c>
      <c r="K3408" s="573">
        <v>5</v>
      </c>
      <c r="L3408" s="573">
        <v>0</v>
      </c>
      <c r="M3408" s="573" t="s">
        <v>157</v>
      </c>
      <c r="N3408" s="573">
        <v>2</v>
      </c>
      <c r="O3408" s="573" t="s">
        <v>3471</v>
      </c>
      <c r="P3408" s="571" t="s">
        <v>157</v>
      </c>
      <c r="Q3408" s="573" t="s">
        <v>753</v>
      </c>
      <c r="R3408" s="573">
        <v>8</v>
      </c>
      <c r="S3408" s="582" t="s">
        <v>3497</v>
      </c>
      <c r="T3408" s="573" t="s">
        <v>6120</v>
      </c>
      <c r="U3408" s="573">
        <v>153</v>
      </c>
      <c r="V3408" s="573">
        <v>26</v>
      </c>
      <c r="W3408" s="616">
        <v>7600</v>
      </c>
      <c r="X3408" s="617">
        <v>18</v>
      </c>
      <c r="Y3408" s="617" t="s">
        <v>450</v>
      </c>
      <c r="Z3408" s="617" t="s">
        <v>178</v>
      </c>
      <c r="AA3408" s="618">
        <v>42335</v>
      </c>
      <c r="AB3408" s="618" t="s">
        <v>164</v>
      </c>
      <c r="AC3408" s="618">
        <v>33086</v>
      </c>
      <c r="AD3408" s="619">
        <v>0.03</v>
      </c>
      <c r="AE3408" s="617" t="s">
        <v>6132</v>
      </c>
    </row>
    <row r="3409" spans="1:31" s="572" customFormat="1">
      <c r="A3409" s="570" t="s">
        <v>6134</v>
      </c>
      <c r="B3409" s="569" t="s">
        <v>166</v>
      </c>
      <c r="C3409" s="580">
        <v>17</v>
      </c>
      <c r="D3409" s="569" t="s">
        <v>693</v>
      </c>
      <c r="E3409" s="569" t="s">
        <v>6116</v>
      </c>
      <c r="F3409" s="569" t="s">
        <v>153</v>
      </c>
      <c r="G3409" s="569">
        <v>2019</v>
      </c>
      <c r="H3409" s="569" t="s">
        <v>3464</v>
      </c>
      <c r="I3409" s="569" t="s">
        <v>6128</v>
      </c>
      <c r="J3409" s="569" t="s">
        <v>752</v>
      </c>
      <c r="K3409" s="569">
        <v>5</v>
      </c>
      <c r="L3409" s="569">
        <v>0</v>
      </c>
      <c r="M3409" s="569" t="s">
        <v>157</v>
      </c>
      <c r="N3409" s="569">
        <v>2</v>
      </c>
      <c r="O3409" s="569" t="s">
        <v>3471</v>
      </c>
      <c r="P3409" s="568" t="s">
        <v>157</v>
      </c>
      <c r="Q3409" s="569" t="s">
        <v>753</v>
      </c>
      <c r="R3409" s="569">
        <v>8</v>
      </c>
      <c r="S3409" s="569" t="s">
        <v>3497</v>
      </c>
      <c r="T3409" s="569" t="s">
        <v>6120</v>
      </c>
      <c r="U3409" s="569">
        <v>153</v>
      </c>
      <c r="V3409" s="569">
        <v>26</v>
      </c>
      <c r="W3409" s="620">
        <v>7600</v>
      </c>
      <c r="X3409" s="621">
        <v>18</v>
      </c>
      <c r="Y3409" s="621" t="s">
        <v>450</v>
      </c>
      <c r="Z3409" s="621" t="s">
        <v>178</v>
      </c>
      <c r="AA3409" s="622">
        <v>42335</v>
      </c>
      <c r="AB3409" s="622" t="s">
        <v>164</v>
      </c>
      <c r="AC3409" s="622">
        <v>32402</v>
      </c>
      <c r="AD3409" s="623">
        <v>7.1999999999999995E-2</v>
      </c>
      <c r="AE3409" s="621" t="s">
        <v>6132</v>
      </c>
    </row>
    <row r="3410" spans="1:31" s="572" customFormat="1">
      <c r="A3410" s="570" t="s">
        <v>6135</v>
      </c>
      <c r="B3410" s="582" t="s">
        <v>169</v>
      </c>
      <c r="C3410" s="691">
        <v>11</v>
      </c>
      <c r="D3410" s="582" t="s">
        <v>693</v>
      </c>
      <c r="E3410" s="582" t="s">
        <v>6137</v>
      </c>
      <c r="F3410" s="582" t="s">
        <v>153</v>
      </c>
      <c r="G3410" s="582">
        <v>2019</v>
      </c>
      <c r="H3410" s="582" t="s">
        <v>810</v>
      </c>
      <c r="I3410" s="582" t="s">
        <v>6138</v>
      </c>
      <c r="J3410" s="582" t="s">
        <v>752</v>
      </c>
      <c r="K3410" s="582">
        <v>5</v>
      </c>
      <c r="L3410" s="582">
        <v>0</v>
      </c>
      <c r="M3410" s="582" t="s">
        <v>157</v>
      </c>
      <c r="N3410" s="582">
        <v>2</v>
      </c>
      <c r="O3410" s="582" t="s">
        <v>157</v>
      </c>
      <c r="P3410" s="692">
        <v>6400</v>
      </c>
      <c r="Q3410" s="582" t="s">
        <v>753</v>
      </c>
      <c r="R3410" s="582">
        <v>8</v>
      </c>
      <c r="S3410" s="582" t="s">
        <v>811</v>
      </c>
      <c r="T3410" s="582" t="s">
        <v>6139</v>
      </c>
      <c r="U3410" s="582">
        <v>116</v>
      </c>
      <c r="V3410" s="582">
        <v>26</v>
      </c>
      <c r="W3410" s="693">
        <v>7300</v>
      </c>
      <c r="X3410" s="694">
        <v>18</v>
      </c>
      <c r="Y3410" s="694" t="s">
        <v>450</v>
      </c>
      <c r="Z3410" s="694" t="s">
        <v>178</v>
      </c>
      <c r="AA3410" s="695">
        <v>46460</v>
      </c>
      <c r="AB3410" s="695" t="s">
        <v>164</v>
      </c>
      <c r="AC3410" s="695">
        <v>35489.166666666664</v>
      </c>
      <c r="AD3410" s="696">
        <v>0.05</v>
      </c>
      <c r="AE3410" s="694" t="s">
        <v>6136</v>
      </c>
    </row>
    <row r="3411" spans="1:31" s="572" customFormat="1">
      <c r="A3411" s="570" t="s">
        <v>6140</v>
      </c>
      <c r="B3411" s="569" t="s">
        <v>166</v>
      </c>
      <c r="C3411" s="580">
        <v>17</v>
      </c>
      <c r="D3411" s="569" t="s">
        <v>693</v>
      </c>
      <c r="E3411" s="569" t="s">
        <v>6137</v>
      </c>
      <c r="F3411" s="569" t="s">
        <v>153</v>
      </c>
      <c r="G3411" s="569">
        <v>2019</v>
      </c>
      <c r="H3411" s="569" t="s">
        <v>810</v>
      </c>
      <c r="I3411" s="569" t="s">
        <v>6138</v>
      </c>
      <c r="J3411" s="569" t="s">
        <v>752</v>
      </c>
      <c r="K3411" s="569">
        <v>5</v>
      </c>
      <c r="L3411" s="569">
        <v>0</v>
      </c>
      <c r="M3411" s="569" t="s">
        <v>157</v>
      </c>
      <c r="N3411" s="569">
        <v>2</v>
      </c>
      <c r="O3411" s="569" t="s">
        <v>157</v>
      </c>
      <c r="P3411" s="568">
        <v>6400</v>
      </c>
      <c r="Q3411" s="569" t="s">
        <v>753</v>
      </c>
      <c r="R3411" s="569">
        <v>8</v>
      </c>
      <c r="S3411" s="569" t="s">
        <v>811</v>
      </c>
      <c r="T3411" s="569" t="s">
        <v>6139</v>
      </c>
      <c r="U3411" s="569">
        <v>116</v>
      </c>
      <c r="V3411" s="569">
        <v>26</v>
      </c>
      <c r="W3411" s="620">
        <v>7300</v>
      </c>
      <c r="X3411" s="621">
        <v>18</v>
      </c>
      <c r="Y3411" s="621" t="s">
        <v>450</v>
      </c>
      <c r="Z3411" s="621" t="s">
        <v>178</v>
      </c>
      <c r="AA3411" s="622">
        <v>47160</v>
      </c>
      <c r="AB3411" s="622" t="s">
        <v>164</v>
      </c>
      <c r="AC3411" s="622">
        <v>38520</v>
      </c>
      <c r="AD3411" s="623">
        <v>7.1999999999999995E-2</v>
      </c>
      <c r="AE3411" s="621" t="s">
        <v>6136</v>
      </c>
    </row>
    <row r="3412" spans="1:31" s="572" customFormat="1">
      <c r="A3412" s="570" t="s">
        <v>6141</v>
      </c>
      <c r="B3412" s="573" t="s">
        <v>240</v>
      </c>
      <c r="C3412" s="578" t="s">
        <v>241</v>
      </c>
      <c r="D3412" s="573" t="s">
        <v>693</v>
      </c>
      <c r="E3412" s="573" t="s">
        <v>6143</v>
      </c>
      <c r="F3412" s="573" t="s">
        <v>248</v>
      </c>
      <c r="G3412" s="573">
        <v>2019</v>
      </c>
      <c r="H3412" s="573" t="s">
        <v>895</v>
      </c>
      <c r="I3412" s="573" t="s">
        <v>6144</v>
      </c>
      <c r="J3412" s="573" t="s">
        <v>230</v>
      </c>
      <c r="K3412" s="573">
        <v>5</v>
      </c>
      <c r="L3412" s="573">
        <v>0</v>
      </c>
      <c r="M3412" s="573" t="s">
        <v>157</v>
      </c>
      <c r="N3412" s="573">
        <v>2</v>
      </c>
      <c r="O3412" s="573" t="s">
        <v>157</v>
      </c>
      <c r="P3412" s="571">
        <v>6200</v>
      </c>
      <c r="Q3412" s="573" t="s">
        <v>231</v>
      </c>
      <c r="R3412" s="573">
        <v>6</v>
      </c>
      <c r="S3412" s="582" t="s">
        <v>6145</v>
      </c>
      <c r="T3412" s="573" t="s">
        <v>6146</v>
      </c>
      <c r="U3412" s="573">
        <v>119.8</v>
      </c>
      <c r="V3412" s="573">
        <v>24.6</v>
      </c>
      <c r="W3412" s="616">
        <v>6500</v>
      </c>
      <c r="X3412" s="617">
        <v>21</v>
      </c>
      <c r="Y3412" s="617" t="s">
        <v>178</v>
      </c>
      <c r="Z3412" s="617" t="s">
        <v>178</v>
      </c>
      <c r="AA3412" s="618">
        <v>35765</v>
      </c>
      <c r="AB3412" s="618" t="s">
        <v>164</v>
      </c>
      <c r="AC3412" s="618">
        <v>29385.416666666668</v>
      </c>
      <c r="AD3412" s="619">
        <v>0.05</v>
      </c>
      <c r="AE3412" s="617" t="s">
        <v>6142</v>
      </c>
    </row>
    <row r="3413" spans="1:31" s="572" customFormat="1">
      <c r="A3413" s="570" t="s">
        <v>6147</v>
      </c>
      <c r="B3413" s="569" t="s">
        <v>240</v>
      </c>
      <c r="C3413" s="580" t="s">
        <v>241</v>
      </c>
      <c r="D3413" s="569" t="s">
        <v>693</v>
      </c>
      <c r="E3413" s="569" t="s">
        <v>6143</v>
      </c>
      <c r="F3413" s="569" t="s">
        <v>248</v>
      </c>
      <c r="G3413" s="569">
        <v>2019</v>
      </c>
      <c r="H3413" s="569" t="s">
        <v>895</v>
      </c>
      <c r="I3413" s="569" t="s">
        <v>6144</v>
      </c>
      <c r="J3413" s="569" t="s">
        <v>230</v>
      </c>
      <c r="K3413" s="569">
        <v>5</v>
      </c>
      <c r="L3413" s="569">
        <v>0</v>
      </c>
      <c r="M3413" s="569" t="s">
        <v>157</v>
      </c>
      <c r="N3413" s="569">
        <v>2</v>
      </c>
      <c r="O3413" s="569" t="s">
        <v>157</v>
      </c>
      <c r="P3413" s="568">
        <v>7200</v>
      </c>
      <c r="Q3413" s="569" t="s">
        <v>646</v>
      </c>
      <c r="R3413" s="569">
        <v>8</v>
      </c>
      <c r="S3413" s="569" t="s">
        <v>6145</v>
      </c>
      <c r="T3413" s="569" t="s">
        <v>6149</v>
      </c>
      <c r="U3413" s="569">
        <v>119.8</v>
      </c>
      <c r="V3413" s="569">
        <v>24.6</v>
      </c>
      <c r="W3413" s="620">
        <v>7100</v>
      </c>
      <c r="X3413" s="621">
        <v>17</v>
      </c>
      <c r="Y3413" s="621" t="s">
        <v>178</v>
      </c>
      <c r="Z3413" s="621" t="s">
        <v>178</v>
      </c>
      <c r="AA3413" s="622">
        <v>38760</v>
      </c>
      <c r="AB3413" s="622" t="s">
        <v>164</v>
      </c>
      <c r="AC3413" s="622">
        <v>32381.25</v>
      </c>
      <c r="AD3413" s="623">
        <v>0.05</v>
      </c>
      <c r="AE3413" s="621" t="s">
        <v>6148</v>
      </c>
    </row>
    <row r="3414" spans="1:31" s="572" customFormat="1">
      <c r="A3414" s="570" t="s">
        <v>6147</v>
      </c>
      <c r="B3414" s="573" t="s">
        <v>240</v>
      </c>
      <c r="C3414" s="578" t="s">
        <v>241</v>
      </c>
      <c r="D3414" s="573" t="s">
        <v>693</v>
      </c>
      <c r="E3414" s="573" t="s">
        <v>6143</v>
      </c>
      <c r="F3414" s="573" t="s">
        <v>248</v>
      </c>
      <c r="G3414" s="573">
        <v>2019</v>
      </c>
      <c r="H3414" s="573" t="s">
        <v>895</v>
      </c>
      <c r="I3414" s="573" t="s">
        <v>6144</v>
      </c>
      <c r="J3414" s="573" t="s">
        <v>230</v>
      </c>
      <c r="K3414" s="573">
        <v>5</v>
      </c>
      <c r="L3414" s="573">
        <v>0</v>
      </c>
      <c r="M3414" s="573" t="s">
        <v>157</v>
      </c>
      <c r="N3414" s="573">
        <v>2</v>
      </c>
      <c r="O3414" s="573" t="s">
        <v>157</v>
      </c>
      <c r="P3414" s="571">
        <v>7200</v>
      </c>
      <c r="Q3414" s="573" t="s">
        <v>646</v>
      </c>
      <c r="R3414" s="573">
        <v>8</v>
      </c>
      <c r="S3414" s="582" t="s">
        <v>6145</v>
      </c>
      <c r="T3414" s="573" t="s">
        <v>6149</v>
      </c>
      <c r="U3414" s="573">
        <v>119.8</v>
      </c>
      <c r="V3414" s="573">
        <v>24.6</v>
      </c>
      <c r="W3414" s="616">
        <v>7100</v>
      </c>
      <c r="X3414" s="617">
        <v>17</v>
      </c>
      <c r="Y3414" s="617" t="s">
        <v>178</v>
      </c>
      <c r="Z3414" s="617" t="s">
        <v>178</v>
      </c>
      <c r="AA3414" s="618">
        <v>38760</v>
      </c>
      <c r="AB3414" s="618" t="s">
        <v>164</v>
      </c>
      <c r="AC3414" s="618">
        <v>32068.75</v>
      </c>
      <c r="AD3414" s="619">
        <v>0.05</v>
      </c>
      <c r="AE3414" s="617" t="s">
        <v>6148</v>
      </c>
    </row>
    <row r="3415" spans="1:31" s="572" customFormat="1">
      <c r="A3415" s="570" t="s">
        <v>6150</v>
      </c>
      <c r="B3415" s="569" t="s">
        <v>226</v>
      </c>
      <c r="C3415" s="580" t="s">
        <v>227</v>
      </c>
      <c r="D3415" s="569" t="s">
        <v>693</v>
      </c>
      <c r="E3415" s="569" t="s">
        <v>6143</v>
      </c>
      <c r="F3415" s="569" t="s">
        <v>248</v>
      </c>
      <c r="G3415" s="569">
        <v>2019</v>
      </c>
      <c r="H3415" s="569" t="s">
        <v>895</v>
      </c>
      <c r="I3415" s="569" t="s">
        <v>6152</v>
      </c>
      <c r="J3415" s="569" t="s">
        <v>236</v>
      </c>
      <c r="K3415" s="569">
        <v>5</v>
      </c>
      <c r="L3415" s="569">
        <v>0</v>
      </c>
      <c r="M3415" s="569" t="s">
        <v>157</v>
      </c>
      <c r="N3415" s="569">
        <v>2</v>
      </c>
      <c r="O3415" s="569" t="s">
        <v>157</v>
      </c>
      <c r="P3415" s="568">
        <v>6000</v>
      </c>
      <c r="Q3415" s="569" t="s">
        <v>231</v>
      </c>
      <c r="R3415" s="569">
        <v>6</v>
      </c>
      <c r="S3415" s="569" t="s">
        <v>6153</v>
      </c>
      <c r="T3415" s="569" t="s">
        <v>6154</v>
      </c>
      <c r="U3415" s="569">
        <v>119.8</v>
      </c>
      <c r="V3415" s="569">
        <v>24.6</v>
      </c>
      <c r="W3415" s="620">
        <v>6500</v>
      </c>
      <c r="X3415" s="621">
        <v>22</v>
      </c>
      <c r="Y3415" s="621" t="s">
        <v>178</v>
      </c>
      <c r="Z3415" s="621" t="s">
        <v>178</v>
      </c>
      <c r="AA3415" s="622">
        <v>32990</v>
      </c>
      <c r="AB3415" s="622" t="s">
        <v>164</v>
      </c>
      <c r="AC3415" s="622">
        <v>25380</v>
      </c>
      <c r="AD3415" s="623">
        <v>6.25E-2</v>
      </c>
      <c r="AE3415" s="621" t="s">
        <v>6151</v>
      </c>
    </row>
    <row r="3416" spans="1:31" s="572" customFormat="1">
      <c r="A3416" s="570" t="s">
        <v>6155</v>
      </c>
      <c r="B3416" s="573" t="s">
        <v>226</v>
      </c>
      <c r="C3416" s="578" t="s">
        <v>227</v>
      </c>
      <c r="D3416" s="573" t="s">
        <v>693</v>
      </c>
      <c r="E3416" s="573" t="s">
        <v>6143</v>
      </c>
      <c r="F3416" s="573" t="s">
        <v>248</v>
      </c>
      <c r="G3416" s="573">
        <v>2019</v>
      </c>
      <c r="H3416" s="573" t="s">
        <v>895</v>
      </c>
      <c r="I3416" s="573" t="s">
        <v>6152</v>
      </c>
      <c r="J3416" s="573" t="s">
        <v>236</v>
      </c>
      <c r="K3416" s="573">
        <v>5</v>
      </c>
      <c r="L3416" s="573">
        <v>0</v>
      </c>
      <c r="M3416" s="573" t="s">
        <v>157</v>
      </c>
      <c r="N3416" s="573">
        <v>2</v>
      </c>
      <c r="O3416" s="573" t="s">
        <v>157</v>
      </c>
      <c r="P3416" s="571">
        <v>6000</v>
      </c>
      <c r="Q3416" s="573" t="s">
        <v>646</v>
      </c>
      <c r="R3416" s="573">
        <v>8</v>
      </c>
      <c r="S3416" s="582" t="s">
        <v>6153</v>
      </c>
      <c r="T3416" s="573" t="s">
        <v>6157</v>
      </c>
      <c r="U3416" s="573">
        <v>119.8</v>
      </c>
      <c r="V3416" s="573">
        <v>24.6</v>
      </c>
      <c r="W3416" s="616">
        <v>6500</v>
      </c>
      <c r="X3416" s="617">
        <v>21</v>
      </c>
      <c r="Y3416" s="617" t="s">
        <v>178</v>
      </c>
      <c r="Z3416" s="617" t="s">
        <v>178</v>
      </c>
      <c r="AA3416" s="618">
        <v>35985</v>
      </c>
      <c r="AB3416" s="618" t="s">
        <v>164</v>
      </c>
      <c r="AC3416" s="618">
        <v>28588</v>
      </c>
      <c r="AD3416" s="619">
        <v>6.25E-2</v>
      </c>
      <c r="AE3416" s="617" t="s">
        <v>6156</v>
      </c>
    </row>
    <row r="3417" spans="1:31" s="572" customFormat="1">
      <c r="A3417" s="570" t="s">
        <v>6158</v>
      </c>
      <c r="B3417" s="569" t="s">
        <v>240</v>
      </c>
      <c r="C3417" s="580" t="s">
        <v>241</v>
      </c>
      <c r="D3417" s="569" t="s">
        <v>693</v>
      </c>
      <c r="E3417" s="569" t="s">
        <v>6143</v>
      </c>
      <c r="F3417" s="569" t="s">
        <v>248</v>
      </c>
      <c r="G3417" s="569">
        <v>2019</v>
      </c>
      <c r="H3417" s="569" t="s">
        <v>895</v>
      </c>
      <c r="I3417" s="569" t="s">
        <v>6152</v>
      </c>
      <c r="J3417" s="569" t="s">
        <v>236</v>
      </c>
      <c r="K3417" s="569">
        <v>5</v>
      </c>
      <c r="L3417" s="569">
        <v>0</v>
      </c>
      <c r="M3417" s="569" t="s">
        <v>157</v>
      </c>
      <c r="N3417" s="569">
        <v>2</v>
      </c>
      <c r="O3417" s="569" t="s">
        <v>157</v>
      </c>
      <c r="P3417" s="568">
        <v>6000</v>
      </c>
      <c r="Q3417" s="569" t="s">
        <v>231</v>
      </c>
      <c r="R3417" s="569">
        <v>6</v>
      </c>
      <c r="S3417" s="569" t="s">
        <v>6153</v>
      </c>
      <c r="T3417" s="569" t="s">
        <v>6154</v>
      </c>
      <c r="U3417" s="569">
        <v>119.8</v>
      </c>
      <c r="V3417" s="569">
        <v>24.6</v>
      </c>
      <c r="W3417" s="620">
        <v>6500</v>
      </c>
      <c r="X3417" s="621">
        <v>19</v>
      </c>
      <c r="Y3417" s="621" t="s">
        <v>178</v>
      </c>
      <c r="Z3417" s="621" t="s">
        <v>178</v>
      </c>
      <c r="AA3417" s="622">
        <v>32990</v>
      </c>
      <c r="AB3417" s="622" t="s">
        <v>164</v>
      </c>
      <c r="AC3417" s="622">
        <v>25259</v>
      </c>
      <c r="AD3417" s="623">
        <v>0.05</v>
      </c>
      <c r="AE3417" s="621" t="s">
        <v>6151</v>
      </c>
    </row>
    <row r="3418" spans="1:31" s="572" customFormat="1">
      <c r="A3418" s="570" t="s">
        <v>6159</v>
      </c>
      <c r="B3418" s="573" t="s">
        <v>240</v>
      </c>
      <c r="C3418" s="578" t="s">
        <v>241</v>
      </c>
      <c r="D3418" s="573" t="s">
        <v>693</v>
      </c>
      <c r="E3418" s="573" t="s">
        <v>6143</v>
      </c>
      <c r="F3418" s="573" t="s">
        <v>248</v>
      </c>
      <c r="G3418" s="573">
        <v>2019</v>
      </c>
      <c r="H3418" s="573" t="s">
        <v>895</v>
      </c>
      <c r="I3418" s="573" t="s">
        <v>6152</v>
      </c>
      <c r="J3418" s="573" t="s">
        <v>236</v>
      </c>
      <c r="K3418" s="573">
        <v>5</v>
      </c>
      <c r="L3418" s="573">
        <v>0</v>
      </c>
      <c r="M3418" s="573" t="s">
        <v>157</v>
      </c>
      <c r="N3418" s="573">
        <v>2</v>
      </c>
      <c r="O3418" s="573" t="s">
        <v>157</v>
      </c>
      <c r="P3418" s="571">
        <v>7400</v>
      </c>
      <c r="Q3418" s="573" t="s">
        <v>646</v>
      </c>
      <c r="R3418" s="573">
        <v>8</v>
      </c>
      <c r="S3418" s="582" t="s">
        <v>6153</v>
      </c>
      <c r="T3418" s="573" t="s">
        <v>6157</v>
      </c>
      <c r="U3418" s="573">
        <v>119.8</v>
      </c>
      <c r="V3418" s="573">
        <v>24.6</v>
      </c>
      <c r="W3418" s="616">
        <v>7100</v>
      </c>
      <c r="X3418" s="617">
        <v>17</v>
      </c>
      <c r="Y3418" s="617" t="s">
        <v>178</v>
      </c>
      <c r="Z3418" s="617" t="s">
        <v>178</v>
      </c>
      <c r="AA3418" s="618">
        <v>35985</v>
      </c>
      <c r="AB3418" s="618" t="s">
        <v>164</v>
      </c>
      <c r="AC3418" s="618">
        <v>27875</v>
      </c>
      <c r="AD3418" s="619">
        <v>0.05</v>
      </c>
      <c r="AE3418" s="617" t="s">
        <v>6160</v>
      </c>
    </row>
    <row r="3419" spans="1:31" s="572" customFormat="1">
      <c r="A3419" s="570" t="s">
        <v>6161</v>
      </c>
      <c r="B3419" s="569" t="s">
        <v>226</v>
      </c>
      <c r="C3419" s="580" t="s">
        <v>227</v>
      </c>
      <c r="D3419" s="569" t="s">
        <v>693</v>
      </c>
      <c r="E3419" s="569" t="s">
        <v>6116</v>
      </c>
      <c r="F3419" s="569" t="s">
        <v>248</v>
      </c>
      <c r="G3419" s="569">
        <v>2019</v>
      </c>
      <c r="H3419" s="569" t="s">
        <v>5395</v>
      </c>
      <c r="I3419" s="569" t="s">
        <v>6152</v>
      </c>
      <c r="J3419" s="569" t="s">
        <v>752</v>
      </c>
      <c r="K3419" s="569">
        <v>5</v>
      </c>
      <c r="L3419" s="569">
        <v>0</v>
      </c>
      <c r="M3419" s="569" t="s">
        <v>157</v>
      </c>
      <c r="N3419" s="569">
        <v>2</v>
      </c>
      <c r="O3419" s="569" t="s">
        <v>157</v>
      </c>
      <c r="P3419" s="568">
        <v>6800</v>
      </c>
      <c r="Q3419" s="569" t="s">
        <v>646</v>
      </c>
      <c r="R3419" s="569">
        <v>8</v>
      </c>
      <c r="S3419" s="569" t="s">
        <v>6163</v>
      </c>
      <c r="T3419" s="569" t="s">
        <v>6164</v>
      </c>
      <c r="U3419" s="569">
        <v>140</v>
      </c>
      <c r="V3419" s="569">
        <v>26</v>
      </c>
      <c r="W3419" s="620">
        <v>6800</v>
      </c>
      <c r="X3419" s="621">
        <v>22</v>
      </c>
      <c r="Y3419" s="621" t="s">
        <v>178</v>
      </c>
      <c r="Z3419" s="621" t="s">
        <v>178</v>
      </c>
      <c r="AA3419" s="622">
        <v>42120</v>
      </c>
      <c r="AB3419" s="622" t="s">
        <v>164</v>
      </c>
      <c r="AC3419" s="622">
        <v>25674</v>
      </c>
      <c r="AD3419" s="623">
        <v>6.25E-2</v>
      </c>
      <c r="AE3419" s="621" t="s">
        <v>6162</v>
      </c>
    </row>
    <row r="3420" spans="1:31" s="572" customFormat="1">
      <c r="A3420" s="570" t="s">
        <v>6165</v>
      </c>
      <c r="B3420" s="573" t="s">
        <v>240</v>
      </c>
      <c r="C3420" s="578" t="s">
        <v>241</v>
      </c>
      <c r="D3420" s="573" t="s">
        <v>693</v>
      </c>
      <c r="E3420" s="573" t="s">
        <v>6116</v>
      </c>
      <c r="F3420" s="573" t="s">
        <v>248</v>
      </c>
      <c r="G3420" s="573">
        <v>2019</v>
      </c>
      <c r="H3420" s="573" t="s">
        <v>5395</v>
      </c>
      <c r="I3420" s="573" t="s">
        <v>6152</v>
      </c>
      <c r="J3420" s="573" t="s">
        <v>752</v>
      </c>
      <c r="K3420" s="573">
        <v>5</v>
      </c>
      <c r="L3420" s="573">
        <v>0</v>
      </c>
      <c r="M3420" s="573" t="s">
        <v>157</v>
      </c>
      <c r="N3420" s="573">
        <v>2</v>
      </c>
      <c r="O3420" s="573" t="s">
        <v>157</v>
      </c>
      <c r="P3420" s="571">
        <v>8510</v>
      </c>
      <c r="Q3420" s="573" t="s">
        <v>646</v>
      </c>
      <c r="R3420" s="573">
        <v>8</v>
      </c>
      <c r="S3420" s="582" t="s">
        <v>6163</v>
      </c>
      <c r="T3420" s="573" t="s">
        <v>6164</v>
      </c>
      <c r="U3420" s="573">
        <v>140.5</v>
      </c>
      <c r="V3420" s="573">
        <v>26</v>
      </c>
      <c r="W3420" s="616">
        <v>6800</v>
      </c>
      <c r="X3420" s="617">
        <v>14</v>
      </c>
      <c r="Y3420" s="617" t="s">
        <v>178</v>
      </c>
      <c r="Z3420" s="617" t="s">
        <v>178</v>
      </c>
      <c r="AA3420" s="618">
        <v>42120</v>
      </c>
      <c r="AB3420" s="618" t="s">
        <v>164</v>
      </c>
      <c r="AC3420" s="618">
        <v>25989</v>
      </c>
      <c r="AD3420" s="619">
        <v>0.05</v>
      </c>
      <c r="AE3420" s="617" t="s">
        <v>6162</v>
      </c>
    </row>
    <row r="3421" spans="1:31" s="572" customFormat="1">
      <c r="A3421" s="570" t="s">
        <v>6166</v>
      </c>
      <c r="B3421" s="569" t="s">
        <v>269</v>
      </c>
      <c r="C3421" s="580" t="s">
        <v>270</v>
      </c>
      <c r="D3421" s="569" t="s">
        <v>693</v>
      </c>
      <c r="E3421" s="569" t="s">
        <v>6137</v>
      </c>
      <c r="F3421" s="569" t="s">
        <v>271</v>
      </c>
      <c r="G3421" s="569">
        <v>2019</v>
      </c>
      <c r="H3421" s="569" t="s">
        <v>1123</v>
      </c>
      <c r="I3421" s="569" t="s">
        <v>1201</v>
      </c>
      <c r="J3421" s="569" t="s">
        <v>3377</v>
      </c>
      <c r="K3421" s="569">
        <v>5</v>
      </c>
      <c r="L3421" s="569">
        <v>0</v>
      </c>
      <c r="M3421" s="569" t="s">
        <v>157</v>
      </c>
      <c r="N3421" s="569">
        <v>2</v>
      </c>
      <c r="O3421" s="569" t="s">
        <v>157</v>
      </c>
      <c r="P3421" s="568" t="s">
        <v>157</v>
      </c>
      <c r="Q3421" s="569" t="s">
        <v>1259</v>
      </c>
      <c r="R3421" s="569">
        <v>6</v>
      </c>
      <c r="S3421" s="569" t="s">
        <v>1208</v>
      </c>
      <c r="T3421" s="569" t="s">
        <v>6168</v>
      </c>
      <c r="U3421" s="569">
        <v>122.5</v>
      </c>
      <c r="V3421" s="569">
        <v>23.3</v>
      </c>
      <c r="W3421" s="620">
        <v>7300</v>
      </c>
      <c r="X3421" s="621">
        <v>20</v>
      </c>
      <c r="Y3421" s="621" t="s">
        <v>178</v>
      </c>
      <c r="Z3421" s="621" t="s">
        <v>178</v>
      </c>
      <c r="AA3421" s="622">
        <v>47745</v>
      </c>
      <c r="AB3421" s="622" t="s">
        <v>164</v>
      </c>
      <c r="AC3421" s="622">
        <v>35361.125</v>
      </c>
      <c r="AD3421" s="623">
        <v>0.03</v>
      </c>
      <c r="AE3421" s="621" t="s">
        <v>6167</v>
      </c>
    </row>
    <row r="3422" spans="1:31" s="572" customFormat="1">
      <c r="A3422" s="570" t="s">
        <v>6166</v>
      </c>
      <c r="B3422" s="573" t="s">
        <v>269</v>
      </c>
      <c r="C3422" s="578" t="s">
        <v>270</v>
      </c>
      <c r="D3422" s="573" t="s">
        <v>693</v>
      </c>
      <c r="E3422" s="573" t="s">
        <v>6137</v>
      </c>
      <c r="F3422" s="573" t="s">
        <v>271</v>
      </c>
      <c r="G3422" s="573">
        <v>2019</v>
      </c>
      <c r="H3422" s="573" t="s">
        <v>1123</v>
      </c>
      <c r="I3422" s="573" t="s">
        <v>1201</v>
      </c>
      <c r="J3422" s="573" t="s">
        <v>3377</v>
      </c>
      <c r="K3422" s="573">
        <v>5</v>
      </c>
      <c r="L3422" s="573">
        <v>0</v>
      </c>
      <c r="M3422" s="573" t="s">
        <v>157</v>
      </c>
      <c r="N3422" s="573">
        <v>2</v>
      </c>
      <c r="O3422" s="573" t="s">
        <v>157</v>
      </c>
      <c r="P3422" s="571" t="s">
        <v>157</v>
      </c>
      <c r="Q3422" s="573" t="s">
        <v>1259</v>
      </c>
      <c r="R3422" s="573">
        <v>6</v>
      </c>
      <c r="S3422" s="582" t="s">
        <v>1208</v>
      </c>
      <c r="T3422" s="573" t="s">
        <v>6168</v>
      </c>
      <c r="U3422" s="573">
        <v>122.5</v>
      </c>
      <c r="V3422" s="573">
        <v>23.3</v>
      </c>
      <c r="W3422" s="616">
        <v>7400</v>
      </c>
      <c r="X3422" s="617">
        <v>20</v>
      </c>
      <c r="Y3422" s="617" t="s">
        <v>178</v>
      </c>
      <c r="Z3422" s="617" t="s">
        <v>178</v>
      </c>
      <c r="AA3422" s="618">
        <v>47745</v>
      </c>
      <c r="AB3422" s="618" t="s">
        <v>164</v>
      </c>
      <c r="AC3422" s="618">
        <v>35361.125</v>
      </c>
      <c r="AD3422" s="619">
        <v>0.03</v>
      </c>
      <c r="AE3422" s="617" t="s">
        <v>6167</v>
      </c>
    </row>
    <row r="3423" spans="1:31" s="572" customFormat="1">
      <c r="A3423" s="570" t="s">
        <v>6169</v>
      </c>
      <c r="B3423" s="569" t="s">
        <v>278</v>
      </c>
      <c r="C3423" s="580">
        <v>15</v>
      </c>
      <c r="D3423" s="569" t="s">
        <v>693</v>
      </c>
      <c r="E3423" s="569" t="s">
        <v>6137</v>
      </c>
      <c r="F3423" s="569" t="s">
        <v>271</v>
      </c>
      <c r="G3423" s="569">
        <v>2019</v>
      </c>
      <c r="H3423" s="569" t="s">
        <v>1123</v>
      </c>
      <c r="I3423" s="569" t="s">
        <v>1201</v>
      </c>
      <c r="J3423" s="569" t="s">
        <v>3377</v>
      </c>
      <c r="K3423" s="569">
        <v>5</v>
      </c>
      <c r="L3423" s="569">
        <v>0</v>
      </c>
      <c r="M3423" s="569" t="s">
        <v>157</v>
      </c>
      <c r="N3423" s="569">
        <v>2</v>
      </c>
      <c r="O3423" s="569" t="s">
        <v>157</v>
      </c>
      <c r="P3423" s="568" t="s">
        <v>157</v>
      </c>
      <c r="Q3423" s="569" t="s">
        <v>1259</v>
      </c>
      <c r="R3423" s="569">
        <v>6</v>
      </c>
      <c r="S3423" s="569" t="s">
        <v>1208</v>
      </c>
      <c r="T3423" s="569" t="s">
        <v>6168</v>
      </c>
      <c r="U3423" s="569">
        <v>122.5</v>
      </c>
      <c r="V3423" s="569">
        <v>25</v>
      </c>
      <c r="W3423" s="620">
        <v>7300</v>
      </c>
      <c r="X3423" s="621">
        <v>20</v>
      </c>
      <c r="Y3423" s="621" t="s">
        <v>178</v>
      </c>
      <c r="Z3423" s="621" t="s">
        <v>178</v>
      </c>
      <c r="AA3423" s="622">
        <v>47745</v>
      </c>
      <c r="AB3423" s="622" t="s">
        <v>164</v>
      </c>
      <c r="AC3423" s="622">
        <v>35995</v>
      </c>
      <c r="AD3423" s="623">
        <v>0.01</v>
      </c>
      <c r="AE3423" s="621" t="s">
        <v>6170</v>
      </c>
    </row>
    <row r="3424" spans="1:31" s="572" customFormat="1">
      <c r="A3424" s="570" t="s">
        <v>6171</v>
      </c>
      <c r="B3424" s="573" t="s">
        <v>280</v>
      </c>
      <c r="C3424" s="578">
        <v>27</v>
      </c>
      <c r="D3424" s="573" t="s">
        <v>693</v>
      </c>
      <c r="E3424" s="573" t="s">
        <v>6137</v>
      </c>
      <c r="F3424" s="573" t="s">
        <v>271</v>
      </c>
      <c r="G3424" s="573">
        <v>2019</v>
      </c>
      <c r="H3424" s="573" t="s">
        <v>1123</v>
      </c>
      <c r="I3424" s="573" t="s">
        <v>1201</v>
      </c>
      <c r="J3424" s="573" t="s">
        <v>3377</v>
      </c>
      <c r="K3424" s="573">
        <v>5</v>
      </c>
      <c r="L3424" s="573">
        <v>0</v>
      </c>
      <c r="M3424" s="573" t="s">
        <v>157</v>
      </c>
      <c r="N3424" s="573">
        <v>2</v>
      </c>
      <c r="O3424" s="573" t="s">
        <v>157</v>
      </c>
      <c r="P3424" s="571" t="s">
        <v>157</v>
      </c>
      <c r="Q3424" s="573" t="s">
        <v>1259</v>
      </c>
      <c r="R3424" s="573">
        <v>6</v>
      </c>
      <c r="S3424" s="582" t="s">
        <v>1208</v>
      </c>
      <c r="T3424" s="573" t="s">
        <v>6168</v>
      </c>
      <c r="U3424" s="573">
        <v>122.5</v>
      </c>
      <c r="V3424" s="573">
        <v>23.3</v>
      </c>
      <c r="W3424" s="616">
        <v>7300</v>
      </c>
      <c r="X3424" s="617">
        <v>20</v>
      </c>
      <c r="Y3424" s="617" t="s">
        <v>178</v>
      </c>
      <c r="Z3424" s="617" t="s">
        <v>178</v>
      </c>
      <c r="AA3424" s="618">
        <v>47745</v>
      </c>
      <c r="AB3424" s="618" t="s">
        <v>164</v>
      </c>
      <c r="AC3424" s="618">
        <v>35361.125</v>
      </c>
      <c r="AD3424" s="619">
        <v>0.03</v>
      </c>
      <c r="AE3424" s="617" t="s">
        <v>6167</v>
      </c>
    </row>
    <row r="3425" spans="1:31" s="572" customFormat="1">
      <c r="A3425" s="570" t="s">
        <v>6171</v>
      </c>
      <c r="B3425" s="569" t="s">
        <v>280</v>
      </c>
      <c r="C3425" s="580">
        <v>27</v>
      </c>
      <c r="D3425" s="569" t="s">
        <v>693</v>
      </c>
      <c r="E3425" s="569" t="s">
        <v>6137</v>
      </c>
      <c r="F3425" s="569" t="s">
        <v>271</v>
      </c>
      <c r="G3425" s="569">
        <v>2019</v>
      </c>
      <c r="H3425" s="569" t="s">
        <v>1123</v>
      </c>
      <c r="I3425" s="569" t="s">
        <v>1201</v>
      </c>
      <c r="J3425" s="569" t="s">
        <v>3377</v>
      </c>
      <c r="K3425" s="569">
        <v>5</v>
      </c>
      <c r="L3425" s="569">
        <v>0</v>
      </c>
      <c r="M3425" s="569" t="s">
        <v>157</v>
      </c>
      <c r="N3425" s="569">
        <v>2</v>
      </c>
      <c r="O3425" s="569" t="s">
        <v>157</v>
      </c>
      <c r="P3425" s="568" t="s">
        <v>157</v>
      </c>
      <c r="Q3425" s="569" t="s">
        <v>1259</v>
      </c>
      <c r="R3425" s="569">
        <v>6</v>
      </c>
      <c r="S3425" s="569" t="s">
        <v>1208</v>
      </c>
      <c r="T3425" s="569" t="s">
        <v>6168</v>
      </c>
      <c r="U3425" s="569">
        <v>122.5</v>
      </c>
      <c r="V3425" s="569">
        <v>23.3</v>
      </c>
      <c r="W3425" s="620">
        <v>7400</v>
      </c>
      <c r="X3425" s="621">
        <v>20</v>
      </c>
      <c r="Y3425" s="621" t="s">
        <v>178</v>
      </c>
      <c r="Z3425" s="621" t="s">
        <v>178</v>
      </c>
      <c r="AA3425" s="622">
        <v>47745</v>
      </c>
      <c r="AB3425" s="622" t="s">
        <v>164</v>
      </c>
      <c r="AC3425" s="622">
        <v>35361.125</v>
      </c>
      <c r="AD3425" s="623">
        <v>0.03</v>
      </c>
      <c r="AE3425" s="621" t="s">
        <v>6167</v>
      </c>
    </row>
    <row r="3426" spans="1:31" s="572" customFormat="1" ht="15.75" customHeight="1">
      <c r="A3426" s="570" t="s">
        <v>6172</v>
      </c>
      <c r="B3426" s="573" t="s">
        <v>269</v>
      </c>
      <c r="C3426" s="578" t="s">
        <v>270</v>
      </c>
      <c r="D3426" s="573" t="s">
        <v>693</v>
      </c>
      <c r="E3426" s="573" t="s">
        <v>6137</v>
      </c>
      <c r="F3426" s="573" t="s">
        <v>271</v>
      </c>
      <c r="G3426" s="573">
        <v>2019</v>
      </c>
      <c r="H3426" s="686" t="s">
        <v>1123</v>
      </c>
      <c r="I3426" s="573" t="s">
        <v>1201</v>
      </c>
      <c r="J3426" s="573" t="s">
        <v>752</v>
      </c>
      <c r="K3426" s="573">
        <v>5</v>
      </c>
      <c r="L3426" s="573">
        <v>0</v>
      </c>
      <c r="M3426" s="573" t="s">
        <v>157</v>
      </c>
      <c r="N3426" s="573">
        <v>2</v>
      </c>
      <c r="O3426" s="573" t="s">
        <v>157</v>
      </c>
      <c r="P3426" s="571" t="s">
        <v>157</v>
      </c>
      <c r="Q3426" s="573" t="s">
        <v>1259</v>
      </c>
      <c r="R3426" s="573">
        <v>6</v>
      </c>
      <c r="S3426" s="582" t="s">
        <v>1202</v>
      </c>
      <c r="T3426" s="573" t="s">
        <v>6168</v>
      </c>
      <c r="U3426" s="573">
        <v>122.5</v>
      </c>
      <c r="V3426" s="573">
        <v>23.3</v>
      </c>
      <c r="W3426" s="616">
        <v>7450</v>
      </c>
      <c r="X3426" s="682">
        <v>19</v>
      </c>
      <c r="Y3426" s="617" t="s">
        <v>178</v>
      </c>
      <c r="Z3426" s="617" t="s">
        <v>178</v>
      </c>
      <c r="AA3426" s="618">
        <v>50745</v>
      </c>
      <c r="AB3426" s="618" t="s">
        <v>164</v>
      </c>
      <c r="AC3426" s="618">
        <v>38135.083333333336</v>
      </c>
      <c r="AD3426" s="619">
        <v>0.03</v>
      </c>
      <c r="AE3426" s="617" t="s">
        <v>6173</v>
      </c>
    </row>
    <row r="3427" spans="1:31" s="572" customFormat="1" ht="15" customHeight="1">
      <c r="A3427" s="570" t="s">
        <v>6174</v>
      </c>
      <c r="B3427" s="569" t="s">
        <v>278</v>
      </c>
      <c r="C3427" s="580">
        <v>15</v>
      </c>
      <c r="D3427" s="569" t="s">
        <v>693</v>
      </c>
      <c r="E3427" s="569" t="s">
        <v>6137</v>
      </c>
      <c r="F3427" s="569" t="s">
        <v>271</v>
      </c>
      <c r="G3427" s="569">
        <v>2019</v>
      </c>
      <c r="H3427" s="683" t="s">
        <v>1123</v>
      </c>
      <c r="I3427" s="569" t="s">
        <v>1201</v>
      </c>
      <c r="J3427" s="569" t="s">
        <v>752</v>
      </c>
      <c r="K3427" s="569">
        <v>5</v>
      </c>
      <c r="L3427" s="569">
        <v>0</v>
      </c>
      <c r="M3427" s="569" t="s">
        <v>157</v>
      </c>
      <c r="N3427" s="569">
        <v>2</v>
      </c>
      <c r="O3427" s="569" t="s">
        <v>157</v>
      </c>
      <c r="P3427" s="568" t="s">
        <v>157</v>
      </c>
      <c r="Q3427" s="569" t="s">
        <v>1259</v>
      </c>
      <c r="R3427" s="569">
        <v>6</v>
      </c>
      <c r="S3427" s="569" t="s">
        <v>1202</v>
      </c>
      <c r="T3427" s="569" t="s">
        <v>6168</v>
      </c>
      <c r="U3427" s="569">
        <v>122.5</v>
      </c>
      <c r="V3427" s="569">
        <v>25</v>
      </c>
      <c r="W3427" s="620">
        <v>7450</v>
      </c>
      <c r="X3427" s="681">
        <v>19</v>
      </c>
      <c r="Y3427" s="621" t="s">
        <v>178</v>
      </c>
      <c r="Z3427" s="621" t="s">
        <v>178</v>
      </c>
      <c r="AA3427" s="622">
        <v>50745</v>
      </c>
      <c r="AB3427" s="622" t="s">
        <v>164</v>
      </c>
      <c r="AC3427" s="622">
        <v>38750</v>
      </c>
      <c r="AD3427" s="623">
        <v>0.01</v>
      </c>
      <c r="AE3427" s="621" t="s">
        <v>6175</v>
      </c>
    </row>
    <row r="3428" spans="1:31" s="572" customFormat="1" ht="17.25" customHeight="1">
      <c r="A3428" s="570" t="s">
        <v>6176</v>
      </c>
      <c r="B3428" s="573" t="s">
        <v>280</v>
      </c>
      <c r="C3428" s="578">
        <v>27</v>
      </c>
      <c r="D3428" s="573" t="s">
        <v>693</v>
      </c>
      <c r="E3428" s="573" t="s">
        <v>6137</v>
      </c>
      <c r="F3428" s="573" t="s">
        <v>271</v>
      </c>
      <c r="G3428" s="573">
        <v>2019</v>
      </c>
      <c r="H3428" s="686" t="s">
        <v>1123</v>
      </c>
      <c r="I3428" s="573" t="s">
        <v>1201</v>
      </c>
      <c r="J3428" s="573" t="s">
        <v>752</v>
      </c>
      <c r="K3428" s="573">
        <v>5</v>
      </c>
      <c r="L3428" s="573">
        <v>0</v>
      </c>
      <c r="M3428" s="573" t="s">
        <v>157</v>
      </c>
      <c r="N3428" s="573">
        <v>2</v>
      </c>
      <c r="O3428" s="573" t="s">
        <v>157</v>
      </c>
      <c r="P3428" s="571" t="s">
        <v>157</v>
      </c>
      <c r="Q3428" s="573" t="s">
        <v>1259</v>
      </c>
      <c r="R3428" s="573">
        <v>6</v>
      </c>
      <c r="S3428" s="582" t="s">
        <v>1202</v>
      </c>
      <c r="T3428" s="573" t="s">
        <v>6168</v>
      </c>
      <c r="U3428" s="573">
        <v>122.5</v>
      </c>
      <c r="V3428" s="573">
        <v>23.3</v>
      </c>
      <c r="W3428" s="616">
        <v>7450</v>
      </c>
      <c r="X3428" s="682">
        <v>19</v>
      </c>
      <c r="Y3428" s="617" t="s">
        <v>178</v>
      </c>
      <c r="Z3428" s="617" t="s">
        <v>178</v>
      </c>
      <c r="AA3428" s="618">
        <v>50745</v>
      </c>
      <c r="AB3428" s="618" t="s">
        <v>164</v>
      </c>
      <c r="AC3428" s="618">
        <v>38135.083333333336</v>
      </c>
      <c r="AD3428" s="619">
        <v>0.03</v>
      </c>
      <c r="AE3428" s="617" t="s">
        <v>6173</v>
      </c>
    </row>
    <row r="3429" spans="1:31" s="572" customFormat="1">
      <c r="A3429" s="570" t="s">
        <v>6177</v>
      </c>
      <c r="B3429" s="569" t="s">
        <v>269</v>
      </c>
      <c r="C3429" s="580" t="s">
        <v>270</v>
      </c>
      <c r="D3429" s="569" t="s">
        <v>693</v>
      </c>
      <c r="E3429" s="569" t="s">
        <v>6116</v>
      </c>
      <c r="F3429" s="569" t="s">
        <v>271</v>
      </c>
      <c r="G3429" s="569">
        <v>2019</v>
      </c>
      <c r="H3429" s="569" t="s">
        <v>3765</v>
      </c>
      <c r="I3429" s="569" t="s">
        <v>6179</v>
      </c>
      <c r="J3429" s="569" t="s">
        <v>3377</v>
      </c>
      <c r="K3429" s="569">
        <v>5</v>
      </c>
      <c r="L3429" s="569">
        <v>0</v>
      </c>
      <c r="M3429" s="569" t="s">
        <v>157</v>
      </c>
      <c r="N3429" s="569">
        <v>2</v>
      </c>
      <c r="O3429" s="569" t="s">
        <v>157</v>
      </c>
      <c r="P3429" s="568" t="s">
        <v>157</v>
      </c>
      <c r="Q3429" s="569" t="s">
        <v>1259</v>
      </c>
      <c r="R3429" s="569">
        <v>6</v>
      </c>
      <c r="S3429" s="569" t="s">
        <v>3997</v>
      </c>
      <c r="T3429" s="569" t="s">
        <v>6180</v>
      </c>
      <c r="U3429" s="569">
        <v>145</v>
      </c>
      <c r="V3429" s="569">
        <v>23</v>
      </c>
      <c r="W3429" s="620">
        <v>6900</v>
      </c>
      <c r="X3429" s="621">
        <v>21</v>
      </c>
      <c r="Y3429" s="621" t="s">
        <v>178</v>
      </c>
      <c r="Z3429" s="621" t="s">
        <v>178</v>
      </c>
      <c r="AA3429" s="622">
        <v>36380</v>
      </c>
      <c r="AB3429" s="622" t="s">
        <v>164</v>
      </c>
      <c r="AC3429" s="622">
        <v>25073.347368421055</v>
      </c>
      <c r="AD3429" s="623">
        <v>0.03</v>
      </c>
      <c r="AE3429" s="621" t="s">
        <v>6178</v>
      </c>
    </row>
    <row r="3430" spans="1:31" s="572" customFormat="1">
      <c r="A3430" s="570" t="s">
        <v>6181</v>
      </c>
      <c r="B3430" s="573" t="s">
        <v>269</v>
      </c>
      <c r="C3430" s="578" t="s">
        <v>270</v>
      </c>
      <c r="D3430" s="573" t="s">
        <v>693</v>
      </c>
      <c r="E3430" s="573" t="s">
        <v>6116</v>
      </c>
      <c r="F3430" s="573" t="s">
        <v>271</v>
      </c>
      <c r="G3430" s="573">
        <v>2019</v>
      </c>
      <c r="H3430" s="573" t="s">
        <v>3765</v>
      </c>
      <c r="I3430" s="573" t="s">
        <v>6179</v>
      </c>
      <c r="J3430" s="573" t="s">
        <v>3377</v>
      </c>
      <c r="K3430" s="573">
        <v>5</v>
      </c>
      <c r="L3430" s="573">
        <v>0</v>
      </c>
      <c r="M3430" s="573" t="s">
        <v>157</v>
      </c>
      <c r="N3430" s="573">
        <v>2</v>
      </c>
      <c r="O3430" s="573" t="s">
        <v>157</v>
      </c>
      <c r="P3430" s="571" t="s">
        <v>157</v>
      </c>
      <c r="Q3430" s="573" t="s">
        <v>1259</v>
      </c>
      <c r="R3430" s="573">
        <v>6</v>
      </c>
      <c r="S3430" s="582" t="s">
        <v>3997</v>
      </c>
      <c r="T3430" s="573" t="s">
        <v>6180</v>
      </c>
      <c r="U3430" s="573">
        <v>163.69999999999999</v>
      </c>
      <c r="V3430" s="573">
        <v>23</v>
      </c>
      <c r="W3430" s="616">
        <v>7050</v>
      </c>
      <c r="X3430" s="617">
        <v>20</v>
      </c>
      <c r="Y3430" s="617" t="s">
        <v>178</v>
      </c>
      <c r="Z3430" s="617" t="s">
        <v>178</v>
      </c>
      <c r="AA3430" s="618">
        <v>36690</v>
      </c>
      <c r="AB3430" s="618" t="s">
        <v>164</v>
      </c>
      <c r="AC3430" s="618">
        <v>25393.347368421055</v>
      </c>
      <c r="AD3430" s="619">
        <v>0.03</v>
      </c>
      <c r="AE3430" s="617" t="s">
        <v>6182</v>
      </c>
    </row>
    <row r="3431" spans="1:31" s="572" customFormat="1">
      <c r="A3431" s="570" t="s">
        <v>6183</v>
      </c>
      <c r="B3431" s="569" t="s">
        <v>269</v>
      </c>
      <c r="C3431" s="580" t="s">
        <v>270</v>
      </c>
      <c r="D3431" s="569" t="s">
        <v>693</v>
      </c>
      <c r="E3431" s="569" t="s">
        <v>6116</v>
      </c>
      <c r="F3431" s="569" t="s">
        <v>271</v>
      </c>
      <c r="G3431" s="569">
        <v>2019</v>
      </c>
      <c r="H3431" s="569" t="s">
        <v>3765</v>
      </c>
      <c r="I3431" s="569" t="s">
        <v>6179</v>
      </c>
      <c r="J3431" s="569" t="s">
        <v>3377</v>
      </c>
      <c r="K3431" s="569">
        <v>5</v>
      </c>
      <c r="L3431" s="569">
        <v>0</v>
      </c>
      <c r="M3431" s="569" t="s">
        <v>157</v>
      </c>
      <c r="N3431" s="569">
        <v>2</v>
      </c>
      <c r="O3431" s="569" t="s">
        <v>157</v>
      </c>
      <c r="P3431" s="568" t="s">
        <v>157</v>
      </c>
      <c r="Q3431" s="569" t="s">
        <v>3778</v>
      </c>
      <c r="R3431" s="569">
        <v>6</v>
      </c>
      <c r="S3431" s="569" t="s">
        <v>3997</v>
      </c>
      <c r="T3431" s="569" t="s">
        <v>6180</v>
      </c>
      <c r="U3431" s="569">
        <v>145</v>
      </c>
      <c r="V3431" s="569">
        <v>23</v>
      </c>
      <c r="W3431" s="620">
        <v>6900</v>
      </c>
      <c r="X3431" s="621">
        <v>19</v>
      </c>
      <c r="Y3431" s="621" t="s">
        <v>450</v>
      </c>
      <c r="Z3431" s="621" t="s">
        <v>178</v>
      </c>
      <c r="AA3431" s="622">
        <v>35780</v>
      </c>
      <c r="AB3431" s="622" t="s">
        <v>164</v>
      </c>
      <c r="AC3431" s="622">
        <v>24534.400000000001</v>
      </c>
      <c r="AD3431" s="623">
        <v>0.03</v>
      </c>
      <c r="AE3431" s="621" t="s">
        <v>6184</v>
      </c>
    </row>
    <row r="3432" spans="1:31" s="572" customFormat="1">
      <c r="A3432" s="570" t="s">
        <v>6185</v>
      </c>
      <c r="B3432" s="573" t="s">
        <v>269</v>
      </c>
      <c r="C3432" s="578" t="s">
        <v>270</v>
      </c>
      <c r="D3432" s="573" t="s">
        <v>693</v>
      </c>
      <c r="E3432" s="573" t="s">
        <v>6116</v>
      </c>
      <c r="F3432" s="573" t="s">
        <v>271</v>
      </c>
      <c r="G3432" s="573">
        <v>2019</v>
      </c>
      <c r="H3432" s="573" t="s">
        <v>3765</v>
      </c>
      <c r="I3432" s="573" t="s">
        <v>6179</v>
      </c>
      <c r="J3432" s="573" t="s">
        <v>3377</v>
      </c>
      <c r="K3432" s="573">
        <v>5</v>
      </c>
      <c r="L3432" s="573">
        <v>0</v>
      </c>
      <c r="M3432" s="573" t="s">
        <v>157</v>
      </c>
      <c r="N3432" s="573">
        <v>2</v>
      </c>
      <c r="O3432" s="573" t="s">
        <v>157</v>
      </c>
      <c r="P3432" s="571" t="s">
        <v>157</v>
      </c>
      <c r="Q3432" s="573" t="s">
        <v>3778</v>
      </c>
      <c r="R3432" s="573">
        <v>6</v>
      </c>
      <c r="S3432" s="582" t="s">
        <v>3997</v>
      </c>
      <c r="T3432" s="573" t="s">
        <v>6180</v>
      </c>
      <c r="U3432" s="573">
        <v>163.69999999999999</v>
      </c>
      <c r="V3432" s="573">
        <v>23</v>
      </c>
      <c r="W3432" s="616">
        <v>7050</v>
      </c>
      <c r="X3432" s="617">
        <v>19</v>
      </c>
      <c r="Y3432" s="617" t="s">
        <v>450</v>
      </c>
      <c r="Z3432" s="617" t="s">
        <v>178</v>
      </c>
      <c r="AA3432" s="618">
        <v>36090</v>
      </c>
      <c r="AB3432" s="618" t="s">
        <v>164</v>
      </c>
      <c r="AC3432" s="618">
        <v>24854.400000000001</v>
      </c>
      <c r="AD3432" s="619">
        <v>0.03</v>
      </c>
      <c r="AE3432" s="617" t="s">
        <v>6186</v>
      </c>
    </row>
    <row r="3433" spans="1:31" s="572" customFormat="1">
      <c r="A3433" s="570" t="s">
        <v>6187</v>
      </c>
      <c r="B3433" s="569" t="s">
        <v>278</v>
      </c>
      <c r="C3433" s="580">
        <v>15</v>
      </c>
      <c r="D3433" s="569" t="s">
        <v>693</v>
      </c>
      <c r="E3433" s="569" t="s">
        <v>6116</v>
      </c>
      <c r="F3433" s="569" t="s">
        <v>271</v>
      </c>
      <c r="G3433" s="569">
        <v>2019</v>
      </c>
      <c r="H3433" s="569" t="s">
        <v>3765</v>
      </c>
      <c r="I3433" s="569" t="s">
        <v>6179</v>
      </c>
      <c r="J3433" s="569" t="s">
        <v>3377</v>
      </c>
      <c r="K3433" s="569">
        <v>5</v>
      </c>
      <c r="L3433" s="569">
        <v>0</v>
      </c>
      <c r="M3433" s="569" t="s">
        <v>157</v>
      </c>
      <c r="N3433" s="569">
        <v>2</v>
      </c>
      <c r="O3433" s="569" t="s">
        <v>157</v>
      </c>
      <c r="P3433" s="568" t="s">
        <v>157</v>
      </c>
      <c r="Q3433" s="569" t="s">
        <v>1259</v>
      </c>
      <c r="R3433" s="569">
        <v>6</v>
      </c>
      <c r="S3433" s="569" t="s">
        <v>3997</v>
      </c>
      <c r="T3433" s="569" t="s">
        <v>276</v>
      </c>
      <c r="U3433" s="569">
        <v>145</v>
      </c>
      <c r="V3433" s="569">
        <v>23</v>
      </c>
      <c r="W3433" s="620">
        <v>6900</v>
      </c>
      <c r="X3433" s="621">
        <v>20</v>
      </c>
      <c r="Y3433" s="621" t="s">
        <v>178</v>
      </c>
      <c r="Z3433" s="621" t="s">
        <v>178</v>
      </c>
      <c r="AA3433" s="622">
        <v>36380</v>
      </c>
      <c r="AB3433" s="622" t="s">
        <v>164</v>
      </c>
      <c r="AC3433" s="622">
        <v>25150</v>
      </c>
      <c r="AD3433" s="623">
        <v>0.01</v>
      </c>
      <c r="AE3433" s="621" t="s">
        <v>6178</v>
      </c>
    </row>
    <row r="3434" spans="1:31" s="572" customFormat="1">
      <c r="A3434" s="570" t="s">
        <v>6188</v>
      </c>
      <c r="B3434" s="573" t="s">
        <v>278</v>
      </c>
      <c r="C3434" s="578">
        <v>15</v>
      </c>
      <c r="D3434" s="573" t="s">
        <v>693</v>
      </c>
      <c r="E3434" s="573" t="s">
        <v>6116</v>
      </c>
      <c r="F3434" s="573" t="s">
        <v>271</v>
      </c>
      <c r="G3434" s="573">
        <v>2019</v>
      </c>
      <c r="H3434" s="573" t="s">
        <v>3765</v>
      </c>
      <c r="I3434" s="573" t="s">
        <v>6179</v>
      </c>
      <c r="J3434" s="573" t="s">
        <v>3377</v>
      </c>
      <c r="K3434" s="573">
        <v>5</v>
      </c>
      <c r="L3434" s="573">
        <v>0</v>
      </c>
      <c r="M3434" s="573" t="s">
        <v>157</v>
      </c>
      <c r="N3434" s="573">
        <v>2</v>
      </c>
      <c r="O3434" s="573" t="s">
        <v>157</v>
      </c>
      <c r="P3434" s="571" t="s">
        <v>157</v>
      </c>
      <c r="Q3434" s="573" t="s">
        <v>1259</v>
      </c>
      <c r="R3434" s="573">
        <v>6</v>
      </c>
      <c r="S3434" s="582" t="s">
        <v>3997</v>
      </c>
      <c r="T3434" s="573" t="s">
        <v>276</v>
      </c>
      <c r="U3434" s="573">
        <v>163.69999999999999</v>
      </c>
      <c r="V3434" s="573">
        <v>23</v>
      </c>
      <c r="W3434" s="616">
        <v>7050</v>
      </c>
      <c r="X3434" s="617">
        <v>20</v>
      </c>
      <c r="Y3434" s="617" t="s">
        <v>178</v>
      </c>
      <c r="Z3434" s="617" t="s">
        <v>178</v>
      </c>
      <c r="AA3434" s="618">
        <v>36690</v>
      </c>
      <c r="AB3434" s="618" t="s">
        <v>164</v>
      </c>
      <c r="AC3434" s="618">
        <v>25450</v>
      </c>
      <c r="AD3434" s="619">
        <v>0.01</v>
      </c>
      <c r="AE3434" s="617" t="s">
        <v>6182</v>
      </c>
    </row>
    <row r="3435" spans="1:31" s="572" customFormat="1">
      <c r="A3435" s="570" t="s">
        <v>6189</v>
      </c>
      <c r="B3435" s="569" t="s">
        <v>280</v>
      </c>
      <c r="C3435" s="580">
        <v>27</v>
      </c>
      <c r="D3435" s="569" t="s">
        <v>693</v>
      </c>
      <c r="E3435" s="569" t="s">
        <v>6116</v>
      </c>
      <c r="F3435" s="569" t="s">
        <v>271</v>
      </c>
      <c r="G3435" s="569">
        <v>2019</v>
      </c>
      <c r="H3435" s="569" t="s">
        <v>3765</v>
      </c>
      <c r="I3435" s="569" t="s">
        <v>6179</v>
      </c>
      <c r="J3435" s="569" t="s">
        <v>3377</v>
      </c>
      <c r="K3435" s="569">
        <v>5</v>
      </c>
      <c r="L3435" s="569">
        <v>0</v>
      </c>
      <c r="M3435" s="569" t="s">
        <v>157</v>
      </c>
      <c r="N3435" s="569">
        <v>2</v>
      </c>
      <c r="O3435" s="569" t="s">
        <v>157</v>
      </c>
      <c r="P3435" s="568" t="s">
        <v>157</v>
      </c>
      <c r="Q3435" s="569" t="s">
        <v>1259</v>
      </c>
      <c r="R3435" s="569">
        <v>6</v>
      </c>
      <c r="S3435" s="569" t="s">
        <v>3997</v>
      </c>
      <c r="T3435" s="569" t="s">
        <v>6180</v>
      </c>
      <c r="U3435" s="569">
        <v>145</v>
      </c>
      <c r="V3435" s="569">
        <v>23</v>
      </c>
      <c r="W3435" s="620">
        <v>6900</v>
      </c>
      <c r="X3435" s="621">
        <v>21</v>
      </c>
      <c r="Y3435" s="621" t="s">
        <v>178</v>
      </c>
      <c r="Z3435" s="621" t="s">
        <v>178</v>
      </c>
      <c r="AA3435" s="622">
        <v>36380</v>
      </c>
      <c r="AB3435" s="622" t="s">
        <v>164</v>
      </c>
      <c r="AC3435" s="622">
        <v>25073.347368421055</v>
      </c>
      <c r="AD3435" s="623">
        <v>0.03</v>
      </c>
      <c r="AE3435" s="621" t="s">
        <v>6178</v>
      </c>
    </row>
    <row r="3436" spans="1:31" s="572" customFormat="1">
      <c r="A3436" s="570" t="s">
        <v>6190</v>
      </c>
      <c r="B3436" s="573" t="s">
        <v>280</v>
      </c>
      <c r="C3436" s="578">
        <v>27</v>
      </c>
      <c r="D3436" s="573" t="s">
        <v>693</v>
      </c>
      <c r="E3436" s="573" t="s">
        <v>6116</v>
      </c>
      <c r="F3436" s="573" t="s">
        <v>271</v>
      </c>
      <c r="G3436" s="573">
        <v>2019</v>
      </c>
      <c r="H3436" s="573" t="s">
        <v>3765</v>
      </c>
      <c r="I3436" s="573" t="s">
        <v>6179</v>
      </c>
      <c r="J3436" s="573" t="s">
        <v>3377</v>
      </c>
      <c r="K3436" s="573">
        <v>5</v>
      </c>
      <c r="L3436" s="573">
        <v>0</v>
      </c>
      <c r="M3436" s="573" t="s">
        <v>157</v>
      </c>
      <c r="N3436" s="573">
        <v>2</v>
      </c>
      <c r="O3436" s="573" t="s">
        <v>157</v>
      </c>
      <c r="P3436" s="571" t="s">
        <v>157</v>
      </c>
      <c r="Q3436" s="573" t="s">
        <v>1259</v>
      </c>
      <c r="R3436" s="573">
        <v>6</v>
      </c>
      <c r="S3436" s="582" t="s">
        <v>3997</v>
      </c>
      <c r="T3436" s="573" t="s">
        <v>6180</v>
      </c>
      <c r="U3436" s="573">
        <v>163.69999999999999</v>
      </c>
      <c r="V3436" s="573">
        <v>23</v>
      </c>
      <c r="W3436" s="616">
        <v>7050</v>
      </c>
      <c r="X3436" s="617">
        <v>20</v>
      </c>
      <c r="Y3436" s="617" t="s">
        <v>178</v>
      </c>
      <c r="Z3436" s="617" t="s">
        <v>178</v>
      </c>
      <c r="AA3436" s="618">
        <v>36690</v>
      </c>
      <c r="AB3436" s="618" t="s">
        <v>164</v>
      </c>
      <c r="AC3436" s="618">
        <v>25393.347368421055</v>
      </c>
      <c r="AD3436" s="619">
        <v>0.03</v>
      </c>
      <c r="AE3436" s="617" t="s">
        <v>6182</v>
      </c>
    </row>
    <row r="3437" spans="1:31" s="572" customFormat="1">
      <c r="A3437" s="570" t="s">
        <v>6191</v>
      </c>
      <c r="B3437" s="569" t="s">
        <v>280</v>
      </c>
      <c r="C3437" s="580">
        <v>27</v>
      </c>
      <c r="D3437" s="569" t="s">
        <v>693</v>
      </c>
      <c r="E3437" s="569" t="s">
        <v>6116</v>
      </c>
      <c r="F3437" s="569" t="s">
        <v>271</v>
      </c>
      <c r="G3437" s="569">
        <v>2019</v>
      </c>
      <c r="H3437" s="569" t="s">
        <v>3765</v>
      </c>
      <c r="I3437" s="569" t="s">
        <v>6179</v>
      </c>
      <c r="J3437" s="569" t="s">
        <v>3377</v>
      </c>
      <c r="K3437" s="569">
        <v>5</v>
      </c>
      <c r="L3437" s="569">
        <v>0</v>
      </c>
      <c r="M3437" s="569" t="s">
        <v>157</v>
      </c>
      <c r="N3437" s="569">
        <v>2</v>
      </c>
      <c r="O3437" s="569" t="s">
        <v>157</v>
      </c>
      <c r="P3437" s="568" t="s">
        <v>157</v>
      </c>
      <c r="Q3437" s="569" t="s">
        <v>3778</v>
      </c>
      <c r="R3437" s="569">
        <v>6</v>
      </c>
      <c r="S3437" s="569" t="s">
        <v>3997</v>
      </c>
      <c r="T3437" s="569" t="s">
        <v>6180</v>
      </c>
      <c r="U3437" s="569">
        <v>145</v>
      </c>
      <c r="V3437" s="569">
        <v>23</v>
      </c>
      <c r="W3437" s="620">
        <v>6900</v>
      </c>
      <c r="X3437" s="621">
        <v>19</v>
      </c>
      <c r="Y3437" s="621" t="s">
        <v>450</v>
      </c>
      <c r="Z3437" s="621" t="s">
        <v>178</v>
      </c>
      <c r="AA3437" s="622">
        <v>35780</v>
      </c>
      <c r="AB3437" s="622" t="s">
        <v>164</v>
      </c>
      <c r="AC3437" s="622">
        <v>24534.400000000001</v>
      </c>
      <c r="AD3437" s="623">
        <v>0.03</v>
      </c>
      <c r="AE3437" s="621" t="s">
        <v>6184</v>
      </c>
    </row>
    <row r="3438" spans="1:31" s="572" customFormat="1">
      <c r="A3438" s="570" t="s">
        <v>6192</v>
      </c>
      <c r="B3438" s="573" t="s">
        <v>280</v>
      </c>
      <c r="C3438" s="578">
        <v>27</v>
      </c>
      <c r="D3438" s="573" t="s">
        <v>693</v>
      </c>
      <c r="E3438" s="573" t="s">
        <v>6116</v>
      </c>
      <c r="F3438" s="573" t="s">
        <v>271</v>
      </c>
      <c r="G3438" s="573">
        <v>2019</v>
      </c>
      <c r="H3438" s="573" t="s">
        <v>3765</v>
      </c>
      <c r="I3438" s="573" t="s">
        <v>6179</v>
      </c>
      <c r="J3438" s="573" t="s">
        <v>3377</v>
      </c>
      <c r="K3438" s="573">
        <v>5</v>
      </c>
      <c r="L3438" s="573">
        <v>0</v>
      </c>
      <c r="M3438" s="573" t="s">
        <v>157</v>
      </c>
      <c r="N3438" s="573">
        <v>2</v>
      </c>
      <c r="O3438" s="573" t="s">
        <v>157</v>
      </c>
      <c r="P3438" s="571" t="s">
        <v>157</v>
      </c>
      <c r="Q3438" s="573" t="s">
        <v>3778</v>
      </c>
      <c r="R3438" s="573">
        <v>6</v>
      </c>
      <c r="S3438" s="582" t="s">
        <v>3997</v>
      </c>
      <c r="T3438" s="573" t="s">
        <v>6180</v>
      </c>
      <c r="U3438" s="573">
        <v>163.69999999999999</v>
      </c>
      <c r="V3438" s="573">
        <v>23</v>
      </c>
      <c r="W3438" s="616">
        <v>7050</v>
      </c>
      <c r="X3438" s="617">
        <v>19</v>
      </c>
      <c r="Y3438" s="617" t="s">
        <v>450</v>
      </c>
      <c r="Z3438" s="617" t="s">
        <v>178</v>
      </c>
      <c r="AA3438" s="618">
        <v>36090</v>
      </c>
      <c r="AB3438" s="618" t="s">
        <v>164</v>
      </c>
      <c r="AC3438" s="618">
        <v>24854.400000000001</v>
      </c>
      <c r="AD3438" s="619">
        <v>0.03</v>
      </c>
      <c r="AE3438" s="617" t="s">
        <v>6186</v>
      </c>
    </row>
    <row r="3439" spans="1:31" s="572" customFormat="1">
      <c r="A3439" s="570" t="s">
        <v>6193</v>
      </c>
      <c r="B3439" s="569" t="s">
        <v>269</v>
      </c>
      <c r="C3439" s="580" t="s">
        <v>270</v>
      </c>
      <c r="D3439" s="569" t="s">
        <v>693</v>
      </c>
      <c r="E3439" s="569" t="s">
        <v>6116</v>
      </c>
      <c r="F3439" s="569" t="s">
        <v>271</v>
      </c>
      <c r="G3439" s="569">
        <v>2019</v>
      </c>
      <c r="H3439" s="569" t="s">
        <v>3765</v>
      </c>
      <c r="I3439" s="569" t="s">
        <v>6179</v>
      </c>
      <c r="J3439" s="569" t="s">
        <v>752</v>
      </c>
      <c r="K3439" s="569">
        <v>5</v>
      </c>
      <c r="L3439" s="569">
        <v>0</v>
      </c>
      <c r="M3439" s="569" t="s">
        <v>157</v>
      </c>
      <c r="N3439" s="569">
        <v>2</v>
      </c>
      <c r="O3439" s="569" t="s">
        <v>157</v>
      </c>
      <c r="P3439" s="568" t="s">
        <v>157</v>
      </c>
      <c r="Q3439" s="569" t="s">
        <v>1259</v>
      </c>
      <c r="R3439" s="569">
        <v>6</v>
      </c>
      <c r="S3439" s="569" t="s">
        <v>4033</v>
      </c>
      <c r="T3439" s="569" t="s">
        <v>6180</v>
      </c>
      <c r="U3439" s="569">
        <v>145</v>
      </c>
      <c r="V3439" s="569">
        <v>36</v>
      </c>
      <c r="W3439" s="620">
        <v>7000</v>
      </c>
      <c r="X3439" s="621">
        <v>19</v>
      </c>
      <c r="Y3439" s="621" t="s">
        <v>178</v>
      </c>
      <c r="Z3439" s="621" t="s">
        <v>178</v>
      </c>
      <c r="AA3439" s="622">
        <v>39810</v>
      </c>
      <c r="AB3439" s="622" t="s">
        <v>164</v>
      </c>
      <c r="AC3439" s="622">
        <v>28260.715789473685</v>
      </c>
      <c r="AD3439" s="623">
        <v>0.03</v>
      </c>
      <c r="AE3439" s="621" t="s">
        <v>6194</v>
      </c>
    </row>
    <row r="3440" spans="1:31" s="572" customFormat="1">
      <c r="A3440" s="570" t="s">
        <v>6195</v>
      </c>
      <c r="B3440" s="573" t="s">
        <v>269</v>
      </c>
      <c r="C3440" s="578" t="s">
        <v>270</v>
      </c>
      <c r="D3440" s="573" t="s">
        <v>693</v>
      </c>
      <c r="E3440" s="573" t="s">
        <v>6116</v>
      </c>
      <c r="F3440" s="573" t="s">
        <v>271</v>
      </c>
      <c r="G3440" s="573">
        <v>2019</v>
      </c>
      <c r="H3440" s="573" t="s">
        <v>3765</v>
      </c>
      <c r="I3440" s="573" t="s">
        <v>6179</v>
      </c>
      <c r="J3440" s="573" t="s">
        <v>752</v>
      </c>
      <c r="K3440" s="573">
        <v>5</v>
      </c>
      <c r="L3440" s="573">
        <v>0</v>
      </c>
      <c r="M3440" s="573" t="s">
        <v>157</v>
      </c>
      <c r="N3440" s="573">
        <v>2</v>
      </c>
      <c r="O3440" s="573" t="s">
        <v>157</v>
      </c>
      <c r="P3440" s="571" t="s">
        <v>157</v>
      </c>
      <c r="Q3440" s="573" t="s">
        <v>1259</v>
      </c>
      <c r="R3440" s="573">
        <v>6</v>
      </c>
      <c r="S3440" s="582" t="s">
        <v>4033</v>
      </c>
      <c r="T3440" s="573" t="s">
        <v>6180</v>
      </c>
      <c r="U3440" s="573">
        <v>163.69999999999999</v>
      </c>
      <c r="V3440" s="573">
        <v>36</v>
      </c>
      <c r="W3440" s="616">
        <v>7050</v>
      </c>
      <c r="X3440" s="617">
        <v>19</v>
      </c>
      <c r="Y3440" s="617" t="s">
        <v>178</v>
      </c>
      <c r="Z3440" s="617" t="s">
        <v>178</v>
      </c>
      <c r="AA3440" s="618">
        <v>40070</v>
      </c>
      <c r="AB3440" s="618" t="s">
        <v>164</v>
      </c>
      <c r="AC3440" s="618">
        <v>28353.347368421055</v>
      </c>
      <c r="AD3440" s="619">
        <v>0.03</v>
      </c>
      <c r="AE3440" s="617" t="s">
        <v>6196</v>
      </c>
    </row>
    <row r="3441" spans="1:31" s="572" customFormat="1">
      <c r="A3441" s="570" t="s">
        <v>6197</v>
      </c>
      <c r="B3441" s="569" t="s">
        <v>269</v>
      </c>
      <c r="C3441" s="580" t="s">
        <v>270</v>
      </c>
      <c r="D3441" s="569" t="s">
        <v>693</v>
      </c>
      <c r="E3441" s="569" t="s">
        <v>6116</v>
      </c>
      <c r="F3441" s="569" t="s">
        <v>271</v>
      </c>
      <c r="G3441" s="569">
        <v>2019</v>
      </c>
      <c r="H3441" s="569" t="s">
        <v>3765</v>
      </c>
      <c r="I3441" s="569" t="s">
        <v>6179</v>
      </c>
      <c r="J3441" s="569" t="s">
        <v>752</v>
      </c>
      <c r="K3441" s="569">
        <v>5</v>
      </c>
      <c r="L3441" s="569">
        <v>0</v>
      </c>
      <c r="M3441" s="569" t="s">
        <v>157</v>
      </c>
      <c r="N3441" s="569">
        <v>2</v>
      </c>
      <c r="O3441" s="569" t="s">
        <v>157</v>
      </c>
      <c r="P3441" s="568" t="s">
        <v>157</v>
      </c>
      <c r="Q3441" s="569" t="s">
        <v>3778</v>
      </c>
      <c r="R3441" s="569">
        <v>6</v>
      </c>
      <c r="S3441" s="569" t="s">
        <v>4033</v>
      </c>
      <c r="T3441" s="569" t="s">
        <v>6180</v>
      </c>
      <c r="U3441" s="569">
        <v>145</v>
      </c>
      <c r="V3441" s="569">
        <v>23</v>
      </c>
      <c r="W3441" s="620">
        <v>7000</v>
      </c>
      <c r="X3441" s="621">
        <v>18</v>
      </c>
      <c r="Y3441" s="621" t="s">
        <v>450</v>
      </c>
      <c r="Z3441" s="621" t="s">
        <v>178</v>
      </c>
      <c r="AA3441" s="622">
        <v>39210</v>
      </c>
      <c r="AB3441" s="622" t="s">
        <v>164</v>
      </c>
      <c r="AC3441" s="622">
        <v>27721.768421052635</v>
      </c>
      <c r="AD3441" s="623">
        <v>0.03</v>
      </c>
      <c r="AE3441" s="621" t="s">
        <v>6198</v>
      </c>
    </row>
    <row r="3442" spans="1:31" s="572" customFormat="1">
      <c r="A3442" s="570" t="s">
        <v>6199</v>
      </c>
      <c r="B3442" s="573" t="s">
        <v>269</v>
      </c>
      <c r="C3442" s="578" t="s">
        <v>270</v>
      </c>
      <c r="D3442" s="573" t="s">
        <v>693</v>
      </c>
      <c r="E3442" s="573" t="s">
        <v>6116</v>
      </c>
      <c r="F3442" s="573" t="s">
        <v>271</v>
      </c>
      <c r="G3442" s="573">
        <v>2019</v>
      </c>
      <c r="H3442" s="573" t="s">
        <v>3765</v>
      </c>
      <c r="I3442" s="573" t="s">
        <v>6179</v>
      </c>
      <c r="J3442" s="573" t="s">
        <v>752</v>
      </c>
      <c r="K3442" s="573">
        <v>5</v>
      </c>
      <c r="L3442" s="573">
        <v>0</v>
      </c>
      <c r="M3442" s="573" t="s">
        <v>157</v>
      </c>
      <c r="N3442" s="573">
        <v>2</v>
      </c>
      <c r="O3442" s="573" t="s">
        <v>157</v>
      </c>
      <c r="P3442" s="571" t="s">
        <v>157</v>
      </c>
      <c r="Q3442" s="573" t="s">
        <v>3778</v>
      </c>
      <c r="R3442" s="573">
        <v>6</v>
      </c>
      <c r="S3442" s="582" t="s">
        <v>4033</v>
      </c>
      <c r="T3442" s="573" t="s">
        <v>6180</v>
      </c>
      <c r="U3442" s="573">
        <v>163.69999999999999</v>
      </c>
      <c r="V3442" s="573">
        <v>23</v>
      </c>
      <c r="W3442" s="616">
        <v>6950</v>
      </c>
      <c r="X3442" s="617">
        <v>18</v>
      </c>
      <c r="Y3442" s="617" t="s">
        <v>450</v>
      </c>
      <c r="Z3442" s="617" t="s">
        <v>178</v>
      </c>
      <c r="AA3442" s="618">
        <v>39470</v>
      </c>
      <c r="AB3442" s="618" t="s">
        <v>164</v>
      </c>
      <c r="AC3442" s="618">
        <v>28025.978947368421</v>
      </c>
      <c r="AD3442" s="619">
        <v>0.03</v>
      </c>
      <c r="AE3442" s="617" t="s">
        <v>6200</v>
      </c>
    </row>
    <row r="3443" spans="1:31" s="572" customFormat="1">
      <c r="A3443" s="570" t="s">
        <v>6201</v>
      </c>
      <c r="B3443" s="569" t="s">
        <v>278</v>
      </c>
      <c r="C3443" s="580">
        <v>15</v>
      </c>
      <c r="D3443" s="569" t="s">
        <v>693</v>
      </c>
      <c r="E3443" s="569" t="s">
        <v>6116</v>
      </c>
      <c r="F3443" s="569" t="s">
        <v>271</v>
      </c>
      <c r="G3443" s="569">
        <v>2019</v>
      </c>
      <c r="H3443" s="569" t="s">
        <v>3765</v>
      </c>
      <c r="I3443" s="569" t="s">
        <v>6179</v>
      </c>
      <c r="J3443" s="569" t="s">
        <v>752</v>
      </c>
      <c r="K3443" s="569">
        <v>5</v>
      </c>
      <c r="L3443" s="569">
        <v>0</v>
      </c>
      <c r="M3443" s="569" t="s">
        <v>157</v>
      </c>
      <c r="N3443" s="569">
        <v>2</v>
      </c>
      <c r="O3443" s="569" t="s">
        <v>157</v>
      </c>
      <c r="P3443" s="568" t="s">
        <v>157</v>
      </c>
      <c r="Q3443" s="569" t="s">
        <v>1259</v>
      </c>
      <c r="R3443" s="569">
        <v>6</v>
      </c>
      <c r="S3443" s="569" t="s">
        <v>4033</v>
      </c>
      <c r="T3443" s="569" t="s">
        <v>276</v>
      </c>
      <c r="U3443" s="569">
        <v>145</v>
      </c>
      <c r="V3443" s="569">
        <v>36</v>
      </c>
      <c r="W3443" s="620">
        <v>7000</v>
      </c>
      <c r="X3443" s="621">
        <v>19</v>
      </c>
      <c r="Y3443" s="621" t="s">
        <v>178</v>
      </c>
      <c r="Z3443" s="621" t="s">
        <v>178</v>
      </c>
      <c r="AA3443" s="622">
        <v>39810</v>
      </c>
      <c r="AB3443" s="622" t="s">
        <v>164</v>
      </c>
      <c r="AC3443" s="622">
        <v>28400</v>
      </c>
      <c r="AD3443" s="623">
        <v>0.01</v>
      </c>
      <c r="AE3443" s="621" t="s">
        <v>6194</v>
      </c>
    </row>
    <row r="3444" spans="1:31" s="572" customFormat="1">
      <c r="A3444" s="570" t="s">
        <v>6202</v>
      </c>
      <c r="B3444" s="573" t="s">
        <v>278</v>
      </c>
      <c r="C3444" s="578">
        <v>15</v>
      </c>
      <c r="D3444" s="573" t="s">
        <v>693</v>
      </c>
      <c r="E3444" s="573" t="s">
        <v>6116</v>
      </c>
      <c r="F3444" s="573" t="s">
        <v>271</v>
      </c>
      <c r="G3444" s="573">
        <v>2019</v>
      </c>
      <c r="H3444" s="573" t="s">
        <v>3765</v>
      </c>
      <c r="I3444" s="573" t="s">
        <v>6179</v>
      </c>
      <c r="J3444" s="573" t="s">
        <v>752</v>
      </c>
      <c r="K3444" s="573">
        <v>5</v>
      </c>
      <c r="L3444" s="573">
        <v>0</v>
      </c>
      <c r="M3444" s="573" t="s">
        <v>157</v>
      </c>
      <c r="N3444" s="573">
        <v>2</v>
      </c>
      <c r="O3444" s="573" t="s">
        <v>157</v>
      </c>
      <c r="P3444" s="571" t="s">
        <v>157</v>
      </c>
      <c r="Q3444" s="573" t="s">
        <v>1259</v>
      </c>
      <c r="R3444" s="573">
        <v>6</v>
      </c>
      <c r="S3444" s="582" t="s">
        <v>4033</v>
      </c>
      <c r="T3444" s="573" t="s">
        <v>276</v>
      </c>
      <c r="U3444" s="573">
        <v>163.69999999999999</v>
      </c>
      <c r="V3444" s="573">
        <v>36</v>
      </c>
      <c r="W3444" s="616">
        <v>7050</v>
      </c>
      <c r="X3444" s="617">
        <v>19</v>
      </c>
      <c r="Y3444" s="617" t="s">
        <v>178</v>
      </c>
      <c r="Z3444" s="617" t="s">
        <v>178</v>
      </c>
      <c r="AA3444" s="618">
        <v>40070</v>
      </c>
      <c r="AB3444" s="618" t="s">
        <v>164</v>
      </c>
      <c r="AC3444" s="618">
        <v>28650</v>
      </c>
      <c r="AD3444" s="619">
        <v>0.01</v>
      </c>
      <c r="AE3444" s="617" t="s">
        <v>6196</v>
      </c>
    </row>
    <row r="3445" spans="1:31" s="572" customFormat="1">
      <c r="A3445" s="570" t="s">
        <v>6203</v>
      </c>
      <c r="B3445" s="569" t="s">
        <v>280</v>
      </c>
      <c r="C3445" s="580">
        <v>27</v>
      </c>
      <c r="D3445" s="569" t="s">
        <v>693</v>
      </c>
      <c r="E3445" s="569" t="s">
        <v>6116</v>
      </c>
      <c r="F3445" s="569" t="s">
        <v>271</v>
      </c>
      <c r="G3445" s="569">
        <v>2019</v>
      </c>
      <c r="H3445" s="569" t="s">
        <v>3765</v>
      </c>
      <c r="I3445" s="569" t="s">
        <v>6179</v>
      </c>
      <c r="J3445" s="569" t="s">
        <v>752</v>
      </c>
      <c r="K3445" s="569">
        <v>5</v>
      </c>
      <c r="L3445" s="569">
        <v>0</v>
      </c>
      <c r="M3445" s="569" t="s">
        <v>157</v>
      </c>
      <c r="N3445" s="569">
        <v>2</v>
      </c>
      <c r="O3445" s="569" t="s">
        <v>157</v>
      </c>
      <c r="P3445" s="568" t="s">
        <v>157</v>
      </c>
      <c r="Q3445" s="569" t="s">
        <v>1259</v>
      </c>
      <c r="R3445" s="569">
        <v>6</v>
      </c>
      <c r="S3445" s="569" t="s">
        <v>4033</v>
      </c>
      <c r="T3445" s="569" t="s">
        <v>6180</v>
      </c>
      <c r="U3445" s="569">
        <v>145</v>
      </c>
      <c r="V3445" s="569">
        <v>36</v>
      </c>
      <c r="W3445" s="620">
        <v>7000</v>
      </c>
      <c r="X3445" s="621">
        <v>19</v>
      </c>
      <c r="Y3445" s="621" t="s">
        <v>178</v>
      </c>
      <c r="Z3445" s="621" t="s">
        <v>178</v>
      </c>
      <c r="AA3445" s="622">
        <v>39810</v>
      </c>
      <c r="AB3445" s="622" t="s">
        <v>164</v>
      </c>
      <c r="AC3445" s="622">
        <v>28260.715789473685</v>
      </c>
      <c r="AD3445" s="623">
        <v>0.03</v>
      </c>
      <c r="AE3445" s="621" t="s">
        <v>6194</v>
      </c>
    </row>
    <row r="3446" spans="1:31" s="572" customFormat="1">
      <c r="A3446" s="570" t="s">
        <v>6204</v>
      </c>
      <c r="B3446" s="573" t="s">
        <v>280</v>
      </c>
      <c r="C3446" s="578">
        <v>27</v>
      </c>
      <c r="D3446" s="573" t="s">
        <v>693</v>
      </c>
      <c r="E3446" s="573" t="s">
        <v>6116</v>
      </c>
      <c r="F3446" s="573" t="s">
        <v>271</v>
      </c>
      <c r="G3446" s="573">
        <v>2019</v>
      </c>
      <c r="H3446" s="573" t="s">
        <v>3765</v>
      </c>
      <c r="I3446" s="573" t="s">
        <v>6179</v>
      </c>
      <c r="J3446" s="573" t="s">
        <v>752</v>
      </c>
      <c r="K3446" s="573">
        <v>5</v>
      </c>
      <c r="L3446" s="573">
        <v>0</v>
      </c>
      <c r="M3446" s="573" t="s">
        <v>157</v>
      </c>
      <c r="N3446" s="573">
        <v>2</v>
      </c>
      <c r="O3446" s="573" t="s">
        <v>157</v>
      </c>
      <c r="P3446" s="571" t="s">
        <v>157</v>
      </c>
      <c r="Q3446" s="573" t="s">
        <v>1259</v>
      </c>
      <c r="R3446" s="573">
        <v>6</v>
      </c>
      <c r="S3446" s="582" t="s">
        <v>4033</v>
      </c>
      <c r="T3446" s="573" t="s">
        <v>6180</v>
      </c>
      <c r="U3446" s="573">
        <v>163.69999999999999</v>
      </c>
      <c r="V3446" s="573">
        <v>36</v>
      </c>
      <c r="W3446" s="616">
        <v>7050</v>
      </c>
      <c r="X3446" s="617">
        <v>19</v>
      </c>
      <c r="Y3446" s="617" t="s">
        <v>178</v>
      </c>
      <c r="Z3446" s="617" t="s">
        <v>178</v>
      </c>
      <c r="AA3446" s="618">
        <v>40070</v>
      </c>
      <c r="AB3446" s="618" t="s">
        <v>164</v>
      </c>
      <c r="AC3446" s="618">
        <v>28353.347368421055</v>
      </c>
      <c r="AD3446" s="619">
        <v>0.03</v>
      </c>
      <c r="AE3446" s="617" t="s">
        <v>6196</v>
      </c>
    </row>
    <row r="3447" spans="1:31" s="572" customFormat="1">
      <c r="A3447" s="570" t="s">
        <v>6205</v>
      </c>
      <c r="B3447" s="569" t="s">
        <v>280</v>
      </c>
      <c r="C3447" s="580">
        <v>27</v>
      </c>
      <c r="D3447" s="569" t="s">
        <v>693</v>
      </c>
      <c r="E3447" s="569" t="s">
        <v>6116</v>
      </c>
      <c r="F3447" s="569" t="s">
        <v>271</v>
      </c>
      <c r="G3447" s="569">
        <v>2019</v>
      </c>
      <c r="H3447" s="569" t="s">
        <v>3765</v>
      </c>
      <c r="I3447" s="569" t="s">
        <v>6179</v>
      </c>
      <c r="J3447" s="569" t="s">
        <v>752</v>
      </c>
      <c r="K3447" s="569">
        <v>5</v>
      </c>
      <c r="L3447" s="569">
        <v>0</v>
      </c>
      <c r="M3447" s="569" t="s">
        <v>157</v>
      </c>
      <c r="N3447" s="569">
        <v>2</v>
      </c>
      <c r="O3447" s="569" t="s">
        <v>157</v>
      </c>
      <c r="P3447" s="568" t="s">
        <v>157</v>
      </c>
      <c r="Q3447" s="569" t="s">
        <v>3778</v>
      </c>
      <c r="R3447" s="569">
        <v>6</v>
      </c>
      <c r="S3447" s="569" t="s">
        <v>4033</v>
      </c>
      <c r="T3447" s="569" t="s">
        <v>6180</v>
      </c>
      <c r="U3447" s="569">
        <v>145</v>
      </c>
      <c r="V3447" s="569">
        <v>23</v>
      </c>
      <c r="W3447" s="620">
        <v>7000</v>
      </c>
      <c r="X3447" s="621">
        <v>18</v>
      </c>
      <c r="Y3447" s="621" t="s">
        <v>450</v>
      </c>
      <c r="Z3447" s="621" t="s">
        <v>178</v>
      </c>
      <c r="AA3447" s="622">
        <v>39210</v>
      </c>
      <c r="AB3447" s="622" t="s">
        <v>164</v>
      </c>
      <c r="AC3447" s="622">
        <v>27721.768421052635</v>
      </c>
      <c r="AD3447" s="623">
        <v>0.03</v>
      </c>
      <c r="AE3447" s="621" t="s">
        <v>6198</v>
      </c>
    </row>
    <row r="3448" spans="1:31" s="572" customFormat="1">
      <c r="A3448" s="570" t="s">
        <v>6206</v>
      </c>
      <c r="B3448" s="573" t="s">
        <v>280</v>
      </c>
      <c r="C3448" s="578">
        <v>27</v>
      </c>
      <c r="D3448" s="573" t="s">
        <v>693</v>
      </c>
      <c r="E3448" s="573" t="s">
        <v>6116</v>
      </c>
      <c r="F3448" s="573" t="s">
        <v>271</v>
      </c>
      <c r="G3448" s="573">
        <v>2019</v>
      </c>
      <c r="H3448" s="573" t="s">
        <v>3765</v>
      </c>
      <c r="I3448" s="573" t="s">
        <v>6179</v>
      </c>
      <c r="J3448" s="573" t="s">
        <v>752</v>
      </c>
      <c r="K3448" s="573">
        <v>5</v>
      </c>
      <c r="L3448" s="573">
        <v>0</v>
      </c>
      <c r="M3448" s="573" t="s">
        <v>157</v>
      </c>
      <c r="N3448" s="573">
        <v>2</v>
      </c>
      <c r="O3448" s="573" t="s">
        <v>157</v>
      </c>
      <c r="P3448" s="571" t="s">
        <v>157</v>
      </c>
      <c r="Q3448" s="573" t="s">
        <v>3778</v>
      </c>
      <c r="R3448" s="573">
        <v>6</v>
      </c>
      <c r="S3448" s="582" t="s">
        <v>4033</v>
      </c>
      <c r="T3448" s="573" t="s">
        <v>6180</v>
      </c>
      <c r="U3448" s="573">
        <v>163.69999999999999</v>
      </c>
      <c r="V3448" s="573">
        <v>23</v>
      </c>
      <c r="W3448" s="616">
        <v>6950</v>
      </c>
      <c r="X3448" s="617">
        <v>18</v>
      </c>
      <c r="Y3448" s="617" t="s">
        <v>450</v>
      </c>
      <c r="Z3448" s="617" t="s">
        <v>178</v>
      </c>
      <c r="AA3448" s="618">
        <v>39470</v>
      </c>
      <c r="AB3448" s="618" t="s">
        <v>164</v>
      </c>
      <c r="AC3448" s="618">
        <v>28025.978947368421</v>
      </c>
      <c r="AD3448" s="619">
        <v>0.03</v>
      </c>
      <c r="AE3448" s="617" t="s">
        <v>6200</v>
      </c>
    </row>
    <row r="3449" spans="1:31" s="572" customFormat="1">
      <c r="A3449" s="570" t="s">
        <v>691</v>
      </c>
      <c r="B3449" s="569" t="s">
        <v>269</v>
      </c>
      <c r="C3449" s="580" t="s">
        <v>270</v>
      </c>
      <c r="D3449" s="569" t="s">
        <v>693</v>
      </c>
      <c r="E3449" s="569" t="s">
        <v>694</v>
      </c>
      <c r="F3449" s="569" t="s">
        <v>271</v>
      </c>
      <c r="G3449" s="569">
        <v>2019</v>
      </c>
      <c r="H3449" s="569" t="s">
        <v>350</v>
      </c>
      <c r="I3449" s="569" t="s">
        <v>695</v>
      </c>
      <c r="J3449" s="569" t="s">
        <v>156</v>
      </c>
      <c r="K3449" s="569">
        <v>5</v>
      </c>
      <c r="L3449" s="569">
        <v>0</v>
      </c>
      <c r="M3449" s="569" t="s">
        <v>157</v>
      </c>
      <c r="N3449" s="569">
        <v>2</v>
      </c>
      <c r="O3449" s="569" t="s">
        <v>157</v>
      </c>
      <c r="P3449" s="568" t="s">
        <v>157</v>
      </c>
      <c r="Q3449" s="569" t="s">
        <v>352</v>
      </c>
      <c r="R3449" s="569">
        <v>4</v>
      </c>
      <c r="S3449" s="569" t="s">
        <v>670</v>
      </c>
      <c r="T3449" s="569" t="s">
        <v>671</v>
      </c>
      <c r="U3449" s="569">
        <v>112.2</v>
      </c>
      <c r="V3449" s="569">
        <v>14</v>
      </c>
      <c r="W3449" s="620">
        <v>3639</v>
      </c>
      <c r="X3449" s="621">
        <v>42</v>
      </c>
      <c r="Y3449" s="621" t="s">
        <v>178</v>
      </c>
      <c r="Z3449" s="621" t="s">
        <v>163</v>
      </c>
      <c r="AA3449" s="622">
        <v>36515</v>
      </c>
      <c r="AB3449" s="622" t="s">
        <v>164</v>
      </c>
      <c r="AC3449" s="622">
        <v>32207.645833333336</v>
      </c>
      <c r="AD3449" s="623">
        <v>0.03</v>
      </c>
      <c r="AE3449" s="621" t="s">
        <v>692</v>
      </c>
    </row>
    <row r="3450" spans="1:31" s="572" customFormat="1">
      <c r="A3450" s="570" t="s">
        <v>696</v>
      </c>
      <c r="B3450" s="573" t="s">
        <v>280</v>
      </c>
      <c r="C3450" s="578">
        <v>27</v>
      </c>
      <c r="D3450" s="573" t="s">
        <v>693</v>
      </c>
      <c r="E3450" s="573" t="s">
        <v>694</v>
      </c>
      <c r="F3450" s="573" t="s">
        <v>271</v>
      </c>
      <c r="G3450" s="573">
        <v>2019</v>
      </c>
      <c r="H3450" s="573" t="s">
        <v>350</v>
      </c>
      <c r="I3450" s="573" t="s">
        <v>695</v>
      </c>
      <c r="J3450" s="573" t="s">
        <v>156</v>
      </c>
      <c r="K3450" s="573">
        <v>5</v>
      </c>
      <c r="L3450" s="573">
        <v>0</v>
      </c>
      <c r="M3450" s="573" t="s">
        <v>157</v>
      </c>
      <c r="N3450" s="573">
        <v>2</v>
      </c>
      <c r="O3450" s="573" t="s">
        <v>157</v>
      </c>
      <c r="P3450" s="571" t="s">
        <v>157</v>
      </c>
      <c r="Q3450" s="573" t="s">
        <v>352</v>
      </c>
      <c r="R3450" s="573">
        <v>4</v>
      </c>
      <c r="S3450" s="582" t="s">
        <v>670</v>
      </c>
      <c r="T3450" s="573" t="s">
        <v>671</v>
      </c>
      <c r="U3450" s="573">
        <v>112.2</v>
      </c>
      <c r="V3450" s="573">
        <v>14</v>
      </c>
      <c r="W3450" s="616">
        <v>3639</v>
      </c>
      <c r="X3450" s="617">
        <v>42</v>
      </c>
      <c r="Y3450" s="617" t="s">
        <v>178</v>
      </c>
      <c r="Z3450" s="617" t="s">
        <v>163</v>
      </c>
      <c r="AA3450" s="618">
        <v>36515</v>
      </c>
      <c r="AB3450" s="618" t="s">
        <v>164</v>
      </c>
      <c r="AC3450" s="618">
        <v>32207.645833333336</v>
      </c>
      <c r="AD3450" s="619">
        <v>0.03</v>
      </c>
      <c r="AE3450" s="617" t="s">
        <v>692</v>
      </c>
    </row>
    <row r="3451" spans="1:31" s="572" customFormat="1">
      <c r="A3451" s="570" t="s">
        <v>6207</v>
      </c>
      <c r="B3451" s="569" t="s">
        <v>240</v>
      </c>
      <c r="C3451" s="580" t="s">
        <v>241</v>
      </c>
      <c r="D3451" s="569" t="s">
        <v>693</v>
      </c>
      <c r="E3451" s="569" t="s">
        <v>6116</v>
      </c>
      <c r="F3451" s="569" t="s">
        <v>3265</v>
      </c>
      <c r="G3451" s="569">
        <v>2019</v>
      </c>
      <c r="H3451" s="569" t="s">
        <v>5395</v>
      </c>
      <c r="I3451" s="569" t="s">
        <v>6152</v>
      </c>
      <c r="J3451" s="569" t="s">
        <v>752</v>
      </c>
      <c r="K3451" s="569">
        <v>5</v>
      </c>
      <c r="L3451" s="569">
        <v>0</v>
      </c>
      <c r="M3451" s="569" t="s">
        <v>157</v>
      </c>
      <c r="N3451" s="569">
        <v>2</v>
      </c>
      <c r="O3451" s="569" t="s">
        <v>157</v>
      </c>
      <c r="P3451" s="568">
        <v>8510</v>
      </c>
      <c r="Q3451" s="569" t="s">
        <v>646</v>
      </c>
      <c r="R3451" s="569">
        <v>8</v>
      </c>
      <c r="S3451" s="569" t="s">
        <v>6163</v>
      </c>
      <c r="T3451" s="569" t="s">
        <v>6164</v>
      </c>
      <c r="U3451" s="569">
        <v>140.5</v>
      </c>
      <c r="V3451" s="569">
        <v>26</v>
      </c>
      <c r="W3451" s="620">
        <v>6800</v>
      </c>
      <c r="X3451" s="621">
        <v>14</v>
      </c>
      <c r="Y3451" s="621" t="s">
        <v>178</v>
      </c>
      <c r="Z3451" s="621" t="s">
        <v>178</v>
      </c>
      <c r="AA3451" s="622">
        <v>42120</v>
      </c>
      <c r="AB3451" s="622" t="s">
        <v>164</v>
      </c>
      <c r="AC3451" s="622">
        <v>25989</v>
      </c>
      <c r="AD3451" s="623">
        <v>0.05</v>
      </c>
      <c r="AE3451" s="621" t="s">
        <v>6208</v>
      </c>
    </row>
    <row r="3452" spans="1:31" s="572" customFormat="1">
      <c r="A3452" s="570" t="s">
        <v>6209</v>
      </c>
      <c r="B3452" s="573" t="s">
        <v>169</v>
      </c>
      <c r="C3452" s="578">
        <v>11</v>
      </c>
      <c r="D3452" s="573" t="s">
        <v>643</v>
      </c>
      <c r="E3452" s="573" t="s">
        <v>6211</v>
      </c>
      <c r="F3452" s="573" t="s">
        <v>153</v>
      </c>
      <c r="G3452" s="573">
        <v>2019</v>
      </c>
      <c r="H3452" s="573" t="s">
        <v>810</v>
      </c>
      <c r="I3452" s="573" t="s">
        <v>6212</v>
      </c>
      <c r="J3452" s="573" t="s">
        <v>752</v>
      </c>
      <c r="K3452" s="573">
        <v>5</v>
      </c>
      <c r="L3452" s="573">
        <v>0</v>
      </c>
      <c r="M3452" s="573" t="s">
        <v>157</v>
      </c>
      <c r="N3452" s="573">
        <v>2</v>
      </c>
      <c r="O3452" s="573" t="s">
        <v>157</v>
      </c>
      <c r="P3452" s="571">
        <v>6400</v>
      </c>
      <c r="Q3452" s="573" t="s">
        <v>753</v>
      </c>
      <c r="R3452" s="573">
        <v>8</v>
      </c>
      <c r="S3452" s="582" t="s">
        <v>811</v>
      </c>
      <c r="T3452" s="573" t="s">
        <v>6213</v>
      </c>
      <c r="U3452" s="573">
        <v>116</v>
      </c>
      <c r="V3452" s="573">
        <v>26</v>
      </c>
      <c r="W3452" s="616">
        <v>7100</v>
      </c>
      <c r="X3452" s="617">
        <v>18</v>
      </c>
      <c r="Y3452" s="617" t="s">
        <v>450</v>
      </c>
      <c r="Z3452" s="617" t="s">
        <v>178</v>
      </c>
      <c r="AA3452" s="618">
        <v>47160</v>
      </c>
      <c r="AB3452" s="618" t="s">
        <v>164</v>
      </c>
      <c r="AC3452" s="618">
        <v>36130.833333333336</v>
      </c>
      <c r="AD3452" s="619">
        <v>0.05</v>
      </c>
      <c r="AE3452" s="617" t="s">
        <v>6210</v>
      </c>
    </row>
    <row r="3453" spans="1:31" s="572" customFormat="1">
      <c r="A3453" s="570" t="s">
        <v>6214</v>
      </c>
      <c r="B3453" s="569" t="s">
        <v>166</v>
      </c>
      <c r="C3453" s="580">
        <v>17</v>
      </c>
      <c r="D3453" s="569" t="s">
        <v>643</v>
      </c>
      <c r="E3453" s="569" t="s">
        <v>6211</v>
      </c>
      <c r="F3453" s="569" t="s">
        <v>153</v>
      </c>
      <c r="G3453" s="569">
        <v>2019</v>
      </c>
      <c r="H3453" s="569" t="s">
        <v>810</v>
      </c>
      <c r="I3453" s="569" t="s">
        <v>6212</v>
      </c>
      <c r="J3453" s="569" t="s">
        <v>752</v>
      </c>
      <c r="K3453" s="569">
        <v>5</v>
      </c>
      <c r="L3453" s="569">
        <v>0</v>
      </c>
      <c r="M3453" s="569" t="s">
        <v>157</v>
      </c>
      <c r="N3453" s="569">
        <v>2</v>
      </c>
      <c r="O3453" s="569" t="s">
        <v>157</v>
      </c>
      <c r="P3453" s="568">
        <v>6400</v>
      </c>
      <c r="Q3453" s="569" t="s">
        <v>753</v>
      </c>
      <c r="R3453" s="569">
        <v>8</v>
      </c>
      <c r="S3453" s="569" t="s">
        <v>811</v>
      </c>
      <c r="T3453" s="569" t="s">
        <v>6213</v>
      </c>
      <c r="U3453" s="569">
        <v>116</v>
      </c>
      <c r="V3453" s="569">
        <v>26</v>
      </c>
      <c r="W3453" s="620">
        <v>7100</v>
      </c>
      <c r="X3453" s="621">
        <v>18</v>
      </c>
      <c r="Y3453" s="621" t="s">
        <v>450</v>
      </c>
      <c r="Z3453" s="621" t="s">
        <v>178</v>
      </c>
      <c r="AA3453" s="622">
        <v>47160</v>
      </c>
      <c r="AB3453" s="622" t="s">
        <v>164</v>
      </c>
      <c r="AC3453" s="622">
        <v>38520</v>
      </c>
      <c r="AD3453" s="623">
        <v>7.1999999999999995E-2</v>
      </c>
      <c r="AE3453" s="621" t="s">
        <v>6210</v>
      </c>
    </row>
    <row r="3454" spans="1:31" s="572" customFormat="1">
      <c r="A3454" s="570" t="s">
        <v>6215</v>
      </c>
      <c r="B3454" s="573" t="s">
        <v>169</v>
      </c>
      <c r="C3454" s="578">
        <v>11</v>
      </c>
      <c r="D3454" s="573" t="s">
        <v>643</v>
      </c>
      <c r="E3454" s="573" t="s">
        <v>6211</v>
      </c>
      <c r="F3454" s="573" t="s">
        <v>153</v>
      </c>
      <c r="G3454" s="573">
        <v>2019</v>
      </c>
      <c r="H3454" s="573" t="s">
        <v>810</v>
      </c>
      <c r="I3454" s="573" t="s">
        <v>6212</v>
      </c>
      <c r="J3454" s="573" t="s">
        <v>236</v>
      </c>
      <c r="K3454" s="573">
        <v>5</v>
      </c>
      <c r="L3454" s="573">
        <v>0</v>
      </c>
      <c r="M3454" s="573" t="s">
        <v>157</v>
      </c>
      <c r="N3454" s="573">
        <v>2</v>
      </c>
      <c r="O3454" s="573" t="s">
        <v>157</v>
      </c>
      <c r="P3454" s="571">
        <v>5000</v>
      </c>
      <c r="Q3454" s="573" t="s">
        <v>753</v>
      </c>
      <c r="R3454" s="573">
        <v>8</v>
      </c>
      <c r="S3454" s="582" t="s">
        <v>820</v>
      </c>
      <c r="T3454" s="573" t="s">
        <v>6213</v>
      </c>
      <c r="U3454" s="573">
        <v>116</v>
      </c>
      <c r="V3454" s="573">
        <v>26</v>
      </c>
      <c r="W3454" s="616">
        <v>6800</v>
      </c>
      <c r="X3454" s="617">
        <v>19</v>
      </c>
      <c r="Y3454" s="617" t="s">
        <v>450</v>
      </c>
      <c r="Z3454" s="617" t="s">
        <v>178</v>
      </c>
      <c r="AA3454" s="618">
        <v>44060</v>
      </c>
      <c r="AB3454" s="618" t="s">
        <v>164</v>
      </c>
      <c r="AC3454" s="618">
        <v>33189.166666666664</v>
      </c>
      <c r="AD3454" s="619">
        <v>0.05</v>
      </c>
      <c r="AE3454" s="617" t="s">
        <v>6216</v>
      </c>
    </row>
    <row r="3455" spans="1:31" s="572" customFormat="1">
      <c r="A3455" s="570" t="s">
        <v>6217</v>
      </c>
      <c r="B3455" s="569" t="s">
        <v>166</v>
      </c>
      <c r="C3455" s="580">
        <v>17</v>
      </c>
      <c r="D3455" s="569" t="s">
        <v>643</v>
      </c>
      <c r="E3455" s="569" t="s">
        <v>6211</v>
      </c>
      <c r="F3455" s="569" t="s">
        <v>153</v>
      </c>
      <c r="G3455" s="569">
        <v>2019</v>
      </c>
      <c r="H3455" s="569" t="s">
        <v>810</v>
      </c>
      <c r="I3455" s="569" t="s">
        <v>6212</v>
      </c>
      <c r="J3455" s="569" t="s">
        <v>236</v>
      </c>
      <c r="K3455" s="569">
        <v>5</v>
      </c>
      <c r="L3455" s="569">
        <v>0</v>
      </c>
      <c r="M3455" s="569" t="s">
        <v>157</v>
      </c>
      <c r="N3455" s="569">
        <v>2</v>
      </c>
      <c r="O3455" s="569" t="s">
        <v>157</v>
      </c>
      <c r="P3455" s="568">
        <v>5000</v>
      </c>
      <c r="Q3455" s="569" t="s">
        <v>753</v>
      </c>
      <c r="R3455" s="569">
        <v>8</v>
      </c>
      <c r="S3455" s="569" t="s">
        <v>820</v>
      </c>
      <c r="T3455" s="569" t="s">
        <v>6213</v>
      </c>
      <c r="U3455" s="569">
        <v>116</v>
      </c>
      <c r="V3455" s="569">
        <v>26</v>
      </c>
      <c r="W3455" s="620">
        <v>6800</v>
      </c>
      <c r="X3455" s="621">
        <v>19</v>
      </c>
      <c r="Y3455" s="621" t="s">
        <v>450</v>
      </c>
      <c r="Z3455" s="621" t="s">
        <v>178</v>
      </c>
      <c r="AA3455" s="622">
        <v>44060</v>
      </c>
      <c r="AB3455" s="622" t="s">
        <v>164</v>
      </c>
      <c r="AC3455" s="622">
        <v>35744</v>
      </c>
      <c r="AD3455" s="623">
        <v>7.1999999999999995E-2</v>
      </c>
      <c r="AE3455" s="621" t="s">
        <v>6216</v>
      </c>
    </row>
    <row r="3456" spans="1:31" s="572" customFormat="1">
      <c r="A3456" s="570" t="s">
        <v>641</v>
      </c>
      <c r="B3456" s="573" t="s">
        <v>226</v>
      </c>
      <c r="C3456" s="578" t="s">
        <v>227</v>
      </c>
      <c r="D3456" s="573" t="s">
        <v>643</v>
      </c>
      <c r="E3456" s="573" t="s">
        <v>644</v>
      </c>
      <c r="F3456" s="573" t="s">
        <v>248</v>
      </c>
      <c r="G3456" s="573">
        <v>2019</v>
      </c>
      <c r="H3456" s="573" t="s">
        <v>256</v>
      </c>
      <c r="I3456" s="573" t="s">
        <v>645</v>
      </c>
      <c r="J3456" s="573" t="s">
        <v>230</v>
      </c>
      <c r="K3456" s="573">
        <v>5</v>
      </c>
      <c r="L3456" s="573">
        <v>0</v>
      </c>
      <c r="M3456" s="573" t="s">
        <v>157</v>
      </c>
      <c r="N3456" s="573">
        <v>2</v>
      </c>
      <c r="O3456" s="573" t="s">
        <v>157</v>
      </c>
      <c r="P3456" s="571" t="s">
        <v>157</v>
      </c>
      <c r="Q3456" s="573" t="s">
        <v>646</v>
      </c>
      <c r="R3456" s="573">
        <v>8</v>
      </c>
      <c r="S3456" s="582" t="s">
        <v>647</v>
      </c>
      <c r="T3456" s="573" t="s">
        <v>648</v>
      </c>
      <c r="U3456" s="573">
        <v>120.2</v>
      </c>
      <c r="V3456" s="573">
        <v>18.5</v>
      </c>
      <c r="W3456" s="616">
        <v>5500</v>
      </c>
      <c r="X3456" s="617">
        <v>19</v>
      </c>
      <c r="Y3456" s="617" t="s">
        <v>178</v>
      </c>
      <c r="Z3456" s="617" t="s">
        <v>178</v>
      </c>
      <c r="AA3456" s="618">
        <v>38400</v>
      </c>
      <c r="AB3456" s="618" t="s">
        <v>164</v>
      </c>
      <c r="AC3456" s="618">
        <v>24964</v>
      </c>
      <c r="AD3456" s="619">
        <v>6.25E-2</v>
      </c>
      <c r="AE3456" s="617" t="s">
        <v>642</v>
      </c>
    </row>
    <row r="3457" spans="1:31" s="572" customFormat="1">
      <c r="A3457" s="570" t="s">
        <v>649</v>
      </c>
      <c r="B3457" s="569" t="s">
        <v>240</v>
      </c>
      <c r="C3457" s="580" t="s">
        <v>241</v>
      </c>
      <c r="D3457" s="569" t="s">
        <v>643</v>
      </c>
      <c r="E3457" s="569" t="s">
        <v>644</v>
      </c>
      <c r="F3457" s="569" t="s">
        <v>248</v>
      </c>
      <c r="G3457" s="569">
        <v>2019</v>
      </c>
      <c r="H3457" s="569" t="s">
        <v>256</v>
      </c>
      <c r="I3457" s="569" t="s">
        <v>645</v>
      </c>
      <c r="J3457" s="569" t="s">
        <v>230</v>
      </c>
      <c r="K3457" s="569">
        <v>5</v>
      </c>
      <c r="L3457" s="569">
        <v>0</v>
      </c>
      <c r="M3457" s="569" t="s">
        <v>157</v>
      </c>
      <c r="N3457" s="569">
        <v>2</v>
      </c>
      <c r="O3457" s="569" t="s">
        <v>157</v>
      </c>
      <c r="P3457" s="568" t="s">
        <v>157</v>
      </c>
      <c r="Q3457" s="569" t="s">
        <v>646</v>
      </c>
      <c r="R3457" s="569">
        <v>8</v>
      </c>
      <c r="S3457" s="569" t="s">
        <v>647</v>
      </c>
      <c r="T3457" s="569" t="s">
        <v>648</v>
      </c>
      <c r="U3457" s="569">
        <v>120.2</v>
      </c>
      <c r="V3457" s="569">
        <v>18.5</v>
      </c>
      <c r="W3457" s="620">
        <v>4485</v>
      </c>
      <c r="X3457" s="621">
        <v>18</v>
      </c>
      <c r="Y3457" s="621" t="s">
        <v>178</v>
      </c>
      <c r="Z3457" s="621" t="s">
        <v>178</v>
      </c>
      <c r="AA3457" s="622">
        <v>38400</v>
      </c>
      <c r="AB3457" s="622" t="s">
        <v>164</v>
      </c>
      <c r="AC3457" s="622">
        <v>24669</v>
      </c>
      <c r="AD3457" s="623">
        <v>0.05</v>
      </c>
      <c r="AE3457" s="621" t="s">
        <v>642</v>
      </c>
    </row>
    <row r="3458" spans="1:31" s="572" customFormat="1">
      <c r="A3458" s="570" t="s">
        <v>650</v>
      </c>
      <c r="B3458" s="573" t="s">
        <v>226</v>
      </c>
      <c r="C3458" s="578" t="s">
        <v>227</v>
      </c>
      <c r="D3458" s="573" t="s">
        <v>643</v>
      </c>
      <c r="E3458" s="573" t="s">
        <v>644</v>
      </c>
      <c r="F3458" s="573" t="s">
        <v>248</v>
      </c>
      <c r="G3458" s="573">
        <v>2019</v>
      </c>
      <c r="H3458" s="573" t="s">
        <v>256</v>
      </c>
      <c r="I3458" s="573" t="s">
        <v>645</v>
      </c>
      <c r="J3458" s="573" t="s">
        <v>236</v>
      </c>
      <c r="K3458" s="573">
        <v>5</v>
      </c>
      <c r="L3458" s="573">
        <v>0</v>
      </c>
      <c r="M3458" s="573" t="s">
        <v>157</v>
      </c>
      <c r="N3458" s="573">
        <v>2</v>
      </c>
      <c r="O3458" s="573" t="s">
        <v>157</v>
      </c>
      <c r="P3458" s="571" t="s">
        <v>157</v>
      </c>
      <c r="Q3458" s="573" t="s">
        <v>231</v>
      </c>
      <c r="R3458" s="573">
        <v>6</v>
      </c>
      <c r="S3458" s="582" t="s">
        <v>652</v>
      </c>
      <c r="T3458" s="573" t="s">
        <v>653</v>
      </c>
      <c r="U3458" s="573">
        <v>120.2</v>
      </c>
      <c r="V3458" s="573">
        <v>18.5</v>
      </c>
      <c r="W3458" s="616">
        <v>5250</v>
      </c>
      <c r="X3458" s="617">
        <v>23</v>
      </c>
      <c r="Y3458" s="617" t="s">
        <v>178</v>
      </c>
      <c r="Z3458" s="617" t="s">
        <v>178</v>
      </c>
      <c r="AA3458" s="618">
        <v>33670</v>
      </c>
      <c r="AB3458" s="618" t="s">
        <v>164</v>
      </c>
      <c r="AC3458" s="618">
        <v>22384</v>
      </c>
      <c r="AD3458" s="619">
        <v>6.25E-2</v>
      </c>
      <c r="AE3458" s="617" t="s">
        <v>651</v>
      </c>
    </row>
    <row r="3459" spans="1:31" s="572" customFormat="1">
      <c r="A3459" s="570" t="s">
        <v>654</v>
      </c>
      <c r="B3459" s="569" t="s">
        <v>226</v>
      </c>
      <c r="C3459" s="580" t="s">
        <v>227</v>
      </c>
      <c r="D3459" s="569" t="s">
        <v>643</v>
      </c>
      <c r="E3459" s="569" t="s">
        <v>644</v>
      </c>
      <c r="F3459" s="569" t="s">
        <v>248</v>
      </c>
      <c r="G3459" s="569">
        <v>2019</v>
      </c>
      <c r="H3459" s="569" t="s">
        <v>256</v>
      </c>
      <c r="I3459" s="569" t="s">
        <v>645</v>
      </c>
      <c r="J3459" s="569" t="s">
        <v>236</v>
      </c>
      <c r="K3459" s="569">
        <v>5</v>
      </c>
      <c r="L3459" s="569">
        <v>0</v>
      </c>
      <c r="M3459" s="569" t="s">
        <v>157</v>
      </c>
      <c r="N3459" s="569">
        <v>2</v>
      </c>
      <c r="O3459" s="569" t="s">
        <v>157</v>
      </c>
      <c r="P3459" s="568" t="s">
        <v>157</v>
      </c>
      <c r="Q3459" s="569" t="s">
        <v>646</v>
      </c>
      <c r="R3459" s="569">
        <v>8</v>
      </c>
      <c r="S3459" s="569" t="s">
        <v>652</v>
      </c>
      <c r="T3459" s="569" t="s">
        <v>648</v>
      </c>
      <c r="U3459" s="569">
        <v>120.2</v>
      </c>
      <c r="V3459" s="569">
        <v>18.5</v>
      </c>
      <c r="W3459" s="620">
        <v>5250</v>
      </c>
      <c r="X3459" s="621">
        <v>19</v>
      </c>
      <c r="Y3459" s="621" t="s">
        <v>178</v>
      </c>
      <c r="Z3459" s="621" t="s">
        <v>178</v>
      </c>
      <c r="AA3459" s="622">
        <v>35900</v>
      </c>
      <c r="AB3459" s="622" t="s">
        <v>164</v>
      </c>
      <c r="AC3459" s="622">
        <v>23311</v>
      </c>
      <c r="AD3459" s="623">
        <v>6.25E-2</v>
      </c>
      <c r="AE3459" s="621" t="s">
        <v>655</v>
      </c>
    </row>
    <row r="3460" spans="1:31" s="572" customFormat="1">
      <c r="A3460" s="570" t="s">
        <v>656</v>
      </c>
      <c r="B3460" s="573" t="s">
        <v>240</v>
      </c>
      <c r="C3460" s="578" t="s">
        <v>241</v>
      </c>
      <c r="D3460" s="573" t="s">
        <v>643</v>
      </c>
      <c r="E3460" s="573" t="s">
        <v>644</v>
      </c>
      <c r="F3460" s="573" t="s">
        <v>248</v>
      </c>
      <c r="G3460" s="573">
        <v>2019</v>
      </c>
      <c r="H3460" s="573" t="s">
        <v>256</v>
      </c>
      <c r="I3460" s="573" t="s">
        <v>645</v>
      </c>
      <c r="J3460" s="573" t="s">
        <v>236</v>
      </c>
      <c r="K3460" s="573">
        <v>5</v>
      </c>
      <c r="L3460" s="573">
        <v>0</v>
      </c>
      <c r="M3460" s="573" t="s">
        <v>157</v>
      </c>
      <c r="N3460" s="573">
        <v>2</v>
      </c>
      <c r="O3460" s="573" t="s">
        <v>157</v>
      </c>
      <c r="P3460" s="571" t="s">
        <v>157</v>
      </c>
      <c r="Q3460" s="573" t="s">
        <v>231</v>
      </c>
      <c r="R3460" s="573">
        <v>6</v>
      </c>
      <c r="S3460" s="582" t="s">
        <v>652</v>
      </c>
      <c r="T3460" s="573" t="s">
        <v>653</v>
      </c>
      <c r="U3460" s="573">
        <v>120.2</v>
      </c>
      <c r="V3460" s="573">
        <v>18.5</v>
      </c>
      <c r="W3460" s="616">
        <v>4119</v>
      </c>
      <c r="X3460" s="617">
        <v>20</v>
      </c>
      <c r="Y3460" s="617" t="s">
        <v>178</v>
      </c>
      <c r="Z3460" s="617" t="s">
        <v>178</v>
      </c>
      <c r="AA3460" s="618">
        <v>33670</v>
      </c>
      <c r="AB3460" s="618" t="s">
        <v>164</v>
      </c>
      <c r="AC3460" s="618">
        <v>22389</v>
      </c>
      <c r="AD3460" s="619">
        <v>0.05</v>
      </c>
      <c r="AE3460" s="617" t="s">
        <v>651</v>
      </c>
    </row>
    <row r="3461" spans="1:31" s="572" customFormat="1">
      <c r="A3461" s="570" t="s">
        <v>657</v>
      </c>
      <c r="B3461" s="569" t="s">
        <v>240</v>
      </c>
      <c r="C3461" s="580" t="s">
        <v>241</v>
      </c>
      <c r="D3461" s="569" t="s">
        <v>643</v>
      </c>
      <c r="E3461" s="569" t="s">
        <v>644</v>
      </c>
      <c r="F3461" s="569" t="s">
        <v>248</v>
      </c>
      <c r="G3461" s="569">
        <v>2019</v>
      </c>
      <c r="H3461" s="569" t="s">
        <v>256</v>
      </c>
      <c r="I3461" s="569" t="s">
        <v>645</v>
      </c>
      <c r="J3461" s="569" t="s">
        <v>236</v>
      </c>
      <c r="K3461" s="569">
        <v>5</v>
      </c>
      <c r="L3461" s="569">
        <v>0</v>
      </c>
      <c r="M3461" s="569" t="s">
        <v>157</v>
      </c>
      <c r="N3461" s="569">
        <v>2</v>
      </c>
      <c r="O3461" s="569" t="s">
        <v>157</v>
      </c>
      <c r="P3461" s="568" t="s">
        <v>157</v>
      </c>
      <c r="Q3461" s="569" t="s">
        <v>646</v>
      </c>
      <c r="R3461" s="569">
        <v>8</v>
      </c>
      <c r="S3461" s="569" t="s">
        <v>652</v>
      </c>
      <c r="T3461" s="569" t="s">
        <v>648</v>
      </c>
      <c r="U3461" s="569">
        <v>120.2</v>
      </c>
      <c r="V3461" s="569">
        <v>18.5</v>
      </c>
      <c r="W3461" s="620">
        <v>4119</v>
      </c>
      <c r="X3461" s="621">
        <v>18</v>
      </c>
      <c r="Y3461" s="621" t="s">
        <v>178</v>
      </c>
      <c r="Z3461" s="621" t="s">
        <v>178</v>
      </c>
      <c r="AA3461" s="622">
        <v>35900</v>
      </c>
      <c r="AB3461" s="622" t="s">
        <v>164</v>
      </c>
      <c r="AC3461" s="622">
        <v>23359</v>
      </c>
      <c r="AD3461" s="623">
        <v>0.05</v>
      </c>
      <c r="AE3461" s="621" t="s">
        <v>655</v>
      </c>
    </row>
    <row r="3462" spans="1:31" s="572" customFormat="1">
      <c r="A3462" s="570" t="s">
        <v>6218</v>
      </c>
      <c r="B3462" s="573" t="s">
        <v>226</v>
      </c>
      <c r="C3462" s="578" t="s">
        <v>227</v>
      </c>
      <c r="D3462" s="573" t="s">
        <v>643</v>
      </c>
      <c r="E3462" s="573" t="s">
        <v>6211</v>
      </c>
      <c r="F3462" s="573" t="s">
        <v>248</v>
      </c>
      <c r="G3462" s="573">
        <v>2019</v>
      </c>
      <c r="H3462" s="573" t="s">
        <v>895</v>
      </c>
      <c r="I3462" s="573" t="s">
        <v>6144</v>
      </c>
      <c r="J3462" s="573" t="s">
        <v>230</v>
      </c>
      <c r="K3462" s="573">
        <v>5</v>
      </c>
      <c r="L3462" s="573">
        <v>0</v>
      </c>
      <c r="M3462" s="573" t="s">
        <v>157</v>
      </c>
      <c r="N3462" s="573">
        <v>2</v>
      </c>
      <c r="O3462" s="573" t="s">
        <v>157</v>
      </c>
      <c r="P3462" s="571">
        <v>6000</v>
      </c>
      <c r="Q3462" s="573" t="s">
        <v>231</v>
      </c>
      <c r="R3462" s="573">
        <v>6</v>
      </c>
      <c r="S3462" s="582" t="s">
        <v>6145</v>
      </c>
      <c r="T3462" s="573" t="s">
        <v>6146</v>
      </c>
      <c r="U3462" s="573">
        <v>119.8</v>
      </c>
      <c r="V3462" s="573">
        <v>24.6</v>
      </c>
      <c r="W3462" s="616">
        <v>6500</v>
      </c>
      <c r="X3462" s="617">
        <v>22</v>
      </c>
      <c r="Y3462" s="617" t="s">
        <v>178</v>
      </c>
      <c r="Z3462" s="617" t="s">
        <v>178</v>
      </c>
      <c r="AA3462" s="618">
        <v>35765</v>
      </c>
      <c r="AB3462" s="618" t="s">
        <v>164</v>
      </c>
      <c r="AC3462" s="618">
        <v>29597</v>
      </c>
      <c r="AD3462" s="619">
        <v>6.25E-2</v>
      </c>
      <c r="AE3462" s="617" t="s">
        <v>6219</v>
      </c>
    </row>
    <row r="3463" spans="1:31" s="572" customFormat="1">
      <c r="A3463" s="570" t="s">
        <v>6220</v>
      </c>
      <c r="B3463" s="569" t="s">
        <v>226</v>
      </c>
      <c r="C3463" s="580" t="s">
        <v>227</v>
      </c>
      <c r="D3463" s="569" t="s">
        <v>643</v>
      </c>
      <c r="E3463" s="569" t="s">
        <v>6211</v>
      </c>
      <c r="F3463" s="569" t="s">
        <v>248</v>
      </c>
      <c r="G3463" s="569">
        <v>2019</v>
      </c>
      <c r="H3463" s="569" t="s">
        <v>895</v>
      </c>
      <c r="I3463" s="569" t="s">
        <v>6144</v>
      </c>
      <c r="J3463" s="569" t="s">
        <v>230</v>
      </c>
      <c r="K3463" s="569">
        <v>5</v>
      </c>
      <c r="L3463" s="569">
        <v>0</v>
      </c>
      <c r="M3463" s="569" t="s">
        <v>157</v>
      </c>
      <c r="N3463" s="569">
        <v>2</v>
      </c>
      <c r="O3463" s="569" t="s">
        <v>157</v>
      </c>
      <c r="P3463" s="568">
        <v>6000</v>
      </c>
      <c r="Q3463" s="569" t="s">
        <v>646</v>
      </c>
      <c r="R3463" s="569">
        <v>8</v>
      </c>
      <c r="S3463" s="569" t="s">
        <v>6145</v>
      </c>
      <c r="T3463" s="569" t="s">
        <v>6149</v>
      </c>
      <c r="U3463" s="569">
        <v>119.8</v>
      </c>
      <c r="V3463" s="569">
        <v>24.6</v>
      </c>
      <c r="W3463" s="620">
        <v>7100</v>
      </c>
      <c r="X3463" s="621">
        <v>18</v>
      </c>
      <c r="Y3463" s="621" t="s">
        <v>178</v>
      </c>
      <c r="Z3463" s="621" t="s">
        <v>178</v>
      </c>
      <c r="AA3463" s="622">
        <v>38760</v>
      </c>
      <c r="AB3463" s="622" t="s">
        <v>164</v>
      </c>
      <c r="AC3463" s="622">
        <v>32501</v>
      </c>
      <c r="AD3463" s="623">
        <v>6.25E-2</v>
      </c>
      <c r="AE3463" s="621" t="s">
        <v>6221</v>
      </c>
    </row>
    <row r="3464" spans="1:31" s="572" customFormat="1">
      <c r="A3464" s="570" t="s">
        <v>6222</v>
      </c>
      <c r="B3464" s="573" t="s">
        <v>269</v>
      </c>
      <c r="C3464" s="578" t="s">
        <v>270</v>
      </c>
      <c r="D3464" s="573" t="s">
        <v>643</v>
      </c>
      <c r="E3464" s="573" t="s">
        <v>6224</v>
      </c>
      <c r="F3464" s="573" t="s">
        <v>271</v>
      </c>
      <c r="G3464" s="573">
        <v>2019</v>
      </c>
      <c r="H3464" s="573" t="s">
        <v>3765</v>
      </c>
      <c r="I3464" s="573" t="s">
        <v>6225</v>
      </c>
      <c r="J3464" s="573" t="s">
        <v>752</v>
      </c>
      <c r="K3464" s="573">
        <v>5</v>
      </c>
      <c r="L3464" s="573">
        <v>0</v>
      </c>
      <c r="M3464" s="573" t="s">
        <v>157</v>
      </c>
      <c r="N3464" s="573">
        <v>2</v>
      </c>
      <c r="O3464" s="573" t="s">
        <v>3767</v>
      </c>
      <c r="P3464" s="571">
        <v>7100</v>
      </c>
      <c r="Q3464" s="573" t="s">
        <v>1259</v>
      </c>
      <c r="R3464" s="573">
        <v>6</v>
      </c>
      <c r="S3464" s="582" t="s">
        <v>6226</v>
      </c>
      <c r="T3464" s="573" t="s">
        <v>392</v>
      </c>
      <c r="U3464" s="573">
        <v>145</v>
      </c>
      <c r="V3464" s="573">
        <v>26</v>
      </c>
      <c r="W3464" s="616">
        <v>7000</v>
      </c>
      <c r="X3464" s="617">
        <v>18</v>
      </c>
      <c r="Y3464" s="617" t="s">
        <v>178</v>
      </c>
      <c r="Z3464" s="617" t="s">
        <v>178</v>
      </c>
      <c r="AA3464" s="618">
        <v>44450</v>
      </c>
      <c r="AB3464" s="618" t="s">
        <v>164</v>
      </c>
      <c r="AC3464" s="618">
        <v>34758.610526315788</v>
      </c>
      <c r="AD3464" s="619">
        <v>0.03</v>
      </c>
      <c r="AE3464" s="617" t="s">
        <v>6223</v>
      </c>
    </row>
    <row r="3465" spans="1:31" s="572" customFormat="1">
      <c r="A3465" s="570" t="s">
        <v>6227</v>
      </c>
      <c r="B3465" s="569" t="s">
        <v>278</v>
      </c>
      <c r="C3465" s="580">
        <v>15</v>
      </c>
      <c r="D3465" s="569" t="s">
        <v>643</v>
      </c>
      <c r="E3465" s="569" t="s">
        <v>6224</v>
      </c>
      <c r="F3465" s="569" t="s">
        <v>271</v>
      </c>
      <c r="G3465" s="569">
        <v>2019</v>
      </c>
      <c r="H3465" s="569" t="s">
        <v>3765</v>
      </c>
      <c r="I3465" s="569" t="s">
        <v>6225</v>
      </c>
      <c r="J3465" s="569" t="s">
        <v>752</v>
      </c>
      <c r="K3465" s="569">
        <v>5</v>
      </c>
      <c r="L3465" s="569">
        <v>0</v>
      </c>
      <c r="M3465" s="569" t="s">
        <v>157</v>
      </c>
      <c r="N3465" s="569">
        <v>2</v>
      </c>
      <c r="O3465" s="569" t="s">
        <v>3767</v>
      </c>
      <c r="P3465" s="568">
        <v>7100</v>
      </c>
      <c r="Q3465" s="569" t="s">
        <v>1259</v>
      </c>
      <c r="R3465" s="569">
        <v>6</v>
      </c>
      <c r="S3465" s="569" t="s">
        <v>6226</v>
      </c>
      <c r="T3465" s="569" t="s">
        <v>392</v>
      </c>
      <c r="U3465" s="569">
        <v>145</v>
      </c>
      <c r="V3465" s="569">
        <v>26</v>
      </c>
      <c r="W3465" s="620">
        <v>7000</v>
      </c>
      <c r="X3465" s="621">
        <v>18</v>
      </c>
      <c r="Y3465" s="621" t="s">
        <v>666</v>
      </c>
      <c r="Z3465" s="621" t="s">
        <v>178</v>
      </c>
      <c r="AA3465" s="622">
        <v>44450</v>
      </c>
      <c r="AB3465" s="622" t="s">
        <v>164</v>
      </c>
      <c r="AC3465" s="622">
        <v>34950</v>
      </c>
      <c r="AD3465" s="623">
        <v>0.01</v>
      </c>
      <c r="AE3465" s="621" t="s">
        <v>6228</v>
      </c>
    </row>
    <row r="3466" spans="1:31" s="572" customFormat="1">
      <c r="A3466" s="570" t="s">
        <v>6229</v>
      </c>
      <c r="B3466" s="573" t="s">
        <v>287</v>
      </c>
      <c r="C3466" s="578">
        <v>26</v>
      </c>
      <c r="D3466" s="573" t="s">
        <v>643</v>
      </c>
      <c r="E3466" s="573" t="s">
        <v>6224</v>
      </c>
      <c r="F3466" s="573" t="s">
        <v>271</v>
      </c>
      <c r="G3466" s="573">
        <v>2019</v>
      </c>
      <c r="H3466" s="573" t="s">
        <v>3765</v>
      </c>
      <c r="I3466" s="573" t="s">
        <v>6225</v>
      </c>
      <c r="J3466" s="573" t="s">
        <v>752</v>
      </c>
      <c r="K3466" s="573">
        <v>5</v>
      </c>
      <c r="L3466" s="573">
        <v>0</v>
      </c>
      <c r="M3466" s="573" t="s">
        <v>157</v>
      </c>
      <c r="N3466" s="573">
        <v>2</v>
      </c>
      <c r="O3466" s="573" t="s">
        <v>3767</v>
      </c>
      <c r="P3466" s="571">
        <v>7100</v>
      </c>
      <c r="Q3466" s="573" t="s">
        <v>1259</v>
      </c>
      <c r="R3466" s="573">
        <v>6</v>
      </c>
      <c r="S3466" s="582" t="s">
        <v>6226</v>
      </c>
      <c r="T3466" s="573" t="s">
        <v>392</v>
      </c>
      <c r="U3466" s="573">
        <v>145</v>
      </c>
      <c r="V3466" s="573">
        <v>23</v>
      </c>
      <c r="W3466" s="616">
        <v>7000</v>
      </c>
      <c r="X3466" s="617">
        <v>18</v>
      </c>
      <c r="Y3466" s="617" t="s">
        <v>178</v>
      </c>
      <c r="Z3466" s="617" t="s">
        <v>178</v>
      </c>
      <c r="AA3466" s="618">
        <v>44450</v>
      </c>
      <c r="AB3466" s="618" t="s">
        <v>164</v>
      </c>
      <c r="AC3466" s="618">
        <v>35372</v>
      </c>
      <c r="AD3466" s="619">
        <v>0.05</v>
      </c>
      <c r="AE3466" s="617" t="s">
        <v>6230</v>
      </c>
    </row>
    <row r="3467" spans="1:31" s="572" customFormat="1">
      <c r="A3467" s="570" t="s">
        <v>6231</v>
      </c>
      <c r="B3467" s="569" t="s">
        <v>280</v>
      </c>
      <c r="C3467" s="580">
        <v>27</v>
      </c>
      <c r="D3467" s="569" t="s">
        <v>643</v>
      </c>
      <c r="E3467" s="569" t="s">
        <v>6224</v>
      </c>
      <c r="F3467" s="569" t="s">
        <v>271</v>
      </c>
      <c r="G3467" s="569">
        <v>2019</v>
      </c>
      <c r="H3467" s="569" t="s">
        <v>3765</v>
      </c>
      <c r="I3467" s="569" t="s">
        <v>6225</v>
      </c>
      <c r="J3467" s="569" t="s">
        <v>752</v>
      </c>
      <c r="K3467" s="569">
        <v>5</v>
      </c>
      <c r="L3467" s="569">
        <v>0</v>
      </c>
      <c r="M3467" s="569" t="s">
        <v>157</v>
      </c>
      <c r="N3467" s="569">
        <v>2</v>
      </c>
      <c r="O3467" s="569" t="s">
        <v>3767</v>
      </c>
      <c r="P3467" s="568">
        <v>7100</v>
      </c>
      <c r="Q3467" s="569" t="s">
        <v>1259</v>
      </c>
      <c r="R3467" s="569">
        <v>6</v>
      </c>
      <c r="S3467" s="569" t="s">
        <v>6226</v>
      </c>
      <c r="T3467" s="569" t="s">
        <v>392</v>
      </c>
      <c r="U3467" s="569">
        <v>145</v>
      </c>
      <c r="V3467" s="569">
        <v>26</v>
      </c>
      <c r="W3467" s="620">
        <v>7000</v>
      </c>
      <c r="X3467" s="621">
        <v>18</v>
      </c>
      <c r="Y3467" s="621" t="s">
        <v>178</v>
      </c>
      <c r="Z3467" s="621" t="s">
        <v>178</v>
      </c>
      <c r="AA3467" s="622">
        <v>44450</v>
      </c>
      <c r="AB3467" s="622" t="s">
        <v>164</v>
      </c>
      <c r="AC3467" s="622">
        <v>34758.610526315788</v>
      </c>
      <c r="AD3467" s="623">
        <v>0.03</v>
      </c>
      <c r="AE3467" s="621" t="s">
        <v>6223</v>
      </c>
    </row>
    <row r="3468" spans="1:31" s="572" customFormat="1" ht="30">
      <c r="A3468" s="570" t="s">
        <v>6232</v>
      </c>
      <c r="B3468" s="573" t="s">
        <v>269</v>
      </c>
      <c r="C3468" s="578" t="s">
        <v>270</v>
      </c>
      <c r="D3468" s="573" t="s">
        <v>643</v>
      </c>
      <c r="E3468" s="573" t="s">
        <v>6224</v>
      </c>
      <c r="F3468" s="573" t="s">
        <v>271</v>
      </c>
      <c r="G3468" s="573">
        <v>2019</v>
      </c>
      <c r="H3468" s="573" t="s">
        <v>350</v>
      </c>
      <c r="I3468" s="573" t="s">
        <v>661</v>
      </c>
      <c r="J3468" s="573" t="s">
        <v>156</v>
      </c>
      <c r="K3468" s="573">
        <v>5</v>
      </c>
      <c r="L3468" s="573">
        <v>0</v>
      </c>
      <c r="M3468" s="573" t="s">
        <v>157</v>
      </c>
      <c r="N3468" s="573">
        <v>2</v>
      </c>
      <c r="O3468" s="573" t="s">
        <v>157</v>
      </c>
      <c r="P3468" s="571" t="s">
        <v>157</v>
      </c>
      <c r="Q3468" s="573" t="s">
        <v>352</v>
      </c>
      <c r="R3468" s="573">
        <v>4</v>
      </c>
      <c r="S3468" s="582" t="s">
        <v>662</v>
      </c>
      <c r="T3468" s="573" t="s">
        <v>663</v>
      </c>
      <c r="U3468" s="573">
        <v>112.2</v>
      </c>
      <c r="V3468" s="573">
        <v>14</v>
      </c>
      <c r="W3468" s="616">
        <v>3630</v>
      </c>
      <c r="X3468" s="617">
        <v>40</v>
      </c>
      <c r="Y3468" s="617" t="s">
        <v>666</v>
      </c>
      <c r="Z3468" s="617" t="s">
        <v>163</v>
      </c>
      <c r="AA3468" s="618">
        <v>30930</v>
      </c>
      <c r="AB3468" s="618" t="s">
        <v>164</v>
      </c>
      <c r="AC3468" s="618">
        <v>28065</v>
      </c>
      <c r="AD3468" s="619">
        <v>0.03</v>
      </c>
      <c r="AE3468" s="617" t="s">
        <v>659</v>
      </c>
    </row>
    <row r="3469" spans="1:31" s="572" customFormat="1" ht="30">
      <c r="A3469" s="570" t="s">
        <v>658</v>
      </c>
      <c r="B3469" s="569" t="s">
        <v>278</v>
      </c>
      <c r="C3469" s="580">
        <v>15</v>
      </c>
      <c r="D3469" s="569" t="s">
        <v>643</v>
      </c>
      <c r="E3469" s="569" t="s">
        <v>660</v>
      </c>
      <c r="F3469" s="569" t="s">
        <v>271</v>
      </c>
      <c r="G3469" s="569">
        <v>2019</v>
      </c>
      <c r="H3469" s="569" t="s">
        <v>350</v>
      </c>
      <c r="I3469" s="569" t="s">
        <v>661</v>
      </c>
      <c r="J3469" s="569" t="s">
        <v>156</v>
      </c>
      <c r="K3469" s="569">
        <v>5</v>
      </c>
      <c r="L3469" s="569">
        <v>0</v>
      </c>
      <c r="M3469" s="569" t="s">
        <v>157</v>
      </c>
      <c r="N3469" s="569">
        <v>2</v>
      </c>
      <c r="O3469" s="569" t="s">
        <v>157</v>
      </c>
      <c r="P3469" s="568" t="s">
        <v>157</v>
      </c>
      <c r="Q3469" s="569" t="s">
        <v>352</v>
      </c>
      <c r="R3469" s="569">
        <v>4</v>
      </c>
      <c r="S3469" s="569" t="s">
        <v>662</v>
      </c>
      <c r="T3469" s="569" t="s">
        <v>663</v>
      </c>
      <c r="U3469" s="569">
        <v>112.2</v>
      </c>
      <c r="V3469" s="569">
        <v>14</v>
      </c>
      <c r="W3469" s="620">
        <v>3630</v>
      </c>
      <c r="X3469" s="621">
        <v>40</v>
      </c>
      <c r="Y3469" s="621" t="s">
        <v>178</v>
      </c>
      <c r="Z3469" s="621" t="s">
        <v>163</v>
      </c>
      <c r="AA3469" s="622">
        <v>30930</v>
      </c>
      <c r="AB3469" s="622" t="s">
        <v>164</v>
      </c>
      <c r="AC3469" s="622">
        <v>28419</v>
      </c>
      <c r="AD3469" s="623">
        <v>0.01</v>
      </c>
      <c r="AE3469" s="621" t="s">
        <v>659</v>
      </c>
    </row>
    <row r="3470" spans="1:31" s="572" customFormat="1" ht="30">
      <c r="A3470" s="570" t="s">
        <v>664</v>
      </c>
      <c r="B3470" s="573" t="s">
        <v>287</v>
      </c>
      <c r="C3470" s="578">
        <v>26</v>
      </c>
      <c r="D3470" s="573" t="s">
        <v>643</v>
      </c>
      <c r="E3470" s="573" t="s">
        <v>660</v>
      </c>
      <c r="F3470" s="573" t="s">
        <v>271</v>
      </c>
      <c r="G3470" s="573">
        <v>2019</v>
      </c>
      <c r="H3470" s="573" t="s">
        <v>350</v>
      </c>
      <c r="I3470" s="573" t="s">
        <v>661</v>
      </c>
      <c r="J3470" s="573" t="s">
        <v>156</v>
      </c>
      <c r="K3470" s="573">
        <v>5</v>
      </c>
      <c r="L3470" s="573">
        <v>0</v>
      </c>
      <c r="M3470" s="573" t="s">
        <v>157</v>
      </c>
      <c r="N3470" s="573">
        <v>2</v>
      </c>
      <c r="O3470" s="573" t="s">
        <v>157</v>
      </c>
      <c r="P3470" s="571" t="s">
        <v>157</v>
      </c>
      <c r="Q3470" s="573" t="s">
        <v>352</v>
      </c>
      <c r="R3470" s="573">
        <v>4</v>
      </c>
      <c r="S3470" s="582" t="s">
        <v>662</v>
      </c>
      <c r="T3470" s="573" t="s">
        <v>663</v>
      </c>
      <c r="U3470" s="573">
        <v>112.2</v>
      </c>
      <c r="V3470" s="573">
        <v>14</v>
      </c>
      <c r="W3470" s="616">
        <v>3630</v>
      </c>
      <c r="X3470" s="617">
        <v>40</v>
      </c>
      <c r="Y3470" s="617" t="s">
        <v>198</v>
      </c>
      <c r="Z3470" s="617" t="s">
        <v>163</v>
      </c>
      <c r="AA3470" s="618">
        <v>30930</v>
      </c>
      <c r="AB3470" s="618" t="s">
        <v>164</v>
      </c>
      <c r="AC3470" s="618">
        <v>28904</v>
      </c>
      <c r="AD3470" s="619">
        <v>0.05</v>
      </c>
      <c r="AE3470" s="617" t="s">
        <v>659</v>
      </c>
    </row>
    <row r="3471" spans="1:31" s="572" customFormat="1" ht="30">
      <c r="A3471" s="570" t="s">
        <v>665</v>
      </c>
      <c r="B3471" s="569" t="s">
        <v>280</v>
      </c>
      <c r="C3471" s="580">
        <v>27</v>
      </c>
      <c r="D3471" s="569" t="s">
        <v>643</v>
      </c>
      <c r="E3471" s="569" t="s">
        <v>660</v>
      </c>
      <c r="F3471" s="569" t="s">
        <v>271</v>
      </c>
      <c r="G3471" s="569">
        <v>2019</v>
      </c>
      <c r="H3471" s="569" t="s">
        <v>350</v>
      </c>
      <c r="I3471" s="569" t="s">
        <v>661</v>
      </c>
      <c r="J3471" s="569" t="s">
        <v>156</v>
      </c>
      <c r="K3471" s="569">
        <v>5</v>
      </c>
      <c r="L3471" s="569">
        <v>0</v>
      </c>
      <c r="M3471" s="569" t="s">
        <v>157</v>
      </c>
      <c r="N3471" s="569">
        <v>2</v>
      </c>
      <c r="O3471" s="569" t="s">
        <v>157</v>
      </c>
      <c r="P3471" s="568" t="s">
        <v>157</v>
      </c>
      <c r="Q3471" s="569" t="s">
        <v>352</v>
      </c>
      <c r="R3471" s="569">
        <v>4</v>
      </c>
      <c r="S3471" s="569" t="s">
        <v>662</v>
      </c>
      <c r="T3471" s="569" t="s">
        <v>663</v>
      </c>
      <c r="U3471" s="569">
        <v>112.2</v>
      </c>
      <c r="V3471" s="569">
        <v>14</v>
      </c>
      <c r="W3471" s="620">
        <v>3630</v>
      </c>
      <c r="X3471" s="621">
        <v>40</v>
      </c>
      <c r="Y3471" s="621" t="s">
        <v>666</v>
      </c>
      <c r="Z3471" s="621" t="s">
        <v>163</v>
      </c>
      <c r="AA3471" s="622">
        <v>30930</v>
      </c>
      <c r="AB3471" s="622" t="s">
        <v>164</v>
      </c>
      <c r="AC3471" s="622">
        <v>28065</v>
      </c>
      <c r="AD3471" s="623">
        <v>0.03</v>
      </c>
      <c r="AE3471" s="621" t="s">
        <v>659</v>
      </c>
    </row>
    <row r="3472" spans="1:31" s="572" customFormat="1">
      <c r="A3472" s="570" t="s">
        <v>667</v>
      </c>
      <c r="B3472" s="573" t="s">
        <v>287</v>
      </c>
      <c r="C3472" s="578">
        <v>26</v>
      </c>
      <c r="D3472" s="573" t="s">
        <v>643</v>
      </c>
      <c r="E3472" s="573" t="s">
        <v>660</v>
      </c>
      <c r="F3472" s="573" t="s">
        <v>271</v>
      </c>
      <c r="G3472" s="573">
        <v>2019</v>
      </c>
      <c r="H3472" s="573" t="s">
        <v>350</v>
      </c>
      <c r="I3472" s="573" t="s">
        <v>669</v>
      </c>
      <c r="J3472" s="573" t="s">
        <v>156</v>
      </c>
      <c r="K3472" s="573">
        <v>5</v>
      </c>
      <c r="L3472" s="573">
        <v>0</v>
      </c>
      <c r="M3472" s="573" t="s">
        <v>157</v>
      </c>
      <c r="N3472" s="573">
        <v>2</v>
      </c>
      <c r="O3472" s="573" t="s">
        <v>157</v>
      </c>
      <c r="P3472" s="571" t="s">
        <v>157</v>
      </c>
      <c r="Q3472" s="573" t="s">
        <v>352</v>
      </c>
      <c r="R3472" s="573">
        <v>4</v>
      </c>
      <c r="S3472" s="582" t="s">
        <v>670</v>
      </c>
      <c r="T3472" s="573" t="s">
        <v>671</v>
      </c>
      <c r="U3472" s="573">
        <v>112.2</v>
      </c>
      <c r="V3472" s="573">
        <v>14</v>
      </c>
      <c r="W3472" s="616">
        <v>3630</v>
      </c>
      <c r="X3472" s="617">
        <v>40</v>
      </c>
      <c r="Y3472" s="617" t="s">
        <v>198</v>
      </c>
      <c r="Z3472" s="617" t="s">
        <v>163</v>
      </c>
      <c r="AA3472" s="618">
        <v>36515</v>
      </c>
      <c r="AB3472" s="618" t="s">
        <v>164</v>
      </c>
      <c r="AC3472" s="618">
        <v>33132</v>
      </c>
      <c r="AD3472" s="619">
        <v>0.05</v>
      </c>
      <c r="AE3472" s="617" t="s">
        <v>668</v>
      </c>
    </row>
    <row r="3473" spans="1:31" s="572" customFormat="1">
      <c r="A3473" s="570" t="s">
        <v>672</v>
      </c>
      <c r="B3473" s="569" t="s">
        <v>269</v>
      </c>
      <c r="C3473" s="580" t="s">
        <v>270</v>
      </c>
      <c r="D3473" s="569" t="s">
        <v>643</v>
      </c>
      <c r="E3473" s="569" t="s">
        <v>644</v>
      </c>
      <c r="F3473" s="569" t="s">
        <v>271</v>
      </c>
      <c r="G3473" s="569">
        <v>2019</v>
      </c>
      <c r="H3473" s="569" t="s">
        <v>674</v>
      </c>
      <c r="I3473" s="569" t="s">
        <v>675</v>
      </c>
      <c r="J3473" s="569" t="s">
        <v>230</v>
      </c>
      <c r="K3473" s="569">
        <v>5</v>
      </c>
      <c r="L3473" s="569">
        <v>0</v>
      </c>
      <c r="M3473" s="569" t="s">
        <v>157</v>
      </c>
      <c r="N3473" s="569">
        <v>2</v>
      </c>
      <c r="O3473" s="569" t="s">
        <v>157</v>
      </c>
      <c r="P3473" s="568" t="s">
        <v>157</v>
      </c>
      <c r="Q3473" s="569" t="s">
        <v>316</v>
      </c>
      <c r="R3473" s="569">
        <v>6</v>
      </c>
      <c r="S3473" s="569" t="s">
        <v>676</v>
      </c>
      <c r="T3473" s="569" t="s">
        <v>677</v>
      </c>
      <c r="U3473" s="569">
        <v>112.9</v>
      </c>
      <c r="V3473" s="569">
        <v>19</v>
      </c>
      <c r="W3473" s="620">
        <v>4775</v>
      </c>
      <c r="X3473" s="621">
        <v>19</v>
      </c>
      <c r="Y3473" s="621" t="s">
        <v>666</v>
      </c>
      <c r="Z3473" s="621" t="s">
        <v>178</v>
      </c>
      <c r="AA3473" s="622">
        <v>33555</v>
      </c>
      <c r="AB3473" s="622" t="s">
        <v>164</v>
      </c>
      <c r="AC3473" s="622">
        <v>31244.104166666668</v>
      </c>
      <c r="AD3473" s="623">
        <v>0.03</v>
      </c>
      <c r="AE3473" s="621" t="s">
        <v>673</v>
      </c>
    </row>
    <row r="3474" spans="1:31" s="572" customFormat="1">
      <c r="A3474" s="570" t="s">
        <v>678</v>
      </c>
      <c r="B3474" s="573" t="s">
        <v>280</v>
      </c>
      <c r="C3474" s="578">
        <v>27</v>
      </c>
      <c r="D3474" s="573" t="s">
        <v>643</v>
      </c>
      <c r="E3474" s="573" t="s">
        <v>644</v>
      </c>
      <c r="F3474" s="573" t="s">
        <v>271</v>
      </c>
      <c r="G3474" s="573">
        <v>2019</v>
      </c>
      <c r="H3474" s="573" t="s">
        <v>674</v>
      </c>
      <c r="I3474" s="573" t="s">
        <v>675</v>
      </c>
      <c r="J3474" s="573" t="s">
        <v>230</v>
      </c>
      <c r="K3474" s="573">
        <v>5</v>
      </c>
      <c r="L3474" s="573">
        <v>0</v>
      </c>
      <c r="M3474" s="573" t="s">
        <v>157</v>
      </c>
      <c r="N3474" s="573">
        <v>2</v>
      </c>
      <c r="O3474" s="573" t="s">
        <v>157</v>
      </c>
      <c r="P3474" s="571" t="s">
        <v>157</v>
      </c>
      <c r="Q3474" s="573" t="s">
        <v>316</v>
      </c>
      <c r="R3474" s="573">
        <v>6</v>
      </c>
      <c r="S3474" s="582" t="s">
        <v>676</v>
      </c>
      <c r="T3474" s="573" t="s">
        <v>677</v>
      </c>
      <c r="U3474" s="573">
        <v>112.9</v>
      </c>
      <c r="V3474" s="573">
        <v>19</v>
      </c>
      <c r="W3474" s="616">
        <v>4775</v>
      </c>
      <c r="X3474" s="617">
        <v>19</v>
      </c>
      <c r="Y3474" s="617" t="s">
        <v>666</v>
      </c>
      <c r="Z3474" s="617" t="s">
        <v>178</v>
      </c>
      <c r="AA3474" s="618">
        <v>33555</v>
      </c>
      <c r="AB3474" s="618" t="s">
        <v>164</v>
      </c>
      <c r="AC3474" s="618">
        <v>31244.104166666668</v>
      </c>
      <c r="AD3474" s="619">
        <v>0.03</v>
      </c>
      <c r="AE3474" s="617" t="s">
        <v>673</v>
      </c>
    </row>
    <row r="3475" spans="1:31" s="572" customFormat="1">
      <c r="A3475" s="570" t="s">
        <v>679</v>
      </c>
      <c r="B3475" s="569" t="s">
        <v>269</v>
      </c>
      <c r="C3475" s="580" t="s">
        <v>270</v>
      </c>
      <c r="D3475" s="569" t="s">
        <v>643</v>
      </c>
      <c r="E3475" s="569" t="s">
        <v>644</v>
      </c>
      <c r="F3475" s="569" t="s">
        <v>271</v>
      </c>
      <c r="G3475" s="569">
        <v>2019</v>
      </c>
      <c r="H3475" s="569" t="s">
        <v>674</v>
      </c>
      <c r="I3475" s="569" t="s">
        <v>681</v>
      </c>
      <c r="J3475" s="569" t="s">
        <v>230</v>
      </c>
      <c r="K3475" s="569">
        <v>5</v>
      </c>
      <c r="L3475" s="569">
        <v>0</v>
      </c>
      <c r="M3475" s="569" t="s">
        <v>157</v>
      </c>
      <c r="N3475" s="569">
        <v>2</v>
      </c>
      <c r="O3475" s="569" t="s">
        <v>157</v>
      </c>
      <c r="P3475" s="568" t="s">
        <v>157</v>
      </c>
      <c r="Q3475" s="569" t="s">
        <v>682</v>
      </c>
      <c r="R3475" s="569">
        <v>6</v>
      </c>
      <c r="S3475" s="569" t="s">
        <v>683</v>
      </c>
      <c r="T3475" s="569" t="s">
        <v>677</v>
      </c>
      <c r="U3475" s="569">
        <v>112.9</v>
      </c>
      <c r="V3475" s="569">
        <v>19</v>
      </c>
      <c r="W3475" s="620">
        <v>4311</v>
      </c>
      <c r="X3475" s="621">
        <v>21</v>
      </c>
      <c r="Y3475" s="621" t="s">
        <v>666</v>
      </c>
      <c r="Z3475" s="621" t="s">
        <v>178</v>
      </c>
      <c r="AA3475" s="622">
        <v>30505</v>
      </c>
      <c r="AB3475" s="622" t="s">
        <v>164</v>
      </c>
      <c r="AC3475" s="622">
        <v>28439.770833333336</v>
      </c>
      <c r="AD3475" s="623">
        <v>0.03</v>
      </c>
      <c r="AE3475" s="621" t="s">
        <v>680</v>
      </c>
    </row>
    <row r="3476" spans="1:31" s="572" customFormat="1">
      <c r="A3476" s="570" t="s">
        <v>679</v>
      </c>
      <c r="B3476" s="573" t="s">
        <v>269</v>
      </c>
      <c r="C3476" s="578" t="s">
        <v>270</v>
      </c>
      <c r="D3476" s="573" t="s">
        <v>643</v>
      </c>
      <c r="E3476" s="573" t="s">
        <v>644</v>
      </c>
      <c r="F3476" s="573" t="s">
        <v>271</v>
      </c>
      <c r="G3476" s="573">
        <v>2019</v>
      </c>
      <c r="H3476" s="573" t="s">
        <v>674</v>
      </c>
      <c r="I3476" s="573" t="s">
        <v>681</v>
      </c>
      <c r="J3476" s="573" t="s">
        <v>230</v>
      </c>
      <c r="K3476" s="573">
        <v>5</v>
      </c>
      <c r="L3476" s="573">
        <v>0</v>
      </c>
      <c r="M3476" s="573" t="s">
        <v>157</v>
      </c>
      <c r="N3476" s="573">
        <v>2</v>
      </c>
      <c r="O3476" s="573" t="s">
        <v>157</v>
      </c>
      <c r="P3476" s="571" t="s">
        <v>157</v>
      </c>
      <c r="Q3476" s="573" t="s">
        <v>682</v>
      </c>
      <c r="R3476" s="573">
        <v>6</v>
      </c>
      <c r="S3476" s="582" t="s">
        <v>683</v>
      </c>
      <c r="T3476" s="573" t="s">
        <v>677</v>
      </c>
      <c r="U3476" s="573">
        <v>112.9</v>
      </c>
      <c r="V3476" s="573">
        <v>19</v>
      </c>
      <c r="W3476" s="616">
        <v>4311</v>
      </c>
      <c r="X3476" s="617">
        <v>21</v>
      </c>
      <c r="Y3476" s="617" t="s">
        <v>178</v>
      </c>
      <c r="Z3476" s="617" t="s">
        <v>178</v>
      </c>
      <c r="AA3476" s="618">
        <v>30505</v>
      </c>
      <c r="AB3476" s="618" t="s">
        <v>164</v>
      </c>
      <c r="AC3476" s="618">
        <v>28439.770833333336</v>
      </c>
      <c r="AD3476" s="619">
        <v>0.03</v>
      </c>
      <c r="AE3476" s="617" t="s">
        <v>680</v>
      </c>
    </row>
    <row r="3477" spans="1:31" s="572" customFormat="1">
      <c r="A3477" s="570" t="s">
        <v>684</v>
      </c>
      <c r="B3477" s="569" t="s">
        <v>287</v>
      </c>
      <c r="C3477" s="580">
        <v>26</v>
      </c>
      <c r="D3477" s="569" t="s">
        <v>643</v>
      </c>
      <c r="E3477" s="569" t="s">
        <v>644</v>
      </c>
      <c r="F3477" s="569" t="s">
        <v>271</v>
      </c>
      <c r="G3477" s="569">
        <v>2019</v>
      </c>
      <c r="H3477" s="569" t="s">
        <v>674</v>
      </c>
      <c r="I3477" s="569" t="s">
        <v>681</v>
      </c>
      <c r="J3477" s="569" t="s">
        <v>230</v>
      </c>
      <c r="K3477" s="569">
        <v>5</v>
      </c>
      <c r="L3477" s="569">
        <v>0</v>
      </c>
      <c r="M3477" s="569" t="s">
        <v>157</v>
      </c>
      <c r="N3477" s="569">
        <v>2</v>
      </c>
      <c r="O3477" s="569" t="s">
        <v>157</v>
      </c>
      <c r="P3477" s="568" t="s">
        <v>157</v>
      </c>
      <c r="Q3477" s="569" t="s">
        <v>682</v>
      </c>
      <c r="R3477" s="569">
        <v>6</v>
      </c>
      <c r="S3477" s="569" t="s">
        <v>683</v>
      </c>
      <c r="T3477" s="569" t="s">
        <v>677</v>
      </c>
      <c r="U3477" s="569">
        <v>112.9</v>
      </c>
      <c r="V3477" s="569">
        <v>19</v>
      </c>
      <c r="W3477" s="620">
        <v>4311</v>
      </c>
      <c r="X3477" s="621">
        <v>21</v>
      </c>
      <c r="Y3477" s="621" t="s">
        <v>178</v>
      </c>
      <c r="Z3477" s="621" t="s">
        <v>178</v>
      </c>
      <c r="AA3477" s="622">
        <v>30505</v>
      </c>
      <c r="AB3477" s="622" t="s">
        <v>164</v>
      </c>
      <c r="AC3477" s="622">
        <v>28940</v>
      </c>
      <c r="AD3477" s="623">
        <v>0.05</v>
      </c>
      <c r="AE3477" s="621" t="s">
        <v>680</v>
      </c>
    </row>
    <row r="3478" spans="1:31" s="572" customFormat="1">
      <c r="A3478" s="570" t="s">
        <v>685</v>
      </c>
      <c r="B3478" s="573" t="s">
        <v>280</v>
      </c>
      <c r="C3478" s="578">
        <v>27</v>
      </c>
      <c r="D3478" s="573" t="s">
        <v>643</v>
      </c>
      <c r="E3478" s="573" t="s">
        <v>644</v>
      </c>
      <c r="F3478" s="573" t="s">
        <v>271</v>
      </c>
      <c r="G3478" s="573">
        <v>2019</v>
      </c>
      <c r="H3478" s="573" t="s">
        <v>674</v>
      </c>
      <c r="I3478" s="573" t="s">
        <v>681</v>
      </c>
      <c r="J3478" s="573" t="s">
        <v>230</v>
      </c>
      <c r="K3478" s="573">
        <v>5</v>
      </c>
      <c r="L3478" s="573">
        <v>0</v>
      </c>
      <c r="M3478" s="573" t="s">
        <v>157</v>
      </c>
      <c r="N3478" s="573">
        <v>2</v>
      </c>
      <c r="O3478" s="573" t="s">
        <v>157</v>
      </c>
      <c r="P3478" s="571" t="s">
        <v>157</v>
      </c>
      <c r="Q3478" s="573" t="s">
        <v>682</v>
      </c>
      <c r="R3478" s="573">
        <v>6</v>
      </c>
      <c r="S3478" s="582" t="s">
        <v>683</v>
      </c>
      <c r="T3478" s="573" t="s">
        <v>677</v>
      </c>
      <c r="U3478" s="573">
        <v>112.9</v>
      </c>
      <c r="V3478" s="573">
        <v>19</v>
      </c>
      <c r="W3478" s="616">
        <v>4311</v>
      </c>
      <c r="X3478" s="617">
        <v>21</v>
      </c>
      <c r="Y3478" s="617" t="s">
        <v>666</v>
      </c>
      <c r="Z3478" s="617" t="s">
        <v>178</v>
      </c>
      <c r="AA3478" s="618">
        <v>30505</v>
      </c>
      <c r="AB3478" s="618" t="s">
        <v>164</v>
      </c>
      <c r="AC3478" s="618">
        <v>28439.770833333336</v>
      </c>
      <c r="AD3478" s="619">
        <v>0.03</v>
      </c>
      <c r="AE3478" s="617" t="s">
        <v>680</v>
      </c>
    </row>
    <row r="3479" spans="1:31" s="572" customFormat="1">
      <c r="A3479" s="570" t="s">
        <v>685</v>
      </c>
      <c r="B3479" s="569" t="s">
        <v>280</v>
      </c>
      <c r="C3479" s="580">
        <v>27</v>
      </c>
      <c r="D3479" s="569" t="s">
        <v>643</v>
      </c>
      <c r="E3479" s="569" t="s">
        <v>644</v>
      </c>
      <c r="F3479" s="569" t="s">
        <v>271</v>
      </c>
      <c r="G3479" s="569">
        <v>2019</v>
      </c>
      <c r="H3479" s="569" t="s">
        <v>674</v>
      </c>
      <c r="I3479" s="569" t="s">
        <v>681</v>
      </c>
      <c r="J3479" s="569" t="s">
        <v>230</v>
      </c>
      <c r="K3479" s="569">
        <v>5</v>
      </c>
      <c r="L3479" s="569">
        <v>0</v>
      </c>
      <c r="M3479" s="569" t="s">
        <v>157</v>
      </c>
      <c r="N3479" s="569">
        <v>2</v>
      </c>
      <c r="O3479" s="569" t="s">
        <v>157</v>
      </c>
      <c r="P3479" s="568" t="s">
        <v>157</v>
      </c>
      <c r="Q3479" s="569" t="s">
        <v>682</v>
      </c>
      <c r="R3479" s="569">
        <v>6</v>
      </c>
      <c r="S3479" s="569" t="s">
        <v>683</v>
      </c>
      <c r="T3479" s="569" t="s">
        <v>677</v>
      </c>
      <c r="U3479" s="569">
        <v>112.9</v>
      </c>
      <c r="V3479" s="569">
        <v>19</v>
      </c>
      <c r="W3479" s="620">
        <v>4311</v>
      </c>
      <c r="X3479" s="621">
        <v>21</v>
      </c>
      <c r="Y3479" s="621" t="s">
        <v>178</v>
      </c>
      <c r="Z3479" s="621" t="s">
        <v>178</v>
      </c>
      <c r="AA3479" s="622">
        <v>30505</v>
      </c>
      <c r="AB3479" s="622" t="s">
        <v>164</v>
      </c>
      <c r="AC3479" s="622">
        <v>28439.770833333336</v>
      </c>
      <c r="AD3479" s="623">
        <v>0.03</v>
      </c>
      <c r="AE3479" s="621" t="s">
        <v>680</v>
      </c>
    </row>
    <row r="3480" spans="1:31" s="572" customFormat="1">
      <c r="A3480" s="570" t="s">
        <v>686</v>
      </c>
      <c r="B3480" s="573" t="s">
        <v>269</v>
      </c>
      <c r="C3480" s="578" t="s">
        <v>270</v>
      </c>
      <c r="D3480" s="573" t="s">
        <v>643</v>
      </c>
      <c r="E3480" s="573" t="s">
        <v>644</v>
      </c>
      <c r="F3480" s="573" t="s">
        <v>271</v>
      </c>
      <c r="G3480" s="573">
        <v>2019</v>
      </c>
      <c r="H3480" s="573" t="s">
        <v>674</v>
      </c>
      <c r="I3480" s="573" t="s">
        <v>681</v>
      </c>
      <c r="J3480" s="573" t="s">
        <v>156</v>
      </c>
      <c r="K3480" s="573">
        <v>5</v>
      </c>
      <c r="L3480" s="573">
        <v>0</v>
      </c>
      <c r="M3480" s="573" t="s">
        <v>157</v>
      </c>
      <c r="N3480" s="573">
        <v>2</v>
      </c>
      <c r="O3480" s="573" t="s">
        <v>157</v>
      </c>
      <c r="P3480" s="571" t="s">
        <v>157</v>
      </c>
      <c r="Q3480" s="573" t="s">
        <v>316</v>
      </c>
      <c r="R3480" s="573">
        <v>6</v>
      </c>
      <c r="S3480" s="582" t="s">
        <v>688</v>
      </c>
      <c r="T3480" s="573" t="s">
        <v>677</v>
      </c>
      <c r="U3480" s="573">
        <v>112.9</v>
      </c>
      <c r="V3480" s="573">
        <v>19</v>
      </c>
      <c r="W3480" s="616">
        <v>4212</v>
      </c>
      <c r="X3480" s="617">
        <v>21</v>
      </c>
      <c r="Y3480" s="617" t="s">
        <v>666</v>
      </c>
      <c r="Z3480" s="617" t="s">
        <v>178</v>
      </c>
      <c r="AA3480" s="618">
        <v>29355</v>
      </c>
      <c r="AB3480" s="618" t="s">
        <v>164</v>
      </c>
      <c r="AC3480" s="618">
        <v>27388.729166666668</v>
      </c>
      <c r="AD3480" s="619">
        <v>0.03</v>
      </c>
      <c r="AE3480" s="617" t="s">
        <v>687</v>
      </c>
    </row>
    <row r="3481" spans="1:31" s="572" customFormat="1">
      <c r="A3481" s="570" t="s">
        <v>686</v>
      </c>
      <c r="B3481" s="569" t="s">
        <v>269</v>
      </c>
      <c r="C3481" s="580" t="s">
        <v>270</v>
      </c>
      <c r="D3481" s="569" t="s">
        <v>643</v>
      </c>
      <c r="E3481" s="569" t="s">
        <v>644</v>
      </c>
      <c r="F3481" s="569" t="s">
        <v>271</v>
      </c>
      <c r="G3481" s="569">
        <v>2019</v>
      </c>
      <c r="H3481" s="569" t="s">
        <v>674</v>
      </c>
      <c r="I3481" s="569" t="s">
        <v>681</v>
      </c>
      <c r="J3481" s="569" t="s">
        <v>156</v>
      </c>
      <c r="K3481" s="569">
        <v>5</v>
      </c>
      <c r="L3481" s="569">
        <v>0</v>
      </c>
      <c r="M3481" s="569" t="s">
        <v>157</v>
      </c>
      <c r="N3481" s="569">
        <v>2</v>
      </c>
      <c r="O3481" s="569" t="s">
        <v>157</v>
      </c>
      <c r="P3481" s="568" t="s">
        <v>157</v>
      </c>
      <c r="Q3481" s="569" t="s">
        <v>316</v>
      </c>
      <c r="R3481" s="569">
        <v>6</v>
      </c>
      <c r="S3481" s="569" t="s">
        <v>688</v>
      </c>
      <c r="T3481" s="569" t="s">
        <v>677</v>
      </c>
      <c r="U3481" s="569">
        <v>112.9</v>
      </c>
      <c r="V3481" s="569">
        <v>19</v>
      </c>
      <c r="W3481" s="620">
        <v>4212</v>
      </c>
      <c r="X3481" s="621">
        <v>21</v>
      </c>
      <c r="Y3481" s="621" t="s">
        <v>178</v>
      </c>
      <c r="Z3481" s="621" t="s">
        <v>178</v>
      </c>
      <c r="AA3481" s="622">
        <v>29355</v>
      </c>
      <c r="AB3481" s="622" t="s">
        <v>164</v>
      </c>
      <c r="AC3481" s="622">
        <v>27388.729166666668</v>
      </c>
      <c r="AD3481" s="623">
        <v>0.03</v>
      </c>
      <c r="AE3481" s="621" t="s">
        <v>687</v>
      </c>
    </row>
    <row r="3482" spans="1:31" s="572" customFormat="1">
      <c r="A3482" s="570" t="s">
        <v>689</v>
      </c>
      <c r="B3482" s="573" t="s">
        <v>287</v>
      </c>
      <c r="C3482" s="578">
        <v>26</v>
      </c>
      <c r="D3482" s="573" t="s">
        <v>643</v>
      </c>
      <c r="E3482" s="573" t="s">
        <v>644</v>
      </c>
      <c r="F3482" s="573" t="s">
        <v>271</v>
      </c>
      <c r="G3482" s="573">
        <v>2019</v>
      </c>
      <c r="H3482" s="573" t="s">
        <v>674</v>
      </c>
      <c r="I3482" s="573" t="s">
        <v>681</v>
      </c>
      <c r="J3482" s="573" t="s">
        <v>156</v>
      </c>
      <c r="K3482" s="573">
        <v>5</v>
      </c>
      <c r="L3482" s="573">
        <v>0</v>
      </c>
      <c r="M3482" s="573" t="s">
        <v>157</v>
      </c>
      <c r="N3482" s="573">
        <v>2</v>
      </c>
      <c r="O3482" s="573" t="s">
        <v>157</v>
      </c>
      <c r="P3482" s="571" t="s">
        <v>157</v>
      </c>
      <c r="Q3482" s="573" t="s">
        <v>316</v>
      </c>
      <c r="R3482" s="573">
        <v>6</v>
      </c>
      <c r="S3482" s="582" t="s">
        <v>688</v>
      </c>
      <c r="T3482" s="573" t="s">
        <v>677</v>
      </c>
      <c r="U3482" s="573">
        <v>112.9</v>
      </c>
      <c r="V3482" s="573">
        <v>19</v>
      </c>
      <c r="W3482" s="616">
        <v>4212</v>
      </c>
      <c r="X3482" s="617">
        <v>21</v>
      </c>
      <c r="Y3482" s="617" t="s">
        <v>178</v>
      </c>
      <c r="Z3482" s="617" t="s">
        <v>178</v>
      </c>
      <c r="AA3482" s="618">
        <v>29355</v>
      </c>
      <c r="AB3482" s="618" t="s">
        <v>164</v>
      </c>
      <c r="AC3482" s="618">
        <v>27858</v>
      </c>
      <c r="AD3482" s="619">
        <v>0.05</v>
      </c>
      <c r="AE3482" s="617" t="s">
        <v>687</v>
      </c>
    </row>
    <row r="3483" spans="1:31" s="572" customFormat="1">
      <c r="A3483" s="570" t="s">
        <v>690</v>
      </c>
      <c r="B3483" s="569" t="s">
        <v>280</v>
      </c>
      <c r="C3483" s="580">
        <v>27</v>
      </c>
      <c r="D3483" s="569" t="s">
        <v>643</v>
      </c>
      <c r="E3483" s="569" t="s">
        <v>644</v>
      </c>
      <c r="F3483" s="569" t="s">
        <v>271</v>
      </c>
      <c r="G3483" s="569">
        <v>2019</v>
      </c>
      <c r="H3483" s="569" t="s">
        <v>674</v>
      </c>
      <c r="I3483" s="569" t="s">
        <v>681</v>
      </c>
      <c r="J3483" s="569" t="s">
        <v>156</v>
      </c>
      <c r="K3483" s="569">
        <v>5</v>
      </c>
      <c r="L3483" s="569">
        <v>0</v>
      </c>
      <c r="M3483" s="569" t="s">
        <v>157</v>
      </c>
      <c r="N3483" s="569">
        <v>2</v>
      </c>
      <c r="O3483" s="569" t="s">
        <v>157</v>
      </c>
      <c r="P3483" s="568" t="s">
        <v>157</v>
      </c>
      <c r="Q3483" s="569" t="s">
        <v>316</v>
      </c>
      <c r="R3483" s="569">
        <v>6</v>
      </c>
      <c r="S3483" s="569" t="s">
        <v>688</v>
      </c>
      <c r="T3483" s="569" t="s">
        <v>677</v>
      </c>
      <c r="U3483" s="569">
        <v>112.9</v>
      </c>
      <c r="V3483" s="569">
        <v>19</v>
      </c>
      <c r="W3483" s="620">
        <v>4212</v>
      </c>
      <c r="X3483" s="621">
        <v>21</v>
      </c>
      <c r="Y3483" s="621" t="s">
        <v>666</v>
      </c>
      <c r="Z3483" s="621" t="s">
        <v>178</v>
      </c>
      <c r="AA3483" s="622">
        <v>29355</v>
      </c>
      <c r="AB3483" s="622" t="s">
        <v>164</v>
      </c>
      <c r="AC3483" s="622">
        <v>27388.729166666668</v>
      </c>
      <c r="AD3483" s="623">
        <v>0.03</v>
      </c>
      <c r="AE3483" s="621" t="s">
        <v>687</v>
      </c>
    </row>
    <row r="3484" spans="1:31" s="572" customFormat="1">
      <c r="A3484" s="570" t="s">
        <v>690</v>
      </c>
      <c r="B3484" s="573" t="s">
        <v>280</v>
      </c>
      <c r="C3484" s="578">
        <v>27</v>
      </c>
      <c r="D3484" s="573" t="s">
        <v>643</v>
      </c>
      <c r="E3484" s="573" t="s">
        <v>644</v>
      </c>
      <c r="F3484" s="573" t="s">
        <v>271</v>
      </c>
      <c r="G3484" s="573">
        <v>2019</v>
      </c>
      <c r="H3484" s="573" t="s">
        <v>674</v>
      </c>
      <c r="I3484" s="573" t="s">
        <v>681</v>
      </c>
      <c r="J3484" s="573" t="s">
        <v>156</v>
      </c>
      <c r="K3484" s="573">
        <v>5</v>
      </c>
      <c r="L3484" s="573">
        <v>0</v>
      </c>
      <c r="M3484" s="573" t="s">
        <v>157</v>
      </c>
      <c r="N3484" s="573">
        <v>2</v>
      </c>
      <c r="O3484" s="573" t="s">
        <v>157</v>
      </c>
      <c r="P3484" s="571" t="s">
        <v>157</v>
      </c>
      <c r="Q3484" s="573" t="s">
        <v>316</v>
      </c>
      <c r="R3484" s="573">
        <v>6</v>
      </c>
      <c r="S3484" s="582" t="s">
        <v>688</v>
      </c>
      <c r="T3484" s="573" t="s">
        <v>677</v>
      </c>
      <c r="U3484" s="573">
        <v>112.9</v>
      </c>
      <c r="V3484" s="573">
        <v>19</v>
      </c>
      <c r="W3484" s="616">
        <v>4212</v>
      </c>
      <c r="X3484" s="617">
        <v>21</v>
      </c>
      <c r="Y3484" s="617" t="s">
        <v>178</v>
      </c>
      <c r="Z3484" s="617" t="s">
        <v>178</v>
      </c>
      <c r="AA3484" s="618">
        <v>29355</v>
      </c>
      <c r="AB3484" s="618" t="s">
        <v>164</v>
      </c>
      <c r="AC3484" s="618">
        <v>27388.729166666668</v>
      </c>
      <c r="AD3484" s="619">
        <v>0.03</v>
      </c>
      <c r="AE3484" s="617" t="s">
        <v>687</v>
      </c>
    </row>
    <row r="3485" spans="1:31" s="572" customFormat="1">
      <c r="A3485" s="570" t="s">
        <v>6233</v>
      </c>
      <c r="B3485" s="569" t="s">
        <v>269</v>
      </c>
      <c r="C3485" s="580" t="s">
        <v>270</v>
      </c>
      <c r="D3485" s="569" t="s">
        <v>643</v>
      </c>
      <c r="E3485" s="569" t="s">
        <v>6235</v>
      </c>
      <c r="F3485" s="569" t="s">
        <v>271</v>
      </c>
      <c r="G3485" s="569">
        <v>2020</v>
      </c>
      <c r="H3485" s="569" t="s">
        <v>6236</v>
      </c>
      <c r="I3485" s="569" t="s">
        <v>675</v>
      </c>
      <c r="J3485" s="569" t="s">
        <v>230</v>
      </c>
      <c r="K3485" s="569">
        <v>5</v>
      </c>
      <c r="L3485" s="569">
        <v>0</v>
      </c>
      <c r="M3485" s="569" t="s">
        <v>157</v>
      </c>
      <c r="N3485" s="569">
        <v>2</v>
      </c>
      <c r="O3485" s="569" t="s">
        <v>157</v>
      </c>
      <c r="P3485" s="568" t="s">
        <v>157</v>
      </c>
      <c r="Q3485" s="569" t="s">
        <v>6237</v>
      </c>
      <c r="R3485" s="569">
        <v>6</v>
      </c>
      <c r="S3485" s="569" t="s">
        <v>6238</v>
      </c>
      <c r="T3485" s="569" t="s">
        <v>677</v>
      </c>
      <c r="U3485" s="569">
        <v>113</v>
      </c>
      <c r="V3485" s="569">
        <v>19</v>
      </c>
      <c r="W3485" s="620">
        <v>4371</v>
      </c>
      <c r="X3485" s="621">
        <v>18</v>
      </c>
      <c r="Y3485" s="621" t="s">
        <v>666</v>
      </c>
      <c r="Z3485" s="621" t="s">
        <v>666</v>
      </c>
      <c r="AA3485" s="622">
        <v>42400</v>
      </c>
      <c r="AB3485" s="622" t="s">
        <v>164</v>
      </c>
      <c r="AC3485" s="622">
        <v>37037.854166666664</v>
      </c>
      <c r="AD3485" s="623">
        <v>0.03</v>
      </c>
      <c r="AE3485" s="621" t="s">
        <v>6234</v>
      </c>
    </row>
    <row r="3486" spans="1:31" s="572" customFormat="1">
      <c r="A3486" s="570" t="s">
        <v>6233</v>
      </c>
      <c r="B3486" s="573" t="s">
        <v>269</v>
      </c>
      <c r="C3486" s="578" t="s">
        <v>270</v>
      </c>
      <c r="D3486" s="573" t="s">
        <v>643</v>
      </c>
      <c r="E3486" s="573" t="s">
        <v>6235</v>
      </c>
      <c r="F3486" s="573" t="s">
        <v>271</v>
      </c>
      <c r="G3486" s="573">
        <v>2020</v>
      </c>
      <c r="H3486" s="573" t="s">
        <v>6236</v>
      </c>
      <c r="I3486" s="573" t="s">
        <v>675</v>
      </c>
      <c r="J3486" s="573" t="s">
        <v>230</v>
      </c>
      <c r="K3486" s="573">
        <v>5</v>
      </c>
      <c r="L3486" s="573">
        <v>0</v>
      </c>
      <c r="M3486" s="573" t="s">
        <v>157</v>
      </c>
      <c r="N3486" s="573">
        <v>2</v>
      </c>
      <c r="O3486" s="573" t="s">
        <v>157</v>
      </c>
      <c r="P3486" s="571" t="s">
        <v>157</v>
      </c>
      <c r="Q3486" s="573" t="s">
        <v>6237</v>
      </c>
      <c r="R3486" s="573">
        <v>6</v>
      </c>
      <c r="S3486" s="582" t="s">
        <v>6238</v>
      </c>
      <c r="T3486" s="573" t="s">
        <v>677</v>
      </c>
      <c r="U3486" s="573">
        <v>113</v>
      </c>
      <c r="V3486" s="573">
        <v>19</v>
      </c>
      <c r="W3486" s="616">
        <v>4371</v>
      </c>
      <c r="X3486" s="617">
        <v>18</v>
      </c>
      <c r="Y3486" s="617" t="s">
        <v>178</v>
      </c>
      <c r="Z3486" s="617" t="s">
        <v>178</v>
      </c>
      <c r="AA3486" s="618">
        <v>42400</v>
      </c>
      <c r="AB3486" s="618" t="s">
        <v>164</v>
      </c>
      <c r="AC3486" s="618">
        <v>37037.854166666664</v>
      </c>
      <c r="AD3486" s="619">
        <v>0.03</v>
      </c>
      <c r="AE3486" s="617" t="s">
        <v>6234</v>
      </c>
    </row>
    <row r="3487" spans="1:31" s="572" customFormat="1">
      <c r="A3487" s="570" t="s">
        <v>6239</v>
      </c>
      <c r="B3487" s="569" t="s">
        <v>278</v>
      </c>
      <c r="C3487" s="580">
        <v>15</v>
      </c>
      <c r="D3487" s="569" t="s">
        <v>643</v>
      </c>
      <c r="E3487" s="569" t="s">
        <v>6235</v>
      </c>
      <c r="F3487" s="569" t="s">
        <v>271</v>
      </c>
      <c r="G3487" s="569">
        <v>2020</v>
      </c>
      <c r="H3487" s="569" t="s">
        <v>6236</v>
      </c>
      <c r="I3487" s="569" t="s">
        <v>675</v>
      </c>
      <c r="J3487" s="569" t="s">
        <v>230</v>
      </c>
      <c r="K3487" s="569">
        <v>5</v>
      </c>
      <c r="L3487" s="569">
        <v>0</v>
      </c>
      <c r="M3487" s="569" t="s">
        <v>157</v>
      </c>
      <c r="N3487" s="569">
        <v>2</v>
      </c>
      <c r="O3487" s="569" t="s">
        <v>157</v>
      </c>
      <c r="P3487" s="568" t="s">
        <v>157</v>
      </c>
      <c r="Q3487" s="569" t="s">
        <v>6240</v>
      </c>
      <c r="R3487" s="569">
        <v>6</v>
      </c>
      <c r="S3487" s="569" t="s">
        <v>6238</v>
      </c>
      <c r="T3487" s="569" t="s">
        <v>677</v>
      </c>
      <c r="U3487" s="569">
        <v>112.6</v>
      </c>
      <c r="V3487" s="569">
        <v>18.600000000000001</v>
      </c>
      <c r="W3487" s="620">
        <v>4371</v>
      </c>
      <c r="X3487" s="621">
        <v>18</v>
      </c>
      <c r="Y3487" s="621" t="s">
        <v>666</v>
      </c>
      <c r="Z3487" s="621" t="s">
        <v>666</v>
      </c>
      <c r="AA3487" s="622">
        <v>42400</v>
      </c>
      <c r="AB3487" s="622" t="s">
        <v>164</v>
      </c>
      <c r="AC3487" s="622">
        <v>37550</v>
      </c>
      <c r="AD3487" s="623">
        <v>0.01</v>
      </c>
      <c r="AE3487" s="621" t="s">
        <v>6234</v>
      </c>
    </row>
    <row r="3488" spans="1:31" s="572" customFormat="1">
      <c r="A3488" s="570" t="s">
        <v>6241</v>
      </c>
      <c r="B3488" s="573" t="s">
        <v>287</v>
      </c>
      <c r="C3488" s="578">
        <v>26</v>
      </c>
      <c r="D3488" s="573" t="s">
        <v>643</v>
      </c>
      <c r="E3488" s="573" t="s">
        <v>6235</v>
      </c>
      <c r="F3488" s="573" t="s">
        <v>271</v>
      </c>
      <c r="G3488" s="573">
        <v>2019</v>
      </c>
      <c r="H3488" s="573" t="s">
        <v>6236</v>
      </c>
      <c r="I3488" s="573" t="s">
        <v>675</v>
      </c>
      <c r="J3488" s="573" t="s">
        <v>230</v>
      </c>
      <c r="K3488" s="573">
        <v>5</v>
      </c>
      <c r="L3488" s="573">
        <v>0</v>
      </c>
      <c r="M3488" s="573" t="s">
        <v>157</v>
      </c>
      <c r="N3488" s="573">
        <v>2</v>
      </c>
      <c r="O3488" s="573" t="s">
        <v>157</v>
      </c>
      <c r="P3488" s="571" t="s">
        <v>157</v>
      </c>
      <c r="Q3488" s="573" t="s">
        <v>316</v>
      </c>
      <c r="R3488" s="573">
        <v>6</v>
      </c>
      <c r="S3488" s="582" t="s">
        <v>6243</v>
      </c>
      <c r="T3488" s="573" t="s">
        <v>677</v>
      </c>
      <c r="U3488" s="573">
        <v>112.6</v>
      </c>
      <c r="V3488" s="573">
        <v>18.600000000000001</v>
      </c>
      <c r="W3488" s="616">
        <v>4371</v>
      </c>
      <c r="X3488" s="617">
        <v>18</v>
      </c>
      <c r="Y3488" s="617" t="s">
        <v>178</v>
      </c>
      <c r="Z3488" s="617" t="s">
        <v>178</v>
      </c>
      <c r="AA3488" s="618">
        <v>37565</v>
      </c>
      <c r="AB3488" s="618" t="s">
        <v>164</v>
      </c>
      <c r="AC3488" s="618">
        <v>33000</v>
      </c>
      <c r="AD3488" s="619">
        <v>0.05</v>
      </c>
      <c r="AE3488" s="617" t="s">
        <v>6242</v>
      </c>
    </row>
    <row r="3489" spans="1:31" s="572" customFormat="1">
      <c r="A3489" s="570" t="s">
        <v>6244</v>
      </c>
      <c r="B3489" s="569" t="s">
        <v>280</v>
      </c>
      <c r="C3489" s="580">
        <v>27</v>
      </c>
      <c r="D3489" s="569" t="s">
        <v>643</v>
      </c>
      <c r="E3489" s="569" t="s">
        <v>6235</v>
      </c>
      <c r="F3489" s="569" t="s">
        <v>271</v>
      </c>
      <c r="G3489" s="569">
        <v>2020</v>
      </c>
      <c r="H3489" s="569" t="s">
        <v>6236</v>
      </c>
      <c r="I3489" s="569" t="s">
        <v>675</v>
      </c>
      <c r="J3489" s="569" t="s">
        <v>230</v>
      </c>
      <c r="K3489" s="569">
        <v>5</v>
      </c>
      <c r="L3489" s="569">
        <v>0</v>
      </c>
      <c r="M3489" s="569" t="s">
        <v>157</v>
      </c>
      <c r="N3489" s="569">
        <v>2</v>
      </c>
      <c r="O3489" s="569" t="s">
        <v>157</v>
      </c>
      <c r="P3489" s="568" t="s">
        <v>157</v>
      </c>
      <c r="Q3489" s="569" t="s">
        <v>6237</v>
      </c>
      <c r="R3489" s="569">
        <v>6</v>
      </c>
      <c r="S3489" s="569" t="s">
        <v>6238</v>
      </c>
      <c r="T3489" s="569" t="s">
        <v>677</v>
      </c>
      <c r="U3489" s="569">
        <v>113</v>
      </c>
      <c r="V3489" s="569">
        <v>19</v>
      </c>
      <c r="W3489" s="620">
        <v>4371</v>
      </c>
      <c r="X3489" s="621">
        <v>18</v>
      </c>
      <c r="Y3489" s="621" t="s">
        <v>666</v>
      </c>
      <c r="Z3489" s="621" t="s">
        <v>666</v>
      </c>
      <c r="AA3489" s="622">
        <v>42400</v>
      </c>
      <c r="AB3489" s="622" t="s">
        <v>164</v>
      </c>
      <c r="AC3489" s="622">
        <v>37037.854166666664</v>
      </c>
      <c r="AD3489" s="623">
        <v>0.03</v>
      </c>
      <c r="AE3489" s="621" t="s">
        <v>6234</v>
      </c>
    </row>
    <row r="3490" spans="1:31" s="572" customFormat="1">
      <c r="A3490" s="570" t="s">
        <v>6244</v>
      </c>
      <c r="B3490" s="573" t="s">
        <v>280</v>
      </c>
      <c r="C3490" s="578">
        <v>27</v>
      </c>
      <c r="D3490" s="573" t="s">
        <v>643</v>
      </c>
      <c r="E3490" s="573" t="s">
        <v>6235</v>
      </c>
      <c r="F3490" s="573" t="s">
        <v>271</v>
      </c>
      <c r="G3490" s="573">
        <v>2020</v>
      </c>
      <c r="H3490" s="573" t="s">
        <v>6236</v>
      </c>
      <c r="I3490" s="573" t="s">
        <v>675</v>
      </c>
      <c r="J3490" s="573" t="s">
        <v>230</v>
      </c>
      <c r="K3490" s="573">
        <v>5</v>
      </c>
      <c r="L3490" s="573">
        <v>0</v>
      </c>
      <c r="M3490" s="573" t="s">
        <v>157</v>
      </c>
      <c r="N3490" s="573">
        <v>2</v>
      </c>
      <c r="O3490" s="573" t="s">
        <v>157</v>
      </c>
      <c r="P3490" s="571" t="s">
        <v>157</v>
      </c>
      <c r="Q3490" s="573" t="s">
        <v>6237</v>
      </c>
      <c r="R3490" s="573">
        <v>6</v>
      </c>
      <c r="S3490" s="582" t="s">
        <v>6238</v>
      </c>
      <c r="T3490" s="573" t="s">
        <v>677</v>
      </c>
      <c r="U3490" s="573">
        <v>113</v>
      </c>
      <c r="V3490" s="573">
        <v>19</v>
      </c>
      <c r="W3490" s="616">
        <v>4371</v>
      </c>
      <c r="X3490" s="617">
        <v>18</v>
      </c>
      <c r="Y3490" s="617" t="s">
        <v>178</v>
      </c>
      <c r="Z3490" s="617" t="s">
        <v>178</v>
      </c>
      <c r="AA3490" s="618">
        <v>42400</v>
      </c>
      <c r="AB3490" s="618" t="s">
        <v>164</v>
      </c>
      <c r="AC3490" s="618">
        <v>37037.854166666664</v>
      </c>
      <c r="AD3490" s="619">
        <v>0.03</v>
      </c>
      <c r="AE3490" s="617" t="s">
        <v>6234</v>
      </c>
    </row>
    <row r="3491" spans="1:31" s="572" customFormat="1">
      <c r="A3491" s="570" t="s">
        <v>6245</v>
      </c>
      <c r="B3491" s="569" t="s">
        <v>269</v>
      </c>
      <c r="C3491" s="580" t="s">
        <v>270</v>
      </c>
      <c r="D3491" s="569" t="s">
        <v>643</v>
      </c>
      <c r="E3491" s="569" t="s">
        <v>6235</v>
      </c>
      <c r="F3491" s="569" t="s">
        <v>271</v>
      </c>
      <c r="G3491" s="569">
        <v>2020</v>
      </c>
      <c r="H3491" s="569" t="s">
        <v>6236</v>
      </c>
      <c r="I3491" s="569" t="s">
        <v>198</v>
      </c>
      <c r="J3491" s="569" t="s">
        <v>230</v>
      </c>
      <c r="K3491" s="569">
        <v>5</v>
      </c>
      <c r="L3491" s="569">
        <v>0</v>
      </c>
      <c r="M3491" s="569" t="s">
        <v>157</v>
      </c>
      <c r="N3491" s="569">
        <v>2</v>
      </c>
      <c r="O3491" s="569" t="s">
        <v>157</v>
      </c>
      <c r="P3491" s="568" t="s">
        <v>157</v>
      </c>
      <c r="Q3491" s="569" t="s">
        <v>6247</v>
      </c>
      <c r="R3491" s="569">
        <v>6</v>
      </c>
      <c r="S3491" s="569" t="s">
        <v>6248</v>
      </c>
      <c r="T3491" s="569" t="s">
        <v>677</v>
      </c>
      <c r="U3491" s="569">
        <v>113</v>
      </c>
      <c r="V3491" s="569">
        <v>19</v>
      </c>
      <c r="W3491" s="620">
        <v>4371</v>
      </c>
      <c r="X3491" s="621" t="s">
        <v>157</v>
      </c>
      <c r="Y3491" s="621" t="s">
        <v>178</v>
      </c>
      <c r="Z3491" s="621" t="s">
        <v>163</v>
      </c>
      <c r="AA3491" s="622">
        <v>41610</v>
      </c>
      <c r="AB3491" s="622" t="s">
        <v>164</v>
      </c>
      <c r="AC3491" s="622">
        <v>36311.8125</v>
      </c>
      <c r="AD3491" s="623">
        <v>0.03</v>
      </c>
      <c r="AE3491" s="621" t="s">
        <v>6246</v>
      </c>
    </row>
    <row r="3492" spans="1:31" s="572" customFormat="1">
      <c r="A3492" s="570" t="s">
        <v>6249</v>
      </c>
      <c r="B3492" s="573" t="s">
        <v>278</v>
      </c>
      <c r="C3492" s="578">
        <v>15</v>
      </c>
      <c r="D3492" s="573" t="s">
        <v>643</v>
      </c>
      <c r="E3492" s="573" t="s">
        <v>6235</v>
      </c>
      <c r="F3492" s="573" t="s">
        <v>271</v>
      </c>
      <c r="G3492" s="573">
        <v>2020</v>
      </c>
      <c r="H3492" s="573" t="s">
        <v>6236</v>
      </c>
      <c r="I3492" s="573" t="s">
        <v>198</v>
      </c>
      <c r="J3492" s="573" t="s">
        <v>230</v>
      </c>
      <c r="K3492" s="573">
        <v>5</v>
      </c>
      <c r="L3492" s="573">
        <v>0</v>
      </c>
      <c r="M3492" s="573" t="s">
        <v>157</v>
      </c>
      <c r="N3492" s="573">
        <v>2</v>
      </c>
      <c r="O3492" s="573" t="s">
        <v>157</v>
      </c>
      <c r="P3492" s="571" t="s">
        <v>157</v>
      </c>
      <c r="Q3492" s="573" t="s">
        <v>6250</v>
      </c>
      <c r="R3492" s="573">
        <v>6</v>
      </c>
      <c r="S3492" s="582" t="s">
        <v>6251</v>
      </c>
      <c r="T3492" s="573" t="s">
        <v>677</v>
      </c>
      <c r="U3492" s="573">
        <v>112.6</v>
      </c>
      <c r="V3492" s="573">
        <v>18.600000000000001</v>
      </c>
      <c r="W3492" s="616">
        <v>4371</v>
      </c>
      <c r="X3492" s="617">
        <v>18</v>
      </c>
      <c r="Y3492" s="617" t="s">
        <v>178</v>
      </c>
      <c r="Z3492" s="617" t="s">
        <v>178</v>
      </c>
      <c r="AA3492" s="618">
        <v>41610</v>
      </c>
      <c r="AB3492" s="618" t="s">
        <v>164</v>
      </c>
      <c r="AC3492" s="618">
        <v>36850</v>
      </c>
      <c r="AD3492" s="619">
        <v>0.01</v>
      </c>
      <c r="AE3492" s="617" t="s">
        <v>6246</v>
      </c>
    </row>
    <row r="3493" spans="1:31" s="572" customFormat="1">
      <c r="A3493" s="570" t="s">
        <v>6252</v>
      </c>
      <c r="B3493" s="569" t="s">
        <v>280</v>
      </c>
      <c r="C3493" s="580">
        <v>27</v>
      </c>
      <c r="D3493" s="569" t="s">
        <v>643</v>
      </c>
      <c r="E3493" s="569" t="s">
        <v>6235</v>
      </c>
      <c r="F3493" s="569" t="s">
        <v>271</v>
      </c>
      <c r="G3493" s="569">
        <v>2020</v>
      </c>
      <c r="H3493" s="569" t="s">
        <v>6236</v>
      </c>
      <c r="I3493" s="569" t="s">
        <v>198</v>
      </c>
      <c r="J3493" s="569" t="s">
        <v>230</v>
      </c>
      <c r="K3493" s="569">
        <v>5</v>
      </c>
      <c r="L3493" s="569">
        <v>0</v>
      </c>
      <c r="M3493" s="569" t="s">
        <v>157</v>
      </c>
      <c r="N3493" s="569">
        <v>2</v>
      </c>
      <c r="O3493" s="569" t="s">
        <v>157</v>
      </c>
      <c r="P3493" s="568" t="s">
        <v>157</v>
      </c>
      <c r="Q3493" s="569" t="s">
        <v>6247</v>
      </c>
      <c r="R3493" s="569">
        <v>6</v>
      </c>
      <c r="S3493" s="569" t="s">
        <v>6248</v>
      </c>
      <c r="T3493" s="569" t="s">
        <v>677</v>
      </c>
      <c r="U3493" s="569">
        <v>113</v>
      </c>
      <c r="V3493" s="569">
        <v>19</v>
      </c>
      <c r="W3493" s="620">
        <v>4371</v>
      </c>
      <c r="X3493" s="621" t="s">
        <v>157</v>
      </c>
      <c r="Y3493" s="621" t="s">
        <v>178</v>
      </c>
      <c r="Z3493" s="621" t="s">
        <v>163</v>
      </c>
      <c r="AA3493" s="622">
        <v>41610</v>
      </c>
      <c r="AB3493" s="622" t="s">
        <v>164</v>
      </c>
      <c r="AC3493" s="622">
        <v>36311.8125</v>
      </c>
      <c r="AD3493" s="623">
        <v>0.03</v>
      </c>
      <c r="AE3493" s="621" t="s">
        <v>6246</v>
      </c>
    </row>
    <row r="3494" spans="1:31" s="572" customFormat="1">
      <c r="A3494" s="570" t="s">
        <v>6253</v>
      </c>
      <c r="B3494" s="573" t="s">
        <v>269</v>
      </c>
      <c r="C3494" s="578" t="s">
        <v>270</v>
      </c>
      <c r="D3494" s="573" t="s">
        <v>643</v>
      </c>
      <c r="E3494" s="573" t="s">
        <v>6235</v>
      </c>
      <c r="F3494" s="573" t="s">
        <v>271</v>
      </c>
      <c r="G3494" s="573">
        <v>2020</v>
      </c>
      <c r="H3494" s="573" t="s">
        <v>6236</v>
      </c>
      <c r="I3494" s="573" t="s">
        <v>681</v>
      </c>
      <c r="J3494" s="573" t="s">
        <v>230</v>
      </c>
      <c r="K3494" s="573">
        <v>5</v>
      </c>
      <c r="L3494" s="573">
        <v>0</v>
      </c>
      <c r="M3494" s="573" t="s">
        <v>157</v>
      </c>
      <c r="N3494" s="573">
        <v>2</v>
      </c>
      <c r="O3494" s="573" t="s">
        <v>157</v>
      </c>
      <c r="P3494" s="571" t="s">
        <v>157</v>
      </c>
      <c r="Q3494" s="573" t="s">
        <v>1322</v>
      </c>
      <c r="R3494" s="573">
        <v>6</v>
      </c>
      <c r="S3494" s="582" t="s">
        <v>6255</v>
      </c>
      <c r="T3494" s="573" t="s">
        <v>677</v>
      </c>
      <c r="U3494" s="573">
        <v>113</v>
      </c>
      <c r="V3494" s="573">
        <v>19</v>
      </c>
      <c r="W3494" s="616">
        <v>4672</v>
      </c>
      <c r="X3494" s="617">
        <v>16</v>
      </c>
      <c r="Y3494" s="617" t="s">
        <v>666</v>
      </c>
      <c r="Z3494" s="617" t="s">
        <v>666</v>
      </c>
      <c r="AA3494" s="618">
        <v>38080</v>
      </c>
      <c r="AB3494" s="618" t="s">
        <v>164</v>
      </c>
      <c r="AC3494" s="618">
        <v>33067.020833333328</v>
      </c>
      <c r="AD3494" s="619">
        <v>0.03</v>
      </c>
      <c r="AE3494" s="617" t="s">
        <v>6254</v>
      </c>
    </row>
    <row r="3495" spans="1:31" s="572" customFormat="1">
      <c r="A3495" s="570" t="s">
        <v>6256</v>
      </c>
      <c r="B3495" s="569" t="s">
        <v>269</v>
      </c>
      <c r="C3495" s="580" t="s">
        <v>270</v>
      </c>
      <c r="D3495" s="569" t="s">
        <v>643</v>
      </c>
      <c r="E3495" s="569" t="s">
        <v>6235</v>
      </c>
      <c r="F3495" s="569" t="s">
        <v>271</v>
      </c>
      <c r="G3495" s="569">
        <v>2019</v>
      </c>
      <c r="H3495" s="569" t="s">
        <v>6236</v>
      </c>
      <c r="I3495" s="569" t="s">
        <v>681</v>
      </c>
      <c r="J3495" s="569" t="s">
        <v>230</v>
      </c>
      <c r="K3495" s="569">
        <v>5</v>
      </c>
      <c r="L3495" s="569">
        <v>0</v>
      </c>
      <c r="M3495" s="569" t="s">
        <v>157</v>
      </c>
      <c r="N3495" s="569">
        <v>2</v>
      </c>
      <c r="O3495" s="569" t="s">
        <v>157</v>
      </c>
      <c r="P3495" s="568" t="s">
        <v>157</v>
      </c>
      <c r="Q3495" s="569" t="s">
        <v>682</v>
      </c>
      <c r="R3495" s="569">
        <v>6</v>
      </c>
      <c r="S3495" s="569" t="s">
        <v>6258</v>
      </c>
      <c r="T3495" s="569" t="s">
        <v>677</v>
      </c>
      <c r="U3495" s="569">
        <v>112.6</v>
      </c>
      <c r="V3495" s="569">
        <v>18.600000000000001</v>
      </c>
      <c r="W3495" s="620">
        <v>4672</v>
      </c>
      <c r="X3495" s="621">
        <v>18</v>
      </c>
      <c r="Y3495" s="621" t="s">
        <v>178</v>
      </c>
      <c r="Z3495" s="621" t="s">
        <v>178</v>
      </c>
      <c r="AA3495" s="622">
        <v>33265</v>
      </c>
      <c r="AB3495" s="622" t="s">
        <v>164</v>
      </c>
      <c r="AC3495" s="622">
        <v>28295</v>
      </c>
      <c r="AD3495" s="623">
        <v>0.03</v>
      </c>
      <c r="AE3495" s="621" t="s">
        <v>6257</v>
      </c>
    </row>
    <row r="3496" spans="1:31" s="572" customFormat="1">
      <c r="A3496" s="570" t="s">
        <v>6259</v>
      </c>
      <c r="B3496" s="573" t="s">
        <v>278</v>
      </c>
      <c r="C3496" s="578">
        <v>15</v>
      </c>
      <c r="D3496" s="573" t="s">
        <v>643</v>
      </c>
      <c r="E3496" s="573" t="s">
        <v>6235</v>
      </c>
      <c r="F3496" s="573" t="s">
        <v>271</v>
      </c>
      <c r="G3496" s="573">
        <v>2018</v>
      </c>
      <c r="H3496" s="573" t="s">
        <v>6236</v>
      </c>
      <c r="I3496" s="573" t="s">
        <v>681</v>
      </c>
      <c r="J3496" s="573" t="s">
        <v>230</v>
      </c>
      <c r="K3496" s="573">
        <v>5</v>
      </c>
      <c r="L3496" s="573">
        <v>0</v>
      </c>
      <c r="M3496" s="573" t="s">
        <v>157</v>
      </c>
      <c r="N3496" s="573">
        <v>2</v>
      </c>
      <c r="O3496" s="573" t="s">
        <v>157</v>
      </c>
      <c r="P3496" s="571" t="s">
        <v>157</v>
      </c>
      <c r="Q3496" s="573" t="s">
        <v>682</v>
      </c>
      <c r="R3496" s="573">
        <v>6</v>
      </c>
      <c r="S3496" s="582" t="s">
        <v>6258</v>
      </c>
      <c r="T3496" s="573" t="s">
        <v>677</v>
      </c>
      <c r="U3496" s="573">
        <v>112.6</v>
      </c>
      <c r="V3496" s="573">
        <v>18.600000000000001</v>
      </c>
      <c r="W3496" s="616">
        <v>4672</v>
      </c>
      <c r="X3496" s="617">
        <v>18</v>
      </c>
      <c r="Y3496" s="617" t="s">
        <v>178</v>
      </c>
      <c r="Z3496" s="617" t="s">
        <v>178</v>
      </c>
      <c r="AA3496" s="618">
        <v>33265</v>
      </c>
      <c r="AB3496" s="618" t="s">
        <v>164</v>
      </c>
      <c r="AC3496" s="618">
        <v>27995</v>
      </c>
      <c r="AD3496" s="619">
        <v>0.01</v>
      </c>
      <c r="AE3496" s="617" t="s">
        <v>6257</v>
      </c>
    </row>
    <row r="3497" spans="1:31" s="572" customFormat="1">
      <c r="A3497" s="570" t="s">
        <v>6260</v>
      </c>
      <c r="B3497" s="569" t="s">
        <v>278</v>
      </c>
      <c r="C3497" s="580">
        <v>15</v>
      </c>
      <c r="D3497" s="569" t="s">
        <v>643</v>
      </c>
      <c r="E3497" s="569" t="s">
        <v>6235</v>
      </c>
      <c r="F3497" s="569" t="s">
        <v>271</v>
      </c>
      <c r="G3497" s="569">
        <v>2019</v>
      </c>
      <c r="H3497" s="569" t="s">
        <v>6236</v>
      </c>
      <c r="I3497" s="569" t="s">
        <v>681</v>
      </c>
      <c r="J3497" s="569" t="s">
        <v>230</v>
      </c>
      <c r="K3497" s="569">
        <v>5</v>
      </c>
      <c r="L3497" s="569">
        <v>0</v>
      </c>
      <c r="M3497" s="569" t="s">
        <v>157</v>
      </c>
      <c r="N3497" s="569">
        <v>2</v>
      </c>
      <c r="O3497" s="569" t="s">
        <v>157</v>
      </c>
      <c r="P3497" s="568" t="s">
        <v>157</v>
      </c>
      <c r="Q3497" s="569" t="s">
        <v>682</v>
      </c>
      <c r="R3497" s="569">
        <v>6</v>
      </c>
      <c r="S3497" s="569" t="s">
        <v>6258</v>
      </c>
      <c r="T3497" s="569" t="s">
        <v>677</v>
      </c>
      <c r="U3497" s="569">
        <v>112.6</v>
      </c>
      <c r="V3497" s="569">
        <v>18.600000000000001</v>
      </c>
      <c r="W3497" s="620">
        <v>4672</v>
      </c>
      <c r="X3497" s="621">
        <v>18</v>
      </c>
      <c r="Y3497" s="621" t="s">
        <v>666</v>
      </c>
      <c r="Z3497" s="621" t="s">
        <v>666</v>
      </c>
      <c r="AA3497" s="622">
        <v>34270</v>
      </c>
      <c r="AB3497" s="622" t="s">
        <v>164</v>
      </c>
      <c r="AC3497" s="622">
        <v>28995</v>
      </c>
      <c r="AD3497" s="623">
        <v>0.01</v>
      </c>
      <c r="AE3497" s="621" t="s">
        <v>6257</v>
      </c>
    </row>
    <row r="3498" spans="1:31" s="572" customFormat="1">
      <c r="A3498" s="570" t="s">
        <v>6261</v>
      </c>
      <c r="B3498" s="573" t="s">
        <v>278</v>
      </c>
      <c r="C3498" s="578">
        <v>15</v>
      </c>
      <c r="D3498" s="573" t="s">
        <v>643</v>
      </c>
      <c r="E3498" s="573" t="s">
        <v>6235</v>
      </c>
      <c r="F3498" s="573" t="s">
        <v>271</v>
      </c>
      <c r="G3498" s="573">
        <v>2020</v>
      </c>
      <c r="H3498" s="573" t="s">
        <v>6236</v>
      </c>
      <c r="I3498" s="573" t="s">
        <v>681</v>
      </c>
      <c r="J3498" s="573" t="s">
        <v>230</v>
      </c>
      <c r="K3498" s="573">
        <v>5</v>
      </c>
      <c r="L3498" s="573">
        <v>0</v>
      </c>
      <c r="M3498" s="573" t="s">
        <v>157</v>
      </c>
      <c r="N3498" s="573">
        <v>2</v>
      </c>
      <c r="O3498" s="573" t="s">
        <v>157</v>
      </c>
      <c r="P3498" s="571" t="s">
        <v>157</v>
      </c>
      <c r="Q3498" s="573" t="s">
        <v>1322</v>
      </c>
      <c r="R3498" s="573">
        <v>6</v>
      </c>
      <c r="S3498" s="582" t="s">
        <v>6255</v>
      </c>
      <c r="T3498" s="573" t="s">
        <v>677</v>
      </c>
      <c r="U3498" s="573">
        <v>113</v>
      </c>
      <c r="V3498" s="573">
        <v>19</v>
      </c>
      <c r="W3498" s="616" t="s">
        <v>157</v>
      </c>
      <c r="X3498" s="617" t="s">
        <v>157</v>
      </c>
      <c r="Y3498" s="617" t="s">
        <v>178</v>
      </c>
      <c r="Z3498" s="617" t="s">
        <v>178</v>
      </c>
      <c r="AA3498" s="618">
        <v>38080</v>
      </c>
      <c r="AB3498" s="618" t="s">
        <v>164</v>
      </c>
      <c r="AC3498" s="618">
        <v>33500</v>
      </c>
      <c r="AD3498" s="619">
        <v>0.01</v>
      </c>
      <c r="AE3498" s="617" t="s">
        <v>6254</v>
      </c>
    </row>
    <row r="3499" spans="1:31" s="572" customFormat="1">
      <c r="A3499" s="570" t="s">
        <v>6262</v>
      </c>
      <c r="B3499" s="569" t="s">
        <v>287</v>
      </c>
      <c r="C3499" s="580">
        <v>26</v>
      </c>
      <c r="D3499" s="569" t="s">
        <v>643</v>
      </c>
      <c r="E3499" s="569" t="s">
        <v>6235</v>
      </c>
      <c r="F3499" s="569" t="s">
        <v>271</v>
      </c>
      <c r="G3499" s="569">
        <v>2019</v>
      </c>
      <c r="H3499" s="569" t="s">
        <v>6236</v>
      </c>
      <c r="I3499" s="569" t="s">
        <v>681</v>
      </c>
      <c r="J3499" s="569" t="s">
        <v>230</v>
      </c>
      <c r="K3499" s="569">
        <v>5</v>
      </c>
      <c r="L3499" s="569">
        <v>0</v>
      </c>
      <c r="M3499" s="569" t="s">
        <v>157</v>
      </c>
      <c r="N3499" s="569">
        <v>2</v>
      </c>
      <c r="O3499" s="569" t="s">
        <v>157</v>
      </c>
      <c r="P3499" s="568" t="s">
        <v>157</v>
      </c>
      <c r="Q3499" s="569" t="s">
        <v>682</v>
      </c>
      <c r="R3499" s="569">
        <v>6</v>
      </c>
      <c r="S3499" s="569" t="s">
        <v>6258</v>
      </c>
      <c r="T3499" s="569" t="s">
        <v>677</v>
      </c>
      <c r="U3499" s="569">
        <v>112.6</v>
      </c>
      <c r="V3499" s="569">
        <v>18.600000000000001</v>
      </c>
      <c r="W3499" s="620">
        <v>4672</v>
      </c>
      <c r="X3499" s="621">
        <v>18</v>
      </c>
      <c r="Y3499" s="621" t="s">
        <v>178</v>
      </c>
      <c r="Z3499" s="621" t="s">
        <v>178</v>
      </c>
      <c r="AA3499" s="622">
        <v>34270</v>
      </c>
      <c r="AB3499" s="622" t="s">
        <v>164</v>
      </c>
      <c r="AC3499" s="622">
        <v>29000</v>
      </c>
      <c r="AD3499" s="623">
        <v>0.05</v>
      </c>
      <c r="AE3499" s="621" t="s">
        <v>6257</v>
      </c>
    </row>
    <row r="3500" spans="1:31" s="572" customFormat="1">
      <c r="A3500" s="570" t="s">
        <v>6263</v>
      </c>
      <c r="B3500" s="573" t="s">
        <v>287</v>
      </c>
      <c r="C3500" s="578">
        <v>26</v>
      </c>
      <c r="D3500" s="573" t="s">
        <v>643</v>
      </c>
      <c r="E3500" s="573" t="s">
        <v>6235</v>
      </c>
      <c r="F3500" s="573" t="s">
        <v>271</v>
      </c>
      <c r="G3500" s="573">
        <v>2020</v>
      </c>
      <c r="H3500" s="573" t="s">
        <v>6236</v>
      </c>
      <c r="I3500" s="573" t="s">
        <v>681</v>
      </c>
      <c r="J3500" s="573" t="s">
        <v>230</v>
      </c>
      <c r="K3500" s="573">
        <v>5</v>
      </c>
      <c r="L3500" s="573">
        <v>0</v>
      </c>
      <c r="M3500" s="573" t="s">
        <v>157</v>
      </c>
      <c r="N3500" s="573">
        <v>2</v>
      </c>
      <c r="O3500" s="573" t="s">
        <v>157</v>
      </c>
      <c r="P3500" s="571" t="s">
        <v>157</v>
      </c>
      <c r="Q3500" s="573" t="s">
        <v>6264</v>
      </c>
      <c r="R3500" s="573">
        <v>6</v>
      </c>
      <c r="S3500" s="582" t="s">
        <v>6265</v>
      </c>
      <c r="T3500" s="573" t="s">
        <v>677</v>
      </c>
      <c r="U3500" s="573">
        <v>113</v>
      </c>
      <c r="V3500" s="573">
        <v>19</v>
      </c>
      <c r="W3500" s="616" t="s">
        <v>157</v>
      </c>
      <c r="X3500" s="617" t="s">
        <v>157</v>
      </c>
      <c r="Y3500" s="617" t="s">
        <v>178</v>
      </c>
      <c r="Z3500" s="617" t="s">
        <v>178</v>
      </c>
      <c r="AA3500" s="618">
        <v>42400</v>
      </c>
      <c r="AB3500" s="618" t="s">
        <v>164</v>
      </c>
      <c r="AC3500" s="618">
        <v>37726</v>
      </c>
      <c r="AD3500" s="619">
        <v>0.05</v>
      </c>
      <c r="AE3500" s="617" t="s">
        <v>6234</v>
      </c>
    </row>
    <row r="3501" spans="1:31" s="572" customFormat="1">
      <c r="A3501" s="570" t="s">
        <v>6266</v>
      </c>
      <c r="B3501" s="569" t="s">
        <v>287</v>
      </c>
      <c r="C3501" s="580">
        <v>26</v>
      </c>
      <c r="D3501" s="569" t="s">
        <v>643</v>
      </c>
      <c r="E3501" s="569" t="s">
        <v>6235</v>
      </c>
      <c r="F3501" s="569" t="s">
        <v>271</v>
      </c>
      <c r="G3501" s="569">
        <v>2020</v>
      </c>
      <c r="H3501" s="569" t="s">
        <v>6236</v>
      </c>
      <c r="I3501" s="569" t="s">
        <v>681</v>
      </c>
      <c r="J3501" s="569" t="s">
        <v>230</v>
      </c>
      <c r="K3501" s="569">
        <v>5</v>
      </c>
      <c r="L3501" s="569">
        <v>0</v>
      </c>
      <c r="M3501" s="569" t="s">
        <v>157</v>
      </c>
      <c r="N3501" s="569">
        <v>2</v>
      </c>
      <c r="O3501" s="569" t="s">
        <v>157</v>
      </c>
      <c r="P3501" s="568" t="s">
        <v>157</v>
      </c>
      <c r="Q3501" s="569" t="s">
        <v>6267</v>
      </c>
      <c r="R3501" s="569">
        <v>6</v>
      </c>
      <c r="S3501" s="569" t="s">
        <v>6265</v>
      </c>
      <c r="T3501" s="569" t="s">
        <v>677</v>
      </c>
      <c r="U3501" s="569">
        <v>113</v>
      </c>
      <c r="V3501" s="569">
        <v>19</v>
      </c>
      <c r="W3501" s="620" t="s">
        <v>157</v>
      </c>
      <c r="X3501" s="621" t="s">
        <v>157</v>
      </c>
      <c r="Y3501" s="621" t="s">
        <v>178</v>
      </c>
      <c r="Z3501" s="621" t="s">
        <v>178</v>
      </c>
      <c r="AA3501" s="622">
        <v>41610</v>
      </c>
      <c r="AB3501" s="622" t="s">
        <v>164</v>
      </c>
      <c r="AC3501" s="622">
        <v>36988</v>
      </c>
      <c r="AD3501" s="623">
        <v>0.05</v>
      </c>
      <c r="AE3501" s="621" t="s">
        <v>6254</v>
      </c>
    </row>
    <row r="3502" spans="1:31" s="572" customFormat="1">
      <c r="A3502" s="570" t="s">
        <v>6266</v>
      </c>
      <c r="B3502" s="573" t="s">
        <v>287</v>
      </c>
      <c r="C3502" s="578">
        <v>26</v>
      </c>
      <c r="D3502" s="573" t="s">
        <v>643</v>
      </c>
      <c r="E3502" s="573" t="s">
        <v>6235</v>
      </c>
      <c r="F3502" s="573" t="s">
        <v>271</v>
      </c>
      <c r="G3502" s="573">
        <v>2020</v>
      </c>
      <c r="H3502" s="573" t="s">
        <v>6236</v>
      </c>
      <c r="I3502" s="573" t="s">
        <v>681</v>
      </c>
      <c r="J3502" s="573" t="s">
        <v>230</v>
      </c>
      <c r="K3502" s="573">
        <v>5</v>
      </c>
      <c r="L3502" s="573">
        <v>0</v>
      </c>
      <c r="M3502" s="573" t="s">
        <v>157</v>
      </c>
      <c r="N3502" s="573">
        <v>2</v>
      </c>
      <c r="O3502" s="573" t="s">
        <v>157</v>
      </c>
      <c r="P3502" s="571" t="s">
        <v>157</v>
      </c>
      <c r="Q3502" s="573" t="s">
        <v>6268</v>
      </c>
      <c r="R3502" s="573">
        <v>6</v>
      </c>
      <c r="S3502" s="582" t="s">
        <v>6265</v>
      </c>
      <c r="T3502" s="573" t="s">
        <v>677</v>
      </c>
      <c r="U3502" s="573">
        <v>113</v>
      </c>
      <c r="V3502" s="573">
        <v>19</v>
      </c>
      <c r="W3502" s="616" t="s">
        <v>157</v>
      </c>
      <c r="X3502" s="617" t="s">
        <v>157</v>
      </c>
      <c r="Y3502" s="617" t="s">
        <v>178</v>
      </c>
      <c r="Z3502" s="617" t="s">
        <v>178</v>
      </c>
      <c r="AA3502" s="618">
        <v>38090</v>
      </c>
      <c r="AB3502" s="618" t="s">
        <v>164</v>
      </c>
      <c r="AC3502" s="618">
        <v>33690</v>
      </c>
      <c r="AD3502" s="619">
        <v>0.05</v>
      </c>
      <c r="AE3502" s="617" t="s">
        <v>6254</v>
      </c>
    </row>
    <row r="3503" spans="1:31" s="572" customFormat="1">
      <c r="A3503" s="570" t="s">
        <v>6269</v>
      </c>
      <c r="B3503" s="569" t="s">
        <v>280</v>
      </c>
      <c r="C3503" s="580">
        <v>27</v>
      </c>
      <c r="D3503" s="569" t="s">
        <v>643</v>
      </c>
      <c r="E3503" s="569" t="s">
        <v>6235</v>
      </c>
      <c r="F3503" s="569" t="s">
        <v>271</v>
      </c>
      <c r="G3503" s="569">
        <v>2020</v>
      </c>
      <c r="H3503" s="569" t="s">
        <v>6236</v>
      </c>
      <c r="I3503" s="569" t="s">
        <v>681</v>
      </c>
      <c r="J3503" s="569" t="s">
        <v>230</v>
      </c>
      <c r="K3503" s="569">
        <v>5</v>
      </c>
      <c r="L3503" s="569">
        <v>0</v>
      </c>
      <c r="M3503" s="569" t="s">
        <v>157</v>
      </c>
      <c r="N3503" s="569">
        <v>2</v>
      </c>
      <c r="O3503" s="569" t="s">
        <v>157</v>
      </c>
      <c r="P3503" s="568" t="s">
        <v>157</v>
      </c>
      <c r="Q3503" s="569" t="s">
        <v>1322</v>
      </c>
      <c r="R3503" s="569">
        <v>6</v>
      </c>
      <c r="S3503" s="569" t="s">
        <v>6255</v>
      </c>
      <c r="T3503" s="569" t="s">
        <v>677</v>
      </c>
      <c r="U3503" s="569">
        <v>113</v>
      </c>
      <c r="V3503" s="569">
        <v>19</v>
      </c>
      <c r="W3503" s="620">
        <v>4672</v>
      </c>
      <c r="X3503" s="621">
        <v>16</v>
      </c>
      <c r="Y3503" s="621" t="s">
        <v>666</v>
      </c>
      <c r="Z3503" s="621" t="s">
        <v>666</v>
      </c>
      <c r="AA3503" s="622">
        <v>38080</v>
      </c>
      <c r="AB3503" s="622" t="s">
        <v>164</v>
      </c>
      <c r="AC3503" s="622">
        <v>33067.020833333328</v>
      </c>
      <c r="AD3503" s="623">
        <v>0.03</v>
      </c>
      <c r="AE3503" s="621" t="s">
        <v>6254</v>
      </c>
    </row>
    <row r="3504" spans="1:31" s="572" customFormat="1">
      <c r="A3504" s="570" t="s">
        <v>6270</v>
      </c>
      <c r="B3504" s="573" t="s">
        <v>280</v>
      </c>
      <c r="C3504" s="578">
        <v>27</v>
      </c>
      <c r="D3504" s="573" t="s">
        <v>643</v>
      </c>
      <c r="E3504" s="573" t="s">
        <v>6235</v>
      </c>
      <c r="F3504" s="573" t="s">
        <v>271</v>
      </c>
      <c r="G3504" s="573">
        <v>2019</v>
      </c>
      <c r="H3504" s="573" t="s">
        <v>6236</v>
      </c>
      <c r="I3504" s="573" t="s">
        <v>681</v>
      </c>
      <c r="J3504" s="573" t="s">
        <v>230</v>
      </c>
      <c r="K3504" s="573">
        <v>5</v>
      </c>
      <c r="L3504" s="573">
        <v>0</v>
      </c>
      <c r="M3504" s="573" t="s">
        <v>157</v>
      </c>
      <c r="N3504" s="573">
        <v>2</v>
      </c>
      <c r="O3504" s="573" t="s">
        <v>157</v>
      </c>
      <c r="P3504" s="571" t="s">
        <v>157</v>
      </c>
      <c r="Q3504" s="573" t="s">
        <v>682</v>
      </c>
      <c r="R3504" s="573">
        <v>6</v>
      </c>
      <c r="S3504" s="582" t="s">
        <v>6258</v>
      </c>
      <c r="T3504" s="573" t="s">
        <v>677</v>
      </c>
      <c r="U3504" s="573">
        <v>112.6</v>
      </c>
      <c r="V3504" s="573">
        <v>18.600000000000001</v>
      </c>
      <c r="W3504" s="616">
        <v>4672</v>
      </c>
      <c r="X3504" s="617">
        <v>18</v>
      </c>
      <c r="Y3504" s="617" t="s">
        <v>666</v>
      </c>
      <c r="Z3504" s="617" t="s">
        <v>666</v>
      </c>
      <c r="AA3504" s="618">
        <v>33265</v>
      </c>
      <c r="AB3504" s="618" t="s">
        <v>164</v>
      </c>
      <c r="AC3504" s="618">
        <v>28295</v>
      </c>
      <c r="AD3504" s="619">
        <v>0.03</v>
      </c>
      <c r="AE3504" s="617" t="s">
        <v>6257</v>
      </c>
    </row>
    <row r="3505" spans="1:31" s="572" customFormat="1">
      <c r="A3505" s="570" t="s">
        <v>6271</v>
      </c>
      <c r="B3505" s="569" t="s">
        <v>1889</v>
      </c>
      <c r="C3505" s="580">
        <v>25</v>
      </c>
      <c r="D3505" s="569" t="s">
        <v>6273</v>
      </c>
      <c r="E3505" s="569" t="s">
        <v>1897</v>
      </c>
      <c r="F3505" s="569" t="s">
        <v>3265</v>
      </c>
      <c r="G3505" s="569">
        <v>2019</v>
      </c>
      <c r="H3505" s="569" t="s">
        <v>6274</v>
      </c>
      <c r="I3505" s="569" t="s">
        <v>164</v>
      </c>
      <c r="J3505" s="569" t="s">
        <v>156</v>
      </c>
      <c r="K3505" s="569">
        <v>11</v>
      </c>
      <c r="L3505" s="569">
        <v>2</v>
      </c>
      <c r="M3505" s="569" t="s">
        <v>6275</v>
      </c>
      <c r="N3505" s="569" t="s">
        <v>6276</v>
      </c>
      <c r="O3505" s="569">
        <v>110</v>
      </c>
      <c r="P3505" s="568" t="s">
        <v>164</v>
      </c>
      <c r="Q3505" s="569" t="s">
        <v>682</v>
      </c>
      <c r="R3505" s="569">
        <v>6</v>
      </c>
      <c r="S3505" s="569" t="s">
        <v>6277</v>
      </c>
      <c r="T3505" s="569" t="s">
        <v>252</v>
      </c>
      <c r="U3505" s="569">
        <v>179.8</v>
      </c>
      <c r="V3505" s="569">
        <v>24</v>
      </c>
      <c r="W3505" s="620">
        <v>9350</v>
      </c>
      <c r="X3505" s="621" t="s">
        <v>157</v>
      </c>
      <c r="Y3505" s="621" t="s">
        <v>450</v>
      </c>
      <c r="Z3505" s="621" t="s">
        <v>178</v>
      </c>
      <c r="AA3505" s="622">
        <v>33005</v>
      </c>
      <c r="AB3505" s="622">
        <v>108073</v>
      </c>
      <c r="AC3505" s="622">
        <v>91576</v>
      </c>
      <c r="AD3505" s="623">
        <v>0.05</v>
      </c>
      <c r="AE3505" s="621" t="s">
        <v>6272</v>
      </c>
    </row>
    <row r="3506" spans="1:31" s="572" customFormat="1">
      <c r="A3506" s="570" t="s">
        <v>6278</v>
      </c>
      <c r="B3506" s="573" t="s">
        <v>1889</v>
      </c>
      <c r="C3506" s="578">
        <v>25</v>
      </c>
      <c r="D3506" s="573" t="s">
        <v>6273</v>
      </c>
      <c r="E3506" s="573" t="s">
        <v>1897</v>
      </c>
      <c r="F3506" s="573" t="s">
        <v>3265</v>
      </c>
      <c r="G3506" s="573">
        <v>2019</v>
      </c>
      <c r="H3506" s="573" t="s">
        <v>6274</v>
      </c>
      <c r="I3506" s="573" t="s">
        <v>164</v>
      </c>
      <c r="J3506" s="573" t="s">
        <v>156</v>
      </c>
      <c r="K3506" s="573">
        <v>13</v>
      </c>
      <c r="L3506" s="573">
        <v>1</v>
      </c>
      <c r="M3506" s="573" t="s">
        <v>6275</v>
      </c>
      <c r="N3506" s="573" t="s">
        <v>6280</v>
      </c>
      <c r="O3506" s="573">
        <v>110</v>
      </c>
      <c r="P3506" s="571" t="s">
        <v>164</v>
      </c>
      <c r="Q3506" s="573" t="s">
        <v>682</v>
      </c>
      <c r="R3506" s="573">
        <v>6</v>
      </c>
      <c r="S3506" s="582" t="s">
        <v>6277</v>
      </c>
      <c r="T3506" s="573" t="s">
        <v>252</v>
      </c>
      <c r="U3506" s="573">
        <v>179.8</v>
      </c>
      <c r="V3506" s="573">
        <v>24</v>
      </c>
      <c r="W3506" s="616">
        <v>9350</v>
      </c>
      <c r="X3506" s="617" t="s">
        <v>157</v>
      </c>
      <c r="Y3506" s="617" t="s">
        <v>450</v>
      </c>
      <c r="Z3506" s="617" t="s">
        <v>178</v>
      </c>
      <c r="AA3506" s="618">
        <v>33005</v>
      </c>
      <c r="AB3506" s="618">
        <v>106285</v>
      </c>
      <c r="AC3506" s="618">
        <v>90569</v>
      </c>
      <c r="AD3506" s="619">
        <v>0.05</v>
      </c>
      <c r="AE3506" s="617" t="s">
        <v>6279</v>
      </c>
    </row>
    <row r="3507" spans="1:31" s="572" customFormat="1">
      <c r="A3507" s="570" t="s">
        <v>6281</v>
      </c>
      <c r="B3507" s="569" t="s">
        <v>1889</v>
      </c>
      <c r="C3507" s="580">
        <v>25</v>
      </c>
      <c r="D3507" s="569" t="s">
        <v>6273</v>
      </c>
      <c r="E3507" s="569" t="s">
        <v>1897</v>
      </c>
      <c r="F3507" s="569" t="s">
        <v>3265</v>
      </c>
      <c r="G3507" s="569">
        <v>2019</v>
      </c>
      <c r="H3507" s="569" t="s">
        <v>6274</v>
      </c>
      <c r="I3507" s="569" t="s">
        <v>164</v>
      </c>
      <c r="J3507" s="569" t="s">
        <v>156</v>
      </c>
      <c r="K3507" s="569">
        <v>9</v>
      </c>
      <c r="L3507" s="569">
        <v>3</v>
      </c>
      <c r="M3507" s="569" t="s">
        <v>6275</v>
      </c>
      <c r="N3507" s="569" t="s">
        <v>6283</v>
      </c>
      <c r="O3507" s="569">
        <v>110</v>
      </c>
      <c r="P3507" s="568" t="s">
        <v>164</v>
      </c>
      <c r="Q3507" s="569" t="s">
        <v>682</v>
      </c>
      <c r="R3507" s="569">
        <v>6</v>
      </c>
      <c r="S3507" s="569" t="s">
        <v>6277</v>
      </c>
      <c r="T3507" s="569" t="s">
        <v>252</v>
      </c>
      <c r="U3507" s="569">
        <v>179.8</v>
      </c>
      <c r="V3507" s="569">
        <v>24</v>
      </c>
      <c r="W3507" s="620">
        <v>9350</v>
      </c>
      <c r="X3507" s="621" t="s">
        <v>157</v>
      </c>
      <c r="Y3507" s="621" t="s">
        <v>450</v>
      </c>
      <c r="Z3507" s="621" t="s">
        <v>178</v>
      </c>
      <c r="AA3507" s="622">
        <v>33005</v>
      </c>
      <c r="AB3507" s="622">
        <v>109614</v>
      </c>
      <c r="AC3507" s="622">
        <v>92614</v>
      </c>
      <c r="AD3507" s="623">
        <v>0.05</v>
      </c>
      <c r="AE3507" s="621" t="s">
        <v>6282</v>
      </c>
    </row>
  </sheetData>
  <sheetProtection sort="0" autoFilter="0"/>
  <autoFilter ref="A1:AE3507" xr:uid="{00000000-0009-0000-0000-000011000000}"/>
  <conditionalFormatting sqref="A2:A3507">
    <cfRule type="containsBlanks" dxfId="3" priority="2">
      <formula>LEN(TRIM(A2))=0</formula>
    </cfRule>
  </conditionalFormatting>
  <conditionalFormatting sqref="B2:X3507">
    <cfRule type="containsBlanks" dxfId="2" priority="4">
      <formula>LEN(TRIM(B2))=0</formula>
    </cfRule>
  </conditionalFormatting>
  <conditionalFormatting sqref="Y2:AD3507">
    <cfRule type="containsBlanks" dxfId="1" priority="3">
      <formula>LEN(TRIM(Y2))=0</formula>
    </cfRule>
  </conditionalFormatting>
  <conditionalFormatting sqref="AE2:AE3507">
    <cfRule type="containsBlanks" dxfId="0" priority="1">
      <formula>LEN(TRIM(AE2))=0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CCCC"/>
    <pageSetUpPr fitToPage="1"/>
  </sheetPr>
  <dimension ref="A1:Z153"/>
  <sheetViews>
    <sheetView tabSelected="1" zoomScale="90" zoomScaleNormal="90" workbookViewId="0">
      <pane ySplit="1" topLeftCell="A2" activePane="bottomLeft" state="frozen"/>
      <selection pane="bottomLeft"/>
      <selection activeCell="B1" sqref="B1:M1"/>
    </sheetView>
  </sheetViews>
  <sheetFormatPr defaultColWidth="0" defaultRowHeight="15" customHeight="1" zeroHeight="1"/>
  <cols>
    <col min="1" max="1" width="2.7109375" style="24" customWidth="1"/>
    <col min="2" max="2" width="1.42578125" style="24" customWidth="1"/>
    <col min="3" max="3" width="33.140625" style="24" customWidth="1"/>
    <col min="4" max="4" width="100.42578125" style="24" customWidth="1"/>
    <col min="5" max="5" width="1.42578125" style="24" customWidth="1"/>
    <col min="6" max="6" width="2.7109375" style="24" customWidth="1"/>
    <col min="7" max="26" width="0" style="147" hidden="1" customWidth="1"/>
    <col min="27" max="16384" width="9.140625" style="24" hidden="1"/>
  </cols>
  <sheetData>
    <row r="1" spans="2:26" ht="24.95" thickBot="1">
      <c r="B1" s="770" t="s">
        <v>10</v>
      </c>
      <c r="C1" s="770"/>
      <c r="D1" s="770"/>
      <c r="E1" s="770"/>
      <c r="F1" s="726"/>
    </row>
    <row r="2" spans="2:26" ht="15.95" thickBot="1">
      <c r="B2" s="225"/>
      <c r="C2" s="774" t="s">
        <v>11</v>
      </c>
      <c r="D2" s="774"/>
      <c r="E2" s="226"/>
      <c r="F2" s="726"/>
    </row>
    <row r="3" spans="2:26" ht="30" customHeight="1">
      <c r="B3" s="227"/>
      <c r="C3" s="771" t="s">
        <v>12</v>
      </c>
      <c r="D3" s="771"/>
      <c r="E3" s="228"/>
      <c r="F3" s="726"/>
    </row>
    <row r="4" spans="2:26" ht="43.5" customHeight="1">
      <c r="B4" s="227"/>
      <c r="C4" s="772" t="s">
        <v>13</v>
      </c>
      <c r="D4" s="772"/>
      <c r="E4" s="228"/>
      <c r="F4" s="726"/>
    </row>
    <row r="5" spans="2:26" s="243" customFormat="1">
      <c r="B5" s="244"/>
      <c r="C5" s="775" t="s">
        <v>14</v>
      </c>
      <c r="D5" s="776"/>
      <c r="E5" s="245"/>
      <c r="G5" s="246"/>
      <c r="H5" s="246"/>
      <c r="I5" s="246"/>
      <c r="J5" s="246"/>
      <c r="K5" s="246"/>
      <c r="L5" s="246"/>
      <c r="M5" s="246"/>
      <c r="N5" s="246"/>
      <c r="O5" s="246"/>
      <c r="P5" s="246"/>
      <c r="Q5" s="246"/>
      <c r="R5" s="246"/>
      <c r="S5" s="246"/>
      <c r="T5" s="246"/>
      <c r="U5" s="246"/>
      <c r="V5" s="246"/>
      <c r="W5" s="246"/>
      <c r="X5" s="246"/>
      <c r="Y5" s="246"/>
      <c r="Z5" s="246"/>
    </row>
    <row r="6" spans="2:26" ht="30" customHeight="1">
      <c r="B6" s="227"/>
      <c r="C6" s="772" t="s">
        <v>15</v>
      </c>
      <c r="D6" s="772"/>
      <c r="E6" s="228"/>
      <c r="F6" s="726"/>
    </row>
    <row r="7" spans="2:26">
      <c r="B7" s="227"/>
      <c r="C7" s="773" t="s">
        <v>16</v>
      </c>
      <c r="D7" s="773"/>
      <c r="E7" s="228"/>
      <c r="F7" s="726"/>
    </row>
    <row r="8" spans="2:26" ht="50.25" customHeight="1">
      <c r="B8" s="227"/>
      <c r="C8" s="777" t="s">
        <v>17</v>
      </c>
      <c r="D8" s="777"/>
      <c r="E8" s="228"/>
      <c r="F8" s="726"/>
    </row>
    <row r="9" spans="2:26">
      <c r="B9" s="227"/>
      <c r="C9" s="773" t="s">
        <v>18</v>
      </c>
      <c r="D9" s="773"/>
      <c r="E9" s="228"/>
      <c r="F9" s="726"/>
    </row>
    <row r="10" spans="2:26" ht="15" customHeight="1">
      <c r="B10" s="227"/>
      <c r="C10" s="777" t="s">
        <v>19</v>
      </c>
      <c r="D10" s="777"/>
      <c r="E10" s="228"/>
      <c r="F10" s="726"/>
    </row>
    <row r="11" spans="2:26" ht="18" customHeight="1">
      <c r="B11" s="227"/>
      <c r="C11" s="764" t="s">
        <v>20</v>
      </c>
      <c r="D11" s="764"/>
      <c r="E11" s="228"/>
      <c r="F11" s="726"/>
    </row>
    <row r="12" spans="2:26">
      <c r="B12" s="227"/>
      <c r="C12" s="672" t="s">
        <v>21</v>
      </c>
      <c r="D12" s="229" t="s">
        <v>22</v>
      </c>
      <c r="E12" s="228"/>
      <c r="F12" s="726"/>
    </row>
    <row r="13" spans="2:26" ht="27" customHeight="1">
      <c r="B13" s="227"/>
      <c r="C13" s="668" t="s">
        <v>23</v>
      </c>
      <c r="D13" s="626" t="s">
        <v>24</v>
      </c>
      <c r="E13" s="228"/>
      <c r="F13" s="726"/>
    </row>
    <row r="14" spans="2:26" ht="15.95">
      <c r="B14" s="227"/>
      <c r="C14" s="669" t="s">
        <v>25</v>
      </c>
      <c r="D14" s="626" t="s">
        <v>26</v>
      </c>
      <c r="E14" s="228"/>
      <c r="F14" s="726"/>
    </row>
    <row r="15" spans="2:26">
      <c r="B15" s="227"/>
      <c r="C15" s="668" t="s">
        <v>27</v>
      </c>
      <c r="D15" s="230" t="s">
        <v>28</v>
      </c>
      <c r="E15" s="228"/>
      <c r="F15" s="726"/>
    </row>
    <row r="16" spans="2:26">
      <c r="B16" s="227"/>
      <c r="C16" s="668" t="s">
        <v>29</v>
      </c>
      <c r="D16" s="230" t="s">
        <v>30</v>
      </c>
      <c r="E16" s="228"/>
      <c r="F16" s="726"/>
    </row>
    <row r="17" spans="2:26" ht="27" customHeight="1">
      <c r="B17" s="227"/>
      <c r="C17" s="670" t="s">
        <v>31</v>
      </c>
      <c r="D17" s="626" t="s">
        <v>32</v>
      </c>
      <c r="E17" s="228"/>
      <c r="F17" s="726"/>
    </row>
    <row r="18" spans="2:26" ht="15" customHeight="1">
      <c r="B18" s="227"/>
      <c r="C18" s="670" t="s">
        <v>33</v>
      </c>
      <c r="D18" s="230" t="s">
        <v>34</v>
      </c>
      <c r="E18" s="228"/>
      <c r="F18" s="726"/>
    </row>
    <row r="19" spans="2:26" ht="41.25" customHeight="1">
      <c r="B19" s="227"/>
      <c r="C19" s="671" t="s">
        <v>35</v>
      </c>
      <c r="D19" s="230" t="s">
        <v>36</v>
      </c>
      <c r="E19" s="228"/>
      <c r="F19" s="726"/>
    </row>
    <row r="20" spans="2:26" ht="27" customHeight="1">
      <c r="B20" s="227"/>
      <c r="C20" s="231" t="s">
        <v>37</v>
      </c>
      <c r="D20" s="230" t="s">
        <v>38</v>
      </c>
      <c r="E20" s="228"/>
      <c r="F20" s="726"/>
    </row>
    <row r="21" spans="2:26" s="648" customFormat="1" ht="15.95">
      <c r="B21" s="227"/>
      <c r="C21" s="673" t="s">
        <v>39</v>
      </c>
      <c r="D21" s="229" t="s">
        <v>40</v>
      </c>
      <c r="E21" s="228"/>
      <c r="F21" s="726"/>
      <c r="G21" s="147"/>
      <c r="H21" s="147"/>
      <c r="I21" s="147"/>
      <c r="J21" s="147"/>
      <c r="K21" s="147"/>
      <c r="L21" s="147"/>
      <c r="M21" s="147"/>
      <c r="N21" s="147"/>
      <c r="O21" s="147"/>
      <c r="P21" s="147"/>
      <c r="Q21" s="147"/>
      <c r="R21" s="147"/>
      <c r="S21" s="147"/>
      <c r="T21" s="147"/>
      <c r="U21" s="147"/>
      <c r="V21" s="147"/>
      <c r="W21" s="147"/>
      <c r="X21" s="147"/>
      <c r="Y21" s="147"/>
      <c r="Z21" s="147"/>
    </row>
    <row r="22" spans="2:26" s="51" customFormat="1" ht="17.25" customHeight="1">
      <c r="B22" s="232"/>
      <c r="C22" s="778" t="s">
        <v>41</v>
      </c>
      <c r="D22" s="779"/>
      <c r="E22" s="233"/>
      <c r="G22" s="234"/>
      <c r="H22" s="234"/>
      <c r="I22" s="234"/>
      <c r="J22" s="234"/>
      <c r="K22" s="234"/>
      <c r="L22" s="234"/>
      <c r="M22" s="234"/>
      <c r="N22" s="234"/>
      <c r="O22" s="234"/>
      <c r="P22" s="234"/>
      <c r="Q22" s="234"/>
      <c r="R22" s="234"/>
      <c r="S22" s="234"/>
      <c r="T22" s="234"/>
      <c r="U22" s="234"/>
      <c r="V22" s="234"/>
      <c r="W22" s="234"/>
      <c r="X22" s="234"/>
      <c r="Y22" s="234"/>
      <c r="Z22" s="234"/>
    </row>
    <row r="23" spans="2:26">
      <c r="B23" s="227"/>
      <c r="C23" s="781" t="s">
        <v>42</v>
      </c>
      <c r="D23" s="782"/>
      <c r="E23" s="228"/>
      <c r="F23" s="726"/>
    </row>
    <row r="24" spans="2:26">
      <c r="B24" s="227"/>
      <c r="C24" s="783" t="s">
        <v>43</v>
      </c>
      <c r="D24" s="784"/>
      <c r="E24" s="228"/>
      <c r="F24" s="726"/>
    </row>
    <row r="25" spans="2:26" ht="6" customHeight="1" thickBot="1">
      <c r="B25" s="227"/>
      <c r="C25" s="89"/>
      <c r="D25" s="89"/>
      <c r="E25" s="228"/>
      <c r="F25" s="726"/>
    </row>
    <row r="26" spans="2:26" ht="15.95" thickBot="1">
      <c r="B26" s="235"/>
      <c r="C26" s="774" t="s">
        <v>44</v>
      </c>
      <c r="D26" s="774"/>
      <c r="E26" s="236"/>
      <c r="F26" s="726"/>
    </row>
    <row r="27" spans="2:26" ht="27" customHeight="1">
      <c r="B27" s="227"/>
      <c r="C27" s="780" t="s">
        <v>45</v>
      </c>
      <c r="D27" s="780"/>
      <c r="E27" s="228"/>
      <c r="F27" s="726"/>
    </row>
    <row r="28" spans="2:26" ht="15" customHeight="1">
      <c r="B28" s="664"/>
      <c r="C28" s="785" t="s">
        <v>46</v>
      </c>
      <c r="D28" s="785"/>
      <c r="E28" s="665"/>
      <c r="F28" s="726"/>
    </row>
    <row r="29" spans="2:26" ht="27" customHeight="1">
      <c r="B29" s="232"/>
      <c r="C29" s="764" t="s">
        <v>47</v>
      </c>
      <c r="D29" s="764"/>
      <c r="E29" s="233"/>
      <c r="F29" s="726"/>
    </row>
    <row r="30" spans="2:26">
      <c r="B30" s="666"/>
      <c r="C30" s="786" t="s">
        <v>48</v>
      </c>
      <c r="D30" s="786"/>
      <c r="E30" s="667"/>
      <c r="F30" s="726"/>
    </row>
    <row r="31" spans="2:26" ht="39" customHeight="1">
      <c r="B31" s="227"/>
      <c r="C31" s="764" t="s">
        <v>49</v>
      </c>
      <c r="D31" s="764"/>
      <c r="E31" s="228"/>
      <c r="F31" s="726"/>
    </row>
    <row r="32" spans="2:26">
      <c r="B32" s="227"/>
      <c r="C32" s="764" t="s">
        <v>50</v>
      </c>
      <c r="D32" s="764"/>
      <c r="E32" s="228"/>
      <c r="F32" s="726"/>
    </row>
    <row r="33" spans="2:26" ht="40.5" customHeight="1">
      <c r="B33" s="227"/>
      <c r="C33" s="764" t="s">
        <v>51</v>
      </c>
      <c r="D33" s="764"/>
      <c r="E33" s="228"/>
      <c r="F33" s="726"/>
    </row>
    <row r="34" spans="2:26" ht="63" customHeight="1">
      <c r="B34" s="227"/>
      <c r="C34" s="764" t="s">
        <v>52</v>
      </c>
      <c r="D34" s="764"/>
      <c r="E34" s="228"/>
      <c r="F34" s="726"/>
      <c r="G34" s="726"/>
      <c r="H34" s="726"/>
      <c r="I34" s="726"/>
      <c r="J34" s="726"/>
      <c r="K34" s="726"/>
      <c r="L34" s="726"/>
      <c r="M34" s="726"/>
      <c r="N34" s="726"/>
      <c r="O34" s="726"/>
      <c r="P34" s="726"/>
      <c r="Q34" s="726"/>
      <c r="R34" s="726"/>
      <c r="S34" s="726"/>
      <c r="T34" s="726"/>
      <c r="U34" s="726"/>
      <c r="V34" s="726"/>
      <c r="W34" s="726"/>
      <c r="X34" s="726"/>
      <c r="Y34" s="726"/>
      <c r="Z34" s="726"/>
    </row>
    <row r="35" spans="2:26">
      <c r="B35" s="227"/>
      <c r="C35" s="764" t="s">
        <v>53</v>
      </c>
      <c r="D35" s="764"/>
      <c r="E35" s="228"/>
      <c r="F35" s="726"/>
      <c r="G35" s="726"/>
      <c r="H35" s="726"/>
      <c r="I35" s="726"/>
      <c r="J35" s="726"/>
      <c r="K35" s="726"/>
      <c r="L35" s="726"/>
      <c r="M35" s="726"/>
      <c r="N35" s="726"/>
      <c r="O35" s="726"/>
      <c r="P35" s="726"/>
      <c r="Q35" s="726"/>
      <c r="R35" s="726"/>
      <c r="S35" s="726"/>
      <c r="T35" s="726"/>
      <c r="U35" s="726"/>
      <c r="V35" s="726"/>
      <c r="W35" s="726"/>
      <c r="X35" s="726"/>
      <c r="Y35" s="726"/>
      <c r="Z35" s="726"/>
    </row>
    <row r="36" spans="2:26" ht="27" customHeight="1">
      <c r="B36" s="227"/>
      <c r="C36" s="797" t="s">
        <v>54</v>
      </c>
      <c r="D36" s="797"/>
      <c r="E36" s="228"/>
      <c r="F36" s="726"/>
      <c r="G36" s="726"/>
      <c r="H36" s="726"/>
      <c r="I36" s="726"/>
      <c r="J36" s="726"/>
      <c r="K36" s="726"/>
      <c r="L36" s="726"/>
      <c r="M36" s="726"/>
      <c r="N36" s="726"/>
      <c r="O36" s="726"/>
      <c r="P36" s="726"/>
      <c r="Q36" s="726"/>
      <c r="R36" s="726"/>
      <c r="S36" s="726"/>
      <c r="T36" s="726"/>
      <c r="U36" s="726"/>
      <c r="V36" s="726"/>
      <c r="W36" s="726"/>
      <c r="X36" s="726"/>
      <c r="Y36" s="726"/>
      <c r="Z36" s="726"/>
    </row>
    <row r="37" spans="2:26">
      <c r="B37" s="666"/>
      <c r="C37" s="786" t="s">
        <v>55</v>
      </c>
      <c r="D37" s="786"/>
      <c r="E37" s="667"/>
      <c r="F37" s="726"/>
      <c r="G37" s="726"/>
      <c r="H37" s="726"/>
      <c r="I37" s="726"/>
      <c r="J37" s="726"/>
      <c r="K37" s="726"/>
      <c r="L37" s="726"/>
      <c r="M37" s="726"/>
      <c r="N37" s="726"/>
      <c r="O37" s="726"/>
      <c r="P37" s="726"/>
      <c r="Q37" s="726"/>
      <c r="R37" s="726"/>
      <c r="S37" s="726"/>
      <c r="T37" s="726"/>
      <c r="U37" s="726"/>
      <c r="V37" s="726"/>
      <c r="W37" s="726"/>
      <c r="X37" s="726"/>
      <c r="Y37" s="726"/>
      <c r="Z37" s="726"/>
    </row>
    <row r="38" spans="2:26" ht="51" customHeight="1">
      <c r="B38" s="227"/>
      <c r="C38" s="800" t="s">
        <v>56</v>
      </c>
      <c r="D38" s="800"/>
      <c r="E38" s="228"/>
      <c r="F38" s="726"/>
      <c r="G38" s="726"/>
      <c r="H38" s="726"/>
      <c r="I38" s="726"/>
      <c r="J38" s="726"/>
      <c r="K38" s="726"/>
      <c r="L38" s="726"/>
      <c r="M38" s="726"/>
      <c r="N38" s="726"/>
      <c r="O38" s="726"/>
      <c r="P38" s="726"/>
      <c r="Q38" s="726"/>
      <c r="R38" s="726"/>
      <c r="S38" s="726"/>
      <c r="T38" s="726"/>
      <c r="U38" s="726"/>
      <c r="V38" s="726"/>
      <c r="W38" s="726"/>
      <c r="X38" s="726"/>
      <c r="Y38" s="726"/>
      <c r="Z38" s="726"/>
    </row>
    <row r="39" spans="2:26">
      <c r="B39" s="666"/>
      <c r="C39" s="786" t="s">
        <v>57</v>
      </c>
      <c r="D39" s="786"/>
      <c r="E39" s="667"/>
      <c r="F39" s="726"/>
      <c r="G39" s="726"/>
      <c r="H39" s="726"/>
      <c r="I39" s="726"/>
      <c r="J39" s="726"/>
      <c r="K39" s="726"/>
      <c r="L39" s="726"/>
      <c r="M39" s="726"/>
      <c r="N39" s="726"/>
      <c r="O39" s="726"/>
      <c r="P39" s="726"/>
      <c r="Q39" s="726"/>
      <c r="R39" s="726"/>
      <c r="S39" s="726"/>
      <c r="T39" s="726"/>
      <c r="U39" s="726"/>
      <c r="V39" s="726"/>
      <c r="W39" s="726"/>
      <c r="X39" s="726"/>
      <c r="Y39" s="726"/>
      <c r="Z39" s="726"/>
    </row>
    <row r="40" spans="2:26" ht="50.25" customHeight="1">
      <c r="B40" s="227"/>
      <c r="C40" s="799" t="s">
        <v>58</v>
      </c>
      <c r="D40" s="790"/>
      <c r="E40" s="228"/>
      <c r="F40" s="726"/>
      <c r="G40" s="726"/>
      <c r="H40" s="726"/>
      <c r="I40" s="726"/>
      <c r="J40" s="726"/>
      <c r="K40" s="726"/>
      <c r="L40" s="726"/>
      <c r="M40" s="726"/>
      <c r="N40" s="726"/>
      <c r="O40" s="726"/>
      <c r="P40" s="726"/>
      <c r="Q40" s="726"/>
      <c r="R40" s="726"/>
      <c r="S40" s="726"/>
      <c r="T40" s="726"/>
      <c r="U40" s="726"/>
      <c r="V40" s="726"/>
      <c r="W40" s="726"/>
      <c r="X40" s="726"/>
      <c r="Y40" s="726"/>
      <c r="Z40" s="726"/>
    </row>
    <row r="41" spans="2:26">
      <c r="B41" s="666"/>
      <c r="C41" s="786" t="s">
        <v>59</v>
      </c>
      <c r="D41" s="786"/>
      <c r="E41" s="667"/>
      <c r="F41" s="726"/>
      <c r="G41" s="726"/>
      <c r="H41" s="726"/>
      <c r="I41" s="726"/>
      <c r="J41" s="726"/>
      <c r="K41" s="726"/>
      <c r="L41" s="726"/>
      <c r="M41" s="726"/>
      <c r="N41" s="726"/>
      <c r="O41" s="726"/>
      <c r="P41" s="726"/>
      <c r="Q41" s="726"/>
      <c r="R41" s="726"/>
      <c r="S41" s="726"/>
      <c r="T41" s="726"/>
      <c r="U41" s="726"/>
      <c r="V41" s="726"/>
      <c r="W41" s="726"/>
      <c r="X41" s="726"/>
      <c r="Y41" s="726"/>
      <c r="Z41" s="726"/>
    </row>
    <row r="42" spans="2:26" ht="66" customHeight="1">
      <c r="B42" s="227"/>
      <c r="C42" s="763" t="s">
        <v>60</v>
      </c>
      <c r="D42" s="798"/>
      <c r="E42" s="228"/>
      <c r="F42" s="726"/>
      <c r="G42" s="726"/>
      <c r="H42" s="726"/>
      <c r="I42" s="726"/>
      <c r="J42" s="726"/>
      <c r="K42" s="726"/>
      <c r="L42" s="726"/>
      <c r="M42" s="726"/>
      <c r="N42" s="726"/>
      <c r="O42" s="726"/>
      <c r="P42" s="726"/>
      <c r="Q42" s="726"/>
      <c r="R42" s="726"/>
      <c r="S42" s="726"/>
      <c r="T42" s="726"/>
      <c r="U42" s="726"/>
      <c r="V42" s="726"/>
      <c r="W42" s="726"/>
      <c r="X42" s="726"/>
      <c r="Y42" s="726"/>
      <c r="Z42" s="726"/>
    </row>
    <row r="43" spans="2:26">
      <c r="B43" s="674"/>
      <c r="C43" s="789" t="s">
        <v>61</v>
      </c>
      <c r="D43" s="789"/>
      <c r="E43" s="675"/>
      <c r="F43" s="726"/>
      <c r="G43" s="726"/>
      <c r="H43" s="726"/>
      <c r="I43" s="726"/>
      <c r="J43" s="726"/>
      <c r="K43" s="726"/>
      <c r="L43" s="726"/>
      <c r="M43" s="726"/>
      <c r="N43" s="726"/>
      <c r="O43" s="726"/>
      <c r="P43" s="726"/>
      <c r="Q43" s="726"/>
      <c r="R43" s="726"/>
      <c r="S43" s="726"/>
      <c r="T43" s="726"/>
      <c r="U43" s="726"/>
      <c r="V43" s="726"/>
      <c r="W43" s="726"/>
      <c r="X43" s="726"/>
      <c r="Y43" s="726"/>
      <c r="Z43" s="726"/>
    </row>
    <row r="44" spans="2:26" ht="39" customHeight="1">
      <c r="B44" s="227"/>
      <c r="C44" s="764" t="s">
        <v>62</v>
      </c>
      <c r="D44" s="790"/>
      <c r="E44" s="228"/>
      <c r="F44" s="726"/>
      <c r="G44" s="726"/>
      <c r="H44" s="726"/>
      <c r="I44" s="726"/>
      <c r="J44" s="726"/>
      <c r="K44" s="726"/>
      <c r="L44" s="726"/>
      <c r="M44" s="726"/>
      <c r="N44" s="726"/>
      <c r="O44" s="726"/>
      <c r="P44" s="726"/>
      <c r="Q44" s="726"/>
      <c r="R44" s="726"/>
      <c r="S44" s="726"/>
      <c r="T44" s="726"/>
      <c r="U44" s="726"/>
      <c r="V44" s="726"/>
      <c r="W44" s="726"/>
      <c r="X44" s="726"/>
      <c r="Y44" s="726"/>
      <c r="Z44" s="726"/>
    </row>
    <row r="45" spans="2:26" ht="27" customHeight="1">
      <c r="B45" s="227"/>
      <c r="C45" s="764" t="s">
        <v>63</v>
      </c>
      <c r="D45" s="764"/>
      <c r="E45" s="228"/>
      <c r="F45" s="726"/>
      <c r="G45" s="726"/>
      <c r="H45" s="726"/>
      <c r="I45" s="726"/>
      <c r="J45" s="726"/>
      <c r="K45" s="726"/>
      <c r="L45" s="726"/>
      <c r="M45" s="726"/>
      <c r="N45" s="726"/>
      <c r="O45" s="726"/>
      <c r="P45" s="726"/>
      <c r="Q45" s="726"/>
      <c r="R45" s="726"/>
      <c r="S45" s="726"/>
      <c r="T45" s="726"/>
      <c r="U45" s="726"/>
      <c r="V45" s="726"/>
      <c r="W45" s="726"/>
      <c r="X45" s="726"/>
      <c r="Y45" s="726"/>
      <c r="Z45" s="726"/>
    </row>
    <row r="46" spans="2:26">
      <c r="B46" s="227"/>
      <c r="C46" s="795" t="s">
        <v>64</v>
      </c>
      <c r="D46" s="795"/>
      <c r="E46" s="228"/>
      <c r="F46" s="726"/>
      <c r="G46" s="726"/>
      <c r="H46" s="726"/>
      <c r="I46" s="726"/>
      <c r="J46" s="726"/>
      <c r="K46" s="726"/>
      <c r="L46" s="726"/>
      <c r="M46" s="726"/>
      <c r="N46" s="726"/>
      <c r="O46" s="726"/>
      <c r="P46" s="726"/>
      <c r="Q46" s="726"/>
      <c r="R46" s="726"/>
      <c r="S46" s="726"/>
      <c r="T46" s="726"/>
      <c r="U46" s="726"/>
      <c r="V46" s="726"/>
      <c r="W46" s="726"/>
      <c r="X46" s="726"/>
      <c r="Y46" s="726"/>
      <c r="Z46" s="726"/>
    </row>
    <row r="47" spans="2:26" ht="26.25" customHeight="1">
      <c r="B47" s="227"/>
      <c r="C47" s="767" t="s">
        <v>65</v>
      </c>
      <c r="D47" s="767"/>
      <c r="E47" s="228"/>
      <c r="F47" s="726"/>
      <c r="G47" s="726"/>
      <c r="H47" s="726"/>
      <c r="I47" s="726"/>
      <c r="J47" s="726"/>
      <c r="K47" s="726"/>
      <c r="L47" s="726"/>
      <c r="M47" s="726"/>
      <c r="N47" s="726"/>
      <c r="O47" s="726"/>
      <c r="P47" s="726"/>
      <c r="Q47" s="726"/>
      <c r="R47" s="726"/>
      <c r="S47" s="726"/>
      <c r="T47" s="726"/>
      <c r="U47" s="726"/>
      <c r="V47" s="726"/>
      <c r="W47" s="726"/>
      <c r="X47" s="726"/>
      <c r="Y47" s="726"/>
      <c r="Z47" s="726"/>
    </row>
    <row r="48" spans="2:26">
      <c r="B48" s="227"/>
      <c r="C48" s="762" t="s">
        <v>66</v>
      </c>
      <c r="D48" s="762"/>
      <c r="E48" s="228"/>
      <c r="F48" s="726"/>
      <c r="G48" s="726"/>
      <c r="H48" s="726"/>
      <c r="I48" s="726"/>
      <c r="J48" s="726"/>
      <c r="K48" s="726"/>
      <c r="L48" s="726"/>
      <c r="M48" s="726"/>
      <c r="N48" s="726"/>
      <c r="O48" s="726"/>
      <c r="P48" s="726"/>
      <c r="Q48" s="726"/>
      <c r="R48" s="726"/>
      <c r="S48" s="726"/>
      <c r="T48" s="726"/>
      <c r="U48" s="726"/>
      <c r="V48" s="726"/>
      <c r="W48" s="726"/>
      <c r="X48" s="726"/>
      <c r="Y48" s="726"/>
      <c r="Z48" s="726"/>
    </row>
    <row r="49" spans="2:26" ht="41.25" customHeight="1">
      <c r="B49" s="227"/>
      <c r="C49" s="794" t="s">
        <v>67</v>
      </c>
      <c r="D49" s="768"/>
      <c r="E49" s="228"/>
      <c r="F49" s="726"/>
      <c r="G49" s="726"/>
      <c r="H49" s="726"/>
      <c r="I49" s="726"/>
      <c r="J49" s="726"/>
      <c r="K49" s="726"/>
      <c r="L49" s="726"/>
      <c r="M49" s="726"/>
      <c r="N49" s="726"/>
      <c r="O49" s="726"/>
      <c r="P49" s="726"/>
      <c r="Q49" s="726"/>
      <c r="R49" s="726"/>
      <c r="S49" s="726"/>
      <c r="T49" s="726"/>
      <c r="U49" s="726"/>
      <c r="V49" s="726"/>
      <c r="W49" s="726"/>
      <c r="X49" s="726"/>
      <c r="Y49" s="726"/>
      <c r="Z49" s="726"/>
    </row>
    <row r="50" spans="2:26">
      <c r="B50" s="227"/>
      <c r="C50" s="767" t="s">
        <v>68</v>
      </c>
      <c r="D50" s="768"/>
      <c r="E50" s="228"/>
      <c r="F50" s="726"/>
    </row>
    <row r="51" spans="2:26" ht="27" customHeight="1">
      <c r="B51" s="227"/>
      <c r="C51" s="767" t="s">
        <v>69</v>
      </c>
      <c r="D51" s="768"/>
      <c r="E51" s="228"/>
      <c r="F51" s="726"/>
    </row>
    <row r="52" spans="2:26" ht="42" customHeight="1">
      <c r="B52" s="227"/>
      <c r="C52" s="764" t="s">
        <v>70</v>
      </c>
      <c r="D52" s="764"/>
      <c r="E52" s="228"/>
      <c r="F52" s="726"/>
    </row>
    <row r="53" spans="2:26">
      <c r="B53" s="674"/>
      <c r="C53" s="789" t="s">
        <v>71</v>
      </c>
      <c r="D53" s="789"/>
      <c r="E53" s="675"/>
      <c r="F53" s="726"/>
    </row>
    <row r="54" spans="2:26" ht="26.25" customHeight="1">
      <c r="B54" s="227"/>
      <c r="C54" s="792" t="s">
        <v>72</v>
      </c>
      <c r="D54" s="793"/>
      <c r="E54" s="228"/>
      <c r="F54" s="726"/>
    </row>
    <row r="55" spans="2:26">
      <c r="B55" s="227"/>
      <c r="C55" s="764" t="s">
        <v>73</v>
      </c>
      <c r="D55" s="764"/>
      <c r="E55" s="228"/>
      <c r="F55" s="726"/>
    </row>
    <row r="56" spans="2:26" ht="40.5" customHeight="1">
      <c r="B56" s="227"/>
      <c r="C56" s="763" t="s">
        <v>74</v>
      </c>
      <c r="D56" s="764"/>
      <c r="E56" s="228"/>
      <c r="F56" s="726"/>
    </row>
    <row r="57" spans="2:26" ht="27" customHeight="1">
      <c r="B57" s="227"/>
      <c r="C57" s="769" t="s">
        <v>75</v>
      </c>
      <c r="D57" s="764"/>
      <c r="E57" s="228"/>
      <c r="F57" s="726"/>
    </row>
    <row r="58" spans="2:26">
      <c r="B58" s="227"/>
      <c r="C58" s="769" t="s">
        <v>76</v>
      </c>
      <c r="D58" s="764"/>
      <c r="E58" s="228"/>
      <c r="F58" s="726"/>
    </row>
    <row r="59" spans="2:26" ht="27" customHeight="1">
      <c r="B59" s="227"/>
      <c r="C59" s="764" t="s">
        <v>77</v>
      </c>
      <c r="D59" s="764"/>
      <c r="E59" s="228"/>
      <c r="F59" s="726"/>
    </row>
    <row r="60" spans="2:26" ht="39.75" customHeight="1">
      <c r="B60" s="227"/>
      <c r="C60" s="764" t="s">
        <v>78</v>
      </c>
      <c r="D60" s="764"/>
      <c r="E60" s="228"/>
      <c r="F60" s="726"/>
    </row>
    <row r="61" spans="2:26" s="613" customFormat="1">
      <c r="B61" s="463"/>
      <c r="C61" s="791" t="s">
        <v>79</v>
      </c>
      <c r="D61" s="791"/>
      <c r="E61" s="464"/>
      <c r="G61" s="465"/>
      <c r="H61" s="465"/>
      <c r="I61" s="465"/>
      <c r="J61" s="465"/>
      <c r="K61" s="465"/>
      <c r="L61" s="465"/>
      <c r="M61" s="465"/>
      <c r="N61" s="465"/>
      <c r="O61" s="465"/>
      <c r="P61" s="465"/>
      <c r="Q61" s="465"/>
      <c r="R61" s="465"/>
      <c r="S61" s="465"/>
      <c r="T61" s="465"/>
      <c r="U61" s="465"/>
      <c r="V61" s="465"/>
      <c r="W61" s="465"/>
      <c r="X61" s="465"/>
      <c r="Y61" s="465"/>
      <c r="Z61" s="465"/>
    </row>
    <row r="62" spans="2:26">
      <c r="B62" s="674"/>
      <c r="C62" s="789" t="s">
        <v>80</v>
      </c>
      <c r="D62" s="789"/>
      <c r="E62" s="675"/>
      <c r="F62" s="726"/>
    </row>
    <row r="63" spans="2:26" ht="40.5" customHeight="1">
      <c r="B63" s="227"/>
      <c r="C63" s="763" t="s">
        <v>81</v>
      </c>
      <c r="D63" s="764"/>
      <c r="E63" s="228"/>
      <c r="F63" s="726"/>
    </row>
    <row r="64" spans="2:26">
      <c r="B64" s="227"/>
      <c r="C64" s="763" t="s">
        <v>82</v>
      </c>
      <c r="D64" s="764"/>
      <c r="E64" s="228"/>
      <c r="F64" s="726"/>
    </row>
    <row r="65" spans="1:26">
      <c r="A65" s="726"/>
      <c r="B65" s="227"/>
      <c r="C65" s="765" t="s">
        <v>83</v>
      </c>
      <c r="D65" s="764"/>
      <c r="E65" s="228"/>
      <c r="F65" s="726"/>
    </row>
    <row r="66" spans="1:26">
      <c r="A66" s="726"/>
      <c r="B66" s="227"/>
      <c r="C66" s="760" t="s">
        <v>84</v>
      </c>
      <c r="D66" s="766"/>
      <c r="E66" s="228"/>
      <c r="F66" s="726"/>
      <c r="K66" s="726"/>
      <c r="L66" s="726"/>
      <c r="M66" s="726"/>
      <c r="N66" s="726"/>
      <c r="O66" s="726"/>
      <c r="P66" s="726"/>
      <c r="Q66" s="726"/>
      <c r="R66" s="726"/>
      <c r="S66" s="726"/>
      <c r="T66" s="726"/>
      <c r="U66" s="726"/>
      <c r="V66" s="726"/>
      <c r="W66" s="726"/>
      <c r="X66" s="726"/>
      <c r="Y66" s="726"/>
      <c r="Z66" s="726"/>
    </row>
    <row r="67" spans="1:26">
      <c r="A67" s="726"/>
      <c r="B67" s="227"/>
      <c r="C67" s="760" t="s">
        <v>85</v>
      </c>
      <c r="D67" s="761"/>
      <c r="E67" s="228"/>
      <c r="F67" s="726"/>
      <c r="K67" s="726"/>
      <c r="L67" s="726"/>
      <c r="M67" s="726"/>
      <c r="N67" s="726"/>
      <c r="O67" s="726"/>
      <c r="P67" s="726"/>
      <c r="Q67" s="726"/>
      <c r="R67" s="726"/>
      <c r="S67" s="726"/>
      <c r="T67" s="726"/>
      <c r="U67" s="726"/>
      <c r="V67" s="726"/>
      <c r="W67" s="726"/>
      <c r="X67" s="726"/>
      <c r="Y67" s="726"/>
      <c r="Z67" s="726"/>
    </row>
    <row r="68" spans="1:26">
      <c r="A68" s="726"/>
      <c r="B68" s="227"/>
      <c r="C68" s="773" t="s">
        <v>86</v>
      </c>
      <c r="D68" s="773"/>
      <c r="E68" s="228"/>
      <c r="F68" s="726"/>
      <c r="K68" s="726"/>
      <c r="L68" s="726"/>
      <c r="M68" s="726"/>
      <c r="N68" s="726"/>
      <c r="O68" s="726"/>
      <c r="P68" s="726"/>
      <c r="Q68" s="726"/>
      <c r="R68" s="726"/>
      <c r="S68" s="726"/>
      <c r="T68" s="726"/>
      <c r="U68" s="726"/>
      <c r="V68" s="726"/>
      <c r="W68" s="726"/>
      <c r="X68" s="726"/>
      <c r="Y68" s="726"/>
      <c r="Z68" s="726"/>
    </row>
    <row r="69" spans="1:26">
      <c r="A69" s="726"/>
      <c r="B69" s="227"/>
      <c r="C69" s="724" t="s">
        <v>87</v>
      </c>
      <c r="D69" s="724"/>
      <c r="E69" s="228"/>
      <c r="F69" s="726"/>
      <c r="K69" s="726"/>
      <c r="L69" s="726"/>
      <c r="M69" s="726"/>
      <c r="N69" s="726"/>
      <c r="O69" s="726"/>
      <c r="P69" s="726"/>
      <c r="Q69" s="726"/>
      <c r="R69" s="726"/>
      <c r="S69" s="726"/>
      <c r="T69" s="726"/>
      <c r="U69" s="726"/>
      <c r="V69" s="726"/>
      <c r="W69" s="726"/>
      <c r="X69" s="726"/>
      <c r="Y69" s="726"/>
      <c r="Z69" s="726"/>
    </row>
    <row r="70" spans="1:26">
      <c r="A70" s="726"/>
      <c r="B70" s="237"/>
      <c r="C70" s="801" t="s">
        <v>88</v>
      </c>
      <c r="D70" s="801"/>
      <c r="E70" s="238"/>
      <c r="F70" s="726"/>
      <c r="K70" s="726"/>
      <c r="L70" s="726"/>
      <c r="M70" s="726"/>
      <c r="N70" s="726"/>
      <c r="O70" s="726"/>
      <c r="P70" s="726"/>
      <c r="Q70" s="726"/>
      <c r="R70" s="726"/>
      <c r="S70" s="726"/>
      <c r="T70" s="726"/>
      <c r="U70" s="726"/>
      <c r="V70" s="726"/>
      <c r="W70" s="726"/>
      <c r="X70" s="726"/>
      <c r="Y70" s="726"/>
      <c r="Z70" s="726"/>
    </row>
    <row r="71" spans="1:26" ht="27" customHeight="1">
      <c r="A71" s="726"/>
      <c r="B71" s="227"/>
      <c r="C71" s="764" t="s">
        <v>89</v>
      </c>
      <c r="D71" s="764"/>
      <c r="E71" s="228"/>
      <c r="F71" s="726"/>
      <c r="K71" s="726"/>
      <c r="L71" s="726"/>
      <c r="M71" s="726"/>
      <c r="N71" s="726"/>
      <c r="O71" s="726"/>
      <c r="P71" s="726"/>
      <c r="Q71" s="726"/>
      <c r="R71" s="726"/>
      <c r="S71" s="726"/>
      <c r="T71" s="726"/>
      <c r="U71" s="726"/>
      <c r="V71" s="726"/>
      <c r="W71" s="726"/>
      <c r="X71" s="726"/>
      <c r="Y71" s="726"/>
      <c r="Z71" s="726"/>
    </row>
    <row r="72" spans="1:26" s="648" customFormat="1" ht="15" customHeight="1">
      <c r="A72" s="726"/>
      <c r="B72" s="664"/>
      <c r="C72" s="796" t="s">
        <v>90</v>
      </c>
      <c r="D72" s="796"/>
      <c r="E72" s="665"/>
      <c r="F72" s="726"/>
      <c r="G72" s="147"/>
      <c r="H72" s="147"/>
      <c r="I72" s="147"/>
      <c r="J72" s="147"/>
      <c r="K72" s="147"/>
      <c r="L72" s="147"/>
      <c r="M72" s="147"/>
      <c r="N72" s="147"/>
      <c r="O72" s="147"/>
      <c r="P72" s="147"/>
      <c r="Q72" s="147"/>
      <c r="R72" s="147"/>
      <c r="S72" s="147"/>
      <c r="T72" s="147"/>
      <c r="U72" s="147"/>
      <c r="V72" s="147"/>
      <c r="W72" s="147"/>
      <c r="X72" s="147"/>
      <c r="Y72" s="147"/>
      <c r="Z72" s="147"/>
    </row>
    <row r="73" spans="1:26" s="648" customFormat="1" ht="27" customHeight="1">
      <c r="A73" s="726"/>
      <c r="B73" s="232"/>
      <c r="C73" s="764" t="s">
        <v>91</v>
      </c>
      <c r="D73" s="764"/>
      <c r="E73" s="233"/>
      <c r="F73" s="726"/>
      <c r="G73" s="147"/>
      <c r="H73" s="147"/>
      <c r="I73" s="147"/>
      <c r="J73" s="147"/>
      <c r="K73" s="147"/>
      <c r="L73" s="147"/>
      <c r="M73" s="147"/>
      <c r="N73" s="147"/>
      <c r="O73" s="147"/>
      <c r="P73" s="147"/>
      <c r="Q73" s="147"/>
      <c r="R73" s="147"/>
      <c r="S73" s="147"/>
      <c r="T73" s="147"/>
      <c r="U73" s="147"/>
      <c r="V73" s="147"/>
      <c r="W73" s="147"/>
      <c r="X73" s="147"/>
      <c r="Y73" s="147"/>
      <c r="Z73" s="147"/>
    </row>
    <row r="74" spans="1:26" ht="6" customHeight="1" thickBot="1">
      <c r="A74" s="89"/>
      <c r="B74" s="239"/>
      <c r="C74" s="240"/>
      <c r="D74" s="240"/>
      <c r="E74" s="241"/>
      <c r="F74" s="89"/>
      <c r="K74" s="726"/>
      <c r="L74" s="726"/>
      <c r="M74" s="726"/>
      <c r="N74" s="726"/>
      <c r="O74" s="726"/>
      <c r="P74" s="726"/>
      <c r="Q74" s="726"/>
      <c r="R74" s="726"/>
      <c r="S74" s="726"/>
      <c r="T74" s="726"/>
      <c r="U74" s="726"/>
      <c r="V74" s="726"/>
      <c r="W74" s="726"/>
      <c r="X74" s="726"/>
      <c r="Y74" s="726"/>
      <c r="Z74" s="726"/>
    </row>
    <row r="75" spans="1:26" ht="24" customHeight="1">
      <c r="A75" s="89"/>
      <c r="B75" s="466" t="s">
        <v>92</v>
      </c>
      <c r="C75" s="242"/>
      <c r="D75" s="627"/>
      <c r="E75" s="89"/>
      <c r="F75" s="89"/>
      <c r="K75" s="726"/>
      <c r="L75" s="726"/>
      <c r="M75" s="726"/>
      <c r="N75" s="726"/>
      <c r="O75" s="726"/>
      <c r="P75" s="726"/>
      <c r="Q75" s="726"/>
      <c r="R75" s="726"/>
      <c r="S75" s="726"/>
      <c r="T75" s="726"/>
      <c r="U75" s="726"/>
      <c r="V75" s="726"/>
      <c r="W75" s="726"/>
      <c r="X75" s="726"/>
      <c r="Y75" s="726"/>
      <c r="Z75" s="726"/>
    </row>
    <row r="76" spans="1:26" ht="15" customHeight="1">
      <c r="A76" s="89"/>
      <c r="B76" s="89"/>
      <c r="C76" s="787" t="s">
        <v>93</v>
      </c>
      <c r="D76" s="788"/>
      <c r="E76" s="146"/>
      <c r="F76" s="146"/>
      <c r="G76" s="146"/>
      <c r="H76" s="146"/>
      <c r="I76" s="146"/>
      <c r="J76" s="146"/>
      <c r="K76" s="726"/>
      <c r="L76" s="726"/>
      <c r="M76" s="726"/>
      <c r="N76" s="726"/>
      <c r="O76" s="726"/>
      <c r="P76" s="726"/>
      <c r="Q76" s="726"/>
      <c r="R76" s="726"/>
      <c r="S76" s="726"/>
      <c r="T76" s="726"/>
      <c r="U76" s="726"/>
      <c r="V76" s="726"/>
      <c r="W76" s="726"/>
      <c r="X76" s="726"/>
      <c r="Y76" s="726"/>
      <c r="Z76" s="726"/>
    </row>
    <row r="77" spans="1:26">
      <c r="A77" s="726"/>
      <c r="B77" s="726"/>
      <c r="C77" s="788"/>
      <c r="D77" s="788"/>
      <c r="E77" s="726"/>
      <c r="F77" s="726"/>
      <c r="K77" s="726"/>
      <c r="L77" s="726"/>
      <c r="M77" s="726"/>
      <c r="N77" s="726"/>
      <c r="O77" s="726"/>
      <c r="P77" s="726"/>
      <c r="Q77" s="726"/>
      <c r="R77" s="726"/>
      <c r="S77" s="726"/>
      <c r="T77" s="726"/>
      <c r="U77" s="726"/>
      <c r="V77" s="726"/>
      <c r="W77" s="726"/>
      <c r="X77" s="726"/>
      <c r="Y77" s="726"/>
      <c r="Z77" s="726"/>
    </row>
    <row r="78" spans="1:26">
      <c r="A78" s="726"/>
      <c r="B78" s="726"/>
      <c r="C78" s="788"/>
      <c r="D78" s="788"/>
      <c r="E78" s="726"/>
      <c r="F78" s="726"/>
      <c r="K78" s="726"/>
      <c r="L78" s="726"/>
      <c r="M78" s="726"/>
      <c r="N78" s="726"/>
      <c r="O78" s="726"/>
      <c r="P78" s="726"/>
      <c r="Q78" s="726"/>
      <c r="R78" s="726"/>
      <c r="S78" s="726"/>
      <c r="T78" s="726"/>
      <c r="U78" s="726"/>
      <c r="V78" s="726"/>
      <c r="W78" s="726"/>
      <c r="X78" s="726"/>
      <c r="Y78" s="726"/>
      <c r="Z78" s="726"/>
    </row>
    <row r="79" spans="1:26">
      <c r="A79" s="726"/>
      <c r="B79" s="726"/>
      <c r="C79" s="788"/>
      <c r="D79" s="788"/>
      <c r="E79" s="726"/>
      <c r="F79" s="726"/>
      <c r="K79" s="726"/>
      <c r="L79" s="726"/>
      <c r="M79" s="726"/>
      <c r="N79" s="726"/>
      <c r="O79" s="726"/>
      <c r="P79" s="726"/>
      <c r="Q79" s="726"/>
      <c r="R79" s="726"/>
      <c r="S79" s="726"/>
      <c r="T79" s="726"/>
      <c r="U79" s="726"/>
      <c r="V79" s="726"/>
      <c r="W79" s="726"/>
      <c r="X79" s="726"/>
      <c r="Y79" s="726"/>
      <c r="Z79" s="726"/>
    </row>
    <row r="80" spans="1:26">
      <c r="A80" s="726"/>
      <c r="B80" s="726"/>
      <c r="C80" s="788"/>
      <c r="D80" s="788"/>
      <c r="E80" s="726"/>
      <c r="F80" s="726"/>
      <c r="K80" s="726"/>
      <c r="L80" s="726"/>
      <c r="M80" s="726"/>
      <c r="N80" s="726"/>
      <c r="O80" s="726"/>
      <c r="P80" s="726"/>
      <c r="Q80" s="726"/>
      <c r="R80" s="726"/>
      <c r="S80" s="726"/>
      <c r="T80" s="726"/>
      <c r="U80" s="726"/>
      <c r="V80" s="726"/>
      <c r="W80" s="726"/>
      <c r="X80" s="726"/>
      <c r="Y80" s="726"/>
      <c r="Z80" s="726"/>
    </row>
    <row r="81" spans="1:9" s="147" customFormat="1">
      <c r="A81" s="726"/>
      <c r="B81" s="726"/>
      <c r="C81" s="788"/>
      <c r="D81" s="788"/>
      <c r="E81" s="726"/>
      <c r="F81" s="726"/>
    </row>
    <row r="82" spans="1:9" s="147" customFormat="1" ht="15" customHeight="1">
      <c r="A82" s="726"/>
      <c r="B82" s="726"/>
      <c r="C82" s="146"/>
      <c r="D82" s="146"/>
      <c r="E82" s="146"/>
      <c r="F82" s="146"/>
      <c r="G82" s="146"/>
      <c r="H82" s="146"/>
      <c r="I82" s="146"/>
    </row>
    <row r="83" spans="1:9" s="147" customFormat="1" ht="15" hidden="1" customHeight="1">
      <c r="A83" s="726"/>
      <c r="B83" s="726"/>
      <c r="C83" s="146"/>
      <c r="D83" s="146"/>
      <c r="E83" s="146"/>
      <c r="F83" s="146"/>
      <c r="G83" s="146"/>
      <c r="H83" s="146"/>
      <c r="I83" s="146"/>
    </row>
    <row r="84" spans="1:9" s="147" customFormat="1" ht="15" hidden="1" customHeight="1">
      <c r="A84" s="726"/>
      <c r="B84" s="726"/>
      <c r="C84" s="146"/>
      <c r="D84" s="628"/>
      <c r="E84" s="146"/>
      <c r="F84" s="146"/>
      <c r="G84" s="146"/>
      <c r="H84" s="146"/>
      <c r="I84" s="146"/>
    </row>
    <row r="85" spans="1:9" s="147" customFormat="1" ht="15" hidden="1" customHeight="1">
      <c r="A85" s="726"/>
      <c r="B85" s="726"/>
      <c r="C85" s="146"/>
      <c r="D85" s="146"/>
      <c r="E85" s="146"/>
      <c r="F85" s="146"/>
      <c r="G85" s="146"/>
      <c r="H85" s="146"/>
      <c r="I85" s="146"/>
    </row>
    <row r="86" spans="1:9" s="147" customFormat="1" ht="15" hidden="1" customHeight="1">
      <c r="A86" s="726"/>
      <c r="B86" s="726"/>
      <c r="C86" s="146"/>
      <c r="D86" s="146"/>
      <c r="E86" s="146"/>
      <c r="F86" s="146"/>
      <c r="G86" s="146"/>
      <c r="H86" s="146"/>
      <c r="I86" s="146"/>
    </row>
    <row r="87" spans="1:9" s="147" customFormat="1" ht="15" hidden="1" customHeight="1">
      <c r="A87" s="726"/>
      <c r="B87" s="726"/>
      <c r="C87" s="146"/>
      <c r="D87" s="146"/>
      <c r="E87" s="146"/>
      <c r="F87" s="146"/>
      <c r="G87" s="146"/>
      <c r="H87" s="146"/>
      <c r="I87" s="146"/>
    </row>
    <row r="88" spans="1:9" s="147" customFormat="1" ht="15" hidden="1" customHeight="1">
      <c r="A88" s="726"/>
      <c r="B88" s="726"/>
      <c r="C88" s="146"/>
      <c r="D88" s="146"/>
      <c r="E88" s="146"/>
      <c r="F88" s="146"/>
      <c r="G88" s="146"/>
      <c r="H88" s="146"/>
      <c r="I88" s="146"/>
    </row>
    <row r="89" spans="1:9" s="147" customFormat="1" ht="15" hidden="1" customHeight="1">
      <c r="A89" s="726"/>
      <c r="B89" s="726"/>
      <c r="C89" s="146"/>
      <c r="D89" s="146"/>
      <c r="E89" s="146"/>
      <c r="F89" s="146"/>
      <c r="G89" s="146"/>
      <c r="H89" s="146"/>
      <c r="I89" s="146"/>
    </row>
    <row r="90" spans="1:9" s="147" customFormat="1" hidden="1"/>
    <row r="91" spans="1:9" s="147" customFormat="1" hidden="1"/>
    <row r="92" spans="1:9" s="147" customFormat="1" hidden="1"/>
    <row r="93" spans="1:9" s="147" customFormat="1" hidden="1"/>
    <row r="94" spans="1:9" s="147" customFormat="1" hidden="1"/>
    <row r="95" spans="1:9" s="147" customFormat="1" hidden="1"/>
    <row r="96" spans="1:9" s="147" customFormat="1" hidden="1"/>
    <row r="97" spans="7:26" s="147" customFormat="1" hidden="1"/>
    <row r="98" spans="7:26" s="147" customFormat="1" hidden="1"/>
    <row r="99" spans="7:26" s="147" customFormat="1" hidden="1"/>
    <row r="100" spans="7:26" s="147" customFormat="1" hidden="1"/>
    <row r="101" spans="7:26" s="147" customFormat="1" hidden="1"/>
    <row r="102" spans="7:26" s="147" customFormat="1" hidden="1"/>
    <row r="103" spans="7:26" s="147" customFormat="1" hidden="1"/>
    <row r="104" spans="7:26" s="147" customFormat="1" hidden="1"/>
    <row r="105" spans="7:26" s="147" customFormat="1" hidden="1"/>
    <row r="106" spans="7:26">
      <c r="G106" s="726"/>
      <c r="H106" s="726"/>
      <c r="I106" s="726"/>
      <c r="J106" s="726"/>
      <c r="K106" s="726"/>
      <c r="L106" s="726"/>
      <c r="M106" s="726"/>
      <c r="N106" s="726"/>
      <c r="O106" s="726"/>
      <c r="P106" s="726"/>
      <c r="Q106" s="726"/>
      <c r="R106" s="726"/>
      <c r="S106" s="726"/>
      <c r="T106" s="726"/>
      <c r="U106" s="726"/>
      <c r="V106" s="726"/>
      <c r="W106" s="726"/>
      <c r="X106" s="726"/>
      <c r="Y106" s="726"/>
      <c r="Z106" s="726"/>
    </row>
    <row r="107" spans="7:26">
      <c r="G107" s="726"/>
      <c r="H107" s="726"/>
      <c r="I107" s="726"/>
      <c r="J107" s="726"/>
      <c r="K107" s="726"/>
      <c r="L107" s="726"/>
      <c r="M107" s="726"/>
      <c r="N107" s="726"/>
      <c r="O107" s="726"/>
      <c r="P107" s="726"/>
      <c r="Q107" s="726"/>
      <c r="R107" s="726"/>
      <c r="S107" s="726"/>
      <c r="T107" s="726"/>
      <c r="U107" s="726"/>
      <c r="V107" s="726"/>
      <c r="W107" s="726"/>
      <c r="X107" s="726"/>
      <c r="Y107" s="726"/>
      <c r="Z107" s="726"/>
    </row>
    <row r="108" spans="7:26">
      <c r="G108" s="726"/>
      <c r="H108" s="726"/>
      <c r="I108" s="726"/>
      <c r="J108" s="726"/>
      <c r="K108" s="726"/>
      <c r="L108" s="726"/>
      <c r="M108" s="726"/>
      <c r="N108" s="726"/>
      <c r="O108" s="726"/>
      <c r="P108" s="726"/>
      <c r="Q108" s="726"/>
      <c r="R108" s="726"/>
      <c r="S108" s="726"/>
      <c r="T108" s="726"/>
      <c r="U108" s="726"/>
      <c r="V108" s="726"/>
      <c r="W108" s="726"/>
      <c r="X108" s="726"/>
      <c r="Y108" s="726"/>
      <c r="Z108" s="726"/>
    </row>
    <row r="109" spans="7:26">
      <c r="G109" s="726"/>
      <c r="H109" s="726"/>
      <c r="I109" s="726"/>
      <c r="J109" s="726"/>
      <c r="K109" s="726"/>
      <c r="L109" s="726"/>
      <c r="M109" s="726"/>
      <c r="N109" s="726"/>
      <c r="O109" s="726"/>
      <c r="P109" s="726"/>
      <c r="Q109" s="726"/>
      <c r="R109" s="726"/>
      <c r="S109" s="726"/>
      <c r="T109" s="726"/>
      <c r="U109" s="726"/>
      <c r="V109" s="726"/>
      <c r="W109" s="726"/>
      <c r="X109" s="726"/>
      <c r="Y109" s="726"/>
      <c r="Z109" s="726"/>
    </row>
    <row r="110" spans="7:26">
      <c r="G110" s="726"/>
      <c r="H110" s="726"/>
      <c r="I110" s="726"/>
      <c r="J110" s="726"/>
      <c r="K110" s="726"/>
      <c r="L110" s="726"/>
      <c r="M110" s="726"/>
      <c r="N110" s="726"/>
      <c r="O110" s="726"/>
      <c r="P110" s="726"/>
      <c r="Q110" s="726"/>
      <c r="R110" s="726"/>
      <c r="S110" s="726"/>
      <c r="T110" s="726"/>
      <c r="U110" s="726"/>
      <c r="V110" s="726"/>
      <c r="W110" s="726"/>
      <c r="X110" s="726"/>
      <c r="Y110" s="726"/>
      <c r="Z110" s="726"/>
    </row>
    <row r="111" spans="7:26">
      <c r="G111" s="726"/>
      <c r="H111" s="726"/>
      <c r="I111" s="726"/>
      <c r="J111" s="726"/>
      <c r="K111" s="726"/>
      <c r="L111" s="726"/>
      <c r="M111" s="726"/>
      <c r="N111" s="726"/>
      <c r="O111" s="726"/>
      <c r="P111" s="726"/>
      <c r="Q111" s="726"/>
      <c r="R111" s="726"/>
      <c r="S111" s="726"/>
      <c r="T111" s="726"/>
      <c r="U111" s="726"/>
      <c r="V111" s="726"/>
      <c r="W111" s="726"/>
      <c r="X111" s="726"/>
      <c r="Y111" s="726"/>
      <c r="Z111" s="726"/>
    </row>
    <row r="112" spans="7:26">
      <c r="G112" s="726"/>
      <c r="H112" s="726"/>
      <c r="I112" s="726"/>
      <c r="J112" s="726"/>
      <c r="K112" s="726"/>
      <c r="L112" s="726"/>
      <c r="M112" s="726"/>
      <c r="N112" s="726"/>
      <c r="O112" s="726"/>
      <c r="P112" s="726"/>
      <c r="Q112" s="726"/>
      <c r="R112" s="726"/>
      <c r="S112" s="726"/>
      <c r="T112" s="726"/>
      <c r="U112" s="726"/>
      <c r="V112" s="726"/>
      <c r="W112" s="726"/>
      <c r="X112" s="726"/>
      <c r="Y112" s="726"/>
      <c r="Z112" s="726"/>
    </row>
    <row r="113" spans="7:26">
      <c r="G113" s="726"/>
      <c r="H113" s="726"/>
      <c r="I113" s="726"/>
      <c r="J113" s="726"/>
      <c r="K113" s="726"/>
      <c r="L113" s="726"/>
      <c r="M113" s="726"/>
      <c r="N113" s="726"/>
      <c r="O113" s="726"/>
      <c r="P113" s="726"/>
      <c r="Q113" s="726"/>
      <c r="R113" s="726"/>
      <c r="S113" s="726"/>
      <c r="T113" s="726"/>
      <c r="U113" s="726"/>
      <c r="V113" s="726"/>
      <c r="W113" s="726"/>
      <c r="X113" s="726"/>
      <c r="Y113" s="726"/>
      <c r="Z113" s="726"/>
    </row>
    <row r="114" spans="7:26">
      <c r="G114" s="726"/>
      <c r="H114" s="726"/>
      <c r="I114" s="726"/>
      <c r="J114" s="726"/>
      <c r="K114" s="726"/>
      <c r="L114" s="726"/>
      <c r="M114" s="726"/>
      <c r="N114" s="726"/>
      <c r="O114" s="726"/>
      <c r="P114" s="726"/>
      <c r="Q114" s="726"/>
      <c r="R114" s="726"/>
      <c r="S114" s="726"/>
      <c r="T114" s="726"/>
      <c r="U114" s="726"/>
      <c r="V114" s="726"/>
      <c r="W114" s="726"/>
      <c r="X114" s="726"/>
      <c r="Y114" s="726"/>
      <c r="Z114" s="726"/>
    </row>
    <row r="115" spans="7:26">
      <c r="G115" s="726"/>
      <c r="H115" s="726"/>
      <c r="I115" s="726"/>
      <c r="J115" s="726"/>
      <c r="K115" s="726"/>
      <c r="L115" s="726"/>
      <c r="M115" s="726"/>
      <c r="N115" s="726"/>
      <c r="O115" s="726"/>
      <c r="P115" s="726"/>
      <c r="Q115" s="726"/>
      <c r="R115" s="726"/>
      <c r="S115" s="726"/>
      <c r="T115" s="726"/>
      <c r="U115" s="726"/>
      <c r="V115" s="726"/>
      <c r="W115" s="726"/>
      <c r="X115" s="726"/>
      <c r="Y115" s="726"/>
      <c r="Z115" s="726"/>
    </row>
    <row r="116" spans="7:26">
      <c r="G116" s="726"/>
      <c r="H116" s="726"/>
      <c r="I116" s="726"/>
      <c r="J116" s="726"/>
      <c r="K116" s="726"/>
      <c r="L116" s="726"/>
      <c r="M116" s="726"/>
      <c r="N116" s="726"/>
      <c r="O116" s="726"/>
      <c r="P116" s="726"/>
      <c r="Q116" s="726"/>
      <c r="R116" s="726"/>
      <c r="S116" s="726"/>
      <c r="T116" s="726"/>
      <c r="U116" s="726"/>
      <c r="V116" s="726"/>
      <c r="W116" s="726"/>
      <c r="X116" s="726"/>
      <c r="Y116" s="726"/>
      <c r="Z116" s="726"/>
    </row>
    <row r="117" spans="7:26">
      <c r="G117" s="726"/>
      <c r="H117" s="726"/>
      <c r="I117" s="726"/>
      <c r="J117" s="726"/>
      <c r="K117" s="726"/>
      <c r="L117" s="726"/>
      <c r="M117" s="726"/>
      <c r="N117" s="726"/>
      <c r="O117" s="726"/>
      <c r="P117" s="726"/>
      <c r="Q117" s="726"/>
      <c r="R117" s="726"/>
      <c r="S117" s="726"/>
      <c r="T117" s="726"/>
      <c r="U117" s="726"/>
      <c r="V117" s="726"/>
      <c r="W117" s="726"/>
      <c r="X117" s="726"/>
      <c r="Y117" s="726"/>
      <c r="Z117" s="726"/>
    </row>
    <row r="118" spans="7:26">
      <c r="G118" s="726"/>
      <c r="H118" s="726"/>
      <c r="I118" s="726"/>
      <c r="J118" s="726"/>
      <c r="K118" s="726"/>
      <c r="L118" s="726"/>
      <c r="M118" s="726"/>
      <c r="N118" s="726"/>
      <c r="O118" s="726"/>
      <c r="P118" s="726"/>
      <c r="Q118" s="726"/>
      <c r="R118" s="726"/>
      <c r="S118" s="726"/>
      <c r="T118" s="726"/>
      <c r="U118" s="726"/>
      <c r="V118" s="726"/>
      <c r="W118" s="726"/>
      <c r="X118" s="726"/>
      <c r="Y118" s="726"/>
      <c r="Z118" s="726"/>
    </row>
    <row r="119" spans="7:26">
      <c r="G119" s="726"/>
      <c r="H119" s="726"/>
      <c r="I119" s="726"/>
      <c r="J119" s="726"/>
      <c r="K119" s="726"/>
      <c r="L119" s="726"/>
      <c r="M119" s="726"/>
      <c r="N119" s="726"/>
      <c r="O119" s="726"/>
      <c r="P119" s="726"/>
      <c r="Q119" s="726"/>
      <c r="R119" s="726"/>
      <c r="S119" s="726"/>
      <c r="T119" s="726"/>
      <c r="U119" s="726"/>
      <c r="V119" s="726"/>
      <c r="W119" s="726"/>
      <c r="X119" s="726"/>
      <c r="Y119" s="726"/>
      <c r="Z119" s="726"/>
    </row>
    <row r="120" spans="7:26">
      <c r="G120" s="726"/>
      <c r="H120" s="726"/>
      <c r="I120" s="726"/>
      <c r="J120" s="726"/>
      <c r="K120" s="726"/>
      <c r="L120" s="726"/>
      <c r="M120" s="726"/>
      <c r="N120" s="726"/>
      <c r="O120" s="726"/>
      <c r="P120" s="726"/>
      <c r="Q120" s="726"/>
      <c r="R120" s="726"/>
      <c r="S120" s="726"/>
      <c r="T120" s="726"/>
      <c r="U120" s="726"/>
      <c r="V120" s="726"/>
      <c r="W120" s="726"/>
      <c r="X120" s="726"/>
      <c r="Y120" s="726"/>
      <c r="Z120" s="726"/>
    </row>
    <row r="121" spans="7:26">
      <c r="G121" s="726"/>
      <c r="H121" s="726"/>
      <c r="I121" s="726"/>
      <c r="J121" s="726"/>
      <c r="K121" s="726"/>
      <c r="L121" s="726"/>
      <c r="M121" s="726"/>
      <c r="N121" s="726"/>
      <c r="O121" s="726"/>
      <c r="P121" s="726"/>
      <c r="Q121" s="726"/>
      <c r="R121" s="726"/>
      <c r="S121" s="726"/>
      <c r="T121" s="726"/>
      <c r="U121" s="726"/>
      <c r="V121" s="726"/>
      <c r="W121" s="726"/>
      <c r="X121" s="726"/>
      <c r="Y121" s="726"/>
      <c r="Z121" s="726"/>
    </row>
    <row r="122" spans="7:26">
      <c r="G122" s="726"/>
      <c r="H122" s="726"/>
      <c r="I122" s="726"/>
      <c r="J122" s="726"/>
      <c r="K122" s="726"/>
      <c r="L122" s="726"/>
      <c r="M122" s="726"/>
      <c r="N122" s="726"/>
      <c r="O122" s="726"/>
      <c r="P122" s="726"/>
      <c r="Q122" s="726"/>
      <c r="R122" s="726"/>
      <c r="S122" s="726"/>
      <c r="T122" s="726"/>
      <c r="U122" s="726"/>
      <c r="V122" s="726"/>
      <c r="W122" s="726"/>
      <c r="X122" s="726"/>
      <c r="Y122" s="726"/>
      <c r="Z122" s="726"/>
    </row>
    <row r="123" spans="7:26">
      <c r="G123" s="726"/>
      <c r="H123" s="726"/>
      <c r="I123" s="726"/>
      <c r="J123" s="726"/>
      <c r="K123" s="726"/>
      <c r="L123" s="726"/>
      <c r="M123" s="726"/>
      <c r="N123" s="726"/>
      <c r="O123" s="726"/>
      <c r="P123" s="726"/>
      <c r="Q123" s="726"/>
      <c r="R123" s="726"/>
      <c r="S123" s="726"/>
      <c r="T123" s="726"/>
      <c r="U123" s="726"/>
      <c r="V123" s="726"/>
      <c r="W123" s="726"/>
      <c r="X123" s="726"/>
      <c r="Y123" s="726"/>
      <c r="Z123" s="726"/>
    </row>
    <row r="124" spans="7:26">
      <c r="G124" s="726"/>
      <c r="H124" s="726"/>
      <c r="I124" s="726"/>
      <c r="J124" s="726"/>
      <c r="K124" s="726"/>
      <c r="L124" s="726"/>
      <c r="M124" s="726"/>
      <c r="N124" s="726"/>
      <c r="O124" s="726"/>
      <c r="P124" s="726"/>
      <c r="Q124" s="726"/>
      <c r="R124" s="726"/>
      <c r="S124" s="726"/>
      <c r="T124" s="726"/>
      <c r="U124" s="726"/>
      <c r="V124" s="726"/>
      <c r="W124" s="726"/>
      <c r="X124" s="726"/>
      <c r="Y124" s="726"/>
      <c r="Z124" s="726"/>
    </row>
    <row r="125" spans="7:26">
      <c r="G125" s="726"/>
      <c r="H125" s="726"/>
      <c r="I125" s="726"/>
      <c r="J125" s="726"/>
      <c r="K125" s="726"/>
      <c r="L125" s="726"/>
      <c r="M125" s="726"/>
      <c r="N125" s="726"/>
      <c r="O125" s="726"/>
      <c r="P125" s="726"/>
      <c r="Q125" s="726"/>
      <c r="R125" s="726"/>
      <c r="S125" s="726"/>
      <c r="T125" s="726"/>
      <c r="U125" s="726"/>
      <c r="V125" s="726"/>
      <c r="W125" s="726"/>
      <c r="X125" s="726"/>
      <c r="Y125" s="726"/>
      <c r="Z125" s="726"/>
    </row>
    <row r="126" spans="7:26">
      <c r="G126" s="726"/>
      <c r="H126" s="726"/>
      <c r="I126" s="726"/>
      <c r="J126" s="726"/>
      <c r="K126" s="726"/>
      <c r="L126" s="726"/>
      <c r="M126" s="726"/>
      <c r="N126" s="726"/>
      <c r="O126" s="726"/>
      <c r="P126" s="726"/>
      <c r="Q126" s="726"/>
      <c r="R126" s="726"/>
      <c r="S126" s="726"/>
      <c r="T126" s="726"/>
      <c r="U126" s="726"/>
      <c r="V126" s="726"/>
      <c r="W126" s="726"/>
      <c r="X126" s="726"/>
      <c r="Y126" s="726"/>
      <c r="Z126" s="726"/>
    </row>
    <row r="127" spans="7:26">
      <c r="G127" s="726"/>
      <c r="H127" s="726"/>
      <c r="I127" s="726"/>
      <c r="J127" s="726"/>
      <c r="K127" s="726"/>
      <c r="L127" s="726"/>
      <c r="M127" s="726"/>
      <c r="N127" s="726"/>
      <c r="O127" s="726"/>
      <c r="P127" s="726"/>
      <c r="Q127" s="726"/>
      <c r="R127" s="726"/>
      <c r="S127" s="726"/>
      <c r="T127" s="726"/>
      <c r="U127" s="726"/>
      <c r="V127" s="726"/>
      <c r="W127" s="726"/>
      <c r="X127" s="726"/>
      <c r="Y127" s="726"/>
      <c r="Z127" s="726"/>
    </row>
    <row r="128" spans="7:26">
      <c r="G128" s="726"/>
      <c r="H128" s="726"/>
      <c r="I128" s="726"/>
      <c r="J128" s="726"/>
      <c r="K128" s="726"/>
      <c r="L128" s="726"/>
      <c r="M128" s="726"/>
      <c r="N128" s="726"/>
      <c r="O128" s="726"/>
      <c r="P128" s="726"/>
      <c r="Q128" s="726"/>
      <c r="R128" s="726"/>
      <c r="S128" s="726"/>
      <c r="T128" s="726"/>
      <c r="U128" s="726"/>
      <c r="V128" s="726"/>
      <c r="W128" s="726"/>
      <c r="X128" s="726"/>
      <c r="Y128" s="726"/>
      <c r="Z128" s="726"/>
    </row>
    <row r="129" spans="7:26">
      <c r="G129" s="726"/>
      <c r="H129" s="726"/>
      <c r="I129" s="726"/>
      <c r="J129" s="726"/>
      <c r="K129" s="726"/>
      <c r="L129" s="726"/>
      <c r="M129" s="726"/>
      <c r="N129" s="726"/>
      <c r="O129" s="726"/>
      <c r="P129" s="726"/>
      <c r="Q129" s="726"/>
      <c r="R129" s="726"/>
      <c r="S129" s="726"/>
      <c r="T129" s="726"/>
      <c r="U129" s="726"/>
      <c r="V129" s="726"/>
      <c r="W129" s="726"/>
      <c r="X129" s="726"/>
      <c r="Y129" s="726"/>
      <c r="Z129" s="726"/>
    </row>
    <row r="130" spans="7:26">
      <c r="G130" s="726"/>
      <c r="H130" s="726"/>
      <c r="I130" s="726"/>
      <c r="J130" s="726"/>
      <c r="K130" s="726"/>
      <c r="L130" s="726"/>
      <c r="M130" s="726"/>
      <c r="N130" s="726"/>
      <c r="O130" s="726"/>
      <c r="P130" s="726"/>
      <c r="Q130" s="726"/>
      <c r="R130" s="726"/>
      <c r="S130" s="726"/>
      <c r="T130" s="726"/>
      <c r="U130" s="726"/>
      <c r="V130" s="726"/>
      <c r="W130" s="726"/>
      <c r="X130" s="726"/>
      <c r="Y130" s="726"/>
      <c r="Z130" s="726"/>
    </row>
    <row r="131" spans="7:26">
      <c r="G131" s="726"/>
      <c r="H131" s="726"/>
      <c r="I131" s="726"/>
      <c r="J131" s="726"/>
      <c r="K131" s="726"/>
      <c r="L131" s="726"/>
      <c r="M131" s="726"/>
      <c r="N131" s="726"/>
      <c r="O131" s="726"/>
      <c r="P131" s="726"/>
      <c r="Q131" s="726"/>
      <c r="R131" s="726"/>
      <c r="S131" s="726"/>
      <c r="T131" s="726"/>
      <c r="U131" s="726"/>
      <c r="V131" s="726"/>
      <c r="W131" s="726"/>
      <c r="X131" s="726"/>
      <c r="Y131" s="726"/>
      <c r="Z131" s="726"/>
    </row>
    <row r="132" spans="7:26">
      <c r="G132" s="726"/>
      <c r="H132" s="726"/>
      <c r="I132" s="726"/>
      <c r="J132" s="726"/>
      <c r="K132" s="726"/>
      <c r="L132" s="726"/>
      <c r="M132" s="726"/>
      <c r="N132" s="726"/>
      <c r="O132" s="726"/>
      <c r="P132" s="726"/>
      <c r="Q132" s="726"/>
      <c r="R132" s="726"/>
      <c r="S132" s="726"/>
      <c r="T132" s="726"/>
      <c r="U132" s="726"/>
      <c r="V132" s="726"/>
      <c r="W132" s="726"/>
      <c r="X132" s="726"/>
      <c r="Y132" s="726"/>
      <c r="Z132" s="726"/>
    </row>
    <row r="133" spans="7:26">
      <c r="G133" s="726"/>
      <c r="H133" s="726"/>
      <c r="I133" s="726"/>
      <c r="J133" s="726"/>
      <c r="K133" s="726"/>
      <c r="L133" s="726"/>
      <c r="M133" s="726"/>
      <c r="N133" s="726"/>
      <c r="O133" s="726"/>
      <c r="P133" s="726"/>
      <c r="Q133" s="726"/>
      <c r="R133" s="726"/>
      <c r="S133" s="726"/>
      <c r="T133" s="726"/>
      <c r="U133" s="726"/>
      <c r="V133" s="726"/>
      <c r="W133" s="726"/>
      <c r="X133" s="726"/>
      <c r="Y133" s="726"/>
      <c r="Z133" s="726"/>
    </row>
    <row r="134" spans="7:26">
      <c r="G134" s="726"/>
      <c r="H134" s="726"/>
      <c r="I134" s="726"/>
      <c r="J134" s="726"/>
      <c r="K134" s="726"/>
      <c r="L134" s="726"/>
      <c r="M134" s="726"/>
      <c r="N134" s="726"/>
      <c r="O134" s="726"/>
      <c r="P134" s="726"/>
      <c r="Q134" s="726"/>
      <c r="R134" s="726"/>
      <c r="S134" s="726"/>
      <c r="T134" s="726"/>
      <c r="U134" s="726"/>
      <c r="V134" s="726"/>
      <c r="W134" s="726"/>
      <c r="X134" s="726"/>
      <c r="Y134" s="726"/>
      <c r="Z134" s="726"/>
    </row>
    <row r="135" spans="7:26">
      <c r="G135" s="726"/>
      <c r="H135" s="726"/>
      <c r="I135" s="726"/>
      <c r="J135" s="726"/>
      <c r="K135" s="726"/>
      <c r="L135" s="726"/>
      <c r="M135" s="726"/>
      <c r="N135" s="726"/>
      <c r="O135" s="726"/>
      <c r="P135" s="726"/>
      <c r="Q135" s="726"/>
      <c r="R135" s="726"/>
      <c r="S135" s="726"/>
      <c r="T135" s="726"/>
      <c r="U135" s="726"/>
      <c r="V135" s="726"/>
      <c r="W135" s="726"/>
      <c r="X135" s="726"/>
      <c r="Y135" s="726"/>
      <c r="Z135" s="726"/>
    </row>
    <row r="136" spans="7:26">
      <c r="G136" s="726"/>
      <c r="H136" s="726"/>
      <c r="I136" s="726"/>
      <c r="J136" s="726"/>
      <c r="K136" s="726"/>
      <c r="L136" s="726"/>
      <c r="M136" s="726"/>
      <c r="N136" s="726"/>
      <c r="O136" s="726"/>
      <c r="P136" s="726"/>
      <c r="Q136" s="726"/>
      <c r="R136" s="726"/>
      <c r="S136" s="726"/>
      <c r="T136" s="726"/>
      <c r="U136" s="726"/>
      <c r="V136" s="726"/>
      <c r="W136" s="726"/>
      <c r="X136" s="726"/>
      <c r="Y136" s="726"/>
      <c r="Z136" s="726"/>
    </row>
    <row r="137" spans="7:26">
      <c r="G137" s="726"/>
      <c r="H137" s="726"/>
      <c r="I137" s="726"/>
      <c r="J137" s="726"/>
      <c r="K137" s="726"/>
      <c r="L137" s="726"/>
      <c r="M137" s="726"/>
      <c r="N137" s="726"/>
      <c r="O137" s="726"/>
      <c r="P137" s="726"/>
      <c r="Q137" s="726"/>
      <c r="R137" s="726"/>
      <c r="S137" s="726"/>
      <c r="T137" s="726"/>
      <c r="U137" s="726"/>
      <c r="V137" s="726"/>
      <c r="W137" s="726"/>
      <c r="X137" s="726"/>
      <c r="Y137" s="726"/>
      <c r="Z137" s="726"/>
    </row>
    <row r="138" spans="7:26">
      <c r="G138" s="726"/>
      <c r="H138" s="726"/>
      <c r="I138" s="726"/>
      <c r="J138" s="726"/>
      <c r="K138" s="726"/>
      <c r="L138" s="726"/>
      <c r="M138" s="726"/>
      <c r="N138" s="726"/>
      <c r="O138" s="726"/>
      <c r="P138" s="726"/>
      <c r="Q138" s="726"/>
      <c r="R138" s="726"/>
      <c r="S138" s="726"/>
      <c r="T138" s="726"/>
      <c r="U138" s="726"/>
      <c r="V138" s="726"/>
      <c r="W138" s="726"/>
      <c r="X138" s="726"/>
      <c r="Y138" s="726"/>
      <c r="Z138" s="726"/>
    </row>
    <row r="139" spans="7:26">
      <c r="G139" s="726"/>
      <c r="H139" s="726"/>
      <c r="I139" s="726"/>
      <c r="J139" s="726"/>
      <c r="K139" s="726"/>
      <c r="L139" s="726"/>
      <c r="M139" s="726"/>
      <c r="N139" s="726"/>
      <c r="O139" s="726"/>
      <c r="P139" s="726"/>
      <c r="Q139" s="726"/>
      <c r="R139" s="726"/>
      <c r="S139" s="726"/>
      <c r="T139" s="726"/>
      <c r="U139" s="726"/>
      <c r="V139" s="726"/>
      <c r="W139" s="726"/>
      <c r="X139" s="726"/>
      <c r="Y139" s="726"/>
      <c r="Z139" s="726"/>
    </row>
    <row r="140" spans="7:26">
      <c r="G140" s="726"/>
      <c r="H140" s="726"/>
      <c r="I140" s="726"/>
      <c r="J140" s="726"/>
      <c r="K140" s="726"/>
      <c r="L140" s="726"/>
      <c r="M140" s="726"/>
      <c r="N140" s="726"/>
      <c r="O140" s="726"/>
      <c r="P140" s="726"/>
      <c r="Q140" s="726"/>
      <c r="R140" s="726"/>
      <c r="S140" s="726"/>
      <c r="T140" s="726"/>
      <c r="U140" s="726"/>
      <c r="V140" s="726"/>
      <c r="W140" s="726"/>
      <c r="X140" s="726"/>
      <c r="Y140" s="726"/>
      <c r="Z140" s="726"/>
    </row>
    <row r="141" spans="7:26">
      <c r="G141" s="726"/>
      <c r="H141" s="726"/>
      <c r="I141" s="726"/>
      <c r="J141" s="726"/>
      <c r="K141" s="726"/>
      <c r="L141" s="726"/>
      <c r="M141" s="726"/>
      <c r="N141" s="726"/>
      <c r="O141" s="726"/>
      <c r="P141" s="726"/>
      <c r="Q141" s="726"/>
      <c r="R141" s="726"/>
      <c r="S141" s="726"/>
      <c r="T141" s="726"/>
      <c r="U141" s="726"/>
      <c r="V141" s="726"/>
      <c r="W141" s="726"/>
      <c r="X141" s="726"/>
      <c r="Y141" s="726"/>
      <c r="Z141" s="726"/>
    </row>
    <row r="142" spans="7:26">
      <c r="G142" s="726"/>
      <c r="H142" s="726"/>
      <c r="I142" s="726"/>
      <c r="J142" s="726"/>
      <c r="K142" s="726"/>
      <c r="L142" s="726"/>
      <c r="M142" s="726"/>
      <c r="N142" s="726"/>
      <c r="O142" s="726"/>
      <c r="P142" s="726"/>
      <c r="Q142" s="726"/>
      <c r="R142" s="726"/>
      <c r="S142" s="726"/>
      <c r="T142" s="726"/>
      <c r="U142" s="726"/>
      <c r="V142" s="726"/>
      <c r="W142" s="726"/>
      <c r="X142" s="726"/>
      <c r="Y142" s="726"/>
      <c r="Z142" s="726"/>
    </row>
    <row r="143" spans="7:26">
      <c r="G143" s="726"/>
      <c r="H143" s="726"/>
      <c r="I143" s="726"/>
      <c r="J143" s="726"/>
      <c r="K143" s="726"/>
      <c r="L143" s="726"/>
      <c r="M143" s="726"/>
      <c r="N143" s="726"/>
      <c r="O143" s="726"/>
      <c r="P143" s="726"/>
      <c r="Q143" s="726"/>
      <c r="R143" s="726"/>
      <c r="S143" s="726"/>
      <c r="T143" s="726"/>
      <c r="U143" s="726"/>
      <c r="V143" s="726"/>
      <c r="W143" s="726"/>
      <c r="X143" s="726"/>
      <c r="Y143" s="726"/>
      <c r="Z143" s="726"/>
    </row>
    <row r="144" spans="7:26">
      <c r="G144" s="726"/>
      <c r="H144" s="726"/>
      <c r="I144" s="726"/>
      <c r="J144" s="726"/>
      <c r="K144" s="726"/>
      <c r="L144" s="726"/>
      <c r="M144" s="726"/>
      <c r="N144" s="726"/>
      <c r="O144" s="726"/>
      <c r="P144" s="726"/>
      <c r="Q144" s="726"/>
      <c r="R144" s="726"/>
      <c r="S144" s="726"/>
      <c r="T144" s="726"/>
      <c r="U144" s="726"/>
      <c r="V144" s="726"/>
      <c r="W144" s="726"/>
      <c r="X144" s="726"/>
      <c r="Y144" s="726"/>
      <c r="Z144" s="726"/>
    </row>
    <row r="145" spans="7:26">
      <c r="G145" s="726"/>
      <c r="H145" s="726"/>
      <c r="I145" s="726"/>
      <c r="J145" s="726"/>
      <c r="K145" s="726"/>
      <c r="L145" s="726"/>
      <c r="M145" s="726"/>
      <c r="N145" s="726"/>
      <c r="O145" s="726"/>
      <c r="P145" s="726"/>
      <c r="Q145" s="726"/>
      <c r="R145" s="726"/>
      <c r="S145" s="726"/>
      <c r="T145" s="726"/>
      <c r="U145" s="726"/>
      <c r="V145" s="726"/>
      <c r="W145" s="726"/>
      <c r="X145" s="726"/>
      <c r="Y145" s="726"/>
      <c r="Z145" s="726"/>
    </row>
    <row r="146" spans="7:26">
      <c r="G146" s="726"/>
      <c r="H146" s="726"/>
      <c r="I146" s="726"/>
      <c r="J146" s="726"/>
      <c r="K146" s="726"/>
      <c r="L146" s="726"/>
      <c r="M146" s="726"/>
      <c r="N146" s="726"/>
      <c r="O146" s="726"/>
      <c r="P146" s="726"/>
      <c r="Q146" s="726"/>
      <c r="R146" s="726"/>
      <c r="S146" s="726"/>
      <c r="T146" s="726"/>
      <c r="U146" s="726"/>
      <c r="V146" s="726"/>
      <c r="W146" s="726"/>
      <c r="X146" s="726"/>
      <c r="Y146" s="726"/>
      <c r="Z146" s="726"/>
    </row>
    <row r="147" spans="7:26">
      <c r="G147" s="726"/>
      <c r="H147" s="726"/>
      <c r="I147" s="726"/>
      <c r="J147" s="726"/>
      <c r="K147" s="726"/>
      <c r="L147" s="726"/>
      <c r="M147" s="726"/>
      <c r="N147" s="726"/>
      <c r="O147" s="726"/>
      <c r="P147" s="726"/>
      <c r="Q147" s="726"/>
      <c r="R147" s="726"/>
      <c r="S147" s="726"/>
      <c r="T147" s="726"/>
      <c r="U147" s="726"/>
      <c r="V147" s="726"/>
      <c r="W147" s="726"/>
      <c r="X147" s="726"/>
      <c r="Y147" s="726"/>
      <c r="Z147" s="726"/>
    </row>
    <row r="148" spans="7:26">
      <c r="G148" s="726"/>
      <c r="H148" s="726"/>
      <c r="I148" s="726"/>
      <c r="J148" s="726"/>
      <c r="K148" s="726"/>
      <c r="L148" s="726"/>
      <c r="M148" s="726"/>
      <c r="N148" s="726"/>
      <c r="O148" s="726"/>
      <c r="P148" s="726"/>
      <c r="Q148" s="726"/>
      <c r="R148" s="726"/>
      <c r="S148" s="726"/>
      <c r="T148" s="726"/>
      <c r="U148" s="726"/>
      <c r="V148" s="726"/>
      <c r="W148" s="726"/>
      <c r="X148" s="726"/>
      <c r="Y148" s="726"/>
      <c r="Z148" s="726"/>
    </row>
    <row r="149" spans="7:26">
      <c r="G149" s="726"/>
      <c r="H149" s="726"/>
      <c r="I149" s="726"/>
      <c r="J149" s="726"/>
      <c r="K149" s="726"/>
      <c r="L149" s="726"/>
      <c r="M149" s="726"/>
      <c r="N149" s="726"/>
      <c r="O149" s="726"/>
      <c r="P149" s="726"/>
      <c r="Q149" s="726"/>
      <c r="R149" s="726"/>
      <c r="S149" s="726"/>
      <c r="T149" s="726"/>
      <c r="U149" s="726"/>
      <c r="V149" s="726"/>
      <c r="W149" s="726"/>
      <c r="X149" s="726"/>
      <c r="Y149" s="726"/>
      <c r="Z149" s="726"/>
    </row>
    <row r="150" spans="7:26">
      <c r="G150" s="726"/>
      <c r="H150" s="726"/>
      <c r="I150" s="726"/>
      <c r="J150" s="726"/>
      <c r="K150" s="726"/>
      <c r="L150" s="726"/>
      <c r="M150" s="726"/>
      <c r="N150" s="726"/>
      <c r="O150" s="726"/>
      <c r="P150" s="726"/>
      <c r="Q150" s="726"/>
      <c r="R150" s="726"/>
      <c r="S150" s="726"/>
      <c r="T150" s="726"/>
      <c r="U150" s="726"/>
      <c r="V150" s="726"/>
      <c r="W150" s="726"/>
      <c r="X150" s="726"/>
      <c r="Y150" s="726"/>
      <c r="Z150" s="726"/>
    </row>
    <row r="151" spans="7:26">
      <c r="G151" s="726"/>
      <c r="H151" s="726"/>
      <c r="I151" s="726"/>
      <c r="J151" s="726"/>
      <c r="K151" s="726"/>
      <c r="L151" s="726"/>
      <c r="M151" s="726"/>
      <c r="N151" s="726"/>
      <c r="O151" s="726"/>
      <c r="P151" s="726"/>
      <c r="Q151" s="726"/>
      <c r="R151" s="726"/>
      <c r="S151" s="726"/>
      <c r="T151" s="726"/>
      <c r="U151" s="726"/>
      <c r="V151" s="726"/>
      <c r="W151" s="726"/>
      <c r="X151" s="726"/>
      <c r="Y151" s="726"/>
      <c r="Z151" s="726"/>
    </row>
    <row r="152" spans="7:26">
      <c r="G152" s="726"/>
      <c r="H152" s="726"/>
      <c r="I152" s="726"/>
      <c r="J152" s="726"/>
      <c r="K152" s="726"/>
      <c r="L152" s="726"/>
      <c r="M152" s="726"/>
      <c r="N152" s="726"/>
      <c r="O152" s="726"/>
      <c r="P152" s="726"/>
      <c r="Q152" s="726"/>
      <c r="R152" s="726"/>
      <c r="S152" s="726"/>
      <c r="T152" s="726"/>
      <c r="U152" s="726"/>
      <c r="V152" s="726"/>
      <c r="W152" s="726"/>
      <c r="X152" s="726"/>
      <c r="Y152" s="726"/>
      <c r="Z152" s="726"/>
    </row>
    <row r="153" spans="7:26">
      <c r="G153" s="726"/>
      <c r="H153" s="726"/>
      <c r="I153" s="726"/>
      <c r="J153" s="726"/>
      <c r="K153" s="726"/>
      <c r="L153" s="726"/>
      <c r="M153" s="726"/>
      <c r="N153" s="726"/>
      <c r="O153" s="726"/>
      <c r="P153" s="726"/>
      <c r="Q153" s="726"/>
      <c r="R153" s="726"/>
      <c r="S153" s="726"/>
      <c r="T153" s="726"/>
      <c r="U153" s="726"/>
      <c r="V153" s="726"/>
      <c r="W153" s="726"/>
      <c r="X153" s="726"/>
      <c r="Y153" s="726"/>
      <c r="Z153" s="726"/>
    </row>
  </sheetData>
  <sheetProtection algorithmName="SHA-512" hashValue="sDjqel3gk2lOY1vsm4G5SxQOJ7etkWttB6BimnWvqYDGqoPuV+k1dwjcrjOKbMDkG8vkPi2mFHhhTsnTOJ2Gyw==" saltValue="8Ci6TXvQ48leuGryFTV4lA==" spinCount="100000" sheet="1" objects="1" scenarios="1"/>
  <mergeCells count="62">
    <mergeCell ref="C71:D71"/>
    <mergeCell ref="C46:D46"/>
    <mergeCell ref="C72:D72"/>
    <mergeCell ref="C73:D73"/>
    <mergeCell ref="C33:D33"/>
    <mergeCell ref="C41:D41"/>
    <mergeCell ref="C43:D43"/>
    <mergeCell ref="C36:D36"/>
    <mergeCell ref="C42:D42"/>
    <mergeCell ref="C37:D37"/>
    <mergeCell ref="C40:D40"/>
    <mergeCell ref="C34:D34"/>
    <mergeCell ref="C38:D38"/>
    <mergeCell ref="C39:D39"/>
    <mergeCell ref="C35:D35"/>
    <mergeCell ref="C70:D70"/>
    <mergeCell ref="C76:D81"/>
    <mergeCell ref="C50:D50"/>
    <mergeCell ref="C53:D53"/>
    <mergeCell ref="C68:D68"/>
    <mergeCell ref="C44:D44"/>
    <mergeCell ref="C45:D45"/>
    <mergeCell ref="C62:D62"/>
    <mergeCell ref="C63:D63"/>
    <mergeCell ref="C61:D61"/>
    <mergeCell ref="C54:D54"/>
    <mergeCell ref="C47:D47"/>
    <mergeCell ref="C52:D52"/>
    <mergeCell ref="C55:D55"/>
    <mergeCell ref="C56:D56"/>
    <mergeCell ref="C57:D57"/>
    <mergeCell ref="C49:D49"/>
    <mergeCell ref="C28:D28"/>
    <mergeCell ref="C29:D29"/>
    <mergeCell ref="C30:D30"/>
    <mergeCell ref="C31:D31"/>
    <mergeCell ref="C32:D32"/>
    <mergeCell ref="C8:D8"/>
    <mergeCell ref="C9:D9"/>
    <mergeCell ref="C22:D22"/>
    <mergeCell ref="C26:D26"/>
    <mergeCell ref="C27:D27"/>
    <mergeCell ref="C10:D10"/>
    <mergeCell ref="C11:D11"/>
    <mergeCell ref="C23:D23"/>
    <mergeCell ref="C24:D24"/>
    <mergeCell ref="B1:E1"/>
    <mergeCell ref="C3:D3"/>
    <mergeCell ref="C6:D6"/>
    <mergeCell ref="C7:D7"/>
    <mergeCell ref="C2:D2"/>
    <mergeCell ref="C4:D4"/>
    <mergeCell ref="C5:D5"/>
    <mergeCell ref="C67:D67"/>
    <mergeCell ref="C48:D48"/>
    <mergeCell ref="C64:D64"/>
    <mergeCell ref="C65:D65"/>
    <mergeCell ref="C66:D66"/>
    <mergeCell ref="C51:D51"/>
    <mergeCell ref="C58:D58"/>
    <mergeCell ref="C59:D59"/>
    <mergeCell ref="C60:D60"/>
  </mergeCells>
  <hyperlinks>
    <hyperlink ref="B75" location="'Review &amp; Instructions '!A1" display="Top" xr:uid="{00000000-0004-0000-0100-000000000000}"/>
    <hyperlink ref="C12" location="'Recommended Vehicles'!A1" display="Recommended Vehicles:" xr:uid="{00000000-0004-0000-0100-000001000000}"/>
    <hyperlink ref="C17" location="'Fuel Efficiency Standard'!A1" display="Fuel Efficiency Standard" xr:uid="{00000000-0004-0000-0100-000002000000}"/>
    <hyperlink ref="C13" location="'Vehicle Request'!A1" display="Vehicle Request:" xr:uid="{00000000-0004-0000-0100-000003000000}"/>
    <hyperlink ref="C15" location="'Vehicle Turn-In'!A1" display="Vehicle Turn-In:" xr:uid="{00000000-0004-0000-0100-000004000000}"/>
    <hyperlink ref="C18" location="'Exemption Justification'!A1" display="Exemption Justification:" xr:uid="{00000000-0004-0000-0100-000005000000}"/>
    <hyperlink ref="C20" location="'Electronic Signature'!A1" display="Electronic Signature:" xr:uid="{00000000-0004-0000-0100-000006000000}"/>
    <hyperlink ref="C16" location="'Upfit Calculations'!A1" display="Upfit Calculations:" xr:uid="{00000000-0004-0000-0100-000007000000}"/>
    <hyperlink ref="C14" location="'Vehicle Justification'!A1" display="Vehicle Justification:" xr:uid="{00000000-0004-0000-0100-000008000000}"/>
    <hyperlink ref="C5:D5" r:id="rId1" display="Please click here to review the current FES document." xr:uid="{00000000-0004-0000-0100-000009000000}"/>
    <hyperlink ref="C43:D43" location="'Fuel Efficiency Standard'!A1" display="FUEL EFFICIENCY STANDARD" xr:uid="{00000000-0004-0000-0100-00000A000000}"/>
    <hyperlink ref="C28:D28" location="'Recommended Vehicles'!A1" display="RECOMMENDED VEHICLES" xr:uid="{00000000-0004-0000-0100-00000B000000}"/>
    <hyperlink ref="C30:D30" location="'Vehicle Request'!A1" display="VEHICLE REQUEST" xr:uid="{00000000-0004-0000-0100-00000C000000}"/>
    <hyperlink ref="C37:D37" location="'Vehicle Justification'!A1" display="VEHICLE JUSTIFICATION" xr:uid="{00000000-0004-0000-0100-00000D000000}"/>
    <hyperlink ref="C39:D39" location="'Vehicle Turn-In'!A1" display="VEHICLE TURN-IN" xr:uid="{00000000-0004-0000-0100-00000E000000}"/>
    <hyperlink ref="C41:D41" location="'Upfit Calculations'!A1" display="UPFIT CALCULATIONS" xr:uid="{00000000-0004-0000-0100-00000F000000}"/>
    <hyperlink ref="C53:D53" location="'Exemption Justification'!A1" display="EXEMPTION JUSTIFICATION" xr:uid="{00000000-0004-0000-0100-000010000000}"/>
    <hyperlink ref="C62:D62" location="'Alternative Compliance'!A1" display="ALTERNATIVE COMPLIANCE (for agencies requesting an exemption from Standard Compliance)" xr:uid="{00000000-0004-0000-0100-000011000000}"/>
    <hyperlink ref="C70:D70" location="'Electronic Signature'!A1" display="ELECTRONIC SIGNATURE" xr:uid="{00000000-0004-0000-0100-000012000000}"/>
    <hyperlink ref="C19" location="'Alternative Compliance'!A1" display="Alternative Compliance:" xr:uid="{00000000-0004-0000-0100-000013000000}"/>
    <hyperlink ref="C21" location="'Appendix - VEH98 Vehicles'!A1" display="Appendix - VEH98 Vehicles" xr:uid="{00000000-0004-0000-0100-000014000000}"/>
    <hyperlink ref="C72:D72" location="'Appendix - VEH98 Vehicles'!A1" display="APPENDIX - VEH98 VEHICLES" xr:uid="{00000000-0004-0000-0100-000015000000}"/>
  </hyperlinks>
  <printOptions horizontalCentered="1"/>
  <pageMargins left="0.5" right="0.5" top="0.5" bottom="0.5" header="0.25" footer="0.25"/>
  <pageSetup scale="69" fitToHeight="0" orientation="portrait" r:id="rId2"/>
  <headerFooter>
    <oddHeader>&amp;F</oddHeader>
    <oddFooter>&amp;L&amp;A&amp;CPage &amp;P of &amp;N</oddFooter>
  </headerFooter>
  <rowBreaks count="1" manualBreakCount="1">
    <brk id="42" min="1" max="4" man="1"/>
  </rowBreaks>
  <colBreaks count="1" manualBreakCount="1">
    <brk id="1"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CC"/>
  </sheetPr>
  <dimension ref="A1:U1287"/>
  <sheetViews>
    <sheetView zoomScale="80" zoomScaleNormal="80" workbookViewId="0">
      <pane xSplit="1" ySplit="2" topLeftCell="B3" activePane="bottomRight" state="frozen"/>
      <selection pane="bottomRight"/>
      <selection pane="bottomLeft" activeCell="A3" sqref="A3"/>
      <selection pane="topRight" activeCell="B1" sqref="B1"/>
    </sheetView>
  </sheetViews>
  <sheetFormatPr defaultColWidth="0" defaultRowHeight="15" zeroHeight="1"/>
  <cols>
    <col min="1" max="1" width="3.7109375" style="10" customWidth="1"/>
    <col min="2" max="2" width="18.140625" style="10" bestFit="1" customWidth="1"/>
    <col min="3" max="3" width="19.7109375" style="10" bestFit="1" customWidth="1"/>
    <col min="4" max="4" width="30.28515625" style="10" customWidth="1"/>
    <col min="5" max="5" width="29.85546875" style="10" bestFit="1" customWidth="1"/>
    <col min="6" max="6" width="22" style="10" customWidth="1"/>
    <col min="7" max="7" width="18.140625" style="10" bestFit="1" customWidth="1"/>
    <col min="8" max="8" width="20.85546875" style="10" customWidth="1"/>
    <col min="9" max="9" width="3.85546875" style="10" customWidth="1"/>
    <col min="10" max="10" width="13.85546875" style="10" customWidth="1"/>
    <col min="11" max="11" width="18.42578125" style="10" customWidth="1"/>
    <col min="12" max="12" width="29.7109375" style="10" customWidth="1"/>
    <col min="13" max="13" width="31.42578125" style="10" customWidth="1"/>
    <col min="14" max="14" width="19" style="10" customWidth="1"/>
    <col min="15" max="15" width="18" style="10" customWidth="1"/>
    <col min="16" max="16" width="21.42578125" style="10" customWidth="1"/>
    <col min="17" max="17" width="9.42578125" style="10" customWidth="1"/>
    <col min="18" max="18" width="9.140625" style="10" customWidth="1"/>
    <col min="19" max="19" width="12.85546875" style="10" hidden="1" customWidth="1"/>
    <col min="20" max="20" width="9.140625" style="10" hidden="1" customWidth="1"/>
    <col min="21" max="21" width="9.28515625" style="10" hidden="1" customWidth="1"/>
    <col min="22" max="16384" width="9.140625" style="10" hidden="1"/>
  </cols>
  <sheetData>
    <row r="1" spans="2:19" ht="21" customHeight="1">
      <c r="B1" s="802" t="s">
        <v>94</v>
      </c>
      <c r="C1" s="802"/>
      <c r="D1" s="802"/>
      <c r="E1" s="802"/>
      <c r="F1" s="727"/>
      <c r="G1" s="727"/>
      <c r="H1" s="727"/>
      <c r="I1" s="727"/>
      <c r="J1" s="727"/>
      <c r="K1" s="727"/>
    </row>
    <row r="2" spans="2:19" ht="31.5" customHeight="1">
      <c r="B2" s="803" t="s">
        <v>95</v>
      </c>
      <c r="C2" s="803"/>
      <c r="D2" s="803"/>
      <c r="E2" s="803"/>
      <c r="F2" s="803"/>
      <c r="G2" s="728"/>
      <c r="H2" s="728"/>
      <c r="I2" s="728"/>
      <c r="J2" s="728"/>
      <c r="K2" s="728"/>
    </row>
    <row r="3" spans="2:19">
      <c r="B3" s="813" t="s">
        <v>96</v>
      </c>
      <c r="C3" s="814"/>
      <c r="D3" s="814"/>
      <c r="E3" s="814"/>
      <c r="F3" s="814"/>
      <c r="G3" s="814"/>
      <c r="H3" s="815"/>
      <c r="I3" s="726"/>
      <c r="J3" s="726"/>
      <c r="K3" s="726"/>
    </row>
    <row r="4" spans="2:19">
      <c r="B4" s="816"/>
      <c r="C4" s="817"/>
      <c r="D4" s="817"/>
      <c r="E4" s="817"/>
      <c r="F4" s="817"/>
      <c r="G4" s="817"/>
      <c r="H4" s="818"/>
    </row>
    <row r="5" spans="2:19" ht="7.5" customHeight="1"/>
    <row r="6" spans="2:19">
      <c r="B6" s="744" t="s">
        <v>97</v>
      </c>
      <c r="C6" s="744"/>
    </row>
    <row r="7" spans="2:19" ht="7.5" customHeight="1" thickBot="1"/>
    <row r="8" spans="2:19" ht="24">
      <c r="B8" s="807" t="s">
        <v>98</v>
      </c>
      <c r="C8" s="808"/>
      <c r="D8" s="808"/>
      <c r="E8" s="808"/>
      <c r="F8" s="808"/>
      <c r="G8" s="808"/>
      <c r="H8" s="809"/>
      <c r="J8" s="807" t="s">
        <v>99</v>
      </c>
      <c r="K8" s="808"/>
      <c r="L8" s="808"/>
      <c r="M8" s="808"/>
      <c r="N8" s="808"/>
      <c r="O8" s="808"/>
      <c r="P8" s="809"/>
    </row>
    <row r="9" spans="2:19" ht="18.75" customHeight="1">
      <c r="B9" s="810" t="s">
        <v>100</v>
      </c>
      <c r="C9" s="811"/>
      <c r="D9" s="811"/>
      <c r="E9" s="811"/>
      <c r="F9" s="811"/>
      <c r="G9" s="811"/>
      <c r="H9" s="812"/>
      <c r="J9" s="810" t="s">
        <v>101</v>
      </c>
      <c r="K9" s="811"/>
      <c r="L9" s="811"/>
      <c r="M9" s="811"/>
      <c r="N9" s="811"/>
      <c r="O9" s="811"/>
      <c r="P9" s="812"/>
    </row>
    <row r="10" spans="2:19" ht="45" customHeight="1" thickBot="1">
      <c r="B10" s="804" t="s">
        <v>102</v>
      </c>
      <c r="C10" s="805"/>
      <c r="D10" s="805"/>
      <c r="E10" s="805"/>
      <c r="F10" s="805"/>
      <c r="G10" s="805"/>
      <c r="H10" s="806"/>
      <c r="J10" s="804" t="s">
        <v>103</v>
      </c>
      <c r="K10" s="805"/>
      <c r="L10" s="805"/>
      <c r="M10" s="805"/>
      <c r="N10" s="805"/>
      <c r="O10" s="805"/>
      <c r="P10" s="806"/>
    </row>
    <row r="11" spans="2:19" ht="6.75" customHeight="1">
      <c r="B11" s="650"/>
      <c r="C11" s="650"/>
      <c r="D11" s="650"/>
      <c r="E11" s="650"/>
      <c r="F11" s="650"/>
      <c r="G11" s="650"/>
      <c r="H11" s="650"/>
    </row>
    <row r="12" spans="2:19">
      <c r="B12" s="108" t="s">
        <v>104</v>
      </c>
    </row>
    <row r="13" spans="2:19" ht="7.5" customHeight="1">
      <c r="F13" s="99"/>
    </row>
    <row r="14" spans="2:19" ht="15.75" customHeight="1">
      <c r="B14" s="651" t="s">
        <v>105</v>
      </c>
      <c r="C14" s="651" t="s">
        <v>106</v>
      </c>
      <c r="D14" s="651" t="s">
        <v>107</v>
      </c>
      <c r="E14" s="651" t="s">
        <v>108</v>
      </c>
      <c r="F14" s="651" t="s">
        <v>109</v>
      </c>
      <c r="G14" s="651" t="s">
        <v>110</v>
      </c>
      <c r="H14" s="651" t="s">
        <v>111</v>
      </c>
      <c r="I14" s="158"/>
      <c r="J14" s="651" t="s">
        <v>105</v>
      </c>
      <c r="K14" s="651" t="s">
        <v>106</v>
      </c>
      <c r="L14" s="651" t="s">
        <v>107</v>
      </c>
      <c r="M14" s="651" t="s">
        <v>108</v>
      </c>
      <c r="N14" s="651" t="s">
        <v>109</v>
      </c>
      <c r="O14" s="651" t="s">
        <v>110</v>
      </c>
      <c r="P14" s="651" t="s">
        <v>111</v>
      </c>
    </row>
    <row r="15" spans="2:19">
      <c r="B15" s="58">
        <f t="array" aca="1" ref="B15" ca="1">IFERROR(INDEX('VEH98 Data'!H$3:H$3508, SMALL(IF('VEH98 Data'!$AG$3:$AG$3508="TRUE", ROW('VEH98 Data'!H$3:H$3508)-ROW('VEH98 Data'!H$3)+1),ROWS('VEH98 Data'!H$3:'VEH98 Data'!H3))),"")</f>
        <v>2019</v>
      </c>
      <c r="C15" s="58" t="str">
        <f t="array" aca="1" ref="C15" ca="1">IFERROR(INDEX('VEH98 Data'!G$3:G$3508, SMALL(IF('VEH98 Data'!$AG$3:$AG$3508="TRUE", ROW('VEH98 Data'!G$3:G$3508)-ROW('VEH98 Data'!G$3)+1),ROWS('VEH98 Data'!G$3:'VEH98 Data'!G3))),"")</f>
        <v>Chevrolet</v>
      </c>
      <c r="D15" s="58" t="str">
        <f t="array" aca="1" ref="D15" ca="1">IFERROR(INDEX('VEH98 Data'!I$3:I$3508, SMALL(IF('VEH98 Data'!$AG$3:$AG$3508="TRUE", ROW('VEH98 Data'!I$3:I$3508)-ROW('VEH98 Data'!I$3)+1),ROWS('VEH98 Data'!I$3:'VEH98 Data'!I3))),"")</f>
        <v>Bolt EV</v>
      </c>
      <c r="E15" s="58" t="str">
        <f t="array" aca="1" ref="E15" ca="1">IFERROR(INDEX('VEH98 Data'!J$3:J$3508, SMALL(IF('VEH98 Data'!$AG$3:$AG$3508="TRUE", ROW('VEH98 Data'!J$3:J$3508)-ROW('VEH98 Data'!J$3)+1),ROWS('VEH98 Data'!J$3:'VEH98 Data'!J3))),"")</f>
        <v>LT</v>
      </c>
      <c r="F15" s="58" t="str">
        <f t="array" aca="1" ref="F15" ca="1">IFERROR(INDEX('VEH98 Data'!K$3:K$3508, SMALL(IF('VEH98 Data'!$AG$3:$AG$3508="TRUE", ROW('VEH98 Data'!K$3:K$3508)-ROW('VEH98 Data'!K$3)+1),ROWS('VEH98 Data'!K$3:'VEH98 Data'!K3))),"")</f>
        <v>FWD</v>
      </c>
      <c r="G15" s="654" t="str">
        <f t="array" aca="1" ref="G15" ca="1">IFERROR(INDEX('VEH98 Data'!R$3:R$3508, SMALL(IF('VEH98 Data'!$AG$3:$AG$3508="TRUE", ROW('VEH98 Data'!R$3:R$3508)-ROW('VEH98 Data'!R$3)+1),ROWS('VEH98 Data'!R$3:'VEH98 Data'!R3))),"")</f>
        <v>200hp Electric</v>
      </c>
      <c r="H15" s="654">
        <f t="array" aca="1" ref="H15" ca="1">IFERROR(INDEX('VEH98 Data'!Y$3:Y$3508, SMALL(IF('VEH98 Data'!$AG$3:$AG$3508="TRUE", ROW('VEH98 Data'!Y$3:Y$3508)-ROW('VEH98 Data'!Y$3)+1),ROWS('VEH98 Data'!Y$3:'VEH98 Data'!Y3))),"")</f>
        <v>119</v>
      </c>
      <c r="I15" s="19"/>
      <c r="J15" s="652">
        <f t="array" aca="1" ref="J15" ca="1">IFERROR(INDEX('VEH98 Data'!H$3:H$3508, SMALL(IF('VEH98 Data'!$AH$3:$AH$3508="TRUE", ROW('VEH98 Data'!H$3:H$3508)-ROW('VEH98 Data'!H$3)+1),ROWS('VEH98 Data'!H$3:'VEH98 Data'!H3))),"")</f>
        <v>2019</v>
      </c>
      <c r="K15" s="652" t="str">
        <f t="array" aca="1" ref="K15" ca="1">IFERROR(INDEX('VEH98 Data'!G$3:G$3508, SMALL(IF('VEH98 Data'!$AH$3:$AH$3508="TRUE", ROW('VEH98 Data'!G$3:G$3508)-ROW('VEH98 Data'!G$3)+1),ROWS('VEH98 Data'!G$3:'VEH98 Data'!G3))),"")</f>
        <v>Chevrolet</v>
      </c>
      <c r="L15" s="652" t="str">
        <f t="array" aca="1" ref="L15" ca="1">IFERROR(INDEX('VEH98 Data'!I$3:I$3508, SMALL(IF('VEH98 Data'!$AH$3:$AH$3508="TRUE", ROW('VEH98 Data'!I$3:I$3508)-ROW('VEH98 Data'!I$3)+1),ROWS('VEH98 Data'!I$3:'VEH98 Data'!I3))),"")</f>
        <v>Blazer</v>
      </c>
      <c r="M15" s="652" t="str">
        <f t="array" aca="1" ref="M15" ca="1">IFERROR(INDEX('VEH98 Data'!J$3:J$3508, SMALL(IF('VEH98 Data'!$AH$3:$AH$3508="TRUE", ROW('VEH98 Data'!J$3:J$3508)-ROW('VEH98 Data'!J$3)+1),ROWS('VEH98 Data'!J$3:'VEH98 Data'!J3))),"")</f>
        <v>L</v>
      </c>
      <c r="N15" s="652" t="str">
        <f t="array" aca="1" ref="N15" ca="1">IFERROR(INDEX('VEH98 Data'!K$3:K$3508, SMALL(IF('VEH98 Data'!$AH$3:$AH$3508="TRUE", ROW('VEH98 Data'!K$3:K$3508)-ROW('VEH98 Data'!K$3)+1),ROWS('VEH98 Data'!K$3:'VEH98 Data'!K3))),"")</f>
        <v>FWD</v>
      </c>
      <c r="O15" s="653" t="str">
        <f t="array" aca="1" ref="O15" ca="1">IFERROR(INDEX('VEH98 Data'!R$3:R$3508, SMALL(IF('VEH98 Data'!$AH$3:$AH$3508="TRUE", ROW('VEH98 Data'!R$3:R$3508)-ROW('VEH98 Data'!R$3)+1),ROWS('VEH98 Data'!R$3:'VEH98 Data'!R3))),"")</f>
        <v>2.5L</v>
      </c>
      <c r="P15" s="653">
        <f t="array" aca="1" ref="P15" ca="1">IFERROR(INDEX('VEH98 Data'!Y$3:Y$3508, SMALL(IF('VEH98 Data'!$AH$3:$AH$3508="TRUE", ROW('VEH98 Data'!Y$3:Y$3508)-ROW('VEH98 Data'!Y$3)+1),ROWS('VEH98 Data'!Y$3:'VEH98 Data'!Y3))),"")</f>
        <v>24</v>
      </c>
    </row>
    <row r="16" spans="2:19">
      <c r="B16" s="652">
        <f t="array" aca="1" ref="B16" ca="1">IFERROR(INDEX('VEH98 Data'!H$3:H$3508, SMALL(IF('VEH98 Data'!$AG$3:$AG$3508="TRUE", ROW('VEH98 Data'!H$3:H$3508)-ROW('VEH98 Data'!H$3)+1),ROWS('VEH98 Data'!H$3:'VEH98 Data'!H4))),"")</f>
        <v>2019</v>
      </c>
      <c r="C16" s="652" t="str">
        <f t="array" aca="1" ref="C16" ca="1">IFERROR(INDEX('VEH98 Data'!G$3:G$3508, SMALL(IF('VEH98 Data'!$AG$3:$AG$3508="TRUE", ROW('VEH98 Data'!G$3:G$3508)-ROW('VEH98 Data'!G$3)+1),ROWS('VEH98 Data'!G$3:'VEH98 Data'!G4))),"")</f>
        <v>Chevrolet</v>
      </c>
      <c r="D16" s="652" t="str">
        <f t="array" aca="1" ref="D16" ca="1">IFERROR(INDEX('VEH98 Data'!I$3:I$3508, SMALL(IF('VEH98 Data'!$AG$3:$AG$3508="TRUE", ROW('VEH98 Data'!I$3:I$3508)-ROW('VEH98 Data'!I$3)+1),ROWS('VEH98 Data'!I$3:'VEH98 Data'!I4))),"")</f>
        <v>Bolt EV</v>
      </c>
      <c r="E16" s="652" t="str">
        <f t="array" aca="1" ref="E16" ca="1">IFERROR(INDEX('VEH98 Data'!J$3:J$3508, SMALL(IF('VEH98 Data'!$AG$3:$AG$3508="TRUE", ROW('VEH98 Data'!J$3:J$3508)-ROW('VEH98 Data'!J$3)+1),ROWS('VEH98 Data'!J$3:'VEH98 Data'!J4))),"")</f>
        <v>LT - W/Fast Charge Option</v>
      </c>
      <c r="F16" s="652" t="str">
        <f t="array" aca="1" ref="F16" ca="1">IFERROR(INDEX('VEH98 Data'!K$3:K$3508, SMALL(IF('VEH98 Data'!$AG$3:$AG$3508="TRUE", ROW('VEH98 Data'!K$3:K$3508)-ROW('VEH98 Data'!K$3)+1),ROWS('VEH98 Data'!K$3:'VEH98 Data'!K4))),"")</f>
        <v>FWD</v>
      </c>
      <c r="G16" s="653" t="str">
        <f t="array" aca="1" ref="G16" ca="1">IFERROR(INDEX('VEH98 Data'!R$3:R$3508, SMALL(IF('VEH98 Data'!$AG$3:$AG$3508="TRUE", ROW('VEH98 Data'!R$3:R$3508)-ROW('VEH98 Data'!R$3)+1),ROWS('VEH98 Data'!R$3:'VEH98 Data'!R4))),"")</f>
        <v>200hp Electric</v>
      </c>
      <c r="H16" s="653">
        <f t="array" aca="1" ref="H16" ca="1">IFERROR(INDEX('VEH98 Data'!Y$3:Y$3508, SMALL(IF('VEH98 Data'!$AG$3:$AG$3508="TRUE", ROW('VEH98 Data'!Y$3:Y$3508)-ROW('VEH98 Data'!Y$3)+1),ROWS('VEH98 Data'!Y$3:'VEH98 Data'!Y4))),"")</f>
        <v>119</v>
      </c>
      <c r="I16" s="19"/>
      <c r="J16" s="58">
        <f t="array" aca="1" ref="J16" ca="1">IFERROR(INDEX('VEH98 Data'!H$3:H$3508, SMALL(IF('VEH98 Data'!$AH$3:$AH$3508="TRUE", ROW('VEH98 Data'!H$3:H$3508)-ROW('VEH98 Data'!H$3)+1),ROWS('VEH98 Data'!H$3:'VEH98 Data'!H4))),"")</f>
        <v>2019</v>
      </c>
      <c r="K16" s="58" t="str">
        <f t="array" aca="1" ref="K16" ca="1">IFERROR(INDEX('VEH98 Data'!G$3:G$3508, SMALL(IF('VEH98 Data'!$AH$3:$AH$3508="TRUE", ROW('VEH98 Data'!G$3:G$3508)-ROW('VEH98 Data'!G$3)+1),ROWS('VEH98 Data'!G$3:'VEH98 Data'!G4))),"")</f>
        <v>Chevrolet</v>
      </c>
      <c r="L16" s="58" t="str">
        <f t="array" aca="1" ref="L16" ca="1">IFERROR(INDEX('VEH98 Data'!I$3:I$3508, SMALL(IF('VEH98 Data'!$AH$3:$AH$3508="TRUE", ROW('VEH98 Data'!I$3:I$3508)-ROW('VEH98 Data'!I$3)+1),ROWS('VEH98 Data'!I$3:'VEH98 Data'!I4))),"")</f>
        <v>Blazer</v>
      </c>
      <c r="M16" s="58" t="str">
        <f t="array" aca="1" ref="M16" ca="1">IFERROR(INDEX('VEH98 Data'!J$3:J$3508, SMALL(IF('VEH98 Data'!$AH$3:$AH$3508="TRUE", ROW('VEH98 Data'!J$3:J$3508)-ROW('VEH98 Data'!J$3)+1),ROWS('VEH98 Data'!J$3:'VEH98 Data'!J4))),"")</f>
        <v>LT</v>
      </c>
      <c r="N16" s="58" t="str">
        <f t="array" aca="1" ref="N16" ca="1">IFERROR(INDEX('VEH98 Data'!K$3:K$3508, SMALL(IF('VEH98 Data'!$AH$3:$AH$3508="TRUE", ROW('VEH98 Data'!K$3:K$3508)-ROW('VEH98 Data'!K$3)+1),ROWS('VEH98 Data'!K$3:'VEH98 Data'!K4))),"")</f>
        <v>FWD</v>
      </c>
      <c r="O16" s="654" t="str">
        <f t="array" aca="1" ref="O16" ca="1">IFERROR(INDEX('VEH98 Data'!R$3:R$3508, SMALL(IF('VEH98 Data'!$AH$3:$AH$3508="TRUE", ROW('VEH98 Data'!R$3:R$3508)-ROW('VEH98 Data'!R$3)+1),ROWS('VEH98 Data'!R$3:'VEH98 Data'!R4))),"")</f>
        <v>2.5L</v>
      </c>
      <c r="P16" s="654">
        <f t="array" aca="1" ref="P16" ca="1">IFERROR(INDEX('VEH98 Data'!Y$3:Y$3508, SMALL(IF('VEH98 Data'!$AH$3:$AH$3508="TRUE", ROW('VEH98 Data'!Y$3:Y$3508)-ROW('VEH98 Data'!Y$3)+1),ROWS('VEH98 Data'!Y$3:'VEH98 Data'!Y4))),"")</f>
        <v>24</v>
      </c>
      <c r="Q16" s="19"/>
      <c r="R16" s="19"/>
      <c r="S16" s="19"/>
    </row>
    <row r="17" spans="2:19">
      <c r="B17" s="58">
        <f t="array" aca="1" ref="B17" ca="1">IFERROR(INDEX('VEH98 Data'!H$3:H$3508, SMALL(IF('VEH98 Data'!$AG$3:$AG$3508="TRUE", ROW('VEH98 Data'!H$3:H$3508)-ROW('VEH98 Data'!H$3)+1),ROWS('VEH98 Data'!H$3:'VEH98 Data'!H5))),"")</f>
        <v>2019</v>
      </c>
      <c r="C17" s="58" t="str">
        <f t="array" aca="1" ref="C17" ca="1">IFERROR(INDEX('VEH98 Data'!G$3:G$3508, SMALL(IF('VEH98 Data'!$AG$3:$AG$3508="TRUE", ROW('VEH98 Data'!G$3:G$3508)-ROW('VEH98 Data'!G$3)+1),ROWS('VEH98 Data'!G$3:'VEH98 Data'!G5))),"")</f>
        <v>Chevrolet</v>
      </c>
      <c r="D17" s="58" t="str">
        <f t="array" aca="1" ref="D17" ca="1">IFERROR(INDEX('VEH98 Data'!I$3:I$3508, SMALL(IF('VEH98 Data'!$AG$3:$AG$3508="TRUE", ROW('VEH98 Data'!I$3:I$3508)-ROW('VEH98 Data'!I$3)+1),ROWS('VEH98 Data'!I$3:'VEH98 Data'!I5))),"")</f>
        <v>Cruze</v>
      </c>
      <c r="E17" s="58" t="str">
        <f t="array" aca="1" ref="E17" ca="1">IFERROR(INDEX('VEH98 Data'!J$3:J$3508, SMALL(IF('VEH98 Data'!$AG$3:$AG$3508="TRUE", ROW('VEH98 Data'!J$3:J$3508)-ROW('VEH98 Data'!J$3)+1),ROWS('VEH98 Data'!J$3:'VEH98 Data'!J5))),"")</f>
        <v>LS</v>
      </c>
      <c r="F17" s="58" t="str">
        <f t="array" aca="1" ref="F17" ca="1">IFERROR(INDEX('VEH98 Data'!K$3:K$3508, SMALL(IF('VEH98 Data'!$AG$3:$AG$3508="TRUE", ROW('VEH98 Data'!K$3:K$3508)-ROW('VEH98 Data'!K$3)+1),ROWS('VEH98 Data'!K$3:'VEH98 Data'!K5))),"")</f>
        <v>FWD</v>
      </c>
      <c r="G17" s="654" t="str">
        <f t="array" aca="1" ref="G17" ca="1">IFERROR(INDEX('VEH98 Data'!R$3:R$3508, SMALL(IF('VEH98 Data'!$AG$3:$AG$3508="TRUE", ROW('VEH98 Data'!R$3:R$3508)-ROW('VEH98 Data'!R$3)+1),ROWS('VEH98 Data'!R$3:'VEH98 Data'!R5))),"")</f>
        <v>1.4L</v>
      </c>
      <c r="H17" s="654">
        <f t="array" aca="1" ref="H17" ca="1">IFERROR(INDEX('VEH98 Data'!Y$3:Y$3508, SMALL(IF('VEH98 Data'!$AG$3:$AG$3508="TRUE", ROW('VEH98 Data'!Y$3:Y$3508)-ROW('VEH98 Data'!Y$3)+1),ROWS('VEH98 Data'!Y$3:'VEH98 Data'!Y5))),"")</f>
        <v>33</v>
      </c>
      <c r="J17" s="652">
        <f t="array" aca="1" ref="J17" ca="1">IFERROR(INDEX('VEH98 Data'!H$3:H$3508, SMALL(IF('VEH98 Data'!$AH$3:$AH$3508="TRUE", ROW('VEH98 Data'!H$3:H$3508)-ROW('VEH98 Data'!H$3)+1),ROWS('VEH98 Data'!H$3:'VEH98 Data'!H5))),"")</f>
        <v>2019</v>
      </c>
      <c r="K17" s="652" t="str">
        <f t="array" aca="1" ref="K17" ca="1">IFERROR(INDEX('VEH98 Data'!G$3:G$3508, SMALL(IF('VEH98 Data'!$AH$3:$AH$3508="TRUE", ROW('VEH98 Data'!G$3:G$3508)-ROW('VEH98 Data'!G$3)+1),ROWS('VEH98 Data'!G$3:'VEH98 Data'!G5))),"")</f>
        <v>Chevrolet</v>
      </c>
      <c r="L17" s="652" t="str">
        <f t="array" aca="1" ref="L17" ca="1">IFERROR(INDEX('VEH98 Data'!I$3:I$3508, SMALL(IF('VEH98 Data'!$AH$3:$AH$3508="TRUE", ROW('VEH98 Data'!I$3:I$3508)-ROW('VEH98 Data'!I$3)+1),ROWS('VEH98 Data'!I$3:'VEH98 Data'!I5))),"")</f>
        <v>Blazer</v>
      </c>
      <c r="M17" s="652" t="str">
        <f t="array" aca="1" ref="M17" ca="1">IFERROR(INDEX('VEH98 Data'!J$3:J$3508, SMALL(IF('VEH98 Data'!$AH$3:$AH$3508="TRUE", ROW('VEH98 Data'!J$3:J$3508)-ROW('VEH98 Data'!J$3)+1),ROWS('VEH98 Data'!J$3:'VEH98 Data'!J5))),"")</f>
        <v>Premier</v>
      </c>
      <c r="N17" s="652" t="str">
        <f t="array" aca="1" ref="N17" ca="1">IFERROR(INDEX('VEH98 Data'!K$3:K$3508, SMALL(IF('VEH98 Data'!$AH$3:$AH$3508="TRUE", ROW('VEH98 Data'!K$3:K$3508)-ROW('VEH98 Data'!K$3)+1),ROWS('VEH98 Data'!K$3:'VEH98 Data'!K5))),"")</f>
        <v>FWD</v>
      </c>
      <c r="O17" s="653" t="str">
        <f t="array" aca="1" ref="O17" ca="1">IFERROR(INDEX('VEH98 Data'!R$3:R$3508, SMALL(IF('VEH98 Data'!$AH$3:$AH$3508="TRUE", ROW('VEH98 Data'!R$3:R$3508)-ROW('VEH98 Data'!R$3)+1),ROWS('VEH98 Data'!R$3:'VEH98 Data'!R5))),"")</f>
        <v>3.6L</v>
      </c>
      <c r="P17" s="653">
        <f t="array" aca="1" ref="P17" ca="1">IFERROR(INDEX('VEH98 Data'!Y$3:Y$3508, SMALL(IF('VEH98 Data'!$AH$3:$AH$3508="TRUE", ROW('VEH98 Data'!Y$3:Y$3508)-ROW('VEH98 Data'!Y$3)+1),ROWS('VEH98 Data'!Y$3:'VEH98 Data'!Y5))),"")</f>
        <v>24</v>
      </c>
      <c r="Q17" s="19"/>
      <c r="R17" s="19"/>
      <c r="S17" s="19"/>
    </row>
    <row r="18" spans="2:19">
      <c r="B18" s="652">
        <f t="array" aca="1" ref="B18" ca="1">IFERROR(INDEX('VEH98 Data'!H$3:H$3508, SMALL(IF('VEH98 Data'!$AG$3:$AG$3508="TRUE", ROW('VEH98 Data'!H$3:H$3508)-ROW('VEH98 Data'!H$3)+1),ROWS('VEH98 Data'!H$3:'VEH98 Data'!H6))),"")</f>
        <v>2019</v>
      </c>
      <c r="C18" s="652" t="str">
        <f t="array" aca="1" ref="C18" ca="1">IFERROR(INDEX('VEH98 Data'!G$3:G$3508, SMALL(IF('VEH98 Data'!$AG$3:$AG$3508="TRUE", ROW('VEH98 Data'!G$3:G$3508)-ROW('VEH98 Data'!G$3)+1),ROWS('VEH98 Data'!G$3:'VEH98 Data'!G6))),"")</f>
        <v>Chevrolet</v>
      </c>
      <c r="D18" s="652" t="str">
        <f t="array" aca="1" ref="D18" ca="1">IFERROR(INDEX('VEH98 Data'!I$3:I$3508, SMALL(IF('VEH98 Data'!$AG$3:$AG$3508="TRUE", ROW('VEH98 Data'!I$3:I$3508)-ROW('VEH98 Data'!I$3)+1),ROWS('VEH98 Data'!I$3:'VEH98 Data'!I6))),"")</f>
        <v>Cruze</v>
      </c>
      <c r="E18" s="652" t="str">
        <f t="array" aca="1" ref="E18" ca="1">IFERROR(INDEX('VEH98 Data'!J$3:J$3508, SMALL(IF('VEH98 Data'!$AG$3:$AG$3508="TRUE", ROW('VEH98 Data'!J$3:J$3508)-ROW('VEH98 Data'!J$3)+1),ROWS('VEH98 Data'!J$3:'VEH98 Data'!J6))),"")</f>
        <v>LT</v>
      </c>
      <c r="F18" s="652" t="str">
        <f t="array" aca="1" ref="F18" ca="1">IFERROR(INDEX('VEH98 Data'!K$3:K$3508, SMALL(IF('VEH98 Data'!$AG$3:$AG$3508="TRUE", ROW('VEH98 Data'!K$3:K$3508)-ROW('VEH98 Data'!K$3)+1),ROWS('VEH98 Data'!K$3:'VEH98 Data'!K6))),"")</f>
        <v>FWD</v>
      </c>
      <c r="G18" s="653" t="str">
        <f t="array" aca="1" ref="G18" ca="1">IFERROR(INDEX('VEH98 Data'!R$3:R$3508, SMALL(IF('VEH98 Data'!$AG$3:$AG$3508="TRUE", ROW('VEH98 Data'!R$3:R$3508)-ROW('VEH98 Data'!R$3)+1),ROWS('VEH98 Data'!R$3:'VEH98 Data'!R6))),"")</f>
        <v>1.4L</v>
      </c>
      <c r="H18" s="653">
        <f t="array" aca="1" ref="H18" ca="1">IFERROR(INDEX('VEH98 Data'!Y$3:Y$3508, SMALL(IF('VEH98 Data'!$AG$3:$AG$3508="TRUE", ROW('VEH98 Data'!Y$3:Y$3508)-ROW('VEH98 Data'!Y$3)+1),ROWS('VEH98 Data'!Y$3:'VEH98 Data'!Y6))),"")</f>
        <v>33</v>
      </c>
      <c r="I18" s="19"/>
      <c r="J18" s="58">
        <f t="array" aca="1" ref="J18" ca="1">IFERROR(INDEX('VEH98 Data'!H$3:H$3508, SMALL(IF('VEH98 Data'!$AH$3:$AH$3508="TRUE", ROW('VEH98 Data'!H$3:H$3508)-ROW('VEH98 Data'!H$3)+1),ROWS('VEH98 Data'!H$3:'VEH98 Data'!H6))),"")</f>
        <v>2019</v>
      </c>
      <c r="K18" s="58" t="str">
        <f t="array" aca="1" ref="K18" ca="1">IFERROR(INDEX('VEH98 Data'!G$3:G$3508, SMALL(IF('VEH98 Data'!$AH$3:$AH$3508="TRUE", ROW('VEH98 Data'!G$3:G$3508)-ROW('VEH98 Data'!G$3)+1),ROWS('VEH98 Data'!G$3:'VEH98 Data'!G6))),"")</f>
        <v>Chevrolet</v>
      </c>
      <c r="L18" s="58" t="str">
        <f t="array" aca="1" ref="L18" ca="1">IFERROR(INDEX('VEH98 Data'!I$3:I$3508, SMALL(IF('VEH98 Data'!$AH$3:$AH$3508="TRUE", ROW('VEH98 Data'!I$3:I$3508)-ROW('VEH98 Data'!I$3)+1),ROWS('VEH98 Data'!I$3:'VEH98 Data'!I6))),"")</f>
        <v>Blazer</v>
      </c>
      <c r="M18" s="58" t="str">
        <f t="array" aca="1" ref="M18" ca="1">IFERROR(INDEX('VEH98 Data'!J$3:J$3508, SMALL(IF('VEH98 Data'!$AH$3:$AH$3508="TRUE", ROW('VEH98 Data'!J$3:J$3508)-ROW('VEH98 Data'!J$3)+1),ROWS('VEH98 Data'!J$3:'VEH98 Data'!J6))),"")</f>
        <v>RS</v>
      </c>
      <c r="N18" s="58" t="str">
        <f t="array" aca="1" ref="N18" ca="1">IFERROR(INDEX('VEH98 Data'!K$3:K$3508, SMALL(IF('VEH98 Data'!$AH$3:$AH$3508="TRUE", ROW('VEH98 Data'!K$3:K$3508)-ROW('VEH98 Data'!K$3)+1),ROWS('VEH98 Data'!K$3:'VEH98 Data'!K6))),"")</f>
        <v>FWD</v>
      </c>
      <c r="O18" s="654" t="str">
        <f t="array" aca="1" ref="O18" ca="1">IFERROR(INDEX('VEH98 Data'!R$3:R$3508, SMALL(IF('VEH98 Data'!$AH$3:$AH$3508="TRUE", ROW('VEH98 Data'!R$3:R$3508)-ROW('VEH98 Data'!R$3)+1),ROWS('VEH98 Data'!R$3:'VEH98 Data'!R6))),"")</f>
        <v>3.6L</v>
      </c>
      <c r="P18" s="654">
        <f t="array" aca="1" ref="P18" ca="1">IFERROR(INDEX('VEH98 Data'!Y$3:Y$3508, SMALL(IF('VEH98 Data'!$AH$3:$AH$3508="TRUE", ROW('VEH98 Data'!Y$3:Y$3508)-ROW('VEH98 Data'!Y$3)+1),ROWS('VEH98 Data'!Y$3:'VEH98 Data'!Y6))),"")</f>
        <v>24</v>
      </c>
      <c r="Q18" s="19"/>
      <c r="R18" s="19"/>
      <c r="S18" s="19"/>
    </row>
    <row r="19" spans="2:19">
      <c r="B19" s="58">
        <f t="array" aca="1" ref="B19" ca="1">IFERROR(INDEX('VEH98 Data'!H$3:H$3508, SMALL(IF('VEH98 Data'!$AG$3:$AG$3508="TRUE", ROW('VEH98 Data'!H$3:H$3508)-ROW('VEH98 Data'!H$3)+1),ROWS('VEH98 Data'!H$3:'VEH98 Data'!H7))),"")</f>
        <v>2019</v>
      </c>
      <c r="C19" s="58" t="str">
        <f t="array" aca="1" ref="C19" ca="1">IFERROR(INDEX('VEH98 Data'!G$3:G$3508, SMALL(IF('VEH98 Data'!$AG$3:$AG$3508="TRUE", ROW('VEH98 Data'!G$3:G$3508)-ROW('VEH98 Data'!G$3)+1),ROWS('VEH98 Data'!G$3:'VEH98 Data'!G7))),"")</f>
        <v>Chevrolet</v>
      </c>
      <c r="D19" s="58" t="str">
        <f t="array" aca="1" ref="D19" ca="1">IFERROR(INDEX('VEH98 Data'!I$3:I$3508, SMALL(IF('VEH98 Data'!$AG$3:$AG$3508="TRUE", ROW('VEH98 Data'!I$3:I$3508)-ROW('VEH98 Data'!I$3)+1),ROWS('VEH98 Data'!I$3:'VEH98 Data'!I7))),"")</f>
        <v>Malibu</v>
      </c>
      <c r="E19" s="58" t="str">
        <f t="array" aca="1" ref="E19" ca="1">IFERROR(INDEX('VEH98 Data'!J$3:J$3508, SMALL(IF('VEH98 Data'!$AG$3:$AG$3508="TRUE", ROW('VEH98 Data'!J$3:J$3508)-ROW('VEH98 Data'!J$3)+1),ROWS('VEH98 Data'!J$3:'VEH98 Data'!J7))),"")</f>
        <v>Hybrid</v>
      </c>
      <c r="F19" s="58" t="str">
        <f t="array" aca="1" ref="F19" ca="1">IFERROR(INDEX('VEH98 Data'!K$3:K$3508, SMALL(IF('VEH98 Data'!$AG$3:$AG$3508="TRUE", ROW('VEH98 Data'!K$3:K$3508)-ROW('VEH98 Data'!K$3)+1),ROWS('VEH98 Data'!K$3:'VEH98 Data'!K7))),"")</f>
        <v>FWD</v>
      </c>
      <c r="G19" s="654" t="str">
        <f t="array" aca="1" ref="G19" ca="1">IFERROR(INDEX('VEH98 Data'!R$3:R$3508, SMALL(IF('VEH98 Data'!$AG$3:$AG$3508="TRUE", ROW('VEH98 Data'!R$3:R$3508)-ROW('VEH98 Data'!R$3)+1),ROWS('VEH98 Data'!R$3:'VEH98 Data'!R7))),"")</f>
        <v>1.8L</v>
      </c>
      <c r="H19" s="654">
        <f t="array" aca="1" ref="H19" ca="1">IFERROR(INDEX('VEH98 Data'!Y$3:Y$3508, SMALL(IF('VEH98 Data'!$AG$3:$AG$3508="TRUE", ROW('VEH98 Data'!Y$3:Y$3508)-ROW('VEH98 Data'!Y$3)+1),ROWS('VEH98 Data'!Y$3:'VEH98 Data'!Y7))),"")</f>
        <v>46</v>
      </c>
      <c r="I19" s="19"/>
      <c r="J19" s="652">
        <f t="array" aca="1" ref="J19" ca="1">IFERROR(INDEX('VEH98 Data'!H$3:H$3508, SMALL(IF('VEH98 Data'!$AH$3:$AH$3508="TRUE", ROW('VEH98 Data'!H$3:H$3508)-ROW('VEH98 Data'!H$3)+1),ROWS('VEH98 Data'!H$3:'VEH98 Data'!H7))),"")</f>
        <v>2019</v>
      </c>
      <c r="K19" s="652" t="str">
        <f t="array" aca="1" ref="K19" ca="1">IFERROR(INDEX('VEH98 Data'!G$3:G$3508, SMALL(IF('VEH98 Data'!$AH$3:$AH$3508="TRUE", ROW('VEH98 Data'!G$3:G$3508)-ROW('VEH98 Data'!G$3)+1),ROWS('VEH98 Data'!G$3:'VEH98 Data'!G7))),"")</f>
        <v>Chevrolet</v>
      </c>
      <c r="L19" s="652" t="str">
        <f t="array" aca="1" ref="L19" ca="1">IFERROR(INDEX('VEH98 Data'!I$3:I$3508, SMALL(IF('VEH98 Data'!$AH$3:$AH$3508="TRUE", ROW('VEH98 Data'!I$3:I$3508)-ROW('VEH98 Data'!I$3)+1),ROWS('VEH98 Data'!I$3:'VEH98 Data'!I7))),"")</f>
        <v>Equinox</v>
      </c>
      <c r="M19" s="652" t="str">
        <f t="array" aca="1" ref="M19" ca="1">IFERROR(INDEX('VEH98 Data'!J$3:J$3508, SMALL(IF('VEH98 Data'!$AH$3:$AH$3508="TRUE", ROW('VEH98 Data'!J$3:J$3508)-ROW('VEH98 Data'!J$3)+1),ROWS('VEH98 Data'!J$3:'VEH98 Data'!J7))),"")</f>
        <v>3LT</v>
      </c>
      <c r="N19" s="652" t="str">
        <f t="array" aca="1" ref="N19" ca="1">IFERROR(INDEX('VEH98 Data'!K$3:K$3508, SMALL(IF('VEH98 Data'!$AH$3:$AH$3508="TRUE", ROW('VEH98 Data'!K$3:K$3508)-ROW('VEH98 Data'!K$3)+1),ROWS('VEH98 Data'!K$3:'VEH98 Data'!K7))),"")</f>
        <v>AWD</v>
      </c>
      <c r="O19" s="653" t="str">
        <f t="array" aca="1" ref="O19" ca="1">IFERROR(INDEX('VEH98 Data'!R$3:R$3508, SMALL(IF('VEH98 Data'!$AH$3:$AH$3508="TRUE", ROW('VEH98 Data'!R$3:R$3508)-ROW('VEH98 Data'!R$3)+1),ROWS('VEH98 Data'!R$3:'VEH98 Data'!R7))),"")</f>
        <v>1.6L Turbo Diesel</v>
      </c>
      <c r="P19" s="653">
        <f t="array" aca="1" ref="P19" ca="1">IFERROR(INDEX('VEH98 Data'!Y$3:Y$3508, SMALL(IF('VEH98 Data'!$AH$3:$AH$3508="TRUE", ROW('VEH98 Data'!Y$3:Y$3508)-ROW('VEH98 Data'!Y$3)+1),ROWS('VEH98 Data'!Y$3:'VEH98 Data'!Y7))),"")</f>
        <v>32</v>
      </c>
      <c r="Q19" s="19"/>
      <c r="R19" s="19"/>
      <c r="S19" s="19"/>
    </row>
    <row r="20" spans="2:19">
      <c r="B20" s="652">
        <f t="array" aca="1" ref="B20" ca="1">IFERROR(INDEX('VEH98 Data'!H$3:H$3508, SMALL(IF('VEH98 Data'!$AG$3:$AG$3508="TRUE", ROW('VEH98 Data'!H$3:H$3508)-ROW('VEH98 Data'!H$3)+1),ROWS('VEH98 Data'!H$3:'VEH98 Data'!H8))),"")</f>
        <v>2019</v>
      </c>
      <c r="C20" s="652" t="str">
        <f t="array" aca="1" ref="C20" ca="1">IFERROR(INDEX('VEH98 Data'!G$3:G$3508, SMALL(IF('VEH98 Data'!$AG$3:$AG$3508="TRUE", ROW('VEH98 Data'!G$3:G$3508)-ROW('VEH98 Data'!G$3)+1),ROWS('VEH98 Data'!G$3:'VEH98 Data'!G8))),"")</f>
        <v>Chevrolet</v>
      </c>
      <c r="D20" s="652" t="str">
        <f t="array" aca="1" ref="D20" ca="1">IFERROR(INDEX('VEH98 Data'!I$3:I$3508, SMALL(IF('VEH98 Data'!$AG$3:$AG$3508="TRUE", ROW('VEH98 Data'!I$3:I$3508)-ROW('VEH98 Data'!I$3)+1),ROWS('VEH98 Data'!I$3:'VEH98 Data'!I8))),"")</f>
        <v>Malibu</v>
      </c>
      <c r="E20" s="652" t="str">
        <f t="array" aca="1" ref="E20" ca="1">IFERROR(INDEX('VEH98 Data'!J$3:J$3508, SMALL(IF('VEH98 Data'!$AG$3:$AG$3508="TRUE", ROW('VEH98 Data'!J$3:J$3508)-ROW('VEH98 Data'!J$3)+1),ROWS('VEH98 Data'!J$3:'VEH98 Data'!J8))),"")</f>
        <v>LS</v>
      </c>
      <c r="F20" s="652" t="str">
        <f t="array" aca="1" ref="F20" ca="1">IFERROR(INDEX('VEH98 Data'!K$3:K$3508, SMALL(IF('VEH98 Data'!$AG$3:$AG$3508="TRUE", ROW('VEH98 Data'!K$3:K$3508)-ROW('VEH98 Data'!K$3)+1),ROWS('VEH98 Data'!K$3:'VEH98 Data'!K8))),"")</f>
        <v>FWD</v>
      </c>
      <c r="G20" s="653" t="str">
        <f t="array" aca="1" ref="G20" ca="1">IFERROR(INDEX('VEH98 Data'!R$3:R$3508, SMALL(IF('VEH98 Data'!$AG$3:$AG$3508="TRUE", ROW('VEH98 Data'!R$3:R$3508)-ROW('VEH98 Data'!R$3)+1),ROWS('VEH98 Data'!R$3:'VEH98 Data'!R8))),"")</f>
        <v>1.5L</v>
      </c>
      <c r="H20" s="653">
        <f t="array" aca="1" ref="H20" ca="1">IFERROR(INDEX('VEH98 Data'!Y$3:Y$3508, SMALL(IF('VEH98 Data'!$AG$3:$AG$3508="TRUE", ROW('VEH98 Data'!Y$3:Y$3508)-ROW('VEH98 Data'!Y$3)+1),ROWS('VEH98 Data'!Y$3:'VEH98 Data'!Y8))),"")</f>
        <v>32</v>
      </c>
      <c r="I20" s="19"/>
      <c r="J20" s="58">
        <f t="array" aca="1" ref="J20" ca="1">IFERROR(INDEX('VEH98 Data'!H$3:H$3508, SMALL(IF('VEH98 Data'!$AH$3:$AH$3508="TRUE", ROW('VEH98 Data'!H$3:H$3508)-ROW('VEH98 Data'!H$3)+1),ROWS('VEH98 Data'!H$3:'VEH98 Data'!H8))),"")</f>
        <v>2019</v>
      </c>
      <c r="K20" s="58" t="str">
        <f t="array" aca="1" ref="K20" ca="1">IFERROR(INDEX('VEH98 Data'!G$3:G$3508, SMALL(IF('VEH98 Data'!$AH$3:$AH$3508="TRUE", ROW('VEH98 Data'!G$3:G$3508)-ROW('VEH98 Data'!G$3)+1),ROWS('VEH98 Data'!G$3:'VEH98 Data'!G8))),"")</f>
        <v>Chevrolet</v>
      </c>
      <c r="L20" s="58" t="str">
        <f t="array" aca="1" ref="L20" ca="1">IFERROR(INDEX('VEH98 Data'!I$3:I$3508, SMALL(IF('VEH98 Data'!$AH$3:$AH$3508="TRUE", ROW('VEH98 Data'!I$3:I$3508)-ROW('VEH98 Data'!I$3)+1),ROWS('VEH98 Data'!I$3:'VEH98 Data'!I8))),"")</f>
        <v>Equinox</v>
      </c>
      <c r="M20" s="58" t="str">
        <f t="array" aca="1" ref="M20" ca="1">IFERROR(INDEX('VEH98 Data'!J$3:J$3508, SMALL(IF('VEH98 Data'!$AH$3:$AH$3508="TRUE", ROW('VEH98 Data'!J$3:J$3508)-ROW('VEH98 Data'!J$3)+1),ROWS('VEH98 Data'!J$3:'VEH98 Data'!J8))),"")</f>
        <v>LS</v>
      </c>
      <c r="N20" s="58" t="str">
        <f t="array" aca="1" ref="N20" ca="1">IFERROR(INDEX('VEH98 Data'!K$3:K$3508, SMALL(IF('VEH98 Data'!$AH$3:$AH$3508="TRUE", ROW('VEH98 Data'!K$3:K$3508)-ROW('VEH98 Data'!K$3)+1),ROWS('VEH98 Data'!K$3:'VEH98 Data'!K8))),"")</f>
        <v>AWD</v>
      </c>
      <c r="O20" s="654" t="str">
        <f t="array" aca="1" ref="O20" ca="1">IFERROR(INDEX('VEH98 Data'!R$3:R$3508, SMALL(IF('VEH98 Data'!$AH$3:$AH$3508="TRUE", ROW('VEH98 Data'!R$3:R$3508)-ROW('VEH98 Data'!R$3)+1),ROWS('VEH98 Data'!R$3:'VEH98 Data'!R8))),"")</f>
        <v>1.5L</v>
      </c>
      <c r="P20" s="654">
        <f t="array" aca="1" ref="P20" ca="1">IFERROR(INDEX('VEH98 Data'!Y$3:Y$3508, SMALL(IF('VEH98 Data'!$AH$3:$AH$3508="TRUE", ROW('VEH98 Data'!Y$3:Y$3508)-ROW('VEH98 Data'!Y$3)+1),ROWS('VEH98 Data'!Y$3:'VEH98 Data'!Y8))),"")</f>
        <v>26</v>
      </c>
      <c r="Q20" s="19"/>
      <c r="R20" s="19"/>
      <c r="S20" s="19"/>
    </row>
    <row r="21" spans="2:19">
      <c r="B21" s="58">
        <f t="array" aca="1" ref="B21" ca="1">IFERROR(INDEX('VEH98 Data'!H$3:H$3508, SMALL(IF('VEH98 Data'!$AG$3:$AG$3508="TRUE", ROW('VEH98 Data'!H$3:H$3508)-ROW('VEH98 Data'!H$3)+1),ROWS('VEH98 Data'!H$3:'VEH98 Data'!H9))),"")</f>
        <v>2019</v>
      </c>
      <c r="C21" s="58" t="str">
        <f t="array" aca="1" ref="C21" ca="1">IFERROR(INDEX('VEH98 Data'!G$3:G$3508, SMALL(IF('VEH98 Data'!$AG$3:$AG$3508="TRUE", ROW('VEH98 Data'!G$3:G$3508)-ROW('VEH98 Data'!G$3)+1),ROWS('VEH98 Data'!G$3:'VEH98 Data'!G9))),"")</f>
        <v>Chevrolet</v>
      </c>
      <c r="D21" s="58" t="str">
        <f t="array" aca="1" ref="D21" ca="1">IFERROR(INDEX('VEH98 Data'!I$3:I$3508, SMALL(IF('VEH98 Data'!$AG$3:$AG$3508="TRUE", ROW('VEH98 Data'!I$3:I$3508)-ROW('VEH98 Data'!I$3)+1),ROWS('VEH98 Data'!I$3:'VEH98 Data'!I9))),"")</f>
        <v>Spark</v>
      </c>
      <c r="E21" s="58" t="str">
        <f t="array" aca="1" ref="E21" ca="1">IFERROR(INDEX('VEH98 Data'!J$3:J$3508, SMALL(IF('VEH98 Data'!$AG$3:$AG$3508="TRUE", ROW('VEH98 Data'!J$3:J$3508)-ROW('VEH98 Data'!J$3)+1),ROWS('VEH98 Data'!J$3:'VEH98 Data'!J9))),"")</f>
        <v>1LT</v>
      </c>
      <c r="F21" s="58" t="str">
        <f t="array" aca="1" ref="F21" ca="1">IFERROR(INDEX('VEH98 Data'!K$3:K$3508, SMALL(IF('VEH98 Data'!$AG$3:$AG$3508="TRUE", ROW('VEH98 Data'!K$3:K$3508)-ROW('VEH98 Data'!K$3)+1),ROWS('VEH98 Data'!K$3:'VEH98 Data'!K9))),"")</f>
        <v>FWD</v>
      </c>
      <c r="G21" s="654" t="str">
        <f t="array" aca="1" ref="G21" ca="1">IFERROR(INDEX('VEH98 Data'!R$3:R$3508, SMALL(IF('VEH98 Data'!$AG$3:$AG$3508="TRUE", ROW('VEH98 Data'!R$3:R$3508)-ROW('VEH98 Data'!R$3)+1),ROWS('VEH98 Data'!R$3:'VEH98 Data'!R9))),"")</f>
        <v>1.4L</v>
      </c>
      <c r="H21" s="654">
        <f t="array" aca="1" ref="H21" ca="1">IFERROR(INDEX('VEH98 Data'!Y$3:Y$3508, SMALL(IF('VEH98 Data'!$AG$3:$AG$3508="TRUE", ROW('VEH98 Data'!Y$3:Y$3508)-ROW('VEH98 Data'!Y$3)+1),ROWS('VEH98 Data'!Y$3:'VEH98 Data'!Y9))),"")</f>
        <v>33</v>
      </c>
      <c r="I21" s="19"/>
      <c r="J21" s="652">
        <f t="array" aca="1" ref="J21" ca="1">IFERROR(INDEX('VEH98 Data'!H$3:H$3508, SMALL(IF('VEH98 Data'!$AH$3:$AH$3508="TRUE", ROW('VEH98 Data'!H$3:H$3508)-ROW('VEH98 Data'!H$3)+1),ROWS('VEH98 Data'!H$3:'VEH98 Data'!H9))),"")</f>
        <v>2019</v>
      </c>
      <c r="K21" s="652" t="str">
        <f t="array" aca="1" ref="K21" ca="1">IFERROR(INDEX('VEH98 Data'!G$3:G$3508, SMALL(IF('VEH98 Data'!$AH$3:$AH$3508="TRUE", ROW('VEH98 Data'!G$3:G$3508)-ROW('VEH98 Data'!G$3)+1),ROWS('VEH98 Data'!G$3:'VEH98 Data'!G9))),"")</f>
        <v>Chevrolet</v>
      </c>
      <c r="L21" s="652" t="str">
        <f t="array" aca="1" ref="L21" ca="1">IFERROR(INDEX('VEH98 Data'!I$3:I$3508, SMALL(IF('VEH98 Data'!$AH$3:$AH$3508="TRUE", ROW('VEH98 Data'!I$3:I$3508)-ROW('VEH98 Data'!I$3)+1),ROWS('VEH98 Data'!I$3:'VEH98 Data'!I9))),"")</f>
        <v>Equinox</v>
      </c>
      <c r="M21" s="652" t="str">
        <f t="array" aca="1" ref="M21" ca="1">IFERROR(INDEX('VEH98 Data'!J$3:J$3508, SMALL(IF('VEH98 Data'!$AH$3:$AH$3508="TRUE", ROW('VEH98 Data'!J$3:J$3508)-ROW('VEH98 Data'!J$3)+1),ROWS('VEH98 Data'!J$3:'VEH98 Data'!J9))),"")</f>
        <v>LS</v>
      </c>
      <c r="N21" s="652" t="str">
        <f t="array" aca="1" ref="N21" ca="1">IFERROR(INDEX('VEH98 Data'!K$3:K$3508, SMALL(IF('VEH98 Data'!$AH$3:$AH$3508="TRUE", ROW('VEH98 Data'!K$3:K$3508)-ROW('VEH98 Data'!K$3)+1),ROWS('VEH98 Data'!K$3:'VEH98 Data'!K9))),"")</f>
        <v>FWD</v>
      </c>
      <c r="O21" s="653" t="str">
        <f t="array" aca="1" ref="O21" ca="1">IFERROR(INDEX('VEH98 Data'!R$3:R$3508, SMALL(IF('VEH98 Data'!$AH$3:$AH$3508="TRUE", ROW('VEH98 Data'!R$3:R$3508)-ROW('VEH98 Data'!R$3)+1),ROWS('VEH98 Data'!R$3:'VEH98 Data'!R9))),"")</f>
        <v>1.5L</v>
      </c>
      <c r="P21" s="653">
        <f t="array" aca="1" ref="P21" ca="1">IFERROR(INDEX('VEH98 Data'!Y$3:Y$3508, SMALL(IF('VEH98 Data'!$AH$3:$AH$3508="TRUE", ROW('VEH98 Data'!Y$3:Y$3508)-ROW('VEH98 Data'!Y$3)+1),ROWS('VEH98 Data'!Y$3:'VEH98 Data'!Y9))),"")</f>
        <v>28</v>
      </c>
    </row>
    <row r="22" spans="2:19">
      <c r="B22" s="652">
        <f t="array" aca="1" ref="B22" ca="1">IFERROR(INDEX('VEH98 Data'!H$3:H$3508, SMALL(IF('VEH98 Data'!$AG$3:$AG$3508="TRUE", ROW('VEH98 Data'!H$3:H$3508)-ROW('VEH98 Data'!H$3)+1),ROWS('VEH98 Data'!H$3:'VEH98 Data'!H10))),"")</f>
        <v>2019</v>
      </c>
      <c r="C22" s="652" t="str">
        <f t="array" aca="1" ref="C22" ca="1">IFERROR(INDEX('VEH98 Data'!G$3:G$3508, SMALL(IF('VEH98 Data'!$AG$3:$AG$3508="TRUE", ROW('VEH98 Data'!G$3:G$3508)-ROW('VEH98 Data'!G$3)+1),ROWS('VEH98 Data'!G$3:'VEH98 Data'!G10))),"")</f>
        <v>Chevrolet</v>
      </c>
      <c r="D22" s="652" t="str">
        <f t="array" aca="1" ref="D22" ca="1">IFERROR(INDEX('VEH98 Data'!I$3:I$3508, SMALL(IF('VEH98 Data'!$AG$3:$AG$3508="TRUE", ROW('VEH98 Data'!I$3:I$3508)-ROW('VEH98 Data'!I$3)+1),ROWS('VEH98 Data'!I$3:'VEH98 Data'!I10))),"")</f>
        <v>Spark</v>
      </c>
      <c r="E22" s="652" t="str">
        <f t="array" aca="1" ref="E22" ca="1">IFERROR(INDEX('VEH98 Data'!J$3:J$3508, SMALL(IF('VEH98 Data'!$AG$3:$AG$3508="TRUE", ROW('VEH98 Data'!J$3:J$3508)-ROW('VEH98 Data'!J$3)+1),ROWS('VEH98 Data'!J$3:'VEH98 Data'!J10))),"")</f>
        <v>1LT</v>
      </c>
      <c r="F22" s="652" t="str">
        <f t="array" aca="1" ref="F22" ca="1">IFERROR(INDEX('VEH98 Data'!K$3:K$3508, SMALL(IF('VEH98 Data'!$AG$3:$AG$3508="TRUE", ROW('VEH98 Data'!K$3:K$3508)-ROW('VEH98 Data'!K$3)+1),ROWS('VEH98 Data'!K$3:'VEH98 Data'!K10))),"")</f>
        <v>FWD</v>
      </c>
      <c r="G22" s="653" t="str">
        <f t="array" aca="1" ref="G22" ca="1">IFERROR(INDEX('VEH98 Data'!R$3:R$3508, SMALL(IF('VEH98 Data'!$AG$3:$AG$3508="TRUE", ROW('VEH98 Data'!R$3:R$3508)-ROW('VEH98 Data'!R$3)+1),ROWS('VEH98 Data'!R$3:'VEH98 Data'!R10))),"")</f>
        <v>1.4L</v>
      </c>
      <c r="H22" s="653">
        <f t="array" aca="1" ref="H22" ca="1">IFERROR(INDEX('VEH98 Data'!Y$3:Y$3508, SMALL(IF('VEH98 Data'!$AG$3:$AG$3508="TRUE", ROW('VEH98 Data'!Y$3:Y$3508)-ROW('VEH98 Data'!Y$3)+1),ROWS('VEH98 Data'!Y$3:'VEH98 Data'!Y10))),"")</f>
        <v>34</v>
      </c>
      <c r="I22" s="19"/>
      <c r="J22" s="58">
        <f t="array" aca="1" ref="J22" ca="1">IFERROR(INDEX('VEH98 Data'!H$3:H$3508, SMALL(IF('VEH98 Data'!$AH$3:$AH$3508="TRUE", ROW('VEH98 Data'!H$3:H$3508)-ROW('VEH98 Data'!H$3)+1),ROWS('VEH98 Data'!H$3:'VEH98 Data'!H10))),"")</f>
        <v>2019</v>
      </c>
      <c r="K22" s="58" t="str">
        <f t="array" aca="1" ref="K22" ca="1">IFERROR(INDEX('VEH98 Data'!G$3:G$3508, SMALL(IF('VEH98 Data'!$AH$3:$AH$3508="TRUE", ROW('VEH98 Data'!G$3:G$3508)-ROW('VEH98 Data'!G$3)+1),ROWS('VEH98 Data'!G$3:'VEH98 Data'!G10))),"")</f>
        <v>Chevrolet</v>
      </c>
      <c r="L22" s="58" t="str">
        <f t="array" aca="1" ref="L22" ca="1">IFERROR(INDEX('VEH98 Data'!I$3:I$3508, SMALL(IF('VEH98 Data'!$AH$3:$AH$3508="TRUE", ROW('VEH98 Data'!I$3:I$3508)-ROW('VEH98 Data'!I$3)+1),ROWS('VEH98 Data'!I$3:'VEH98 Data'!I10))),"")</f>
        <v>Equinox</v>
      </c>
      <c r="M22" s="58" t="str">
        <f t="array" aca="1" ref="M22" ca="1">IFERROR(INDEX('VEH98 Data'!J$3:J$3508, SMALL(IF('VEH98 Data'!$AH$3:$AH$3508="TRUE", ROW('VEH98 Data'!J$3:J$3508)-ROW('VEH98 Data'!J$3)+1),ROWS('VEH98 Data'!J$3:'VEH98 Data'!J10))),"")</f>
        <v>LT</v>
      </c>
      <c r="N22" s="58" t="str">
        <f t="array" aca="1" ref="N22" ca="1">IFERROR(INDEX('VEH98 Data'!K$3:K$3508, SMALL(IF('VEH98 Data'!$AH$3:$AH$3508="TRUE", ROW('VEH98 Data'!K$3:K$3508)-ROW('VEH98 Data'!K$3)+1),ROWS('VEH98 Data'!K$3:'VEH98 Data'!K10))),"")</f>
        <v>AWD</v>
      </c>
      <c r="O22" s="654" t="str">
        <f t="array" aca="1" ref="O22" ca="1">IFERROR(INDEX('VEH98 Data'!R$3:R$3508, SMALL(IF('VEH98 Data'!$AH$3:$AH$3508="TRUE", ROW('VEH98 Data'!R$3:R$3508)-ROW('VEH98 Data'!R$3)+1),ROWS('VEH98 Data'!R$3:'VEH98 Data'!R10))),"")</f>
        <v>1.5L</v>
      </c>
      <c r="P22" s="654">
        <f t="array" aca="1" ref="P22" ca="1">IFERROR(INDEX('VEH98 Data'!Y$3:Y$3508, SMALL(IF('VEH98 Data'!$AH$3:$AH$3508="TRUE", ROW('VEH98 Data'!Y$3:Y$3508)-ROW('VEH98 Data'!Y$3)+1),ROWS('VEH98 Data'!Y$3:'VEH98 Data'!Y10))),"")</f>
        <v>26</v>
      </c>
    </row>
    <row r="23" spans="2:19">
      <c r="B23" s="58">
        <f t="array" aca="1" ref="B23" ca="1">IFERROR(INDEX('VEH98 Data'!H$3:H$3508, SMALL(IF('VEH98 Data'!$AG$3:$AG$3508="TRUE", ROW('VEH98 Data'!H$3:H$3508)-ROW('VEH98 Data'!H$3)+1),ROWS('VEH98 Data'!H$3:'VEH98 Data'!H11))),"")</f>
        <v>2019</v>
      </c>
      <c r="C23" s="58" t="str">
        <f t="array" aca="1" ref="C23" ca="1">IFERROR(INDEX('VEH98 Data'!G$3:G$3508, SMALL(IF('VEH98 Data'!$AG$3:$AG$3508="TRUE", ROW('VEH98 Data'!G$3:G$3508)-ROW('VEH98 Data'!G$3)+1),ROWS('VEH98 Data'!G$3:'VEH98 Data'!G11))),"")</f>
        <v>Chevrolet</v>
      </c>
      <c r="D23" s="58" t="str">
        <f t="array" aca="1" ref="D23" ca="1">IFERROR(INDEX('VEH98 Data'!I$3:I$3508, SMALL(IF('VEH98 Data'!$AG$3:$AG$3508="TRUE", ROW('VEH98 Data'!I$3:I$3508)-ROW('VEH98 Data'!I$3)+1),ROWS('VEH98 Data'!I$3:'VEH98 Data'!I11))),"")</f>
        <v>Volt</v>
      </c>
      <c r="E23" s="58" t="str">
        <f t="array" aca="1" ref="E23" ca="1">IFERROR(INDEX('VEH98 Data'!J$3:J$3508, SMALL(IF('VEH98 Data'!$AG$3:$AG$3508="TRUE", ROW('VEH98 Data'!J$3:J$3508)-ROW('VEH98 Data'!J$3)+1),ROWS('VEH98 Data'!J$3:'VEH98 Data'!J11))),"")</f>
        <v>LT</v>
      </c>
      <c r="F23" s="58" t="str">
        <f t="array" aca="1" ref="F23" ca="1">IFERROR(INDEX('VEH98 Data'!K$3:K$3508, SMALL(IF('VEH98 Data'!$AG$3:$AG$3508="TRUE", ROW('VEH98 Data'!K$3:K$3508)-ROW('VEH98 Data'!K$3)+1),ROWS('VEH98 Data'!K$3:'VEH98 Data'!K11))),"")</f>
        <v>FWD</v>
      </c>
      <c r="G23" s="654" t="str">
        <f t="array" aca="1" ref="G23" ca="1">IFERROR(INDEX('VEH98 Data'!R$3:R$3508, SMALL(IF('VEH98 Data'!$AG$3:$AG$3508="TRUE", ROW('VEH98 Data'!R$3:R$3508)-ROW('VEH98 Data'!R$3)+1),ROWS('VEH98 Data'!R$3:'VEH98 Data'!R11))),"")</f>
        <v>1.5L</v>
      </c>
      <c r="H23" s="654">
        <f t="array" aca="1" ref="H23" ca="1">IFERROR(INDEX('VEH98 Data'!Y$3:Y$3508, SMALL(IF('VEH98 Data'!$AG$3:$AG$3508="TRUE", ROW('VEH98 Data'!Y$3:Y$3508)-ROW('VEH98 Data'!Y$3)+1),ROWS('VEH98 Data'!Y$3:'VEH98 Data'!Y11))),"")</f>
        <v>106</v>
      </c>
      <c r="I23" s="19"/>
      <c r="J23" s="652">
        <f t="array" aca="1" ref="J23" ca="1">IFERROR(INDEX('VEH98 Data'!H$3:H$3508, SMALL(IF('VEH98 Data'!$AH$3:$AH$3508="TRUE", ROW('VEH98 Data'!H$3:H$3508)-ROW('VEH98 Data'!H$3)+1),ROWS('VEH98 Data'!H$3:'VEH98 Data'!H11))),"")</f>
        <v>2019</v>
      </c>
      <c r="K23" s="652" t="str">
        <f t="array" aca="1" ref="K23" ca="1">IFERROR(INDEX('VEH98 Data'!G$3:G$3508, SMALL(IF('VEH98 Data'!$AH$3:$AH$3508="TRUE", ROW('VEH98 Data'!G$3:G$3508)-ROW('VEH98 Data'!G$3)+1),ROWS('VEH98 Data'!G$3:'VEH98 Data'!G11))),"")</f>
        <v>Chevrolet</v>
      </c>
      <c r="L23" s="652" t="str">
        <f t="array" aca="1" ref="L23" ca="1">IFERROR(INDEX('VEH98 Data'!I$3:I$3508, SMALL(IF('VEH98 Data'!$AH$3:$AH$3508="TRUE", ROW('VEH98 Data'!I$3:I$3508)-ROW('VEH98 Data'!I$3)+1),ROWS('VEH98 Data'!I$3:'VEH98 Data'!I11))),"")</f>
        <v>Equinox</v>
      </c>
      <c r="M23" s="652" t="str">
        <f t="array" aca="1" ref="M23" ca="1">IFERROR(INDEX('VEH98 Data'!J$3:J$3508, SMALL(IF('VEH98 Data'!$AH$3:$AH$3508="TRUE", ROW('VEH98 Data'!J$3:J$3508)-ROW('VEH98 Data'!J$3)+1),ROWS('VEH98 Data'!J$3:'VEH98 Data'!J11))),"")</f>
        <v>LT</v>
      </c>
      <c r="N23" s="652" t="str">
        <f t="array" aca="1" ref="N23" ca="1">IFERROR(INDEX('VEH98 Data'!K$3:K$3508, SMALL(IF('VEH98 Data'!$AH$3:$AH$3508="TRUE", ROW('VEH98 Data'!K$3:K$3508)-ROW('VEH98 Data'!K$3)+1),ROWS('VEH98 Data'!K$3:'VEH98 Data'!K11))),"")</f>
        <v>FWD</v>
      </c>
      <c r="O23" s="653" t="str">
        <f t="array" aca="1" ref="O23" ca="1">IFERROR(INDEX('VEH98 Data'!R$3:R$3508, SMALL(IF('VEH98 Data'!$AH$3:$AH$3508="TRUE", ROW('VEH98 Data'!R$3:R$3508)-ROW('VEH98 Data'!R$3)+1),ROWS('VEH98 Data'!R$3:'VEH98 Data'!R11))),"")</f>
        <v>1.5L</v>
      </c>
      <c r="P23" s="653">
        <f t="array" aca="1" ref="P23" ca="1">IFERROR(INDEX('VEH98 Data'!Y$3:Y$3508, SMALL(IF('VEH98 Data'!$AH$3:$AH$3508="TRUE", ROW('VEH98 Data'!Y$3:Y$3508)-ROW('VEH98 Data'!Y$3)+1),ROWS('VEH98 Data'!Y$3:'VEH98 Data'!Y11))),"")</f>
        <v>28</v>
      </c>
    </row>
    <row r="24" spans="2:19">
      <c r="B24" s="652">
        <f t="array" aca="1" ref="B24" ca="1">IFERROR(INDEX('VEH98 Data'!H$3:H$3508, SMALL(IF('VEH98 Data'!$AG$3:$AG$3508="TRUE", ROW('VEH98 Data'!H$3:H$3508)-ROW('VEH98 Data'!H$3)+1),ROWS('VEH98 Data'!H$3:'VEH98 Data'!H12))),"")</f>
        <v>2019</v>
      </c>
      <c r="C24" s="652" t="str">
        <f t="array" aca="1" ref="C24" ca="1">IFERROR(INDEX('VEH98 Data'!G$3:G$3508, SMALL(IF('VEH98 Data'!$AG$3:$AG$3508="TRUE", ROW('VEH98 Data'!G$3:G$3508)-ROW('VEH98 Data'!G$3)+1),ROWS('VEH98 Data'!G$3:'VEH98 Data'!G12))),"")</f>
        <v>Ford</v>
      </c>
      <c r="D24" s="652" t="str">
        <f t="array" aca="1" ref="D24" ca="1">IFERROR(INDEX('VEH98 Data'!I$3:I$3508, SMALL(IF('VEH98 Data'!$AG$3:$AG$3508="TRUE", ROW('VEH98 Data'!I$3:I$3508)-ROW('VEH98 Data'!I$3)+1),ROWS('VEH98 Data'!I$3:'VEH98 Data'!I12))),"")</f>
        <v>Fusion</v>
      </c>
      <c r="E24" s="652" t="str">
        <f t="array" aca="1" ref="E24" ca="1">IFERROR(INDEX('VEH98 Data'!J$3:J$3508, SMALL(IF('VEH98 Data'!$AG$3:$AG$3508="TRUE", ROW('VEH98 Data'!J$3:J$3508)-ROW('VEH98 Data'!J$3)+1),ROWS('VEH98 Data'!J$3:'VEH98 Data'!J12))),"")</f>
        <v>Energi Titanium</v>
      </c>
      <c r="F24" s="652" t="str">
        <f t="array" aca="1" ref="F24" ca="1">IFERROR(INDEX('VEH98 Data'!K$3:K$3508, SMALL(IF('VEH98 Data'!$AG$3:$AG$3508="TRUE", ROW('VEH98 Data'!K$3:K$3508)-ROW('VEH98 Data'!K$3)+1),ROWS('VEH98 Data'!K$3:'VEH98 Data'!K12))),"")</f>
        <v>FWD</v>
      </c>
      <c r="G24" s="653" t="str">
        <f t="array" aca="1" ref="G24" ca="1">IFERROR(INDEX('VEH98 Data'!R$3:R$3508, SMALL(IF('VEH98 Data'!$AG$3:$AG$3508="TRUE", ROW('VEH98 Data'!R$3:R$3508)-ROW('VEH98 Data'!R$3)+1),ROWS('VEH98 Data'!R$3:'VEH98 Data'!R12))),"")</f>
        <v>2.0L</v>
      </c>
      <c r="H24" s="653">
        <f t="array" aca="1" ref="H24" ca="1">IFERROR(INDEX('VEH98 Data'!Y$3:Y$3508, SMALL(IF('VEH98 Data'!$AG$3:$AG$3508="TRUE", ROW('VEH98 Data'!Y$3:Y$3508)-ROW('VEH98 Data'!Y$3)+1),ROWS('VEH98 Data'!Y$3:'VEH98 Data'!Y12))),"")</f>
        <v>97</v>
      </c>
      <c r="I24" s="19"/>
      <c r="J24" s="58">
        <f t="array" aca="1" ref="J24" ca="1">IFERROR(INDEX('VEH98 Data'!H$3:H$3508, SMALL(IF('VEH98 Data'!$AH$3:$AH$3508="TRUE", ROW('VEH98 Data'!H$3:H$3508)-ROW('VEH98 Data'!H$3)+1),ROWS('VEH98 Data'!H$3:'VEH98 Data'!H14))),"")</f>
        <v>2019</v>
      </c>
      <c r="K24" s="58" t="str">
        <f t="array" aca="1" ref="K24" ca="1">IFERROR(INDEX('VEH98 Data'!G$3:G$3508, SMALL(IF('VEH98 Data'!$AH$3:$AH$3508="TRUE", ROW('VEH98 Data'!G$3:G$3508)-ROW('VEH98 Data'!G$3)+1),ROWS('VEH98 Data'!G$3:'VEH98 Data'!G14))),"")</f>
        <v>Chevrolet</v>
      </c>
      <c r="L24" s="58" t="str">
        <f t="array" aca="1" ref="L24" ca="1">IFERROR(INDEX('VEH98 Data'!I$3:I$3508, SMALL(IF('VEH98 Data'!$AH$3:$AH$3508="TRUE", ROW('VEH98 Data'!I$3:I$3508)-ROW('VEH98 Data'!I$3)+1),ROWS('VEH98 Data'!I$3:'VEH98 Data'!I14))),"")</f>
        <v>Trax</v>
      </c>
      <c r="M24" s="58" t="str">
        <f t="array" aca="1" ref="M24" ca="1">IFERROR(INDEX('VEH98 Data'!J$3:J$3508, SMALL(IF('VEH98 Data'!$AH$3:$AH$3508="TRUE", ROW('VEH98 Data'!J$3:J$3508)-ROW('VEH98 Data'!J$3)+1),ROWS('VEH98 Data'!J$3:'VEH98 Data'!J14))),"")</f>
        <v>LS</v>
      </c>
      <c r="N24" s="58" t="str">
        <f t="array" aca="1" ref="N24" ca="1">IFERROR(INDEX('VEH98 Data'!K$3:K$3508, SMALL(IF('VEH98 Data'!$AH$3:$AH$3508="TRUE", ROW('VEH98 Data'!K$3:K$3508)-ROW('VEH98 Data'!K$3)+1),ROWS('VEH98 Data'!K$3:'VEH98 Data'!K14))),"")</f>
        <v>AWD</v>
      </c>
      <c r="O24" s="654" t="str">
        <f t="array" aca="1" ref="O24" ca="1">IFERROR(INDEX('VEH98 Data'!R$3:R$3508, SMALL(IF('VEH98 Data'!$AH$3:$AH$3508="TRUE", ROW('VEH98 Data'!R$3:R$3508)-ROW('VEH98 Data'!R$3)+1),ROWS('VEH98 Data'!R$3:'VEH98 Data'!R14))),"")</f>
        <v>1.4L</v>
      </c>
      <c r="P24" s="654">
        <f t="array" aca="1" ref="P24" ca="1">IFERROR(INDEX('VEH98 Data'!Y$3:Y$3508, SMALL(IF('VEH98 Data'!$AH$3:$AH$3508="TRUE", ROW('VEH98 Data'!Y$3:Y$3508)-ROW('VEH98 Data'!Y$3)+1),ROWS('VEH98 Data'!Y$3:'VEH98 Data'!Y14))),"")</f>
        <v>27</v>
      </c>
    </row>
    <row r="25" spans="2:19">
      <c r="B25" s="58">
        <f t="array" aca="1" ref="B25" ca="1">IFERROR(INDEX('VEH98 Data'!H$3:H$3508, SMALL(IF('VEH98 Data'!$AG$3:$AG$3508="TRUE", ROW('VEH98 Data'!H$3:H$3508)-ROW('VEH98 Data'!H$3)+1),ROWS('VEH98 Data'!H$3:'VEH98 Data'!H13))),"")</f>
        <v>2019</v>
      </c>
      <c r="C25" s="58" t="str">
        <f t="array" aca="1" ref="C25" ca="1">IFERROR(INDEX('VEH98 Data'!G$3:G$3508, SMALL(IF('VEH98 Data'!$AG$3:$AG$3508="TRUE", ROW('VEH98 Data'!G$3:G$3508)-ROW('VEH98 Data'!G$3)+1),ROWS('VEH98 Data'!G$3:'VEH98 Data'!G13))),"")</f>
        <v>Ford</v>
      </c>
      <c r="D25" s="58" t="str">
        <f t="array" aca="1" ref="D25" ca="1">IFERROR(INDEX('VEH98 Data'!I$3:I$3508, SMALL(IF('VEH98 Data'!$AG$3:$AG$3508="TRUE", ROW('VEH98 Data'!I$3:I$3508)-ROW('VEH98 Data'!I$3)+1),ROWS('VEH98 Data'!I$3:'VEH98 Data'!I13))),"")</f>
        <v>Fusion</v>
      </c>
      <c r="E25" s="58" t="str">
        <f t="array" aca="1" ref="E25" ca="1">IFERROR(INDEX('VEH98 Data'!J$3:J$3508, SMALL(IF('VEH98 Data'!$AG$3:$AG$3508="TRUE", ROW('VEH98 Data'!J$3:J$3508)-ROW('VEH98 Data'!J$3)+1),ROWS('VEH98 Data'!J$3:'VEH98 Data'!J13))),"")</f>
        <v>Energi Titanium</v>
      </c>
      <c r="F25" s="58" t="str">
        <f t="array" aca="1" ref="F25" ca="1">IFERROR(INDEX('VEH98 Data'!K$3:K$3508, SMALL(IF('VEH98 Data'!$AG$3:$AG$3508="TRUE", ROW('VEH98 Data'!K$3:K$3508)-ROW('VEH98 Data'!K$3)+1),ROWS('VEH98 Data'!K$3:'VEH98 Data'!K13))),"")</f>
        <v>FWD</v>
      </c>
      <c r="G25" s="654" t="str">
        <f t="array" aca="1" ref="G25" ca="1">IFERROR(INDEX('VEH98 Data'!R$3:R$3508, SMALL(IF('VEH98 Data'!$AG$3:$AG$3508="TRUE", ROW('VEH98 Data'!R$3:R$3508)-ROW('VEH98 Data'!R$3)+1),ROWS('VEH98 Data'!R$3:'VEH98 Data'!R13))),"")</f>
        <v>2.0L</v>
      </c>
      <c r="H25" s="654">
        <f t="array" aca="1" ref="H25" ca="1">IFERROR(INDEX('VEH98 Data'!Y$3:Y$3508, SMALL(IF('VEH98 Data'!$AG$3:$AG$3508="TRUE", ROW('VEH98 Data'!Y$3:Y$3508)-ROW('VEH98 Data'!Y$3)+1),ROWS('VEH98 Data'!Y$3:'VEH98 Data'!Y13))),"")</f>
        <v>97</v>
      </c>
      <c r="I25" s="19"/>
      <c r="J25" s="652">
        <f t="array" aca="1" ref="J25" ca="1">IFERROR(INDEX('VEH98 Data'!H$3:H$3508, SMALL(IF('VEH98 Data'!$AH$3:$AH$3508="TRUE", ROW('VEH98 Data'!H$3:H$3508)-ROW('VEH98 Data'!H$3)+1),ROWS('VEH98 Data'!H$3:'VEH98 Data'!H15))),"")</f>
        <v>2019</v>
      </c>
      <c r="K25" s="652" t="str">
        <f t="array" aca="1" ref="K25" ca="1">IFERROR(INDEX('VEH98 Data'!G$3:G$3508, SMALL(IF('VEH98 Data'!$AH$3:$AH$3508="TRUE", ROW('VEH98 Data'!G$3:G$3508)-ROW('VEH98 Data'!G$3)+1),ROWS('VEH98 Data'!G$3:'VEH98 Data'!G15))),"")</f>
        <v>Chevrolet</v>
      </c>
      <c r="L25" s="652" t="str">
        <f t="array" aca="1" ref="L25" ca="1">IFERROR(INDEX('VEH98 Data'!I$3:I$3508, SMALL(IF('VEH98 Data'!$AH$3:$AH$3508="TRUE", ROW('VEH98 Data'!I$3:I$3508)-ROW('VEH98 Data'!I$3)+1),ROWS('VEH98 Data'!I$3:'VEH98 Data'!I15))),"")</f>
        <v>Trax</v>
      </c>
      <c r="M25" s="652" t="str">
        <f t="array" aca="1" ref="M25" ca="1">IFERROR(INDEX('VEH98 Data'!J$3:J$3508, SMALL(IF('VEH98 Data'!$AH$3:$AH$3508="TRUE", ROW('VEH98 Data'!J$3:J$3508)-ROW('VEH98 Data'!J$3)+1),ROWS('VEH98 Data'!J$3:'VEH98 Data'!J15))),"")</f>
        <v>LS</v>
      </c>
      <c r="N25" s="652" t="str">
        <f t="array" aca="1" ref="N25" ca="1">IFERROR(INDEX('VEH98 Data'!K$3:K$3508, SMALL(IF('VEH98 Data'!$AH$3:$AH$3508="TRUE", ROW('VEH98 Data'!K$3:K$3508)-ROW('VEH98 Data'!K$3)+1),ROWS('VEH98 Data'!K$3:'VEH98 Data'!K15))),"")</f>
        <v>FWD</v>
      </c>
      <c r="O25" s="653" t="str">
        <f t="array" aca="1" ref="O25" ca="1">IFERROR(INDEX('VEH98 Data'!R$3:R$3508, SMALL(IF('VEH98 Data'!$AH$3:$AH$3508="TRUE", ROW('VEH98 Data'!R$3:R$3508)-ROW('VEH98 Data'!R$3)+1),ROWS('VEH98 Data'!R$3:'VEH98 Data'!R15))),"")</f>
        <v>1.4L</v>
      </c>
      <c r="P25" s="653">
        <f t="array" aca="1" ref="P25" ca="1">IFERROR(INDEX('VEH98 Data'!Y$3:Y$3508, SMALL(IF('VEH98 Data'!$AH$3:$AH$3508="TRUE", ROW('VEH98 Data'!Y$3:Y$3508)-ROW('VEH98 Data'!Y$3)+1),ROWS('VEH98 Data'!Y$3:'VEH98 Data'!Y15))),"")</f>
        <v>28</v>
      </c>
    </row>
    <row r="26" spans="2:19">
      <c r="B26" s="652">
        <f t="array" aca="1" ref="B26" ca="1">IFERROR(INDEX('VEH98 Data'!H$3:H$3508, SMALL(IF('VEH98 Data'!$AG$3:$AG$3508="TRUE", ROW('VEH98 Data'!H$3:H$3508)-ROW('VEH98 Data'!H$3)+1),ROWS('VEH98 Data'!H$3:'VEH98 Data'!H14))),"")</f>
        <v>2019</v>
      </c>
      <c r="C26" s="652" t="str">
        <f t="array" aca="1" ref="C26" ca="1">IFERROR(INDEX('VEH98 Data'!G$3:G$3508, SMALL(IF('VEH98 Data'!$AG$3:$AG$3508="TRUE", ROW('VEH98 Data'!G$3:G$3508)-ROW('VEH98 Data'!G$3)+1),ROWS('VEH98 Data'!G$3:'VEH98 Data'!G14))),"")</f>
        <v>Ford</v>
      </c>
      <c r="D26" s="652" t="str">
        <f t="array" aca="1" ref="D26" ca="1">IFERROR(INDEX('VEH98 Data'!I$3:I$3508, SMALL(IF('VEH98 Data'!$AG$3:$AG$3508="TRUE", ROW('VEH98 Data'!I$3:I$3508)-ROW('VEH98 Data'!I$3)+1),ROWS('VEH98 Data'!I$3:'VEH98 Data'!I14))),"")</f>
        <v>Fusion</v>
      </c>
      <c r="E26" s="652" t="str">
        <f t="array" aca="1" ref="E26" ca="1">IFERROR(INDEX('VEH98 Data'!J$3:J$3508, SMALL(IF('VEH98 Data'!$AG$3:$AG$3508="TRUE", ROW('VEH98 Data'!J$3:J$3508)-ROW('VEH98 Data'!J$3)+1),ROWS('VEH98 Data'!J$3:'VEH98 Data'!J14))),"")</f>
        <v>Hybrid SE</v>
      </c>
      <c r="F26" s="652" t="str">
        <f t="array" aca="1" ref="F26" ca="1">IFERROR(INDEX('VEH98 Data'!K$3:K$3508, SMALL(IF('VEH98 Data'!$AG$3:$AG$3508="TRUE", ROW('VEH98 Data'!K$3:K$3508)-ROW('VEH98 Data'!K$3)+1),ROWS('VEH98 Data'!K$3:'VEH98 Data'!K14))),"")</f>
        <v>FWD</v>
      </c>
      <c r="G26" s="653" t="str">
        <f t="array" aca="1" ref="G26" ca="1">IFERROR(INDEX('VEH98 Data'!R$3:R$3508, SMALL(IF('VEH98 Data'!$AG$3:$AG$3508="TRUE", ROW('VEH98 Data'!R$3:R$3508)-ROW('VEH98 Data'!R$3)+1),ROWS('VEH98 Data'!R$3:'VEH98 Data'!R14))),"")</f>
        <v>2.0L</v>
      </c>
      <c r="H26" s="653">
        <f t="array" aca="1" ref="H26" ca="1">IFERROR(INDEX('VEH98 Data'!Y$3:Y$3508, SMALL(IF('VEH98 Data'!$AG$3:$AG$3508="TRUE", ROW('VEH98 Data'!Y$3:Y$3508)-ROW('VEH98 Data'!Y$3)+1),ROWS('VEH98 Data'!Y$3:'VEH98 Data'!Y14))),"")</f>
        <v>42</v>
      </c>
      <c r="I26" s="19"/>
      <c r="J26" s="58">
        <f t="array" aca="1" ref="J26" ca="1">IFERROR(INDEX('VEH98 Data'!H$3:H$3508, SMALL(IF('VEH98 Data'!$AH$3:$AH$3508="TRUE", ROW('VEH98 Data'!H$3:H$3508)-ROW('VEH98 Data'!H$3)+1),ROWS('VEH98 Data'!H$3:'VEH98 Data'!H16))),"")</f>
        <v>2019</v>
      </c>
      <c r="K26" s="58" t="str">
        <f t="array" aca="1" ref="K26" ca="1">IFERROR(INDEX('VEH98 Data'!G$3:G$3508, SMALL(IF('VEH98 Data'!$AH$3:$AH$3508="TRUE", ROW('VEH98 Data'!G$3:G$3508)-ROW('VEH98 Data'!G$3)+1),ROWS('VEH98 Data'!G$3:'VEH98 Data'!G16))),"")</f>
        <v>Ford</v>
      </c>
      <c r="L26" s="58" t="str">
        <f t="array" aca="1" ref="L26" ca="1">IFERROR(INDEX('VEH98 Data'!I$3:I$3508, SMALL(IF('VEH98 Data'!$AH$3:$AH$3508="TRUE", ROW('VEH98 Data'!I$3:I$3508)-ROW('VEH98 Data'!I$3)+1),ROWS('VEH98 Data'!I$3:'VEH98 Data'!I16))),"")</f>
        <v>Ecosport</v>
      </c>
      <c r="M26" s="58" t="str">
        <f t="array" aca="1" ref="M26" ca="1">IFERROR(INDEX('VEH98 Data'!J$3:J$3508, SMALL(IF('VEH98 Data'!$AH$3:$AH$3508="TRUE", ROW('VEH98 Data'!J$3:J$3508)-ROW('VEH98 Data'!J$3)+1),ROWS('VEH98 Data'!J$3:'VEH98 Data'!J16))),"")</f>
        <v>S</v>
      </c>
      <c r="N26" s="58" t="str">
        <f t="array" aca="1" ref="N26" ca="1">IFERROR(INDEX('VEH98 Data'!K$3:K$3508, SMALL(IF('VEH98 Data'!$AH$3:$AH$3508="TRUE", ROW('VEH98 Data'!K$3:K$3508)-ROW('VEH98 Data'!K$3)+1),ROWS('VEH98 Data'!K$3:'VEH98 Data'!K16))),"")</f>
        <v>4WD</v>
      </c>
      <c r="O26" s="654" t="str">
        <f t="array" aca="1" ref="O26" ca="1">IFERROR(INDEX('VEH98 Data'!R$3:R$3508, SMALL(IF('VEH98 Data'!$AH$3:$AH$3508="TRUE", ROW('VEH98 Data'!R$3:R$3508)-ROW('VEH98 Data'!R$3)+1),ROWS('VEH98 Data'!R$3:'VEH98 Data'!R16))),"")</f>
        <v>2.0L</v>
      </c>
      <c r="P26" s="654">
        <f t="array" aca="1" ref="P26" ca="1">IFERROR(INDEX('VEH98 Data'!Y$3:Y$3508, SMALL(IF('VEH98 Data'!$AH$3:$AH$3508="TRUE", ROW('VEH98 Data'!Y$3:Y$3508)-ROW('VEH98 Data'!Y$3)+1),ROWS('VEH98 Data'!Y$3:'VEH98 Data'!Y16))),"")</f>
        <v>25</v>
      </c>
    </row>
    <row r="27" spans="2:19">
      <c r="B27" s="58">
        <f t="array" aca="1" ref="B27" ca="1">IFERROR(INDEX('VEH98 Data'!H$3:H$3508, SMALL(IF('VEH98 Data'!$AG$3:$AG$3508="TRUE", ROW('VEH98 Data'!H$3:H$3508)-ROW('VEH98 Data'!H$3)+1),ROWS('VEH98 Data'!H$3:'VEH98 Data'!H15))),"")</f>
        <v>2019</v>
      </c>
      <c r="C27" s="58" t="str">
        <f t="array" aca="1" ref="C27" ca="1">IFERROR(INDEX('VEH98 Data'!G$3:G$3508, SMALL(IF('VEH98 Data'!$AG$3:$AG$3508="TRUE", ROW('VEH98 Data'!G$3:G$3508)-ROW('VEH98 Data'!G$3)+1),ROWS('VEH98 Data'!G$3:'VEH98 Data'!G15))),"")</f>
        <v>Ford</v>
      </c>
      <c r="D27" s="58" t="str">
        <f t="array" aca="1" ref="D27" ca="1">IFERROR(INDEX('VEH98 Data'!I$3:I$3508, SMALL(IF('VEH98 Data'!$AG$3:$AG$3508="TRUE", ROW('VEH98 Data'!I$3:I$3508)-ROW('VEH98 Data'!I$3)+1),ROWS('VEH98 Data'!I$3:'VEH98 Data'!I15))),"")</f>
        <v>Fusion</v>
      </c>
      <c r="E27" s="58" t="str">
        <f t="array" aca="1" ref="E27" ca="1">IFERROR(INDEX('VEH98 Data'!J$3:J$3508, SMALL(IF('VEH98 Data'!$AG$3:$AG$3508="TRUE", ROW('VEH98 Data'!J$3:J$3508)-ROW('VEH98 Data'!J$3)+1),ROWS('VEH98 Data'!J$3:'VEH98 Data'!J15))),"")</f>
        <v>Hybrid SEL</v>
      </c>
      <c r="F27" s="58" t="str">
        <f t="array" aca="1" ref="F27" ca="1">IFERROR(INDEX('VEH98 Data'!K$3:K$3508, SMALL(IF('VEH98 Data'!$AG$3:$AG$3508="TRUE", ROW('VEH98 Data'!K$3:K$3508)-ROW('VEH98 Data'!K$3)+1),ROWS('VEH98 Data'!K$3:'VEH98 Data'!K15))),"")</f>
        <v>FWD</v>
      </c>
      <c r="G27" s="654" t="str">
        <f t="array" aca="1" ref="G27" ca="1">IFERROR(INDEX('VEH98 Data'!R$3:R$3508, SMALL(IF('VEH98 Data'!$AG$3:$AG$3508="TRUE", ROW('VEH98 Data'!R$3:R$3508)-ROW('VEH98 Data'!R$3)+1),ROWS('VEH98 Data'!R$3:'VEH98 Data'!R15))),"")</f>
        <v>2.0L</v>
      </c>
      <c r="H27" s="654">
        <f t="array" aca="1" ref="H27" ca="1">IFERROR(INDEX('VEH98 Data'!Y$3:Y$3508, SMALL(IF('VEH98 Data'!$AG$3:$AG$3508="TRUE", ROW('VEH98 Data'!Y$3:Y$3508)-ROW('VEH98 Data'!Y$3)+1),ROWS('VEH98 Data'!Y$3:'VEH98 Data'!Y15))),"")</f>
        <v>43</v>
      </c>
      <c r="I27" s="19"/>
      <c r="J27" s="652">
        <f t="array" aca="1" ref="J27" ca="1">IFERROR(INDEX('VEH98 Data'!H$3:H$3508, SMALL(IF('VEH98 Data'!$AH$3:$AH$3508="TRUE", ROW('VEH98 Data'!H$3:H$3508)-ROW('VEH98 Data'!H$3)+1),ROWS('VEH98 Data'!H$3:'VEH98 Data'!H17))),"")</f>
        <v>2019</v>
      </c>
      <c r="K27" s="652" t="str">
        <f t="array" aca="1" ref="K27" ca="1">IFERROR(INDEX('VEH98 Data'!G$3:G$3508, SMALL(IF('VEH98 Data'!$AH$3:$AH$3508="TRUE", ROW('VEH98 Data'!G$3:G$3508)-ROW('VEH98 Data'!G$3)+1),ROWS('VEH98 Data'!G$3:'VEH98 Data'!G17))),"")</f>
        <v>Ford</v>
      </c>
      <c r="L27" s="652" t="str">
        <f t="array" aca="1" ref="L27" ca="1">IFERROR(INDEX('VEH98 Data'!I$3:I$3508, SMALL(IF('VEH98 Data'!$AH$3:$AH$3508="TRUE", ROW('VEH98 Data'!I$3:I$3508)-ROW('VEH98 Data'!I$3)+1),ROWS('VEH98 Data'!I$3:'VEH98 Data'!I17))),"")</f>
        <v>Ecosport</v>
      </c>
      <c r="M27" s="652" t="str">
        <f t="array" aca="1" ref="M27" ca="1">IFERROR(INDEX('VEH98 Data'!J$3:J$3508, SMALL(IF('VEH98 Data'!$AH$3:$AH$3508="TRUE", ROW('VEH98 Data'!J$3:J$3508)-ROW('VEH98 Data'!J$3)+1),ROWS('VEH98 Data'!J$3:'VEH98 Data'!J17))),"")</f>
        <v>S</v>
      </c>
      <c r="N27" s="652" t="str">
        <f t="array" aca="1" ref="N27" ca="1">IFERROR(INDEX('VEH98 Data'!K$3:K$3508, SMALL(IF('VEH98 Data'!$AH$3:$AH$3508="TRUE", ROW('VEH98 Data'!K$3:K$3508)-ROW('VEH98 Data'!K$3)+1),ROWS('VEH98 Data'!K$3:'VEH98 Data'!K17))),"")</f>
        <v>AWD</v>
      </c>
      <c r="O27" s="653" t="str">
        <f t="array" aca="1" ref="O27" ca="1">IFERROR(INDEX('VEH98 Data'!R$3:R$3508, SMALL(IF('VEH98 Data'!$AH$3:$AH$3508="TRUE", ROW('VEH98 Data'!R$3:R$3508)-ROW('VEH98 Data'!R$3)+1),ROWS('VEH98 Data'!R$3:'VEH98 Data'!R17))),"")</f>
        <v>2.0L</v>
      </c>
      <c r="P27" s="653">
        <f t="array" aca="1" ref="P27" ca="1">IFERROR(INDEX('VEH98 Data'!Y$3:Y$3508, SMALL(IF('VEH98 Data'!$AH$3:$AH$3508="TRUE", ROW('VEH98 Data'!Y$3:Y$3508)-ROW('VEH98 Data'!Y$3)+1),ROWS('VEH98 Data'!Y$3:'VEH98 Data'!Y17))),"")</f>
        <v>25</v>
      </c>
    </row>
    <row r="28" spans="2:19">
      <c r="B28" s="652">
        <f t="array" aca="1" ref="B28" ca="1">IFERROR(INDEX('VEH98 Data'!H$3:H$3508, SMALL(IF('VEH98 Data'!$AG$3:$AG$3508="TRUE", ROW('VEH98 Data'!H$3:H$3508)-ROW('VEH98 Data'!H$3)+1),ROWS('VEH98 Data'!H$3:'VEH98 Data'!H16))),"")</f>
        <v>2019</v>
      </c>
      <c r="C28" s="652" t="str">
        <f t="array" aca="1" ref="C28" ca="1">IFERROR(INDEX('VEH98 Data'!G$3:G$3508, SMALL(IF('VEH98 Data'!$AG$3:$AG$3508="TRUE", ROW('VEH98 Data'!G$3:G$3508)-ROW('VEH98 Data'!G$3)+1),ROWS('VEH98 Data'!G$3:'VEH98 Data'!G16))),"")</f>
        <v>Ford</v>
      </c>
      <c r="D28" s="652" t="str">
        <f t="array" aca="1" ref="D28" ca="1">IFERROR(INDEX('VEH98 Data'!I$3:I$3508, SMALL(IF('VEH98 Data'!$AG$3:$AG$3508="TRUE", ROW('VEH98 Data'!I$3:I$3508)-ROW('VEH98 Data'!I$3)+1),ROWS('VEH98 Data'!I$3:'VEH98 Data'!I16))),"")</f>
        <v>Fusion</v>
      </c>
      <c r="E28" s="652" t="str">
        <f t="array" aca="1" ref="E28" ca="1">IFERROR(INDEX('VEH98 Data'!J$3:J$3508, SMALL(IF('VEH98 Data'!$AG$3:$AG$3508="TRUE", ROW('VEH98 Data'!J$3:J$3508)-ROW('VEH98 Data'!J$3)+1),ROWS('VEH98 Data'!J$3:'VEH98 Data'!J16))),"")</f>
        <v>Hybrid Titanium</v>
      </c>
      <c r="F28" s="652" t="str">
        <f t="array" aca="1" ref="F28" ca="1">IFERROR(INDEX('VEH98 Data'!K$3:K$3508, SMALL(IF('VEH98 Data'!$AG$3:$AG$3508="TRUE", ROW('VEH98 Data'!K$3:K$3508)-ROW('VEH98 Data'!K$3)+1),ROWS('VEH98 Data'!K$3:'VEH98 Data'!K16))),"")</f>
        <v>FWD</v>
      </c>
      <c r="G28" s="653" t="str">
        <f t="array" aca="1" ref="G28" ca="1">IFERROR(INDEX('VEH98 Data'!R$3:R$3508, SMALL(IF('VEH98 Data'!$AG$3:$AG$3508="TRUE", ROW('VEH98 Data'!R$3:R$3508)-ROW('VEH98 Data'!R$3)+1),ROWS('VEH98 Data'!R$3:'VEH98 Data'!R16))),"")</f>
        <v>2.0L</v>
      </c>
      <c r="H28" s="653">
        <f t="array" aca="1" ref="H28" ca="1">IFERROR(INDEX('VEH98 Data'!Y$3:Y$3508, SMALL(IF('VEH98 Data'!$AG$3:$AG$3508="TRUE", ROW('VEH98 Data'!Y$3:Y$3508)-ROW('VEH98 Data'!Y$3)+1),ROWS('VEH98 Data'!Y$3:'VEH98 Data'!Y16))),"")</f>
        <v>42</v>
      </c>
      <c r="I28" s="19"/>
      <c r="J28" s="58">
        <f t="array" aca="1" ref="J28" ca="1">IFERROR(INDEX('VEH98 Data'!H$3:H$3508, SMALL(IF('VEH98 Data'!$AH$3:$AH$3508="TRUE", ROW('VEH98 Data'!H$3:H$3508)-ROW('VEH98 Data'!H$3)+1),ROWS('VEH98 Data'!H$3:'VEH98 Data'!H18))),"")</f>
        <v>2019</v>
      </c>
      <c r="K28" s="58" t="str">
        <f t="array" aca="1" ref="K28" ca="1">IFERROR(INDEX('VEH98 Data'!G$3:G$3508, SMALL(IF('VEH98 Data'!$AH$3:$AH$3508="TRUE", ROW('VEH98 Data'!G$3:G$3508)-ROW('VEH98 Data'!G$3)+1),ROWS('VEH98 Data'!G$3:'VEH98 Data'!G18))),"")</f>
        <v>Ford</v>
      </c>
      <c r="L28" s="58" t="str">
        <f t="array" aca="1" ref="L28" ca="1">IFERROR(INDEX('VEH98 Data'!I$3:I$3508, SMALL(IF('VEH98 Data'!$AH$3:$AH$3508="TRUE", ROW('VEH98 Data'!I$3:I$3508)-ROW('VEH98 Data'!I$3)+1),ROWS('VEH98 Data'!I$3:'VEH98 Data'!I18))),"")</f>
        <v>Ecosport</v>
      </c>
      <c r="M28" s="58" t="str">
        <f t="array" aca="1" ref="M28" ca="1">IFERROR(INDEX('VEH98 Data'!J$3:J$3508, SMALL(IF('VEH98 Data'!$AH$3:$AH$3508="TRUE", ROW('VEH98 Data'!J$3:J$3508)-ROW('VEH98 Data'!J$3)+1),ROWS('VEH98 Data'!J$3:'VEH98 Data'!J18))),"")</f>
        <v>S</v>
      </c>
      <c r="N28" s="58" t="str">
        <f t="array" aca="1" ref="N28" ca="1">IFERROR(INDEX('VEH98 Data'!K$3:K$3508, SMALL(IF('VEH98 Data'!$AH$3:$AH$3508="TRUE", ROW('VEH98 Data'!K$3:K$3508)-ROW('VEH98 Data'!K$3)+1),ROWS('VEH98 Data'!K$3:'VEH98 Data'!K18))),"")</f>
        <v>AWD</v>
      </c>
      <c r="O28" s="654" t="str">
        <f t="array" aca="1" ref="O28" ca="1">IFERROR(INDEX('VEH98 Data'!R$3:R$3508, SMALL(IF('VEH98 Data'!$AH$3:$AH$3508="TRUE", ROW('VEH98 Data'!R$3:R$3508)-ROW('VEH98 Data'!R$3)+1),ROWS('VEH98 Data'!R$3:'VEH98 Data'!R18))),"")</f>
        <v>2.0L</v>
      </c>
      <c r="P28" s="654">
        <f t="array" aca="1" ref="P28" ca="1">IFERROR(INDEX('VEH98 Data'!Y$3:Y$3508, SMALL(IF('VEH98 Data'!$AH$3:$AH$3508="TRUE", ROW('VEH98 Data'!Y$3:Y$3508)-ROW('VEH98 Data'!Y$3)+1),ROWS('VEH98 Data'!Y$3:'VEH98 Data'!Y18))),"")</f>
        <v>25</v>
      </c>
    </row>
    <row r="29" spans="2:19">
      <c r="B29" s="58">
        <f t="array" aca="1" ref="B29" ca="1">IFERROR(INDEX('VEH98 Data'!H$3:H$3508, SMALL(IF('VEH98 Data'!$AG$3:$AG$3508="TRUE", ROW('VEH98 Data'!H$3:H$3508)-ROW('VEH98 Data'!H$3)+1),ROWS('VEH98 Data'!H$3:'VEH98 Data'!H17))),"")</f>
        <v>2019</v>
      </c>
      <c r="C29" s="58" t="str">
        <f t="array" aca="1" ref="C29" ca="1">IFERROR(INDEX('VEH98 Data'!G$3:G$3508, SMALL(IF('VEH98 Data'!$AG$3:$AG$3508="TRUE", ROW('VEH98 Data'!G$3:G$3508)-ROW('VEH98 Data'!G$3)+1),ROWS('VEH98 Data'!G$3:'VEH98 Data'!G17))),"")</f>
        <v>Honda</v>
      </c>
      <c r="D29" s="58" t="str">
        <f t="array" aca="1" ref="D29" ca="1">IFERROR(INDEX('VEH98 Data'!I$3:I$3508, SMALL(IF('VEH98 Data'!$AG$3:$AG$3508="TRUE", ROW('VEH98 Data'!I$3:I$3508)-ROW('VEH98 Data'!I$3)+1),ROWS('VEH98 Data'!I$3:'VEH98 Data'!I17))),"")</f>
        <v>Accord</v>
      </c>
      <c r="E29" s="58" t="str">
        <f t="array" aca="1" ref="E29" ca="1">IFERROR(INDEX('VEH98 Data'!J$3:J$3508, SMALL(IF('VEH98 Data'!$AG$3:$AG$3508="TRUE", ROW('VEH98 Data'!J$3:J$3508)-ROW('VEH98 Data'!J$3)+1),ROWS('VEH98 Data'!J$3:'VEH98 Data'!J17))),"")</f>
        <v>Hybrid</v>
      </c>
      <c r="F29" s="58" t="str">
        <f t="array" aca="1" ref="F29" ca="1">IFERROR(INDEX('VEH98 Data'!K$3:K$3508, SMALL(IF('VEH98 Data'!$AG$3:$AG$3508="TRUE", ROW('VEH98 Data'!K$3:K$3508)-ROW('VEH98 Data'!K$3)+1),ROWS('VEH98 Data'!K$3:'VEH98 Data'!K17))),"")</f>
        <v>FWD</v>
      </c>
      <c r="G29" s="654" t="str">
        <f t="array" aca="1" ref="G29" ca="1">IFERROR(INDEX('VEH98 Data'!R$3:R$3508, SMALL(IF('VEH98 Data'!$AG$3:$AG$3508="TRUE", ROW('VEH98 Data'!R$3:R$3508)-ROW('VEH98 Data'!R$3)+1),ROWS('VEH98 Data'!R$3:'VEH98 Data'!R17))),"")</f>
        <v>2.0L</v>
      </c>
      <c r="H29" s="654">
        <f t="array" aca="1" ref="H29" ca="1">IFERROR(INDEX('VEH98 Data'!Y$3:Y$3508, SMALL(IF('VEH98 Data'!$AG$3:$AG$3508="TRUE", ROW('VEH98 Data'!Y$3:Y$3508)-ROW('VEH98 Data'!Y$3)+1),ROWS('VEH98 Data'!Y$3:'VEH98 Data'!Y17))),"")</f>
        <v>48</v>
      </c>
      <c r="I29" s="19"/>
      <c r="J29" s="652">
        <f t="array" aca="1" ref="J29" ca="1">IFERROR(INDEX('VEH98 Data'!H$3:H$3508, SMALL(IF('VEH98 Data'!$AH$3:$AH$3508="TRUE", ROW('VEH98 Data'!H$3:H$3508)-ROW('VEH98 Data'!H$3)+1),ROWS('VEH98 Data'!H$3:'VEH98 Data'!H19))),"")</f>
        <v>2019</v>
      </c>
      <c r="K29" s="652" t="str">
        <f t="array" aca="1" ref="K29" ca="1">IFERROR(INDEX('VEH98 Data'!G$3:G$3508, SMALL(IF('VEH98 Data'!$AH$3:$AH$3508="TRUE", ROW('VEH98 Data'!G$3:G$3508)-ROW('VEH98 Data'!G$3)+1),ROWS('VEH98 Data'!G$3:'VEH98 Data'!G19))),"")</f>
        <v>Ford</v>
      </c>
      <c r="L29" s="652" t="str">
        <f t="array" aca="1" ref="L29" ca="1">IFERROR(INDEX('VEH98 Data'!I$3:I$3508, SMALL(IF('VEH98 Data'!$AH$3:$AH$3508="TRUE", ROW('VEH98 Data'!I$3:I$3508)-ROW('VEH98 Data'!I$3)+1),ROWS('VEH98 Data'!I$3:'VEH98 Data'!I19))),"")</f>
        <v>Ecosport</v>
      </c>
      <c r="M29" s="652" t="str">
        <f t="array" aca="1" ref="M29" ca="1">IFERROR(INDEX('VEH98 Data'!J$3:J$3508, SMALL(IF('VEH98 Data'!$AH$3:$AH$3508="TRUE", ROW('VEH98 Data'!J$3:J$3508)-ROW('VEH98 Data'!J$3)+1),ROWS('VEH98 Data'!J$3:'VEH98 Data'!J19))),"")</f>
        <v>S</v>
      </c>
      <c r="N29" s="652" t="str">
        <f t="array" aca="1" ref="N29" ca="1">IFERROR(INDEX('VEH98 Data'!K$3:K$3508, SMALL(IF('VEH98 Data'!$AH$3:$AH$3508="TRUE", ROW('VEH98 Data'!K$3:K$3508)-ROW('VEH98 Data'!K$3)+1),ROWS('VEH98 Data'!K$3:'VEH98 Data'!K19))),"")</f>
        <v>FWD</v>
      </c>
      <c r="O29" s="653" t="str">
        <f t="array" aca="1" ref="O29" ca="1">IFERROR(INDEX('VEH98 Data'!R$3:R$3508, SMALL(IF('VEH98 Data'!$AH$3:$AH$3508="TRUE", ROW('VEH98 Data'!R$3:R$3508)-ROW('VEH98 Data'!R$3)+1),ROWS('VEH98 Data'!R$3:'VEH98 Data'!R19))),"")</f>
        <v>1.0L Ecoboost</v>
      </c>
      <c r="P29" s="653">
        <f t="array" aca="1" ref="P29" ca="1">IFERROR(INDEX('VEH98 Data'!Y$3:Y$3508, SMALL(IF('VEH98 Data'!$AH$3:$AH$3508="TRUE", ROW('VEH98 Data'!Y$3:Y$3508)-ROW('VEH98 Data'!Y$3)+1),ROWS('VEH98 Data'!Y$3:'VEH98 Data'!Y19))),"")</f>
        <v>28</v>
      </c>
    </row>
    <row r="30" spans="2:19">
      <c r="B30" s="652">
        <f t="array" aca="1" ref="B30" ca="1">IFERROR(INDEX('VEH98 Data'!H$3:H$3508, SMALL(IF('VEH98 Data'!$AG$3:$AG$3508="TRUE", ROW('VEH98 Data'!H$3:H$3508)-ROW('VEH98 Data'!H$3)+1),ROWS('VEH98 Data'!H$3:'VEH98 Data'!H18))),"")</f>
        <v>2019</v>
      </c>
      <c r="C30" s="652" t="str">
        <f t="array" aca="1" ref="C30" ca="1">IFERROR(INDEX('VEH98 Data'!G$3:G$3508, SMALL(IF('VEH98 Data'!$AG$3:$AG$3508="TRUE", ROW('VEH98 Data'!G$3:G$3508)-ROW('VEH98 Data'!G$3)+1),ROWS('VEH98 Data'!G$3:'VEH98 Data'!G18))),"")</f>
        <v>Honda</v>
      </c>
      <c r="D30" s="652" t="str">
        <f t="array" aca="1" ref="D30" ca="1">IFERROR(INDEX('VEH98 Data'!I$3:I$3508, SMALL(IF('VEH98 Data'!$AG$3:$AG$3508="TRUE", ROW('VEH98 Data'!I$3:I$3508)-ROW('VEH98 Data'!I$3)+1),ROWS('VEH98 Data'!I$3:'VEH98 Data'!I18))),"")</f>
        <v>Accord</v>
      </c>
      <c r="E30" s="652" t="str">
        <f t="array" aca="1" ref="E30" ca="1">IFERROR(INDEX('VEH98 Data'!J$3:J$3508, SMALL(IF('VEH98 Data'!$AG$3:$AG$3508="TRUE", ROW('VEH98 Data'!J$3:J$3508)-ROW('VEH98 Data'!J$3)+1),ROWS('VEH98 Data'!J$3:'VEH98 Data'!J18))),"")</f>
        <v>LX (CVT)</v>
      </c>
      <c r="F30" s="652" t="str">
        <f t="array" aca="1" ref="F30" ca="1">IFERROR(INDEX('VEH98 Data'!K$3:K$3508, SMALL(IF('VEH98 Data'!$AG$3:$AG$3508="TRUE", ROW('VEH98 Data'!K$3:K$3508)-ROW('VEH98 Data'!K$3)+1),ROWS('VEH98 Data'!K$3:'VEH98 Data'!K18))),"")</f>
        <v>FWD</v>
      </c>
      <c r="G30" s="653" t="str">
        <f t="array" aca="1" ref="G30" ca="1">IFERROR(INDEX('VEH98 Data'!R$3:R$3508, SMALL(IF('VEH98 Data'!$AG$3:$AG$3508="TRUE", ROW('VEH98 Data'!R$3:R$3508)-ROW('VEH98 Data'!R$3)+1),ROWS('VEH98 Data'!R$3:'VEH98 Data'!R18))),"")</f>
        <v>1.5L</v>
      </c>
      <c r="H30" s="653">
        <f t="array" aca="1" ref="H30" ca="1">IFERROR(INDEX('VEH98 Data'!Y$3:Y$3508, SMALL(IF('VEH98 Data'!$AG$3:$AG$3508="TRUE", ROW('VEH98 Data'!Y$3:Y$3508)-ROW('VEH98 Data'!Y$3)+1),ROWS('VEH98 Data'!Y$3:'VEH98 Data'!Y18))),"")</f>
        <v>33</v>
      </c>
      <c r="I30" s="19"/>
      <c r="J30" s="58">
        <f t="array" aca="1" ref="J30" ca="1">IFERROR(INDEX('VEH98 Data'!H$3:H$3508, SMALL(IF('VEH98 Data'!$AH$3:$AH$3508="TRUE", ROW('VEH98 Data'!H$3:H$3508)-ROW('VEH98 Data'!H$3)+1),ROWS('VEH98 Data'!H$3:'VEH98 Data'!H20))),"")</f>
        <v>2019</v>
      </c>
      <c r="K30" s="58" t="str">
        <f t="array" aca="1" ref="K30" ca="1">IFERROR(INDEX('VEH98 Data'!G$3:G$3508, SMALL(IF('VEH98 Data'!$AH$3:$AH$3508="TRUE", ROW('VEH98 Data'!G$3:G$3508)-ROW('VEH98 Data'!G$3)+1),ROWS('VEH98 Data'!G$3:'VEH98 Data'!G20))),"")</f>
        <v>Ford</v>
      </c>
      <c r="L30" s="58" t="str">
        <f t="array" aca="1" ref="L30" ca="1">IFERROR(INDEX('VEH98 Data'!I$3:I$3508, SMALL(IF('VEH98 Data'!$AH$3:$AH$3508="TRUE", ROW('VEH98 Data'!I$3:I$3508)-ROW('VEH98 Data'!I$3)+1),ROWS('VEH98 Data'!I$3:'VEH98 Data'!I20))),"")</f>
        <v>Ecosport</v>
      </c>
      <c r="M30" s="58" t="str">
        <f t="array" aca="1" ref="M30" ca="1">IFERROR(INDEX('VEH98 Data'!J$3:J$3508, SMALL(IF('VEH98 Data'!$AH$3:$AH$3508="TRUE", ROW('VEH98 Data'!J$3:J$3508)-ROW('VEH98 Data'!J$3)+1),ROWS('VEH98 Data'!J$3:'VEH98 Data'!J20))),"")</f>
        <v>S</v>
      </c>
      <c r="N30" s="58" t="str">
        <f t="array" aca="1" ref="N30" ca="1">IFERROR(INDEX('VEH98 Data'!K$3:K$3508, SMALL(IF('VEH98 Data'!$AH$3:$AH$3508="TRUE", ROW('VEH98 Data'!K$3:K$3508)-ROW('VEH98 Data'!K$3)+1),ROWS('VEH98 Data'!K$3:'VEH98 Data'!K20))),"")</f>
        <v>FWD</v>
      </c>
      <c r="O30" s="654" t="str">
        <f t="array" aca="1" ref="O30" ca="1">IFERROR(INDEX('VEH98 Data'!R$3:R$3508, SMALL(IF('VEH98 Data'!$AH$3:$AH$3508="TRUE", ROW('VEH98 Data'!R$3:R$3508)-ROW('VEH98 Data'!R$3)+1),ROWS('VEH98 Data'!R$3:'VEH98 Data'!R20))),"")</f>
        <v>1.0L Ecoboost</v>
      </c>
      <c r="P30" s="654">
        <f t="array" aca="1" ref="P30" ca="1">IFERROR(INDEX('VEH98 Data'!Y$3:Y$3508, SMALL(IF('VEH98 Data'!$AH$3:$AH$3508="TRUE", ROW('VEH98 Data'!Y$3:Y$3508)-ROW('VEH98 Data'!Y$3)+1),ROWS('VEH98 Data'!Y$3:'VEH98 Data'!Y20))),"")</f>
        <v>28</v>
      </c>
    </row>
    <row r="31" spans="2:19">
      <c r="B31" s="58">
        <f t="array" aca="1" ref="B31" ca="1">IFERROR(INDEX('VEH98 Data'!H$3:H$3508, SMALL(IF('VEH98 Data'!$AG$3:$AG$3508="TRUE", ROW('VEH98 Data'!H$3:H$3508)-ROW('VEH98 Data'!H$3)+1),ROWS('VEH98 Data'!H$3:'VEH98 Data'!H19))),"")</f>
        <v>2019</v>
      </c>
      <c r="C31" s="58" t="str">
        <f t="array" aca="1" ref="C31" ca="1">IFERROR(INDEX('VEH98 Data'!G$3:G$3508, SMALL(IF('VEH98 Data'!$AG$3:$AG$3508="TRUE", ROW('VEH98 Data'!G$3:G$3508)-ROW('VEH98 Data'!G$3)+1),ROWS('VEH98 Data'!G$3:'VEH98 Data'!G19))),"")</f>
        <v>Honda</v>
      </c>
      <c r="D31" s="58" t="str">
        <f t="array" aca="1" ref="D31" ca="1">IFERROR(INDEX('VEH98 Data'!I$3:I$3508, SMALL(IF('VEH98 Data'!$AG$3:$AG$3508="TRUE", ROW('VEH98 Data'!I$3:I$3508)-ROW('VEH98 Data'!I$3)+1),ROWS('VEH98 Data'!I$3:'VEH98 Data'!I19))),"")</f>
        <v>Civic Hatchback</v>
      </c>
      <c r="E31" s="58" t="str">
        <f t="array" aca="1" ref="E31" ca="1">IFERROR(INDEX('VEH98 Data'!J$3:J$3508, SMALL(IF('VEH98 Data'!$AG$3:$AG$3508="TRUE", ROW('VEH98 Data'!J$3:J$3508)-ROW('VEH98 Data'!J$3)+1),ROWS('VEH98 Data'!J$3:'VEH98 Data'!J19))),"")</f>
        <v>LX (CVT)</v>
      </c>
      <c r="F31" s="58" t="str">
        <f t="array" aca="1" ref="F31" ca="1">IFERROR(INDEX('VEH98 Data'!K$3:K$3508, SMALL(IF('VEH98 Data'!$AG$3:$AG$3508="TRUE", ROW('VEH98 Data'!K$3:K$3508)-ROW('VEH98 Data'!K$3)+1),ROWS('VEH98 Data'!K$3:'VEH98 Data'!K19))),"")</f>
        <v>FWD</v>
      </c>
      <c r="G31" s="654" t="str">
        <f t="array" aca="1" ref="G31" ca="1">IFERROR(INDEX('VEH98 Data'!R$3:R$3508, SMALL(IF('VEH98 Data'!$AG$3:$AG$3508="TRUE", ROW('VEH98 Data'!R$3:R$3508)-ROW('VEH98 Data'!R$3)+1),ROWS('VEH98 Data'!R$3:'VEH98 Data'!R19))),"")</f>
        <v>1.5L</v>
      </c>
      <c r="H31" s="654">
        <f t="array" aca="1" ref="H31" ca="1">IFERROR(INDEX('VEH98 Data'!Y$3:Y$3508, SMALL(IF('VEH98 Data'!$AG$3:$AG$3508="TRUE", ROW('VEH98 Data'!Y$3:Y$3508)-ROW('VEH98 Data'!Y$3)+1),ROWS('VEH98 Data'!Y$3:'VEH98 Data'!Y19))),"")</f>
        <v>34</v>
      </c>
      <c r="I31" s="19"/>
      <c r="J31" s="652">
        <f t="array" aca="1" ref="J31" ca="1">IFERROR(INDEX('VEH98 Data'!H$3:H$3508, SMALL(IF('VEH98 Data'!$AH$3:$AH$3508="TRUE", ROW('VEH98 Data'!H$3:H$3508)-ROW('VEH98 Data'!H$3)+1),ROWS('VEH98 Data'!H$3:'VEH98 Data'!H21))),"")</f>
        <v>2019</v>
      </c>
      <c r="K31" s="652" t="str">
        <f t="array" aca="1" ref="K31" ca="1">IFERROR(INDEX('VEH98 Data'!G$3:G$3508, SMALL(IF('VEH98 Data'!$AH$3:$AH$3508="TRUE", ROW('VEH98 Data'!G$3:G$3508)-ROW('VEH98 Data'!G$3)+1),ROWS('VEH98 Data'!G$3:'VEH98 Data'!G21))),"")</f>
        <v>Ford</v>
      </c>
      <c r="L31" s="652" t="str">
        <f t="array" aca="1" ref="L31" ca="1">IFERROR(INDEX('VEH98 Data'!I$3:I$3508, SMALL(IF('VEH98 Data'!$AH$3:$AH$3508="TRUE", ROW('VEH98 Data'!I$3:I$3508)-ROW('VEH98 Data'!I$3)+1),ROWS('VEH98 Data'!I$3:'VEH98 Data'!I21))),"")</f>
        <v>Ecosport</v>
      </c>
      <c r="M31" s="652" t="str">
        <f t="array" aca="1" ref="M31" ca="1">IFERROR(INDEX('VEH98 Data'!J$3:J$3508, SMALL(IF('VEH98 Data'!$AH$3:$AH$3508="TRUE", ROW('VEH98 Data'!J$3:J$3508)-ROW('VEH98 Data'!J$3)+1),ROWS('VEH98 Data'!J$3:'VEH98 Data'!J21))),"")</f>
        <v>SE</v>
      </c>
      <c r="N31" s="652" t="str">
        <f t="array" aca="1" ref="N31" ca="1">IFERROR(INDEX('VEH98 Data'!K$3:K$3508, SMALL(IF('VEH98 Data'!$AH$3:$AH$3508="TRUE", ROW('VEH98 Data'!K$3:K$3508)-ROW('VEH98 Data'!K$3)+1),ROWS('VEH98 Data'!K$3:'VEH98 Data'!K21))),"")</f>
        <v>4WD</v>
      </c>
      <c r="O31" s="653" t="str">
        <f t="array" aca="1" ref="O31" ca="1">IFERROR(INDEX('VEH98 Data'!R$3:R$3508, SMALL(IF('VEH98 Data'!$AH$3:$AH$3508="TRUE", ROW('VEH98 Data'!R$3:R$3508)-ROW('VEH98 Data'!R$3)+1),ROWS('VEH98 Data'!R$3:'VEH98 Data'!R21))),"")</f>
        <v>2.0L</v>
      </c>
      <c r="P31" s="653">
        <f t="array" aca="1" ref="P31" ca="1">IFERROR(INDEX('VEH98 Data'!Y$3:Y$3508, SMALL(IF('VEH98 Data'!$AH$3:$AH$3508="TRUE", ROW('VEH98 Data'!Y$3:Y$3508)-ROW('VEH98 Data'!Y$3)+1),ROWS('VEH98 Data'!Y$3:'VEH98 Data'!Y21))),"")</f>
        <v>25</v>
      </c>
    </row>
    <row r="32" spans="2:19">
      <c r="B32" s="652">
        <f t="array" aca="1" ref="B32" ca="1">IFERROR(INDEX('VEH98 Data'!H$3:H$3508, SMALL(IF('VEH98 Data'!$AG$3:$AG$3508="TRUE", ROW('VEH98 Data'!H$3:H$3508)-ROW('VEH98 Data'!H$3)+1),ROWS('VEH98 Data'!H$3:'VEH98 Data'!H20))),"")</f>
        <v>2019</v>
      </c>
      <c r="C32" s="652" t="str">
        <f t="array" aca="1" ref="C32" ca="1">IFERROR(INDEX('VEH98 Data'!G$3:G$3508, SMALL(IF('VEH98 Data'!$AG$3:$AG$3508="TRUE", ROW('VEH98 Data'!G$3:G$3508)-ROW('VEH98 Data'!G$3)+1),ROWS('VEH98 Data'!G$3:'VEH98 Data'!G20))),"")</f>
        <v>Honda</v>
      </c>
      <c r="D32" s="652" t="str">
        <f t="array" aca="1" ref="D32" ca="1">IFERROR(INDEX('VEH98 Data'!I$3:I$3508, SMALL(IF('VEH98 Data'!$AG$3:$AG$3508="TRUE", ROW('VEH98 Data'!I$3:I$3508)-ROW('VEH98 Data'!I$3)+1),ROWS('VEH98 Data'!I$3:'VEH98 Data'!I20))),"")</f>
        <v>Civic Sedan</v>
      </c>
      <c r="E32" s="652" t="str">
        <f t="array" aca="1" ref="E32" ca="1">IFERROR(INDEX('VEH98 Data'!J$3:J$3508, SMALL(IF('VEH98 Data'!$AG$3:$AG$3508="TRUE", ROW('VEH98 Data'!J$3:J$3508)-ROW('VEH98 Data'!J$3)+1),ROWS('VEH98 Data'!J$3:'VEH98 Data'!J20))),"")</f>
        <v>LX (CVT)</v>
      </c>
      <c r="F32" s="652" t="str">
        <f t="array" aca="1" ref="F32" ca="1">IFERROR(INDEX('VEH98 Data'!K$3:K$3508, SMALL(IF('VEH98 Data'!$AG$3:$AG$3508="TRUE", ROW('VEH98 Data'!K$3:K$3508)-ROW('VEH98 Data'!K$3)+1),ROWS('VEH98 Data'!K$3:'VEH98 Data'!K20))),"")</f>
        <v>FWD</v>
      </c>
      <c r="G32" s="653" t="str">
        <f t="array" aca="1" ref="G32" ca="1">IFERROR(INDEX('VEH98 Data'!R$3:R$3508, SMALL(IF('VEH98 Data'!$AG$3:$AG$3508="TRUE", ROW('VEH98 Data'!R$3:R$3508)-ROW('VEH98 Data'!R$3)+1),ROWS('VEH98 Data'!R$3:'VEH98 Data'!R20))),"")</f>
        <v>2.0L</v>
      </c>
      <c r="H32" s="653">
        <f t="array" aca="1" ref="H32" ca="1">IFERROR(INDEX('VEH98 Data'!Y$3:Y$3508, SMALL(IF('VEH98 Data'!$AG$3:$AG$3508="TRUE", ROW('VEH98 Data'!Y$3:Y$3508)-ROW('VEH98 Data'!Y$3)+1),ROWS('VEH98 Data'!Y$3:'VEH98 Data'!Y20))),"")</f>
        <v>34</v>
      </c>
      <c r="I32" s="19"/>
      <c r="J32" s="58">
        <f t="array" aca="1" ref="J32" ca="1">IFERROR(INDEX('VEH98 Data'!H$3:H$3508, SMALL(IF('VEH98 Data'!$AH$3:$AH$3508="TRUE", ROW('VEH98 Data'!H$3:H$3508)-ROW('VEH98 Data'!H$3)+1),ROWS('VEH98 Data'!H$3:'VEH98 Data'!H22))),"")</f>
        <v>2019</v>
      </c>
      <c r="K32" s="58" t="str">
        <f t="array" aca="1" ref="K32" ca="1">IFERROR(INDEX('VEH98 Data'!G$3:G$3508, SMALL(IF('VEH98 Data'!$AH$3:$AH$3508="TRUE", ROW('VEH98 Data'!G$3:G$3508)-ROW('VEH98 Data'!G$3)+1),ROWS('VEH98 Data'!G$3:'VEH98 Data'!G22))),"")</f>
        <v>Ford</v>
      </c>
      <c r="L32" s="58" t="str">
        <f t="array" aca="1" ref="L32" ca="1">IFERROR(INDEX('VEH98 Data'!I$3:I$3508, SMALL(IF('VEH98 Data'!$AH$3:$AH$3508="TRUE", ROW('VEH98 Data'!I$3:I$3508)-ROW('VEH98 Data'!I$3)+1),ROWS('VEH98 Data'!I$3:'VEH98 Data'!I22))),"")</f>
        <v>Ecosport</v>
      </c>
      <c r="M32" s="58" t="str">
        <f t="array" aca="1" ref="M32" ca="1">IFERROR(INDEX('VEH98 Data'!J$3:J$3508, SMALL(IF('VEH98 Data'!$AH$3:$AH$3508="TRUE", ROW('VEH98 Data'!J$3:J$3508)-ROW('VEH98 Data'!J$3)+1),ROWS('VEH98 Data'!J$3:'VEH98 Data'!J22))),"")</f>
        <v>SE</v>
      </c>
      <c r="N32" s="58" t="str">
        <f t="array" aca="1" ref="N32" ca="1">IFERROR(INDEX('VEH98 Data'!K$3:K$3508, SMALL(IF('VEH98 Data'!$AH$3:$AH$3508="TRUE", ROW('VEH98 Data'!K$3:K$3508)-ROW('VEH98 Data'!K$3)+1),ROWS('VEH98 Data'!K$3:'VEH98 Data'!K22))),"")</f>
        <v>AWD</v>
      </c>
      <c r="O32" s="654" t="str">
        <f t="array" aca="1" ref="O32" ca="1">IFERROR(INDEX('VEH98 Data'!R$3:R$3508, SMALL(IF('VEH98 Data'!$AH$3:$AH$3508="TRUE", ROW('VEH98 Data'!R$3:R$3508)-ROW('VEH98 Data'!R$3)+1),ROWS('VEH98 Data'!R$3:'VEH98 Data'!R22))),"")</f>
        <v>2.0L</v>
      </c>
      <c r="P32" s="654">
        <f t="array" aca="1" ref="P32" ca="1">IFERROR(INDEX('VEH98 Data'!Y$3:Y$3508, SMALL(IF('VEH98 Data'!$AH$3:$AH$3508="TRUE", ROW('VEH98 Data'!Y$3:Y$3508)-ROW('VEH98 Data'!Y$3)+1),ROWS('VEH98 Data'!Y$3:'VEH98 Data'!Y22))),"")</f>
        <v>25</v>
      </c>
    </row>
    <row r="33" spans="2:16">
      <c r="B33" s="58">
        <f t="array" aca="1" ref="B33" ca="1">IFERROR(INDEX('VEH98 Data'!H$3:H$3508, SMALL(IF('VEH98 Data'!$AG$3:$AG$3508="TRUE", ROW('VEH98 Data'!H$3:H$3508)-ROW('VEH98 Data'!H$3)+1),ROWS('VEH98 Data'!H$3:'VEH98 Data'!H21))),"")</f>
        <v>2018</v>
      </c>
      <c r="C33" s="58" t="str">
        <f t="array" aca="1" ref="C33" ca="1">IFERROR(INDEX('VEH98 Data'!G$3:G$3508, SMALL(IF('VEH98 Data'!$AG$3:$AG$3508="TRUE", ROW('VEH98 Data'!G$3:G$3508)-ROW('VEH98 Data'!G$3)+1),ROWS('VEH98 Data'!G$3:'VEH98 Data'!G21))),"")</f>
        <v>Honda</v>
      </c>
      <c r="D33" s="58" t="str">
        <f t="array" aca="1" ref="D33" ca="1">IFERROR(INDEX('VEH98 Data'!I$3:I$3508, SMALL(IF('VEH98 Data'!$AG$3:$AG$3508="TRUE", ROW('VEH98 Data'!I$3:I$3508)-ROW('VEH98 Data'!I$3)+1),ROWS('VEH98 Data'!I$3:'VEH98 Data'!I21))),"")</f>
        <v>Clarity Plug-In</v>
      </c>
      <c r="E33" s="58" t="str">
        <f t="array" aca="1" ref="E33" ca="1">IFERROR(INDEX('VEH98 Data'!J$3:J$3508, SMALL(IF('VEH98 Data'!$AG$3:$AG$3508="TRUE", ROW('VEH98 Data'!J$3:J$3508)-ROW('VEH98 Data'!J$3)+1),ROWS('VEH98 Data'!J$3:'VEH98 Data'!J21))),"")</f>
        <v>Base</v>
      </c>
      <c r="F33" s="58" t="str">
        <f t="array" aca="1" ref="F33" ca="1">IFERROR(INDEX('VEH98 Data'!K$3:K$3508, SMALL(IF('VEH98 Data'!$AG$3:$AG$3508="TRUE", ROW('VEH98 Data'!K$3:K$3508)-ROW('VEH98 Data'!K$3)+1),ROWS('VEH98 Data'!K$3:'VEH98 Data'!K21))),"")</f>
        <v>FWD</v>
      </c>
      <c r="G33" s="654" t="str">
        <f t="array" aca="1" ref="G33" ca="1">IFERROR(INDEX('VEH98 Data'!R$3:R$3508, SMALL(IF('VEH98 Data'!$AG$3:$AG$3508="TRUE", ROW('VEH98 Data'!R$3:R$3508)-ROW('VEH98 Data'!R$3)+1),ROWS('VEH98 Data'!R$3:'VEH98 Data'!R21))),"")</f>
        <v>1.5L</v>
      </c>
      <c r="H33" s="654">
        <f t="array" aca="1" ref="H33" ca="1">IFERROR(INDEX('VEH98 Data'!Y$3:Y$3508, SMALL(IF('VEH98 Data'!$AG$3:$AG$3508="TRUE", ROW('VEH98 Data'!Y$3:Y$3508)-ROW('VEH98 Data'!Y$3)+1),ROWS('VEH98 Data'!Y$3:'VEH98 Data'!Y21))),"")</f>
        <v>110</v>
      </c>
      <c r="I33" s="19"/>
      <c r="J33" s="652">
        <f t="array" aca="1" ref="J33" ca="1">IFERROR(INDEX('VEH98 Data'!H$3:H$3508, SMALL(IF('VEH98 Data'!$AH$3:$AH$3508="TRUE", ROW('VEH98 Data'!H$3:H$3508)-ROW('VEH98 Data'!H$3)+1),ROWS('VEH98 Data'!H$3:'VEH98 Data'!H23))),"")</f>
        <v>2019</v>
      </c>
      <c r="K33" s="652" t="str">
        <f t="array" aca="1" ref="K33" ca="1">IFERROR(INDEX('VEH98 Data'!G$3:G$3508, SMALL(IF('VEH98 Data'!$AH$3:$AH$3508="TRUE", ROW('VEH98 Data'!G$3:G$3508)-ROW('VEH98 Data'!G$3)+1),ROWS('VEH98 Data'!G$3:'VEH98 Data'!G23))),"")</f>
        <v>Ford</v>
      </c>
      <c r="L33" s="652" t="str">
        <f t="array" aca="1" ref="L33" ca="1">IFERROR(INDEX('VEH98 Data'!I$3:I$3508, SMALL(IF('VEH98 Data'!$AH$3:$AH$3508="TRUE", ROW('VEH98 Data'!I$3:I$3508)-ROW('VEH98 Data'!I$3)+1),ROWS('VEH98 Data'!I$3:'VEH98 Data'!I23))),"")</f>
        <v>Ecosport</v>
      </c>
      <c r="M33" s="652" t="str">
        <f t="array" aca="1" ref="M33" ca="1">IFERROR(INDEX('VEH98 Data'!J$3:J$3508, SMALL(IF('VEH98 Data'!$AH$3:$AH$3508="TRUE", ROW('VEH98 Data'!J$3:J$3508)-ROW('VEH98 Data'!J$3)+1),ROWS('VEH98 Data'!J$3:'VEH98 Data'!J23))),"")</f>
        <v>SE</v>
      </c>
      <c r="N33" s="652" t="str">
        <f t="array" aca="1" ref="N33" ca="1">IFERROR(INDEX('VEH98 Data'!K$3:K$3508, SMALL(IF('VEH98 Data'!$AH$3:$AH$3508="TRUE", ROW('VEH98 Data'!K$3:K$3508)-ROW('VEH98 Data'!K$3)+1),ROWS('VEH98 Data'!K$3:'VEH98 Data'!K23))),"")</f>
        <v>AWD</v>
      </c>
      <c r="O33" s="653" t="str">
        <f t="array" aca="1" ref="O33" ca="1">IFERROR(INDEX('VEH98 Data'!R$3:R$3508, SMALL(IF('VEH98 Data'!$AH$3:$AH$3508="TRUE", ROW('VEH98 Data'!R$3:R$3508)-ROW('VEH98 Data'!R$3)+1),ROWS('VEH98 Data'!R$3:'VEH98 Data'!R23))),"")</f>
        <v>2.0L</v>
      </c>
      <c r="P33" s="653">
        <f t="array" aca="1" ref="P33" ca="1">IFERROR(INDEX('VEH98 Data'!Y$3:Y$3508, SMALL(IF('VEH98 Data'!$AH$3:$AH$3508="TRUE", ROW('VEH98 Data'!Y$3:Y$3508)-ROW('VEH98 Data'!Y$3)+1),ROWS('VEH98 Data'!Y$3:'VEH98 Data'!Y23))),"")</f>
        <v>25</v>
      </c>
    </row>
    <row r="34" spans="2:16">
      <c r="B34" s="652">
        <f t="array" aca="1" ref="B34" ca="1">IFERROR(INDEX('VEH98 Data'!H$3:H$3508, SMALL(IF('VEH98 Data'!$AG$3:$AG$3508="TRUE", ROW('VEH98 Data'!H$3:H$3508)-ROW('VEH98 Data'!H$3)+1),ROWS('VEH98 Data'!H$3:'VEH98 Data'!H22))),"")</f>
        <v>2018</v>
      </c>
      <c r="C34" s="652" t="str">
        <f t="array" aca="1" ref="C34" ca="1">IFERROR(INDEX('VEH98 Data'!G$3:G$3508, SMALL(IF('VEH98 Data'!$AG$3:$AG$3508="TRUE", ROW('VEH98 Data'!G$3:G$3508)-ROW('VEH98 Data'!G$3)+1),ROWS('VEH98 Data'!G$3:'VEH98 Data'!G22))),"")</f>
        <v>Honda</v>
      </c>
      <c r="D34" s="652" t="str">
        <f t="array" aca="1" ref="D34" ca="1">IFERROR(INDEX('VEH98 Data'!I$3:I$3508, SMALL(IF('VEH98 Data'!$AG$3:$AG$3508="TRUE", ROW('VEH98 Data'!I$3:I$3508)-ROW('VEH98 Data'!I$3)+1),ROWS('VEH98 Data'!I$3:'VEH98 Data'!I22))),"")</f>
        <v>Clarity Plug-In</v>
      </c>
      <c r="E34" s="652" t="str">
        <f t="array" aca="1" ref="E34" ca="1">IFERROR(INDEX('VEH98 Data'!J$3:J$3508, SMALL(IF('VEH98 Data'!$AG$3:$AG$3508="TRUE", ROW('VEH98 Data'!J$3:J$3508)-ROW('VEH98 Data'!J$3)+1),ROWS('VEH98 Data'!J$3:'VEH98 Data'!J22))),"")</f>
        <v>Touring</v>
      </c>
      <c r="F34" s="652" t="str">
        <f t="array" aca="1" ref="F34" ca="1">IFERROR(INDEX('VEH98 Data'!K$3:K$3508, SMALL(IF('VEH98 Data'!$AG$3:$AG$3508="TRUE", ROW('VEH98 Data'!K$3:K$3508)-ROW('VEH98 Data'!K$3)+1),ROWS('VEH98 Data'!K$3:'VEH98 Data'!K22))),"")</f>
        <v>FWD</v>
      </c>
      <c r="G34" s="653" t="str">
        <f t="array" aca="1" ref="G34" ca="1">IFERROR(INDEX('VEH98 Data'!R$3:R$3508, SMALL(IF('VEH98 Data'!$AG$3:$AG$3508="TRUE", ROW('VEH98 Data'!R$3:R$3508)-ROW('VEH98 Data'!R$3)+1),ROWS('VEH98 Data'!R$3:'VEH98 Data'!R22))),"")</f>
        <v>1.5L</v>
      </c>
      <c r="H34" s="653">
        <f t="array" aca="1" ref="H34" ca="1">IFERROR(INDEX('VEH98 Data'!Y$3:Y$3508, SMALL(IF('VEH98 Data'!$AG$3:$AG$3508="TRUE", ROW('VEH98 Data'!Y$3:Y$3508)-ROW('VEH98 Data'!Y$3)+1),ROWS('VEH98 Data'!Y$3:'VEH98 Data'!Y22))),"")</f>
        <v>110</v>
      </c>
      <c r="J34" s="58">
        <f t="array" aca="1" ref="J34" ca="1">IFERROR(INDEX('VEH98 Data'!H$3:H$3508, SMALL(IF('VEH98 Data'!$AH$3:$AH$3508="TRUE", ROW('VEH98 Data'!H$3:H$3508)-ROW('VEH98 Data'!H$3)+1),ROWS('VEH98 Data'!H$3:'VEH98 Data'!H24))),"")</f>
        <v>2019</v>
      </c>
      <c r="K34" s="58" t="str">
        <f t="array" aca="1" ref="K34" ca="1">IFERROR(INDEX('VEH98 Data'!G$3:G$3508, SMALL(IF('VEH98 Data'!$AH$3:$AH$3508="TRUE", ROW('VEH98 Data'!G$3:G$3508)-ROW('VEH98 Data'!G$3)+1),ROWS('VEH98 Data'!G$3:'VEH98 Data'!G24))),"")</f>
        <v>Ford</v>
      </c>
      <c r="L34" s="58" t="str">
        <f t="array" aca="1" ref="L34" ca="1">IFERROR(INDEX('VEH98 Data'!I$3:I$3508, SMALL(IF('VEH98 Data'!$AH$3:$AH$3508="TRUE", ROW('VEH98 Data'!I$3:I$3508)-ROW('VEH98 Data'!I$3)+1),ROWS('VEH98 Data'!I$3:'VEH98 Data'!I24))),"")</f>
        <v>Ecosport</v>
      </c>
      <c r="M34" s="58" t="str">
        <f t="array" aca="1" ref="M34" ca="1">IFERROR(INDEX('VEH98 Data'!J$3:J$3508, SMALL(IF('VEH98 Data'!$AH$3:$AH$3508="TRUE", ROW('VEH98 Data'!J$3:J$3508)-ROW('VEH98 Data'!J$3)+1),ROWS('VEH98 Data'!J$3:'VEH98 Data'!J24))),"")</f>
        <v>SE</v>
      </c>
      <c r="N34" s="58" t="str">
        <f t="array" aca="1" ref="N34" ca="1">IFERROR(INDEX('VEH98 Data'!K$3:K$3508, SMALL(IF('VEH98 Data'!$AH$3:$AH$3508="TRUE", ROW('VEH98 Data'!K$3:K$3508)-ROW('VEH98 Data'!K$3)+1),ROWS('VEH98 Data'!K$3:'VEH98 Data'!K24))),"")</f>
        <v>FWD</v>
      </c>
      <c r="O34" s="654" t="str">
        <f t="array" aca="1" ref="O34" ca="1">IFERROR(INDEX('VEH98 Data'!R$3:R$3508, SMALL(IF('VEH98 Data'!$AH$3:$AH$3508="TRUE", ROW('VEH98 Data'!R$3:R$3508)-ROW('VEH98 Data'!R$3)+1),ROWS('VEH98 Data'!R$3:'VEH98 Data'!R24))),"")</f>
        <v>1.0L Ecoboost</v>
      </c>
      <c r="P34" s="654">
        <f t="array" aca="1" ref="P34" ca="1">IFERROR(INDEX('VEH98 Data'!Y$3:Y$3508, SMALL(IF('VEH98 Data'!$AH$3:$AH$3508="TRUE", ROW('VEH98 Data'!Y$3:Y$3508)-ROW('VEH98 Data'!Y$3)+1),ROWS('VEH98 Data'!Y$3:'VEH98 Data'!Y24))),"")</f>
        <v>28</v>
      </c>
    </row>
    <row r="35" spans="2:16">
      <c r="B35" s="58">
        <f t="array" aca="1" ref="B35" ca="1">IFERROR(INDEX('VEH98 Data'!H$3:H$3508, SMALL(IF('VEH98 Data'!$AG$3:$AG$3508="TRUE", ROW('VEH98 Data'!H$3:H$3508)-ROW('VEH98 Data'!H$3)+1),ROWS('VEH98 Data'!H$3:'VEH98 Data'!H23))),"")</f>
        <v>2019</v>
      </c>
      <c r="C35" s="58" t="str">
        <f t="array" aca="1" ref="C35" ca="1">IFERROR(INDEX('VEH98 Data'!G$3:G$3508, SMALL(IF('VEH98 Data'!$AG$3:$AG$3508="TRUE", ROW('VEH98 Data'!G$3:G$3508)-ROW('VEH98 Data'!G$3)+1),ROWS('VEH98 Data'!G$3:'VEH98 Data'!G23))),"")</f>
        <v>Honda</v>
      </c>
      <c r="D35" s="58" t="str">
        <f t="array" aca="1" ref="D35" ca="1">IFERROR(INDEX('VEH98 Data'!I$3:I$3508, SMALL(IF('VEH98 Data'!$AG$3:$AG$3508="TRUE", ROW('VEH98 Data'!I$3:I$3508)-ROW('VEH98 Data'!I$3)+1),ROWS('VEH98 Data'!I$3:'VEH98 Data'!I23))),"")</f>
        <v>FIT</v>
      </c>
      <c r="E35" s="58" t="str">
        <f t="array" aca="1" ref="E35" ca="1">IFERROR(INDEX('VEH98 Data'!J$3:J$3508, SMALL(IF('VEH98 Data'!$AG$3:$AG$3508="TRUE", ROW('VEH98 Data'!J$3:J$3508)-ROW('VEH98 Data'!J$3)+1),ROWS('VEH98 Data'!J$3:'VEH98 Data'!J23))),"")</f>
        <v>LX CVT</v>
      </c>
      <c r="F35" s="58" t="str">
        <f t="array" aca="1" ref="F35" ca="1">IFERROR(INDEX('VEH98 Data'!K$3:K$3508, SMALL(IF('VEH98 Data'!$AG$3:$AG$3508="TRUE", ROW('VEH98 Data'!K$3:K$3508)-ROW('VEH98 Data'!K$3)+1),ROWS('VEH98 Data'!K$3:'VEH98 Data'!K23))),"")</f>
        <v>FWD</v>
      </c>
      <c r="G35" s="654" t="str">
        <f t="array" aca="1" ref="G35" ca="1">IFERROR(INDEX('VEH98 Data'!R$3:R$3508, SMALL(IF('VEH98 Data'!$AG$3:$AG$3508="TRUE", ROW('VEH98 Data'!R$3:R$3508)-ROW('VEH98 Data'!R$3)+1),ROWS('VEH98 Data'!R$3:'VEH98 Data'!R23))),"")</f>
        <v>1.5L</v>
      </c>
      <c r="H35" s="654">
        <f t="array" aca="1" ref="H35" ca="1">IFERROR(INDEX('VEH98 Data'!Y$3:Y$3508, SMALL(IF('VEH98 Data'!$AG$3:$AG$3508="TRUE", ROW('VEH98 Data'!Y$3:Y$3508)-ROW('VEH98 Data'!Y$3)+1),ROWS('VEH98 Data'!Y$3:'VEH98 Data'!Y23))),"")</f>
        <v>36</v>
      </c>
      <c r="J35" s="652">
        <f t="array" aca="1" ref="J35" ca="1">IFERROR(INDEX('VEH98 Data'!H$3:H$3508, SMALL(IF('VEH98 Data'!$AH$3:$AH$3508="TRUE", ROW('VEH98 Data'!H$3:H$3508)-ROW('VEH98 Data'!H$3)+1),ROWS('VEH98 Data'!H$3:'VEH98 Data'!H25))),"")</f>
        <v>2019</v>
      </c>
      <c r="K35" s="652" t="str">
        <f t="array" aca="1" ref="K35" ca="1">IFERROR(INDEX('VEH98 Data'!G$3:G$3508, SMALL(IF('VEH98 Data'!$AH$3:$AH$3508="TRUE", ROW('VEH98 Data'!G$3:G$3508)-ROW('VEH98 Data'!G$3)+1),ROWS('VEH98 Data'!G$3:'VEH98 Data'!G25))),"")</f>
        <v>Ford</v>
      </c>
      <c r="L35" s="652" t="str">
        <f t="array" aca="1" ref="L35" ca="1">IFERROR(INDEX('VEH98 Data'!I$3:I$3508, SMALL(IF('VEH98 Data'!$AH$3:$AH$3508="TRUE", ROW('VEH98 Data'!I$3:I$3508)-ROW('VEH98 Data'!I$3)+1),ROWS('VEH98 Data'!I$3:'VEH98 Data'!I25))),"")</f>
        <v>Ecosport</v>
      </c>
      <c r="M35" s="652" t="str">
        <f t="array" aca="1" ref="M35" ca="1">IFERROR(INDEX('VEH98 Data'!J$3:J$3508, SMALL(IF('VEH98 Data'!$AH$3:$AH$3508="TRUE", ROW('VEH98 Data'!J$3:J$3508)-ROW('VEH98 Data'!J$3)+1),ROWS('VEH98 Data'!J$3:'VEH98 Data'!J25))),"")</f>
        <v>SE</v>
      </c>
      <c r="N35" s="652" t="str">
        <f t="array" aca="1" ref="N35" ca="1">IFERROR(INDEX('VEH98 Data'!K$3:K$3508, SMALL(IF('VEH98 Data'!$AH$3:$AH$3508="TRUE", ROW('VEH98 Data'!K$3:K$3508)-ROW('VEH98 Data'!K$3)+1),ROWS('VEH98 Data'!K$3:'VEH98 Data'!K25))),"")</f>
        <v>FWD</v>
      </c>
      <c r="O35" s="653" t="str">
        <f t="array" aca="1" ref="O35" ca="1">IFERROR(INDEX('VEH98 Data'!R$3:R$3508, SMALL(IF('VEH98 Data'!$AH$3:$AH$3508="TRUE", ROW('VEH98 Data'!R$3:R$3508)-ROW('VEH98 Data'!R$3)+1),ROWS('VEH98 Data'!R$3:'VEH98 Data'!R25))),"")</f>
        <v>1.0L Ecoboost</v>
      </c>
      <c r="P35" s="653">
        <f t="array" aca="1" ref="P35" ca="1">IFERROR(INDEX('VEH98 Data'!Y$3:Y$3508, SMALL(IF('VEH98 Data'!$AH$3:$AH$3508="TRUE", ROW('VEH98 Data'!Y$3:Y$3508)-ROW('VEH98 Data'!Y$3)+1),ROWS('VEH98 Data'!Y$3:'VEH98 Data'!Y25))),"")</f>
        <v>28</v>
      </c>
    </row>
    <row r="36" spans="2:16">
      <c r="B36" s="652">
        <f t="array" aca="1" ref="B36" ca="1">IFERROR(INDEX('VEH98 Data'!H$3:H$3508, SMALL(IF('VEH98 Data'!$AG$3:$AG$3508="TRUE", ROW('VEH98 Data'!H$3:H$3508)-ROW('VEH98 Data'!H$3)+1),ROWS('VEH98 Data'!H$3:'VEH98 Data'!H24))),"")</f>
        <v>2019</v>
      </c>
      <c r="C36" s="652" t="str">
        <f t="array" aca="1" ref="C36" ca="1">IFERROR(INDEX('VEH98 Data'!G$3:G$3508, SMALL(IF('VEH98 Data'!$AG$3:$AG$3508="TRUE", ROW('VEH98 Data'!G$3:G$3508)-ROW('VEH98 Data'!G$3)+1),ROWS('VEH98 Data'!G$3:'VEH98 Data'!G24))),"")</f>
        <v>Honda</v>
      </c>
      <c r="D36" s="652" t="str">
        <f t="array" aca="1" ref="D36" ca="1">IFERROR(INDEX('VEH98 Data'!I$3:I$3508, SMALL(IF('VEH98 Data'!$AG$3:$AG$3508="TRUE", ROW('VEH98 Data'!I$3:I$3508)-ROW('VEH98 Data'!I$3)+1),ROWS('VEH98 Data'!I$3:'VEH98 Data'!I24))),"")</f>
        <v>Insight</v>
      </c>
      <c r="E36" s="652" t="str">
        <f t="array" aca="1" ref="E36" ca="1">IFERROR(INDEX('VEH98 Data'!J$3:J$3508, SMALL(IF('VEH98 Data'!$AG$3:$AG$3508="TRUE", ROW('VEH98 Data'!J$3:J$3508)-ROW('VEH98 Data'!J$3)+1),ROWS('VEH98 Data'!J$3:'VEH98 Data'!J24))),"")</f>
        <v>EX Hybrid</v>
      </c>
      <c r="F36" s="652" t="str">
        <f t="array" aca="1" ref="F36" ca="1">IFERROR(INDEX('VEH98 Data'!K$3:K$3508, SMALL(IF('VEH98 Data'!$AG$3:$AG$3508="TRUE", ROW('VEH98 Data'!K$3:K$3508)-ROW('VEH98 Data'!K$3)+1),ROWS('VEH98 Data'!K$3:'VEH98 Data'!K24))),"")</f>
        <v>FWD</v>
      </c>
      <c r="G36" s="653" t="str">
        <f t="array" aca="1" ref="G36" ca="1">IFERROR(INDEX('VEH98 Data'!R$3:R$3508, SMALL(IF('VEH98 Data'!$AG$3:$AG$3508="TRUE", ROW('VEH98 Data'!R$3:R$3508)-ROW('VEH98 Data'!R$3)+1),ROWS('VEH98 Data'!R$3:'VEH98 Data'!R24))),"")</f>
        <v>1.5L</v>
      </c>
      <c r="H36" s="653">
        <f t="array" aca="1" ref="H36" ca="1">IFERROR(INDEX('VEH98 Data'!Y$3:Y$3508, SMALL(IF('VEH98 Data'!$AG$3:$AG$3508="TRUE", ROW('VEH98 Data'!Y$3:Y$3508)-ROW('VEH98 Data'!Y$3)+1),ROWS('VEH98 Data'!Y$3:'VEH98 Data'!Y24))),"")</f>
        <v>52</v>
      </c>
      <c r="J36" s="58">
        <f t="array" aca="1" ref="J36" ca="1">IFERROR(INDEX('VEH98 Data'!H$3:H$3508, SMALL(IF('VEH98 Data'!$AH$3:$AH$3508="TRUE", ROW('VEH98 Data'!H$3:H$3508)-ROW('VEH98 Data'!H$3)+1),ROWS('VEH98 Data'!H$3:'VEH98 Data'!H26))),"")</f>
        <v>2019</v>
      </c>
      <c r="K36" s="58" t="str">
        <f t="array" aca="1" ref="K36" ca="1">IFERROR(INDEX('VEH98 Data'!G$3:G$3508, SMALL(IF('VEH98 Data'!$AH$3:$AH$3508="TRUE", ROW('VEH98 Data'!G$3:G$3508)-ROW('VEH98 Data'!G$3)+1),ROWS('VEH98 Data'!G$3:'VEH98 Data'!G26))),"")</f>
        <v>Ford</v>
      </c>
      <c r="L36" s="58" t="str">
        <f t="array" aca="1" ref="L36" ca="1">IFERROR(INDEX('VEH98 Data'!I$3:I$3508, SMALL(IF('VEH98 Data'!$AH$3:$AH$3508="TRUE", ROW('VEH98 Data'!I$3:I$3508)-ROW('VEH98 Data'!I$3)+1),ROWS('VEH98 Data'!I$3:'VEH98 Data'!I26))),"")</f>
        <v>Ecosport</v>
      </c>
      <c r="M36" s="58" t="str">
        <f t="array" aca="1" ref="M36" ca="1">IFERROR(INDEX('VEH98 Data'!J$3:J$3508, SMALL(IF('VEH98 Data'!$AH$3:$AH$3508="TRUE", ROW('VEH98 Data'!J$3:J$3508)-ROW('VEH98 Data'!J$3)+1),ROWS('VEH98 Data'!J$3:'VEH98 Data'!J26))),"")</f>
        <v>SES</v>
      </c>
      <c r="N36" s="58" t="str">
        <f t="array" aca="1" ref="N36" ca="1">IFERROR(INDEX('VEH98 Data'!K$3:K$3508, SMALL(IF('VEH98 Data'!$AH$3:$AH$3508="TRUE", ROW('VEH98 Data'!K$3:K$3508)-ROW('VEH98 Data'!K$3)+1),ROWS('VEH98 Data'!K$3:'VEH98 Data'!K26))),"")</f>
        <v>4WD</v>
      </c>
      <c r="O36" s="654" t="str">
        <f t="array" aca="1" ref="O36" ca="1">IFERROR(INDEX('VEH98 Data'!R$3:R$3508, SMALL(IF('VEH98 Data'!$AH$3:$AH$3508="TRUE", ROW('VEH98 Data'!R$3:R$3508)-ROW('VEH98 Data'!R$3)+1),ROWS('VEH98 Data'!R$3:'VEH98 Data'!R26))),"")</f>
        <v>2.0L</v>
      </c>
      <c r="P36" s="654">
        <f t="array" aca="1" ref="P36" ca="1">IFERROR(INDEX('VEH98 Data'!Y$3:Y$3508, SMALL(IF('VEH98 Data'!$AH$3:$AH$3508="TRUE", ROW('VEH98 Data'!Y$3:Y$3508)-ROW('VEH98 Data'!Y$3)+1),ROWS('VEH98 Data'!Y$3:'VEH98 Data'!Y26))),"")</f>
        <v>25</v>
      </c>
    </row>
    <row r="37" spans="2:16">
      <c r="B37" s="58">
        <f t="array" aca="1" ref="B37" ca="1">IFERROR(INDEX('VEH98 Data'!H$3:H$3508, SMALL(IF('VEH98 Data'!$AG$3:$AG$3508="TRUE", ROW('VEH98 Data'!H$3:H$3508)-ROW('VEH98 Data'!H$3)+1),ROWS('VEH98 Data'!H$3:'VEH98 Data'!H25))),"")</f>
        <v>2019</v>
      </c>
      <c r="C37" s="58" t="str">
        <f t="array" aca="1" ref="C37" ca="1">IFERROR(INDEX('VEH98 Data'!G$3:G$3508, SMALL(IF('VEH98 Data'!$AG$3:$AG$3508="TRUE", ROW('VEH98 Data'!G$3:G$3508)-ROW('VEH98 Data'!G$3)+1),ROWS('VEH98 Data'!G$3:'VEH98 Data'!G25))),"")</f>
        <v>Honda</v>
      </c>
      <c r="D37" s="58" t="str">
        <f t="array" aca="1" ref="D37" ca="1">IFERROR(INDEX('VEH98 Data'!I$3:I$3508, SMALL(IF('VEH98 Data'!$AG$3:$AG$3508="TRUE", ROW('VEH98 Data'!I$3:I$3508)-ROW('VEH98 Data'!I$3)+1),ROWS('VEH98 Data'!I$3:'VEH98 Data'!I25))),"")</f>
        <v>Insight</v>
      </c>
      <c r="E37" s="58" t="str">
        <f t="array" aca="1" ref="E37" ca="1">IFERROR(INDEX('VEH98 Data'!J$3:J$3508, SMALL(IF('VEH98 Data'!$AG$3:$AG$3508="TRUE", ROW('VEH98 Data'!J$3:J$3508)-ROW('VEH98 Data'!J$3)+1),ROWS('VEH98 Data'!J$3:'VEH98 Data'!J25))),"")</f>
        <v>LX Hybrid</v>
      </c>
      <c r="F37" s="58" t="str">
        <f t="array" aca="1" ref="F37" ca="1">IFERROR(INDEX('VEH98 Data'!K$3:K$3508, SMALL(IF('VEH98 Data'!$AG$3:$AG$3508="TRUE", ROW('VEH98 Data'!K$3:K$3508)-ROW('VEH98 Data'!K$3)+1),ROWS('VEH98 Data'!K$3:'VEH98 Data'!K25))),"")</f>
        <v>FWD</v>
      </c>
      <c r="G37" s="654" t="str">
        <f t="array" aca="1" ref="G37" ca="1">IFERROR(INDEX('VEH98 Data'!R$3:R$3508, SMALL(IF('VEH98 Data'!$AG$3:$AG$3508="TRUE", ROW('VEH98 Data'!R$3:R$3508)-ROW('VEH98 Data'!R$3)+1),ROWS('VEH98 Data'!R$3:'VEH98 Data'!R25))),"")</f>
        <v>1.5L</v>
      </c>
      <c r="H37" s="654">
        <f t="array" aca="1" ref="H37" ca="1">IFERROR(INDEX('VEH98 Data'!Y$3:Y$3508, SMALL(IF('VEH98 Data'!$AG$3:$AG$3508="TRUE", ROW('VEH98 Data'!Y$3:Y$3508)-ROW('VEH98 Data'!Y$3)+1),ROWS('VEH98 Data'!Y$3:'VEH98 Data'!Y25))),"")</f>
        <v>52</v>
      </c>
      <c r="J37" s="652">
        <f t="array" aca="1" ref="J37" ca="1">IFERROR(INDEX('VEH98 Data'!H$3:H$3508, SMALL(IF('VEH98 Data'!$AH$3:$AH$3508="TRUE", ROW('VEH98 Data'!H$3:H$3508)-ROW('VEH98 Data'!H$3)+1),ROWS('VEH98 Data'!H$3:'VEH98 Data'!H27))),"")</f>
        <v>2019</v>
      </c>
      <c r="K37" s="652" t="str">
        <f t="array" aca="1" ref="K37" ca="1">IFERROR(INDEX('VEH98 Data'!G$3:G$3508, SMALL(IF('VEH98 Data'!$AH$3:$AH$3508="TRUE", ROW('VEH98 Data'!G$3:G$3508)-ROW('VEH98 Data'!G$3)+1),ROWS('VEH98 Data'!G$3:'VEH98 Data'!G27))),"")</f>
        <v>Ford</v>
      </c>
      <c r="L37" s="652" t="str">
        <f t="array" aca="1" ref="L37" ca="1">IFERROR(INDEX('VEH98 Data'!I$3:I$3508, SMALL(IF('VEH98 Data'!$AH$3:$AH$3508="TRUE", ROW('VEH98 Data'!I$3:I$3508)-ROW('VEH98 Data'!I$3)+1),ROWS('VEH98 Data'!I$3:'VEH98 Data'!I27))),"")</f>
        <v>Ecosport</v>
      </c>
      <c r="M37" s="652" t="str">
        <f t="array" aca="1" ref="M37" ca="1">IFERROR(INDEX('VEH98 Data'!J$3:J$3508, SMALL(IF('VEH98 Data'!$AH$3:$AH$3508="TRUE", ROW('VEH98 Data'!J$3:J$3508)-ROW('VEH98 Data'!J$3)+1),ROWS('VEH98 Data'!J$3:'VEH98 Data'!J27))),"")</f>
        <v>SES</v>
      </c>
      <c r="N37" s="652" t="str">
        <f t="array" aca="1" ref="N37" ca="1">IFERROR(INDEX('VEH98 Data'!K$3:K$3508, SMALL(IF('VEH98 Data'!$AH$3:$AH$3508="TRUE", ROW('VEH98 Data'!K$3:K$3508)-ROW('VEH98 Data'!K$3)+1),ROWS('VEH98 Data'!K$3:'VEH98 Data'!K27))),"")</f>
        <v>AWD</v>
      </c>
      <c r="O37" s="653" t="str">
        <f t="array" aca="1" ref="O37" ca="1">IFERROR(INDEX('VEH98 Data'!R$3:R$3508, SMALL(IF('VEH98 Data'!$AH$3:$AH$3508="TRUE", ROW('VEH98 Data'!R$3:R$3508)-ROW('VEH98 Data'!R$3)+1),ROWS('VEH98 Data'!R$3:'VEH98 Data'!R27))),"")</f>
        <v>2.0L</v>
      </c>
      <c r="P37" s="653">
        <f t="array" aca="1" ref="P37" ca="1">IFERROR(INDEX('VEH98 Data'!Y$3:Y$3508, SMALL(IF('VEH98 Data'!$AH$3:$AH$3508="TRUE", ROW('VEH98 Data'!Y$3:Y$3508)-ROW('VEH98 Data'!Y$3)+1),ROWS('VEH98 Data'!Y$3:'VEH98 Data'!Y27))),"")</f>
        <v>25</v>
      </c>
    </row>
    <row r="38" spans="2:16">
      <c r="B38" s="652">
        <f t="array" aca="1" ref="B38" ca="1">IFERROR(INDEX('VEH98 Data'!H$3:H$3508, SMALL(IF('VEH98 Data'!$AG$3:$AG$3508="TRUE", ROW('VEH98 Data'!H$3:H$3508)-ROW('VEH98 Data'!H$3)+1),ROWS('VEH98 Data'!H$3:'VEH98 Data'!H26))),"")</f>
        <v>2019</v>
      </c>
      <c r="C38" s="652" t="str">
        <f t="array" aca="1" ref="C38" ca="1">IFERROR(INDEX('VEH98 Data'!G$3:G$3508, SMALL(IF('VEH98 Data'!$AG$3:$AG$3508="TRUE", ROW('VEH98 Data'!G$3:G$3508)-ROW('VEH98 Data'!G$3)+1),ROWS('VEH98 Data'!G$3:'VEH98 Data'!G26))),"")</f>
        <v>Hyundai</v>
      </c>
      <c r="D38" s="652" t="str">
        <f t="array" aca="1" ref="D38" ca="1">IFERROR(INDEX('VEH98 Data'!I$3:I$3508, SMALL(IF('VEH98 Data'!$AG$3:$AG$3508="TRUE", ROW('VEH98 Data'!I$3:I$3508)-ROW('VEH98 Data'!I$3)+1),ROWS('VEH98 Data'!I$3:'VEH98 Data'!I26))),"")</f>
        <v>Elantra</v>
      </c>
      <c r="E38" s="652" t="str">
        <f t="array" aca="1" ref="E38" ca="1">IFERROR(INDEX('VEH98 Data'!J$3:J$3508, SMALL(IF('VEH98 Data'!$AG$3:$AG$3508="TRUE", ROW('VEH98 Data'!J$3:J$3508)-ROW('VEH98 Data'!J$3)+1),ROWS('VEH98 Data'!J$3:'VEH98 Data'!J26))),"")</f>
        <v xml:space="preserve">SE PZEV </v>
      </c>
      <c r="F38" s="652" t="str">
        <f t="array" aca="1" ref="F38" ca="1">IFERROR(INDEX('VEH98 Data'!K$3:K$3508, SMALL(IF('VEH98 Data'!$AG$3:$AG$3508="TRUE", ROW('VEH98 Data'!K$3:K$3508)-ROW('VEH98 Data'!K$3)+1),ROWS('VEH98 Data'!K$3:'VEH98 Data'!K26))),"")</f>
        <v>FWD</v>
      </c>
      <c r="G38" s="653" t="str">
        <f t="array" aca="1" ref="G38" ca="1">IFERROR(INDEX('VEH98 Data'!R$3:R$3508, SMALL(IF('VEH98 Data'!$AG$3:$AG$3508="TRUE", ROW('VEH98 Data'!R$3:R$3508)-ROW('VEH98 Data'!R$3)+1),ROWS('VEH98 Data'!R$3:'VEH98 Data'!R26))),"")</f>
        <v>2.0L</v>
      </c>
      <c r="H38" s="653">
        <f t="array" aca="1" ref="H38" ca="1">IFERROR(INDEX('VEH98 Data'!Y$3:Y$3508, SMALL(IF('VEH98 Data'!$AG$3:$AG$3508="TRUE", ROW('VEH98 Data'!Y$3:Y$3508)-ROW('VEH98 Data'!Y$3)+1),ROWS('VEH98 Data'!Y$3:'VEH98 Data'!Y26))),"")</f>
        <v>33</v>
      </c>
      <c r="J38" s="58">
        <f t="array" aca="1" ref="J38" ca="1">IFERROR(INDEX('VEH98 Data'!H$3:H$3508, SMALL(IF('VEH98 Data'!$AH$3:$AH$3508="TRUE", ROW('VEH98 Data'!H$3:H$3508)-ROW('VEH98 Data'!H$3)+1),ROWS('VEH98 Data'!H$3:'VEH98 Data'!H28))),"")</f>
        <v>2019</v>
      </c>
      <c r="K38" s="58" t="str">
        <f t="array" aca="1" ref="K38" ca="1">IFERROR(INDEX('VEH98 Data'!G$3:G$3508, SMALL(IF('VEH98 Data'!$AH$3:$AH$3508="TRUE", ROW('VEH98 Data'!G$3:G$3508)-ROW('VEH98 Data'!G$3)+1),ROWS('VEH98 Data'!G$3:'VEH98 Data'!G28))),"")</f>
        <v>Ford</v>
      </c>
      <c r="L38" s="58" t="str">
        <f t="array" aca="1" ref="L38" ca="1">IFERROR(INDEX('VEH98 Data'!I$3:I$3508, SMALL(IF('VEH98 Data'!$AH$3:$AH$3508="TRUE", ROW('VEH98 Data'!I$3:I$3508)-ROW('VEH98 Data'!I$3)+1),ROWS('VEH98 Data'!I$3:'VEH98 Data'!I28))),"")</f>
        <v>Ecosport</v>
      </c>
      <c r="M38" s="58" t="str">
        <f t="array" aca="1" ref="M38" ca="1">IFERROR(INDEX('VEH98 Data'!J$3:J$3508, SMALL(IF('VEH98 Data'!$AH$3:$AH$3508="TRUE", ROW('VEH98 Data'!J$3:J$3508)-ROW('VEH98 Data'!J$3)+1),ROWS('VEH98 Data'!J$3:'VEH98 Data'!J28))),"")</f>
        <v>SES</v>
      </c>
      <c r="N38" s="58" t="str">
        <f t="array" aca="1" ref="N38" ca="1">IFERROR(INDEX('VEH98 Data'!K$3:K$3508, SMALL(IF('VEH98 Data'!$AH$3:$AH$3508="TRUE", ROW('VEH98 Data'!K$3:K$3508)-ROW('VEH98 Data'!K$3)+1),ROWS('VEH98 Data'!K$3:'VEH98 Data'!K28))),"")</f>
        <v>AWD</v>
      </c>
      <c r="O38" s="654" t="str">
        <f t="array" aca="1" ref="O38" ca="1">IFERROR(INDEX('VEH98 Data'!R$3:R$3508, SMALL(IF('VEH98 Data'!$AH$3:$AH$3508="TRUE", ROW('VEH98 Data'!R$3:R$3508)-ROW('VEH98 Data'!R$3)+1),ROWS('VEH98 Data'!R$3:'VEH98 Data'!R28))),"")</f>
        <v>2.0L</v>
      </c>
      <c r="P38" s="654">
        <f t="array" aca="1" ref="P38" ca="1">IFERROR(INDEX('VEH98 Data'!Y$3:Y$3508, SMALL(IF('VEH98 Data'!$AH$3:$AH$3508="TRUE", ROW('VEH98 Data'!Y$3:Y$3508)-ROW('VEH98 Data'!Y$3)+1),ROWS('VEH98 Data'!Y$3:'VEH98 Data'!Y28))),"")</f>
        <v>25</v>
      </c>
    </row>
    <row r="39" spans="2:16">
      <c r="B39" s="58">
        <f t="array" aca="1" ref="B39" ca="1">IFERROR(INDEX('VEH98 Data'!H$3:H$3508, SMALL(IF('VEH98 Data'!$AG$3:$AG$3508="TRUE", ROW('VEH98 Data'!H$3:H$3508)-ROW('VEH98 Data'!H$3)+1),ROWS('VEH98 Data'!H$3:'VEH98 Data'!H27))),"")</f>
        <v>2019</v>
      </c>
      <c r="C39" s="58" t="str">
        <f t="array" aca="1" ref="C39" ca="1">IFERROR(INDEX('VEH98 Data'!G$3:G$3508, SMALL(IF('VEH98 Data'!$AG$3:$AG$3508="TRUE", ROW('VEH98 Data'!G$3:G$3508)-ROW('VEH98 Data'!G$3)+1),ROWS('VEH98 Data'!G$3:'VEH98 Data'!G27))),"")</f>
        <v>Hyundai</v>
      </c>
      <c r="D39" s="58" t="str">
        <f t="array" aca="1" ref="D39" ca="1">IFERROR(INDEX('VEH98 Data'!I$3:I$3508, SMALL(IF('VEH98 Data'!$AG$3:$AG$3508="TRUE", ROW('VEH98 Data'!I$3:I$3508)-ROW('VEH98 Data'!I$3)+1),ROWS('VEH98 Data'!I$3:'VEH98 Data'!I27))),"")</f>
        <v>Sonata</v>
      </c>
      <c r="E39" s="58" t="str">
        <f t="array" aca="1" ref="E39" ca="1">IFERROR(INDEX('VEH98 Data'!J$3:J$3508, SMALL(IF('VEH98 Data'!$AG$3:$AG$3508="TRUE", ROW('VEH98 Data'!J$3:J$3508)-ROW('VEH98 Data'!J$3)+1),ROWS('VEH98 Data'!J$3:'VEH98 Data'!J27))),"")</f>
        <v>Eco</v>
      </c>
      <c r="F39" s="58" t="str">
        <f t="array" aca="1" ref="F39" ca="1">IFERROR(INDEX('VEH98 Data'!K$3:K$3508, SMALL(IF('VEH98 Data'!$AG$3:$AG$3508="TRUE", ROW('VEH98 Data'!K$3:K$3508)-ROW('VEH98 Data'!K$3)+1),ROWS('VEH98 Data'!K$3:'VEH98 Data'!K27))),"")</f>
        <v>FWD</v>
      </c>
      <c r="G39" s="654" t="str">
        <f t="array" aca="1" ref="G39" ca="1">IFERROR(INDEX('VEH98 Data'!R$3:R$3508, SMALL(IF('VEH98 Data'!$AG$3:$AG$3508="TRUE", ROW('VEH98 Data'!R$3:R$3508)-ROW('VEH98 Data'!R$3)+1),ROWS('VEH98 Data'!R$3:'VEH98 Data'!R27))),"")</f>
        <v>1.6L</v>
      </c>
      <c r="H39" s="654">
        <f t="array" aca="1" ref="H39" ca="1">IFERROR(INDEX('VEH98 Data'!Y$3:Y$3508, SMALL(IF('VEH98 Data'!$AG$3:$AG$3508="TRUE", ROW('VEH98 Data'!Y$3:Y$3508)-ROW('VEH98 Data'!Y$3)+1),ROWS('VEH98 Data'!Y$3:'VEH98 Data'!Y27))),"")</f>
        <v>32</v>
      </c>
      <c r="J39" s="652">
        <f t="array" aca="1" ref="J39" ca="1">IFERROR(INDEX('VEH98 Data'!H$3:H$3508, SMALL(IF('VEH98 Data'!$AH$3:$AH$3508="TRUE", ROW('VEH98 Data'!H$3:H$3508)-ROW('VEH98 Data'!H$3)+1),ROWS('VEH98 Data'!H$3:'VEH98 Data'!H29))),"")</f>
        <v>2019</v>
      </c>
      <c r="K39" s="652" t="str">
        <f t="array" aca="1" ref="K39" ca="1">IFERROR(INDEX('VEH98 Data'!G$3:G$3508, SMALL(IF('VEH98 Data'!$AH$3:$AH$3508="TRUE", ROW('VEH98 Data'!G$3:G$3508)-ROW('VEH98 Data'!G$3)+1),ROWS('VEH98 Data'!G$3:'VEH98 Data'!G29))),"")</f>
        <v>Ford</v>
      </c>
      <c r="L39" s="652" t="str">
        <f t="array" aca="1" ref="L39" ca="1">IFERROR(INDEX('VEH98 Data'!I$3:I$3508, SMALL(IF('VEH98 Data'!$AH$3:$AH$3508="TRUE", ROW('VEH98 Data'!I$3:I$3508)-ROW('VEH98 Data'!I$3)+1),ROWS('VEH98 Data'!I$3:'VEH98 Data'!I29))),"")</f>
        <v>Ecosport</v>
      </c>
      <c r="M39" s="652" t="str">
        <f t="array" aca="1" ref="M39" ca="1">IFERROR(INDEX('VEH98 Data'!J$3:J$3508, SMALL(IF('VEH98 Data'!$AH$3:$AH$3508="TRUE", ROW('VEH98 Data'!J$3:J$3508)-ROW('VEH98 Data'!J$3)+1),ROWS('VEH98 Data'!J$3:'VEH98 Data'!J29))),"")</f>
        <v>Titanium</v>
      </c>
      <c r="N39" s="652" t="str">
        <f t="array" aca="1" ref="N39" ca="1">IFERROR(INDEX('VEH98 Data'!K$3:K$3508, SMALL(IF('VEH98 Data'!$AH$3:$AH$3508="TRUE", ROW('VEH98 Data'!K$3:K$3508)-ROW('VEH98 Data'!K$3)+1),ROWS('VEH98 Data'!K$3:'VEH98 Data'!K29))),"")</f>
        <v>4WD</v>
      </c>
      <c r="O39" s="653" t="str">
        <f t="array" aca="1" ref="O39" ca="1">IFERROR(INDEX('VEH98 Data'!R$3:R$3508, SMALL(IF('VEH98 Data'!$AH$3:$AH$3508="TRUE", ROW('VEH98 Data'!R$3:R$3508)-ROW('VEH98 Data'!R$3)+1),ROWS('VEH98 Data'!R$3:'VEH98 Data'!R29))),"")</f>
        <v>2.0L</v>
      </c>
      <c r="P39" s="653">
        <f t="array" aca="1" ref="P39" ca="1">IFERROR(INDEX('VEH98 Data'!Y$3:Y$3508, SMALL(IF('VEH98 Data'!$AH$3:$AH$3508="TRUE", ROW('VEH98 Data'!Y$3:Y$3508)-ROW('VEH98 Data'!Y$3)+1),ROWS('VEH98 Data'!Y$3:'VEH98 Data'!Y29))),"")</f>
        <v>28</v>
      </c>
    </row>
    <row r="40" spans="2:16">
      <c r="B40" s="652">
        <f t="array" aca="1" ref="B40" ca="1">IFERROR(INDEX('VEH98 Data'!H$3:H$3508, SMALL(IF('VEH98 Data'!$AG$3:$AG$3508="TRUE", ROW('VEH98 Data'!H$3:H$3508)-ROW('VEH98 Data'!H$3)+1),ROWS('VEH98 Data'!H$3:'VEH98 Data'!H28))),"")</f>
        <v>2019</v>
      </c>
      <c r="C40" s="652" t="str">
        <f t="array" aca="1" ref="C40" ca="1">IFERROR(INDEX('VEH98 Data'!G$3:G$3508, SMALL(IF('VEH98 Data'!$AG$3:$AG$3508="TRUE", ROW('VEH98 Data'!G$3:G$3508)-ROW('VEH98 Data'!G$3)+1),ROWS('VEH98 Data'!G$3:'VEH98 Data'!G28))),"")</f>
        <v>Hyundai</v>
      </c>
      <c r="D40" s="652" t="str">
        <f t="array" aca="1" ref="D40" ca="1">IFERROR(INDEX('VEH98 Data'!I$3:I$3508, SMALL(IF('VEH98 Data'!$AG$3:$AG$3508="TRUE", ROW('VEH98 Data'!I$3:I$3508)-ROW('VEH98 Data'!I$3)+1),ROWS('VEH98 Data'!I$3:'VEH98 Data'!I28))),"")</f>
        <v>Sonata</v>
      </c>
      <c r="E40" s="652" t="str">
        <f t="array" aca="1" ref="E40" ca="1">IFERROR(INDEX('VEH98 Data'!J$3:J$3508, SMALL(IF('VEH98 Data'!$AG$3:$AG$3508="TRUE", ROW('VEH98 Data'!J$3:J$3508)-ROW('VEH98 Data'!J$3)+1),ROWS('VEH98 Data'!J$3:'VEH98 Data'!J28))),"")</f>
        <v>Hybrid Base</v>
      </c>
      <c r="F40" s="652" t="str">
        <f t="array" aca="1" ref="F40" ca="1">IFERROR(INDEX('VEH98 Data'!K$3:K$3508, SMALL(IF('VEH98 Data'!$AG$3:$AG$3508="TRUE", ROW('VEH98 Data'!K$3:K$3508)-ROW('VEH98 Data'!K$3)+1),ROWS('VEH98 Data'!K$3:'VEH98 Data'!K28))),"")</f>
        <v>FWD</v>
      </c>
      <c r="G40" s="653" t="str">
        <f t="array" aca="1" ref="G40" ca="1">IFERROR(INDEX('VEH98 Data'!R$3:R$3508, SMALL(IF('VEH98 Data'!$AG$3:$AG$3508="TRUE", ROW('VEH98 Data'!R$3:R$3508)-ROW('VEH98 Data'!R$3)+1),ROWS('VEH98 Data'!R$3:'VEH98 Data'!R28))),"")</f>
        <v>2.0L</v>
      </c>
      <c r="H40" s="653">
        <f t="array" aca="1" ref="H40" ca="1">IFERROR(INDEX('VEH98 Data'!Y$3:Y$3508, SMALL(IF('VEH98 Data'!$AG$3:$AG$3508="TRUE", ROW('VEH98 Data'!Y$3:Y$3508)-ROW('VEH98 Data'!Y$3)+1),ROWS('VEH98 Data'!Y$3:'VEH98 Data'!Y28))),"")</f>
        <v>42</v>
      </c>
      <c r="J40" s="58">
        <f t="array" aca="1" ref="J40" ca="1">IFERROR(INDEX('VEH98 Data'!H$3:H$3508, SMALL(IF('VEH98 Data'!$AH$3:$AH$3508="TRUE", ROW('VEH98 Data'!H$3:H$3508)-ROW('VEH98 Data'!H$3)+1),ROWS('VEH98 Data'!H$3:'VEH98 Data'!H30))),"")</f>
        <v>2019</v>
      </c>
      <c r="K40" s="58" t="str">
        <f t="array" aca="1" ref="K40" ca="1">IFERROR(INDEX('VEH98 Data'!G$3:G$3508, SMALL(IF('VEH98 Data'!$AH$3:$AH$3508="TRUE", ROW('VEH98 Data'!G$3:G$3508)-ROW('VEH98 Data'!G$3)+1),ROWS('VEH98 Data'!G$3:'VEH98 Data'!G30))),"")</f>
        <v>Ford</v>
      </c>
      <c r="L40" s="58" t="str">
        <f t="array" aca="1" ref="L40" ca="1">IFERROR(INDEX('VEH98 Data'!I$3:I$3508, SMALL(IF('VEH98 Data'!$AH$3:$AH$3508="TRUE", ROW('VEH98 Data'!I$3:I$3508)-ROW('VEH98 Data'!I$3)+1),ROWS('VEH98 Data'!I$3:'VEH98 Data'!I30))),"")</f>
        <v>Ecosport</v>
      </c>
      <c r="M40" s="58" t="str">
        <f t="array" aca="1" ref="M40" ca="1">IFERROR(INDEX('VEH98 Data'!J$3:J$3508, SMALL(IF('VEH98 Data'!$AH$3:$AH$3508="TRUE", ROW('VEH98 Data'!J$3:J$3508)-ROW('VEH98 Data'!J$3)+1),ROWS('VEH98 Data'!J$3:'VEH98 Data'!J30))),"")</f>
        <v>Titanium</v>
      </c>
      <c r="N40" s="58" t="str">
        <f t="array" aca="1" ref="N40" ca="1">IFERROR(INDEX('VEH98 Data'!K$3:K$3508, SMALL(IF('VEH98 Data'!$AH$3:$AH$3508="TRUE", ROW('VEH98 Data'!K$3:K$3508)-ROW('VEH98 Data'!K$3)+1),ROWS('VEH98 Data'!K$3:'VEH98 Data'!K30))),"")</f>
        <v>AWD</v>
      </c>
      <c r="O40" s="654" t="str">
        <f t="array" aca="1" ref="O40" ca="1">IFERROR(INDEX('VEH98 Data'!R$3:R$3508, SMALL(IF('VEH98 Data'!$AH$3:$AH$3508="TRUE", ROW('VEH98 Data'!R$3:R$3508)-ROW('VEH98 Data'!R$3)+1),ROWS('VEH98 Data'!R$3:'VEH98 Data'!R30))),"")</f>
        <v>2.0L</v>
      </c>
      <c r="P40" s="654">
        <f t="array" aca="1" ref="P40" ca="1">IFERROR(INDEX('VEH98 Data'!Y$3:Y$3508, SMALL(IF('VEH98 Data'!$AH$3:$AH$3508="TRUE", ROW('VEH98 Data'!Y$3:Y$3508)-ROW('VEH98 Data'!Y$3)+1),ROWS('VEH98 Data'!Y$3:'VEH98 Data'!Y30))),"")</f>
        <v>25</v>
      </c>
    </row>
    <row r="41" spans="2:16">
      <c r="B41" s="58">
        <f t="array" aca="1" ref="B41" ca="1">IFERROR(INDEX('VEH98 Data'!H$3:H$3508, SMALL(IF('VEH98 Data'!$AG$3:$AG$3508="TRUE", ROW('VEH98 Data'!H$3:H$3508)-ROW('VEH98 Data'!H$3)+1),ROWS('VEH98 Data'!H$3:'VEH98 Data'!H29))),"")</f>
        <v>2019</v>
      </c>
      <c r="C41" s="58" t="str">
        <f t="array" aca="1" ref="C41" ca="1">IFERROR(INDEX('VEH98 Data'!G$3:G$3508, SMALL(IF('VEH98 Data'!$AG$3:$AG$3508="TRUE", ROW('VEH98 Data'!G$3:G$3508)-ROW('VEH98 Data'!G$3)+1),ROWS('VEH98 Data'!G$3:'VEH98 Data'!G29))),"")</f>
        <v>Hyundai</v>
      </c>
      <c r="D41" s="58" t="str">
        <f t="array" aca="1" ref="D41" ca="1">IFERROR(INDEX('VEH98 Data'!I$3:I$3508, SMALL(IF('VEH98 Data'!$AG$3:$AG$3508="TRUE", ROW('VEH98 Data'!I$3:I$3508)-ROW('VEH98 Data'!I$3)+1),ROWS('VEH98 Data'!I$3:'VEH98 Data'!I29))),"")</f>
        <v>Sonata</v>
      </c>
      <c r="E41" s="58" t="str">
        <f t="array" aca="1" ref="E41" ca="1">IFERROR(INDEX('VEH98 Data'!J$3:J$3508, SMALL(IF('VEH98 Data'!$AG$3:$AG$3508="TRUE", ROW('VEH98 Data'!J$3:J$3508)-ROW('VEH98 Data'!J$3)+1),ROWS('VEH98 Data'!J$3:'VEH98 Data'!J29))),"")</f>
        <v>Plug-in Base</v>
      </c>
      <c r="F41" s="58" t="str">
        <f t="array" aca="1" ref="F41" ca="1">IFERROR(INDEX('VEH98 Data'!K$3:K$3508, SMALL(IF('VEH98 Data'!$AG$3:$AG$3508="TRUE", ROW('VEH98 Data'!K$3:K$3508)-ROW('VEH98 Data'!K$3)+1),ROWS('VEH98 Data'!K$3:'VEH98 Data'!K29))),"")</f>
        <v>FWD</v>
      </c>
      <c r="G41" s="654" t="str">
        <f t="array" aca="1" ref="G41" ca="1">IFERROR(INDEX('VEH98 Data'!R$3:R$3508, SMALL(IF('VEH98 Data'!$AG$3:$AG$3508="TRUE", ROW('VEH98 Data'!R$3:R$3508)-ROW('VEH98 Data'!R$3)+1),ROWS('VEH98 Data'!R$3:'VEH98 Data'!R29))),"")</f>
        <v>2.0L</v>
      </c>
      <c r="H41" s="654">
        <f t="array" aca="1" ref="H41" ca="1">IFERROR(INDEX('VEH98 Data'!Y$3:Y$3508, SMALL(IF('VEH98 Data'!$AG$3:$AG$3508="TRUE", ROW('VEH98 Data'!Y$3:Y$3508)-ROW('VEH98 Data'!Y$3)+1),ROWS('VEH98 Data'!Y$3:'VEH98 Data'!Y29))),"")</f>
        <v>93</v>
      </c>
      <c r="J41" s="652">
        <f t="array" aca="1" ref="J41" ca="1">IFERROR(INDEX('VEH98 Data'!H$3:H$3508, SMALL(IF('VEH98 Data'!$AH$3:$AH$3508="TRUE", ROW('VEH98 Data'!H$3:H$3508)-ROW('VEH98 Data'!H$3)+1),ROWS('VEH98 Data'!H$3:'VEH98 Data'!H31))),"")</f>
        <v>2019</v>
      </c>
      <c r="K41" s="652" t="str">
        <f t="array" aca="1" ref="K41" ca="1">IFERROR(INDEX('VEH98 Data'!G$3:G$3508, SMALL(IF('VEH98 Data'!$AH$3:$AH$3508="TRUE", ROW('VEH98 Data'!G$3:G$3508)-ROW('VEH98 Data'!G$3)+1),ROWS('VEH98 Data'!G$3:'VEH98 Data'!G31))),"")</f>
        <v>Ford</v>
      </c>
      <c r="L41" s="652" t="str">
        <f t="array" aca="1" ref="L41" ca="1">IFERROR(INDEX('VEH98 Data'!I$3:I$3508, SMALL(IF('VEH98 Data'!$AH$3:$AH$3508="TRUE", ROW('VEH98 Data'!I$3:I$3508)-ROW('VEH98 Data'!I$3)+1),ROWS('VEH98 Data'!I$3:'VEH98 Data'!I31))),"")</f>
        <v>Ecosport</v>
      </c>
      <c r="M41" s="652" t="str">
        <f t="array" aca="1" ref="M41" ca="1">IFERROR(INDEX('VEH98 Data'!J$3:J$3508, SMALL(IF('VEH98 Data'!$AH$3:$AH$3508="TRUE", ROW('VEH98 Data'!J$3:J$3508)-ROW('VEH98 Data'!J$3)+1),ROWS('VEH98 Data'!J$3:'VEH98 Data'!J31))),"")</f>
        <v>Titanium</v>
      </c>
      <c r="N41" s="652" t="str">
        <f t="array" aca="1" ref="N41" ca="1">IFERROR(INDEX('VEH98 Data'!K$3:K$3508, SMALL(IF('VEH98 Data'!$AH$3:$AH$3508="TRUE", ROW('VEH98 Data'!K$3:K$3508)-ROW('VEH98 Data'!K$3)+1),ROWS('VEH98 Data'!K$3:'VEH98 Data'!K31))),"")</f>
        <v>AWD</v>
      </c>
      <c r="O41" s="653" t="str">
        <f t="array" aca="1" ref="O41" ca="1">IFERROR(INDEX('VEH98 Data'!R$3:R$3508, SMALL(IF('VEH98 Data'!$AH$3:$AH$3508="TRUE", ROW('VEH98 Data'!R$3:R$3508)-ROW('VEH98 Data'!R$3)+1),ROWS('VEH98 Data'!R$3:'VEH98 Data'!R31))),"")</f>
        <v>2.0L</v>
      </c>
      <c r="P41" s="653">
        <f t="array" aca="1" ref="P41" ca="1">IFERROR(INDEX('VEH98 Data'!Y$3:Y$3508, SMALL(IF('VEH98 Data'!$AH$3:$AH$3508="TRUE", ROW('VEH98 Data'!Y$3:Y$3508)-ROW('VEH98 Data'!Y$3)+1),ROWS('VEH98 Data'!Y$3:'VEH98 Data'!Y31))),"")</f>
        <v>25</v>
      </c>
    </row>
    <row r="42" spans="2:16">
      <c r="B42" s="652">
        <f t="array" aca="1" ref="B42" ca="1">IFERROR(INDEX('VEH98 Data'!H$3:H$3508, SMALL(IF('VEH98 Data'!$AG$3:$AG$3508="TRUE", ROW('VEH98 Data'!H$3:H$3508)-ROW('VEH98 Data'!H$3)+1),ROWS('VEH98 Data'!H$3:'VEH98 Data'!H30))),"")</f>
        <v>2019</v>
      </c>
      <c r="C42" s="652" t="str">
        <f t="array" aca="1" ref="C42" ca="1">IFERROR(INDEX('VEH98 Data'!G$3:G$3508, SMALL(IF('VEH98 Data'!$AG$3:$AG$3508="TRUE", ROW('VEH98 Data'!G$3:G$3508)-ROW('VEH98 Data'!G$3)+1),ROWS('VEH98 Data'!G$3:'VEH98 Data'!G30))),"")</f>
        <v>Nissan</v>
      </c>
      <c r="D42" s="652" t="str">
        <f t="array" aca="1" ref="D42" ca="1">IFERROR(INDEX('VEH98 Data'!I$3:I$3508, SMALL(IF('VEH98 Data'!$AG$3:$AG$3508="TRUE", ROW('VEH98 Data'!I$3:I$3508)-ROW('VEH98 Data'!I$3)+1),ROWS('VEH98 Data'!I$3:'VEH98 Data'!I30))),"")</f>
        <v>Altima</v>
      </c>
      <c r="E42" s="652" t="str">
        <f t="array" aca="1" ref="E42" ca="1">IFERROR(INDEX('VEH98 Data'!J$3:J$3508, SMALL(IF('VEH98 Data'!$AG$3:$AG$3508="TRUE", ROW('VEH98 Data'!J$3:J$3508)-ROW('VEH98 Data'!J$3)+1),ROWS('VEH98 Data'!J$3:'VEH98 Data'!J30))),"")</f>
        <v>2.5S</v>
      </c>
      <c r="F42" s="652" t="str">
        <f t="array" aca="1" ref="F42" ca="1">IFERROR(INDEX('VEH98 Data'!K$3:K$3508, SMALL(IF('VEH98 Data'!$AG$3:$AG$3508="TRUE", ROW('VEH98 Data'!K$3:K$3508)-ROW('VEH98 Data'!K$3)+1),ROWS('VEH98 Data'!K$3:'VEH98 Data'!K30))),"")</f>
        <v>FWD</v>
      </c>
      <c r="G42" s="653" t="str">
        <f t="array" aca="1" ref="G42" ca="1">IFERROR(INDEX('VEH98 Data'!R$3:R$3508, SMALL(IF('VEH98 Data'!$AG$3:$AG$3508="TRUE", ROW('VEH98 Data'!R$3:R$3508)-ROW('VEH98 Data'!R$3)+1),ROWS('VEH98 Data'!R$3:'VEH98 Data'!R30))),"")</f>
        <v>2.5L</v>
      </c>
      <c r="H42" s="653">
        <f t="array" aca="1" ref="H42" ca="1">IFERROR(INDEX('VEH98 Data'!Y$3:Y$3508, SMALL(IF('VEH98 Data'!$AG$3:$AG$3508="TRUE", ROW('VEH98 Data'!Y$3:Y$3508)-ROW('VEH98 Data'!Y$3)+1),ROWS('VEH98 Data'!Y$3:'VEH98 Data'!Y30))),"")</f>
        <v>32</v>
      </c>
      <c r="J42" s="58">
        <f t="array" aca="1" ref="J42" ca="1">IFERROR(INDEX('VEH98 Data'!H$3:H$3508, SMALL(IF('VEH98 Data'!$AH$3:$AH$3508="TRUE", ROW('VEH98 Data'!H$3:H$3508)-ROW('VEH98 Data'!H$3)+1),ROWS('VEH98 Data'!H$3:'VEH98 Data'!H32))),"")</f>
        <v>2019</v>
      </c>
      <c r="K42" s="58" t="str">
        <f t="array" aca="1" ref="K42" ca="1">IFERROR(INDEX('VEH98 Data'!G$3:G$3508, SMALL(IF('VEH98 Data'!$AH$3:$AH$3508="TRUE", ROW('VEH98 Data'!G$3:G$3508)-ROW('VEH98 Data'!G$3)+1),ROWS('VEH98 Data'!G$3:'VEH98 Data'!G32))),"")</f>
        <v>Ford</v>
      </c>
      <c r="L42" s="58" t="str">
        <f t="array" aca="1" ref="L42" ca="1">IFERROR(INDEX('VEH98 Data'!I$3:I$3508, SMALL(IF('VEH98 Data'!$AH$3:$AH$3508="TRUE", ROW('VEH98 Data'!I$3:I$3508)-ROW('VEH98 Data'!I$3)+1),ROWS('VEH98 Data'!I$3:'VEH98 Data'!I32))),"")</f>
        <v>Ecosport</v>
      </c>
      <c r="M42" s="58" t="str">
        <f t="array" aca="1" ref="M42" ca="1">IFERROR(INDEX('VEH98 Data'!J$3:J$3508, SMALL(IF('VEH98 Data'!$AH$3:$AH$3508="TRUE", ROW('VEH98 Data'!J$3:J$3508)-ROW('VEH98 Data'!J$3)+1),ROWS('VEH98 Data'!J$3:'VEH98 Data'!J32))),"")</f>
        <v>Titanium</v>
      </c>
      <c r="N42" s="58" t="str">
        <f t="array" aca="1" ref="N42" ca="1">IFERROR(INDEX('VEH98 Data'!K$3:K$3508, SMALL(IF('VEH98 Data'!$AH$3:$AH$3508="TRUE", ROW('VEH98 Data'!K$3:K$3508)-ROW('VEH98 Data'!K$3)+1),ROWS('VEH98 Data'!K$3:'VEH98 Data'!K32))),"")</f>
        <v>FWD</v>
      </c>
      <c r="O42" s="654" t="str">
        <f t="array" aca="1" ref="O42" ca="1">IFERROR(INDEX('VEH98 Data'!R$3:R$3508, SMALL(IF('VEH98 Data'!$AH$3:$AH$3508="TRUE", ROW('VEH98 Data'!R$3:R$3508)-ROW('VEH98 Data'!R$3)+1),ROWS('VEH98 Data'!R$3:'VEH98 Data'!R32))),"")</f>
        <v>1.0L Ecoboost</v>
      </c>
      <c r="P42" s="654">
        <f t="array" aca="1" ref="P42" ca="1">IFERROR(INDEX('VEH98 Data'!Y$3:Y$3508, SMALL(IF('VEH98 Data'!$AH$3:$AH$3508="TRUE", ROW('VEH98 Data'!Y$3:Y$3508)-ROW('VEH98 Data'!Y$3)+1),ROWS('VEH98 Data'!Y$3:'VEH98 Data'!Y32))),"")</f>
        <v>28</v>
      </c>
    </row>
    <row r="43" spans="2:16">
      <c r="B43" s="58">
        <f t="array" aca="1" ref="B43" ca="1">IFERROR(INDEX('VEH98 Data'!H$3:H$3508, SMALL(IF('VEH98 Data'!$AG$3:$AG$3508="TRUE", ROW('VEH98 Data'!H$3:H$3508)-ROW('VEH98 Data'!H$3)+1),ROWS('VEH98 Data'!H$3:'VEH98 Data'!H31))),"")</f>
        <v>2019</v>
      </c>
      <c r="C43" s="58" t="str">
        <f t="array" aca="1" ref="C43" ca="1">IFERROR(INDEX('VEH98 Data'!G$3:G$3508, SMALL(IF('VEH98 Data'!$AG$3:$AG$3508="TRUE", ROW('VEH98 Data'!G$3:G$3508)-ROW('VEH98 Data'!G$3)+1),ROWS('VEH98 Data'!G$3:'VEH98 Data'!G31))),"")</f>
        <v>Nissan</v>
      </c>
      <c r="D43" s="58" t="str">
        <f t="array" aca="1" ref="D43" ca="1">IFERROR(INDEX('VEH98 Data'!I$3:I$3508, SMALL(IF('VEH98 Data'!$AG$3:$AG$3508="TRUE", ROW('VEH98 Data'!I$3:I$3508)-ROW('VEH98 Data'!I$3)+1),ROWS('VEH98 Data'!I$3:'VEH98 Data'!I31))),"")</f>
        <v>Altima</v>
      </c>
      <c r="E43" s="58" t="str">
        <f t="array" aca="1" ref="E43" ca="1">IFERROR(INDEX('VEH98 Data'!J$3:J$3508, SMALL(IF('VEH98 Data'!$AG$3:$AG$3508="TRUE", ROW('VEH98 Data'!J$3:J$3508)-ROW('VEH98 Data'!J$3)+1),ROWS('VEH98 Data'!J$3:'VEH98 Data'!J31))),"")</f>
        <v xml:space="preserve">2.5S </v>
      </c>
      <c r="F43" s="58" t="str">
        <f t="array" aca="1" ref="F43" ca="1">IFERROR(INDEX('VEH98 Data'!K$3:K$3508, SMALL(IF('VEH98 Data'!$AG$3:$AG$3508="TRUE", ROW('VEH98 Data'!K$3:K$3508)-ROW('VEH98 Data'!K$3)+1),ROWS('VEH98 Data'!K$3:'VEH98 Data'!K31))),"")</f>
        <v>FWD</v>
      </c>
      <c r="G43" s="654" t="str">
        <f t="array" aca="1" ref="G43" ca="1">IFERROR(INDEX('VEH98 Data'!R$3:R$3508, SMALL(IF('VEH98 Data'!$AG$3:$AG$3508="TRUE", ROW('VEH98 Data'!R$3:R$3508)-ROW('VEH98 Data'!R$3)+1),ROWS('VEH98 Data'!R$3:'VEH98 Data'!R31))),"")</f>
        <v>2.5L</v>
      </c>
      <c r="H43" s="654">
        <f t="array" aca="1" ref="H43" ca="1">IFERROR(INDEX('VEH98 Data'!Y$3:Y$3508, SMALL(IF('VEH98 Data'!$AG$3:$AG$3508="TRUE", ROW('VEH98 Data'!Y$3:Y$3508)-ROW('VEH98 Data'!Y$3)+1),ROWS('VEH98 Data'!Y$3:'VEH98 Data'!Y31))),"")</f>
        <v>32</v>
      </c>
      <c r="J43" s="652">
        <f t="array" aca="1" ref="J43" ca="1">IFERROR(INDEX('VEH98 Data'!H$3:H$3508, SMALL(IF('VEH98 Data'!$AH$3:$AH$3508="TRUE", ROW('VEH98 Data'!H$3:H$3508)-ROW('VEH98 Data'!H$3)+1),ROWS('VEH98 Data'!H$3:'VEH98 Data'!H33))),"")</f>
        <v>2019</v>
      </c>
      <c r="K43" s="652" t="str">
        <f t="array" aca="1" ref="K43" ca="1">IFERROR(INDEX('VEH98 Data'!G$3:G$3508, SMALL(IF('VEH98 Data'!$AH$3:$AH$3508="TRUE", ROW('VEH98 Data'!G$3:G$3508)-ROW('VEH98 Data'!G$3)+1),ROWS('VEH98 Data'!G$3:'VEH98 Data'!G33))),"")</f>
        <v>Ford</v>
      </c>
      <c r="L43" s="652" t="str">
        <f t="array" aca="1" ref="L43" ca="1">IFERROR(INDEX('VEH98 Data'!I$3:I$3508, SMALL(IF('VEH98 Data'!$AH$3:$AH$3508="TRUE", ROW('VEH98 Data'!I$3:I$3508)-ROW('VEH98 Data'!I$3)+1),ROWS('VEH98 Data'!I$3:'VEH98 Data'!I33))),"")</f>
        <v>Ecosport</v>
      </c>
      <c r="M43" s="652" t="str">
        <f t="array" aca="1" ref="M43" ca="1">IFERROR(INDEX('VEH98 Data'!J$3:J$3508, SMALL(IF('VEH98 Data'!$AH$3:$AH$3508="TRUE", ROW('VEH98 Data'!J$3:J$3508)-ROW('VEH98 Data'!J$3)+1),ROWS('VEH98 Data'!J$3:'VEH98 Data'!J33))),"")</f>
        <v>Titanium</v>
      </c>
      <c r="N43" s="652" t="str">
        <f t="array" aca="1" ref="N43" ca="1">IFERROR(INDEX('VEH98 Data'!K$3:K$3508, SMALL(IF('VEH98 Data'!$AH$3:$AH$3508="TRUE", ROW('VEH98 Data'!K$3:K$3508)-ROW('VEH98 Data'!K$3)+1),ROWS('VEH98 Data'!K$3:'VEH98 Data'!K33))),"")</f>
        <v>FWD</v>
      </c>
      <c r="O43" s="653" t="str">
        <f t="array" aca="1" ref="O43" ca="1">IFERROR(INDEX('VEH98 Data'!R$3:R$3508, SMALL(IF('VEH98 Data'!$AH$3:$AH$3508="TRUE", ROW('VEH98 Data'!R$3:R$3508)-ROW('VEH98 Data'!R$3)+1),ROWS('VEH98 Data'!R$3:'VEH98 Data'!R33))),"")</f>
        <v>1.0L Ecoboost</v>
      </c>
      <c r="P43" s="653">
        <f t="array" aca="1" ref="P43" ca="1">IFERROR(INDEX('VEH98 Data'!Y$3:Y$3508, SMALL(IF('VEH98 Data'!$AH$3:$AH$3508="TRUE", ROW('VEH98 Data'!Y$3:Y$3508)-ROW('VEH98 Data'!Y$3)+1),ROWS('VEH98 Data'!Y$3:'VEH98 Data'!Y33))),"")</f>
        <v>28</v>
      </c>
    </row>
    <row r="44" spans="2:16">
      <c r="B44" s="652">
        <f t="array" aca="1" ref="B44" ca="1">IFERROR(INDEX('VEH98 Data'!H$3:H$3508, SMALL(IF('VEH98 Data'!$AG$3:$AG$3508="TRUE", ROW('VEH98 Data'!H$3:H$3508)-ROW('VEH98 Data'!H$3)+1),ROWS('VEH98 Data'!H$3:'VEH98 Data'!H32))),"")</f>
        <v>2019</v>
      </c>
      <c r="C44" s="652" t="str">
        <f t="array" aca="1" ref="C44" ca="1">IFERROR(INDEX('VEH98 Data'!G$3:G$3508, SMALL(IF('VEH98 Data'!$AG$3:$AG$3508="TRUE", ROW('VEH98 Data'!G$3:G$3508)-ROW('VEH98 Data'!G$3)+1),ROWS('VEH98 Data'!G$3:'VEH98 Data'!G32))),"")</f>
        <v>Nissan</v>
      </c>
      <c r="D44" s="652" t="str">
        <f t="array" aca="1" ref="D44" ca="1">IFERROR(INDEX('VEH98 Data'!I$3:I$3508, SMALL(IF('VEH98 Data'!$AG$3:$AG$3508="TRUE", ROW('VEH98 Data'!I$3:I$3508)-ROW('VEH98 Data'!I$3)+1),ROWS('VEH98 Data'!I$3:'VEH98 Data'!I32))),"")</f>
        <v>Altima</v>
      </c>
      <c r="E44" s="652" t="str">
        <f t="array" aca="1" ref="E44" ca="1">IFERROR(INDEX('VEH98 Data'!J$3:J$3508, SMALL(IF('VEH98 Data'!$AG$3:$AG$3508="TRUE", ROW('VEH98 Data'!J$3:J$3508)-ROW('VEH98 Data'!J$3)+1),ROWS('VEH98 Data'!J$3:'VEH98 Data'!J32))),"")</f>
        <v>2.5SV</v>
      </c>
      <c r="F44" s="652" t="str">
        <f t="array" aca="1" ref="F44" ca="1">IFERROR(INDEX('VEH98 Data'!K$3:K$3508, SMALL(IF('VEH98 Data'!$AG$3:$AG$3508="TRUE", ROW('VEH98 Data'!K$3:K$3508)-ROW('VEH98 Data'!K$3)+1),ROWS('VEH98 Data'!K$3:'VEH98 Data'!K32))),"")</f>
        <v>FWD</v>
      </c>
      <c r="G44" s="653" t="str">
        <f t="array" aca="1" ref="G44" ca="1">IFERROR(INDEX('VEH98 Data'!R$3:R$3508, SMALL(IF('VEH98 Data'!$AG$3:$AG$3508="TRUE", ROW('VEH98 Data'!R$3:R$3508)-ROW('VEH98 Data'!R$3)+1),ROWS('VEH98 Data'!R$3:'VEH98 Data'!R32))),"")</f>
        <v>2.5L</v>
      </c>
      <c r="H44" s="653">
        <f t="array" aca="1" ref="H44" ca="1">IFERROR(INDEX('VEH98 Data'!Y$3:Y$3508, SMALL(IF('VEH98 Data'!$AG$3:$AG$3508="TRUE", ROW('VEH98 Data'!Y$3:Y$3508)-ROW('VEH98 Data'!Y$3)+1),ROWS('VEH98 Data'!Y$3:'VEH98 Data'!Y32))),"")</f>
        <v>32</v>
      </c>
      <c r="J44" s="58">
        <f t="array" aca="1" ref="J44" ca="1">IFERROR(INDEX('VEH98 Data'!H$3:H$3508, SMALL(IF('VEH98 Data'!$AH$3:$AH$3508="TRUE", ROW('VEH98 Data'!H$3:H$3508)-ROW('VEH98 Data'!H$3)+1),ROWS('VEH98 Data'!H$3:'VEH98 Data'!H34))),"")</f>
        <v>2019</v>
      </c>
      <c r="K44" s="58" t="str">
        <f t="array" aca="1" ref="K44" ca="1">IFERROR(INDEX('VEH98 Data'!G$3:G$3508, SMALL(IF('VEH98 Data'!$AH$3:$AH$3508="TRUE", ROW('VEH98 Data'!G$3:G$3508)-ROW('VEH98 Data'!G$3)+1),ROWS('VEH98 Data'!G$3:'VEH98 Data'!G34))),"")</f>
        <v>Ford</v>
      </c>
      <c r="L44" s="58" t="str">
        <f t="array" aca="1" ref="L44" ca="1">IFERROR(INDEX('VEH98 Data'!I$3:I$3508, SMALL(IF('VEH98 Data'!$AH$3:$AH$3508="TRUE", ROW('VEH98 Data'!I$3:I$3508)-ROW('VEH98 Data'!I$3)+1),ROWS('VEH98 Data'!I$3:'VEH98 Data'!I34))),"")</f>
        <v>Edge</v>
      </c>
      <c r="M44" s="58" t="str">
        <f t="array" aca="1" ref="M44" ca="1">IFERROR(INDEX('VEH98 Data'!J$3:J$3508, SMALL(IF('VEH98 Data'!$AH$3:$AH$3508="TRUE", ROW('VEH98 Data'!J$3:J$3508)-ROW('VEH98 Data'!J$3)+1),ROWS('VEH98 Data'!J$3:'VEH98 Data'!J34))),"")</f>
        <v>SE</v>
      </c>
      <c r="N44" s="58" t="str">
        <f t="array" aca="1" ref="N44" ca="1">IFERROR(INDEX('VEH98 Data'!K$3:K$3508, SMALL(IF('VEH98 Data'!$AH$3:$AH$3508="TRUE", ROW('VEH98 Data'!K$3:K$3508)-ROW('VEH98 Data'!K$3)+1),ROWS('VEH98 Data'!K$3:'VEH98 Data'!K34))),"")</f>
        <v>AWD</v>
      </c>
      <c r="O44" s="654" t="str">
        <f t="array" aca="1" ref="O44" ca="1">IFERROR(INDEX('VEH98 Data'!R$3:R$3508, SMALL(IF('VEH98 Data'!$AH$3:$AH$3508="TRUE", ROW('VEH98 Data'!R$3:R$3508)-ROW('VEH98 Data'!R$3)+1),ROWS('VEH98 Data'!R$3:'VEH98 Data'!R34))),"")</f>
        <v>2.0L EcoBoost</v>
      </c>
      <c r="P44" s="654">
        <f t="array" aca="1" ref="P44" ca="1">IFERROR(INDEX('VEH98 Data'!Y$3:Y$3508, SMALL(IF('VEH98 Data'!$AH$3:$AH$3508="TRUE", ROW('VEH98 Data'!Y$3:Y$3508)-ROW('VEH98 Data'!Y$3)+1),ROWS('VEH98 Data'!Y$3:'VEH98 Data'!Y34))),"")</f>
        <v>23</v>
      </c>
    </row>
    <row r="45" spans="2:16">
      <c r="B45" s="58">
        <f t="array" aca="1" ref="B45" ca="1">IFERROR(INDEX('VEH98 Data'!H$3:H$3508, SMALL(IF('VEH98 Data'!$AG$3:$AG$3508="TRUE", ROW('VEH98 Data'!H$3:H$3508)-ROW('VEH98 Data'!H$3)+1),ROWS('VEH98 Data'!H$3:'VEH98 Data'!H33))),"")</f>
        <v>2019</v>
      </c>
      <c r="C45" s="58" t="str">
        <f t="array" aca="1" ref="C45" ca="1">IFERROR(INDEX('VEH98 Data'!G$3:G$3508, SMALL(IF('VEH98 Data'!$AG$3:$AG$3508="TRUE", ROW('VEH98 Data'!G$3:G$3508)-ROW('VEH98 Data'!G$3)+1),ROWS('VEH98 Data'!G$3:'VEH98 Data'!G33))),"")</f>
        <v>Nissan</v>
      </c>
      <c r="D45" s="58" t="str">
        <f t="array" aca="1" ref="D45" ca="1">IFERROR(INDEX('VEH98 Data'!I$3:I$3508, SMALL(IF('VEH98 Data'!$AG$3:$AG$3508="TRUE", ROW('VEH98 Data'!I$3:I$3508)-ROW('VEH98 Data'!I$3)+1),ROWS('VEH98 Data'!I$3:'VEH98 Data'!I33))),"")</f>
        <v>Leaf</v>
      </c>
      <c r="E45" s="58" t="str">
        <f t="array" aca="1" ref="E45" ca="1">IFERROR(INDEX('VEH98 Data'!J$3:J$3508, SMALL(IF('VEH98 Data'!$AG$3:$AG$3508="TRUE", ROW('VEH98 Data'!J$3:J$3508)-ROW('VEH98 Data'!J$3)+1),ROWS('VEH98 Data'!J$3:'VEH98 Data'!J33))),"")</f>
        <v>S</v>
      </c>
      <c r="F45" s="58" t="str">
        <f t="array" aca="1" ref="F45" ca="1">IFERROR(INDEX('VEH98 Data'!K$3:K$3508, SMALL(IF('VEH98 Data'!$AG$3:$AG$3508="TRUE", ROW('VEH98 Data'!K$3:K$3508)-ROW('VEH98 Data'!K$3)+1),ROWS('VEH98 Data'!K$3:'VEH98 Data'!K33))),"")</f>
        <v>FWD</v>
      </c>
      <c r="G45" s="654" t="str">
        <f t="array" aca="1" ref="G45" ca="1">IFERROR(INDEX('VEH98 Data'!R$3:R$3508, SMALL(IF('VEH98 Data'!$AG$3:$AG$3508="TRUE", ROW('VEH98 Data'!R$3:R$3508)-ROW('VEH98 Data'!R$3)+1),ROWS('VEH98 Data'!R$3:'VEH98 Data'!R33))),"")</f>
        <v>110 kW Electric</v>
      </c>
      <c r="H45" s="654">
        <f t="array" aca="1" ref="H45" ca="1">IFERROR(INDEX('VEH98 Data'!Y$3:Y$3508, SMALL(IF('VEH98 Data'!$AG$3:$AG$3508="TRUE", ROW('VEH98 Data'!Y$3:Y$3508)-ROW('VEH98 Data'!Y$3)+1),ROWS('VEH98 Data'!Y$3:'VEH98 Data'!Y33))),"")</f>
        <v>112</v>
      </c>
      <c r="J45" s="652">
        <f t="array" aca="1" ref="J45" ca="1">IFERROR(INDEX('VEH98 Data'!H$3:H$3508, SMALL(IF('VEH98 Data'!$AH$3:$AH$3508="TRUE", ROW('VEH98 Data'!H$3:H$3508)-ROW('VEH98 Data'!H$3)+1),ROWS('VEH98 Data'!H$3:'VEH98 Data'!H35))),"")</f>
        <v>2019</v>
      </c>
      <c r="K45" s="652" t="str">
        <f t="array" aca="1" ref="K45" ca="1">IFERROR(INDEX('VEH98 Data'!G$3:G$3508, SMALL(IF('VEH98 Data'!$AH$3:$AH$3508="TRUE", ROW('VEH98 Data'!G$3:G$3508)-ROW('VEH98 Data'!G$3)+1),ROWS('VEH98 Data'!G$3:'VEH98 Data'!G35))),"")</f>
        <v>Ford</v>
      </c>
      <c r="L45" s="652" t="str">
        <f t="array" aca="1" ref="L45" ca="1">IFERROR(INDEX('VEH98 Data'!I$3:I$3508, SMALL(IF('VEH98 Data'!$AH$3:$AH$3508="TRUE", ROW('VEH98 Data'!I$3:I$3508)-ROW('VEH98 Data'!I$3)+1),ROWS('VEH98 Data'!I$3:'VEH98 Data'!I35))),"")</f>
        <v>Edge</v>
      </c>
      <c r="M45" s="652" t="str">
        <f t="array" aca="1" ref="M45" ca="1">IFERROR(INDEX('VEH98 Data'!J$3:J$3508, SMALL(IF('VEH98 Data'!$AH$3:$AH$3508="TRUE", ROW('VEH98 Data'!J$3:J$3508)-ROW('VEH98 Data'!J$3)+1),ROWS('VEH98 Data'!J$3:'VEH98 Data'!J35))),"")</f>
        <v>SE</v>
      </c>
      <c r="N45" s="652" t="str">
        <f t="array" aca="1" ref="N45" ca="1">IFERROR(INDEX('VEH98 Data'!K$3:K$3508, SMALL(IF('VEH98 Data'!$AH$3:$AH$3508="TRUE", ROW('VEH98 Data'!K$3:K$3508)-ROW('VEH98 Data'!K$3)+1),ROWS('VEH98 Data'!K$3:'VEH98 Data'!K35))),"")</f>
        <v>FWD</v>
      </c>
      <c r="O45" s="653" t="str">
        <f t="array" aca="1" ref="O45" ca="1">IFERROR(INDEX('VEH98 Data'!R$3:R$3508, SMALL(IF('VEH98 Data'!$AH$3:$AH$3508="TRUE", ROW('VEH98 Data'!R$3:R$3508)-ROW('VEH98 Data'!R$3)+1),ROWS('VEH98 Data'!R$3:'VEH98 Data'!R35))),"")</f>
        <v>2.0L EcoBoost</v>
      </c>
      <c r="P45" s="653">
        <f t="array" aca="1" ref="P45" ca="1">IFERROR(INDEX('VEH98 Data'!Y$3:Y$3508, SMALL(IF('VEH98 Data'!$AH$3:$AH$3508="TRUE", ROW('VEH98 Data'!Y$3:Y$3508)-ROW('VEH98 Data'!Y$3)+1),ROWS('VEH98 Data'!Y$3:'VEH98 Data'!Y35))),"")</f>
        <v>24</v>
      </c>
    </row>
    <row r="46" spans="2:16">
      <c r="B46" s="652">
        <f t="array" aca="1" ref="B46" ca="1">IFERROR(INDEX('VEH98 Data'!H$3:H$3508, SMALL(IF('VEH98 Data'!$AG$3:$AG$3508="TRUE", ROW('VEH98 Data'!H$3:H$3508)-ROW('VEH98 Data'!H$3)+1),ROWS('VEH98 Data'!H$3:'VEH98 Data'!H34))),"")</f>
        <v>2019</v>
      </c>
      <c r="C46" s="652" t="str">
        <f t="array" aca="1" ref="C46" ca="1">IFERROR(INDEX('VEH98 Data'!G$3:G$3508, SMALL(IF('VEH98 Data'!$AG$3:$AG$3508="TRUE", ROW('VEH98 Data'!G$3:G$3508)-ROW('VEH98 Data'!G$3)+1),ROWS('VEH98 Data'!G$3:'VEH98 Data'!G34))),"")</f>
        <v>Nissan</v>
      </c>
      <c r="D46" s="652" t="str">
        <f t="array" aca="1" ref="D46" ca="1">IFERROR(INDEX('VEH98 Data'!I$3:I$3508, SMALL(IF('VEH98 Data'!$AG$3:$AG$3508="TRUE", ROW('VEH98 Data'!I$3:I$3508)-ROW('VEH98 Data'!I$3)+1),ROWS('VEH98 Data'!I$3:'VEH98 Data'!I34))),"")</f>
        <v>Leaf</v>
      </c>
      <c r="E46" s="652" t="str">
        <f t="array" aca="1" ref="E46" ca="1">IFERROR(INDEX('VEH98 Data'!J$3:J$3508, SMALL(IF('VEH98 Data'!$AG$3:$AG$3508="TRUE", ROW('VEH98 Data'!J$3:J$3508)-ROW('VEH98 Data'!J$3)+1),ROWS('VEH98 Data'!J$3:'VEH98 Data'!J34))),"")</f>
        <v>S</v>
      </c>
      <c r="F46" s="652" t="str">
        <f t="array" aca="1" ref="F46" ca="1">IFERROR(INDEX('VEH98 Data'!K$3:K$3508, SMALL(IF('VEH98 Data'!$AG$3:$AG$3508="TRUE", ROW('VEH98 Data'!K$3:K$3508)-ROW('VEH98 Data'!K$3)+1),ROWS('VEH98 Data'!K$3:'VEH98 Data'!K34))),"")</f>
        <v>FWD</v>
      </c>
      <c r="G46" s="653" t="str">
        <f t="array" aca="1" ref="G46" ca="1">IFERROR(INDEX('VEH98 Data'!R$3:R$3508, SMALL(IF('VEH98 Data'!$AG$3:$AG$3508="TRUE", ROW('VEH98 Data'!R$3:R$3508)-ROW('VEH98 Data'!R$3)+1),ROWS('VEH98 Data'!R$3:'VEH98 Data'!R34))),"")</f>
        <v>110 kW Electric</v>
      </c>
      <c r="H46" s="653">
        <f t="array" aca="1" ref="H46" ca="1">IFERROR(INDEX('VEH98 Data'!Y$3:Y$3508, SMALL(IF('VEH98 Data'!$AG$3:$AG$3508="TRUE", ROW('VEH98 Data'!Y$3:Y$3508)-ROW('VEH98 Data'!Y$3)+1),ROWS('VEH98 Data'!Y$3:'VEH98 Data'!Y34))),"")</f>
        <v>112</v>
      </c>
      <c r="J46" s="58">
        <f t="array" aca="1" ref="J46" ca="1">IFERROR(INDEX('VEH98 Data'!H$3:H$3508, SMALL(IF('VEH98 Data'!$AH$3:$AH$3508="TRUE", ROW('VEH98 Data'!H$3:H$3508)-ROW('VEH98 Data'!H$3)+1),ROWS('VEH98 Data'!H$3:'VEH98 Data'!H36))),"")</f>
        <v>2019</v>
      </c>
      <c r="K46" s="58" t="str">
        <f t="array" aca="1" ref="K46" ca="1">IFERROR(INDEX('VEH98 Data'!G$3:G$3508, SMALL(IF('VEH98 Data'!$AH$3:$AH$3508="TRUE", ROW('VEH98 Data'!G$3:G$3508)-ROW('VEH98 Data'!G$3)+1),ROWS('VEH98 Data'!G$3:'VEH98 Data'!G36))),"")</f>
        <v>Ford</v>
      </c>
      <c r="L46" s="58" t="str">
        <f t="array" aca="1" ref="L46" ca="1">IFERROR(INDEX('VEH98 Data'!I$3:I$3508, SMALL(IF('VEH98 Data'!$AH$3:$AH$3508="TRUE", ROW('VEH98 Data'!I$3:I$3508)-ROW('VEH98 Data'!I$3)+1),ROWS('VEH98 Data'!I$3:'VEH98 Data'!I36))),"")</f>
        <v>Edge</v>
      </c>
      <c r="M46" s="58" t="str">
        <f t="array" aca="1" ref="M46" ca="1">IFERROR(INDEX('VEH98 Data'!J$3:J$3508, SMALL(IF('VEH98 Data'!$AH$3:$AH$3508="TRUE", ROW('VEH98 Data'!J$3:J$3508)-ROW('VEH98 Data'!J$3)+1),ROWS('VEH98 Data'!J$3:'VEH98 Data'!J36))),"")</f>
        <v>SEL</v>
      </c>
      <c r="N46" s="58" t="str">
        <f t="array" aca="1" ref="N46" ca="1">IFERROR(INDEX('VEH98 Data'!K$3:K$3508, SMALL(IF('VEH98 Data'!$AH$3:$AH$3508="TRUE", ROW('VEH98 Data'!K$3:K$3508)-ROW('VEH98 Data'!K$3)+1),ROWS('VEH98 Data'!K$3:'VEH98 Data'!K36))),"")</f>
        <v>AWD</v>
      </c>
      <c r="O46" s="654" t="str">
        <f t="array" aca="1" ref="O46" ca="1">IFERROR(INDEX('VEH98 Data'!R$3:R$3508, SMALL(IF('VEH98 Data'!$AH$3:$AH$3508="TRUE", ROW('VEH98 Data'!R$3:R$3508)-ROW('VEH98 Data'!R$3)+1),ROWS('VEH98 Data'!R$3:'VEH98 Data'!R36))),"")</f>
        <v>2.0L Ecoboost</v>
      </c>
      <c r="P46" s="654">
        <f t="array" aca="1" ref="P46" ca="1">IFERROR(INDEX('VEH98 Data'!Y$3:Y$3508, SMALL(IF('VEH98 Data'!$AH$3:$AH$3508="TRUE", ROW('VEH98 Data'!Y$3:Y$3508)-ROW('VEH98 Data'!Y$3)+1),ROWS('VEH98 Data'!Y$3:'VEH98 Data'!Y36))),"")</f>
        <v>23</v>
      </c>
    </row>
    <row r="47" spans="2:16">
      <c r="B47" s="58">
        <f t="array" aca="1" ref="B47" ca="1">IFERROR(INDEX('VEH98 Data'!H$3:H$3508, SMALL(IF('VEH98 Data'!$AG$3:$AG$3508="TRUE", ROW('VEH98 Data'!H$3:H$3508)-ROW('VEH98 Data'!H$3)+1),ROWS('VEH98 Data'!H$3:'VEH98 Data'!H35))),"")</f>
        <v>2019</v>
      </c>
      <c r="C47" s="58" t="str">
        <f t="array" aca="1" ref="C47" ca="1">IFERROR(INDEX('VEH98 Data'!G$3:G$3508, SMALL(IF('VEH98 Data'!$AG$3:$AG$3508="TRUE", ROW('VEH98 Data'!G$3:G$3508)-ROW('VEH98 Data'!G$3)+1),ROWS('VEH98 Data'!G$3:'VEH98 Data'!G35))),"")</f>
        <v>Nissan</v>
      </c>
      <c r="D47" s="58" t="str">
        <f t="array" aca="1" ref="D47" ca="1">IFERROR(INDEX('VEH98 Data'!I$3:I$3508, SMALL(IF('VEH98 Data'!$AG$3:$AG$3508="TRUE", ROW('VEH98 Data'!I$3:I$3508)-ROW('VEH98 Data'!I$3)+1),ROWS('VEH98 Data'!I$3:'VEH98 Data'!I35))),"")</f>
        <v>Leaf</v>
      </c>
      <c r="E47" s="58" t="str">
        <f t="array" aca="1" ref="E47" ca="1">IFERROR(INDEX('VEH98 Data'!J$3:J$3508, SMALL(IF('VEH98 Data'!$AG$3:$AG$3508="TRUE", ROW('VEH98 Data'!J$3:J$3508)-ROW('VEH98 Data'!J$3)+1),ROWS('VEH98 Data'!J$3:'VEH98 Data'!J35))),"")</f>
        <v>SL</v>
      </c>
      <c r="F47" s="58" t="str">
        <f t="array" aca="1" ref="F47" ca="1">IFERROR(INDEX('VEH98 Data'!K$3:K$3508, SMALL(IF('VEH98 Data'!$AG$3:$AG$3508="TRUE", ROW('VEH98 Data'!K$3:K$3508)-ROW('VEH98 Data'!K$3)+1),ROWS('VEH98 Data'!K$3:'VEH98 Data'!K35))),"")</f>
        <v>FWD</v>
      </c>
      <c r="G47" s="654" t="str">
        <f t="array" aca="1" ref="G47" ca="1">IFERROR(INDEX('VEH98 Data'!R$3:R$3508, SMALL(IF('VEH98 Data'!$AG$3:$AG$3508="TRUE", ROW('VEH98 Data'!R$3:R$3508)-ROW('VEH98 Data'!R$3)+1),ROWS('VEH98 Data'!R$3:'VEH98 Data'!R35))),"")</f>
        <v>110 kW Electric</v>
      </c>
      <c r="H47" s="654">
        <f t="array" aca="1" ref="H47" ca="1">IFERROR(INDEX('VEH98 Data'!Y$3:Y$3508, SMALL(IF('VEH98 Data'!$AG$3:$AG$3508="TRUE", ROW('VEH98 Data'!Y$3:Y$3508)-ROW('VEH98 Data'!Y$3)+1),ROWS('VEH98 Data'!Y$3:'VEH98 Data'!Y35))),"")</f>
        <v>112</v>
      </c>
      <c r="J47" s="652">
        <f t="array" aca="1" ref="J47" ca="1">IFERROR(INDEX('VEH98 Data'!H$3:H$3508, SMALL(IF('VEH98 Data'!$AH$3:$AH$3508="TRUE", ROW('VEH98 Data'!H$3:H$3508)-ROW('VEH98 Data'!H$3)+1),ROWS('VEH98 Data'!H$3:'VEH98 Data'!H37))),"")</f>
        <v>2019</v>
      </c>
      <c r="K47" s="652" t="str">
        <f t="array" aca="1" ref="K47" ca="1">IFERROR(INDEX('VEH98 Data'!G$3:G$3508, SMALL(IF('VEH98 Data'!$AH$3:$AH$3508="TRUE", ROW('VEH98 Data'!G$3:G$3508)-ROW('VEH98 Data'!G$3)+1),ROWS('VEH98 Data'!G$3:'VEH98 Data'!G37))),"")</f>
        <v>Ford</v>
      </c>
      <c r="L47" s="652" t="str">
        <f t="array" aca="1" ref="L47" ca="1">IFERROR(INDEX('VEH98 Data'!I$3:I$3508, SMALL(IF('VEH98 Data'!$AH$3:$AH$3508="TRUE", ROW('VEH98 Data'!I$3:I$3508)-ROW('VEH98 Data'!I$3)+1),ROWS('VEH98 Data'!I$3:'VEH98 Data'!I37))),"")</f>
        <v>Edge</v>
      </c>
      <c r="M47" s="652" t="str">
        <f t="array" aca="1" ref="M47" ca="1">IFERROR(INDEX('VEH98 Data'!J$3:J$3508, SMALL(IF('VEH98 Data'!$AH$3:$AH$3508="TRUE", ROW('VEH98 Data'!J$3:J$3508)-ROW('VEH98 Data'!J$3)+1),ROWS('VEH98 Data'!J$3:'VEH98 Data'!J37))),"")</f>
        <v>SEL</v>
      </c>
      <c r="N47" s="652" t="str">
        <f t="array" aca="1" ref="N47" ca="1">IFERROR(INDEX('VEH98 Data'!K$3:K$3508, SMALL(IF('VEH98 Data'!$AH$3:$AH$3508="TRUE", ROW('VEH98 Data'!K$3:K$3508)-ROW('VEH98 Data'!K$3)+1),ROWS('VEH98 Data'!K$3:'VEH98 Data'!K37))),"")</f>
        <v>FWD</v>
      </c>
      <c r="O47" s="653" t="str">
        <f t="array" aca="1" ref="O47" ca="1">IFERROR(INDEX('VEH98 Data'!R$3:R$3508, SMALL(IF('VEH98 Data'!$AH$3:$AH$3508="TRUE", ROW('VEH98 Data'!R$3:R$3508)-ROW('VEH98 Data'!R$3)+1),ROWS('VEH98 Data'!R$3:'VEH98 Data'!R37))),"")</f>
        <v>2.0L Ecoboost</v>
      </c>
      <c r="P47" s="653">
        <f t="array" aca="1" ref="P47" ca="1">IFERROR(INDEX('VEH98 Data'!Y$3:Y$3508, SMALL(IF('VEH98 Data'!$AH$3:$AH$3508="TRUE", ROW('VEH98 Data'!Y$3:Y$3508)-ROW('VEH98 Data'!Y$3)+1),ROWS('VEH98 Data'!Y$3:'VEH98 Data'!Y37))),"")</f>
        <v>24</v>
      </c>
    </row>
    <row r="48" spans="2:16">
      <c r="B48" s="652">
        <f t="array" aca="1" ref="B48" ca="1">IFERROR(INDEX('VEH98 Data'!H$3:H$3508, SMALL(IF('VEH98 Data'!$AG$3:$AG$3508="TRUE", ROW('VEH98 Data'!H$3:H$3508)-ROW('VEH98 Data'!H$3)+1),ROWS('VEH98 Data'!H$3:'VEH98 Data'!H36))),"")</f>
        <v>2019</v>
      </c>
      <c r="C48" s="652" t="str">
        <f t="array" aca="1" ref="C48" ca="1">IFERROR(INDEX('VEH98 Data'!G$3:G$3508, SMALL(IF('VEH98 Data'!$AG$3:$AG$3508="TRUE", ROW('VEH98 Data'!G$3:G$3508)-ROW('VEH98 Data'!G$3)+1),ROWS('VEH98 Data'!G$3:'VEH98 Data'!G36))),"")</f>
        <v>Nissan</v>
      </c>
      <c r="D48" s="652" t="str">
        <f t="array" aca="1" ref="D48" ca="1">IFERROR(INDEX('VEH98 Data'!I$3:I$3508, SMALL(IF('VEH98 Data'!$AG$3:$AG$3508="TRUE", ROW('VEH98 Data'!I$3:I$3508)-ROW('VEH98 Data'!I$3)+1),ROWS('VEH98 Data'!I$3:'VEH98 Data'!I36))),"")</f>
        <v>Sentra</v>
      </c>
      <c r="E48" s="652" t="str">
        <f t="array" aca="1" ref="E48" ca="1">IFERROR(INDEX('VEH98 Data'!J$3:J$3508, SMALL(IF('VEH98 Data'!$AG$3:$AG$3508="TRUE", ROW('VEH98 Data'!J$3:J$3508)-ROW('VEH98 Data'!J$3)+1),ROWS('VEH98 Data'!J$3:'VEH98 Data'!J36))),"")</f>
        <v>S (CVT)</v>
      </c>
      <c r="F48" s="652" t="str">
        <f t="array" aca="1" ref="F48" ca="1">IFERROR(INDEX('VEH98 Data'!K$3:K$3508, SMALL(IF('VEH98 Data'!$AG$3:$AG$3508="TRUE", ROW('VEH98 Data'!K$3:K$3508)-ROW('VEH98 Data'!K$3)+1),ROWS('VEH98 Data'!K$3:'VEH98 Data'!K36))),"")</f>
        <v>FWD</v>
      </c>
      <c r="G48" s="653" t="str">
        <f t="array" aca="1" ref="G48" ca="1">IFERROR(INDEX('VEH98 Data'!R$3:R$3508, SMALL(IF('VEH98 Data'!$AG$3:$AG$3508="TRUE", ROW('VEH98 Data'!R$3:R$3508)-ROW('VEH98 Data'!R$3)+1),ROWS('VEH98 Data'!R$3:'VEH98 Data'!R36))),"")</f>
        <v>1.8L</v>
      </c>
      <c r="H48" s="653">
        <f t="array" aca="1" ref="H48" ca="1">IFERROR(INDEX('VEH98 Data'!Y$3:Y$3508, SMALL(IF('VEH98 Data'!$AG$3:$AG$3508="TRUE", ROW('VEH98 Data'!Y$3:Y$3508)-ROW('VEH98 Data'!Y$3)+1),ROWS('VEH98 Data'!Y$3:'VEH98 Data'!Y36))),"")</f>
        <v>32</v>
      </c>
      <c r="J48" s="58">
        <f t="array" aca="1" ref="J48" ca="1">IFERROR(INDEX('VEH98 Data'!H$3:H$3508, SMALL(IF('VEH98 Data'!$AH$3:$AH$3508="TRUE", ROW('VEH98 Data'!H$3:H$3508)-ROW('VEH98 Data'!H$3)+1),ROWS('VEH98 Data'!H$3:'VEH98 Data'!H38))),"")</f>
        <v>2019</v>
      </c>
      <c r="K48" s="58" t="str">
        <f t="array" aca="1" ref="K48" ca="1">IFERROR(INDEX('VEH98 Data'!G$3:G$3508, SMALL(IF('VEH98 Data'!$AH$3:$AH$3508="TRUE", ROW('VEH98 Data'!G$3:G$3508)-ROW('VEH98 Data'!G$3)+1),ROWS('VEH98 Data'!G$3:'VEH98 Data'!G38))),"")</f>
        <v>Ford</v>
      </c>
      <c r="L48" s="58" t="str">
        <f t="array" aca="1" ref="L48" ca="1">IFERROR(INDEX('VEH98 Data'!I$3:I$3508, SMALL(IF('VEH98 Data'!$AH$3:$AH$3508="TRUE", ROW('VEH98 Data'!I$3:I$3508)-ROW('VEH98 Data'!I$3)+1),ROWS('VEH98 Data'!I$3:'VEH98 Data'!I38))),"")</f>
        <v>Edge</v>
      </c>
      <c r="M48" s="58" t="str">
        <f t="array" aca="1" ref="M48" ca="1">IFERROR(INDEX('VEH98 Data'!J$3:J$3508, SMALL(IF('VEH98 Data'!$AH$3:$AH$3508="TRUE", ROW('VEH98 Data'!J$3:J$3508)-ROW('VEH98 Data'!J$3)+1),ROWS('VEH98 Data'!J$3:'VEH98 Data'!J38))),"")</f>
        <v>Sport</v>
      </c>
      <c r="N48" s="58" t="str">
        <f t="array" aca="1" ref="N48" ca="1">IFERROR(INDEX('VEH98 Data'!K$3:K$3508, SMALL(IF('VEH98 Data'!$AH$3:$AH$3508="TRUE", ROW('VEH98 Data'!K$3:K$3508)-ROW('VEH98 Data'!K$3)+1),ROWS('VEH98 Data'!K$3:'VEH98 Data'!K38))),"")</f>
        <v>AWD</v>
      </c>
      <c r="O48" s="654" t="str">
        <f t="array" aca="1" ref="O48" ca="1">IFERROR(INDEX('VEH98 Data'!R$3:R$3508, SMALL(IF('VEH98 Data'!$AH$3:$AH$3508="TRUE", ROW('VEH98 Data'!R$3:R$3508)-ROW('VEH98 Data'!R$3)+1),ROWS('VEH98 Data'!R$3:'VEH98 Data'!R38))),"")</f>
        <v>2.0L Ecoboost</v>
      </c>
      <c r="P48" s="654">
        <f t="array" aca="1" ref="P48" ca="1">IFERROR(INDEX('VEH98 Data'!Y$3:Y$3508, SMALL(IF('VEH98 Data'!$AH$3:$AH$3508="TRUE", ROW('VEH98 Data'!Y$3:Y$3508)-ROW('VEH98 Data'!Y$3)+1),ROWS('VEH98 Data'!Y$3:'VEH98 Data'!Y38))),"")</f>
        <v>23</v>
      </c>
    </row>
    <row r="49" spans="2:16">
      <c r="B49" s="58">
        <f t="array" aca="1" ref="B49" ca="1">IFERROR(INDEX('VEH98 Data'!H$3:H$3508, SMALL(IF('VEH98 Data'!$AG$3:$AG$3508="TRUE", ROW('VEH98 Data'!H$3:H$3508)-ROW('VEH98 Data'!H$3)+1),ROWS('VEH98 Data'!H$3:'VEH98 Data'!H37))),"")</f>
        <v>2019</v>
      </c>
      <c r="C49" s="58" t="str">
        <f t="array" aca="1" ref="C49" ca="1">IFERROR(INDEX('VEH98 Data'!G$3:G$3508, SMALL(IF('VEH98 Data'!$AG$3:$AG$3508="TRUE", ROW('VEH98 Data'!G$3:G$3508)-ROW('VEH98 Data'!G$3)+1),ROWS('VEH98 Data'!G$3:'VEH98 Data'!G37))),"")</f>
        <v>Nissan</v>
      </c>
      <c r="D49" s="58" t="str">
        <f t="array" aca="1" ref="D49" ca="1">IFERROR(INDEX('VEH98 Data'!I$3:I$3508, SMALL(IF('VEH98 Data'!$AG$3:$AG$3508="TRUE", ROW('VEH98 Data'!I$3:I$3508)-ROW('VEH98 Data'!I$3)+1),ROWS('VEH98 Data'!I$3:'VEH98 Data'!I37))),"")</f>
        <v>Versa</v>
      </c>
      <c r="E49" s="58" t="str">
        <f t="array" aca="1" ref="E49" ca="1">IFERROR(INDEX('VEH98 Data'!J$3:J$3508, SMALL(IF('VEH98 Data'!$AG$3:$AG$3508="TRUE", ROW('VEH98 Data'!J$3:J$3508)-ROW('VEH98 Data'!J$3)+1),ROWS('VEH98 Data'!J$3:'VEH98 Data'!J37))),"")</f>
        <v>S Plus (CVT)</v>
      </c>
      <c r="F49" s="58" t="str">
        <f t="array" aca="1" ref="F49" ca="1">IFERROR(INDEX('VEH98 Data'!K$3:K$3508, SMALL(IF('VEH98 Data'!$AG$3:$AG$3508="TRUE", ROW('VEH98 Data'!K$3:K$3508)-ROW('VEH98 Data'!K$3)+1),ROWS('VEH98 Data'!K$3:'VEH98 Data'!K37))),"")</f>
        <v>FWD</v>
      </c>
      <c r="G49" s="654" t="str">
        <f t="array" aca="1" ref="G49" ca="1">IFERROR(INDEX('VEH98 Data'!R$3:R$3508, SMALL(IF('VEH98 Data'!$AG$3:$AG$3508="TRUE", ROW('VEH98 Data'!R$3:R$3508)-ROW('VEH98 Data'!R$3)+1),ROWS('VEH98 Data'!R$3:'VEH98 Data'!R37))),"")</f>
        <v>1.6L</v>
      </c>
      <c r="H49" s="654">
        <f t="array" aca="1" ref="H49" ca="1">IFERROR(INDEX('VEH98 Data'!Y$3:Y$3508, SMALL(IF('VEH98 Data'!$AG$3:$AG$3508="TRUE", ROW('VEH98 Data'!Y$3:Y$3508)-ROW('VEH98 Data'!Y$3)+1),ROWS('VEH98 Data'!Y$3:'VEH98 Data'!Y37))),"")</f>
        <v>34</v>
      </c>
      <c r="J49" s="652">
        <f t="array" aca="1" ref="J49" ca="1">IFERROR(INDEX('VEH98 Data'!H$3:H$3508, SMALL(IF('VEH98 Data'!$AH$3:$AH$3508="TRUE", ROW('VEH98 Data'!H$3:H$3508)-ROW('VEH98 Data'!H$3)+1),ROWS('VEH98 Data'!H$3:'VEH98 Data'!H39))),"")</f>
        <v>2019</v>
      </c>
      <c r="K49" s="652" t="str">
        <f t="array" aca="1" ref="K49" ca="1">IFERROR(INDEX('VEH98 Data'!G$3:G$3508, SMALL(IF('VEH98 Data'!$AH$3:$AH$3508="TRUE", ROW('VEH98 Data'!G$3:G$3508)-ROW('VEH98 Data'!G$3)+1),ROWS('VEH98 Data'!G$3:'VEH98 Data'!G39))),"")</f>
        <v>Ford</v>
      </c>
      <c r="L49" s="652" t="str">
        <f t="array" aca="1" ref="L49" ca="1">IFERROR(INDEX('VEH98 Data'!I$3:I$3508, SMALL(IF('VEH98 Data'!$AH$3:$AH$3508="TRUE", ROW('VEH98 Data'!I$3:I$3508)-ROW('VEH98 Data'!I$3)+1),ROWS('VEH98 Data'!I$3:'VEH98 Data'!I39))),"")</f>
        <v>Edge</v>
      </c>
      <c r="M49" s="652" t="str">
        <f t="array" aca="1" ref="M49" ca="1">IFERROR(INDEX('VEH98 Data'!J$3:J$3508, SMALL(IF('VEH98 Data'!$AH$3:$AH$3508="TRUE", ROW('VEH98 Data'!J$3:J$3508)-ROW('VEH98 Data'!J$3)+1),ROWS('VEH98 Data'!J$3:'VEH98 Data'!J39))),"")</f>
        <v>Sport</v>
      </c>
      <c r="N49" s="652" t="str">
        <f t="array" aca="1" ref="N49" ca="1">IFERROR(INDEX('VEH98 Data'!K$3:K$3508, SMALL(IF('VEH98 Data'!$AH$3:$AH$3508="TRUE", ROW('VEH98 Data'!K$3:K$3508)-ROW('VEH98 Data'!K$3)+1),ROWS('VEH98 Data'!K$3:'VEH98 Data'!K39))),"")</f>
        <v>AWD</v>
      </c>
      <c r="O49" s="653" t="str">
        <f t="array" aca="1" ref="O49" ca="1">IFERROR(INDEX('VEH98 Data'!R$3:R$3508, SMALL(IF('VEH98 Data'!$AH$3:$AH$3508="TRUE", ROW('VEH98 Data'!R$3:R$3508)-ROW('VEH98 Data'!R$3)+1),ROWS('VEH98 Data'!R$3:'VEH98 Data'!R39))),"")</f>
        <v>2.7L Ecoboost</v>
      </c>
      <c r="P49" s="653">
        <f t="array" aca="1" ref="P49" ca="1">IFERROR(INDEX('VEH98 Data'!Y$3:Y$3508, SMALL(IF('VEH98 Data'!$AH$3:$AH$3508="TRUE", ROW('VEH98 Data'!Y$3:Y$3508)-ROW('VEH98 Data'!Y$3)+1),ROWS('VEH98 Data'!Y$3:'VEH98 Data'!Y39))),"")</f>
        <v>23</v>
      </c>
    </row>
    <row r="50" spans="2:16">
      <c r="B50" s="652">
        <f t="array" aca="1" ref="B50" ca="1">IFERROR(INDEX('VEH98 Data'!H$3:H$3508, SMALL(IF('VEH98 Data'!$AG$3:$AG$3508="TRUE", ROW('VEH98 Data'!H$3:H$3508)-ROW('VEH98 Data'!H$3)+1),ROWS('VEH98 Data'!H$3:'VEH98 Data'!H38))),"")</f>
        <v>2018</v>
      </c>
      <c r="C50" s="652" t="str">
        <f t="array" aca="1" ref="C50" ca="1">IFERROR(INDEX('VEH98 Data'!G$3:G$3508, SMALL(IF('VEH98 Data'!$AG$3:$AG$3508="TRUE", ROW('VEH98 Data'!G$3:G$3508)-ROW('VEH98 Data'!G$3)+1),ROWS('VEH98 Data'!G$3:'VEH98 Data'!G38))),"")</f>
        <v>smart</v>
      </c>
      <c r="D50" s="652" t="str">
        <f t="array" aca="1" ref="D50" ca="1">IFERROR(INDEX('VEH98 Data'!I$3:I$3508, SMALL(IF('VEH98 Data'!$AG$3:$AG$3508="TRUE", ROW('VEH98 Data'!I$3:I$3508)-ROW('VEH98 Data'!I$3)+1),ROWS('VEH98 Data'!I$3:'VEH98 Data'!I38))),"")</f>
        <v>Fortwo Electric Drive Coupe</v>
      </c>
      <c r="E50" s="652" t="str">
        <f t="array" aca="1" ref="E50" ca="1">IFERROR(INDEX('VEH98 Data'!J$3:J$3508, SMALL(IF('VEH98 Data'!$AG$3:$AG$3508="TRUE", ROW('VEH98 Data'!J$3:J$3508)-ROW('VEH98 Data'!J$3)+1),ROWS('VEH98 Data'!J$3:'VEH98 Data'!J38))),"")</f>
        <v>Passion</v>
      </c>
      <c r="F50" s="652" t="str">
        <f t="array" aca="1" ref="F50" ca="1">IFERROR(INDEX('VEH98 Data'!K$3:K$3508, SMALL(IF('VEH98 Data'!$AG$3:$AG$3508="TRUE", ROW('VEH98 Data'!K$3:K$3508)-ROW('VEH98 Data'!K$3)+1),ROWS('VEH98 Data'!K$3:'VEH98 Data'!K38))),"")</f>
        <v>RWD</v>
      </c>
      <c r="G50" s="653" t="str">
        <f t="array" aca="1" ref="G50" ca="1">IFERROR(INDEX('VEH98 Data'!R$3:R$3508, SMALL(IF('VEH98 Data'!$AG$3:$AG$3508="TRUE", ROW('VEH98 Data'!R$3:R$3508)-ROW('VEH98 Data'!R$3)+1),ROWS('VEH98 Data'!R$3:'VEH98 Data'!R38))),"")</f>
        <v>Electric</v>
      </c>
      <c r="H50" s="653">
        <f t="array" aca="1" ref="H50" ca="1">IFERROR(INDEX('VEH98 Data'!Y$3:Y$3508, SMALL(IF('VEH98 Data'!$AG$3:$AG$3508="TRUE", ROW('VEH98 Data'!Y$3:Y$3508)-ROW('VEH98 Data'!Y$3)+1),ROWS('VEH98 Data'!Y$3:'VEH98 Data'!Y38))),"")</f>
        <v>108</v>
      </c>
      <c r="J50" s="58">
        <f t="array" aca="1" ref="J50" ca="1">IFERROR(INDEX('VEH98 Data'!H$3:H$3508, SMALL(IF('VEH98 Data'!$AH$3:$AH$3508="TRUE", ROW('VEH98 Data'!H$3:H$3508)-ROW('VEH98 Data'!H$3)+1),ROWS('VEH98 Data'!H$3:'VEH98 Data'!H40))),"")</f>
        <v>2019</v>
      </c>
      <c r="K50" s="58" t="str">
        <f t="array" aca="1" ref="K50" ca="1">IFERROR(INDEX('VEH98 Data'!G$3:G$3508, SMALL(IF('VEH98 Data'!$AH$3:$AH$3508="TRUE", ROW('VEH98 Data'!G$3:G$3508)-ROW('VEH98 Data'!G$3)+1),ROWS('VEH98 Data'!G$3:'VEH98 Data'!G40))),"")</f>
        <v>Ford</v>
      </c>
      <c r="L50" s="58" t="str">
        <f t="array" aca="1" ref="L50" ca="1">IFERROR(INDEX('VEH98 Data'!I$3:I$3508, SMALL(IF('VEH98 Data'!$AH$3:$AH$3508="TRUE", ROW('VEH98 Data'!I$3:I$3508)-ROW('VEH98 Data'!I$3)+1),ROWS('VEH98 Data'!I$3:'VEH98 Data'!I40))),"")</f>
        <v>Edge</v>
      </c>
      <c r="M50" s="58" t="str">
        <f t="array" aca="1" ref="M50" ca="1">IFERROR(INDEX('VEH98 Data'!J$3:J$3508, SMALL(IF('VEH98 Data'!$AH$3:$AH$3508="TRUE", ROW('VEH98 Data'!J$3:J$3508)-ROW('VEH98 Data'!J$3)+1),ROWS('VEH98 Data'!J$3:'VEH98 Data'!J40))),"")</f>
        <v>Titanium</v>
      </c>
      <c r="N50" s="58" t="str">
        <f t="array" aca="1" ref="N50" ca="1">IFERROR(INDEX('VEH98 Data'!K$3:K$3508, SMALL(IF('VEH98 Data'!$AH$3:$AH$3508="TRUE", ROW('VEH98 Data'!K$3:K$3508)-ROW('VEH98 Data'!K$3)+1),ROWS('VEH98 Data'!K$3:'VEH98 Data'!K40))),"")</f>
        <v>AWD</v>
      </c>
      <c r="O50" s="654" t="str">
        <f t="array" aca="1" ref="O50" ca="1">IFERROR(INDEX('VEH98 Data'!R$3:R$3508, SMALL(IF('VEH98 Data'!$AH$3:$AH$3508="TRUE", ROW('VEH98 Data'!R$3:R$3508)-ROW('VEH98 Data'!R$3)+1),ROWS('VEH98 Data'!R$3:'VEH98 Data'!R40))),"")</f>
        <v>2.0L Ecoboost</v>
      </c>
      <c r="P50" s="654">
        <f t="array" aca="1" ref="P50" ca="1">IFERROR(INDEX('VEH98 Data'!Y$3:Y$3508, SMALL(IF('VEH98 Data'!$AH$3:$AH$3508="TRUE", ROW('VEH98 Data'!Y$3:Y$3508)-ROW('VEH98 Data'!Y$3)+1),ROWS('VEH98 Data'!Y$3:'VEH98 Data'!Y40))),"")</f>
        <v>23</v>
      </c>
    </row>
    <row r="51" spans="2:16">
      <c r="B51" s="58">
        <f t="array" aca="1" ref="B51" ca="1">IFERROR(INDEX('VEH98 Data'!H$3:H$3508, SMALL(IF('VEH98 Data'!$AG$3:$AG$3508="TRUE", ROW('VEH98 Data'!H$3:H$3508)-ROW('VEH98 Data'!H$3)+1),ROWS('VEH98 Data'!H$3:'VEH98 Data'!H39))),"")</f>
        <v>2018</v>
      </c>
      <c r="C51" s="58" t="str">
        <f t="array" aca="1" ref="C51" ca="1">IFERROR(INDEX('VEH98 Data'!G$3:G$3508, SMALL(IF('VEH98 Data'!$AG$3:$AG$3508="TRUE", ROW('VEH98 Data'!G$3:G$3508)-ROW('VEH98 Data'!G$3)+1),ROWS('VEH98 Data'!G$3:'VEH98 Data'!G39))),"")</f>
        <v>smart</v>
      </c>
      <c r="D51" s="58" t="str">
        <f t="array" aca="1" ref="D51" ca="1">IFERROR(INDEX('VEH98 Data'!I$3:I$3508, SMALL(IF('VEH98 Data'!$AG$3:$AG$3508="TRUE", ROW('VEH98 Data'!I$3:I$3508)-ROW('VEH98 Data'!I$3)+1),ROWS('VEH98 Data'!I$3:'VEH98 Data'!I39))),"")</f>
        <v>Fortwo Electric Drive Coupe</v>
      </c>
      <c r="E51" s="58" t="str">
        <f t="array" aca="1" ref="E51" ca="1">IFERROR(INDEX('VEH98 Data'!J$3:J$3508, SMALL(IF('VEH98 Data'!$AG$3:$AG$3508="TRUE", ROW('VEH98 Data'!J$3:J$3508)-ROW('VEH98 Data'!J$3)+1),ROWS('VEH98 Data'!J$3:'VEH98 Data'!J39))),"")</f>
        <v>Prime</v>
      </c>
      <c r="F51" s="58" t="str">
        <f t="array" aca="1" ref="F51" ca="1">IFERROR(INDEX('VEH98 Data'!K$3:K$3508, SMALL(IF('VEH98 Data'!$AG$3:$AG$3508="TRUE", ROW('VEH98 Data'!K$3:K$3508)-ROW('VEH98 Data'!K$3)+1),ROWS('VEH98 Data'!K$3:'VEH98 Data'!K39))),"")</f>
        <v>RWD</v>
      </c>
      <c r="G51" s="654" t="str">
        <f t="array" aca="1" ref="G51" ca="1">IFERROR(INDEX('VEH98 Data'!R$3:R$3508, SMALL(IF('VEH98 Data'!$AG$3:$AG$3508="TRUE", ROW('VEH98 Data'!R$3:R$3508)-ROW('VEH98 Data'!R$3)+1),ROWS('VEH98 Data'!R$3:'VEH98 Data'!R39))),"")</f>
        <v>Electric</v>
      </c>
      <c r="H51" s="654">
        <f t="array" aca="1" ref="H51" ca="1">IFERROR(INDEX('VEH98 Data'!Y$3:Y$3508, SMALL(IF('VEH98 Data'!$AG$3:$AG$3508="TRUE", ROW('VEH98 Data'!Y$3:Y$3508)-ROW('VEH98 Data'!Y$3)+1),ROWS('VEH98 Data'!Y$3:'VEH98 Data'!Y39))),"")</f>
        <v>108</v>
      </c>
      <c r="J51" s="652">
        <f t="array" aca="1" ref="J51" ca="1">IFERROR(INDEX('VEH98 Data'!H$3:H$3508, SMALL(IF('VEH98 Data'!$AH$3:$AH$3508="TRUE", ROW('VEH98 Data'!H$3:H$3508)-ROW('VEH98 Data'!H$3)+1),ROWS('VEH98 Data'!H$3:'VEH98 Data'!H41))),"")</f>
        <v>2019</v>
      </c>
      <c r="K51" s="652" t="str">
        <f t="array" aca="1" ref="K51" ca="1">IFERROR(INDEX('VEH98 Data'!G$3:G$3508, SMALL(IF('VEH98 Data'!$AH$3:$AH$3508="TRUE", ROW('VEH98 Data'!G$3:G$3508)-ROW('VEH98 Data'!G$3)+1),ROWS('VEH98 Data'!G$3:'VEH98 Data'!G41))),"")</f>
        <v>Ford</v>
      </c>
      <c r="L51" s="652" t="str">
        <f t="array" aca="1" ref="L51" ca="1">IFERROR(INDEX('VEH98 Data'!I$3:I$3508, SMALL(IF('VEH98 Data'!$AH$3:$AH$3508="TRUE", ROW('VEH98 Data'!I$3:I$3508)-ROW('VEH98 Data'!I$3)+1),ROWS('VEH98 Data'!I$3:'VEH98 Data'!I41))),"")</f>
        <v>Edge</v>
      </c>
      <c r="M51" s="652" t="str">
        <f t="array" aca="1" ref="M51" ca="1">IFERROR(INDEX('VEH98 Data'!J$3:J$3508, SMALL(IF('VEH98 Data'!$AH$3:$AH$3508="TRUE", ROW('VEH98 Data'!J$3:J$3508)-ROW('VEH98 Data'!J$3)+1),ROWS('VEH98 Data'!J$3:'VEH98 Data'!J41))),"")</f>
        <v>Titanium</v>
      </c>
      <c r="N51" s="652" t="str">
        <f t="array" aca="1" ref="N51" ca="1">IFERROR(INDEX('VEH98 Data'!K$3:K$3508, SMALL(IF('VEH98 Data'!$AH$3:$AH$3508="TRUE", ROW('VEH98 Data'!K$3:K$3508)-ROW('VEH98 Data'!K$3)+1),ROWS('VEH98 Data'!K$3:'VEH98 Data'!K41))),"")</f>
        <v>FWD</v>
      </c>
      <c r="O51" s="653" t="str">
        <f t="array" aca="1" ref="O51" ca="1">IFERROR(INDEX('VEH98 Data'!R$3:R$3508, SMALL(IF('VEH98 Data'!$AH$3:$AH$3508="TRUE", ROW('VEH98 Data'!R$3:R$3508)-ROW('VEH98 Data'!R$3)+1),ROWS('VEH98 Data'!R$3:'VEH98 Data'!R41))),"")</f>
        <v>2.0L Ecoboost</v>
      </c>
      <c r="P51" s="653">
        <f t="array" aca="1" ref="P51" ca="1">IFERROR(INDEX('VEH98 Data'!Y$3:Y$3508, SMALL(IF('VEH98 Data'!$AH$3:$AH$3508="TRUE", ROW('VEH98 Data'!Y$3:Y$3508)-ROW('VEH98 Data'!Y$3)+1),ROWS('VEH98 Data'!Y$3:'VEH98 Data'!Y41))),"")</f>
        <v>24</v>
      </c>
    </row>
    <row r="52" spans="2:16">
      <c r="B52" s="652">
        <f t="array" aca="1" ref="B52" ca="1">IFERROR(INDEX('VEH98 Data'!H$3:H$3508, SMALL(IF('VEH98 Data'!$AG$3:$AG$3508="TRUE", ROW('VEH98 Data'!H$3:H$3508)-ROW('VEH98 Data'!H$3)+1),ROWS('VEH98 Data'!H$3:'VEH98 Data'!H40))),"")</f>
        <v>2018</v>
      </c>
      <c r="C52" s="652" t="str">
        <f t="array" aca="1" ref="C52" ca="1">IFERROR(INDEX('VEH98 Data'!G$3:G$3508, SMALL(IF('VEH98 Data'!$AG$3:$AG$3508="TRUE", ROW('VEH98 Data'!G$3:G$3508)-ROW('VEH98 Data'!G$3)+1),ROWS('VEH98 Data'!G$3:'VEH98 Data'!G40))),"")</f>
        <v>smart</v>
      </c>
      <c r="D52" s="652" t="str">
        <f t="array" aca="1" ref="D52" ca="1">IFERROR(INDEX('VEH98 Data'!I$3:I$3508, SMALL(IF('VEH98 Data'!$AG$3:$AG$3508="TRUE", ROW('VEH98 Data'!I$3:I$3508)-ROW('VEH98 Data'!I$3)+1),ROWS('VEH98 Data'!I$3:'VEH98 Data'!I40))),"")</f>
        <v>Fortwo Electric Drive Coupe</v>
      </c>
      <c r="E52" s="652" t="str">
        <f t="array" aca="1" ref="E52" ca="1">IFERROR(INDEX('VEH98 Data'!J$3:J$3508, SMALL(IF('VEH98 Data'!$AG$3:$AG$3508="TRUE", ROW('VEH98 Data'!J$3:J$3508)-ROW('VEH98 Data'!J$3)+1),ROWS('VEH98 Data'!J$3:'VEH98 Data'!J40))),"")</f>
        <v>Pure</v>
      </c>
      <c r="F52" s="652" t="str">
        <f t="array" aca="1" ref="F52" ca="1">IFERROR(INDEX('VEH98 Data'!K$3:K$3508, SMALL(IF('VEH98 Data'!$AG$3:$AG$3508="TRUE", ROW('VEH98 Data'!K$3:K$3508)-ROW('VEH98 Data'!K$3)+1),ROWS('VEH98 Data'!K$3:'VEH98 Data'!K40))),"")</f>
        <v>RWD</v>
      </c>
      <c r="G52" s="653" t="str">
        <f t="array" aca="1" ref="G52" ca="1">IFERROR(INDEX('VEH98 Data'!R$3:R$3508, SMALL(IF('VEH98 Data'!$AG$3:$AG$3508="TRUE", ROW('VEH98 Data'!R$3:R$3508)-ROW('VEH98 Data'!R$3)+1),ROWS('VEH98 Data'!R$3:'VEH98 Data'!R40))),"")</f>
        <v>Electric</v>
      </c>
      <c r="H52" s="653">
        <f t="array" aca="1" ref="H52" ca="1">IFERROR(INDEX('VEH98 Data'!Y$3:Y$3508, SMALL(IF('VEH98 Data'!$AG$3:$AG$3508="TRUE", ROW('VEH98 Data'!Y$3:Y$3508)-ROW('VEH98 Data'!Y$3)+1),ROWS('VEH98 Data'!Y$3:'VEH98 Data'!Y40))),"")</f>
        <v>108</v>
      </c>
      <c r="J52" s="58">
        <f t="array" aca="1" ref="J52" ca="1">IFERROR(INDEX('VEH98 Data'!H$3:H$3508, SMALL(IF('VEH98 Data'!$AH$3:$AH$3508="TRUE", ROW('VEH98 Data'!H$3:H$3508)-ROW('VEH98 Data'!H$3)+1),ROWS('VEH98 Data'!H$3:'VEH98 Data'!H42))),"")</f>
        <v>2019</v>
      </c>
      <c r="K52" s="58" t="str">
        <f t="array" aca="1" ref="K52" ca="1">IFERROR(INDEX('VEH98 Data'!G$3:G$3508, SMALL(IF('VEH98 Data'!$AH$3:$AH$3508="TRUE", ROW('VEH98 Data'!G$3:G$3508)-ROW('VEH98 Data'!G$3)+1),ROWS('VEH98 Data'!G$3:'VEH98 Data'!G42))),"")</f>
        <v>Ford</v>
      </c>
      <c r="L52" s="58" t="str">
        <f t="array" aca="1" ref="L52" ca="1">IFERROR(INDEX('VEH98 Data'!I$3:I$3508, SMALL(IF('VEH98 Data'!$AH$3:$AH$3508="TRUE", ROW('VEH98 Data'!I$3:I$3508)-ROW('VEH98 Data'!I$3)+1),ROWS('VEH98 Data'!I$3:'VEH98 Data'!I42))),"")</f>
        <v>Escape</v>
      </c>
      <c r="M52" s="58" t="str">
        <f t="array" aca="1" ref="M52" ca="1">IFERROR(INDEX('VEH98 Data'!J$3:J$3508, SMALL(IF('VEH98 Data'!$AH$3:$AH$3508="TRUE", ROW('VEH98 Data'!J$3:J$3508)-ROW('VEH98 Data'!J$3)+1),ROWS('VEH98 Data'!J$3:'VEH98 Data'!J42))),"")</f>
        <v>S</v>
      </c>
      <c r="N52" s="58" t="str">
        <f t="array" aca="1" ref="N52" ca="1">IFERROR(INDEX('VEH98 Data'!K$3:K$3508, SMALL(IF('VEH98 Data'!$AH$3:$AH$3508="TRUE", ROW('VEH98 Data'!K$3:K$3508)-ROW('VEH98 Data'!K$3)+1),ROWS('VEH98 Data'!K$3:'VEH98 Data'!K42))),"")</f>
        <v>FWD</v>
      </c>
      <c r="O52" s="654" t="str">
        <f t="array" aca="1" ref="O52" ca="1">IFERROR(INDEX('VEH98 Data'!R$3:R$3508, SMALL(IF('VEH98 Data'!$AH$3:$AH$3508="TRUE", ROW('VEH98 Data'!R$3:R$3508)-ROW('VEH98 Data'!R$3)+1),ROWS('VEH98 Data'!R$3:'VEH98 Data'!R42))),"")</f>
        <v>2.5L</v>
      </c>
      <c r="P52" s="654">
        <f t="array" aca="1" ref="P52" ca="1">IFERROR(INDEX('VEH98 Data'!Y$3:Y$3508, SMALL(IF('VEH98 Data'!$AH$3:$AH$3508="TRUE", ROW('VEH98 Data'!Y$3:Y$3508)-ROW('VEH98 Data'!Y$3)+1),ROWS('VEH98 Data'!Y$3:'VEH98 Data'!Y42))),"")</f>
        <v>24</v>
      </c>
    </row>
    <row r="53" spans="2:16">
      <c r="B53" s="58">
        <f t="array" aca="1" ref="B53" ca="1">IFERROR(INDEX('VEH98 Data'!H$3:H$3508, SMALL(IF('VEH98 Data'!$AG$3:$AG$3508="TRUE", ROW('VEH98 Data'!H$3:H$3508)-ROW('VEH98 Data'!H$3)+1),ROWS('VEH98 Data'!H$3:'VEH98 Data'!H41))),"")</f>
        <v>2019</v>
      </c>
      <c r="C53" s="58" t="str">
        <f t="array" aca="1" ref="C53" ca="1">IFERROR(INDEX('VEH98 Data'!G$3:G$3508, SMALL(IF('VEH98 Data'!$AG$3:$AG$3508="TRUE", ROW('VEH98 Data'!G$3:G$3508)-ROW('VEH98 Data'!G$3)+1),ROWS('VEH98 Data'!G$3:'VEH98 Data'!G41))),"")</f>
        <v>Toyota</v>
      </c>
      <c r="D53" s="58" t="str">
        <f t="array" aca="1" ref="D53" ca="1">IFERROR(INDEX('VEH98 Data'!I$3:I$3508, SMALL(IF('VEH98 Data'!$AG$3:$AG$3508="TRUE", ROW('VEH98 Data'!I$3:I$3508)-ROW('VEH98 Data'!I$3)+1),ROWS('VEH98 Data'!I$3:'VEH98 Data'!I41))),"")</f>
        <v>Camry</v>
      </c>
      <c r="E53" s="58" t="str">
        <f t="array" aca="1" ref="E53" ca="1">IFERROR(INDEX('VEH98 Data'!J$3:J$3508, SMALL(IF('VEH98 Data'!$AG$3:$AG$3508="TRUE", ROW('VEH98 Data'!J$3:J$3508)-ROW('VEH98 Data'!J$3)+1),ROWS('VEH98 Data'!J$3:'VEH98 Data'!J41))),"")</f>
        <v>Hybrid LE</v>
      </c>
      <c r="F53" s="58" t="str">
        <f t="array" aca="1" ref="F53" ca="1">IFERROR(INDEX('VEH98 Data'!K$3:K$3508, SMALL(IF('VEH98 Data'!$AG$3:$AG$3508="TRUE", ROW('VEH98 Data'!K$3:K$3508)-ROW('VEH98 Data'!K$3)+1),ROWS('VEH98 Data'!K$3:'VEH98 Data'!K41))),"")</f>
        <v>FWD</v>
      </c>
      <c r="G53" s="654" t="str">
        <f t="array" aca="1" ref="G53" ca="1">IFERROR(INDEX('VEH98 Data'!R$3:R$3508, SMALL(IF('VEH98 Data'!$AG$3:$AG$3508="TRUE", ROW('VEH98 Data'!R$3:R$3508)-ROW('VEH98 Data'!R$3)+1),ROWS('VEH98 Data'!R$3:'VEH98 Data'!R41))),"")</f>
        <v>2.5L</v>
      </c>
      <c r="H53" s="654">
        <f t="array" aca="1" ref="H53" ca="1">IFERROR(INDEX('VEH98 Data'!Y$3:Y$3508, SMALL(IF('VEH98 Data'!$AG$3:$AG$3508="TRUE", ROW('VEH98 Data'!Y$3:Y$3508)-ROW('VEH98 Data'!Y$3)+1),ROWS('VEH98 Data'!Y$3:'VEH98 Data'!Y41))),"")</f>
        <v>52</v>
      </c>
      <c r="J53" s="652">
        <f t="array" aca="1" ref="J53" ca="1">IFERROR(INDEX('VEH98 Data'!H$3:H$3508, SMALL(IF('VEH98 Data'!$AH$3:$AH$3508="TRUE", ROW('VEH98 Data'!H$3:H$3508)-ROW('VEH98 Data'!H$3)+1),ROWS('VEH98 Data'!H$3:'VEH98 Data'!H43))),"")</f>
        <v>2019</v>
      </c>
      <c r="K53" s="652" t="str">
        <f t="array" aca="1" ref="K53" ca="1">IFERROR(INDEX('VEH98 Data'!G$3:G$3508, SMALL(IF('VEH98 Data'!$AH$3:$AH$3508="TRUE", ROW('VEH98 Data'!G$3:G$3508)-ROW('VEH98 Data'!G$3)+1),ROWS('VEH98 Data'!G$3:'VEH98 Data'!G43))),"")</f>
        <v>Ford</v>
      </c>
      <c r="L53" s="652" t="str">
        <f t="array" aca="1" ref="L53" ca="1">IFERROR(INDEX('VEH98 Data'!I$3:I$3508, SMALL(IF('VEH98 Data'!$AH$3:$AH$3508="TRUE", ROW('VEH98 Data'!I$3:I$3508)-ROW('VEH98 Data'!I$3)+1),ROWS('VEH98 Data'!I$3:'VEH98 Data'!I43))),"")</f>
        <v>Escape</v>
      </c>
      <c r="M53" s="652" t="str">
        <f t="array" aca="1" ref="M53" ca="1">IFERROR(INDEX('VEH98 Data'!J$3:J$3508, SMALL(IF('VEH98 Data'!$AH$3:$AH$3508="TRUE", ROW('VEH98 Data'!J$3:J$3508)-ROW('VEH98 Data'!J$3)+1),ROWS('VEH98 Data'!J$3:'VEH98 Data'!J43))),"")</f>
        <v>SE</v>
      </c>
      <c r="N53" s="652" t="str">
        <f t="array" aca="1" ref="N53" ca="1">IFERROR(INDEX('VEH98 Data'!K$3:K$3508, SMALL(IF('VEH98 Data'!$AH$3:$AH$3508="TRUE", ROW('VEH98 Data'!K$3:K$3508)-ROW('VEH98 Data'!K$3)+1),ROWS('VEH98 Data'!K$3:'VEH98 Data'!K43))),"")</f>
        <v>4WD</v>
      </c>
      <c r="O53" s="653" t="str">
        <f t="array" aca="1" ref="O53" ca="1">IFERROR(INDEX('VEH98 Data'!R$3:R$3508, SMALL(IF('VEH98 Data'!$AH$3:$AH$3508="TRUE", ROW('VEH98 Data'!R$3:R$3508)-ROW('VEH98 Data'!R$3)+1),ROWS('VEH98 Data'!R$3:'VEH98 Data'!R43))),"")</f>
        <v>1.5L</v>
      </c>
      <c r="P53" s="653">
        <f t="array" aca="1" ref="P53" ca="1">IFERROR(INDEX('VEH98 Data'!Y$3:Y$3508, SMALL(IF('VEH98 Data'!$AH$3:$AH$3508="TRUE", ROW('VEH98 Data'!Y$3:Y$3508)-ROW('VEH98 Data'!Y$3)+1),ROWS('VEH98 Data'!Y$3:'VEH98 Data'!Y43))),"")</f>
        <v>24</v>
      </c>
    </row>
    <row r="54" spans="2:16">
      <c r="B54" s="652">
        <f t="array" aca="1" ref="B54" ca="1">IFERROR(INDEX('VEH98 Data'!H$3:H$3508, SMALL(IF('VEH98 Data'!$AG$3:$AG$3508="TRUE", ROW('VEH98 Data'!H$3:H$3508)-ROW('VEH98 Data'!H$3)+1),ROWS('VEH98 Data'!H$3:'VEH98 Data'!H42))),"")</f>
        <v>2019</v>
      </c>
      <c r="C54" s="652" t="str">
        <f t="array" aca="1" ref="C54" ca="1">IFERROR(INDEX('VEH98 Data'!G$3:G$3508, SMALL(IF('VEH98 Data'!$AG$3:$AG$3508="TRUE", ROW('VEH98 Data'!G$3:G$3508)-ROW('VEH98 Data'!G$3)+1),ROWS('VEH98 Data'!G$3:'VEH98 Data'!G42))),"")</f>
        <v>Toyota</v>
      </c>
      <c r="D54" s="652" t="str">
        <f t="array" aca="1" ref="D54" ca="1">IFERROR(INDEX('VEH98 Data'!I$3:I$3508, SMALL(IF('VEH98 Data'!$AG$3:$AG$3508="TRUE", ROW('VEH98 Data'!I$3:I$3508)-ROW('VEH98 Data'!I$3)+1),ROWS('VEH98 Data'!I$3:'VEH98 Data'!I42))),"")</f>
        <v>Camry</v>
      </c>
      <c r="E54" s="652" t="str">
        <f t="array" aca="1" ref="E54" ca="1">IFERROR(INDEX('VEH98 Data'!J$3:J$3508, SMALL(IF('VEH98 Data'!$AG$3:$AG$3508="TRUE", ROW('VEH98 Data'!J$3:J$3508)-ROW('VEH98 Data'!J$3)+1),ROWS('VEH98 Data'!J$3:'VEH98 Data'!J42))),"")</f>
        <v>L</v>
      </c>
      <c r="F54" s="652" t="str">
        <f t="array" aca="1" ref="F54" ca="1">IFERROR(INDEX('VEH98 Data'!K$3:K$3508, SMALL(IF('VEH98 Data'!$AG$3:$AG$3508="TRUE", ROW('VEH98 Data'!K$3:K$3508)-ROW('VEH98 Data'!K$3)+1),ROWS('VEH98 Data'!K$3:'VEH98 Data'!K42))),"")</f>
        <v>FWD</v>
      </c>
      <c r="G54" s="653" t="str">
        <f t="array" aca="1" ref="G54" ca="1">IFERROR(INDEX('VEH98 Data'!R$3:R$3508, SMALL(IF('VEH98 Data'!$AG$3:$AG$3508="TRUE", ROW('VEH98 Data'!R$3:R$3508)-ROW('VEH98 Data'!R$3)+1),ROWS('VEH98 Data'!R$3:'VEH98 Data'!R42))),"")</f>
        <v>2.5L</v>
      </c>
      <c r="H54" s="653">
        <f t="array" aca="1" ref="H54" ca="1">IFERROR(INDEX('VEH98 Data'!Y$3:Y$3508, SMALL(IF('VEH98 Data'!$AG$3:$AG$3508="TRUE", ROW('VEH98 Data'!Y$3:Y$3508)-ROW('VEH98 Data'!Y$3)+1),ROWS('VEH98 Data'!Y$3:'VEH98 Data'!Y42))),"")</f>
        <v>34</v>
      </c>
      <c r="J54" s="58">
        <f t="array" aca="1" ref="J54" ca="1">IFERROR(INDEX('VEH98 Data'!H$3:H$3508, SMALL(IF('VEH98 Data'!$AH$3:$AH$3508="TRUE", ROW('VEH98 Data'!H$3:H$3508)-ROW('VEH98 Data'!H$3)+1),ROWS('VEH98 Data'!H$3:'VEH98 Data'!H44))),"")</f>
        <v>2019</v>
      </c>
      <c r="K54" s="58" t="str">
        <f t="array" aca="1" ref="K54" ca="1">IFERROR(INDEX('VEH98 Data'!G$3:G$3508, SMALL(IF('VEH98 Data'!$AH$3:$AH$3508="TRUE", ROW('VEH98 Data'!G$3:G$3508)-ROW('VEH98 Data'!G$3)+1),ROWS('VEH98 Data'!G$3:'VEH98 Data'!G44))),"")</f>
        <v>Ford</v>
      </c>
      <c r="L54" s="58" t="str">
        <f t="array" aca="1" ref="L54" ca="1">IFERROR(INDEX('VEH98 Data'!I$3:I$3508, SMALL(IF('VEH98 Data'!$AH$3:$AH$3508="TRUE", ROW('VEH98 Data'!I$3:I$3508)-ROW('VEH98 Data'!I$3)+1),ROWS('VEH98 Data'!I$3:'VEH98 Data'!I44))),"")</f>
        <v>Escape</v>
      </c>
      <c r="M54" s="58" t="str">
        <f t="array" aca="1" ref="M54" ca="1">IFERROR(INDEX('VEH98 Data'!J$3:J$3508, SMALL(IF('VEH98 Data'!$AH$3:$AH$3508="TRUE", ROW('VEH98 Data'!J$3:J$3508)-ROW('VEH98 Data'!J$3)+1),ROWS('VEH98 Data'!J$3:'VEH98 Data'!J44))),"")</f>
        <v>SE</v>
      </c>
      <c r="N54" s="58" t="str">
        <f t="array" aca="1" ref="N54" ca="1">IFERROR(INDEX('VEH98 Data'!K$3:K$3508, SMALL(IF('VEH98 Data'!$AH$3:$AH$3508="TRUE", ROW('VEH98 Data'!K$3:K$3508)-ROW('VEH98 Data'!K$3)+1),ROWS('VEH98 Data'!K$3:'VEH98 Data'!K44))),"")</f>
        <v>FWD</v>
      </c>
      <c r="O54" s="654" t="str">
        <f t="array" aca="1" ref="O54" ca="1">IFERROR(INDEX('VEH98 Data'!R$3:R$3508, SMALL(IF('VEH98 Data'!$AH$3:$AH$3508="TRUE", ROW('VEH98 Data'!R$3:R$3508)-ROW('VEH98 Data'!R$3)+1),ROWS('VEH98 Data'!R$3:'VEH98 Data'!R44))),"")</f>
        <v>1.5L</v>
      </c>
      <c r="P54" s="654">
        <f t="array" aca="1" ref="P54" ca="1">IFERROR(INDEX('VEH98 Data'!Y$3:Y$3508, SMALL(IF('VEH98 Data'!$AH$3:$AH$3508="TRUE", ROW('VEH98 Data'!Y$3:Y$3508)-ROW('VEH98 Data'!Y$3)+1),ROWS('VEH98 Data'!Y$3:'VEH98 Data'!Y44))),"")</f>
        <v>26</v>
      </c>
    </row>
    <row r="55" spans="2:16">
      <c r="B55" s="58">
        <f t="array" aca="1" ref="B55" ca="1">IFERROR(INDEX('VEH98 Data'!H$3:H$3508, SMALL(IF('VEH98 Data'!$AG$3:$AG$3508="TRUE", ROW('VEH98 Data'!H$3:H$3508)-ROW('VEH98 Data'!H$3)+1),ROWS('VEH98 Data'!H$3:'VEH98 Data'!H43))),"")</f>
        <v>2019</v>
      </c>
      <c r="C55" s="58" t="str">
        <f t="array" aca="1" ref="C55" ca="1">IFERROR(INDEX('VEH98 Data'!G$3:G$3508, SMALL(IF('VEH98 Data'!$AG$3:$AG$3508="TRUE", ROW('VEH98 Data'!G$3:G$3508)-ROW('VEH98 Data'!G$3)+1),ROWS('VEH98 Data'!G$3:'VEH98 Data'!G43))),"")</f>
        <v>Toyota</v>
      </c>
      <c r="D55" s="58" t="str">
        <f t="array" aca="1" ref="D55" ca="1">IFERROR(INDEX('VEH98 Data'!I$3:I$3508, SMALL(IF('VEH98 Data'!$AG$3:$AG$3508="TRUE", ROW('VEH98 Data'!I$3:I$3508)-ROW('VEH98 Data'!I$3)+1),ROWS('VEH98 Data'!I$3:'VEH98 Data'!I43))),"")</f>
        <v>Camry</v>
      </c>
      <c r="E55" s="58" t="str">
        <f t="array" aca="1" ref="E55" ca="1">IFERROR(INDEX('VEH98 Data'!J$3:J$3508, SMALL(IF('VEH98 Data'!$AG$3:$AG$3508="TRUE", ROW('VEH98 Data'!J$3:J$3508)-ROW('VEH98 Data'!J$3)+1),ROWS('VEH98 Data'!J$3:'VEH98 Data'!J43))),"")</f>
        <v>LE</v>
      </c>
      <c r="F55" s="58" t="str">
        <f t="array" aca="1" ref="F55" ca="1">IFERROR(INDEX('VEH98 Data'!K$3:K$3508, SMALL(IF('VEH98 Data'!$AG$3:$AG$3508="TRUE", ROW('VEH98 Data'!K$3:K$3508)-ROW('VEH98 Data'!K$3)+1),ROWS('VEH98 Data'!K$3:'VEH98 Data'!K43))),"")</f>
        <v>FWD</v>
      </c>
      <c r="G55" s="654" t="str">
        <f t="array" aca="1" ref="G55" ca="1">IFERROR(INDEX('VEH98 Data'!R$3:R$3508, SMALL(IF('VEH98 Data'!$AG$3:$AG$3508="TRUE", ROW('VEH98 Data'!R$3:R$3508)-ROW('VEH98 Data'!R$3)+1),ROWS('VEH98 Data'!R$3:'VEH98 Data'!R43))),"")</f>
        <v>2.5L</v>
      </c>
      <c r="H55" s="654">
        <f t="array" aca="1" ref="H55" ca="1">IFERROR(INDEX('VEH98 Data'!Y$3:Y$3508, SMALL(IF('VEH98 Data'!$AG$3:$AG$3508="TRUE", ROW('VEH98 Data'!Y$3:Y$3508)-ROW('VEH98 Data'!Y$3)+1),ROWS('VEH98 Data'!Y$3:'VEH98 Data'!Y43))),"")</f>
        <v>32</v>
      </c>
      <c r="J55" s="652">
        <f t="array" aca="1" ref="J55" ca="1">IFERROR(INDEX('VEH98 Data'!H$3:H$3508, SMALL(IF('VEH98 Data'!$AH$3:$AH$3508="TRUE", ROW('VEH98 Data'!H$3:H$3508)-ROW('VEH98 Data'!H$3)+1),ROWS('VEH98 Data'!H$3:'VEH98 Data'!H45))),"")</f>
        <v>2019</v>
      </c>
      <c r="K55" s="652" t="str">
        <f t="array" aca="1" ref="K55" ca="1">IFERROR(INDEX('VEH98 Data'!G$3:G$3508, SMALL(IF('VEH98 Data'!$AH$3:$AH$3508="TRUE", ROW('VEH98 Data'!G$3:G$3508)-ROW('VEH98 Data'!G$3)+1),ROWS('VEH98 Data'!G$3:'VEH98 Data'!G45))),"")</f>
        <v>Ford</v>
      </c>
      <c r="L55" s="652" t="str">
        <f t="array" aca="1" ref="L55" ca="1">IFERROR(INDEX('VEH98 Data'!I$3:I$3508, SMALL(IF('VEH98 Data'!$AH$3:$AH$3508="TRUE", ROW('VEH98 Data'!I$3:I$3508)-ROW('VEH98 Data'!I$3)+1),ROWS('VEH98 Data'!I$3:'VEH98 Data'!I45))),"")</f>
        <v>Escape</v>
      </c>
      <c r="M55" s="652" t="str">
        <f t="array" aca="1" ref="M55" ca="1">IFERROR(INDEX('VEH98 Data'!J$3:J$3508, SMALL(IF('VEH98 Data'!$AH$3:$AH$3508="TRUE", ROW('VEH98 Data'!J$3:J$3508)-ROW('VEH98 Data'!J$3)+1),ROWS('VEH98 Data'!J$3:'VEH98 Data'!J45))),"")</f>
        <v>SEL</v>
      </c>
      <c r="N55" s="652" t="str">
        <f t="array" aca="1" ref="N55" ca="1">IFERROR(INDEX('VEH98 Data'!K$3:K$3508, SMALL(IF('VEH98 Data'!$AH$3:$AH$3508="TRUE", ROW('VEH98 Data'!K$3:K$3508)-ROW('VEH98 Data'!K$3)+1),ROWS('VEH98 Data'!K$3:'VEH98 Data'!K45))),"")</f>
        <v>4WD</v>
      </c>
      <c r="O55" s="653" t="str">
        <f t="array" aca="1" ref="O55" ca="1">IFERROR(INDEX('VEH98 Data'!R$3:R$3508, SMALL(IF('VEH98 Data'!$AH$3:$AH$3508="TRUE", ROW('VEH98 Data'!R$3:R$3508)-ROW('VEH98 Data'!R$3)+1),ROWS('VEH98 Data'!R$3:'VEH98 Data'!R45))),"")</f>
        <v>1.5L</v>
      </c>
      <c r="P55" s="653">
        <f t="array" aca="1" ref="P55" ca="1">IFERROR(INDEX('VEH98 Data'!Y$3:Y$3508, SMALL(IF('VEH98 Data'!$AH$3:$AH$3508="TRUE", ROW('VEH98 Data'!Y$3:Y$3508)-ROW('VEH98 Data'!Y$3)+1),ROWS('VEH98 Data'!Y$3:'VEH98 Data'!Y45))),"")</f>
        <v>24</v>
      </c>
    </row>
    <row r="56" spans="2:16">
      <c r="B56" s="652">
        <f t="array" aca="1" ref="B56" ca="1">IFERROR(INDEX('VEH98 Data'!H$3:H$3508, SMALL(IF('VEH98 Data'!$AG$3:$AG$3508="TRUE", ROW('VEH98 Data'!H$3:H$3508)-ROW('VEH98 Data'!H$3)+1),ROWS('VEH98 Data'!H$3:'VEH98 Data'!H44))),"")</f>
        <v>2019</v>
      </c>
      <c r="C56" s="652" t="str">
        <f t="array" aca="1" ref="C56" ca="1">IFERROR(INDEX('VEH98 Data'!G$3:G$3508, SMALL(IF('VEH98 Data'!$AG$3:$AG$3508="TRUE", ROW('VEH98 Data'!G$3:G$3508)-ROW('VEH98 Data'!G$3)+1),ROWS('VEH98 Data'!G$3:'VEH98 Data'!G44))),"")</f>
        <v>Toyota</v>
      </c>
      <c r="D56" s="652" t="str">
        <f t="array" aca="1" ref="D56" ca="1">IFERROR(INDEX('VEH98 Data'!I$3:I$3508, SMALL(IF('VEH98 Data'!$AG$3:$AG$3508="TRUE", ROW('VEH98 Data'!I$3:I$3508)-ROW('VEH98 Data'!I$3)+1),ROWS('VEH98 Data'!I$3:'VEH98 Data'!I44))),"")</f>
        <v>Corolla</v>
      </c>
      <c r="E56" s="652" t="str">
        <f t="array" aca="1" ref="E56" ca="1">IFERROR(INDEX('VEH98 Data'!J$3:J$3508, SMALL(IF('VEH98 Data'!$AG$3:$AG$3508="TRUE", ROW('VEH98 Data'!J$3:J$3508)-ROW('VEH98 Data'!J$3)+1),ROWS('VEH98 Data'!J$3:'VEH98 Data'!J44))),"")</f>
        <v>L</v>
      </c>
      <c r="F56" s="652" t="str">
        <f t="array" aca="1" ref="F56" ca="1">IFERROR(INDEX('VEH98 Data'!K$3:K$3508, SMALL(IF('VEH98 Data'!$AG$3:$AG$3508="TRUE", ROW('VEH98 Data'!K$3:K$3508)-ROW('VEH98 Data'!K$3)+1),ROWS('VEH98 Data'!K$3:'VEH98 Data'!K44))),"")</f>
        <v>FWD</v>
      </c>
      <c r="G56" s="653" t="str">
        <f t="array" aca="1" ref="G56" ca="1">IFERROR(INDEX('VEH98 Data'!R$3:R$3508, SMALL(IF('VEH98 Data'!$AG$3:$AG$3508="TRUE", ROW('VEH98 Data'!R$3:R$3508)-ROW('VEH98 Data'!R$3)+1),ROWS('VEH98 Data'!R$3:'VEH98 Data'!R44))),"")</f>
        <v>1.8L</v>
      </c>
      <c r="H56" s="653">
        <f t="array" aca="1" ref="H56" ca="1">IFERROR(INDEX('VEH98 Data'!Y$3:Y$3508, SMALL(IF('VEH98 Data'!$AG$3:$AG$3508="TRUE", ROW('VEH98 Data'!Y$3:Y$3508)-ROW('VEH98 Data'!Y$3)+1),ROWS('VEH98 Data'!Y$3:'VEH98 Data'!Y44))),"")</f>
        <v>32</v>
      </c>
      <c r="J56" s="58">
        <f t="array" aca="1" ref="J56" ca="1">IFERROR(INDEX('VEH98 Data'!H$3:H$3508, SMALL(IF('VEH98 Data'!$AH$3:$AH$3508="TRUE", ROW('VEH98 Data'!H$3:H$3508)-ROW('VEH98 Data'!H$3)+1),ROWS('VEH98 Data'!H$3:'VEH98 Data'!H46))),"")</f>
        <v>2019</v>
      </c>
      <c r="K56" s="58" t="str">
        <f t="array" aca="1" ref="K56" ca="1">IFERROR(INDEX('VEH98 Data'!G$3:G$3508, SMALL(IF('VEH98 Data'!$AH$3:$AH$3508="TRUE", ROW('VEH98 Data'!G$3:G$3508)-ROW('VEH98 Data'!G$3)+1),ROWS('VEH98 Data'!G$3:'VEH98 Data'!G46))),"")</f>
        <v>Ford</v>
      </c>
      <c r="L56" s="58" t="str">
        <f t="array" aca="1" ref="L56" ca="1">IFERROR(INDEX('VEH98 Data'!I$3:I$3508, SMALL(IF('VEH98 Data'!$AH$3:$AH$3508="TRUE", ROW('VEH98 Data'!I$3:I$3508)-ROW('VEH98 Data'!I$3)+1),ROWS('VEH98 Data'!I$3:'VEH98 Data'!I46))),"")</f>
        <v>Escape</v>
      </c>
      <c r="M56" s="58" t="str">
        <f t="array" aca="1" ref="M56" ca="1">IFERROR(INDEX('VEH98 Data'!J$3:J$3508, SMALL(IF('VEH98 Data'!$AH$3:$AH$3508="TRUE", ROW('VEH98 Data'!J$3:J$3508)-ROW('VEH98 Data'!J$3)+1),ROWS('VEH98 Data'!J$3:'VEH98 Data'!J46))),"")</f>
        <v>SEL</v>
      </c>
      <c r="N56" s="58" t="str">
        <f t="array" aca="1" ref="N56" ca="1">IFERROR(INDEX('VEH98 Data'!K$3:K$3508, SMALL(IF('VEH98 Data'!$AH$3:$AH$3508="TRUE", ROW('VEH98 Data'!K$3:K$3508)-ROW('VEH98 Data'!K$3)+1),ROWS('VEH98 Data'!K$3:'VEH98 Data'!K46))),"")</f>
        <v>4WD</v>
      </c>
      <c r="O56" s="654" t="str">
        <f t="array" aca="1" ref="O56" ca="1">IFERROR(INDEX('VEH98 Data'!R$3:R$3508, SMALL(IF('VEH98 Data'!$AH$3:$AH$3508="TRUE", ROW('VEH98 Data'!R$3:R$3508)-ROW('VEH98 Data'!R$3)+1),ROWS('VEH98 Data'!R$3:'VEH98 Data'!R46))),"")</f>
        <v>2.0L</v>
      </c>
      <c r="P56" s="654">
        <f t="array" aca="1" ref="P56" ca="1">IFERROR(INDEX('VEH98 Data'!Y$3:Y$3508, SMALL(IF('VEH98 Data'!$AH$3:$AH$3508="TRUE", ROW('VEH98 Data'!Y$3:Y$3508)-ROW('VEH98 Data'!Y$3)+1),ROWS('VEH98 Data'!Y$3:'VEH98 Data'!Y46))),"")</f>
        <v>23</v>
      </c>
    </row>
    <row r="57" spans="2:16">
      <c r="B57" s="58">
        <f t="array" aca="1" ref="B57" ca="1">IFERROR(INDEX('VEH98 Data'!H$3:H$3508, SMALL(IF('VEH98 Data'!$AG$3:$AG$3508="TRUE", ROW('VEH98 Data'!H$3:H$3508)-ROW('VEH98 Data'!H$3)+1),ROWS('VEH98 Data'!H$3:'VEH98 Data'!H45))),"")</f>
        <v>2019</v>
      </c>
      <c r="C57" s="58" t="str">
        <f t="array" aca="1" ref="C57" ca="1">IFERROR(INDEX('VEH98 Data'!G$3:G$3508, SMALL(IF('VEH98 Data'!$AG$3:$AG$3508="TRUE", ROW('VEH98 Data'!G$3:G$3508)-ROW('VEH98 Data'!G$3)+1),ROWS('VEH98 Data'!G$3:'VEH98 Data'!G45))),"")</f>
        <v>Toyota</v>
      </c>
      <c r="D57" s="58" t="str">
        <f t="array" aca="1" ref="D57" ca="1">IFERROR(INDEX('VEH98 Data'!I$3:I$3508, SMALL(IF('VEH98 Data'!$AG$3:$AG$3508="TRUE", ROW('VEH98 Data'!I$3:I$3508)-ROW('VEH98 Data'!I$3)+1),ROWS('VEH98 Data'!I$3:'VEH98 Data'!I45))),"")</f>
        <v>Corolla</v>
      </c>
      <c r="E57" s="58" t="str">
        <f t="array" aca="1" ref="E57" ca="1">IFERROR(INDEX('VEH98 Data'!J$3:J$3508, SMALL(IF('VEH98 Data'!$AG$3:$AG$3508="TRUE", ROW('VEH98 Data'!J$3:J$3508)-ROW('VEH98 Data'!J$3)+1),ROWS('VEH98 Data'!J$3:'VEH98 Data'!J45))),"")</f>
        <v>LE</v>
      </c>
      <c r="F57" s="58" t="str">
        <f t="array" aca="1" ref="F57" ca="1">IFERROR(INDEX('VEH98 Data'!K$3:K$3508, SMALL(IF('VEH98 Data'!$AG$3:$AG$3508="TRUE", ROW('VEH98 Data'!K$3:K$3508)-ROW('VEH98 Data'!K$3)+1),ROWS('VEH98 Data'!K$3:'VEH98 Data'!K45))),"")</f>
        <v>FWD</v>
      </c>
      <c r="G57" s="654" t="str">
        <f t="array" aca="1" ref="G57" ca="1">IFERROR(INDEX('VEH98 Data'!R$3:R$3508, SMALL(IF('VEH98 Data'!$AG$3:$AG$3508="TRUE", ROW('VEH98 Data'!R$3:R$3508)-ROW('VEH98 Data'!R$3)+1),ROWS('VEH98 Data'!R$3:'VEH98 Data'!R45))),"")</f>
        <v>1.8L</v>
      </c>
      <c r="H57" s="654">
        <f t="array" aca="1" ref="H57" ca="1">IFERROR(INDEX('VEH98 Data'!Y$3:Y$3508, SMALL(IF('VEH98 Data'!$AG$3:$AG$3508="TRUE", ROW('VEH98 Data'!Y$3:Y$3508)-ROW('VEH98 Data'!Y$3)+1),ROWS('VEH98 Data'!Y$3:'VEH98 Data'!Y45))),"")</f>
        <v>32</v>
      </c>
      <c r="J57" s="652">
        <f t="array" aca="1" ref="J57" ca="1">IFERROR(INDEX('VEH98 Data'!H$3:H$3508, SMALL(IF('VEH98 Data'!$AH$3:$AH$3508="TRUE", ROW('VEH98 Data'!H$3:H$3508)-ROW('VEH98 Data'!H$3)+1),ROWS('VEH98 Data'!H$3:'VEH98 Data'!H47))),"")</f>
        <v>2019</v>
      </c>
      <c r="K57" s="652" t="str">
        <f t="array" aca="1" ref="K57" ca="1">IFERROR(INDEX('VEH98 Data'!G$3:G$3508, SMALL(IF('VEH98 Data'!$AH$3:$AH$3508="TRUE", ROW('VEH98 Data'!G$3:G$3508)-ROW('VEH98 Data'!G$3)+1),ROWS('VEH98 Data'!G$3:'VEH98 Data'!G47))),"")</f>
        <v>Ford</v>
      </c>
      <c r="L57" s="652" t="str">
        <f t="array" aca="1" ref="L57" ca="1">IFERROR(INDEX('VEH98 Data'!I$3:I$3508, SMALL(IF('VEH98 Data'!$AH$3:$AH$3508="TRUE", ROW('VEH98 Data'!I$3:I$3508)-ROW('VEH98 Data'!I$3)+1),ROWS('VEH98 Data'!I$3:'VEH98 Data'!I47))),"")</f>
        <v>Escape</v>
      </c>
      <c r="M57" s="652" t="str">
        <f t="array" aca="1" ref="M57" ca="1">IFERROR(INDEX('VEH98 Data'!J$3:J$3508, SMALL(IF('VEH98 Data'!$AH$3:$AH$3508="TRUE", ROW('VEH98 Data'!J$3:J$3508)-ROW('VEH98 Data'!J$3)+1),ROWS('VEH98 Data'!J$3:'VEH98 Data'!J47))),"")</f>
        <v>SEL</v>
      </c>
      <c r="N57" s="652" t="str">
        <f t="array" aca="1" ref="N57" ca="1">IFERROR(INDEX('VEH98 Data'!K$3:K$3508, SMALL(IF('VEH98 Data'!$AH$3:$AH$3508="TRUE", ROW('VEH98 Data'!K$3:K$3508)-ROW('VEH98 Data'!K$3)+1),ROWS('VEH98 Data'!K$3:'VEH98 Data'!K47))),"")</f>
        <v>FWD</v>
      </c>
      <c r="O57" s="653" t="str">
        <f t="array" aca="1" ref="O57" ca="1">IFERROR(INDEX('VEH98 Data'!R$3:R$3508, SMALL(IF('VEH98 Data'!$AH$3:$AH$3508="TRUE", ROW('VEH98 Data'!R$3:R$3508)-ROW('VEH98 Data'!R$3)+1),ROWS('VEH98 Data'!R$3:'VEH98 Data'!R47))),"")</f>
        <v>1.5L</v>
      </c>
      <c r="P57" s="653">
        <f t="array" aca="1" ref="P57" ca="1">IFERROR(INDEX('VEH98 Data'!Y$3:Y$3508, SMALL(IF('VEH98 Data'!$AH$3:$AH$3508="TRUE", ROW('VEH98 Data'!Y$3:Y$3508)-ROW('VEH98 Data'!Y$3)+1),ROWS('VEH98 Data'!Y$3:'VEH98 Data'!Y47))),"")</f>
        <v>26</v>
      </c>
    </row>
    <row r="58" spans="2:16">
      <c r="B58" s="652">
        <f t="array" aca="1" ref="B58" ca="1">IFERROR(INDEX('VEH98 Data'!H$3:H$3508, SMALL(IF('VEH98 Data'!$AG$3:$AG$3508="TRUE", ROW('VEH98 Data'!H$3:H$3508)-ROW('VEH98 Data'!H$3)+1),ROWS('VEH98 Data'!H$3:'VEH98 Data'!H46))),"")</f>
        <v>2019</v>
      </c>
      <c r="C58" s="652" t="str">
        <f t="array" aca="1" ref="C58" ca="1">IFERROR(INDEX('VEH98 Data'!G$3:G$3508, SMALL(IF('VEH98 Data'!$AG$3:$AG$3508="TRUE", ROW('VEH98 Data'!G$3:G$3508)-ROW('VEH98 Data'!G$3)+1),ROWS('VEH98 Data'!G$3:'VEH98 Data'!G46))),"")</f>
        <v>Toyota</v>
      </c>
      <c r="D58" s="652" t="str">
        <f t="array" aca="1" ref="D58" ca="1">IFERROR(INDEX('VEH98 Data'!I$3:I$3508, SMALL(IF('VEH98 Data'!$AG$3:$AG$3508="TRUE", ROW('VEH98 Data'!I$3:I$3508)-ROW('VEH98 Data'!I$3)+1),ROWS('VEH98 Data'!I$3:'VEH98 Data'!I46))),"")</f>
        <v>Corolla</v>
      </c>
      <c r="E58" s="652" t="str">
        <f t="array" aca="1" ref="E58" ca="1">IFERROR(INDEX('VEH98 Data'!J$3:J$3508, SMALL(IF('VEH98 Data'!$AG$3:$AG$3508="TRUE", ROW('VEH98 Data'!J$3:J$3508)-ROW('VEH98 Data'!J$3)+1),ROWS('VEH98 Data'!J$3:'VEH98 Data'!J46))),"")</f>
        <v>LE Eco</v>
      </c>
      <c r="F58" s="652" t="str">
        <f t="array" aca="1" ref="F58" ca="1">IFERROR(INDEX('VEH98 Data'!K$3:K$3508, SMALL(IF('VEH98 Data'!$AG$3:$AG$3508="TRUE", ROW('VEH98 Data'!K$3:K$3508)-ROW('VEH98 Data'!K$3)+1),ROWS('VEH98 Data'!K$3:'VEH98 Data'!K46))),"")</f>
        <v>FWD</v>
      </c>
      <c r="G58" s="653" t="str">
        <f t="array" aca="1" ref="G58" ca="1">IFERROR(INDEX('VEH98 Data'!R$3:R$3508, SMALL(IF('VEH98 Data'!$AG$3:$AG$3508="TRUE", ROW('VEH98 Data'!R$3:R$3508)-ROW('VEH98 Data'!R$3)+1),ROWS('VEH98 Data'!R$3:'VEH98 Data'!R46))),"")</f>
        <v>1.8L</v>
      </c>
      <c r="H58" s="653">
        <f t="array" aca="1" ref="H58" ca="1">IFERROR(INDEX('VEH98 Data'!Y$3:Y$3508, SMALL(IF('VEH98 Data'!$AG$3:$AG$3508="TRUE", ROW('VEH98 Data'!Y$3:Y$3508)-ROW('VEH98 Data'!Y$3)+1),ROWS('VEH98 Data'!Y$3:'VEH98 Data'!Y46))),"")</f>
        <v>34</v>
      </c>
      <c r="J58" s="58">
        <f t="array" aca="1" ref="J58" ca="1">IFERROR(INDEX('VEH98 Data'!H$3:H$3508, SMALL(IF('VEH98 Data'!$AH$3:$AH$3508="TRUE", ROW('VEH98 Data'!H$3:H$3508)-ROW('VEH98 Data'!H$3)+1),ROWS('VEH98 Data'!H$3:'VEH98 Data'!H48))),"")</f>
        <v>2019</v>
      </c>
      <c r="K58" s="58" t="str">
        <f t="array" aca="1" ref="K58" ca="1">IFERROR(INDEX('VEH98 Data'!G$3:G$3508, SMALL(IF('VEH98 Data'!$AH$3:$AH$3508="TRUE", ROW('VEH98 Data'!G$3:G$3508)-ROW('VEH98 Data'!G$3)+1),ROWS('VEH98 Data'!G$3:'VEH98 Data'!G48))),"")</f>
        <v>Ford</v>
      </c>
      <c r="L58" s="58" t="str">
        <f t="array" aca="1" ref="L58" ca="1">IFERROR(INDEX('VEH98 Data'!I$3:I$3508, SMALL(IF('VEH98 Data'!$AH$3:$AH$3508="TRUE", ROW('VEH98 Data'!I$3:I$3508)-ROW('VEH98 Data'!I$3)+1),ROWS('VEH98 Data'!I$3:'VEH98 Data'!I48))),"")</f>
        <v>Escape</v>
      </c>
      <c r="M58" s="58" t="str">
        <f t="array" aca="1" ref="M58" ca="1">IFERROR(INDEX('VEH98 Data'!J$3:J$3508, SMALL(IF('VEH98 Data'!$AH$3:$AH$3508="TRUE", ROW('VEH98 Data'!J$3:J$3508)-ROW('VEH98 Data'!J$3)+1),ROWS('VEH98 Data'!J$3:'VEH98 Data'!J48))),"")</f>
        <v>Titanium</v>
      </c>
      <c r="N58" s="58" t="str">
        <f t="array" aca="1" ref="N58" ca="1">IFERROR(INDEX('VEH98 Data'!K$3:K$3508, SMALL(IF('VEH98 Data'!$AH$3:$AH$3508="TRUE", ROW('VEH98 Data'!K$3:K$3508)-ROW('VEH98 Data'!K$3)+1),ROWS('VEH98 Data'!K$3:'VEH98 Data'!K48))),"")</f>
        <v>4WD</v>
      </c>
      <c r="O58" s="654" t="str">
        <f t="array" aca="1" ref="O58" ca="1">IFERROR(INDEX('VEH98 Data'!R$3:R$3508, SMALL(IF('VEH98 Data'!$AH$3:$AH$3508="TRUE", ROW('VEH98 Data'!R$3:R$3508)-ROW('VEH98 Data'!R$3)+1),ROWS('VEH98 Data'!R$3:'VEH98 Data'!R48))),"")</f>
        <v>2.0L EcoBoost</v>
      </c>
      <c r="P58" s="654">
        <f t="array" aca="1" ref="P58" ca="1">IFERROR(INDEX('VEH98 Data'!Y$3:Y$3508, SMALL(IF('VEH98 Data'!$AH$3:$AH$3508="TRUE", ROW('VEH98 Data'!Y$3:Y$3508)-ROW('VEH98 Data'!Y$3)+1),ROWS('VEH98 Data'!Y$3:'VEH98 Data'!Y48))),"")</f>
        <v>23</v>
      </c>
    </row>
    <row r="59" spans="2:16">
      <c r="B59" s="58">
        <f t="array" aca="1" ref="B59" ca="1">IFERROR(INDEX('VEH98 Data'!H$3:H$3508, SMALL(IF('VEH98 Data'!$AG$3:$AG$3508="TRUE", ROW('VEH98 Data'!H$3:H$3508)-ROW('VEH98 Data'!H$3)+1),ROWS('VEH98 Data'!H$3:'VEH98 Data'!H47))),"")</f>
        <v>2019</v>
      </c>
      <c r="C59" s="58" t="str">
        <f t="array" aca="1" ref="C59" ca="1">IFERROR(INDEX('VEH98 Data'!G$3:G$3508, SMALL(IF('VEH98 Data'!$AG$3:$AG$3508="TRUE", ROW('VEH98 Data'!G$3:G$3508)-ROW('VEH98 Data'!G$3)+1),ROWS('VEH98 Data'!G$3:'VEH98 Data'!G47))),"")</f>
        <v>Toyota</v>
      </c>
      <c r="D59" s="58" t="str">
        <f t="array" aca="1" ref="D59" ca="1">IFERROR(INDEX('VEH98 Data'!I$3:I$3508, SMALL(IF('VEH98 Data'!$AG$3:$AG$3508="TRUE", ROW('VEH98 Data'!I$3:I$3508)-ROW('VEH98 Data'!I$3)+1),ROWS('VEH98 Data'!I$3:'VEH98 Data'!I47))),"")</f>
        <v>Prius</v>
      </c>
      <c r="E59" s="58" t="str">
        <f t="array" aca="1" ref="E59" ca="1">IFERROR(INDEX('VEH98 Data'!J$3:J$3508, SMALL(IF('VEH98 Data'!$AG$3:$AG$3508="TRUE", ROW('VEH98 Data'!J$3:J$3508)-ROW('VEH98 Data'!J$3)+1),ROWS('VEH98 Data'!J$3:'VEH98 Data'!J47))),"")</f>
        <v>One</v>
      </c>
      <c r="F59" s="58" t="str">
        <f t="array" aca="1" ref="F59" ca="1">IFERROR(INDEX('VEH98 Data'!K$3:K$3508, SMALL(IF('VEH98 Data'!$AG$3:$AG$3508="TRUE", ROW('VEH98 Data'!K$3:K$3508)-ROW('VEH98 Data'!K$3)+1),ROWS('VEH98 Data'!K$3:'VEH98 Data'!K47))),"")</f>
        <v>FWD</v>
      </c>
      <c r="G59" s="654" t="str">
        <f t="array" aca="1" ref="G59" ca="1">IFERROR(INDEX('VEH98 Data'!R$3:R$3508, SMALL(IF('VEH98 Data'!$AG$3:$AG$3508="TRUE", ROW('VEH98 Data'!R$3:R$3508)-ROW('VEH98 Data'!R$3)+1),ROWS('VEH98 Data'!R$3:'VEH98 Data'!R47))),"")</f>
        <v>1.8L</v>
      </c>
      <c r="H59" s="654">
        <f t="array" aca="1" ref="H59" ca="1">IFERROR(INDEX('VEH98 Data'!Y$3:Y$3508, SMALL(IF('VEH98 Data'!$AG$3:$AG$3508="TRUE", ROW('VEH98 Data'!Y$3:Y$3508)-ROW('VEH98 Data'!Y$3)+1),ROWS('VEH98 Data'!Y$3:'VEH98 Data'!Y47))),"")</f>
        <v>52</v>
      </c>
      <c r="J59" s="652">
        <f t="array" aca="1" ref="J59" ca="1">IFERROR(INDEX('VEH98 Data'!H$3:H$3508, SMALL(IF('VEH98 Data'!$AH$3:$AH$3508="TRUE", ROW('VEH98 Data'!H$3:H$3508)-ROW('VEH98 Data'!H$3)+1),ROWS('VEH98 Data'!H$3:'VEH98 Data'!H49))),"")</f>
        <v>2019</v>
      </c>
      <c r="K59" s="652" t="str">
        <f t="array" aca="1" ref="K59" ca="1">IFERROR(INDEX('VEH98 Data'!G$3:G$3508, SMALL(IF('VEH98 Data'!$AH$3:$AH$3508="TRUE", ROW('VEH98 Data'!G$3:G$3508)-ROW('VEH98 Data'!G$3)+1),ROWS('VEH98 Data'!G$3:'VEH98 Data'!G49))),"")</f>
        <v>Ford</v>
      </c>
      <c r="L59" s="652" t="str">
        <f t="array" aca="1" ref="L59" ca="1">IFERROR(INDEX('VEH98 Data'!I$3:I$3508, SMALL(IF('VEH98 Data'!$AH$3:$AH$3508="TRUE", ROW('VEH98 Data'!I$3:I$3508)-ROW('VEH98 Data'!I$3)+1),ROWS('VEH98 Data'!I$3:'VEH98 Data'!I49))),"")</f>
        <v>Escape</v>
      </c>
      <c r="M59" s="652" t="str">
        <f t="array" aca="1" ref="M59" ca="1">IFERROR(INDEX('VEH98 Data'!J$3:J$3508, SMALL(IF('VEH98 Data'!$AH$3:$AH$3508="TRUE", ROW('VEH98 Data'!J$3:J$3508)-ROW('VEH98 Data'!J$3)+1),ROWS('VEH98 Data'!J$3:'VEH98 Data'!J49))),"")</f>
        <v>Titanium</v>
      </c>
      <c r="N59" s="652" t="str">
        <f t="array" aca="1" ref="N59" ca="1">IFERROR(INDEX('VEH98 Data'!K$3:K$3508, SMALL(IF('VEH98 Data'!$AH$3:$AH$3508="TRUE", ROW('VEH98 Data'!K$3:K$3508)-ROW('VEH98 Data'!K$3)+1),ROWS('VEH98 Data'!K$3:'VEH98 Data'!K49))),"")</f>
        <v>4WD</v>
      </c>
      <c r="O59" s="653" t="str">
        <f t="array" aca="1" ref="O59" ca="1">IFERROR(INDEX('VEH98 Data'!R$3:R$3508, SMALL(IF('VEH98 Data'!$AH$3:$AH$3508="TRUE", ROW('VEH98 Data'!R$3:R$3508)-ROW('VEH98 Data'!R$3)+1),ROWS('VEH98 Data'!R$3:'VEH98 Data'!R49))),"")</f>
        <v>2.5L</v>
      </c>
      <c r="P59" s="653">
        <f t="array" aca="1" ref="P59" ca="1">IFERROR(INDEX('VEH98 Data'!Y$3:Y$3508, SMALL(IF('VEH98 Data'!$AH$3:$AH$3508="TRUE", ROW('VEH98 Data'!Y$3:Y$3508)-ROW('VEH98 Data'!Y$3)+1),ROWS('VEH98 Data'!Y$3:'VEH98 Data'!Y49))),"")</f>
        <v>24</v>
      </c>
    </row>
    <row r="60" spans="2:16">
      <c r="B60" s="652">
        <f t="array" aca="1" ref="B60" ca="1">IFERROR(INDEX('VEH98 Data'!H$3:H$3508, SMALL(IF('VEH98 Data'!$AG$3:$AG$3508="TRUE", ROW('VEH98 Data'!H$3:H$3508)-ROW('VEH98 Data'!H$3)+1),ROWS('VEH98 Data'!H$3:'VEH98 Data'!H48))),"")</f>
        <v>2019</v>
      </c>
      <c r="C60" s="652" t="str">
        <f t="array" aca="1" ref="C60" ca="1">IFERROR(INDEX('VEH98 Data'!G$3:G$3508, SMALL(IF('VEH98 Data'!$AG$3:$AG$3508="TRUE", ROW('VEH98 Data'!G$3:G$3508)-ROW('VEH98 Data'!G$3)+1),ROWS('VEH98 Data'!G$3:'VEH98 Data'!G48))),"")</f>
        <v>Toyota</v>
      </c>
      <c r="D60" s="652" t="str">
        <f t="array" aca="1" ref="D60" ca="1">IFERROR(INDEX('VEH98 Data'!I$3:I$3508, SMALL(IF('VEH98 Data'!$AG$3:$AG$3508="TRUE", ROW('VEH98 Data'!I$3:I$3508)-ROW('VEH98 Data'!I$3)+1),ROWS('VEH98 Data'!I$3:'VEH98 Data'!I48))),"")</f>
        <v>Prius</v>
      </c>
      <c r="E60" s="652" t="str">
        <f t="array" aca="1" ref="E60" ca="1">IFERROR(INDEX('VEH98 Data'!J$3:J$3508, SMALL(IF('VEH98 Data'!$AG$3:$AG$3508="TRUE", ROW('VEH98 Data'!J$3:J$3508)-ROW('VEH98 Data'!J$3)+1),ROWS('VEH98 Data'!J$3:'VEH98 Data'!J48))),"")</f>
        <v>Two</v>
      </c>
      <c r="F60" s="652" t="str">
        <f t="array" aca="1" ref="F60" ca="1">IFERROR(INDEX('VEH98 Data'!K$3:K$3508, SMALL(IF('VEH98 Data'!$AG$3:$AG$3508="TRUE", ROW('VEH98 Data'!K$3:K$3508)-ROW('VEH98 Data'!K$3)+1),ROWS('VEH98 Data'!K$3:'VEH98 Data'!K48))),"")</f>
        <v>FWD</v>
      </c>
      <c r="G60" s="653" t="str">
        <f t="array" aca="1" ref="G60" ca="1">IFERROR(INDEX('VEH98 Data'!R$3:R$3508, SMALL(IF('VEH98 Data'!$AG$3:$AG$3508="TRUE", ROW('VEH98 Data'!R$3:R$3508)-ROW('VEH98 Data'!R$3)+1),ROWS('VEH98 Data'!R$3:'VEH98 Data'!R48))),"")</f>
        <v>1.8L</v>
      </c>
      <c r="H60" s="653">
        <f t="array" aca="1" ref="H60" ca="1">IFERROR(INDEX('VEH98 Data'!Y$3:Y$3508, SMALL(IF('VEH98 Data'!$AG$3:$AG$3508="TRUE", ROW('VEH98 Data'!Y$3:Y$3508)-ROW('VEH98 Data'!Y$3)+1),ROWS('VEH98 Data'!Y$3:'VEH98 Data'!Y48))),"")</f>
        <v>56</v>
      </c>
      <c r="J60" s="58">
        <f t="array" aca="1" ref="J60" ca="1">IFERROR(INDEX('VEH98 Data'!H$3:H$3508, SMALL(IF('VEH98 Data'!$AH$3:$AH$3508="TRUE", ROW('VEH98 Data'!H$3:H$3508)-ROW('VEH98 Data'!H$3)+1),ROWS('VEH98 Data'!H$3:'VEH98 Data'!H50))),"")</f>
        <v>2019</v>
      </c>
      <c r="K60" s="58" t="str">
        <f t="array" aca="1" ref="K60" ca="1">IFERROR(INDEX('VEH98 Data'!G$3:G$3508, SMALL(IF('VEH98 Data'!$AH$3:$AH$3508="TRUE", ROW('VEH98 Data'!G$3:G$3508)-ROW('VEH98 Data'!G$3)+1),ROWS('VEH98 Data'!G$3:'VEH98 Data'!G50))),"")</f>
        <v>Ford</v>
      </c>
      <c r="L60" s="58" t="str">
        <f t="array" aca="1" ref="L60" ca="1">IFERROR(INDEX('VEH98 Data'!I$3:I$3508, SMALL(IF('VEH98 Data'!$AH$3:$AH$3508="TRUE", ROW('VEH98 Data'!I$3:I$3508)-ROW('VEH98 Data'!I$3)+1),ROWS('VEH98 Data'!I$3:'VEH98 Data'!I50))),"")</f>
        <v>Escape</v>
      </c>
      <c r="M60" s="58" t="str">
        <f t="array" aca="1" ref="M60" ca="1">IFERROR(INDEX('VEH98 Data'!J$3:J$3508, SMALL(IF('VEH98 Data'!$AH$3:$AH$3508="TRUE", ROW('VEH98 Data'!J$3:J$3508)-ROW('VEH98 Data'!J$3)+1),ROWS('VEH98 Data'!J$3:'VEH98 Data'!J50))),"")</f>
        <v>Titanium</v>
      </c>
      <c r="N60" s="58" t="str">
        <f t="array" aca="1" ref="N60" ca="1">IFERROR(INDEX('VEH98 Data'!K$3:K$3508, SMALL(IF('VEH98 Data'!$AH$3:$AH$3508="TRUE", ROW('VEH98 Data'!K$3:K$3508)-ROW('VEH98 Data'!K$3)+1),ROWS('VEH98 Data'!K$3:'VEH98 Data'!K50))),"")</f>
        <v>4WD</v>
      </c>
      <c r="O60" s="654" t="str">
        <f t="array" aca="1" ref="O60" ca="1">IFERROR(INDEX('VEH98 Data'!R$3:R$3508, SMALL(IF('VEH98 Data'!$AH$3:$AH$3508="TRUE", ROW('VEH98 Data'!R$3:R$3508)-ROW('VEH98 Data'!R$3)+1),ROWS('VEH98 Data'!R$3:'VEH98 Data'!R50))),"")</f>
        <v>1.5L</v>
      </c>
      <c r="P60" s="654">
        <f t="array" aca="1" ref="P60" ca="1">IFERROR(INDEX('VEH98 Data'!Y$3:Y$3508, SMALL(IF('VEH98 Data'!$AH$3:$AH$3508="TRUE", ROW('VEH98 Data'!Y$3:Y$3508)-ROW('VEH98 Data'!Y$3)+1),ROWS('VEH98 Data'!Y$3:'VEH98 Data'!Y50))),"")</f>
        <v>24</v>
      </c>
    </row>
    <row r="61" spans="2:16">
      <c r="B61" s="58">
        <f t="array" aca="1" ref="B61" ca="1">IFERROR(INDEX('VEH98 Data'!H$3:H$3508, SMALL(IF('VEH98 Data'!$AG$3:$AG$3508="TRUE", ROW('VEH98 Data'!H$3:H$3508)-ROW('VEH98 Data'!H$3)+1),ROWS('VEH98 Data'!H$3:'VEH98 Data'!H49))),"")</f>
        <v>2019</v>
      </c>
      <c r="C61" s="58" t="str">
        <f t="array" aca="1" ref="C61" ca="1">IFERROR(INDEX('VEH98 Data'!G$3:G$3508, SMALL(IF('VEH98 Data'!$AG$3:$AG$3508="TRUE", ROW('VEH98 Data'!G$3:G$3508)-ROW('VEH98 Data'!G$3)+1),ROWS('VEH98 Data'!G$3:'VEH98 Data'!G49))),"")</f>
        <v>Toyota</v>
      </c>
      <c r="D61" s="58" t="str">
        <f t="array" aca="1" ref="D61" ca="1">IFERROR(INDEX('VEH98 Data'!I$3:I$3508, SMALL(IF('VEH98 Data'!$AG$3:$AG$3508="TRUE", ROW('VEH98 Data'!I$3:I$3508)-ROW('VEH98 Data'!I$3)+1),ROWS('VEH98 Data'!I$3:'VEH98 Data'!I49))),"")</f>
        <v>Prius AWD</v>
      </c>
      <c r="E61" s="58" t="str">
        <f t="array" aca="1" ref="E61" ca="1">IFERROR(INDEX('VEH98 Data'!J$3:J$3508, SMALL(IF('VEH98 Data'!$AG$3:$AG$3508="TRUE", ROW('VEH98 Data'!J$3:J$3508)-ROW('VEH98 Data'!J$3)+1),ROWS('VEH98 Data'!J$3:'VEH98 Data'!J49))),"")</f>
        <v>LE</v>
      </c>
      <c r="F61" s="58" t="str">
        <f t="array" aca="1" ref="F61" ca="1">IFERROR(INDEX('VEH98 Data'!K$3:K$3508, SMALL(IF('VEH98 Data'!$AG$3:$AG$3508="TRUE", ROW('VEH98 Data'!K$3:K$3508)-ROW('VEH98 Data'!K$3)+1),ROWS('VEH98 Data'!K$3:'VEH98 Data'!K49))),"")</f>
        <v>FWD</v>
      </c>
      <c r="G61" s="654" t="str">
        <f t="array" aca="1" ref="G61" ca="1">IFERROR(INDEX('VEH98 Data'!R$3:R$3508, SMALL(IF('VEH98 Data'!$AG$3:$AG$3508="TRUE", ROW('VEH98 Data'!R$3:R$3508)-ROW('VEH98 Data'!R$3)+1),ROWS('VEH98 Data'!R$3:'VEH98 Data'!R49))),"")</f>
        <v>1.5L</v>
      </c>
      <c r="H61" s="654">
        <f t="array" aca="1" ref="H61" ca="1">IFERROR(INDEX('VEH98 Data'!Y$3:Y$3508, SMALL(IF('VEH98 Data'!$AG$3:$AG$3508="TRUE", ROW('VEH98 Data'!Y$3:Y$3508)-ROW('VEH98 Data'!Y$3)+1),ROWS('VEH98 Data'!Y$3:'VEH98 Data'!Y49))),"")</f>
        <v>46</v>
      </c>
      <c r="J61" s="652">
        <f t="array" aca="1" ref="J61" ca="1">IFERROR(INDEX('VEH98 Data'!H$3:H$3508, SMALL(IF('VEH98 Data'!$AH$3:$AH$3508="TRUE", ROW('VEH98 Data'!H$3:H$3508)-ROW('VEH98 Data'!H$3)+1),ROWS('VEH98 Data'!H$3:'VEH98 Data'!H51))),"")</f>
        <v>2019</v>
      </c>
      <c r="K61" s="652" t="str">
        <f t="array" aca="1" ref="K61" ca="1">IFERROR(INDEX('VEH98 Data'!G$3:G$3508, SMALL(IF('VEH98 Data'!$AH$3:$AH$3508="TRUE", ROW('VEH98 Data'!G$3:G$3508)-ROW('VEH98 Data'!G$3)+1),ROWS('VEH98 Data'!G$3:'VEH98 Data'!G51))),"")</f>
        <v>Ford</v>
      </c>
      <c r="L61" s="652" t="str">
        <f t="array" aca="1" ref="L61" ca="1">IFERROR(INDEX('VEH98 Data'!I$3:I$3508, SMALL(IF('VEH98 Data'!$AH$3:$AH$3508="TRUE", ROW('VEH98 Data'!I$3:I$3508)-ROW('VEH98 Data'!I$3)+1),ROWS('VEH98 Data'!I$3:'VEH98 Data'!I51))),"")</f>
        <v>Escape</v>
      </c>
      <c r="M61" s="652" t="str">
        <f t="array" aca="1" ref="M61" ca="1">IFERROR(INDEX('VEH98 Data'!J$3:J$3508, SMALL(IF('VEH98 Data'!$AH$3:$AH$3508="TRUE", ROW('VEH98 Data'!J$3:J$3508)-ROW('VEH98 Data'!J$3)+1),ROWS('VEH98 Data'!J$3:'VEH98 Data'!J51))),"")</f>
        <v>Titanium</v>
      </c>
      <c r="N61" s="652" t="str">
        <f t="array" aca="1" ref="N61" ca="1">IFERROR(INDEX('VEH98 Data'!K$3:K$3508, SMALL(IF('VEH98 Data'!$AH$3:$AH$3508="TRUE", ROW('VEH98 Data'!K$3:K$3508)-ROW('VEH98 Data'!K$3)+1),ROWS('VEH98 Data'!K$3:'VEH98 Data'!K51))),"")</f>
        <v>FWD</v>
      </c>
      <c r="O61" s="653" t="str">
        <f t="array" aca="1" ref="O61" ca="1">IFERROR(INDEX('VEH98 Data'!R$3:R$3508, SMALL(IF('VEH98 Data'!$AH$3:$AH$3508="TRUE", ROW('VEH98 Data'!R$3:R$3508)-ROW('VEH98 Data'!R$3)+1),ROWS('VEH98 Data'!R$3:'VEH98 Data'!R51))),"")</f>
        <v>2.0L EcoBoost</v>
      </c>
      <c r="P61" s="653">
        <f t="array" aca="1" ref="P61" ca="1">IFERROR(INDEX('VEH98 Data'!Y$3:Y$3508, SMALL(IF('VEH98 Data'!$AH$3:$AH$3508="TRUE", ROW('VEH98 Data'!Y$3:Y$3508)-ROW('VEH98 Data'!Y$3)+1),ROWS('VEH98 Data'!Y$3:'VEH98 Data'!Y51))),"")</f>
        <v>25</v>
      </c>
    </row>
    <row r="62" spans="2:16">
      <c r="B62" s="652">
        <f t="array" aca="1" ref="B62" ca="1">IFERROR(INDEX('VEH98 Data'!H$3:H$3508, SMALL(IF('VEH98 Data'!$AG$3:$AG$3508="TRUE", ROW('VEH98 Data'!H$3:H$3508)-ROW('VEH98 Data'!H$3)+1),ROWS('VEH98 Data'!H$3:'VEH98 Data'!H50))),"")</f>
        <v>2019</v>
      </c>
      <c r="C62" s="652" t="str">
        <f t="array" aca="1" ref="C62" ca="1">IFERROR(INDEX('VEH98 Data'!G$3:G$3508, SMALL(IF('VEH98 Data'!$AG$3:$AG$3508="TRUE", ROW('VEH98 Data'!G$3:G$3508)-ROW('VEH98 Data'!G$3)+1),ROWS('VEH98 Data'!G$3:'VEH98 Data'!G50))),"")</f>
        <v>Toyota</v>
      </c>
      <c r="D62" s="652" t="str">
        <f t="array" aca="1" ref="D62" ca="1">IFERROR(INDEX('VEH98 Data'!I$3:I$3508, SMALL(IF('VEH98 Data'!$AG$3:$AG$3508="TRUE", ROW('VEH98 Data'!I$3:I$3508)-ROW('VEH98 Data'!I$3)+1),ROWS('VEH98 Data'!I$3:'VEH98 Data'!I50))),"")</f>
        <v>Prius Prime Plug-in</v>
      </c>
      <c r="E62" s="652" t="str">
        <f t="array" aca="1" ref="E62" ca="1">IFERROR(INDEX('VEH98 Data'!J$3:J$3508, SMALL(IF('VEH98 Data'!$AG$3:$AG$3508="TRUE", ROW('VEH98 Data'!J$3:J$3508)-ROW('VEH98 Data'!J$3)+1),ROWS('VEH98 Data'!J$3:'VEH98 Data'!J50))),"")</f>
        <v>Plug-in</v>
      </c>
      <c r="F62" s="652" t="str">
        <f t="array" aca="1" ref="F62" ca="1">IFERROR(INDEX('VEH98 Data'!K$3:K$3508, SMALL(IF('VEH98 Data'!$AG$3:$AG$3508="TRUE", ROW('VEH98 Data'!K$3:K$3508)-ROW('VEH98 Data'!K$3)+1),ROWS('VEH98 Data'!K$3:'VEH98 Data'!K50))),"")</f>
        <v>FWD</v>
      </c>
      <c r="G62" s="653" t="str">
        <f t="array" aca="1" ref="G62" ca="1">IFERROR(INDEX('VEH98 Data'!R$3:R$3508, SMALL(IF('VEH98 Data'!$AG$3:$AG$3508="TRUE", ROW('VEH98 Data'!R$3:R$3508)-ROW('VEH98 Data'!R$3)+1),ROWS('VEH98 Data'!R$3:'VEH98 Data'!R50))),"")</f>
        <v>1.8L</v>
      </c>
      <c r="H62" s="653">
        <f t="array" aca="1" ref="H62" ca="1">IFERROR(INDEX('VEH98 Data'!Y$3:Y$3508, SMALL(IF('VEH98 Data'!$AG$3:$AG$3508="TRUE", ROW('VEH98 Data'!Y$3:Y$3508)-ROW('VEH98 Data'!Y$3)+1),ROWS('VEH98 Data'!Y$3:'VEH98 Data'!Y50))),"")</f>
        <v>95</v>
      </c>
      <c r="J62" s="58">
        <f t="array" aca="1" ref="J62" ca="1">IFERROR(INDEX('VEH98 Data'!H$3:H$3508, SMALL(IF('VEH98 Data'!$AH$3:$AH$3508="TRUE", ROW('VEH98 Data'!H$3:H$3508)-ROW('VEH98 Data'!H$3)+1),ROWS('VEH98 Data'!H$3:'VEH98 Data'!H52))),"")</f>
        <v>2019</v>
      </c>
      <c r="K62" s="58" t="str">
        <f t="array" aca="1" ref="K62" ca="1">IFERROR(INDEX('VEH98 Data'!G$3:G$3508, SMALL(IF('VEH98 Data'!$AH$3:$AH$3508="TRUE", ROW('VEH98 Data'!G$3:G$3508)-ROW('VEH98 Data'!G$3)+1),ROWS('VEH98 Data'!G$3:'VEH98 Data'!G52))),"")</f>
        <v>Ford</v>
      </c>
      <c r="L62" s="58" t="str">
        <f t="array" aca="1" ref="L62" ca="1">IFERROR(INDEX('VEH98 Data'!I$3:I$3508, SMALL(IF('VEH98 Data'!$AH$3:$AH$3508="TRUE", ROW('VEH98 Data'!I$3:I$3508)-ROW('VEH98 Data'!I$3)+1),ROWS('VEH98 Data'!I$3:'VEH98 Data'!I52))),"")</f>
        <v>Escape</v>
      </c>
      <c r="M62" s="58" t="str">
        <f t="array" aca="1" ref="M62" ca="1">IFERROR(INDEX('VEH98 Data'!J$3:J$3508, SMALL(IF('VEH98 Data'!$AH$3:$AH$3508="TRUE", ROW('VEH98 Data'!J$3:J$3508)-ROW('VEH98 Data'!J$3)+1),ROWS('VEH98 Data'!J$3:'VEH98 Data'!J52))),"")</f>
        <v>Titanium</v>
      </c>
      <c r="N62" s="58" t="str">
        <f t="array" aca="1" ref="N62" ca="1">IFERROR(INDEX('VEH98 Data'!K$3:K$3508, SMALL(IF('VEH98 Data'!$AH$3:$AH$3508="TRUE", ROW('VEH98 Data'!K$3:K$3508)-ROW('VEH98 Data'!K$3)+1),ROWS('VEH98 Data'!K$3:'VEH98 Data'!K52))),"")</f>
        <v>FWD</v>
      </c>
      <c r="O62" s="654" t="str">
        <f t="array" aca="1" ref="O62" ca="1">IFERROR(INDEX('VEH98 Data'!R$3:R$3508, SMALL(IF('VEH98 Data'!$AH$3:$AH$3508="TRUE", ROW('VEH98 Data'!R$3:R$3508)-ROW('VEH98 Data'!R$3)+1),ROWS('VEH98 Data'!R$3:'VEH98 Data'!R52))),"")</f>
        <v>2.5L</v>
      </c>
      <c r="P62" s="654">
        <f t="array" aca="1" ref="P62" ca="1">IFERROR(INDEX('VEH98 Data'!Y$3:Y$3508, SMALL(IF('VEH98 Data'!$AH$3:$AH$3508="TRUE", ROW('VEH98 Data'!Y$3:Y$3508)-ROW('VEH98 Data'!Y$3)+1),ROWS('VEH98 Data'!Y$3:'VEH98 Data'!Y52))),"")</f>
        <v>26</v>
      </c>
    </row>
    <row r="63" spans="2:16">
      <c r="B63" s="58">
        <f t="array" aca="1" ref="B63" ca="1">IFERROR(INDEX('VEH98 Data'!H$3:H$3508, SMALL(IF('VEH98 Data'!$AG$3:$AG$3508="TRUE", ROW('VEH98 Data'!H$3:H$3508)-ROW('VEH98 Data'!H$3)+1),ROWS('VEH98 Data'!H$3:'VEH98 Data'!H51))),"")</f>
        <v>2019</v>
      </c>
      <c r="C63" s="58" t="str">
        <f t="array" aca="1" ref="C63" ca="1">IFERROR(INDEX('VEH98 Data'!G$3:G$3508, SMALL(IF('VEH98 Data'!$AG$3:$AG$3508="TRUE", ROW('VEH98 Data'!G$3:G$3508)-ROW('VEH98 Data'!G$3)+1),ROWS('VEH98 Data'!G$3:'VEH98 Data'!G51))),"")</f>
        <v>Toyota</v>
      </c>
      <c r="D63" s="58" t="str">
        <f t="array" aca="1" ref="D63" ca="1">IFERROR(INDEX('VEH98 Data'!I$3:I$3508, SMALL(IF('VEH98 Data'!$AG$3:$AG$3508="TRUE", ROW('VEH98 Data'!I$3:I$3508)-ROW('VEH98 Data'!I$3)+1),ROWS('VEH98 Data'!I$3:'VEH98 Data'!I51))),"")</f>
        <v>Yaris</v>
      </c>
      <c r="E63" s="58" t="str">
        <f t="array" aca="1" ref="E63" ca="1">IFERROR(INDEX('VEH98 Data'!J$3:J$3508, SMALL(IF('VEH98 Data'!$AG$3:$AG$3508="TRUE", ROW('VEH98 Data'!J$3:J$3508)-ROW('VEH98 Data'!J$3)+1),ROWS('VEH98 Data'!J$3:'VEH98 Data'!J51))),"")</f>
        <v>L</v>
      </c>
      <c r="F63" s="58" t="str">
        <f t="array" aca="1" ref="F63" ca="1">IFERROR(INDEX('VEH98 Data'!K$3:K$3508, SMALL(IF('VEH98 Data'!$AG$3:$AG$3508="TRUE", ROW('VEH98 Data'!K$3:K$3508)-ROW('VEH98 Data'!K$3)+1),ROWS('VEH98 Data'!K$3:'VEH98 Data'!K51))),"")</f>
        <v>FWD</v>
      </c>
      <c r="G63" s="654" t="str">
        <f t="array" aca="1" ref="G63" ca="1">IFERROR(INDEX('VEH98 Data'!R$3:R$3508, SMALL(IF('VEH98 Data'!$AG$3:$AG$3508="TRUE", ROW('VEH98 Data'!R$3:R$3508)-ROW('VEH98 Data'!R$3)+1),ROWS('VEH98 Data'!R$3:'VEH98 Data'!R51))),"")</f>
        <v>1.5L</v>
      </c>
      <c r="H63" s="654">
        <f t="array" aca="1" ref="H63" ca="1">IFERROR(INDEX('VEH98 Data'!Y$3:Y$3508, SMALL(IF('VEH98 Data'!$AG$3:$AG$3508="TRUE", ROW('VEH98 Data'!Y$3:Y$3508)-ROW('VEH98 Data'!Y$3)+1),ROWS('VEH98 Data'!Y$3:'VEH98 Data'!Y51))),"")</f>
        <v>32</v>
      </c>
      <c r="J63" s="652">
        <f t="array" aca="1" ref="J63" ca="1">IFERROR(INDEX('VEH98 Data'!H$3:H$3508, SMALL(IF('VEH98 Data'!$AH$3:$AH$3508="TRUE", ROW('VEH98 Data'!H$3:H$3508)-ROW('VEH98 Data'!H$3)+1),ROWS('VEH98 Data'!H$3:'VEH98 Data'!H53))),"")</f>
        <v>2019</v>
      </c>
      <c r="K63" s="652" t="str">
        <f t="array" aca="1" ref="K63" ca="1">IFERROR(INDEX('VEH98 Data'!G$3:G$3508, SMALL(IF('VEH98 Data'!$AH$3:$AH$3508="TRUE", ROW('VEH98 Data'!G$3:G$3508)-ROW('VEH98 Data'!G$3)+1),ROWS('VEH98 Data'!G$3:'VEH98 Data'!G53))),"")</f>
        <v>Ford</v>
      </c>
      <c r="L63" s="652" t="str">
        <f t="array" aca="1" ref="L63" ca="1">IFERROR(INDEX('VEH98 Data'!I$3:I$3508, SMALL(IF('VEH98 Data'!$AH$3:$AH$3508="TRUE", ROW('VEH98 Data'!I$3:I$3508)-ROW('VEH98 Data'!I$3)+1),ROWS('VEH98 Data'!I$3:'VEH98 Data'!I53))),"")</f>
        <v>Escape</v>
      </c>
      <c r="M63" s="652" t="str">
        <f t="array" aca="1" ref="M63" ca="1">IFERROR(INDEX('VEH98 Data'!J$3:J$3508, SMALL(IF('VEH98 Data'!$AH$3:$AH$3508="TRUE", ROW('VEH98 Data'!J$3:J$3508)-ROW('VEH98 Data'!J$3)+1),ROWS('VEH98 Data'!J$3:'VEH98 Data'!J53))),"")</f>
        <v>Titanium</v>
      </c>
      <c r="N63" s="652" t="str">
        <f t="array" aca="1" ref="N63" ca="1">IFERROR(INDEX('VEH98 Data'!K$3:K$3508, SMALL(IF('VEH98 Data'!$AH$3:$AH$3508="TRUE", ROW('VEH98 Data'!K$3:K$3508)-ROW('VEH98 Data'!K$3)+1),ROWS('VEH98 Data'!K$3:'VEH98 Data'!K53))),"")</f>
        <v>FWD</v>
      </c>
      <c r="O63" s="653" t="str">
        <f t="array" aca="1" ref="O63" ca="1">IFERROR(INDEX('VEH98 Data'!R$3:R$3508, SMALL(IF('VEH98 Data'!$AH$3:$AH$3508="TRUE", ROW('VEH98 Data'!R$3:R$3508)-ROW('VEH98 Data'!R$3)+1),ROWS('VEH98 Data'!R$3:'VEH98 Data'!R53))),"")</f>
        <v>1.5L</v>
      </c>
      <c r="P63" s="653">
        <f t="array" aca="1" ref="P63" ca="1">IFERROR(INDEX('VEH98 Data'!Y$3:Y$3508, SMALL(IF('VEH98 Data'!$AH$3:$AH$3508="TRUE", ROW('VEH98 Data'!Y$3:Y$3508)-ROW('VEH98 Data'!Y$3)+1),ROWS('VEH98 Data'!Y$3:'VEH98 Data'!Y53))),"")</f>
        <v>26</v>
      </c>
    </row>
    <row r="64" spans="2:16">
      <c r="B64" s="652">
        <f t="array" aca="1" ref="B64" ca="1">IFERROR(INDEX('VEH98 Data'!H$3:H$3508, SMALL(IF('VEH98 Data'!$AG$3:$AG$3508="TRUE", ROW('VEH98 Data'!H$3:H$3508)-ROW('VEH98 Data'!H$3)+1),ROWS('VEH98 Data'!H$3:'VEH98 Data'!H52))),"")</f>
        <v>2019</v>
      </c>
      <c r="C64" s="652" t="str">
        <f t="array" aca="1" ref="C64" ca="1">IFERROR(INDEX('VEH98 Data'!G$3:G$3508, SMALL(IF('VEH98 Data'!$AG$3:$AG$3508="TRUE", ROW('VEH98 Data'!G$3:G$3508)-ROW('VEH98 Data'!G$3)+1),ROWS('VEH98 Data'!G$3:'VEH98 Data'!G52))),"")</f>
        <v>Ford</v>
      </c>
      <c r="D64" s="652" t="str">
        <f t="array" aca="1" ref="D64" ca="1">IFERROR(INDEX('VEH98 Data'!I$3:I$3508, SMALL(IF('VEH98 Data'!$AG$3:$AG$3508="TRUE", ROW('VEH98 Data'!I$3:I$3508)-ROW('VEH98 Data'!I$3)+1),ROWS('VEH98 Data'!I$3:'VEH98 Data'!I52))),"")</f>
        <v>Fusion</v>
      </c>
      <c r="E64" s="652" t="str">
        <f t="array" aca="1" ref="E64" ca="1">IFERROR(INDEX('VEH98 Data'!J$3:J$3508, SMALL(IF('VEH98 Data'!$AG$3:$AG$3508="TRUE", ROW('VEH98 Data'!J$3:J$3508)-ROW('VEH98 Data'!J$3)+1),ROWS('VEH98 Data'!J$3:'VEH98 Data'!J52))),"")</f>
        <v>Police Responder Hybrid Sedan</v>
      </c>
      <c r="F64" s="652" t="str">
        <f t="array" aca="1" ref="F64" ca="1">IFERROR(INDEX('VEH98 Data'!K$3:K$3508, SMALL(IF('VEH98 Data'!$AG$3:$AG$3508="TRUE", ROW('VEH98 Data'!K$3:K$3508)-ROW('VEH98 Data'!K$3)+1),ROWS('VEH98 Data'!K$3:'VEH98 Data'!K52))),"")</f>
        <v>FWD</v>
      </c>
      <c r="G64" s="653" t="str">
        <f t="array" aca="1" ref="G64" ca="1">IFERROR(INDEX('VEH98 Data'!R$3:R$3508, SMALL(IF('VEH98 Data'!$AG$3:$AG$3508="TRUE", ROW('VEH98 Data'!R$3:R$3508)-ROW('VEH98 Data'!R$3)+1),ROWS('VEH98 Data'!R$3:'VEH98 Data'!R52))),"")</f>
        <v>2.0L</v>
      </c>
      <c r="H64" s="653">
        <f t="array" aca="1" ref="H64" ca="1">IFERROR(INDEX('VEH98 Data'!Y$3:Y$3508, SMALL(IF('VEH98 Data'!$AG$3:$AG$3508="TRUE", ROW('VEH98 Data'!Y$3:Y$3508)-ROW('VEH98 Data'!Y$3)+1),ROWS('VEH98 Data'!Y$3:'VEH98 Data'!Y52))),"")</f>
        <v>40</v>
      </c>
      <c r="J64" s="58">
        <f t="array" aca="1" ref="J64" ca="1">IFERROR(INDEX('VEH98 Data'!H$3:H$3508, SMALL(IF('VEH98 Data'!$AH$3:$AH$3508="TRUE", ROW('VEH98 Data'!H$3:H$3508)-ROW('VEH98 Data'!H$3)+1),ROWS('VEH98 Data'!H$3:'VEH98 Data'!H54))),"")</f>
        <v>2019</v>
      </c>
      <c r="K64" s="58" t="str">
        <f t="array" aca="1" ref="K64" ca="1">IFERROR(INDEX('VEH98 Data'!G$3:G$3508, SMALL(IF('VEH98 Data'!$AH$3:$AH$3508="TRUE", ROW('VEH98 Data'!G$3:G$3508)-ROW('VEH98 Data'!G$3)+1),ROWS('VEH98 Data'!G$3:'VEH98 Data'!G54))),"")</f>
        <v>Ford</v>
      </c>
      <c r="L64" s="58" t="str">
        <f t="array" aca="1" ref="L64" ca="1">IFERROR(INDEX('VEH98 Data'!I$3:I$3508, SMALL(IF('VEH98 Data'!$AH$3:$AH$3508="TRUE", ROW('VEH98 Data'!I$3:I$3508)-ROW('VEH98 Data'!I$3)+1),ROWS('VEH98 Data'!I$3:'VEH98 Data'!I54))),"")</f>
        <v>Explorer</v>
      </c>
      <c r="M64" s="58" t="str">
        <f t="array" aca="1" ref="M64" ca="1">IFERROR(INDEX('VEH98 Data'!J$3:J$3508, SMALL(IF('VEH98 Data'!$AH$3:$AH$3508="TRUE", ROW('VEH98 Data'!J$3:J$3508)-ROW('VEH98 Data'!J$3)+1),ROWS('VEH98 Data'!J$3:'VEH98 Data'!J54))),"")</f>
        <v>Base</v>
      </c>
      <c r="N64" s="58" t="str">
        <f t="array" aca="1" ref="N64" ca="1">IFERROR(INDEX('VEH98 Data'!K$3:K$3508, SMALL(IF('VEH98 Data'!$AH$3:$AH$3508="TRUE", ROW('VEH98 Data'!K$3:K$3508)-ROW('VEH98 Data'!K$3)+1),ROWS('VEH98 Data'!K$3:'VEH98 Data'!K54))),"")</f>
        <v>FWD</v>
      </c>
      <c r="O64" s="654" t="str">
        <f t="array" aca="1" ref="O64" ca="1">IFERROR(INDEX('VEH98 Data'!R$3:R$3508, SMALL(IF('VEH98 Data'!$AH$3:$AH$3508="TRUE", ROW('VEH98 Data'!R$3:R$3508)-ROW('VEH98 Data'!R$3)+1),ROWS('VEH98 Data'!R$3:'VEH98 Data'!R54))),"")</f>
        <v>2.3L</v>
      </c>
      <c r="P64" s="654">
        <f t="array" aca="1" ref="P64" ca="1">IFERROR(INDEX('VEH98 Data'!Y$3:Y$3508, SMALL(IF('VEH98 Data'!$AH$3:$AH$3508="TRUE", ROW('VEH98 Data'!Y$3:Y$3508)-ROW('VEH98 Data'!Y$3)+1),ROWS('VEH98 Data'!Y$3:'VEH98 Data'!Y54))),"")</f>
        <v>22</v>
      </c>
    </row>
    <row r="65" spans="2:16">
      <c r="B65" s="58">
        <f t="array" aca="1" ref="B65" ca="1">IFERROR(INDEX('VEH98 Data'!H$3:H$3508, SMALL(IF('VEH98 Data'!$AG$3:$AG$3508="TRUE", ROW('VEH98 Data'!H$3:H$3508)-ROW('VEH98 Data'!H$3)+1),ROWS('VEH98 Data'!H$3:'VEH98 Data'!H53))),"")</f>
        <v>2019</v>
      </c>
      <c r="C65" s="58" t="str">
        <f t="array" aca="1" ref="C65" ca="1">IFERROR(INDEX('VEH98 Data'!G$3:G$3508, SMALL(IF('VEH98 Data'!$AG$3:$AG$3508="TRUE", ROW('VEH98 Data'!G$3:G$3508)-ROW('VEH98 Data'!G$3)+1),ROWS('VEH98 Data'!G$3:'VEH98 Data'!G53))),"")</f>
        <v>Ford</v>
      </c>
      <c r="D65" s="58" t="str">
        <f t="array" aca="1" ref="D65" ca="1">IFERROR(INDEX('VEH98 Data'!I$3:I$3508, SMALL(IF('VEH98 Data'!$AG$3:$AG$3508="TRUE", ROW('VEH98 Data'!I$3:I$3508)-ROW('VEH98 Data'!I$3)+1),ROWS('VEH98 Data'!I$3:'VEH98 Data'!I53))),"")</f>
        <v>Fusion</v>
      </c>
      <c r="E65" s="58" t="str">
        <f t="array" aca="1" ref="E65" ca="1">IFERROR(INDEX('VEH98 Data'!J$3:J$3508, SMALL(IF('VEH98 Data'!$AG$3:$AG$3508="TRUE", ROW('VEH98 Data'!J$3:J$3508)-ROW('VEH98 Data'!J$3)+1),ROWS('VEH98 Data'!J$3:'VEH98 Data'!J53))),"")</f>
        <v>Special Service Hybrid Sedan</v>
      </c>
      <c r="F65" s="58" t="str">
        <f t="array" aca="1" ref="F65" ca="1">IFERROR(INDEX('VEH98 Data'!K$3:K$3508, SMALL(IF('VEH98 Data'!$AG$3:$AG$3508="TRUE", ROW('VEH98 Data'!K$3:K$3508)-ROW('VEH98 Data'!K$3)+1),ROWS('VEH98 Data'!K$3:'VEH98 Data'!K53))),"")</f>
        <v>FWD</v>
      </c>
      <c r="G65" s="654" t="str">
        <f t="array" aca="1" ref="G65" ca="1">IFERROR(INDEX('VEH98 Data'!R$3:R$3508, SMALL(IF('VEH98 Data'!$AG$3:$AG$3508="TRUE", ROW('VEH98 Data'!R$3:R$3508)-ROW('VEH98 Data'!R$3)+1),ROWS('VEH98 Data'!R$3:'VEH98 Data'!R53))),"")</f>
        <v>2.0L</v>
      </c>
      <c r="H65" s="654">
        <f t="array" aca="1" ref="H65" ca="1">IFERROR(INDEX('VEH98 Data'!Y$3:Y$3508, SMALL(IF('VEH98 Data'!$AG$3:$AG$3508="TRUE", ROW('VEH98 Data'!Y$3:Y$3508)-ROW('VEH98 Data'!Y$3)+1),ROWS('VEH98 Data'!Y$3:'VEH98 Data'!Y53))),"")</f>
        <v>40</v>
      </c>
      <c r="J65" s="652">
        <f t="array" aca="1" ref="J65" ca="1">IFERROR(INDEX('VEH98 Data'!H$3:H$3508, SMALL(IF('VEH98 Data'!$AH$3:$AH$3508="TRUE", ROW('VEH98 Data'!H$3:H$3508)-ROW('VEH98 Data'!H$3)+1),ROWS('VEH98 Data'!H$3:'VEH98 Data'!H55))),"")</f>
        <v>2019</v>
      </c>
      <c r="K65" s="652" t="str">
        <f t="array" aca="1" ref="K65" ca="1">IFERROR(INDEX('VEH98 Data'!G$3:G$3508, SMALL(IF('VEH98 Data'!$AH$3:$AH$3508="TRUE", ROW('VEH98 Data'!G$3:G$3508)-ROW('VEH98 Data'!G$3)+1),ROWS('VEH98 Data'!G$3:'VEH98 Data'!G55))),"")</f>
        <v>Ford</v>
      </c>
      <c r="L65" s="652" t="str">
        <f t="array" aca="1" ref="L65" ca="1">IFERROR(INDEX('VEH98 Data'!I$3:I$3508, SMALL(IF('VEH98 Data'!$AH$3:$AH$3508="TRUE", ROW('VEH98 Data'!I$3:I$3508)-ROW('VEH98 Data'!I$3)+1),ROWS('VEH98 Data'!I$3:'VEH98 Data'!I55))),"")</f>
        <v>Explorer</v>
      </c>
      <c r="M65" s="652" t="str">
        <f t="array" aca="1" ref="M65" ca="1">IFERROR(INDEX('VEH98 Data'!J$3:J$3508, SMALL(IF('VEH98 Data'!$AH$3:$AH$3508="TRUE", ROW('VEH98 Data'!J$3:J$3508)-ROW('VEH98 Data'!J$3)+1),ROWS('VEH98 Data'!J$3:'VEH98 Data'!J55))),"")</f>
        <v>Limited</v>
      </c>
      <c r="N65" s="652" t="str">
        <f t="array" aca="1" ref="N65" ca="1">IFERROR(INDEX('VEH98 Data'!K$3:K$3508, SMALL(IF('VEH98 Data'!$AH$3:$AH$3508="TRUE", ROW('VEH98 Data'!K$3:K$3508)-ROW('VEH98 Data'!K$3)+1),ROWS('VEH98 Data'!K$3:'VEH98 Data'!K55))),"")</f>
        <v>FWD</v>
      </c>
      <c r="O65" s="653" t="str">
        <f t="array" aca="1" ref="O65" ca="1">IFERROR(INDEX('VEH98 Data'!R$3:R$3508, SMALL(IF('VEH98 Data'!$AH$3:$AH$3508="TRUE", ROW('VEH98 Data'!R$3:R$3508)-ROW('VEH98 Data'!R$3)+1),ROWS('VEH98 Data'!R$3:'VEH98 Data'!R55))),"")</f>
        <v>2.3L Ecoboost</v>
      </c>
      <c r="P65" s="653">
        <f t="array" aca="1" ref="P65" ca="1">IFERROR(INDEX('VEH98 Data'!Y$3:Y$3508, SMALL(IF('VEH98 Data'!$AH$3:$AH$3508="TRUE", ROW('VEH98 Data'!Y$3:Y$3508)-ROW('VEH98 Data'!Y$3)+1),ROWS('VEH98 Data'!Y$3:'VEH98 Data'!Y55))),"")</f>
        <v>22</v>
      </c>
    </row>
    <row r="66" spans="2:16">
      <c r="B66" s="652">
        <f t="array" aca="1" ref="B66" ca="1">IFERROR(INDEX('VEH98 Data'!H$3:H$3508, SMALL(IF('VEH98 Data'!$AG$3:$AG$3508="TRUE", ROW('VEH98 Data'!H$3:H$3508)-ROW('VEH98 Data'!H$3)+1),ROWS('VEH98 Data'!H$3:'VEH98 Data'!H54))),"")</f>
        <v>2019</v>
      </c>
      <c r="C66" s="652" t="str">
        <f t="array" aca="1" ref="C66" ca="1">IFERROR(INDEX('VEH98 Data'!G$3:G$3508, SMALL(IF('VEH98 Data'!$AG$3:$AG$3508="TRUE", ROW('VEH98 Data'!G$3:G$3508)-ROW('VEH98 Data'!G$3)+1),ROWS('VEH98 Data'!G$3:'VEH98 Data'!G54))),"")</f>
        <v>Ford</v>
      </c>
      <c r="D66" s="652" t="str">
        <f t="array" aca="1" ref="D66" ca="1">IFERROR(INDEX('VEH98 Data'!I$3:I$3508, SMALL(IF('VEH98 Data'!$AG$3:$AG$3508="TRUE", ROW('VEH98 Data'!I$3:I$3508)-ROW('VEH98 Data'!I$3)+1),ROWS('VEH98 Data'!I$3:'VEH98 Data'!I54))),"")</f>
        <v>Fusion</v>
      </c>
      <c r="E66" s="652" t="str">
        <f t="array" aca="1" ref="E66" ca="1">IFERROR(INDEX('VEH98 Data'!J$3:J$3508, SMALL(IF('VEH98 Data'!$AG$3:$AG$3508="TRUE", ROW('VEH98 Data'!J$3:J$3508)-ROW('VEH98 Data'!J$3)+1),ROWS('VEH98 Data'!J$3:'VEH98 Data'!J54))),"")</f>
        <v>SSV Plug-In</v>
      </c>
      <c r="F66" s="652" t="str">
        <f t="array" aca="1" ref="F66" ca="1">IFERROR(INDEX('VEH98 Data'!K$3:K$3508, SMALL(IF('VEH98 Data'!$AG$3:$AG$3508="TRUE", ROW('VEH98 Data'!K$3:K$3508)-ROW('VEH98 Data'!K$3)+1),ROWS('VEH98 Data'!K$3:'VEH98 Data'!K54))),"")</f>
        <v>FWD</v>
      </c>
      <c r="G66" s="653" t="str">
        <f t="array" aca="1" ref="G66" ca="1">IFERROR(INDEX('VEH98 Data'!R$3:R$3508, SMALL(IF('VEH98 Data'!$AG$3:$AG$3508="TRUE", ROW('VEH98 Data'!R$3:R$3508)-ROW('VEH98 Data'!R$3)+1),ROWS('VEH98 Data'!R$3:'VEH98 Data'!R54))),"")</f>
        <v>2.0L</v>
      </c>
      <c r="H66" s="653">
        <f t="array" aca="1" ref="H66" ca="1">IFERROR(INDEX('VEH98 Data'!Y$3:Y$3508, SMALL(IF('VEH98 Data'!$AG$3:$AG$3508="TRUE", ROW('VEH98 Data'!Y$3:Y$3508)-ROW('VEH98 Data'!Y$3)+1),ROWS('VEH98 Data'!Y$3:'VEH98 Data'!Y54))),"")</f>
        <v>42</v>
      </c>
      <c r="J66" s="58">
        <f t="array" aca="1" ref="J66" ca="1">IFERROR(INDEX('VEH98 Data'!H$3:H$3508, SMALL(IF('VEH98 Data'!$AH$3:$AH$3508="TRUE", ROW('VEH98 Data'!H$3:H$3508)-ROW('VEH98 Data'!H$3)+1),ROWS('VEH98 Data'!H$3:'VEH98 Data'!H56))),"")</f>
        <v>2019</v>
      </c>
      <c r="K66" s="58" t="str">
        <f t="array" aca="1" ref="K66" ca="1">IFERROR(INDEX('VEH98 Data'!G$3:G$3508, SMALL(IF('VEH98 Data'!$AH$3:$AH$3508="TRUE", ROW('VEH98 Data'!G$3:G$3508)-ROW('VEH98 Data'!G$3)+1),ROWS('VEH98 Data'!G$3:'VEH98 Data'!G56))),"")</f>
        <v>Ford</v>
      </c>
      <c r="L66" s="58" t="str">
        <f t="array" aca="1" ref="L66" ca="1">IFERROR(INDEX('VEH98 Data'!I$3:I$3508, SMALL(IF('VEH98 Data'!$AH$3:$AH$3508="TRUE", ROW('VEH98 Data'!I$3:I$3508)-ROW('VEH98 Data'!I$3)+1),ROWS('VEH98 Data'!I$3:'VEH98 Data'!I56))),"")</f>
        <v>Explorer</v>
      </c>
      <c r="M66" s="58" t="str">
        <f t="array" aca="1" ref="M66" ca="1">IFERROR(INDEX('VEH98 Data'!J$3:J$3508, SMALL(IF('VEH98 Data'!$AH$3:$AH$3508="TRUE", ROW('VEH98 Data'!J$3:J$3508)-ROW('VEH98 Data'!J$3)+1),ROWS('VEH98 Data'!J$3:'VEH98 Data'!J56))),"")</f>
        <v>XLT</v>
      </c>
      <c r="N66" s="58" t="str">
        <f t="array" aca="1" ref="N66" ca="1">IFERROR(INDEX('VEH98 Data'!K$3:K$3508, SMALL(IF('VEH98 Data'!$AH$3:$AH$3508="TRUE", ROW('VEH98 Data'!K$3:K$3508)-ROW('VEH98 Data'!K$3)+1),ROWS('VEH98 Data'!K$3:'VEH98 Data'!K56))),"")</f>
        <v>FWD</v>
      </c>
      <c r="O66" s="654" t="str">
        <f t="array" aca="1" ref="O66" ca="1">IFERROR(INDEX('VEH98 Data'!R$3:R$3508, SMALL(IF('VEH98 Data'!$AH$3:$AH$3508="TRUE", ROW('VEH98 Data'!R$3:R$3508)-ROW('VEH98 Data'!R$3)+1),ROWS('VEH98 Data'!R$3:'VEH98 Data'!R56))),"")</f>
        <v>2.3L</v>
      </c>
      <c r="P66" s="654">
        <f t="array" aca="1" ref="P66" ca="1">IFERROR(INDEX('VEH98 Data'!Y$3:Y$3508, SMALL(IF('VEH98 Data'!$AH$3:$AH$3508="TRUE", ROW('VEH98 Data'!Y$3:Y$3508)-ROW('VEH98 Data'!Y$3)+1),ROWS('VEH98 Data'!Y$3:'VEH98 Data'!Y56))),"")</f>
        <v>22</v>
      </c>
    </row>
    <row r="67" spans="2:16">
      <c r="B67" s="58" t="str">
        <f t="array" aca="1" ref="B67" ca="1">IFERROR(INDEX('VEH98 Data'!H$3:H$3508, SMALL(IF('VEH98 Data'!$AG$3:$AG$3508="TRUE", ROW('VEH98 Data'!H$3:H$3508)-ROW('VEH98 Data'!H$3)+1),ROWS('VEH98 Data'!H$3:'VEH98 Data'!H55))),"")</f>
        <v/>
      </c>
      <c r="C67" s="58" t="str">
        <f t="array" aca="1" ref="C67" ca="1">IFERROR(INDEX('VEH98 Data'!G$3:G$3508, SMALL(IF('VEH98 Data'!$AG$3:$AG$3508="TRUE", ROW('VEH98 Data'!G$3:G$3508)-ROW('VEH98 Data'!G$3)+1),ROWS('VEH98 Data'!G$3:'VEH98 Data'!G55))),"")</f>
        <v/>
      </c>
      <c r="D67" s="58" t="str">
        <f t="array" aca="1" ref="D67" ca="1">IFERROR(INDEX('VEH98 Data'!I$3:I$3508, SMALL(IF('VEH98 Data'!$AG$3:$AG$3508="TRUE", ROW('VEH98 Data'!I$3:I$3508)-ROW('VEH98 Data'!I$3)+1),ROWS('VEH98 Data'!I$3:'VEH98 Data'!I55))),"")</f>
        <v/>
      </c>
      <c r="E67" s="58" t="str">
        <f t="array" aca="1" ref="E67" ca="1">IFERROR(INDEX('VEH98 Data'!J$3:J$3508, SMALL(IF('VEH98 Data'!$AG$3:$AG$3508="TRUE", ROW('VEH98 Data'!J$3:J$3508)-ROW('VEH98 Data'!J$3)+1),ROWS('VEH98 Data'!J$3:'VEH98 Data'!J55))),"")</f>
        <v/>
      </c>
      <c r="F67" s="58" t="str">
        <f t="array" aca="1" ref="F67" ca="1">IFERROR(INDEX('VEH98 Data'!K$3:K$3508, SMALL(IF('VEH98 Data'!$AG$3:$AG$3508="TRUE", ROW('VEH98 Data'!K$3:K$3508)-ROW('VEH98 Data'!K$3)+1),ROWS('VEH98 Data'!K$3:'VEH98 Data'!K55))),"")</f>
        <v/>
      </c>
      <c r="G67" s="654" t="str">
        <f t="array" aca="1" ref="G67" ca="1">IFERROR(INDEX('VEH98 Data'!R$3:R$3508, SMALL(IF('VEH98 Data'!$AG$3:$AG$3508="TRUE", ROW('VEH98 Data'!R$3:R$3508)-ROW('VEH98 Data'!R$3)+1),ROWS('VEH98 Data'!R$3:'VEH98 Data'!R55))),"")</f>
        <v/>
      </c>
      <c r="H67" s="654" t="str">
        <f t="array" aca="1" ref="H67" ca="1">IFERROR(INDEX('VEH98 Data'!Y$3:Y$3508, SMALL(IF('VEH98 Data'!$AG$3:$AG$3508="TRUE", ROW('VEH98 Data'!Y$3:Y$3508)-ROW('VEH98 Data'!Y$3)+1),ROWS('VEH98 Data'!Y$3:'VEH98 Data'!Y55))),"")</f>
        <v/>
      </c>
      <c r="J67" s="652">
        <f t="array" aca="1" ref="J67" ca="1">IFERROR(INDEX('VEH98 Data'!H$3:H$3508, SMALL(IF('VEH98 Data'!$AH$3:$AH$3508="TRUE", ROW('VEH98 Data'!H$3:H$3508)-ROW('VEH98 Data'!H$3)+1),ROWS('VEH98 Data'!H$3:'VEH98 Data'!H57))),"")</f>
        <v>2019</v>
      </c>
      <c r="K67" s="652" t="str">
        <f t="array" aca="1" ref="K67" ca="1">IFERROR(INDEX('VEH98 Data'!G$3:G$3508, SMALL(IF('VEH98 Data'!$AH$3:$AH$3508="TRUE", ROW('VEH98 Data'!G$3:G$3508)-ROW('VEH98 Data'!G$3)+1),ROWS('VEH98 Data'!G$3:'VEH98 Data'!G57))),"")</f>
        <v>Honda</v>
      </c>
      <c r="L67" s="652" t="str">
        <f t="array" aca="1" ref="L67" ca="1">IFERROR(INDEX('VEH98 Data'!I$3:I$3508, SMALL(IF('VEH98 Data'!$AH$3:$AH$3508="TRUE", ROW('VEH98 Data'!I$3:I$3508)-ROW('VEH98 Data'!I$3)+1),ROWS('VEH98 Data'!I$3:'VEH98 Data'!I57))),"")</f>
        <v>CR-V</v>
      </c>
      <c r="M67" s="652" t="str">
        <f t="array" aca="1" ref="M67" ca="1">IFERROR(INDEX('VEH98 Data'!J$3:J$3508, SMALL(IF('VEH98 Data'!$AH$3:$AH$3508="TRUE", ROW('VEH98 Data'!J$3:J$3508)-ROW('VEH98 Data'!J$3)+1),ROWS('VEH98 Data'!J$3:'VEH98 Data'!J57))),"")</f>
        <v>EX</v>
      </c>
      <c r="N67" s="652" t="str">
        <f t="array" aca="1" ref="N67" ca="1">IFERROR(INDEX('VEH98 Data'!K$3:K$3508, SMALL(IF('VEH98 Data'!$AH$3:$AH$3508="TRUE", ROW('VEH98 Data'!K$3:K$3508)-ROW('VEH98 Data'!K$3)+1),ROWS('VEH98 Data'!K$3:'VEH98 Data'!K57))),"")</f>
        <v>AWD</v>
      </c>
      <c r="O67" s="653" t="str">
        <f t="array" aca="1" ref="O67" ca="1">IFERROR(INDEX('VEH98 Data'!R$3:R$3508, SMALL(IF('VEH98 Data'!$AH$3:$AH$3508="TRUE", ROW('VEH98 Data'!R$3:R$3508)-ROW('VEH98 Data'!R$3)+1),ROWS('VEH98 Data'!R$3:'VEH98 Data'!R57))),"")</f>
        <v>1.5L</v>
      </c>
      <c r="P67" s="653">
        <f t="array" aca="1" ref="P67" ca="1">IFERROR(INDEX('VEH98 Data'!Y$3:Y$3508, SMALL(IF('VEH98 Data'!$AH$3:$AH$3508="TRUE", ROW('VEH98 Data'!Y$3:Y$3508)-ROW('VEH98 Data'!Y$3)+1),ROWS('VEH98 Data'!Y$3:'VEH98 Data'!Y57))),"")</f>
        <v>29</v>
      </c>
    </row>
    <row r="68" spans="2:16">
      <c r="B68" s="652" t="str">
        <f t="array" aca="1" ref="B68" ca="1">IFERROR(INDEX('VEH98 Data'!H$3:H$3508, SMALL(IF('VEH98 Data'!$AG$3:$AG$3508="TRUE", ROW('VEH98 Data'!H$3:H$3508)-ROW('VEH98 Data'!H$3)+1),ROWS('VEH98 Data'!H$3:'VEH98 Data'!H56))),"")</f>
        <v/>
      </c>
      <c r="C68" s="652" t="str">
        <f t="array" aca="1" ref="C68" ca="1">IFERROR(INDEX('VEH98 Data'!G$3:G$3508, SMALL(IF('VEH98 Data'!$AG$3:$AG$3508="TRUE", ROW('VEH98 Data'!G$3:G$3508)-ROW('VEH98 Data'!G$3)+1),ROWS('VEH98 Data'!G$3:'VEH98 Data'!G56))),"")</f>
        <v/>
      </c>
      <c r="D68" s="652" t="str">
        <f t="array" aca="1" ref="D68" ca="1">IFERROR(INDEX('VEH98 Data'!I$3:I$3508, SMALL(IF('VEH98 Data'!$AG$3:$AG$3508="TRUE", ROW('VEH98 Data'!I$3:I$3508)-ROW('VEH98 Data'!I$3)+1),ROWS('VEH98 Data'!I$3:'VEH98 Data'!I56))),"")</f>
        <v/>
      </c>
      <c r="E68" s="652" t="str">
        <f t="array" aca="1" ref="E68" ca="1">IFERROR(INDEX('VEH98 Data'!J$3:J$3508, SMALL(IF('VEH98 Data'!$AG$3:$AG$3508="TRUE", ROW('VEH98 Data'!J$3:J$3508)-ROW('VEH98 Data'!J$3)+1),ROWS('VEH98 Data'!J$3:'VEH98 Data'!J56))),"")</f>
        <v/>
      </c>
      <c r="F68" s="652" t="str">
        <f t="array" aca="1" ref="F68" ca="1">IFERROR(INDEX('VEH98 Data'!K$3:K$3508, SMALL(IF('VEH98 Data'!$AG$3:$AG$3508="TRUE", ROW('VEH98 Data'!K$3:K$3508)-ROW('VEH98 Data'!K$3)+1),ROWS('VEH98 Data'!K$3:'VEH98 Data'!K56))),"")</f>
        <v/>
      </c>
      <c r="G68" s="653" t="str">
        <f t="array" aca="1" ref="G68" ca="1">IFERROR(INDEX('VEH98 Data'!R$3:R$3508, SMALL(IF('VEH98 Data'!$AG$3:$AG$3508="TRUE", ROW('VEH98 Data'!R$3:R$3508)-ROW('VEH98 Data'!R$3)+1),ROWS('VEH98 Data'!R$3:'VEH98 Data'!R56))),"")</f>
        <v/>
      </c>
      <c r="H68" s="653" t="str">
        <f t="array" aca="1" ref="H68" ca="1">IFERROR(INDEX('VEH98 Data'!Y$3:Y$3508, SMALL(IF('VEH98 Data'!$AG$3:$AG$3508="TRUE", ROW('VEH98 Data'!Y$3:Y$3508)-ROW('VEH98 Data'!Y$3)+1),ROWS('VEH98 Data'!Y$3:'VEH98 Data'!Y56))),"")</f>
        <v/>
      </c>
      <c r="J68" s="58">
        <f t="array" aca="1" ref="J68" ca="1">IFERROR(INDEX('VEH98 Data'!H$3:H$3508, SMALL(IF('VEH98 Data'!$AH$3:$AH$3508="TRUE", ROW('VEH98 Data'!H$3:H$3508)-ROW('VEH98 Data'!H$3)+1),ROWS('VEH98 Data'!H$3:'VEH98 Data'!H58))),"")</f>
        <v>2019</v>
      </c>
      <c r="K68" s="58" t="str">
        <f t="array" aca="1" ref="K68" ca="1">IFERROR(INDEX('VEH98 Data'!G$3:G$3508, SMALL(IF('VEH98 Data'!$AH$3:$AH$3508="TRUE", ROW('VEH98 Data'!G$3:G$3508)-ROW('VEH98 Data'!G$3)+1),ROWS('VEH98 Data'!G$3:'VEH98 Data'!G58))),"")</f>
        <v>Honda</v>
      </c>
      <c r="L68" s="58" t="str">
        <f t="array" aca="1" ref="L68" ca="1">IFERROR(INDEX('VEH98 Data'!I$3:I$3508, SMALL(IF('VEH98 Data'!$AH$3:$AH$3508="TRUE", ROW('VEH98 Data'!I$3:I$3508)-ROW('VEH98 Data'!I$3)+1),ROWS('VEH98 Data'!I$3:'VEH98 Data'!I58))),"")</f>
        <v>CR-V</v>
      </c>
      <c r="M68" s="58" t="str">
        <f t="array" aca="1" ref="M68" ca="1">IFERROR(INDEX('VEH98 Data'!J$3:J$3508, SMALL(IF('VEH98 Data'!$AH$3:$AH$3508="TRUE", ROW('VEH98 Data'!J$3:J$3508)-ROW('VEH98 Data'!J$3)+1),ROWS('VEH98 Data'!J$3:'VEH98 Data'!J58))),"")</f>
        <v>EX</v>
      </c>
      <c r="N68" s="58" t="str">
        <f t="array" aca="1" ref="N68" ca="1">IFERROR(INDEX('VEH98 Data'!K$3:K$3508, SMALL(IF('VEH98 Data'!$AH$3:$AH$3508="TRUE", ROW('VEH98 Data'!K$3:K$3508)-ROW('VEH98 Data'!K$3)+1),ROWS('VEH98 Data'!K$3:'VEH98 Data'!K58))),"")</f>
        <v>FWD</v>
      </c>
      <c r="O68" s="654" t="str">
        <f t="array" aca="1" ref="O68" ca="1">IFERROR(INDEX('VEH98 Data'!R$3:R$3508, SMALL(IF('VEH98 Data'!$AH$3:$AH$3508="TRUE", ROW('VEH98 Data'!R$3:R$3508)-ROW('VEH98 Data'!R$3)+1),ROWS('VEH98 Data'!R$3:'VEH98 Data'!R58))),"")</f>
        <v>1.5L</v>
      </c>
      <c r="P68" s="654">
        <f t="array" aca="1" ref="P68" ca="1">IFERROR(INDEX('VEH98 Data'!Y$3:Y$3508, SMALL(IF('VEH98 Data'!$AH$3:$AH$3508="TRUE", ROW('VEH98 Data'!Y$3:Y$3508)-ROW('VEH98 Data'!Y$3)+1),ROWS('VEH98 Data'!Y$3:'VEH98 Data'!Y58))),"")</f>
        <v>30</v>
      </c>
    </row>
    <row r="69" spans="2:16">
      <c r="B69" s="58" t="str">
        <f t="array" aca="1" ref="B69" ca="1">IFERROR(INDEX('VEH98 Data'!H$3:H$3508, SMALL(IF('VEH98 Data'!$AG$3:$AG$3508="TRUE", ROW('VEH98 Data'!H$3:H$3508)-ROW('VEH98 Data'!H$3)+1),ROWS('VEH98 Data'!H$3:'VEH98 Data'!H57))),"")</f>
        <v/>
      </c>
      <c r="C69" s="58" t="str">
        <f t="array" aca="1" ref="C69" ca="1">IFERROR(INDEX('VEH98 Data'!G$3:G$3508, SMALL(IF('VEH98 Data'!$AG$3:$AG$3508="TRUE", ROW('VEH98 Data'!G$3:G$3508)-ROW('VEH98 Data'!G$3)+1),ROWS('VEH98 Data'!G$3:'VEH98 Data'!G57))),"")</f>
        <v/>
      </c>
      <c r="D69" s="58" t="str">
        <f t="array" aca="1" ref="D69" ca="1">IFERROR(INDEX('VEH98 Data'!I$3:I$3508, SMALL(IF('VEH98 Data'!$AG$3:$AG$3508="TRUE", ROW('VEH98 Data'!I$3:I$3508)-ROW('VEH98 Data'!I$3)+1),ROWS('VEH98 Data'!I$3:'VEH98 Data'!I57))),"")</f>
        <v/>
      </c>
      <c r="E69" s="58" t="str">
        <f t="array" aca="1" ref="E69" ca="1">IFERROR(INDEX('VEH98 Data'!J$3:J$3508, SMALL(IF('VEH98 Data'!$AG$3:$AG$3508="TRUE", ROW('VEH98 Data'!J$3:J$3508)-ROW('VEH98 Data'!J$3)+1),ROWS('VEH98 Data'!J$3:'VEH98 Data'!J57))),"")</f>
        <v/>
      </c>
      <c r="F69" s="58" t="str">
        <f t="array" aca="1" ref="F69" ca="1">IFERROR(INDEX('VEH98 Data'!K$3:K$3508, SMALL(IF('VEH98 Data'!$AG$3:$AG$3508="TRUE", ROW('VEH98 Data'!K$3:K$3508)-ROW('VEH98 Data'!K$3)+1),ROWS('VEH98 Data'!K$3:'VEH98 Data'!K57))),"")</f>
        <v/>
      </c>
      <c r="G69" s="654" t="str">
        <f t="array" aca="1" ref="G69" ca="1">IFERROR(INDEX('VEH98 Data'!R$3:R$3508, SMALL(IF('VEH98 Data'!$AG$3:$AG$3508="TRUE", ROW('VEH98 Data'!R$3:R$3508)-ROW('VEH98 Data'!R$3)+1),ROWS('VEH98 Data'!R$3:'VEH98 Data'!R57))),"")</f>
        <v/>
      </c>
      <c r="H69" s="654" t="str">
        <f t="array" aca="1" ref="H69" ca="1">IFERROR(INDEX('VEH98 Data'!Y$3:Y$3508, SMALL(IF('VEH98 Data'!$AG$3:$AG$3508="TRUE", ROW('VEH98 Data'!Y$3:Y$3508)-ROW('VEH98 Data'!Y$3)+1),ROWS('VEH98 Data'!Y$3:'VEH98 Data'!Y57))),"")</f>
        <v/>
      </c>
      <c r="J69" s="652">
        <f t="array" aca="1" ref="J69" ca="1">IFERROR(INDEX('VEH98 Data'!H$3:H$3508, SMALL(IF('VEH98 Data'!$AH$3:$AH$3508="TRUE", ROW('VEH98 Data'!H$3:H$3508)-ROW('VEH98 Data'!H$3)+1),ROWS('VEH98 Data'!H$3:'VEH98 Data'!H59))),"")</f>
        <v>2019</v>
      </c>
      <c r="K69" s="652" t="str">
        <f t="array" aca="1" ref="K69" ca="1">IFERROR(INDEX('VEH98 Data'!G$3:G$3508, SMALL(IF('VEH98 Data'!$AH$3:$AH$3508="TRUE", ROW('VEH98 Data'!G$3:G$3508)-ROW('VEH98 Data'!G$3)+1),ROWS('VEH98 Data'!G$3:'VEH98 Data'!G59))),"")</f>
        <v>Honda</v>
      </c>
      <c r="L69" s="652" t="str">
        <f t="array" aca="1" ref="L69" ca="1">IFERROR(INDEX('VEH98 Data'!I$3:I$3508, SMALL(IF('VEH98 Data'!$AH$3:$AH$3508="TRUE", ROW('VEH98 Data'!I$3:I$3508)-ROW('VEH98 Data'!I$3)+1),ROWS('VEH98 Data'!I$3:'VEH98 Data'!I59))),"")</f>
        <v>CR-V</v>
      </c>
      <c r="M69" s="652" t="str">
        <f t="array" aca="1" ref="M69" ca="1">IFERROR(INDEX('VEH98 Data'!J$3:J$3508, SMALL(IF('VEH98 Data'!$AH$3:$AH$3508="TRUE", ROW('VEH98 Data'!J$3:J$3508)-ROW('VEH98 Data'!J$3)+1),ROWS('VEH98 Data'!J$3:'VEH98 Data'!J59))),"")</f>
        <v>LX CVT</v>
      </c>
      <c r="N69" s="652" t="str">
        <f t="array" aca="1" ref="N69" ca="1">IFERROR(INDEX('VEH98 Data'!K$3:K$3508, SMALL(IF('VEH98 Data'!$AH$3:$AH$3508="TRUE", ROW('VEH98 Data'!K$3:K$3508)-ROW('VEH98 Data'!K$3)+1),ROWS('VEH98 Data'!K$3:'VEH98 Data'!K59))),"")</f>
        <v>AWD</v>
      </c>
      <c r="O69" s="653" t="str">
        <f t="array" aca="1" ref="O69" ca="1">IFERROR(INDEX('VEH98 Data'!R$3:R$3508, SMALL(IF('VEH98 Data'!$AH$3:$AH$3508="TRUE", ROW('VEH98 Data'!R$3:R$3508)-ROW('VEH98 Data'!R$3)+1),ROWS('VEH98 Data'!R$3:'VEH98 Data'!R59))),"")</f>
        <v>2.4L</v>
      </c>
      <c r="P69" s="653">
        <f t="array" aca="1" ref="P69" ca="1">IFERROR(INDEX('VEH98 Data'!Y$3:Y$3508, SMALL(IF('VEH98 Data'!$AH$3:$AH$3508="TRUE", ROW('VEH98 Data'!Y$3:Y$3508)-ROW('VEH98 Data'!Y$3)+1),ROWS('VEH98 Data'!Y$3:'VEH98 Data'!Y59))),"")</f>
        <v>27</v>
      </c>
    </row>
    <row r="70" spans="2:16">
      <c r="B70" s="652" t="str">
        <f t="array" aca="1" ref="B70" ca="1">IFERROR(INDEX('VEH98 Data'!H$3:H$3508, SMALL(IF('VEH98 Data'!$AG$3:$AG$3508="TRUE", ROW('VEH98 Data'!H$3:H$3508)-ROW('VEH98 Data'!H$3)+1),ROWS('VEH98 Data'!H$3:'VEH98 Data'!H58))),"")</f>
        <v/>
      </c>
      <c r="C70" s="652" t="str">
        <f t="array" aca="1" ref="C70" ca="1">IFERROR(INDEX('VEH98 Data'!G$3:G$3508, SMALL(IF('VEH98 Data'!$AG$3:$AG$3508="TRUE", ROW('VEH98 Data'!G$3:G$3508)-ROW('VEH98 Data'!G$3)+1),ROWS('VEH98 Data'!G$3:'VEH98 Data'!G58))),"")</f>
        <v/>
      </c>
      <c r="D70" s="652" t="str">
        <f t="array" aca="1" ref="D70" ca="1">IFERROR(INDEX('VEH98 Data'!I$3:I$3508, SMALL(IF('VEH98 Data'!$AG$3:$AG$3508="TRUE", ROW('VEH98 Data'!I$3:I$3508)-ROW('VEH98 Data'!I$3)+1),ROWS('VEH98 Data'!I$3:'VEH98 Data'!I58))),"")</f>
        <v/>
      </c>
      <c r="E70" s="652" t="str">
        <f t="array" aca="1" ref="E70" ca="1">IFERROR(INDEX('VEH98 Data'!J$3:J$3508, SMALL(IF('VEH98 Data'!$AG$3:$AG$3508="TRUE", ROW('VEH98 Data'!J$3:J$3508)-ROW('VEH98 Data'!J$3)+1),ROWS('VEH98 Data'!J$3:'VEH98 Data'!J58))),"")</f>
        <v/>
      </c>
      <c r="F70" s="652" t="str">
        <f t="array" aca="1" ref="F70" ca="1">IFERROR(INDEX('VEH98 Data'!K$3:K$3508, SMALL(IF('VEH98 Data'!$AG$3:$AG$3508="TRUE", ROW('VEH98 Data'!K$3:K$3508)-ROW('VEH98 Data'!K$3)+1),ROWS('VEH98 Data'!K$3:'VEH98 Data'!K58))),"")</f>
        <v/>
      </c>
      <c r="G70" s="653" t="str">
        <f t="array" aca="1" ref="G70" ca="1">IFERROR(INDEX('VEH98 Data'!R$3:R$3508, SMALL(IF('VEH98 Data'!$AG$3:$AG$3508="TRUE", ROW('VEH98 Data'!R$3:R$3508)-ROW('VEH98 Data'!R$3)+1),ROWS('VEH98 Data'!R$3:'VEH98 Data'!R58))),"")</f>
        <v/>
      </c>
      <c r="H70" s="653" t="str">
        <f t="array" aca="1" ref="H70" ca="1">IFERROR(INDEX('VEH98 Data'!Y$3:Y$3508, SMALL(IF('VEH98 Data'!$AG$3:$AG$3508="TRUE", ROW('VEH98 Data'!Y$3:Y$3508)-ROW('VEH98 Data'!Y$3)+1),ROWS('VEH98 Data'!Y$3:'VEH98 Data'!Y58))),"")</f>
        <v/>
      </c>
      <c r="J70" s="58">
        <f t="array" aca="1" ref="J70" ca="1">IFERROR(INDEX('VEH98 Data'!H$3:H$3508, SMALL(IF('VEH98 Data'!$AH$3:$AH$3508="TRUE", ROW('VEH98 Data'!H$3:H$3508)-ROW('VEH98 Data'!H$3)+1),ROWS('VEH98 Data'!H$3:'VEH98 Data'!H60))),"")</f>
        <v>2019</v>
      </c>
      <c r="K70" s="58" t="str">
        <f t="array" aca="1" ref="K70" ca="1">IFERROR(INDEX('VEH98 Data'!G$3:G$3508, SMALL(IF('VEH98 Data'!$AH$3:$AH$3508="TRUE", ROW('VEH98 Data'!G$3:G$3508)-ROW('VEH98 Data'!G$3)+1),ROWS('VEH98 Data'!G$3:'VEH98 Data'!G60))),"")</f>
        <v>Honda</v>
      </c>
      <c r="L70" s="58" t="str">
        <f t="array" aca="1" ref="L70" ca="1">IFERROR(INDEX('VEH98 Data'!I$3:I$3508, SMALL(IF('VEH98 Data'!$AH$3:$AH$3508="TRUE", ROW('VEH98 Data'!I$3:I$3508)-ROW('VEH98 Data'!I$3)+1),ROWS('VEH98 Data'!I$3:'VEH98 Data'!I60))),"")</f>
        <v>CR-V</v>
      </c>
      <c r="M70" s="58" t="str">
        <f t="array" aca="1" ref="M70" ca="1">IFERROR(INDEX('VEH98 Data'!J$3:J$3508, SMALL(IF('VEH98 Data'!$AH$3:$AH$3508="TRUE", ROW('VEH98 Data'!J$3:J$3508)-ROW('VEH98 Data'!J$3)+1),ROWS('VEH98 Data'!J$3:'VEH98 Data'!J60))),"")</f>
        <v>LX CVT</v>
      </c>
      <c r="N70" s="58" t="str">
        <f t="array" aca="1" ref="N70" ca="1">IFERROR(INDEX('VEH98 Data'!K$3:K$3508, SMALL(IF('VEH98 Data'!$AH$3:$AH$3508="TRUE", ROW('VEH98 Data'!K$3:K$3508)-ROW('VEH98 Data'!K$3)+1),ROWS('VEH98 Data'!K$3:'VEH98 Data'!K60))),"")</f>
        <v>AWD</v>
      </c>
      <c r="O70" s="654" t="str">
        <f t="array" aca="1" ref="O70" ca="1">IFERROR(INDEX('VEH98 Data'!R$3:R$3508, SMALL(IF('VEH98 Data'!$AH$3:$AH$3508="TRUE", ROW('VEH98 Data'!R$3:R$3508)-ROW('VEH98 Data'!R$3)+1),ROWS('VEH98 Data'!R$3:'VEH98 Data'!R60))),"")</f>
        <v>2.4L</v>
      </c>
      <c r="P70" s="654">
        <f t="array" aca="1" ref="P70" ca="1">IFERROR(INDEX('VEH98 Data'!Y$3:Y$3508, SMALL(IF('VEH98 Data'!$AH$3:$AH$3508="TRUE", ROW('VEH98 Data'!Y$3:Y$3508)-ROW('VEH98 Data'!Y$3)+1),ROWS('VEH98 Data'!Y$3:'VEH98 Data'!Y60))),"")</f>
        <v>27</v>
      </c>
    </row>
    <row r="71" spans="2:16">
      <c r="B71" s="58" t="str">
        <f t="array" aca="1" ref="B71" ca="1">IFERROR(INDEX('VEH98 Data'!H$3:H$3508, SMALL(IF('VEH98 Data'!$AG$3:$AG$3508="TRUE", ROW('VEH98 Data'!H$3:H$3508)-ROW('VEH98 Data'!H$3)+1),ROWS('VEH98 Data'!H$3:'VEH98 Data'!H59))),"")</f>
        <v/>
      </c>
      <c r="C71" s="58" t="str">
        <f t="array" aca="1" ref="C71" ca="1">IFERROR(INDEX('VEH98 Data'!G$3:G$3508, SMALL(IF('VEH98 Data'!$AG$3:$AG$3508="TRUE", ROW('VEH98 Data'!G$3:G$3508)-ROW('VEH98 Data'!G$3)+1),ROWS('VEH98 Data'!G$3:'VEH98 Data'!G59))),"")</f>
        <v/>
      </c>
      <c r="D71" s="58" t="str">
        <f t="array" aca="1" ref="D71" ca="1">IFERROR(INDEX('VEH98 Data'!I$3:I$3508, SMALL(IF('VEH98 Data'!$AG$3:$AG$3508="TRUE", ROW('VEH98 Data'!I$3:I$3508)-ROW('VEH98 Data'!I$3)+1),ROWS('VEH98 Data'!I$3:'VEH98 Data'!I59))),"")</f>
        <v/>
      </c>
      <c r="E71" s="58" t="str">
        <f t="array" aca="1" ref="E71" ca="1">IFERROR(INDEX('VEH98 Data'!J$3:J$3508, SMALL(IF('VEH98 Data'!$AG$3:$AG$3508="TRUE", ROW('VEH98 Data'!J$3:J$3508)-ROW('VEH98 Data'!J$3)+1),ROWS('VEH98 Data'!J$3:'VEH98 Data'!J59))),"")</f>
        <v/>
      </c>
      <c r="F71" s="58" t="str">
        <f t="array" aca="1" ref="F71" ca="1">IFERROR(INDEX('VEH98 Data'!K$3:K$3508, SMALL(IF('VEH98 Data'!$AG$3:$AG$3508="TRUE", ROW('VEH98 Data'!K$3:K$3508)-ROW('VEH98 Data'!K$3)+1),ROWS('VEH98 Data'!K$3:'VEH98 Data'!K59))),"")</f>
        <v/>
      </c>
      <c r="G71" s="654" t="str">
        <f t="array" aca="1" ref="G71" ca="1">IFERROR(INDEX('VEH98 Data'!R$3:R$3508, SMALL(IF('VEH98 Data'!$AG$3:$AG$3508="TRUE", ROW('VEH98 Data'!R$3:R$3508)-ROW('VEH98 Data'!R$3)+1),ROWS('VEH98 Data'!R$3:'VEH98 Data'!R59))),"")</f>
        <v/>
      </c>
      <c r="H71" s="654" t="str">
        <f t="array" aca="1" ref="H71" ca="1">IFERROR(INDEX('VEH98 Data'!Y$3:Y$3508, SMALL(IF('VEH98 Data'!$AG$3:$AG$3508="TRUE", ROW('VEH98 Data'!Y$3:Y$3508)-ROW('VEH98 Data'!Y$3)+1),ROWS('VEH98 Data'!Y$3:'VEH98 Data'!Y59))),"")</f>
        <v/>
      </c>
      <c r="J71" s="652">
        <f t="array" aca="1" ref="J71" ca="1">IFERROR(INDEX('VEH98 Data'!H$3:H$3508, SMALL(IF('VEH98 Data'!$AH$3:$AH$3508="TRUE", ROW('VEH98 Data'!H$3:H$3508)-ROW('VEH98 Data'!H$3)+1),ROWS('VEH98 Data'!H$3:'VEH98 Data'!H61))),"")</f>
        <v>2019</v>
      </c>
      <c r="K71" s="652" t="str">
        <f t="array" aca="1" ref="K71" ca="1">IFERROR(INDEX('VEH98 Data'!G$3:G$3508, SMALL(IF('VEH98 Data'!$AH$3:$AH$3508="TRUE", ROW('VEH98 Data'!G$3:G$3508)-ROW('VEH98 Data'!G$3)+1),ROWS('VEH98 Data'!G$3:'VEH98 Data'!G61))),"")</f>
        <v>Honda</v>
      </c>
      <c r="L71" s="652" t="str">
        <f t="array" aca="1" ref="L71" ca="1">IFERROR(INDEX('VEH98 Data'!I$3:I$3508, SMALL(IF('VEH98 Data'!$AH$3:$AH$3508="TRUE", ROW('VEH98 Data'!I$3:I$3508)-ROW('VEH98 Data'!I$3)+1),ROWS('VEH98 Data'!I$3:'VEH98 Data'!I61))),"")</f>
        <v>CR-V</v>
      </c>
      <c r="M71" s="652" t="str">
        <f t="array" aca="1" ref="M71" ca="1">IFERROR(INDEX('VEH98 Data'!J$3:J$3508, SMALL(IF('VEH98 Data'!$AH$3:$AH$3508="TRUE", ROW('VEH98 Data'!J$3:J$3508)-ROW('VEH98 Data'!J$3)+1),ROWS('VEH98 Data'!J$3:'VEH98 Data'!J61))),"")</f>
        <v>LX CVT</v>
      </c>
      <c r="N71" s="652" t="str">
        <f t="array" aca="1" ref="N71" ca="1">IFERROR(INDEX('VEH98 Data'!K$3:K$3508, SMALL(IF('VEH98 Data'!$AH$3:$AH$3508="TRUE", ROW('VEH98 Data'!K$3:K$3508)-ROW('VEH98 Data'!K$3)+1),ROWS('VEH98 Data'!K$3:'VEH98 Data'!K61))),"")</f>
        <v>FWD</v>
      </c>
      <c r="O71" s="653" t="str">
        <f t="array" aca="1" ref="O71" ca="1">IFERROR(INDEX('VEH98 Data'!R$3:R$3508, SMALL(IF('VEH98 Data'!$AH$3:$AH$3508="TRUE", ROW('VEH98 Data'!R$3:R$3508)-ROW('VEH98 Data'!R$3)+1),ROWS('VEH98 Data'!R$3:'VEH98 Data'!R61))),"")</f>
        <v>2.4L</v>
      </c>
      <c r="P71" s="653">
        <f t="array" aca="1" ref="P71" ca="1">IFERROR(INDEX('VEH98 Data'!Y$3:Y$3508, SMALL(IF('VEH98 Data'!$AH$3:$AH$3508="TRUE", ROW('VEH98 Data'!Y$3:Y$3508)-ROW('VEH98 Data'!Y$3)+1),ROWS('VEH98 Data'!Y$3:'VEH98 Data'!Y61))),"")</f>
        <v>28</v>
      </c>
    </row>
    <row r="72" spans="2:16">
      <c r="B72" s="652" t="str">
        <f t="array" aca="1" ref="B72" ca="1">IFERROR(INDEX('VEH98 Data'!H$3:H$3508, SMALL(IF('VEH98 Data'!$AG$3:$AG$3508="TRUE", ROW('VEH98 Data'!H$3:H$3508)-ROW('VEH98 Data'!H$3)+1),ROWS('VEH98 Data'!H$3:'VEH98 Data'!H60))),"")</f>
        <v/>
      </c>
      <c r="C72" s="652" t="str">
        <f t="array" aca="1" ref="C72" ca="1">IFERROR(INDEX('VEH98 Data'!G$3:G$3508, SMALL(IF('VEH98 Data'!$AG$3:$AG$3508="TRUE", ROW('VEH98 Data'!G$3:G$3508)-ROW('VEH98 Data'!G$3)+1),ROWS('VEH98 Data'!G$3:'VEH98 Data'!G60))),"")</f>
        <v/>
      </c>
      <c r="D72" s="652" t="str">
        <f t="array" aca="1" ref="D72" ca="1">IFERROR(INDEX('VEH98 Data'!I$3:I$3508, SMALL(IF('VEH98 Data'!$AG$3:$AG$3508="TRUE", ROW('VEH98 Data'!I$3:I$3508)-ROW('VEH98 Data'!I$3)+1),ROWS('VEH98 Data'!I$3:'VEH98 Data'!I60))),"")</f>
        <v/>
      </c>
      <c r="E72" s="652" t="str">
        <f t="array" aca="1" ref="E72" ca="1">IFERROR(INDEX('VEH98 Data'!J$3:J$3508, SMALL(IF('VEH98 Data'!$AG$3:$AG$3508="TRUE", ROW('VEH98 Data'!J$3:J$3508)-ROW('VEH98 Data'!J$3)+1),ROWS('VEH98 Data'!J$3:'VEH98 Data'!J60))),"")</f>
        <v/>
      </c>
      <c r="F72" s="652" t="str">
        <f t="array" aca="1" ref="F72" ca="1">IFERROR(INDEX('VEH98 Data'!K$3:K$3508, SMALL(IF('VEH98 Data'!$AG$3:$AG$3508="TRUE", ROW('VEH98 Data'!K$3:K$3508)-ROW('VEH98 Data'!K$3)+1),ROWS('VEH98 Data'!K$3:'VEH98 Data'!K60))),"")</f>
        <v/>
      </c>
      <c r="G72" s="653" t="str">
        <f t="array" aca="1" ref="G72" ca="1">IFERROR(INDEX('VEH98 Data'!R$3:R$3508, SMALL(IF('VEH98 Data'!$AG$3:$AG$3508="TRUE", ROW('VEH98 Data'!R$3:R$3508)-ROW('VEH98 Data'!R$3)+1),ROWS('VEH98 Data'!R$3:'VEH98 Data'!R60))),"")</f>
        <v/>
      </c>
      <c r="H72" s="653" t="str">
        <f t="array" aca="1" ref="H72" ca="1">IFERROR(INDEX('VEH98 Data'!Y$3:Y$3508, SMALL(IF('VEH98 Data'!$AG$3:$AG$3508="TRUE", ROW('VEH98 Data'!Y$3:Y$3508)-ROW('VEH98 Data'!Y$3)+1),ROWS('VEH98 Data'!Y$3:'VEH98 Data'!Y60))),"")</f>
        <v/>
      </c>
      <c r="J72" s="58">
        <f t="array" aca="1" ref="J72" ca="1">IFERROR(INDEX('VEH98 Data'!H$3:H$3508, SMALL(IF('VEH98 Data'!$AH$3:$AH$3508="TRUE", ROW('VEH98 Data'!H$3:H$3508)-ROW('VEH98 Data'!H$3)+1),ROWS('VEH98 Data'!H$3:'VEH98 Data'!H62))),"")</f>
        <v>2019</v>
      </c>
      <c r="K72" s="58" t="str">
        <f t="array" aca="1" ref="K72" ca="1">IFERROR(INDEX('VEH98 Data'!G$3:G$3508, SMALL(IF('VEH98 Data'!$AH$3:$AH$3508="TRUE", ROW('VEH98 Data'!G$3:G$3508)-ROW('VEH98 Data'!G$3)+1),ROWS('VEH98 Data'!G$3:'VEH98 Data'!G62))),"")</f>
        <v>Honda</v>
      </c>
      <c r="L72" s="58" t="str">
        <f t="array" aca="1" ref="L72" ca="1">IFERROR(INDEX('VEH98 Data'!I$3:I$3508, SMALL(IF('VEH98 Data'!$AH$3:$AH$3508="TRUE", ROW('VEH98 Data'!I$3:I$3508)-ROW('VEH98 Data'!I$3)+1),ROWS('VEH98 Data'!I$3:'VEH98 Data'!I62))),"")</f>
        <v>HR-V</v>
      </c>
      <c r="M72" s="58" t="str">
        <f t="array" aca="1" ref="M72" ca="1">IFERROR(INDEX('VEH98 Data'!J$3:J$3508, SMALL(IF('VEH98 Data'!$AH$3:$AH$3508="TRUE", ROW('VEH98 Data'!J$3:J$3508)-ROW('VEH98 Data'!J$3)+1),ROWS('VEH98 Data'!J$3:'VEH98 Data'!J62))),"")</f>
        <v>LX CVT</v>
      </c>
      <c r="N72" s="58" t="str">
        <f t="array" aca="1" ref="N72" ca="1">IFERROR(INDEX('VEH98 Data'!K$3:K$3508, SMALL(IF('VEH98 Data'!$AH$3:$AH$3508="TRUE", ROW('VEH98 Data'!K$3:K$3508)-ROW('VEH98 Data'!K$3)+1),ROWS('VEH98 Data'!K$3:'VEH98 Data'!K62))),"")</f>
        <v>AWD</v>
      </c>
      <c r="O72" s="654" t="str">
        <f t="array" aca="1" ref="O72" ca="1">IFERROR(INDEX('VEH98 Data'!R$3:R$3508, SMALL(IF('VEH98 Data'!$AH$3:$AH$3508="TRUE", ROW('VEH98 Data'!R$3:R$3508)-ROW('VEH98 Data'!R$3)+1),ROWS('VEH98 Data'!R$3:'VEH98 Data'!R62))),"")</f>
        <v>1.8L</v>
      </c>
      <c r="P72" s="654">
        <f t="array" aca="1" ref="P72" ca="1">IFERROR(INDEX('VEH98 Data'!Y$3:Y$3508, SMALL(IF('VEH98 Data'!$AH$3:$AH$3508="TRUE", ROW('VEH98 Data'!Y$3:Y$3508)-ROW('VEH98 Data'!Y$3)+1),ROWS('VEH98 Data'!Y$3:'VEH98 Data'!Y62))),"")</f>
        <v>29</v>
      </c>
    </row>
    <row r="73" spans="2:16">
      <c r="B73" s="58" t="str">
        <f t="array" aca="1" ref="B73" ca="1">IFERROR(INDEX('VEH98 Data'!H$3:H$3508, SMALL(IF('VEH98 Data'!$AG$3:$AG$3508="TRUE", ROW('VEH98 Data'!H$3:H$3508)-ROW('VEH98 Data'!H$3)+1),ROWS('VEH98 Data'!H$3:'VEH98 Data'!H61))),"")</f>
        <v/>
      </c>
      <c r="C73" s="58" t="str">
        <f t="array" aca="1" ref="C73" ca="1">IFERROR(INDEX('VEH98 Data'!G$3:G$3508, SMALL(IF('VEH98 Data'!$AG$3:$AG$3508="TRUE", ROW('VEH98 Data'!G$3:G$3508)-ROW('VEH98 Data'!G$3)+1),ROWS('VEH98 Data'!G$3:'VEH98 Data'!G61))),"")</f>
        <v/>
      </c>
      <c r="D73" s="58" t="str">
        <f t="array" aca="1" ref="D73" ca="1">IFERROR(INDEX('VEH98 Data'!I$3:I$3508, SMALL(IF('VEH98 Data'!$AG$3:$AG$3508="TRUE", ROW('VEH98 Data'!I$3:I$3508)-ROW('VEH98 Data'!I$3)+1),ROWS('VEH98 Data'!I$3:'VEH98 Data'!I61))),"")</f>
        <v/>
      </c>
      <c r="E73" s="58" t="str">
        <f t="array" aca="1" ref="E73" ca="1">IFERROR(INDEX('VEH98 Data'!J$3:J$3508, SMALL(IF('VEH98 Data'!$AG$3:$AG$3508="TRUE", ROW('VEH98 Data'!J$3:J$3508)-ROW('VEH98 Data'!J$3)+1),ROWS('VEH98 Data'!J$3:'VEH98 Data'!J61))),"")</f>
        <v/>
      </c>
      <c r="F73" s="58" t="str">
        <f t="array" aca="1" ref="F73" ca="1">IFERROR(INDEX('VEH98 Data'!K$3:K$3508, SMALL(IF('VEH98 Data'!$AG$3:$AG$3508="TRUE", ROW('VEH98 Data'!K$3:K$3508)-ROW('VEH98 Data'!K$3)+1),ROWS('VEH98 Data'!K$3:'VEH98 Data'!K61))),"")</f>
        <v/>
      </c>
      <c r="G73" s="654" t="str">
        <f t="array" aca="1" ref="G73" ca="1">IFERROR(INDEX('VEH98 Data'!R$3:R$3508, SMALL(IF('VEH98 Data'!$AG$3:$AG$3508="TRUE", ROW('VEH98 Data'!R$3:R$3508)-ROW('VEH98 Data'!R$3)+1),ROWS('VEH98 Data'!R$3:'VEH98 Data'!R61))),"")</f>
        <v/>
      </c>
      <c r="H73" s="654" t="str">
        <f t="array" aca="1" ref="H73" ca="1">IFERROR(INDEX('VEH98 Data'!Y$3:Y$3508, SMALL(IF('VEH98 Data'!$AG$3:$AG$3508="TRUE", ROW('VEH98 Data'!Y$3:Y$3508)-ROW('VEH98 Data'!Y$3)+1),ROWS('VEH98 Data'!Y$3:'VEH98 Data'!Y61))),"")</f>
        <v/>
      </c>
      <c r="J73" s="652">
        <f t="array" aca="1" ref="J73" ca="1">IFERROR(INDEX('VEH98 Data'!H$3:H$3508, SMALL(IF('VEH98 Data'!$AH$3:$AH$3508="TRUE", ROW('VEH98 Data'!H$3:H$3508)-ROW('VEH98 Data'!H$3)+1),ROWS('VEH98 Data'!H$3:'VEH98 Data'!H63))),"")</f>
        <v>2019</v>
      </c>
      <c r="K73" s="652" t="str">
        <f t="array" aca="1" ref="K73" ca="1">IFERROR(INDEX('VEH98 Data'!G$3:G$3508, SMALL(IF('VEH98 Data'!$AH$3:$AH$3508="TRUE", ROW('VEH98 Data'!G$3:G$3508)-ROW('VEH98 Data'!G$3)+1),ROWS('VEH98 Data'!G$3:'VEH98 Data'!G63))),"")</f>
        <v>Honda</v>
      </c>
      <c r="L73" s="652" t="str">
        <f t="array" aca="1" ref="L73" ca="1">IFERROR(INDEX('VEH98 Data'!I$3:I$3508, SMALL(IF('VEH98 Data'!$AH$3:$AH$3508="TRUE", ROW('VEH98 Data'!I$3:I$3508)-ROW('VEH98 Data'!I$3)+1),ROWS('VEH98 Data'!I$3:'VEH98 Data'!I63))),"")</f>
        <v>HR-V</v>
      </c>
      <c r="M73" s="652" t="str">
        <f t="array" aca="1" ref="M73" ca="1">IFERROR(INDEX('VEH98 Data'!J$3:J$3508, SMALL(IF('VEH98 Data'!$AH$3:$AH$3508="TRUE", ROW('VEH98 Data'!J$3:J$3508)-ROW('VEH98 Data'!J$3)+1),ROWS('VEH98 Data'!J$3:'VEH98 Data'!J63))),"")</f>
        <v>LX CVT</v>
      </c>
      <c r="N73" s="652" t="str">
        <f t="array" aca="1" ref="N73" ca="1">IFERROR(INDEX('VEH98 Data'!K$3:K$3508, SMALL(IF('VEH98 Data'!$AH$3:$AH$3508="TRUE", ROW('VEH98 Data'!K$3:K$3508)-ROW('VEH98 Data'!K$3)+1),ROWS('VEH98 Data'!K$3:'VEH98 Data'!K63))),"")</f>
        <v>FWD</v>
      </c>
      <c r="O73" s="653" t="str">
        <f t="array" aca="1" ref="O73" ca="1">IFERROR(INDEX('VEH98 Data'!R$3:R$3508, SMALL(IF('VEH98 Data'!$AH$3:$AH$3508="TRUE", ROW('VEH98 Data'!R$3:R$3508)-ROW('VEH98 Data'!R$3)+1),ROWS('VEH98 Data'!R$3:'VEH98 Data'!R63))),"")</f>
        <v>1.8L</v>
      </c>
      <c r="P73" s="653">
        <f t="array" aca="1" ref="P73" ca="1">IFERROR(INDEX('VEH98 Data'!Y$3:Y$3508, SMALL(IF('VEH98 Data'!$AH$3:$AH$3508="TRUE", ROW('VEH98 Data'!Y$3:Y$3508)-ROW('VEH98 Data'!Y$3)+1),ROWS('VEH98 Data'!Y$3:'VEH98 Data'!Y63))),"")</f>
        <v>31</v>
      </c>
    </row>
    <row r="74" spans="2:16">
      <c r="B74" s="652" t="str">
        <f t="array" aca="1" ref="B74" ca="1">IFERROR(INDEX('VEH98 Data'!H$3:H$3508, SMALL(IF('VEH98 Data'!$AG$3:$AG$3508="TRUE", ROW('VEH98 Data'!H$3:H$3508)-ROW('VEH98 Data'!H$3)+1),ROWS('VEH98 Data'!H$3:'VEH98 Data'!H62))),"")</f>
        <v/>
      </c>
      <c r="C74" s="652" t="str">
        <f t="array" aca="1" ref="C74" ca="1">IFERROR(INDEX('VEH98 Data'!G$3:G$3508, SMALL(IF('VEH98 Data'!$AG$3:$AG$3508="TRUE", ROW('VEH98 Data'!G$3:G$3508)-ROW('VEH98 Data'!G$3)+1),ROWS('VEH98 Data'!G$3:'VEH98 Data'!G62))),"")</f>
        <v/>
      </c>
      <c r="D74" s="652" t="str">
        <f t="array" aca="1" ref="D74" ca="1">IFERROR(INDEX('VEH98 Data'!I$3:I$3508, SMALL(IF('VEH98 Data'!$AG$3:$AG$3508="TRUE", ROW('VEH98 Data'!I$3:I$3508)-ROW('VEH98 Data'!I$3)+1),ROWS('VEH98 Data'!I$3:'VEH98 Data'!I62))),"")</f>
        <v/>
      </c>
      <c r="E74" s="652" t="str">
        <f t="array" aca="1" ref="E74" ca="1">IFERROR(INDEX('VEH98 Data'!J$3:J$3508, SMALL(IF('VEH98 Data'!$AG$3:$AG$3508="TRUE", ROW('VEH98 Data'!J$3:J$3508)-ROW('VEH98 Data'!J$3)+1),ROWS('VEH98 Data'!J$3:'VEH98 Data'!J62))),"")</f>
        <v/>
      </c>
      <c r="F74" s="652" t="str">
        <f t="array" aca="1" ref="F74" ca="1">IFERROR(INDEX('VEH98 Data'!K$3:K$3508, SMALL(IF('VEH98 Data'!$AG$3:$AG$3508="TRUE", ROW('VEH98 Data'!K$3:K$3508)-ROW('VEH98 Data'!K$3)+1),ROWS('VEH98 Data'!K$3:'VEH98 Data'!K62))),"")</f>
        <v/>
      </c>
      <c r="G74" s="653" t="str">
        <f t="array" aca="1" ref="G74" ca="1">IFERROR(INDEX('VEH98 Data'!R$3:R$3508, SMALL(IF('VEH98 Data'!$AG$3:$AG$3508="TRUE", ROW('VEH98 Data'!R$3:R$3508)-ROW('VEH98 Data'!R$3)+1),ROWS('VEH98 Data'!R$3:'VEH98 Data'!R62))),"")</f>
        <v/>
      </c>
      <c r="H74" s="653" t="str">
        <f t="array" aca="1" ref="H74" ca="1">IFERROR(INDEX('VEH98 Data'!Y$3:Y$3508, SMALL(IF('VEH98 Data'!$AG$3:$AG$3508="TRUE", ROW('VEH98 Data'!Y$3:Y$3508)-ROW('VEH98 Data'!Y$3)+1),ROWS('VEH98 Data'!Y$3:'VEH98 Data'!Y62))),"")</f>
        <v/>
      </c>
      <c r="J74" s="58">
        <f t="array" aca="1" ref="J74" ca="1">IFERROR(INDEX('VEH98 Data'!H$3:H$3508, SMALL(IF('VEH98 Data'!$AH$3:$AH$3508="TRUE", ROW('VEH98 Data'!H$3:H$3508)-ROW('VEH98 Data'!H$3)+1),ROWS('VEH98 Data'!H$3:'VEH98 Data'!H64))),"")</f>
        <v>2019</v>
      </c>
      <c r="K74" s="58" t="str">
        <f t="array" aca="1" ref="K74" ca="1">IFERROR(INDEX('VEH98 Data'!G$3:G$3508, SMALL(IF('VEH98 Data'!$AH$3:$AH$3508="TRUE", ROW('VEH98 Data'!G$3:G$3508)-ROW('VEH98 Data'!G$3)+1),ROWS('VEH98 Data'!G$3:'VEH98 Data'!G64))),"")</f>
        <v>Honda</v>
      </c>
      <c r="L74" s="58" t="str">
        <f t="array" aca="1" ref="L74" ca="1">IFERROR(INDEX('VEH98 Data'!I$3:I$3508, SMALL(IF('VEH98 Data'!$AH$3:$AH$3508="TRUE", ROW('VEH98 Data'!I$3:I$3508)-ROW('VEH98 Data'!I$3)+1),ROWS('VEH98 Data'!I$3:'VEH98 Data'!I64))),"")</f>
        <v>Pilot</v>
      </c>
      <c r="M74" s="58" t="str">
        <f t="array" aca="1" ref="M74" ca="1">IFERROR(INDEX('VEH98 Data'!J$3:J$3508, SMALL(IF('VEH98 Data'!$AH$3:$AH$3508="TRUE", ROW('VEH98 Data'!J$3:J$3508)-ROW('VEH98 Data'!J$3)+1),ROWS('VEH98 Data'!J$3:'VEH98 Data'!J64))),"")</f>
        <v>LX</v>
      </c>
      <c r="N74" s="58" t="str">
        <f t="array" aca="1" ref="N74" ca="1">IFERROR(INDEX('VEH98 Data'!K$3:K$3508, SMALL(IF('VEH98 Data'!$AH$3:$AH$3508="TRUE", ROW('VEH98 Data'!K$3:K$3508)-ROW('VEH98 Data'!K$3)+1),ROWS('VEH98 Data'!K$3:'VEH98 Data'!K64))),"")</f>
        <v>FWD</v>
      </c>
      <c r="O74" s="654" t="str">
        <f t="array" aca="1" ref="O74" ca="1">IFERROR(INDEX('VEH98 Data'!R$3:R$3508, SMALL(IF('VEH98 Data'!$AH$3:$AH$3508="TRUE", ROW('VEH98 Data'!R$3:R$3508)-ROW('VEH98 Data'!R$3)+1),ROWS('VEH98 Data'!R$3:'VEH98 Data'!R64))),"")</f>
        <v>3.5L</v>
      </c>
      <c r="P74" s="654">
        <f t="array" aca="1" ref="P74" ca="1">IFERROR(INDEX('VEH98 Data'!Y$3:Y$3508, SMALL(IF('VEH98 Data'!$AH$3:$AH$3508="TRUE", ROW('VEH98 Data'!Y$3:Y$3508)-ROW('VEH98 Data'!Y$3)+1),ROWS('VEH98 Data'!Y$3:'VEH98 Data'!Y64))),"")</f>
        <v>22</v>
      </c>
    </row>
    <row r="75" spans="2:16">
      <c r="B75" s="58" t="str">
        <f t="array" aca="1" ref="B75" ca="1">IFERROR(INDEX('VEH98 Data'!H$3:H$3508, SMALL(IF('VEH98 Data'!$AG$3:$AG$3508="TRUE", ROW('VEH98 Data'!H$3:H$3508)-ROW('VEH98 Data'!H$3)+1),ROWS('VEH98 Data'!H$3:'VEH98 Data'!H63))),"")</f>
        <v/>
      </c>
      <c r="C75" s="58" t="str">
        <f t="array" aca="1" ref="C75" ca="1">IFERROR(INDEX('VEH98 Data'!G$3:G$3508, SMALL(IF('VEH98 Data'!$AG$3:$AG$3508="TRUE", ROW('VEH98 Data'!G$3:G$3508)-ROW('VEH98 Data'!G$3)+1),ROWS('VEH98 Data'!G$3:'VEH98 Data'!G63))),"")</f>
        <v/>
      </c>
      <c r="D75" s="58" t="str">
        <f t="array" aca="1" ref="D75" ca="1">IFERROR(INDEX('VEH98 Data'!I$3:I$3508, SMALL(IF('VEH98 Data'!$AG$3:$AG$3508="TRUE", ROW('VEH98 Data'!I$3:I$3508)-ROW('VEH98 Data'!I$3)+1),ROWS('VEH98 Data'!I$3:'VEH98 Data'!I63))),"")</f>
        <v/>
      </c>
      <c r="E75" s="58" t="str">
        <f t="array" aca="1" ref="E75" ca="1">IFERROR(INDEX('VEH98 Data'!J$3:J$3508, SMALL(IF('VEH98 Data'!$AG$3:$AG$3508="TRUE", ROW('VEH98 Data'!J$3:J$3508)-ROW('VEH98 Data'!J$3)+1),ROWS('VEH98 Data'!J$3:'VEH98 Data'!J63))),"")</f>
        <v/>
      </c>
      <c r="F75" s="58" t="str">
        <f t="array" aca="1" ref="F75" ca="1">IFERROR(INDEX('VEH98 Data'!K$3:K$3508, SMALL(IF('VEH98 Data'!$AG$3:$AG$3508="TRUE", ROW('VEH98 Data'!K$3:K$3508)-ROW('VEH98 Data'!K$3)+1),ROWS('VEH98 Data'!K$3:'VEH98 Data'!K63))),"")</f>
        <v/>
      </c>
      <c r="G75" s="654" t="str">
        <f t="array" aca="1" ref="G75" ca="1">IFERROR(INDEX('VEH98 Data'!R$3:R$3508, SMALL(IF('VEH98 Data'!$AG$3:$AG$3508="TRUE", ROW('VEH98 Data'!R$3:R$3508)-ROW('VEH98 Data'!R$3)+1),ROWS('VEH98 Data'!R$3:'VEH98 Data'!R63))),"")</f>
        <v/>
      </c>
      <c r="H75" s="654" t="str">
        <f t="array" aca="1" ref="H75" ca="1">IFERROR(INDEX('VEH98 Data'!Y$3:Y$3508, SMALL(IF('VEH98 Data'!$AG$3:$AG$3508="TRUE", ROW('VEH98 Data'!Y$3:Y$3508)-ROW('VEH98 Data'!Y$3)+1),ROWS('VEH98 Data'!Y$3:'VEH98 Data'!Y63))),"")</f>
        <v/>
      </c>
      <c r="J75" s="652">
        <f t="array" aca="1" ref="J75" ca="1">IFERROR(INDEX('VEH98 Data'!H$3:H$3508, SMALL(IF('VEH98 Data'!$AH$3:$AH$3508="TRUE", ROW('VEH98 Data'!H$3:H$3508)-ROW('VEH98 Data'!H$3)+1),ROWS('VEH98 Data'!H$3:'VEH98 Data'!H65))),"")</f>
        <v>2019</v>
      </c>
      <c r="K75" s="652" t="str">
        <f t="array" aca="1" ref="K75" ca="1">IFERROR(INDEX('VEH98 Data'!G$3:G$3508, SMALL(IF('VEH98 Data'!$AH$3:$AH$3508="TRUE", ROW('VEH98 Data'!G$3:G$3508)-ROW('VEH98 Data'!G$3)+1),ROWS('VEH98 Data'!G$3:'VEH98 Data'!G65))),"")</f>
        <v>Hyundai</v>
      </c>
      <c r="L75" s="652" t="str">
        <f t="array" aca="1" ref="L75" ca="1">IFERROR(INDEX('VEH98 Data'!I$3:I$3508, SMALL(IF('VEH98 Data'!$AH$3:$AH$3508="TRUE", ROW('VEH98 Data'!I$3:I$3508)-ROW('VEH98 Data'!I$3)+1),ROWS('VEH98 Data'!I$3:'VEH98 Data'!I65))),"")</f>
        <v>Tucson</v>
      </c>
      <c r="M75" s="652" t="str">
        <f t="array" aca="1" ref="M75" ca="1">IFERROR(INDEX('VEH98 Data'!J$3:J$3508, SMALL(IF('VEH98 Data'!$AH$3:$AH$3508="TRUE", ROW('VEH98 Data'!J$3:J$3508)-ROW('VEH98 Data'!J$3)+1),ROWS('VEH98 Data'!J$3:'VEH98 Data'!J65))),"")</f>
        <v>SE</v>
      </c>
      <c r="N75" s="652" t="str">
        <f t="array" aca="1" ref="N75" ca="1">IFERROR(INDEX('VEH98 Data'!K$3:K$3508, SMALL(IF('VEH98 Data'!$AH$3:$AH$3508="TRUE", ROW('VEH98 Data'!K$3:K$3508)-ROW('VEH98 Data'!K$3)+1),ROWS('VEH98 Data'!K$3:'VEH98 Data'!K65))),"")</f>
        <v>AWD</v>
      </c>
      <c r="O75" s="653" t="str">
        <f t="array" aca="1" ref="O75" ca="1">IFERROR(INDEX('VEH98 Data'!R$3:R$3508, SMALL(IF('VEH98 Data'!$AH$3:$AH$3508="TRUE", ROW('VEH98 Data'!R$3:R$3508)-ROW('VEH98 Data'!R$3)+1),ROWS('VEH98 Data'!R$3:'VEH98 Data'!R65))),"")</f>
        <v>2.0L</v>
      </c>
      <c r="P75" s="653">
        <f t="array" aca="1" ref="P75" ca="1">IFERROR(INDEX('VEH98 Data'!Y$3:Y$3508, SMALL(IF('VEH98 Data'!$AH$3:$AH$3508="TRUE", ROW('VEH98 Data'!Y$3:Y$3508)-ROW('VEH98 Data'!Y$3)+1),ROWS('VEH98 Data'!Y$3:'VEH98 Data'!Y65))),"")</f>
        <v>23</v>
      </c>
    </row>
    <row r="76" spans="2:16">
      <c r="B76" s="652" t="str">
        <f t="array" aca="1" ref="B76" ca="1">IFERROR(INDEX('VEH98 Data'!H$3:H$3508, SMALL(IF('VEH98 Data'!$AG$3:$AG$3508="TRUE", ROW('VEH98 Data'!H$3:H$3508)-ROW('VEH98 Data'!H$3)+1),ROWS('VEH98 Data'!H$3:'VEH98 Data'!H64))),"")</f>
        <v/>
      </c>
      <c r="C76" s="652" t="str">
        <f t="array" aca="1" ref="C76" ca="1">IFERROR(INDEX('VEH98 Data'!G$3:G$3508, SMALL(IF('VEH98 Data'!$AG$3:$AG$3508="TRUE", ROW('VEH98 Data'!G$3:G$3508)-ROW('VEH98 Data'!G$3)+1),ROWS('VEH98 Data'!G$3:'VEH98 Data'!G64))),"")</f>
        <v/>
      </c>
      <c r="D76" s="652" t="str">
        <f t="array" aca="1" ref="D76" ca="1">IFERROR(INDEX('VEH98 Data'!I$3:I$3508, SMALL(IF('VEH98 Data'!$AG$3:$AG$3508="TRUE", ROW('VEH98 Data'!I$3:I$3508)-ROW('VEH98 Data'!I$3)+1),ROWS('VEH98 Data'!I$3:'VEH98 Data'!I64))),"")</f>
        <v/>
      </c>
      <c r="E76" s="652" t="str">
        <f t="array" aca="1" ref="E76" ca="1">IFERROR(INDEX('VEH98 Data'!J$3:J$3508, SMALL(IF('VEH98 Data'!$AG$3:$AG$3508="TRUE", ROW('VEH98 Data'!J$3:J$3508)-ROW('VEH98 Data'!J$3)+1),ROWS('VEH98 Data'!J$3:'VEH98 Data'!J64))),"")</f>
        <v/>
      </c>
      <c r="F76" s="652" t="str">
        <f t="array" aca="1" ref="F76" ca="1">IFERROR(INDEX('VEH98 Data'!K$3:K$3508, SMALL(IF('VEH98 Data'!$AG$3:$AG$3508="TRUE", ROW('VEH98 Data'!K$3:K$3508)-ROW('VEH98 Data'!K$3)+1),ROWS('VEH98 Data'!K$3:'VEH98 Data'!K64))),"")</f>
        <v/>
      </c>
      <c r="G76" s="653" t="str">
        <f t="array" aca="1" ref="G76" ca="1">IFERROR(INDEX('VEH98 Data'!R$3:R$3508, SMALL(IF('VEH98 Data'!$AG$3:$AG$3508="TRUE", ROW('VEH98 Data'!R$3:R$3508)-ROW('VEH98 Data'!R$3)+1),ROWS('VEH98 Data'!R$3:'VEH98 Data'!R64))),"")</f>
        <v/>
      </c>
      <c r="H76" s="653" t="str">
        <f t="array" aca="1" ref="H76" ca="1">IFERROR(INDEX('VEH98 Data'!Y$3:Y$3508, SMALL(IF('VEH98 Data'!$AG$3:$AG$3508="TRUE", ROW('VEH98 Data'!Y$3:Y$3508)-ROW('VEH98 Data'!Y$3)+1),ROWS('VEH98 Data'!Y$3:'VEH98 Data'!Y64))),"")</f>
        <v/>
      </c>
      <c r="J76" s="58">
        <f t="array" aca="1" ref="J76" ca="1">IFERROR(INDEX('VEH98 Data'!H$3:H$3508, SMALL(IF('VEH98 Data'!$AH$3:$AH$3508="TRUE", ROW('VEH98 Data'!H$3:H$3508)-ROW('VEH98 Data'!H$3)+1),ROWS('VEH98 Data'!H$3:'VEH98 Data'!H66))),"")</f>
        <v>2019</v>
      </c>
      <c r="K76" s="58" t="str">
        <f t="array" aca="1" ref="K76" ca="1">IFERROR(INDEX('VEH98 Data'!G$3:G$3508, SMALL(IF('VEH98 Data'!$AH$3:$AH$3508="TRUE", ROW('VEH98 Data'!G$3:G$3508)-ROW('VEH98 Data'!G$3)+1),ROWS('VEH98 Data'!G$3:'VEH98 Data'!G66))),"")</f>
        <v>Hyundai</v>
      </c>
      <c r="L76" s="58" t="str">
        <f t="array" aca="1" ref="L76" ca="1">IFERROR(INDEX('VEH98 Data'!I$3:I$3508, SMALL(IF('VEH98 Data'!$AH$3:$AH$3508="TRUE", ROW('VEH98 Data'!I$3:I$3508)-ROW('VEH98 Data'!I$3)+1),ROWS('VEH98 Data'!I$3:'VEH98 Data'!I66))),"")</f>
        <v>Tucson</v>
      </c>
      <c r="M76" s="58" t="str">
        <f t="array" aca="1" ref="M76" ca="1">IFERROR(INDEX('VEH98 Data'!J$3:J$3508, SMALL(IF('VEH98 Data'!$AH$3:$AH$3508="TRUE", ROW('VEH98 Data'!J$3:J$3508)-ROW('VEH98 Data'!J$3)+1),ROWS('VEH98 Data'!J$3:'VEH98 Data'!J66))),"")</f>
        <v>SE</v>
      </c>
      <c r="N76" s="58" t="str">
        <f t="array" aca="1" ref="N76" ca="1">IFERROR(INDEX('VEH98 Data'!K$3:K$3508, SMALL(IF('VEH98 Data'!$AH$3:$AH$3508="TRUE", ROW('VEH98 Data'!K$3:K$3508)-ROW('VEH98 Data'!K$3)+1),ROWS('VEH98 Data'!K$3:'VEH98 Data'!K66))),"")</f>
        <v>FWD</v>
      </c>
      <c r="O76" s="654" t="str">
        <f t="array" aca="1" ref="O76" ca="1">IFERROR(INDEX('VEH98 Data'!R$3:R$3508, SMALL(IF('VEH98 Data'!$AH$3:$AH$3508="TRUE", ROW('VEH98 Data'!R$3:R$3508)-ROW('VEH98 Data'!R$3)+1),ROWS('VEH98 Data'!R$3:'VEH98 Data'!R66))),"")</f>
        <v>2.0L</v>
      </c>
      <c r="P76" s="654">
        <f t="array" aca="1" ref="P76" ca="1">IFERROR(INDEX('VEH98 Data'!Y$3:Y$3508, SMALL(IF('VEH98 Data'!$AH$3:$AH$3508="TRUE", ROW('VEH98 Data'!Y$3:Y$3508)-ROW('VEH98 Data'!Y$3)+1),ROWS('VEH98 Data'!Y$3:'VEH98 Data'!Y66))),"")</f>
        <v>26</v>
      </c>
    </row>
    <row r="77" spans="2:16">
      <c r="B77" s="58" t="str">
        <f t="array" aca="1" ref="B77" ca="1">IFERROR(INDEX('VEH98 Data'!H$3:H$3508, SMALL(IF('VEH98 Data'!$AG$3:$AG$3508="TRUE", ROW('VEH98 Data'!H$3:H$3508)-ROW('VEH98 Data'!H$3)+1),ROWS('VEH98 Data'!H$3:'VEH98 Data'!H65))),"")</f>
        <v/>
      </c>
      <c r="C77" s="58" t="str">
        <f t="array" aca="1" ref="C77" ca="1">IFERROR(INDEX('VEH98 Data'!G$3:G$3508, SMALL(IF('VEH98 Data'!$AG$3:$AG$3508="TRUE", ROW('VEH98 Data'!G$3:G$3508)-ROW('VEH98 Data'!G$3)+1),ROWS('VEH98 Data'!G$3:'VEH98 Data'!G65))),"")</f>
        <v/>
      </c>
      <c r="D77" s="58" t="str">
        <f t="array" aca="1" ref="D77" ca="1">IFERROR(INDEX('VEH98 Data'!I$3:I$3508, SMALL(IF('VEH98 Data'!$AG$3:$AG$3508="TRUE", ROW('VEH98 Data'!I$3:I$3508)-ROW('VEH98 Data'!I$3)+1),ROWS('VEH98 Data'!I$3:'VEH98 Data'!I65))),"")</f>
        <v/>
      </c>
      <c r="E77" s="58" t="str">
        <f t="array" aca="1" ref="E77" ca="1">IFERROR(INDEX('VEH98 Data'!J$3:J$3508, SMALL(IF('VEH98 Data'!$AG$3:$AG$3508="TRUE", ROW('VEH98 Data'!J$3:J$3508)-ROW('VEH98 Data'!J$3)+1),ROWS('VEH98 Data'!J$3:'VEH98 Data'!J65))),"")</f>
        <v/>
      </c>
      <c r="F77" s="58" t="str">
        <f t="array" aca="1" ref="F77" ca="1">IFERROR(INDEX('VEH98 Data'!K$3:K$3508, SMALL(IF('VEH98 Data'!$AG$3:$AG$3508="TRUE", ROW('VEH98 Data'!K$3:K$3508)-ROW('VEH98 Data'!K$3)+1),ROWS('VEH98 Data'!K$3:'VEH98 Data'!K65))),"")</f>
        <v/>
      </c>
      <c r="G77" s="654" t="str">
        <f t="array" aca="1" ref="G77" ca="1">IFERROR(INDEX('VEH98 Data'!R$3:R$3508, SMALL(IF('VEH98 Data'!$AG$3:$AG$3508="TRUE", ROW('VEH98 Data'!R$3:R$3508)-ROW('VEH98 Data'!R$3)+1),ROWS('VEH98 Data'!R$3:'VEH98 Data'!R65))),"")</f>
        <v/>
      </c>
      <c r="H77" s="654" t="str">
        <f t="array" aca="1" ref="H77" ca="1">IFERROR(INDEX('VEH98 Data'!Y$3:Y$3508, SMALL(IF('VEH98 Data'!$AG$3:$AG$3508="TRUE", ROW('VEH98 Data'!Y$3:Y$3508)-ROW('VEH98 Data'!Y$3)+1),ROWS('VEH98 Data'!Y$3:'VEH98 Data'!Y65))),"")</f>
        <v/>
      </c>
      <c r="J77" s="652">
        <f t="array" aca="1" ref="J77" ca="1">IFERROR(INDEX('VEH98 Data'!H$3:H$3508, SMALL(IF('VEH98 Data'!$AH$3:$AH$3508="TRUE", ROW('VEH98 Data'!H$3:H$3508)-ROW('VEH98 Data'!H$3)+1),ROWS('VEH98 Data'!H$3:'VEH98 Data'!H67))),"")</f>
        <v>2019</v>
      </c>
      <c r="K77" s="652" t="str">
        <f t="array" aca="1" ref="K77" ca="1">IFERROR(INDEX('VEH98 Data'!G$3:G$3508, SMALL(IF('VEH98 Data'!$AH$3:$AH$3508="TRUE", ROW('VEH98 Data'!G$3:G$3508)-ROW('VEH98 Data'!G$3)+1),ROWS('VEH98 Data'!G$3:'VEH98 Data'!G67))),"")</f>
        <v>Jeep</v>
      </c>
      <c r="L77" s="652" t="str">
        <f t="array" aca="1" ref="L77" ca="1">IFERROR(INDEX('VEH98 Data'!I$3:I$3508, SMALL(IF('VEH98 Data'!$AH$3:$AH$3508="TRUE", ROW('VEH98 Data'!I$3:I$3508)-ROW('VEH98 Data'!I$3)+1),ROWS('VEH98 Data'!I$3:'VEH98 Data'!I67))),"")</f>
        <v>Cherokee</v>
      </c>
      <c r="M77" s="652" t="str">
        <f t="array" aca="1" ref="M77" ca="1">IFERROR(INDEX('VEH98 Data'!J$3:J$3508, SMALL(IF('VEH98 Data'!$AH$3:$AH$3508="TRUE", ROW('VEH98 Data'!J$3:J$3508)-ROW('VEH98 Data'!J$3)+1),ROWS('VEH98 Data'!J$3:'VEH98 Data'!J67))),"")</f>
        <v>Latitude</v>
      </c>
      <c r="N77" s="652" t="str">
        <f t="array" aca="1" ref="N77" ca="1">IFERROR(INDEX('VEH98 Data'!K$3:K$3508, SMALL(IF('VEH98 Data'!$AH$3:$AH$3508="TRUE", ROW('VEH98 Data'!K$3:K$3508)-ROW('VEH98 Data'!K$3)+1),ROWS('VEH98 Data'!K$3:'VEH98 Data'!K67))),"")</f>
        <v>4WD</v>
      </c>
      <c r="O77" s="653" t="str">
        <f t="array" aca="1" ref="O77" ca="1">IFERROR(INDEX('VEH98 Data'!R$3:R$3508, SMALL(IF('VEH98 Data'!$AH$3:$AH$3508="TRUE", ROW('VEH98 Data'!R$3:R$3508)-ROW('VEH98 Data'!R$3)+1),ROWS('VEH98 Data'!R$3:'VEH98 Data'!R67))),"")</f>
        <v>2.4L</v>
      </c>
      <c r="P77" s="653">
        <f t="array" aca="1" ref="P77" ca="1">IFERROR(INDEX('VEH98 Data'!Y$3:Y$3508, SMALL(IF('VEH98 Data'!$AH$3:$AH$3508="TRUE", ROW('VEH98 Data'!Y$3:Y$3508)-ROW('VEH98 Data'!Y$3)+1),ROWS('VEH98 Data'!Y$3:'VEH98 Data'!Y67))),"")</f>
        <v>23</v>
      </c>
    </row>
    <row r="78" spans="2:16">
      <c r="B78" s="652" t="str">
        <f t="array" aca="1" ref="B78" ca="1">IFERROR(INDEX('VEH98 Data'!H$3:H$3508, SMALL(IF('VEH98 Data'!$AG$3:$AG$3508="TRUE", ROW('VEH98 Data'!H$3:H$3508)-ROW('VEH98 Data'!H$3)+1),ROWS('VEH98 Data'!H$3:'VEH98 Data'!H66))),"")</f>
        <v/>
      </c>
      <c r="C78" s="652" t="str">
        <f t="array" aca="1" ref="C78" ca="1">IFERROR(INDEX('VEH98 Data'!G$3:G$3508, SMALL(IF('VEH98 Data'!$AG$3:$AG$3508="TRUE", ROW('VEH98 Data'!G$3:G$3508)-ROW('VEH98 Data'!G$3)+1),ROWS('VEH98 Data'!G$3:'VEH98 Data'!G66))),"")</f>
        <v/>
      </c>
      <c r="D78" s="652" t="str">
        <f t="array" aca="1" ref="D78" ca="1">IFERROR(INDEX('VEH98 Data'!I$3:I$3508, SMALL(IF('VEH98 Data'!$AG$3:$AG$3508="TRUE", ROW('VEH98 Data'!I$3:I$3508)-ROW('VEH98 Data'!I$3)+1),ROWS('VEH98 Data'!I$3:'VEH98 Data'!I66))),"")</f>
        <v/>
      </c>
      <c r="E78" s="652" t="str">
        <f t="array" aca="1" ref="E78" ca="1">IFERROR(INDEX('VEH98 Data'!J$3:J$3508, SMALL(IF('VEH98 Data'!$AG$3:$AG$3508="TRUE", ROW('VEH98 Data'!J$3:J$3508)-ROW('VEH98 Data'!J$3)+1),ROWS('VEH98 Data'!J$3:'VEH98 Data'!J66))),"")</f>
        <v/>
      </c>
      <c r="F78" s="652" t="str">
        <f t="array" aca="1" ref="F78" ca="1">IFERROR(INDEX('VEH98 Data'!K$3:K$3508, SMALL(IF('VEH98 Data'!$AG$3:$AG$3508="TRUE", ROW('VEH98 Data'!K$3:K$3508)-ROW('VEH98 Data'!K$3)+1),ROWS('VEH98 Data'!K$3:'VEH98 Data'!K66))),"")</f>
        <v/>
      </c>
      <c r="G78" s="653" t="str">
        <f t="array" aca="1" ref="G78" ca="1">IFERROR(INDEX('VEH98 Data'!R$3:R$3508, SMALL(IF('VEH98 Data'!$AG$3:$AG$3508="TRUE", ROW('VEH98 Data'!R$3:R$3508)-ROW('VEH98 Data'!R$3)+1),ROWS('VEH98 Data'!R$3:'VEH98 Data'!R66))),"")</f>
        <v/>
      </c>
      <c r="H78" s="653" t="str">
        <f t="array" aca="1" ref="H78" ca="1">IFERROR(INDEX('VEH98 Data'!Y$3:Y$3508, SMALL(IF('VEH98 Data'!$AG$3:$AG$3508="TRUE", ROW('VEH98 Data'!Y$3:Y$3508)-ROW('VEH98 Data'!Y$3)+1),ROWS('VEH98 Data'!Y$3:'VEH98 Data'!Y66))),"")</f>
        <v/>
      </c>
      <c r="J78" s="58">
        <f t="array" aca="1" ref="J78" ca="1">IFERROR(INDEX('VEH98 Data'!H$3:H$3508, SMALL(IF('VEH98 Data'!$AH$3:$AH$3508="TRUE", ROW('VEH98 Data'!H$3:H$3508)-ROW('VEH98 Data'!H$3)+1),ROWS('VEH98 Data'!H$3:'VEH98 Data'!H68))),"")</f>
        <v>2019</v>
      </c>
      <c r="K78" s="58" t="str">
        <f t="array" aca="1" ref="K78" ca="1">IFERROR(INDEX('VEH98 Data'!G$3:G$3508, SMALL(IF('VEH98 Data'!$AH$3:$AH$3508="TRUE", ROW('VEH98 Data'!G$3:G$3508)-ROW('VEH98 Data'!G$3)+1),ROWS('VEH98 Data'!G$3:'VEH98 Data'!G68))),"")</f>
        <v>Jeep</v>
      </c>
      <c r="L78" s="58" t="str">
        <f t="array" aca="1" ref="L78" ca="1">IFERROR(INDEX('VEH98 Data'!I$3:I$3508, SMALL(IF('VEH98 Data'!$AH$3:$AH$3508="TRUE", ROW('VEH98 Data'!I$3:I$3508)-ROW('VEH98 Data'!I$3)+1),ROWS('VEH98 Data'!I$3:'VEH98 Data'!I68))),"")</f>
        <v>Cherokee</v>
      </c>
      <c r="M78" s="58" t="str">
        <f t="array" aca="1" ref="M78" ca="1">IFERROR(INDEX('VEH98 Data'!J$3:J$3508, SMALL(IF('VEH98 Data'!$AH$3:$AH$3508="TRUE", ROW('VEH98 Data'!J$3:J$3508)-ROW('VEH98 Data'!J$3)+1),ROWS('VEH98 Data'!J$3:'VEH98 Data'!J68))),"")</f>
        <v>Latitude</v>
      </c>
      <c r="N78" s="58" t="str">
        <f t="array" aca="1" ref="N78" ca="1">IFERROR(INDEX('VEH98 Data'!K$3:K$3508, SMALL(IF('VEH98 Data'!$AH$3:$AH$3508="TRUE", ROW('VEH98 Data'!K$3:K$3508)-ROW('VEH98 Data'!K$3)+1),ROWS('VEH98 Data'!K$3:'VEH98 Data'!K68))),"")</f>
        <v>FWD</v>
      </c>
      <c r="O78" s="654" t="str">
        <f t="array" aca="1" ref="O78" ca="1">IFERROR(INDEX('VEH98 Data'!R$3:R$3508, SMALL(IF('VEH98 Data'!$AH$3:$AH$3508="TRUE", ROW('VEH98 Data'!R$3:R$3508)-ROW('VEH98 Data'!R$3)+1),ROWS('VEH98 Data'!R$3:'VEH98 Data'!R68))),"")</f>
        <v>2.4L</v>
      </c>
      <c r="P78" s="654">
        <f t="array" aca="1" ref="P78" ca="1">IFERROR(INDEX('VEH98 Data'!Y$3:Y$3508, SMALL(IF('VEH98 Data'!$AH$3:$AH$3508="TRUE", ROW('VEH98 Data'!Y$3:Y$3508)-ROW('VEH98 Data'!Y$3)+1),ROWS('VEH98 Data'!Y$3:'VEH98 Data'!Y68))),"")</f>
        <v>25</v>
      </c>
    </row>
    <row r="79" spans="2:16">
      <c r="B79" s="58" t="str">
        <f t="array" aca="1" ref="B79" ca="1">IFERROR(INDEX('VEH98 Data'!H$3:H$3508, SMALL(IF('VEH98 Data'!$AG$3:$AG$3508="TRUE", ROW('VEH98 Data'!H$3:H$3508)-ROW('VEH98 Data'!H$3)+1),ROWS('VEH98 Data'!H$3:'VEH98 Data'!H67))),"")</f>
        <v/>
      </c>
      <c r="C79" s="58" t="str">
        <f t="array" aca="1" ref="C79" ca="1">IFERROR(INDEX('VEH98 Data'!G$3:G$3508, SMALL(IF('VEH98 Data'!$AG$3:$AG$3508="TRUE", ROW('VEH98 Data'!G$3:G$3508)-ROW('VEH98 Data'!G$3)+1),ROWS('VEH98 Data'!G$3:'VEH98 Data'!G67))),"")</f>
        <v/>
      </c>
      <c r="D79" s="58" t="str">
        <f t="array" aca="1" ref="D79" ca="1">IFERROR(INDEX('VEH98 Data'!I$3:I$3508, SMALL(IF('VEH98 Data'!$AG$3:$AG$3508="TRUE", ROW('VEH98 Data'!I$3:I$3508)-ROW('VEH98 Data'!I$3)+1),ROWS('VEH98 Data'!I$3:'VEH98 Data'!I67))),"")</f>
        <v/>
      </c>
      <c r="E79" s="58" t="str">
        <f t="array" aca="1" ref="E79" ca="1">IFERROR(INDEX('VEH98 Data'!J$3:J$3508, SMALL(IF('VEH98 Data'!$AG$3:$AG$3508="TRUE", ROW('VEH98 Data'!J$3:J$3508)-ROW('VEH98 Data'!J$3)+1),ROWS('VEH98 Data'!J$3:'VEH98 Data'!J67))),"")</f>
        <v/>
      </c>
      <c r="F79" s="58" t="str">
        <f t="array" aca="1" ref="F79" ca="1">IFERROR(INDEX('VEH98 Data'!K$3:K$3508, SMALL(IF('VEH98 Data'!$AG$3:$AG$3508="TRUE", ROW('VEH98 Data'!K$3:K$3508)-ROW('VEH98 Data'!K$3)+1),ROWS('VEH98 Data'!K$3:'VEH98 Data'!K67))),"")</f>
        <v/>
      </c>
      <c r="G79" s="654" t="str">
        <f t="array" aca="1" ref="G79" ca="1">IFERROR(INDEX('VEH98 Data'!R$3:R$3508, SMALL(IF('VEH98 Data'!$AG$3:$AG$3508="TRUE", ROW('VEH98 Data'!R$3:R$3508)-ROW('VEH98 Data'!R$3)+1),ROWS('VEH98 Data'!R$3:'VEH98 Data'!R67))),"")</f>
        <v/>
      </c>
      <c r="H79" s="654" t="str">
        <f t="array" aca="1" ref="H79" ca="1">IFERROR(INDEX('VEH98 Data'!Y$3:Y$3508, SMALL(IF('VEH98 Data'!$AG$3:$AG$3508="TRUE", ROW('VEH98 Data'!Y$3:Y$3508)-ROW('VEH98 Data'!Y$3)+1),ROWS('VEH98 Data'!Y$3:'VEH98 Data'!Y67))),"")</f>
        <v/>
      </c>
      <c r="J79" s="652">
        <f t="array" aca="1" ref="J79" ca="1">IFERROR(INDEX('VEH98 Data'!H$3:H$3508, SMALL(IF('VEH98 Data'!$AH$3:$AH$3508="TRUE", ROW('VEH98 Data'!H$3:H$3508)-ROW('VEH98 Data'!H$3)+1),ROWS('VEH98 Data'!H$3:'VEH98 Data'!H69))),"")</f>
        <v>2019</v>
      </c>
      <c r="K79" s="652" t="str">
        <f t="array" aca="1" ref="K79" ca="1">IFERROR(INDEX('VEH98 Data'!G$3:G$3508, SMALL(IF('VEH98 Data'!$AH$3:$AH$3508="TRUE", ROW('VEH98 Data'!G$3:G$3508)-ROW('VEH98 Data'!G$3)+1),ROWS('VEH98 Data'!G$3:'VEH98 Data'!G69))),"")</f>
        <v>Jeep</v>
      </c>
      <c r="L79" s="652" t="str">
        <f t="array" aca="1" ref="L79" ca="1">IFERROR(INDEX('VEH98 Data'!I$3:I$3508, SMALL(IF('VEH98 Data'!$AH$3:$AH$3508="TRUE", ROW('VEH98 Data'!I$3:I$3508)-ROW('VEH98 Data'!I$3)+1),ROWS('VEH98 Data'!I$3:'VEH98 Data'!I69))),"")</f>
        <v>Compass</v>
      </c>
      <c r="M79" s="652" t="str">
        <f t="array" aca="1" ref="M79" ca="1">IFERROR(INDEX('VEH98 Data'!J$3:J$3508, SMALL(IF('VEH98 Data'!$AH$3:$AH$3508="TRUE", ROW('VEH98 Data'!J$3:J$3508)-ROW('VEH98 Data'!J$3)+1),ROWS('VEH98 Data'!J$3:'VEH98 Data'!J69))),"")</f>
        <v>Latitude</v>
      </c>
      <c r="N79" s="652" t="str">
        <f t="array" aca="1" ref="N79" ca="1">IFERROR(INDEX('VEH98 Data'!K$3:K$3508, SMALL(IF('VEH98 Data'!$AH$3:$AH$3508="TRUE", ROW('VEH98 Data'!K$3:K$3508)-ROW('VEH98 Data'!K$3)+1),ROWS('VEH98 Data'!K$3:'VEH98 Data'!K69))),"")</f>
        <v>4WD</v>
      </c>
      <c r="O79" s="653" t="str">
        <f t="array" aca="1" ref="O79" ca="1">IFERROR(INDEX('VEH98 Data'!R$3:R$3508, SMALL(IF('VEH98 Data'!$AH$3:$AH$3508="TRUE", ROW('VEH98 Data'!R$3:R$3508)-ROW('VEH98 Data'!R$3)+1),ROWS('VEH98 Data'!R$3:'VEH98 Data'!R69))),"")</f>
        <v>2.4L</v>
      </c>
      <c r="P79" s="653">
        <f t="array" aca="1" ref="P79" ca="1">IFERROR(INDEX('VEH98 Data'!Y$3:Y$3508, SMALL(IF('VEH98 Data'!$AH$3:$AH$3508="TRUE", ROW('VEH98 Data'!Y$3:Y$3508)-ROW('VEH98 Data'!Y$3)+1),ROWS('VEH98 Data'!Y$3:'VEH98 Data'!Y69))),"")</f>
        <v>25</v>
      </c>
    </row>
    <row r="80" spans="2:16">
      <c r="B80" s="652" t="str">
        <f t="array" aca="1" ref="B80" ca="1">IFERROR(INDEX('VEH98 Data'!H$3:H$3508, SMALL(IF('VEH98 Data'!$AG$3:$AG$3508="TRUE", ROW('VEH98 Data'!H$3:H$3508)-ROW('VEH98 Data'!H$3)+1),ROWS('VEH98 Data'!H$3:'VEH98 Data'!H68))),"")</f>
        <v/>
      </c>
      <c r="C80" s="652" t="str">
        <f t="array" aca="1" ref="C80" ca="1">IFERROR(INDEX('VEH98 Data'!G$3:G$3508, SMALL(IF('VEH98 Data'!$AG$3:$AG$3508="TRUE", ROW('VEH98 Data'!G$3:G$3508)-ROW('VEH98 Data'!G$3)+1),ROWS('VEH98 Data'!G$3:'VEH98 Data'!G68))),"")</f>
        <v/>
      </c>
      <c r="D80" s="652" t="str">
        <f t="array" aca="1" ref="D80" ca="1">IFERROR(INDEX('VEH98 Data'!I$3:I$3508, SMALL(IF('VEH98 Data'!$AG$3:$AG$3508="TRUE", ROW('VEH98 Data'!I$3:I$3508)-ROW('VEH98 Data'!I$3)+1),ROWS('VEH98 Data'!I$3:'VEH98 Data'!I68))),"")</f>
        <v/>
      </c>
      <c r="E80" s="652" t="str">
        <f t="array" aca="1" ref="E80" ca="1">IFERROR(INDEX('VEH98 Data'!J$3:J$3508, SMALL(IF('VEH98 Data'!$AG$3:$AG$3508="TRUE", ROW('VEH98 Data'!J$3:J$3508)-ROW('VEH98 Data'!J$3)+1),ROWS('VEH98 Data'!J$3:'VEH98 Data'!J68))),"")</f>
        <v/>
      </c>
      <c r="F80" s="652" t="str">
        <f t="array" aca="1" ref="F80" ca="1">IFERROR(INDEX('VEH98 Data'!K$3:K$3508, SMALL(IF('VEH98 Data'!$AG$3:$AG$3508="TRUE", ROW('VEH98 Data'!K$3:K$3508)-ROW('VEH98 Data'!K$3)+1),ROWS('VEH98 Data'!K$3:'VEH98 Data'!K68))),"")</f>
        <v/>
      </c>
      <c r="G80" s="653" t="str">
        <f t="array" aca="1" ref="G80" ca="1">IFERROR(INDEX('VEH98 Data'!R$3:R$3508, SMALL(IF('VEH98 Data'!$AG$3:$AG$3508="TRUE", ROW('VEH98 Data'!R$3:R$3508)-ROW('VEH98 Data'!R$3)+1),ROWS('VEH98 Data'!R$3:'VEH98 Data'!R68))),"")</f>
        <v/>
      </c>
      <c r="H80" s="653" t="str">
        <f t="array" aca="1" ref="H80" ca="1">IFERROR(INDEX('VEH98 Data'!Y$3:Y$3508, SMALL(IF('VEH98 Data'!$AG$3:$AG$3508="TRUE", ROW('VEH98 Data'!Y$3:Y$3508)-ROW('VEH98 Data'!Y$3)+1),ROWS('VEH98 Data'!Y$3:'VEH98 Data'!Y68))),"")</f>
        <v/>
      </c>
      <c r="J80" s="58">
        <f t="array" aca="1" ref="J80" ca="1">IFERROR(INDEX('VEH98 Data'!H$3:H$3508, SMALL(IF('VEH98 Data'!$AH$3:$AH$3508="TRUE", ROW('VEH98 Data'!H$3:H$3508)-ROW('VEH98 Data'!H$3)+1),ROWS('VEH98 Data'!H$3:'VEH98 Data'!H70))),"")</f>
        <v>2019</v>
      </c>
      <c r="K80" s="58" t="str">
        <f t="array" aca="1" ref="K80" ca="1">IFERROR(INDEX('VEH98 Data'!G$3:G$3508, SMALL(IF('VEH98 Data'!$AH$3:$AH$3508="TRUE", ROW('VEH98 Data'!G$3:G$3508)-ROW('VEH98 Data'!G$3)+1),ROWS('VEH98 Data'!G$3:'VEH98 Data'!G70))),"")</f>
        <v>Jeep</v>
      </c>
      <c r="L80" s="58" t="str">
        <f t="array" aca="1" ref="L80" ca="1">IFERROR(INDEX('VEH98 Data'!I$3:I$3508, SMALL(IF('VEH98 Data'!$AH$3:$AH$3508="TRUE", ROW('VEH98 Data'!I$3:I$3508)-ROW('VEH98 Data'!I$3)+1),ROWS('VEH98 Data'!I$3:'VEH98 Data'!I70))),"")</f>
        <v>Compass</v>
      </c>
      <c r="M80" s="58" t="str">
        <f t="array" aca="1" ref="M80" ca="1">IFERROR(INDEX('VEH98 Data'!J$3:J$3508, SMALL(IF('VEH98 Data'!$AH$3:$AH$3508="TRUE", ROW('VEH98 Data'!J$3:J$3508)-ROW('VEH98 Data'!J$3)+1),ROWS('VEH98 Data'!J$3:'VEH98 Data'!J70))),"")</f>
        <v>Latitude</v>
      </c>
      <c r="N80" s="58" t="str">
        <f t="array" aca="1" ref="N80" ca="1">IFERROR(INDEX('VEH98 Data'!K$3:K$3508, SMALL(IF('VEH98 Data'!$AH$3:$AH$3508="TRUE", ROW('VEH98 Data'!K$3:K$3508)-ROW('VEH98 Data'!K$3)+1),ROWS('VEH98 Data'!K$3:'VEH98 Data'!K70))),"")</f>
        <v>FWD</v>
      </c>
      <c r="O80" s="654" t="str">
        <f t="array" aca="1" ref="O80" ca="1">IFERROR(INDEX('VEH98 Data'!R$3:R$3508, SMALL(IF('VEH98 Data'!$AH$3:$AH$3508="TRUE", ROW('VEH98 Data'!R$3:R$3508)-ROW('VEH98 Data'!R$3)+1),ROWS('VEH98 Data'!R$3:'VEH98 Data'!R70))),"")</f>
        <v>2.4L</v>
      </c>
      <c r="P80" s="654">
        <f t="array" aca="1" ref="P80" ca="1">IFERROR(INDEX('VEH98 Data'!Y$3:Y$3508, SMALL(IF('VEH98 Data'!$AH$3:$AH$3508="TRUE", ROW('VEH98 Data'!Y$3:Y$3508)-ROW('VEH98 Data'!Y$3)+1),ROWS('VEH98 Data'!Y$3:'VEH98 Data'!Y70))),"")</f>
        <v>25</v>
      </c>
    </row>
    <row r="81" spans="2:16">
      <c r="B81" s="58" t="str">
        <f t="array" aca="1" ref="B81" ca="1">IFERROR(INDEX('VEH98 Data'!H$3:H$3508, SMALL(IF('VEH98 Data'!$AG$3:$AG$3508="TRUE", ROW('VEH98 Data'!H$3:H$3508)-ROW('VEH98 Data'!H$3)+1),ROWS('VEH98 Data'!H$3:'VEH98 Data'!H69))),"")</f>
        <v/>
      </c>
      <c r="C81" s="58" t="str">
        <f t="array" aca="1" ref="C81" ca="1">IFERROR(INDEX('VEH98 Data'!G$3:G$3508, SMALL(IF('VEH98 Data'!$AG$3:$AG$3508="TRUE", ROW('VEH98 Data'!G$3:G$3508)-ROW('VEH98 Data'!G$3)+1),ROWS('VEH98 Data'!G$3:'VEH98 Data'!G69))),"")</f>
        <v/>
      </c>
      <c r="D81" s="58" t="str">
        <f t="array" aca="1" ref="D81" ca="1">IFERROR(INDEX('VEH98 Data'!I$3:I$3508, SMALL(IF('VEH98 Data'!$AG$3:$AG$3508="TRUE", ROW('VEH98 Data'!I$3:I$3508)-ROW('VEH98 Data'!I$3)+1),ROWS('VEH98 Data'!I$3:'VEH98 Data'!I69))),"")</f>
        <v/>
      </c>
      <c r="E81" s="58" t="str">
        <f t="array" aca="1" ref="E81" ca="1">IFERROR(INDEX('VEH98 Data'!J$3:J$3508, SMALL(IF('VEH98 Data'!$AG$3:$AG$3508="TRUE", ROW('VEH98 Data'!J$3:J$3508)-ROW('VEH98 Data'!J$3)+1),ROWS('VEH98 Data'!J$3:'VEH98 Data'!J69))),"")</f>
        <v/>
      </c>
      <c r="F81" s="58" t="str">
        <f t="array" aca="1" ref="F81" ca="1">IFERROR(INDEX('VEH98 Data'!K$3:K$3508, SMALL(IF('VEH98 Data'!$AG$3:$AG$3508="TRUE", ROW('VEH98 Data'!K$3:K$3508)-ROW('VEH98 Data'!K$3)+1),ROWS('VEH98 Data'!K$3:'VEH98 Data'!K69))),"")</f>
        <v/>
      </c>
      <c r="G81" s="654" t="str">
        <f t="array" aca="1" ref="G81" ca="1">IFERROR(INDEX('VEH98 Data'!R$3:R$3508, SMALL(IF('VEH98 Data'!$AG$3:$AG$3508="TRUE", ROW('VEH98 Data'!R$3:R$3508)-ROW('VEH98 Data'!R$3)+1),ROWS('VEH98 Data'!R$3:'VEH98 Data'!R69))),"")</f>
        <v/>
      </c>
      <c r="H81" s="654" t="str">
        <f t="array" aca="1" ref="H81" ca="1">IFERROR(INDEX('VEH98 Data'!Y$3:Y$3508, SMALL(IF('VEH98 Data'!$AG$3:$AG$3508="TRUE", ROW('VEH98 Data'!Y$3:Y$3508)-ROW('VEH98 Data'!Y$3)+1),ROWS('VEH98 Data'!Y$3:'VEH98 Data'!Y69))),"")</f>
        <v/>
      </c>
      <c r="J81" s="652">
        <f t="array" aca="1" ref="J81" ca="1">IFERROR(INDEX('VEH98 Data'!H$3:H$3508, SMALL(IF('VEH98 Data'!$AH$3:$AH$3508="TRUE", ROW('VEH98 Data'!H$3:H$3508)-ROW('VEH98 Data'!H$3)+1),ROWS('VEH98 Data'!H$3:'VEH98 Data'!H71))),"")</f>
        <v>2019</v>
      </c>
      <c r="K81" s="652" t="str">
        <f t="array" aca="1" ref="K81" ca="1">IFERROR(INDEX('VEH98 Data'!G$3:G$3508, SMALL(IF('VEH98 Data'!$AH$3:$AH$3508="TRUE", ROW('VEH98 Data'!G$3:G$3508)-ROW('VEH98 Data'!G$3)+1),ROWS('VEH98 Data'!G$3:'VEH98 Data'!G71))),"")</f>
        <v>Jeep</v>
      </c>
      <c r="L81" s="652" t="str">
        <f t="array" aca="1" ref="L81" ca="1">IFERROR(INDEX('VEH98 Data'!I$3:I$3508, SMALL(IF('VEH98 Data'!$AH$3:$AH$3508="TRUE", ROW('VEH98 Data'!I$3:I$3508)-ROW('VEH98 Data'!I$3)+1),ROWS('VEH98 Data'!I$3:'VEH98 Data'!I71))),"")</f>
        <v>Compass</v>
      </c>
      <c r="M81" s="652" t="str">
        <f t="array" aca="1" ref="M81" ca="1">IFERROR(INDEX('VEH98 Data'!J$3:J$3508, SMALL(IF('VEH98 Data'!$AH$3:$AH$3508="TRUE", ROW('VEH98 Data'!J$3:J$3508)-ROW('VEH98 Data'!J$3)+1),ROWS('VEH98 Data'!J$3:'VEH98 Data'!J71))),"")</f>
        <v>Sport</v>
      </c>
      <c r="N81" s="652" t="str">
        <f t="array" aca="1" ref="N81" ca="1">IFERROR(INDEX('VEH98 Data'!K$3:K$3508, SMALL(IF('VEH98 Data'!$AH$3:$AH$3508="TRUE", ROW('VEH98 Data'!K$3:K$3508)-ROW('VEH98 Data'!K$3)+1),ROWS('VEH98 Data'!K$3:'VEH98 Data'!K71))),"")</f>
        <v>4WD</v>
      </c>
      <c r="O81" s="653" t="str">
        <f t="array" aca="1" ref="O81" ca="1">IFERROR(INDEX('VEH98 Data'!R$3:R$3508, SMALL(IF('VEH98 Data'!$AH$3:$AH$3508="TRUE", ROW('VEH98 Data'!R$3:R$3508)-ROW('VEH98 Data'!R$3)+1),ROWS('VEH98 Data'!R$3:'VEH98 Data'!R71))),"")</f>
        <v>2.4L</v>
      </c>
      <c r="P81" s="653">
        <f t="array" aca="1" ref="P81" ca="1">IFERROR(INDEX('VEH98 Data'!Y$3:Y$3508, SMALL(IF('VEH98 Data'!$AH$3:$AH$3508="TRUE", ROW('VEH98 Data'!Y$3:Y$3508)-ROW('VEH98 Data'!Y$3)+1),ROWS('VEH98 Data'!Y$3:'VEH98 Data'!Y71))),"")</f>
        <v>25</v>
      </c>
    </row>
    <row r="82" spans="2:16">
      <c r="B82" s="652" t="str">
        <f t="array" aca="1" ref="B82" ca="1">IFERROR(INDEX('VEH98 Data'!H$3:H$3508, SMALL(IF('VEH98 Data'!$AG$3:$AG$3508="TRUE", ROW('VEH98 Data'!H$3:H$3508)-ROW('VEH98 Data'!H$3)+1),ROWS('VEH98 Data'!H$3:'VEH98 Data'!H70))),"")</f>
        <v/>
      </c>
      <c r="C82" s="652" t="str">
        <f t="array" aca="1" ref="C82" ca="1">IFERROR(INDEX('VEH98 Data'!G$3:G$3508, SMALL(IF('VEH98 Data'!$AG$3:$AG$3508="TRUE", ROW('VEH98 Data'!G$3:G$3508)-ROW('VEH98 Data'!G$3)+1),ROWS('VEH98 Data'!G$3:'VEH98 Data'!G70))),"")</f>
        <v/>
      </c>
      <c r="D82" s="652" t="str">
        <f t="array" aca="1" ref="D82" ca="1">IFERROR(INDEX('VEH98 Data'!I$3:I$3508, SMALL(IF('VEH98 Data'!$AG$3:$AG$3508="TRUE", ROW('VEH98 Data'!I$3:I$3508)-ROW('VEH98 Data'!I$3)+1),ROWS('VEH98 Data'!I$3:'VEH98 Data'!I70))),"")</f>
        <v/>
      </c>
      <c r="E82" s="652" t="str">
        <f t="array" aca="1" ref="E82" ca="1">IFERROR(INDEX('VEH98 Data'!J$3:J$3508, SMALL(IF('VEH98 Data'!$AG$3:$AG$3508="TRUE", ROW('VEH98 Data'!J$3:J$3508)-ROW('VEH98 Data'!J$3)+1),ROWS('VEH98 Data'!J$3:'VEH98 Data'!J70))),"")</f>
        <v/>
      </c>
      <c r="F82" s="652" t="str">
        <f t="array" aca="1" ref="F82" ca="1">IFERROR(INDEX('VEH98 Data'!K$3:K$3508, SMALL(IF('VEH98 Data'!$AG$3:$AG$3508="TRUE", ROW('VEH98 Data'!K$3:K$3508)-ROW('VEH98 Data'!K$3)+1),ROWS('VEH98 Data'!K$3:'VEH98 Data'!K70))),"")</f>
        <v/>
      </c>
      <c r="G82" s="653" t="str">
        <f t="array" aca="1" ref="G82" ca="1">IFERROR(INDEX('VEH98 Data'!R$3:R$3508, SMALL(IF('VEH98 Data'!$AG$3:$AG$3508="TRUE", ROW('VEH98 Data'!R$3:R$3508)-ROW('VEH98 Data'!R$3)+1),ROWS('VEH98 Data'!R$3:'VEH98 Data'!R70))),"")</f>
        <v/>
      </c>
      <c r="H82" s="653" t="str">
        <f t="array" aca="1" ref="H82" ca="1">IFERROR(INDEX('VEH98 Data'!Y$3:Y$3508, SMALL(IF('VEH98 Data'!$AG$3:$AG$3508="TRUE", ROW('VEH98 Data'!Y$3:Y$3508)-ROW('VEH98 Data'!Y$3)+1),ROWS('VEH98 Data'!Y$3:'VEH98 Data'!Y70))),"")</f>
        <v/>
      </c>
      <c r="J82" s="58">
        <f t="array" aca="1" ref="J82" ca="1">IFERROR(INDEX('VEH98 Data'!H$3:H$3508, SMALL(IF('VEH98 Data'!$AH$3:$AH$3508="TRUE", ROW('VEH98 Data'!H$3:H$3508)-ROW('VEH98 Data'!H$3)+1),ROWS('VEH98 Data'!H$3:'VEH98 Data'!H72))),"")</f>
        <v>2019</v>
      </c>
      <c r="K82" s="58" t="str">
        <f t="array" aca="1" ref="K82" ca="1">IFERROR(INDEX('VEH98 Data'!G$3:G$3508, SMALL(IF('VEH98 Data'!$AH$3:$AH$3508="TRUE", ROW('VEH98 Data'!G$3:G$3508)-ROW('VEH98 Data'!G$3)+1),ROWS('VEH98 Data'!G$3:'VEH98 Data'!G72))),"")</f>
        <v>Jeep</v>
      </c>
      <c r="L82" s="58" t="str">
        <f t="array" aca="1" ref="L82" ca="1">IFERROR(INDEX('VEH98 Data'!I$3:I$3508, SMALL(IF('VEH98 Data'!$AH$3:$AH$3508="TRUE", ROW('VEH98 Data'!I$3:I$3508)-ROW('VEH98 Data'!I$3)+1),ROWS('VEH98 Data'!I$3:'VEH98 Data'!I72))),"")</f>
        <v>Compass</v>
      </c>
      <c r="M82" s="58" t="str">
        <f t="array" aca="1" ref="M82" ca="1">IFERROR(INDEX('VEH98 Data'!J$3:J$3508, SMALL(IF('VEH98 Data'!$AH$3:$AH$3508="TRUE", ROW('VEH98 Data'!J$3:J$3508)-ROW('VEH98 Data'!J$3)+1),ROWS('VEH98 Data'!J$3:'VEH98 Data'!J72))),"")</f>
        <v>Sport</v>
      </c>
      <c r="N82" s="58" t="str">
        <f t="array" aca="1" ref="N82" ca="1">IFERROR(INDEX('VEH98 Data'!K$3:K$3508, SMALL(IF('VEH98 Data'!$AH$3:$AH$3508="TRUE", ROW('VEH98 Data'!K$3:K$3508)-ROW('VEH98 Data'!K$3)+1),ROWS('VEH98 Data'!K$3:'VEH98 Data'!K72))),"")</f>
        <v>FWD</v>
      </c>
      <c r="O82" s="654" t="str">
        <f t="array" aca="1" ref="O82" ca="1">IFERROR(INDEX('VEH98 Data'!R$3:R$3508, SMALL(IF('VEH98 Data'!$AH$3:$AH$3508="TRUE", ROW('VEH98 Data'!R$3:R$3508)-ROW('VEH98 Data'!R$3)+1),ROWS('VEH98 Data'!R$3:'VEH98 Data'!R72))),"")</f>
        <v>2.4L</v>
      </c>
      <c r="P82" s="654">
        <f t="array" aca="1" ref="P82" ca="1">IFERROR(INDEX('VEH98 Data'!Y$3:Y$3508, SMALL(IF('VEH98 Data'!$AH$3:$AH$3508="TRUE", ROW('VEH98 Data'!Y$3:Y$3508)-ROW('VEH98 Data'!Y$3)+1),ROWS('VEH98 Data'!Y$3:'VEH98 Data'!Y72))),"")</f>
        <v>26</v>
      </c>
    </row>
    <row r="83" spans="2:16">
      <c r="B83" s="58" t="str">
        <f t="array" aca="1" ref="B83" ca="1">IFERROR(INDEX('VEH98 Data'!H$3:H$3508, SMALL(IF('VEH98 Data'!$AG$3:$AG$3508="TRUE", ROW('VEH98 Data'!H$3:H$3508)-ROW('VEH98 Data'!H$3)+1),ROWS('VEH98 Data'!H$3:'VEH98 Data'!H71))),"")</f>
        <v/>
      </c>
      <c r="C83" s="58" t="str">
        <f t="array" aca="1" ref="C83" ca="1">IFERROR(INDEX('VEH98 Data'!G$3:G$3508, SMALL(IF('VEH98 Data'!$AG$3:$AG$3508="TRUE", ROW('VEH98 Data'!G$3:G$3508)-ROW('VEH98 Data'!G$3)+1),ROWS('VEH98 Data'!G$3:'VEH98 Data'!G71))),"")</f>
        <v/>
      </c>
      <c r="D83" s="58" t="str">
        <f t="array" aca="1" ref="D83" ca="1">IFERROR(INDEX('VEH98 Data'!I$3:I$3508, SMALL(IF('VEH98 Data'!$AG$3:$AG$3508="TRUE", ROW('VEH98 Data'!I$3:I$3508)-ROW('VEH98 Data'!I$3)+1),ROWS('VEH98 Data'!I$3:'VEH98 Data'!I71))),"")</f>
        <v/>
      </c>
      <c r="E83" s="58" t="str">
        <f t="array" aca="1" ref="E83" ca="1">IFERROR(INDEX('VEH98 Data'!J$3:J$3508, SMALL(IF('VEH98 Data'!$AG$3:$AG$3508="TRUE", ROW('VEH98 Data'!J$3:J$3508)-ROW('VEH98 Data'!J$3)+1),ROWS('VEH98 Data'!J$3:'VEH98 Data'!J71))),"")</f>
        <v/>
      </c>
      <c r="F83" s="58" t="str">
        <f t="array" aca="1" ref="F83" ca="1">IFERROR(INDEX('VEH98 Data'!K$3:K$3508, SMALL(IF('VEH98 Data'!$AG$3:$AG$3508="TRUE", ROW('VEH98 Data'!K$3:K$3508)-ROW('VEH98 Data'!K$3)+1),ROWS('VEH98 Data'!K$3:'VEH98 Data'!K71))),"")</f>
        <v/>
      </c>
      <c r="G83" s="654" t="str">
        <f t="array" aca="1" ref="G83" ca="1">IFERROR(INDEX('VEH98 Data'!R$3:R$3508, SMALL(IF('VEH98 Data'!$AG$3:$AG$3508="TRUE", ROW('VEH98 Data'!R$3:R$3508)-ROW('VEH98 Data'!R$3)+1),ROWS('VEH98 Data'!R$3:'VEH98 Data'!R71))),"")</f>
        <v/>
      </c>
      <c r="H83" s="654" t="str">
        <f t="array" aca="1" ref="H83" ca="1">IFERROR(INDEX('VEH98 Data'!Y$3:Y$3508, SMALL(IF('VEH98 Data'!$AG$3:$AG$3508="TRUE", ROW('VEH98 Data'!Y$3:Y$3508)-ROW('VEH98 Data'!Y$3)+1),ROWS('VEH98 Data'!Y$3:'VEH98 Data'!Y71))),"")</f>
        <v/>
      </c>
      <c r="J83" s="652">
        <f t="array" aca="1" ref="J83" ca="1">IFERROR(INDEX('VEH98 Data'!H$3:H$3508, SMALL(IF('VEH98 Data'!$AH$3:$AH$3508="TRUE", ROW('VEH98 Data'!H$3:H$3508)-ROW('VEH98 Data'!H$3)+1),ROWS('VEH98 Data'!H$3:'VEH98 Data'!H73))),"")</f>
        <v>2019</v>
      </c>
      <c r="K83" s="652" t="str">
        <f t="array" aca="1" ref="K83" ca="1">IFERROR(INDEX('VEH98 Data'!G$3:G$3508, SMALL(IF('VEH98 Data'!$AH$3:$AH$3508="TRUE", ROW('VEH98 Data'!G$3:G$3508)-ROW('VEH98 Data'!G$3)+1),ROWS('VEH98 Data'!G$3:'VEH98 Data'!G73))),"")</f>
        <v>Jeep</v>
      </c>
      <c r="L83" s="652" t="str">
        <f t="array" aca="1" ref="L83" ca="1">IFERROR(INDEX('VEH98 Data'!I$3:I$3508, SMALL(IF('VEH98 Data'!$AH$3:$AH$3508="TRUE", ROW('VEH98 Data'!I$3:I$3508)-ROW('VEH98 Data'!I$3)+1),ROWS('VEH98 Data'!I$3:'VEH98 Data'!I73))),"")</f>
        <v>Renegade</v>
      </c>
      <c r="M83" s="652" t="str">
        <f t="array" aca="1" ref="M83" ca="1">IFERROR(INDEX('VEH98 Data'!J$3:J$3508, SMALL(IF('VEH98 Data'!$AH$3:$AH$3508="TRUE", ROW('VEH98 Data'!J$3:J$3508)-ROW('VEH98 Data'!J$3)+1),ROWS('VEH98 Data'!J$3:'VEH98 Data'!J73))),"")</f>
        <v>Latitude</v>
      </c>
      <c r="N83" s="652" t="str">
        <f t="array" aca="1" ref="N83" ca="1">IFERROR(INDEX('VEH98 Data'!K$3:K$3508, SMALL(IF('VEH98 Data'!$AH$3:$AH$3508="TRUE", ROW('VEH98 Data'!K$3:K$3508)-ROW('VEH98 Data'!K$3)+1),ROWS('VEH98 Data'!K$3:'VEH98 Data'!K73))),"")</f>
        <v>4WD</v>
      </c>
      <c r="O83" s="653" t="str">
        <f t="array" aca="1" ref="O83" ca="1">IFERROR(INDEX('VEH98 Data'!R$3:R$3508, SMALL(IF('VEH98 Data'!$AH$3:$AH$3508="TRUE", ROW('VEH98 Data'!R$3:R$3508)-ROW('VEH98 Data'!R$3)+1),ROWS('VEH98 Data'!R$3:'VEH98 Data'!R73))),"")</f>
        <v>2.4L</v>
      </c>
      <c r="P83" s="653">
        <f t="array" aca="1" ref="P83" ca="1">IFERROR(INDEX('VEH98 Data'!Y$3:Y$3508, SMALL(IF('VEH98 Data'!$AH$3:$AH$3508="TRUE", ROW('VEH98 Data'!Y$3:Y$3508)-ROW('VEH98 Data'!Y$3)+1),ROWS('VEH98 Data'!Y$3:'VEH98 Data'!Y73))),"")</f>
        <v>24</v>
      </c>
    </row>
    <row r="84" spans="2:16">
      <c r="B84" s="652" t="str">
        <f t="array" aca="1" ref="B84" ca="1">IFERROR(INDEX('VEH98 Data'!H$3:H$3508, SMALL(IF('VEH98 Data'!$AG$3:$AG$3508="TRUE", ROW('VEH98 Data'!H$3:H$3508)-ROW('VEH98 Data'!H$3)+1),ROWS('VEH98 Data'!H$3:'VEH98 Data'!H72))),"")</f>
        <v/>
      </c>
      <c r="C84" s="652" t="str">
        <f t="array" aca="1" ref="C84" ca="1">IFERROR(INDEX('VEH98 Data'!G$3:G$3508, SMALL(IF('VEH98 Data'!$AG$3:$AG$3508="TRUE", ROW('VEH98 Data'!G$3:G$3508)-ROW('VEH98 Data'!G$3)+1),ROWS('VEH98 Data'!G$3:'VEH98 Data'!G72))),"")</f>
        <v/>
      </c>
      <c r="D84" s="652" t="str">
        <f t="array" aca="1" ref="D84" ca="1">IFERROR(INDEX('VEH98 Data'!I$3:I$3508, SMALL(IF('VEH98 Data'!$AG$3:$AG$3508="TRUE", ROW('VEH98 Data'!I$3:I$3508)-ROW('VEH98 Data'!I$3)+1),ROWS('VEH98 Data'!I$3:'VEH98 Data'!I72))),"")</f>
        <v/>
      </c>
      <c r="E84" s="652" t="str">
        <f t="array" aca="1" ref="E84" ca="1">IFERROR(INDEX('VEH98 Data'!J$3:J$3508, SMALL(IF('VEH98 Data'!$AG$3:$AG$3508="TRUE", ROW('VEH98 Data'!J$3:J$3508)-ROW('VEH98 Data'!J$3)+1),ROWS('VEH98 Data'!J$3:'VEH98 Data'!J72))),"")</f>
        <v/>
      </c>
      <c r="F84" s="652" t="str">
        <f t="array" aca="1" ref="F84" ca="1">IFERROR(INDEX('VEH98 Data'!K$3:K$3508, SMALL(IF('VEH98 Data'!$AG$3:$AG$3508="TRUE", ROW('VEH98 Data'!K$3:K$3508)-ROW('VEH98 Data'!K$3)+1),ROWS('VEH98 Data'!K$3:'VEH98 Data'!K72))),"")</f>
        <v/>
      </c>
      <c r="G84" s="653" t="str">
        <f t="array" aca="1" ref="G84" ca="1">IFERROR(INDEX('VEH98 Data'!R$3:R$3508, SMALL(IF('VEH98 Data'!$AG$3:$AG$3508="TRUE", ROW('VEH98 Data'!R$3:R$3508)-ROW('VEH98 Data'!R$3)+1),ROWS('VEH98 Data'!R$3:'VEH98 Data'!R72))),"")</f>
        <v/>
      </c>
      <c r="H84" s="653" t="str">
        <f t="array" aca="1" ref="H84" ca="1">IFERROR(INDEX('VEH98 Data'!Y$3:Y$3508, SMALL(IF('VEH98 Data'!$AG$3:$AG$3508="TRUE", ROW('VEH98 Data'!Y$3:Y$3508)-ROW('VEH98 Data'!Y$3)+1),ROWS('VEH98 Data'!Y$3:'VEH98 Data'!Y72))),"")</f>
        <v/>
      </c>
      <c r="J84" s="58">
        <f t="array" aca="1" ref="J84" ca="1">IFERROR(INDEX('VEH98 Data'!H$3:H$3508, SMALL(IF('VEH98 Data'!$AH$3:$AH$3508="TRUE", ROW('VEH98 Data'!H$3:H$3508)-ROW('VEH98 Data'!H$3)+1),ROWS('VEH98 Data'!H$3:'VEH98 Data'!H74))),"")</f>
        <v>2019</v>
      </c>
      <c r="K84" s="58" t="str">
        <f t="array" aca="1" ref="K84" ca="1">IFERROR(INDEX('VEH98 Data'!G$3:G$3508, SMALL(IF('VEH98 Data'!$AH$3:$AH$3508="TRUE", ROW('VEH98 Data'!G$3:G$3508)-ROW('VEH98 Data'!G$3)+1),ROWS('VEH98 Data'!G$3:'VEH98 Data'!G74))),"")</f>
        <v>Jeep</v>
      </c>
      <c r="L84" s="58" t="str">
        <f t="array" aca="1" ref="L84" ca="1">IFERROR(INDEX('VEH98 Data'!I$3:I$3508, SMALL(IF('VEH98 Data'!$AH$3:$AH$3508="TRUE", ROW('VEH98 Data'!I$3:I$3508)-ROW('VEH98 Data'!I$3)+1),ROWS('VEH98 Data'!I$3:'VEH98 Data'!I74))),"")</f>
        <v>Renegade</v>
      </c>
      <c r="M84" s="58" t="str">
        <f t="array" aca="1" ref="M84" ca="1">IFERROR(INDEX('VEH98 Data'!J$3:J$3508, SMALL(IF('VEH98 Data'!$AH$3:$AH$3508="TRUE", ROW('VEH98 Data'!J$3:J$3508)-ROW('VEH98 Data'!J$3)+1),ROWS('VEH98 Data'!J$3:'VEH98 Data'!J74))),"")</f>
        <v>Sport</v>
      </c>
      <c r="N84" s="58" t="str">
        <f t="array" aca="1" ref="N84" ca="1">IFERROR(INDEX('VEH98 Data'!K$3:K$3508, SMALL(IF('VEH98 Data'!$AH$3:$AH$3508="TRUE", ROW('VEH98 Data'!K$3:K$3508)-ROW('VEH98 Data'!K$3)+1),ROWS('VEH98 Data'!K$3:'VEH98 Data'!K74))),"")</f>
        <v>4WD</v>
      </c>
      <c r="O84" s="654" t="str">
        <f t="array" aca="1" ref="O84" ca="1">IFERROR(INDEX('VEH98 Data'!R$3:R$3508, SMALL(IF('VEH98 Data'!$AH$3:$AH$3508="TRUE", ROW('VEH98 Data'!R$3:R$3508)-ROW('VEH98 Data'!R$3)+1),ROWS('VEH98 Data'!R$3:'VEH98 Data'!R74))),"")</f>
        <v>2.4L</v>
      </c>
      <c r="P84" s="654">
        <f t="array" aca="1" ref="P84" ca="1">IFERROR(INDEX('VEH98 Data'!Y$3:Y$3508, SMALL(IF('VEH98 Data'!$AH$3:$AH$3508="TRUE", ROW('VEH98 Data'!Y$3:Y$3508)-ROW('VEH98 Data'!Y$3)+1),ROWS('VEH98 Data'!Y$3:'VEH98 Data'!Y74))),"")</f>
        <v>24</v>
      </c>
    </row>
    <row r="85" spans="2:16">
      <c r="B85" s="58" t="str">
        <f t="array" aca="1" ref="B85" ca="1">IFERROR(INDEX('VEH98 Data'!H$3:H$3508, SMALL(IF('VEH98 Data'!$AG$3:$AG$3508="TRUE", ROW('VEH98 Data'!H$3:H$3508)-ROW('VEH98 Data'!H$3)+1),ROWS('VEH98 Data'!H$3:'VEH98 Data'!H73))),"")</f>
        <v/>
      </c>
      <c r="C85" s="58" t="str">
        <f t="array" aca="1" ref="C85" ca="1">IFERROR(INDEX('VEH98 Data'!G$3:G$3508, SMALL(IF('VEH98 Data'!$AG$3:$AG$3508="TRUE", ROW('VEH98 Data'!G$3:G$3508)-ROW('VEH98 Data'!G$3)+1),ROWS('VEH98 Data'!G$3:'VEH98 Data'!G73))),"")</f>
        <v/>
      </c>
      <c r="D85" s="58" t="str">
        <f t="array" aca="1" ref="D85" ca="1">IFERROR(INDEX('VEH98 Data'!I$3:I$3508, SMALL(IF('VEH98 Data'!$AG$3:$AG$3508="TRUE", ROW('VEH98 Data'!I$3:I$3508)-ROW('VEH98 Data'!I$3)+1),ROWS('VEH98 Data'!I$3:'VEH98 Data'!I73))),"")</f>
        <v/>
      </c>
      <c r="E85" s="58" t="str">
        <f t="array" aca="1" ref="E85" ca="1">IFERROR(INDEX('VEH98 Data'!J$3:J$3508, SMALL(IF('VEH98 Data'!$AG$3:$AG$3508="TRUE", ROW('VEH98 Data'!J$3:J$3508)-ROW('VEH98 Data'!J$3)+1),ROWS('VEH98 Data'!J$3:'VEH98 Data'!J73))),"")</f>
        <v/>
      </c>
      <c r="F85" s="58" t="str">
        <f t="array" aca="1" ref="F85" ca="1">IFERROR(INDEX('VEH98 Data'!K$3:K$3508, SMALL(IF('VEH98 Data'!$AG$3:$AG$3508="TRUE", ROW('VEH98 Data'!K$3:K$3508)-ROW('VEH98 Data'!K$3)+1),ROWS('VEH98 Data'!K$3:'VEH98 Data'!K73))),"")</f>
        <v/>
      </c>
      <c r="G85" s="654" t="str">
        <f t="array" aca="1" ref="G85" ca="1">IFERROR(INDEX('VEH98 Data'!R$3:R$3508, SMALL(IF('VEH98 Data'!$AG$3:$AG$3508="TRUE", ROW('VEH98 Data'!R$3:R$3508)-ROW('VEH98 Data'!R$3)+1),ROWS('VEH98 Data'!R$3:'VEH98 Data'!R73))),"")</f>
        <v/>
      </c>
      <c r="H85" s="654" t="str">
        <f t="array" aca="1" ref="H85" ca="1">IFERROR(INDEX('VEH98 Data'!Y$3:Y$3508, SMALL(IF('VEH98 Data'!$AG$3:$AG$3508="TRUE", ROW('VEH98 Data'!Y$3:Y$3508)-ROW('VEH98 Data'!Y$3)+1),ROWS('VEH98 Data'!Y$3:'VEH98 Data'!Y73))),"")</f>
        <v/>
      </c>
      <c r="J85" s="652">
        <f t="array" aca="1" ref="J85" ca="1">IFERROR(INDEX('VEH98 Data'!H$3:H$3508, SMALL(IF('VEH98 Data'!$AH$3:$AH$3508="TRUE", ROW('VEH98 Data'!H$3:H$3508)-ROW('VEH98 Data'!H$3)+1),ROWS('VEH98 Data'!H$3:'VEH98 Data'!H75))),"")</f>
        <v>2019</v>
      </c>
      <c r="K85" s="652" t="str">
        <f t="array" aca="1" ref="K85" ca="1">IFERROR(INDEX('VEH98 Data'!G$3:G$3508, SMALL(IF('VEH98 Data'!$AH$3:$AH$3508="TRUE", ROW('VEH98 Data'!G$3:G$3508)-ROW('VEH98 Data'!G$3)+1),ROWS('VEH98 Data'!G$3:'VEH98 Data'!G75))),"")</f>
        <v>Jeep</v>
      </c>
      <c r="L85" s="652" t="str">
        <f t="array" aca="1" ref="L85" ca="1">IFERROR(INDEX('VEH98 Data'!I$3:I$3508, SMALL(IF('VEH98 Data'!$AH$3:$AH$3508="TRUE", ROW('VEH98 Data'!I$3:I$3508)-ROW('VEH98 Data'!I$3)+1),ROWS('VEH98 Data'!I$3:'VEH98 Data'!I75))),"")</f>
        <v>Renegade</v>
      </c>
      <c r="M85" s="652" t="str">
        <f t="array" aca="1" ref="M85" ca="1">IFERROR(INDEX('VEH98 Data'!J$3:J$3508, SMALL(IF('VEH98 Data'!$AH$3:$AH$3508="TRUE", ROW('VEH98 Data'!J$3:J$3508)-ROW('VEH98 Data'!J$3)+1),ROWS('VEH98 Data'!J$3:'VEH98 Data'!J75))),"")</f>
        <v>Sport</v>
      </c>
      <c r="N85" s="652" t="str">
        <f t="array" aca="1" ref="N85" ca="1">IFERROR(INDEX('VEH98 Data'!K$3:K$3508, SMALL(IF('VEH98 Data'!$AH$3:$AH$3508="TRUE", ROW('VEH98 Data'!K$3:K$3508)-ROW('VEH98 Data'!K$3)+1),ROWS('VEH98 Data'!K$3:'VEH98 Data'!K75))),"")</f>
        <v>4WD</v>
      </c>
      <c r="O85" s="653" t="str">
        <f t="array" aca="1" ref="O85" ca="1">IFERROR(INDEX('VEH98 Data'!R$3:R$3508, SMALL(IF('VEH98 Data'!$AH$3:$AH$3508="TRUE", ROW('VEH98 Data'!R$3:R$3508)-ROW('VEH98 Data'!R$3)+1),ROWS('VEH98 Data'!R$3:'VEH98 Data'!R75))),"")</f>
        <v>2.4L</v>
      </c>
      <c r="P85" s="653">
        <f t="array" aca="1" ref="P85" ca="1">IFERROR(INDEX('VEH98 Data'!Y$3:Y$3508, SMALL(IF('VEH98 Data'!$AH$3:$AH$3508="TRUE", ROW('VEH98 Data'!Y$3:Y$3508)-ROW('VEH98 Data'!Y$3)+1),ROWS('VEH98 Data'!Y$3:'VEH98 Data'!Y75))),"")</f>
        <v>24</v>
      </c>
    </row>
    <row r="86" spans="2:16">
      <c r="B86" s="652" t="str">
        <f t="array" aca="1" ref="B86" ca="1">IFERROR(INDEX('VEH98 Data'!H$3:H$3508, SMALL(IF('VEH98 Data'!$AG$3:$AG$3508="TRUE", ROW('VEH98 Data'!H$3:H$3508)-ROW('VEH98 Data'!H$3)+1),ROWS('VEH98 Data'!H$3:'VEH98 Data'!H74))),"")</f>
        <v/>
      </c>
      <c r="C86" s="652" t="str">
        <f t="array" aca="1" ref="C86" ca="1">IFERROR(INDEX('VEH98 Data'!G$3:G$3508, SMALL(IF('VEH98 Data'!$AG$3:$AG$3508="TRUE", ROW('VEH98 Data'!G$3:G$3508)-ROW('VEH98 Data'!G$3)+1),ROWS('VEH98 Data'!G$3:'VEH98 Data'!G74))),"")</f>
        <v/>
      </c>
      <c r="D86" s="652" t="str">
        <f t="array" aca="1" ref="D86" ca="1">IFERROR(INDEX('VEH98 Data'!I$3:I$3508, SMALL(IF('VEH98 Data'!$AG$3:$AG$3508="TRUE", ROW('VEH98 Data'!I$3:I$3508)-ROW('VEH98 Data'!I$3)+1),ROWS('VEH98 Data'!I$3:'VEH98 Data'!I74))),"")</f>
        <v/>
      </c>
      <c r="E86" s="652" t="str">
        <f t="array" aca="1" ref="E86" ca="1">IFERROR(INDEX('VEH98 Data'!J$3:J$3508, SMALL(IF('VEH98 Data'!$AG$3:$AG$3508="TRUE", ROW('VEH98 Data'!J$3:J$3508)-ROW('VEH98 Data'!J$3)+1),ROWS('VEH98 Data'!J$3:'VEH98 Data'!J74))),"")</f>
        <v/>
      </c>
      <c r="F86" s="652" t="str">
        <f t="array" aca="1" ref="F86" ca="1">IFERROR(INDEX('VEH98 Data'!K$3:K$3508, SMALL(IF('VEH98 Data'!$AG$3:$AG$3508="TRUE", ROW('VEH98 Data'!K$3:K$3508)-ROW('VEH98 Data'!K$3)+1),ROWS('VEH98 Data'!K$3:'VEH98 Data'!K74))),"")</f>
        <v/>
      </c>
      <c r="G86" s="653" t="str">
        <f t="array" aca="1" ref="G86" ca="1">IFERROR(INDEX('VEH98 Data'!R$3:R$3508, SMALL(IF('VEH98 Data'!$AG$3:$AG$3508="TRUE", ROW('VEH98 Data'!R$3:R$3508)-ROW('VEH98 Data'!R$3)+1),ROWS('VEH98 Data'!R$3:'VEH98 Data'!R74))),"")</f>
        <v/>
      </c>
      <c r="H86" s="653" t="str">
        <f t="array" aca="1" ref="H86" ca="1">IFERROR(INDEX('VEH98 Data'!Y$3:Y$3508, SMALL(IF('VEH98 Data'!$AG$3:$AG$3508="TRUE", ROW('VEH98 Data'!Y$3:Y$3508)-ROW('VEH98 Data'!Y$3)+1),ROWS('VEH98 Data'!Y$3:'VEH98 Data'!Y74))),"")</f>
        <v/>
      </c>
      <c r="J86" s="58">
        <f t="array" aca="1" ref="J86" ca="1">IFERROR(INDEX('VEH98 Data'!H$3:H$3508, SMALL(IF('VEH98 Data'!$AH$3:$AH$3508="TRUE", ROW('VEH98 Data'!H$3:H$3508)-ROW('VEH98 Data'!H$3)+1),ROWS('VEH98 Data'!H$3:'VEH98 Data'!H76))),"")</f>
        <v>2019</v>
      </c>
      <c r="K86" s="58" t="str">
        <f t="array" aca="1" ref="K86" ca="1">IFERROR(INDEX('VEH98 Data'!G$3:G$3508, SMALL(IF('VEH98 Data'!$AH$3:$AH$3508="TRUE", ROW('VEH98 Data'!G$3:G$3508)-ROW('VEH98 Data'!G$3)+1),ROWS('VEH98 Data'!G$3:'VEH98 Data'!G76))),"")</f>
        <v>Nissan</v>
      </c>
      <c r="L86" s="58" t="str">
        <f t="array" aca="1" ref="L86" ca="1">IFERROR(INDEX('VEH98 Data'!I$3:I$3508, SMALL(IF('VEH98 Data'!$AH$3:$AH$3508="TRUE", ROW('VEH98 Data'!I$3:I$3508)-ROW('VEH98 Data'!I$3)+1),ROWS('VEH98 Data'!I$3:'VEH98 Data'!I76))),"")</f>
        <v>Kicks</v>
      </c>
      <c r="M86" s="58" t="str">
        <f t="array" aca="1" ref="M86" ca="1">IFERROR(INDEX('VEH98 Data'!J$3:J$3508, SMALL(IF('VEH98 Data'!$AH$3:$AH$3508="TRUE", ROW('VEH98 Data'!J$3:J$3508)-ROW('VEH98 Data'!J$3)+1),ROWS('VEH98 Data'!J$3:'VEH98 Data'!J76))),"")</f>
        <v>S</v>
      </c>
      <c r="N86" s="58" t="str">
        <f t="array" aca="1" ref="N86" ca="1">IFERROR(INDEX('VEH98 Data'!K$3:K$3508, SMALL(IF('VEH98 Data'!$AH$3:$AH$3508="TRUE", ROW('VEH98 Data'!K$3:K$3508)-ROW('VEH98 Data'!K$3)+1),ROWS('VEH98 Data'!K$3:'VEH98 Data'!K76))),"")</f>
        <v>FWD</v>
      </c>
      <c r="O86" s="654" t="str">
        <f t="array" aca="1" ref="O86" ca="1">IFERROR(INDEX('VEH98 Data'!R$3:R$3508, SMALL(IF('VEH98 Data'!$AH$3:$AH$3508="TRUE", ROW('VEH98 Data'!R$3:R$3508)-ROW('VEH98 Data'!R$3)+1),ROWS('VEH98 Data'!R$3:'VEH98 Data'!R76))),"")</f>
        <v>1.6L</v>
      </c>
      <c r="P86" s="654">
        <f t="array" aca="1" ref="P86" ca="1">IFERROR(INDEX('VEH98 Data'!Y$3:Y$3508, SMALL(IF('VEH98 Data'!$AH$3:$AH$3508="TRUE", ROW('VEH98 Data'!Y$3:Y$3508)-ROW('VEH98 Data'!Y$3)+1),ROWS('VEH98 Data'!Y$3:'VEH98 Data'!Y76))),"")</f>
        <v>33</v>
      </c>
    </row>
    <row r="87" spans="2:16">
      <c r="B87" s="58" t="str">
        <f t="array" aca="1" ref="B87" ca="1">IFERROR(INDEX('VEH98 Data'!H$3:H$3508, SMALL(IF('VEH98 Data'!$AG$3:$AG$3508="TRUE", ROW('VEH98 Data'!H$3:H$3508)-ROW('VEH98 Data'!H$3)+1),ROWS('VEH98 Data'!H$3:'VEH98 Data'!H75))),"")</f>
        <v/>
      </c>
      <c r="C87" s="58" t="str">
        <f t="array" aca="1" ref="C87" ca="1">IFERROR(INDEX('VEH98 Data'!G$3:G$3508, SMALL(IF('VEH98 Data'!$AG$3:$AG$3508="TRUE", ROW('VEH98 Data'!G$3:G$3508)-ROW('VEH98 Data'!G$3)+1),ROWS('VEH98 Data'!G$3:'VEH98 Data'!G75))),"")</f>
        <v/>
      </c>
      <c r="D87" s="58" t="str">
        <f t="array" aca="1" ref="D87" ca="1">IFERROR(INDEX('VEH98 Data'!I$3:I$3508, SMALL(IF('VEH98 Data'!$AG$3:$AG$3508="TRUE", ROW('VEH98 Data'!I$3:I$3508)-ROW('VEH98 Data'!I$3)+1),ROWS('VEH98 Data'!I$3:'VEH98 Data'!I75))),"")</f>
        <v/>
      </c>
      <c r="E87" s="58" t="str">
        <f t="array" aca="1" ref="E87" ca="1">IFERROR(INDEX('VEH98 Data'!J$3:J$3508, SMALL(IF('VEH98 Data'!$AG$3:$AG$3508="TRUE", ROW('VEH98 Data'!J$3:J$3508)-ROW('VEH98 Data'!J$3)+1),ROWS('VEH98 Data'!J$3:'VEH98 Data'!J75))),"")</f>
        <v/>
      </c>
      <c r="F87" s="58" t="str">
        <f t="array" aca="1" ref="F87" ca="1">IFERROR(INDEX('VEH98 Data'!K$3:K$3508, SMALL(IF('VEH98 Data'!$AG$3:$AG$3508="TRUE", ROW('VEH98 Data'!K$3:K$3508)-ROW('VEH98 Data'!K$3)+1),ROWS('VEH98 Data'!K$3:'VEH98 Data'!K75))),"")</f>
        <v/>
      </c>
      <c r="G87" s="654" t="str">
        <f t="array" aca="1" ref="G87" ca="1">IFERROR(INDEX('VEH98 Data'!R$3:R$3508, SMALL(IF('VEH98 Data'!$AG$3:$AG$3508="TRUE", ROW('VEH98 Data'!R$3:R$3508)-ROW('VEH98 Data'!R$3)+1),ROWS('VEH98 Data'!R$3:'VEH98 Data'!R75))),"")</f>
        <v/>
      </c>
      <c r="H87" s="654" t="str">
        <f t="array" aca="1" ref="H87" ca="1">IFERROR(INDEX('VEH98 Data'!Y$3:Y$3508, SMALL(IF('VEH98 Data'!$AG$3:$AG$3508="TRUE", ROW('VEH98 Data'!Y$3:Y$3508)-ROW('VEH98 Data'!Y$3)+1),ROWS('VEH98 Data'!Y$3:'VEH98 Data'!Y75))),"")</f>
        <v/>
      </c>
      <c r="J87" s="652">
        <f t="array" aca="1" ref="J87" ca="1">IFERROR(INDEX('VEH98 Data'!H$3:H$3508, SMALL(IF('VEH98 Data'!$AH$3:$AH$3508="TRUE", ROW('VEH98 Data'!H$3:H$3508)-ROW('VEH98 Data'!H$3)+1),ROWS('VEH98 Data'!H$3:'VEH98 Data'!H77))),"")</f>
        <v>2019</v>
      </c>
      <c r="K87" s="652" t="str">
        <f t="array" aca="1" ref="K87" ca="1">IFERROR(INDEX('VEH98 Data'!G$3:G$3508, SMALL(IF('VEH98 Data'!$AH$3:$AH$3508="TRUE", ROW('VEH98 Data'!G$3:G$3508)-ROW('VEH98 Data'!G$3)+1),ROWS('VEH98 Data'!G$3:'VEH98 Data'!G77))),"")</f>
        <v>Nissan</v>
      </c>
      <c r="L87" s="652" t="str">
        <f t="array" aca="1" ref="L87" ca="1">IFERROR(INDEX('VEH98 Data'!I$3:I$3508, SMALL(IF('VEH98 Data'!$AH$3:$AH$3508="TRUE", ROW('VEH98 Data'!I$3:I$3508)-ROW('VEH98 Data'!I$3)+1),ROWS('VEH98 Data'!I$3:'VEH98 Data'!I77))),"")</f>
        <v>Kicks</v>
      </c>
      <c r="M87" s="652" t="str">
        <f t="array" aca="1" ref="M87" ca="1">IFERROR(INDEX('VEH98 Data'!J$3:J$3508, SMALL(IF('VEH98 Data'!$AH$3:$AH$3508="TRUE", ROW('VEH98 Data'!J$3:J$3508)-ROW('VEH98 Data'!J$3)+1),ROWS('VEH98 Data'!J$3:'VEH98 Data'!J77))),"")</f>
        <v>S</v>
      </c>
      <c r="N87" s="652" t="str">
        <f t="array" aca="1" ref="N87" ca="1">IFERROR(INDEX('VEH98 Data'!K$3:K$3508, SMALL(IF('VEH98 Data'!$AH$3:$AH$3508="TRUE", ROW('VEH98 Data'!K$3:K$3508)-ROW('VEH98 Data'!K$3)+1),ROWS('VEH98 Data'!K$3:'VEH98 Data'!K77))),"")</f>
        <v>FWD</v>
      </c>
      <c r="O87" s="653" t="str">
        <f t="array" aca="1" ref="O87" ca="1">IFERROR(INDEX('VEH98 Data'!R$3:R$3508, SMALL(IF('VEH98 Data'!$AH$3:$AH$3508="TRUE", ROW('VEH98 Data'!R$3:R$3508)-ROW('VEH98 Data'!R$3)+1),ROWS('VEH98 Data'!R$3:'VEH98 Data'!R77))),"")</f>
        <v>2.0L</v>
      </c>
      <c r="P87" s="653">
        <f t="array" aca="1" ref="P87" ca="1">IFERROR(INDEX('VEH98 Data'!Y$3:Y$3508, SMALL(IF('VEH98 Data'!$AH$3:$AH$3508="TRUE", ROW('VEH98 Data'!Y$3:Y$3508)-ROW('VEH98 Data'!Y$3)+1),ROWS('VEH98 Data'!Y$3:'VEH98 Data'!Y77))),"")</f>
        <v>33</v>
      </c>
    </row>
    <row r="88" spans="2:16">
      <c r="B88" s="652" t="str">
        <f t="array" aca="1" ref="B88" ca="1">IFERROR(INDEX('VEH98 Data'!H$3:H$3508, SMALL(IF('VEH98 Data'!$AG$3:$AG$3508="TRUE", ROW('VEH98 Data'!H$3:H$3508)-ROW('VEH98 Data'!H$3)+1),ROWS('VEH98 Data'!H$3:'VEH98 Data'!H76))),"")</f>
        <v/>
      </c>
      <c r="C88" s="652" t="str">
        <f t="array" aca="1" ref="C88" ca="1">IFERROR(INDEX('VEH98 Data'!G$3:G$3508, SMALL(IF('VEH98 Data'!$AG$3:$AG$3508="TRUE", ROW('VEH98 Data'!G$3:G$3508)-ROW('VEH98 Data'!G$3)+1),ROWS('VEH98 Data'!G$3:'VEH98 Data'!G76))),"")</f>
        <v/>
      </c>
      <c r="D88" s="652" t="str">
        <f t="array" aca="1" ref="D88" ca="1">IFERROR(INDEX('VEH98 Data'!I$3:I$3508, SMALL(IF('VEH98 Data'!$AG$3:$AG$3508="TRUE", ROW('VEH98 Data'!I$3:I$3508)-ROW('VEH98 Data'!I$3)+1),ROWS('VEH98 Data'!I$3:'VEH98 Data'!I76))),"")</f>
        <v/>
      </c>
      <c r="E88" s="652" t="str">
        <f t="array" aca="1" ref="E88" ca="1">IFERROR(INDEX('VEH98 Data'!J$3:J$3508, SMALL(IF('VEH98 Data'!$AG$3:$AG$3508="TRUE", ROW('VEH98 Data'!J$3:J$3508)-ROW('VEH98 Data'!J$3)+1),ROWS('VEH98 Data'!J$3:'VEH98 Data'!J76))),"")</f>
        <v/>
      </c>
      <c r="F88" s="652" t="str">
        <f t="array" aca="1" ref="F88" ca="1">IFERROR(INDEX('VEH98 Data'!K$3:K$3508, SMALL(IF('VEH98 Data'!$AG$3:$AG$3508="TRUE", ROW('VEH98 Data'!K$3:K$3508)-ROW('VEH98 Data'!K$3)+1),ROWS('VEH98 Data'!K$3:'VEH98 Data'!K76))),"")</f>
        <v/>
      </c>
      <c r="G88" s="653" t="str">
        <f t="array" aca="1" ref="G88" ca="1">IFERROR(INDEX('VEH98 Data'!R$3:R$3508, SMALL(IF('VEH98 Data'!$AG$3:$AG$3508="TRUE", ROW('VEH98 Data'!R$3:R$3508)-ROW('VEH98 Data'!R$3)+1),ROWS('VEH98 Data'!R$3:'VEH98 Data'!R76))),"")</f>
        <v/>
      </c>
      <c r="H88" s="653" t="str">
        <f t="array" aca="1" ref="H88" ca="1">IFERROR(INDEX('VEH98 Data'!Y$3:Y$3508, SMALL(IF('VEH98 Data'!$AG$3:$AG$3508="TRUE", ROW('VEH98 Data'!Y$3:Y$3508)-ROW('VEH98 Data'!Y$3)+1),ROWS('VEH98 Data'!Y$3:'VEH98 Data'!Y76))),"")</f>
        <v/>
      </c>
      <c r="J88" s="58">
        <f t="array" aca="1" ref="J88" ca="1">IFERROR(INDEX('VEH98 Data'!H$3:H$3508, SMALL(IF('VEH98 Data'!$AH$3:$AH$3508="TRUE", ROW('VEH98 Data'!H$3:H$3508)-ROW('VEH98 Data'!H$3)+1),ROWS('VEH98 Data'!H$3:'VEH98 Data'!H78))),"")</f>
        <v>2019</v>
      </c>
      <c r="K88" s="58" t="str">
        <f t="array" aca="1" ref="K88" ca="1">IFERROR(INDEX('VEH98 Data'!G$3:G$3508, SMALL(IF('VEH98 Data'!$AH$3:$AH$3508="TRUE", ROW('VEH98 Data'!G$3:G$3508)-ROW('VEH98 Data'!G$3)+1),ROWS('VEH98 Data'!G$3:'VEH98 Data'!G78))),"")</f>
        <v>Nissan</v>
      </c>
      <c r="L88" s="58" t="str">
        <f t="array" aca="1" ref="L88" ca="1">IFERROR(INDEX('VEH98 Data'!I$3:I$3508, SMALL(IF('VEH98 Data'!$AH$3:$AH$3508="TRUE", ROW('VEH98 Data'!I$3:I$3508)-ROW('VEH98 Data'!I$3)+1),ROWS('VEH98 Data'!I$3:'VEH98 Data'!I78))),"")</f>
        <v>Kicks</v>
      </c>
      <c r="M88" s="58" t="str">
        <f t="array" aca="1" ref="M88" ca="1">IFERROR(INDEX('VEH98 Data'!J$3:J$3508, SMALL(IF('VEH98 Data'!$AH$3:$AH$3508="TRUE", ROW('VEH98 Data'!J$3:J$3508)-ROW('VEH98 Data'!J$3)+1),ROWS('VEH98 Data'!J$3:'VEH98 Data'!J78))),"")</f>
        <v>SV</v>
      </c>
      <c r="N88" s="58" t="str">
        <f t="array" aca="1" ref="N88" ca="1">IFERROR(INDEX('VEH98 Data'!K$3:K$3508, SMALL(IF('VEH98 Data'!$AH$3:$AH$3508="TRUE", ROW('VEH98 Data'!K$3:K$3508)-ROW('VEH98 Data'!K$3)+1),ROWS('VEH98 Data'!K$3:'VEH98 Data'!K78))),"")</f>
        <v>FWD</v>
      </c>
      <c r="O88" s="654" t="str">
        <f t="array" aca="1" ref="O88" ca="1">IFERROR(INDEX('VEH98 Data'!R$3:R$3508, SMALL(IF('VEH98 Data'!$AH$3:$AH$3508="TRUE", ROW('VEH98 Data'!R$3:R$3508)-ROW('VEH98 Data'!R$3)+1),ROWS('VEH98 Data'!R$3:'VEH98 Data'!R78))),"")</f>
        <v>1.6L</v>
      </c>
      <c r="P88" s="654">
        <f t="array" aca="1" ref="P88" ca="1">IFERROR(INDEX('VEH98 Data'!Y$3:Y$3508, SMALL(IF('VEH98 Data'!$AH$3:$AH$3508="TRUE", ROW('VEH98 Data'!Y$3:Y$3508)-ROW('VEH98 Data'!Y$3)+1),ROWS('VEH98 Data'!Y$3:'VEH98 Data'!Y78))),"")</f>
        <v>33</v>
      </c>
    </row>
    <row r="89" spans="2:16">
      <c r="B89" s="58" t="str">
        <f t="array" aca="1" ref="B89" ca="1">IFERROR(INDEX('VEH98 Data'!H$3:H$3508, SMALL(IF('VEH98 Data'!$AG$3:$AG$3508="TRUE", ROW('VEH98 Data'!H$3:H$3508)-ROW('VEH98 Data'!H$3)+1),ROWS('VEH98 Data'!H$3:'VEH98 Data'!H77))),"")</f>
        <v/>
      </c>
      <c r="C89" s="58" t="str">
        <f t="array" aca="1" ref="C89" ca="1">IFERROR(INDEX('VEH98 Data'!G$3:G$3508, SMALL(IF('VEH98 Data'!$AG$3:$AG$3508="TRUE", ROW('VEH98 Data'!G$3:G$3508)-ROW('VEH98 Data'!G$3)+1),ROWS('VEH98 Data'!G$3:'VEH98 Data'!G77))),"")</f>
        <v/>
      </c>
      <c r="D89" s="58" t="str">
        <f t="array" aca="1" ref="D89" ca="1">IFERROR(INDEX('VEH98 Data'!I$3:I$3508, SMALL(IF('VEH98 Data'!$AG$3:$AG$3508="TRUE", ROW('VEH98 Data'!I$3:I$3508)-ROW('VEH98 Data'!I$3)+1),ROWS('VEH98 Data'!I$3:'VEH98 Data'!I77))),"")</f>
        <v/>
      </c>
      <c r="E89" s="58" t="str">
        <f t="array" aca="1" ref="E89" ca="1">IFERROR(INDEX('VEH98 Data'!J$3:J$3508, SMALL(IF('VEH98 Data'!$AG$3:$AG$3508="TRUE", ROW('VEH98 Data'!J$3:J$3508)-ROW('VEH98 Data'!J$3)+1),ROWS('VEH98 Data'!J$3:'VEH98 Data'!J77))),"")</f>
        <v/>
      </c>
      <c r="F89" s="58" t="str">
        <f t="array" aca="1" ref="F89" ca="1">IFERROR(INDEX('VEH98 Data'!K$3:K$3508, SMALL(IF('VEH98 Data'!$AG$3:$AG$3508="TRUE", ROW('VEH98 Data'!K$3:K$3508)-ROW('VEH98 Data'!K$3)+1),ROWS('VEH98 Data'!K$3:'VEH98 Data'!K77))),"")</f>
        <v/>
      </c>
      <c r="G89" s="654" t="str">
        <f t="array" aca="1" ref="G89" ca="1">IFERROR(INDEX('VEH98 Data'!R$3:R$3508, SMALL(IF('VEH98 Data'!$AG$3:$AG$3508="TRUE", ROW('VEH98 Data'!R$3:R$3508)-ROW('VEH98 Data'!R$3)+1),ROWS('VEH98 Data'!R$3:'VEH98 Data'!R77))),"")</f>
        <v/>
      </c>
      <c r="H89" s="654" t="str">
        <f t="array" aca="1" ref="H89" ca="1">IFERROR(INDEX('VEH98 Data'!Y$3:Y$3508, SMALL(IF('VEH98 Data'!$AG$3:$AG$3508="TRUE", ROW('VEH98 Data'!Y$3:Y$3508)-ROW('VEH98 Data'!Y$3)+1),ROWS('VEH98 Data'!Y$3:'VEH98 Data'!Y77))),"")</f>
        <v/>
      </c>
      <c r="J89" s="652">
        <f t="array" aca="1" ref="J89" ca="1">IFERROR(INDEX('VEH98 Data'!H$3:H$3508, SMALL(IF('VEH98 Data'!$AH$3:$AH$3508="TRUE", ROW('VEH98 Data'!H$3:H$3508)-ROW('VEH98 Data'!H$3)+1),ROWS('VEH98 Data'!H$3:'VEH98 Data'!H79))),"")</f>
        <v>2019</v>
      </c>
      <c r="K89" s="652" t="str">
        <f t="array" aca="1" ref="K89" ca="1">IFERROR(INDEX('VEH98 Data'!G$3:G$3508, SMALL(IF('VEH98 Data'!$AH$3:$AH$3508="TRUE", ROW('VEH98 Data'!G$3:G$3508)-ROW('VEH98 Data'!G$3)+1),ROWS('VEH98 Data'!G$3:'VEH98 Data'!G79))),"")</f>
        <v>Nissan</v>
      </c>
      <c r="L89" s="652" t="str">
        <f t="array" aca="1" ref="L89" ca="1">IFERROR(INDEX('VEH98 Data'!I$3:I$3508, SMALL(IF('VEH98 Data'!$AH$3:$AH$3508="TRUE", ROW('VEH98 Data'!I$3:I$3508)-ROW('VEH98 Data'!I$3)+1),ROWS('VEH98 Data'!I$3:'VEH98 Data'!I79))),"")</f>
        <v>Kicks</v>
      </c>
      <c r="M89" s="652" t="str">
        <f t="array" aca="1" ref="M89" ca="1">IFERROR(INDEX('VEH98 Data'!J$3:J$3508, SMALL(IF('VEH98 Data'!$AH$3:$AH$3508="TRUE", ROW('VEH98 Data'!J$3:J$3508)-ROW('VEH98 Data'!J$3)+1),ROWS('VEH98 Data'!J$3:'VEH98 Data'!J79))),"")</f>
        <v>SV</v>
      </c>
      <c r="N89" s="652" t="str">
        <f t="array" aca="1" ref="N89" ca="1">IFERROR(INDEX('VEH98 Data'!K$3:K$3508, SMALL(IF('VEH98 Data'!$AH$3:$AH$3508="TRUE", ROW('VEH98 Data'!K$3:K$3508)-ROW('VEH98 Data'!K$3)+1),ROWS('VEH98 Data'!K$3:'VEH98 Data'!K79))),"")</f>
        <v>FWD</v>
      </c>
      <c r="O89" s="653" t="str">
        <f t="array" aca="1" ref="O89" ca="1">IFERROR(INDEX('VEH98 Data'!R$3:R$3508, SMALL(IF('VEH98 Data'!$AH$3:$AH$3508="TRUE", ROW('VEH98 Data'!R$3:R$3508)-ROW('VEH98 Data'!R$3)+1),ROWS('VEH98 Data'!R$3:'VEH98 Data'!R79))),"")</f>
        <v>2.0L</v>
      </c>
      <c r="P89" s="653">
        <f t="array" aca="1" ref="P89" ca="1">IFERROR(INDEX('VEH98 Data'!Y$3:Y$3508, SMALL(IF('VEH98 Data'!$AH$3:$AH$3508="TRUE", ROW('VEH98 Data'!Y$3:Y$3508)-ROW('VEH98 Data'!Y$3)+1),ROWS('VEH98 Data'!Y$3:'VEH98 Data'!Y79))),"")</f>
        <v>33</v>
      </c>
    </row>
    <row r="90" spans="2:16">
      <c r="B90" s="652" t="str">
        <f t="array" aca="1" ref="B90" ca="1">IFERROR(INDEX('VEH98 Data'!H$3:H$3508, SMALL(IF('VEH98 Data'!$AG$3:$AG$3508="TRUE", ROW('VEH98 Data'!H$3:H$3508)-ROW('VEH98 Data'!H$3)+1),ROWS('VEH98 Data'!H$3:'VEH98 Data'!H78))),"")</f>
        <v/>
      </c>
      <c r="C90" s="652" t="str">
        <f t="array" aca="1" ref="C90" ca="1">IFERROR(INDEX('VEH98 Data'!G$3:G$3508, SMALL(IF('VEH98 Data'!$AG$3:$AG$3508="TRUE", ROW('VEH98 Data'!G$3:G$3508)-ROW('VEH98 Data'!G$3)+1),ROWS('VEH98 Data'!G$3:'VEH98 Data'!G78))),"")</f>
        <v/>
      </c>
      <c r="D90" s="652" t="str">
        <f t="array" aca="1" ref="D90" ca="1">IFERROR(INDEX('VEH98 Data'!I$3:I$3508, SMALL(IF('VEH98 Data'!$AG$3:$AG$3508="TRUE", ROW('VEH98 Data'!I$3:I$3508)-ROW('VEH98 Data'!I$3)+1),ROWS('VEH98 Data'!I$3:'VEH98 Data'!I78))),"")</f>
        <v/>
      </c>
      <c r="E90" s="652" t="str">
        <f t="array" aca="1" ref="E90" ca="1">IFERROR(INDEX('VEH98 Data'!J$3:J$3508, SMALL(IF('VEH98 Data'!$AG$3:$AG$3508="TRUE", ROW('VEH98 Data'!J$3:J$3508)-ROW('VEH98 Data'!J$3)+1),ROWS('VEH98 Data'!J$3:'VEH98 Data'!J78))),"")</f>
        <v/>
      </c>
      <c r="F90" s="652" t="str">
        <f t="array" aca="1" ref="F90" ca="1">IFERROR(INDEX('VEH98 Data'!K$3:K$3508, SMALL(IF('VEH98 Data'!$AG$3:$AG$3508="TRUE", ROW('VEH98 Data'!K$3:K$3508)-ROW('VEH98 Data'!K$3)+1),ROWS('VEH98 Data'!K$3:'VEH98 Data'!K78))),"")</f>
        <v/>
      </c>
      <c r="G90" s="653" t="str">
        <f t="array" aca="1" ref="G90" ca="1">IFERROR(INDEX('VEH98 Data'!R$3:R$3508, SMALL(IF('VEH98 Data'!$AG$3:$AG$3508="TRUE", ROW('VEH98 Data'!R$3:R$3508)-ROW('VEH98 Data'!R$3)+1),ROWS('VEH98 Data'!R$3:'VEH98 Data'!R78))),"")</f>
        <v/>
      </c>
      <c r="H90" s="653" t="str">
        <f t="array" aca="1" ref="H90" ca="1">IFERROR(INDEX('VEH98 Data'!Y$3:Y$3508, SMALL(IF('VEH98 Data'!$AG$3:$AG$3508="TRUE", ROW('VEH98 Data'!Y$3:Y$3508)-ROW('VEH98 Data'!Y$3)+1),ROWS('VEH98 Data'!Y$3:'VEH98 Data'!Y78))),"")</f>
        <v/>
      </c>
      <c r="J90" s="58">
        <f t="array" aca="1" ref="J90" ca="1">IFERROR(INDEX('VEH98 Data'!H$3:H$3508, SMALL(IF('VEH98 Data'!$AH$3:$AH$3508="TRUE", ROW('VEH98 Data'!H$3:H$3508)-ROW('VEH98 Data'!H$3)+1),ROWS('VEH98 Data'!H$3:'VEH98 Data'!H80))),"")</f>
        <v>2019</v>
      </c>
      <c r="K90" s="58" t="str">
        <f t="array" aca="1" ref="K90" ca="1">IFERROR(INDEX('VEH98 Data'!G$3:G$3508, SMALL(IF('VEH98 Data'!$AH$3:$AH$3508="TRUE", ROW('VEH98 Data'!G$3:G$3508)-ROW('VEH98 Data'!G$3)+1),ROWS('VEH98 Data'!G$3:'VEH98 Data'!G80))),"")</f>
        <v>Nissan</v>
      </c>
      <c r="L90" s="58" t="str">
        <f t="array" aca="1" ref="L90" ca="1">IFERROR(INDEX('VEH98 Data'!I$3:I$3508, SMALL(IF('VEH98 Data'!$AH$3:$AH$3508="TRUE", ROW('VEH98 Data'!I$3:I$3508)-ROW('VEH98 Data'!I$3)+1),ROWS('VEH98 Data'!I$3:'VEH98 Data'!I80))),"")</f>
        <v>Murano</v>
      </c>
      <c r="M90" s="58" t="str">
        <f t="array" aca="1" ref="M90" ca="1">IFERROR(INDEX('VEH98 Data'!J$3:J$3508, SMALL(IF('VEH98 Data'!$AH$3:$AH$3508="TRUE", ROW('VEH98 Data'!J$3:J$3508)-ROW('VEH98 Data'!J$3)+1),ROWS('VEH98 Data'!J$3:'VEH98 Data'!J80))),"")</f>
        <v>S</v>
      </c>
      <c r="N90" s="58" t="str">
        <f t="array" aca="1" ref="N90" ca="1">IFERROR(INDEX('VEH98 Data'!K$3:K$3508, SMALL(IF('VEH98 Data'!$AH$3:$AH$3508="TRUE", ROW('VEH98 Data'!K$3:K$3508)-ROW('VEH98 Data'!K$3)+1),ROWS('VEH98 Data'!K$3:'VEH98 Data'!K80))),"")</f>
        <v>4WD</v>
      </c>
      <c r="O90" s="654" t="str">
        <f t="array" aca="1" ref="O90" ca="1">IFERROR(INDEX('VEH98 Data'!R$3:R$3508, SMALL(IF('VEH98 Data'!$AH$3:$AH$3508="TRUE", ROW('VEH98 Data'!R$3:R$3508)-ROW('VEH98 Data'!R$3)+1),ROWS('VEH98 Data'!R$3:'VEH98 Data'!R80))),"")</f>
        <v>3.5L</v>
      </c>
      <c r="P90" s="654">
        <f t="array" aca="1" ref="P90" ca="1">IFERROR(INDEX('VEH98 Data'!Y$3:Y$3508, SMALL(IF('VEH98 Data'!$AH$3:$AH$3508="TRUE", ROW('VEH98 Data'!Y$3:Y$3508)-ROW('VEH98 Data'!Y$3)+1),ROWS('VEH98 Data'!Y$3:'VEH98 Data'!Y80))),"")</f>
        <v>24</v>
      </c>
    </row>
    <row r="91" spans="2:16">
      <c r="B91" s="58"/>
      <c r="C91" s="58" t="str">
        <f t="array" aca="1" ref="C91" ca="1">IFERROR(INDEX('VEH98 Data'!G$3:G$3508, SMALL(IF('VEH98 Data'!$AG$3:$AG$3508="TRUE", ROW('VEH98 Data'!G$3:G$3508)-ROW('VEH98 Data'!G$3)+1),ROWS('VEH98 Data'!G$3:'VEH98 Data'!G79))),"")</f>
        <v/>
      </c>
      <c r="D91" s="58" t="str">
        <f t="array" aca="1" ref="D91" ca="1">IFERROR(INDEX('VEH98 Data'!I$3:I$3508, SMALL(IF('VEH98 Data'!$AG$3:$AG$3508="TRUE", ROW('VEH98 Data'!I$3:I$3508)-ROW('VEH98 Data'!I$3)+1),ROWS('VEH98 Data'!I$3:'VEH98 Data'!I79))),"")</f>
        <v/>
      </c>
      <c r="E91" s="58" t="str">
        <f t="array" aca="1" ref="E91" ca="1">IFERROR(INDEX('VEH98 Data'!J$3:J$3508, SMALL(IF('VEH98 Data'!$AG$3:$AG$3508="TRUE", ROW('VEH98 Data'!J$3:J$3508)-ROW('VEH98 Data'!J$3)+1),ROWS('VEH98 Data'!J$3:'VEH98 Data'!J79))),"")</f>
        <v/>
      </c>
      <c r="F91" s="58" t="str">
        <f t="array" aca="1" ref="F91" ca="1">IFERROR(INDEX('VEH98 Data'!K$3:K$3508, SMALL(IF('VEH98 Data'!$AG$3:$AG$3508="TRUE", ROW('VEH98 Data'!K$3:K$3508)-ROW('VEH98 Data'!K$3)+1),ROWS('VEH98 Data'!K$3:'VEH98 Data'!K79))),"")</f>
        <v/>
      </c>
      <c r="G91" s="654" t="str">
        <f t="array" aca="1" ref="G91" ca="1">IFERROR(INDEX('VEH98 Data'!R$3:R$3508, SMALL(IF('VEH98 Data'!$AG$3:$AG$3508="TRUE", ROW('VEH98 Data'!R$3:R$3508)-ROW('VEH98 Data'!R$3)+1),ROWS('VEH98 Data'!R$3:'VEH98 Data'!R79))),"")</f>
        <v/>
      </c>
      <c r="H91" s="654" t="str">
        <f t="array" aca="1" ref="H91" ca="1">IFERROR(INDEX('VEH98 Data'!Y$3:Y$3508, SMALL(IF('VEH98 Data'!$AG$3:$AG$3508="TRUE", ROW('VEH98 Data'!Y$3:Y$3508)-ROW('VEH98 Data'!Y$3)+1),ROWS('VEH98 Data'!Y$3:'VEH98 Data'!Y79))),"")</f>
        <v/>
      </c>
      <c r="J91" s="652">
        <f t="array" aca="1" ref="J91" ca="1">IFERROR(INDEX('VEH98 Data'!H$3:H$3508, SMALL(IF('VEH98 Data'!$AH$3:$AH$3508="TRUE", ROW('VEH98 Data'!H$3:H$3508)-ROW('VEH98 Data'!H$3)+1),ROWS('VEH98 Data'!H$3:'VEH98 Data'!H81))),"")</f>
        <v>2019</v>
      </c>
      <c r="K91" s="652" t="str">
        <f t="array" aca="1" ref="K91" ca="1">IFERROR(INDEX('VEH98 Data'!G$3:G$3508, SMALL(IF('VEH98 Data'!$AH$3:$AH$3508="TRUE", ROW('VEH98 Data'!G$3:G$3508)-ROW('VEH98 Data'!G$3)+1),ROWS('VEH98 Data'!G$3:'VEH98 Data'!G81))),"")</f>
        <v>Nissan</v>
      </c>
      <c r="L91" s="652" t="str">
        <f t="array" aca="1" ref="L91" ca="1">IFERROR(INDEX('VEH98 Data'!I$3:I$3508, SMALL(IF('VEH98 Data'!$AH$3:$AH$3508="TRUE", ROW('VEH98 Data'!I$3:I$3508)-ROW('VEH98 Data'!I$3)+1),ROWS('VEH98 Data'!I$3:'VEH98 Data'!I81))),"")</f>
        <v>Murano</v>
      </c>
      <c r="M91" s="652" t="str">
        <f t="array" aca="1" ref="M91" ca="1">IFERROR(INDEX('VEH98 Data'!J$3:J$3508, SMALL(IF('VEH98 Data'!$AH$3:$AH$3508="TRUE", ROW('VEH98 Data'!J$3:J$3508)-ROW('VEH98 Data'!J$3)+1),ROWS('VEH98 Data'!J$3:'VEH98 Data'!J81))),"")</f>
        <v>SV</v>
      </c>
      <c r="N91" s="652" t="str">
        <f t="array" aca="1" ref="N91" ca="1">IFERROR(INDEX('VEH98 Data'!K$3:K$3508, SMALL(IF('VEH98 Data'!$AH$3:$AH$3508="TRUE", ROW('VEH98 Data'!K$3:K$3508)-ROW('VEH98 Data'!K$3)+1),ROWS('VEH98 Data'!K$3:'VEH98 Data'!K81))),"")</f>
        <v>4WD</v>
      </c>
      <c r="O91" s="653" t="str">
        <f t="array" aca="1" ref="O91" ca="1">IFERROR(INDEX('VEH98 Data'!R$3:R$3508, SMALL(IF('VEH98 Data'!$AH$3:$AH$3508="TRUE", ROW('VEH98 Data'!R$3:R$3508)-ROW('VEH98 Data'!R$3)+1),ROWS('VEH98 Data'!R$3:'VEH98 Data'!R81))),"")</f>
        <v>3.5L</v>
      </c>
      <c r="P91" s="653">
        <f t="array" aca="1" ref="P91" ca="1">IFERROR(INDEX('VEH98 Data'!Y$3:Y$3508, SMALL(IF('VEH98 Data'!$AH$3:$AH$3508="TRUE", ROW('VEH98 Data'!Y$3:Y$3508)-ROW('VEH98 Data'!Y$3)+1),ROWS('VEH98 Data'!Y$3:'VEH98 Data'!Y81))),"")</f>
        <v>24</v>
      </c>
    </row>
    <row r="92" spans="2:16">
      <c r="B92" s="652"/>
      <c r="C92" s="652" t="str">
        <f t="array" aca="1" ref="C92" ca="1">IFERROR(INDEX('VEH98 Data'!G$3:G$3508, SMALL(IF('VEH98 Data'!$AG$3:$AG$3508="TRUE", ROW('VEH98 Data'!G$3:G$3508)-ROW('VEH98 Data'!G$3)+1),ROWS('VEH98 Data'!G$3:'VEH98 Data'!G80))),"")</f>
        <v/>
      </c>
      <c r="D92" s="652" t="str">
        <f t="array" aca="1" ref="D92" ca="1">IFERROR(INDEX('VEH98 Data'!I$3:I$3508, SMALL(IF('VEH98 Data'!$AG$3:$AG$3508="TRUE", ROW('VEH98 Data'!I$3:I$3508)-ROW('VEH98 Data'!I$3)+1),ROWS('VEH98 Data'!I$3:'VEH98 Data'!I80))),"")</f>
        <v/>
      </c>
      <c r="E92" s="652" t="str">
        <f t="array" aca="1" ref="E92" ca="1">IFERROR(INDEX('VEH98 Data'!J$3:J$3508, SMALL(IF('VEH98 Data'!$AG$3:$AG$3508="TRUE", ROW('VEH98 Data'!J$3:J$3508)-ROW('VEH98 Data'!J$3)+1),ROWS('VEH98 Data'!J$3:'VEH98 Data'!J80))),"")</f>
        <v/>
      </c>
      <c r="F92" s="652" t="str">
        <f t="array" aca="1" ref="F92" ca="1">IFERROR(INDEX('VEH98 Data'!K$3:K$3508, SMALL(IF('VEH98 Data'!$AG$3:$AG$3508="TRUE", ROW('VEH98 Data'!K$3:K$3508)-ROW('VEH98 Data'!K$3)+1),ROWS('VEH98 Data'!K$3:'VEH98 Data'!K80))),"")</f>
        <v/>
      </c>
      <c r="G92" s="653" t="str">
        <f t="array" aca="1" ref="G92" ca="1">IFERROR(INDEX('VEH98 Data'!R$3:R$3508, SMALL(IF('VEH98 Data'!$AG$3:$AG$3508="TRUE", ROW('VEH98 Data'!R$3:R$3508)-ROW('VEH98 Data'!R$3)+1),ROWS('VEH98 Data'!R$3:'VEH98 Data'!R80))),"")</f>
        <v/>
      </c>
      <c r="H92" s="653" t="str">
        <f t="array" aca="1" ref="H92" ca="1">IFERROR(INDEX('VEH98 Data'!Y$3:Y$3508, SMALL(IF('VEH98 Data'!$AG$3:$AG$3508="TRUE", ROW('VEH98 Data'!Y$3:Y$3508)-ROW('VEH98 Data'!Y$3)+1),ROWS('VEH98 Data'!Y$3:'VEH98 Data'!Y80))),"")</f>
        <v/>
      </c>
      <c r="J92" s="58">
        <f t="array" aca="1" ref="J92" ca="1">IFERROR(INDEX('VEH98 Data'!H$3:H$3508, SMALL(IF('VEH98 Data'!$AH$3:$AH$3508="TRUE", ROW('VEH98 Data'!H$3:H$3508)-ROW('VEH98 Data'!H$3)+1),ROWS('VEH98 Data'!H$3:'VEH98 Data'!H82))),"")</f>
        <v>2019</v>
      </c>
      <c r="K92" s="58" t="str">
        <f t="array" aca="1" ref="K92" ca="1">IFERROR(INDEX('VEH98 Data'!G$3:G$3508, SMALL(IF('VEH98 Data'!$AH$3:$AH$3508="TRUE", ROW('VEH98 Data'!G$3:G$3508)-ROW('VEH98 Data'!G$3)+1),ROWS('VEH98 Data'!G$3:'VEH98 Data'!G82))),"")</f>
        <v>Nissan</v>
      </c>
      <c r="L92" s="58" t="str">
        <f t="array" aca="1" ref="L92" ca="1">IFERROR(INDEX('VEH98 Data'!I$3:I$3508, SMALL(IF('VEH98 Data'!$AH$3:$AH$3508="TRUE", ROW('VEH98 Data'!I$3:I$3508)-ROW('VEH98 Data'!I$3)+1),ROWS('VEH98 Data'!I$3:'VEH98 Data'!I82))),"")</f>
        <v>Pathfinder</v>
      </c>
      <c r="M92" s="58" t="str">
        <f t="array" aca="1" ref="M92" ca="1">IFERROR(INDEX('VEH98 Data'!J$3:J$3508, SMALL(IF('VEH98 Data'!$AH$3:$AH$3508="TRUE", ROW('VEH98 Data'!J$3:J$3508)-ROW('VEH98 Data'!J$3)+1),ROWS('VEH98 Data'!J$3:'VEH98 Data'!J82))),"")</f>
        <v>S</v>
      </c>
      <c r="N92" s="58" t="str">
        <f t="array" aca="1" ref="N92" ca="1">IFERROR(INDEX('VEH98 Data'!K$3:K$3508, SMALL(IF('VEH98 Data'!$AH$3:$AH$3508="TRUE", ROW('VEH98 Data'!K$3:K$3508)-ROW('VEH98 Data'!K$3)+1),ROWS('VEH98 Data'!K$3:'VEH98 Data'!K82))),"")</f>
        <v>4WD</v>
      </c>
      <c r="O92" s="654" t="str">
        <f t="array" aca="1" ref="O92" ca="1">IFERROR(INDEX('VEH98 Data'!R$3:R$3508, SMALL(IF('VEH98 Data'!$AH$3:$AH$3508="TRUE", ROW('VEH98 Data'!R$3:R$3508)-ROW('VEH98 Data'!R$3)+1),ROWS('VEH98 Data'!R$3:'VEH98 Data'!R82))),"")</f>
        <v>3.5L</v>
      </c>
      <c r="P92" s="654">
        <f t="array" aca="1" ref="P92" ca="1">IFERROR(INDEX('VEH98 Data'!Y$3:Y$3508, SMALL(IF('VEH98 Data'!$AH$3:$AH$3508="TRUE", ROW('VEH98 Data'!Y$3:Y$3508)-ROW('VEH98 Data'!Y$3)+1),ROWS('VEH98 Data'!Y$3:'VEH98 Data'!Y82))),"")</f>
        <v>22</v>
      </c>
    </row>
    <row r="93" spans="2:16">
      <c r="B93" s="58"/>
      <c r="C93" s="58" t="str">
        <f t="array" aca="1" ref="C93" ca="1">IFERROR(INDEX('VEH98 Data'!G$3:G$3508, SMALL(IF('VEH98 Data'!$AG$3:$AG$3508="TRUE", ROW('VEH98 Data'!G$3:G$3508)-ROW('VEH98 Data'!G$3)+1),ROWS('VEH98 Data'!G$3:'VEH98 Data'!G81))),"")</f>
        <v/>
      </c>
      <c r="D93" s="58" t="str">
        <f t="array" aca="1" ref="D93" ca="1">IFERROR(INDEX('VEH98 Data'!I$3:I$3508, SMALL(IF('VEH98 Data'!$AG$3:$AG$3508="TRUE", ROW('VEH98 Data'!I$3:I$3508)-ROW('VEH98 Data'!I$3)+1),ROWS('VEH98 Data'!I$3:'VEH98 Data'!I81))),"")</f>
        <v/>
      </c>
      <c r="E93" s="58" t="str">
        <f t="array" aca="1" ref="E93" ca="1">IFERROR(INDEX('VEH98 Data'!J$3:J$3508, SMALL(IF('VEH98 Data'!$AG$3:$AG$3508="TRUE", ROW('VEH98 Data'!J$3:J$3508)-ROW('VEH98 Data'!J$3)+1),ROWS('VEH98 Data'!J$3:'VEH98 Data'!J81))),"")</f>
        <v/>
      </c>
      <c r="F93" s="58" t="str">
        <f t="array" aca="1" ref="F93" ca="1">IFERROR(INDEX('VEH98 Data'!K$3:K$3508, SMALL(IF('VEH98 Data'!$AG$3:$AG$3508="TRUE", ROW('VEH98 Data'!K$3:K$3508)-ROW('VEH98 Data'!K$3)+1),ROWS('VEH98 Data'!K$3:'VEH98 Data'!K81))),"")</f>
        <v/>
      </c>
      <c r="G93" s="654" t="str">
        <f t="array" aca="1" ref="G93" ca="1">IFERROR(INDEX('VEH98 Data'!R$3:R$3508, SMALL(IF('VEH98 Data'!$AG$3:$AG$3508="TRUE", ROW('VEH98 Data'!R$3:R$3508)-ROW('VEH98 Data'!R$3)+1),ROWS('VEH98 Data'!R$3:'VEH98 Data'!R81))),"")</f>
        <v/>
      </c>
      <c r="H93" s="654" t="str">
        <f t="array" aca="1" ref="H93" ca="1">IFERROR(INDEX('VEH98 Data'!Y$3:Y$3508, SMALL(IF('VEH98 Data'!$AG$3:$AG$3508="TRUE", ROW('VEH98 Data'!Y$3:Y$3508)-ROW('VEH98 Data'!Y$3)+1),ROWS('VEH98 Data'!Y$3:'VEH98 Data'!Y81))),"")</f>
        <v/>
      </c>
      <c r="J93" s="652">
        <f t="array" aca="1" ref="J93" ca="1">IFERROR(INDEX('VEH98 Data'!H$3:H$3508, SMALL(IF('VEH98 Data'!$AH$3:$AH$3508="TRUE", ROW('VEH98 Data'!H$3:H$3508)-ROW('VEH98 Data'!H$3)+1),ROWS('VEH98 Data'!H$3:'VEH98 Data'!H83))),"")</f>
        <v>2019</v>
      </c>
      <c r="K93" s="652" t="str">
        <f t="array" aca="1" ref="K93" ca="1">IFERROR(INDEX('VEH98 Data'!G$3:G$3508, SMALL(IF('VEH98 Data'!$AH$3:$AH$3508="TRUE", ROW('VEH98 Data'!G$3:G$3508)-ROW('VEH98 Data'!G$3)+1),ROWS('VEH98 Data'!G$3:'VEH98 Data'!G83))),"")</f>
        <v>Nissan</v>
      </c>
      <c r="L93" s="652" t="str">
        <f t="array" aca="1" ref="L93" ca="1">IFERROR(INDEX('VEH98 Data'!I$3:I$3508, SMALL(IF('VEH98 Data'!$AH$3:$AH$3508="TRUE", ROW('VEH98 Data'!I$3:I$3508)-ROW('VEH98 Data'!I$3)+1),ROWS('VEH98 Data'!I$3:'VEH98 Data'!I83))),"")</f>
        <v>Pathfinder</v>
      </c>
      <c r="M93" s="652" t="str">
        <f t="array" aca="1" ref="M93" ca="1">IFERROR(INDEX('VEH98 Data'!J$3:J$3508, SMALL(IF('VEH98 Data'!$AH$3:$AH$3508="TRUE", ROW('VEH98 Data'!J$3:J$3508)-ROW('VEH98 Data'!J$3)+1),ROWS('VEH98 Data'!J$3:'VEH98 Data'!J83))),"")</f>
        <v>S</v>
      </c>
      <c r="N93" s="652" t="str">
        <f t="array" aca="1" ref="N93" ca="1">IFERROR(INDEX('VEH98 Data'!K$3:K$3508, SMALL(IF('VEH98 Data'!$AH$3:$AH$3508="TRUE", ROW('VEH98 Data'!K$3:K$3508)-ROW('VEH98 Data'!K$3)+1),ROWS('VEH98 Data'!K$3:'VEH98 Data'!K83))),"")</f>
        <v>4WD</v>
      </c>
      <c r="O93" s="653" t="str">
        <f t="array" aca="1" ref="O93" ca="1">IFERROR(INDEX('VEH98 Data'!R$3:R$3508, SMALL(IF('VEH98 Data'!$AH$3:$AH$3508="TRUE", ROW('VEH98 Data'!R$3:R$3508)-ROW('VEH98 Data'!R$3)+1),ROWS('VEH98 Data'!R$3:'VEH98 Data'!R83))),"")</f>
        <v>3.5L</v>
      </c>
      <c r="P93" s="653">
        <f t="array" aca="1" ref="P93" ca="1">IFERROR(INDEX('VEH98 Data'!Y$3:Y$3508, SMALL(IF('VEH98 Data'!$AH$3:$AH$3508="TRUE", ROW('VEH98 Data'!Y$3:Y$3508)-ROW('VEH98 Data'!Y$3)+1),ROWS('VEH98 Data'!Y$3:'VEH98 Data'!Y83))),"")</f>
        <v>22</v>
      </c>
    </row>
    <row r="94" spans="2:16">
      <c r="B94" s="652"/>
      <c r="C94" s="652" t="str">
        <f t="array" aca="1" ref="C94" ca="1">IFERROR(INDEX('VEH98 Data'!G$3:G$3508, SMALL(IF('VEH98 Data'!$AG$3:$AG$3508="TRUE", ROW('VEH98 Data'!G$3:G$3508)-ROW('VEH98 Data'!G$3)+1),ROWS('VEH98 Data'!G$3:'VEH98 Data'!G82))),"")</f>
        <v/>
      </c>
      <c r="D94" s="652" t="str">
        <f t="array" aca="1" ref="D94" ca="1">IFERROR(INDEX('VEH98 Data'!I$3:I$3508, SMALL(IF('VEH98 Data'!$AG$3:$AG$3508="TRUE", ROW('VEH98 Data'!I$3:I$3508)-ROW('VEH98 Data'!I$3)+1),ROWS('VEH98 Data'!I$3:'VEH98 Data'!I82))),"")</f>
        <v/>
      </c>
      <c r="E94" s="652" t="str">
        <f t="array" aca="1" ref="E94" ca="1">IFERROR(INDEX('VEH98 Data'!J$3:J$3508, SMALL(IF('VEH98 Data'!$AG$3:$AG$3508="TRUE", ROW('VEH98 Data'!J$3:J$3508)-ROW('VEH98 Data'!J$3)+1),ROWS('VEH98 Data'!J$3:'VEH98 Data'!J82))),"")</f>
        <v/>
      </c>
      <c r="F94" s="652" t="str">
        <f t="array" aca="1" ref="F94" ca="1">IFERROR(INDEX('VEH98 Data'!K$3:K$3508, SMALL(IF('VEH98 Data'!$AG$3:$AG$3508="TRUE", ROW('VEH98 Data'!K$3:K$3508)-ROW('VEH98 Data'!K$3)+1),ROWS('VEH98 Data'!K$3:'VEH98 Data'!K82))),"")</f>
        <v/>
      </c>
      <c r="G94" s="653" t="str">
        <f t="array" aca="1" ref="G94" ca="1">IFERROR(INDEX('VEH98 Data'!R$3:R$3508, SMALL(IF('VEH98 Data'!$AG$3:$AG$3508="TRUE", ROW('VEH98 Data'!R$3:R$3508)-ROW('VEH98 Data'!R$3)+1),ROWS('VEH98 Data'!R$3:'VEH98 Data'!R82))),"")</f>
        <v/>
      </c>
      <c r="H94" s="653" t="str">
        <f t="array" aca="1" ref="H94" ca="1">IFERROR(INDEX('VEH98 Data'!Y$3:Y$3508, SMALL(IF('VEH98 Data'!$AG$3:$AG$3508="TRUE", ROW('VEH98 Data'!Y$3:Y$3508)-ROW('VEH98 Data'!Y$3)+1),ROWS('VEH98 Data'!Y$3:'VEH98 Data'!Y82))),"")</f>
        <v/>
      </c>
      <c r="J94" s="58">
        <f t="array" aca="1" ref="J94" ca="1">IFERROR(INDEX('VEH98 Data'!H$3:H$3508, SMALL(IF('VEH98 Data'!$AH$3:$AH$3508="TRUE", ROW('VEH98 Data'!H$3:H$3508)-ROW('VEH98 Data'!H$3)+1),ROWS('VEH98 Data'!H$3:'VEH98 Data'!H84))),"")</f>
        <v>2019</v>
      </c>
      <c r="K94" s="58" t="str">
        <f t="array" aca="1" ref="K94" ca="1">IFERROR(INDEX('VEH98 Data'!G$3:G$3508, SMALL(IF('VEH98 Data'!$AH$3:$AH$3508="TRUE", ROW('VEH98 Data'!G$3:G$3508)-ROW('VEH98 Data'!G$3)+1),ROWS('VEH98 Data'!G$3:'VEH98 Data'!G84))),"")</f>
        <v>Nissan</v>
      </c>
      <c r="L94" s="58" t="str">
        <f t="array" aca="1" ref="L94" ca="1">IFERROR(INDEX('VEH98 Data'!I$3:I$3508, SMALL(IF('VEH98 Data'!$AH$3:$AH$3508="TRUE", ROW('VEH98 Data'!I$3:I$3508)-ROW('VEH98 Data'!I$3)+1),ROWS('VEH98 Data'!I$3:'VEH98 Data'!I84))),"")</f>
        <v>Pathfinder</v>
      </c>
      <c r="M94" s="58" t="str">
        <f t="array" aca="1" ref="M94" ca="1">IFERROR(INDEX('VEH98 Data'!J$3:J$3508, SMALL(IF('VEH98 Data'!$AH$3:$AH$3508="TRUE", ROW('VEH98 Data'!J$3:J$3508)-ROW('VEH98 Data'!J$3)+1),ROWS('VEH98 Data'!J$3:'VEH98 Data'!J84))),"")</f>
        <v>S</v>
      </c>
      <c r="N94" s="58" t="str">
        <f t="array" aca="1" ref="N94" ca="1">IFERROR(INDEX('VEH98 Data'!K$3:K$3508, SMALL(IF('VEH98 Data'!$AH$3:$AH$3508="TRUE", ROW('VEH98 Data'!K$3:K$3508)-ROW('VEH98 Data'!K$3)+1),ROWS('VEH98 Data'!K$3:'VEH98 Data'!K84))),"")</f>
        <v>FWD</v>
      </c>
      <c r="O94" s="654" t="str">
        <f t="array" aca="1" ref="O94" ca="1">IFERROR(INDEX('VEH98 Data'!R$3:R$3508, SMALL(IF('VEH98 Data'!$AH$3:$AH$3508="TRUE", ROW('VEH98 Data'!R$3:R$3508)-ROW('VEH98 Data'!R$3)+1),ROWS('VEH98 Data'!R$3:'VEH98 Data'!R84))),"")</f>
        <v>3.5L</v>
      </c>
      <c r="P94" s="654">
        <f t="array" aca="1" ref="P94" ca="1">IFERROR(INDEX('VEH98 Data'!Y$3:Y$3508, SMALL(IF('VEH98 Data'!$AH$3:$AH$3508="TRUE", ROW('VEH98 Data'!Y$3:Y$3508)-ROW('VEH98 Data'!Y$3)+1),ROWS('VEH98 Data'!Y$3:'VEH98 Data'!Y84))),"")</f>
        <v>23</v>
      </c>
    </row>
    <row r="95" spans="2:16">
      <c r="B95" s="58"/>
      <c r="C95" s="58" t="str">
        <f t="array" aca="1" ref="C95" ca="1">IFERROR(INDEX('VEH98 Data'!G$3:G$3508, SMALL(IF('VEH98 Data'!$AG$3:$AG$3508="TRUE", ROW('VEH98 Data'!G$3:G$3508)-ROW('VEH98 Data'!G$3)+1),ROWS('VEH98 Data'!G$3:'VEH98 Data'!G83))),"")</f>
        <v/>
      </c>
      <c r="D95" s="58" t="str">
        <f t="array" aca="1" ref="D95" ca="1">IFERROR(INDEX('VEH98 Data'!I$3:I$3508, SMALL(IF('VEH98 Data'!$AG$3:$AG$3508="TRUE", ROW('VEH98 Data'!I$3:I$3508)-ROW('VEH98 Data'!I$3)+1),ROWS('VEH98 Data'!I$3:'VEH98 Data'!I83))),"")</f>
        <v/>
      </c>
      <c r="E95" s="58" t="str">
        <f t="array" aca="1" ref="E95" ca="1">IFERROR(INDEX('VEH98 Data'!J$3:J$3508, SMALL(IF('VEH98 Data'!$AG$3:$AG$3508="TRUE", ROW('VEH98 Data'!J$3:J$3508)-ROW('VEH98 Data'!J$3)+1),ROWS('VEH98 Data'!J$3:'VEH98 Data'!J83))),"")</f>
        <v/>
      </c>
      <c r="F95" s="58" t="str">
        <f t="array" aca="1" ref="F95" ca="1">IFERROR(INDEX('VEH98 Data'!K$3:K$3508, SMALL(IF('VEH98 Data'!$AG$3:$AG$3508="TRUE", ROW('VEH98 Data'!K$3:K$3508)-ROW('VEH98 Data'!K$3)+1),ROWS('VEH98 Data'!K$3:'VEH98 Data'!K83))),"")</f>
        <v/>
      </c>
      <c r="G95" s="654" t="str">
        <f t="array" aca="1" ref="G95" ca="1">IFERROR(INDEX('VEH98 Data'!R$3:R$3508, SMALL(IF('VEH98 Data'!$AG$3:$AG$3508="TRUE", ROW('VEH98 Data'!R$3:R$3508)-ROW('VEH98 Data'!R$3)+1),ROWS('VEH98 Data'!R$3:'VEH98 Data'!R83))),"")</f>
        <v/>
      </c>
      <c r="H95" s="654" t="str">
        <f t="array" aca="1" ref="H95" ca="1">IFERROR(INDEX('VEH98 Data'!Y$3:Y$3508, SMALL(IF('VEH98 Data'!$AG$3:$AG$3508="TRUE", ROW('VEH98 Data'!Y$3:Y$3508)-ROW('VEH98 Data'!Y$3)+1),ROWS('VEH98 Data'!Y$3:'VEH98 Data'!Y83))),"")</f>
        <v/>
      </c>
      <c r="J95" s="652">
        <f t="array" aca="1" ref="J95" ca="1">IFERROR(INDEX('VEH98 Data'!H$3:H$3508, SMALL(IF('VEH98 Data'!$AH$3:$AH$3508="TRUE", ROW('VEH98 Data'!H$3:H$3508)-ROW('VEH98 Data'!H$3)+1),ROWS('VEH98 Data'!H$3:'VEH98 Data'!H85))),"")</f>
        <v>2019</v>
      </c>
      <c r="K95" s="652" t="str">
        <f t="array" aca="1" ref="K95" ca="1">IFERROR(INDEX('VEH98 Data'!G$3:G$3508, SMALL(IF('VEH98 Data'!$AH$3:$AH$3508="TRUE", ROW('VEH98 Data'!G$3:G$3508)-ROW('VEH98 Data'!G$3)+1),ROWS('VEH98 Data'!G$3:'VEH98 Data'!G85))),"")</f>
        <v>Nissan</v>
      </c>
      <c r="L95" s="652" t="str">
        <f t="array" aca="1" ref="L95" ca="1">IFERROR(INDEX('VEH98 Data'!I$3:I$3508, SMALL(IF('VEH98 Data'!$AH$3:$AH$3508="TRUE", ROW('VEH98 Data'!I$3:I$3508)-ROW('VEH98 Data'!I$3)+1),ROWS('VEH98 Data'!I$3:'VEH98 Data'!I85))),"")</f>
        <v>Pathfinder</v>
      </c>
      <c r="M95" s="652" t="str">
        <f t="array" aca="1" ref="M95" ca="1">IFERROR(INDEX('VEH98 Data'!J$3:J$3508, SMALL(IF('VEH98 Data'!$AH$3:$AH$3508="TRUE", ROW('VEH98 Data'!J$3:J$3508)-ROW('VEH98 Data'!J$3)+1),ROWS('VEH98 Data'!J$3:'VEH98 Data'!J85))),"")</f>
        <v>SV</v>
      </c>
      <c r="N95" s="652" t="str">
        <f t="array" aca="1" ref="N95" ca="1">IFERROR(INDEX('VEH98 Data'!K$3:K$3508, SMALL(IF('VEH98 Data'!$AH$3:$AH$3508="TRUE", ROW('VEH98 Data'!K$3:K$3508)-ROW('VEH98 Data'!K$3)+1),ROWS('VEH98 Data'!K$3:'VEH98 Data'!K85))),"")</f>
        <v>4WD</v>
      </c>
      <c r="O95" s="653" t="str">
        <f t="array" aca="1" ref="O95" ca="1">IFERROR(INDEX('VEH98 Data'!R$3:R$3508, SMALL(IF('VEH98 Data'!$AH$3:$AH$3508="TRUE", ROW('VEH98 Data'!R$3:R$3508)-ROW('VEH98 Data'!R$3)+1),ROWS('VEH98 Data'!R$3:'VEH98 Data'!R85))),"")</f>
        <v>3.5L</v>
      </c>
      <c r="P95" s="653">
        <f t="array" aca="1" ref="P95" ca="1">IFERROR(INDEX('VEH98 Data'!Y$3:Y$3508, SMALL(IF('VEH98 Data'!$AH$3:$AH$3508="TRUE", ROW('VEH98 Data'!Y$3:Y$3508)-ROW('VEH98 Data'!Y$3)+1),ROWS('VEH98 Data'!Y$3:'VEH98 Data'!Y85))),"")</f>
        <v>22</v>
      </c>
    </row>
    <row r="96" spans="2:16">
      <c r="B96" s="652"/>
      <c r="C96" s="652" t="str">
        <f t="array" aca="1" ref="C96" ca="1">IFERROR(INDEX('VEH98 Data'!G$3:G$3508, SMALL(IF('VEH98 Data'!$AG$3:$AG$3508="TRUE", ROW('VEH98 Data'!G$3:G$3508)-ROW('VEH98 Data'!G$3)+1),ROWS('VEH98 Data'!G$3:'VEH98 Data'!G84))),"")</f>
        <v/>
      </c>
      <c r="D96" s="652" t="str">
        <f t="array" aca="1" ref="D96" ca="1">IFERROR(INDEX('VEH98 Data'!I$3:I$3508, SMALL(IF('VEH98 Data'!$AG$3:$AG$3508="TRUE", ROW('VEH98 Data'!I$3:I$3508)-ROW('VEH98 Data'!I$3)+1),ROWS('VEH98 Data'!I$3:'VEH98 Data'!I84))),"")</f>
        <v/>
      </c>
      <c r="E96" s="652" t="str">
        <f t="array" aca="1" ref="E96" ca="1">IFERROR(INDEX('VEH98 Data'!J$3:J$3508, SMALL(IF('VEH98 Data'!$AG$3:$AG$3508="TRUE", ROW('VEH98 Data'!J$3:J$3508)-ROW('VEH98 Data'!J$3)+1),ROWS('VEH98 Data'!J$3:'VEH98 Data'!J84))),"")</f>
        <v/>
      </c>
      <c r="F96" s="652" t="str">
        <f t="array" aca="1" ref="F96" ca="1">IFERROR(INDEX('VEH98 Data'!K$3:K$3508, SMALL(IF('VEH98 Data'!$AG$3:$AG$3508="TRUE", ROW('VEH98 Data'!K$3:K$3508)-ROW('VEH98 Data'!K$3)+1),ROWS('VEH98 Data'!K$3:'VEH98 Data'!K84))),"")</f>
        <v/>
      </c>
      <c r="G96" s="653" t="str">
        <f t="array" aca="1" ref="G96" ca="1">IFERROR(INDEX('VEH98 Data'!R$3:R$3508, SMALL(IF('VEH98 Data'!$AG$3:$AG$3508="TRUE", ROW('VEH98 Data'!R$3:R$3508)-ROW('VEH98 Data'!R$3)+1),ROWS('VEH98 Data'!R$3:'VEH98 Data'!R84))),"")</f>
        <v/>
      </c>
      <c r="H96" s="653" t="str">
        <f t="array" aca="1" ref="H96" ca="1">IFERROR(INDEX('VEH98 Data'!Y$3:Y$3508, SMALL(IF('VEH98 Data'!$AG$3:$AG$3508="TRUE", ROW('VEH98 Data'!Y$3:Y$3508)-ROW('VEH98 Data'!Y$3)+1),ROWS('VEH98 Data'!Y$3:'VEH98 Data'!Y84))),"")</f>
        <v/>
      </c>
      <c r="J96" s="58">
        <f t="array" aca="1" ref="J96" ca="1">IFERROR(INDEX('VEH98 Data'!H$3:H$3508, SMALL(IF('VEH98 Data'!$AH$3:$AH$3508="TRUE", ROW('VEH98 Data'!H$3:H$3508)-ROW('VEH98 Data'!H$3)+1),ROWS('VEH98 Data'!H$3:'VEH98 Data'!H86))),"")</f>
        <v>2019</v>
      </c>
      <c r="K96" s="58" t="str">
        <f t="array" aca="1" ref="K96" ca="1">IFERROR(INDEX('VEH98 Data'!G$3:G$3508, SMALL(IF('VEH98 Data'!$AH$3:$AH$3508="TRUE", ROW('VEH98 Data'!G$3:G$3508)-ROW('VEH98 Data'!G$3)+1),ROWS('VEH98 Data'!G$3:'VEH98 Data'!G86))),"")</f>
        <v>Nissan</v>
      </c>
      <c r="L96" s="58" t="str">
        <f t="array" aca="1" ref="L96" ca="1">IFERROR(INDEX('VEH98 Data'!I$3:I$3508, SMALL(IF('VEH98 Data'!$AH$3:$AH$3508="TRUE", ROW('VEH98 Data'!I$3:I$3508)-ROW('VEH98 Data'!I$3)+1),ROWS('VEH98 Data'!I$3:'VEH98 Data'!I86))),"")</f>
        <v>Rogue</v>
      </c>
      <c r="M96" s="58" t="str">
        <f t="array" aca="1" ref="M96" ca="1">IFERROR(INDEX('VEH98 Data'!J$3:J$3508, SMALL(IF('VEH98 Data'!$AH$3:$AH$3508="TRUE", ROW('VEH98 Data'!J$3:J$3508)-ROW('VEH98 Data'!J$3)+1),ROWS('VEH98 Data'!J$3:'VEH98 Data'!J86))),"")</f>
        <v>S</v>
      </c>
      <c r="N96" s="58" t="str">
        <f t="array" aca="1" ref="N96" ca="1">IFERROR(INDEX('VEH98 Data'!K$3:K$3508, SMALL(IF('VEH98 Data'!$AH$3:$AH$3508="TRUE", ROW('VEH98 Data'!K$3:K$3508)-ROW('VEH98 Data'!K$3)+1),ROWS('VEH98 Data'!K$3:'VEH98 Data'!K86))),"")</f>
        <v>AWD</v>
      </c>
      <c r="O96" s="654" t="str">
        <f t="array" aca="1" ref="O96" ca="1">IFERROR(INDEX('VEH98 Data'!R$3:R$3508, SMALL(IF('VEH98 Data'!$AH$3:$AH$3508="TRUE", ROW('VEH98 Data'!R$3:R$3508)-ROW('VEH98 Data'!R$3)+1),ROWS('VEH98 Data'!R$3:'VEH98 Data'!R86))),"")</f>
        <v>2.5L</v>
      </c>
      <c r="P96" s="654">
        <f t="array" aca="1" ref="P96" ca="1">IFERROR(INDEX('VEH98 Data'!Y$3:Y$3508, SMALL(IF('VEH98 Data'!$AH$3:$AH$3508="TRUE", ROW('VEH98 Data'!Y$3:Y$3508)-ROW('VEH98 Data'!Y$3)+1),ROWS('VEH98 Data'!Y$3:'VEH98 Data'!Y86))),"")</f>
        <v>28</v>
      </c>
    </row>
    <row r="97" spans="2:16">
      <c r="B97" s="58"/>
      <c r="C97" s="58" t="str">
        <f t="array" aca="1" ref="C97" ca="1">IFERROR(INDEX('VEH98 Data'!G$3:G$3508, SMALL(IF('VEH98 Data'!$AG$3:$AG$3508="TRUE", ROW('VEH98 Data'!G$3:G$3508)-ROW('VEH98 Data'!G$3)+1),ROWS('VEH98 Data'!G$3:'VEH98 Data'!G85))),"")</f>
        <v/>
      </c>
      <c r="D97" s="58" t="str">
        <f t="array" aca="1" ref="D97" ca="1">IFERROR(INDEX('VEH98 Data'!I$3:I$3508, SMALL(IF('VEH98 Data'!$AG$3:$AG$3508="TRUE", ROW('VEH98 Data'!I$3:I$3508)-ROW('VEH98 Data'!I$3)+1),ROWS('VEH98 Data'!I$3:'VEH98 Data'!I85))),"")</f>
        <v/>
      </c>
      <c r="E97" s="58" t="str">
        <f t="array" aca="1" ref="E97" ca="1">IFERROR(INDEX('VEH98 Data'!J$3:J$3508, SMALL(IF('VEH98 Data'!$AG$3:$AG$3508="TRUE", ROW('VEH98 Data'!J$3:J$3508)-ROW('VEH98 Data'!J$3)+1),ROWS('VEH98 Data'!J$3:'VEH98 Data'!J85))),"")</f>
        <v/>
      </c>
      <c r="F97" s="58" t="str">
        <f t="array" aca="1" ref="F97" ca="1">IFERROR(INDEX('VEH98 Data'!K$3:K$3508, SMALL(IF('VEH98 Data'!$AG$3:$AG$3508="TRUE", ROW('VEH98 Data'!K$3:K$3508)-ROW('VEH98 Data'!K$3)+1),ROWS('VEH98 Data'!K$3:'VEH98 Data'!K85))),"")</f>
        <v/>
      </c>
      <c r="G97" s="654" t="str">
        <f t="array" aca="1" ref="G97" ca="1">IFERROR(INDEX('VEH98 Data'!R$3:R$3508, SMALL(IF('VEH98 Data'!$AG$3:$AG$3508="TRUE", ROW('VEH98 Data'!R$3:R$3508)-ROW('VEH98 Data'!R$3)+1),ROWS('VEH98 Data'!R$3:'VEH98 Data'!R85))),"")</f>
        <v/>
      </c>
      <c r="H97" s="654" t="str">
        <f t="array" aca="1" ref="H97" ca="1">IFERROR(INDEX('VEH98 Data'!Y$3:Y$3508, SMALL(IF('VEH98 Data'!$AG$3:$AG$3508="TRUE", ROW('VEH98 Data'!Y$3:Y$3508)-ROW('VEH98 Data'!Y$3)+1),ROWS('VEH98 Data'!Y$3:'VEH98 Data'!Y85))),"")</f>
        <v/>
      </c>
      <c r="J97" s="652">
        <f t="array" aca="1" ref="J97" ca="1">IFERROR(INDEX('VEH98 Data'!H$3:H$3508, SMALL(IF('VEH98 Data'!$AH$3:$AH$3508="TRUE", ROW('VEH98 Data'!H$3:H$3508)-ROW('VEH98 Data'!H$3)+1),ROWS('VEH98 Data'!H$3:'VEH98 Data'!H87))),"")</f>
        <v>2019</v>
      </c>
      <c r="K97" s="652" t="str">
        <f t="array" aca="1" ref="K97" ca="1">IFERROR(INDEX('VEH98 Data'!G$3:G$3508, SMALL(IF('VEH98 Data'!$AH$3:$AH$3508="TRUE", ROW('VEH98 Data'!G$3:G$3508)-ROW('VEH98 Data'!G$3)+1),ROWS('VEH98 Data'!G$3:'VEH98 Data'!G87))),"")</f>
        <v>Nissan</v>
      </c>
      <c r="L97" s="652" t="str">
        <f t="array" aca="1" ref="L97" ca="1">IFERROR(INDEX('VEH98 Data'!I$3:I$3508, SMALL(IF('VEH98 Data'!$AH$3:$AH$3508="TRUE", ROW('VEH98 Data'!I$3:I$3508)-ROW('VEH98 Data'!I$3)+1),ROWS('VEH98 Data'!I$3:'VEH98 Data'!I87))),"")</f>
        <v>Rogue</v>
      </c>
      <c r="M97" s="652" t="str">
        <f t="array" aca="1" ref="M97" ca="1">IFERROR(INDEX('VEH98 Data'!J$3:J$3508, SMALL(IF('VEH98 Data'!$AH$3:$AH$3508="TRUE", ROW('VEH98 Data'!J$3:J$3508)-ROW('VEH98 Data'!J$3)+1),ROWS('VEH98 Data'!J$3:'VEH98 Data'!J87))),"")</f>
        <v>S</v>
      </c>
      <c r="N97" s="652" t="str">
        <f t="array" aca="1" ref="N97" ca="1">IFERROR(INDEX('VEH98 Data'!K$3:K$3508, SMALL(IF('VEH98 Data'!$AH$3:$AH$3508="TRUE", ROW('VEH98 Data'!K$3:K$3508)-ROW('VEH98 Data'!K$3)+1),ROWS('VEH98 Data'!K$3:'VEH98 Data'!K87))),"")</f>
        <v>FWD</v>
      </c>
      <c r="O97" s="653" t="str">
        <f t="array" aca="1" ref="O97" ca="1">IFERROR(INDEX('VEH98 Data'!R$3:R$3508, SMALL(IF('VEH98 Data'!$AH$3:$AH$3508="TRUE", ROW('VEH98 Data'!R$3:R$3508)-ROW('VEH98 Data'!R$3)+1),ROWS('VEH98 Data'!R$3:'VEH98 Data'!R87))),"")</f>
        <v>2.5L</v>
      </c>
      <c r="P97" s="653">
        <f t="array" aca="1" ref="P97" ca="1">IFERROR(INDEX('VEH98 Data'!Y$3:Y$3508, SMALL(IF('VEH98 Data'!$AH$3:$AH$3508="TRUE", ROW('VEH98 Data'!Y$3:Y$3508)-ROW('VEH98 Data'!Y$3)+1),ROWS('VEH98 Data'!Y$3:'VEH98 Data'!Y87))),"")</f>
        <v>29</v>
      </c>
    </row>
    <row r="98" spans="2:16">
      <c r="B98" s="652"/>
      <c r="C98" s="652" t="str">
        <f t="array" aca="1" ref="C98" ca="1">IFERROR(INDEX('VEH98 Data'!G$3:G$3508, SMALL(IF('VEH98 Data'!$AG$3:$AG$3508="TRUE", ROW('VEH98 Data'!G$3:G$3508)-ROW('VEH98 Data'!G$3)+1),ROWS('VEH98 Data'!G$3:'VEH98 Data'!G86))),"")</f>
        <v/>
      </c>
      <c r="D98" s="652" t="str">
        <f t="array" aca="1" ref="D98" ca="1">IFERROR(INDEX('VEH98 Data'!I$3:I$3508, SMALL(IF('VEH98 Data'!$AG$3:$AG$3508="TRUE", ROW('VEH98 Data'!I$3:I$3508)-ROW('VEH98 Data'!I$3)+1),ROWS('VEH98 Data'!I$3:'VEH98 Data'!I86))),"")</f>
        <v/>
      </c>
      <c r="E98" s="652" t="str">
        <f t="array" aca="1" ref="E98" ca="1">IFERROR(INDEX('VEH98 Data'!J$3:J$3508, SMALL(IF('VEH98 Data'!$AG$3:$AG$3508="TRUE", ROW('VEH98 Data'!J$3:J$3508)-ROW('VEH98 Data'!J$3)+1),ROWS('VEH98 Data'!J$3:'VEH98 Data'!J86))),"")</f>
        <v/>
      </c>
      <c r="F98" s="652" t="str">
        <f t="array" aca="1" ref="F98" ca="1">IFERROR(INDEX('VEH98 Data'!K$3:K$3508, SMALL(IF('VEH98 Data'!$AG$3:$AG$3508="TRUE", ROW('VEH98 Data'!K$3:K$3508)-ROW('VEH98 Data'!K$3)+1),ROWS('VEH98 Data'!K$3:'VEH98 Data'!K86))),"")</f>
        <v/>
      </c>
      <c r="G98" s="653" t="str">
        <f t="array" aca="1" ref="G98" ca="1">IFERROR(INDEX('VEH98 Data'!R$3:R$3508, SMALL(IF('VEH98 Data'!$AG$3:$AG$3508="TRUE", ROW('VEH98 Data'!R$3:R$3508)-ROW('VEH98 Data'!R$3)+1),ROWS('VEH98 Data'!R$3:'VEH98 Data'!R86))),"")</f>
        <v/>
      </c>
      <c r="H98" s="653" t="str">
        <f t="array" aca="1" ref="H98" ca="1">IFERROR(INDEX('VEH98 Data'!Y$3:Y$3508, SMALL(IF('VEH98 Data'!$AG$3:$AG$3508="TRUE", ROW('VEH98 Data'!Y$3:Y$3508)-ROW('VEH98 Data'!Y$3)+1),ROWS('VEH98 Data'!Y$3:'VEH98 Data'!Y86))),"")</f>
        <v/>
      </c>
      <c r="I98" s="19"/>
      <c r="J98" s="58">
        <f t="array" aca="1" ref="J98" ca="1">IFERROR(INDEX('VEH98 Data'!H$3:H$3508, SMALL(IF('VEH98 Data'!$AH$3:$AH$3508="TRUE", ROW('VEH98 Data'!H$3:H$3508)-ROW('VEH98 Data'!H$3)+1),ROWS('VEH98 Data'!H$3:'VEH98 Data'!H88))),"")</f>
        <v>2019</v>
      </c>
      <c r="K98" s="58" t="str">
        <f t="array" aca="1" ref="K98" ca="1">IFERROR(INDEX('VEH98 Data'!G$3:G$3508, SMALL(IF('VEH98 Data'!$AH$3:$AH$3508="TRUE", ROW('VEH98 Data'!G$3:G$3508)-ROW('VEH98 Data'!G$3)+1),ROWS('VEH98 Data'!G$3:'VEH98 Data'!G88))),"")</f>
        <v>Nissan</v>
      </c>
      <c r="L98" s="58" t="str">
        <f t="array" aca="1" ref="L98" ca="1">IFERROR(INDEX('VEH98 Data'!I$3:I$3508, SMALL(IF('VEH98 Data'!$AH$3:$AH$3508="TRUE", ROW('VEH98 Data'!I$3:I$3508)-ROW('VEH98 Data'!I$3)+1),ROWS('VEH98 Data'!I$3:'VEH98 Data'!I88))),"")</f>
        <v>Rogue</v>
      </c>
      <c r="M98" s="58" t="str">
        <f t="array" aca="1" ref="M98" ca="1">IFERROR(INDEX('VEH98 Data'!J$3:J$3508, SMALL(IF('VEH98 Data'!$AH$3:$AH$3508="TRUE", ROW('VEH98 Data'!J$3:J$3508)-ROW('VEH98 Data'!J$3)+1),ROWS('VEH98 Data'!J$3:'VEH98 Data'!J88))),"")</f>
        <v>SL Hybrid</v>
      </c>
      <c r="N98" s="58" t="str">
        <f t="array" aca="1" ref="N98" ca="1">IFERROR(INDEX('VEH98 Data'!K$3:K$3508, SMALL(IF('VEH98 Data'!$AH$3:$AH$3508="TRUE", ROW('VEH98 Data'!K$3:K$3508)-ROW('VEH98 Data'!K$3)+1),ROWS('VEH98 Data'!K$3:'VEH98 Data'!K88))),"")</f>
        <v>AWD</v>
      </c>
      <c r="O98" s="654" t="str">
        <f t="array" aca="1" ref="O98" ca="1">IFERROR(INDEX('VEH98 Data'!R$3:R$3508, SMALL(IF('VEH98 Data'!$AH$3:$AH$3508="TRUE", ROW('VEH98 Data'!R$3:R$3508)-ROW('VEH98 Data'!R$3)+1),ROWS('VEH98 Data'!R$3:'VEH98 Data'!R88))),"")</f>
        <v>2.0L</v>
      </c>
      <c r="P98" s="654">
        <f t="array" aca="1" ref="P98" ca="1">IFERROR(INDEX('VEH98 Data'!Y$3:Y$3508, SMALL(IF('VEH98 Data'!$AH$3:$AH$3508="TRUE", ROW('VEH98 Data'!Y$3:Y$3508)-ROW('VEH98 Data'!Y$3)+1),ROWS('VEH98 Data'!Y$3:'VEH98 Data'!Y88))),"")</f>
        <v>33</v>
      </c>
    </row>
    <row r="99" spans="2:16">
      <c r="B99" s="58"/>
      <c r="C99" s="58" t="str">
        <f t="array" aca="1" ref="C99" ca="1">IFERROR(INDEX('VEH98 Data'!G$3:G$3508, SMALL(IF('VEH98 Data'!$AG$3:$AG$3508="TRUE", ROW('VEH98 Data'!G$3:G$3508)-ROW('VEH98 Data'!G$3)+1),ROWS('VEH98 Data'!G$3:'VEH98 Data'!G87))),"")</f>
        <v/>
      </c>
      <c r="D99" s="58" t="str">
        <f t="array" aca="1" ref="D99" ca="1">IFERROR(INDEX('VEH98 Data'!I$3:I$3508, SMALL(IF('VEH98 Data'!$AG$3:$AG$3508="TRUE", ROW('VEH98 Data'!I$3:I$3508)-ROW('VEH98 Data'!I$3)+1),ROWS('VEH98 Data'!I$3:'VEH98 Data'!I87))),"")</f>
        <v/>
      </c>
      <c r="E99" s="58" t="str">
        <f t="array" aca="1" ref="E99" ca="1">IFERROR(INDEX('VEH98 Data'!J$3:J$3508, SMALL(IF('VEH98 Data'!$AG$3:$AG$3508="TRUE", ROW('VEH98 Data'!J$3:J$3508)-ROW('VEH98 Data'!J$3)+1),ROWS('VEH98 Data'!J$3:'VEH98 Data'!J87))),"")</f>
        <v/>
      </c>
      <c r="F99" s="58" t="str">
        <f t="array" aca="1" ref="F99" ca="1">IFERROR(INDEX('VEH98 Data'!K$3:K$3508, SMALL(IF('VEH98 Data'!$AG$3:$AG$3508="TRUE", ROW('VEH98 Data'!K$3:K$3508)-ROW('VEH98 Data'!K$3)+1),ROWS('VEH98 Data'!K$3:'VEH98 Data'!K87))),"")</f>
        <v/>
      </c>
      <c r="G99" s="654" t="str">
        <f t="array" aca="1" ref="G99" ca="1">IFERROR(INDEX('VEH98 Data'!R$3:R$3508, SMALL(IF('VEH98 Data'!$AG$3:$AG$3508="TRUE", ROW('VEH98 Data'!R$3:R$3508)-ROW('VEH98 Data'!R$3)+1),ROWS('VEH98 Data'!R$3:'VEH98 Data'!R87))),"")</f>
        <v/>
      </c>
      <c r="H99" s="654" t="str">
        <f t="array" aca="1" ref="H99" ca="1">IFERROR(INDEX('VEH98 Data'!Y$3:Y$3508, SMALL(IF('VEH98 Data'!$AG$3:$AG$3508="TRUE", ROW('VEH98 Data'!Y$3:Y$3508)-ROW('VEH98 Data'!Y$3)+1),ROWS('VEH98 Data'!Y$3:'VEH98 Data'!Y87))),"")</f>
        <v/>
      </c>
      <c r="I99" s="19"/>
      <c r="J99" s="652">
        <f t="array" aca="1" ref="J99" ca="1">IFERROR(INDEX('VEH98 Data'!H$3:H$3508, SMALL(IF('VEH98 Data'!$AH$3:$AH$3508="TRUE", ROW('VEH98 Data'!H$3:H$3508)-ROW('VEH98 Data'!H$3)+1),ROWS('VEH98 Data'!H$3:'VEH98 Data'!H89))),"")</f>
        <v>2019</v>
      </c>
      <c r="K99" s="652" t="str">
        <f t="array" aca="1" ref="K99" ca="1">IFERROR(INDEX('VEH98 Data'!G$3:G$3508, SMALL(IF('VEH98 Data'!$AH$3:$AH$3508="TRUE", ROW('VEH98 Data'!G$3:G$3508)-ROW('VEH98 Data'!G$3)+1),ROWS('VEH98 Data'!G$3:'VEH98 Data'!G89))),"")</f>
        <v>Nissan</v>
      </c>
      <c r="L99" s="652" t="str">
        <f t="array" aca="1" ref="L99" ca="1">IFERROR(INDEX('VEH98 Data'!I$3:I$3508, SMALL(IF('VEH98 Data'!$AH$3:$AH$3508="TRUE", ROW('VEH98 Data'!I$3:I$3508)-ROW('VEH98 Data'!I$3)+1),ROWS('VEH98 Data'!I$3:'VEH98 Data'!I89))),"")</f>
        <v>Rogue</v>
      </c>
      <c r="M99" s="652" t="str">
        <f t="array" aca="1" ref="M99" ca="1">IFERROR(INDEX('VEH98 Data'!J$3:J$3508, SMALL(IF('VEH98 Data'!$AH$3:$AH$3508="TRUE", ROW('VEH98 Data'!J$3:J$3508)-ROW('VEH98 Data'!J$3)+1),ROWS('VEH98 Data'!J$3:'VEH98 Data'!J89))),"")</f>
        <v>SL Hybrid</v>
      </c>
      <c r="N99" s="652" t="str">
        <f t="array" aca="1" ref="N99" ca="1">IFERROR(INDEX('VEH98 Data'!K$3:K$3508, SMALL(IF('VEH98 Data'!$AH$3:$AH$3508="TRUE", ROW('VEH98 Data'!K$3:K$3508)-ROW('VEH98 Data'!K$3)+1),ROWS('VEH98 Data'!K$3:'VEH98 Data'!K89))),"")</f>
        <v>FWD</v>
      </c>
      <c r="O99" s="653" t="str">
        <f t="array" aca="1" ref="O99" ca="1">IFERROR(INDEX('VEH98 Data'!R$3:R$3508, SMALL(IF('VEH98 Data'!$AH$3:$AH$3508="TRUE", ROW('VEH98 Data'!R$3:R$3508)-ROW('VEH98 Data'!R$3)+1),ROWS('VEH98 Data'!R$3:'VEH98 Data'!R89))),"")</f>
        <v>2.0L</v>
      </c>
      <c r="P99" s="653">
        <f t="array" aca="1" ref="P99" ca="1">IFERROR(INDEX('VEH98 Data'!Y$3:Y$3508, SMALL(IF('VEH98 Data'!$AH$3:$AH$3508="TRUE", ROW('VEH98 Data'!Y$3:Y$3508)-ROW('VEH98 Data'!Y$3)+1),ROWS('VEH98 Data'!Y$3:'VEH98 Data'!Y89))),"")</f>
        <v>34</v>
      </c>
    </row>
    <row r="100" spans="2:16">
      <c r="B100" s="652"/>
      <c r="C100" s="652" t="str">
        <f t="array" aca="1" ref="C100" ca="1">IFERROR(INDEX('VEH98 Data'!G$3:G$3508, SMALL(IF('VEH98 Data'!$AG$3:$AG$3508="TRUE", ROW('VEH98 Data'!G$3:G$3508)-ROW('VEH98 Data'!G$3)+1),ROWS('VEH98 Data'!G$3:'VEH98 Data'!G88))),"")</f>
        <v/>
      </c>
      <c r="D100" s="652" t="str">
        <f t="array" aca="1" ref="D100" ca="1">IFERROR(INDEX('VEH98 Data'!I$3:I$3508, SMALL(IF('VEH98 Data'!$AG$3:$AG$3508="TRUE", ROW('VEH98 Data'!I$3:I$3508)-ROW('VEH98 Data'!I$3)+1),ROWS('VEH98 Data'!I$3:'VEH98 Data'!I88))),"")</f>
        <v/>
      </c>
      <c r="E100" s="652" t="str">
        <f t="array" aca="1" ref="E100" ca="1">IFERROR(INDEX('VEH98 Data'!J$3:J$3508, SMALL(IF('VEH98 Data'!$AG$3:$AG$3508="TRUE", ROW('VEH98 Data'!J$3:J$3508)-ROW('VEH98 Data'!J$3)+1),ROWS('VEH98 Data'!J$3:'VEH98 Data'!J88))),"")</f>
        <v/>
      </c>
      <c r="F100" s="652" t="str">
        <f t="array" aca="1" ref="F100" ca="1">IFERROR(INDEX('VEH98 Data'!K$3:K$3508, SMALL(IF('VEH98 Data'!$AG$3:$AG$3508="TRUE", ROW('VEH98 Data'!K$3:K$3508)-ROW('VEH98 Data'!K$3)+1),ROWS('VEH98 Data'!K$3:'VEH98 Data'!K88))),"")</f>
        <v/>
      </c>
      <c r="G100" s="653" t="str">
        <f t="array" aca="1" ref="G100" ca="1">IFERROR(INDEX('VEH98 Data'!R$3:R$3508, SMALL(IF('VEH98 Data'!$AG$3:$AG$3508="TRUE", ROW('VEH98 Data'!R$3:R$3508)-ROW('VEH98 Data'!R$3)+1),ROWS('VEH98 Data'!R$3:'VEH98 Data'!R88))),"")</f>
        <v/>
      </c>
      <c r="H100" s="653" t="str">
        <f t="array" aca="1" ref="H100" ca="1">IFERROR(INDEX('VEH98 Data'!Y$3:Y$3508, SMALL(IF('VEH98 Data'!$AG$3:$AG$3508="TRUE", ROW('VEH98 Data'!Y$3:Y$3508)-ROW('VEH98 Data'!Y$3)+1),ROWS('VEH98 Data'!Y$3:'VEH98 Data'!Y88))),"")</f>
        <v/>
      </c>
      <c r="I100" s="19"/>
      <c r="J100" s="58">
        <f t="array" aca="1" ref="J100" ca="1">IFERROR(INDEX('VEH98 Data'!H$3:H$3508, SMALL(IF('VEH98 Data'!$AH$3:$AH$3508="TRUE", ROW('VEH98 Data'!H$3:H$3508)-ROW('VEH98 Data'!H$3)+1),ROWS('VEH98 Data'!H$3:'VEH98 Data'!H90))),"")</f>
        <v>2019</v>
      </c>
      <c r="K100" s="58" t="str">
        <f t="array" aca="1" ref="K100" ca="1">IFERROR(INDEX('VEH98 Data'!G$3:G$3508, SMALL(IF('VEH98 Data'!$AH$3:$AH$3508="TRUE", ROW('VEH98 Data'!G$3:G$3508)-ROW('VEH98 Data'!G$3)+1),ROWS('VEH98 Data'!G$3:'VEH98 Data'!G90))),"")</f>
        <v>Nissan</v>
      </c>
      <c r="L100" s="58" t="str">
        <f t="array" aca="1" ref="L100" ca="1">IFERROR(INDEX('VEH98 Data'!I$3:I$3508, SMALL(IF('VEH98 Data'!$AH$3:$AH$3508="TRUE", ROW('VEH98 Data'!I$3:I$3508)-ROW('VEH98 Data'!I$3)+1),ROWS('VEH98 Data'!I$3:'VEH98 Data'!I90))),"")</f>
        <v>Rogue</v>
      </c>
      <c r="M100" s="58" t="str">
        <f t="array" aca="1" ref="M100" ca="1">IFERROR(INDEX('VEH98 Data'!J$3:J$3508, SMALL(IF('VEH98 Data'!$AH$3:$AH$3508="TRUE", ROW('VEH98 Data'!J$3:J$3508)-ROW('VEH98 Data'!J$3)+1),ROWS('VEH98 Data'!J$3:'VEH98 Data'!J90))),"")</f>
        <v>SV</v>
      </c>
      <c r="N100" s="58" t="str">
        <f t="array" aca="1" ref="N100" ca="1">IFERROR(INDEX('VEH98 Data'!K$3:K$3508, SMALL(IF('VEH98 Data'!$AH$3:$AH$3508="TRUE", ROW('VEH98 Data'!K$3:K$3508)-ROW('VEH98 Data'!K$3)+1),ROWS('VEH98 Data'!K$3:'VEH98 Data'!K90))),"")</f>
        <v>AWD</v>
      </c>
      <c r="O100" s="654" t="str">
        <f t="array" aca="1" ref="O100" ca="1">IFERROR(INDEX('VEH98 Data'!R$3:R$3508, SMALL(IF('VEH98 Data'!$AH$3:$AH$3508="TRUE", ROW('VEH98 Data'!R$3:R$3508)-ROW('VEH98 Data'!R$3)+1),ROWS('VEH98 Data'!R$3:'VEH98 Data'!R90))),"")</f>
        <v>2.5L</v>
      </c>
      <c r="P100" s="654">
        <f t="array" aca="1" ref="P100" ca="1">IFERROR(INDEX('VEH98 Data'!Y$3:Y$3508, SMALL(IF('VEH98 Data'!$AH$3:$AH$3508="TRUE", ROW('VEH98 Data'!Y$3:Y$3508)-ROW('VEH98 Data'!Y$3)+1),ROWS('VEH98 Data'!Y$3:'VEH98 Data'!Y90))),"")</f>
        <v>27</v>
      </c>
    </row>
    <row r="101" spans="2:16">
      <c r="B101" s="58"/>
      <c r="C101" s="58" t="str">
        <f t="array" aca="1" ref="C101" ca="1">IFERROR(INDEX('VEH98 Data'!G$3:G$3508, SMALL(IF('VEH98 Data'!$AG$3:$AG$3508="TRUE", ROW('VEH98 Data'!G$3:G$3508)-ROW('VEH98 Data'!G$3)+1),ROWS('VEH98 Data'!G$3:'VEH98 Data'!G89))),"")</f>
        <v/>
      </c>
      <c r="D101" s="58" t="str">
        <f t="array" aca="1" ref="D101" ca="1">IFERROR(INDEX('VEH98 Data'!I$3:I$3508, SMALL(IF('VEH98 Data'!$AG$3:$AG$3508="TRUE", ROW('VEH98 Data'!I$3:I$3508)-ROW('VEH98 Data'!I$3)+1),ROWS('VEH98 Data'!I$3:'VEH98 Data'!I89))),"")</f>
        <v/>
      </c>
      <c r="E101" s="58" t="str">
        <f t="array" aca="1" ref="E101" ca="1">IFERROR(INDEX('VEH98 Data'!J$3:J$3508, SMALL(IF('VEH98 Data'!$AG$3:$AG$3508="TRUE", ROW('VEH98 Data'!J$3:J$3508)-ROW('VEH98 Data'!J$3)+1),ROWS('VEH98 Data'!J$3:'VEH98 Data'!J89))),"")</f>
        <v/>
      </c>
      <c r="F101" s="58" t="str">
        <f t="array" aca="1" ref="F101" ca="1">IFERROR(INDEX('VEH98 Data'!K$3:K$3508, SMALL(IF('VEH98 Data'!$AG$3:$AG$3508="TRUE", ROW('VEH98 Data'!K$3:K$3508)-ROW('VEH98 Data'!K$3)+1),ROWS('VEH98 Data'!K$3:'VEH98 Data'!K89))),"")</f>
        <v/>
      </c>
      <c r="G101" s="654" t="str">
        <f t="array" aca="1" ref="G101" ca="1">IFERROR(INDEX('VEH98 Data'!R$3:R$3508, SMALL(IF('VEH98 Data'!$AG$3:$AG$3508="TRUE", ROW('VEH98 Data'!R$3:R$3508)-ROW('VEH98 Data'!R$3)+1),ROWS('VEH98 Data'!R$3:'VEH98 Data'!R89))),"")</f>
        <v/>
      </c>
      <c r="H101" s="654" t="str">
        <f t="array" aca="1" ref="H101" ca="1">IFERROR(INDEX('VEH98 Data'!Y$3:Y$3508, SMALL(IF('VEH98 Data'!$AG$3:$AG$3508="TRUE", ROW('VEH98 Data'!Y$3:Y$3508)-ROW('VEH98 Data'!Y$3)+1),ROWS('VEH98 Data'!Y$3:'VEH98 Data'!Y89))),"")</f>
        <v/>
      </c>
      <c r="I101" s="19"/>
      <c r="J101" s="652">
        <f t="array" aca="1" ref="J101" ca="1">IFERROR(INDEX('VEH98 Data'!H$3:H$3508, SMALL(IF('VEH98 Data'!$AH$3:$AH$3508="TRUE", ROW('VEH98 Data'!H$3:H$3508)-ROW('VEH98 Data'!H$3)+1),ROWS('VEH98 Data'!H$3:'VEH98 Data'!H91))),"")</f>
        <v>2019</v>
      </c>
      <c r="K101" s="652" t="str">
        <f t="array" aca="1" ref="K101" ca="1">IFERROR(INDEX('VEH98 Data'!G$3:G$3508, SMALL(IF('VEH98 Data'!$AH$3:$AH$3508="TRUE", ROW('VEH98 Data'!G$3:G$3508)-ROW('VEH98 Data'!G$3)+1),ROWS('VEH98 Data'!G$3:'VEH98 Data'!G91))),"")</f>
        <v>Nissan</v>
      </c>
      <c r="L101" s="652" t="str">
        <f t="array" aca="1" ref="L101" ca="1">IFERROR(INDEX('VEH98 Data'!I$3:I$3508, SMALL(IF('VEH98 Data'!$AH$3:$AH$3508="TRUE", ROW('VEH98 Data'!I$3:I$3508)-ROW('VEH98 Data'!I$3)+1),ROWS('VEH98 Data'!I$3:'VEH98 Data'!I91))),"")</f>
        <v>Rogue</v>
      </c>
      <c r="M101" s="652" t="str">
        <f t="array" aca="1" ref="M101" ca="1">IFERROR(INDEX('VEH98 Data'!J$3:J$3508, SMALL(IF('VEH98 Data'!$AH$3:$AH$3508="TRUE", ROW('VEH98 Data'!J$3:J$3508)-ROW('VEH98 Data'!J$3)+1),ROWS('VEH98 Data'!J$3:'VEH98 Data'!J91))),"")</f>
        <v>SV</v>
      </c>
      <c r="N101" s="652" t="str">
        <f t="array" aca="1" ref="N101" ca="1">IFERROR(INDEX('VEH98 Data'!K$3:K$3508, SMALL(IF('VEH98 Data'!$AH$3:$AH$3508="TRUE", ROW('VEH98 Data'!K$3:K$3508)-ROW('VEH98 Data'!K$3)+1),ROWS('VEH98 Data'!K$3:'VEH98 Data'!K91))),"")</f>
        <v>FWD</v>
      </c>
      <c r="O101" s="653" t="str">
        <f t="array" aca="1" ref="O101" ca="1">IFERROR(INDEX('VEH98 Data'!R$3:R$3508, SMALL(IF('VEH98 Data'!$AH$3:$AH$3508="TRUE", ROW('VEH98 Data'!R$3:R$3508)-ROW('VEH98 Data'!R$3)+1),ROWS('VEH98 Data'!R$3:'VEH98 Data'!R91))),"")</f>
        <v>2.5L</v>
      </c>
      <c r="P101" s="653">
        <f t="array" aca="1" ref="P101" ca="1">IFERROR(INDEX('VEH98 Data'!Y$3:Y$3508, SMALL(IF('VEH98 Data'!$AH$3:$AH$3508="TRUE", ROW('VEH98 Data'!Y$3:Y$3508)-ROW('VEH98 Data'!Y$3)+1),ROWS('VEH98 Data'!Y$3:'VEH98 Data'!Y91))),"")</f>
        <v>29</v>
      </c>
    </row>
    <row r="102" spans="2:16">
      <c r="B102" s="652"/>
      <c r="C102" s="652" t="str">
        <f t="array" aca="1" ref="C102" ca="1">IFERROR(INDEX('VEH98 Data'!G$3:G$3508, SMALL(IF('VEH98 Data'!$AG$3:$AG$3508="TRUE", ROW('VEH98 Data'!G$3:G$3508)-ROW('VEH98 Data'!G$3)+1),ROWS('VEH98 Data'!G$3:'VEH98 Data'!G90))),"")</f>
        <v/>
      </c>
      <c r="D102" s="652" t="str">
        <f t="array" aca="1" ref="D102" ca="1">IFERROR(INDEX('VEH98 Data'!I$3:I$3508, SMALL(IF('VEH98 Data'!$AG$3:$AG$3508="TRUE", ROW('VEH98 Data'!I$3:I$3508)-ROW('VEH98 Data'!I$3)+1),ROWS('VEH98 Data'!I$3:'VEH98 Data'!I90))),"")</f>
        <v/>
      </c>
      <c r="E102" s="652" t="str">
        <f t="array" aca="1" ref="E102" ca="1">IFERROR(INDEX('VEH98 Data'!J$3:J$3508, SMALL(IF('VEH98 Data'!$AG$3:$AG$3508="TRUE", ROW('VEH98 Data'!J$3:J$3508)-ROW('VEH98 Data'!J$3)+1),ROWS('VEH98 Data'!J$3:'VEH98 Data'!J90))),"")</f>
        <v/>
      </c>
      <c r="F102" s="652" t="str">
        <f t="array" aca="1" ref="F102" ca="1">IFERROR(INDEX('VEH98 Data'!K$3:K$3508, SMALL(IF('VEH98 Data'!$AG$3:$AG$3508="TRUE", ROW('VEH98 Data'!K$3:K$3508)-ROW('VEH98 Data'!K$3)+1),ROWS('VEH98 Data'!K$3:'VEH98 Data'!K90))),"")</f>
        <v/>
      </c>
      <c r="G102" s="653" t="str">
        <f t="array" aca="1" ref="G102" ca="1">IFERROR(INDEX('VEH98 Data'!R$3:R$3508, SMALL(IF('VEH98 Data'!$AG$3:$AG$3508="TRUE", ROW('VEH98 Data'!R$3:R$3508)-ROW('VEH98 Data'!R$3)+1),ROWS('VEH98 Data'!R$3:'VEH98 Data'!R90))),"")</f>
        <v/>
      </c>
      <c r="H102" s="653" t="str">
        <f t="array" aca="1" ref="H102" ca="1">IFERROR(INDEX('VEH98 Data'!Y$3:Y$3508, SMALL(IF('VEH98 Data'!$AG$3:$AG$3508="TRUE", ROW('VEH98 Data'!Y$3:Y$3508)-ROW('VEH98 Data'!Y$3)+1),ROWS('VEH98 Data'!Y$3:'VEH98 Data'!Y90))),"")</f>
        <v/>
      </c>
      <c r="I102" s="19"/>
      <c r="J102" s="58">
        <f t="array" aca="1" ref="J102" ca="1">IFERROR(INDEX('VEH98 Data'!H$3:H$3508, SMALL(IF('VEH98 Data'!$AH$3:$AH$3508="TRUE", ROW('VEH98 Data'!H$3:H$3508)-ROW('VEH98 Data'!H$3)+1),ROWS('VEH98 Data'!H$3:'VEH98 Data'!H92))),"")</f>
        <v>2019</v>
      </c>
      <c r="K102" s="58" t="str">
        <f t="array" aca="1" ref="K102" ca="1">IFERROR(INDEX('VEH98 Data'!G$3:G$3508, SMALL(IF('VEH98 Data'!$AH$3:$AH$3508="TRUE", ROW('VEH98 Data'!G$3:G$3508)-ROW('VEH98 Data'!G$3)+1),ROWS('VEH98 Data'!G$3:'VEH98 Data'!G92))),"")</f>
        <v>Nissan</v>
      </c>
      <c r="L102" s="58" t="str">
        <f t="array" aca="1" ref="L102" ca="1">IFERROR(INDEX('VEH98 Data'!I$3:I$3508, SMALL(IF('VEH98 Data'!$AH$3:$AH$3508="TRUE", ROW('VEH98 Data'!I$3:I$3508)-ROW('VEH98 Data'!I$3)+1),ROWS('VEH98 Data'!I$3:'VEH98 Data'!I92))),"")</f>
        <v>Rogue</v>
      </c>
      <c r="M102" s="58" t="str">
        <f t="array" aca="1" ref="M102" ca="1">IFERROR(INDEX('VEH98 Data'!J$3:J$3508, SMALL(IF('VEH98 Data'!$AH$3:$AH$3508="TRUE", ROW('VEH98 Data'!J$3:J$3508)-ROW('VEH98 Data'!J$3)+1),ROWS('VEH98 Data'!J$3:'VEH98 Data'!J92))),"")</f>
        <v>SV Hybrid</v>
      </c>
      <c r="N102" s="58" t="str">
        <f t="array" aca="1" ref="N102" ca="1">IFERROR(INDEX('VEH98 Data'!K$3:K$3508, SMALL(IF('VEH98 Data'!$AH$3:$AH$3508="TRUE", ROW('VEH98 Data'!K$3:K$3508)-ROW('VEH98 Data'!K$3)+1),ROWS('VEH98 Data'!K$3:'VEH98 Data'!K92))),"")</f>
        <v>AWD</v>
      </c>
      <c r="O102" s="654" t="str">
        <f t="array" aca="1" ref="O102" ca="1">IFERROR(INDEX('VEH98 Data'!R$3:R$3508, SMALL(IF('VEH98 Data'!$AH$3:$AH$3508="TRUE", ROW('VEH98 Data'!R$3:R$3508)-ROW('VEH98 Data'!R$3)+1),ROWS('VEH98 Data'!R$3:'VEH98 Data'!R92))),"")</f>
        <v>2.0L</v>
      </c>
      <c r="P102" s="654">
        <f t="array" aca="1" ref="P102" ca="1">IFERROR(INDEX('VEH98 Data'!Y$3:Y$3508, SMALL(IF('VEH98 Data'!$AH$3:$AH$3508="TRUE", ROW('VEH98 Data'!Y$3:Y$3508)-ROW('VEH98 Data'!Y$3)+1),ROWS('VEH98 Data'!Y$3:'VEH98 Data'!Y92))),"")</f>
        <v>33</v>
      </c>
    </row>
    <row r="103" spans="2:16">
      <c r="B103" s="58"/>
      <c r="C103" s="58" t="str">
        <f t="array" aca="1" ref="C103" ca="1">IFERROR(INDEX('VEH98 Data'!G$3:G$3508, SMALL(IF('VEH98 Data'!$AG$3:$AG$3508="TRUE", ROW('VEH98 Data'!G$3:G$3508)-ROW('VEH98 Data'!G$3)+1),ROWS('VEH98 Data'!G$3:'VEH98 Data'!G91))),"")</f>
        <v/>
      </c>
      <c r="D103" s="58" t="str">
        <f t="array" aca="1" ref="D103" ca="1">IFERROR(INDEX('VEH98 Data'!I$3:I$3508, SMALL(IF('VEH98 Data'!$AG$3:$AG$3508="TRUE", ROW('VEH98 Data'!I$3:I$3508)-ROW('VEH98 Data'!I$3)+1),ROWS('VEH98 Data'!I$3:'VEH98 Data'!I91))),"")</f>
        <v/>
      </c>
      <c r="E103" s="58" t="str">
        <f t="array" aca="1" ref="E103" ca="1">IFERROR(INDEX('VEH98 Data'!J$3:J$3508, SMALL(IF('VEH98 Data'!$AG$3:$AG$3508="TRUE", ROW('VEH98 Data'!J$3:J$3508)-ROW('VEH98 Data'!J$3)+1),ROWS('VEH98 Data'!J$3:'VEH98 Data'!J91))),"")</f>
        <v/>
      </c>
      <c r="F103" s="58" t="str">
        <f t="array" aca="1" ref="F103" ca="1">IFERROR(INDEX('VEH98 Data'!K$3:K$3508, SMALL(IF('VEH98 Data'!$AG$3:$AG$3508="TRUE", ROW('VEH98 Data'!K$3:K$3508)-ROW('VEH98 Data'!K$3)+1),ROWS('VEH98 Data'!K$3:'VEH98 Data'!K91))),"")</f>
        <v/>
      </c>
      <c r="G103" s="654" t="str">
        <f t="array" aca="1" ref="G103" ca="1">IFERROR(INDEX('VEH98 Data'!R$3:R$3508, SMALL(IF('VEH98 Data'!$AG$3:$AG$3508="TRUE", ROW('VEH98 Data'!R$3:R$3508)-ROW('VEH98 Data'!R$3)+1),ROWS('VEH98 Data'!R$3:'VEH98 Data'!R91))),"")</f>
        <v/>
      </c>
      <c r="H103" s="654" t="str">
        <f t="array" aca="1" ref="H103" ca="1">IFERROR(INDEX('VEH98 Data'!Y$3:Y$3508, SMALL(IF('VEH98 Data'!$AG$3:$AG$3508="TRUE", ROW('VEH98 Data'!Y$3:Y$3508)-ROW('VEH98 Data'!Y$3)+1),ROWS('VEH98 Data'!Y$3:'VEH98 Data'!Y91))),"")</f>
        <v/>
      </c>
      <c r="I103" s="19"/>
      <c r="J103" s="652">
        <f t="array" aca="1" ref="J103" ca="1">IFERROR(INDEX('VEH98 Data'!H$3:H$3508, SMALL(IF('VEH98 Data'!$AH$3:$AH$3508="TRUE", ROW('VEH98 Data'!H$3:H$3508)-ROW('VEH98 Data'!H$3)+1),ROWS('VEH98 Data'!H$3:'VEH98 Data'!H93))),"")</f>
        <v>2019</v>
      </c>
      <c r="K103" s="652" t="str">
        <f t="array" aca="1" ref="K103" ca="1">IFERROR(INDEX('VEH98 Data'!G$3:G$3508, SMALL(IF('VEH98 Data'!$AH$3:$AH$3508="TRUE", ROW('VEH98 Data'!G$3:G$3508)-ROW('VEH98 Data'!G$3)+1),ROWS('VEH98 Data'!G$3:'VEH98 Data'!G93))),"")</f>
        <v>Nissan</v>
      </c>
      <c r="L103" s="652" t="str">
        <f t="array" aca="1" ref="L103" ca="1">IFERROR(INDEX('VEH98 Data'!I$3:I$3508, SMALL(IF('VEH98 Data'!$AH$3:$AH$3508="TRUE", ROW('VEH98 Data'!I$3:I$3508)-ROW('VEH98 Data'!I$3)+1),ROWS('VEH98 Data'!I$3:'VEH98 Data'!I93))),"")</f>
        <v>Rogue</v>
      </c>
      <c r="M103" s="652" t="str">
        <f t="array" aca="1" ref="M103" ca="1">IFERROR(INDEX('VEH98 Data'!J$3:J$3508, SMALL(IF('VEH98 Data'!$AH$3:$AH$3508="TRUE", ROW('VEH98 Data'!J$3:J$3508)-ROW('VEH98 Data'!J$3)+1),ROWS('VEH98 Data'!J$3:'VEH98 Data'!J93))),"")</f>
        <v>SV Hybrid</v>
      </c>
      <c r="N103" s="652" t="str">
        <f t="array" aca="1" ref="N103" ca="1">IFERROR(INDEX('VEH98 Data'!K$3:K$3508, SMALL(IF('VEH98 Data'!$AH$3:$AH$3508="TRUE", ROW('VEH98 Data'!K$3:K$3508)-ROW('VEH98 Data'!K$3)+1),ROWS('VEH98 Data'!K$3:'VEH98 Data'!K93))),"")</f>
        <v>FWD</v>
      </c>
      <c r="O103" s="653" t="str">
        <f t="array" aca="1" ref="O103" ca="1">IFERROR(INDEX('VEH98 Data'!R$3:R$3508, SMALL(IF('VEH98 Data'!$AH$3:$AH$3508="TRUE", ROW('VEH98 Data'!R$3:R$3508)-ROW('VEH98 Data'!R$3)+1),ROWS('VEH98 Data'!R$3:'VEH98 Data'!R93))),"")</f>
        <v>2.0L</v>
      </c>
      <c r="P103" s="653">
        <f t="array" aca="1" ref="P103" ca="1">IFERROR(INDEX('VEH98 Data'!Y$3:Y$3508, SMALL(IF('VEH98 Data'!$AH$3:$AH$3508="TRUE", ROW('VEH98 Data'!Y$3:Y$3508)-ROW('VEH98 Data'!Y$3)+1),ROWS('VEH98 Data'!Y$3:'VEH98 Data'!Y93))),"")</f>
        <v>34</v>
      </c>
    </row>
    <row r="104" spans="2:16">
      <c r="B104" s="652"/>
      <c r="C104" s="652" t="str">
        <f t="array" aca="1" ref="C104" ca="1">IFERROR(INDEX('VEH98 Data'!G$3:G$3508, SMALL(IF('VEH98 Data'!$AG$3:$AG$3508="TRUE", ROW('VEH98 Data'!G$3:G$3508)-ROW('VEH98 Data'!G$3)+1),ROWS('VEH98 Data'!G$3:'VEH98 Data'!G92))),"")</f>
        <v/>
      </c>
      <c r="D104" s="652" t="str">
        <f t="array" aca="1" ref="D104" ca="1">IFERROR(INDEX('VEH98 Data'!I$3:I$3508, SMALL(IF('VEH98 Data'!$AG$3:$AG$3508="TRUE", ROW('VEH98 Data'!I$3:I$3508)-ROW('VEH98 Data'!I$3)+1),ROWS('VEH98 Data'!I$3:'VEH98 Data'!I92))),"")</f>
        <v/>
      </c>
      <c r="E104" s="652" t="str">
        <f t="array" aca="1" ref="E104" ca="1">IFERROR(INDEX('VEH98 Data'!J$3:J$3508, SMALL(IF('VEH98 Data'!$AG$3:$AG$3508="TRUE", ROW('VEH98 Data'!J$3:J$3508)-ROW('VEH98 Data'!J$3)+1),ROWS('VEH98 Data'!J$3:'VEH98 Data'!J92))),"")</f>
        <v/>
      </c>
      <c r="F104" s="652" t="str">
        <f t="array" aca="1" ref="F104" ca="1">IFERROR(INDEX('VEH98 Data'!K$3:K$3508, SMALL(IF('VEH98 Data'!$AG$3:$AG$3508="TRUE", ROW('VEH98 Data'!K$3:K$3508)-ROW('VEH98 Data'!K$3)+1),ROWS('VEH98 Data'!K$3:'VEH98 Data'!K92))),"")</f>
        <v/>
      </c>
      <c r="G104" s="653" t="str">
        <f t="array" aca="1" ref="G104" ca="1">IFERROR(INDEX('VEH98 Data'!R$3:R$3508, SMALL(IF('VEH98 Data'!$AG$3:$AG$3508="TRUE", ROW('VEH98 Data'!R$3:R$3508)-ROW('VEH98 Data'!R$3)+1),ROWS('VEH98 Data'!R$3:'VEH98 Data'!R92))),"")</f>
        <v/>
      </c>
      <c r="H104" s="653" t="str">
        <f t="array" aca="1" ref="H104" ca="1">IFERROR(INDEX('VEH98 Data'!Y$3:Y$3508, SMALL(IF('VEH98 Data'!$AG$3:$AG$3508="TRUE", ROW('VEH98 Data'!Y$3:Y$3508)-ROW('VEH98 Data'!Y$3)+1),ROWS('VEH98 Data'!Y$3:'VEH98 Data'!Y92))),"")</f>
        <v/>
      </c>
      <c r="I104" s="19"/>
      <c r="J104" s="58">
        <f t="array" aca="1" ref="J104" ca="1">IFERROR(INDEX('VEH98 Data'!H$3:H$3508, SMALL(IF('VEH98 Data'!$AH$3:$AH$3508="TRUE", ROW('VEH98 Data'!H$3:H$3508)-ROW('VEH98 Data'!H$3)+1),ROWS('VEH98 Data'!H$3:'VEH98 Data'!H94))),"")</f>
        <v>2019</v>
      </c>
      <c r="K104" s="58" t="str">
        <f t="array" aca="1" ref="K104" ca="1">IFERROR(INDEX('VEH98 Data'!G$3:G$3508, SMALL(IF('VEH98 Data'!$AH$3:$AH$3508="TRUE", ROW('VEH98 Data'!G$3:G$3508)-ROW('VEH98 Data'!G$3)+1),ROWS('VEH98 Data'!G$3:'VEH98 Data'!G94))),"")</f>
        <v>Nissan</v>
      </c>
      <c r="L104" s="58" t="str">
        <f t="array" aca="1" ref="L104" ca="1">IFERROR(INDEX('VEH98 Data'!I$3:I$3508, SMALL(IF('VEH98 Data'!$AH$3:$AH$3508="TRUE", ROW('VEH98 Data'!I$3:I$3508)-ROW('VEH98 Data'!I$3)+1),ROWS('VEH98 Data'!I$3:'VEH98 Data'!I94))),"")</f>
        <v>Rogue Sport</v>
      </c>
      <c r="M104" s="58" t="str">
        <f t="array" aca="1" ref="M104" ca="1">IFERROR(INDEX('VEH98 Data'!J$3:J$3508, SMALL(IF('VEH98 Data'!$AH$3:$AH$3508="TRUE", ROW('VEH98 Data'!J$3:J$3508)-ROW('VEH98 Data'!J$3)+1),ROWS('VEH98 Data'!J$3:'VEH98 Data'!J94))),"")</f>
        <v>S</v>
      </c>
      <c r="N104" s="58" t="str">
        <f t="array" aca="1" ref="N104" ca="1">IFERROR(INDEX('VEH98 Data'!K$3:K$3508, SMALL(IF('VEH98 Data'!$AH$3:$AH$3508="TRUE", ROW('VEH98 Data'!K$3:K$3508)-ROW('VEH98 Data'!K$3)+1),ROWS('VEH98 Data'!K$3:'VEH98 Data'!K94))),"")</f>
        <v>AWD</v>
      </c>
      <c r="O104" s="654" t="str">
        <f t="array" aca="1" ref="O104" ca="1">IFERROR(INDEX('VEH98 Data'!R$3:R$3508, SMALL(IF('VEH98 Data'!$AH$3:$AH$3508="TRUE", ROW('VEH98 Data'!R$3:R$3508)-ROW('VEH98 Data'!R$3)+1),ROWS('VEH98 Data'!R$3:'VEH98 Data'!R94))),"")</f>
        <v>2.0L</v>
      </c>
      <c r="P104" s="654">
        <f t="array" aca="1" ref="P104" ca="1">IFERROR(INDEX('VEH98 Data'!Y$3:Y$3508, SMALL(IF('VEH98 Data'!$AH$3:$AH$3508="TRUE", ROW('VEH98 Data'!Y$3:Y$3508)-ROW('VEH98 Data'!Y$3)+1),ROWS('VEH98 Data'!Y$3:'VEH98 Data'!Y94))),"")</f>
        <v>27</v>
      </c>
    </row>
    <row r="105" spans="2:16">
      <c r="B105" s="58"/>
      <c r="C105" s="58" t="str">
        <f t="array" aca="1" ref="C105" ca="1">IFERROR(INDEX('VEH98 Data'!G$3:G$3508, SMALL(IF('VEH98 Data'!$AG$3:$AG$3508="TRUE", ROW('VEH98 Data'!G$3:G$3508)-ROW('VEH98 Data'!G$3)+1),ROWS('VEH98 Data'!G$3:'VEH98 Data'!G93))),"")</f>
        <v/>
      </c>
      <c r="D105" s="58" t="str">
        <f t="array" aca="1" ref="D105" ca="1">IFERROR(INDEX('VEH98 Data'!I$3:I$3508, SMALL(IF('VEH98 Data'!$AG$3:$AG$3508="TRUE", ROW('VEH98 Data'!I$3:I$3508)-ROW('VEH98 Data'!I$3)+1),ROWS('VEH98 Data'!I$3:'VEH98 Data'!I93))),"")</f>
        <v/>
      </c>
      <c r="E105" s="58" t="str">
        <f t="array" aca="1" ref="E105" ca="1">IFERROR(INDEX('VEH98 Data'!J$3:J$3508, SMALL(IF('VEH98 Data'!$AG$3:$AG$3508="TRUE", ROW('VEH98 Data'!J$3:J$3508)-ROW('VEH98 Data'!J$3)+1),ROWS('VEH98 Data'!J$3:'VEH98 Data'!J93))),"")</f>
        <v/>
      </c>
      <c r="F105" s="58" t="str">
        <f t="array" aca="1" ref="F105" ca="1">IFERROR(INDEX('VEH98 Data'!K$3:K$3508, SMALL(IF('VEH98 Data'!$AG$3:$AG$3508="TRUE", ROW('VEH98 Data'!K$3:K$3508)-ROW('VEH98 Data'!K$3)+1),ROWS('VEH98 Data'!K$3:'VEH98 Data'!K93))),"")</f>
        <v/>
      </c>
      <c r="G105" s="654" t="str">
        <f t="array" aca="1" ref="G105" ca="1">IFERROR(INDEX('VEH98 Data'!R$3:R$3508, SMALL(IF('VEH98 Data'!$AG$3:$AG$3508="TRUE", ROW('VEH98 Data'!R$3:R$3508)-ROW('VEH98 Data'!R$3)+1),ROWS('VEH98 Data'!R$3:'VEH98 Data'!R93))),"")</f>
        <v/>
      </c>
      <c r="H105" s="654" t="str">
        <f t="array" aca="1" ref="H105" ca="1">IFERROR(INDEX('VEH98 Data'!Y$3:Y$3508, SMALL(IF('VEH98 Data'!$AG$3:$AG$3508="TRUE", ROW('VEH98 Data'!Y$3:Y$3508)-ROW('VEH98 Data'!Y$3)+1),ROWS('VEH98 Data'!Y$3:'VEH98 Data'!Y93))),"")</f>
        <v/>
      </c>
      <c r="I105" s="19"/>
      <c r="J105" s="652">
        <f t="array" aca="1" ref="J105" ca="1">IFERROR(INDEX('VEH98 Data'!H$3:H$3508, SMALL(IF('VEH98 Data'!$AH$3:$AH$3508="TRUE", ROW('VEH98 Data'!H$3:H$3508)-ROW('VEH98 Data'!H$3)+1),ROWS('VEH98 Data'!H$3:'VEH98 Data'!H95))),"")</f>
        <v>2019</v>
      </c>
      <c r="K105" s="652" t="str">
        <f t="array" aca="1" ref="K105" ca="1">IFERROR(INDEX('VEH98 Data'!G$3:G$3508, SMALL(IF('VEH98 Data'!$AH$3:$AH$3508="TRUE", ROW('VEH98 Data'!G$3:G$3508)-ROW('VEH98 Data'!G$3)+1),ROWS('VEH98 Data'!G$3:'VEH98 Data'!G95))),"")</f>
        <v>Nissan</v>
      </c>
      <c r="L105" s="652" t="str">
        <f t="array" aca="1" ref="L105" ca="1">IFERROR(INDEX('VEH98 Data'!I$3:I$3508, SMALL(IF('VEH98 Data'!$AH$3:$AH$3508="TRUE", ROW('VEH98 Data'!I$3:I$3508)-ROW('VEH98 Data'!I$3)+1),ROWS('VEH98 Data'!I$3:'VEH98 Data'!I95))),"")</f>
        <v>Rogue Sport</v>
      </c>
      <c r="M105" s="652" t="str">
        <f t="array" aca="1" ref="M105" ca="1">IFERROR(INDEX('VEH98 Data'!J$3:J$3508, SMALL(IF('VEH98 Data'!$AH$3:$AH$3508="TRUE", ROW('VEH98 Data'!J$3:J$3508)-ROW('VEH98 Data'!J$3)+1),ROWS('VEH98 Data'!J$3:'VEH98 Data'!J95))),"")</f>
        <v>S</v>
      </c>
      <c r="N105" s="652" t="str">
        <f t="array" aca="1" ref="N105" ca="1">IFERROR(INDEX('VEH98 Data'!K$3:K$3508, SMALL(IF('VEH98 Data'!$AH$3:$AH$3508="TRUE", ROW('VEH98 Data'!K$3:K$3508)-ROW('VEH98 Data'!K$3)+1),ROWS('VEH98 Data'!K$3:'VEH98 Data'!K95))),"")</f>
        <v>FWD</v>
      </c>
      <c r="O105" s="653" t="str">
        <f t="array" aca="1" ref="O105" ca="1">IFERROR(INDEX('VEH98 Data'!R$3:R$3508, SMALL(IF('VEH98 Data'!$AH$3:$AH$3508="TRUE", ROW('VEH98 Data'!R$3:R$3508)-ROW('VEH98 Data'!R$3)+1),ROWS('VEH98 Data'!R$3:'VEH98 Data'!R95))),"")</f>
        <v>2.0L</v>
      </c>
      <c r="P105" s="653">
        <f t="array" aca="1" ref="P105" ca="1">IFERROR(INDEX('VEH98 Data'!Y$3:Y$3508, SMALL(IF('VEH98 Data'!$AH$3:$AH$3508="TRUE", ROW('VEH98 Data'!Y$3:Y$3508)-ROW('VEH98 Data'!Y$3)+1),ROWS('VEH98 Data'!Y$3:'VEH98 Data'!Y95))),"")</f>
        <v>28</v>
      </c>
    </row>
    <row r="106" spans="2:16">
      <c r="B106" s="652"/>
      <c r="C106" s="652" t="str">
        <f t="array" aca="1" ref="C106" ca="1">IFERROR(INDEX('VEH98 Data'!G$3:G$3508, SMALL(IF('VEH98 Data'!$AG$3:$AG$3508="TRUE", ROW('VEH98 Data'!G$3:G$3508)-ROW('VEH98 Data'!G$3)+1),ROWS('VEH98 Data'!G$3:'VEH98 Data'!G94))),"")</f>
        <v/>
      </c>
      <c r="D106" s="652" t="str">
        <f t="array" aca="1" ref="D106" ca="1">IFERROR(INDEX('VEH98 Data'!I$3:I$3508, SMALL(IF('VEH98 Data'!$AG$3:$AG$3508="TRUE", ROW('VEH98 Data'!I$3:I$3508)-ROW('VEH98 Data'!I$3)+1),ROWS('VEH98 Data'!I$3:'VEH98 Data'!I94))),"")</f>
        <v/>
      </c>
      <c r="E106" s="652" t="str">
        <f t="array" aca="1" ref="E106" ca="1">IFERROR(INDEX('VEH98 Data'!J$3:J$3508, SMALL(IF('VEH98 Data'!$AG$3:$AG$3508="TRUE", ROW('VEH98 Data'!J$3:J$3508)-ROW('VEH98 Data'!J$3)+1),ROWS('VEH98 Data'!J$3:'VEH98 Data'!J94))),"")</f>
        <v/>
      </c>
      <c r="F106" s="652" t="str">
        <f t="array" aca="1" ref="F106" ca="1">IFERROR(INDEX('VEH98 Data'!K$3:K$3508, SMALL(IF('VEH98 Data'!$AG$3:$AG$3508="TRUE", ROW('VEH98 Data'!K$3:K$3508)-ROW('VEH98 Data'!K$3)+1),ROWS('VEH98 Data'!K$3:'VEH98 Data'!K94))),"")</f>
        <v/>
      </c>
      <c r="G106" s="653" t="str">
        <f t="array" aca="1" ref="G106" ca="1">IFERROR(INDEX('VEH98 Data'!R$3:R$3508, SMALL(IF('VEH98 Data'!$AG$3:$AG$3508="TRUE", ROW('VEH98 Data'!R$3:R$3508)-ROW('VEH98 Data'!R$3)+1),ROWS('VEH98 Data'!R$3:'VEH98 Data'!R94))),"")</f>
        <v/>
      </c>
      <c r="H106" s="653" t="str">
        <f t="array" aca="1" ref="H106" ca="1">IFERROR(INDEX('VEH98 Data'!Y$3:Y$3508, SMALL(IF('VEH98 Data'!$AG$3:$AG$3508="TRUE", ROW('VEH98 Data'!Y$3:Y$3508)-ROW('VEH98 Data'!Y$3)+1),ROWS('VEH98 Data'!Y$3:'VEH98 Data'!Y94))),"")</f>
        <v/>
      </c>
      <c r="I106" s="19"/>
      <c r="J106" s="58">
        <f t="array" aca="1" ref="J106" ca="1">IFERROR(INDEX('VEH98 Data'!H$3:H$3508, SMALL(IF('VEH98 Data'!$AH$3:$AH$3508="TRUE", ROW('VEH98 Data'!H$3:H$3508)-ROW('VEH98 Data'!H$3)+1),ROWS('VEH98 Data'!H$3:'VEH98 Data'!H96))),"")</f>
        <v>2019</v>
      </c>
      <c r="K106" s="58" t="str">
        <f t="array" aca="1" ref="K106" ca="1">IFERROR(INDEX('VEH98 Data'!G$3:G$3508, SMALL(IF('VEH98 Data'!$AH$3:$AH$3508="TRUE", ROW('VEH98 Data'!G$3:G$3508)-ROW('VEH98 Data'!G$3)+1),ROWS('VEH98 Data'!G$3:'VEH98 Data'!G96))),"")</f>
        <v>Toyota</v>
      </c>
      <c r="L106" s="58" t="str">
        <f t="array" aca="1" ref="L106" ca="1">IFERROR(INDEX('VEH98 Data'!I$3:I$3508, SMALL(IF('VEH98 Data'!$AH$3:$AH$3508="TRUE", ROW('VEH98 Data'!I$3:I$3508)-ROW('VEH98 Data'!I$3)+1),ROWS('VEH98 Data'!I$3:'VEH98 Data'!I96))),"")</f>
        <v>Highlander</v>
      </c>
      <c r="M106" s="58" t="str">
        <f t="array" aca="1" ref="M106" ca="1">IFERROR(INDEX('VEH98 Data'!J$3:J$3508, SMALL(IF('VEH98 Data'!$AH$3:$AH$3508="TRUE", ROW('VEH98 Data'!J$3:J$3508)-ROW('VEH98 Data'!J$3)+1),ROWS('VEH98 Data'!J$3:'VEH98 Data'!J96))),"")</f>
        <v>Hybrid LE</v>
      </c>
      <c r="N106" s="58" t="str">
        <f t="array" aca="1" ref="N106" ca="1">IFERROR(INDEX('VEH98 Data'!K$3:K$3508, SMALL(IF('VEH98 Data'!$AH$3:$AH$3508="TRUE", ROW('VEH98 Data'!K$3:K$3508)-ROW('VEH98 Data'!K$3)+1),ROWS('VEH98 Data'!K$3:'VEH98 Data'!K96))),"")</f>
        <v>AWD</v>
      </c>
      <c r="O106" s="654" t="str">
        <f t="array" aca="1" ref="O106" ca="1">IFERROR(INDEX('VEH98 Data'!R$3:R$3508, SMALL(IF('VEH98 Data'!$AH$3:$AH$3508="TRUE", ROW('VEH98 Data'!R$3:R$3508)-ROW('VEH98 Data'!R$3)+1),ROWS('VEH98 Data'!R$3:'VEH98 Data'!R96))),"")</f>
        <v>3.5L</v>
      </c>
      <c r="P106" s="654">
        <f t="array" aca="1" ref="P106" ca="1">IFERROR(INDEX('VEH98 Data'!Y$3:Y$3508, SMALL(IF('VEH98 Data'!$AH$3:$AH$3508="TRUE", ROW('VEH98 Data'!Y$3:Y$3508)-ROW('VEH98 Data'!Y$3)+1),ROWS('VEH98 Data'!Y$3:'VEH98 Data'!Y96))),"")</f>
        <v>28</v>
      </c>
    </row>
    <row r="107" spans="2:16">
      <c r="B107" s="58"/>
      <c r="C107" s="58" t="str">
        <f t="array" aca="1" ref="C107" ca="1">IFERROR(INDEX('VEH98 Data'!G$3:G$3508, SMALL(IF('VEH98 Data'!$AG$3:$AG$3508="TRUE", ROW('VEH98 Data'!G$3:G$3508)-ROW('VEH98 Data'!G$3)+1),ROWS('VEH98 Data'!G$3:'VEH98 Data'!G95))),"")</f>
        <v/>
      </c>
      <c r="D107" s="58" t="str">
        <f t="array" aca="1" ref="D107" ca="1">IFERROR(INDEX('VEH98 Data'!I$3:I$3508, SMALL(IF('VEH98 Data'!$AG$3:$AG$3508="TRUE", ROW('VEH98 Data'!I$3:I$3508)-ROW('VEH98 Data'!I$3)+1),ROWS('VEH98 Data'!I$3:'VEH98 Data'!I95))),"")</f>
        <v/>
      </c>
      <c r="E107" s="58" t="str">
        <f t="array" aca="1" ref="E107" ca="1">IFERROR(INDEX('VEH98 Data'!J$3:J$3508, SMALL(IF('VEH98 Data'!$AG$3:$AG$3508="TRUE", ROW('VEH98 Data'!J$3:J$3508)-ROW('VEH98 Data'!J$3)+1),ROWS('VEH98 Data'!J$3:'VEH98 Data'!J95))),"")</f>
        <v/>
      </c>
      <c r="F107" s="58" t="str">
        <f t="array" aca="1" ref="F107" ca="1">IFERROR(INDEX('VEH98 Data'!K$3:K$3508, SMALL(IF('VEH98 Data'!$AG$3:$AG$3508="TRUE", ROW('VEH98 Data'!K$3:K$3508)-ROW('VEH98 Data'!K$3)+1),ROWS('VEH98 Data'!K$3:'VEH98 Data'!K95))),"")</f>
        <v/>
      </c>
      <c r="G107" s="654" t="str">
        <f t="array" aca="1" ref="G107" ca="1">IFERROR(INDEX('VEH98 Data'!R$3:R$3508, SMALL(IF('VEH98 Data'!$AG$3:$AG$3508="TRUE", ROW('VEH98 Data'!R$3:R$3508)-ROW('VEH98 Data'!R$3)+1),ROWS('VEH98 Data'!R$3:'VEH98 Data'!R95))),"")</f>
        <v/>
      </c>
      <c r="H107" s="654" t="str">
        <f t="array" aca="1" ref="H107" ca="1">IFERROR(INDEX('VEH98 Data'!Y$3:Y$3508, SMALL(IF('VEH98 Data'!$AG$3:$AG$3508="TRUE", ROW('VEH98 Data'!Y$3:Y$3508)-ROW('VEH98 Data'!Y$3)+1),ROWS('VEH98 Data'!Y$3:'VEH98 Data'!Y95))),"")</f>
        <v/>
      </c>
      <c r="I107" s="19"/>
      <c r="J107" s="652">
        <f t="array" aca="1" ref="J107" ca="1">IFERROR(INDEX('VEH98 Data'!H$3:H$3508, SMALL(IF('VEH98 Data'!$AH$3:$AH$3508="TRUE", ROW('VEH98 Data'!H$3:H$3508)-ROW('VEH98 Data'!H$3)+1),ROWS('VEH98 Data'!H$3:'VEH98 Data'!H97))),"")</f>
        <v>2019</v>
      </c>
      <c r="K107" s="652" t="str">
        <f t="array" aca="1" ref="K107" ca="1">IFERROR(INDEX('VEH98 Data'!G$3:G$3508, SMALL(IF('VEH98 Data'!$AH$3:$AH$3508="TRUE", ROW('VEH98 Data'!G$3:G$3508)-ROW('VEH98 Data'!G$3)+1),ROWS('VEH98 Data'!G$3:'VEH98 Data'!G97))),"")</f>
        <v>Toyota</v>
      </c>
      <c r="L107" s="652" t="str">
        <f t="array" aca="1" ref="L107" ca="1">IFERROR(INDEX('VEH98 Data'!I$3:I$3508, SMALL(IF('VEH98 Data'!$AH$3:$AH$3508="TRUE", ROW('VEH98 Data'!I$3:I$3508)-ROW('VEH98 Data'!I$3)+1),ROWS('VEH98 Data'!I$3:'VEH98 Data'!I97))),"")</f>
        <v>Highlander</v>
      </c>
      <c r="M107" s="652" t="str">
        <f t="array" aca="1" ref="M107" ca="1">IFERROR(INDEX('VEH98 Data'!J$3:J$3508, SMALL(IF('VEH98 Data'!$AH$3:$AH$3508="TRUE", ROW('VEH98 Data'!J$3:J$3508)-ROW('VEH98 Data'!J$3)+1),ROWS('VEH98 Data'!J$3:'VEH98 Data'!J97))),"")</f>
        <v>Hybrid Limited</v>
      </c>
      <c r="N107" s="652" t="str">
        <f t="array" aca="1" ref="N107" ca="1">IFERROR(INDEX('VEH98 Data'!K$3:K$3508, SMALL(IF('VEH98 Data'!$AH$3:$AH$3508="TRUE", ROW('VEH98 Data'!K$3:K$3508)-ROW('VEH98 Data'!K$3)+1),ROWS('VEH98 Data'!K$3:'VEH98 Data'!K97))),"")</f>
        <v>AWD</v>
      </c>
      <c r="O107" s="653" t="str">
        <f t="array" aca="1" ref="O107" ca="1">IFERROR(INDEX('VEH98 Data'!R$3:R$3508, SMALL(IF('VEH98 Data'!$AH$3:$AH$3508="TRUE", ROW('VEH98 Data'!R$3:R$3508)-ROW('VEH98 Data'!R$3)+1),ROWS('VEH98 Data'!R$3:'VEH98 Data'!R97))),"")</f>
        <v>3.5L</v>
      </c>
      <c r="P107" s="653">
        <f t="array" aca="1" ref="P107" ca="1">IFERROR(INDEX('VEH98 Data'!Y$3:Y$3508, SMALL(IF('VEH98 Data'!$AH$3:$AH$3508="TRUE", ROW('VEH98 Data'!Y$3:Y$3508)-ROW('VEH98 Data'!Y$3)+1),ROWS('VEH98 Data'!Y$3:'VEH98 Data'!Y97))),"")</f>
        <v>28</v>
      </c>
    </row>
    <row r="108" spans="2:16">
      <c r="B108" s="652"/>
      <c r="C108" s="652" t="str">
        <f t="array" aca="1" ref="C108" ca="1">IFERROR(INDEX('VEH98 Data'!G$3:G$3508, SMALL(IF('VEH98 Data'!$AG$3:$AG$3508="TRUE", ROW('VEH98 Data'!G$3:G$3508)-ROW('VEH98 Data'!G$3)+1),ROWS('VEH98 Data'!G$3:'VEH98 Data'!G96))),"")</f>
        <v/>
      </c>
      <c r="D108" s="652" t="str">
        <f t="array" aca="1" ref="D108" ca="1">IFERROR(INDEX('VEH98 Data'!I$3:I$3508, SMALL(IF('VEH98 Data'!$AG$3:$AG$3508="TRUE", ROW('VEH98 Data'!I$3:I$3508)-ROW('VEH98 Data'!I$3)+1),ROWS('VEH98 Data'!I$3:'VEH98 Data'!I96))),"")</f>
        <v/>
      </c>
      <c r="E108" s="652" t="str">
        <f t="array" aca="1" ref="E108" ca="1">IFERROR(INDEX('VEH98 Data'!J$3:J$3508, SMALL(IF('VEH98 Data'!$AG$3:$AG$3508="TRUE", ROW('VEH98 Data'!J$3:J$3508)-ROW('VEH98 Data'!J$3)+1),ROWS('VEH98 Data'!J$3:'VEH98 Data'!J96))),"")</f>
        <v/>
      </c>
      <c r="F108" s="652" t="str">
        <f t="array" aca="1" ref="F108" ca="1">IFERROR(INDEX('VEH98 Data'!K$3:K$3508, SMALL(IF('VEH98 Data'!$AG$3:$AG$3508="TRUE", ROW('VEH98 Data'!K$3:K$3508)-ROW('VEH98 Data'!K$3)+1),ROWS('VEH98 Data'!K$3:'VEH98 Data'!K96))),"")</f>
        <v/>
      </c>
      <c r="G108" s="653" t="str">
        <f t="array" aca="1" ref="G108" ca="1">IFERROR(INDEX('VEH98 Data'!R$3:R$3508, SMALL(IF('VEH98 Data'!$AG$3:$AG$3508="TRUE", ROW('VEH98 Data'!R$3:R$3508)-ROW('VEH98 Data'!R$3)+1),ROWS('VEH98 Data'!R$3:'VEH98 Data'!R96))),"")</f>
        <v/>
      </c>
      <c r="H108" s="653" t="str">
        <f t="array" aca="1" ref="H108" ca="1">IFERROR(INDEX('VEH98 Data'!Y$3:Y$3508, SMALL(IF('VEH98 Data'!$AG$3:$AG$3508="TRUE", ROW('VEH98 Data'!Y$3:Y$3508)-ROW('VEH98 Data'!Y$3)+1),ROWS('VEH98 Data'!Y$3:'VEH98 Data'!Y96))),"")</f>
        <v/>
      </c>
      <c r="I108" s="19"/>
      <c r="J108" s="58">
        <f t="array" aca="1" ref="J108" ca="1">IFERROR(INDEX('VEH98 Data'!H$3:H$3508, SMALL(IF('VEH98 Data'!$AH$3:$AH$3508="TRUE", ROW('VEH98 Data'!H$3:H$3508)-ROW('VEH98 Data'!H$3)+1),ROWS('VEH98 Data'!H$3:'VEH98 Data'!H98))),"")</f>
        <v>2019</v>
      </c>
      <c r="K108" s="58" t="str">
        <f t="array" aca="1" ref="K108" ca="1">IFERROR(INDEX('VEH98 Data'!G$3:G$3508, SMALL(IF('VEH98 Data'!$AH$3:$AH$3508="TRUE", ROW('VEH98 Data'!G$3:G$3508)-ROW('VEH98 Data'!G$3)+1),ROWS('VEH98 Data'!G$3:'VEH98 Data'!G98))),"")</f>
        <v>Toyota</v>
      </c>
      <c r="L108" s="58" t="str">
        <f t="array" aca="1" ref="L108" ca="1">IFERROR(INDEX('VEH98 Data'!I$3:I$3508, SMALL(IF('VEH98 Data'!$AH$3:$AH$3508="TRUE", ROW('VEH98 Data'!I$3:I$3508)-ROW('VEH98 Data'!I$3)+1),ROWS('VEH98 Data'!I$3:'VEH98 Data'!I98))),"")</f>
        <v>Highlander</v>
      </c>
      <c r="M108" s="58" t="str">
        <f t="array" aca="1" ref="M108" ca="1">IFERROR(INDEX('VEH98 Data'!J$3:J$3508, SMALL(IF('VEH98 Data'!$AH$3:$AH$3508="TRUE", ROW('VEH98 Data'!J$3:J$3508)-ROW('VEH98 Data'!J$3)+1),ROWS('VEH98 Data'!J$3:'VEH98 Data'!J98))),"")</f>
        <v>Hybrid XLE</v>
      </c>
      <c r="N108" s="58" t="str">
        <f t="array" aca="1" ref="N108" ca="1">IFERROR(INDEX('VEH98 Data'!K$3:K$3508, SMALL(IF('VEH98 Data'!$AH$3:$AH$3508="TRUE", ROW('VEH98 Data'!K$3:K$3508)-ROW('VEH98 Data'!K$3)+1),ROWS('VEH98 Data'!K$3:'VEH98 Data'!K98))),"")</f>
        <v>AWD</v>
      </c>
      <c r="O108" s="654" t="str">
        <f t="array" aca="1" ref="O108" ca="1">IFERROR(INDEX('VEH98 Data'!R$3:R$3508, SMALL(IF('VEH98 Data'!$AH$3:$AH$3508="TRUE", ROW('VEH98 Data'!R$3:R$3508)-ROW('VEH98 Data'!R$3)+1),ROWS('VEH98 Data'!R$3:'VEH98 Data'!R98))),"")</f>
        <v>3.5L</v>
      </c>
      <c r="P108" s="654">
        <f t="array" aca="1" ref="P108" ca="1">IFERROR(INDEX('VEH98 Data'!Y$3:Y$3508, SMALL(IF('VEH98 Data'!$AH$3:$AH$3508="TRUE", ROW('VEH98 Data'!Y$3:Y$3508)-ROW('VEH98 Data'!Y$3)+1),ROWS('VEH98 Data'!Y$3:'VEH98 Data'!Y98))),"")</f>
        <v>28</v>
      </c>
    </row>
    <row r="109" spans="2:16">
      <c r="B109" s="58"/>
      <c r="C109" s="58" t="str">
        <f t="array" aca="1" ref="C109" ca="1">IFERROR(INDEX('VEH98 Data'!G$3:G$3508, SMALL(IF('VEH98 Data'!$AG$3:$AG$3508="TRUE", ROW('VEH98 Data'!G$3:G$3508)-ROW('VEH98 Data'!G$3)+1),ROWS('VEH98 Data'!G$3:'VEH98 Data'!G97))),"")</f>
        <v/>
      </c>
      <c r="D109" s="58" t="str">
        <f t="array" aca="1" ref="D109" ca="1">IFERROR(INDEX('VEH98 Data'!I$3:I$3508, SMALL(IF('VEH98 Data'!$AG$3:$AG$3508="TRUE", ROW('VEH98 Data'!I$3:I$3508)-ROW('VEH98 Data'!I$3)+1),ROWS('VEH98 Data'!I$3:'VEH98 Data'!I97))),"")</f>
        <v/>
      </c>
      <c r="E109" s="58" t="str">
        <f t="array" aca="1" ref="E109" ca="1">IFERROR(INDEX('VEH98 Data'!J$3:J$3508, SMALL(IF('VEH98 Data'!$AG$3:$AG$3508="TRUE", ROW('VEH98 Data'!J$3:J$3508)-ROW('VEH98 Data'!J$3)+1),ROWS('VEH98 Data'!J$3:'VEH98 Data'!J97))),"")</f>
        <v/>
      </c>
      <c r="F109" s="58" t="str">
        <f t="array" aca="1" ref="F109" ca="1">IFERROR(INDEX('VEH98 Data'!K$3:K$3508, SMALL(IF('VEH98 Data'!$AG$3:$AG$3508="TRUE", ROW('VEH98 Data'!K$3:K$3508)-ROW('VEH98 Data'!K$3)+1),ROWS('VEH98 Data'!K$3:'VEH98 Data'!K97))),"")</f>
        <v/>
      </c>
      <c r="G109" s="654" t="str">
        <f t="array" aca="1" ref="G109" ca="1">IFERROR(INDEX('VEH98 Data'!R$3:R$3508, SMALL(IF('VEH98 Data'!$AG$3:$AG$3508="TRUE", ROW('VEH98 Data'!R$3:R$3508)-ROW('VEH98 Data'!R$3)+1),ROWS('VEH98 Data'!R$3:'VEH98 Data'!R97))),"")</f>
        <v/>
      </c>
      <c r="H109" s="654" t="str">
        <f t="array" aca="1" ref="H109" ca="1">IFERROR(INDEX('VEH98 Data'!Y$3:Y$3508, SMALL(IF('VEH98 Data'!$AG$3:$AG$3508="TRUE", ROW('VEH98 Data'!Y$3:Y$3508)-ROW('VEH98 Data'!Y$3)+1),ROWS('VEH98 Data'!Y$3:'VEH98 Data'!Y97))),"")</f>
        <v/>
      </c>
      <c r="I109" s="19"/>
      <c r="J109" s="652">
        <f t="array" aca="1" ref="J109" ca="1">IFERROR(INDEX('VEH98 Data'!H$3:H$3508, SMALL(IF('VEH98 Data'!$AH$3:$AH$3508="TRUE", ROW('VEH98 Data'!H$3:H$3508)-ROW('VEH98 Data'!H$3)+1),ROWS('VEH98 Data'!H$3:'VEH98 Data'!H99))),"")</f>
        <v>2019</v>
      </c>
      <c r="K109" s="652" t="str">
        <f t="array" aca="1" ref="K109" ca="1">IFERROR(INDEX('VEH98 Data'!G$3:G$3508, SMALL(IF('VEH98 Data'!$AH$3:$AH$3508="TRUE", ROW('VEH98 Data'!G$3:G$3508)-ROW('VEH98 Data'!G$3)+1),ROWS('VEH98 Data'!G$3:'VEH98 Data'!G99))),"")</f>
        <v>Toyota</v>
      </c>
      <c r="L109" s="652" t="str">
        <f t="array" aca="1" ref="L109" ca="1">IFERROR(INDEX('VEH98 Data'!I$3:I$3508, SMALL(IF('VEH98 Data'!$AH$3:$AH$3508="TRUE", ROW('VEH98 Data'!I$3:I$3508)-ROW('VEH98 Data'!I$3)+1),ROWS('VEH98 Data'!I$3:'VEH98 Data'!I99))),"")</f>
        <v>Highlander</v>
      </c>
      <c r="M109" s="652" t="str">
        <f t="array" aca="1" ref="M109" ca="1">IFERROR(INDEX('VEH98 Data'!J$3:J$3508, SMALL(IF('VEH98 Data'!$AH$3:$AH$3508="TRUE", ROW('VEH98 Data'!J$3:J$3508)-ROW('VEH98 Data'!J$3)+1),ROWS('VEH98 Data'!J$3:'VEH98 Data'!J99))),"")</f>
        <v>LE</v>
      </c>
      <c r="N109" s="652" t="str">
        <f t="array" aca="1" ref="N109" ca="1">IFERROR(INDEX('VEH98 Data'!K$3:K$3508, SMALL(IF('VEH98 Data'!$AH$3:$AH$3508="TRUE", ROW('VEH98 Data'!K$3:K$3508)-ROW('VEH98 Data'!K$3)+1),ROWS('VEH98 Data'!K$3:'VEH98 Data'!K99))),"")</f>
        <v>AWD</v>
      </c>
      <c r="O109" s="653" t="str">
        <f t="array" aca="1" ref="O109" ca="1">IFERROR(INDEX('VEH98 Data'!R$3:R$3508, SMALL(IF('VEH98 Data'!$AH$3:$AH$3508="TRUE", ROW('VEH98 Data'!R$3:R$3508)-ROW('VEH98 Data'!R$3)+1),ROWS('VEH98 Data'!R$3:'VEH98 Data'!R99))),"")</f>
        <v>3.5L</v>
      </c>
      <c r="P109" s="653">
        <f t="array" aca="1" ref="P109" ca="1">IFERROR(INDEX('VEH98 Data'!Y$3:Y$3508, SMALL(IF('VEH98 Data'!$AH$3:$AH$3508="TRUE", ROW('VEH98 Data'!Y$3:Y$3508)-ROW('VEH98 Data'!Y$3)+1),ROWS('VEH98 Data'!Y$3:'VEH98 Data'!Y99))),"")</f>
        <v>22</v>
      </c>
    </row>
    <row r="110" spans="2:16">
      <c r="B110" s="652"/>
      <c r="C110" s="652" t="str">
        <f t="array" aca="1" ref="C110" ca="1">IFERROR(INDEX('VEH98 Data'!G$3:G$3508, SMALL(IF('VEH98 Data'!$AG$3:$AG$3508="TRUE", ROW('VEH98 Data'!G$3:G$3508)-ROW('VEH98 Data'!G$3)+1),ROWS('VEH98 Data'!G$3:'VEH98 Data'!G98))),"")</f>
        <v/>
      </c>
      <c r="D110" s="652" t="str">
        <f t="array" aca="1" ref="D110" ca="1">IFERROR(INDEX('VEH98 Data'!I$3:I$3508, SMALL(IF('VEH98 Data'!$AG$3:$AG$3508="TRUE", ROW('VEH98 Data'!I$3:I$3508)-ROW('VEH98 Data'!I$3)+1),ROWS('VEH98 Data'!I$3:'VEH98 Data'!I98))),"")</f>
        <v/>
      </c>
      <c r="E110" s="652" t="str">
        <f t="array" aca="1" ref="E110" ca="1">IFERROR(INDEX('VEH98 Data'!J$3:J$3508, SMALL(IF('VEH98 Data'!$AG$3:$AG$3508="TRUE", ROW('VEH98 Data'!J$3:J$3508)-ROW('VEH98 Data'!J$3)+1),ROWS('VEH98 Data'!J$3:'VEH98 Data'!J98))),"")</f>
        <v/>
      </c>
      <c r="F110" s="652" t="str">
        <f t="array" aca="1" ref="F110" ca="1">IFERROR(INDEX('VEH98 Data'!K$3:K$3508, SMALL(IF('VEH98 Data'!$AG$3:$AG$3508="TRUE", ROW('VEH98 Data'!K$3:K$3508)-ROW('VEH98 Data'!K$3)+1),ROWS('VEH98 Data'!K$3:'VEH98 Data'!K98))),"")</f>
        <v/>
      </c>
      <c r="G110" s="653" t="str">
        <f t="array" aca="1" ref="G110" ca="1">IFERROR(INDEX('VEH98 Data'!R$3:R$3508, SMALL(IF('VEH98 Data'!$AG$3:$AG$3508="TRUE", ROW('VEH98 Data'!R$3:R$3508)-ROW('VEH98 Data'!R$3)+1),ROWS('VEH98 Data'!R$3:'VEH98 Data'!R98))),"")</f>
        <v/>
      </c>
      <c r="H110" s="653" t="str">
        <f t="array" aca="1" ref="H110" ca="1">IFERROR(INDEX('VEH98 Data'!Y$3:Y$3508, SMALL(IF('VEH98 Data'!$AG$3:$AG$3508="TRUE", ROW('VEH98 Data'!Y$3:Y$3508)-ROW('VEH98 Data'!Y$3)+1),ROWS('VEH98 Data'!Y$3:'VEH98 Data'!Y98))),"")</f>
        <v/>
      </c>
      <c r="I110" s="19"/>
      <c r="J110" s="58">
        <f t="array" aca="1" ref="J110" ca="1">IFERROR(INDEX('VEH98 Data'!H$3:H$3508, SMALL(IF('VEH98 Data'!$AH$3:$AH$3508="TRUE", ROW('VEH98 Data'!H$3:H$3508)-ROW('VEH98 Data'!H$3)+1),ROWS('VEH98 Data'!H$3:'VEH98 Data'!H100))),"")</f>
        <v>2019</v>
      </c>
      <c r="K110" s="58" t="str">
        <f t="array" aca="1" ref="K110" ca="1">IFERROR(INDEX('VEH98 Data'!G$3:G$3508, SMALL(IF('VEH98 Data'!$AH$3:$AH$3508="TRUE", ROW('VEH98 Data'!G$3:G$3508)-ROW('VEH98 Data'!G$3)+1),ROWS('VEH98 Data'!G$3:'VEH98 Data'!G100))),"")</f>
        <v>Toyota</v>
      </c>
      <c r="L110" s="58" t="str">
        <f t="array" aca="1" ref="L110" ca="1">IFERROR(INDEX('VEH98 Data'!I$3:I$3508, SMALL(IF('VEH98 Data'!$AH$3:$AH$3508="TRUE", ROW('VEH98 Data'!I$3:I$3508)-ROW('VEH98 Data'!I$3)+1),ROWS('VEH98 Data'!I$3:'VEH98 Data'!I100))),"")</f>
        <v>Highlander</v>
      </c>
      <c r="M110" s="58" t="str">
        <f t="array" aca="1" ref="M110" ca="1">IFERROR(INDEX('VEH98 Data'!J$3:J$3508, SMALL(IF('VEH98 Data'!$AH$3:$AH$3508="TRUE", ROW('VEH98 Data'!J$3:J$3508)-ROW('VEH98 Data'!J$3)+1),ROWS('VEH98 Data'!J$3:'VEH98 Data'!J100))),"")</f>
        <v>LE</v>
      </c>
      <c r="N110" s="58" t="str">
        <f t="array" aca="1" ref="N110" ca="1">IFERROR(INDEX('VEH98 Data'!K$3:K$3508, SMALL(IF('VEH98 Data'!$AH$3:$AH$3508="TRUE", ROW('VEH98 Data'!K$3:K$3508)-ROW('VEH98 Data'!K$3)+1),ROWS('VEH98 Data'!K$3:'VEH98 Data'!K100))),"")</f>
        <v>FWD</v>
      </c>
      <c r="O110" s="654" t="str">
        <f t="array" aca="1" ref="O110" ca="1">IFERROR(INDEX('VEH98 Data'!R$3:R$3508, SMALL(IF('VEH98 Data'!$AH$3:$AH$3508="TRUE", ROW('VEH98 Data'!R$3:R$3508)-ROW('VEH98 Data'!R$3)+1),ROWS('VEH98 Data'!R$3:'VEH98 Data'!R100))),"")</f>
        <v>2.7L</v>
      </c>
      <c r="P110" s="654">
        <f t="array" aca="1" ref="P110" ca="1">IFERROR(INDEX('VEH98 Data'!Y$3:Y$3508, SMALL(IF('VEH98 Data'!$AH$3:$AH$3508="TRUE", ROW('VEH98 Data'!Y$3:Y$3508)-ROW('VEH98 Data'!Y$3)+1),ROWS('VEH98 Data'!Y$3:'VEH98 Data'!Y100))),"")</f>
        <v>22</v>
      </c>
    </row>
    <row r="111" spans="2:16">
      <c r="B111" s="58"/>
      <c r="C111" s="58" t="str">
        <f t="array" aca="1" ref="C111" ca="1">IFERROR(INDEX('VEH98 Data'!G$3:G$3508, SMALL(IF('VEH98 Data'!$AG$3:$AG$3508="TRUE", ROW('VEH98 Data'!G$3:G$3508)-ROW('VEH98 Data'!G$3)+1),ROWS('VEH98 Data'!G$3:'VEH98 Data'!G99))),"")</f>
        <v/>
      </c>
      <c r="D111" s="58" t="str">
        <f t="array" aca="1" ref="D111" ca="1">IFERROR(INDEX('VEH98 Data'!I$3:I$3508, SMALL(IF('VEH98 Data'!$AG$3:$AG$3508="TRUE", ROW('VEH98 Data'!I$3:I$3508)-ROW('VEH98 Data'!I$3)+1),ROWS('VEH98 Data'!I$3:'VEH98 Data'!I99))),"")</f>
        <v/>
      </c>
      <c r="E111" s="58" t="str">
        <f t="array" aca="1" ref="E111" ca="1">IFERROR(INDEX('VEH98 Data'!J$3:J$3508, SMALL(IF('VEH98 Data'!$AG$3:$AG$3508="TRUE", ROW('VEH98 Data'!J$3:J$3508)-ROW('VEH98 Data'!J$3)+1),ROWS('VEH98 Data'!J$3:'VEH98 Data'!J99))),"")</f>
        <v/>
      </c>
      <c r="F111" s="58" t="str">
        <f t="array" aca="1" ref="F111" ca="1">IFERROR(INDEX('VEH98 Data'!K$3:K$3508, SMALL(IF('VEH98 Data'!$AG$3:$AG$3508="TRUE", ROW('VEH98 Data'!K$3:K$3508)-ROW('VEH98 Data'!K$3)+1),ROWS('VEH98 Data'!K$3:'VEH98 Data'!K99))),"")</f>
        <v/>
      </c>
      <c r="G111" s="654" t="str">
        <f t="array" aca="1" ref="G111" ca="1">IFERROR(INDEX('VEH98 Data'!R$3:R$3508, SMALL(IF('VEH98 Data'!$AG$3:$AG$3508="TRUE", ROW('VEH98 Data'!R$3:R$3508)-ROW('VEH98 Data'!R$3)+1),ROWS('VEH98 Data'!R$3:'VEH98 Data'!R99))),"")</f>
        <v/>
      </c>
      <c r="H111" s="654" t="str">
        <f t="array" aca="1" ref="H111" ca="1">IFERROR(INDEX('VEH98 Data'!Y$3:Y$3508, SMALL(IF('VEH98 Data'!$AG$3:$AG$3508="TRUE", ROW('VEH98 Data'!Y$3:Y$3508)-ROW('VEH98 Data'!Y$3)+1),ROWS('VEH98 Data'!Y$3:'VEH98 Data'!Y99))),"")</f>
        <v/>
      </c>
      <c r="I111" s="19"/>
      <c r="J111" s="652">
        <f t="array" aca="1" ref="J111" ca="1">IFERROR(INDEX('VEH98 Data'!H$3:H$3508, SMALL(IF('VEH98 Data'!$AH$3:$AH$3508="TRUE", ROW('VEH98 Data'!H$3:H$3508)-ROW('VEH98 Data'!H$3)+1),ROWS('VEH98 Data'!H$3:'VEH98 Data'!H101))),"")</f>
        <v>2019</v>
      </c>
      <c r="K111" s="652" t="str">
        <f t="array" aca="1" ref="K111" ca="1">IFERROR(INDEX('VEH98 Data'!G$3:G$3508, SMALL(IF('VEH98 Data'!$AH$3:$AH$3508="TRUE", ROW('VEH98 Data'!G$3:G$3508)-ROW('VEH98 Data'!G$3)+1),ROWS('VEH98 Data'!G$3:'VEH98 Data'!G101))),"")</f>
        <v>Toyota</v>
      </c>
      <c r="L111" s="652" t="str">
        <f t="array" aca="1" ref="L111" ca="1">IFERROR(INDEX('VEH98 Data'!I$3:I$3508, SMALL(IF('VEH98 Data'!$AH$3:$AH$3508="TRUE", ROW('VEH98 Data'!I$3:I$3508)-ROW('VEH98 Data'!I$3)+1),ROWS('VEH98 Data'!I$3:'VEH98 Data'!I101))),"")</f>
        <v>Highlander</v>
      </c>
      <c r="M111" s="652" t="str">
        <f t="array" aca="1" ref="M111" ca="1">IFERROR(INDEX('VEH98 Data'!J$3:J$3508, SMALL(IF('VEH98 Data'!$AH$3:$AH$3508="TRUE", ROW('VEH98 Data'!J$3:J$3508)-ROW('VEH98 Data'!J$3)+1),ROWS('VEH98 Data'!J$3:'VEH98 Data'!J101))),"")</f>
        <v>XLE</v>
      </c>
      <c r="N111" s="652" t="str">
        <f t="array" aca="1" ref="N111" ca="1">IFERROR(INDEX('VEH98 Data'!K$3:K$3508, SMALL(IF('VEH98 Data'!$AH$3:$AH$3508="TRUE", ROW('VEH98 Data'!K$3:K$3508)-ROW('VEH98 Data'!K$3)+1),ROWS('VEH98 Data'!K$3:'VEH98 Data'!K101))),"")</f>
        <v>AWD</v>
      </c>
      <c r="O111" s="653" t="str">
        <f t="array" aca="1" ref="O111" ca="1">IFERROR(INDEX('VEH98 Data'!R$3:R$3508, SMALL(IF('VEH98 Data'!$AH$3:$AH$3508="TRUE", ROW('VEH98 Data'!R$3:R$3508)-ROW('VEH98 Data'!R$3)+1),ROWS('VEH98 Data'!R$3:'VEH98 Data'!R101))),"")</f>
        <v>3.5L</v>
      </c>
      <c r="P111" s="653">
        <f t="array" aca="1" ref="P111" ca="1">IFERROR(INDEX('VEH98 Data'!Y$3:Y$3508, SMALL(IF('VEH98 Data'!$AH$3:$AH$3508="TRUE", ROW('VEH98 Data'!Y$3:Y$3508)-ROW('VEH98 Data'!Y$3)+1),ROWS('VEH98 Data'!Y$3:'VEH98 Data'!Y101))),"")</f>
        <v>22</v>
      </c>
    </row>
    <row r="112" spans="2:16">
      <c r="B112" s="652"/>
      <c r="C112" s="652" t="str">
        <f t="array" aca="1" ref="C112" ca="1">IFERROR(INDEX('VEH98 Data'!G$3:G$3508, SMALL(IF('VEH98 Data'!$AG$3:$AG$3508="TRUE", ROW('VEH98 Data'!G$3:G$3508)-ROW('VEH98 Data'!G$3)+1),ROWS('VEH98 Data'!G$3:'VEH98 Data'!G100))),"")</f>
        <v/>
      </c>
      <c r="D112" s="652" t="str">
        <f t="array" aca="1" ref="D112" ca="1">IFERROR(INDEX('VEH98 Data'!I$3:I$3508, SMALL(IF('VEH98 Data'!$AG$3:$AG$3508="TRUE", ROW('VEH98 Data'!I$3:I$3508)-ROW('VEH98 Data'!I$3)+1),ROWS('VEH98 Data'!I$3:'VEH98 Data'!I100))),"")</f>
        <v/>
      </c>
      <c r="E112" s="652" t="str">
        <f t="array" aca="1" ref="E112" ca="1">IFERROR(INDEX('VEH98 Data'!J$3:J$3508, SMALL(IF('VEH98 Data'!$AG$3:$AG$3508="TRUE", ROW('VEH98 Data'!J$3:J$3508)-ROW('VEH98 Data'!J$3)+1),ROWS('VEH98 Data'!J$3:'VEH98 Data'!J100))),"")</f>
        <v/>
      </c>
      <c r="F112" s="652" t="str">
        <f t="array" aca="1" ref="F112" ca="1">IFERROR(INDEX('VEH98 Data'!K$3:K$3508, SMALL(IF('VEH98 Data'!$AG$3:$AG$3508="TRUE", ROW('VEH98 Data'!K$3:K$3508)-ROW('VEH98 Data'!K$3)+1),ROWS('VEH98 Data'!K$3:'VEH98 Data'!K100))),"")</f>
        <v/>
      </c>
      <c r="G112" s="653" t="str">
        <f t="array" aca="1" ref="G112" ca="1">IFERROR(INDEX('VEH98 Data'!R$3:R$3508, SMALL(IF('VEH98 Data'!$AG$3:$AG$3508="TRUE", ROW('VEH98 Data'!R$3:R$3508)-ROW('VEH98 Data'!R$3)+1),ROWS('VEH98 Data'!R$3:'VEH98 Data'!R100))),"")</f>
        <v/>
      </c>
      <c r="H112" s="653" t="str">
        <f t="array" aca="1" ref="H112" ca="1">IFERROR(INDEX('VEH98 Data'!Y$3:Y$3508, SMALL(IF('VEH98 Data'!$AG$3:$AG$3508="TRUE", ROW('VEH98 Data'!Y$3:Y$3508)-ROW('VEH98 Data'!Y$3)+1),ROWS('VEH98 Data'!Y$3:'VEH98 Data'!Y100))),"")</f>
        <v/>
      </c>
      <c r="I112" s="19"/>
      <c r="J112" s="58">
        <f t="array" aca="1" ref="J112" ca="1">IFERROR(INDEX('VEH98 Data'!H$3:H$3508, SMALL(IF('VEH98 Data'!$AH$3:$AH$3508="TRUE", ROW('VEH98 Data'!H$3:H$3508)-ROW('VEH98 Data'!H$3)+1),ROWS('VEH98 Data'!H$3:'VEH98 Data'!H102))),"")</f>
        <v>2019</v>
      </c>
      <c r="K112" s="58" t="str">
        <f t="array" aca="1" ref="K112" ca="1">IFERROR(INDEX('VEH98 Data'!G$3:G$3508, SMALL(IF('VEH98 Data'!$AH$3:$AH$3508="TRUE", ROW('VEH98 Data'!G$3:G$3508)-ROW('VEH98 Data'!G$3)+1),ROWS('VEH98 Data'!G$3:'VEH98 Data'!G102))),"")</f>
        <v>Toyota</v>
      </c>
      <c r="L112" s="58" t="str">
        <f t="array" aca="1" ref="L112" ca="1">IFERROR(INDEX('VEH98 Data'!I$3:I$3508, SMALL(IF('VEH98 Data'!$AH$3:$AH$3508="TRUE", ROW('VEH98 Data'!I$3:I$3508)-ROW('VEH98 Data'!I$3)+1),ROWS('VEH98 Data'!I$3:'VEH98 Data'!I102))),"")</f>
        <v>RAV4</v>
      </c>
      <c r="M112" s="58" t="str">
        <f t="array" aca="1" ref="M112" ca="1">IFERROR(INDEX('VEH98 Data'!J$3:J$3508, SMALL(IF('VEH98 Data'!$AH$3:$AH$3508="TRUE", ROW('VEH98 Data'!J$3:J$3508)-ROW('VEH98 Data'!J$3)+1),ROWS('VEH98 Data'!J$3:'VEH98 Data'!J102))),"")</f>
        <v>Hybrid LE</v>
      </c>
      <c r="N112" s="58" t="str">
        <f t="array" aca="1" ref="N112" ca="1">IFERROR(INDEX('VEH98 Data'!K$3:K$3508, SMALL(IF('VEH98 Data'!$AH$3:$AH$3508="TRUE", ROW('VEH98 Data'!K$3:K$3508)-ROW('VEH98 Data'!K$3)+1),ROWS('VEH98 Data'!K$3:'VEH98 Data'!K102))),"")</f>
        <v>AWD</v>
      </c>
      <c r="O112" s="654" t="str">
        <f t="array" aca="1" ref="O112" ca="1">IFERROR(INDEX('VEH98 Data'!R$3:R$3508, SMALL(IF('VEH98 Data'!$AH$3:$AH$3508="TRUE", ROW('VEH98 Data'!R$3:R$3508)-ROW('VEH98 Data'!R$3)+1),ROWS('VEH98 Data'!R$3:'VEH98 Data'!R102))),"")</f>
        <v>2.5L</v>
      </c>
      <c r="P112" s="654">
        <f t="array" aca="1" ref="P112" ca="1">IFERROR(INDEX('VEH98 Data'!Y$3:Y$3508, SMALL(IF('VEH98 Data'!$AH$3:$AH$3508="TRUE", ROW('VEH98 Data'!Y$3:Y$3508)-ROW('VEH98 Data'!Y$3)+1),ROWS('VEH98 Data'!Y$3:'VEH98 Data'!Y102))),"")</f>
        <v>32</v>
      </c>
    </row>
    <row r="113" spans="1:16">
      <c r="B113" s="58"/>
      <c r="C113" s="58" t="str">
        <f t="array" aca="1" ref="C113" ca="1">IFERROR(INDEX('VEH98 Data'!G$3:G$3508, SMALL(IF('VEH98 Data'!$AG$3:$AG$3508="TRUE", ROW('VEH98 Data'!G$3:G$3508)-ROW('VEH98 Data'!G$3)+1),ROWS('VEH98 Data'!G$3:'VEH98 Data'!G101))),"")</f>
        <v/>
      </c>
      <c r="D113" s="58" t="str">
        <f t="array" aca="1" ref="D113" ca="1">IFERROR(INDEX('VEH98 Data'!I$3:I$3508, SMALL(IF('VEH98 Data'!$AG$3:$AG$3508="TRUE", ROW('VEH98 Data'!I$3:I$3508)-ROW('VEH98 Data'!I$3)+1),ROWS('VEH98 Data'!I$3:'VEH98 Data'!I101))),"")</f>
        <v/>
      </c>
      <c r="E113" s="58" t="str">
        <f t="array" aca="1" ref="E113" ca="1">IFERROR(INDEX('VEH98 Data'!J$3:J$3508, SMALL(IF('VEH98 Data'!$AG$3:$AG$3508="TRUE", ROW('VEH98 Data'!J$3:J$3508)-ROW('VEH98 Data'!J$3)+1),ROWS('VEH98 Data'!J$3:'VEH98 Data'!J101))),"")</f>
        <v/>
      </c>
      <c r="F113" s="58" t="str">
        <f t="array" aca="1" ref="F113" ca="1">IFERROR(INDEX('VEH98 Data'!K$3:K$3508, SMALL(IF('VEH98 Data'!$AG$3:$AG$3508="TRUE", ROW('VEH98 Data'!K$3:K$3508)-ROW('VEH98 Data'!K$3)+1),ROWS('VEH98 Data'!K$3:'VEH98 Data'!K101))),"")</f>
        <v/>
      </c>
      <c r="G113" s="654" t="str">
        <f t="array" aca="1" ref="G113" ca="1">IFERROR(INDEX('VEH98 Data'!R$3:R$3508, SMALL(IF('VEH98 Data'!$AG$3:$AG$3508="TRUE", ROW('VEH98 Data'!R$3:R$3508)-ROW('VEH98 Data'!R$3)+1),ROWS('VEH98 Data'!R$3:'VEH98 Data'!R101))),"")</f>
        <v/>
      </c>
      <c r="H113" s="654" t="str">
        <f t="array" aca="1" ref="H113" ca="1">IFERROR(INDEX('VEH98 Data'!Y$3:Y$3508, SMALL(IF('VEH98 Data'!$AG$3:$AG$3508="TRUE", ROW('VEH98 Data'!Y$3:Y$3508)-ROW('VEH98 Data'!Y$3)+1),ROWS('VEH98 Data'!Y$3:'VEH98 Data'!Y101))),"")</f>
        <v/>
      </c>
      <c r="I113" s="19"/>
      <c r="J113" s="652">
        <f t="array" aca="1" ref="J113" ca="1">IFERROR(INDEX('VEH98 Data'!H$3:H$3508, SMALL(IF('VEH98 Data'!$AH$3:$AH$3508="TRUE", ROW('VEH98 Data'!H$3:H$3508)-ROW('VEH98 Data'!H$3)+1),ROWS('VEH98 Data'!H$3:'VEH98 Data'!H103))),"")</f>
        <v>2019</v>
      </c>
      <c r="K113" s="652" t="str">
        <f t="array" aca="1" ref="K113" ca="1">IFERROR(INDEX('VEH98 Data'!G$3:G$3508, SMALL(IF('VEH98 Data'!$AH$3:$AH$3508="TRUE", ROW('VEH98 Data'!G$3:G$3508)-ROW('VEH98 Data'!G$3)+1),ROWS('VEH98 Data'!G$3:'VEH98 Data'!G103))),"")</f>
        <v>Toyota</v>
      </c>
      <c r="L113" s="652" t="str">
        <f t="array" aca="1" ref="L113" ca="1">IFERROR(INDEX('VEH98 Data'!I$3:I$3508, SMALL(IF('VEH98 Data'!$AH$3:$AH$3508="TRUE", ROW('VEH98 Data'!I$3:I$3508)-ROW('VEH98 Data'!I$3)+1),ROWS('VEH98 Data'!I$3:'VEH98 Data'!I103))),"")</f>
        <v>RAV4</v>
      </c>
      <c r="M113" s="652" t="str">
        <f t="array" aca="1" ref="M113" ca="1">IFERROR(INDEX('VEH98 Data'!J$3:J$3508, SMALL(IF('VEH98 Data'!$AH$3:$AH$3508="TRUE", ROW('VEH98 Data'!J$3:J$3508)-ROW('VEH98 Data'!J$3)+1),ROWS('VEH98 Data'!J$3:'VEH98 Data'!J103))),"")</f>
        <v>Hybrid XLE</v>
      </c>
      <c r="N113" s="652" t="str">
        <f t="array" aca="1" ref="N113" ca="1">IFERROR(INDEX('VEH98 Data'!K$3:K$3508, SMALL(IF('VEH98 Data'!$AH$3:$AH$3508="TRUE", ROW('VEH98 Data'!K$3:K$3508)-ROW('VEH98 Data'!K$3)+1),ROWS('VEH98 Data'!K$3:'VEH98 Data'!K103))),"")</f>
        <v>AWD</v>
      </c>
      <c r="O113" s="653" t="str">
        <f t="array" aca="1" ref="O113" ca="1">IFERROR(INDEX('VEH98 Data'!R$3:R$3508, SMALL(IF('VEH98 Data'!$AH$3:$AH$3508="TRUE", ROW('VEH98 Data'!R$3:R$3508)-ROW('VEH98 Data'!R$3)+1),ROWS('VEH98 Data'!R$3:'VEH98 Data'!R103))),"")</f>
        <v>2.5L</v>
      </c>
      <c r="P113" s="653">
        <f t="array" aca="1" ref="P113" ca="1">IFERROR(INDEX('VEH98 Data'!Y$3:Y$3508, SMALL(IF('VEH98 Data'!$AH$3:$AH$3508="TRUE", ROW('VEH98 Data'!Y$3:Y$3508)-ROW('VEH98 Data'!Y$3)+1),ROWS('VEH98 Data'!Y$3:'VEH98 Data'!Y103))),"")</f>
        <v>32</v>
      </c>
    </row>
    <row r="114" spans="1:16">
      <c r="B114" s="652"/>
      <c r="C114" s="652" t="str">
        <f t="array" aca="1" ref="C114" ca="1">IFERROR(INDEX('VEH98 Data'!G$3:G$3508, SMALL(IF('VEH98 Data'!$AG$3:$AG$3508="TRUE", ROW('VEH98 Data'!G$3:G$3508)-ROW('VEH98 Data'!G$3)+1),ROWS('VEH98 Data'!G$3:'VEH98 Data'!G102))),"")</f>
        <v/>
      </c>
      <c r="D114" s="652" t="str">
        <f t="array" aca="1" ref="D114" ca="1">IFERROR(INDEX('VEH98 Data'!I$3:I$3508, SMALL(IF('VEH98 Data'!$AG$3:$AG$3508="TRUE", ROW('VEH98 Data'!I$3:I$3508)-ROW('VEH98 Data'!I$3)+1),ROWS('VEH98 Data'!I$3:'VEH98 Data'!I102))),"")</f>
        <v/>
      </c>
      <c r="E114" s="652" t="str">
        <f t="array" aca="1" ref="E114" ca="1">IFERROR(INDEX('VEH98 Data'!J$3:J$3508, SMALL(IF('VEH98 Data'!$AG$3:$AG$3508="TRUE", ROW('VEH98 Data'!J$3:J$3508)-ROW('VEH98 Data'!J$3)+1),ROWS('VEH98 Data'!J$3:'VEH98 Data'!J102))),"")</f>
        <v/>
      </c>
      <c r="F114" s="652" t="str">
        <f t="array" aca="1" ref="F114" ca="1">IFERROR(INDEX('VEH98 Data'!K$3:K$3508, SMALL(IF('VEH98 Data'!$AG$3:$AG$3508="TRUE", ROW('VEH98 Data'!K$3:K$3508)-ROW('VEH98 Data'!K$3)+1),ROWS('VEH98 Data'!K$3:'VEH98 Data'!K102))),"")</f>
        <v/>
      </c>
      <c r="G114" s="653" t="str">
        <f t="array" aca="1" ref="G114" ca="1">IFERROR(INDEX('VEH98 Data'!R$3:R$3508, SMALL(IF('VEH98 Data'!$AG$3:$AG$3508="TRUE", ROW('VEH98 Data'!R$3:R$3508)-ROW('VEH98 Data'!R$3)+1),ROWS('VEH98 Data'!R$3:'VEH98 Data'!R102))),"")</f>
        <v/>
      </c>
      <c r="H114" s="653" t="str">
        <f t="array" aca="1" ref="H114" ca="1">IFERROR(INDEX('VEH98 Data'!Y$3:Y$3508, SMALL(IF('VEH98 Data'!$AG$3:$AG$3508="TRUE", ROW('VEH98 Data'!Y$3:Y$3508)-ROW('VEH98 Data'!Y$3)+1),ROWS('VEH98 Data'!Y$3:'VEH98 Data'!Y102))),"")</f>
        <v/>
      </c>
      <c r="I114" s="19"/>
      <c r="J114" s="58">
        <f t="array" aca="1" ref="J114" ca="1">IFERROR(INDEX('VEH98 Data'!H$3:H$3508, SMALL(IF('VEH98 Data'!$AH$3:$AH$3508="TRUE", ROW('VEH98 Data'!H$3:H$3508)-ROW('VEH98 Data'!H$3)+1),ROWS('VEH98 Data'!H$3:'VEH98 Data'!H104))),"")</f>
        <v>2019</v>
      </c>
      <c r="K114" s="58" t="str">
        <f t="array" aca="1" ref="K114" ca="1">IFERROR(INDEX('VEH98 Data'!G$3:G$3508, SMALL(IF('VEH98 Data'!$AH$3:$AH$3508="TRUE", ROW('VEH98 Data'!G$3:G$3508)-ROW('VEH98 Data'!G$3)+1),ROWS('VEH98 Data'!G$3:'VEH98 Data'!G104))),"")</f>
        <v>Toyota</v>
      </c>
      <c r="L114" s="58" t="str">
        <f t="array" aca="1" ref="L114" ca="1">IFERROR(INDEX('VEH98 Data'!I$3:I$3508, SMALL(IF('VEH98 Data'!$AH$3:$AH$3508="TRUE", ROW('VEH98 Data'!I$3:I$3508)-ROW('VEH98 Data'!I$3)+1),ROWS('VEH98 Data'!I$3:'VEH98 Data'!I104))),"")</f>
        <v>RAV4</v>
      </c>
      <c r="M114" s="58" t="str">
        <f t="array" aca="1" ref="M114" ca="1">IFERROR(INDEX('VEH98 Data'!J$3:J$3508, SMALL(IF('VEH98 Data'!$AH$3:$AH$3508="TRUE", ROW('VEH98 Data'!J$3:J$3508)-ROW('VEH98 Data'!J$3)+1),ROWS('VEH98 Data'!J$3:'VEH98 Data'!J104))),"")</f>
        <v>LE</v>
      </c>
      <c r="N114" s="58" t="str">
        <f t="array" aca="1" ref="N114" ca="1">IFERROR(INDEX('VEH98 Data'!K$3:K$3508, SMALL(IF('VEH98 Data'!$AH$3:$AH$3508="TRUE", ROW('VEH98 Data'!K$3:K$3508)-ROW('VEH98 Data'!K$3)+1),ROWS('VEH98 Data'!K$3:'VEH98 Data'!K104))),"")</f>
        <v>AWD</v>
      </c>
      <c r="O114" s="654" t="str">
        <f t="array" aca="1" ref="O114" ca="1">IFERROR(INDEX('VEH98 Data'!R$3:R$3508, SMALL(IF('VEH98 Data'!$AH$3:$AH$3508="TRUE", ROW('VEH98 Data'!R$3:R$3508)-ROW('VEH98 Data'!R$3)+1),ROWS('VEH98 Data'!R$3:'VEH98 Data'!R104))),"")</f>
        <v>2.5L</v>
      </c>
      <c r="P114" s="654">
        <f t="array" aca="1" ref="P114" ca="1">IFERROR(INDEX('VEH98 Data'!Y$3:Y$3508, SMALL(IF('VEH98 Data'!$AH$3:$AH$3508="TRUE", ROW('VEH98 Data'!Y$3:Y$3508)-ROW('VEH98 Data'!Y$3)+1),ROWS('VEH98 Data'!Y$3:'VEH98 Data'!Y104))),"")</f>
        <v>25</v>
      </c>
    </row>
    <row r="115" spans="1:16">
      <c r="B115" s="58"/>
      <c r="C115" s="58" t="str">
        <f t="array" aca="1" ref="C115" ca="1">IFERROR(INDEX('VEH98 Data'!G$3:G$3508, SMALL(IF('VEH98 Data'!$AG$3:$AG$3508="TRUE", ROW('VEH98 Data'!G$3:G$3508)-ROW('VEH98 Data'!G$3)+1),ROWS('VEH98 Data'!G$3:'VEH98 Data'!G103))),"")</f>
        <v/>
      </c>
      <c r="D115" s="58" t="str">
        <f t="array" aca="1" ref="D115" ca="1">IFERROR(INDEX('VEH98 Data'!I$3:I$3508, SMALL(IF('VEH98 Data'!$AG$3:$AG$3508="TRUE", ROW('VEH98 Data'!I$3:I$3508)-ROW('VEH98 Data'!I$3)+1),ROWS('VEH98 Data'!I$3:'VEH98 Data'!I103))),"")</f>
        <v/>
      </c>
      <c r="E115" s="58" t="str">
        <f t="array" aca="1" ref="E115" ca="1">IFERROR(INDEX('VEH98 Data'!J$3:J$3508, SMALL(IF('VEH98 Data'!$AG$3:$AG$3508="TRUE", ROW('VEH98 Data'!J$3:J$3508)-ROW('VEH98 Data'!J$3)+1),ROWS('VEH98 Data'!J$3:'VEH98 Data'!J103))),"")</f>
        <v/>
      </c>
      <c r="F115" s="58" t="str">
        <f t="array" aca="1" ref="F115" ca="1">IFERROR(INDEX('VEH98 Data'!K$3:K$3508, SMALL(IF('VEH98 Data'!$AG$3:$AG$3508="TRUE", ROW('VEH98 Data'!K$3:K$3508)-ROW('VEH98 Data'!K$3)+1),ROWS('VEH98 Data'!K$3:'VEH98 Data'!K103))),"")</f>
        <v/>
      </c>
      <c r="G115" s="654" t="str">
        <f t="array" aca="1" ref="G115" ca="1">IFERROR(INDEX('VEH98 Data'!R$3:R$3508, SMALL(IF('VEH98 Data'!$AG$3:$AG$3508="TRUE", ROW('VEH98 Data'!R$3:R$3508)-ROW('VEH98 Data'!R$3)+1),ROWS('VEH98 Data'!R$3:'VEH98 Data'!R103))),"")</f>
        <v/>
      </c>
      <c r="H115" s="654" t="str">
        <f t="array" aca="1" ref="H115" ca="1">IFERROR(INDEX('VEH98 Data'!Y$3:Y$3508, SMALL(IF('VEH98 Data'!$AG$3:$AG$3508="TRUE", ROW('VEH98 Data'!Y$3:Y$3508)-ROW('VEH98 Data'!Y$3)+1),ROWS('VEH98 Data'!Y$3:'VEH98 Data'!Y103))),"")</f>
        <v/>
      </c>
      <c r="I115" s="19"/>
      <c r="J115" s="652">
        <f t="array" aca="1" ref="J115" ca="1">IFERROR(INDEX('VEH98 Data'!H$3:H$3508, SMALL(IF('VEH98 Data'!$AH$3:$AH$3508="TRUE", ROW('VEH98 Data'!H$3:H$3508)-ROW('VEH98 Data'!H$3)+1),ROWS('VEH98 Data'!H$3:'VEH98 Data'!H105))),"")</f>
        <v>2019</v>
      </c>
      <c r="K115" s="652" t="str">
        <f t="array" aca="1" ref="K115" ca="1">IFERROR(INDEX('VEH98 Data'!G$3:G$3508, SMALL(IF('VEH98 Data'!$AH$3:$AH$3508="TRUE", ROW('VEH98 Data'!G$3:G$3508)-ROW('VEH98 Data'!G$3)+1),ROWS('VEH98 Data'!G$3:'VEH98 Data'!G105))),"")</f>
        <v>Toyota</v>
      </c>
      <c r="L115" s="652" t="str">
        <f t="array" aca="1" ref="L115" ca="1">IFERROR(INDEX('VEH98 Data'!I$3:I$3508, SMALL(IF('VEH98 Data'!$AH$3:$AH$3508="TRUE", ROW('VEH98 Data'!I$3:I$3508)-ROW('VEH98 Data'!I$3)+1),ROWS('VEH98 Data'!I$3:'VEH98 Data'!I105))),"")</f>
        <v>RAV4</v>
      </c>
      <c r="M115" s="652" t="str">
        <f t="array" aca="1" ref="M115" ca="1">IFERROR(INDEX('VEH98 Data'!J$3:J$3508, SMALL(IF('VEH98 Data'!$AH$3:$AH$3508="TRUE", ROW('VEH98 Data'!J$3:J$3508)-ROW('VEH98 Data'!J$3)+1),ROWS('VEH98 Data'!J$3:'VEH98 Data'!J105))),"")</f>
        <v>LE</v>
      </c>
      <c r="N115" s="652" t="str">
        <f t="array" aca="1" ref="N115" ca="1">IFERROR(INDEX('VEH98 Data'!K$3:K$3508, SMALL(IF('VEH98 Data'!$AH$3:$AH$3508="TRUE", ROW('VEH98 Data'!K$3:K$3508)-ROW('VEH98 Data'!K$3)+1),ROWS('VEH98 Data'!K$3:'VEH98 Data'!K105))),"")</f>
        <v>FWD</v>
      </c>
      <c r="O115" s="653" t="str">
        <f t="array" aca="1" ref="O115" ca="1">IFERROR(INDEX('VEH98 Data'!R$3:R$3508, SMALL(IF('VEH98 Data'!$AH$3:$AH$3508="TRUE", ROW('VEH98 Data'!R$3:R$3508)-ROW('VEH98 Data'!R$3)+1),ROWS('VEH98 Data'!R$3:'VEH98 Data'!R105))),"")</f>
        <v>2.5L</v>
      </c>
      <c r="P115" s="653">
        <f t="array" aca="1" ref="P115" ca="1">IFERROR(INDEX('VEH98 Data'!Y$3:Y$3508, SMALL(IF('VEH98 Data'!$AH$3:$AH$3508="TRUE", ROW('VEH98 Data'!Y$3:Y$3508)-ROW('VEH98 Data'!Y$3)+1),ROWS('VEH98 Data'!Y$3:'VEH98 Data'!Y105))),"")</f>
        <v>26</v>
      </c>
    </row>
    <row r="116" spans="1:16">
      <c r="B116" s="652"/>
      <c r="C116" s="652" t="str">
        <f t="array" aca="1" ref="C116" ca="1">IFERROR(INDEX('VEH98 Data'!G$3:G$3508, SMALL(IF('VEH98 Data'!$AG$3:$AG$3508="TRUE", ROW('VEH98 Data'!G$3:G$3508)-ROW('VEH98 Data'!G$3)+1),ROWS('VEH98 Data'!G$3:'VEH98 Data'!G104))),"")</f>
        <v/>
      </c>
      <c r="D116" s="652" t="str">
        <f t="array" aca="1" ref="D116" ca="1">IFERROR(INDEX('VEH98 Data'!I$3:I$3508, SMALL(IF('VEH98 Data'!$AG$3:$AG$3508="TRUE", ROW('VEH98 Data'!I$3:I$3508)-ROW('VEH98 Data'!I$3)+1),ROWS('VEH98 Data'!I$3:'VEH98 Data'!I104))),"")</f>
        <v/>
      </c>
      <c r="E116" s="652" t="str">
        <f t="array" aca="1" ref="E116" ca="1">IFERROR(INDEX('VEH98 Data'!J$3:J$3508, SMALL(IF('VEH98 Data'!$AG$3:$AG$3508="TRUE", ROW('VEH98 Data'!J$3:J$3508)-ROW('VEH98 Data'!J$3)+1),ROWS('VEH98 Data'!J$3:'VEH98 Data'!J104))),"")</f>
        <v/>
      </c>
      <c r="F116" s="652" t="str">
        <f t="array" aca="1" ref="F116" ca="1">IFERROR(INDEX('VEH98 Data'!K$3:K$3508, SMALL(IF('VEH98 Data'!$AG$3:$AG$3508="TRUE", ROW('VEH98 Data'!K$3:K$3508)-ROW('VEH98 Data'!K$3)+1),ROWS('VEH98 Data'!K$3:'VEH98 Data'!K104))),"")</f>
        <v/>
      </c>
      <c r="G116" s="653" t="str">
        <f t="array" aca="1" ref="G116" ca="1">IFERROR(INDEX('VEH98 Data'!R$3:R$3508, SMALL(IF('VEH98 Data'!$AG$3:$AG$3508="TRUE", ROW('VEH98 Data'!R$3:R$3508)-ROW('VEH98 Data'!R$3)+1),ROWS('VEH98 Data'!R$3:'VEH98 Data'!R104))),"")</f>
        <v/>
      </c>
      <c r="H116" s="653" t="str">
        <f t="array" aca="1" ref="H116" ca="1">IFERROR(INDEX('VEH98 Data'!Y$3:Y$3508, SMALL(IF('VEH98 Data'!$AG$3:$AG$3508="TRUE", ROW('VEH98 Data'!Y$3:Y$3508)-ROW('VEH98 Data'!Y$3)+1),ROWS('VEH98 Data'!Y$3:'VEH98 Data'!Y104))),"")</f>
        <v/>
      </c>
      <c r="I116" s="19"/>
      <c r="J116" s="58">
        <f t="array" aca="1" ref="J116" ca="1">IFERROR(INDEX('VEH98 Data'!H$3:H$3508, SMALL(IF('VEH98 Data'!$AH$3:$AH$3508="TRUE", ROW('VEH98 Data'!H$3:H$3508)-ROW('VEH98 Data'!H$3)+1),ROWS('VEH98 Data'!H$3:'VEH98 Data'!H106))),"")</f>
        <v>2019</v>
      </c>
      <c r="K116" s="58" t="str">
        <f t="array" aca="1" ref="K116" ca="1">IFERROR(INDEX('VEH98 Data'!G$3:G$3508, SMALL(IF('VEH98 Data'!$AH$3:$AH$3508="TRUE", ROW('VEH98 Data'!G$3:G$3508)-ROW('VEH98 Data'!G$3)+1),ROWS('VEH98 Data'!G$3:'VEH98 Data'!G106))),"")</f>
        <v>Chrysler</v>
      </c>
      <c r="L116" s="58" t="str">
        <f t="array" aca="1" ref="L116" ca="1">IFERROR(INDEX('VEH98 Data'!I$3:I$3508, SMALL(IF('VEH98 Data'!$AH$3:$AH$3508="TRUE", ROW('VEH98 Data'!I$3:I$3508)-ROW('VEH98 Data'!I$3)+1),ROWS('VEH98 Data'!I$3:'VEH98 Data'!I106))),"")</f>
        <v>Pacifica</v>
      </c>
      <c r="M116" s="58" t="str">
        <f t="array" aca="1" ref="M116" ca="1">IFERROR(INDEX('VEH98 Data'!J$3:J$3508, SMALL(IF('VEH98 Data'!$AH$3:$AH$3508="TRUE", ROW('VEH98 Data'!J$3:J$3508)-ROW('VEH98 Data'!J$3)+1),ROWS('VEH98 Data'!J$3:'VEH98 Data'!J106))),"")</f>
        <v>L</v>
      </c>
      <c r="N116" s="58" t="str">
        <f t="array" aca="1" ref="N116" ca="1">IFERROR(INDEX('VEH98 Data'!K$3:K$3508, SMALL(IF('VEH98 Data'!$AH$3:$AH$3508="TRUE", ROW('VEH98 Data'!K$3:K$3508)-ROW('VEH98 Data'!K$3)+1),ROWS('VEH98 Data'!K$3:'VEH98 Data'!K106))),"")</f>
        <v>FWD</v>
      </c>
      <c r="O116" s="654" t="str">
        <f t="array" aca="1" ref="O116" ca="1">IFERROR(INDEX('VEH98 Data'!R$3:R$3508, SMALL(IF('VEH98 Data'!$AH$3:$AH$3508="TRUE", ROW('VEH98 Data'!R$3:R$3508)-ROW('VEH98 Data'!R$3)+1),ROWS('VEH98 Data'!R$3:'VEH98 Data'!R106))),"")</f>
        <v>3.6L</v>
      </c>
      <c r="P116" s="654">
        <f t="array" aca="1" ref="P116" ca="1">IFERROR(INDEX('VEH98 Data'!Y$3:Y$3508, SMALL(IF('VEH98 Data'!$AH$3:$AH$3508="TRUE", ROW('VEH98 Data'!Y$3:Y$3508)-ROW('VEH98 Data'!Y$3)+1),ROWS('VEH98 Data'!Y$3:'VEH98 Data'!Y106))),"")</f>
        <v>22</v>
      </c>
    </row>
    <row r="117" spans="1:16">
      <c r="B117" s="58"/>
      <c r="C117" s="58" t="str">
        <f t="array" aca="1" ref="C117" ca="1">IFERROR(INDEX('VEH98 Data'!G$3:G$3508, SMALL(IF('VEH98 Data'!$AG$3:$AG$3508="TRUE", ROW('VEH98 Data'!G$3:G$3508)-ROW('VEH98 Data'!G$3)+1),ROWS('VEH98 Data'!G$3:'VEH98 Data'!G105))),"")</f>
        <v/>
      </c>
      <c r="D117" s="58" t="str">
        <f t="array" aca="1" ref="D117" ca="1">IFERROR(INDEX('VEH98 Data'!I$3:I$3508, SMALL(IF('VEH98 Data'!$AG$3:$AG$3508="TRUE", ROW('VEH98 Data'!I$3:I$3508)-ROW('VEH98 Data'!I$3)+1),ROWS('VEH98 Data'!I$3:'VEH98 Data'!I105))),"")</f>
        <v/>
      </c>
      <c r="E117" s="58" t="str">
        <f t="array" aca="1" ref="E117" ca="1">IFERROR(INDEX('VEH98 Data'!J$3:J$3508, SMALL(IF('VEH98 Data'!$AG$3:$AG$3508="TRUE", ROW('VEH98 Data'!J$3:J$3508)-ROW('VEH98 Data'!J$3)+1),ROWS('VEH98 Data'!J$3:'VEH98 Data'!J105))),"")</f>
        <v/>
      </c>
      <c r="F117" s="58" t="str">
        <f t="array" aca="1" ref="F117" ca="1">IFERROR(INDEX('VEH98 Data'!K$3:K$3508, SMALL(IF('VEH98 Data'!$AG$3:$AG$3508="TRUE", ROW('VEH98 Data'!K$3:K$3508)-ROW('VEH98 Data'!K$3)+1),ROWS('VEH98 Data'!K$3:'VEH98 Data'!K105))),"")</f>
        <v/>
      </c>
      <c r="G117" s="654" t="str">
        <f t="array" aca="1" ref="G117" ca="1">IFERROR(INDEX('VEH98 Data'!R$3:R$3508, SMALL(IF('VEH98 Data'!$AG$3:$AG$3508="TRUE", ROW('VEH98 Data'!R$3:R$3508)-ROW('VEH98 Data'!R$3)+1),ROWS('VEH98 Data'!R$3:'VEH98 Data'!R105))),"")</f>
        <v/>
      </c>
      <c r="H117" s="654" t="str">
        <f t="array" aca="1" ref="H117" ca="1">IFERROR(INDEX('VEH98 Data'!Y$3:Y$3508, SMALL(IF('VEH98 Data'!$AG$3:$AG$3508="TRUE", ROW('VEH98 Data'!Y$3:Y$3508)-ROW('VEH98 Data'!Y$3)+1),ROWS('VEH98 Data'!Y$3:'VEH98 Data'!Y105))),"")</f>
        <v/>
      </c>
      <c r="I117" s="19"/>
      <c r="J117" s="652">
        <f t="array" aca="1" ref="J117" ca="1">IFERROR(INDEX('VEH98 Data'!H$3:H$3508, SMALL(IF('VEH98 Data'!$AH$3:$AH$3508="TRUE", ROW('VEH98 Data'!H$3:H$3508)-ROW('VEH98 Data'!H$3)+1),ROWS('VEH98 Data'!H$3:'VEH98 Data'!H107))),"")</f>
        <v>2019</v>
      </c>
      <c r="K117" s="652" t="str">
        <f t="array" aca="1" ref="K117" ca="1">IFERROR(INDEX('VEH98 Data'!G$3:G$3508, SMALL(IF('VEH98 Data'!$AH$3:$AH$3508="TRUE", ROW('VEH98 Data'!G$3:G$3508)-ROW('VEH98 Data'!G$3)+1),ROWS('VEH98 Data'!G$3:'VEH98 Data'!G107))),"")</f>
        <v>Chrysler</v>
      </c>
      <c r="L117" s="652" t="str">
        <f t="array" aca="1" ref="L117" ca="1">IFERROR(INDEX('VEH98 Data'!I$3:I$3508, SMALL(IF('VEH98 Data'!$AH$3:$AH$3508="TRUE", ROW('VEH98 Data'!I$3:I$3508)-ROW('VEH98 Data'!I$3)+1),ROWS('VEH98 Data'!I$3:'VEH98 Data'!I107))),"")</f>
        <v>Pacifica</v>
      </c>
      <c r="M117" s="652" t="str">
        <f t="array" aca="1" ref="M117" ca="1">IFERROR(INDEX('VEH98 Data'!J$3:J$3508, SMALL(IF('VEH98 Data'!$AH$3:$AH$3508="TRUE", ROW('VEH98 Data'!J$3:J$3508)-ROW('VEH98 Data'!J$3)+1),ROWS('VEH98 Data'!J$3:'VEH98 Data'!J107))),"")</f>
        <v>LX</v>
      </c>
      <c r="N117" s="652" t="str">
        <f t="array" aca="1" ref="N117" ca="1">IFERROR(INDEX('VEH98 Data'!K$3:K$3508, SMALL(IF('VEH98 Data'!$AH$3:$AH$3508="TRUE", ROW('VEH98 Data'!K$3:K$3508)-ROW('VEH98 Data'!K$3)+1),ROWS('VEH98 Data'!K$3:'VEH98 Data'!K107))),"")</f>
        <v>FWD</v>
      </c>
      <c r="O117" s="653" t="str">
        <f t="array" aca="1" ref="O117" ca="1">IFERROR(INDEX('VEH98 Data'!R$3:R$3508, SMALL(IF('VEH98 Data'!$AH$3:$AH$3508="TRUE", ROW('VEH98 Data'!R$3:R$3508)-ROW('VEH98 Data'!R$3)+1),ROWS('VEH98 Data'!R$3:'VEH98 Data'!R107))),"")</f>
        <v>3.6L</v>
      </c>
      <c r="P117" s="653">
        <f t="array" aca="1" ref="P117" ca="1">IFERROR(INDEX('VEH98 Data'!Y$3:Y$3508, SMALL(IF('VEH98 Data'!$AH$3:$AH$3508="TRUE", ROW('VEH98 Data'!Y$3:Y$3508)-ROW('VEH98 Data'!Y$3)+1),ROWS('VEH98 Data'!Y$3:'VEH98 Data'!Y107))),"")</f>
        <v>22</v>
      </c>
    </row>
    <row r="118" spans="1:16">
      <c r="B118" s="652"/>
      <c r="C118" s="652" t="str">
        <f t="array" aca="1" ref="C118" ca="1">IFERROR(INDEX('VEH98 Data'!G$3:G$3508, SMALL(IF('VEH98 Data'!$AG$3:$AG$3508="TRUE", ROW('VEH98 Data'!G$3:G$3508)-ROW('VEH98 Data'!G$3)+1),ROWS('VEH98 Data'!G$3:'VEH98 Data'!G106))),"")</f>
        <v/>
      </c>
      <c r="D118" s="652" t="str">
        <f t="array" aca="1" ref="D118" ca="1">IFERROR(INDEX('VEH98 Data'!I$3:I$3508, SMALL(IF('VEH98 Data'!$AG$3:$AG$3508="TRUE", ROW('VEH98 Data'!I$3:I$3508)-ROW('VEH98 Data'!I$3)+1),ROWS('VEH98 Data'!I$3:'VEH98 Data'!I106))),"")</f>
        <v/>
      </c>
      <c r="E118" s="652" t="str">
        <f t="array" aca="1" ref="E118" ca="1">IFERROR(INDEX('VEH98 Data'!J$3:J$3508, SMALL(IF('VEH98 Data'!$AG$3:$AG$3508="TRUE", ROW('VEH98 Data'!J$3:J$3508)-ROW('VEH98 Data'!J$3)+1),ROWS('VEH98 Data'!J$3:'VEH98 Data'!J106))),"")</f>
        <v/>
      </c>
      <c r="F118" s="652" t="str">
        <f t="array" aca="1" ref="F118" ca="1">IFERROR(INDEX('VEH98 Data'!K$3:K$3508, SMALL(IF('VEH98 Data'!$AG$3:$AG$3508="TRUE", ROW('VEH98 Data'!K$3:K$3508)-ROW('VEH98 Data'!K$3)+1),ROWS('VEH98 Data'!K$3:'VEH98 Data'!K106))),"")</f>
        <v/>
      </c>
      <c r="G118" s="653" t="str">
        <f t="array" aca="1" ref="G118" ca="1">IFERROR(INDEX('VEH98 Data'!R$3:R$3508, SMALL(IF('VEH98 Data'!$AG$3:$AG$3508="TRUE", ROW('VEH98 Data'!R$3:R$3508)-ROW('VEH98 Data'!R$3)+1),ROWS('VEH98 Data'!R$3:'VEH98 Data'!R106))),"")</f>
        <v/>
      </c>
      <c r="H118" s="653" t="str">
        <f t="array" aca="1" ref="H118" ca="1">IFERROR(INDEX('VEH98 Data'!Y$3:Y$3508, SMALL(IF('VEH98 Data'!$AG$3:$AG$3508="TRUE", ROW('VEH98 Data'!Y$3:Y$3508)-ROW('VEH98 Data'!Y$3)+1),ROWS('VEH98 Data'!Y$3:'VEH98 Data'!Y106))),"")</f>
        <v/>
      </c>
      <c r="I118" s="19"/>
      <c r="J118" s="58">
        <f t="array" aca="1" ref="J118" ca="1">IFERROR(INDEX('VEH98 Data'!H$3:H$3508, SMALL(IF('VEH98 Data'!$AH$3:$AH$3508="TRUE", ROW('VEH98 Data'!H$3:H$3508)-ROW('VEH98 Data'!H$3)+1),ROWS('VEH98 Data'!H$3:'VEH98 Data'!H108))),"")</f>
        <v>2019</v>
      </c>
      <c r="K118" s="58" t="str">
        <f t="array" aca="1" ref="K118" ca="1">IFERROR(INDEX('VEH98 Data'!G$3:G$3508, SMALL(IF('VEH98 Data'!$AH$3:$AH$3508="TRUE", ROW('VEH98 Data'!G$3:G$3508)-ROW('VEH98 Data'!G$3)+1),ROWS('VEH98 Data'!G$3:'VEH98 Data'!G108))),"")</f>
        <v>Chrysler</v>
      </c>
      <c r="L118" s="58" t="str">
        <f t="array" aca="1" ref="L118" ca="1">IFERROR(INDEX('VEH98 Data'!I$3:I$3508, SMALL(IF('VEH98 Data'!$AH$3:$AH$3508="TRUE", ROW('VEH98 Data'!I$3:I$3508)-ROW('VEH98 Data'!I$3)+1),ROWS('VEH98 Data'!I$3:'VEH98 Data'!I108))),"")</f>
        <v>Pacifica</v>
      </c>
      <c r="M118" s="58" t="str">
        <f t="array" aca="1" ref="M118" ca="1">IFERROR(INDEX('VEH98 Data'!J$3:J$3508, SMALL(IF('VEH98 Data'!$AH$3:$AH$3508="TRUE", ROW('VEH98 Data'!J$3:J$3508)-ROW('VEH98 Data'!J$3)+1),ROWS('VEH98 Data'!J$3:'VEH98 Data'!J108))),"")</f>
        <v>Touring</v>
      </c>
      <c r="N118" s="58" t="str">
        <f t="array" aca="1" ref="N118" ca="1">IFERROR(INDEX('VEH98 Data'!K$3:K$3508, SMALL(IF('VEH98 Data'!$AH$3:$AH$3508="TRUE", ROW('VEH98 Data'!K$3:K$3508)-ROW('VEH98 Data'!K$3)+1),ROWS('VEH98 Data'!K$3:'VEH98 Data'!K108))),"")</f>
        <v>FWD</v>
      </c>
      <c r="O118" s="654" t="str">
        <f t="array" aca="1" ref="O118" ca="1">IFERROR(INDEX('VEH98 Data'!R$3:R$3508, SMALL(IF('VEH98 Data'!$AH$3:$AH$3508="TRUE", ROW('VEH98 Data'!R$3:R$3508)-ROW('VEH98 Data'!R$3)+1),ROWS('VEH98 Data'!R$3:'VEH98 Data'!R108))),"")</f>
        <v>3.6L</v>
      </c>
      <c r="P118" s="654">
        <f t="array" aca="1" ref="P118" ca="1">IFERROR(INDEX('VEH98 Data'!Y$3:Y$3508, SMALL(IF('VEH98 Data'!$AH$3:$AH$3508="TRUE", ROW('VEH98 Data'!Y$3:Y$3508)-ROW('VEH98 Data'!Y$3)+1),ROWS('VEH98 Data'!Y$3:'VEH98 Data'!Y108))),"")</f>
        <v>22</v>
      </c>
    </row>
    <row r="119" spans="1:16">
      <c r="A119" s="99"/>
      <c r="B119" s="58"/>
      <c r="C119" s="58" t="str">
        <f t="array" aca="1" ref="C119" ca="1">IFERROR(INDEX('VEH98 Data'!G$3:G$3508, SMALL(IF('VEH98 Data'!$AG$3:$AG$3508="TRUE", ROW('VEH98 Data'!G$3:G$3508)-ROW('VEH98 Data'!G$3)+1),ROWS('VEH98 Data'!G$3:'VEH98 Data'!G107))),"")</f>
        <v/>
      </c>
      <c r="D119" s="58" t="str">
        <f t="array" aca="1" ref="D119" ca="1">IFERROR(INDEX('VEH98 Data'!I$3:I$3508, SMALL(IF('VEH98 Data'!$AG$3:$AG$3508="TRUE", ROW('VEH98 Data'!I$3:I$3508)-ROW('VEH98 Data'!I$3)+1),ROWS('VEH98 Data'!I$3:'VEH98 Data'!I107))),"")</f>
        <v/>
      </c>
      <c r="E119" s="58" t="str">
        <f t="array" aca="1" ref="E119" ca="1">IFERROR(INDEX('VEH98 Data'!J$3:J$3508, SMALL(IF('VEH98 Data'!$AG$3:$AG$3508="TRUE", ROW('VEH98 Data'!J$3:J$3508)-ROW('VEH98 Data'!J$3)+1),ROWS('VEH98 Data'!J$3:'VEH98 Data'!J107))),"")</f>
        <v/>
      </c>
      <c r="F119" s="58" t="str">
        <f t="array" aca="1" ref="F119" ca="1">IFERROR(INDEX('VEH98 Data'!K$3:K$3508, SMALL(IF('VEH98 Data'!$AG$3:$AG$3508="TRUE", ROW('VEH98 Data'!K$3:K$3508)-ROW('VEH98 Data'!K$3)+1),ROWS('VEH98 Data'!K$3:'VEH98 Data'!K107))),"")</f>
        <v/>
      </c>
      <c r="G119" s="654" t="str">
        <f t="array" aca="1" ref="G119" ca="1">IFERROR(INDEX('VEH98 Data'!R$3:R$3508, SMALL(IF('VEH98 Data'!$AG$3:$AG$3508="TRUE", ROW('VEH98 Data'!R$3:R$3508)-ROW('VEH98 Data'!R$3)+1),ROWS('VEH98 Data'!R$3:'VEH98 Data'!R107))),"")</f>
        <v/>
      </c>
      <c r="H119" s="654" t="str">
        <f t="array" aca="1" ref="H119" ca="1">IFERROR(INDEX('VEH98 Data'!Y$3:Y$3508, SMALL(IF('VEH98 Data'!$AG$3:$AG$3508="TRUE", ROW('VEH98 Data'!Y$3:Y$3508)-ROW('VEH98 Data'!Y$3)+1),ROWS('VEH98 Data'!Y$3:'VEH98 Data'!Y107))),"")</f>
        <v/>
      </c>
      <c r="I119" s="19"/>
      <c r="J119" s="652">
        <f t="array" aca="1" ref="J119" ca="1">IFERROR(INDEX('VEH98 Data'!H$3:H$3508, SMALL(IF('VEH98 Data'!$AH$3:$AH$3508="TRUE", ROW('VEH98 Data'!H$3:H$3508)-ROW('VEH98 Data'!H$3)+1),ROWS('VEH98 Data'!H$3:'VEH98 Data'!H109))),"")</f>
        <v>2019</v>
      </c>
      <c r="K119" s="652" t="str">
        <f t="array" aca="1" ref="K119" ca="1">IFERROR(INDEX('VEH98 Data'!G$3:G$3508, SMALL(IF('VEH98 Data'!$AH$3:$AH$3508="TRUE", ROW('VEH98 Data'!G$3:G$3508)-ROW('VEH98 Data'!G$3)+1),ROWS('VEH98 Data'!G$3:'VEH98 Data'!G109))),"")</f>
        <v>Chrysler</v>
      </c>
      <c r="L119" s="652" t="str">
        <f t="array" aca="1" ref="L119" ca="1">IFERROR(INDEX('VEH98 Data'!I$3:I$3508, SMALL(IF('VEH98 Data'!$AH$3:$AH$3508="TRUE", ROW('VEH98 Data'!I$3:I$3508)-ROW('VEH98 Data'!I$3)+1),ROWS('VEH98 Data'!I$3:'VEH98 Data'!I109))),"")</f>
        <v>Pacifica</v>
      </c>
      <c r="M119" s="652" t="str">
        <f t="array" aca="1" ref="M119" ca="1">IFERROR(INDEX('VEH98 Data'!J$3:J$3508, SMALL(IF('VEH98 Data'!$AH$3:$AH$3508="TRUE", ROW('VEH98 Data'!J$3:J$3508)-ROW('VEH98 Data'!J$3)+1),ROWS('VEH98 Data'!J$3:'VEH98 Data'!J109))),"")</f>
        <v>Touring L Hybrid (PHEV)</v>
      </c>
      <c r="N119" s="652" t="str">
        <f t="array" aca="1" ref="N119" ca="1">IFERROR(INDEX('VEH98 Data'!K$3:K$3508, SMALL(IF('VEH98 Data'!$AH$3:$AH$3508="TRUE", ROW('VEH98 Data'!K$3:K$3508)-ROW('VEH98 Data'!K$3)+1),ROWS('VEH98 Data'!K$3:'VEH98 Data'!K109))),"")</f>
        <v>FWD</v>
      </c>
      <c r="O119" s="653" t="str">
        <f t="array" aca="1" ref="O119" ca="1">IFERROR(INDEX('VEH98 Data'!R$3:R$3508, SMALL(IF('VEH98 Data'!$AH$3:$AH$3508="TRUE", ROW('VEH98 Data'!R$3:R$3508)-ROW('VEH98 Data'!R$3)+1),ROWS('VEH98 Data'!R$3:'VEH98 Data'!R109))),"")</f>
        <v>3.6L</v>
      </c>
      <c r="P119" s="653">
        <f t="array" aca="1" ref="P119" ca="1">IFERROR(INDEX('VEH98 Data'!Y$3:Y$3508, SMALL(IF('VEH98 Data'!$AH$3:$AH$3508="TRUE", ROW('VEH98 Data'!Y$3:Y$3508)-ROW('VEH98 Data'!Y$3)+1),ROWS('VEH98 Data'!Y$3:'VEH98 Data'!Y109))),"")</f>
        <v>84</v>
      </c>
    </row>
    <row r="120" spans="1:16">
      <c r="A120" s="99"/>
      <c r="B120" s="652"/>
      <c r="C120" s="652" t="str">
        <f t="array" aca="1" ref="C120" ca="1">IFERROR(INDEX('VEH98 Data'!G$3:G$3508, SMALL(IF('VEH98 Data'!$AG$3:$AG$3508="TRUE", ROW('VEH98 Data'!G$3:G$3508)-ROW('VEH98 Data'!G$3)+1),ROWS('VEH98 Data'!G$3:'VEH98 Data'!G108))),"")</f>
        <v/>
      </c>
      <c r="D120" s="652" t="str">
        <f t="array" aca="1" ref="D120" ca="1">IFERROR(INDEX('VEH98 Data'!I$3:I$3508, SMALL(IF('VEH98 Data'!$AG$3:$AG$3508="TRUE", ROW('VEH98 Data'!I$3:I$3508)-ROW('VEH98 Data'!I$3)+1),ROWS('VEH98 Data'!I$3:'VEH98 Data'!I108))),"")</f>
        <v/>
      </c>
      <c r="E120" s="652" t="str">
        <f t="array" aca="1" ref="E120" ca="1">IFERROR(INDEX('VEH98 Data'!J$3:J$3508, SMALL(IF('VEH98 Data'!$AG$3:$AG$3508="TRUE", ROW('VEH98 Data'!J$3:J$3508)-ROW('VEH98 Data'!J$3)+1),ROWS('VEH98 Data'!J$3:'VEH98 Data'!J108))),"")</f>
        <v/>
      </c>
      <c r="F120" s="652" t="str">
        <f t="array" aca="1" ref="F120" ca="1">IFERROR(INDEX('VEH98 Data'!K$3:K$3508, SMALL(IF('VEH98 Data'!$AG$3:$AG$3508="TRUE", ROW('VEH98 Data'!K$3:K$3508)-ROW('VEH98 Data'!K$3)+1),ROWS('VEH98 Data'!K$3:'VEH98 Data'!K108))),"")</f>
        <v/>
      </c>
      <c r="G120" s="653" t="str">
        <f t="array" aca="1" ref="G120" ca="1">IFERROR(INDEX('VEH98 Data'!R$3:R$3508, SMALL(IF('VEH98 Data'!$AG$3:$AG$3508="TRUE", ROW('VEH98 Data'!R$3:R$3508)-ROW('VEH98 Data'!R$3)+1),ROWS('VEH98 Data'!R$3:'VEH98 Data'!R108))),"")</f>
        <v/>
      </c>
      <c r="H120" s="653" t="str">
        <f t="array" aca="1" ref="H120" ca="1">IFERROR(INDEX('VEH98 Data'!Y$3:Y$3508, SMALL(IF('VEH98 Data'!$AG$3:$AG$3508="TRUE", ROW('VEH98 Data'!Y$3:Y$3508)-ROW('VEH98 Data'!Y$3)+1),ROWS('VEH98 Data'!Y$3:'VEH98 Data'!Y108))),"")</f>
        <v/>
      </c>
      <c r="I120" s="19"/>
      <c r="J120" s="58">
        <f t="array" aca="1" ref="J120" ca="1">IFERROR(INDEX('VEH98 Data'!H$3:H$3508, SMALL(IF('VEH98 Data'!$AH$3:$AH$3508="TRUE", ROW('VEH98 Data'!H$3:H$3508)-ROW('VEH98 Data'!H$3)+1),ROWS('VEH98 Data'!H$3:'VEH98 Data'!H110))),"")</f>
        <v>2019</v>
      </c>
      <c r="K120" s="58" t="str">
        <f t="array" aca="1" ref="K120" ca="1">IFERROR(INDEX('VEH98 Data'!G$3:G$3508, SMALL(IF('VEH98 Data'!$AH$3:$AH$3508="TRUE", ROW('VEH98 Data'!G$3:G$3508)-ROW('VEH98 Data'!G$3)+1),ROWS('VEH98 Data'!G$3:'VEH98 Data'!G110))),"")</f>
        <v>Chrysler</v>
      </c>
      <c r="L120" s="58" t="str">
        <f t="array" aca="1" ref="L120" ca="1">IFERROR(INDEX('VEH98 Data'!I$3:I$3508, SMALL(IF('VEH98 Data'!$AH$3:$AH$3508="TRUE", ROW('VEH98 Data'!I$3:I$3508)-ROW('VEH98 Data'!I$3)+1),ROWS('VEH98 Data'!I$3:'VEH98 Data'!I110))),"")</f>
        <v>Pacifica</v>
      </c>
      <c r="M120" s="58" t="str">
        <f t="array" aca="1" ref="M120" ca="1">IFERROR(INDEX('VEH98 Data'!J$3:J$3508, SMALL(IF('VEH98 Data'!$AH$3:$AH$3508="TRUE", ROW('VEH98 Data'!J$3:J$3508)-ROW('VEH98 Data'!J$3)+1),ROWS('VEH98 Data'!J$3:'VEH98 Data'!J110))),"")</f>
        <v>Touring Plus Hybrid (PHEV)</v>
      </c>
      <c r="N120" s="58" t="str">
        <f t="array" aca="1" ref="N120" ca="1">IFERROR(INDEX('VEH98 Data'!K$3:K$3508, SMALL(IF('VEH98 Data'!$AH$3:$AH$3508="TRUE", ROW('VEH98 Data'!K$3:K$3508)-ROW('VEH98 Data'!K$3)+1),ROWS('VEH98 Data'!K$3:'VEH98 Data'!K110))),"")</f>
        <v>FWD</v>
      </c>
      <c r="O120" s="654" t="str">
        <f t="array" aca="1" ref="O120" ca="1">IFERROR(INDEX('VEH98 Data'!R$3:R$3508, SMALL(IF('VEH98 Data'!$AH$3:$AH$3508="TRUE", ROW('VEH98 Data'!R$3:R$3508)-ROW('VEH98 Data'!R$3)+1),ROWS('VEH98 Data'!R$3:'VEH98 Data'!R110))),"")</f>
        <v>3.6L</v>
      </c>
      <c r="P120" s="654">
        <f t="array" aca="1" ref="P120" ca="1">IFERROR(INDEX('VEH98 Data'!Y$3:Y$3508, SMALL(IF('VEH98 Data'!$AH$3:$AH$3508="TRUE", ROW('VEH98 Data'!Y$3:Y$3508)-ROW('VEH98 Data'!Y$3)+1),ROWS('VEH98 Data'!Y$3:'VEH98 Data'!Y110))),"")</f>
        <v>84</v>
      </c>
    </row>
    <row r="121" spans="1:16">
      <c r="A121" s="99"/>
      <c r="B121" s="58"/>
      <c r="C121" s="58" t="str">
        <f t="array" aca="1" ref="C121" ca="1">IFERROR(INDEX('VEH98 Data'!G$3:G$3508, SMALL(IF('VEH98 Data'!$AG$3:$AG$3508="TRUE", ROW('VEH98 Data'!G$3:G$3508)-ROW('VEH98 Data'!G$3)+1),ROWS('VEH98 Data'!G$3:'VEH98 Data'!G109))),"")</f>
        <v/>
      </c>
      <c r="D121" s="58" t="str">
        <f t="array" aca="1" ref="D121" ca="1">IFERROR(INDEX('VEH98 Data'!I$3:I$3508, SMALL(IF('VEH98 Data'!$AG$3:$AG$3508="TRUE", ROW('VEH98 Data'!I$3:I$3508)-ROW('VEH98 Data'!I$3)+1),ROWS('VEH98 Data'!I$3:'VEH98 Data'!I109))),"")</f>
        <v/>
      </c>
      <c r="E121" s="58" t="str">
        <f t="array" aca="1" ref="E121" ca="1">IFERROR(INDEX('VEH98 Data'!J$3:J$3508, SMALL(IF('VEH98 Data'!$AG$3:$AG$3508="TRUE", ROW('VEH98 Data'!J$3:J$3508)-ROW('VEH98 Data'!J$3)+1),ROWS('VEH98 Data'!J$3:'VEH98 Data'!J109))),"")</f>
        <v/>
      </c>
      <c r="F121" s="58" t="str">
        <f t="array" aca="1" ref="F121" ca="1">IFERROR(INDEX('VEH98 Data'!K$3:K$3508, SMALL(IF('VEH98 Data'!$AG$3:$AG$3508="TRUE", ROW('VEH98 Data'!K$3:K$3508)-ROW('VEH98 Data'!K$3)+1),ROWS('VEH98 Data'!K$3:'VEH98 Data'!K109))),"")</f>
        <v/>
      </c>
      <c r="G121" s="654" t="str">
        <f t="array" aca="1" ref="G121" ca="1">IFERROR(INDEX('VEH98 Data'!R$3:R$3508, SMALL(IF('VEH98 Data'!$AG$3:$AG$3508="TRUE", ROW('VEH98 Data'!R$3:R$3508)-ROW('VEH98 Data'!R$3)+1),ROWS('VEH98 Data'!R$3:'VEH98 Data'!R109))),"")</f>
        <v/>
      </c>
      <c r="H121" s="654" t="str">
        <f t="array" aca="1" ref="H121" ca="1">IFERROR(INDEX('VEH98 Data'!Y$3:Y$3508, SMALL(IF('VEH98 Data'!$AG$3:$AG$3508="TRUE", ROW('VEH98 Data'!Y$3:Y$3508)-ROW('VEH98 Data'!Y$3)+1),ROWS('VEH98 Data'!Y$3:'VEH98 Data'!Y109))),"")</f>
        <v/>
      </c>
      <c r="I121" s="19"/>
      <c r="J121" s="652">
        <f t="array" aca="1" ref="J121" ca="1">IFERROR(INDEX('VEH98 Data'!H$3:H$3508, SMALL(IF('VEH98 Data'!$AH$3:$AH$3508="TRUE", ROW('VEH98 Data'!H$3:H$3508)-ROW('VEH98 Data'!H$3)+1),ROWS('VEH98 Data'!H$3:'VEH98 Data'!H215))),"")</f>
        <v>2019</v>
      </c>
      <c r="K121" s="652" t="str">
        <f t="array" aca="1" ref="K121" ca="1">IFERROR(INDEX('VEH98 Data'!G$3:G$3508, SMALL(IF('VEH98 Data'!$AH$3:$AH$3508="TRUE", ROW('VEH98 Data'!G$3:G$3508)-ROW('VEH98 Data'!G$3)+1),ROWS('VEH98 Data'!G$3:'VEH98 Data'!G215))),"")</f>
        <v>Ford</v>
      </c>
      <c r="L121" s="652" t="str">
        <f t="array" aca="1" ref="L121" ca="1">IFERROR(INDEX('VEH98 Data'!I$3:I$3508, SMALL(IF('VEH98 Data'!$AH$3:$AH$3508="TRUE", ROW('VEH98 Data'!I$3:I$3508)-ROW('VEH98 Data'!I$3)+1),ROWS('VEH98 Data'!I$3:'VEH98 Data'!I215))),"")</f>
        <v>Transit Connect Van</v>
      </c>
      <c r="M121" s="652" t="str">
        <f t="array" aca="1" ref="M121" ca="1">IFERROR(INDEX('VEH98 Data'!J$3:J$3508, SMALL(IF('VEH98 Data'!$AH$3:$AH$3508="TRUE", ROW('VEH98 Data'!J$3:J$3508)-ROW('VEH98 Data'!J$3)+1),ROWS('VEH98 Data'!J$3:'VEH98 Data'!J215))),"")</f>
        <v>XLT w/Symmetrical Rear Drs</v>
      </c>
      <c r="N121" s="652" t="str">
        <f t="array" aca="1" ref="N121" ca="1">IFERROR(INDEX('VEH98 Data'!K$3:K$3508, SMALL(IF('VEH98 Data'!$AH$3:$AH$3508="TRUE", ROW('VEH98 Data'!K$3:K$3508)-ROW('VEH98 Data'!K$3)+1),ROWS('VEH98 Data'!K$3:'VEH98 Data'!K215))),"")</f>
        <v>FWD</v>
      </c>
      <c r="O121" s="653" t="str">
        <f t="array" aca="1" ref="O121" ca="1">IFERROR(INDEX('VEH98 Data'!R$3:R$3508, SMALL(IF('VEH98 Data'!$AH$3:$AH$3508="TRUE", ROW('VEH98 Data'!R$3:R$3508)-ROW('VEH98 Data'!R$3)+1),ROWS('VEH98 Data'!R$3:'VEH98 Data'!R215))),"")</f>
        <v>2.5L/CNG Prep</v>
      </c>
      <c r="P121" s="653">
        <f t="array" aca="1" ref="P121" ca="1">IFERROR(INDEX('VEH98 Data'!Y$3:Y$3508, SMALL(IF('VEH98 Data'!$AH$3:$AH$3508="TRUE", ROW('VEH98 Data'!Y$3:Y$3508)-ROW('VEH98 Data'!Y$3)+1),ROWS('VEH98 Data'!Y$3:'VEH98 Data'!Y215))),"")</f>
        <v>24</v>
      </c>
    </row>
    <row r="122" spans="1:16">
      <c r="A122" s="99"/>
      <c r="B122" s="652"/>
      <c r="C122" s="652" t="str">
        <f t="array" aca="1" ref="C122" ca="1">IFERROR(INDEX('VEH98 Data'!G$3:G$3508, SMALL(IF('VEH98 Data'!$AG$3:$AG$3508="TRUE", ROW('VEH98 Data'!G$3:G$3508)-ROW('VEH98 Data'!G$3)+1),ROWS('VEH98 Data'!G$3:'VEH98 Data'!G110))),"")</f>
        <v/>
      </c>
      <c r="D122" s="652" t="str">
        <f t="array" aca="1" ref="D122" ca="1">IFERROR(INDEX('VEH98 Data'!I$3:I$3508, SMALL(IF('VEH98 Data'!$AG$3:$AG$3508="TRUE", ROW('VEH98 Data'!I$3:I$3508)-ROW('VEH98 Data'!I$3)+1),ROWS('VEH98 Data'!I$3:'VEH98 Data'!I110))),"")</f>
        <v/>
      </c>
      <c r="E122" s="652" t="str">
        <f t="array" aca="1" ref="E122" ca="1">IFERROR(INDEX('VEH98 Data'!J$3:J$3508, SMALL(IF('VEH98 Data'!$AG$3:$AG$3508="TRUE", ROW('VEH98 Data'!J$3:J$3508)-ROW('VEH98 Data'!J$3)+1),ROWS('VEH98 Data'!J$3:'VEH98 Data'!J110))),"")</f>
        <v/>
      </c>
      <c r="F122" s="652" t="str">
        <f t="array" aca="1" ref="F122" ca="1">IFERROR(INDEX('VEH98 Data'!K$3:K$3508, SMALL(IF('VEH98 Data'!$AG$3:$AG$3508="TRUE", ROW('VEH98 Data'!K$3:K$3508)-ROW('VEH98 Data'!K$3)+1),ROWS('VEH98 Data'!K$3:'VEH98 Data'!K110))),"")</f>
        <v/>
      </c>
      <c r="G122" s="653" t="str">
        <f t="array" aca="1" ref="G122" ca="1">IFERROR(INDEX('VEH98 Data'!R$3:R$3508, SMALL(IF('VEH98 Data'!$AG$3:$AG$3508="TRUE", ROW('VEH98 Data'!R$3:R$3508)-ROW('VEH98 Data'!R$3)+1),ROWS('VEH98 Data'!R$3:'VEH98 Data'!R110))),"")</f>
        <v/>
      </c>
      <c r="H122" s="653" t="str">
        <f t="array" aca="1" ref="H122" ca="1">IFERROR(INDEX('VEH98 Data'!Y$3:Y$3508, SMALL(IF('VEH98 Data'!$AG$3:$AG$3508="TRUE", ROW('VEH98 Data'!Y$3:Y$3508)-ROW('VEH98 Data'!Y$3)+1),ROWS('VEH98 Data'!Y$3:'VEH98 Data'!Y110))),"")</f>
        <v/>
      </c>
      <c r="I122" s="19"/>
      <c r="J122" s="58">
        <f t="array" aca="1" ref="J122" ca="1">IFERROR(INDEX('VEH98 Data'!H$3:H$3508, SMALL(IF('VEH98 Data'!$AH$3:$AH$3508="TRUE", ROW('VEH98 Data'!H$3:H$3508)-ROW('VEH98 Data'!H$3)+1),ROWS('VEH98 Data'!H$3:'VEH98 Data'!H216))),"")</f>
        <v>2019</v>
      </c>
      <c r="K122" s="58" t="str">
        <f t="array" aca="1" ref="K122" ca="1">IFERROR(INDEX('VEH98 Data'!G$3:G$3508, SMALL(IF('VEH98 Data'!$AH$3:$AH$3508="TRUE", ROW('VEH98 Data'!G$3:G$3508)-ROW('VEH98 Data'!G$3)+1),ROWS('VEH98 Data'!G$3:'VEH98 Data'!G216))),"")</f>
        <v>Ford</v>
      </c>
      <c r="L122" s="58" t="str">
        <f t="array" aca="1" ref="L122" ca="1">IFERROR(INDEX('VEH98 Data'!I$3:I$3508, SMALL(IF('VEH98 Data'!$AH$3:$AH$3508="TRUE", ROW('VEH98 Data'!I$3:I$3508)-ROW('VEH98 Data'!I$3)+1),ROWS('VEH98 Data'!I$3:'VEH98 Data'!I216))),"")</f>
        <v>Transit Connect Wagon</v>
      </c>
      <c r="M122" s="58" t="str">
        <f t="array" aca="1" ref="M122" ca="1">IFERROR(INDEX('VEH98 Data'!J$3:J$3508, SMALL(IF('VEH98 Data'!$AH$3:$AH$3508="TRUE", ROW('VEH98 Data'!J$3:J$3508)-ROW('VEH98 Data'!J$3)+1),ROWS('VEH98 Data'!J$3:'VEH98 Data'!J216))),"")</f>
        <v>Titanium</v>
      </c>
      <c r="N122" s="58" t="str">
        <f t="array" aca="1" ref="N122" ca="1">IFERROR(INDEX('VEH98 Data'!K$3:K$3508, SMALL(IF('VEH98 Data'!$AH$3:$AH$3508="TRUE", ROW('VEH98 Data'!K$3:K$3508)-ROW('VEH98 Data'!K$3)+1),ROWS('VEH98 Data'!K$3:'VEH98 Data'!K216))),"")</f>
        <v>FWD</v>
      </c>
      <c r="O122" s="654" t="str">
        <f t="array" aca="1" ref="O122" ca="1">IFERROR(INDEX('VEH98 Data'!R$3:R$3508, SMALL(IF('VEH98 Data'!$AH$3:$AH$3508="TRUE", ROW('VEH98 Data'!R$3:R$3508)-ROW('VEH98 Data'!R$3)+1),ROWS('VEH98 Data'!R$3:'VEH98 Data'!R216))),"")</f>
        <v>2.5L</v>
      </c>
      <c r="P122" s="654">
        <f t="array" aca="1" ref="P122" ca="1">IFERROR(INDEX('VEH98 Data'!Y$3:Y$3508, SMALL(IF('VEH98 Data'!$AH$3:$AH$3508="TRUE", ROW('VEH98 Data'!Y$3:Y$3508)-ROW('VEH98 Data'!Y$3)+1),ROWS('VEH98 Data'!Y$3:'VEH98 Data'!Y216))),"")</f>
        <v>24</v>
      </c>
    </row>
    <row r="123" spans="1:16">
      <c r="A123" s="99"/>
      <c r="B123" s="58"/>
      <c r="C123" s="58" t="str">
        <f t="array" aca="1" ref="C123" ca="1">IFERROR(INDEX('VEH98 Data'!G$3:G$3508, SMALL(IF('VEH98 Data'!$AG$3:$AG$3508="TRUE", ROW('VEH98 Data'!G$3:G$3508)-ROW('VEH98 Data'!G$3)+1),ROWS('VEH98 Data'!G$3:'VEH98 Data'!G111))),"")</f>
        <v/>
      </c>
      <c r="D123" s="58" t="str">
        <f t="array" aca="1" ref="D123" ca="1">IFERROR(INDEX('VEH98 Data'!I$3:I$3508, SMALL(IF('VEH98 Data'!$AG$3:$AG$3508="TRUE", ROW('VEH98 Data'!I$3:I$3508)-ROW('VEH98 Data'!I$3)+1),ROWS('VEH98 Data'!I$3:'VEH98 Data'!I111))),"")</f>
        <v/>
      </c>
      <c r="E123" s="58" t="str">
        <f t="array" aca="1" ref="E123" ca="1">IFERROR(INDEX('VEH98 Data'!J$3:J$3508, SMALL(IF('VEH98 Data'!$AG$3:$AG$3508="TRUE", ROW('VEH98 Data'!J$3:J$3508)-ROW('VEH98 Data'!J$3)+1),ROWS('VEH98 Data'!J$3:'VEH98 Data'!J111))),"")</f>
        <v/>
      </c>
      <c r="F123" s="58" t="str">
        <f t="array" aca="1" ref="F123" ca="1">IFERROR(INDEX('VEH98 Data'!K$3:K$3508, SMALL(IF('VEH98 Data'!$AG$3:$AG$3508="TRUE", ROW('VEH98 Data'!K$3:K$3508)-ROW('VEH98 Data'!K$3)+1),ROWS('VEH98 Data'!K$3:'VEH98 Data'!K111))),"")</f>
        <v/>
      </c>
      <c r="G123" s="654" t="str">
        <f t="array" aca="1" ref="G123" ca="1">IFERROR(INDEX('VEH98 Data'!R$3:R$3508, SMALL(IF('VEH98 Data'!$AG$3:$AG$3508="TRUE", ROW('VEH98 Data'!R$3:R$3508)-ROW('VEH98 Data'!R$3)+1),ROWS('VEH98 Data'!R$3:'VEH98 Data'!R111))),"")</f>
        <v/>
      </c>
      <c r="H123" s="654" t="str">
        <f t="array" aca="1" ref="H123" ca="1">IFERROR(INDEX('VEH98 Data'!Y$3:Y$3508, SMALL(IF('VEH98 Data'!$AG$3:$AG$3508="TRUE", ROW('VEH98 Data'!Y$3:Y$3508)-ROW('VEH98 Data'!Y$3)+1),ROWS('VEH98 Data'!Y$3:'VEH98 Data'!Y111))),"")</f>
        <v/>
      </c>
      <c r="I123" s="19"/>
      <c r="J123" s="652">
        <f t="array" aca="1" ref="J123" ca="1">IFERROR(INDEX('VEH98 Data'!H$3:H$3508, SMALL(IF('VEH98 Data'!$AH$3:$AH$3508="TRUE", ROW('VEH98 Data'!H$3:H$3508)-ROW('VEH98 Data'!H$3)+1),ROWS('VEH98 Data'!H$3:'VEH98 Data'!H217))),"")</f>
        <v>2019</v>
      </c>
      <c r="K123" s="652" t="str">
        <f t="array" aca="1" ref="K123" ca="1">IFERROR(INDEX('VEH98 Data'!G$3:G$3508, SMALL(IF('VEH98 Data'!$AH$3:$AH$3508="TRUE", ROW('VEH98 Data'!G$3:G$3508)-ROW('VEH98 Data'!G$3)+1),ROWS('VEH98 Data'!G$3:'VEH98 Data'!G217))),"")</f>
        <v>Ford</v>
      </c>
      <c r="L123" s="652" t="str">
        <f t="array" aca="1" ref="L123" ca="1">IFERROR(INDEX('VEH98 Data'!I$3:I$3508, SMALL(IF('VEH98 Data'!$AH$3:$AH$3508="TRUE", ROW('VEH98 Data'!I$3:I$3508)-ROW('VEH98 Data'!I$3)+1),ROWS('VEH98 Data'!I$3:'VEH98 Data'!I217))),"")</f>
        <v>Transit Connect Wagon</v>
      </c>
      <c r="M123" s="652" t="str">
        <f t="array" aca="1" ref="M123" ca="1">IFERROR(INDEX('VEH98 Data'!J$3:J$3508, SMALL(IF('VEH98 Data'!$AH$3:$AH$3508="TRUE", ROW('VEH98 Data'!J$3:J$3508)-ROW('VEH98 Data'!J$3)+1),ROWS('VEH98 Data'!J$3:'VEH98 Data'!J217))),"")</f>
        <v>Titanium</v>
      </c>
      <c r="N123" s="652" t="str">
        <f t="array" aca="1" ref="N123" ca="1">IFERROR(INDEX('VEH98 Data'!K$3:K$3508, SMALL(IF('VEH98 Data'!$AH$3:$AH$3508="TRUE", ROW('VEH98 Data'!K$3:K$3508)-ROW('VEH98 Data'!K$3)+1),ROWS('VEH98 Data'!K$3:'VEH98 Data'!K217))),"")</f>
        <v>FWD</v>
      </c>
      <c r="O123" s="653" t="str">
        <f t="array" aca="1" ref="O123" ca="1">IFERROR(INDEX('VEH98 Data'!R$3:R$3508, SMALL(IF('VEH98 Data'!$AH$3:$AH$3508="TRUE", ROW('VEH98 Data'!R$3:R$3508)-ROW('VEH98 Data'!R$3)+1),ROWS('VEH98 Data'!R$3:'VEH98 Data'!R217))),"")</f>
        <v>2.5L</v>
      </c>
      <c r="P123" s="653">
        <f t="array" aca="1" ref="P123" ca="1">IFERROR(INDEX('VEH98 Data'!Y$3:Y$3508, SMALL(IF('VEH98 Data'!$AH$3:$AH$3508="TRUE", ROW('VEH98 Data'!Y$3:Y$3508)-ROW('VEH98 Data'!Y$3)+1),ROWS('VEH98 Data'!Y$3:'VEH98 Data'!Y217))),"")</f>
        <v>24</v>
      </c>
    </row>
    <row r="124" spans="1:16">
      <c r="A124" s="99"/>
      <c r="B124" s="652"/>
      <c r="C124" s="652" t="str">
        <f t="array" aca="1" ref="C124" ca="1">IFERROR(INDEX('VEH98 Data'!G$3:G$3508, SMALL(IF('VEH98 Data'!$AG$3:$AG$3508="TRUE", ROW('VEH98 Data'!G$3:G$3508)-ROW('VEH98 Data'!G$3)+1),ROWS('VEH98 Data'!G$3:'VEH98 Data'!G112))),"")</f>
        <v/>
      </c>
      <c r="D124" s="652" t="str">
        <f t="array" aca="1" ref="D124" ca="1">IFERROR(INDEX('VEH98 Data'!I$3:I$3508, SMALL(IF('VEH98 Data'!$AG$3:$AG$3508="TRUE", ROW('VEH98 Data'!I$3:I$3508)-ROW('VEH98 Data'!I$3)+1),ROWS('VEH98 Data'!I$3:'VEH98 Data'!I112))),"")</f>
        <v/>
      </c>
      <c r="E124" s="652" t="str">
        <f t="array" aca="1" ref="E124" ca="1">IFERROR(INDEX('VEH98 Data'!J$3:J$3508, SMALL(IF('VEH98 Data'!$AG$3:$AG$3508="TRUE", ROW('VEH98 Data'!J$3:J$3508)-ROW('VEH98 Data'!J$3)+1),ROWS('VEH98 Data'!J$3:'VEH98 Data'!J112))),"")</f>
        <v/>
      </c>
      <c r="F124" s="652" t="str">
        <f t="array" aca="1" ref="F124" ca="1">IFERROR(INDEX('VEH98 Data'!K$3:K$3508, SMALL(IF('VEH98 Data'!$AG$3:$AG$3508="TRUE", ROW('VEH98 Data'!K$3:K$3508)-ROW('VEH98 Data'!K$3)+1),ROWS('VEH98 Data'!K$3:'VEH98 Data'!K112))),"")</f>
        <v/>
      </c>
      <c r="G124" s="653" t="str">
        <f t="array" aca="1" ref="G124" ca="1">IFERROR(INDEX('VEH98 Data'!R$3:R$3508, SMALL(IF('VEH98 Data'!$AG$3:$AG$3508="TRUE", ROW('VEH98 Data'!R$3:R$3508)-ROW('VEH98 Data'!R$3)+1),ROWS('VEH98 Data'!R$3:'VEH98 Data'!R112))),"")</f>
        <v/>
      </c>
      <c r="H124" s="653" t="str">
        <f t="array" aca="1" ref="H124" ca="1">IFERROR(INDEX('VEH98 Data'!Y$3:Y$3508, SMALL(IF('VEH98 Data'!$AG$3:$AG$3508="TRUE", ROW('VEH98 Data'!Y$3:Y$3508)-ROW('VEH98 Data'!Y$3)+1),ROWS('VEH98 Data'!Y$3:'VEH98 Data'!Y112))),"")</f>
        <v/>
      </c>
      <c r="I124" s="19"/>
      <c r="J124" s="58">
        <f t="array" aca="1" ref="J124" ca="1">IFERROR(INDEX('VEH98 Data'!H$3:H$3508, SMALL(IF('VEH98 Data'!$AH$3:$AH$3508="TRUE", ROW('VEH98 Data'!H$3:H$3508)-ROW('VEH98 Data'!H$3)+1),ROWS('VEH98 Data'!H$3:'VEH98 Data'!H218))),"")</f>
        <v>2019</v>
      </c>
      <c r="K124" s="58" t="str">
        <f t="array" aca="1" ref="K124" ca="1">IFERROR(INDEX('VEH98 Data'!G$3:G$3508, SMALL(IF('VEH98 Data'!$AH$3:$AH$3508="TRUE", ROW('VEH98 Data'!G$3:G$3508)-ROW('VEH98 Data'!G$3)+1),ROWS('VEH98 Data'!G$3:'VEH98 Data'!G218))),"")</f>
        <v>Ford</v>
      </c>
      <c r="L124" s="58" t="str">
        <f t="array" aca="1" ref="L124" ca="1">IFERROR(INDEX('VEH98 Data'!I$3:I$3508, SMALL(IF('VEH98 Data'!$AH$3:$AH$3508="TRUE", ROW('VEH98 Data'!I$3:I$3508)-ROW('VEH98 Data'!I$3)+1),ROWS('VEH98 Data'!I$3:'VEH98 Data'!I218))),"")</f>
        <v>Transit Connect Wagon</v>
      </c>
      <c r="M124" s="58" t="str">
        <f t="array" aca="1" ref="M124" ca="1">IFERROR(INDEX('VEH98 Data'!J$3:J$3508, SMALL(IF('VEH98 Data'!$AH$3:$AH$3508="TRUE", ROW('VEH98 Data'!J$3:J$3508)-ROW('VEH98 Data'!J$3)+1),ROWS('VEH98 Data'!J$3:'VEH98 Data'!J218))),"")</f>
        <v>XL w/Rear Liftgate</v>
      </c>
      <c r="N124" s="58" t="str">
        <f t="array" aca="1" ref="N124" ca="1">IFERROR(INDEX('VEH98 Data'!K$3:K$3508, SMALL(IF('VEH98 Data'!$AH$3:$AH$3508="TRUE", ROW('VEH98 Data'!K$3:K$3508)-ROW('VEH98 Data'!K$3)+1),ROWS('VEH98 Data'!K$3:'VEH98 Data'!K218))),"")</f>
        <v>FWD</v>
      </c>
      <c r="O124" s="654" t="str">
        <f t="array" aca="1" ref="O124" ca="1">IFERROR(INDEX('VEH98 Data'!R$3:R$3508, SMALL(IF('VEH98 Data'!$AH$3:$AH$3508="TRUE", ROW('VEH98 Data'!R$3:R$3508)-ROW('VEH98 Data'!R$3)+1),ROWS('VEH98 Data'!R$3:'VEH98 Data'!R218))),"")</f>
        <v>1.5L Ecoblue Diesel</v>
      </c>
      <c r="P124" s="654">
        <f t="array" aca="1" ref="P124" ca="1">IFERROR(INDEX('VEH98 Data'!Y$3:Y$3508, SMALL(IF('VEH98 Data'!$AH$3:$AH$3508="TRUE", ROW('VEH98 Data'!Y$3:Y$3508)-ROW('VEH98 Data'!Y$3)+1),ROWS('VEH98 Data'!Y$3:'VEH98 Data'!Y218))),"")</f>
        <v>22</v>
      </c>
    </row>
    <row r="125" spans="1:16">
      <c r="A125" s="99"/>
      <c r="B125" s="58"/>
      <c r="C125" s="58" t="str">
        <f t="array" aca="1" ref="C125" ca="1">IFERROR(INDEX('VEH98 Data'!G$3:G$3508, SMALL(IF('VEH98 Data'!$AG$3:$AG$3508="TRUE", ROW('VEH98 Data'!G$3:G$3508)-ROW('VEH98 Data'!G$3)+1),ROWS('VEH98 Data'!G$3:'VEH98 Data'!G113))),"")</f>
        <v/>
      </c>
      <c r="D125" s="58" t="str">
        <f t="array" aca="1" ref="D125" ca="1">IFERROR(INDEX('VEH98 Data'!I$3:I$3508, SMALL(IF('VEH98 Data'!$AG$3:$AG$3508="TRUE", ROW('VEH98 Data'!I$3:I$3508)-ROW('VEH98 Data'!I$3)+1),ROWS('VEH98 Data'!I$3:'VEH98 Data'!I113))),"")</f>
        <v/>
      </c>
      <c r="E125" s="58" t="str">
        <f t="array" aca="1" ref="E125" ca="1">IFERROR(INDEX('VEH98 Data'!J$3:J$3508, SMALL(IF('VEH98 Data'!$AG$3:$AG$3508="TRUE", ROW('VEH98 Data'!J$3:J$3508)-ROW('VEH98 Data'!J$3)+1),ROWS('VEH98 Data'!J$3:'VEH98 Data'!J113))),"")</f>
        <v/>
      </c>
      <c r="F125" s="58" t="str">
        <f t="array" aca="1" ref="F125" ca="1">IFERROR(INDEX('VEH98 Data'!K$3:K$3508, SMALL(IF('VEH98 Data'!$AG$3:$AG$3508="TRUE", ROW('VEH98 Data'!K$3:K$3508)-ROW('VEH98 Data'!K$3)+1),ROWS('VEH98 Data'!K$3:'VEH98 Data'!K113))),"")</f>
        <v/>
      </c>
      <c r="G125" s="654" t="str">
        <f t="array" aca="1" ref="G125" ca="1">IFERROR(INDEX('VEH98 Data'!R$3:R$3508, SMALL(IF('VEH98 Data'!$AG$3:$AG$3508="TRUE", ROW('VEH98 Data'!R$3:R$3508)-ROW('VEH98 Data'!R$3)+1),ROWS('VEH98 Data'!R$3:'VEH98 Data'!R113))),"")</f>
        <v/>
      </c>
      <c r="H125" s="654" t="str">
        <f t="array" aca="1" ref="H125" ca="1">IFERROR(INDEX('VEH98 Data'!Y$3:Y$3508, SMALL(IF('VEH98 Data'!$AG$3:$AG$3508="TRUE", ROW('VEH98 Data'!Y$3:Y$3508)-ROW('VEH98 Data'!Y$3)+1),ROWS('VEH98 Data'!Y$3:'VEH98 Data'!Y113))),"")</f>
        <v/>
      </c>
      <c r="I125" s="19"/>
      <c r="J125" s="652">
        <f t="array" aca="1" ref="J125" ca="1">IFERROR(INDEX('VEH98 Data'!H$3:H$3508, SMALL(IF('VEH98 Data'!$AH$3:$AH$3508="TRUE", ROW('VEH98 Data'!H$3:H$3508)-ROW('VEH98 Data'!H$3)+1),ROWS('VEH98 Data'!H$3:'VEH98 Data'!H219))),"")</f>
        <v>2019</v>
      </c>
      <c r="K125" s="652" t="str">
        <f t="array" aca="1" ref="K125" ca="1">IFERROR(INDEX('VEH98 Data'!G$3:G$3508, SMALL(IF('VEH98 Data'!$AH$3:$AH$3508="TRUE", ROW('VEH98 Data'!G$3:G$3508)-ROW('VEH98 Data'!G$3)+1),ROWS('VEH98 Data'!G$3:'VEH98 Data'!G219))),"")</f>
        <v>Ford</v>
      </c>
      <c r="L125" s="652" t="str">
        <f t="array" aca="1" ref="L125" ca="1">IFERROR(INDEX('VEH98 Data'!I$3:I$3508, SMALL(IF('VEH98 Data'!$AH$3:$AH$3508="TRUE", ROW('VEH98 Data'!I$3:I$3508)-ROW('VEH98 Data'!I$3)+1),ROWS('VEH98 Data'!I$3:'VEH98 Data'!I219))),"")</f>
        <v>Transit Connect Wagon</v>
      </c>
      <c r="M125" s="652" t="str">
        <f t="array" aca="1" ref="M125" ca="1">IFERROR(INDEX('VEH98 Data'!J$3:J$3508, SMALL(IF('VEH98 Data'!$AH$3:$AH$3508="TRUE", ROW('VEH98 Data'!J$3:J$3508)-ROW('VEH98 Data'!J$3)+1),ROWS('VEH98 Data'!J$3:'VEH98 Data'!J219))),"")</f>
        <v>XL w/Rear Liftgate</v>
      </c>
      <c r="N125" s="652" t="str">
        <f t="array" aca="1" ref="N125" ca="1">IFERROR(INDEX('VEH98 Data'!K$3:K$3508, SMALL(IF('VEH98 Data'!$AH$3:$AH$3508="TRUE", ROW('VEH98 Data'!K$3:K$3508)-ROW('VEH98 Data'!K$3)+1),ROWS('VEH98 Data'!K$3:'VEH98 Data'!K219))),"")</f>
        <v>FWD</v>
      </c>
      <c r="O125" s="653" t="str">
        <f t="array" aca="1" ref="O125" ca="1">IFERROR(INDEX('VEH98 Data'!R$3:R$3508, SMALL(IF('VEH98 Data'!$AH$3:$AH$3508="TRUE", ROW('VEH98 Data'!R$3:R$3508)-ROW('VEH98 Data'!R$3)+1),ROWS('VEH98 Data'!R$3:'VEH98 Data'!R219))),"")</f>
        <v xml:space="preserve">2.0L </v>
      </c>
      <c r="P125" s="653">
        <f t="array" aca="1" ref="P125" ca="1">IFERROR(INDEX('VEH98 Data'!Y$3:Y$3508, SMALL(IF('VEH98 Data'!$AH$3:$AH$3508="TRUE", ROW('VEH98 Data'!Y$3:Y$3508)-ROW('VEH98 Data'!Y$3)+1),ROWS('VEH98 Data'!Y$3:'VEH98 Data'!Y219))),"")</f>
        <v>22</v>
      </c>
    </row>
    <row r="126" spans="1:16">
      <c r="A126" s="99"/>
      <c r="B126" s="652"/>
      <c r="C126" s="652" t="str">
        <f t="array" aca="1" ref="C126" ca="1">IFERROR(INDEX('VEH98 Data'!G$3:G$3508, SMALL(IF('VEH98 Data'!$AG$3:$AG$3508="TRUE", ROW('VEH98 Data'!G$3:G$3508)-ROW('VEH98 Data'!G$3)+1),ROWS('VEH98 Data'!G$3:'VEH98 Data'!G114))),"")</f>
        <v/>
      </c>
      <c r="D126" s="652" t="str">
        <f t="array" aca="1" ref="D126" ca="1">IFERROR(INDEX('VEH98 Data'!I$3:I$3508, SMALL(IF('VEH98 Data'!$AG$3:$AG$3508="TRUE", ROW('VEH98 Data'!I$3:I$3508)-ROW('VEH98 Data'!I$3)+1),ROWS('VEH98 Data'!I$3:'VEH98 Data'!I114))),"")</f>
        <v/>
      </c>
      <c r="E126" s="652" t="str">
        <f t="array" aca="1" ref="E126" ca="1">IFERROR(INDEX('VEH98 Data'!J$3:J$3508, SMALL(IF('VEH98 Data'!$AG$3:$AG$3508="TRUE", ROW('VEH98 Data'!J$3:J$3508)-ROW('VEH98 Data'!J$3)+1),ROWS('VEH98 Data'!J$3:'VEH98 Data'!J114))),"")</f>
        <v/>
      </c>
      <c r="F126" s="652" t="str">
        <f t="array" aca="1" ref="F126" ca="1">IFERROR(INDEX('VEH98 Data'!K$3:K$3508, SMALL(IF('VEH98 Data'!$AG$3:$AG$3508="TRUE", ROW('VEH98 Data'!K$3:K$3508)-ROW('VEH98 Data'!K$3)+1),ROWS('VEH98 Data'!K$3:'VEH98 Data'!K114))),"")</f>
        <v/>
      </c>
      <c r="G126" s="653" t="str">
        <f t="array" aca="1" ref="G126" ca="1">IFERROR(INDEX('VEH98 Data'!R$3:R$3508, SMALL(IF('VEH98 Data'!$AG$3:$AG$3508="TRUE", ROW('VEH98 Data'!R$3:R$3508)-ROW('VEH98 Data'!R$3)+1),ROWS('VEH98 Data'!R$3:'VEH98 Data'!R114))),"")</f>
        <v/>
      </c>
      <c r="H126" s="653" t="str">
        <f t="array" aca="1" ref="H126" ca="1">IFERROR(INDEX('VEH98 Data'!Y$3:Y$3508, SMALL(IF('VEH98 Data'!$AG$3:$AG$3508="TRUE", ROW('VEH98 Data'!Y$3:Y$3508)-ROW('VEH98 Data'!Y$3)+1),ROWS('VEH98 Data'!Y$3:'VEH98 Data'!Y114))),"")</f>
        <v/>
      </c>
      <c r="I126" s="19"/>
      <c r="J126" s="58">
        <f t="array" aca="1" ref="J126" ca="1">IFERROR(INDEX('VEH98 Data'!H$3:H$3508, SMALL(IF('VEH98 Data'!$AH$3:$AH$3508="TRUE", ROW('VEH98 Data'!H$3:H$3508)-ROW('VEH98 Data'!H$3)+1),ROWS('VEH98 Data'!H$3:'VEH98 Data'!H220))),"")</f>
        <v>2019</v>
      </c>
      <c r="K126" s="58" t="str">
        <f t="array" aca="1" ref="K126" ca="1">IFERROR(INDEX('VEH98 Data'!G$3:G$3508, SMALL(IF('VEH98 Data'!$AH$3:$AH$3508="TRUE", ROW('VEH98 Data'!G$3:G$3508)-ROW('VEH98 Data'!G$3)+1),ROWS('VEH98 Data'!G$3:'VEH98 Data'!G220))),"")</f>
        <v>Ford</v>
      </c>
      <c r="L126" s="58" t="str">
        <f t="array" aca="1" ref="L126" ca="1">IFERROR(INDEX('VEH98 Data'!I$3:I$3508, SMALL(IF('VEH98 Data'!$AH$3:$AH$3508="TRUE", ROW('VEH98 Data'!I$3:I$3508)-ROW('VEH98 Data'!I$3)+1),ROWS('VEH98 Data'!I$3:'VEH98 Data'!I220))),"")</f>
        <v>Transit Connect Wagon</v>
      </c>
      <c r="M126" s="58" t="str">
        <f t="array" aca="1" ref="M126" ca="1">IFERROR(INDEX('VEH98 Data'!J$3:J$3508, SMALL(IF('VEH98 Data'!$AH$3:$AH$3508="TRUE", ROW('VEH98 Data'!J$3:J$3508)-ROW('VEH98 Data'!J$3)+1),ROWS('VEH98 Data'!J$3:'VEH98 Data'!J220))),"")</f>
        <v>XL w/Rear Liftgate</v>
      </c>
      <c r="N126" s="58" t="str">
        <f t="array" aca="1" ref="N126" ca="1">IFERROR(INDEX('VEH98 Data'!K$3:K$3508, SMALL(IF('VEH98 Data'!$AH$3:$AH$3508="TRUE", ROW('VEH98 Data'!K$3:K$3508)-ROW('VEH98 Data'!K$3)+1),ROWS('VEH98 Data'!K$3:'VEH98 Data'!K220))),"")</f>
        <v>FWD</v>
      </c>
      <c r="O126" s="654" t="str">
        <f t="array" aca="1" ref="O126" ca="1">IFERROR(INDEX('VEH98 Data'!R$3:R$3508, SMALL(IF('VEH98 Data'!$AH$3:$AH$3508="TRUE", ROW('VEH98 Data'!R$3:R$3508)-ROW('VEH98 Data'!R$3)+1),ROWS('VEH98 Data'!R$3:'VEH98 Data'!R220))),"")</f>
        <v>2.5L/CNG Prep</v>
      </c>
      <c r="P126" s="654">
        <f t="array" aca="1" ref="P126" ca="1">IFERROR(INDEX('VEH98 Data'!Y$3:Y$3508, SMALL(IF('VEH98 Data'!$AH$3:$AH$3508="TRUE", ROW('VEH98 Data'!Y$3:Y$3508)-ROW('VEH98 Data'!Y$3)+1),ROWS('VEH98 Data'!Y$3:'VEH98 Data'!Y220))),"")</f>
        <v>24</v>
      </c>
    </row>
    <row r="127" spans="1:16">
      <c r="A127" s="99"/>
      <c r="B127" s="58"/>
      <c r="C127" s="58" t="str">
        <f t="array" aca="1" ref="C127" ca="1">IFERROR(INDEX('VEH98 Data'!G$3:G$3508, SMALL(IF('VEH98 Data'!$AG$3:$AG$3508="TRUE", ROW('VEH98 Data'!G$3:G$3508)-ROW('VEH98 Data'!G$3)+1),ROWS('VEH98 Data'!G$3:'VEH98 Data'!G115))),"")</f>
        <v/>
      </c>
      <c r="D127" s="58" t="str">
        <f t="array" aca="1" ref="D127" ca="1">IFERROR(INDEX('VEH98 Data'!I$3:I$3508, SMALL(IF('VEH98 Data'!$AG$3:$AG$3508="TRUE", ROW('VEH98 Data'!I$3:I$3508)-ROW('VEH98 Data'!I$3)+1),ROWS('VEH98 Data'!I$3:'VEH98 Data'!I115))),"")</f>
        <v/>
      </c>
      <c r="E127" s="58" t="str">
        <f t="array" aca="1" ref="E127" ca="1">IFERROR(INDEX('VEH98 Data'!J$3:J$3508, SMALL(IF('VEH98 Data'!$AG$3:$AG$3508="TRUE", ROW('VEH98 Data'!J$3:J$3508)-ROW('VEH98 Data'!J$3)+1),ROWS('VEH98 Data'!J$3:'VEH98 Data'!J115))),"")</f>
        <v/>
      </c>
      <c r="F127" s="58" t="str">
        <f t="array" aca="1" ref="F127" ca="1">IFERROR(INDEX('VEH98 Data'!K$3:K$3508, SMALL(IF('VEH98 Data'!$AG$3:$AG$3508="TRUE", ROW('VEH98 Data'!K$3:K$3508)-ROW('VEH98 Data'!K$3)+1),ROWS('VEH98 Data'!K$3:'VEH98 Data'!K115))),"")</f>
        <v/>
      </c>
      <c r="G127" s="654" t="str">
        <f t="array" aca="1" ref="G127" ca="1">IFERROR(INDEX('VEH98 Data'!R$3:R$3508, SMALL(IF('VEH98 Data'!$AG$3:$AG$3508="TRUE", ROW('VEH98 Data'!R$3:R$3508)-ROW('VEH98 Data'!R$3)+1),ROWS('VEH98 Data'!R$3:'VEH98 Data'!R115))),"")</f>
        <v/>
      </c>
      <c r="H127" s="654" t="str">
        <f t="array" aca="1" ref="H127" ca="1">IFERROR(INDEX('VEH98 Data'!Y$3:Y$3508, SMALL(IF('VEH98 Data'!$AG$3:$AG$3508="TRUE", ROW('VEH98 Data'!Y$3:Y$3508)-ROW('VEH98 Data'!Y$3)+1),ROWS('VEH98 Data'!Y$3:'VEH98 Data'!Y115))),"")</f>
        <v/>
      </c>
      <c r="I127" s="19"/>
      <c r="J127" s="652">
        <f t="array" aca="1" ref="J127" ca="1">IFERROR(INDEX('VEH98 Data'!H$3:H$3508, SMALL(IF('VEH98 Data'!$AH$3:$AH$3508="TRUE", ROW('VEH98 Data'!H$3:H$3508)-ROW('VEH98 Data'!H$3)+1),ROWS('VEH98 Data'!H$3:'VEH98 Data'!H221))),"")</f>
        <v>2019</v>
      </c>
      <c r="K127" s="652" t="str">
        <f t="array" aca="1" ref="K127" ca="1">IFERROR(INDEX('VEH98 Data'!G$3:G$3508, SMALL(IF('VEH98 Data'!$AH$3:$AH$3508="TRUE", ROW('VEH98 Data'!G$3:G$3508)-ROW('VEH98 Data'!G$3)+1),ROWS('VEH98 Data'!G$3:'VEH98 Data'!G221))),"")</f>
        <v>Ford</v>
      </c>
      <c r="L127" s="652" t="str">
        <f t="array" aca="1" ref="L127" ca="1">IFERROR(INDEX('VEH98 Data'!I$3:I$3508, SMALL(IF('VEH98 Data'!$AH$3:$AH$3508="TRUE", ROW('VEH98 Data'!I$3:I$3508)-ROW('VEH98 Data'!I$3)+1),ROWS('VEH98 Data'!I$3:'VEH98 Data'!I221))),"")</f>
        <v>Transit Connect Wagon</v>
      </c>
      <c r="M127" s="652" t="str">
        <f t="array" aca="1" ref="M127" ca="1">IFERROR(INDEX('VEH98 Data'!J$3:J$3508, SMALL(IF('VEH98 Data'!$AH$3:$AH$3508="TRUE", ROW('VEH98 Data'!J$3:J$3508)-ROW('VEH98 Data'!J$3)+1),ROWS('VEH98 Data'!J$3:'VEH98 Data'!J221))),"")</f>
        <v>XL w/Symmetrical Rear Drs</v>
      </c>
      <c r="N127" s="652" t="str">
        <f t="array" aca="1" ref="N127" ca="1">IFERROR(INDEX('VEH98 Data'!K$3:K$3508, SMALL(IF('VEH98 Data'!$AH$3:$AH$3508="TRUE", ROW('VEH98 Data'!K$3:K$3508)-ROW('VEH98 Data'!K$3)+1),ROWS('VEH98 Data'!K$3:'VEH98 Data'!K221))),"")</f>
        <v>FWD</v>
      </c>
      <c r="O127" s="653" t="str">
        <f t="array" aca="1" ref="O127" ca="1">IFERROR(INDEX('VEH98 Data'!R$3:R$3508, SMALL(IF('VEH98 Data'!$AH$3:$AH$3508="TRUE", ROW('VEH98 Data'!R$3:R$3508)-ROW('VEH98 Data'!R$3)+1),ROWS('VEH98 Data'!R$3:'VEH98 Data'!R221))),"")</f>
        <v>1.5L Ecoblue Diesel</v>
      </c>
      <c r="P127" s="653">
        <f t="array" aca="1" ref="P127" ca="1">IFERROR(INDEX('VEH98 Data'!Y$3:Y$3508, SMALL(IF('VEH98 Data'!$AH$3:$AH$3508="TRUE", ROW('VEH98 Data'!Y$3:Y$3508)-ROW('VEH98 Data'!Y$3)+1),ROWS('VEH98 Data'!Y$3:'VEH98 Data'!Y221))),"")</f>
        <v>22</v>
      </c>
    </row>
    <row r="128" spans="1:16">
      <c r="A128" s="99"/>
      <c r="B128" s="652"/>
      <c r="C128" s="652" t="str">
        <f t="array" aca="1" ref="C128" ca="1">IFERROR(INDEX('VEH98 Data'!G$3:G$3508, SMALL(IF('VEH98 Data'!$AG$3:$AG$3508="TRUE", ROW('VEH98 Data'!G$3:G$3508)-ROW('VEH98 Data'!G$3)+1),ROWS('VEH98 Data'!G$3:'VEH98 Data'!G116))),"")</f>
        <v/>
      </c>
      <c r="D128" s="652" t="str">
        <f t="array" aca="1" ref="D128" ca="1">IFERROR(INDEX('VEH98 Data'!I$3:I$3508, SMALL(IF('VEH98 Data'!$AG$3:$AG$3508="TRUE", ROW('VEH98 Data'!I$3:I$3508)-ROW('VEH98 Data'!I$3)+1),ROWS('VEH98 Data'!I$3:'VEH98 Data'!I116))),"")</f>
        <v/>
      </c>
      <c r="E128" s="652" t="str">
        <f t="array" aca="1" ref="E128" ca="1">IFERROR(INDEX('VEH98 Data'!J$3:J$3508, SMALL(IF('VEH98 Data'!$AG$3:$AG$3508="TRUE", ROW('VEH98 Data'!J$3:J$3508)-ROW('VEH98 Data'!J$3)+1),ROWS('VEH98 Data'!J$3:'VEH98 Data'!J116))),"")</f>
        <v/>
      </c>
      <c r="F128" s="652" t="str">
        <f t="array" aca="1" ref="F128" ca="1">IFERROR(INDEX('VEH98 Data'!K$3:K$3508, SMALL(IF('VEH98 Data'!$AG$3:$AG$3508="TRUE", ROW('VEH98 Data'!K$3:K$3508)-ROW('VEH98 Data'!K$3)+1),ROWS('VEH98 Data'!K$3:'VEH98 Data'!K116))),"")</f>
        <v/>
      </c>
      <c r="G128" s="653" t="str">
        <f t="array" aca="1" ref="G128" ca="1">IFERROR(INDEX('VEH98 Data'!R$3:R$3508, SMALL(IF('VEH98 Data'!$AG$3:$AG$3508="TRUE", ROW('VEH98 Data'!R$3:R$3508)-ROW('VEH98 Data'!R$3)+1),ROWS('VEH98 Data'!R$3:'VEH98 Data'!R116))),"")</f>
        <v/>
      </c>
      <c r="H128" s="653" t="str">
        <f t="array" aca="1" ref="H128" ca="1">IFERROR(INDEX('VEH98 Data'!Y$3:Y$3508, SMALL(IF('VEH98 Data'!$AG$3:$AG$3508="TRUE", ROW('VEH98 Data'!Y$3:Y$3508)-ROW('VEH98 Data'!Y$3)+1),ROWS('VEH98 Data'!Y$3:'VEH98 Data'!Y116))),"")</f>
        <v/>
      </c>
      <c r="I128" s="19"/>
      <c r="J128" s="58">
        <f t="array" aca="1" ref="J128" ca="1">IFERROR(INDEX('VEH98 Data'!H$3:H$3508, SMALL(IF('VEH98 Data'!$AH$3:$AH$3508="TRUE", ROW('VEH98 Data'!H$3:H$3508)-ROW('VEH98 Data'!H$3)+1),ROWS('VEH98 Data'!H$3:'VEH98 Data'!H222))),"")</f>
        <v>2019</v>
      </c>
      <c r="K128" s="58" t="str">
        <f t="array" aca="1" ref="K128" ca="1">IFERROR(INDEX('VEH98 Data'!G$3:G$3508, SMALL(IF('VEH98 Data'!$AH$3:$AH$3508="TRUE", ROW('VEH98 Data'!G$3:G$3508)-ROW('VEH98 Data'!G$3)+1),ROWS('VEH98 Data'!G$3:'VEH98 Data'!G222))),"")</f>
        <v>Ford</v>
      </c>
      <c r="L128" s="58" t="str">
        <f t="array" aca="1" ref="L128" ca="1">IFERROR(INDEX('VEH98 Data'!I$3:I$3508, SMALL(IF('VEH98 Data'!$AH$3:$AH$3508="TRUE", ROW('VEH98 Data'!I$3:I$3508)-ROW('VEH98 Data'!I$3)+1),ROWS('VEH98 Data'!I$3:'VEH98 Data'!I222))),"")</f>
        <v>Transit Connect Wagon</v>
      </c>
      <c r="M128" s="58" t="str">
        <f t="array" aca="1" ref="M128" ca="1">IFERROR(INDEX('VEH98 Data'!J$3:J$3508, SMALL(IF('VEH98 Data'!$AH$3:$AH$3508="TRUE", ROW('VEH98 Data'!J$3:J$3508)-ROW('VEH98 Data'!J$3)+1),ROWS('VEH98 Data'!J$3:'VEH98 Data'!J222))),"")</f>
        <v>XL w/Symmetrical Rear Drs</v>
      </c>
      <c r="N128" s="58" t="str">
        <f t="array" aca="1" ref="N128" ca="1">IFERROR(INDEX('VEH98 Data'!K$3:K$3508, SMALL(IF('VEH98 Data'!$AH$3:$AH$3508="TRUE", ROW('VEH98 Data'!K$3:K$3508)-ROW('VEH98 Data'!K$3)+1),ROWS('VEH98 Data'!K$3:'VEH98 Data'!K222))),"")</f>
        <v>FWD</v>
      </c>
      <c r="O128" s="654" t="str">
        <f t="array" aca="1" ref="O128" ca="1">IFERROR(INDEX('VEH98 Data'!R$3:R$3508, SMALL(IF('VEH98 Data'!$AH$3:$AH$3508="TRUE", ROW('VEH98 Data'!R$3:R$3508)-ROW('VEH98 Data'!R$3)+1),ROWS('VEH98 Data'!R$3:'VEH98 Data'!R222))),"")</f>
        <v xml:space="preserve">2.0L </v>
      </c>
      <c r="P128" s="654">
        <f t="array" aca="1" ref="P128" ca="1">IFERROR(INDEX('VEH98 Data'!Y$3:Y$3508, SMALL(IF('VEH98 Data'!$AH$3:$AH$3508="TRUE", ROW('VEH98 Data'!Y$3:Y$3508)-ROW('VEH98 Data'!Y$3)+1),ROWS('VEH98 Data'!Y$3:'VEH98 Data'!Y222))),"")</f>
        <v>22</v>
      </c>
    </row>
    <row r="129" spans="1:16">
      <c r="A129" s="99"/>
      <c r="B129" s="58"/>
      <c r="C129" s="58" t="str">
        <f t="array" aca="1" ref="C129" ca="1">IFERROR(INDEX('VEH98 Data'!G$3:G$3508, SMALL(IF('VEH98 Data'!$AG$3:$AG$3508="TRUE", ROW('VEH98 Data'!G$3:G$3508)-ROW('VEH98 Data'!G$3)+1),ROWS('VEH98 Data'!G$3:'VEH98 Data'!G117))),"")</f>
        <v/>
      </c>
      <c r="D129" s="58" t="str">
        <f t="array" aca="1" ref="D129" ca="1">IFERROR(INDEX('VEH98 Data'!I$3:I$3508, SMALL(IF('VEH98 Data'!$AG$3:$AG$3508="TRUE", ROW('VEH98 Data'!I$3:I$3508)-ROW('VEH98 Data'!I$3)+1),ROWS('VEH98 Data'!I$3:'VEH98 Data'!I117))),"")</f>
        <v/>
      </c>
      <c r="E129" s="58" t="str">
        <f t="array" aca="1" ref="E129" ca="1">IFERROR(INDEX('VEH98 Data'!J$3:J$3508, SMALL(IF('VEH98 Data'!$AG$3:$AG$3508="TRUE", ROW('VEH98 Data'!J$3:J$3508)-ROW('VEH98 Data'!J$3)+1),ROWS('VEH98 Data'!J$3:'VEH98 Data'!J117))),"")</f>
        <v/>
      </c>
      <c r="F129" s="58" t="str">
        <f t="array" aca="1" ref="F129" ca="1">IFERROR(INDEX('VEH98 Data'!K$3:K$3508, SMALL(IF('VEH98 Data'!$AG$3:$AG$3508="TRUE", ROW('VEH98 Data'!K$3:K$3508)-ROW('VEH98 Data'!K$3)+1),ROWS('VEH98 Data'!K$3:'VEH98 Data'!K117))),"")</f>
        <v/>
      </c>
      <c r="G129" s="654" t="str">
        <f t="array" aca="1" ref="G129" ca="1">IFERROR(INDEX('VEH98 Data'!R$3:R$3508, SMALL(IF('VEH98 Data'!$AG$3:$AG$3508="TRUE", ROW('VEH98 Data'!R$3:R$3508)-ROW('VEH98 Data'!R$3)+1),ROWS('VEH98 Data'!R$3:'VEH98 Data'!R117))),"")</f>
        <v/>
      </c>
      <c r="H129" s="654" t="str">
        <f t="array" aca="1" ref="H129" ca="1">IFERROR(INDEX('VEH98 Data'!Y$3:Y$3508, SMALL(IF('VEH98 Data'!$AG$3:$AG$3508="TRUE", ROW('VEH98 Data'!Y$3:Y$3508)-ROW('VEH98 Data'!Y$3)+1),ROWS('VEH98 Data'!Y$3:'VEH98 Data'!Y117))),"")</f>
        <v/>
      </c>
      <c r="I129" s="19"/>
      <c r="J129" s="652">
        <f t="array" aca="1" ref="J129" ca="1">IFERROR(INDEX('VEH98 Data'!H$3:H$3508, SMALL(IF('VEH98 Data'!$AH$3:$AH$3508="TRUE", ROW('VEH98 Data'!H$3:H$3508)-ROW('VEH98 Data'!H$3)+1),ROWS('VEH98 Data'!H$3:'VEH98 Data'!H223))),"")</f>
        <v>2019</v>
      </c>
      <c r="K129" s="652" t="str">
        <f t="array" aca="1" ref="K129" ca="1">IFERROR(INDEX('VEH98 Data'!G$3:G$3508, SMALL(IF('VEH98 Data'!$AH$3:$AH$3508="TRUE", ROW('VEH98 Data'!G$3:G$3508)-ROW('VEH98 Data'!G$3)+1),ROWS('VEH98 Data'!G$3:'VEH98 Data'!G223))),"")</f>
        <v>Ford</v>
      </c>
      <c r="L129" s="652" t="str">
        <f t="array" aca="1" ref="L129" ca="1">IFERROR(INDEX('VEH98 Data'!I$3:I$3508, SMALL(IF('VEH98 Data'!$AH$3:$AH$3508="TRUE", ROW('VEH98 Data'!I$3:I$3508)-ROW('VEH98 Data'!I$3)+1),ROWS('VEH98 Data'!I$3:'VEH98 Data'!I223))),"")</f>
        <v>Transit Connect Wagon</v>
      </c>
      <c r="M129" s="652" t="str">
        <f t="array" aca="1" ref="M129" ca="1">IFERROR(INDEX('VEH98 Data'!J$3:J$3508, SMALL(IF('VEH98 Data'!$AH$3:$AH$3508="TRUE", ROW('VEH98 Data'!J$3:J$3508)-ROW('VEH98 Data'!J$3)+1),ROWS('VEH98 Data'!J$3:'VEH98 Data'!J223))),"")</f>
        <v>XL w/Symmetrical Rear Drs</v>
      </c>
      <c r="N129" s="652" t="str">
        <f t="array" aca="1" ref="N129" ca="1">IFERROR(INDEX('VEH98 Data'!K$3:K$3508, SMALL(IF('VEH98 Data'!$AH$3:$AH$3508="TRUE", ROW('VEH98 Data'!K$3:K$3508)-ROW('VEH98 Data'!K$3)+1),ROWS('VEH98 Data'!K$3:'VEH98 Data'!K223))),"")</f>
        <v>FWD</v>
      </c>
      <c r="O129" s="653" t="str">
        <f t="array" aca="1" ref="O129" ca="1">IFERROR(INDEX('VEH98 Data'!R$3:R$3508, SMALL(IF('VEH98 Data'!$AH$3:$AH$3508="TRUE", ROW('VEH98 Data'!R$3:R$3508)-ROW('VEH98 Data'!R$3)+1),ROWS('VEH98 Data'!R$3:'VEH98 Data'!R223))),"")</f>
        <v>2.5L/CNG Prep</v>
      </c>
      <c r="P129" s="653">
        <f t="array" aca="1" ref="P129" ca="1">IFERROR(INDEX('VEH98 Data'!Y$3:Y$3508, SMALL(IF('VEH98 Data'!$AH$3:$AH$3508="TRUE", ROW('VEH98 Data'!Y$3:Y$3508)-ROW('VEH98 Data'!Y$3)+1),ROWS('VEH98 Data'!Y$3:'VEH98 Data'!Y223))),"")</f>
        <v>24</v>
      </c>
    </row>
    <row r="130" spans="1:16">
      <c r="A130" s="99"/>
      <c r="B130" s="652"/>
      <c r="C130" s="652" t="str">
        <f t="array" aca="1" ref="C130" ca="1">IFERROR(INDEX('VEH98 Data'!G$3:G$3508, SMALL(IF('VEH98 Data'!$AG$3:$AG$3508="TRUE", ROW('VEH98 Data'!G$3:G$3508)-ROW('VEH98 Data'!G$3)+1),ROWS('VEH98 Data'!G$3:'VEH98 Data'!G118))),"")</f>
        <v/>
      </c>
      <c r="D130" s="652" t="str">
        <f t="array" aca="1" ref="D130" ca="1">IFERROR(INDEX('VEH98 Data'!I$3:I$3508, SMALL(IF('VEH98 Data'!$AG$3:$AG$3508="TRUE", ROW('VEH98 Data'!I$3:I$3508)-ROW('VEH98 Data'!I$3)+1),ROWS('VEH98 Data'!I$3:'VEH98 Data'!I118))),"")</f>
        <v/>
      </c>
      <c r="E130" s="652" t="str">
        <f t="array" aca="1" ref="E130" ca="1">IFERROR(INDEX('VEH98 Data'!J$3:J$3508, SMALL(IF('VEH98 Data'!$AG$3:$AG$3508="TRUE", ROW('VEH98 Data'!J$3:J$3508)-ROW('VEH98 Data'!J$3)+1),ROWS('VEH98 Data'!J$3:'VEH98 Data'!J118))),"")</f>
        <v/>
      </c>
      <c r="F130" s="652" t="str">
        <f t="array" aca="1" ref="F130" ca="1">IFERROR(INDEX('VEH98 Data'!K$3:K$3508, SMALL(IF('VEH98 Data'!$AG$3:$AG$3508="TRUE", ROW('VEH98 Data'!K$3:K$3508)-ROW('VEH98 Data'!K$3)+1),ROWS('VEH98 Data'!K$3:'VEH98 Data'!K118))),"")</f>
        <v/>
      </c>
      <c r="G130" s="653" t="str">
        <f t="array" aca="1" ref="G130" ca="1">IFERROR(INDEX('VEH98 Data'!R$3:R$3508, SMALL(IF('VEH98 Data'!$AG$3:$AG$3508="TRUE", ROW('VEH98 Data'!R$3:R$3508)-ROW('VEH98 Data'!R$3)+1),ROWS('VEH98 Data'!R$3:'VEH98 Data'!R118))),"")</f>
        <v/>
      </c>
      <c r="H130" s="653" t="str">
        <f t="array" aca="1" ref="H130" ca="1">IFERROR(INDEX('VEH98 Data'!Y$3:Y$3508, SMALL(IF('VEH98 Data'!$AG$3:$AG$3508="TRUE", ROW('VEH98 Data'!Y$3:Y$3508)-ROW('VEH98 Data'!Y$3)+1),ROWS('VEH98 Data'!Y$3:'VEH98 Data'!Y118))),"")</f>
        <v/>
      </c>
      <c r="I130" s="19"/>
      <c r="J130" s="58">
        <f t="array" aca="1" ref="J130" ca="1">IFERROR(INDEX('VEH98 Data'!H$3:H$3508, SMALL(IF('VEH98 Data'!$AH$3:$AH$3508="TRUE", ROW('VEH98 Data'!H$3:H$3508)-ROW('VEH98 Data'!H$3)+1),ROWS('VEH98 Data'!H$3:'VEH98 Data'!H224))),"")</f>
        <v>2019</v>
      </c>
      <c r="K130" s="58" t="str">
        <f t="array" aca="1" ref="K130" ca="1">IFERROR(INDEX('VEH98 Data'!G$3:G$3508, SMALL(IF('VEH98 Data'!$AH$3:$AH$3508="TRUE", ROW('VEH98 Data'!G$3:G$3508)-ROW('VEH98 Data'!G$3)+1),ROWS('VEH98 Data'!G$3:'VEH98 Data'!G224))),"")</f>
        <v>Ford</v>
      </c>
      <c r="L130" s="58" t="str">
        <f t="array" aca="1" ref="L130" ca="1">IFERROR(INDEX('VEH98 Data'!I$3:I$3508, SMALL(IF('VEH98 Data'!$AH$3:$AH$3508="TRUE", ROW('VEH98 Data'!I$3:I$3508)-ROW('VEH98 Data'!I$3)+1),ROWS('VEH98 Data'!I$3:'VEH98 Data'!I224))),"")</f>
        <v>Transit Connect Wagon</v>
      </c>
      <c r="M130" s="58" t="str">
        <f t="array" aca="1" ref="M130" ca="1">IFERROR(INDEX('VEH98 Data'!J$3:J$3508, SMALL(IF('VEH98 Data'!$AH$3:$AH$3508="TRUE", ROW('VEH98 Data'!J$3:J$3508)-ROW('VEH98 Data'!J$3)+1),ROWS('VEH98 Data'!J$3:'VEH98 Data'!J224))),"")</f>
        <v>XLT w/Rear Liftgate</v>
      </c>
      <c r="N130" s="58" t="str">
        <f t="array" aca="1" ref="N130" ca="1">IFERROR(INDEX('VEH98 Data'!K$3:K$3508, SMALL(IF('VEH98 Data'!$AH$3:$AH$3508="TRUE", ROW('VEH98 Data'!K$3:K$3508)-ROW('VEH98 Data'!K$3)+1),ROWS('VEH98 Data'!K$3:'VEH98 Data'!K224))),"")</f>
        <v>FWD</v>
      </c>
      <c r="O130" s="654" t="str">
        <f t="array" aca="1" ref="O130" ca="1">IFERROR(INDEX('VEH98 Data'!R$3:R$3508, SMALL(IF('VEH98 Data'!$AH$3:$AH$3508="TRUE", ROW('VEH98 Data'!R$3:R$3508)-ROW('VEH98 Data'!R$3)+1),ROWS('VEH98 Data'!R$3:'VEH98 Data'!R224))),"")</f>
        <v>1.5L Ecoblue Diesel</v>
      </c>
      <c r="P130" s="654">
        <f t="array" aca="1" ref="P130" ca="1">IFERROR(INDEX('VEH98 Data'!Y$3:Y$3508, SMALL(IF('VEH98 Data'!$AH$3:$AH$3508="TRUE", ROW('VEH98 Data'!Y$3:Y$3508)-ROW('VEH98 Data'!Y$3)+1),ROWS('VEH98 Data'!Y$3:'VEH98 Data'!Y224))),"")</f>
        <v>22</v>
      </c>
    </row>
    <row r="131" spans="1:16">
      <c r="A131" s="99"/>
      <c r="B131" s="58"/>
      <c r="C131" s="58" t="str">
        <f t="array" aca="1" ref="C131" ca="1">IFERROR(INDEX('VEH98 Data'!G$3:G$3508, SMALL(IF('VEH98 Data'!$AG$3:$AG$3508="TRUE", ROW('VEH98 Data'!G$3:G$3508)-ROW('VEH98 Data'!G$3)+1),ROWS('VEH98 Data'!G$3:'VEH98 Data'!G119))),"")</f>
        <v/>
      </c>
      <c r="D131" s="58" t="str">
        <f t="array" aca="1" ref="D131" ca="1">IFERROR(INDEX('VEH98 Data'!I$3:I$3508, SMALL(IF('VEH98 Data'!$AG$3:$AG$3508="TRUE", ROW('VEH98 Data'!I$3:I$3508)-ROW('VEH98 Data'!I$3)+1),ROWS('VEH98 Data'!I$3:'VEH98 Data'!I119))),"")</f>
        <v/>
      </c>
      <c r="E131" s="58" t="str">
        <f t="array" aca="1" ref="E131" ca="1">IFERROR(INDEX('VEH98 Data'!J$3:J$3508, SMALL(IF('VEH98 Data'!$AG$3:$AG$3508="TRUE", ROW('VEH98 Data'!J$3:J$3508)-ROW('VEH98 Data'!J$3)+1),ROWS('VEH98 Data'!J$3:'VEH98 Data'!J119))),"")</f>
        <v/>
      </c>
      <c r="F131" s="58" t="str">
        <f t="array" aca="1" ref="F131" ca="1">IFERROR(INDEX('VEH98 Data'!K$3:K$3508, SMALL(IF('VEH98 Data'!$AG$3:$AG$3508="TRUE", ROW('VEH98 Data'!K$3:K$3508)-ROW('VEH98 Data'!K$3)+1),ROWS('VEH98 Data'!K$3:'VEH98 Data'!K119))),"")</f>
        <v/>
      </c>
      <c r="G131" s="654" t="str">
        <f t="array" aca="1" ref="G131" ca="1">IFERROR(INDEX('VEH98 Data'!R$3:R$3508, SMALL(IF('VEH98 Data'!$AG$3:$AG$3508="TRUE", ROW('VEH98 Data'!R$3:R$3508)-ROW('VEH98 Data'!R$3)+1),ROWS('VEH98 Data'!R$3:'VEH98 Data'!R119))),"")</f>
        <v/>
      </c>
      <c r="H131" s="654" t="str">
        <f t="array" aca="1" ref="H131" ca="1">IFERROR(INDEX('VEH98 Data'!Y$3:Y$3508, SMALL(IF('VEH98 Data'!$AG$3:$AG$3508="TRUE", ROW('VEH98 Data'!Y$3:Y$3508)-ROW('VEH98 Data'!Y$3)+1),ROWS('VEH98 Data'!Y$3:'VEH98 Data'!Y119))),"")</f>
        <v/>
      </c>
      <c r="I131" s="19"/>
      <c r="J131" s="652">
        <f t="array" aca="1" ref="J131" ca="1">IFERROR(INDEX('VEH98 Data'!H$3:H$3508, SMALL(IF('VEH98 Data'!$AH$3:$AH$3508="TRUE", ROW('VEH98 Data'!H$3:H$3508)-ROW('VEH98 Data'!H$3)+1),ROWS('VEH98 Data'!H$3:'VEH98 Data'!H225))),"")</f>
        <v>2019</v>
      </c>
      <c r="K131" s="652" t="str">
        <f t="array" aca="1" ref="K131" ca="1">IFERROR(INDEX('VEH98 Data'!G$3:G$3508, SMALL(IF('VEH98 Data'!$AH$3:$AH$3508="TRUE", ROW('VEH98 Data'!G$3:G$3508)-ROW('VEH98 Data'!G$3)+1),ROWS('VEH98 Data'!G$3:'VEH98 Data'!G225))),"")</f>
        <v>Ford</v>
      </c>
      <c r="L131" s="652" t="str">
        <f t="array" aca="1" ref="L131" ca="1">IFERROR(INDEX('VEH98 Data'!I$3:I$3508, SMALL(IF('VEH98 Data'!$AH$3:$AH$3508="TRUE", ROW('VEH98 Data'!I$3:I$3508)-ROW('VEH98 Data'!I$3)+1),ROWS('VEH98 Data'!I$3:'VEH98 Data'!I225))),"")</f>
        <v>Transit Connect Wagon</v>
      </c>
      <c r="M131" s="652" t="str">
        <f t="array" aca="1" ref="M131" ca="1">IFERROR(INDEX('VEH98 Data'!J$3:J$3508, SMALL(IF('VEH98 Data'!$AH$3:$AH$3508="TRUE", ROW('VEH98 Data'!J$3:J$3508)-ROW('VEH98 Data'!J$3)+1),ROWS('VEH98 Data'!J$3:'VEH98 Data'!J225))),"")</f>
        <v>XLT w/Rear Liftgate</v>
      </c>
      <c r="N131" s="652" t="str">
        <f t="array" aca="1" ref="N131" ca="1">IFERROR(INDEX('VEH98 Data'!K$3:K$3508, SMALL(IF('VEH98 Data'!$AH$3:$AH$3508="TRUE", ROW('VEH98 Data'!K$3:K$3508)-ROW('VEH98 Data'!K$3)+1),ROWS('VEH98 Data'!K$3:'VEH98 Data'!K225))),"")</f>
        <v>FWD</v>
      </c>
      <c r="O131" s="653" t="str">
        <f t="array" aca="1" ref="O131" ca="1">IFERROR(INDEX('VEH98 Data'!R$3:R$3508, SMALL(IF('VEH98 Data'!$AH$3:$AH$3508="TRUE", ROW('VEH98 Data'!R$3:R$3508)-ROW('VEH98 Data'!R$3)+1),ROWS('VEH98 Data'!R$3:'VEH98 Data'!R225))),"")</f>
        <v>1.5L Ecoblue Diesel</v>
      </c>
      <c r="P131" s="653">
        <f t="array" aca="1" ref="P131" ca="1">IFERROR(INDEX('VEH98 Data'!Y$3:Y$3508, SMALL(IF('VEH98 Data'!$AH$3:$AH$3508="TRUE", ROW('VEH98 Data'!Y$3:Y$3508)-ROW('VEH98 Data'!Y$3)+1),ROWS('VEH98 Data'!Y$3:'VEH98 Data'!Y225))),"")</f>
        <v>22</v>
      </c>
    </row>
    <row r="132" spans="1:16">
      <c r="A132" s="99"/>
      <c r="B132" s="652"/>
      <c r="C132" s="652" t="str">
        <f t="array" aca="1" ref="C132" ca="1">IFERROR(INDEX('VEH98 Data'!G$3:G$3508, SMALL(IF('VEH98 Data'!$AG$3:$AG$3508="TRUE", ROW('VEH98 Data'!G$3:G$3508)-ROW('VEH98 Data'!G$3)+1),ROWS('VEH98 Data'!G$3:'VEH98 Data'!G120))),"")</f>
        <v/>
      </c>
      <c r="D132" s="652" t="str">
        <f t="array" aca="1" ref="D132" ca="1">IFERROR(INDEX('VEH98 Data'!I$3:I$3508, SMALL(IF('VEH98 Data'!$AG$3:$AG$3508="TRUE", ROW('VEH98 Data'!I$3:I$3508)-ROW('VEH98 Data'!I$3)+1),ROWS('VEH98 Data'!I$3:'VEH98 Data'!I120))),"")</f>
        <v/>
      </c>
      <c r="E132" s="652" t="str">
        <f t="array" aca="1" ref="E132" ca="1">IFERROR(INDEX('VEH98 Data'!J$3:J$3508, SMALL(IF('VEH98 Data'!$AG$3:$AG$3508="TRUE", ROW('VEH98 Data'!J$3:J$3508)-ROW('VEH98 Data'!J$3)+1),ROWS('VEH98 Data'!J$3:'VEH98 Data'!J120))),"")</f>
        <v/>
      </c>
      <c r="F132" s="652" t="str">
        <f t="array" aca="1" ref="F132" ca="1">IFERROR(INDEX('VEH98 Data'!K$3:K$3508, SMALL(IF('VEH98 Data'!$AG$3:$AG$3508="TRUE", ROW('VEH98 Data'!K$3:K$3508)-ROW('VEH98 Data'!K$3)+1),ROWS('VEH98 Data'!K$3:'VEH98 Data'!K120))),"")</f>
        <v/>
      </c>
      <c r="G132" s="653" t="str">
        <f t="array" aca="1" ref="G132" ca="1">IFERROR(INDEX('VEH98 Data'!R$3:R$3508, SMALL(IF('VEH98 Data'!$AG$3:$AG$3508="TRUE", ROW('VEH98 Data'!R$3:R$3508)-ROW('VEH98 Data'!R$3)+1),ROWS('VEH98 Data'!R$3:'VEH98 Data'!R120))),"")</f>
        <v/>
      </c>
      <c r="H132" s="653" t="str">
        <f t="array" aca="1" ref="H132" ca="1">IFERROR(INDEX('VEH98 Data'!Y$3:Y$3508, SMALL(IF('VEH98 Data'!$AG$3:$AG$3508="TRUE", ROW('VEH98 Data'!Y$3:Y$3508)-ROW('VEH98 Data'!Y$3)+1),ROWS('VEH98 Data'!Y$3:'VEH98 Data'!Y120))),"")</f>
        <v/>
      </c>
      <c r="I132" s="19"/>
      <c r="J132" s="58">
        <f t="array" aca="1" ref="J132" ca="1">IFERROR(INDEX('VEH98 Data'!H$3:H$3508, SMALL(IF('VEH98 Data'!$AH$3:$AH$3508="TRUE", ROW('VEH98 Data'!H$3:H$3508)-ROW('VEH98 Data'!H$3)+1),ROWS('VEH98 Data'!H$3:'VEH98 Data'!H226))),"")</f>
        <v>2019</v>
      </c>
      <c r="K132" s="58" t="str">
        <f t="array" aca="1" ref="K132" ca="1">IFERROR(INDEX('VEH98 Data'!G$3:G$3508, SMALL(IF('VEH98 Data'!$AH$3:$AH$3508="TRUE", ROW('VEH98 Data'!G$3:G$3508)-ROW('VEH98 Data'!G$3)+1),ROWS('VEH98 Data'!G$3:'VEH98 Data'!G226))),"")</f>
        <v>Ford</v>
      </c>
      <c r="L132" s="58" t="str">
        <f t="array" aca="1" ref="L132" ca="1">IFERROR(INDEX('VEH98 Data'!I$3:I$3508, SMALL(IF('VEH98 Data'!$AH$3:$AH$3508="TRUE", ROW('VEH98 Data'!I$3:I$3508)-ROW('VEH98 Data'!I$3)+1),ROWS('VEH98 Data'!I$3:'VEH98 Data'!I226))),"")</f>
        <v>Transit Connect Wagon</v>
      </c>
      <c r="M132" s="58" t="str">
        <f t="array" aca="1" ref="M132" ca="1">IFERROR(INDEX('VEH98 Data'!J$3:J$3508, SMALL(IF('VEH98 Data'!$AH$3:$AH$3508="TRUE", ROW('VEH98 Data'!J$3:J$3508)-ROW('VEH98 Data'!J$3)+1),ROWS('VEH98 Data'!J$3:'VEH98 Data'!J226))),"")</f>
        <v>XLT w/Rear Liftgate</v>
      </c>
      <c r="N132" s="58" t="str">
        <f t="array" aca="1" ref="N132" ca="1">IFERROR(INDEX('VEH98 Data'!K$3:K$3508, SMALL(IF('VEH98 Data'!$AH$3:$AH$3508="TRUE", ROW('VEH98 Data'!K$3:K$3508)-ROW('VEH98 Data'!K$3)+1),ROWS('VEH98 Data'!K$3:'VEH98 Data'!K226))),"")</f>
        <v>FWD</v>
      </c>
      <c r="O132" s="654" t="str">
        <f t="array" aca="1" ref="O132" ca="1">IFERROR(INDEX('VEH98 Data'!R$3:R$3508, SMALL(IF('VEH98 Data'!$AH$3:$AH$3508="TRUE", ROW('VEH98 Data'!R$3:R$3508)-ROW('VEH98 Data'!R$3)+1),ROWS('VEH98 Data'!R$3:'VEH98 Data'!R226))),"")</f>
        <v xml:space="preserve">2.0L </v>
      </c>
      <c r="P132" s="654">
        <f t="array" aca="1" ref="P132" ca="1">IFERROR(INDEX('VEH98 Data'!Y$3:Y$3508, SMALL(IF('VEH98 Data'!$AH$3:$AH$3508="TRUE", ROW('VEH98 Data'!Y$3:Y$3508)-ROW('VEH98 Data'!Y$3)+1),ROWS('VEH98 Data'!Y$3:'VEH98 Data'!Y226))),"")</f>
        <v>24</v>
      </c>
    </row>
    <row r="133" spans="1:16">
      <c r="A133" s="99"/>
      <c r="B133" s="58"/>
      <c r="C133" s="58" t="str">
        <f t="array" aca="1" ref="C133" ca="1">IFERROR(INDEX('VEH98 Data'!G$3:G$3508, SMALL(IF('VEH98 Data'!$AG$3:$AG$3508="TRUE", ROW('VEH98 Data'!G$3:G$3508)-ROW('VEH98 Data'!G$3)+1),ROWS('VEH98 Data'!G$3:'VEH98 Data'!G121))),"")</f>
        <v/>
      </c>
      <c r="D133" s="58" t="str">
        <f t="array" aca="1" ref="D133" ca="1">IFERROR(INDEX('VEH98 Data'!I$3:I$3508, SMALL(IF('VEH98 Data'!$AG$3:$AG$3508="TRUE", ROW('VEH98 Data'!I$3:I$3508)-ROW('VEH98 Data'!I$3)+1),ROWS('VEH98 Data'!I$3:'VEH98 Data'!I121))),"")</f>
        <v/>
      </c>
      <c r="E133" s="58" t="str">
        <f t="array" aca="1" ref="E133" ca="1">IFERROR(INDEX('VEH98 Data'!J$3:J$3508, SMALL(IF('VEH98 Data'!$AG$3:$AG$3508="TRUE", ROW('VEH98 Data'!J$3:J$3508)-ROW('VEH98 Data'!J$3)+1),ROWS('VEH98 Data'!J$3:'VEH98 Data'!J121))),"")</f>
        <v/>
      </c>
      <c r="F133" s="58" t="str">
        <f t="array" aca="1" ref="F133" ca="1">IFERROR(INDEX('VEH98 Data'!K$3:K$3508, SMALL(IF('VEH98 Data'!$AG$3:$AG$3508="TRUE", ROW('VEH98 Data'!K$3:K$3508)-ROW('VEH98 Data'!K$3)+1),ROWS('VEH98 Data'!K$3:'VEH98 Data'!K121))),"")</f>
        <v/>
      </c>
      <c r="G133" s="654" t="str">
        <f t="array" aca="1" ref="G133" ca="1">IFERROR(INDEX('VEH98 Data'!R$3:R$3508, SMALL(IF('VEH98 Data'!$AG$3:$AG$3508="TRUE", ROW('VEH98 Data'!R$3:R$3508)-ROW('VEH98 Data'!R$3)+1),ROWS('VEH98 Data'!R$3:'VEH98 Data'!R121))),"")</f>
        <v/>
      </c>
      <c r="H133" s="654" t="str">
        <f t="array" aca="1" ref="H133" ca="1">IFERROR(INDEX('VEH98 Data'!Y$3:Y$3508, SMALL(IF('VEH98 Data'!$AG$3:$AG$3508="TRUE", ROW('VEH98 Data'!Y$3:Y$3508)-ROW('VEH98 Data'!Y$3)+1),ROWS('VEH98 Data'!Y$3:'VEH98 Data'!Y121))),"")</f>
        <v/>
      </c>
      <c r="I133" s="19"/>
      <c r="J133" s="652">
        <f t="array" aca="1" ref="J133" ca="1">IFERROR(INDEX('VEH98 Data'!H$3:H$3508, SMALL(IF('VEH98 Data'!$AH$3:$AH$3508="TRUE", ROW('VEH98 Data'!H$3:H$3508)-ROW('VEH98 Data'!H$3)+1),ROWS('VEH98 Data'!H$3:'VEH98 Data'!H227))),"")</f>
        <v>2019</v>
      </c>
      <c r="K133" s="652" t="str">
        <f t="array" aca="1" ref="K133" ca="1">IFERROR(INDEX('VEH98 Data'!G$3:G$3508, SMALL(IF('VEH98 Data'!$AH$3:$AH$3508="TRUE", ROW('VEH98 Data'!G$3:G$3508)-ROW('VEH98 Data'!G$3)+1),ROWS('VEH98 Data'!G$3:'VEH98 Data'!G227))),"")</f>
        <v>Ford</v>
      </c>
      <c r="L133" s="652" t="str">
        <f t="array" aca="1" ref="L133" ca="1">IFERROR(INDEX('VEH98 Data'!I$3:I$3508, SMALL(IF('VEH98 Data'!$AH$3:$AH$3508="TRUE", ROW('VEH98 Data'!I$3:I$3508)-ROW('VEH98 Data'!I$3)+1),ROWS('VEH98 Data'!I$3:'VEH98 Data'!I227))),"")</f>
        <v>Transit Connect Wagon</v>
      </c>
      <c r="M133" s="652" t="str">
        <f t="array" aca="1" ref="M133" ca="1">IFERROR(INDEX('VEH98 Data'!J$3:J$3508, SMALL(IF('VEH98 Data'!$AH$3:$AH$3508="TRUE", ROW('VEH98 Data'!J$3:J$3508)-ROW('VEH98 Data'!J$3)+1),ROWS('VEH98 Data'!J$3:'VEH98 Data'!J227))),"")</f>
        <v>XLT w/Rear Liftgate</v>
      </c>
      <c r="N133" s="652" t="str">
        <f t="array" aca="1" ref="N133" ca="1">IFERROR(INDEX('VEH98 Data'!K$3:K$3508, SMALL(IF('VEH98 Data'!$AH$3:$AH$3508="TRUE", ROW('VEH98 Data'!K$3:K$3508)-ROW('VEH98 Data'!K$3)+1),ROWS('VEH98 Data'!K$3:'VEH98 Data'!K227))),"")</f>
        <v>FWD</v>
      </c>
      <c r="O133" s="653" t="str">
        <f t="array" aca="1" ref="O133" ca="1">IFERROR(INDEX('VEH98 Data'!R$3:R$3508, SMALL(IF('VEH98 Data'!$AH$3:$AH$3508="TRUE", ROW('VEH98 Data'!R$3:R$3508)-ROW('VEH98 Data'!R$3)+1),ROWS('VEH98 Data'!R$3:'VEH98 Data'!R227))),"")</f>
        <v>2.5L</v>
      </c>
      <c r="P133" s="653">
        <f t="array" aca="1" ref="P133" ca="1">IFERROR(INDEX('VEH98 Data'!Y$3:Y$3508, SMALL(IF('VEH98 Data'!$AH$3:$AH$3508="TRUE", ROW('VEH98 Data'!Y$3:Y$3508)-ROW('VEH98 Data'!Y$3)+1),ROWS('VEH98 Data'!Y$3:'VEH98 Data'!Y227))),"")</f>
        <v>22</v>
      </c>
    </row>
    <row r="134" spans="1:16">
      <c r="A134" s="99"/>
      <c r="B134" s="652"/>
      <c r="C134" s="652" t="str">
        <f t="array" aca="1" ref="C134" ca="1">IFERROR(INDEX('VEH98 Data'!G$3:G$3508, SMALL(IF('VEH98 Data'!$AG$3:$AG$3508="TRUE", ROW('VEH98 Data'!G$3:G$3508)-ROW('VEH98 Data'!G$3)+1),ROWS('VEH98 Data'!G$3:'VEH98 Data'!G122))),"")</f>
        <v/>
      </c>
      <c r="D134" s="652" t="str">
        <f t="array" aca="1" ref="D134" ca="1">IFERROR(INDEX('VEH98 Data'!I$3:I$3508, SMALL(IF('VEH98 Data'!$AG$3:$AG$3508="TRUE", ROW('VEH98 Data'!I$3:I$3508)-ROW('VEH98 Data'!I$3)+1),ROWS('VEH98 Data'!I$3:'VEH98 Data'!I122))),"")</f>
        <v/>
      </c>
      <c r="E134" s="652" t="str">
        <f t="array" aca="1" ref="E134" ca="1">IFERROR(INDEX('VEH98 Data'!J$3:J$3508, SMALL(IF('VEH98 Data'!$AG$3:$AG$3508="TRUE", ROW('VEH98 Data'!J$3:J$3508)-ROW('VEH98 Data'!J$3)+1),ROWS('VEH98 Data'!J$3:'VEH98 Data'!J122))),"")</f>
        <v/>
      </c>
      <c r="F134" s="652" t="str">
        <f t="array" aca="1" ref="F134" ca="1">IFERROR(INDEX('VEH98 Data'!K$3:K$3508, SMALL(IF('VEH98 Data'!$AG$3:$AG$3508="TRUE", ROW('VEH98 Data'!K$3:K$3508)-ROW('VEH98 Data'!K$3)+1),ROWS('VEH98 Data'!K$3:'VEH98 Data'!K122))),"")</f>
        <v/>
      </c>
      <c r="G134" s="653" t="str">
        <f t="array" aca="1" ref="G134" ca="1">IFERROR(INDEX('VEH98 Data'!R$3:R$3508, SMALL(IF('VEH98 Data'!$AG$3:$AG$3508="TRUE", ROW('VEH98 Data'!R$3:R$3508)-ROW('VEH98 Data'!R$3)+1),ROWS('VEH98 Data'!R$3:'VEH98 Data'!R122))),"")</f>
        <v/>
      </c>
      <c r="H134" s="653" t="str">
        <f t="array" aca="1" ref="H134" ca="1">IFERROR(INDEX('VEH98 Data'!Y$3:Y$3508, SMALL(IF('VEH98 Data'!$AG$3:$AG$3508="TRUE", ROW('VEH98 Data'!Y$3:Y$3508)-ROW('VEH98 Data'!Y$3)+1),ROWS('VEH98 Data'!Y$3:'VEH98 Data'!Y122))),"")</f>
        <v/>
      </c>
      <c r="I134" s="19"/>
      <c r="J134" s="58">
        <f t="array" aca="1" ref="J134" ca="1">IFERROR(INDEX('VEH98 Data'!H$3:H$3508, SMALL(IF('VEH98 Data'!$AH$3:$AH$3508="TRUE", ROW('VEH98 Data'!H$3:H$3508)-ROW('VEH98 Data'!H$3)+1),ROWS('VEH98 Data'!H$3:'VEH98 Data'!H228))),"")</f>
        <v>2019</v>
      </c>
      <c r="K134" s="58" t="str">
        <f t="array" aca="1" ref="K134" ca="1">IFERROR(INDEX('VEH98 Data'!G$3:G$3508, SMALL(IF('VEH98 Data'!$AH$3:$AH$3508="TRUE", ROW('VEH98 Data'!G$3:G$3508)-ROW('VEH98 Data'!G$3)+1),ROWS('VEH98 Data'!G$3:'VEH98 Data'!G228))),"")</f>
        <v>Ford</v>
      </c>
      <c r="L134" s="58" t="str">
        <f t="array" aca="1" ref="L134" ca="1">IFERROR(INDEX('VEH98 Data'!I$3:I$3508, SMALL(IF('VEH98 Data'!$AH$3:$AH$3508="TRUE", ROW('VEH98 Data'!I$3:I$3508)-ROW('VEH98 Data'!I$3)+1),ROWS('VEH98 Data'!I$3:'VEH98 Data'!I228))),"")</f>
        <v>Transit Connect Wagon</v>
      </c>
      <c r="M134" s="58" t="str">
        <f t="array" aca="1" ref="M134" ca="1">IFERROR(INDEX('VEH98 Data'!J$3:J$3508, SMALL(IF('VEH98 Data'!$AH$3:$AH$3508="TRUE", ROW('VEH98 Data'!J$3:J$3508)-ROW('VEH98 Data'!J$3)+1),ROWS('VEH98 Data'!J$3:'VEH98 Data'!J228))),"")</f>
        <v>XLT w/Symmetrical Rear Drs</v>
      </c>
      <c r="N134" s="58" t="str">
        <f t="array" aca="1" ref="N134" ca="1">IFERROR(INDEX('VEH98 Data'!K$3:K$3508, SMALL(IF('VEH98 Data'!$AH$3:$AH$3508="TRUE", ROW('VEH98 Data'!K$3:K$3508)-ROW('VEH98 Data'!K$3)+1),ROWS('VEH98 Data'!K$3:'VEH98 Data'!K228))),"")</f>
        <v>FWD</v>
      </c>
      <c r="O134" s="654" t="str">
        <f t="array" aca="1" ref="O134" ca="1">IFERROR(INDEX('VEH98 Data'!R$3:R$3508, SMALL(IF('VEH98 Data'!$AH$3:$AH$3508="TRUE", ROW('VEH98 Data'!R$3:R$3508)-ROW('VEH98 Data'!R$3)+1),ROWS('VEH98 Data'!R$3:'VEH98 Data'!R228))),"")</f>
        <v>1.5L Ecoblue Diesel</v>
      </c>
      <c r="P134" s="654">
        <f t="array" aca="1" ref="P134" ca="1">IFERROR(INDEX('VEH98 Data'!Y$3:Y$3508, SMALL(IF('VEH98 Data'!$AH$3:$AH$3508="TRUE", ROW('VEH98 Data'!Y$3:Y$3508)-ROW('VEH98 Data'!Y$3)+1),ROWS('VEH98 Data'!Y$3:'VEH98 Data'!Y228))),"")</f>
        <v>22</v>
      </c>
    </row>
    <row r="135" spans="1:16">
      <c r="A135" s="99"/>
      <c r="B135" s="58"/>
      <c r="C135" s="58" t="str">
        <f t="array" aca="1" ref="C135" ca="1">IFERROR(INDEX('VEH98 Data'!G$3:G$3508, SMALL(IF('VEH98 Data'!$AG$3:$AG$3508="TRUE", ROW('VEH98 Data'!G$3:G$3508)-ROW('VEH98 Data'!G$3)+1),ROWS('VEH98 Data'!G$3:'VEH98 Data'!G123))),"")</f>
        <v/>
      </c>
      <c r="D135" s="58" t="str">
        <f t="array" aca="1" ref="D135" ca="1">IFERROR(INDEX('VEH98 Data'!I$3:I$3508, SMALL(IF('VEH98 Data'!$AG$3:$AG$3508="TRUE", ROW('VEH98 Data'!I$3:I$3508)-ROW('VEH98 Data'!I$3)+1),ROWS('VEH98 Data'!I$3:'VEH98 Data'!I123))),"")</f>
        <v/>
      </c>
      <c r="E135" s="58" t="str">
        <f t="array" aca="1" ref="E135" ca="1">IFERROR(INDEX('VEH98 Data'!J$3:J$3508, SMALL(IF('VEH98 Data'!$AG$3:$AG$3508="TRUE", ROW('VEH98 Data'!J$3:J$3508)-ROW('VEH98 Data'!J$3)+1),ROWS('VEH98 Data'!J$3:'VEH98 Data'!J123))),"")</f>
        <v/>
      </c>
      <c r="F135" s="58" t="str">
        <f t="array" aca="1" ref="F135" ca="1">IFERROR(INDEX('VEH98 Data'!K$3:K$3508, SMALL(IF('VEH98 Data'!$AG$3:$AG$3508="TRUE", ROW('VEH98 Data'!K$3:K$3508)-ROW('VEH98 Data'!K$3)+1),ROWS('VEH98 Data'!K$3:'VEH98 Data'!K123))),"")</f>
        <v/>
      </c>
      <c r="G135" s="654" t="str">
        <f t="array" aca="1" ref="G135" ca="1">IFERROR(INDEX('VEH98 Data'!R$3:R$3508, SMALL(IF('VEH98 Data'!$AG$3:$AG$3508="TRUE", ROW('VEH98 Data'!R$3:R$3508)-ROW('VEH98 Data'!R$3)+1),ROWS('VEH98 Data'!R$3:'VEH98 Data'!R123))),"")</f>
        <v/>
      </c>
      <c r="H135" s="654" t="str">
        <f t="array" aca="1" ref="H135" ca="1">IFERROR(INDEX('VEH98 Data'!Y$3:Y$3508, SMALL(IF('VEH98 Data'!$AG$3:$AG$3508="TRUE", ROW('VEH98 Data'!Y$3:Y$3508)-ROW('VEH98 Data'!Y$3)+1),ROWS('VEH98 Data'!Y$3:'VEH98 Data'!Y123))),"")</f>
        <v/>
      </c>
      <c r="I135" s="19"/>
      <c r="J135" s="652">
        <f t="array" aca="1" ref="J135" ca="1">IFERROR(INDEX('VEH98 Data'!H$3:H$3508, SMALL(IF('VEH98 Data'!$AH$3:$AH$3508="TRUE", ROW('VEH98 Data'!H$3:H$3508)-ROW('VEH98 Data'!H$3)+1),ROWS('VEH98 Data'!H$3:'VEH98 Data'!H229))),"")</f>
        <v>2019</v>
      </c>
      <c r="K135" s="652" t="str">
        <f t="array" aca="1" ref="K135" ca="1">IFERROR(INDEX('VEH98 Data'!G$3:G$3508, SMALL(IF('VEH98 Data'!$AH$3:$AH$3508="TRUE", ROW('VEH98 Data'!G$3:G$3508)-ROW('VEH98 Data'!G$3)+1),ROWS('VEH98 Data'!G$3:'VEH98 Data'!G229))),"")</f>
        <v>Ford</v>
      </c>
      <c r="L135" s="652" t="str">
        <f t="array" aca="1" ref="L135" ca="1">IFERROR(INDEX('VEH98 Data'!I$3:I$3508, SMALL(IF('VEH98 Data'!$AH$3:$AH$3508="TRUE", ROW('VEH98 Data'!I$3:I$3508)-ROW('VEH98 Data'!I$3)+1),ROWS('VEH98 Data'!I$3:'VEH98 Data'!I229))),"")</f>
        <v>Transit Connect Wagon</v>
      </c>
      <c r="M135" s="652" t="str">
        <f t="array" aca="1" ref="M135" ca="1">IFERROR(INDEX('VEH98 Data'!J$3:J$3508, SMALL(IF('VEH98 Data'!$AH$3:$AH$3508="TRUE", ROW('VEH98 Data'!J$3:J$3508)-ROW('VEH98 Data'!J$3)+1),ROWS('VEH98 Data'!J$3:'VEH98 Data'!J229))),"")</f>
        <v>XLT w/Symmetrical Rear Drs</v>
      </c>
      <c r="N135" s="652" t="str">
        <f t="array" aca="1" ref="N135" ca="1">IFERROR(INDEX('VEH98 Data'!K$3:K$3508, SMALL(IF('VEH98 Data'!$AH$3:$AH$3508="TRUE", ROW('VEH98 Data'!K$3:K$3508)-ROW('VEH98 Data'!K$3)+1),ROWS('VEH98 Data'!K$3:'VEH98 Data'!K229))),"")</f>
        <v>FWD</v>
      </c>
      <c r="O135" s="653" t="str">
        <f t="array" aca="1" ref="O135" ca="1">IFERROR(INDEX('VEH98 Data'!R$3:R$3508, SMALL(IF('VEH98 Data'!$AH$3:$AH$3508="TRUE", ROW('VEH98 Data'!R$3:R$3508)-ROW('VEH98 Data'!R$3)+1),ROWS('VEH98 Data'!R$3:'VEH98 Data'!R229))),"")</f>
        <v>1.5L Ecoblue Diesel</v>
      </c>
      <c r="P135" s="653">
        <f t="array" aca="1" ref="P135" ca="1">IFERROR(INDEX('VEH98 Data'!Y$3:Y$3508, SMALL(IF('VEH98 Data'!$AH$3:$AH$3508="TRUE", ROW('VEH98 Data'!Y$3:Y$3508)-ROW('VEH98 Data'!Y$3)+1),ROWS('VEH98 Data'!Y$3:'VEH98 Data'!Y229))),"")</f>
        <v>22</v>
      </c>
    </row>
    <row r="136" spans="1:16">
      <c r="A136" s="99"/>
      <c r="B136" s="652"/>
      <c r="C136" s="652" t="str">
        <f t="array" aca="1" ref="C136" ca="1">IFERROR(INDEX('VEH98 Data'!G$3:G$3508, SMALL(IF('VEH98 Data'!$AG$3:$AG$3508="TRUE", ROW('VEH98 Data'!G$3:G$3508)-ROW('VEH98 Data'!G$3)+1),ROWS('VEH98 Data'!G$3:'VEH98 Data'!G124))),"")</f>
        <v/>
      </c>
      <c r="D136" s="652" t="str">
        <f t="array" aca="1" ref="D136" ca="1">IFERROR(INDEX('VEH98 Data'!I$3:I$3508, SMALL(IF('VEH98 Data'!$AG$3:$AG$3508="TRUE", ROW('VEH98 Data'!I$3:I$3508)-ROW('VEH98 Data'!I$3)+1),ROWS('VEH98 Data'!I$3:'VEH98 Data'!I124))),"")</f>
        <v/>
      </c>
      <c r="E136" s="652" t="str">
        <f t="array" aca="1" ref="E136" ca="1">IFERROR(INDEX('VEH98 Data'!J$3:J$3508, SMALL(IF('VEH98 Data'!$AG$3:$AG$3508="TRUE", ROW('VEH98 Data'!J$3:J$3508)-ROW('VEH98 Data'!J$3)+1),ROWS('VEH98 Data'!J$3:'VEH98 Data'!J124))),"")</f>
        <v/>
      </c>
      <c r="F136" s="652" t="str">
        <f t="array" aca="1" ref="F136" ca="1">IFERROR(INDEX('VEH98 Data'!K$3:K$3508, SMALL(IF('VEH98 Data'!$AG$3:$AG$3508="TRUE", ROW('VEH98 Data'!K$3:K$3508)-ROW('VEH98 Data'!K$3)+1),ROWS('VEH98 Data'!K$3:'VEH98 Data'!K124))),"")</f>
        <v/>
      </c>
      <c r="G136" s="653" t="str">
        <f t="array" aca="1" ref="G136" ca="1">IFERROR(INDEX('VEH98 Data'!R$3:R$3508, SMALL(IF('VEH98 Data'!$AG$3:$AG$3508="TRUE", ROW('VEH98 Data'!R$3:R$3508)-ROW('VEH98 Data'!R$3)+1),ROWS('VEH98 Data'!R$3:'VEH98 Data'!R124))),"")</f>
        <v/>
      </c>
      <c r="H136" s="653" t="str">
        <f t="array" aca="1" ref="H136" ca="1">IFERROR(INDEX('VEH98 Data'!Y$3:Y$3508, SMALL(IF('VEH98 Data'!$AG$3:$AG$3508="TRUE", ROW('VEH98 Data'!Y$3:Y$3508)-ROW('VEH98 Data'!Y$3)+1),ROWS('VEH98 Data'!Y$3:'VEH98 Data'!Y124))),"")</f>
        <v/>
      </c>
      <c r="I136" s="19"/>
      <c r="J136" s="58">
        <f t="array" aca="1" ref="J136" ca="1">IFERROR(INDEX('VEH98 Data'!H$3:H$3508, SMALL(IF('VEH98 Data'!$AH$3:$AH$3508="TRUE", ROW('VEH98 Data'!H$3:H$3508)-ROW('VEH98 Data'!H$3)+1),ROWS('VEH98 Data'!H$3:'VEH98 Data'!H230))),"")</f>
        <v>2019</v>
      </c>
      <c r="K136" s="58" t="str">
        <f t="array" aca="1" ref="K136" ca="1">IFERROR(INDEX('VEH98 Data'!G$3:G$3508, SMALL(IF('VEH98 Data'!$AH$3:$AH$3508="TRUE", ROW('VEH98 Data'!G$3:G$3508)-ROW('VEH98 Data'!G$3)+1),ROWS('VEH98 Data'!G$3:'VEH98 Data'!G230))),"")</f>
        <v>Ford</v>
      </c>
      <c r="L136" s="58" t="str">
        <f t="array" aca="1" ref="L136" ca="1">IFERROR(INDEX('VEH98 Data'!I$3:I$3508, SMALL(IF('VEH98 Data'!$AH$3:$AH$3508="TRUE", ROW('VEH98 Data'!I$3:I$3508)-ROW('VEH98 Data'!I$3)+1),ROWS('VEH98 Data'!I$3:'VEH98 Data'!I230))),"")</f>
        <v>Transit Connect Wagon</v>
      </c>
      <c r="M136" s="58" t="str">
        <f t="array" aca="1" ref="M136" ca="1">IFERROR(INDEX('VEH98 Data'!J$3:J$3508, SMALL(IF('VEH98 Data'!$AH$3:$AH$3508="TRUE", ROW('VEH98 Data'!J$3:J$3508)-ROW('VEH98 Data'!J$3)+1),ROWS('VEH98 Data'!J$3:'VEH98 Data'!J230))),"")</f>
        <v>XLT w/Symmetrical Rear Drs</v>
      </c>
      <c r="N136" s="58" t="str">
        <f t="array" aca="1" ref="N136" ca="1">IFERROR(INDEX('VEH98 Data'!K$3:K$3508, SMALL(IF('VEH98 Data'!$AH$3:$AH$3508="TRUE", ROW('VEH98 Data'!K$3:K$3508)-ROW('VEH98 Data'!K$3)+1),ROWS('VEH98 Data'!K$3:'VEH98 Data'!K230))),"")</f>
        <v>FWD</v>
      </c>
      <c r="O136" s="654" t="str">
        <f t="array" aca="1" ref="O136" ca="1">IFERROR(INDEX('VEH98 Data'!R$3:R$3508, SMALL(IF('VEH98 Data'!$AH$3:$AH$3508="TRUE", ROW('VEH98 Data'!R$3:R$3508)-ROW('VEH98 Data'!R$3)+1),ROWS('VEH98 Data'!R$3:'VEH98 Data'!R230))),"")</f>
        <v xml:space="preserve">2.0L </v>
      </c>
      <c r="P136" s="654">
        <f t="array" aca="1" ref="P136" ca="1">IFERROR(INDEX('VEH98 Data'!Y$3:Y$3508, SMALL(IF('VEH98 Data'!$AH$3:$AH$3508="TRUE", ROW('VEH98 Data'!Y$3:Y$3508)-ROW('VEH98 Data'!Y$3)+1),ROWS('VEH98 Data'!Y$3:'VEH98 Data'!Y230))),"")</f>
        <v>24</v>
      </c>
    </row>
    <row r="137" spans="1:16">
      <c r="A137" s="99"/>
      <c r="B137" s="58"/>
      <c r="C137" s="58" t="str">
        <f t="array" aca="1" ref="C137" ca="1">IFERROR(INDEX('VEH98 Data'!G$3:G$3508, SMALL(IF('VEH98 Data'!$AG$3:$AG$3508="TRUE", ROW('VEH98 Data'!G$3:G$3508)-ROW('VEH98 Data'!G$3)+1),ROWS('VEH98 Data'!G$3:'VEH98 Data'!G125))),"")</f>
        <v/>
      </c>
      <c r="D137" s="58" t="str">
        <f t="array" aca="1" ref="D137" ca="1">IFERROR(INDEX('VEH98 Data'!I$3:I$3508, SMALL(IF('VEH98 Data'!$AG$3:$AG$3508="TRUE", ROW('VEH98 Data'!I$3:I$3508)-ROW('VEH98 Data'!I$3)+1),ROWS('VEH98 Data'!I$3:'VEH98 Data'!I125))),"")</f>
        <v/>
      </c>
      <c r="E137" s="58" t="str">
        <f t="array" aca="1" ref="E137" ca="1">IFERROR(INDEX('VEH98 Data'!J$3:J$3508, SMALL(IF('VEH98 Data'!$AG$3:$AG$3508="TRUE", ROW('VEH98 Data'!J$3:J$3508)-ROW('VEH98 Data'!J$3)+1),ROWS('VEH98 Data'!J$3:'VEH98 Data'!J125))),"")</f>
        <v/>
      </c>
      <c r="F137" s="58" t="str">
        <f t="array" aca="1" ref="F137" ca="1">IFERROR(INDEX('VEH98 Data'!K$3:K$3508, SMALL(IF('VEH98 Data'!$AG$3:$AG$3508="TRUE", ROW('VEH98 Data'!K$3:K$3508)-ROW('VEH98 Data'!K$3)+1),ROWS('VEH98 Data'!K$3:'VEH98 Data'!K125))),"")</f>
        <v/>
      </c>
      <c r="G137" s="654" t="str">
        <f t="array" aca="1" ref="G137" ca="1">IFERROR(INDEX('VEH98 Data'!R$3:R$3508, SMALL(IF('VEH98 Data'!$AG$3:$AG$3508="TRUE", ROW('VEH98 Data'!R$3:R$3508)-ROW('VEH98 Data'!R$3)+1),ROWS('VEH98 Data'!R$3:'VEH98 Data'!R125))),"")</f>
        <v/>
      </c>
      <c r="H137" s="654" t="str">
        <f t="array" aca="1" ref="H137" ca="1">IFERROR(INDEX('VEH98 Data'!Y$3:Y$3508, SMALL(IF('VEH98 Data'!$AG$3:$AG$3508="TRUE", ROW('VEH98 Data'!Y$3:Y$3508)-ROW('VEH98 Data'!Y$3)+1),ROWS('VEH98 Data'!Y$3:'VEH98 Data'!Y125))),"")</f>
        <v/>
      </c>
      <c r="I137" s="19"/>
      <c r="J137" s="652">
        <f t="array" aca="1" ref="J137" ca="1">IFERROR(INDEX('VEH98 Data'!H$3:H$3508, SMALL(IF('VEH98 Data'!$AH$3:$AH$3508="TRUE", ROW('VEH98 Data'!H$3:H$3508)-ROW('VEH98 Data'!H$3)+1),ROWS('VEH98 Data'!H$3:'VEH98 Data'!H231))),"")</f>
        <v>2019</v>
      </c>
      <c r="K137" s="652" t="str">
        <f t="array" aca="1" ref="K137" ca="1">IFERROR(INDEX('VEH98 Data'!G$3:G$3508, SMALL(IF('VEH98 Data'!$AH$3:$AH$3508="TRUE", ROW('VEH98 Data'!G$3:G$3508)-ROW('VEH98 Data'!G$3)+1),ROWS('VEH98 Data'!G$3:'VEH98 Data'!G231))),"")</f>
        <v>Ford</v>
      </c>
      <c r="L137" s="652" t="str">
        <f t="array" aca="1" ref="L137" ca="1">IFERROR(INDEX('VEH98 Data'!I$3:I$3508, SMALL(IF('VEH98 Data'!$AH$3:$AH$3508="TRUE", ROW('VEH98 Data'!I$3:I$3508)-ROW('VEH98 Data'!I$3)+1),ROWS('VEH98 Data'!I$3:'VEH98 Data'!I231))),"")</f>
        <v>Transit Connect Wagon</v>
      </c>
      <c r="M137" s="652" t="str">
        <f t="array" aca="1" ref="M137" ca="1">IFERROR(INDEX('VEH98 Data'!J$3:J$3508, SMALL(IF('VEH98 Data'!$AH$3:$AH$3508="TRUE", ROW('VEH98 Data'!J$3:J$3508)-ROW('VEH98 Data'!J$3)+1),ROWS('VEH98 Data'!J$3:'VEH98 Data'!J231))),"")</f>
        <v>XLT w/Symmetrical Rear Drs</v>
      </c>
      <c r="N137" s="652" t="str">
        <f t="array" aca="1" ref="N137" ca="1">IFERROR(INDEX('VEH98 Data'!K$3:K$3508, SMALL(IF('VEH98 Data'!$AH$3:$AH$3508="TRUE", ROW('VEH98 Data'!K$3:K$3508)-ROW('VEH98 Data'!K$3)+1),ROWS('VEH98 Data'!K$3:'VEH98 Data'!K231))),"")</f>
        <v>FWD</v>
      </c>
      <c r="O137" s="653" t="str">
        <f t="array" aca="1" ref="O137" ca="1">IFERROR(INDEX('VEH98 Data'!R$3:R$3508, SMALL(IF('VEH98 Data'!$AH$3:$AH$3508="TRUE", ROW('VEH98 Data'!R$3:R$3508)-ROW('VEH98 Data'!R$3)+1),ROWS('VEH98 Data'!R$3:'VEH98 Data'!R231))),"")</f>
        <v>1.5L</v>
      </c>
      <c r="P137" s="653">
        <f t="array" aca="1" ref="P137" ca="1">IFERROR(INDEX('VEH98 Data'!Y$3:Y$3508, SMALL(IF('VEH98 Data'!$AH$3:$AH$3508="TRUE", ROW('VEH98 Data'!Y$3:Y$3508)-ROW('VEH98 Data'!Y$3)+1),ROWS('VEH98 Data'!Y$3:'VEH98 Data'!Y231))),"")</f>
        <v>22</v>
      </c>
    </row>
    <row r="138" spans="1:16">
      <c r="A138" s="99"/>
      <c r="B138" s="652"/>
      <c r="C138" s="652" t="str">
        <f t="array" aca="1" ref="C138" ca="1">IFERROR(INDEX('VEH98 Data'!G$3:G$3508, SMALL(IF('VEH98 Data'!$AG$3:$AG$3508="TRUE", ROW('VEH98 Data'!G$3:G$3508)-ROW('VEH98 Data'!G$3)+1),ROWS('VEH98 Data'!G$3:'VEH98 Data'!G126))),"")</f>
        <v/>
      </c>
      <c r="D138" s="652" t="str">
        <f t="array" aca="1" ref="D138" ca="1">IFERROR(INDEX('VEH98 Data'!I$3:I$3508, SMALL(IF('VEH98 Data'!$AG$3:$AG$3508="TRUE", ROW('VEH98 Data'!I$3:I$3508)-ROW('VEH98 Data'!I$3)+1),ROWS('VEH98 Data'!I$3:'VEH98 Data'!I126))),"")</f>
        <v/>
      </c>
      <c r="E138" s="652" t="str">
        <f t="array" aca="1" ref="E138" ca="1">IFERROR(INDEX('VEH98 Data'!J$3:J$3508, SMALL(IF('VEH98 Data'!$AG$3:$AG$3508="TRUE", ROW('VEH98 Data'!J$3:J$3508)-ROW('VEH98 Data'!J$3)+1),ROWS('VEH98 Data'!J$3:'VEH98 Data'!J126))),"")</f>
        <v/>
      </c>
      <c r="F138" s="652" t="str">
        <f t="array" aca="1" ref="F138" ca="1">IFERROR(INDEX('VEH98 Data'!K$3:K$3508, SMALL(IF('VEH98 Data'!$AG$3:$AG$3508="TRUE", ROW('VEH98 Data'!K$3:K$3508)-ROW('VEH98 Data'!K$3)+1),ROWS('VEH98 Data'!K$3:'VEH98 Data'!K126))),"")</f>
        <v/>
      </c>
      <c r="G138" s="653" t="str">
        <f t="array" aca="1" ref="G138" ca="1">IFERROR(INDEX('VEH98 Data'!R$3:R$3508, SMALL(IF('VEH98 Data'!$AG$3:$AG$3508="TRUE", ROW('VEH98 Data'!R$3:R$3508)-ROW('VEH98 Data'!R$3)+1),ROWS('VEH98 Data'!R$3:'VEH98 Data'!R126))),"")</f>
        <v/>
      </c>
      <c r="H138" s="653" t="str">
        <f t="array" aca="1" ref="H138" ca="1">IFERROR(INDEX('VEH98 Data'!Y$3:Y$3508, SMALL(IF('VEH98 Data'!$AG$3:$AG$3508="TRUE", ROW('VEH98 Data'!Y$3:Y$3508)-ROW('VEH98 Data'!Y$3)+1),ROWS('VEH98 Data'!Y$3:'VEH98 Data'!Y126))),"")</f>
        <v/>
      </c>
      <c r="I138" s="19"/>
      <c r="J138" s="58">
        <f t="array" aca="1" ref="J138" ca="1">IFERROR(INDEX('VEH98 Data'!H$3:H$3508, SMALL(IF('VEH98 Data'!$AH$3:$AH$3508="TRUE", ROW('VEH98 Data'!H$3:H$3508)-ROW('VEH98 Data'!H$3)+1),ROWS('VEH98 Data'!H$3:'VEH98 Data'!H232))),"")</f>
        <v>2019</v>
      </c>
      <c r="K138" s="58" t="str">
        <f t="array" aca="1" ref="K138" ca="1">IFERROR(INDEX('VEH98 Data'!G$3:G$3508, SMALL(IF('VEH98 Data'!$AH$3:$AH$3508="TRUE", ROW('VEH98 Data'!G$3:G$3508)-ROW('VEH98 Data'!G$3)+1),ROWS('VEH98 Data'!G$3:'VEH98 Data'!G232))),"")</f>
        <v>Honda</v>
      </c>
      <c r="L138" s="58" t="str">
        <f t="array" aca="1" ref="L138" ca="1">IFERROR(INDEX('VEH98 Data'!I$3:I$3508, SMALL(IF('VEH98 Data'!$AH$3:$AH$3508="TRUE", ROW('VEH98 Data'!I$3:I$3508)-ROW('VEH98 Data'!I$3)+1),ROWS('VEH98 Data'!I$3:'VEH98 Data'!I232))),"")</f>
        <v>Odyssey</v>
      </c>
      <c r="M138" s="58" t="str">
        <f t="array" aca="1" ref="M138" ca="1">IFERROR(INDEX('VEH98 Data'!J$3:J$3508, SMALL(IF('VEH98 Data'!$AH$3:$AH$3508="TRUE", ROW('VEH98 Data'!J$3:J$3508)-ROW('VEH98 Data'!J$3)+1),ROWS('VEH98 Data'!J$3:'VEH98 Data'!J232))),"")</f>
        <v>LX Auto</v>
      </c>
      <c r="N138" s="58" t="str">
        <f t="array" aca="1" ref="N138" ca="1">IFERROR(INDEX('VEH98 Data'!K$3:K$3508, SMALL(IF('VEH98 Data'!$AH$3:$AH$3508="TRUE", ROW('VEH98 Data'!K$3:K$3508)-ROW('VEH98 Data'!K$3)+1),ROWS('VEH98 Data'!K$3:'VEH98 Data'!K232))),"")</f>
        <v>FWD</v>
      </c>
      <c r="O138" s="654" t="str">
        <f t="array" aca="1" ref="O138" ca="1">IFERROR(INDEX('VEH98 Data'!R$3:R$3508, SMALL(IF('VEH98 Data'!$AH$3:$AH$3508="TRUE", ROW('VEH98 Data'!R$3:R$3508)-ROW('VEH98 Data'!R$3)+1),ROWS('VEH98 Data'!R$3:'VEH98 Data'!R232))),"")</f>
        <v>3.5L</v>
      </c>
      <c r="P138" s="654">
        <f t="array" aca="1" ref="P138" ca="1">IFERROR(INDEX('VEH98 Data'!Y$3:Y$3508, SMALL(IF('VEH98 Data'!$AH$3:$AH$3508="TRUE", ROW('VEH98 Data'!Y$3:Y$3508)-ROW('VEH98 Data'!Y$3)+1),ROWS('VEH98 Data'!Y$3:'VEH98 Data'!Y232))),"")</f>
        <v>22</v>
      </c>
    </row>
    <row r="139" spans="1:16">
      <c r="A139" s="99"/>
      <c r="B139" s="58"/>
      <c r="C139" s="58" t="str">
        <f t="array" aca="1" ref="C139" ca="1">IFERROR(INDEX('VEH98 Data'!G$3:G$3508, SMALL(IF('VEH98 Data'!$AG$3:$AG$3508="TRUE", ROW('VEH98 Data'!G$3:G$3508)-ROW('VEH98 Data'!G$3)+1),ROWS('VEH98 Data'!G$3:'VEH98 Data'!G127))),"")</f>
        <v/>
      </c>
      <c r="D139" s="58" t="str">
        <f t="array" aca="1" ref="D139" ca="1">IFERROR(INDEX('VEH98 Data'!I$3:I$3508, SMALL(IF('VEH98 Data'!$AG$3:$AG$3508="TRUE", ROW('VEH98 Data'!I$3:I$3508)-ROW('VEH98 Data'!I$3)+1),ROWS('VEH98 Data'!I$3:'VEH98 Data'!I127))),"")</f>
        <v/>
      </c>
      <c r="E139" s="58" t="str">
        <f t="array" aca="1" ref="E139" ca="1">IFERROR(INDEX('VEH98 Data'!J$3:J$3508, SMALL(IF('VEH98 Data'!$AG$3:$AG$3508="TRUE", ROW('VEH98 Data'!J$3:J$3508)-ROW('VEH98 Data'!J$3)+1),ROWS('VEH98 Data'!J$3:'VEH98 Data'!J127))),"")</f>
        <v/>
      </c>
      <c r="F139" s="58" t="str">
        <f t="array" aca="1" ref="F139" ca="1">IFERROR(INDEX('VEH98 Data'!K$3:K$3508, SMALL(IF('VEH98 Data'!$AG$3:$AG$3508="TRUE", ROW('VEH98 Data'!K$3:K$3508)-ROW('VEH98 Data'!K$3)+1),ROWS('VEH98 Data'!K$3:'VEH98 Data'!K127))),"")</f>
        <v/>
      </c>
      <c r="G139" s="654" t="str">
        <f t="array" aca="1" ref="G139" ca="1">IFERROR(INDEX('VEH98 Data'!R$3:R$3508, SMALL(IF('VEH98 Data'!$AG$3:$AG$3508="TRUE", ROW('VEH98 Data'!R$3:R$3508)-ROW('VEH98 Data'!R$3)+1),ROWS('VEH98 Data'!R$3:'VEH98 Data'!R127))),"")</f>
        <v/>
      </c>
      <c r="H139" s="654" t="str">
        <f t="array" aca="1" ref="H139" ca="1">IFERROR(INDEX('VEH98 Data'!Y$3:Y$3508, SMALL(IF('VEH98 Data'!$AG$3:$AG$3508="TRUE", ROW('VEH98 Data'!Y$3:Y$3508)-ROW('VEH98 Data'!Y$3)+1),ROWS('VEH98 Data'!Y$3:'VEH98 Data'!Y127))),"")</f>
        <v/>
      </c>
      <c r="I139" s="19"/>
      <c r="J139" s="652">
        <f t="array" aca="1" ref="J139" ca="1">IFERROR(INDEX('VEH98 Data'!H$3:H$3508, SMALL(IF('VEH98 Data'!$AH$3:$AH$3508="TRUE", ROW('VEH98 Data'!H$3:H$3508)-ROW('VEH98 Data'!H$3)+1),ROWS('VEH98 Data'!H$3:'VEH98 Data'!H233))),"")</f>
        <v>2019</v>
      </c>
      <c r="K139" s="652" t="str">
        <f t="array" aca="1" ref="K139" ca="1">IFERROR(INDEX('VEH98 Data'!G$3:G$3508, SMALL(IF('VEH98 Data'!$AH$3:$AH$3508="TRUE", ROW('VEH98 Data'!G$3:G$3508)-ROW('VEH98 Data'!G$3)+1),ROWS('VEH98 Data'!G$3:'VEH98 Data'!G233))),"")</f>
        <v>Nissan</v>
      </c>
      <c r="L139" s="652" t="str">
        <f t="array" aca="1" ref="L139" ca="1">IFERROR(INDEX('VEH98 Data'!I$3:I$3508, SMALL(IF('VEH98 Data'!$AH$3:$AH$3508="TRUE", ROW('VEH98 Data'!I$3:I$3508)-ROW('VEH98 Data'!I$3)+1),ROWS('VEH98 Data'!I$3:'VEH98 Data'!I233))),"")</f>
        <v>NV200</v>
      </c>
      <c r="M139" s="652" t="str">
        <f t="array" aca="1" ref="M139" ca="1">IFERROR(INDEX('VEH98 Data'!J$3:J$3508, SMALL(IF('VEH98 Data'!$AH$3:$AH$3508="TRUE", ROW('VEH98 Data'!J$3:J$3508)-ROW('VEH98 Data'!J$3)+1),ROWS('VEH98 Data'!J$3:'VEH98 Data'!J233))),"")</f>
        <v>S</v>
      </c>
      <c r="N139" s="652" t="str">
        <f t="array" aca="1" ref="N139" ca="1">IFERROR(INDEX('VEH98 Data'!K$3:K$3508, SMALL(IF('VEH98 Data'!$AH$3:$AH$3508="TRUE", ROW('VEH98 Data'!K$3:K$3508)-ROW('VEH98 Data'!K$3)+1),ROWS('VEH98 Data'!K$3:'VEH98 Data'!K233))),"")</f>
        <v>FWD</v>
      </c>
      <c r="O139" s="653" t="str">
        <f t="array" aca="1" ref="O139" ca="1">IFERROR(INDEX('VEH98 Data'!R$3:R$3508, SMALL(IF('VEH98 Data'!$AH$3:$AH$3508="TRUE", ROW('VEH98 Data'!R$3:R$3508)-ROW('VEH98 Data'!R$3)+1),ROWS('VEH98 Data'!R$3:'VEH98 Data'!R233))),"")</f>
        <v>2.0L</v>
      </c>
      <c r="P139" s="653">
        <f t="array" aca="1" ref="P139" ca="1">IFERROR(INDEX('VEH98 Data'!Y$3:Y$3508, SMALL(IF('VEH98 Data'!$AH$3:$AH$3508="TRUE", ROW('VEH98 Data'!Y$3:Y$3508)-ROW('VEH98 Data'!Y$3)+1),ROWS('VEH98 Data'!Y$3:'VEH98 Data'!Y233))),"")</f>
        <v>25</v>
      </c>
    </row>
    <row r="140" spans="1:16">
      <c r="A140" s="99"/>
      <c r="B140" s="652"/>
      <c r="C140" s="652" t="str">
        <f t="array" aca="1" ref="C140" ca="1">IFERROR(INDEX('VEH98 Data'!G$3:G$3508, SMALL(IF('VEH98 Data'!$AG$3:$AG$3508="TRUE", ROW('VEH98 Data'!G$3:G$3508)-ROW('VEH98 Data'!G$3)+1),ROWS('VEH98 Data'!G$3:'VEH98 Data'!G128))),"")</f>
        <v/>
      </c>
      <c r="D140" s="652" t="str">
        <f t="array" aca="1" ref="D140" ca="1">IFERROR(INDEX('VEH98 Data'!I$3:I$3508, SMALL(IF('VEH98 Data'!$AG$3:$AG$3508="TRUE", ROW('VEH98 Data'!I$3:I$3508)-ROW('VEH98 Data'!I$3)+1),ROWS('VEH98 Data'!I$3:'VEH98 Data'!I128))),"")</f>
        <v/>
      </c>
      <c r="E140" s="652" t="str">
        <f t="array" aca="1" ref="E140" ca="1">IFERROR(INDEX('VEH98 Data'!J$3:J$3508, SMALL(IF('VEH98 Data'!$AG$3:$AG$3508="TRUE", ROW('VEH98 Data'!J$3:J$3508)-ROW('VEH98 Data'!J$3)+1),ROWS('VEH98 Data'!J$3:'VEH98 Data'!J128))),"")</f>
        <v/>
      </c>
      <c r="F140" s="652" t="str">
        <f t="array" aca="1" ref="F140" ca="1">IFERROR(INDEX('VEH98 Data'!K$3:K$3508, SMALL(IF('VEH98 Data'!$AG$3:$AG$3508="TRUE", ROW('VEH98 Data'!K$3:K$3508)-ROW('VEH98 Data'!K$3)+1),ROWS('VEH98 Data'!K$3:'VEH98 Data'!K128))),"")</f>
        <v/>
      </c>
      <c r="G140" s="653" t="str">
        <f t="array" aca="1" ref="G140" ca="1">IFERROR(INDEX('VEH98 Data'!R$3:R$3508, SMALL(IF('VEH98 Data'!$AG$3:$AG$3508="TRUE", ROW('VEH98 Data'!R$3:R$3508)-ROW('VEH98 Data'!R$3)+1),ROWS('VEH98 Data'!R$3:'VEH98 Data'!R128))),"")</f>
        <v/>
      </c>
      <c r="H140" s="653" t="str">
        <f t="array" aca="1" ref="H140" ca="1">IFERROR(INDEX('VEH98 Data'!Y$3:Y$3508, SMALL(IF('VEH98 Data'!$AG$3:$AG$3508="TRUE", ROW('VEH98 Data'!Y$3:Y$3508)-ROW('VEH98 Data'!Y$3)+1),ROWS('VEH98 Data'!Y$3:'VEH98 Data'!Y128))),"")</f>
        <v/>
      </c>
      <c r="I140" s="19"/>
      <c r="J140" s="58">
        <f t="array" aca="1" ref="J140" ca="1">IFERROR(INDEX('VEH98 Data'!H$3:H$3508, SMALL(IF('VEH98 Data'!$AH$3:$AH$3508="TRUE", ROW('VEH98 Data'!H$3:H$3508)-ROW('VEH98 Data'!H$3)+1),ROWS('VEH98 Data'!H$3:'VEH98 Data'!H234))),"")</f>
        <v>2019</v>
      </c>
      <c r="K140" s="58" t="str">
        <f t="array" aca="1" ref="K140" ca="1">IFERROR(INDEX('VEH98 Data'!G$3:G$3508, SMALL(IF('VEH98 Data'!$AH$3:$AH$3508="TRUE", ROW('VEH98 Data'!G$3:G$3508)-ROW('VEH98 Data'!G$3)+1),ROWS('VEH98 Data'!G$3:'VEH98 Data'!G234))),"")</f>
        <v>Nissan</v>
      </c>
      <c r="L140" s="58" t="str">
        <f t="array" aca="1" ref="L140" ca="1">IFERROR(INDEX('VEH98 Data'!I$3:I$3508, SMALL(IF('VEH98 Data'!$AH$3:$AH$3508="TRUE", ROW('VEH98 Data'!I$3:I$3508)-ROW('VEH98 Data'!I$3)+1),ROWS('VEH98 Data'!I$3:'VEH98 Data'!I234))),"")</f>
        <v>NV200</v>
      </c>
      <c r="M140" s="58" t="str">
        <f t="array" aca="1" ref="M140" ca="1">IFERROR(INDEX('VEH98 Data'!J$3:J$3508, SMALL(IF('VEH98 Data'!$AH$3:$AH$3508="TRUE", ROW('VEH98 Data'!J$3:J$3508)-ROW('VEH98 Data'!J$3)+1),ROWS('VEH98 Data'!J$3:'VEH98 Data'!J234))),"")</f>
        <v>S</v>
      </c>
      <c r="N140" s="58" t="str">
        <f t="array" aca="1" ref="N140" ca="1">IFERROR(INDEX('VEH98 Data'!K$3:K$3508, SMALL(IF('VEH98 Data'!$AH$3:$AH$3508="TRUE", ROW('VEH98 Data'!K$3:K$3508)-ROW('VEH98 Data'!K$3)+1),ROWS('VEH98 Data'!K$3:'VEH98 Data'!K234))),"")</f>
        <v>FWD</v>
      </c>
      <c r="O140" s="654" t="str">
        <f t="array" aca="1" ref="O140" ca="1">IFERROR(INDEX('VEH98 Data'!R$3:R$3508, SMALL(IF('VEH98 Data'!$AH$3:$AH$3508="TRUE", ROW('VEH98 Data'!R$3:R$3508)-ROW('VEH98 Data'!R$3)+1),ROWS('VEH98 Data'!R$3:'VEH98 Data'!R234))),"")</f>
        <v>2.0L</v>
      </c>
      <c r="P140" s="654">
        <f t="array" aca="1" ref="P140" ca="1">IFERROR(INDEX('VEH98 Data'!Y$3:Y$3508, SMALL(IF('VEH98 Data'!$AH$3:$AH$3508="TRUE", ROW('VEH98 Data'!Y$3:Y$3508)-ROW('VEH98 Data'!Y$3)+1),ROWS('VEH98 Data'!Y$3:'VEH98 Data'!Y234))),"")</f>
        <v>25</v>
      </c>
    </row>
    <row r="141" spans="1:16">
      <c r="A141" s="99"/>
      <c r="B141" s="58"/>
      <c r="C141" s="58" t="str">
        <f t="array" aca="1" ref="C141" ca="1">IFERROR(INDEX('VEH98 Data'!G$3:G$3508, SMALL(IF('VEH98 Data'!$AG$3:$AG$3508="TRUE", ROW('VEH98 Data'!G$3:G$3508)-ROW('VEH98 Data'!G$3)+1),ROWS('VEH98 Data'!G$3:'VEH98 Data'!G129))),"")</f>
        <v/>
      </c>
      <c r="D141" s="58" t="str">
        <f t="array" aca="1" ref="D141" ca="1">IFERROR(INDEX('VEH98 Data'!I$3:I$3508, SMALL(IF('VEH98 Data'!$AG$3:$AG$3508="TRUE", ROW('VEH98 Data'!I$3:I$3508)-ROW('VEH98 Data'!I$3)+1),ROWS('VEH98 Data'!I$3:'VEH98 Data'!I129))),"")</f>
        <v/>
      </c>
      <c r="E141" s="58" t="str">
        <f t="array" aca="1" ref="E141" ca="1">IFERROR(INDEX('VEH98 Data'!J$3:J$3508, SMALL(IF('VEH98 Data'!$AG$3:$AG$3508="TRUE", ROW('VEH98 Data'!J$3:J$3508)-ROW('VEH98 Data'!J$3)+1),ROWS('VEH98 Data'!J$3:'VEH98 Data'!J129))),"")</f>
        <v/>
      </c>
      <c r="F141" s="58" t="str">
        <f t="array" aca="1" ref="F141" ca="1">IFERROR(INDEX('VEH98 Data'!K$3:K$3508, SMALL(IF('VEH98 Data'!$AG$3:$AG$3508="TRUE", ROW('VEH98 Data'!K$3:K$3508)-ROW('VEH98 Data'!K$3)+1),ROWS('VEH98 Data'!K$3:'VEH98 Data'!K129))),"")</f>
        <v/>
      </c>
      <c r="G141" s="654" t="str">
        <f t="array" aca="1" ref="G141" ca="1">IFERROR(INDEX('VEH98 Data'!R$3:R$3508, SMALL(IF('VEH98 Data'!$AG$3:$AG$3508="TRUE", ROW('VEH98 Data'!R$3:R$3508)-ROW('VEH98 Data'!R$3)+1),ROWS('VEH98 Data'!R$3:'VEH98 Data'!R129))),"")</f>
        <v/>
      </c>
      <c r="H141" s="654" t="str">
        <f t="array" aca="1" ref="H141" ca="1">IFERROR(INDEX('VEH98 Data'!Y$3:Y$3508, SMALL(IF('VEH98 Data'!$AG$3:$AG$3508="TRUE", ROW('VEH98 Data'!Y$3:Y$3508)-ROW('VEH98 Data'!Y$3)+1),ROWS('VEH98 Data'!Y$3:'VEH98 Data'!Y129))),"")</f>
        <v/>
      </c>
      <c r="I141" s="19"/>
      <c r="J141" s="652">
        <f t="array" aca="1" ref="J141" ca="1">IFERROR(INDEX('VEH98 Data'!H$3:H$3508, SMALL(IF('VEH98 Data'!$AH$3:$AH$3508="TRUE", ROW('VEH98 Data'!H$3:H$3508)-ROW('VEH98 Data'!H$3)+1),ROWS('VEH98 Data'!H$3:'VEH98 Data'!H235))),"")</f>
        <v>2019</v>
      </c>
      <c r="K141" s="652" t="str">
        <f t="array" aca="1" ref="K141" ca="1">IFERROR(INDEX('VEH98 Data'!G$3:G$3508, SMALL(IF('VEH98 Data'!$AH$3:$AH$3508="TRUE", ROW('VEH98 Data'!G$3:G$3508)-ROW('VEH98 Data'!G$3)+1),ROWS('VEH98 Data'!G$3:'VEH98 Data'!G235))),"")</f>
        <v>Nissan</v>
      </c>
      <c r="L141" s="652" t="str">
        <f t="array" aca="1" ref="L141" ca="1">IFERROR(INDEX('VEH98 Data'!I$3:I$3508, SMALL(IF('VEH98 Data'!$AH$3:$AH$3508="TRUE", ROW('VEH98 Data'!I$3:I$3508)-ROW('VEH98 Data'!I$3)+1),ROWS('VEH98 Data'!I$3:'VEH98 Data'!I235))),"")</f>
        <v>NV200</v>
      </c>
      <c r="M141" s="652" t="str">
        <f t="array" aca="1" ref="M141" ca="1">IFERROR(INDEX('VEH98 Data'!J$3:J$3508, SMALL(IF('VEH98 Data'!$AH$3:$AH$3508="TRUE", ROW('VEH98 Data'!J$3:J$3508)-ROW('VEH98 Data'!J$3)+1),ROWS('VEH98 Data'!J$3:'VEH98 Data'!J235))),"")</f>
        <v>SV</v>
      </c>
      <c r="N141" s="652" t="str">
        <f t="array" aca="1" ref="N141" ca="1">IFERROR(INDEX('VEH98 Data'!K$3:K$3508, SMALL(IF('VEH98 Data'!$AH$3:$AH$3508="TRUE", ROW('VEH98 Data'!K$3:K$3508)-ROW('VEH98 Data'!K$3)+1),ROWS('VEH98 Data'!K$3:'VEH98 Data'!K235))),"")</f>
        <v>FWD</v>
      </c>
      <c r="O141" s="653" t="str">
        <f t="array" aca="1" ref="O141" ca="1">IFERROR(INDEX('VEH98 Data'!R$3:R$3508, SMALL(IF('VEH98 Data'!$AH$3:$AH$3508="TRUE", ROW('VEH98 Data'!R$3:R$3508)-ROW('VEH98 Data'!R$3)+1),ROWS('VEH98 Data'!R$3:'VEH98 Data'!R235))),"")</f>
        <v>2.0L</v>
      </c>
      <c r="P141" s="653">
        <f t="array" aca="1" ref="P141" ca="1">IFERROR(INDEX('VEH98 Data'!Y$3:Y$3508, SMALL(IF('VEH98 Data'!$AH$3:$AH$3508="TRUE", ROW('VEH98 Data'!Y$3:Y$3508)-ROW('VEH98 Data'!Y$3)+1),ROWS('VEH98 Data'!Y$3:'VEH98 Data'!Y235))),"")</f>
        <v>25</v>
      </c>
    </row>
    <row r="142" spans="1:16">
      <c r="A142" s="99"/>
      <c r="B142" s="652"/>
      <c r="C142" s="652" t="str">
        <f t="array" aca="1" ref="C142" ca="1">IFERROR(INDEX('VEH98 Data'!G$3:G$3508, SMALL(IF('VEH98 Data'!$AG$3:$AG$3508="TRUE", ROW('VEH98 Data'!G$3:G$3508)-ROW('VEH98 Data'!G$3)+1),ROWS('VEH98 Data'!G$3:'VEH98 Data'!G130))),"")</f>
        <v/>
      </c>
      <c r="D142" s="652" t="str">
        <f t="array" aca="1" ref="D142" ca="1">IFERROR(INDEX('VEH98 Data'!I$3:I$3508, SMALL(IF('VEH98 Data'!$AG$3:$AG$3508="TRUE", ROW('VEH98 Data'!I$3:I$3508)-ROW('VEH98 Data'!I$3)+1),ROWS('VEH98 Data'!I$3:'VEH98 Data'!I130))),"")</f>
        <v/>
      </c>
      <c r="E142" s="652" t="str">
        <f t="array" aca="1" ref="E142" ca="1">IFERROR(INDEX('VEH98 Data'!J$3:J$3508, SMALL(IF('VEH98 Data'!$AG$3:$AG$3508="TRUE", ROW('VEH98 Data'!J$3:J$3508)-ROW('VEH98 Data'!J$3)+1),ROWS('VEH98 Data'!J$3:'VEH98 Data'!J130))),"")</f>
        <v/>
      </c>
      <c r="F142" s="652" t="str">
        <f t="array" aca="1" ref="F142" ca="1">IFERROR(INDEX('VEH98 Data'!K$3:K$3508, SMALL(IF('VEH98 Data'!$AG$3:$AG$3508="TRUE", ROW('VEH98 Data'!K$3:K$3508)-ROW('VEH98 Data'!K$3)+1),ROWS('VEH98 Data'!K$3:'VEH98 Data'!K130))),"")</f>
        <v/>
      </c>
      <c r="G142" s="653" t="str">
        <f t="array" aca="1" ref="G142" ca="1">IFERROR(INDEX('VEH98 Data'!R$3:R$3508, SMALL(IF('VEH98 Data'!$AG$3:$AG$3508="TRUE", ROW('VEH98 Data'!R$3:R$3508)-ROW('VEH98 Data'!R$3)+1),ROWS('VEH98 Data'!R$3:'VEH98 Data'!R130))),"")</f>
        <v/>
      </c>
      <c r="H142" s="653" t="str">
        <f t="array" aca="1" ref="H142" ca="1">IFERROR(INDEX('VEH98 Data'!Y$3:Y$3508, SMALL(IF('VEH98 Data'!$AG$3:$AG$3508="TRUE", ROW('VEH98 Data'!Y$3:Y$3508)-ROW('VEH98 Data'!Y$3)+1),ROWS('VEH98 Data'!Y$3:'VEH98 Data'!Y130))),"")</f>
        <v/>
      </c>
      <c r="I142" s="19"/>
      <c r="J142" s="58">
        <f t="array" aca="1" ref="J142" ca="1">IFERROR(INDEX('VEH98 Data'!H$3:H$3508, SMALL(IF('VEH98 Data'!$AH$3:$AH$3508="TRUE", ROW('VEH98 Data'!H$3:H$3508)-ROW('VEH98 Data'!H$3)+1),ROWS('VEH98 Data'!H$3:'VEH98 Data'!H236))),"")</f>
        <v>2019</v>
      </c>
      <c r="K142" s="58" t="str">
        <f t="array" aca="1" ref="K142" ca="1">IFERROR(INDEX('VEH98 Data'!G$3:G$3508, SMALL(IF('VEH98 Data'!$AH$3:$AH$3508="TRUE", ROW('VEH98 Data'!G$3:G$3508)-ROW('VEH98 Data'!G$3)+1),ROWS('VEH98 Data'!G$3:'VEH98 Data'!G236))),"")</f>
        <v>Nissan</v>
      </c>
      <c r="L142" s="58" t="str">
        <f t="array" aca="1" ref="L142" ca="1">IFERROR(INDEX('VEH98 Data'!I$3:I$3508, SMALL(IF('VEH98 Data'!$AH$3:$AH$3508="TRUE", ROW('VEH98 Data'!I$3:I$3508)-ROW('VEH98 Data'!I$3)+1),ROWS('VEH98 Data'!I$3:'VEH98 Data'!I236))),"")</f>
        <v>NV200</v>
      </c>
      <c r="M142" s="58" t="str">
        <f t="array" aca="1" ref="M142" ca="1">IFERROR(INDEX('VEH98 Data'!J$3:J$3508, SMALL(IF('VEH98 Data'!$AH$3:$AH$3508="TRUE", ROW('VEH98 Data'!J$3:J$3508)-ROW('VEH98 Data'!J$3)+1),ROWS('VEH98 Data'!J$3:'VEH98 Data'!J236))),"")</f>
        <v>SV</v>
      </c>
      <c r="N142" s="58" t="str">
        <f t="array" aca="1" ref="N142" ca="1">IFERROR(INDEX('VEH98 Data'!K$3:K$3508, SMALL(IF('VEH98 Data'!$AH$3:$AH$3508="TRUE", ROW('VEH98 Data'!K$3:K$3508)-ROW('VEH98 Data'!K$3)+1),ROWS('VEH98 Data'!K$3:'VEH98 Data'!K236))),"")</f>
        <v>FWD</v>
      </c>
      <c r="O142" s="654" t="str">
        <f t="array" aca="1" ref="O142" ca="1">IFERROR(INDEX('VEH98 Data'!R$3:R$3508, SMALL(IF('VEH98 Data'!$AH$3:$AH$3508="TRUE", ROW('VEH98 Data'!R$3:R$3508)-ROW('VEH98 Data'!R$3)+1),ROWS('VEH98 Data'!R$3:'VEH98 Data'!R236))),"")</f>
        <v>2.0L</v>
      </c>
      <c r="P142" s="654">
        <f t="array" aca="1" ref="P142" ca="1">IFERROR(INDEX('VEH98 Data'!Y$3:Y$3508, SMALL(IF('VEH98 Data'!$AH$3:$AH$3508="TRUE", ROW('VEH98 Data'!Y$3:Y$3508)-ROW('VEH98 Data'!Y$3)+1),ROWS('VEH98 Data'!Y$3:'VEH98 Data'!Y236))),"")</f>
        <v>25</v>
      </c>
    </row>
    <row r="143" spans="1:16">
      <c r="A143" s="99"/>
      <c r="B143" s="58"/>
      <c r="C143" s="58" t="str">
        <f t="array" aca="1" ref="C143" ca="1">IFERROR(INDEX('VEH98 Data'!G$3:G$3508, SMALL(IF('VEH98 Data'!$AG$3:$AG$3508="TRUE", ROW('VEH98 Data'!G$3:G$3508)-ROW('VEH98 Data'!G$3)+1),ROWS('VEH98 Data'!G$3:'VEH98 Data'!G131))),"")</f>
        <v/>
      </c>
      <c r="D143" s="58" t="str">
        <f t="array" aca="1" ref="D143" ca="1">IFERROR(INDEX('VEH98 Data'!I$3:I$3508, SMALL(IF('VEH98 Data'!$AG$3:$AG$3508="TRUE", ROW('VEH98 Data'!I$3:I$3508)-ROW('VEH98 Data'!I$3)+1),ROWS('VEH98 Data'!I$3:'VEH98 Data'!I131))),"")</f>
        <v/>
      </c>
      <c r="E143" s="58" t="str">
        <f t="array" aca="1" ref="E143" ca="1">IFERROR(INDEX('VEH98 Data'!J$3:J$3508, SMALL(IF('VEH98 Data'!$AG$3:$AG$3508="TRUE", ROW('VEH98 Data'!J$3:J$3508)-ROW('VEH98 Data'!J$3)+1),ROWS('VEH98 Data'!J$3:'VEH98 Data'!J131))),"")</f>
        <v/>
      </c>
      <c r="F143" s="58" t="str">
        <f t="array" aca="1" ref="F143" ca="1">IFERROR(INDEX('VEH98 Data'!K$3:K$3508, SMALL(IF('VEH98 Data'!$AG$3:$AG$3508="TRUE", ROW('VEH98 Data'!K$3:K$3508)-ROW('VEH98 Data'!K$3)+1),ROWS('VEH98 Data'!K$3:'VEH98 Data'!K131))),"")</f>
        <v/>
      </c>
      <c r="G143" s="654" t="str">
        <f t="array" aca="1" ref="G143" ca="1">IFERROR(INDEX('VEH98 Data'!R$3:R$3508, SMALL(IF('VEH98 Data'!$AG$3:$AG$3508="TRUE", ROW('VEH98 Data'!R$3:R$3508)-ROW('VEH98 Data'!R$3)+1),ROWS('VEH98 Data'!R$3:'VEH98 Data'!R131))),"")</f>
        <v/>
      </c>
      <c r="H143" s="654" t="str">
        <f t="array" aca="1" ref="H143" ca="1">IFERROR(INDEX('VEH98 Data'!Y$3:Y$3508, SMALL(IF('VEH98 Data'!$AG$3:$AG$3508="TRUE", ROW('VEH98 Data'!Y$3:Y$3508)-ROW('VEH98 Data'!Y$3)+1),ROWS('VEH98 Data'!Y$3:'VEH98 Data'!Y131))),"")</f>
        <v/>
      </c>
      <c r="I143" s="19"/>
      <c r="J143" s="652">
        <f t="array" aca="1" ref="J143" ca="1">IFERROR(INDEX('VEH98 Data'!H$3:H$3508, SMALL(IF('VEH98 Data'!$AH$3:$AH$3508="TRUE", ROW('VEH98 Data'!H$3:H$3508)-ROW('VEH98 Data'!H$3)+1),ROWS('VEH98 Data'!H$3:'VEH98 Data'!H237))),"")</f>
        <v>2019</v>
      </c>
      <c r="K143" s="652" t="str">
        <f t="array" aca="1" ref="K143" ca="1">IFERROR(INDEX('VEH98 Data'!G$3:G$3508, SMALL(IF('VEH98 Data'!$AH$3:$AH$3508="TRUE", ROW('VEH98 Data'!G$3:G$3508)-ROW('VEH98 Data'!G$3)+1),ROWS('VEH98 Data'!G$3:'VEH98 Data'!G237))),"")</f>
        <v>RAM</v>
      </c>
      <c r="L143" s="652" t="str">
        <f t="array" aca="1" ref="L143" ca="1">IFERROR(INDEX('VEH98 Data'!I$3:I$3508, SMALL(IF('VEH98 Data'!$AH$3:$AH$3508="TRUE", ROW('VEH98 Data'!I$3:I$3508)-ROW('VEH98 Data'!I$3)+1),ROWS('VEH98 Data'!I$3:'VEH98 Data'!I237))),"")</f>
        <v>Promaster City</v>
      </c>
      <c r="M143" s="652" t="str">
        <f t="array" aca="1" ref="M143" ca="1">IFERROR(INDEX('VEH98 Data'!J$3:J$3508, SMALL(IF('VEH98 Data'!$AH$3:$AH$3508="TRUE", ROW('VEH98 Data'!J$3:J$3508)-ROW('VEH98 Data'!J$3)+1),ROWS('VEH98 Data'!J$3:'VEH98 Data'!J237))),"")</f>
        <v>Tradesman</v>
      </c>
      <c r="N143" s="652" t="str">
        <f t="array" aca="1" ref="N143" ca="1">IFERROR(INDEX('VEH98 Data'!K$3:K$3508, SMALL(IF('VEH98 Data'!$AH$3:$AH$3508="TRUE", ROW('VEH98 Data'!K$3:K$3508)-ROW('VEH98 Data'!K$3)+1),ROWS('VEH98 Data'!K$3:'VEH98 Data'!K237))),"")</f>
        <v>FWD</v>
      </c>
      <c r="O143" s="653" t="str">
        <f t="array" aca="1" ref="O143" ca="1">IFERROR(INDEX('VEH98 Data'!R$3:R$3508, SMALL(IF('VEH98 Data'!$AH$3:$AH$3508="TRUE", ROW('VEH98 Data'!R$3:R$3508)-ROW('VEH98 Data'!R$3)+1),ROWS('VEH98 Data'!R$3:'VEH98 Data'!R237))),"")</f>
        <v>2.4L</v>
      </c>
      <c r="P143" s="653">
        <f t="array" aca="1" ref="P143" ca="1">IFERROR(INDEX('VEH98 Data'!Y$3:Y$3508, SMALL(IF('VEH98 Data'!$AH$3:$AH$3508="TRUE", ROW('VEH98 Data'!Y$3:Y$3508)-ROW('VEH98 Data'!Y$3)+1),ROWS('VEH98 Data'!Y$3:'VEH98 Data'!Y237))),"")</f>
        <v>24</v>
      </c>
    </row>
    <row r="144" spans="1:16">
      <c r="A144" s="99"/>
      <c r="B144" s="652"/>
      <c r="C144" s="652" t="str">
        <f t="array" aca="1" ref="C144" ca="1">IFERROR(INDEX('VEH98 Data'!G$3:G$3508, SMALL(IF('VEH98 Data'!$AG$3:$AG$3508="TRUE", ROW('VEH98 Data'!G$3:G$3508)-ROW('VEH98 Data'!G$3)+1),ROWS('VEH98 Data'!G$3:'VEH98 Data'!G132))),"")</f>
        <v/>
      </c>
      <c r="D144" s="652" t="str">
        <f t="array" aca="1" ref="D144" ca="1">IFERROR(INDEX('VEH98 Data'!I$3:I$3508, SMALL(IF('VEH98 Data'!$AG$3:$AG$3508="TRUE", ROW('VEH98 Data'!I$3:I$3508)-ROW('VEH98 Data'!I$3)+1),ROWS('VEH98 Data'!I$3:'VEH98 Data'!I132))),"")</f>
        <v/>
      </c>
      <c r="E144" s="652" t="str">
        <f t="array" aca="1" ref="E144" ca="1">IFERROR(INDEX('VEH98 Data'!J$3:J$3508, SMALL(IF('VEH98 Data'!$AG$3:$AG$3508="TRUE", ROW('VEH98 Data'!J$3:J$3508)-ROW('VEH98 Data'!J$3)+1),ROWS('VEH98 Data'!J$3:'VEH98 Data'!J132))),"")</f>
        <v/>
      </c>
      <c r="F144" s="652" t="str">
        <f t="array" aca="1" ref="F144" ca="1">IFERROR(INDEX('VEH98 Data'!K$3:K$3508, SMALL(IF('VEH98 Data'!$AG$3:$AG$3508="TRUE", ROW('VEH98 Data'!K$3:K$3508)-ROW('VEH98 Data'!K$3)+1),ROWS('VEH98 Data'!K$3:'VEH98 Data'!K132))),"")</f>
        <v/>
      </c>
      <c r="G144" s="653" t="str">
        <f t="array" aca="1" ref="G144" ca="1">IFERROR(INDEX('VEH98 Data'!R$3:R$3508, SMALL(IF('VEH98 Data'!$AG$3:$AG$3508="TRUE", ROW('VEH98 Data'!R$3:R$3508)-ROW('VEH98 Data'!R$3)+1),ROWS('VEH98 Data'!R$3:'VEH98 Data'!R132))),"")</f>
        <v/>
      </c>
      <c r="H144" s="653" t="str">
        <f t="array" aca="1" ref="H144" ca="1">IFERROR(INDEX('VEH98 Data'!Y$3:Y$3508, SMALL(IF('VEH98 Data'!$AG$3:$AG$3508="TRUE", ROW('VEH98 Data'!Y$3:Y$3508)-ROW('VEH98 Data'!Y$3)+1),ROWS('VEH98 Data'!Y$3:'VEH98 Data'!Y132))),"")</f>
        <v/>
      </c>
      <c r="I144" s="19"/>
      <c r="J144" s="58">
        <f t="array" aca="1" ref="J144" ca="1">IFERROR(INDEX('VEH98 Data'!H$3:H$3508, SMALL(IF('VEH98 Data'!$AH$3:$AH$3508="TRUE", ROW('VEH98 Data'!H$3:H$3508)-ROW('VEH98 Data'!H$3)+1),ROWS('VEH98 Data'!H$3:'VEH98 Data'!H238))),"")</f>
        <v>2019</v>
      </c>
      <c r="K144" s="58" t="str">
        <f t="array" aca="1" ref="K144" ca="1">IFERROR(INDEX('VEH98 Data'!G$3:G$3508, SMALL(IF('VEH98 Data'!$AH$3:$AH$3508="TRUE", ROW('VEH98 Data'!G$3:G$3508)-ROW('VEH98 Data'!G$3)+1),ROWS('VEH98 Data'!G$3:'VEH98 Data'!G238))),"")</f>
        <v>RAM</v>
      </c>
      <c r="L144" s="58" t="str">
        <f t="array" aca="1" ref="L144" ca="1">IFERROR(INDEX('VEH98 Data'!I$3:I$3508, SMALL(IF('VEH98 Data'!$AH$3:$AH$3508="TRUE", ROW('VEH98 Data'!I$3:I$3508)-ROW('VEH98 Data'!I$3)+1),ROWS('VEH98 Data'!I$3:'VEH98 Data'!I238))),"")</f>
        <v>Promaster City</v>
      </c>
      <c r="M144" s="58" t="str">
        <f t="array" aca="1" ref="M144" ca="1">IFERROR(INDEX('VEH98 Data'!J$3:J$3508, SMALL(IF('VEH98 Data'!$AH$3:$AH$3508="TRUE", ROW('VEH98 Data'!J$3:J$3508)-ROW('VEH98 Data'!J$3)+1),ROWS('VEH98 Data'!J$3:'VEH98 Data'!J238))),"")</f>
        <v>Tradesman SLT</v>
      </c>
      <c r="N144" s="58" t="str">
        <f t="array" aca="1" ref="N144" ca="1">IFERROR(INDEX('VEH98 Data'!K$3:K$3508, SMALL(IF('VEH98 Data'!$AH$3:$AH$3508="TRUE", ROW('VEH98 Data'!K$3:K$3508)-ROW('VEH98 Data'!K$3)+1),ROWS('VEH98 Data'!K$3:'VEH98 Data'!K238))),"")</f>
        <v>FWD</v>
      </c>
      <c r="O144" s="654" t="str">
        <f t="array" aca="1" ref="O144" ca="1">IFERROR(INDEX('VEH98 Data'!R$3:R$3508, SMALL(IF('VEH98 Data'!$AH$3:$AH$3508="TRUE", ROW('VEH98 Data'!R$3:R$3508)-ROW('VEH98 Data'!R$3)+1),ROWS('VEH98 Data'!R$3:'VEH98 Data'!R238))),"")</f>
        <v>2.4L</v>
      </c>
      <c r="P144" s="654">
        <f t="array" aca="1" ref="P144" ca="1">IFERROR(INDEX('VEH98 Data'!Y$3:Y$3508, SMALL(IF('VEH98 Data'!$AH$3:$AH$3508="TRUE", ROW('VEH98 Data'!Y$3:Y$3508)-ROW('VEH98 Data'!Y$3)+1),ROWS('VEH98 Data'!Y$3:'VEH98 Data'!Y238))),"")</f>
        <v>24</v>
      </c>
    </row>
    <row r="145" spans="1:16">
      <c r="A145" s="99"/>
      <c r="B145" s="58"/>
      <c r="C145" s="58" t="str">
        <f t="array" aca="1" ref="C145" ca="1">IFERROR(INDEX('VEH98 Data'!G$3:G$3508, SMALL(IF('VEH98 Data'!$AG$3:$AG$3508="TRUE", ROW('VEH98 Data'!G$3:G$3508)-ROW('VEH98 Data'!G$3)+1),ROWS('VEH98 Data'!G$3:'VEH98 Data'!G133))),"")</f>
        <v/>
      </c>
      <c r="D145" s="58" t="str">
        <f t="array" aca="1" ref="D145" ca="1">IFERROR(INDEX('VEH98 Data'!I$3:I$3508, SMALL(IF('VEH98 Data'!$AG$3:$AG$3508="TRUE", ROW('VEH98 Data'!I$3:I$3508)-ROW('VEH98 Data'!I$3)+1),ROWS('VEH98 Data'!I$3:'VEH98 Data'!I133))),"")</f>
        <v/>
      </c>
      <c r="E145" s="58" t="str">
        <f t="array" aca="1" ref="E145" ca="1">IFERROR(INDEX('VEH98 Data'!J$3:J$3508, SMALL(IF('VEH98 Data'!$AG$3:$AG$3508="TRUE", ROW('VEH98 Data'!J$3:J$3508)-ROW('VEH98 Data'!J$3)+1),ROWS('VEH98 Data'!J$3:'VEH98 Data'!J133))),"")</f>
        <v/>
      </c>
      <c r="F145" s="58" t="str">
        <f t="array" aca="1" ref="F145" ca="1">IFERROR(INDEX('VEH98 Data'!K$3:K$3508, SMALL(IF('VEH98 Data'!$AG$3:$AG$3508="TRUE", ROW('VEH98 Data'!K$3:K$3508)-ROW('VEH98 Data'!K$3)+1),ROWS('VEH98 Data'!K$3:'VEH98 Data'!K133))),"")</f>
        <v/>
      </c>
      <c r="G145" s="654" t="str">
        <f t="array" aca="1" ref="G145" ca="1">IFERROR(INDEX('VEH98 Data'!R$3:R$3508, SMALL(IF('VEH98 Data'!$AG$3:$AG$3508="TRUE", ROW('VEH98 Data'!R$3:R$3508)-ROW('VEH98 Data'!R$3)+1),ROWS('VEH98 Data'!R$3:'VEH98 Data'!R133))),"")</f>
        <v/>
      </c>
      <c r="H145" s="654" t="str">
        <f t="array" aca="1" ref="H145" ca="1">IFERROR(INDEX('VEH98 Data'!Y$3:Y$3508, SMALL(IF('VEH98 Data'!$AG$3:$AG$3508="TRUE", ROW('VEH98 Data'!Y$3:Y$3508)-ROW('VEH98 Data'!Y$3)+1),ROWS('VEH98 Data'!Y$3:'VEH98 Data'!Y133))),"")</f>
        <v/>
      </c>
      <c r="I145" s="19"/>
      <c r="J145" s="652">
        <f t="array" aca="1" ref="J145" ca="1">IFERROR(INDEX('VEH98 Data'!H$3:H$3508, SMALL(IF('VEH98 Data'!$AH$3:$AH$3508="TRUE", ROW('VEH98 Data'!H$3:H$3508)-ROW('VEH98 Data'!H$3)+1),ROWS('VEH98 Data'!H$3:'VEH98 Data'!H239))),"")</f>
        <v>2019</v>
      </c>
      <c r="K145" s="652" t="str">
        <f t="array" aca="1" ref="K145" ca="1">IFERROR(INDEX('VEH98 Data'!G$3:G$3508, SMALL(IF('VEH98 Data'!$AH$3:$AH$3508="TRUE", ROW('VEH98 Data'!G$3:G$3508)-ROW('VEH98 Data'!G$3)+1),ROWS('VEH98 Data'!G$3:'VEH98 Data'!G239))),"")</f>
        <v>RAM</v>
      </c>
      <c r="L145" s="652" t="str">
        <f t="array" aca="1" ref="L145" ca="1">IFERROR(INDEX('VEH98 Data'!I$3:I$3508, SMALL(IF('VEH98 Data'!$AH$3:$AH$3508="TRUE", ROW('VEH98 Data'!I$3:I$3508)-ROW('VEH98 Data'!I$3)+1),ROWS('VEH98 Data'!I$3:'VEH98 Data'!I239))),"")</f>
        <v>Promaster City</v>
      </c>
      <c r="M145" s="652" t="str">
        <f t="array" aca="1" ref="M145" ca="1">IFERROR(INDEX('VEH98 Data'!J$3:J$3508, SMALL(IF('VEH98 Data'!$AH$3:$AH$3508="TRUE", ROW('VEH98 Data'!J$3:J$3508)-ROW('VEH98 Data'!J$3)+1),ROWS('VEH98 Data'!J$3:'VEH98 Data'!J239))),"")</f>
        <v>Tradesman SLT</v>
      </c>
      <c r="N145" s="652" t="str">
        <f t="array" aca="1" ref="N145" ca="1">IFERROR(INDEX('VEH98 Data'!K$3:K$3508, SMALL(IF('VEH98 Data'!$AH$3:$AH$3508="TRUE", ROW('VEH98 Data'!K$3:K$3508)-ROW('VEH98 Data'!K$3)+1),ROWS('VEH98 Data'!K$3:'VEH98 Data'!K239))),"")</f>
        <v>FWD</v>
      </c>
      <c r="O145" s="653" t="str">
        <f t="array" aca="1" ref="O145" ca="1">IFERROR(INDEX('VEH98 Data'!R$3:R$3508, SMALL(IF('VEH98 Data'!$AH$3:$AH$3508="TRUE", ROW('VEH98 Data'!R$3:R$3508)-ROW('VEH98 Data'!R$3)+1),ROWS('VEH98 Data'!R$3:'VEH98 Data'!R239))),"")</f>
        <v>2.4L</v>
      </c>
      <c r="P145" s="653">
        <f t="array" aca="1" ref="P145" ca="1">IFERROR(INDEX('VEH98 Data'!Y$3:Y$3508, SMALL(IF('VEH98 Data'!$AH$3:$AH$3508="TRUE", ROW('VEH98 Data'!Y$3:Y$3508)-ROW('VEH98 Data'!Y$3)+1),ROWS('VEH98 Data'!Y$3:'VEH98 Data'!Y239))),"")</f>
        <v>24</v>
      </c>
    </row>
    <row r="146" spans="1:16">
      <c r="A146" s="99"/>
      <c r="B146" s="652"/>
      <c r="C146" s="652" t="str">
        <f t="array" aca="1" ref="C146" ca="1">IFERROR(INDEX('VEH98 Data'!G$3:G$3508, SMALL(IF('VEH98 Data'!$AG$3:$AG$3508="TRUE", ROW('VEH98 Data'!G$3:G$3508)-ROW('VEH98 Data'!G$3)+1),ROWS('VEH98 Data'!G$3:'VEH98 Data'!G134))),"")</f>
        <v/>
      </c>
      <c r="D146" s="652" t="str">
        <f t="array" aca="1" ref="D146" ca="1">IFERROR(INDEX('VEH98 Data'!I$3:I$3508, SMALL(IF('VEH98 Data'!$AG$3:$AG$3508="TRUE", ROW('VEH98 Data'!I$3:I$3508)-ROW('VEH98 Data'!I$3)+1),ROWS('VEH98 Data'!I$3:'VEH98 Data'!I134))),"")</f>
        <v/>
      </c>
      <c r="E146" s="652" t="str">
        <f t="array" aca="1" ref="E146" ca="1">IFERROR(INDEX('VEH98 Data'!J$3:J$3508, SMALL(IF('VEH98 Data'!$AG$3:$AG$3508="TRUE", ROW('VEH98 Data'!J$3:J$3508)-ROW('VEH98 Data'!J$3)+1),ROWS('VEH98 Data'!J$3:'VEH98 Data'!J134))),"")</f>
        <v/>
      </c>
      <c r="F146" s="652" t="str">
        <f t="array" aca="1" ref="F146" ca="1">IFERROR(INDEX('VEH98 Data'!K$3:K$3508, SMALL(IF('VEH98 Data'!$AG$3:$AG$3508="TRUE", ROW('VEH98 Data'!K$3:K$3508)-ROW('VEH98 Data'!K$3)+1),ROWS('VEH98 Data'!K$3:'VEH98 Data'!K134))),"")</f>
        <v/>
      </c>
      <c r="G146" s="653" t="str">
        <f t="array" aca="1" ref="G146" ca="1">IFERROR(INDEX('VEH98 Data'!R$3:R$3508, SMALL(IF('VEH98 Data'!$AG$3:$AG$3508="TRUE", ROW('VEH98 Data'!R$3:R$3508)-ROW('VEH98 Data'!R$3)+1),ROWS('VEH98 Data'!R$3:'VEH98 Data'!R134))),"")</f>
        <v/>
      </c>
      <c r="H146" s="653" t="str">
        <f t="array" aca="1" ref="H146" ca="1">IFERROR(INDEX('VEH98 Data'!Y$3:Y$3508, SMALL(IF('VEH98 Data'!$AG$3:$AG$3508="TRUE", ROW('VEH98 Data'!Y$3:Y$3508)-ROW('VEH98 Data'!Y$3)+1),ROWS('VEH98 Data'!Y$3:'VEH98 Data'!Y134))),"")</f>
        <v/>
      </c>
      <c r="I146" s="19"/>
      <c r="J146" s="58">
        <f t="array" aca="1" ref="J146" ca="1">IFERROR(INDEX('VEH98 Data'!H$3:H$3508, SMALL(IF('VEH98 Data'!$AH$3:$AH$3508="TRUE", ROW('VEH98 Data'!H$3:H$3508)-ROW('VEH98 Data'!H$3)+1),ROWS('VEH98 Data'!H$3:'VEH98 Data'!H240))),"")</f>
        <v>2019</v>
      </c>
      <c r="K146" s="58" t="str">
        <f t="array" aca="1" ref="K146" ca="1">IFERROR(INDEX('VEH98 Data'!G$3:G$3508, SMALL(IF('VEH98 Data'!$AH$3:$AH$3508="TRUE", ROW('VEH98 Data'!G$3:G$3508)-ROW('VEH98 Data'!G$3)+1),ROWS('VEH98 Data'!G$3:'VEH98 Data'!G240))),"")</f>
        <v>RAM</v>
      </c>
      <c r="L146" s="58" t="str">
        <f t="array" aca="1" ref="L146" ca="1">IFERROR(INDEX('VEH98 Data'!I$3:I$3508, SMALL(IF('VEH98 Data'!$AH$3:$AH$3508="TRUE", ROW('VEH98 Data'!I$3:I$3508)-ROW('VEH98 Data'!I$3)+1),ROWS('VEH98 Data'!I$3:'VEH98 Data'!I240))),"")</f>
        <v>Promaster City</v>
      </c>
      <c r="M146" s="58" t="str">
        <f t="array" aca="1" ref="M146" ca="1">IFERROR(INDEX('VEH98 Data'!J$3:J$3508, SMALL(IF('VEH98 Data'!$AH$3:$AH$3508="TRUE", ROW('VEH98 Data'!J$3:J$3508)-ROW('VEH98 Data'!J$3)+1),ROWS('VEH98 Data'!J$3:'VEH98 Data'!J240))),"")</f>
        <v>Tradesman Wagon</v>
      </c>
      <c r="N146" s="58" t="str">
        <f t="array" aca="1" ref="N146" ca="1">IFERROR(INDEX('VEH98 Data'!K$3:K$3508, SMALL(IF('VEH98 Data'!$AH$3:$AH$3508="TRUE", ROW('VEH98 Data'!K$3:K$3508)-ROW('VEH98 Data'!K$3)+1),ROWS('VEH98 Data'!K$3:'VEH98 Data'!K240))),"")</f>
        <v>FWD</v>
      </c>
      <c r="O146" s="654" t="str">
        <f t="array" aca="1" ref="O146" ca="1">IFERROR(INDEX('VEH98 Data'!R$3:R$3508, SMALL(IF('VEH98 Data'!$AH$3:$AH$3508="TRUE", ROW('VEH98 Data'!R$3:R$3508)-ROW('VEH98 Data'!R$3)+1),ROWS('VEH98 Data'!R$3:'VEH98 Data'!R240))),"")</f>
        <v>2.4L</v>
      </c>
      <c r="P146" s="654">
        <f t="array" aca="1" ref="P146" ca="1">IFERROR(INDEX('VEH98 Data'!Y$3:Y$3508, SMALL(IF('VEH98 Data'!$AH$3:$AH$3508="TRUE", ROW('VEH98 Data'!Y$3:Y$3508)-ROW('VEH98 Data'!Y$3)+1),ROWS('VEH98 Data'!Y$3:'VEH98 Data'!Y240))),"")</f>
        <v>24</v>
      </c>
    </row>
    <row r="147" spans="1:16">
      <c r="A147" s="99"/>
      <c r="B147" s="58"/>
      <c r="C147" s="58" t="str">
        <f t="array" aca="1" ref="C147" ca="1">IFERROR(INDEX('VEH98 Data'!G$3:G$3508, SMALL(IF('VEH98 Data'!$AG$3:$AG$3508="TRUE", ROW('VEH98 Data'!G$3:G$3508)-ROW('VEH98 Data'!G$3)+1),ROWS('VEH98 Data'!G$3:'VEH98 Data'!G135))),"")</f>
        <v/>
      </c>
      <c r="D147" s="58" t="str">
        <f t="array" aca="1" ref="D147" ca="1">IFERROR(INDEX('VEH98 Data'!I$3:I$3508, SMALL(IF('VEH98 Data'!$AG$3:$AG$3508="TRUE", ROW('VEH98 Data'!I$3:I$3508)-ROW('VEH98 Data'!I$3)+1),ROWS('VEH98 Data'!I$3:'VEH98 Data'!I135))),"")</f>
        <v/>
      </c>
      <c r="E147" s="58" t="str">
        <f t="array" aca="1" ref="E147" ca="1">IFERROR(INDEX('VEH98 Data'!J$3:J$3508, SMALL(IF('VEH98 Data'!$AG$3:$AG$3508="TRUE", ROW('VEH98 Data'!J$3:J$3508)-ROW('VEH98 Data'!J$3)+1),ROWS('VEH98 Data'!J$3:'VEH98 Data'!J135))),"")</f>
        <v/>
      </c>
      <c r="F147" s="58" t="str">
        <f t="array" aca="1" ref="F147" ca="1">IFERROR(INDEX('VEH98 Data'!K$3:K$3508, SMALL(IF('VEH98 Data'!$AG$3:$AG$3508="TRUE", ROW('VEH98 Data'!K$3:K$3508)-ROW('VEH98 Data'!K$3)+1),ROWS('VEH98 Data'!K$3:'VEH98 Data'!K135))),"")</f>
        <v/>
      </c>
      <c r="G147" s="654" t="str">
        <f t="array" aca="1" ref="G147" ca="1">IFERROR(INDEX('VEH98 Data'!R$3:R$3508, SMALL(IF('VEH98 Data'!$AG$3:$AG$3508="TRUE", ROW('VEH98 Data'!R$3:R$3508)-ROW('VEH98 Data'!R$3)+1),ROWS('VEH98 Data'!R$3:'VEH98 Data'!R135))),"")</f>
        <v/>
      </c>
      <c r="H147" s="654" t="str">
        <f t="array" aca="1" ref="H147" ca="1">IFERROR(INDEX('VEH98 Data'!Y$3:Y$3508, SMALL(IF('VEH98 Data'!$AG$3:$AG$3508="TRUE", ROW('VEH98 Data'!Y$3:Y$3508)-ROW('VEH98 Data'!Y$3)+1),ROWS('VEH98 Data'!Y$3:'VEH98 Data'!Y135))),"")</f>
        <v/>
      </c>
      <c r="I147" s="19"/>
      <c r="J147" s="652">
        <f t="array" aca="1" ref="J147" ca="1">IFERROR(INDEX('VEH98 Data'!H$3:H$3508, SMALL(IF('VEH98 Data'!$AH$3:$AH$3508="TRUE", ROW('VEH98 Data'!H$3:H$3508)-ROW('VEH98 Data'!H$3)+1),ROWS('VEH98 Data'!H$3:'VEH98 Data'!H241))),"")</f>
        <v>2019</v>
      </c>
      <c r="K147" s="652" t="str">
        <f t="array" aca="1" ref="K147" ca="1">IFERROR(INDEX('VEH98 Data'!G$3:G$3508, SMALL(IF('VEH98 Data'!$AH$3:$AH$3508="TRUE", ROW('VEH98 Data'!G$3:G$3508)-ROW('VEH98 Data'!G$3)+1),ROWS('VEH98 Data'!G$3:'VEH98 Data'!G241))),"")</f>
        <v>RAM</v>
      </c>
      <c r="L147" s="652" t="str">
        <f t="array" aca="1" ref="L147" ca="1">IFERROR(INDEX('VEH98 Data'!I$3:I$3508, SMALL(IF('VEH98 Data'!$AH$3:$AH$3508="TRUE", ROW('VEH98 Data'!I$3:I$3508)-ROW('VEH98 Data'!I$3)+1),ROWS('VEH98 Data'!I$3:'VEH98 Data'!I241))),"")</f>
        <v>Promaster City</v>
      </c>
      <c r="M147" s="652" t="str">
        <f t="array" aca="1" ref="M147" ca="1">IFERROR(INDEX('VEH98 Data'!J$3:J$3508, SMALL(IF('VEH98 Data'!$AH$3:$AH$3508="TRUE", ROW('VEH98 Data'!J$3:J$3508)-ROW('VEH98 Data'!J$3)+1),ROWS('VEH98 Data'!J$3:'VEH98 Data'!J241))),"")</f>
        <v>Wagon SLT</v>
      </c>
      <c r="N147" s="652" t="str">
        <f t="array" aca="1" ref="N147" ca="1">IFERROR(INDEX('VEH98 Data'!K$3:K$3508, SMALL(IF('VEH98 Data'!$AH$3:$AH$3508="TRUE", ROW('VEH98 Data'!K$3:K$3508)-ROW('VEH98 Data'!K$3)+1),ROWS('VEH98 Data'!K$3:'VEH98 Data'!K241))),"")</f>
        <v>FWD</v>
      </c>
      <c r="O147" s="653" t="str">
        <f t="array" aca="1" ref="O147" ca="1">IFERROR(INDEX('VEH98 Data'!R$3:R$3508, SMALL(IF('VEH98 Data'!$AH$3:$AH$3508="TRUE", ROW('VEH98 Data'!R$3:R$3508)-ROW('VEH98 Data'!R$3)+1),ROWS('VEH98 Data'!R$3:'VEH98 Data'!R241))),"")</f>
        <v>2.4L</v>
      </c>
      <c r="P147" s="653">
        <f t="array" aca="1" ref="P147" ca="1">IFERROR(INDEX('VEH98 Data'!Y$3:Y$3508, SMALL(IF('VEH98 Data'!$AH$3:$AH$3508="TRUE", ROW('VEH98 Data'!Y$3:Y$3508)-ROW('VEH98 Data'!Y$3)+1),ROWS('VEH98 Data'!Y$3:'VEH98 Data'!Y241))),"")</f>
        <v>24</v>
      </c>
    </row>
    <row r="148" spans="1:16">
      <c r="A148" s="99"/>
      <c r="B148" s="652"/>
      <c r="C148" s="652" t="str">
        <f t="array" aca="1" ref="C148" ca="1">IFERROR(INDEX('VEH98 Data'!G$3:G$3508, SMALL(IF('VEH98 Data'!$AG$3:$AG$3508="TRUE", ROW('VEH98 Data'!G$3:G$3508)-ROW('VEH98 Data'!G$3)+1),ROWS('VEH98 Data'!G$3:'VEH98 Data'!G136))),"")</f>
        <v/>
      </c>
      <c r="D148" s="652" t="str">
        <f t="array" aca="1" ref="D148" ca="1">IFERROR(INDEX('VEH98 Data'!I$3:I$3508, SMALL(IF('VEH98 Data'!$AG$3:$AG$3508="TRUE", ROW('VEH98 Data'!I$3:I$3508)-ROW('VEH98 Data'!I$3)+1),ROWS('VEH98 Data'!I$3:'VEH98 Data'!I136))),"")</f>
        <v/>
      </c>
      <c r="E148" s="652" t="str">
        <f t="array" aca="1" ref="E148" ca="1">IFERROR(INDEX('VEH98 Data'!J$3:J$3508, SMALL(IF('VEH98 Data'!$AG$3:$AG$3508="TRUE", ROW('VEH98 Data'!J$3:J$3508)-ROW('VEH98 Data'!J$3)+1),ROWS('VEH98 Data'!J$3:'VEH98 Data'!J136))),"")</f>
        <v/>
      </c>
      <c r="F148" s="652" t="str">
        <f t="array" aca="1" ref="F148" ca="1">IFERROR(INDEX('VEH98 Data'!K$3:K$3508, SMALL(IF('VEH98 Data'!$AG$3:$AG$3508="TRUE", ROW('VEH98 Data'!K$3:K$3508)-ROW('VEH98 Data'!K$3)+1),ROWS('VEH98 Data'!K$3:'VEH98 Data'!K136))),"")</f>
        <v/>
      </c>
      <c r="G148" s="653" t="str">
        <f t="array" aca="1" ref="G148" ca="1">IFERROR(INDEX('VEH98 Data'!R$3:R$3508, SMALL(IF('VEH98 Data'!$AG$3:$AG$3508="TRUE", ROW('VEH98 Data'!R$3:R$3508)-ROW('VEH98 Data'!R$3)+1),ROWS('VEH98 Data'!R$3:'VEH98 Data'!R136))),"")</f>
        <v/>
      </c>
      <c r="H148" s="653" t="str">
        <f t="array" aca="1" ref="H148" ca="1">IFERROR(INDEX('VEH98 Data'!Y$3:Y$3508, SMALL(IF('VEH98 Data'!$AG$3:$AG$3508="TRUE", ROW('VEH98 Data'!Y$3:Y$3508)-ROW('VEH98 Data'!Y$3)+1),ROWS('VEH98 Data'!Y$3:'VEH98 Data'!Y136))),"")</f>
        <v/>
      </c>
      <c r="I148" s="19"/>
      <c r="J148" s="58">
        <f t="array" aca="1" ref="J148" ca="1">IFERROR(INDEX('VEH98 Data'!H$3:H$3508, SMALL(IF('VEH98 Data'!$AH$3:$AH$3508="TRUE", ROW('VEH98 Data'!H$3:H$3508)-ROW('VEH98 Data'!H$3)+1),ROWS('VEH98 Data'!H$3:'VEH98 Data'!H242))),"")</f>
        <v>2019</v>
      </c>
      <c r="K148" s="58" t="str">
        <f t="array" aca="1" ref="K148" ca="1">IFERROR(INDEX('VEH98 Data'!G$3:G$3508, SMALL(IF('VEH98 Data'!$AH$3:$AH$3508="TRUE", ROW('VEH98 Data'!G$3:G$3508)-ROW('VEH98 Data'!G$3)+1),ROWS('VEH98 Data'!G$3:'VEH98 Data'!G242))),"")</f>
        <v>Toyota</v>
      </c>
      <c r="L148" s="58" t="str">
        <f t="array" aca="1" ref="L148" ca="1">IFERROR(INDEX('VEH98 Data'!I$3:I$3508, SMALL(IF('VEH98 Data'!$AH$3:$AH$3508="TRUE", ROW('VEH98 Data'!I$3:I$3508)-ROW('VEH98 Data'!I$3)+1),ROWS('VEH98 Data'!I$3:'VEH98 Data'!I242))),"")</f>
        <v>Sienna</v>
      </c>
      <c r="M148" s="58" t="str">
        <f t="array" aca="1" ref="M148" ca="1">IFERROR(INDEX('VEH98 Data'!J$3:J$3508, SMALL(IF('VEH98 Data'!$AH$3:$AH$3508="TRUE", ROW('VEH98 Data'!J$3:J$3508)-ROW('VEH98 Data'!J$3)+1),ROWS('VEH98 Data'!J$3:'VEH98 Data'!J242))),"")</f>
        <v>L</v>
      </c>
      <c r="N148" s="58" t="str">
        <f t="array" aca="1" ref="N148" ca="1">IFERROR(INDEX('VEH98 Data'!K$3:K$3508, SMALL(IF('VEH98 Data'!$AH$3:$AH$3508="TRUE", ROW('VEH98 Data'!K$3:K$3508)-ROW('VEH98 Data'!K$3)+1),ROWS('VEH98 Data'!K$3:'VEH98 Data'!K242))),"")</f>
        <v>FWD</v>
      </c>
      <c r="O148" s="654" t="str">
        <f t="array" aca="1" ref="O148" ca="1">IFERROR(INDEX('VEH98 Data'!R$3:R$3508, SMALL(IF('VEH98 Data'!$AH$3:$AH$3508="TRUE", ROW('VEH98 Data'!R$3:R$3508)-ROW('VEH98 Data'!R$3)+1),ROWS('VEH98 Data'!R$3:'VEH98 Data'!R242))),"")</f>
        <v>3.5L</v>
      </c>
      <c r="P148" s="654">
        <f t="array" aca="1" ref="P148" ca="1">IFERROR(INDEX('VEH98 Data'!Y$3:Y$3508, SMALL(IF('VEH98 Data'!$AH$3:$AH$3508="TRUE", ROW('VEH98 Data'!Y$3:Y$3508)-ROW('VEH98 Data'!Y$3)+1),ROWS('VEH98 Data'!Y$3:'VEH98 Data'!Y242))),"")</f>
        <v>22</v>
      </c>
    </row>
    <row r="149" spans="1:16">
      <c r="A149" s="99"/>
      <c r="B149" s="58"/>
      <c r="C149" s="58" t="str">
        <f t="array" aca="1" ref="C149" ca="1">IFERROR(INDEX('VEH98 Data'!G$3:G$3508, SMALL(IF('VEH98 Data'!$AG$3:$AG$3508="TRUE", ROW('VEH98 Data'!G$3:G$3508)-ROW('VEH98 Data'!G$3)+1),ROWS('VEH98 Data'!G$3:'VEH98 Data'!G137))),"")</f>
        <v/>
      </c>
      <c r="D149" s="58" t="str">
        <f t="array" aca="1" ref="D149" ca="1">IFERROR(INDEX('VEH98 Data'!I$3:I$3508, SMALL(IF('VEH98 Data'!$AG$3:$AG$3508="TRUE", ROW('VEH98 Data'!I$3:I$3508)-ROW('VEH98 Data'!I$3)+1),ROWS('VEH98 Data'!I$3:'VEH98 Data'!I137))),"")</f>
        <v/>
      </c>
      <c r="E149" s="58" t="str">
        <f t="array" aca="1" ref="E149" ca="1">IFERROR(INDEX('VEH98 Data'!J$3:J$3508, SMALL(IF('VEH98 Data'!$AG$3:$AG$3508="TRUE", ROW('VEH98 Data'!J$3:J$3508)-ROW('VEH98 Data'!J$3)+1),ROWS('VEH98 Data'!J$3:'VEH98 Data'!J137))),"")</f>
        <v/>
      </c>
      <c r="F149" s="58" t="str">
        <f t="array" aca="1" ref="F149" ca="1">IFERROR(INDEX('VEH98 Data'!K$3:K$3508, SMALL(IF('VEH98 Data'!$AG$3:$AG$3508="TRUE", ROW('VEH98 Data'!K$3:K$3508)-ROW('VEH98 Data'!K$3)+1),ROWS('VEH98 Data'!K$3:'VEH98 Data'!K137))),"")</f>
        <v/>
      </c>
      <c r="G149" s="654" t="str">
        <f t="array" aca="1" ref="G149" ca="1">IFERROR(INDEX('VEH98 Data'!R$3:R$3508, SMALL(IF('VEH98 Data'!$AG$3:$AG$3508="TRUE", ROW('VEH98 Data'!R$3:R$3508)-ROW('VEH98 Data'!R$3)+1),ROWS('VEH98 Data'!R$3:'VEH98 Data'!R137))),"")</f>
        <v/>
      </c>
      <c r="H149" s="654" t="str">
        <f t="array" aca="1" ref="H149" ca="1">IFERROR(INDEX('VEH98 Data'!Y$3:Y$3508, SMALL(IF('VEH98 Data'!$AG$3:$AG$3508="TRUE", ROW('VEH98 Data'!Y$3:Y$3508)-ROW('VEH98 Data'!Y$3)+1),ROWS('VEH98 Data'!Y$3:'VEH98 Data'!Y137))),"")</f>
        <v/>
      </c>
      <c r="I149" s="19"/>
      <c r="J149" s="652">
        <f t="array" aca="1" ref="J149" ca="1">IFERROR(INDEX('VEH98 Data'!H$3:H$3508, SMALL(IF('VEH98 Data'!$AH$3:$AH$3508="TRUE", ROW('VEH98 Data'!H$3:H$3508)-ROW('VEH98 Data'!H$3)+1),ROWS('VEH98 Data'!H$3:'VEH98 Data'!H243))),"")</f>
        <v>2019</v>
      </c>
      <c r="K149" s="652" t="str">
        <f t="array" aca="1" ref="K149" ca="1">IFERROR(INDEX('VEH98 Data'!G$3:G$3508, SMALL(IF('VEH98 Data'!$AH$3:$AH$3508="TRUE", ROW('VEH98 Data'!G$3:G$3508)-ROW('VEH98 Data'!G$3)+1),ROWS('VEH98 Data'!G$3:'VEH98 Data'!G243))),"")</f>
        <v>Toyota</v>
      </c>
      <c r="L149" s="652" t="str">
        <f t="array" aca="1" ref="L149" ca="1">IFERROR(INDEX('VEH98 Data'!I$3:I$3508, SMALL(IF('VEH98 Data'!$AH$3:$AH$3508="TRUE", ROW('VEH98 Data'!I$3:I$3508)-ROW('VEH98 Data'!I$3)+1),ROWS('VEH98 Data'!I$3:'VEH98 Data'!I243))),"")</f>
        <v>Sienna</v>
      </c>
      <c r="M149" s="652" t="str">
        <f t="array" aca="1" ref="M149" ca="1">IFERROR(INDEX('VEH98 Data'!J$3:J$3508, SMALL(IF('VEH98 Data'!$AH$3:$AH$3508="TRUE", ROW('VEH98 Data'!J$3:J$3508)-ROW('VEH98 Data'!J$3)+1),ROWS('VEH98 Data'!J$3:'VEH98 Data'!J243))),"")</f>
        <v>LE</v>
      </c>
      <c r="N149" s="652" t="str">
        <f t="array" aca="1" ref="N149" ca="1">IFERROR(INDEX('VEH98 Data'!K$3:K$3508, SMALL(IF('VEH98 Data'!$AH$3:$AH$3508="TRUE", ROW('VEH98 Data'!K$3:K$3508)-ROW('VEH98 Data'!K$3)+1),ROWS('VEH98 Data'!K$3:'VEH98 Data'!K243))),"")</f>
        <v>FWD</v>
      </c>
      <c r="O149" s="653" t="str">
        <f t="array" aca="1" ref="O149" ca="1">IFERROR(INDEX('VEH98 Data'!R$3:R$3508, SMALL(IF('VEH98 Data'!$AH$3:$AH$3508="TRUE", ROW('VEH98 Data'!R$3:R$3508)-ROW('VEH98 Data'!R$3)+1),ROWS('VEH98 Data'!R$3:'VEH98 Data'!R243))),"")</f>
        <v>3.5L</v>
      </c>
      <c r="P149" s="653">
        <f t="array" aca="1" ref="P149" ca="1">IFERROR(INDEX('VEH98 Data'!Y$3:Y$3508, SMALL(IF('VEH98 Data'!$AH$3:$AH$3508="TRUE", ROW('VEH98 Data'!Y$3:Y$3508)-ROW('VEH98 Data'!Y$3)+1),ROWS('VEH98 Data'!Y$3:'VEH98 Data'!Y243))),"")</f>
        <v>22</v>
      </c>
    </row>
    <row r="150" spans="1:16">
      <c r="A150" s="99"/>
      <c r="B150" s="652"/>
      <c r="C150" s="652" t="str">
        <f t="array" aca="1" ref="C150" ca="1">IFERROR(INDEX('VEH98 Data'!G$3:G$3508, SMALL(IF('VEH98 Data'!$AG$3:$AG$3508="TRUE", ROW('VEH98 Data'!G$3:G$3508)-ROW('VEH98 Data'!G$3)+1),ROWS('VEH98 Data'!G$3:'VEH98 Data'!G138))),"")</f>
        <v/>
      </c>
      <c r="D150" s="652" t="str">
        <f t="array" aca="1" ref="D150" ca="1">IFERROR(INDEX('VEH98 Data'!I$3:I$3508, SMALL(IF('VEH98 Data'!$AG$3:$AG$3508="TRUE", ROW('VEH98 Data'!I$3:I$3508)-ROW('VEH98 Data'!I$3)+1),ROWS('VEH98 Data'!I$3:'VEH98 Data'!I138))),"")</f>
        <v/>
      </c>
      <c r="E150" s="652" t="str">
        <f t="array" aca="1" ref="E150" ca="1">IFERROR(INDEX('VEH98 Data'!J$3:J$3508, SMALL(IF('VEH98 Data'!$AG$3:$AG$3508="TRUE", ROW('VEH98 Data'!J$3:J$3508)-ROW('VEH98 Data'!J$3)+1),ROWS('VEH98 Data'!J$3:'VEH98 Data'!J138))),"")</f>
        <v/>
      </c>
      <c r="F150" s="652" t="str">
        <f t="array" aca="1" ref="F150" ca="1">IFERROR(INDEX('VEH98 Data'!K$3:K$3508, SMALL(IF('VEH98 Data'!$AG$3:$AG$3508="TRUE", ROW('VEH98 Data'!K$3:K$3508)-ROW('VEH98 Data'!K$3)+1),ROWS('VEH98 Data'!K$3:'VEH98 Data'!K138))),"")</f>
        <v/>
      </c>
      <c r="G150" s="653" t="str">
        <f t="array" aca="1" ref="G150" ca="1">IFERROR(INDEX('VEH98 Data'!R$3:R$3508, SMALL(IF('VEH98 Data'!$AG$3:$AG$3508="TRUE", ROW('VEH98 Data'!R$3:R$3508)-ROW('VEH98 Data'!R$3)+1),ROWS('VEH98 Data'!R$3:'VEH98 Data'!R138))),"")</f>
        <v/>
      </c>
      <c r="H150" s="653" t="str">
        <f t="array" aca="1" ref="H150" ca="1">IFERROR(INDEX('VEH98 Data'!Y$3:Y$3508, SMALL(IF('VEH98 Data'!$AG$3:$AG$3508="TRUE", ROW('VEH98 Data'!Y$3:Y$3508)-ROW('VEH98 Data'!Y$3)+1),ROWS('VEH98 Data'!Y$3:'VEH98 Data'!Y138))),"")</f>
        <v/>
      </c>
      <c r="I150" s="19"/>
      <c r="J150" s="58">
        <f t="array" aca="1" ref="J150" ca="1">IFERROR(INDEX('VEH98 Data'!H$3:H$3508, SMALL(IF('VEH98 Data'!$AH$3:$AH$3508="TRUE", ROW('VEH98 Data'!H$3:H$3508)-ROW('VEH98 Data'!H$3)+1),ROWS('VEH98 Data'!H$3:'VEH98 Data'!H244))),"")</f>
        <v>2019</v>
      </c>
      <c r="K150" s="58" t="str">
        <f t="array" aca="1" ref="K150" ca="1">IFERROR(INDEX('VEH98 Data'!G$3:G$3508, SMALL(IF('VEH98 Data'!$AH$3:$AH$3508="TRUE", ROW('VEH98 Data'!G$3:G$3508)-ROW('VEH98 Data'!G$3)+1),ROWS('VEH98 Data'!G$3:'VEH98 Data'!G244))),"")</f>
        <v>Chevrolet</v>
      </c>
      <c r="L150" s="58" t="str">
        <f t="array" aca="1" ref="L150" ca="1">IFERROR(INDEX('VEH98 Data'!I$3:I$3508, SMALL(IF('VEH98 Data'!$AH$3:$AH$3508="TRUE", ROW('VEH98 Data'!I$3:I$3508)-ROW('VEH98 Data'!I$3)+1),ROWS('VEH98 Data'!I$3:'VEH98 Data'!I244))),"")</f>
        <v>Colorado</v>
      </c>
      <c r="M150" s="58" t="str">
        <f t="array" aca="1" ref="M150" ca="1">IFERROR(INDEX('VEH98 Data'!J$3:J$3508, SMALL(IF('VEH98 Data'!$AH$3:$AH$3508="TRUE", ROW('VEH98 Data'!J$3:J$3508)-ROW('VEH98 Data'!J$3)+1),ROWS('VEH98 Data'!J$3:'VEH98 Data'!J244))),"")</f>
        <v>LT (Base) Crew Cab</v>
      </c>
      <c r="N150" s="58" t="str">
        <f t="array" aca="1" ref="N150" ca="1">IFERROR(INDEX('VEH98 Data'!K$3:K$3508, SMALL(IF('VEH98 Data'!$AH$3:$AH$3508="TRUE", ROW('VEH98 Data'!K$3:K$3508)-ROW('VEH98 Data'!K$3)+1),ROWS('VEH98 Data'!K$3:'VEH98 Data'!K244))),"")</f>
        <v>2WD</v>
      </c>
      <c r="O150" s="654" t="str">
        <f t="array" aca="1" ref="O150" ca="1">IFERROR(INDEX('VEH98 Data'!R$3:R$3508, SMALL(IF('VEH98 Data'!$AH$3:$AH$3508="TRUE", ROW('VEH98 Data'!R$3:R$3508)-ROW('VEH98 Data'!R$3)+1),ROWS('VEH98 Data'!R$3:'VEH98 Data'!R244))),"")</f>
        <v>2.5L</v>
      </c>
      <c r="P150" s="654">
        <f t="array" aca="1" ref="P150" ca="1">IFERROR(INDEX('VEH98 Data'!Y$3:Y$3508, SMALL(IF('VEH98 Data'!$AH$3:$AH$3508="TRUE", ROW('VEH98 Data'!Y$3:Y$3508)-ROW('VEH98 Data'!Y$3)+1),ROWS('VEH98 Data'!Y$3:'VEH98 Data'!Y244))),"")</f>
        <v>22</v>
      </c>
    </row>
    <row r="151" spans="1:16">
      <c r="A151" s="99"/>
      <c r="B151" s="58"/>
      <c r="C151" s="58" t="str">
        <f t="array" aca="1" ref="C151" ca="1">IFERROR(INDEX('VEH98 Data'!G$3:G$3508, SMALL(IF('VEH98 Data'!$AG$3:$AG$3508="TRUE", ROW('VEH98 Data'!G$3:G$3508)-ROW('VEH98 Data'!G$3)+1),ROWS('VEH98 Data'!G$3:'VEH98 Data'!G139))),"")</f>
        <v/>
      </c>
      <c r="D151" s="58" t="str">
        <f t="array" aca="1" ref="D151" ca="1">IFERROR(INDEX('VEH98 Data'!I$3:I$3508, SMALL(IF('VEH98 Data'!$AG$3:$AG$3508="TRUE", ROW('VEH98 Data'!I$3:I$3508)-ROW('VEH98 Data'!I$3)+1),ROWS('VEH98 Data'!I$3:'VEH98 Data'!I139))),"")</f>
        <v/>
      </c>
      <c r="E151" s="58" t="str">
        <f t="array" aca="1" ref="E151" ca="1">IFERROR(INDEX('VEH98 Data'!J$3:J$3508, SMALL(IF('VEH98 Data'!$AG$3:$AG$3508="TRUE", ROW('VEH98 Data'!J$3:J$3508)-ROW('VEH98 Data'!J$3)+1),ROWS('VEH98 Data'!J$3:'VEH98 Data'!J139))),"")</f>
        <v/>
      </c>
      <c r="F151" s="58" t="str">
        <f t="array" aca="1" ref="F151" ca="1">IFERROR(INDEX('VEH98 Data'!K$3:K$3508, SMALL(IF('VEH98 Data'!$AG$3:$AG$3508="TRUE", ROW('VEH98 Data'!K$3:K$3508)-ROW('VEH98 Data'!K$3)+1),ROWS('VEH98 Data'!K$3:'VEH98 Data'!K139))),"")</f>
        <v/>
      </c>
      <c r="G151" s="654" t="str">
        <f t="array" aca="1" ref="G151" ca="1">IFERROR(INDEX('VEH98 Data'!R$3:R$3508, SMALL(IF('VEH98 Data'!$AG$3:$AG$3508="TRUE", ROW('VEH98 Data'!R$3:R$3508)-ROW('VEH98 Data'!R$3)+1),ROWS('VEH98 Data'!R$3:'VEH98 Data'!R139))),"")</f>
        <v/>
      </c>
      <c r="H151" s="654" t="str">
        <f t="array" aca="1" ref="H151" ca="1">IFERROR(INDEX('VEH98 Data'!Y$3:Y$3508, SMALL(IF('VEH98 Data'!$AG$3:$AG$3508="TRUE", ROW('VEH98 Data'!Y$3:Y$3508)-ROW('VEH98 Data'!Y$3)+1),ROWS('VEH98 Data'!Y$3:'VEH98 Data'!Y139))),"")</f>
        <v/>
      </c>
      <c r="I151" s="19"/>
      <c r="J151" s="652">
        <f t="array" aca="1" ref="J151" ca="1">IFERROR(INDEX('VEH98 Data'!H$3:H$3508, SMALL(IF('VEH98 Data'!$AH$3:$AH$3508="TRUE", ROW('VEH98 Data'!H$3:H$3508)-ROW('VEH98 Data'!H$3)+1),ROWS('VEH98 Data'!H$3:'VEH98 Data'!H245))),"")</f>
        <v>2019</v>
      </c>
      <c r="K151" s="652" t="str">
        <f t="array" aca="1" ref="K151" ca="1">IFERROR(INDEX('VEH98 Data'!G$3:G$3508, SMALL(IF('VEH98 Data'!$AH$3:$AH$3508="TRUE", ROW('VEH98 Data'!G$3:G$3508)-ROW('VEH98 Data'!G$3)+1),ROWS('VEH98 Data'!G$3:'VEH98 Data'!G245))),"")</f>
        <v>Chevrolet</v>
      </c>
      <c r="L151" s="652" t="str">
        <f t="array" aca="1" ref="L151" ca="1">IFERROR(INDEX('VEH98 Data'!I$3:I$3508, SMALL(IF('VEH98 Data'!$AH$3:$AH$3508="TRUE", ROW('VEH98 Data'!I$3:I$3508)-ROW('VEH98 Data'!I$3)+1),ROWS('VEH98 Data'!I$3:'VEH98 Data'!I245))),"")</f>
        <v>Colorado</v>
      </c>
      <c r="M151" s="652" t="str">
        <f t="array" aca="1" ref="M151" ca="1">IFERROR(INDEX('VEH98 Data'!J$3:J$3508, SMALL(IF('VEH98 Data'!$AH$3:$AH$3508="TRUE", ROW('VEH98 Data'!J$3:J$3508)-ROW('VEH98 Data'!J$3)+1),ROWS('VEH98 Data'!J$3:'VEH98 Data'!J245))),"")</f>
        <v>LT Extended Cab</v>
      </c>
      <c r="N151" s="652" t="str">
        <f t="array" aca="1" ref="N151" ca="1">IFERROR(INDEX('VEH98 Data'!K$3:K$3508, SMALL(IF('VEH98 Data'!$AH$3:$AH$3508="TRUE", ROW('VEH98 Data'!K$3:K$3508)-ROW('VEH98 Data'!K$3)+1),ROWS('VEH98 Data'!K$3:'VEH98 Data'!K245))),"")</f>
        <v>2WD</v>
      </c>
      <c r="O151" s="653" t="str">
        <f t="array" aca="1" ref="O151" ca="1">IFERROR(INDEX('VEH98 Data'!R$3:R$3508, SMALL(IF('VEH98 Data'!$AH$3:$AH$3508="TRUE", ROW('VEH98 Data'!R$3:R$3508)-ROW('VEH98 Data'!R$3)+1),ROWS('VEH98 Data'!R$3:'VEH98 Data'!R245))),"")</f>
        <v>2.5L</v>
      </c>
      <c r="P151" s="653">
        <f t="array" aca="1" ref="P151" ca="1">IFERROR(INDEX('VEH98 Data'!Y$3:Y$3508, SMALL(IF('VEH98 Data'!$AH$3:$AH$3508="TRUE", ROW('VEH98 Data'!Y$3:Y$3508)-ROW('VEH98 Data'!Y$3)+1),ROWS('VEH98 Data'!Y$3:'VEH98 Data'!Y245))),"")</f>
        <v>22</v>
      </c>
    </row>
    <row r="152" spans="1:16">
      <c r="A152" s="99"/>
      <c r="B152" s="652"/>
      <c r="C152" s="652" t="str">
        <f t="array" aca="1" ref="C152" ca="1">IFERROR(INDEX('VEH98 Data'!G$3:G$3508, SMALL(IF('VEH98 Data'!$AG$3:$AG$3508="TRUE", ROW('VEH98 Data'!G$3:G$3508)-ROW('VEH98 Data'!G$3)+1),ROWS('VEH98 Data'!G$3:'VEH98 Data'!G140))),"")</f>
        <v/>
      </c>
      <c r="D152" s="652" t="str">
        <f t="array" aca="1" ref="D152" ca="1">IFERROR(INDEX('VEH98 Data'!I$3:I$3508, SMALL(IF('VEH98 Data'!$AG$3:$AG$3508="TRUE", ROW('VEH98 Data'!I$3:I$3508)-ROW('VEH98 Data'!I$3)+1),ROWS('VEH98 Data'!I$3:'VEH98 Data'!I140))),"")</f>
        <v/>
      </c>
      <c r="E152" s="652" t="str">
        <f t="array" aca="1" ref="E152" ca="1">IFERROR(INDEX('VEH98 Data'!J$3:J$3508, SMALL(IF('VEH98 Data'!$AG$3:$AG$3508="TRUE", ROW('VEH98 Data'!J$3:J$3508)-ROW('VEH98 Data'!J$3)+1),ROWS('VEH98 Data'!J$3:'VEH98 Data'!J140))),"")</f>
        <v/>
      </c>
      <c r="F152" s="652" t="str">
        <f t="array" aca="1" ref="F152" ca="1">IFERROR(INDEX('VEH98 Data'!K$3:K$3508, SMALL(IF('VEH98 Data'!$AG$3:$AG$3508="TRUE", ROW('VEH98 Data'!K$3:K$3508)-ROW('VEH98 Data'!K$3)+1),ROWS('VEH98 Data'!K$3:'VEH98 Data'!K140))),"")</f>
        <v/>
      </c>
      <c r="G152" s="653" t="str">
        <f t="array" aca="1" ref="G152" ca="1">IFERROR(INDEX('VEH98 Data'!R$3:R$3508, SMALL(IF('VEH98 Data'!$AG$3:$AG$3508="TRUE", ROW('VEH98 Data'!R$3:R$3508)-ROW('VEH98 Data'!R$3)+1),ROWS('VEH98 Data'!R$3:'VEH98 Data'!R140))),"")</f>
        <v/>
      </c>
      <c r="H152" s="653" t="str">
        <f t="array" aca="1" ref="H152" ca="1">IFERROR(INDEX('VEH98 Data'!Y$3:Y$3508, SMALL(IF('VEH98 Data'!$AG$3:$AG$3508="TRUE", ROW('VEH98 Data'!Y$3:Y$3508)-ROW('VEH98 Data'!Y$3)+1),ROWS('VEH98 Data'!Y$3:'VEH98 Data'!Y140))),"")</f>
        <v/>
      </c>
      <c r="I152" s="19"/>
      <c r="J152" s="58">
        <f t="array" aca="1" ref="J152" ca="1">IFERROR(INDEX('VEH98 Data'!H$3:H$3508, SMALL(IF('VEH98 Data'!$AH$3:$AH$3508="TRUE", ROW('VEH98 Data'!H$3:H$3508)-ROW('VEH98 Data'!H$3)+1),ROWS('VEH98 Data'!H$3:'VEH98 Data'!H246))),"")</f>
        <v>2019</v>
      </c>
      <c r="K152" s="58" t="str">
        <f t="array" aca="1" ref="K152" ca="1">IFERROR(INDEX('VEH98 Data'!G$3:G$3508, SMALL(IF('VEH98 Data'!$AH$3:$AH$3508="TRUE", ROW('VEH98 Data'!G$3:G$3508)-ROW('VEH98 Data'!G$3)+1),ROWS('VEH98 Data'!G$3:'VEH98 Data'!G246))),"")</f>
        <v>Chevrolet</v>
      </c>
      <c r="L152" s="58" t="str">
        <f t="array" aca="1" ref="L152" ca="1">IFERROR(INDEX('VEH98 Data'!I$3:I$3508, SMALL(IF('VEH98 Data'!$AH$3:$AH$3508="TRUE", ROW('VEH98 Data'!I$3:I$3508)-ROW('VEH98 Data'!I$3)+1),ROWS('VEH98 Data'!I$3:'VEH98 Data'!I246))),"")</f>
        <v>Colorado</v>
      </c>
      <c r="M152" s="58" t="str">
        <f t="array" aca="1" ref="M152" ca="1">IFERROR(INDEX('VEH98 Data'!J$3:J$3508, SMALL(IF('VEH98 Data'!$AH$3:$AH$3508="TRUE", ROW('VEH98 Data'!J$3:J$3508)-ROW('VEH98 Data'!J$3)+1),ROWS('VEH98 Data'!J$3:'VEH98 Data'!J246))),"")</f>
        <v>WT Extended Cab</v>
      </c>
      <c r="N152" s="58" t="str">
        <f t="array" aca="1" ref="N152" ca="1">IFERROR(INDEX('VEH98 Data'!K$3:K$3508, SMALL(IF('VEH98 Data'!$AH$3:$AH$3508="TRUE", ROW('VEH98 Data'!K$3:K$3508)-ROW('VEH98 Data'!K$3)+1),ROWS('VEH98 Data'!K$3:'VEH98 Data'!K246))),"")</f>
        <v>2WD</v>
      </c>
      <c r="O152" s="654" t="str">
        <f t="array" aca="1" ref="O152" ca="1">IFERROR(INDEX('VEH98 Data'!R$3:R$3508, SMALL(IF('VEH98 Data'!$AH$3:$AH$3508="TRUE", ROW('VEH98 Data'!R$3:R$3508)-ROW('VEH98 Data'!R$3)+1),ROWS('VEH98 Data'!R$3:'VEH98 Data'!R246))),"")</f>
        <v>2.5L</v>
      </c>
      <c r="P152" s="654">
        <f t="array" aca="1" ref="P152" ca="1">IFERROR(INDEX('VEH98 Data'!Y$3:Y$3508, SMALL(IF('VEH98 Data'!$AH$3:$AH$3508="TRUE", ROW('VEH98 Data'!Y$3:Y$3508)-ROW('VEH98 Data'!Y$3)+1),ROWS('VEH98 Data'!Y$3:'VEH98 Data'!Y246))),"")</f>
        <v>22</v>
      </c>
    </row>
    <row r="153" spans="1:16">
      <c r="A153" s="99"/>
      <c r="B153" s="58"/>
      <c r="C153" s="58" t="str">
        <f t="array" aca="1" ref="C153" ca="1">IFERROR(INDEX('VEH98 Data'!G$3:G$3508, SMALL(IF('VEH98 Data'!$AG$3:$AG$3508="TRUE", ROW('VEH98 Data'!G$3:G$3508)-ROW('VEH98 Data'!G$3)+1),ROWS('VEH98 Data'!G$3:'VEH98 Data'!G141))),"")</f>
        <v/>
      </c>
      <c r="D153" s="58" t="str">
        <f t="array" aca="1" ref="D153" ca="1">IFERROR(INDEX('VEH98 Data'!I$3:I$3508, SMALL(IF('VEH98 Data'!$AG$3:$AG$3508="TRUE", ROW('VEH98 Data'!I$3:I$3508)-ROW('VEH98 Data'!I$3)+1),ROWS('VEH98 Data'!I$3:'VEH98 Data'!I141))),"")</f>
        <v/>
      </c>
      <c r="E153" s="58" t="str">
        <f t="array" aca="1" ref="E153" ca="1">IFERROR(INDEX('VEH98 Data'!J$3:J$3508, SMALL(IF('VEH98 Data'!$AG$3:$AG$3508="TRUE", ROW('VEH98 Data'!J$3:J$3508)-ROW('VEH98 Data'!J$3)+1),ROWS('VEH98 Data'!J$3:'VEH98 Data'!J141))),"")</f>
        <v/>
      </c>
      <c r="F153" s="58" t="str">
        <f t="array" aca="1" ref="F153" ca="1">IFERROR(INDEX('VEH98 Data'!K$3:K$3508, SMALL(IF('VEH98 Data'!$AG$3:$AG$3508="TRUE", ROW('VEH98 Data'!K$3:K$3508)-ROW('VEH98 Data'!K$3)+1),ROWS('VEH98 Data'!K$3:'VEH98 Data'!K141))),"")</f>
        <v/>
      </c>
      <c r="G153" s="654" t="str">
        <f t="array" aca="1" ref="G153" ca="1">IFERROR(INDEX('VEH98 Data'!R$3:R$3508, SMALL(IF('VEH98 Data'!$AG$3:$AG$3508="TRUE", ROW('VEH98 Data'!R$3:R$3508)-ROW('VEH98 Data'!R$3)+1),ROWS('VEH98 Data'!R$3:'VEH98 Data'!R141))),"")</f>
        <v/>
      </c>
      <c r="H153" s="654" t="str">
        <f t="array" aca="1" ref="H153" ca="1">IFERROR(INDEX('VEH98 Data'!Y$3:Y$3508, SMALL(IF('VEH98 Data'!$AG$3:$AG$3508="TRUE", ROW('VEH98 Data'!Y$3:Y$3508)-ROW('VEH98 Data'!Y$3)+1),ROWS('VEH98 Data'!Y$3:'VEH98 Data'!Y141))),"")</f>
        <v/>
      </c>
      <c r="I153" s="19"/>
      <c r="J153" s="652">
        <f t="array" aca="1" ref="J153" ca="1">IFERROR(INDEX('VEH98 Data'!H$3:H$3508, SMALL(IF('VEH98 Data'!$AH$3:$AH$3508="TRUE", ROW('VEH98 Data'!H$3:H$3508)-ROW('VEH98 Data'!H$3)+1),ROWS('VEH98 Data'!H$3:'VEH98 Data'!H247))),"")</f>
        <v>2019</v>
      </c>
      <c r="K153" s="652" t="str">
        <f t="array" aca="1" ref="K153" ca="1">IFERROR(INDEX('VEH98 Data'!G$3:G$3508, SMALL(IF('VEH98 Data'!$AH$3:$AH$3508="TRUE", ROW('VEH98 Data'!G$3:G$3508)-ROW('VEH98 Data'!G$3)+1),ROWS('VEH98 Data'!G$3:'VEH98 Data'!G247))),"")</f>
        <v>Chevrolet</v>
      </c>
      <c r="L153" s="652" t="str">
        <f t="array" aca="1" ref="L153" ca="1">IFERROR(INDEX('VEH98 Data'!I$3:I$3508, SMALL(IF('VEH98 Data'!$AH$3:$AH$3508="TRUE", ROW('VEH98 Data'!I$3:I$3508)-ROW('VEH98 Data'!I$3)+1),ROWS('VEH98 Data'!I$3:'VEH98 Data'!I247))),"")</f>
        <v>Colorado</v>
      </c>
      <c r="M153" s="652" t="str">
        <f t="array" aca="1" ref="M153" ca="1">IFERROR(INDEX('VEH98 Data'!J$3:J$3508, SMALL(IF('VEH98 Data'!$AH$3:$AH$3508="TRUE", ROW('VEH98 Data'!J$3:J$3508)-ROW('VEH98 Data'!J$3)+1),ROWS('VEH98 Data'!J$3:'VEH98 Data'!J247))),"")</f>
        <v>Z71 Crew Cab</v>
      </c>
      <c r="N153" s="652" t="str">
        <f t="array" aca="1" ref="N153" ca="1">IFERROR(INDEX('VEH98 Data'!K$3:K$3508, SMALL(IF('VEH98 Data'!$AH$3:$AH$3508="TRUE", ROW('VEH98 Data'!K$3:K$3508)-ROW('VEH98 Data'!K$3)+1),ROWS('VEH98 Data'!K$3:'VEH98 Data'!K247))),"")</f>
        <v>2WD</v>
      </c>
      <c r="O153" s="653" t="str">
        <f t="array" aca="1" ref="O153" ca="1">IFERROR(INDEX('VEH98 Data'!R$3:R$3508, SMALL(IF('VEH98 Data'!$AH$3:$AH$3508="TRUE", ROW('VEH98 Data'!R$3:R$3508)-ROW('VEH98 Data'!R$3)+1),ROWS('VEH98 Data'!R$3:'VEH98 Data'!R247))),"")</f>
        <v>2.5L</v>
      </c>
      <c r="P153" s="653">
        <f t="array" aca="1" ref="P153" ca="1">IFERROR(INDEX('VEH98 Data'!Y$3:Y$3508, SMALL(IF('VEH98 Data'!$AH$3:$AH$3508="TRUE", ROW('VEH98 Data'!Y$3:Y$3508)-ROW('VEH98 Data'!Y$3)+1),ROWS('VEH98 Data'!Y$3:'VEH98 Data'!Y247))),"")</f>
        <v>22</v>
      </c>
    </row>
    <row r="154" spans="1:16">
      <c r="A154" s="99"/>
      <c r="B154" s="652"/>
      <c r="C154" s="652" t="str">
        <f t="array" aca="1" ref="C154" ca="1">IFERROR(INDEX('VEH98 Data'!G$3:G$3508, SMALL(IF('VEH98 Data'!$AG$3:$AG$3508="TRUE", ROW('VEH98 Data'!G$3:G$3508)-ROW('VEH98 Data'!G$3)+1),ROWS('VEH98 Data'!G$3:'VEH98 Data'!G142))),"")</f>
        <v/>
      </c>
      <c r="D154" s="652" t="str">
        <f t="array" aca="1" ref="D154" ca="1">IFERROR(INDEX('VEH98 Data'!I$3:I$3508, SMALL(IF('VEH98 Data'!$AG$3:$AG$3508="TRUE", ROW('VEH98 Data'!I$3:I$3508)-ROW('VEH98 Data'!I$3)+1),ROWS('VEH98 Data'!I$3:'VEH98 Data'!I142))),"")</f>
        <v/>
      </c>
      <c r="E154" s="652" t="str">
        <f t="array" aca="1" ref="E154" ca="1">IFERROR(INDEX('VEH98 Data'!J$3:J$3508, SMALL(IF('VEH98 Data'!$AG$3:$AG$3508="TRUE", ROW('VEH98 Data'!J$3:J$3508)-ROW('VEH98 Data'!J$3)+1),ROWS('VEH98 Data'!J$3:'VEH98 Data'!J142))),"")</f>
        <v/>
      </c>
      <c r="F154" s="652" t="str">
        <f t="array" aca="1" ref="F154" ca="1">IFERROR(INDEX('VEH98 Data'!K$3:K$3508, SMALL(IF('VEH98 Data'!$AG$3:$AG$3508="TRUE", ROW('VEH98 Data'!K$3:K$3508)-ROW('VEH98 Data'!K$3)+1),ROWS('VEH98 Data'!K$3:'VEH98 Data'!K142))),"")</f>
        <v/>
      </c>
      <c r="G154" s="653" t="str">
        <f t="array" aca="1" ref="G154" ca="1">IFERROR(INDEX('VEH98 Data'!R$3:R$3508, SMALL(IF('VEH98 Data'!$AG$3:$AG$3508="TRUE", ROW('VEH98 Data'!R$3:R$3508)-ROW('VEH98 Data'!R$3)+1),ROWS('VEH98 Data'!R$3:'VEH98 Data'!R142))),"")</f>
        <v/>
      </c>
      <c r="H154" s="653" t="str">
        <f t="array" aca="1" ref="H154" ca="1">IFERROR(INDEX('VEH98 Data'!Y$3:Y$3508, SMALL(IF('VEH98 Data'!$AG$3:$AG$3508="TRUE", ROW('VEH98 Data'!Y$3:Y$3508)-ROW('VEH98 Data'!Y$3)+1),ROWS('VEH98 Data'!Y$3:'VEH98 Data'!Y142))),"")</f>
        <v/>
      </c>
      <c r="I154" s="19"/>
      <c r="J154" s="58">
        <f t="array" aca="1" ref="J154" ca="1">IFERROR(INDEX('VEH98 Data'!H$3:H$3508, SMALL(IF('VEH98 Data'!$AH$3:$AH$3508="TRUE", ROW('VEH98 Data'!H$3:H$3508)-ROW('VEH98 Data'!H$3)+1),ROWS('VEH98 Data'!H$3:'VEH98 Data'!H248))),"")</f>
        <v>2019</v>
      </c>
      <c r="K154" s="58" t="str">
        <f t="array" aca="1" ref="K154" ca="1">IFERROR(INDEX('VEH98 Data'!G$3:G$3508, SMALL(IF('VEH98 Data'!$AH$3:$AH$3508="TRUE", ROW('VEH98 Data'!G$3:G$3508)-ROW('VEH98 Data'!G$3)+1),ROWS('VEH98 Data'!G$3:'VEH98 Data'!G248))),"")</f>
        <v>Chevrolet</v>
      </c>
      <c r="L154" s="58" t="str">
        <f t="array" aca="1" ref="L154" ca="1">IFERROR(INDEX('VEH98 Data'!I$3:I$3508, SMALL(IF('VEH98 Data'!$AH$3:$AH$3508="TRUE", ROW('VEH98 Data'!I$3:I$3508)-ROW('VEH98 Data'!I$3)+1),ROWS('VEH98 Data'!I$3:'VEH98 Data'!I248))),"")</f>
        <v>Colorado</v>
      </c>
      <c r="M154" s="58" t="str">
        <f t="array" aca="1" ref="M154" ca="1">IFERROR(INDEX('VEH98 Data'!J$3:J$3508, SMALL(IF('VEH98 Data'!$AH$3:$AH$3508="TRUE", ROW('VEH98 Data'!J$3:J$3508)-ROW('VEH98 Data'!J$3)+1),ROWS('VEH98 Data'!J$3:'VEH98 Data'!J248))),"")</f>
        <v>Z71 Extended Cab</v>
      </c>
      <c r="N154" s="58" t="str">
        <f t="array" aca="1" ref="N154" ca="1">IFERROR(INDEX('VEH98 Data'!K$3:K$3508, SMALL(IF('VEH98 Data'!$AH$3:$AH$3508="TRUE", ROW('VEH98 Data'!K$3:K$3508)-ROW('VEH98 Data'!K$3)+1),ROWS('VEH98 Data'!K$3:'VEH98 Data'!K248))),"")</f>
        <v>2WD</v>
      </c>
      <c r="O154" s="654" t="str">
        <f t="array" aca="1" ref="O154" ca="1">IFERROR(INDEX('VEH98 Data'!R$3:R$3508, SMALL(IF('VEH98 Data'!$AH$3:$AH$3508="TRUE", ROW('VEH98 Data'!R$3:R$3508)-ROW('VEH98 Data'!R$3)+1),ROWS('VEH98 Data'!R$3:'VEH98 Data'!R248))),"")</f>
        <v>2.5L</v>
      </c>
      <c r="P154" s="654">
        <f t="array" aca="1" ref="P154" ca="1">IFERROR(INDEX('VEH98 Data'!Y$3:Y$3508, SMALL(IF('VEH98 Data'!$AH$3:$AH$3508="TRUE", ROW('VEH98 Data'!Y$3:Y$3508)-ROW('VEH98 Data'!Y$3)+1),ROWS('VEH98 Data'!Y$3:'VEH98 Data'!Y248))),"")</f>
        <v>22</v>
      </c>
    </row>
    <row r="155" spans="1:16">
      <c r="A155" s="99"/>
      <c r="B155" s="58"/>
      <c r="C155" s="58" t="str">
        <f t="array" aca="1" ref="C155" ca="1">IFERROR(INDEX('VEH98 Data'!G$3:G$3508, SMALL(IF('VEH98 Data'!$AG$3:$AG$3508="TRUE", ROW('VEH98 Data'!G$3:G$3508)-ROW('VEH98 Data'!G$3)+1),ROWS('VEH98 Data'!G$3:'VEH98 Data'!G143))),"")</f>
        <v/>
      </c>
      <c r="D155" s="58" t="str">
        <f t="array" aca="1" ref="D155" ca="1">IFERROR(INDEX('VEH98 Data'!I$3:I$3508, SMALL(IF('VEH98 Data'!$AG$3:$AG$3508="TRUE", ROW('VEH98 Data'!I$3:I$3508)-ROW('VEH98 Data'!I$3)+1),ROWS('VEH98 Data'!I$3:'VEH98 Data'!I143))),"")</f>
        <v/>
      </c>
      <c r="E155" s="58" t="str">
        <f t="array" aca="1" ref="E155" ca="1">IFERROR(INDEX('VEH98 Data'!J$3:J$3508, SMALL(IF('VEH98 Data'!$AG$3:$AG$3508="TRUE", ROW('VEH98 Data'!J$3:J$3508)-ROW('VEH98 Data'!J$3)+1),ROWS('VEH98 Data'!J$3:'VEH98 Data'!J143))),"")</f>
        <v/>
      </c>
      <c r="F155" s="58" t="str">
        <f t="array" aca="1" ref="F155" ca="1">IFERROR(INDEX('VEH98 Data'!K$3:K$3508, SMALL(IF('VEH98 Data'!$AG$3:$AG$3508="TRUE", ROW('VEH98 Data'!K$3:K$3508)-ROW('VEH98 Data'!K$3)+1),ROWS('VEH98 Data'!K$3:'VEH98 Data'!K143))),"")</f>
        <v/>
      </c>
      <c r="G155" s="654" t="str">
        <f t="array" aca="1" ref="G155" ca="1">IFERROR(INDEX('VEH98 Data'!R$3:R$3508, SMALL(IF('VEH98 Data'!$AG$3:$AG$3508="TRUE", ROW('VEH98 Data'!R$3:R$3508)-ROW('VEH98 Data'!R$3)+1),ROWS('VEH98 Data'!R$3:'VEH98 Data'!R143))),"")</f>
        <v/>
      </c>
      <c r="H155" s="654" t="str">
        <f t="array" aca="1" ref="H155" ca="1">IFERROR(INDEX('VEH98 Data'!Y$3:Y$3508, SMALL(IF('VEH98 Data'!$AG$3:$AG$3508="TRUE", ROW('VEH98 Data'!Y$3:Y$3508)-ROW('VEH98 Data'!Y$3)+1),ROWS('VEH98 Data'!Y$3:'VEH98 Data'!Y143))),"")</f>
        <v/>
      </c>
      <c r="I155" s="19"/>
      <c r="J155" s="652">
        <f t="array" aca="1" ref="J155" ca="1">IFERROR(INDEX('VEH98 Data'!H$3:H$3508, SMALL(IF('VEH98 Data'!$AH$3:$AH$3508="TRUE", ROW('VEH98 Data'!H$3:H$3508)-ROW('VEH98 Data'!H$3)+1),ROWS('VEH98 Data'!H$3:'VEH98 Data'!H281))),"")</f>
        <v>2019</v>
      </c>
      <c r="K155" s="652" t="str">
        <f t="array" aca="1" ref="K155" ca="1">IFERROR(INDEX('VEH98 Data'!G$3:G$3508, SMALL(IF('VEH98 Data'!$AH$3:$AH$3508="TRUE", ROW('VEH98 Data'!G$3:G$3508)-ROW('VEH98 Data'!G$3)+1),ROWS('VEH98 Data'!G$3:'VEH98 Data'!G281))),"")</f>
        <v>Ford</v>
      </c>
      <c r="L155" s="652" t="str">
        <f t="array" aca="1" ref="L155" ca="1">IFERROR(INDEX('VEH98 Data'!I$3:I$3508, SMALL(IF('VEH98 Data'!$AH$3:$AH$3508="TRUE", ROW('VEH98 Data'!I$3:I$3508)-ROW('VEH98 Data'!I$3)+1),ROWS('VEH98 Data'!I$3:'VEH98 Data'!I281))),"")</f>
        <v>F150</v>
      </c>
      <c r="M155" s="652" t="str">
        <f t="array" aca="1" ref="M155" ca="1">IFERROR(INDEX('VEH98 Data'!J$3:J$3508, SMALL(IF('VEH98 Data'!$AH$3:$AH$3508="TRUE", ROW('VEH98 Data'!J$3:J$3508)-ROW('VEH98 Data'!J$3)+1),ROWS('VEH98 Data'!J$3:'VEH98 Data'!J281))),"")</f>
        <v>Super Crew XL</v>
      </c>
      <c r="N155" s="652" t="str">
        <f t="array" aca="1" ref="N155" ca="1">IFERROR(INDEX('VEH98 Data'!K$3:K$3508, SMALL(IF('VEH98 Data'!$AH$3:$AH$3508="TRUE", ROW('VEH98 Data'!K$3:K$3508)-ROW('VEH98 Data'!K$3)+1),ROWS('VEH98 Data'!K$3:'VEH98 Data'!K281))),"")</f>
        <v>2WD</v>
      </c>
      <c r="O155" s="653" t="str">
        <f t="array" aca="1" ref="O155" ca="1">IFERROR(INDEX('VEH98 Data'!R$3:R$3508, SMALL(IF('VEH98 Data'!$AH$3:$AH$3508="TRUE", ROW('VEH98 Data'!R$3:R$3508)-ROW('VEH98 Data'!R$3)+1),ROWS('VEH98 Data'!R$3:'VEH98 Data'!R281))),"")</f>
        <v>3.3L FFV</v>
      </c>
      <c r="P155" s="653">
        <f t="array" aca="1" ref="P155" ca="1">IFERROR(INDEX('VEH98 Data'!Y$3:Y$3508, SMALL(IF('VEH98 Data'!$AH$3:$AH$3508="TRUE", ROW('VEH98 Data'!Y$3:Y$3508)-ROW('VEH98 Data'!Y$3)+1),ROWS('VEH98 Data'!Y$3:'VEH98 Data'!Y281))),"")</f>
        <v>22</v>
      </c>
    </row>
    <row r="156" spans="1:16">
      <c r="A156" s="99"/>
      <c r="B156" s="652"/>
      <c r="C156" s="652" t="str">
        <f t="array" aca="1" ref="C156" ca="1">IFERROR(INDEX('VEH98 Data'!G$3:G$3508, SMALL(IF('VEH98 Data'!$AG$3:$AG$3508="TRUE", ROW('VEH98 Data'!G$3:G$3508)-ROW('VEH98 Data'!G$3)+1),ROWS('VEH98 Data'!G$3:'VEH98 Data'!G144))),"")</f>
        <v/>
      </c>
      <c r="D156" s="652" t="str">
        <f t="array" aca="1" ref="D156" ca="1">IFERROR(INDEX('VEH98 Data'!I$3:I$3508, SMALL(IF('VEH98 Data'!$AG$3:$AG$3508="TRUE", ROW('VEH98 Data'!I$3:I$3508)-ROW('VEH98 Data'!I$3)+1),ROWS('VEH98 Data'!I$3:'VEH98 Data'!I144))),"")</f>
        <v/>
      </c>
      <c r="E156" s="652" t="str">
        <f t="array" aca="1" ref="E156" ca="1">IFERROR(INDEX('VEH98 Data'!J$3:J$3508, SMALL(IF('VEH98 Data'!$AG$3:$AG$3508="TRUE", ROW('VEH98 Data'!J$3:J$3508)-ROW('VEH98 Data'!J$3)+1),ROWS('VEH98 Data'!J$3:'VEH98 Data'!J144))),"")</f>
        <v/>
      </c>
      <c r="F156" s="652" t="str">
        <f t="array" aca="1" ref="F156" ca="1">IFERROR(INDEX('VEH98 Data'!K$3:K$3508, SMALL(IF('VEH98 Data'!$AG$3:$AG$3508="TRUE", ROW('VEH98 Data'!K$3:K$3508)-ROW('VEH98 Data'!K$3)+1),ROWS('VEH98 Data'!K$3:'VEH98 Data'!K144))),"")</f>
        <v/>
      </c>
      <c r="G156" s="653" t="str">
        <f t="array" aca="1" ref="G156" ca="1">IFERROR(INDEX('VEH98 Data'!R$3:R$3508, SMALL(IF('VEH98 Data'!$AG$3:$AG$3508="TRUE", ROW('VEH98 Data'!R$3:R$3508)-ROW('VEH98 Data'!R$3)+1),ROWS('VEH98 Data'!R$3:'VEH98 Data'!R144))),"")</f>
        <v/>
      </c>
      <c r="H156" s="653" t="str">
        <f t="array" aca="1" ref="H156" ca="1">IFERROR(INDEX('VEH98 Data'!Y$3:Y$3508, SMALL(IF('VEH98 Data'!$AG$3:$AG$3508="TRUE", ROW('VEH98 Data'!Y$3:Y$3508)-ROW('VEH98 Data'!Y$3)+1),ROWS('VEH98 Data'!Y$3:'VEH98 Data'!Y144))),"")</f>
        <v/>
      </c>
      <c r="I156" s="19"/>
      <c r="J156" s="58">
        <f t="array" aca="1" ref="J156" ca="1">IFERROR(INDEX('VEH98 Data'!H$3:H$3508, SMALL(IF('VEH98 Data'!$AH$3:$AH$3508="TRUE", ROW('VEH98 Data'!H$3:H$3508)-ROW('VEH98 Data'!H$3)+1),ROWS('VEH98 Data'!H$3:'VEH98 Data'!H282))),"")</f>
        <v>2019</v>
      </c>
      <c r="K156" s="58" t="str">
        <f t="array" aca="1" ref="K156" ca="1">IFERROR(INDEX('VEH98 Data'!G$3:G$3508, SMALL(IF('VEH98 Data'!$AH$3:$AH$3508="TRUE", ROW('VEH98 Data'!G$3:G$3508)-ROW('VEH98 Data'!G$3)+1),ROWS('VEH98 Data'!G$3:'VEH98 Data'!G282))),"")</f>
        <v>Ford</v>
      </c>
      <c r="L156" s="58" t="str">
        <f t="array" aca="1" ref="L156" ca="1">IFERROR(INDEX('VEH98 Data'!I$3:I$3508, SMALL(IF('VEH98 Data'!$AH$3:$AH$3508="TRUE", ROW('VEH98 Data'!I$3:I$3508)-ROW('VEH98 Data'!I$3)+1),ROWS('VEH98 Data'!I$3:'VEH98 Data'!I282))),"")</f>
        <v>F150</v>
      </c>
      <c r="M156" s="58" t="str">
        <f t="array" aca="1" ref="M156" ca="1">IFERROR(INDEX('VEH98 Data'!J$3:J$3508, SMALL(IF('VEH98 Data'!$AH$3:$AH$3508="TRUE", ROW('VEH98 Data'!J$3:J$3508)-ROW('VEH98 Data'!J$3)+1),ROWS('VEH98 Data'!J$3:'VEH98 Data'!J282))),"")</f>
        <v>Super Crew XL</v>
      </c>
      <c r="N156" s="58" t="str">
        <f t="array" aca="1" ref="N156" ca="1">IFERROR(INDEX('VEH98 Data'!K$3:K$3508, SMALL(IF('VEH98 Data'!$AH$3:$AH$3508="TRUE", ROW('VEH98 Data'!K$3:K$3508)-ROW('VEH98 Data'!K$3)+1),ROWS('VEH98 Data'!K$3:'VEH98 Data'!K282))),"")</f>
        <v>2WD</v>
      </c>
      <c r="O156" s="654" t="str">
        <f t="array" aca="1" ref="O156" ca="1">IFERROR(INDEX('VEH98 Data'!R$3:R$3508, SMALL(IF('VEH98 Data'!$AH$3:$AH$3508="TRUE", ROW('VEH98 Data'!R$3:R$3508)-ROW('VEH98 Data'!R$3)+1),ROWS('VEH98 Data'!R$3:'VEH98 Data'!R282))),"")</f>
        <v>2.7L EcoBoost</v>
      </c>
      <c r="P156" s="654">
        <f t="array" aca="1" ref="P156" ca="1">IFERROR(INDEX('VEH98 Data'!Y$3:Y$3508, SMALL(IF('VEH98 Data'!$AH$3:$AH$3508="TRUE", ROW('VEH98 Data'!Y$3:Y$3508)-ROW('VEH98 Data'!Y$3)+1),ROWS('VEH98 Data'!Y$3:'VEH98 Data'!Y282))),"")</f>
        <v>22</v>
      </c>
    </row>
    <row r="157" spans="1:16">
      <c r="A157" s="99"/>
      <c r="B157" s="58"/>
      <c r="C157" s="58" t="str">
        <f t="array" aca="1" ref="C157" ca="1">IFERROR(INDEX('VEH98 Data'!G$3:G$3508, SMALL(IF('VEH98 Data'!$AG$3:$AG$3508="TRUE", ROW('VEH98 Data'!G$3:G$3508)-ROW('VEH98 Data'!G$3)+1),ROWS('VEH98 Data'!G$3:'VEH98 Data'!G145))),"")</f>
        <v/>
      </c>
      <c r="D157" s="58" t="str">
        <f t="array" aca="1" ref="D157" ca="1">IFERROR(INDEX('VEH98 Data'!I$3:I$3508, SMALL(IF('VEH98 Data'!$AG$3:$AG$3508="TRUE", ROW('VEH98 Data'!I$3:I$3508)-ROW('VEH98 Data'!I$3)+1),ROWS('VEH98 Data'!I$3:'VEH98 Data'!I145))),"")</f>
        <v/>
      </c>
      <c r="E157" s="58" t="str">
        <f t="array" aca="1" ref="E157" ca="1">IFERROR(INDEX('VEH98 Data'!J$3:J$3508, SMALL(IF('VEH98 Data'!$AG$3:$AG$3508="TRUE", ROW('VEH98 Data'!J$3:J$3508)-ROW('VEH98 Data'!J$3)+1),ROWS('VEH98 Data'!J$3:'VEH98 Data'!J145))),"")</f>
        <v/>
      </c>
      <c r="F157" s="58" t="str">
        <f t="array" aca="1" ref="F157" ca="1">IFERROR(INDEX('VEH98 Data'!K$3:K$3508, SMALL(IF('VEH98 Data'!$AG$3:$AG$3508="TRUE", ROW('VEH98 Data'!K$3:K$3508)-ROW('VEH98 Data'!K$3)+1),ROWS('VEH98 Data'!K$3:'VEH98 Data'!K145))),"")</f>
        <v/>
      </c>
      <c r="G157" s="654" t="str">
        <f t="array" aca="1" ref="G157" ca="1">IFERROR(INDEX('VEH98 Data'!R$3:R$3508, SMALL(IF('VEH98 Data'!$AG$3:$AG$3508="TRUE", ROW('VEH98 Data'!R$3:R$3508)-ROW('VEH98 Data'!R$3)+1),ROWS('VEH98 Data'!R$3:'VEH98 Data'!R145))),"")</f>
        <v/>
      </c>
      <c r="H157" s="654" t="str">
        <f t="array" aca="1" ref="H157" ca="1">IFERROR(INDEX('VEH98 Data'!Y$3:Y$3508, SMALL(IF('VEH98 Data'!$AG$3:$AG$3508="TRUE", ROW('VEH98 Data'!Y$3:Y$3508)-ROW('VEH98 Data'!Y$3)+1),ROWS('VEH98 Data'!Y$3:'VEH98 Data'!Y145))),"")</f>
        <v/>
      </c>
      <c r="I157" s="19"/>
      <c r="J157" s="652">
        <f t="array" aca="1" ref="J157" ca="1">IFERROR(INDEX('VEH98 Data'!H$3:H$3508, SMALL(IF('VEH98 Data'!$AH$3:$AH$3508="TRUE", ROW('VEH98 Data'!H$3:H$3508)-ROW('VEH98 Data'!H$3)+1),ROWS('VEH98 Data'!H$3:'VEH98 Data'!H283))),"")</f>
        <v>2019</v>
      </c>
      <c r="K157" s="652" t="str">
        <f t="array" aca="1" ref="K157" ca="1">IFERROR(INDEX('VEH98 Data'!G$3:G$3508, SMALL(IF('VEH98 Data'!$AH$3:$AH$3508="TRUE", ROW('VEH98 Data'!G$3:G$3508)-ROW('VEH98 Data'!G$3)+1),ROWS('VEH98 Data'!G$3:'VEH98 Data'!G283))),"")</f>
        <v>Ford</v>
      </c>
      <c r="L157" s="652" t="str">
        <f t="array" aca="1" ref="L157" ca="1">IFERROR(INDEX('VEH98 Data'!I$3:I$3508, SMALL(IF('VEH98 Data'!$AH$3:$AH$3508="TRUE", ROW('VEH98 Data'!I$3:I$3508)-ROW('VEH98 Data'!I$3)+1),ROWS('VEH98 Data'!I$3:'VEH98 Data'!I283))),"")</f>
        <v>F150</v>
      </c>
      <c r="M157" s="652" t="str">
        <f t="array" aca="1" ref="M157" ca="1">IFERROR(INDEX('VEH98 Data'!J$3:J$3508, SMALL(IF('VEH98 Data'!$AH$3:$AH$3508="TRUE", ROW('VEH98 Data'!J$3:J$3508)-ROW('VEH98 Data'!J$3)+1),ROWS('VEH98 Data'!J$3:'VEH98 Data'!J283))),"")</f>
        <v>Super Crew XL</v>
      </c>
      <c r="N157" s="652" t="str">
        <f t="array" aca="1" ref="N157" ca="1">IFERROR(INDEX('VEH98 Data'!K$3:K$3508, SMALL(IF('VEH98 Data'!$AH$3:$AH$3508="TRUE", ROW('VEH98 Data'!K$3:K$3508)-ROW('VEH98 Data'!K$3)+1),ROWS('VEH98 Data'!K$3:'VEH98 Data'!K283))),"")</f>
        <v>2WD</v>
      </c>
      <c r="O157" s="653" t="str">
        <f t="array" aca="1" ref="O157" ca="1">IFERROR(INDEX('VEH98 Data'!R$3:R$3508, SMALL(IF('VEH98 Data'!$AH$3:$AH$3508="TRUE", ROW('VEH98 Data'!R$3:R$3508)-ROW('VEH98 Data'!R$3)+1),ROWS('VEH98 Data'!R$3:'VEH98 Data'!R283))),"")</f>
        <v>2.7L EcoBoost</v>
      </c>
      <c r="P157" s="653">
        <f t="array" aca="1" ref="P157" ca="1">IFERROR(INDEX('VEH98 Data'!Y$3:Y$3508, SMALL(IF('VEH98 Data'!$AH$3:$AH$3508="TRUE", ROW('VEH98 Data'!Y$3:Y$3508)-ROW('VEH98 Data'!Y$3)+1),ROWS('VEH98 Data'!Y$3:'VEH98 Data'!Y283))),"")</f>
        <v>22</v>
      </c>
    </row>
    <row r="158" spans="1:16">
      <c r="A158" s="99"/>
      <c r="B158" s="652"/>
      <c r="C158" s="652" t="str">
        <f t="array" aca="1" ref="C158" ca="1">IFERROR(INDEX('VEH98 Data'!G$3:G$3508, SMALL(IF('VEH98 Data'!$AG$3:$AG$3508="TRUE", ROW('VEH98 Data'!G$3:G$3508)-ROW('VEH98 Data'!G$3)+1),ROWS('VEH98 Data'!G$3:'VEH98 Data'!G146))),"")</f>
        <v/>
      </c>
      <c r="D158" s="652" t="str">
        <f t="array" aca="1" ref="D158" ca="1">IFERROR(INDEX('VEH98 Data'!I$3:I$3508, SMALL(IF('VEH98 Data'!$AG$3:$AG$3508="TRUE", ROW('VEH98 Data'!I$3:I$3508)-ROW('VEH98 Data'!I$3)+1),ROWS('VEH98 Data'!I$3:'VEH98 Data'!I146))),"")</f>
        <v/>
      </c>
      <c r="E158" s="652" t="str">
        <f t="array" aca="1" ref="E158" ca="1">IFERROR(INDEX('VEH98 Data'!J$3:J$3508, SMALL(IF('VEH98 Data'!$AG$3:$AG$3508="TRUE", ROW('VEH98 Data'!J$3:J$3508)-ROW('VEH98 Data'!J$3)+1),ROWS('VEH98 Data'!J$3:'VEH98 Data'!J146))),"")</f>
        <v/>
      </c>
      <c r="F158" s="652" t="str">
        <f t="array" aca="1" ref="F158" ca="1">IFERROR(INDEX('VEH98 Data'!K$3:K$3508, SMALL(IF('VEH98 Data'!$AG$3:$AG$3508="TRUE", ROW('VEH98 Data'!K$3:K$3508)-ROW('VEH98 Data'!K$3)+1),ROWS('VEH98 Data'!K$3:'VEH98 Data'!K146))),"")</f>
        <v/>
      </c>
      <c r="G158" s="653" t="str">
        <f t="array" aca="1" ref="G158" ca="1">IFERROR(INDEX('VEH98 Data'!R$3:R$3508, SMALL(IF('VEH98 Data'!$AG$3:$AG$3508="TRUE", ROW('VEH98 Data'!R$3:R$3508)-ROW('VEH98 Data'!R$3)+1),ROWS('VEH98 Data'!R$3:'VEH98 Data'!R146))),"")</f>
        <v/>
      </c>
      <c r="H158" s="653" t="str">
        <f t="array" aca="1" ref="H158" ca="1">IFERROR(INDEX('VEH98 Data'!Y$3:Y$3508, SMALL(IF('VEH98 Data'!$AG$3:$AG$3508="TRUE", ROW('VEH98 Data'!Y$3:Y$3508)-ROW('VEH98 Data'!Y$3)+1),ROWS('VEH98 Data'!Y$3:'VEH98 Data'!Y146))),"")</f>
        <v/>
      </c>
      <c r="I158" s="19"/>
      <c r="J158" s="58">
        <f t="array" aca="1" ref="J158" ca="1">IFERROR(INDEX('VEH98 Data'!H$3:H$3508, SMALL(IF('VEH98 Data'!$AH$3:$AH$3508="TRUE", ROW('VEH98 Data'!H$3:H$3508)-ROW('VEH98 Data'!H$3)+1),ROWS('VEH98 Data'!H$3:'VEH98 Data'!H284))),"")</f>
        <v>2019</v>
      </c>
      <c r="K158" s="58" t="str">
        <f t="array" aca="1" ref="K158" ca="1">IFERROR(INDEX('VEH98 Data'!G$3:G$3508, SMALL(IF('VEH98 Data'!$AH$3:$AH$3508="TRUE", ROW('VEH98 Data'!G$3:G$3508)-ROW('VEH98 Data'!G$3)+1),ROWS('VEH98 Data'!G$3:'VEH98 Data'!G284))),"")</f>
        <v>Ford</v>
      </c>
      <c r="L158" s="58" t="str">
        <f t="array" aca="1" ref="L158" ca="1">IFERROR(INDEX('VEH98 Data'!I$3:I$3508, SMALL(IF('VEH98 Data'!$AH$3:$AH$3508="TRUE", ROW('VEH98 Data'!I$3:I$3508)-ROW('VEH98 Data'!I$3)+1),ROWS('VEH98 Data'!I$3:'VEH98 Data'!I284))),"")</f>
        <v>F150</v>
      </c>
      <c r="M158" s="58" t="str">
        <f t="array" aca="1" ref="M158" ca="1">IFERROR(INDEX('VEH98 Data'!J$3:J$3508, SMALL(IF('VEH98 Data'!$AH$3:$AH$3508="TRUE", ROW('VEH98 Data'!J$3:J$3508)-ROW('VEH98 Data'!J$3)+1),ROWS('VEH98 Data'!J$3:'VEH98 Data'!J284))),"")</f>
        <v>Super Crew XLT</v>
      </c>
      <c r="N158" s="58" t="str">
        <f t="array" aca="1" ref="N158" ca="1">IFERROR(INDEX('VEH98 Data'!K$3:K$3508, SMALL(IF('VEH98 Data'!$AH$3:$AH$3508="TRUE", ROW('VEH98 Data'!K$3:K$3508)-ROW('VEH98 Data'!K$3)+1),ROWS('VEH98 Data'!K$3:'VEH98 Data'!K284))),"")</f>
        <v>2WD</v>
      </c>
      <c r="O158" s="654" t="str">
        <f t="array" aca="1" ref="O158" ca="1">IFERROR(INDEX('VEH98 Data'!R$3:R$3508, SMALL(IF('VEH98 Data'!$AH$3:$AH$3508="TRUE", ROW('VEH98 Data'!R$3:R$3508)-ROW('VEH98 Data'!R$3)+1),ROWS('VEH98 Data'!R$3:'VEH98 Data'!R284))),"")</f>
        <v>2.7L EcoBoost</v>
      </c>
      <c r="P158" s="654">
        <f t="array" aca="1" ref="P158" ca="1">IFERROR(INDEX('VEH98 Data'!Y$3:Y$3508, SMALL(IF('VEH98 Data'!$AH$3:$AH$3508="TRUE", ROW('VEH98 Data'!Y$3:Y$3508)-ROW('VEH98 Data'!Y$3)+1),ROWS('VEH98 Data'!Y$3:'VEH98 Data'!Y284))),"")</f>
        <v>22</v>
      </c>
    </row>
    <row r="159" spans="1:16">
      <c r="A159" s="99"/>
      <c r="B159" s="58"/>
      <c r="C159" s="58" t="str">
        <f t="array" aca="1" ref="C159" ca="1">IFERROR(INDEX('VEH98 Data'!G$3:G$3508, SMALL(IF('VEH98 Data'!$AG$3:$AG$3508="TRUE", ROW('VEH98 Data'!G$3:G$3508)-ROW('VEH98 Data'!G$3)+1),ROWS('VEH98 Data'!G$3:'VEH98 Data'!G147))),"")</f>
        <v/>
      </c>
      <c r="D159" s="58" t="str">
        <f t="array" aca="1" ref="D159" ca="1">IFERROR(INDEX('VEH98 Data'!I$3:I$3508, SMALL(IF('VEH98 Data'!$AG$3:$AG$3508="TRUE", ROW('VEH98 Data'!I$3:I$3508)-ROW('VEH98 Data'!I$3)+1),ROWS('VEH98 Data'!I$3:'VEH98 Data'!I147))),"")</f>
        <v/>
      </c>
      <c r="E159" s="58" t="str">
        <f t="array" aca="1" ref="E159" ca="1">IFERROR(INDEX('VEH98 Data'!J$3:J$3508, SMALL(IF('VEH98 Data'!$AG$3:$AG$3508="TRUE", ROW('VEH98 Data'!J$3:J$3508)-ROW('VEH98 Data'!J$3)+1),ROWS('VEH98 Data'!J$3:'VEH98 Data'!J147))),"")</f>
        <v/>
      </c>
      <c r="F159" s="58" t="str">
        <f t="array" aca="1" ref="F159" ca="1">IFERROR(INDEX('VEH98 Data'!K$3:K$3508, SMALL(IF('VEH98 Data'!$AG$3:$AG$3508="TRUE", ROW('VEH98 Data'!K$3:K$3508)-ROW('VEH98 Data'!K$3)+1),ROWS('VEH98 Data'!K$3:'VEH98 Data'!K147))),"")</f>
        <v/>
      </c>
      <c r="G159" s="654" t="str">
        <f t="array" aca="1" ref="G159" ca="1">IFERROR(INDEX('VEH98 Data'!R$3:R$3508, SMALL(IF('VEH98 Data'!$AG$3:$AG$3508="TRUE", ROW('VEH98 Data'!R$3:R$3508)-ROW('VEH98 Data'!R$3)+1),ROWS('VEH98 Data'!R$3:'VEH98 Data'!R147))),"")</f>
        <v/>
      </c>
      <c r="H159" s="654" t="str">
        <f t="array" aca="1" ref="H159" ca="1">IFERROR(INDEX('VEH98 Data'!Y$3:Y$3508, SMALL(IF('VEH98 Data'!$AG$3:$AG$3508="TRUE", ROW('VEH98 Data'!Y$3:Y$3508)-ROW('VEH98 Data'!Y$3)+1),ROWS('VEH98 Data'!Y$3:'VEH98 Data'!Y147))),"")</f>
        <v/>
      </c>
      <c r="I159" s="19"/>
      <c r="J159" s="652">
        <f t="array" aca="1" ref="J159" ca="1">IFERROR(INDEX('VEH98 Data'!H$3:H$3508, SMALL(IF('VEH98 Data'!$AH$3:$AH$3508="TRUE", ROW('VEH98 Data'!H$3:H$3508)-ROW('VEH98 Data'!H$3)+1),ROWS('VEH98 Data'!H$3:'VEH98 Data'!H285))),"")</f>
        <v>2019</v>
      </c>
      <c r="K159" s="652" t="str">
        <f t="array" aca="1" ref="K159" ca="1">IFERROR(INDEX('VEH98 Data'!G$3:G$3508, SMALL(IF('VEH98 Data'!$AH$3:$AH$3508="TRUE", ROW('VEH98 Data'!G$3:G$3508)-ROW('VEH98 Data'!G$3)+1),ROWS('VEH98 Data'!G$3:'VEH98 Data'!G285))),"")</f>
        <v>Ford</v>
      </c>
      <c r="L159" s="652" t="str">
        <f t="array" aca="1" ref="L159" ca="1">IFERROR(INDEX('VEH98 Data'!I$3:I$3508, SMALL(IF('VEH98 Data'!$AH$3:$AH$3508="TRUE", ROW('VEH98 Data'!I$3:I$3508)-ROW('VEH98 Data'!I$3)+1),ROWS('VEH98 Data'!I$3:'VEH98 Data'!I285))),"")</f>
        <v>F150</v>
      </c>
      <c r="M159" s="652" t="str">
        <f t="array" aca="1" ref="M159" ca="1">IFERROR(INDEX('VEH98 Data'!J$3:J$3508, SMALL(IF('VEH98 Data'!$AH$3:$AH$3508="TRUE", ROW('VEH98 Data'!J$3:J$3508)-ROW('VEH98 Data'!J$3)+1),ROWS('VEH98 Data'!J$3:'VEH98 Data'!J285))),"")</f>
        <v>Super Crew XLT</v>
      </c>
      <c r="N159" s="652" t="str">
        <f t="array" aca="1" ref="N159" ca="1">IFERROR(INDEX('VEH98 Data'!K$3:K$3508, SMALL(IF('VEH98 Data'!$AH$3:$AH$3508="TRUE", ROW('VEH98 Data'!K$3:K$3508)-ROW('VEH98 Data'!K$3)+1),ROWS('VEH98 Data'!K$3:'VEH98 Data'!K285))),"")</f>
        <v>2WD</v>
      </c>
      <c r="O159" s="653" t="str">
        <f t="array" aca="1" ref="O159" ca="1">IFERROR(INDEX('VEH98 Data'!R$3:R$3508, SMALL(IF('VEH98 Data'!$AH$3:$AH$3508="TRUE", ROW('VEH98 Data'!R$3:R$3508)-ROW('VEH98 Data'!R$3)+1),ROWS('VEH98 Data'!R$3:'VEH98 Data'!R285))),"")</f>
        <v>3.3L</v>
      </c>
      <c r="P159" s="653">
        <f t="array" aca="1" ref="P159" ca="1">IFERROR(INDEX('VEH98 Data'!Y$3:Y$3508, SMALL(IF('VEH98 Data'!$AH$3:$AH$3508="TRUE", ROW('VEH98 Data'!Y$3:Y$3508)-ROW('VEH98 Data'!Y$3)+1),ROWS('VEH98 Data'!Y$3:'VEH98 Data'!Y285))),"")</f>
        <v>22</v>
      </c>
    </row>
    <row r="160" spans="1:16">
      <c r="A160" s="99"/>
      <c r="B160" s="652"/>
      <c r="C160" s="652" t="str">
        <f t="array" aca="1" ref="C160" ca="1">IFERROR(INDEX('VEH98 Data'!G$3:G$3508, SMALL(IF('VEH98 Data'!$AG$3:$AG$3508="TRUE", ROW('VEH98 Data'!G$3:G$3508)-ROW('VEH98 Data'!G$3)+1),ROWS('VEH98 Data'!G$3:'VEH98 Data'!G148))),"")</f>
        <v/>
      </c>
      <c r="D160" s="652" t="str">
        <f t="array" aca="1" ref="D160" ca="1">IFERROR(INDEX('VEH98 Data'!I$3:I$3508, SMALL(IF('VEH98 Data'!$AG$3:$AG$3508="TRUE", ROW('VEH98 Data'!I$3:I$3508)-ROW('VEH98 Data'!I$3)+1),ROWS('VEH98 Data'!I$3:'VEH98 Data'!I148))),"")</f>
        <v/>
      </c>
      <c r="E160" s="652" t="str">
        <f t="array" aca="1" ref="E160" ca="1">IFERROR(INDEX('VEH98 Data'!J$3:J$3508, SMALL(IF('VEH98 Data'!$AG$3:$AG$3508="TRUE", ROW('VEH98 Data'!J$3:J$3508)-ROW('VEH98 Data'!J$3)+1),ROWS('VEH98 Data'!J$3:'VEH98 Data'!J148))),"")</f>
        <v/>
      </c>
      <c r="F160" s="652" t="str">
        <f t="array" aca="1" ref="F160" ca="1">IFERROR(INDEX('VEH98 Data'!K$3:K$3508, SMALL(IF('VEH98 Data'!$AG$3:$AG$3508="TRUE", ROW('VEH98 Data'!K$3:K$3508)-ROW('VEH98 Data'!K$3)+1),ROWS('VEH98 Data'!K$3:'VEH98 Data'!K148))),"")</f>
        <v/>
      </c>
      <c r="G160" s="653" t="str">
        <f t="array" aca="1" ref="G160" ca="1">IFERROR(INDEX('VEH98 Data'!R$3:R$3508, SMALL(IF('VEH98 Data'!$AG$3:$AG$3508="TRUE", ROW('VEH98 Data'!R$3:R$3508)-ROW('VEH98 Data'!R$3)+1),ROWS('VEH98 Data'!R$3:'VEH98 Data'!R148))),"")</f>
        <v/>
      </c>
      <c r="H160" s="653" t="str">
        <f t="array" aca="1" ref="H160" ca="1">IFERROR(INDEX('VEH98 Data'!Y$3:Y$3508, SMALL(IF('VEH98 Data'!$AG$3:$AG$3508="TRUE", ROW('VEH98 Data'!Y$3:Y$3508)-ROW('VEH98 Data'!Y$3)+1),ROWS('VEH98 Data'!Y$3:'VEH98 Data'!Y148))),"")</f>
        <v/>
      </c>
      <c r="I160" s="19"/>
      <c r="J160" s="58">
        <f t="array" aca="1" ref="J160" ca="1">IFERROR(INDEX('VEH98 Data'!H$3:H$3508, SMALL(IF('VEH98 Data'!$AH$3:$AH$3508="TRUE", ROW('VEH98 Data'!H$3:H$3508)-ROW('VEH98 Data'!H$3)+1),ROWS('VEH98 Data'!H$3:'VEH98 Data'!H286))),"")</f>
        <v>2019</v>
      </c>
      <c r="K160" s="58" t="str">
        <f t="array" aca="1" ref="K160" ca="1">IFERROR(INDEX('VEH98 Data'!G$3:G$3508, SMALL(IF('VEH98 Data'!$AH$3:$AH$3508="TRUE", ROW('VEH98 Data'!G$3:G$3508)-ROW('VEH98 Data'!G$3)+1),ROWS('VEH98 Data'!G$3:'VEH98 Data'!G286))),"")</f>
        <v>Ford</v>
      </c>
      <c r="L160" s="58" t="str">
        <f t="array" aca="1" ref="L160" ca="1">IFERROR(INDEX('VEH98 Data'!I$3:I$3508, SMALL(IF('VEH98 Data'!$AH$3:$AH$3508="TRUE", ROW('VEH98 Data'!I$3:I$3508)-ROW('VEH98 Data'!I$3)+1),ROWS('VEH98 Data'!I$3:'VEH98 Data'!I286))),"")</f>
        <v>F150</v>
      </c>
      <c r="M160" s="58" t="str">
        <f t="array" aca="1" ref="M160" ca="1">IFERROR(INDEX('VEH98 Data'!J$3:J$3508, SMALL(IF('VEH98 Data'!$AH$3:$AH$3508="TRUE", ROW('VEH98 Data'!J$3:J$3508)-ROW('VEH98 Data'!J$3)+1),ROWS('VEH98 Data'!J$3:'VEH98 Data'!J286))),"")</f>
        <v>Super Crew XLT</v>
      </c>
      <c r="N160" s="58" t="str">
        <f t="array" aca="1" ref="N160" ca="1">IFERROR(INDEX('VEH98 Data'!K$3:K$3508, SMALL(IF('VEH98 Data'!$AH$3:$AH$3508="TRUE", ROW('VEH98 Data'!K$3:K$3508)-ROW('VEH98 Data'!K$3)+1),ROWS('VEH98 Data'!K$3:'VEH98 Data'!K286))),"")</f>
        <v>2WD</v>
      </c>
      <c r="O160" s="654" t="str">
        <f t="array" aca="1" ref="O160" ca="1">IFERROR(INDEX('VEH98 Data'!R$3:R$3508, SMALL(IF('VEH98 Data'!$AH$3:$AH$3508="TRUE", ROW('VEH98 Data'!R$3:R$3508)-ROW('VEH98 Data'!R$3)+1),ROWS('VEH98 Data'!R$3:'VEH98 Data'!R286))),"")</f>
        <v>2.7L EcoBoost</v>
      </c>
      <c r="P160" s="654">
        <f t="array" aca="1" ref="P160" ca="1">IFERROR(INDEX('VEH98 Data'!Y$3:Y$3508, SMALL(IF('VEH98 Data'!$AH$3:$AH$3508="TRUE", ROW('VEH98 Data'!Y$3:Y$3508)-ROW('VEH98 Data'!Y$3)+1),ROWS('VEH98 Data'!Y$3:'VEH98 Data'!Y286))),"")</f>
        <v>22</v>
      </c>
    </row>
    <row r="161" spans="1:16">
      <c r="A161" s="99"/>
      <c r="B161" s="58"/>
      <c r="C161" s="58" t="str">
        <f t="array" aca="1" ref="C161" ca="1">IFERROR(INDEX('VEH98 Data'!G$3:G$3508, SMALL(IF('VEH98 Data'!$AG$3:$AG$3508="TRUE", ROW('VEH98 Data'!G$3:G$3508)-ROW('VEH98 Data'!G$3)+1),ROWS('VEH98 Data'!G$3:'VEH98 Data'!G149))),"")</f>
        <v/>
      </c>
      <c r="D161" s="58" t="str">
        <f t="array" aca="1" ref="D161" ca="1">IFERROR(INDEX('VEH98 Data'!I$3:I$3508, SMALL(IF('VEH98 Data'!$AG$3:$AG$3508="TRUE", ROW('VEH98 Data'!I$3:I$3508)-ROW('VEH98 Data'!I$3)+1),ROWS('VEH98 Data'!I$3:'VEH98 Data'!I149))),"")</f>
        <v/>
      </c>
      <c r="E161" s="58" t="str">
        <f t="array" aca="1" ref="E161" ca="1">IFERROR(INDEX('VEH98 Data'!J$3:J$3508, SMALL(IF('VEH98 Data'!$AG$3:$AG$3508="TRUE", ROW('VEH98 Data'!J$3:J$3508)-ROW('VEH98 Data'!J$3)+1),ROWS('VEH98 Data'!J$3:'VEH98 Data'!J149))),"")</f>
        <v/>
      </c>
      <c r="F161" s="58" t="str">
        <f t="array" aca="1" ref="F161" ca="1">IFERROR(INDEX('VEH98 Data'!K$3:K$3508, SMALL(IF('VEH98 Data'!$AG$3:$AG$3508="TRUE", ROW('VEH98 Data'!K$3:K$3508)-ROW('VEH98 Data'!K$3)+1),ROWS('VEH98 Data'!K$3:'VEH98 Data'!K149))),"")</f>
        <v/>
      </c>
      <c r="G161" s="654" t="str">
        <f t="array" aca="1" ref="G161" ca="1">IFERROR(INDEX('VEH98 Data'!R$3:R$3508, SMALL(IF('VEH98 Data'!$AG$3:$AG$3508="TRUE", ROW('VEH98 Data'!R$3:R$3508)-ROW('VEH98 Data'!R$3)+1),ROWS('VEH98 Data'!R$3:'VEH98 Data'!R149))),"")</f>
        <v/>
      </c>
      <c r="H161" s="654" t="str">
        <f t="array" aca="1" ref="H161" ca="1">IFERROR(INDEX('VEH98 Data'!Y$3:Y$3508, SMALL(IF('VEH98 Data'!$AG$3:$AG$3508="TRUE", ROW('VEH98 Data'!Y$3:Y$3508)-ROW('VEH98 Data'!Y$3)+1),ROWS('VEH98 Data'!Y$3:'VEH98 Data'!Y149))),"")</f>
        <v/>
      </c>
      <c r="I161" s="19"/>
      <c r="J161" s="652">
        <f t="array" aca="1" ref="J161" ca="1">IFERROR(INDEX('VEH98 Data'!H$3:H$3508, SMALL(IF('VEH98 Data'!$AH$3:$AH$3508="TRUE", ROW('VEH98 Data'!H$3:H$3508)-ROW('VEH98 Data'!H$3)+1),ROWS('VEH98 Data'!H$3:'VEH98 Data'!H287))),"")</f>
        <v>2019</v>
      </c>
      <c r="K161" s="652" t="str">
        <f t="array" aca="1" ref="K161" ca="1">IFERROR(INDEX('VEH98 Data'!G$3:G$3508, SMALL(IF('VEH98 Data'!$AH$3:$AH$3508="TRUE", ROW('VEH98 Data'!G$3:G$3508)-ROW('VEH98 Data'!G$3)+1),ROWS('VEH98 Data'!G$3:'VEH98 Data'!G287))),"")</f>
        <v>Ford</v>
      </c>
      <c r="L161" s="652" t="str">
        <f t="array" aca="1" ref="L161" ca="1">IFERROR(INDEX('VEH98 Data'!I$3:I$3508, SMALL(IF('VEH98 Data'!$AH$3:$AH$3508="TRUE", ROW('VEH98 Data'!I$3:I$3508)-ROW('VEH98 Data'!I$3)+1),ROWS('VEH98 Data'!I$3:'VEH98 Data'!I287))),"")</f>
        <v>F150</v>
      </c>
      <c r="M161" s="652" t="str">
        <f t="array" aca="1" ref="M161" ca="1">IFERROR(INDEX('VEH98 Data'!J$3:J$3508, SMALL(IF('VEH98 Data'!$AH$3:$AH$3508="TRUE", ROW('VEH98 Data'!J$3:J$3508)-ROW('VEH98 Data'!J$3)+1),ROWS('VEH98 Data'!J$3:'VEH98 Data'!J287))),"")</f>
        <v>SuperCab XL</v>
      </c>
      <c r="N161" s="652" t="str">
        <f t="array" aca="1" ref="N161" ca="1">IFERROR(INDEX('VEH98 Data'!K$3:K$3508, SMALL(IF('VEH98 Data'!$AH$3:$AH$3508="TRUE", ROW('VEH98 Data'!K$3:K$3508)-ROW('VEH98 Data'!K$3)+1),ROWS('VEH98 Data'!K$3:'VEH98 Data'!K287))),"")</f>
        <v>2WD</v>
      </c>
      <c r="O161" s="653" t="str">
        <f t="array" aca="1" ref="O161" ca="1">IFERROR(INDEX('VEH98 Data'!R$3:R$3508, SMALL(IF('VEH98 Data'!$AH$3:$AH$3508="TRUE", ROW('VEH98 Data'!R$3:R$3508)-ROW('VEH98 Data'!R$3)+1),ROWS('VEH98 Data'!R$3:'VEH98 Data'!R287))),"")</f>
        <v>3.3L FFV</v>
      </c>
      <c r="P161" s="653">
        <f t="array" aca="1" ref="P161" ca="1">IFERROR(INDEX('VEH98 Data'!Y$3:Y$3508, SMALL(IF('VEH98 Data'!$AH$3:$AH$3508="TRUE", ROW('VEH98 Data'!Y$3:Y$3508)-ROW('VEH98 Data'!Y$3)+1),ROWS('VEH98 Data'!Y$3:'VEH98 Data'!Y287))),"")</f>
        <v>22</v>
      </c>
    </row>
    <row r="162" spans="1:16">
      <c r="A162" s="99"/>
      <c r="B162" s="652"/>
      <c r="C162" s="652" t="str">
        <f t="array" aca="1" ref="C162" ca="1">IFERROR(INDEX('VEH98 Data'!G$3:G$3508, SMALL(IF('VEH98 Data'!$AG$3:$AG$3508="TRUE", ROW('VEH98 Data'!G$3:G$3508)-ROW('VEH98 Data'!G$3)+1),ROWS('VEH98 Data'!G$3:'VEH98 Data'!G150))),"")</f>
        <v/>
      </c>
      <c r="D162" s="652" t="str">
        <f t="array" aca="1" ref="D162" ca="1">IFERROR(INDEX('VEH98 Data'!I$3:I$3508, SMALL(IF('VEH98 Data'!$AG$3:$AG$3508="TRUE", ROW('VEH98 Data'!I$3:I$3508)-ROW('VEH98 Data'!I$3)+1),ROWS('VEH98 Data'!I$3:'VEH98 Data'!I150))),"")</f>
        <v/>
      </c>
      <c r="E162" s="652" t="str">
        <f t="array" aca="1" ref="E162" ca="1">IFERROR(INDEX('VEH98 Data'!J$3:J$3508, SMALL(IF('VEH98 Data'!$AG$3:$AG$3508="TRUE", ROW('VEH98 Data'!J$3:J$3508)-ROW('VEH98 Data'!J$3)+1),ROWS('VEH98 Data'!J$3:'VEH98 Data'!J150))),"")</f>
        <v/>
      </c>
      <c r="F162" s="652" t="str">
        <f t="array" aca="1" ref="F162" ca="1">IFERROR(INDEX('VEH98 Data'!K$3:K$3508, SMALL(IF('VEH98 Data'!$AG$3:$AG$3508="TRUE", ROW('VEH98 Data'!K$3:K$3508)-ROW('VEH98 Data'!K$3)+1),ROWS('VEH98 Data'!K$3:'VEH98 Data'!K150))),"")</f>
        <v/>
      </c>
      <c r="G162" s="653" t="str">
        <f t="array" aca="1" ref="G162" ca="1">IFERROR(INDEX('VEH98 Data'!R$3:R$3508, SMALL(IF('VEH98 Data'!$AG$3:$AG$3508="TRUE", ROW('VEH98 Data'!R$3:R$3508)-ROW('VEH98 Data'!R$3)+1),ROWS('VEH98 Data'!R$3:'VEH98 Data'!R150))),"")</f>
        <v/>
      </c>
      <c r="H162" s="653" t="str">
        <f t="array" aca="1" ref="H162" ca="1">IFERROR(INDEX('VEH98 Data'!Y$3:Y$3508, SMALL(IF('VEH98 Data'!$AG$3:$AG$3508="TRUE", ROW('VEH98 Data'!Y$3:Y$3508)-ROW('VEH98 Data'!Y$3)+1),ROWS('VEH98 Data'!Y$3:'VEH98 Data'!Y150))),"")</f>
        <v/>
      </c>
      <c r="I162" s="19"/>
      <c r="J162" s="58">
        <f t="array" aca="1" ref="J162" ca="1">IFERROR(INDEX('VEH98 Data'!H$3:H$3508, SMALL(IF('VEH98 Data'!$AH$3:$AH$3508="TRUE", ROW('VEH98 Data'!H$3:H$3508)-ROW('VEH98 Data'!H$3)+1),ROWS('VEH98 Data'!H$3:'VEH98 Data'!H288))),"")</f>
        <v>2019</v>
      </c>
      <c r="K162" s="58" t="str">
        <f t="array" aca="1" ref="K162" ca="1">IFERROR(INDEX('VEH98 Data'!G$3:G$3508, SMALL(IF('VEH98 Data'!$AH$3:$AH$3508="TRUE", ROW('VEH98 Data'!G$3:G$3508)-ROW('VEH98 Data'!G$3)+1),ROWS('VEH98 Data'!G$3:'VEH98 Data'!G288))),"")</f>
        <v>Ford</v>
      </c>
      <c r="L162" s="58" t="str">
        <f t="array" aca="1" ref="L162" ca="1">IFERROR(INDEX('VEH98 Data'!I$3:I$3508, SMALL(IF('VEH98 Data'!$AH$3:$AH$3508="TRUE", ROW('VEH98 Data'!I$3:I$3508)-ROW('VEH98 Data'!I$3)+1),ROWS('VEH98 Data'!I$3:'VEH98 Data'!I288))),"")</f>
        <v>F150</v>
      </c>
      <c r="M162" s="58" t="str">
        <f t="array" aca="1" ref="M162" ca="1">IFERROR(INDEX('VEH98 Data'!J$3:J$3508, SMALL(IF('VEH98 Data'!$AH$3:$AH$3508="TRUE", ROW('VEH98 Data'!J$3:J$3508)-ROW('VEH98 Data'!J$3)+1),ROWS('VEH98 Data'!J$3:'VEH98 Data'!J288))),"")</f>
        <v>SuperCab XL</v>
      </c>
      <c r="N162" s="58" t="str">
        <f t="array" aca="1" ref="N162" ca="1">IFERROR(INDEX('VEH98 Data'!K$3:K$3508, SMALL(IF('VEH98 Data'!$AH$3:$AH$3508="TRUE", ROW('VEH98 Data'!K$3:K$3508)-ROW('VEH98 Data'!K$3)+1),ROWS('VEH98 Data'!K$3:'VEH98 Data'!K288))),"")</f>
        <v>2WD</v>
      </c>
      <c r="O162" s="654" t="str">
        <f t="array" aca="1" ref="O162" ca="1">IFERROR(INDEX('VEH98 Data'!R$3:R$3508, SMALL(IF('VEH98 Data'!$AH$3:$AH$3508="TRUE", ROW('VEH98 Data'!R$3:R$3508)-ROW('VEH98 Data'!R$3)+1),ROWS('VEH98 Data'!R$3:'VEH98 Data'!R288))),"")</f>
        <v>2.7L EcoBoost</v>
      </c>
      <c r="P162" s="654">
        <f t="array" aca="1" ref="P162" ca="1">IFERROR(INDEX('VEH98 Data'!Y$3:Y$3508, SMALL(IF('VEH98 Data'!$AH$3:$AH$3508="TRUE", ROW('VEH98 Data'!Y$3:Y$3508)-ROW('VEH98 Data'!Y$3)+1),ROWS('VEH98 Data'!Y$3:'VEH98 Data'!Y288))),"")</f>
        <v>22</v>
      </c>
    </row>
    <row r="163" spans="1:16">
      <c r="A163" s="99"/>
      <c r="B163" s="58"/>
      <c r="C163" s="58" t="str">
        <f t="array" aca="1" ref="C163" ca="1">IFERROR(INDEX('VEH98 Data'!G$3:G$3508, SMALL(IF('VEH98 Data'!$AG$3:$AG$3508="TRUE", ROW('VEH98 Data'!G$3:G$3508)-ROW('VEH98 Data'!G$3)+1),ROWS('VEH98 Data'!G$3:'VEH98 Data'!G151))),"")</f>
        <v/>
      </c>
      <c r="D163" s="58" t="str">
        <f t="array" aca="1" ref="D163" ca="1">IFERROR(INDEX('VEH98 Data'!I$3:I$3508, SMALL(IF('VEH98 Data'!$AG$3:$AG$3508="TRUE", ROW('VEH98 Data'!I$3:I$3508)-ROW('VEH98 Data'!I$3)+1),ROWS('VEH98 Data'!I$3:'VEH98 Data'!I151))),"")</f>
        <v/>
      </c>
      <c r="E163" s="58" t="str">
        <f t="array" aca="1" ref="E163" ca="1">IFERROR(INDEX('VEH98 Data'!J$3:J$3508, SMALL(IF('VEH98 Data'!$AG$3:$AG$3508="TRUE", ROW('VEH98 Data'!J$3:J$3508)-ROW('VEH98 Data'!J$3)+1),ROWS('VEH98 Data'!J$3:'VEH98 Data'!J151))),"")</f>
        <v/>
      </c>
      <c r="F163" s="58" t="str">
        <f t="array" aca="1" ref="F163" ca="1">IFERROR(INDEX('VEH98 Data'!K$3:K$3508, SMALL(IF('VEH98 Data'!$AG$3:$AG$3508="TRUE", ROW('VEH98 Data'!K$3:K$3508)-ROW('VEH98 Data'!K$3)+1),ROWS('VEH98 Data'!K$3:'VEH98 Data'!K151))),"")</f>
        <v/>
      </c>
      <c r="G163" s="654" t="str">
        <f t="array" aca="1" ref="G163" ca="1">IFERROR(INDEX('VEH98 Data'!R$3:R$3508, SMALL(IF('VEH98 Data'!$AG$3:$AG$3508="TRUE", ROW('VEH98 Data'!R$3:R$3508)-ROW('VEH98 Data'!R$3)+1),ROWS('VEH98 Data'!R$3:'VEH98 Data'!R151))),"")</f>
        <v/>
      </c>
      <c r="H163" s="654" t="str">
        <f t="array" aca="1" ref="H163" ca="1">IFERROR(INDEX('VEH98 Data'!Y$3:Y$3508, SMALL(IF('VEH98 Data'!$AG$3:$AG$3508="TRUE", ROW('VEH98 Data'!Y$3:Y$3508)-ROW('VEH98 Data'!Y$3)+1),ROWS('VEH98 Data'!Y$3:'VEH98 Data'!Y151))),"")</f>
        <v/>
      </c>
      <c r="I163" s="19"/>
      <c r="J163" s="652">
        <f t="array" aca="1" ref="J163" ca="1">IFERROR(INDEX('VEH98 Data'!H$3:H$3508, SMALL(IF('VEH98 Data'!$AH$3:$AH$3508="TRUE", ROW('VEH98 Data'!H$3:H$3508)-ROW('VEH98 Data'!H$3)+1),ROWS('VEH98 Data'!H$3:'VEH98 Data'!H289))),"")</f>
        <v>2019</v>
      </c>
      <c r="K163" s="652" t="str">
        <f t="array" aca="1" ref="K163" ca="1">IFERROR(INDEX('VEH98 Data'!G$3:G$3508, SMALL(IF('VEH98 Data'!$AH$3:$AH$3508="TRUE", ROW('VEH98 Data'!G$3:G$3508)-ROW('VEH98 Data'!G$3)+1),ROWS('VEH98 Data'!G$3:'VEH98 Data'!G289))),"")</f>
        <v>Ford</v>
      </c>
      <c r="L163" s="652" t="str">
        <f t="array" aca="1" ref="L163" ca="1">IFERROR(INDEX('VEH98 Data'!I$3:I$3508, SMALL(IF('VEH98 Data'!$AH$3:$AH$3508="TRUE", ROW('VEH98 Data'!I$3:I$3508)-ROW('VEH98 Data'!I$3)+1),ROWS('VEH98 Data'!I$3:'VEH98 Data'!I289))),"")</f>
        <v>F150</v>
      </c>
      <c r="M163" s="652" t="str">
        <f t="array" aca="1" ref="M163" ca="1">IFERROR(INDEX('VEH98 Data'!J$3:J$3508, SMALL(IF('VEH98 Data'!$AH$3:$AH$3508="TRUE", ROW('VEH98 Data'!J$3:J$3508)-ROW('VEH98 Data'!J$3)+1),ROWS('VEH98 Data'!J$3:'VEH98 Data'!J289))),"")</f>
        <v>SuperCab XL</v>
      </c>
      <c r="N163" s="652" t="str">
        <f t="array" aca="1" ref="N163" ca="1">IFERROR(INDEX('VEH98 Data'!K$3:K$3508, SMALL(IF('VEH98 Data'!$AH$3:$AH$3508="TRUE", ROW('VEH98 Data'!K$3:K$3508)-ROW('VEH98 Data'!K$3)+1),ROWS('VEH98 Data'!K$3:'VEH98 Data'!K289))),"")</f>
        <v>2WD</v>
      </c>
      <c r="O163" s="653" t="str">
        <f t="array" aca="1" ref="O163" ca="1">IFERROR(INDEX('VEH98 Data'!R$3:R$3508, SMALL(IF('VEH98 Data'!$AH$3:$AH$3508="TRUE", ROW('VEH98 Data'!R$3:R$3508)-ROW('VEH98 Data'!R$3)+1),ROWS('VEH98 Data'!R$3:'VEH98 Data'!R289))),"")</f>
        <v>2.7L EcoBoost</v>
      </c>
      <c r="P163" s="653">
        <f t="array" aca="1" ref="P163" ca="1">IFERROR(INDEX('VEH98 Data'!Y$3:Y$3508, SMALL(IF('VEH98 Data'!$AH$3:$AH$3508="TRUE", ROW('VEH98 Data'!Y$3:Y$3508)-ROW('VEH98 Data'!Y$3)+1),ROWS('VEH98 Data'!Y$3:'VEH98 Data'!Y289))),"")</f>
        <v>22</v>
      </c>
    </row>
    <row r="164" spans="1:16">
      <c r="A164" s="99"/>
      <c r="B164" s="652"/>
      <c r="C164" s="652" t="str">
        <f t="array" aca="1" ref="C164" ca="1">IFERROR(INDEX('VEH98 Data'!G$3:G$3508, SMALL(IF('VEH98 Data'!$AG$3:$AG$3508="TRUE", ROW('VEH98 Data'!G$3:G$3508)-ROW('VEH98 Data'!G$3)+1),ROWS('VEH98 Data'!G$3:'VEH98 Data'!G152))),"")</f>
        <v/>
      </c>
      <c r="D164" s="652" t="str">
        <f t="array" aca="1" ref="D164" ca="1">IFERROR(INDEX('VEH98 Data'!I$3:I$3508, SMALL(IF('VEH98 Data'!$AG$3:$AG$3508="TRUE", ROW('VEH98 Data'!I$3:I$3508)-ROW('VEH98 Data'!I$3)+1),ROWS('VEH98 Data'!I$3:'VEH98 Data'!I152))),"")</f>
        <v/>
      </c>
      <c r="E164" s="652" t="str">
        <f t="array" aca="1" ref="E164" ca="1">IFERROR(INDEX('VEH98 Data'!J$3:J$3508, SMALL(IF('VEH98 Data'!$AG$3:$AG$3508="TRUE", ROW('VEH98 Data'!J$3:J$3508)-ROW('VEH98 Data'!J$3)+1),ROWS('VEH98 Data'!J$3:'VEH98 Data'!J152))),"")</f>
        <v/>
      </c>
      <c r="F164" s="652" t="str">
        <f t="array" aca="1" ref="F164" ca="1">IFERROR(INDEX('VEH98 Data'!K$3:K$3508, SMALL(IF('VEH98 Data'!$AG$3:$AG$3508="TRUE", ROW('VEH98 Data'!K$3:K$3508)-ROW('VEH98 Data'!K$3)+1),ROWS('VEH98 Data'!K$3:'VEH98 Data'!K152))),"")</f>
        <v/>
      </c>
      <c r="G164" s="653" t="str">
        <f t="array" aca="1" ref="G164" ca="1">IFERROR(INDEX('VEH98 Data'!R$3:R$3508, SMALL(IF('VEH98 Data'!$AG$3:$AG$3508="TRUE", ROW('VEH98 Data'!R$3:R$3508)-ROW('VEH98 Data'!R$3)+1),ROWS('VEH98 Data'!R$3:'VEH98 Data'!R152))),"")</f>
        <v/>
      </c>
      <c r="H164" s="653" t="str">
        <f t="array" aca="1" ref="H164" ca="1">IFERROR(INDEX('VEH98 Data'!Y$3:Y$3508, SMALL(IF('VEH98 Data'!$AG$3:$AG$3508="TRUE", ROW('VEH98 Data'!Y$3:Y$3508)-ROW('VEH98 Data'!Y$3)+1),ROWS('VEH98 Data'!Y$3:'VEH98 Data'!Y152))),"")</f>
        <v/>
      </c>
      <c r="I164" s="19"/>
      <c r="J164" s="58">
        <f t="array" aca="1" ref="J164" ca="1">IFERROR(INDEX('VEH98 Data'!H$3:H$3508, SMALL(IF('VEH98 Data'!$AH$3:$AH$3508="TRUE", ROW('VEH98 Data'!H$3:H$3508)-ROW('VEH98 Data'!H$3)+1),ROWS('VEH98 Data'!H$3:'VEH98 Data'!H375))),"")</f>
        <v>2019</v>
      </c>
      <c r="K164" s="58" t="str">
        <f t="array" aca="1" ref="K164" ca="1">IFERROR(INDEX('VEH98 Data'!G$3:G$3508, SMALL(IF('VEH98 Data'!$AH$3:$AH$3508="TRUE", ROW('VEH98 Data'!G$3:G$3508)-ROW('VEH98 Data'!G$3)+1),ROWS('VEH98 Data'!G$3:'VEH98 Data'!G375))),"")</f>
        <v>Ford</v>
      </c>
      <c r="L164" s="58" t="str">
        <f t="array" aca="1" ref="L164" ca="1">IFERROR(INDEX('VEH98 Data'!I$3:I$3508, SMALL(IF('VEH98 Data'!$AH$3:$AH$3508="TRUE", ROW('VEH98 Data'!I$3:I$3508)-ROW('VEH98 Data'!I$3)+1),ROWS('VEH98 Data'!I$3:'VEH98 Data'!I375))),"")</f>
        <v>Ranger</v>
      </c>
      <c r="M164" s="58" t="str">
        <f t="array" aca="1" ref="M164" ca="1">IFERROR(INDEX('VEH98 Data'!J$3:J$3508, SMALL(IF('VEH98 Data'!$AH$3:$AH$3508="TRUE", ROW('VEH98 Data'!J$3:J$3508)-ROW('VEH98 Data'!J$3)+1),ROWS('VEH98 Data'!J$3:'VEH98 Data'!J375))),"")</f>
        <v>XLT CC 4X2 5' Box</v>
      </c>
      <c r="N164" s="58" t="str">
        <f t="array" aca="1" ref="N164" ca="1">IFERROR(INDEX('VEH98 Data'!K$3:K$3508, SMALL(IF('VEH98 Data'!$AH$3:$AH$3508="TRUE", ROW('VEH98 Data'!K$3:K$3508)-ROW('VEH98 Data'!K$3)+1),ROWS('VEH98 Data'!K$3:'VEH98 Data'!K375))),"")</f>
        <v>2WD</v>
      </c>
      <c r="O164" s="654" t="str">
        <f t="array" aca="1" ref="O164" ca="1">IFERROR(INDEX('VEH98 Data'!R$3:R$3508, SMALL(IF('VEH98 Data'!$AH$3:$AH$3508="TRUE", ROW('VEH98 Data'!R$3:R$3508)-ROW('VEH98 Data'!R$3)+1),ROWS('VEH98 Data'!R$3:'VEH98 Data'!R375))),"")</f>
        <v>2.3L Ecoboost</v>
      </c>
      <c r="P164" s="654">
        <f t="array" aca="1" ref="P164" ca="1">IFERROR(INDEX('VEH98 Data'!Y$3:Y$3508, SMALL(IF('VEH98 Data'!$AH$3:$AH$3508="TRUE", ROW('VEH98 Data'!Y$3:Y$3508)-ROW('VEH98 Data'!Y$3)+1),ROWS('VEH98 Data'!Y$3:'VEH98 Data'!Y375))),"")</f>
        <v>22</v>
      </c>
    </row>
    <row r="165" spans="1:16">
      <c r="A165" s="99"/>
      <c r="B165" s="58"/>
      <c r="C165" s="58" t="str">
        <f t="array" aca="1" ref="C165" ca="1">IFERROR(INDEX('VEH98 Data'!G$3:G$3508, SMALL(IF('VEH98 Data'!$AG$3:$AG$3508="TRUE", ROW('VEH98 Data'!G$3:G$3508)-ROW('VEH98 Data'!G$3)+1),ROWS('VEH98 Data'!G$3:'VEH98 Data'!G153))),"")</f>
        <v/>
      </c>
      <c r="D165" s="58" t="str">
        <f t="array" aca="1" ref="D165" ca="1">IFERROR(INDEX('VEH98 Data'!I$3:I$3508, SMALL(IF('VEH98 Data'!$AG$3:$AG$3508="TRUE", ROW('VEH98 Data'!I$3:I$3508)-ROW('VEH98 Data'!I$3)+1),ROWS('VEH98 Data'!I$3:'VEH98 Data'!I153))),"")</f>
        <v/>
      </c>
      <c r="E165" s="58" t="str">
        <f t="array" aca="1" ref="E165" ca="1">IFERROR(INDEX('VEH98 Data'!J$3:J$3508, SMALL(IF('VEH98 Data'!$AG$3:$AG$3508="TRUE", ROW('VEH98 Data'!J$3:J$3508)-ROW('VEH98 Data'!J$3)+1),ROWS('VEH98 Data'!J$3:'VEH98 Data'!J153))),"")</f>
        <v/>
      </c>
      <c r="F165" s="58" t="str">
        <f t="array" aca="1" ref="F165" ca="1">IFERROR(INDEX('VEH98 Data'!K$3:K$3508, SMALL(IF('VEH98 Data'!$AG$3:$AG$3508="TRUE", ROW('VEH98 Data'!K$3:K$3508)-ROW('VEH98 Data'!K$3)+1),ROWS('VEH98 Data'!K$3:'VEH98 Data'!K153))),"")</f>
        <v/>
      </c>
      <c r="G165" s="654" t="str">
        <f t="array" aca="1" ref="G165" ca="1">IFERROR(INDEX('VEH98 Data'!R$3:R$3508, SMALL(IF('VEH98 Data'!$AG$3:$AG$3508="TRUE", ROW('VEH98 Data'!R$3:R$3508)-ROW('VEH98 Data'!R$3)+1),ROWS('VEH98 Data'!R$3:'VEH98 Data'!R153))),"")</f>
        <v/>
      </c>
      <c r="H165" s="654" t="str">
        <f t="array" aca="1" ref="H165" ca="1">IFERROR(INDEX('VEH98 Data'!Y$3:Y$3508, SMALL(IF('VEH98 Data'!$AG$3:$AG$3508="TRUE", ROW('VEH98 Data'!Y$3:Y$3508)-ROW('VEH98 Data'!Y$3)+1),ROWS('VEH98 Data'!Y$3:'VEH98 Data'!Y153))),"")</f>
        <v/>
      </c>
      <c r="I165" s="19"/>
      <c r="J165" s="652">
        <f t="array" aca="1" ref="J165" ca="1">IFERROR(INDEX('VEH98 Data'!H$3:H$3508, SMALL(IF('VEH98 Data'!$AH$3:$AH$3508="TRUE", ROW('VEH98 Data'!H$3:H$3508)-ROW('VEH98 Data'!H$3)+1),ROWS('VEH98 Data'!H$3:'VEH98 Data'!H376))),"")</f>
        <v>2019</v>
      </c>
      <c r="K165" s="652" t="str">
        <f t="array" aca="1" ref="K165" ca="1">IFERROR(INDEX('VEH98 Data'!G$3:G$3508, SMALL(IF('VEH98 Data'!$AH$3:$AH$3508="TRUE", ROW('VEH98 Data'!G$3:G$3508)-ROW('VEH98 Data'!G$3)+1),ROWS('VEH98 Data'!G$3:'VEH98 Data'!G376))),"")</f>
        <v>Ford</v>
      </c>
      <c r="L165" s="652" t="str">
        <f t="array" aca="1" ref="L165" ca="1">IFERROR(INDEX('VEH98 Data'!I$3:I$3508, SMALL(IF('VEH98 Data'!$AH$3:$AH$3508="TRUE", ROW('VEH98 Data'!I$3:I$3508)-ROW('VEH98 Data'!I$3)+1),ROWS('VEH98 Data'!I$3:'VEH98 Data'!I376))),"")</f>
        <v>Ranger</v>
      </c>
      <c r="M165" s="652" t="str">
        <f t="array" aca="1" ref="M165" ca="1">IFERROR(INDEX('VEH98 Data'!J$3:J$3508, SMALL(IF('VEH98 Data'!$AH$3:$AH$3508="TRUE", ROW('VEH98 Data'!J$3:J$3508)-ROW('VEH98 Data'!J$3)+1),ROWS('VEH98 Data'!J$3:'VEH98 Data'!J376))),"")</f>
        <v>XLT CC 4X4 5' Box</v>
      </c>
      <c r="N165" s="652" t="str">
        <f t="array" aca="1" ref="N165" ca="1">IFERROR(INDEX('VEH98 Data'!K$3:K$3508, SMALL(IF('VEH98 Data'!$AH$3:$AH$3508="TRUE", ROW('VEH98 Data'!K$3:K$3508)-ROW('VEH98 Data'!K$3)+1),ROWS('VEH98 Data'!K$3:'VEH98 Data'!K376))),"")</f>
        <v>4WD</v>
      </c>
      <c r="O165" s="653" t="str">
        <f t="array" aca="1" ref="O165" ca="1">IFERROR(INDEX('VEH98 Data'!R$3:R$3508, SMALL(IF('VEH98 Data'!$AH$3:$AH$3508="TRUE", ROW('VEH98 Data'!R$3:R$3508)-ROW('VEH98 Data'!R$3)+1),ROWS('VEH98 Data'!R$3:'VEH98 Data'!R376))),"")</f>
        <v>2.3L Ecoboost</v>
      </c>
      <c r="P165" s="653">
        <f t="array" aca="1" ref="P165" ca="1">IFERROR(INDEX('VEH98 Data'!Y$3:Y$3508, SMALL(IF('VEH98 Data'!$AH$3:$AH$3508="TRUE", ROW('VEH98 Data'!Y$3:Y$3508)-ROW('VEH98 Data'!Y$3)+1),ROWS('VEH98 Data'!Y$3:'VEH98 Data'!Y376))),"")</f>
        <v>22</v>
      </c>
    </row>
    <row r="166" spans="1:16">
      <c r="A166" s="99"/>
      <c r="B166" s="652"/>
      <c r="C166" s="652" t="str">
        <f t="array" aca="1" ref="C166" ca="1">IFERROR(INDEX('VEH98 Data'!G$3:G$3508, SMALL(IF('VEH98 Data'!$AG$3:$AG$3508="TRUE", ROW('VEH98 Data'!G$3:G$3508)-ROW('VEH98 Data'!G$3)+1),ROWS('VEH98 Data'!G$3:'VEH98 Data'!G154))),"")</f>
        <v/>
      </c>
      <c r="D166" s="652" t="str">
        <f t="array" aca="1" ref="D166" ca="1">IFERROR(INDEX('VEH98 Data'!I$3:I$3508, SMALL(IF('VEH98 Data'!$AG$3:$AG$3508="TRUE", ROW('VEH98 Data'!I$3:I$3508)-ROW('VEH98 Data'!I$3)+1),ROWS('VEH98 Data'!I$3:'VEH98 Data'!I154))),"")</f>
        <v/>
      </c>
      <c r="E166" s="652" t="str">
        <f t="array" aca="1" ref="E166" ca="1">IFERROR(INDEX('VEH98 Data'!J$3:J$3508, SMALL(IF('VEH98 Data'!$AG$3:$AG$3508="TRUE", ROW('VEH98 Data'!J$3:J$3508)-ROW('VEH98 Data'!J$3)+1),ROWS('VEH98 Data'!J$3:'VEH98 Data'!J154))),"")</f>
        <v/>
      </c>
      <c r="F166" s="652" t="str">
        <f t="array" aca="1" ref="F166" ca="1">IFERROR(INDEX('VEH98 Data'!K$3:K$3508, SMALL(IF('VEH98 Data'!$AG$3:$AG$3508="TRUE", ROW('VEH98 Data'!K$3:K$3508)-ROW('VEH98 Data'!K$3)+1),ROWS('VEH98 Data'!K$3:'VEH98 Data'!K154))),"")</f>
        <v/>
      </c>
      <c r="G166" s="653" t="str">
        <f t="array" aca="1" ref="G166" ca="1">IFERROR(INDEX('VEH98 Data'!R$3:R$3508, SMALL(IF('VEH98 Data'!$AG$3:$AG$3508="TRUE", ROW('VEH98 Data'!R$3:R$3508)-ROW('VEH98 Data'!R$3)+1),ROWS('VEH98 Data'!R$3:'VEH98 Data'!R154))),"")</f>
        <v/>
      </c>
      <c r="H166" s="653" t="str">
        <f t="array" aca="1" ref="H166" ca="1">IFERROR(INDEX('VEH98 Data'!Y$3:Y$3508, SMALL(IF('VEH98 Data'!$AG$3:$AG$3508="TRUE", ROW('VEH98 Data'!Y$3:Y$3508)-ROW('VEH98 Data'!Y$3)+1),ROWS('VEH98 Data'!Y$3:'VEH98 Data'!Y154))),"")</f>
        <v/>
      </c>
      <c r="I166" s="19"/>
      <c r="J166" s="58">
        <f t="array" aca="1" ref="J166" ca="1">IFERROR(INDEX('VEH98 Data'!H$3:H$3508, SMALL(IF('VEH98 Data'!$AH$3:$AH$3508="TRUE", ROW('VEH98 Data'!H$3:H$3508)-ROW('VEH98 Data'!H$3)+1),ROWS('VEH98 Data'!H$3:'VEH98 Data'!H377))),"")</f>
        <v>2019</v>
      </c>
      <c r="K166" s="58" t="str">
        <f t="array" aca="1" ref="K166" ca="1">IFERROR(INDEX('VEH98 Data'!G$3:G$3508, SMALL(IF('VEH98 Data'!$AH$3:$AH$3508="TRUE", ROW('VEH98 Data'!G$3:G$3508)-ROW('VEH98 Data'!G$3)+1),ROWS('VEH98 Data'!G$3:'VEH98 Data'!G377))),"")</f>
        <v>Ford</v>
      </c>
      <c r="L166" s="58" t="str">
        <f t="array" aca="1" ref="L166" ca="1">IFERROR(INDEX('VEH98 Data'!I$3:I$3508, SMALL(IF('VEH98 Data'!$AH$3:$AH$3508="TRUE", ROW('VEH98 Data'!I$3:I$3508)-ROW('VEH98 Data'!I$3)+1),ROWS('VEH98 Data'!I$3:'VEH98 Data'!I377))),"")</f>
        <v>Ranger</v>
      </c>
      <c r="M166" s="58" t="str">
        <f t="array" aca="1" ref="M166" ca="1">IFERROR(INDEX('VEH98 Data'!J$3:J$3508, SMALL(IF('VEH98 Data'!$AH$3:$AH$3508="TRUE", ROW('VEH98 Data'!J$3:J$3508)-ROW('VEH98 Data'!J$3)+1),ROWS('VEH98 Data'!J$3:'VEH98 Data'!J377))),"")</f>
        <v>XLT SC 4X2 6' Box</v>
      </c>
      <c r="N166" s="58" t="str">
        <f t="array" aca="1" ref="N166" ca="1">IFERROR(INDEX('VEH98 Data'!K$3:K$3508, SMALL(IF('VEH98 Data'!$AH$3:$AH$3508="TRUE", ROW('VEH98 Data'!K$3:K$3508)-ROW('VEH98 Data'!K$3)+1),ROWS('VEH98 Data'!K$3:'VEH98 Data'!K377))),"")</f>
        <v>2WD</v>
      </c>
      <c r="O166" s="654" t="str">
        <f t="array" aca="1" ref="O166" ca="1">IFERROR(INDEX('VEH98 Data'!R$3:R$3508, SMALL(IF('VEH98 Data'!$AH$3:$AH$3508="TRUE", ROW('VEH98 Data'!R$3:R$3508)-ROW('VEH98 Data'!R$3)+1),ROWS('VEH98 Data'!R$3:'VEH98 Data'!R377))),"")</f>
        <v>2.3L Ecoboost</v>
      </c>
      <c r="P166" s="654">
        <f t="array" aca="1" ref="P166" ca="1">IFERROR(INDEX('VEH98 Data'!Y$3:Y$3508, SMALL(IF('VEH98 Data'!$AH$3:$AH$3508="TRUE", ROW('VEH98 Data'!Y$3:Y$3508)-ROW('VEH98 Data'!Y$3)+1),ROWS('VEH98 Data'!Y$3:'VEH98 Data'!Y377))),"")</f>
        <v>24</v>
      </c>
    </row>
    <row r="167" spans="1:16">
      <c r="A167" s="99"/>
      <c r="B167" s="58"/>
      <c r="C167" s="58" t="str">
        <f t="array" aca="1" ref="C167" ca="1">IFERROR(INDEX('VEH98 Data'!G$3:G$3508, SMALL(IF('VEH98 Data'!$AG$3:$AG$3508="TRUE", ROW('VEH98 Data'!G$3:G$3508)-ROW('VEH98 Data'!G$3)+1),ROWS('VEH98 Data'!G$3:'VEH98 Data'!G155))),"")</f>
        <v/>
      </c>
      <c r="D167" s="58" t="str">
        <f t="array" aca="1" ref="D167" ca="1">IFERROR(INDEX('VEH98 Data'!I$3:I$3508, SMALL(IF('VEH98 Data'!$AG$3:$AG$3508="TRUE", ROW('VEH98 Data'!I$3:I$3508)-ROW('VEH98 Data'!I$3)+1),ROWS('VEH98 Data'!I$3:'VEH98 Data'!I155))),"")</f>
        <v/>
      </c>
      <c r="E167" s="58" t="str">
        <f t="array" aca="1" ref="E167" ca="1">IFERROR(INDEX('VEH98 Data'!J$3:J$3508, SMALL(IF('VEH98 Data'!$AG$3:$AG$3508="TRUE", ROW('VEH98 Data'!J$3:J$3508)-ROW('VEH98 Data'!J$3)+1),ROWS('VEH98 Data'!J$3:'VEH98 Data'!J155))),"")</f>
        <v/>
      </c>
      <c r="F167" s="58" t="str">
        <f t="array" aca="1" ref="F167" ca="1">IFERROR(INDEX('VEH98 Data'!K$3:K$3508, SMALL(IF('VEH98 Data'!$AG$3:$AG$3508="TRUE", ROW('VEH98 Data'!K$3:K$3508)-ROW('VEH98 Data'!K$3)+1),ROWS('VEH98 Data'!K$3:'VEH98 Data'!K155))),"")</f>
        <v/>
      </c>
      <c r="G167" s="654" t="str">
        <f t="array" aca="1" ref="G167" ca="1">IFERROR(INDEX('VEH98 Data'!R$3:R$3508, SMALL(IF('VEH98 Data'!$AG$3:$AG$3508="TRUE", ROW('VEH98 Data'!R$3:R$3508)-ROW('VEH98 Data'!R$3)+1),ROWS('VEH98 Data'!R$3:'VEH98 Data'!R155))),"")</f>
        <v/>
      </c>
      <c r="H167" s="654" t="str">
        <f t="array" aca="1" ref="H167" ca="1">IFERROR(INDEX('VEH98 Data'!Y$3:Y$3508, SMALL(IF('VEH98 Data'!$AG$3:$AG$3508="TRUE", ROW('VEH98 Data'!Y$3:Y$3508)-ROW('VEH98 Data'!Y$3)+1),ROWS('VEH98 Data'!Y$3:'VEH98 Data'!Y155))),"")</f>
        <v/>
      </c>
      <c r="I167" s="19"/>
      <c r="J167" s="652">
        <f t="array" aca="1" ref="J167" ca="1">IFERROR(INDEX('VEH98 Data'!H$3:H$3508, SMALL(IF('VEH98 Data'!$AH$3:$AH$3508="TRUE", ROW('VEH98 Data'!H$3:H$3508)-ROW('VEH98 Data'!H$3)+1),ROWS('VEH98 Data'!H$3:'VEH98 Data'!H378))),"")</f>
        <v>2019</v>
      </c>
      <c r="K167" s="652" t="str">
        <f t="array" aca="1" ref="K167" ca="1">IFERROR(INDEX('VEH98 Data'!G$3:G$3508, SMALL(IF('VEH98 Data'!$AH$3:$AH$3508="TRUE", ROW('VEH98 Data'!G$3:G$3508)-ROW('VEH98 Data'!G$3)+1),ROWS('VEH98 Data'!G$3:'VEH98 Data'!G378))),"")</f>
        <v>Ford</v>
      </c>
      <c r="L167" s="652" t="str">
        <f t="array" aca="1" ref="L167" ca="1">IFERROR(INDEX('VEH98 Data'!I$3:I$3508, SMALL(IF('VEH98 Data'!$AH$3:$AH$3508="TRUE", ROW('VEH98 Data'!I$3:I$3508)-ROW('VEH98 Data'!I$3)+1),ROWS('VEH98 Data'!I$3:'VEH98 Data'!I378))),"")</f>
        <v>Ranger</v>
      </c>
      <c r="M167" s="652" t="str">
        <f t="array" aca="1" ref="M167" ca="1">IFERROR(INDEX('VEH98 Data'!J$3:J$3508, SMALL(IF('VEH98 Data'!$AH$3:$AH$3508="TRUE", ROW('VEH98 Data'!J$3:J$3508)-ROW('VEH98 Data'!J$3)+1),ROWS('VEH98 Data'!J$3:'VEH98 Data'!J378))),"")</f>
        <v>XLT SC 4X4 6' Box</v>
      </c>
      <c r="N167" s="652" t="str">
        <f t="array" aca="1" ref="N167" ca="1">IFERROR(INDEX('VEH98 Data'!K$3:K$3508, SMALL(IF('VEH98 Data'!$AH$3:$AH$3508="TRUE", ROW('VEH98 Data'!K$3:K$3508)-ROW('VEH98 Data'!K$3)+1),ROWS('VEH98 Data'!K$3:'VEH98 Data'!K378))),"")</f>
        <v>4WD</v>
      </c>
      <c r="O167" s="653" t="str">
        <f t="array" aca="1" ref="O167" ca="1">IFERROR(INDEX('VEH98 Data'!R$3:R$3508, SMALL(IF('VEH98 Data'!$AH$3:$AH$3508="TRUE", ROW('VEH98 Data'!R$3:R$3508)-ROW('VEH98 Data'!R$3)+1),ROWS('VEH98 Data'!R$3:'VEH98 Data'!R378))),"")</f>
        <v>2.3L Ecoboost</v>
      </c>
      <c r="P167" s="653">
        <f t="array" aca="1" ref="P167" ca="1">IFERROR(INDEX('VEH98 Data'!Y$3:Y$3508, SMALL(IF('VEH98 Data'!$AH$3:$AH$3508="TRUE", ROW('VEH98 Data'!Y$3:Y$3508)-ROW('VEH98 Data'!Y$3)+1),ROWS('VEH98 Data'!Y$3:'VEH98 Data'!Y378))),"")</f>
        <v>22</v>
      </c>
    </row>
    <row r="168" spans="1:16">
      <c r="A168" s="99"/>
      <c r="B168" s="652"/>
      <c r="C168" s="652" t="str">
        <f t="array" aca="1" ref="C168" ca="1">IFERROR(INDEX('VEH98 Data'!G$3:G$3508, SMALL(IF('VEH98 Data'!$AG$3:$AG$3508="TRUE", ROW('VEH98 Data'!G$3:G$3508)-ROW('VEH98 Data'!G$3)+1),ROWS('VEH98 Data'!G$3:'VEH98 Data'!G156))),"")</f>
        <v/>
      </c>
      <c r="D168" s="652" t="str">
        <f t="array" aca="1" ref="D168" ca="1">IFERROR(INDEX('VEH98 Data'!I$3:I$3508, SMALL(IF('VEH98 Data'!$AG$3:$AG$3508="TRUE", ROW('VEH98 Data'!I$3:I$3508)-ROW('VEH98 Data'!I$3)+1),ROWS('VEH98 Data'!I$3:'VEH98 Data'!I156))),"")</f>
        <v/>
      </c>
      <c r="E168" s="652" t="str">
        <f t="array" aca="1" ref="E168" ca="1">IFERROR(INDEX('VEH98 Data'!J$3:J$3508, SMALL(IF('VEH98 Data'!$AG$3:$AG$3508="TRUE", ROW('VEH98 Data'!J$3:J$3508)-ROW('VEH98 Data'!J$3)+1),ROWS('VEH98 Data'!J$3:'VEH98 Data'!J156))),"")</f>
        <v/>
      </c>
      <c r="F168" s="652" t="str">
        <f t="array" aca="1" ref="F168" ca="1">IFERROR(INDEX('VEH98 Data'!K$3:K$3508, SMALL(IF('VEH98 Data'!$AG$3:$AG$3508="TRUE", ROW('VEH98 Data'!K$3:K$3508)-ROW('VEH98 Data'!K$3)+1),ROWS('VEH98 Data'!K$3:'VEH98 Data'!K156))),"")</f>
        <v/>
      </c>
      <c r="G168" s="653" t="str">
        <f t="array" aca="1" ref="G168" ca="1">IFERROR(INDEX('VEH98 Data'!R$3:R$3508, SMALL(IF('VEH98 Data'!$AG$3:$AG$3508="TRUE", ROW('VEH98 Data'!R$3:R$3508)-ROW('VEH98 Data'!R$3)+1),ROWS('VEH98 Data'!R$3:'VEH98 Data'!R156))),"")</f>
        <v/>
      </c>
      <c r="H168" s="653" t="str">
        <f t="array" aca="1" ref="H168" ca="1">IFERROR(INDEX('VEH98 Data'!Y$3:Y$3508, SMALL(IF('VEH98 Data'!$AG$3:$AG$3508="TRUE", ROW('VEH98 Data'!Y$3:Y$3508)-ROW('VEH98 Data'!Y$3)+1),ROWS('VEH98 Data'!Y$3:'VEH98 Data'!Y156))),"")</f>
        <v/>
      </c>
      <c r="I168" s="19"/>
      <c r="J168" s="58">
        <f t="array" aca="1" ref="J168" ca="1">IFERROR(INDEX('VEH98 Data'!H$3:H$3508, SMALL(IF('VEH98 Data'!$AH$3:$AH$3508="TRUE", ROW('VEH98 Data'!H$3:H$3508)-ROW('VEH98 Data'!H$3)+1),ROWS('VEH98 Data'!H$3:'VEH98 Data'!H379))),"")</f>
        <v>2019</v>
      </c>
      <c r="K168" s="58" t="str">
        <f t="array" aca="1" ref="K168" ca="1">IFERROR(INDEX('VEH98 Data'!G$3:G$3508, SMALL(IF('VEH98 Data'!$AH$3:$AH$3508="TRUE", ROW('VEH98 Data'!G$3:G$3508)-ROW('VEH98 Data'!G$3)+1),ROWS('VEH98 Data'!G$3:'VEH98 Data'!G379))),"")</f>
        <v>Honda</v>
      </c>
      <c r="L168" s="58" t="str">
        <f t="array" aca="1" ref="L168" ca="1">IFERROR(INDEX('VEH98 Data'!I$3:I$3508, SMALL(IF('VEH98 Data'!$AH$3:$AH$3508="TRUE", ROW('VEH98 Data'!I$3:I$3508)-ROW('VEH98 Data'!I$3)+1),ROWS('VEH98 Data'!I$3:'VEH98 Data'!I379))),"")</f>
        <v>Ridgeline</v>
      </c>
      <c r="M168" s="58" t="str">
        <f t="array" aca="1" ref="M168" ca="1">IFERROR(INDEX('VEH98 Data'!J$3:J$3508, SMALL(IF('VEH98 Data'!$AH$3:$AH$3508="TRUE", ROW('VEH98 Data'!J$3:J$3508)-ROW('VEH98 Data'!J$3)+1),ROWS('VEH98 Data'!J$3:'VEH98 Data'!J379))),"")</f>
        <v>RT</v>
      </c>
      <c r="N168" s="58" t="str">
        <f t="array" aca="1" ref="N168" ca="1">IFERROR(INDEX('VEH98 Data'!K$3:K$3508, SMALL(IF('VEH98 Data'!$AH$3:$AH$3508="TRUE", ROW('VEH98 Data'!K$3:K$3508)-ROW('VEH98 Data'!K$3)+1),ROWS('VEH98 Data'!K$3:'VEH98 Data'!K379))),"")</f>
        <v>2WD</v>
      </c>
      <c r="O168" s="654" t="str">
        <f t="array" aca="1" ref="O168" ca="1">IFERROR(INDEX('VEH98 Data'!R$3:R$3508, SMALL(IF('VEH98 Data'!$AH$3:$AH$3508="TRUE", ROW('VEH98 Data'!R$3:R$3508)-ROW('VEH98 Data'!R$3)+1),ROWS('VEH98 Data'!R$3:'VEH98 Data'!R379))),"")</f>
        <v>3.5L</v>
      </c>
      <c r="P168" s="654">
        <f t="array" aca="1" ref="P168" ca="1">IFERROR(INDEX('VEH98 Data'!Y$3:Y$3508, SMALL(IF('VEH98 Data'!$AH$3:$AH$3508="TRUE", ROW('VEH98 Data'!Y$3:Y$3508)-ROW('VEH98 Data'!Y$3)+1),ROWS('VEH98 Data'!Y$3:'VEH98 Data'!Y379))),"")</f>
        <v>22</v>
      </c>
    </row>
    <row r="169" spans="1:16">
      <c r="A169" s="99"/>
      <c r="B169" s="58"/>
      <c r="C169" s="58" t="str">
        <f t="array" aca="1" ref="C169" ca="1">IFERROR(INDEX('VEH98 Data'!G$3:G$3508, SMALL(IF('VEH98 Data'!$AG$3:$AG$3508="TRUE", ROW('VEH98 Data'!G$3:G$3508)-ROW('VEH98 Data'!G$3)+1),ROWS('VEH98 Data'!G$3:'VEH98 Data'!G157))),"")</f>
        <v/>
      </c>
      <c r="D169" s="58" t="str">
        <f t="array" aca="1" ref="D169" ca="1">IFERROR(INDEX('VEH98 Data'!I$3:I$3508, SMALL(IF('VEH98 Data'!$AG$3:$AG$3508="TRUE", ROW('VEH98 Data'!I$3:I$3508)-ROW('VEH98 Data'!I$3)+1),ROWS('VEH98 Data'!I$3:'VEH98 Data'!I157))),"")</f>
        <v/>
      </c>
      <c r="E169" s="58" t="str">
        <f t="array" aca="1" ref="E169" ca="1">IFERROR(INDEX('VEH98 Data'!J$3:J$3508, SMALL(IF('VEH98 Data'!$AG$3:$AG$3508="TRUE", ROW('VEH98 Data'!J$3:J$3508)-ROW('VEH98 Data'!J$3)+1),ROWS('VEH98 Data'!J$3:'VEH98 Data'!J157))),"")</f>
        <v/>
      </c>
      <c r="F169" s="58" t="str">
        <f t="array" aca="1" ref="F169" ca="1">IFERROR(INDEX('VEH98 Data'!K$3:K$3508, SMALL(IF('VEH98 Data'!$AG$3:$AG$3508="TRUE", ROW('VEH98 Data'!K$3:K$3508)-ROW('VEH98 Data'!K$3)+1),ROWS('VEH98 Data'!K$3:'VEH98 Data'!K157))),"")</f>
        <v/>
      </c>
      <c r="G169" s="654" t="str">
        <f t="array" aca="1" ref="G169" ca="1">IFERROR(INDEX('VEH98 Data'!R$3:R$3508, SMALL(IF('VEH98 Data'!$AG$3:$AG$3508="TRUE", ROW('VEH98 Data'!R$3:R$3508)-ROW('VEH98 Data'!R$3)+1),ROWS('VEH98 Data'!R$3:'VEH98 Data'!R157))),"")</f>
        <v/>
      </c>
      <c r="H169" s="654" t="str">
        <f t="array" aca="1" ref="H169" ca="1">IFERROR(INDEX('VEH98 Data'!Y$3:Y$3508, SMALL(IF('VEH98 Data'!$AG$3:$AG$3508="TRUE", ROW('VEH98 Data'!Y$3:Y$3508)-ROW('VEH98 Data'!Y$3)+1),ROWS('VEH98 Data'!Y$3:'VEH98 Data'!Y157))),"")</f>
        <v/>
      </c>
      <c r="I169" s="19"/>
      <c r="J169" s="652" t="str">
        <f t="array" aca="1" ref="J169" ca="1">IFERROR(INDEX('VEH98 Data'!H$3:H$3508, SMALL(IF('VEH98 Data'!$AH$3:$AH$3508="TRUE", ROW('VEH98 Data'!H$3:H$3508)-ROW('VEH98 Data'!H$3)+1),ROWS('VEH98 Data'!H$3:'VEH98 Data'!H463))),"")</f>
        <v/>
      </c>
      <c r="K169" s="652" t="str">
        <f t="array" aca="1" ref="K169" ca="1">IFERROR(INDEX('VEH98 Data'!G$3:G$3508, SMALL(IF('VEH98 Data'!$AH$3:$AH$3508="TRUE", ROW('VEH98 Data'!G$3:G$3508)-ROW('VEH98 Data'!G$3)+1),ROWS('VEH98 Data'!G$3:'VEH98 Data'!G463))),"")</f>
        <v/>
      </c>
      <c r="L169" s="652" t="str">
        <f t="array" aca="1" ref="L169" ca="1">IFERROR(INDEX('VEH98 Data'!I$3:I$3508, SMALL(IF('VEH98 Data'!$AH$3:$AH$3508="TRUE", ROW('VEH98 Data'!I$3:I$3508)-ROW('VEH98 Data'!I$3)+1),ROWS('VEH98 Data'!I$3:'VEH98 Data'!I463))),"")</f>
        <v/>
      </c>
      <c r="M169" s="652" t="str">
        <f t="array" aca="1" ref="M169" ca="1">IFERROR(INDEX('VEH98 Data'!J$3:J$3508, SMALL(IF('VEH98 Data'!$AH$3:$AH$3508="TRUE", ROW('VEH98 Data'!J$3:J$3508)-ROW('VEH98 Data'!J$3)+1),ROWS('VEH98 Data'!J$3:'VEH98 Data'!J463))),"")</f>
        <v/>
      </c>
      <c r="N169" s="652" t="str">
        <f t="array" aca="1" ref="N169" ca="1">IFERROR(INDEX('VEH98 Data'!K$3:K$3508, SMALL(IF('VEH98 Data'!$AH$3:$AH$3508="TRUE", ROW('VEH98 Data'!K$3:K$3508)-ROW('VEH98 Data'!K$3)+1),ROWS('VEH98 Data'!K$3:'VEH98 Data'!K463))),"")</f>
        <v/>
      </c>
      <c r="O169" s="653" t="str">
        <f t="array" aca="1" ref="O169" ca="1">IFERROR(INDEX('VEH98 Data'!R$3:R$3508, SMALL(IF('VEH98 Data'!$AH$3:$AH$3508="TRUE", ROW('VEH98 Data'!R$3:R$3508)-ROW('VEH98 Data'!R$3)+1),ROWS('VEH98 Data'!R$3:'VEH98 Data'!R463))),"")</f>
        <v/>
      </c>
      <c r="P169" s="653" t="str">
        <f t="array" aca="1" ref="P169" ca="1">IFERROR(INDEX('VEH98 Data'!Y$3:Y$3508, SMALL(IF('VEH98 Data'!$AH$3:$AH$3508="TRUE", ROW('VEH98 Data'!Y$3:Y$3508)-ROW('VEH98 Data'!Y$3)+1),ROWS('VEH98 Data'!Y$3:'VEH98 Data'!Y463))),"")</f>
        <v/>
      </c>
    </row>
    <row r="170" spans="1:16">
      <c r="A170" s="99"/>
      <c r="B170" s="652"/>
      <c r="C170" s="652" t="str">
        <f t="array" aca="1" ref="C170" ca="1">IFERROR(INDEX('VEH98 Data'!G$3:G$3508, SMALL(IF('VEH98 Data'!$AG$3:$AG$3508="TRUE", ROW('VEH98 Data'!G$3:G$3508)-ROW('VEH98 Data'!G$3)+1),ROWS('VEH98 Data'!G$3:'VEH98 Data'!G158))),"")</f>
        <v/>
      </c>
      <c r="D170" s="652" t="str">
        <f t="array" aca="1" ref="D170" ca="1">IFERROR(INDEX('VEH98 Data'!I$3:I$3508, SMALL(IF('VEH98 Data'!$AG$3:$AG$3508="TRUE", ROW('VEH98 Data'!I$3:I$3508)-ROW('VEH98 Data'!I$3)+1),ROWS('VEH98 Data'!I$3:'VEH98 Data'!I158))),"")</f>
        <v/>
      </c>
      <c r="E170" s="652" t="str">
        <f t="array" aca="1" ref="E170" ca="1">IFERROR(INDEX('VEH98 Data'!J$3:J$3508, SMALL(IF('VEH98 Data'!$AG$3:$AG$3508="TRUE", ROW('VEH98 Data'!J$3:J$3508)-ROW('VEH98 Data'!J$3)+1),ROWS('VEH98 Data'!J$3:'VEH98 Data'!J158))),"")</f>
        <v/>
      </c>
      <c r="F170" s="652" t="str">
        <f t="array" aca="1" ref="F170" ca="1">IFERROR(INDEX('VEH98 Data'!K$3:K$3508, SMALL(IF('VEH98 Data'!$AG$3:$AG$3508="TRUE", ROW('VEH98 Data'!K$3:K$3508)-ROW('VEH98 Data'!K$3)+1),ROWS('VEH98 Data'!K$3:'VEH98 Data'!K158))),"")</f>
        <v/>
      </c>
      <c r="G170" s="653" t="str">
        <f t="array" aca="1" ref="G170" ca="1">IFERROR(INDEX('VEH98 Data'!R$3:R$3508, SMALL(IF('VEH98 Data'!$AG$3:$AG$3508="TRUE", ROW('VEH98 Data'!R$3:R$3508)-ROW('VEH98 Data'!R$3)+1),ROWS('VEH98 Data'!R$3:'VEH98 Data'!R158))),"")</f>
        <v/>
      </c>
      <c r="H170" s="653" t="str">
        <f t="array" aca="1" ref="H170" ca="1">IFERROR(INDEX('VEH98 Data'!Y$3:Y$3508, SMALL(IF('VEH98 Data'!$AG$3:$AG$3508="TRUE", ROW('VEH98 Data'!Y$3:Y$3508)-ROW('VEH98 Data'!Y$3)+1),ROWS('VEH98 Data'!Y$3:'VEH98 Data'!Y158))),"")</f>
        <v/>
      </c>
      <c r="I170" s="19"/>
      <c r="J170" s="58" t="str">
        <f t="array" aca="1" ref="J170" ca="1">IFERROR(INDEX('VEH98 Data'!H$3:H$3508, SMALL(IF('VEH98 Data'!$AH$3:$AH$3508="TRUE", ROW('VEH98 Data'!H$3:H$3508)-ROW('VEH98 Data'!H$3)+1),ROWS('VEH98 Data'!H$3:'VEH98 Data'!H464))),"")</f>
        <v/>
      </c>
      <c r="K170" s="58" t="str">
        <f t="array" aca="1" ref="K170" ca="1">IFERROR(INDEX('VEH98 Data'!G$3:G$3508, SMALL(IF('VEH98 Data'!$AH$3:$AH$3508="TRUE", ROW('VEH98 Data'!G$3:G$3508)-ROW('VEH98 Data'!G$3)+1),ROWS('VEH98 Data'!G$3:'VEH98 Data'!G464))),"")</f>
        <v/>
      </c>
      <c r="L170" s="58" t="str">
        <f t="array" aca="1" ref="L170" ca="1">IFERROR(INDEX('VEH98 Data'!I$3:I$3508, SMALL(IF('VEH98 Data'!$AH$3:$AH$3508="TRUE", ROW('VEH98 Data'!I$3:I$3508)-ROW('VEH98 Data'!I$3)+1),ROWS('VEH98 Data'!I$3:'VEH98 Data'!I464))),"")</f>
        <v/>
      </c>
      <c r="M170" s="58" t="str">
        <f t="array" aca="1" ref="M170" ca="1">IFERROR(INDEX('VEH98 Data'!J$3:J$3508, SMALL(IF('VEH98 Data'!$AH$3:$AH$3508="TRUE", ROW('VEH98 Data'!J$3:J$3508)-ROW('VEH98 Data'!J$3)+1),ROWS('VEH98 Data'!J$3:'VEH98 Data'!J464))),"")</f>
        <v/>
      </c>
      <c r="N170" s="58" t="str">
        <f t="array" aca="1" ref="N170" ca="1">IFERROR(INDEX('VEH98 Data'!K$3:K$3508, SMALL(IF('VEH98 Data'!$AH$3:$AH$3508="TRUE", ROW('VEH98 Data'!K$3:K$3508)-ROW('VEH98 Data'!K$3)+1),ROWS('VEH98 Data'!K$3:'VEH98 Data'!K464))),"")</f>
        <v/>
      </c>
      <c r="O170" s="654" t="str">
        <f t="array" aca="1" ref="O170" ca="1">IFERROR(INDEX('VEH98 Data'!R$3:R$3508, SMALL(IF('VEH98 Data'!$AH$3:$AH$3508="TRUE", ROW('VEH98 Data'!R$3:R$3508)-ROW('VEH98 Data'!R$3)+1),ROWS('VEH98 Data'!R$3:'VEH98 Data'!R464))),"")</f>
        <v/>
      </c>
      <c r="P170" s="654" t="str">
        <f t="array" aca="1" ref="P170" ca="1">IFERROR(INDEX('VEH98 Data'!Y$3:Y$3508, SMALL(IF('VEH98 Data'!$AH$3:$AH$3508="TRUE", ROW('VEH98 Data'!Y$3:Y$3508)-ROW('VEH98 Data'!Y$3)+1),ROWS('VEH98 Data'!Y$3:'VEH98 Data'!Y464))),"")</f>
        <v/>
      </c>
    </row>
    <row r="171" spans="1:16">
      <c r="A171" s="99"/>
      <c r="B171" s="58"/>
      <c r="C171" s="58" t="str">
        <f t="array" aca="1" ref="C171" ca="1">IFERROR(INDEX('VEH98 Data'!G$3:G$3508, SMALL(IF('VEH98 Data'!$AG$3:$AG$3508="TRUE", ROW('VEH98 Data'!G$3:G$3508)-ROW('VEH98 Data'!G$3)+1),ROWS('VEH98 Data'!G$3:'VEH98 Data'!G159))),"")</f>
        <v/>
      </c>
      <c r="D171" s="58" t="str">
        <f t="array" aca="1" ref="D171" ca="1">IFERROR(INDEX('VEH98 Data'!I$3:I$3508, SMALL(IF('VEH98 Data'!$AG$3:$AG$3508="TRUE", ROW('VEH98 Data'!I$3:I$3508)-ROW('VEH98 Data'!I$3)+1),ROWS('VEH98 Data'!I$3:'VEH98 Data'!I159))),"")</f>
        <v/>
      </c>
      <c r="E171" s="58" t="str">
        <f t="array" aca="1" ref="E171" ca="1">IFERROR(INDEX('VEH98 Data'!J$3:J$3508, SMALL(IF('VEH98 Data'!$AG$3:$AG$3508="TRUE", ROW('VEH98 Data'!J$3:J$3508)-ROW('VEH98 Data'!J$3)+1),ROWS('VEH98 Data'!J$3:'VEH98 Data'!J159))),"")</f>
        <v/>
      </c>
      <c r="F171" s="58" t="str">
        <f t="array" aca="1" ref="F171" ca="1">IFERROR(INDEX('VEH98 Data'!K$3:K$3508, SMALL(IF('VEH98 Data'!$AG$3:$AG$3508="TRUE", ROW('VEH98 Data'!K$3:K$3508)-ROW('VEH98 Data'!K$3)+1),ROWS('VEH98 Data'!K$3:'VEH98 Data'!K159))),"")</f>
        <v/>
      </c>
      <c r="G171" s="654" t="str">
        <f t="array" aca="1" ref="G171" ca="1">IFERROR(INDEX('VEH98 Data'!R$3:R$3508, SMALL(IF('VEH98 Data'!$AG$3:$AG$3508="TRUE", ROW('VEH98 Data'!R$3:R$3508)-ROW('VEH98 Data'!R$3)+1),ROWS('VEH98 Data'!R$3:'VEH98 Data'!R159))),"")</f>
        <v/>
      </c>
      <c r="H171" s="654" t="str">
        <f t="array" aca="1" ref="H171" ca="1">IFERROR(INDEX('VEH98 Data'!Y$3:Y$3508, SMALL(IF('VEH98 Data'!$AG$3:$AG$3508="TRUE", ROW('VEH98 Data'!Y$3:Y$3508)-ROW('VEH98 Data'!Y$3)+1),ROWS('VEH98 Data'!Y$3:'VEH98 Data'!Y159))),"")</f>
        <v/>
      </c>
      <c r="I171" s="19"/>
      <c r="J171" s="652" t="str">
        <f t="array" aca="1" ref="J171" ca="1">IFERROR(INDEX('VEH98 Data'!H$3:H$3508, SMALL(IF('VEH98 Data'!$AH$3:$AH$3508="TRUE", ROW('VEH98 Data'!H$3:H$3508)-ROW('VEH98 Data'!H$3)+1),ROWS('VEH98 Data'!H$3:'VEH98 Data'!H465))),"")</f>
        <v/>
      </c>
      <c r="K171" s="652" t="str">
        <f t="array" aca="1" ref="K171" ca="1">IFERROR(INDEX('VEH98 Data'!G$3:G$3508, SMALL(IF('VEH98 Data'!$AH$3:$AH$3508="TRUE", ROW('VEH98 Data'!G$3:G$3508)-ROW('VEH98 Data'!G$3)+1),ROWS('VEH98 Data'!G$3:'VEH98 Data'!G465))),"")</f>
        <v/>
      </c>
      <c r="L171" s="652" t="str">
        <f t="array" aca="1" ref="L171" ca="1">IFERROR(INDEX('VEH98 Data'!I$3:I$3508, SMALL(IF('VEH98 Data'!$AH$3:$AH$3508="TRUE", ROW('VEH98 Data'!I$3:I$3508)-ROW('VEH98 Data'!I$3)+1),ROWS('VEH98 Data'!I$3:'VEH98 Data'!I465))),"")</f>
        <v/>
      </c>
      <c r="M171" s="652" t="str">
        <f t="array" aca="1" ref="M171" ca="1">IFERROR(INDEX('VEH98 Data'!J$3:J$3508, SMALL(IF('VEH98 Data'!$AH$3:$AH$3508="TRUE", ROW('VEH98 Data'!J$3:J$3508)-ROW('VEH98 Data'!J$3)+1),ROWS('VEH98 Data'!J$3:'VEH98 Data'!J465))),"")</f>
        <v/>
      </c>
      <c r="N171" s="652" t="str">
        <f t="array" aca="1" ref="N171" ca="1">IFERROR(INDEX('VEH98 Data'!K$3:K$3508, SMALL(IF('VEH98 Data'!$AH$3:$AH$3508="TRUE", ROW('VEH98 Data'!K$3:K$3508)-ROW('VEH98 Data'!K$3)+1),ROWS('VEH98 Data'!K$3:'VEH98 Data'!K465))),"")</f>
        <v/>
      </c>
      <c r="O171" s="653" t="str">
        <f t="array" aca="1" ref="O171" ca="1">IFERROR(INDEX('VEH98 Data'!R$3:R$3508, SMALL(IF('VEH98 Data'!$AH$3:$AH$3508="TRUE", ROW('VEH98 Data'!R$3:R$3508)-ROW('VEH98 Data'!R$3)+1),ROWS('VEH98 Data'!R$3:'VEH98 Data'!R465))),"")</f>
        <v/>
      </c>
      <c r="P171" s="653" t="str">
        <f t="array" aca="1" ref="P171" ca="1">IFERROR(INDEX('VEH98 Data'!Y$3:Y$3508, SMALL(IF('VEH98 Data'!$AH$3:$AH$3508="TRUE", ROW('VEH98 Data'!Y$3:Y$3508)-ROW('VEH98 Data'!Y$3)+1),ROWS('VEH98 Data'!Y$3:'VEH98 Data'!Y465))),"")</f>
        <v/>
      </c>
    </row>
    <row r="172" spans="1:16">
      <c r="A172" s="99"/>
      <c r="B172" s="652"/>
      <c r="C172" s="652" t="str">
        <f t="array" aca="1" ref="C172" ca="1">IFERROR(INDEX('VEH98 Data'!G$3:G$3508, SMALL(IF('VEH98 Data'!$AG$3:$AG$3508="TRUE", ROW('VEH98 Data'!G$3:G$3508)-ROW('VEH98 Data'!G$3)+1),ROWS('VEH98 Data'!G$3:'VEH98 Data'!G160))),"")</f>
        <v/>
      </c>
      <c r="D172" s="652" t="str">
        <f t="array" aca="1" ref="D172" ca="1">IFERROR(INDEX('VEH98 Data'!I$3:I$3508, SMALL(IF('VEH98 Data'!$AG$3:$AG$3508="TRUE", ROW('VEH98 Data'!I$3:I$3508)-ROW('VEH98 Data'!I$3)+1),ROWS('VEH98 Data'!I$3:'VEH98 Data'!I160))),"")</f>
        <v/>
      </c>
      <c r="E172" s="652" t="str">
        <f t="array" aca="1" ref="E172" ca="1">IFERROR(INDEX('VEH98 Data'!J$3:J$3508, SMALL(IF('VEH98 Data'!$AG$3:$AG$3508="TRUE", ROW('VEH98 Data'!J$3:J$3508)-ROW('VEH98 Data'!J$3)+1),ROWS('VEH98 Data'!J$3:'VEH98 Data'!J160))),"")</f>
        <v/>
      </c>
      <c r="F172" s="652" t="str">
        <f t="array" aca="1" ref="F172" ca="1">IFERROR(INDEX('VEH98 Data'!K$3:K$3508, SMALL(IF('VEH98 Data'!$AG$3:$AG$3508="TRUE", ROW('VEH98 Data'!K$3:K$3508)-ROW('VEH98 Data'!K$3)+1),ROWS('VEH98 Data'!K$3:'VEH98 Data'!K160))),"")</f>
        <v/>
      </c>
      <c r="G172" s="653" t="str">
        <f t="array" aca="1" ref="G172" ca="1">IFERROR(INDEX('VEH98 Data'!R$3:R$3508, SMALL(IF('VEH98 Data'!$AG$3:$AG$3508="TRUE", ROW('VEH98 Data'!R$3:R$3508)-ROW('VEH98 Data'!R$3)+1),ROWS('VEH98 Data'!R$3:'VEH98 Data'!R160))),"")</f>
        <v/>
      </c>
      <c r="H172" s="653" t="str">
        <f t="array" aca="1" ref="H172" ca="1">IFERROR(INDEX('VEH98 Data'!Y$3:Y$3508, SMALL(IF('VEH98 Data'!$AG$3:$AG$3508="TRUE", ROW('VEH98 Data'!Y$3:Y$3508)-ROW('VEH98 Data'!Y$3)+1),ROWS('VEH98 Data'!Y$3:'VEH98 Data'!Y160))),"")</f>
        <v/>
      </c>
      <c r="I172" s="19"/>
      <c r="J172" s="58" t="str">
        <f t="array" aca="1" ref="J172" ca="1">IFERROR(INDEX('VEH98 Data'!H$3:H$3508, SMALL(IF('VEH98 Data'!$AH$3:$AH$3508="TRUE", ROW('VEH98 Data'!H$3:H$3508)-ROW('VEH98 Data'!H$3)+1),ROWS('VEH98 Data'!H$3:'VEH98 Data'!H466))),"")</f>
        <v/>
      </c>
      <c r="K172" s="58" t="str">
        <f t="array" aca="1" ref="K172" ca="1">IFERROR(INDEX('VEH98 Data'!G$3:G$3508, SMALL(IF('VEH98 Data'!$AH$3:$AH$3508="TRUE", ROW('VEH98 Data'!G$3:G$3508)-ROW('VEH98 Data'!G$3)+1),ROWS('VEH98 Data'!G$3:'VEH98 Data'!G466))),"")</f>
        <v/>
      </c>
      <c r="L172" s="58" t="str">
        <f t="array" aca="1" ref="L172" ca="1">IFERROR(INDEX('VEH98 Data'!I$3:I$3508, SMALL(IF('VEH98 Data'!$AH$3:$AH$3508="TRUE", ROW('VEH98 Data'!I$3:I$3508)-ROW('VEH98 Data'!I$3)+1),ROWS('VEH98 Data'!I$3:'VEH98 Data'!I466))),"")</f>
        <v/>
      </c>
      <c r="M172" s="58" t="str">
        <f t="array" aca="1" ref="M172" ca="1">IFERROR(INDEX('VEH98 Data'!J$3:J$3508, SMALL(IF('VEH98 Data'!$AH$3:$AH$3508="TRUE", ROW('VEH98 Data'!J$3:J$3508)-ROW('VEH98 Data'!J$3)+1),ROWS('VEH98 Data'!J$3:'VEH98 Data'!J466))),"")</f>
        <v/>
      </c>
      <c r="N172" s="58" t="str">
        <f t="array" aca="1" ref="N172" ca="1">IFERROR(INDEX('VEH98 Data'!K$3:K$3508, SMALL(IF('VEH98 Data'!$AH$3:$AH$3508="TRUE", ROW('VEH98 Data'!K$3:K$3508)-ROW('VEH98 Data'!K$3)+1),ROWS('VEH98 Data'!K$3:'VEH98 Data'!K466))),"")</f>
        <v/>
      </c>
      <c r="O172" s="654" t="str">
        <f t="array" aca="1" ref="O172" ca="1">IFERROR(INDEX('VEH98 Data'!R$3:R$3508, SMALL(IF('VEH98 Data'!$AH$3:$AH$3508="TRUE", ROW('VEH98 Data'!R$3:R$3508)-ROW('VEH98 Data'!R$3)+1),ROWS('VEH98 Data'!R$3:'VEH98 Data'!R466))),"")</f>
        <v/>
      </c>
      <c r="P172" s="654" t="str">
        <f t="array" aca="1" ref="P172" ca="1">IFERROR(INDEX('VEH98 Data'!Y$3:Y$3508, SMALL(IF('VEH98 Data'!$AH$3:$AH$3508="TRUE", ROW('VEH98 Data'!Y$3:Y$3508)-ROW('VEH98 Data'!Y$3)+1),ROWS('VEH98 Data'!Y$3:'VEH98 Data'!Y466))),"")</f>
        <v/>
      </c>
    </row>
    <row r="173" spans="1:16">
      <c r="A173" s="99"/>
      <c r="B173" s="58"/>
      <c r="C173" s="58" t="str">
        <f t="array" aca="1" ref="C173" ca="1">IFERROR(INDEX('VEH98 Data'!G$3:G$3508, SMALL(IF('VEH98 Data'!$AG$3:$AG$3508="TRUE", ROW('VEH98 Data'!G$3:G$3508)-ROW('VEH98 Data'!G$3)+1),ROWS('VEH98 Data'!G$3:'VEH98 Data'!G161))),"")</f>
        <v/>
      </c>
      <c r="D173" s="58" t="str">
        <f t="array" aca="1" ref="D173" ca="1">IFERROR(INDEX('VEH98 Data'!I$3:I$3508, SMALL(IF('VEH98 Data'!$AG$3:$AG$3508="TRUE", ROW('VEH98 Data'!I$3:I$3508)-ROW('VEH98 Data'!I$3)+1),ROWS('VEH98 Data'!I$3:'VEH98 Data'!I161))),"")</f>
        <v/>
      </c>
      <c r="E173" s="58" t="str">
        <f t="array" aca="1" ref="E173" ca="1">IFERROR(INDEX('VEH98 Data'!J$3:J$3508, SMALL(IF('VEH98 Data'!$AG$3:$AG$3508="TRUE", ROW('VEH98 Data'!J$3:J$3508)-ROW('VEH98 Data'!J$3)+1),ROWS('VEH98 Data'!J$3:'VEH98 Data'!J161))),"")</f>
        <v/>
      </c>
      <c r="F173" s="58" t="str">
        <f t="array" aca="1" ref="F173" ca="1">IFERROR(INDEX('VEH98 Data'!K$3:K$3508, SMALL(IF('VEH98 Data'!$AG$3:$AG$3508="TRUE", ROW('VEH98 Data'!K$3:K$3508)-ROW('VEH98 Data'!K$3)+1),ROWS('VEH98 Data'!K$3:'VEH98 Data'!K161))),"")</f>
        <v/>
      </c>
      <c r="G173" s="654" t="str">
        <f t="array" aca="1" ref="G173" ca="1">IFERROR(INDEX('VEH98 Data'!R$3:R$3508, SMALL(IF('VEH98 Data'!$AG$3:$AG$3508="TRUE", ROW('VEH98 Data'!R$3:R$3508)-ROW('VEH98 Data'!R$3)+1),ROWS('VEH98 Data'!R$3:'VEH98 Data'!R161))),"")</f>
        <v/>
      </c>
      <c r="H173" s="654" t="str">
        <f t="array" aca="1" ref="H173" ca="1">IFERROR(INDEX('VEH98 Data'!Y$3:Y$3508, SMALL(IF('VEH98 Data'!$AG$3:$AG$3508="TRUE", ROW('VEH98 Data'!Y$3:Y$3508)-ROW('VEH98 Data'!Y$3)+1),ROWS('VEH98 Data'!Y$3:'VEH98 Data'!Y161))),"")</f>
        <v/>
      </c>
      <c r="I173" s="19"/>
      <c r="J173" s="652" t="str">
        <f t="array" aca="1" ref="J173" ca="1">IFERROR(INDEX('VEH98 Data'!H$3:H$3508, SMALL(IF('VEH98 Data'!$AH$3:$AH$3508="TRUE", ROW('VEH98 Data'!H$3:H$3508)-ROW('VEH98 Data'!H$3)+1),ROWS('VEH98 Data'!H$3:'VEH98 Data'!H467))),"")</f>
        <v/>
      </c>
      <c r="K173" s="652" t="str">
        <f t="array" aca="1" ref="K173" ca="1">IFERROR(INDEX('VEH98 Data'!G$3:G$3508, SMALL(IF('VEH98 Data'!$AH$3:$AH$3508="TRUE", ROW('VEH98 Data'!G$3:G$3508)-ROW('VEH98 Data'!G$3)+1),ROWS('VEH98 Data'!G$3:'VEH98 Data'!G467))),"")</f>
        <v/>
      </c>
      <c r="L173" s="652" t="str">
        <f t="array" aca="1" ref="L173" ca="1">IFERROR(INDEX('VEH98 Data'!I$3:I$3508, SMALL(IF('VEH98 Data'!$AH$3:$AH$3508="TRUE", ROW('VEH98 Data'!I$3:I$3508)-ROW('VEH98 Data'!I$3)+1),ROWS('VEH98 Data'!I$3:'VEH98 Data'!I467))),"")</f>
        <v/>
      </c>
      <c r="M173" s="652" t="str">
        <f t="array" aca="1" ref="M173" ca="1">IFERROR(INDEX('VEH98 Data'!J$3:J$3508, SMALL(IF('VEH98 Data'!$AH$3:$AH$3508="TRUE", ROW('VEH98 Data'!J$3:J$3508)-ROW('VEH98 Data'!J$3)+1),ROWS('VEH98 Data'!J$3:'VEH98 Data'!J467))),"")</f>
        <v/>
      </c>
      <c r="N173" s="652" t="str">
        <f t="array" aca="1" ref="N173" ca="1">IFERROR(INDEX('VEH98 Data'!K$3:K$3508, SMALL(IF('VEH98 Data'!$AH$3:$AH$3508="TRUE", ROW('VEH98 Data'!K$3:K$3508)-ROW('VEH98 Data'!K$3)+1),ROWS('VEH98 Data'!K$3:'VEH98 Data'!K467))),"")</f>
        <v/>
      </c>
      <c r="O173" s="653" t="str">
        <f t="array" aca="1" ref="O173" ca="1">IFERROR(INDEX('VEH98 Data'!R$3:R$3508, SMALL(IF('VEH98 Data'!$AH$3:$AH$3508="TRUE", ROW('VEH98 Data'!R$3:R$3508)-ROW('VEH98 Data'!R$3)+1),ROWS('VEH98 Data'!R$3:'VEH98 Data'!R467))),"")</f>
        <v/>
      </c>
      <c r="P173" s="653" t="str">
        <f t="array" aca="1" ref="P173" ca="1">IFERROR(INDEX('VEH98 Data'!Y$3:Y$3508, SMALL(IF('VEH98 Data'!$AH$3:$AH$3508="TRUE", ROW('VEH98 Data'!Y$3:Y$3508)-ROW('VEH98 Data'!Y$3)+1),ROWS('VEH98 Data'!Y$3:'VEH98 Data'!Y467))),"")</f>
        <v/>
      </c>
    </row>
    <row r="174" spans="1:16">
      <c r="A174" s="99"/>
      <c r="B174" s="652"/>
      <c r="C174" s="652" t="str">
        <f t="array" aca="1" ref="C174" ca="1">IFERROR(INDEX('VEH98 Data'!G$3:G$3508, SMALL(IF('VEH98 Data'!$AG$3:$AG$3508="TRUE", ROW('VEH98 Data'!G$3:G$3508)-ROW('VEH98 Data'!G$3)+1),ROWS('VEH98 Data'!G$3:'VEH98 Data'!G162))),"")</f>
        <v/>
      </c>
      <c r="D174" s="652" t="str">
        <f t="array" aca="1" ref="D174" ca="1">IFERROR(INDEX('VEH98 Data'!I$3:I$3508, SMALL(IF('VEH98 Data'!$AG$3:$AG$3508="TRUE", ROW('VEH98 Data'!I$3:I$3508)-ROW('VEH98 Data'!I$3)+1),ROWS('VEH98 Data'!I$3:'VEH98 Data'!I162))),"")</f>
        <v/>
      </c>
      <c r="E174" s="652" t="str">
        <f t="array" aca="1" ref="E174" ca="1">IFERROR(INDEX('VEH98 Data'!J$3:J$3508, SMALL(IF('VEH98 Data'!$AG$3:$AG$3508="TRUE", ROW('VEH98 Data'!J$3:J$3508)-ROW('VEH98 Data'!J$3)+1),ROWS('VEH98 Data'!J$3:'VEH98 Data'!J162))),"")</f>
        <v/>
      </c>
      <c r="F174" s="652" t="str">
        <f t="array" aca="1" ref="F174" ca="1">IFERROR(INDEX('VEH98 Data'!K$3:K$3508, SMALL(IF('VEH98 Data'!$AG$3:$AG$3508="TRUE", ROW('VEH98 Data'!K$3:K$3508)-ROW('VEH98 Data'!K$3)+1),ROWS('VEH98 Data'!K$3:'VEH98 Data'!K162))),"")</f>
        <v/>
      </c>
      <c r="G174" s="653" t="str">
        <f t="array" aca="1" ref="G174" ca="1">IFERROR(INDEX('VEH98 Data'!R$3:R$3508, SMALL(IF('VEH98 Data'!$AG$3:$AG$3508="TRUE", ROW('VEH98 Data'!R$3:R$3508)-ROW('VEH98 Data'!R$3)+1),ROWS('VEH98 Data'!R$3:'VEH98 Data'!R162))),"")</f>
        <v/>
      </c>
      <c r="H174" s="653" t="str">
        <f t="array" aca="1" ref="H174" ca="1">IFERROR(INDEX('VEH98 Data'!Y$3:Y$3508, SMALL(IF('VEH98 Data'!$AG$3:$AG$3508="TRUE", ROW('VEH98 Data'!Y$3:Y$3508)-ROW('VEH98 Data'!Y$3)+1),ROWS('VEH98 Data'!Y$3:'VEH98 Data'!Y162))),"")</f>
        <v/>
      </c>
      <c r="I174" s="19"/>
      <c r="J174" s="58" t="str">
        <f t="array" aca="1" ref="J174" ca="1">IFERROR(INDEX('VEH98 Data'!H$3:H$3508, SMALL(IF('VEH98 Data'!$AH$3:$AH$3508="TRUE", ROW('VEH98 Data'!H$3:H$3508)-ROW('VEH98 Data'!H$3)+1),ROWS('VEH98 Data'!H$3:'VEH98 Data'!H468))),"")</f>
        <v/>
      </c>
      <c r="K174" s="58" t="str">
        <f t="array" aca="1" ref="K174" ca="1">IFERROR(INDEX('VEH98 Data'!G$3:G$3508, SMALL(IF('VEH98 Data'!$AH$3:$AH$3508="TRUE", ROW('VEH98 Data'!G$3:G$3508)-ROW('VEH98 Data'!G$3)+1),ROWS('VEH98 Data'!G$3:'VEH98 Data'!G468))),"")</f>
        <v/>
      </c>
      <c r="L174" s="58" t="str">
        <f t="array" aca="1" ref="L174" ca="1">IFERROR(INDEX('VEH98 Data'!I$3:I$3508, SMALL(IF('VEH98 Data'!$AH$3:$AH$3508="TRUE", ROW('VEH98 Data'!I$3:I$3508)-ROW('VEH98 Data'!I$3)+1),ROWS('VEH98 Data'!I$3:'VEH98 Data'!I468))),"")</f>
        <v/>
      </c>
      <c r="M174" s="58" t="str">
        <f t="array" aca="1" ref="M174" ca="1">IFERROR(INDEX('VEH98 Data'!J$3:J$3508, SMALL(IF('VEH98 Data'!$AH$3:$AH$3508="TRUE", ROW('VEH98 Data'!J$3:J$3508)-ROW('VEH98 Data'!J$3)+1),ROWS('VEH98 Data'!J$3:'VEH98 Data'!J468))),"")</f>
        <v/>
      </c>
      <c r="N174" s="58" t="str">
        <f t="array" aca="1" ref="N174" ca="1">IFERROR(INDEX('VEH98 Data'!K$3:K$3508, SMALL(IF('VEH98 Data'!$AH$3:$AH$3508="TRUE", ROW('VEH98 Data'!K$3:K$3508)-ROW('VEH98 Data'!K$3)+1),ROWS('VEH98 Data'!K$3:'VEH98 Data'!K468))),"")</f>
        <v/>
      </c>
      <c r="O174" s="654" t="str">
        <f t="array" aca="1" ref="O174" ca="1">IFERROR(INDEX('VEH98 Data'!R$3:R$3508, SMALL(IF('VEH98 Data'!$AH$3:$AH$3508="TRUE", ROW('VEH98 Data'!R$3:R$3508)-ROW('VEH98 Data'!R$3)+1),ROWS('VEH98 Data'!R$3:'VEH98 Data'!R468))),"")</f>
        <v/>
      </c>
      <c r="P174" s="654" t="str">
        <f t="array" aca="1" ref="P174" ca="1">IFERROR(INDEX('VEH98 Data'!Y$3:Y$3508, SMALL(IF('VEH98 Data'!$AH$3:$AH$3508="TRUE", ROW('VEH98 Data'!Y$3:Y$3508)-ROW('VEH98 Data'!Y$3)+1),ROWS('VEH98 Data'!Y$3:'VEH98 Data'!Y468))),"")</f>
        <v/>
      </c>
    </row>
    <row r="175" spans="1:16">
      <c r="A175" s="99"/>
      <c r="B175" s="58"/>
      <c r="C175" s="58" t="str">
        <f t="array" aca="1" ref="C175" ca="1">IFERROR(INDEX('VEH98 Data'!G$3:G$3508, SMALL(IF('VEH98 Data'!$AG$3:$AG$3508="TRUE", ROW('VEH98 Data'!G$3:G$3508)-ROW('VEH98 Data'!G$3)+1),ROWS('VEH98 Data'!G$3:'VEH98 Data'!G163))),"")</f>
        <v/>
      </c>
      <c r="D175" s="58" t="str">
        <f t="array" aca="1" ref="D175" ca="1">IFERROR(INDEX('VEH98 Data'!I$3:I$3508, SMALL(IF('VEH98 Data'!$AG$3:$AG$3508="TRUE", ROW('VEH98 Data'!I$3:I$3508)-ROW('VEH98 Data'!I$3)+1),ROWS('VEH98 Data'!I$3:'VEH98 Data'!I163))),"")</f>
        <v/>
      </c>
      <c r="E175" s="58" t="str">
        <f t="array" aca="1" ref="E175" ca="1">IFERROR(INDEX('VEH98 Data'!J$3:J$3508, SMALL(IF('VEH98 Data'!$AG$3:$AG$3508="TRUE", ROW('VEH98 Data'!J$3:J$3508)-ROW('VEH98 Data'!J$3)+1),ROWS('VEH98 Data'!J$3:'VEH98 Data'!J163))),"")</f>
        <v/>
      </c>
      <c r="F175" s="58" t="str">
        <f t="array" aca="1" ref="F175" ca="1">IFERROR(INDEX('VEH98 Data'!K$3:K$3508, SMALL(IF('VEH98 Data'!$AG$3:$AG$3508="TRUE", ROW('VEH98 Data'!K$3:K$3508)-ROW('VEH98 Data'!K$3)+1),ROWS('VEH98 Data'!K$3:'VEH98 Data'!K163))),"")</f>
        <v/>
      </c>
      <c r="G175" s="654" t="str">
        <f t="array" aca="1" ref="G175" ca="1">IFERROR(INDEX('VEH98 Data'!R$3:R$3508, SMALL(IF('VEH98 Data'!$AG$3:$AG$3508="TRUE", ROW('VEH98 Data'!R$3:R$3508)-ROW('VEH98 Data'!R$3)+1),ROWS('VEH98 Data'!R$3:'VEH98 Data'!R163))),"")</f>
        <v/>
      </c>
      <c r="H175" s="654" t="str">
        <f t="array" aca="1" ref="H175" ca="1">IFERROR(INDEX('VEH98 Data'!Y$3:Y$3508, SMALL(IF('VEH98 Data'!$AG$3:$AG$3508="TRUE", ROW('VEH98 Data'!Y$3:Y$3508)-ROW('VEH98 Data'!Y$3)+1),ROWS('VEH98 Data'!Y$3:'VEH98 Data'!Y163))),"")</f>
        <v/>
      </c>
      <c r="I175" s="19"/>
      <c r="J175" s="652" t="str">
        <f t="array" aca="1" ref="J175" ca="1">IFERROR(INDEX('VEH98 Data'!H$3:H$3508, SMALL(IF('VEH98 Data'!$AH$3:$AH$3508="TRUE", ROW('VEH98 Data'!H$3:H$3508)-ROW('VEH98 Data'!H$3)+1),ROWS('VEH98 Data'!H$3:'VEH98 Data'!H469))),"")</f>
        <v/>
      </c>
      <c r="K175" s="652" t="str">
        <f t="array" aca="1" ref="K175" ca="1">IFERROR(INDEX('VEH98 Data'!G$3:G$3508, SMALL(IF('VEH98 Data'!$AH$3:$AH$3508="TRUE", ROW('VEH98 Data'!G$3:G$3508)-ROW('VEH98 Data'!G$3)+1),ROWS('VEH98 Data'!G$3:'VEH98 Data'!G469))),"")</f>
        <v/>
      </c>
      <c r="L175" s="652" t="str">
        <f t="array" aca="1" ref="L175" ca="1">IFERROR(INDEX('VEH98 Data'!I$3:I$3508, SMALL(IF('VEH98 Data'!$AH$3:$AH$3508="TRUE", ROW('VEH98 Data'!I$3:I$3508)-ROW('VEH98 Data'!I$3)+1),ROWS('VEH98 Data'!I$3:'VEH98 Data'!I469))),"")</f>
        <v/>
      </c>
      <c r="M175" s="652" t="str">
        <f t="array" aca="1" ref="M175" ca="1">IFERROR(INDEX('VEH98 Data'!J$3:J$3508, SMALL(IF('VEH98 Data'!$AH$3:$AH$3508="TRUE", ROW('VEH98 Data'!J$3:J$3508)-ROW('VEH98 Data'!J$3)+1),ROWS('VEH98 Data'!J$3:'VEH98 Data'!J469))),"")</f>
        <v/>
      </c>
      <c r="N175" s="652" t="str">
        <f t="array" aca="1" ref="N175" ca="1">IFERROR(INDEX('VEH98 Data'!K$3:K$3508, SMALL(IF('VEH98 Data'!$AH$3:$AH$3508="TRUE", ROW('VEH98 Data'!K$3:K$3508)-ROW('VEH98 Data'!K$3)+1),ROWS('VEH98 Data'!K$3:'VEH98 Data'!K469))),"")</f>
        <v/>
      </c>
      <c r="O175" s="653" t="str">
        <f t="array" aca="1" ref="O175" ca="1">IFERROR(INDEX('VEH98 Data'!R$3:R$3508, SMALL(IF('VEH98 Data'!$AH$3:$AH$3508="TRUE", ROW('VEH98 Data'!R$3:R$3508)-ROW('VEH98 Data'!R$3)+1),ROWS('VEH98 Data'!R$3:'VEH98 Data'!R469))),"")</f>
        <v/>
      </c>
      <c r="P175" s="653" t="str">
        <f t="array" aca="1" ref="P175" ca="1">IFERROR(INDEX('VEH98 Data'!Y$3:Y$3508, SMALL(IF('VEH98 Data'!$AH$3:$AH$3508="TRUE", ROW('VEH98 Data'!Y$3:Y$3508)-ROW('VEH98 Data'!Y$3)+1),ROWS('VEH98 Data'!Y$3:'VEH98 Data'!Y469))),"")</f>
        <v/>
      </c>
    </row>
    <row r="176" spans="1:16">
      <c r="A176" s="99"/>
      <c r="B176" s="652"/>
      <c r="C176" s="652" t="str">
        <f t="array" aca="1" ref="C176" ca="1">IFERROR(INDEX('VEH98 Data'!G$3:G$3508, SMALL(IF('VEH98 Data'!$AG$3:$AG$3508="TRUE", ROW('VEH98 Data'!G$3:G$3508)-ROW('VEH98 Data'!G$3)+1),ROWS('VEH98 Data'!G$3:'VEH98 Data'!G164))),"")</f>
        <v/>
      </c>
      <c r="D176" s="652" t="str">
        <f t="array" aca="1" ref="D176" ca="1">IFERROR(INDEX('VEH98 Data'!I$3:I$3508, SMALL(IF('VEH98 Data'!$AG$3:$AG$3508="TRUE", ROW('VEH98 Data'!I$3:I$3508)-ROW('VEH98 Data'!I$3)+1),ROWS('VEH98 Data'!I$3:'VEH98 Data'!I164))),"")</f>
        <v/>
      </c>
      <c r="E176" s="652" t="str">
        <f t="array" aca="1" ref="E176" ca="1">IFERROR(INDEX('VEH98 Data'!J$3:J$3508, SMALL(IF('VEH98 Data'!$AG$3:$AG$3508="TRUE", ROW('VEH98 Data'!J$3:J$3508)-ROW('VEH98 Data'!J$3)+1),ROWS('VEH98 Data'!J$3:'VEH98 Data'!J164))),"")</f>
        <v/>
      </c>
      <c r="F176" s="652" t="str">
        <f t="array" aca="1" ref="F176" ca="1">IFERROR(INDEX('VEH98 Data'!K$3:K$3508, SMALL(IF('VEH98 Data'!$AG$3:$AG$3508="TRUE", ROW('VEH98 Data'!K$3:K$3508)-ROW('VEH98 Data'!K$3)+1),ROWS('VEH98 Data'!K$3:'VEH98 Data'!K164))),"")</f>
        <v/>
      </c>
      <c r="G176" s="653" t="str">
        <f t="array" aca="1" ref="G176" ca="1">IFERROR(INDEX('VEH98 Data'!R$3:R$3508, SMALL(IF('VEH98 Data'!$AG$3:$AG$3508="TRUE", ROW('VEH98 Data'!R$3:R$3508)-ROW('VEH98 Data'!R$3)+1),ROWS('VEH98 Data'!R$3:'VEH98 Data'!R164))),"")</f>
        <v/>
      </c>
      <c r="H176" s="653" t="str">
        <f t="array" aca="1" ref="H176" ca="1">IFERROR(INDEX('VEH98 Data'!Y$3:Y$3508, SMALL(IF('VEH98 Data'!$AG$3:$AG$3508="TRUE", ROW('VEH98 Data'!Y$3:Y$3508)-ROW('VEH98 Data'!Y$3)+1),ROWS('VEH98 Data'!Y$3:'VEH98 Data'!Y164))),"")</f>
        <v/>
      </c>
      <c r="I176" s="19"/>
      <c r="J176" s="58" t="str">
        <f t="array" aca="1" ref="J176" ca="1">IFERROR(INDEX('VEH98 Data'!H$3:H$3508, SMALL(IF('VEH98 Data'!$AH$3:$AH$3508="TRUE", ROW('VEH98 Data'!H$3:H$3508)-ROW('VEH98 Data'!H$3)+1),ROWS('VEH98 Data'!H$3:'VEH98 Data'!H470))),"")</f>
        <v/>
      </c>
      <c r="K176" s="58" t="str">
        <f t="array" aca="1" ref="K176" ca="1">IFERROR(INDEX('VEH98 Data'!G$3:G$3508, SMALL(IF('VEH98 Data'!$AH$3:$AH$3508="TRUE", ROW('VEH98 Data'!G$3:G$3508)-ROW('VEH98 Data'!G$3)+1),ROWS('VEH98 Data'!G$3:'VEH98 Data'!G470))),"")</f>
        <v/>
      </c>
      <c r="L176" s="58" t="str">
        <f t="array" aca="1" ref="L176" ca="1">IFERROR(INDEX('VEH98 Data'!I$3:I$3508, SMALL(IF('VEH98 Data'!$AH$3:$AH$3508="TRUE", ROW('VEH98 Data'!I$3:I$3508)-ROW('VEH98 Data'!I$3)+1),ROWS('VEH98 Data'!I$3:'VEH98 Data'!I470))),"")</f>
        <v/>
      </c>
      <c r="M176" s="58" t="str">
        <f t="array" aca="1" ref="M176" ca="1">IFERROR(INDEX('VEH98 Data'!J$3:J$3508, SMALL(IF('VEH98 Data'!$AH$3:$AH$3508="TRUE", ROW('VEH98 Data'!J$3:J$3508)-ROW('VEH98 Data'!J$3)+1),ROWS('VEH98 Data'!J$3:'VEH98 Data'!J470))),"")</f>
        <v/>
      </c>
      <c r="N176" s="58" t="str">
        <f t="array" aca="1" ref="N176" ca="1">IFERROR(INDEX('VEH98 Data'!K$3:K$3508, SMALL(IF('VEH98 Data'!$AH$3:$AH$3508="TRUE", ROW('VEH98 Data'!K$3:K$3508)-ROW('VEH98 Data'!K$3)+1),ROWS('VEH98 Data'!K$3:'VEH98 Data'!K470))),"")</f>
        <v/>
      </c>
      <c r="O176" s="654" t="str">
        <f t="array" aca="1" ref="O176" ca="1">IFERROR(INDEX('VEH98 Data'!R$3:R$3508, SMALL(IF('VEH98 Data'!$AH$3:$AH$3508="TRUE", ROW('VEH98 Data'!R$3:R$3508)-ROW('VEH98 Data'!R$3)+1),ROWS('VEH98 Data'!R$3:'VEH98 Data'!R470))),"")</f>
        <v/>
      </c>
      <c r="P176" s="654" t="str">
        <f t="array" aca="1" ref="P176" ca="1">IFERROR(INDEX('VEH98 Data'!Y$3:Y$3508, SMALL(IF('VEH98 Data'!$AH$3:$AH$3508="TRUE", ROW('VEH98 Data'!Y$3:Y$3508)-ROW('VEH98 Data'!Y$3)+1),ROWS('VEH98 Data'!Y$3:'VEH98 Data'!Y470))),"")</f>
        <v/>
      </c>
    </row>
    <row r="177" spans="1:16">
      <c r="A177" s="99"/>
      <c r="B177" s="58"/>
      <c r="C177" s="58" t="str">
        <f t="array" aca="1" ref="C177" ca="1">IFERROR(INDEX('VEH98 Data'!G$3:G$3508, SMALL(IF('VEH98 Data'!$AG$3:$AG$3508="TRUE", ROW('VEH98 Data'!G$3:G$3508)-ROW('VEH98 Data'!G$3)+1),ROWS('VEH98 Data'!G$3:'VEH98 Data'!G165))),"")</f>
        <v/>
      </c>
      <c r="D177" s="58" t="str">
        <f t="array" aca="1" ref="D177" ca="1">IFERROR(INDEX('VEH98 Data'!I$3:I$3508, SMALL(IF('VEH98 Data'!$AG$3:$AG$3508="TRUE", ROW('VEH98 Data'!I$3:I$3508)-ROW('VEH98 Data'!I$3)+1),ROWS('VEH98 Data'!I$3:'VEH98 Data'!I165))),"")</f>
        <v/>
      </c>
      <c r="E177" s="58" t="str">
        <f t="array" aca="1" ref="E177" ca="1">IFERROR(INDEX('VEH98 Data'!J$3:J$3508, SMALL(IF('VEH98 Data'!$AG$3:$AG$3508="TRUE", ROW('VEH98 Data'!J$3:J$3508)-ROW('VEH98 Data'!J$3)+1),ROWS('VEH98 Data'!J$3:'VEH98 Data'!J165))),"")</f>
        <v/>
      </c>
      <c r="F177" s="58" t="str">
        <f t="array" aca="1" ref="F177" ca="1">IFERROR(INDEX('VEH98 Data'!K$3:K$3508, SMALL(IF('VEH98 Data'!$AG$3:$AG$3508="TRUE", ROW('VEH98 Data'!K$3:K$3508)-ROW('VEH98 Data'!K$3)+1),ROWS('VEH98 Data'!K$3:'VEH98 Data'!K165))),"")</f>
        <v/>
      </c>
      <c r="G177" s="654" t="str">
        <f t="array" aca="1" ref="G177" ca="1">IFERROR(INDEX('VEH98 Data'!R$3:R$3508, SMALL(IF('VEH98 Data'!$AG$3:$AG$3508="TRUE", ROW('VEH98 Data'!R$3:R$3508)-ROW('VEH98 Data'!R$3)+1),ROWS('VEH98 Data'!R$3:'VEH98 Data'!R165))),"")</f>
        <v/>
      </c>
      <c r="H177" s="654" t="str">
        <f t="array" aca="1" ref="H177" ca="1">IFERROR(INDEX('VEH98 Data'!Y$3:Y$3508, SMALL(IF('VEH98 Data'!$AG$3:$AG$3508="TRUE", ROW('VEH98 Data'!Y$3:Y$3508)-ROW('VEH98 Data'!Y$3)+1),ROWS('VEH98 Data'!Y$3:'VEH98 Data'!Y165))),"")</f>
        <v/>
      </c>
      <c r="I177" s="19"/>
      <c r="J177" s="652" t="str">
        <f t="array" aca="1" ref="J177" ca="1">IFERROR(INDEX('VEH98 Data'!H$3:H$3508, SMALL(IF('VEH98 Data'!$AH$3:$AH$3508="TRUE", ROW('VEH98 Data'!H$3:H$3508)-ROW('VEH98 Data'!H$3)+1),ROWS('VEH98 Data'!H$3:'VEH98 Data'!H471))),"")</f>
        <v/>
      </c>
      <c r="K177" s="652" t="str">
        <f t="array" aca="1" ref="K177" ca="1">IFERROR(INDEX('VEH98 Data'!G$3:G$3508, SMALL(IF('VEH98 Data'!$AH$3:$AH$3508="TRUE", ROW('VEH98 Data'!G$3:G$3508)-ROW('VEH98 Data'!G$3)+1),ROWS('VEH98 Data'!G$3:'VEH98 Data'!G471))),"")</f>
        <v/>
      </c>
      <c r="L177" s="652" t="str">
        <f t="array" aca="1" ref="L177" ca="1">IFERROR(INDEX('VEH98 Data'!I$3:I$3508, SMALL(IF('VEH98 Data'!$AH$3:$AH$3508="TRUE", ROW('VEH98 Data'!I$3:I$3508)-ROW('VEH98 Data'!I$3)+1),ROWS('VEH98 Data'!I$3:'VEH98 Data'!I471))),"")</f>
        <v/>
      </c>
      <c r="M177" s="652" t="str">
        <f t="array" aca="1" ref="M177" ca="1">IFERROR(INDEX('VEH98 Data'!J$3:J$3508, SMALL(IF('VEH98 Data'!$AH$3:$AH$3508="TRUE", ROW('VEH98 Data'!J$3:J$3508)-ROW('VEH98 Data'!J$3)+1),ROWS('VEH98 Data'!J$3:'VEH98 Data'!J471))),"")</f>
        <v/>
      </c>
      <c r="N177" s="652" t="str">
        <f t="array" aca="1" ref="N177" ca="1">IFERROR(INDEX('VEH98 Data'!K$3:K$3508, SMALL(IF('VEH98 Data'!$AH$3:$AH$3508="TRUE", ROW('VEH98 Data'!K$3:K$3508)-ROW('VEH98 Data'!K$3)+1),ROWS('VEH98 Data'!K$3:'VEH98 Data'!K471))),"")</f>
        <v/>
      </c>
      <c r="O177" s="653" t="str">
        <f t="array" aca="1" ref="O177" ca="1">IFERROR(INDEX('VEH98 Data'!R$3:R$3508, SMALL(IF('VEH98 Data'!$AH$3:$AH$3508="TRUE", ROW('VEH98 Data'!R$3:R$3508)-ROW('VEH98 Data'!R$3)+1),ROWS('VEH98 Data'!R$3:'VEH98 Data'!R471))),"")</f>
        <v/>
      </c>
      <c r="P177" s="653" t="str">
        <f t="array" aca="1" ref="P177" ca="1">IFERROR(INDEX('VEH98 Data'!Y$3:Y$3508, SMALL(IF('VEH98 Data'!$AH$3:$AH$3508="TRUE", ROW('VEH98 Data'!Y$3:Y$3508)-ROW('VEH98 Data'!Y$3)+1),ROWS('VEH98 Data'!Y$3:'VEH98 Data'!Y471))),"")</f>
        <v/>
      </c>
    </row>
    <row r="178" spans="1:16">
      <c r="A178" s="99"/>
      <c r="B178" s="652"/>
      <c r="C178" s="652" t="str">
        <f t="array" aca="1" ref="C178" ca="1">IFERROR(INDEX('VEH98 Data'!G$3:G$3508, SMALL(IF('VEH98 Data'!$AG$3:$AG$3508="TRUE", ROW('VEH98 Data'!G$3:G$3508)-ROW('VEH98 Data'!G$3)+1),ROWS('VEH98 Data'!G$3:'VEH98 Data'!G166))),"")</f>
        <v/>
      </c>
      <c r="D178" s="652" t="str">
        <f t="array" aca="1" ref="D178" ca="1">IFERROR(INDEX('VEH98 Data'!I$3:I$3508, SMALL(IF('VEH98 Data'!$AG$3:$AG$3508="TRUE", ROW('VEH98 Data'!I$3:I$3508)-ROW('VEH98 Data'!I$3)+1),ROWS('VEH98 Data'!I$3:'VEH98 Data'!I166))),"")</f>
        <v/>
      </c>
      <c r="E178" s="652" t="str">
        <f t="array" aca="1" ref="E178" ca="1">IFERROR(INDEX('VEH98 Data'!J$3:J$3508, SMALL(IF('VEH98 Data'!$AG$3:$AG$3508="TRUE", ROW('VEH98 Data'!J$3:J$3508)-ROW('VEH98 Data'!J$3)+1),ROWS('VEH98 Data'!J$3:'VEH98 Data'!J166))),"")</f>
        <v/>
      </c>
      <c r="F178" s="652" t="str">
        <f t="array" aca="1" ref="F178" ca="1">IFERROR(INDEX('VEH98 Data'!K$3:K$3508, SMALL(IF('VEH98 Data'!$AG$3:$AG$3508="TRUE", ROW('VEH98 Data'!K$3:K$3508)-ROW('VEH98 Data'!K$3)+1),ROWS('VEH98 Data'!K$3:'VEH98 Data'!K166))),"")</f>
        <v/>
      </c>
      <c r="G178" s="653" t="str">
        <f t="array" aca="1" ref="G178" ca="1">IFERROR(INDEX('VEH98 Data'!R$3:R$3508, SMALL(IF('VEH98 Data'!$AG$3:$AG$3508="TRUE", ROW('VEH98 Data'!R$3:R$3508)-ROW('VEH98 Data'!R$3)+1),ROWS('VEH98 Data'!R$3:'VEH98 Data'!R166))),"")</f>
        <v/>
      </c>
      <c r="H178" s="653" t="str">
        <f t="array" aca="1" ref="H178" ca="1">IFERROR(INDEX('VEH98 Data'!Y$3:Y$3508, SMALL(IF('VEH98 Data'!$AG$3:$AG$3508="TRUE", ROW('VEH98 Data'!Y$3:Y$3508)-ROW('VEH98 Data'!Y$3)+1),ROWS('VEH98 Data'!Y$3:'VEH98 Data'!Y166))),"")</f>
        <v/>
      </c>
      <c r="I178" s="19"/>
      <c r="J178" s="58" t="str">
        <f t="array" aca="1" ref="J178" ca="1">IFERROR(INDEX('VEH98 Data'!H$3:H$3508, SMALL(IF('VEH98 Data'!$AH$3:$AH$3508="TRUE", ROW('VEH98 Data'!H$3:H$3508)-ROW('VEH98 Data'!H$3)+1),ROWS('VEH98 Data'!H$3:'VEH98 Data'!H472))),"")</f>
        <v/>
      </c>
      <c r="K178" s="58" t="str">
        <f t="array" aca="1" ref="K178" ca="1">IFERROR(INDEX('VEH98 Data'!G$3:G$3508, SMALL(IF('VEH98 Data'!$AH$3:$AH$3508="TRUE", ROW('VEH98 Data'!G$3:G$3508)-ROW('VEH98 Data'!G$3)+1),ROWS('VEH98 Data'!G$3:'VEH98 Data'!G472))),"")</f>
        <v/>
      </c>
      <c r="L178" s="58" t="str">
        <f t="array" aca="1" ref="L178" ca="1">IFERROR(INDEX('VEH98 Data'!I$3:I$3508, SMALL(IF('VEH98 Data'!$AH$3:$AH$3508="TRUE", ROW('VEH98 Data'!I$3:I$3508)-ROW('VEH98 Data'!I$3)+1),ROWS('VEH98 Data'!I$3:'VEH98 Data'!I472))),"")</f>
        <v/>
      </c>
      <c r="M178" s="58" t="str">
        <f t="array" aca="1" ref="M178" ca="1">IFERROR(INDEX('VEH98 Data'!J$3:J$3508, SMALL(IF('VEH98 Data'!$AH$3:$AH$3508="TRUE", ROW('VEH98 Data'!J$3:J$3508)-ROW('VEH98 Data'!J$3)+1),ROWS('VEH98 Data'!J$3:'VEH98 Data'!J472))),"")</f>
        <v/>
      </c>
      <c r="N178" s="58" t="str">
        <f t="array" aca="1" ref="N178" ca="1">IFERROR(INDEX('VEH98 Data'!K$3:K$3508, SMALL(IF('VEH98 Data'!$AH$3:$AH$3508="TRUE", ROW('VEH98 Data'!K$3:K$3508)-ROW('VEH98 Data'!K$3)+1),ROWS('VEH98 Data'!K$3:'VEH98 Data'!K472))),"")</f>
        <v/>
      </c>
      <c r="O178" s="654" t="str">
        <f t="array" aca="1" ref="O178" ca="1">IFERROR(INDEX('VEH98 Data'!R$3:R$3508, SMALL(IF('VEH98 Data'!$AH$3:$AH$3508="TRUE", ROW('VEH98 Data'!R$3:R$3508)-ROW('VEH98 Data'!R$3)+1),ROWS('VEH98 Data'!R$3:'VEH98 Data'!R472))),"")</f>
        <v/>
      </c>
      <c r="P178" s="654" t="str">
        <f t="array" aca="1" ref="P178" ca="1">IFERROR(INDEX('VEH98 Data'!Y$3:Y$3508, SMALL(IF('VEH98 Data'!$AH$3:$AH$3508="TRUE", ROW('VEH98 Data'!Y$3:Y$3508)-ROW('VEH98 Data'!Y$3)+1),ROWS('VEH98 Data'!Y$3:'VEH98 Data'!Y472))),"")</f>
        <v/>
      </c>
    </row>
    <row r="179" spans="1:16">
      <c r="A179" s="99"/>
      <c r="B179" s="58"/>
      <c r="C179" s="58" t="str">
        <f t="array" aca="1" ref="C179" ca="1">IFERROR(INDEX('VEH98 Data'!G$3:G$3508, SMALL(IF('VEH98 Data'!$AG$3:$AG$3508="TRUE", ROW('VEH98 Data'!G$3:G$3508)-ROW('VEH98 Data'!G$3)+1),ROWS('VEH98 Data'!G$3:'VEH98 Data'!G167))),"")</f>
        <v/>
      </c>
      <c r="D179" s="58" t="str">
        <f t="array" aca="1" ref="D179" ca="1">IFERROR(INDEX('VEH98 Data'!I$3:I$3508, SMALL(IF('VEH98 Data'!$AG$3:$AG$3508="TRUE", ROW('VEH98 Data'!I$3:I$3508)-ROW('VEH98 Data'!I$3)+1),ROWS('VEH98 Data'!I$3:'VEH98 Data'!I167))),"")</f>
        <v/>
      </c>
      <c r="E179" s="58" t="str">
        <f t="array" aca="1" ref="E179" ca="1">IFERROR(INDEX('VEH98 Data'!J$3:J$3508, SMALL(IF('VEH98 Data'!$AG$3:$AG$3508="TRUE", ROW('VEH98 Data'!J$3:J$3508)-ROW('VEH98 Data'!J$3)+1),ROWS('VEH98 Data'!J$3:'VEH98 Data'!J167))),"")</f>
        <v/>
      </c>
      <c r="F179" s="58" t="str">
        <f t="array" aca="1" ref="F179" ca="1">IFERROR(INDEX('VEH98 Data'!K$3:K$3508, SMALL(IF('VEH98 Data'!$AG$3:$AG$3508="TRUE", ROW('VEH98 Data'!K$3:K$3508)-ROW('VEH98 Data'!K$3)+1),ROWS('VEH98 Data'!K$3:'VEH98 Data'!K167))),"")</f>
        <v/>
      </c>
      <c r="G179" s="654" t="str">
        <f t="array" aca="1" ref="G179" ca="1">IFERROR(INDEX('VEH98 Data'!R$3:R$3508, SMALL(IF('VEH98 Data'!$AG$3:$AG$3508="TRUE", ROW('VEH98 Data'!R$3:R$3508)-ROW('VEH98 Data'!R$3)+1),ROWS('VEH98 Data'!R$3:'VEH98 Data'!R167))),"")</f>
        <v/>
      </c>
      <c r="H179" s="654" t="str">
        <f t="array" aca="1" ref="H179" ca="1">IFERROR(INDEX('VEH98 Data'!Y$3:Y$3508, SMALL(IF('VEH98 Data'!$AG$3:$AG$3508="TRUE", ROW('VEH98 Data'!Y$3:Y$3508)-ROW('VEH98 Data'!Y$3)+1),ROWS('VEH98 Data'!Y$3:'VEH98 Data'!Y167))),"")</f>
        <v/>
      </c>
      <c r="I179" s="19"/>
      <c r="J179" s="652" t="str">
        <f t="array" aca="1" ref="J179" ca="1">IFERROR(INDEX('VEH98 Data'!H$3:H$3508, SMALL(IF('VEH98 Data'!$AH$3:$AH$3508="TRUE", ROW('VEH98 Data'!H$3:H$3508)-ROW('VEH98 Data'!H$3)+1),ROWS('VEH98 Data'!H$3:'VEH98 Data'!H473))),"")</f>
        <v/>
      </c>
      <c r="K179" s="652" t="str">
        <f t="array" aca="1" ref="K179" ca="1">IFERROR(INDEX('VEH98 Data'!G$3:G$3508, SMALL(IF('VEH98 Data'!$AH$3:$AH$3508="TRUE", ROW('VEH98 Data'!G$3:G$3508)-ROW('VEH98 Data'!G$3)+1),ROWS('VEH98 Data'!G$3:'VEH98 Data'!G473))),"")</f>
        <v/>
      </c>
      <c r="L179" s="652" t="str">
        <f t="array" aca="1" ref="L179" ca="1">IFERROR(INDEX('VEH98 Data'!I$3:I$3508, SMALL(IF('VEH98 Data'!$AH$3:$AH$3508="TRUE", ROW('VEH98 Data'!I$3:I$3508)-ROW('VEH98 Data'!I$3)+1),ROWS('VEH98 Data'!I$3:'VEH98 Data'!I473))),"")</f>
        <v/>
      </c>
      <c r="M179" s="652" t="str">
        <f t="array" aca="1" ref="M179" ca="1">IFERROR(INDEX('VEH98 Data'!J$3:J$3508, SMALL(IF('VEH98 Data'!$AH$3:$AH$3508="TRUE", ROW('VEH98 Data'!J$3:J$3508)-ROW('VEH98 Data'!J$3)+1),ROWS('VEH98 Data'!J$3:'VEH98 Data'!J473))),"")</f>
        <v/>
      </c>
      <c r="N179" s="652" t="str">
        <f t="array" aca="1" ref="N179" ca="1">IFERROR(INDEX('VEH98 Data'!K$3:K$3508, SMALL(IF('VEH98 Data'!$AH$3:$AH$3508="TRUE", ROW('VEH98 Data'!K$3:K$3508)-ROW('VEH98 Data'!K$3)+1),ROWS('VEH98 Data'!K$3:'VEH98 Data'!K473))),"")</f>
        <v/>
      </c>
      <c r="O179" s="653" t="str">
        <f t="array" aca="1" ref="O179" ca="1">IFERROR(INDEX('VEH98 Data'!R$3:R$3508, SMALL(IF('VEH98 Data'!$AH$3:$AH$3508="TRUE", ROW('VEH98 Data'!R$3:R$3508)-ROW('VEH98 Data'!R$3)+1),ROWS('VEH98 Data'!R$3:'VEH98 Data'!R473))),"")</f>
        <v/>
      </c>
      <c r="P179" s="653" t="str">
        <f t="array" aca="1" ref="P179" ca="1">IFERROR(INDEX('VEH98 Data'!Y$3:Y$3508, SMALL(IF('VEH98 Data'!$AH$3:$AH$3508="TRUE", ROW('VEH98 Data'!Y$3:Y$3508)-ROW('VEH98 Data'!Y$3)+1),ROWS('VEH98 Data'!Y$3:'VEH98 Data'!Y473))),"")</f>
        <v/>
      </c>
    </row>
    <row r="180" spans="1:16">
      <c r="A180" s="99"/>
      <c r="B180" s="652"/>
      <c r="C180" s="652" t="str">
        <f t="array" aca="1" ref="C180" ca="1">IFERROR(INDEX('VEH98 Data'!G$3:G$3508, SMALL(IF('VEH98 Data'!$AG$3:$AG$3508="TRUE", ROW('VEH98 Data'!G$3:G$3508)-ROW('VEH98 Data'!G$3)+1),ROWS('VEH98 Data'!G$3:'VEH98 Data'!G168))),"")</f>
        <v/>
      </c>
      <c r="D180" s="652" t="str">
        <f t="array" aca="1" ref="D180" ca="1">IFERROR(INDEX('VEH98 Data'!I$3:I$3508, SMALL(IF('VEH98 Data'!$AG$3:$AG$3508="TRUE", ROW('VEH98 Data'!I$3:I$3508)-ROW('VEH98 Data'!I$3)+1),ROWS('VEH98 Data'!I$3:'VEH98 Data'!I168))),"")</f>
        <v/>
      </c>
      <c r="E180" s="652" t="str">
        <f t="array" aca="1" ref="E180" ca="1">IFERROR(INDEX('VEH98 Data'!J$3:J$3508, SMALL(IF('VEH98 Data'!$AG$3:$AG$3508="TRUE", ROW('VEH98 Data'!J$3:J$3508)-ROW('VEH98 Data'!J$3)+1),ROWS('VEH98 Data'!J$3:'VEH98 Data'!J168))),"")</f>
        <v/>
      </c>
      <c r="F180" s="652" t="str">
        <f t="array" aca="1" ref="F180" ca="1">IFERROR(INDEX('VEH98 Data'!K$3:K$3508, SMALL(IF('VEH98 Data'!$AG$3:$AG$3508="TRUE", ROW('VEH98 Data'!K$3:K$3508)-ROW('VEH98 Data'!K$3)+1),ROWS('VEH98 Data'!K$3:'VEH98 Data'!K168))),"")</f>
        <v/>
      </c>
      <c r="G180" s="653" t="str">
        <f t="array" aca="1" ref="G180" ca="1">IFERROR(INDEX('VEH98 Data'!R$3:R$3508, SMALL(IF('VEH98 Data'!$AG$3:$AG$3508="TRUE", ROW('VEH98 Data'!R$3:R$3508)-ROW('VEH98 Data'!R$3)+1),ROWS('VEH98 Data'!R$3:'VEH98 Data'!R168))),"")</f>
        <v/>
      </c>
      <c r="H180" s="653" t="str">
        <f t="array" aca="1" ref="H180" ca="1">IFERROR(INDEX('VEH98 Data'!Y$3:Y$3508, SMALL(IF('VEH98 Data'!$AG$3:$AG$3508="TRUE", ROW('VEH98 Data'!Y$3:Y$3508)-ROW('VEH98 Data'!Y$3)+1),ROWS('VEH98 Data'!Y$3:'VEH98 Data'!Y168))),"")</f>
        <v/>
      </c>
      <c r="I180" s="19"/>
      <c r="J180" s="58" t="str">
        <f t="array" aca="1" ref="J180" ca="1">IFERROR(INDEX('VEH98 Data'!H$3:H$3508, SMALL(IF('VEH98 Data'!$AH$3:$AH$3508="TRUE", ROW('VEH98 Data'!H$3:H$3508)-ROW('VEH98 Data'!H$3)+1),ROWS('VEH98 Data'!H$3:'VEH98 Data'!H474))),"")</f>
        <v/>
      </c>
      <c r="K180" s="58" t="str">
        <f t="array" aca="1" ref="K180" ca="1">IFERROR(INDEX('VEH98 Data'!G$3:G$3508, SMALL(IF('VEH98 Data'!$AH$3:$AH$3508="TRUE", ROW('VEH98 Data'!G$3:G$3508)-ROW('VEH98 Data'!G$3)+1),ROWS('VEH98 Data'!G$3:'VEH98 Data'!G474))),"")</f>
        <v/>
      </c>
      <c r="L180" s="58" t="str">
        <f t="array" aca="1" ref="L180" ca="1">IFERROR(INDEX('VEH98 Data'!I$3:I$3508, SMALL(IF('VEH98 Data'!$AH$3:$AH$3508="TRUE", ROW('VEH98 Data'!I$3:I$3508)-ROW('VEH98 Data'!I$3)+1),ROWS('VEH98 Data'!I$3:'VEH98 Data'!I474))),"")</f>
        <v/>
      </c>
      <c r="M180" s="58" t="str">
        <f t="array" aca="1" ref="M180" ca="1">IFERROR(INDEX('VEH98 Data'!J$3:J$3508, SMALL(IF('VEH98 Data'!$AH$3:$AH$3508="TRUE", ROW('VEH98 Data'!J$3:J$3508)-ROW('VEH98 Data'!J$3)+1),ROWS('VEH98 Data'!J$3:'VEH98 Data'!J474))),"")</f>
        <v/>
      </c>
      <c r="N180" s="58" t="str">
        <f t="array" aca="1" ref="N180" ca="1">IFERROR(INDEX('VEH98 Data'!K$3:K$3508, SMALL(IF('VEH98 Data'!$AH$3:$AH$3508="TRUE", ROW('VEH98 Data'!K$3:K$3508)-ROW('VEH98 Data'!K$3)+1),ROWS('VEH98 Data'!K$3:'VEH98 Data'!K474))),"")</f>
        <v/>
      </c>
      <c r="O180" s="654" t="str">
        <f t="array" aca="1" ref="O180" ca="1">IFERROR(INDEX('VEH98 Data'!R$3:R$3508, SMALL(IF('VEH98 Data'!$AH$3:$AH$3508="TRUE", ROW('VEH98 Data'!R$3:R$3508)-ROW('VEH98 Data'!R$3)+1),ROWS('VEH98 Data'!R$3:'VEH98 Data'!R474))),"")</f>
        <v/>
      </c>
      <c r="P180" s="654" t="str">
        <f t="array" aca="1" ref="P180" ca="1">IFERROR(INDEX('VEH98 Data'!Y$3:Y$3508, SMALL(IF('VEH98 Data'!$AH$3:$AH$3508="TRUE", ROW('VEH98 Data'!Y$3:Y$3508)-ROW('VEH98 Data'!Y$3)+1),ROWS('VEH98 Data'!Y$3:'VEH98 Data'!Y474))),"")</f>
        <v/>
      </c>
    </row>
    <row r="181" spans="1:16">
      <c r="A181" s="99"/>
      <c r="B181" s="58"/>
      <c r="C181" s="58" t="str">
        <f t="array" aca="1" ref="C181" ca="1">IFERROR(INDEX('VEH98 Data'!G$3:G$3508, SMALL(IF('VEH98 Data'!$AG$3:$AG$3508="TRUE", ROW('VEH98 Data'!G$3:G$3508)-ROW('VEH98 Data'!G$3)+1),ROWS('VEH98 Data'!G$3:'VEH98 Data'!G169))),"")</f>
        <v/>
      </c>
      <c r="D181" s="58" t="str">
        <f t="array" aca="1" ref="D181" ca="1">IFERROR(INDEX('VEH98 Data'!I$3:I$3508, SMALL(IF('VEH98 Data'!$AG$3:$AG$3508="TRUE", ROW('VEH98 Data'!I$3:I$3508)-ROW('VEH98 Data'!I$3)+1),ROWS('VEH98 Data'!I$3:'VEH98 Data'!I169))),"")</f>
        <v/>
      </c>
      <c r="E181" s="58" t="str">
        <f t="array" aca="1" ref="E181" ca="1">IFERROR(INDEX('VEH98 Data'!J$3:J$3508, SMALL(IF('VEH98 Data'!$AG$3:$AG$3508="TRUE", ROW('VEH98 Data'!J$3:J$3508)-ROW('VEH98 Data'!J$3)+1),ROWS('VEH98 Data'!J$3:'VEH98 Data'!J169))),"")</f>
        <v/>
      </c>
      <c r="F181" s="58" t="str">
        <f t="array" aca="1" ref="F181" ca="1">IFERROR(INDEX('VEH98 Data'!K$3:K$3508, SMALL(IF('VEH98 Data'!$AG$3:$AG$3508="TRUE", ROW('VEH98 Data'!K$3:K$3508)-ROW('VEH98 Data'!K$3)+1),ROWS('VEH98 Data'!K$3:'VEH98 Data'!K169))),"")</f>
        <v/>
      </c>
      <c r="G181" s="654" t="str">
        <f t="array" aca="1" ref="G181" ca="1">IFERROR(INDEX('VEH98 Data'!R$3:R$3508, SMALL(IF('VEH98 Data'!$AG$3:$AG$3508="TRUE", ROW('VEH98 Data'!R$3:R$3508)-ROW('VEH98 Data'!R$3)+1),ROWS('VEH98 Data'!R$3:'VEH98 Data'!R169))),"")</f>
        <v/>
      </c>
      <c r="H181" s="654" t="str">
        <f t="array" aca="1" ref="H181" ca="1">IFERROR(INDEX('VEH98 Data'!Y$3:Y$3508, SMALL(IF('VEH98 Data'!$AG$3:$AG$3508="TRUE", ROW('VEH98 Data'!Y$3:Y$3508)-ROW('VEH98 Data'!Y$3)+1),ROWS('VEH98 Data'!Y$3:'VEH98 Data'!Y169))),"")</f>
        <v/>
      </c>
      <c r="I181" s="19"/>
      <c r="J181" s="652" t="str">
        <f t="array" aca="1" ref="J181" ca="1">IFERROR(INDEX('VEH98 Data'!H$3:H$3508, SMALL(IF('VEH98 Data'!$AH$3:$AH$3508="TRUE", ROW('VEH98 Data'!H$3:H$3508)-ROW('VEH98 Data'!H$3)+1),ROWS('VEH98 Data'!H$3:'VEH98 Data'!H475))),"")</f>
        <v/>
      </c>
      <c r="K181" s="652" t="str">
        <f t="array" aca="1" ref="K181" ca="1">IFERROR(INDEX('VEH98 Data'!G$3:G$3508, SMALL(IF('VEH98 Data'!$AH$3:$AH$3508="TRUE", ROW('VEH98 Data'!G$3:G$3508)-ROW('VEH98 Data'!G$3)+1),ROWS('VEH98 Data'!G$3:'VEH98 Data'!G475))),"")</f>
        <v/>
      </c>
      <c r="L181" s="652" t="str">
        <f t="array" aca="1" ref="L181" ca="1">IFERROR(INDEX('VEH98 Data'!I$3:I$3508, SMALL(IF('VEH98 Data'!$AH$3:$AH$3508="TRUE", ROW('VEH98 Data'!I$3:I$3508)-ROW('VEH98 Data'!I$3)+1),ROWS('VEH98 Data'!I$3:'VEH98 Data'!I475))),"")</f>
        <v/>
      </c>
      <c r="M181" s="652" t="str">
        <f t="array" aca="1" ref="M181" ca="1">IFERROR(INDEX('VEH98 Data'!J$3:J$3508, SMALL(IF('VEH98 Data'!$AH$3:$AH$3508="TRUE", ROW('VEH98 Data'!J$3:J$3508)-ROW('VEH98 Data'!J$3)+1),ROWS('VEH98 Data'!J$3:'VEH98 Data'!J475))),"")</f>
        <v/>
      </c>
      <c r="N181" s="652" t="str">
        <f t="array" aca="1" ref="N181" ca="1">IFERROR(INDEX('VEH98 Data'!K$3:K$3508, SMALL(IF('VEH98 Data'!$AH$3:$AH$3508="TRUE", ROW('VEH98 Data'!K$3:K$3508)-ROW('VEH98 Data'!K$3)+1),ROWS('VEH98 Data'!K$3:'VEH98 Data'!K475))),"")</f>
        <v/>
      </c>
      <c r="O181" s="653" t="str">
        <f t="array" aca="1" ref="O181" ca="1">IFERROR(INDEX('VEH98 Data'!R$3:R$3508, SMALL(IF('VEH98 Data'!$AH$3:$AH$3508="TRUE", ROW('VEH98 Data'!R$3:R$3508)-ROW('VEH98 Data'!R$3)+1),ROWS('VEH98 Data'!R$3:'VEH98 Data'!R475))),"")</f>
        <v/>
      </c>
      <c r="P181" s="653" t="str">
        <f t="array" aca="1" ref="P181" ca="1">IFERROR(INDEX('VEH98 Data'!Y$3:Y$3508, SMALL(IF('VEH98 Data'!$AH$3:$AH$3508="TRUE", ROW('VEH98 Data'!Y$3:Y$3508)-ROW('VEH98 Data'!Y$3)+1),ROWS('VEH98 Data'!Y$3:'VEH98 Data'!Y475))),"")</f>
        <v/>
      </c>
    </row>
    <row r="182" spans="1:16">
      <c r="A182" s="99"/>
      <c r="B182" s="652"/>
      <c r="C182" s="652" t="str">
        <f t="array" aca="1" ref="C182" ca="1">IFERROR(INDEX('VEH98 Data'!G$3:G$3508, SMALL(IF('VEH98 Data'!$AG$3:$AG$3508="TRUE", ROW('VEH98 Data'!G$3:G$3508)-ROW('VEH98 Data'!G$3)+1),ROWS('VEH98 Data'!G$3:'VEH98 Data'!G170))),"")</f>
        <v/>
      </c>
      <c r="D182" s="652" t="str">
        <f t="array" aca="1" ref="D182" ca="1">IFERROR(INDEX('VEH98 Data'!I$3:I$3508, SMALL(IF('VEH98 Data'!$AG$3:$AG$3508="TRUE", ROW('VEH98 Data'!I$3:I$3508)-ROW('VEH98 Data'!I$3)+1),ROWS('VEH98 Data'!I$3:'VEH98 Data'!I170))),"")</f>
        <v/>
      </c>
      <c r="E182" s="652" t="str">
        <f t="array" aca="1" ref="E182" ca="1">IFERROR(INDEX('VEH98 Data'!J$3:J$3508, SMALL(IF('VEH98 Data'!$AG$3:$AG$3508="TRUE", ROW('VEH98 Data'!J$3:J$3508)-ROW('VEH98 Data'!J$3)+1),ROWS('VEH98 Data'!J$3:'VEH98 Data'!J170))),"")</f>
        <v/>
      </c>
      <c r="F182" s="652" t="str">
        <f t="array" aca="1" ref="F182" ca="1">IFERROR(INDEX('VEH98 Data'!K$3:K$3508, SMALL(IF('VEH98 Data'!$AG$3:$AG$3508="TRUE", ROW('VEH98 Data'!K$3:K$3508)-ROW('VEH98 Data'!K$3)+1),ROWS('VEH98 Data'!K$3:'VEH98 Data'!K170))),"")</f>
        <v/>
      </c>
      <c r="G182" s="653" t="str">
        <f t="array" aca="1" ref="G182" ca="1">IFERROR(INDEX('VEH98 Data'!R$3:R$3508, SMALL(IF('VEH98 Data'!$AG$3:$AG$3508="TRUE", ROW('VEH98 Data'!R$3:R$3508)-ROW('VEH98 Data'!R$3)+1),ROWS('VEH98 Data'!R$3:'VEH98 Data'!R170))),"")</f>
        <v/>
      </c>
      <c r="H182" s="653" t="str">
        <f t="array" aca="1" ref="H182" ca="1">IFERROR(INDEX('VEH98 Data'!Y$3:Y$3508, SMALL(IF('VEH98 Data'!$AG$3:$AG$3508="TRUE", ROW('VEH98 Data'!Y$3:Y$3508)-ROW('VEH98 Data'!Y$3)+1),ROWS('VEH98 Data'!Y$3:'VEH98 Data'!Y170))),"")</f>
        <v/>
      </c>
      <c r="I182" s="19"/>
      <c r="J182" s="58" t="str">
        <f t="array" aca="1" ref="J182" ca="1">IFERROR(INDEX('VEH98 Data'!H$3:H$3508, SMALL(IF('VEH98 Data'!$AH$3:$AH$3508="TRUE", ROW('VEH98 Data'!H$3:H$3508)-ROW('VEH98 Data'!H$3)+1),ROWS('VEH98 Data'!H$3:'VEH98 Data'!H476))),"")</f>
        <v/>
      </c>
      <c r="K182" s="58" t="str">
        <f t="array" aca="1" ref="K182" ca="1">IFERROR(INDEX('VEH98 Data'!G$3:G$3508, SMALL(IF('VEH98 Data'!$AH$3:$AH$3508="TRUE", ROW('VEH98 Data'!G$3:G$3508)-ROW('VEH98 Data'!G$3)+1),ROWS('VEH98 Data'!G$3:'VEH98 Data'!G476))),"")</f>
        <v/>
      </c>
      <c r="L182" s="58" t="str">
        <f t="array" aca="1" ref="L182" ca="1">IFERROR(INDEX('VEH98 Data'!I$3:I$3508, SMALL(IF('VEH98 Data'!$AH$3:$AH$3508="TRUE", ROW('VEH98 Data'!I$3:I$3508)-ROW('VEH98 Data'!I$3)+1),ROWS('VEH98 Data'!I$3:'VEH98 Data'!I476))),"")</f>
        <v/>
      </c>
      <c r="M182" s="58" t="str">
        <f t="array" aca="1" ref="M182" ca="1">IFERROR(INDEX('VEH98 Data'!J$3:J$3508, SMALL(IF('VEH98 Data'!$AH$3:$AH$3508="TRUE", ROW('VEH98 Data'!J$3:J$3508)-ROW('VEH98 Data'!J$3)+1),ROWS('VEH98 Data'!J$3:'VEH98 Data'!J476))),"")</f>
        <v/>
      </c>
      <c r="N182" s="58" t="str">
        <f t="array" aca="1" ref="N182" ca="1">IFERROR(INDEX('VEH98 Data'!K$3:K$3508, SMALL(IF('VEH98 Data'!$AH$3:$AH$3508="TRUE", ROW('VEH98 Data'!K$3:K$3508)-ROW('VEH98 Data'!K$3)+1),ROWS('VEH98 Data'!K$3:'VEH98 Data'!K476))),"")</f>
        <v/>
      </c>
      <c r="O182" s="654" t="str">
        <f t="array" aca="1" ref="O182" ca="1">IFERROR(INDEX('VEH98 Data'!R$3:R$3508, SMALL(IF('VEH98 Data'!$AH$3:$AH$3508="TRUE", ROW('VEH98 Data'!R$3:R$3508)-ROW('VEH98 Data'!R$3)+1),ROWS('VEH98 Data'!R$3:'VEH98 Data'!R476))),"")</f>
        <v/>
      </c>
      <c r="P182" s="654" t="str">
        <f t="array" aca="1" ref="P182" ca="1">IFERROR(INDEX('VEH98 Data'!Y$3:Y$3508, SMALL(IF('VEH98 Data'!$AH$3:$AH$3508="TRUE", ROW('VEH98 Data'!Y$3:Y$3508)-ROW('VEH98 Data'!Y$3)+1),ROWS('VEH98 Data'!Y$3:'VEH98 Data'!Y476))),"")</f>
        <v/>
      </c>
    </row>
    <row r="183" spans="1:16">
      <c r="A183" s="99"/>
      <c r="B183" s="58"/>
      <c r="C183" s="58" t="str">
        <f t="array" aca="1" ref="C183" ca="1">IFERROR(INDEX('VEH98 Data'!G$3:G$3508, SMALL(IF('VEH98 Data'!$AG$3:$AG$3508="TRUE", ROW('VEH98 Data'!G$3:G$3508)-ROW('VEH98 Data'!G$3)+1),ROWS('VEH98 Data'!G$3:'VEH98 Data'!G171))),"")</f>
        <v/>
      </c>
      <c r="D183" s="58" t="str">
        <f t="array" aca="1" ref="D183" ca="1">IFERROR(INDEX('VEH98 Data'!I$3:I$3508, SMALL(IF('VEH98 Data'!$AG$3:$AG$3508="TRUE", ROW('VEH98 Data'!I$3:I$3508)-ROW('VEH98 Data'!I$3)+1),ROWS('VEH98 Data'!I$3:'VEH98 Data'!I171))),"")</f>
        <v/>
      </c>
      <c r="E183" s="58" t="str">
        <f t="array" aca="1" ref="E183" ca="1">IFERROR(INDEX('VEH98 Data'!J$3:J$3508, SMALL(IF('VEH98 Data'!$AG$3:$AG$3508="TRUE", ROW('VEH98 Data'!J$3:J$3508)-ROW('VEH98 Data'!J$3)+1),ROWS('VEH98 Data'!J$3:'VEH98 Data'!J171))),"")</f>
        <v/>
      </c>
      <c r="F183" s="58" t="str">
        <f t="array" aca="1" ref="F183" ca="1">IFERROR(INDEX('VEH98 Data'!K$3:K$3508, SMALL(IF('VEH98 Data'!$AG$3:$AG$3508="TRUE", ROW('VEH98 Data'!K$3:K$3508)-ROW('VEH98 Data'!K$3)+1),ROWS('VEH98 Data'!K$3:'VEH98 Data'!K171))),"")</f>
        <v/>
      </c>
      <c r="G183" s="654" t="str">
        <f t="array" aca="1" ref="G183" ca="1">IFERROR(INDEX('VEH98 Data'!R$3:R$3508, SMALL(IF('VEH98 Data'!$AG$3:$AG$3508="TRUE", ROW('VEH98 Data'!R$3:R$3508)-ROW('VEH98 Data'!R$3)+1),ROWS('VEH98 Data'!R$3:'VEH98 Data'!R171))),"")</f>
        <v/>
      </c>
      <c r="H183" s="654" t="str">
        <f t="array" aca="1" ref="H183" ca="1">IFERROR(INDEX('VEH98 Data'!Y$3:Y$3508, SMALL(IF('VEH98 Data'!$AG$3:$AG$3508="TRUE", ROW('VEH98 Data'!Y$3:Y$3508)-ROW('VEH98 Data'!Y$3)+1),ROWS('VEH98 Data'!Y$3:'VEH98 Data'!Y171))),"")</f>
        <v/>
      </c>
      <c r="I183" s="19"/>
      <c r="J183" s="652" t="str">
        <f t="array" aca="1" ref="J183" ca="1">IFERROR(INDEX('VEH98 Data'!H$3:H$3508, SMALL(IF('VEH98 Data'!$AH$3:$AH$3508="TRUE", ROW('VEH98 Data'!H$3:H$3508)-ROW('VEH98 Data'!H$3)+1),ROWS('VEH98 Data'!H$3:'VEH98 Data'!H477))),"")</f>
        <v/>
      </c>
      <c r="K183" s="652" t="str">
        <f t="array" aca="1" ref="K183" ca="1">IFERROR(INDEX('VEH98 Data'!G$3:G$3508, SMALL(IF('VEH98 Data'!$AH$3:$AH$3508="TRUE", ROW('VEH98 Data'!G$3:G$3508)-ROW('VEH98 Data'!G$3)+1),ROWS('VEH98 Data'!G$3:'VEH98 Data'!G477))),"")</f>
        <v/>
      </c>
      <c r="L183" s="652" t="str">
        <f t="array" aca="1" ref="L183" ca="1">IFERROR(INDEX('VEH98 Data'!I$3:I$3508, SMALL(IF('VEH98 Data'!$AH$3:$AH$3508="TRUE", ROW('VEH98 Data'!I$3:I$3508)-ROW('VEH98 Data'!I$3)+1),ROWS('VEH98 Data'!I$3:'VEH98 Data'!I477))),"")</f>
        <v/>
      </c>
      <c r="M183" s="652" t="str">
        <f t="array" aca="1" ref="M183" ca="1">IFERROR(INDEX('VEH98 Data'!J$3:J$3508, SMALL(IF('VEH98 Data'!$AH$3:$AH$3508="TRUE", ROW('VEH98 Data'!J$3:J$3508)-ROW('VEH98 Data'!J$3)+1),ROWS('VEH98 Data'!J$3:'VEH98 Data'!J477))),"")</f>
        <v/>
      </c>
      <c r="N183" s="652" t="str">
        <f t="array" aca="1" ref="N183" ca="1">IFERROR(INDEX('VEH98 Data'!K$3:K$3508, SMALL(IF('VEH98 Data'!$AH$3:$AH$3508="TRUE", ROW('VEH98 Data'!K$3:K$3508)-ROW('VEH98 Data'!K$3)+1),ROWS('VEH98 Data'!K$3:'VEH98 Data'!K477))),"")</f>
        <v/>
      </c>
      <c r="O183" s="653" t="str">
        <f t="array" aca="1" ref="O183" ca="1">IFERROR(INDEX('VEH98 Data'!R$3:R$3508, SMALL(IF('VEH98 Data'!$AH$3:$AH$3508="TRUE", ROW('VEH98 Data'!R$3:R$3508)-ROW('VEH98 Data'!R$3)+1),ROWS('VEH98 Data'!R$3:'VEH98 Data'!R477))),"")</f>
        <v/>
      </c>
      <c r="P183" s="653" t="str">
        <f t="array" aca="1" ref="P183" ca="1">IFERROR(INDEX('VEH98 Data'!Y$3:Y$3508, SMALL(IF('VEH98 Data'!$AH$3:$AH$3508="TRUE", ROW('VEH98 Data'!Y$3:Y$3508)-ROW('VEH98 Data'!Y$3)+1),ROWS('VEH98 Data'!Y$3:'VEH98 Data'!Y477))),"")</f>
        <v/>
      </c>
    </row>
    <row r="184" spans="1:16">
      <c r="A184" s="99"/>
      <c r="B184" s="652"/>
      <c r="C184" s="652" t="str">
        <f t="array" aca="1" ref="C184" ca="1">IFERROR(INDEX('VEH98 Data'!G$3:G$3508, SMALL(IF('VEH98 Data'!$AG$3:$AG$3508="TRUE", ROW('VEH98 Data'!G$3:G$3508)-ROW('VEH98 Data'!G$3)+1),ROWS('VEH98 Data'!G$3:'VEH98 Data'!G172))),"")</f>
        <v/>
      </c>
      <c r="D184" s="652" t="str">
        <f t="array" aca="1" ref="D184" ca="1">IFERROR(INDEX('VEH98 Data'!I$3:I$3508, SMALL(IF('VEH98 Data'!$AG$3:$AG$3508="TRUE", ROW('VEH98 Data'!I$3:I$3508)-ROW('VEH98 Data'!I$3)+1),ROWS('VEH98 Data'!I$3:'VEH98 Data'!I172))),"")</f>
        <v/>
      </c>
      <c r="E184" s="652" t="str">
        <f t="array" aca="1" ref="E184" ca="1">IFERROR(INDEX('VEH98 Data'!J$3:J$3508, SMALL(IF('VEH98 Data'!$AG$3:$AG$3508="TRUE", ROW('VEH98 Data'!J$3:J$3508)-ROW('VEH98 Data'!J$3)+1),ROWS('VEH98 Data'!J$3:'VEH98 Data'!J172))),"")</f>
        <v/>
      </c>
      <c r="F184" s="652" t="str">
        <f t="array" aca="1" ref="F184" ca="1">IFERROR(INDEX('VEH98 Data'!K$3:K$3508, SMALL(IF('VEH98 Data'!$AG$3:$AG$3508="TRUE", ROW('VEH98 Data'!K$3:K$3508)-ROW('VEH98 Data'!K$3)+1),ROWS('VEH98 Data'!K$3:'VEH98 Data'!K172))),"")</f>
        <v/>
      </c>
      <c r="G184" s="653" t="str">
        <f t="array" aca="1" ref="G184" ca="1">IFERROR(INDEX('VEH98 Data'!R$3:R$3508, SMALL(IF('VEH98 Data'!$AG$3:$AG$3508="TRUE", ROW('VEH98 Data'!R$3:R$3508)-ROW('VEH98 Data'!R$3)+1),ROWS('VEH98 Data'!R$3:'VEH98 Data'!R172))),"")</f>
        <v/>
      </c>
      <c r="H184" s="653" t="str">
        <f t="array" aca="1" ref="H184" ca="1">IFERROR(INDEX('VEH98 Data'!Y$3:Y$3508, SMALL(IF('VEH98 Data'!$AG$3:$AG$3508="TRUE", ROW('VEH98 Data'!Y$3:Y$3508)-ROW('VEH98 Data'!Y$3)+1),ROWS('VEH98 Data'!Y$3:'VEH98 Data'!Y172))),"")</f>
        <v/>
      </c>
      <c r="I184" s="19"/>
      <c r="J184" s="58" t="str">
        <f t="array" aca="1" ref="J184" ca="1">IFERROR(INDEX('VEH98 Data'!H$3:H$3508, SMALL(IF('VEH98 Data'!$AH$3:$AH$3508="TRUE", ROW('VEH98 Data'!H$3:H$3508)-ROW('VEH98 Data'!H$3)+1),ROWS('VEH98 Data'!H$3:'VEH98 Data'!H478))),"")</f>
        <v/>
      </c>
      <c r="K184" s="58" t="str">
        <f t="array" aca="1" ref="K184" ca="1">IFERROR(INDEX('VEH98 Data'!G$3:G$3508, SMALL(IF('VEH98 Data'!$AH$3:$AH$3508="TRUE", ROW('VEH98 Data'!G$3:G$3508)-ROW('VEH98 Data'!G$3)+1),ROWS('VEH98 Data'!G$3:'VEH98 Data'!G478))),"")</f>
        <v/>
      </c>
      <c r="L184" s="58" t="str">
        <f t="array" aca="1" ref="L184" ca="1">IFERROR(INDEX('VEH98 Data'!I$3:I$3508, SMALL(IF('VEH98 Data'!$AH$3:$AH$3508="TRUE", ROW('VEH98 Data'!I$3:I$3508)-ROW('VEH98 Data'!I$3)+1),ROWS('VEH98 Data'!I$3:'VEH98 Data'!I478))),"")</f>
        <v/>
      </c>
      <c r="M184" s="58" t="str">
        <f t="array" aca="1" ref="M184" ca="1">IFERROR(INDEX('VEH98 Data'!J$3:J$3508, SMALL(IF('VEH98 Data'!$AH$3:$AH$3508="TRUE", ROW('VEH98 Data'!J$3:J$3508)-ROW('VEH98 Data'!J$3)+1),ROWS('VEH98 Data'!J$3:'VEH98 Data'!J478))),"")</f>
        <v/>
      </c>
      <c r="N184" s="58" t="str">
        <f t="array" aca="1" ref="N184" ca="1">IFERROR(INDEX('VEH98 Data'!K$3:K$3508, SMALL(IF('VEH98 Data'!$AH$3:$AH$3508="TRUE", ROW('VEH98 Data'!K$3:K$3508)-ROW('VEH98 Data'!K$3)+1),ROWS('VEH98 Data'!K$3:'VEH98 Data'!K478))),"")</f>
        <v/>
      </c>
      <c r="O184" s="654" t="str">
        <f t="array" aca="1" ref="O184" ca="1">IFERROR(INDEX('VEH98 Data'!R$3:R$3508, SMALL(IF('VEH98 Data'!$AH$3:$AH$3508="TRUE", ROW('VEH98 Data'!R$3:R$3508)-ROW('VEH98 Data'!R$3)+1),ROWS('VEH98 Data'!R$3:'VEH98 Data'!R478))),"")</f>
        <v/>
      </c>
      <c r="P184" s="654" t="str">
        <f t="array" aca="1" ref="P184" ca="1">IFERROR(INDEX('VEH98 Data'!Y$3:Y$3508, SMALL(IF('VEH98 Data'!$AH$3:$AH$3508="TRUE", ROW('VEH98 Data'!Y$3:Y$3508)-ROW('VEH98 Data'!Y$3)+1),ROWS('VEH98 Data'!Y$3:'VEH98 Data'!Y478))),"")</f>
        <v/>
      </c>
    </row>
    <row r="185" spans="1:16">
      <c r="A185" s="99"/>
      <c r="B185" s="58"/>
      <c r="C185" s="58" t="str">
        <f t="array" aca="1" ref="C185" ca="1">IFERROR(INDEX('VEH98 Data'!G$3:G$3508, SMALL(IF('VEH98 Data'!$AG$3:$AG$3508="TRUE", ROW('VEH98 Data'!G$3:G$3508)-ROW('VEH98 Data'!G$3)+1),ROWS('VEH98 Data'!G$3:'VEH98 Data'!G173))),"")</f>
        <v/>
      </c>
      <c r="D185" s="58" t="str">
        <f t="array" aca="1" ref="D185" ca="1">IFERROR(INDEX('VEH98 Data'!I$3:I$3508, SMALL(IF('VEH98 Data'!$AG$3:$AG$3508="TRUE", ROW('VEH98 Data'!I$3:I$3508)-ROW('VEH98 Data'!I$3)+1),ROWS('VEH98 Data'!I$3:'VEH98 Data'!I173))),"")</f>
        <v/>
      </c>
      <c r="E185" s="58" t="str">
        <f t="array" aca="1" ref="E185" ca="1">IFERROR(INDEX('VEH98 Data'!J$3:J$3508, SMALL(IF('VEH98 Data'!$AG$3:$AG$3508="TRUE", ROW('VEH98 Data'!J$3:J$3508)-ROW('VEH98 Data'!J$3)+1),ROWS('VEH98 Data'!J$3:'VEH98 Data'!J173))),"")</f>
        <v/>
      </c>
      <c r="F185" s="58" t="str">
        <f t="array" aca="1" ref="F185" ca="1">IFERROR(INDEX('VEH98 Data'!K$3:K$3508, SMALL(IF('VEH98 Data'!$AG$3:$AG$3508="TRUE", ROW('VEH98 Data'!K$3:K$3508)-ROW('VEH98 Data'!K$3)+1),ROWS('VEH98 Data'!K$3:'VEH98 Data'!K173))),"")</f>
        <v/>
      </c>
      <c r="G185" s="654" t="str">
        <f t="array" aca="1" ref="G185" ca="1">IFERROR(INDEX('VEH98 Data'!R$3:R$3508, SMALL(IF('VEH98 Data'!$AG$3:$AG$3508="TRUE", ROW('VEH98 Data'!R$3:R$3508)-ROW('VEH98 Data'!R$3)+1),ROWS('VEH98 Data'!R$3:'VEH98 Data'!R173))),"")</f>
        <v/>
      </c>
      <c r="H185" s="654" t="str">
        <f t="array" aca="1" ref="H185" ca="1">IFERROR(INDEX('VEH98 Data'!Y$3:Y$3508, SMALL(IF('VEH98 Data'!$AG$3:$AG$3508="TRUE", ROW('VEH98 Data'!Y$3:Y$3508)-ROW('VEH98 Data'!Y$3)+1),ROWS('VEH98 Data'!Y$3:'VEH98 Data'!Y173))),"")</f>
        <v/>
      </c>
      <c r="I185" s="19"/>
      <c r="J185" s="652" t="str">
        <f t="array" aca="1" ref="J185" ca="1">IFERROR(INDEX('VEH98 Data'!H$3:H$3508, SMALL(IF('VEH98 Data'!$AH$3:$AH$3508="TRUE", ROW('VEH98 Data'!H$3:H$3508)-ROW('VEH98 Data'!H$3)+1),ROWS('VEH98 Data'!H$3:'VEH98 Data'!H479))),"")</f>
        <v/>
      </c>
      <c r="K185" s="652" t="str">
        <f t="array" aca="1" ref="K185" ca="1">IFERROR(INDEX('VEH98 Data'!G$3:G$3508, SMALL(IF('VEH98 Data'!$AH$3:$AH$3508="TRUE", ROW('VEH98 Data'!G$3:G$3508)-ROW('VEH98 Data'!G$3)+1),ROWS('VEH98 Data'!G$3:'VEH98 Data'!G479))),"")</f>
        <v/>
      </c>
      <c r="L185" s="652" t="str">
        <f t="array" aca="1" ref="L185" ca="1">IFERROR(INDEX('VEH98 Data'!I$3:I$3508, SMALL(IF('VEH98 Data'!$AH$3:$AH$3508="TRUE", ROW('VEH98 Data'!I$3:I$3508)-ROW('VEH98 Data'!I$3)+1),ROWS('VEH98 Data'!I$3:'VEH98 Data'!I479))),"")</f>
        <v/>
      </c>
      <c r="M185" s="652" t="str">
        <f t="array" aca="1" ref="M185" ca="1">IFERROR(INDEX('VEH98 Data'!J$3:J$3508, SMALL(IF('VEH98 Data'!$AH$3:$AH$3508="TRUE", ROW('VEH98 Data'!J$3:J$3508)-ROW('VEH98 Data'!J$3)+1),ROWS('VEH98 Data'!J$3:'VEH98 Data'!J479))),"")</f>
        <v/>
      </c>
      <c r="N185" s="652" t="str">
        <f t="array" aca="1" ref="N185" ca="1">IFERROR(INDEX('VEH98 Data'!K$3:K$3508, SMALL(IF('VEH98 Data'!$AH$3:$AH$3508="TRUE", ROW('VEH98 Data'!K$3:K$3508)-ROW('VEH98 Data'!K$3)+1),ROWS('VEH98 Data'!K$3:'VEH98 Data'!K479))),"")</f>
        <v/>
      </c>
      <c r="O185" s="653" t="str">
        <f t="array" aca="1" ref="O185" ca="1">IFERROR(INDEX('VEH98 Data'!R$3:R$3508, SMALL(IF('VEH98 Data'!$AH$3:$AH$3508="TRUE", ROW('VEH98 Data'!R$3:R$3508)-ROW('VEH98 Data'!R$3)+1),ROWS('VEH98 Data'!R$3:'VEH98 Data'!R479))),"")</f>
        <v/>
      </c>
      <c r="P185" s="653" t="str">
        <f t="array" aca="1" ref="P185" ca="1">IFERROR(INDEX('VEH98 Data'!Y$3:Y$3508, SMALL(IF('VEH98 Data'!$AH$3:$AH$3508="TRUE", ROW('VEH98 Data'!Y$3:Y$3508)-ROW('VEH98 Data'!Y$3)+1),ROWS('VEH98 Data'!Y$3:'VEH98 Data'!Y479))),"")</f>
        <v/>
      </c>
    </row>
    <row r="186" spans="1:16">
      <c r="A186" s="99"/>
      <c r="B186" s="652"/>
      <c r="C186" s="652" t="str">
        <f t="array" aca="1" ref="C186" ca="1">IFERROR(INDEX('VEH98 Data'!G$3:G$3508, SMALL(IF('VEH98 Data'!$AG$3:$AG$3508="TRUE", ROW('VEH98 Data'!G$3:G$3508)-ROW('VEH98 Data'!G$3)+1),ROWS('VEH98 Data'!G$3:'VEH98 Data'!G174))),"")</f>
        <v/>
      </c>
      <c r="D186" s="652" t="str">
        <f t="array" aca="1" ref="D186" ca="1">IFERROR(INDEX('VEH98 Data'!I$3:I$3508, SMALL(IF('VEH98 Data'!$AG$3:$AG$3508="TRUE", ROW('VEH98 Data'!I$3:I$3508)-ROW('VEH98 Data'!I$3)+1),ROWS('VEH98 Data'!I$3:'VEH98 Data'!I174))),"")</f>
        <v/>
      </c>
      <c r="E186" s="652" t="str">
        <f t="array" aca="1" ref="E186" ca="1">IFERROR(INDEX('VEH98 Data'!J$3:J$3508, SMALL(IF('VEH98 Data'!$AG$3:$AG$3508="TRUE", ROW('VEH98 Data'!J$3:J$3508)-ROW('VEH98 Data'!J$3)+1),ROWS('VEH98 Data'!J$3:'VEH98 Data'!J174))),"")</f>
        <v/>
      </c>
      <c r="F186" s="652" t="str">
        <f t="array" aca="1" ref="F186" ca="1">IFERROR(INDEX('VEH98 Data'!K$3:K$3508, SMALL(IF('VEH98 Data'!$AG$3:$AG$3508="TRUE", ROW('VEH98 Data'!K$3:K$3508)-ROW('VEH98 Data'!K$3)+1),ROWS('VEH98 Data'!K$3:'VEH98 Data'!K174))),"")</f>
        <v/>
      </c>
      <c r="G186" s="653" t="str">
        <f t="array" aca="1" ref="G186" ca="1">IFERROR(INDEX('VEH98 Data'!R$3:R$3508, SMALL(IF('VEH98 Data'!$AG$3:$AG$3508="TRUE", ROW('VEH98 Data'!R$3:R$3508)-ROW('VEH98 Data'!R$3)+1),ROWS('VEH98 Data'!R$3:'VEH98 Data'!R174))),"")</f>
        <v/>
      </c>
      <c r="H186" s="653" t="str">
        <f t="array" aca="1" ref="H186" ca="1">IFERROR(INDEX('VEH98 Data'!Y$3:Y$3508, SMALL(IF('VEH98 Data'!$AG$3:$AG$3508="TRUE", ROW('VEH98 Data'!Y$3:Y$3508)-ROW('VEH98 Data'!Y$3)+1),ROWS('VEH98 Data'!Y$3:'VEH98 Data'!Y174))),"")</f>
        <v/>
      </c>
      <c r="I186" s="19"/>
      <c r="J186" s="58" t="str">
        <f t="array" aca="1" ref="J186" ca="1">IFERROR(INDEX('VEH98 Data'!H$3:H$3508, SMALL(IF('VEH98 Data'!$AH$3:$AH$3508="TRUE", ROW('VEH98 Data'!H$3:H$3508)-ROW('VEH98 Data'!H$3)+1),ROWS('VEH98 Data'!H$3:'VEH98 Data'!H480))),"")</f>
        <v/>
      </c>
      <c r="K186" s="58" t="str">
        <f t="array" aca="1" ref="K186" ca="1">IFERROR(INDEX('VEH98 Data'!G$3:G$3508, SMALL(IF('VEH98 Data'!$AH$3:$AH$3508="TRUE", ROW('VEH98 Data'!G$3:G$3508)-ROW('VEH98 Data'!G$3)+1),ROWS('VEH98 Data'!G$3:'VEH98 Data'!G480))),"")</f>
        <v/>
      </c>
      <c r="L186" s="58" t="str">
        <f t="array" aca="1" ref="L186" ca="1">IFERROR(INDEX('VEH98 Data'!I$3:I$3508, SMALL(IF('VEH98 Data'!$AH$3:$AH$3508="TRUE", ROW('VEH98 Data'!I$3:I$3508)-ROW('VEH98 Data'!I$3)+1),ROWS('VEH98 Data'!I$3:'VEH98 Data'!I480))),"")</f>
        <v/>
      </c>
      <c r="M186" s="58" t="str">
        <f t="array" aca="1" ref="M186" ca="1">IFERROR(INDEX('VEH98 Data'!J$3:J$3508, SMALL(IF('VEH98 Data'!$AH$3:$AH$3508="TRUE", ROW('VEH98 Data'!J$3:J$3508)-ROW('VEH98 Data'!J$3)+1),ROWS('VEH98 Data'!J$3:'VEH98 Data'!J480))),"")</f>
        <v/>
      </c>
      <c r="N186" s="58" t="str">
        <f t="array" aca="1" ref="N186" ca="1">IFERROR(INDEX('VEH98 Data'!K$3:K$3508, SMALL(IF('VEH98 Data'!$AH$3:$AH$3508="TRUE", ROW('VEH98 Data'!K$3:K$3508)-ROW('VEH98 Data'!K$3)+1),ROWS('VEH98 Data'!K$3:'VEH98 Data'!K480))),"")</f>
        <v/>
      </c>
      <c r="O186" s="654" t="str">
        <f t="array" aca="1" ref="O186" ca="1">IFERROR(INDEX('VEH98 Data'!R$3:R$3508, SMALL(IF('VEH98 Data'!$AH$3:$AH$3508="TRUE", ROW('VEH98 Data'!R$3:R$3508)-ROW('VEH98 Data'!R$3)+1),ROWS('VEH98 Data'!R$3:'VEH98 Data'!R480))),"")</f>
        <v/>
      </c>
      <c r="P186" s="654" t="str">
        <f t="array" aca="1" ref="P186" ca="1">IFERROR(INDEX('VEH98 Data'!Y$3:Y$3508, SMALL(IF('VEH98 Data'!$AH$3:$AH$3508="TRUE", ROW('VEH98 Data'!Y$3:Y$3508)-ROW('VEH98 Data'!Y$3)+1),ROWS('VEH98 Data'!Y$3:'VEH98 Data'!Y480))),"")</f>
        <v/>
      </c>
    </row>
    <row r="187" spans="1:16">
      <c r="A187" s="99"/>
      <c r="B187" s="58"/>
      <c r="C187" s="58" t="str">
        <f t="array" aca="1" ref="C187" ca="1">IFERROR(INDEX('VEH98 Data'!G$3:G$3508, SMALL(IF('VEH98 Data'!$AG$3:$AG$3508="TRUE", ROW('VEH98 Data'!G$3:G$3508)-ROW('VEH98 Data'!G$3)+1),ROWS('VEH98 Data'!G$3:'VEH98 Data'!G175))),"")</f>
        <v/>
      </c>
      <c r="D187" s="58" t="str">
        <f t="array" aca="1" ref="D187" ca="1">IFERROR(INDEX('VEH98 Data'!I$3:I$3508, SMALL(IF('VEH98 Data'!$AG$3:$AG$3508="TRUE", ROW('VEH98 Data'!I$3:I$3508)-ROW('VEH98 Data'!I$3)+1),ROWS('VEH98 Data'!I$3:'VEH98 Data'!I175))),"")</f>
        <v/>
      </c>
      <c r="E187" s="58" t="str">
        <f t="array" aca="1" ref="E187" ca="1">IFERROR(INDEX('VEH98 Data'!J$3:J$3508, SMALL(IF('VEH98 Data'!$AG$3:$AG$3508="TRUE", ROW('VEH98 Data'!J$3:J$3508)-ROW('VEH98 Data'!J$3)+1),ROWS('VEH98 Data'!J$3:'VEH98 Data'!J175))),"")</f>
        <v/>
      </c>
      <c r="F187" s="58" t="str">
        <f t="array" aca="1" ref="F187" ca="1">IFERROR(INDEX('VEH98 Data'!K$3:K$3508, SMALL(IF('VEH98 Data'!$AG$3:$AG$3508="TRUE", ROW('VEH98 Data'!K$3:K$3508)-ROW('VEH98 Data'!K$3)+1),ROWS('VEH98 Data'!K$3:'VEH98 Data'!K175))),"")</f>
        <v/>
      </c>
      <c r="G187" s="654" t="str">
        <f t="array" aca="1" ref="G187" ca="1">IFERROR(INDEX('VEH98 Data'!R$3:R$3508, SMALL(IF('VEH98 Data'!$AG$3:$AG$3508="TRUE", ROW('VEH98 Data'!R$3:R$3508)-ROW('VEH98 Data'!R$3)+1),ROWS('VEH98 Data'!R$3:'VEH98 Data'!R175))),"")</f>
        <v/>
      </c>
      <c r="H187" s="654" t="str">
        <f t="array" aca="1" ref="H187" ca="1">IFERROR(INDEX('VEH98 Data'!Y$3:Y$3508, SMALL(IF('VEH98 Data'!$AG$3:$AG$3508="TRUE", ROW('VEH98 Data'!Y$3:Y$3508)-ROW('VEH98 Data'!Y$3)+1),ROWS('VEH98 Data'!Y$3:'VEH98 Data'!Y175))),"")</f>
        <v/>
      </c>
      <c r="I187" s="19"/>
      <c r="J187" s="652" t="str">
        <f t="array" aca="1" ref="J187" ca="1">IFERROR(INDEX('VEH98 Data'!H$3:H$3508, SMALL(IF('VEH98 Data'!$AH$3:$AH$3508="TRUE", ROW('VEH98 Data'!H$3:H$3508)-ROW('VEH98 Data'!H$3)+1),ROWS('VEH98 Data'!H$3:'VEH98 Data'!H481))),"")</f>
        <v/>
      </c>
      <c r="K187" s="652" t="str">
        <f t="array" aca="1" ref="K187" ca="1">IFERROR(INDEX('VEH98 Data'!G$3:G$3508, SMALL(IF('VEH98 Data'!$AH$3:$AH$3508="TRUE", ROW('VEH98 Data'!G$3:G$3508)-ROW('VEH98 Data'!G$3)+1),ROWS('VEH98 Data'!G$3:'VEH98 Data'!G481))),"")</f>
        <v/>
      </c>
      <c r="L187" s="652" t="str">
        <f t="array" aca="1" ref="L187" ca="1">IFERROR(INDEX('VEH98 Data'!I$3:I$3508, SMALL(IF('VEH98 Data'!$AH$3:$AH$3508="TRUE", ROW('VEH98 Data'!I$3:I$3508)-ROW('VEH98 Data'!I$3)+1),ROWS('VEH98 Data'!I$3:'VEH98 Data'!I481))),"")</f>
        <v/>
      </c>
      <c r="M187" s="652" t="str">
        <f t="array" aca="1" ref="M187" ca="1">IFERROR(INDEX('VEH98 Data'!J$3:J$3508, SMALL(IF('VEH98 Data'!$AH$3:$AH$3508="TRUE", ROW('VEH98 Data'!J$3:J$3508)-ROW('VEH98 Data'!J$3)+1),ROWS('VEH98 Data'!J$3:'VEH98 Data'!J481))),"")</f>
        <v/>
      </c>
      <c r="N187" s="652" t="str">
        <f t="array" aca="1" ref="N187" ca="1">IFERROR(INDEX('VEH98 Data'!K$3:K$3508, SMALL(IF('VEH98 Data'!$AH$3:$AH$3508="TRUE", ROW('VEH98 Data'!K$3:K$3508)-ROW('VEH98 Data'!K$3)+1),ROWS('VEH98 Data'!K$3:'VEH98 Data'!K481))),"")</f>
        <v/>
      </c>
      <c r="O187" s="653" t="str">
        <f t="array" aca="1" ref="O187" ca="1">IFERROR(INDEX('VEH98 Data'!R$3:R$3508, SMALL(IF('VEH98 Data'!$AH$3:$AH$3508="TRUE", ROW('VEH98 Data'!R$3:R$3508)-ROW('VEH98 Data'!R$3)+1),ROWS('VEH98 Data'!R$3:'VEH98 Data'!R481))),"")</f>
        <v/>
      </c>
      <c r="P187" s="653" t="str">
        <f t="array" aca="1" ref="P187" ca="1">IFERROR(INDEX('VEH98 Data'!Y$3:Y$3508, SMALL(IF('VEH98 Data'!$AH$3:$AH$3508="TRUE", ROW('VEH98 Data'!Y$3:Y$3508)-ROW('VEH98 Data'!Y$3)+1),ROWS('VEH98 Data'!Y$3:'VEH98 Data'!Y481))),"")</f>
        <v/>
      </c>
    </row>
    <row r="188" spans="1:16">
      <c r="A188" s="99"/>
      <c r="B188" s="652"/>
      <c r="C188" s="652" t="str">
        <f t="array" aca="1" ref="C188" ca="1">IFERROR(INDEX('VEH98 Data'!G$3:G$3508, SMALL(IF('VEH98 Data'!$AG$3:$AG$3508="TRUE", ROW('VEH98 Data'!G$3:G$3508)-ROW('VEH98 Data'!G$3)+1),ROWS('VEH98 Data'!G$3:'VEH98 Data'!G176))),"")</f>
        <v/>
      </c>
      <c r="D188" s="652" t="str">
        <f t="array" aca="1" ref="D188" ca="1">IFERROR(INDEX('VEH98 Data'!I$3:I$3508, SMALL(IF('VEH98 Data'!$AG$3:$AG$3508="TRUE", ROW('VEH98 Data'!I$3:I$3508)-ROW('VEH98 Data'!I$3)+1),ROWS('VEH98 Data'!I$3:'VEH98 Data'!I176))),"")</f>
        <v/>
      </c>
      <c r="E188" s="652" t="str">
        <f t="array" aca="1" ref="E188" ca="1">IFERROR(INDEX('VEH98 Data'!J$3:J$3508, SMALL(IF('VEH98 Data'!$AG$3:$AG$3508="TRUE", ROW('VEH98 Data'!J$3:J$3508)-ROW('VEH98 Data'!J$3)+1),ROWS('VEH98 Data'!J$3:'VEH98 Data'!J176))),"")</f>
        <v/>
      </c>
      <c r="F188" s="652" t="str">
        <f t="array" aca="1" ref="F188" ca="1">IFERROR(INDEX('VEH98 Data'!K$3:K$3508, SMALL(IF('VEH98 Data'!$AG$3:$AG$3508="TRUE", ROW('VEH98 Data'!K$3:K$3508)-ROW('VEH98 Data'!K$3)+1),ROWS('VEH98 Data'!K$3:'VEH98 Data'!K176))),"")</f>
        <v/>
      </c>
      <c r="G188" s="653" t="str">
        <f t="array" aca="1" ref="G188" ca="1">IFERROR(INDEX('VEH98 Data'!R$3:R$3508, SMALL(IF('VEH98 Data'!$AG$3:$AG$3508="TRUE", ROW('VEH98 Data'!R$3:R$3508)-ROW('VEH98 Data'!R$3)+1),ROWS('VEH98 Data'!R$3:'VEH98 Data'!R176))),"")</f>
        <v/>
      </c>
      <c r="H188" s="653" t="str">
        <f t="array" aca="1" ref="H188" ca="1">IFERROR(INDEX('VEH98 Data'!Y$3:Y$3508, SMALL(IF('VEH98 Data'!$AG$3:$AG$3508="TRUE", ROW('VEH98 Data'!Y$3:Y$3508)-ROW('VEH98 Data'!Y$3)+1),ROWS('VEH98 Data'!Y$3:'VEH98 Data'!Y176))),"")</f>
        <v/>
      </c>
      <c r="I188" s="19"/>
      <c r="J188" s="58" t="str">
        <f t="array" aca="1" ref="J188" ca="1">IFERROR(INDEX('VEH98 Data'!H$3:H$3508, SMALL(IF('VEH98 Data'!$AH$3:$AH$3508="TRUE", ROW('VEH98 Data'!H$3:H$3508)-ROW('VEH98 Data'!H$3)+1),ROWS('VEH98 Data'!H$3:'VEH98 Data'!H482))),"")</f>
        <v/>
      </c>
      <c r="K188" s="58" t="str">
        <f t="array" aca="1" ref="K188" ca="1">IFERROR(INDEX('VEH98 Data'!G$3:G$3508, SMALL(IF('VEH98 Data'!$AH$3:$AH$3508="TRUE", ROW('VEH98 Data'!G$3:G$3508)-ROW('VEH98 Data'!G$3)+1),ROWS('VEH98 Data'!G$3:'VEH98 Data'!G482))),"")</f>
        <v/>
      </c>
      <c r="L188" s="58" t="str">
        <f t="array" aca="1" ref="L188" ca="1">IFERROR(INDEX('VEH98 Data'!I$3:I$3508, SMALL(IF('VEH98 Data'!$AH$3:$AH$3508="TRUE", ROW('VEH98 Data'!I$3:I$3508)-ROW('VEH98 Data'!I$3)+1),ROWS('VEH98 Data'!I$3:'VEH98 Data'!I482))),"")</f>
        <v/>
      </c>
      <c r="M188" s="58" t="str">
        <f t="array" aca="1" ref="M188" ca="1">IFERROR(INDEX('VEH98 Data'!J$3:J$3508, SMALL(IF('VEH98 Data'!$AH$3:$AH$3508="TRUE", ROW('VEH98 Data'!J$3:J$3508)-ROW('VEH98 Data'!J$3)+1),ROWS('VEH98 Data'!J$3:'VEH98 Data'!J482))),"")</f>
        <v/>
      </c>
      <c r="N188" s="58" t="str">
        <f t="array" aca="1" ref="N188" ca="1">IFERROR(INDEX('VEH98 Data'!K$3:K$3508, SMALL(IF('VEH98 Data'!$AH$3:$AH$3508="TRUE", ROW('VEH98 Data'!K$3:K$3508)-ROW('VEH98 Data'!K$3)+1),ROWS('VEH98 Data'!K$3:'VEH98 Data'!K482))),"")</f>
        <v/>
      </c>
      <c r="O188" s="654" t="str">
        <f t="array" aca="1" ref="O188" ca="1">IFERROR(INDEX('VEH98 Data'!R$3:R$3508, SMALL(IF('VEH98 Data'!$AH$3:$AH$3508="TRUE", ROW('VEH98 Data'!R$3:R$3508)-ROW('VEH98 Data'!R$3)+1),ROWS('VEH98 Data'!R$3:'VEH98 Data'!R482))),"")</f>
        <v/>
      </c>
      <c r="P188" s="654" t="str">
        <f t="array" aca="1" ref="P188" ca="1">IFERROR(INDEX('VEH98 Data'!Y$3:Y$3508, SMALL(IF('VEH98 Data'!$AH$3:$AH$3508="TRUE", ROW('VEH98 Data'!Y$3:Y$3508)-ROW('VEH98 Data'!Y$3)+1),ROWS('VEH98 Data'!Y$3:'VEH98 Data'!Y482))),"")</f>
        <v/>
      </c>
    </row>
    <row r="189" spans="1:16">
      <c r="A189" s="99"/>
      <c r="B189" s="58"/>
      <c r="C189" s="58" t="str">
        <f t="array" aca="1" ref="C189" ca="1">IFERROR(INDEX('VEH98 Data'!G$3:G$3508, SMALL(IF('VEH98 Data'!$AG$3:$AG$3508="TRUE", ROW('VEH98 Data'!G$3:G$3508)-ROW('VEH98 Data'!G$3)+1),ROWS('VEH98 Data'!G$3:'VEH98 Data'!G177))),"")</f>
        <v/>
      </c>
      <c r="D189" s="58" t="str">
        <f t="array" aca="1" ref="D189" ca="1">IFERROR(INDEX('VEH98 Data'!I$3:I$3508, SMALL(IF('VEH98 Data'!$AG$3:$AG$3508="TRUE", ROW('VEH98 Data'!I$3:I$3508)-ROW('VEH98 Data'!I$3)+1),ROWS('VEH98 Data'!I$3:'VEH98 Data'!I177))),"")</f>
        <v/>
      </c>
      <c r="E189" s="58" t="str">
        <f t="array" aca="1" ref="E189" ca="1">IFERROR(INDEX('VEH98 Data'!J$3:J$3508, SMALL(IF('VEH98 Data'!$AG$3:$AG$3508="TRUE", ROW('VEH98 Data'!J$3:J$3508)-ROW('VEH98 Data'!J$3)+1),ROWS('VEH98 Data'!J$3:'VEH98 Data'!J177))),"")</f>
        <v/>
      </c>
      <c r="F189" s="58" t="str">
        <f t="array" aca="1" ref="F189" ca="1">IFERROR(INDEX('VEH98 Data'!K$3:K$3508, SMALL(IF('VEH98 Data'!$AG$3:$AG$3508="TRUE", ROW('VEH98 Data'!K$3:K$3508)-ROW('VEH98 Data'!K$3)+1),ROWS('VEH98 Data'!K$3:'VEH98 Data'!K177))),"")</f>
        <v/>
      </c>
      <c r="G189" s="654" t="str">
        <f t="array" aca="1" ref="G189" ca="1">IFERROR(INDEX('VEH98 Data'!R$3:R$3508, SMALL(IF('VEH98 Data'!$AG$3:$AG$3508="TRUE", ROW('VEH98 Data'!R$3:R$3508)-ROW('VEH98 Data'!R$3)+1),ROWS('VEH98 Data'!R$3:'VEH98 Data'!R177))),"")</f>
        <v/>
      </c>
      <c r="H189" s="654" t="str">
        <f t="array" aca="1" ref="H189" ca="1">IFERROR(INDEX('VEH98 Data'!Y$3:Y$3508, SMALL(IF('VEH98 Data'!$AG$3:$AG$3508="TRUE", ROW('VEH98 Data'!Y$3:Y$3508)-ROW('VEH98 Data'!Y$3)+1),ROWS('VEH98 Data'!Y$3:'VEH98 Data'!Y177))),"")</f>
        <v/>
      </c>
      <c r="I189" s="19"/>
      <c r="J189" s="652" t="str">
        <f t="array" aca="1" ref="J189" ca="1">IFERROR(INDEX('VEH98 Data'!H$3:H$3508, SMALL(IF('VEH98 Data'!$AH$3:$AH$3508="TRUE", ROW('VEH98 Data'!H$3:H$3508)-ROW('VEH98 Data'!H$3)+1),ROWS('VEH98 Data'!H$3:'VEH98 Data'!H483))),"")</f>
        <v/>
      </c>
      <c r="K189" s="652" t="str">
        <f t="array" aca="1" ref="K189" ca="1">IFERROR(INDEX('VEH98 Data'!G$3:G$3508, SMALL(IF('VEH98 Data'!$AH$3:$AH$3508="TRUE", ROW('VEH98 Data'!G$3:G$3508)-ROW('VEH98 Data'!G$3)+1),ROWS('VEH98 Data'!G$3:'VEH98 Data'!G483))),"")</f>
        <v/>
      </c>
      <c r="L189" s="652" t="str">
        <f t="array" aca="1" ref="L189" ca="1">IFERROR(INDEX('VEH98 Data'!I$3:I$3508, SMALL(IF('VEH98 Data'!$AH$3:$AH$3508="TRUE", ROW('VEH98 Data'!I$3:I$3508)-ROW('VEH98 Data'!I$3)+1),ROWS('VEH98 Data'!I$3:'VEH98 Data'!I483))),"")</f>
        <v/>
      </c>
      <c r="M189" s="652" t="str">
        <f t="array" aca="1" ref="M189" ca="1">IFERROR(INDEX('VEH98 Data'!J$3:J$3508, SMALL(IF('VEH98 Data'!$AH$3:$AH$3508="TRUE", ROW('VEH98 Data'!J$3:J$3508)-ROW('VEH98 Data'!J$3)+1),ROWS('VEH98 Data'!J$3:'VEH98 Data'!J483))),"")</f>
        <v/>
      </c>
      <c r="N189" s="652" t="str">
        <f t="array" aca="1" ref="N189" ca="1">IFERROR(INDEX('VEH98 Data'!K$3:K$3508, SMALL(IF('VEH98 Data'!$AH$3:$AH$3508="TRUE", ROW('VEH98 Data'!K$3:K$3508)-ROW('VEH98 Data'!K$3)+1),ROWS('VEH98 Data'!K$3:'VEH98 Data'!K483))),"")</f>
        <v/>
      </c>
      <c r="O189" s="653" t="str">
        <f t="array" aca="1" ref="O189" ca="1">IFERROR(INDEX('VEH98 Data'!R$3:R$3508, SMALL(IF('VEH98 Data'!$AH$3:$AH$3508="TRUE", ROW('VEH98 Data'!R$3:R$3508)-ROW('VEH98 Data'!R$3)+1),ROWS('VEH98 Data'!R$3:'VEH98 Data'!R483))),"")</f>
        <v/>
      </c>
      <c r="P189" s="653" t="str">
        <f t="array" aca="1" ref="P189" ca="1">IFERROR(INDEX('VEH98 Data'!Y$3:Y$3508, SMALL(IF('VEH98 Data'!$AH$3:$AH$3508="TRUE", ROW('VEH98 Data'!Y$3:Y$3508)-ROW('VEH98 Data'!Y$3)+1),ROWS('VEH98 Data'!Y$3:'VEH98 Data'!Y483))),"")</f>
        <v/>
      </c>
    </row>
    <row r="190" spans="1:16">
      <c r="A190" s="99"/>
      <c r="B190" s="652"/>
      <c r="C190" s="652" t="str">
        <f t="array" aca="1" ref="C190" ca="1">IFERROR(INDEX('VEH98 Data'!G$3:G$3508, SMALL(IF('VEH98 Data'!$AG$3:$AG$3508="TRUE", ROW('VEH98 Data'!G$3:G$3508)-ROW('VEH98 Data'!G$3)+1),ROWS('VEH98 Data'!G$3:'VEH98 Data'!G178))),"")</f>
        <v/>
      </c>
      <c r="D190" s="652" t="str">
        <f t="array" aca="1" ref="D190" ca="1">IFERROR(INDEX('VEH98 Data'!I$3:I$3508, SMALL(IF('VEH98 Data'!$AG$3:$AG$3508="TRUE", ROW('VEH98 Data'!I$3:I$3508)-ROW('VEH98 Data'!I$3)+1),ROWS('VEH98 Data'!I$3:'VEH98 Data'!I178))),"")</f>
        <v/>
      </c>
      <c r="E190" s="652" t="str">
        <f t="array" aca="1" ref="E190" ca="1">IFERROR(INDEX('VEH98 Data'!J$3:J$3508, SMALL(IF('VEH98 Data'!$AG$3:$AG$3508="TRUE", ROW('VEH98 Data'!J$3:J$3508)-ROW('VEH98 Data'!J$3)+1),ROWS('VEH98 Data'!J$3:'VEH98 Data'!J178))),"")</f>
        <v/>
      </c>
      <c r="F190" s="652" t="str">
        <f t="array" aca="1" ref="F190" ca="1">IFERROR(INDEX('VEH98 Data'!K$3:K$3508, SMALL(IF('VEH98 Data'!$AG$3:$AG$3508="TRUE", ROW('VEH98 Data'!K$3:K$3508)-ROW('VEH98 Data'!K$3)+1),ROWS('VEH98 Data'!K$3:'VEH98 Data'!K178))),"")</f>
        <v/>
      </c>
      <c r="G190" s="653" t="str">
        <f t="array" aca="1" ref="G190" ca="1">IFERROR(INDEX('VEH98 Data'!R$3:R$3508, SMALL(IF('VEH98 Data'!$AG$3:$AG$3508="TRUE", ROW('VEH98 Data'!R$3:R$3508)-ROW('VEH98 Data'!R$3)+1),ROWS('VEH98 Data'!R$3:'VEH98 Data'!R178))),"")</f>
        <v/>
      </c>
      <c r="H190" s="653" t="str">
        <f t="array" aca="1" ref="H190" ca="1">IFERROR(INDEX('VEH98 Data'!Y$3:Y$3508, SMALL(IF('VEH98 Data'!$AG$3:$AG$3508="TRUE", ROW('VEH98 Data'!Y$3:Y$3508)-ROW('VEH98 Data'!Y$3)+1),ROWS('VEH98 Data'!Y$3:'VEH98 Data'!Y178))),"")</f>
        <v/>
      </c>
      <c r="I190" s="19"/>
      <c r="J190" s="58" t="str">
        <f t="array" aca="1" ref="J190" ca="1">IFERROR(INDEX('VEH98 Data'!H$3:H$3508, SMALL(IF('VEH98 Data'!$AH$3:$AH$3508="TRUE", ROW('VEH98 Data'!H$3:H$3508)-ROW('VEH98 Data'!H$3)+1),ROWS('VEH98 Data'!H$3:'VEH98 Data'!H484))),"")</f>
        <v/>
      </c>
      <c r="K190" s="58" t="str">
        <f t="array" aca="1" ref="K190" ca="1">IFERROR(INDEX('VEH98 Data'!G$3:G$3508, SMALL(IF('VEH98 Data'!$AH$3:$AH$3508="TRUE", ROW('VEH98 Data'!G$3:G$3508)-ROW('VEH98 Data'!G$3)+1),ROWS('VEH98 Data'!G$3:'VEH98 Data'!G484))),"")</f>
        <v/>
      </c>
      <c r="L190" s="58" t="str">
        <f t="array" aca="1" ref="L190" ca="1">IFERROR(INDEX('VEH98 Data'!I$3:I$3508, SMALL(IF('VEH98 Data'!$AH$3:$AH$3508="TRUE", ROW('VEH98 Data'!I$3:I$3508)-ROW('VEH98 Data'!I$3)+1),ROWS('VEH98 Data'!I$3:'VEH98 Data'!I484))),"")</f>
        <v/>
      </c>
      <c r="M190" s="58" t="str">
        <f t="array" aca="1" ref="M190" ca="1">IFERROR(INDEX('VEH98 Data'!J$3:J$3508, SMALL(IF('VEH98 Data'!$AH$3:$AH$3508="TRUE", ROW('VEH98 Data'!J$3:J$3508)-ROW('VEH98 Data'!J$3)+1),ROWS('VEH98 Data'!J$3:'VEH98 Data'!J484))),"")</f>
        <v/>
      </c>
      <c r="N190" s="58" t="str">
        <f t="array" aca="1" ref="N190" ca="1">IFERROR(INDEX('VEH98 Data'!K$3:K$3508, SMALL(IF('VEH98 Data'!$AH$3:$AH$3508="TRUE", ROW('VEH98 Data'!K$3:K$3508)-ROW('VEH98 Data'!K$3)+1),ROWS('VEH98 Data'!K$3:'VEH98 Data'!K484))),"")</f>
        <v/>
      </c>
      <c r="O190" s="654" t="str">
        <f t="array" aca="1" ref="O190" ca="1">IFERROR(INDEX('VEH98 Data'!R$3:R$3508, SMALL(IF('VEH98 Data'!$AH$3:$AH$3508="TRUE", ROW('VEH98 Data'!R$3:R$3508)-ROW('VEH98 Data'!R$3)+1),ROWS('VEH98 Data'!R$3:'VEH98 Data'!R484))),"")</f>
        <v/>
      </c>
      <c r="P190" s="654" t="str">
        <f t="array" aca="1" ref="P190" ca="1">IFERROR(INDEX('VEH98 Data'!Y$3:Y$3508, SMALL(IF('VEH98 Data'!$AH$3:$AH$3508="TRUE", ROW('VEH98 Data'!Y$3:Y$3508)-ROW('VEH98 Data'!Y$3)+1),ROWS('VEH98 Data'!Y$3:'VEH98 Data'!Y484))),"")</f>
        <v/>
      </c>
    </row>
    <row r="191" spans="1:16">
      <c r="A191" s="99"/>
      <c r="B191" s="58"/>
      <c r="C191" s="58" t="str">
        <f t="array" aca="1" ref="C191" ca="1">IFERROR(INDEX('VEH98 Data'!G$3:G$3508, SMALL(IF('VEH98 Data'!$AG$3:$AG$3508="TRUE", ROW('VEH98 Data'!G$3:G$3508)-ROW('VEH98 Data'!G$3)+1),ROWS('VEH98 Data'!G$3:'VEH98 Data'!G179))),"")</f>
        <v/>
      </c>
      <c r="D191" s="58" t="str">
        <f t="array" aca="1" ref="D191" ca="1">IFERROR(INDEX('VEH98 Data'!I$3:I$3508, SMALL(IF('VEH98 Data'!$AG$3:$AG$3508="TRUE", ROW('VEH98 Data'!I$3:I$3508)-ROW('VEH98 Data'!I$3)+1),ROWS('VEH98 Data'!I$3:'VEH98 Data'!I179))),"")</f>
        <v/>
      </c>
      <c r="E191" s="58" t="str">
        <f t="array" aca="1" ref="E191" ca="1">IFERROR(INDEX('VEH98 Data'!J$3:J$3508, SMALL(IF('VEH98 Data'!$AG$3:$AG$3508="TRUE", ROW('VEH98 Data'!J$3:J$3508)-ROW('VEH98 Data'!J$3)+1),ROWS('VEH98 Data'!J$3:'VEH98 Data'!J179))),"")</f>
        <v/>
      </c>
      <c r="F191" s="58" t="str">
        <f t="array" aca="1" ref="F191" ca="1">IFERROR(INDEX('VEH98 Data'!K$3:K$3508, SMALL(IF('VEH98 Data'!$AG$3:$AG$3508="TRUE", ROW('VEH98 Data'!K$3:K$3508)-ROW('VEH98 Data'!K$3)+1),ROWS('VEH98 Data'!K$3:'VEH98 Data'!K179))),"")</f>
        <v/>
      </c>
      <c r="G191" s="654" t="str">
        <f t="array" aca="1" ref="G191" ca="1">IFERROR(INDEX('VEH98 Data'!R$3:R$3508, SMALL(IF('VEH98 Data'!$AG$3:$AG$3508="TRUE", ROW('VEH98 Data'!R$3:R$3508)-ROW('VEH98 Data'!R$3)+1),ROWS('VEH98 Data'!R$3:'VEH98 Data'!R179))),"")</f>
        <v/>
      </c>
      <c r="H191" s="654" t="str">
        <f t="array" aca="1" ref="H191" ca="1">IFERROR(INDEX('VEH98 Data'!Y$3:Y$3508, SMALL(IF('VEH98 Data'!$AG$3:$AG$3508="TRUE", ROW('VEH98 Data'!Y$3:Y$3508)-ROW('VEH98 Data'!Y$3)+1),ROWS('VEH98 Data'!Y$3:'VEH98 Data'!Y179))),"")</f>
        <v/>
      </c>
      <c r="I191" s="19"/>
      <c r="J191" s="652" t="str">
        <f t="array" aca="1" ref="J191" ca="1">IFERROR(INDEX('VEH98 Data'!H$3:H$3508, SMALL(IF('VEH98 Data'!$AH$3:$AH$3508="TRUE", ROW('VEH98 Data'!H$3:H$3508)-ROW('VEH98 Data'!H$3)+1),ROWS('VEH98 Data'!H$3:'VEH98 Data'!H485))),"")</f>
        <v/>
      </c>
      <c r="K191" s="652" t="str">
        <f t="array" aca="1" ref="K191" ca="1">IFERROR(INDEX('VEH98 Data'!G$3:G$3508, SMALL(IF('VEH98 Data'!$AH$3:$AH$3508="TRUE", ROW('VEH98 Data'!G$3:G$3508)-ROW('VEH98 Data'!G$3)+1),ROWS('VEH98 Data'!G$3:'VEH98 Data'!G485))),"")</f>
        <v/>
      </c>
      <c r="L191" s="652" t="str">
        <f t="array" aca="1" ref="L191" ca="1">IFERROR(INDEX('VEH98 Data'!I$3:I$3508, SMALL(IF('VEH98 Data'!$AH$3:$AH$3508="TRUE", ROW('VEH98 Data'!I$3:I$3508)-ROW('VEH98 Data'!I$3)+1),ROWS('VEH98 Data'!I$3:'VEH98 Data'!I485))),"")</f>
        <v/>
      </c>
      <c r="M191" s="652" t="str">
        <f t="array" aca="1" ref="M191" ca="1">IFERROR(INDEX('VEH98 Data'!J$3:J$3508, SMALL(IF('VEH98 Data'!$AH$3:$AH$3508="TRUE", ROW('VEH98 Data'!J$3:J$3508)-ROW('VEH98 Data'!J$3)+1),ROWS('VEH98 Data'!J$3:'VEH98 Data'!J485))),"")</f>
        <v/>
      </c>
      <c r="N191" s="652" t="str">
        <f t="array" aca="1" ref="N191" ca="1">IFERROR(INDEX('VEH98 Data'!K$3:K$3508, SMALL(IF('VEH98 Data'!$AH$3:$AH$3508="TRUE", ROW('VEH98 Data'!K$3:K$3508)-ROW('VEH98 Data'!K$3)+1),ROWS('VEH98 Data'!K$3:'VEH98 Data'!K485))),"")</f>
        <v/>
      </c>
      <c r="O191" s="653" t="str">
        <f t="array" aca="1" ref="O191" ca="1">IFERROR(INDEX('VEH98 Data'!R$3:R$3508, SMALL(IF('VEH98 Data'!$AH$3:$AH$3508="TRUE", ROW('VEH98 Data'!R$3:R$3508)-ROW('VEH98 Data'!R$3)+1),ROWS('VEH98 Data'!R$3:'VEH98 Data'!R485))),"")</f>
        <v/>
      </c>
      <c r="P191" s="653" t="str">
        <f t="array" aca="1" ref="P191" ca="1">IFERROR(INDEX('VEH98 Data'!Y$3:Y$3508, SMALL(IF('VEH98 Data'!$AH$3:$AH$3508="TRUE", ROW('VEH98 Data'!Y$3:Y$3508)-ROW('VEH98 Data'!Y$3)+1),ROWS('VEH98 Data'!Y$3:'VEH98 Data'!Y485))),"")</f>
        <v/>
      </c>
    </row>
    <row r="192" spans="1:16">
      <c r="A192" s="99"/>
      <c r="B192" s="652"/>
      <c r="C192" s="652" t="str">
        <f t="array" aca="1" ref="C192" ca="1">IFERROR(INDEX('VEH98 Data'!G$3:G$3508, SMALL(IF('VEH98 Data'!$AG$3:$AG$3508="TRUE", ROW('VEH98 Data'!G$3:G$3508)-ROW('VEH98 Data'!G$3)+1),ROWS('VEH98 Data'!G$3:'VEH98 Data'!G180))),"")</f>
        <v/>
      </c>
      <c r="D192" s="652" t="str">
        <f t="array" aca="1" ref="D192" ca="1">IFERROR(INDEX('VEH98 Data'!I$3:I$3508, SMALL(IF('VEH98 Data'!$AG$3:$AG$3508="TRUE", ROW('VEH98 Data'!I$3:I$3508)-ROW('VEH98 Data'!I$3)+1),ROWS('VEH98 Data'!I$3:'VEH98 Data'!I180))),"")</f>
        <v/>
      </c>
      <c r="E192" s="652" t="str">
        <f t="array" aca="1" ref="E192" ca="1">IFERROR(INDEX('VEH98 Data'!J$3:J$3508, SMALL(IF('VEH98 Data'!$AG$3:$AG$3508="TRUE", ROW('VEH98 Data'!J$3:J$3508)-ROW('VEH98 Data'!J$3)+1),ROWS('VEH98 Data'!J$3:'VEH98 Data'!J180))),"")</f>
        <v/>
      </c>
      <c r="F192" s="652" t="str">
        <f t="array" aca="1" ref="F192" ca="1">IFERROR(INDEX('VEH98 Data'!K$3:K$3508, SMALL(IF('VEH98 Data'!$AG$3:$AG$3508="TRUE", ROW('VEH98 Data'!K$3:K$3508)-ROW('VEH98 Data'!K$3)+1),ROWS('VEH98 Data'!K$3:'VEH98 Data'!K180))),"")</f>
        <v/>
      </c>
      <c r="G192" s="653" t="str">
        <f t="array" aca="1" ref="G192" ca="1">IFERROR(INDEX('VEH98 Data'!R$3:R$3508, SMALL(IF('VEH98 Data'!$AG$3:$AG$3508="TRUE", ROW('VEH98 Data'!R$3:R$3508)-ROW('VEH98 Data'!R$3)+1),ROWS('VEH98 Data'!R$3:'VEH98 Data'!R180))),"")</f>
        <v/>
      </c>
      <c r="H192" s="653" t="str">
        <f t="array" aca="1" ref="H192" ca="1">IFERROR(INDEX('VEH98 Data'!Y$3:Y$3508, SMALL(IF('VEH98 Data'!$AG$3:$AG$3508="TRUE", ROW('VEH98 Data'!Y$3:Y$3508)-ROW('VEH98 Data'!Y$3)+1),ROWS('VEH98 Data'!Y$3:'VEH98 Data'!Y180))),"")</f>
        <v/>
      </c>
      <c r="I192" s="19"/>
      <c r="J192" s="58" t="str">
        <f t="array" aca="1" ref="J192" ca="1">IFERROR(INDEX('VEH98 Data'!H$3:H$3508, SMALL(IF('VEH98 Data'!$AH$3:$AH$3508="TRUE", ROW('VEH98 Data'!H$3:H$3508)-ROW('VEH98 Data'!H$3)+1),ROWS('VEH98 Data'!H$3:'VEH98 Data'!H486))),"")</f>
        <v/>
      </c>
      <c r="K192" s="58" t="str">
        <f t="array" aca="1" ref="K192" ca="1">IFERROR(INDEX('VEH98 Data'!G$3:G$3508, SMALL(IF('VEH98 Data'!$AH$3:$AH$3508="TRUE", ROW('VEH98 Data'!G$3:G$3508)-ROW('VEH98 Data'!G$3)+1),ROWS('VEH98 Data'!G$3:'VEH98 Data'!G486))),"")</f>
        <v/>
      </c>
      <c r="L192" s="58" t="str">
        <f t="array" aca="1" ref="L192" ca="1">IFERROR(INDEX('VEH98 Data'!I$3:I$3508, SMALL(IF('VEH98 Data'!$AH$3:$AH$3508="TRUE", ROW('VEH98 Data'!I$3:I$3508)-ROW('VEH98 Data'!I$3)+1),ROWS('VEH98 Data'!I$3:'VEH98 Data'!I486))),"")</f>
        <v/>
      </c>
      <c r="M192" s="58" t="str">
        <f t="array" aca="1" ref="M192" ca="1">IFERROR(INDEX('VEH98 Data'!J$3:J$3508, SMALL(IF('VEH98 Data'!$AH$3:$AH$3508="TRUE", ROW('VEH98 Data'!J$3:J$3508)-ROW('VEH98 Data'!J$3)+1),ROWS('VEH98 Data'!J$3:'VEH98 Data'!J486))),"")</f>
        <v/>
      </c>
      <c r="N192" s="58" t="str">
        <f t="array" aca="1" ref="N192" ca="1">IFERROR(INDEX('VEH98 Data'!K$3:K$3508, SMALL(IF('VEH98 Data'!$AH$3:$AH$3508="TRUE", ROW('VEH98 Data'!K$3:K$3508)-ROW('VEH98 Data'!K$3)+1),ROWS('VEH98 Data'!K$3:'VEH98 Data'!K486))),"")</f>
        <v/>
      </c>
      <c r="O192" s="654" t="str">
        <f t="array" aca="1" ref="O192" ca="1">IFERROR(INDEX('VEH98 Data'!R$3:R$3508, SMALL(IF('VEH98 Data'!$AH$3:$AH$3508="TRUE", ROW('VEH98 Data'!R$3:R$3508)-ROW('VEH98 Data'!R$3)+1),ROWS('VEH98 Data'!R$3:'VEH98 Data'!R486))),"")</f>
        <v/>
      </c>
      <c r="P192" s="654" t="str">
        <f t="array" aca="1" ref="P192" ca="1">IFERROR(INDEX('VEH98 Data'!Y$3:Y$3508, SMALL(IF('VEH98 Data'!$AH$3:$AH$3508="TRUE", ROW('VEH98 Data'!Y$3:Y$3508)-ROW('VEH98 Data'!Y$3)+1),ROWS('VEH98 Data'!Y$3:'VEH98 Data'!Y486))),"")</f>
        <v/>
      </c>
    </row>
    <row r="193" spans="1:16">
      <c r="A193" s="99"/>
      <c r="B193" s="58"/>
      <c r="C193" s="58" t="str">
        <f t="array" aca="1" ref="C193" ca="1">IFERROR(INDEX('VEH98 Data'!G$3:G$3508, SMALL(IF('VEH98 Data'!$AG$3:$AG$3508="TRUE", ROW('VEH98 Data'!G$3:G$3508)-ROW('VEH98 Data'!G$3)+1),ROWS('VEH98 Data'!G$3:'VEH98 Data'!G181))),"")</f>
        <v/>
      </c>
      <c r="D193" s="58" t="str">
        <f t="array" aca="1" ref="D193" ca="1">IFERROR(INDEX('VEH98 Data'!I$3:I$3508, SMALL(IF('VEH98 Data'!$AG$3:$AG$3508="TRUE", ROW('VEH98 Data'!I$3:I$3508)-ROW('VEH98 Data'!I$3)+1),ROWS('VEH98 Data'!I$3:'VEH98 Data'!I181))),"")</f>
        <v/>
      </c>
      <c r="E193" s="58" t="str">
        <f t="array" aca="1" ref="E193" ca="1">IFERROR(INDEX('VEH98 Data'!J$3:J$3508, SMALL(IF('VEH98 Data'!$AG$3:$AG$3508="TRUE", ROW('VEH98 Data'!J$3:J$3508)-ROW('VEH98 Data'!J$3)+1),ROWS('VEH98 Data'!J$3:'VEH98 Data'!J181))),"")</f>
        <v/>
      </c>
      <c r="F193" s="58" t="str">
        <f t="array" aca="1" ref="F193" ca="1">IFERROR(INDEX('VEH98 Data'!K$3:K$3508, SMALL(IF('VEH98 Data'!$AG$3:$AG$3508="TRUE", ROW('VEH98 Data'!K$3:K$3508)-ROW('VEH98 Data'!K$3)+1),ROWS('VEH98 Data'!K$3:'VEH98 Data'!K181))),"")</f>
        <v/>
      </c>
      <c r="G193" s="654" t="str">
        <f t="array" aca="1" ref="G193" ca="1">IFERROR(INDEX('VEH98 Data'!R$3:R$3508, SMALL(IF('VEH98 Data'!$AG$3:$AG$3508="TRUE", ROW('VEH98 Data'!R$3:R$3508)-ROW('VEH98 Data'!R$3)+1),ROWS('VEH98 Data'!R$3:'VEH98 Data'!R181))),"")</f>
        <v/>
      </c>
      <c r="H193" s="654" t="str">
        <f t="array" aca="1" ref="H193" ca="1">IFERROR(INDEX('VEH98 Data'!Y$3:Y$3508, SMALL(IF('VEH98 Data'!$AG$3:$AG$3508="TRUE", ROW('VEH98 Data'!Y$3:Y$3508)-ROW('VEH98 Data'!Y$3)+1),ROWS('VEH98 Data'!Y$3:'VEH98 Data'!Y181))),"")</f>
        <v/>
      </c>
      <c r="I193" s="19"/>
      <c r="J193" s="652" t="str">
        <f t="array" aca="1" ref="J193" ca="1">IFERROR(INDEX('VEH98 Data'!H$3:H$3508, SMALL(IF('VEH98 Data'!$AH$3:$AH$3508="TRUE", ROW('VEH98 Data'!H$3:H$3508)-ROW('VEH98 Data'!H$3)+1),ROWS('VEH98 Data'!H$3:'VEH98 Data'!H487))),"")</f>
        <v/>
      </c>
      <c r="K193" s="652" t="str">
        <f t="array" aca="1" ref="K193" ca="1">IFERROR(INDEX('VEH98 Data'!G$3:G$3508, SMALL(IF('VEH98 Data'!$AH$3:$AH$3508="TRUE", ROW('VEH98 Data'!G$3:G$3508)-ROW('VEH98 Data'!G$3)+1),ROWS('VEH98 Data'!G$3:'VEH98 Data'!G487))),"")</f>
        <v/>
      </c>
      <c r="L193" s="652" t="str">
        <f t="array" aca="1" ref="L193" ca="1">IFERROR(INDEX('VEH98 Data'!I$3:I$3508, SMALL(IF('VEH98 Data'!$AH$3:$AH$3508="TRUE", ROW('VEH98 Data'!I$3:I$3508)-ROW('VEH98 Data'!I$3)+1),ROWS('VEH98 Data'!I$3:'VEH98 Data'!I487))),"")</f>
        <v/>
      </c>
      <c r="M193" s="652" t="str">
        <f t="array" aca="1" ref="M193" ca="1">IFERROR(INDEX('VEH98 Data'!J$3:J$3508, SMALL(IF('VEH98 Data'!$AH$3:$AH$3508="TRUE", ROW('VEH98 Data'!J$3:J$3508)-ROW('VEH98 Data'!J$3)+1),ROWS('VEH98 Data'!J$3:'VEH98 Data'!J487))),"")</f>
        <v/>
      </c>
      <c r="N193" s="652" t="str">
        <f t="array" aca="1" ref="N193" ca="1">IFERROR(INDEX('VEH98 Data'!K$3:K$3508, SMALL(IF('VEH98 Data'!$AH$3:$AH$3508="TRUE", ROW('VEH98 Data'!K$3:K$3508)-ROW('VEH98 Data'!K$3)+1),ROWS('VEH98 Data'!K$3:'VEH98 Data'!K487))),"")</f>
        <v/>
      </c>
      <c r="O193" s="653" t="str">
        <f t="array" aca="1" ref="O193" ca="1">IFERROR(INDEX('VEH98 Data'!R$3:R$3508, SMALL(IF('VEH98 Data'!$AH$3:$AH$3508="TRUE", ROW('VEH98 Data'!R$3:R$3508)-ROW('VEH98 Data'!R$3)+1),ROWS('VEH98 Data'!R$3:'VEH98 Data'!R487))),"")</f>
        <v/>
      </c>
      <c r="P193" s="653" t="str">
        <f t="array" aca="1" ref="P193" ca="1">IFERROR(INDEX('VEH98 Data'!Y$3:Y$3508, SMALL(IF('VEH98 Data'!$AH$3:$AH$3508="TRUE", ROW('VEH98 Data'!Y$3:Y$3508)-ROW('VEH98 Data'!Y$3)+1),ROWS('VEH98 Data'!Y$3:'VEH98 Data'!Y487))),"")</f>
        <v/>
      </c>
    </row>
    <row r="194" spans="1:16">
      <c r="A194" s="99"/>
      <c r="B194" s="652"/>
      <c r="C194" s="652" t="str">
        <f t="array" aca="1" ref="C194" ca="1">IFERROR(INDEX('VEH98 Data'!G$3:G$3508, SMALL(IF('VEH98 Data'!$AG$3:$AG$3508="TRUE", ROW('VEH98 Data'!G$3:G$3508)-ROW('VEH98 Data'!G$3)+1),ROWS('VEH98 Data'!G$3:'VEH98 Data'!G182))),"")</f>
        <v/>
      </c>
      <c r="D194" s="652" t="str">
        <f t="array" aca="1" ref="D194" ca="1">IFERROR(INDEX('VEH98 Data'!I$3:I$3508, SMALL(IF('VEH98 Data'!$AG$3:$AG$3508="TRUE", ROW('VEH98 Data'!I$3:I$3508)-ROW('VEH98 Data'!I$3)+1),ROWS('VEH98 Data'!I$3:'VEH98 Data'!I182))),"")</f>
        <v/>
      </c>
      <c r="E194" s="652" t="str">
        <f t="array" aca="1" ref="E194" ca="1">IFERROR(INDEX('VEH98 Data'!J$3:J$3508, SMALL(IF('VEH98 Data'!$AG$3:$AG$3508="TRUE", ROW('VEH98 Data'!J$3:J$3508)-ROW('VEH98 Data'!J$3)+1),ROWS('VEH98 Data'!J$3:'VEH98 Data'!J182))),"")</f>
        <v/>
      </c>
      <c r="F194" s="652" t="str">
        <f t="array" aca="1" ref="F194" ca="1">IFERROR(INDEX('VEH98 Data'!K$3:K$3508, SMALL(IF('VEH98 Data'!$AG$3:$AG$3508="TRUE", ROW('VEH98 Data'!K$3:K$3508)-ROW('VEH98 Data'!K$3)+1),ROWS('VEH98 Data'!K$3:'VEH98 Data'!K182))),"")</f>
        <v/>
      </c>
      <c r="G194" s="653" t="str">
        <f t="array" aca="1" ref="G194" ca="1">IFERROR(INDEX('VEH98 Data'!R$3:R$3508, SMALL(IF('VEH98 Data'!$AG$3:$AG$3508="TRUE", ROW('VEH98 Data'!R$3:R$3508)-ROW('VEH98 Data'!R$3)+1),ROWS('VEH98 Data'!R$3:'VEH98 Data'!R182))),"")</f>
        <v/>
      </c>
      <c r="H194" s="653" t="str">
        <f t="array" aca="1" ref="H194" ca="1">IFERROR(INDEX('VEH98 Data'!Y$3:Y$3508, SMALL(IF('VEH98 Data'!$AG$3:$AG$3508="TRUE", ROW('VEH98 Data'!Y$3:Y$3508)-ROW('VEH98 Data'!Y$3)+1),ROWS('VEH98 Data'!Y$3:'VEH98 Data'!Y182))),"")</f>
        <v/>
      </c>
      <c r="I194" s="19"/>
      <c r="J194" s="58" t="str">
        <f t="array" aca="1" ref="J194" ca="1">IFERROR(INDEX('VEH98 Data'!H$3:H$3508, SMALL(IF('VEH98 Data'!$AH$3:$AH$3508="TRUE", ROW('VEH98 Data'!H$3:H$3508)-ROW('VEH98 Data'!H$3)+1),ROWS('VEH98 Data'!H$3:'VEH98 Data'!H488))),"")</f>
        <v/>
      </c>
      <c r="K194" s="58" t="str">
        <f t="array" aca="1" ref="K194" ca="1">IFERROR(INDEX('VEH98 Data'!G$3:G$3508, SMALL(IF('VEH98 Data'!$AH$3:$AH$3508="TRUE", ROW('VEH98 Data'!G$3:G$3508)-ROW('VEH98 Data'!G$3)+1),ROWS('VEH98 Data'!G$3:'VEH98 Data'!G488))),"")</f>
        <v/>
      </c>
      <c r="L194" s="58" t="str">
        <f t="array" aca="1" ref="L194" ca="1">IFERROR(INDEX('VEH98 Data'!I$3:I$3508, SMALL(IF('VEH98 Data'!$AH$3:$AH$3508="TRUE", ROW('VEH98 Data'!I$3:I$3508)-ROW('VEH98 Data'!I$3)+1),ROWS('VEH98 Data'!I$3:'VEH98 Data'!I488))),"")</f>
        <v/>
      </c>
      <c r="M194" s="58" t="str">
        <f t="array" aca="1" ref="M194" ca="1">IFERROR(INDEX('VEH98 Data'!J$3:J$3508, SMALL(IF('VEH98 Data'!$AH$3:$AH$3508="TRUE", ROW('VEH98 Data'!J$3:J$3508)-ROW('VEH98 Data'!J$3)+1),ROWS('VEH98 Data'!J$3:'VEH98 Data'!J488))),"")</f>
        <v/>
      </c>
      <c r="N194" s="58" t="str">
        <f t="array" aca="1" ref="N194" ca="1">IFERROR(INDEX('VEH98 Data'!K$3:K$3508, SMALL(IF('VEH98 Data'!$AH$3:$AH$3508="TRUE", ROW('VEH98 Data'!K$3:K$3508)-ROW('VEH98 Data'!K$3)+1),ROWS('VEH98 Data'!K$3:'VEH98 Data'!K488))),"")</f>
        <v/>
      </c>
      <c r="O194" s="654" t="str">
        <f t="array" aca="1" ref="O194" ca="1">IFERROR(INDEX('VEH98 Data'!R$3:R$3508, SMALL(IF('VEH98 Data'!$AH$3:$AH$3508="TRUE", ROW('VEH98 Data'!R$3:R$3508)-ROW('VEH98 Data'!R$3)+1),ROWS('VEH98 Data'!R$3:'VEH98 Data'!R488))),"")</f>
        <v/>
      </c>
      <c r="P194" s="654" t="str">
        <f t="array" aca="1" ref="P194" ca="1">IFERROR(INDEX('VEH98 Data'!Y$3:Y$3508, SMALL(IF('VEH98 Data'!$AH$3:$AH$3508="TRUE", ROW('VEH98 Data'!Y$3:Y$3508)-ROW('VEH98 Data'!Y$3)+1),ROWS('VEH98 Data'!Y$3:'VEH98 Data'!Y488))),"")</f>
        <v/>
      </c>
    </row>
    <row r="195" spans="1:16">
      <c r="A195" s="99"/>
      <c r="B195" s="58"/>
      <c r="C195" s="58" t="str">
        <f t="array" aca="1" ref="C195" ca="1">IFERROR(INDEX('VEH98 Data'!G$3:G$3508, SMALL(IF('VEH98 Data'!$AG$3:$AG$3508="TRUE", ROW('VEH98 Data'!G$3:G$3508)-ROW('VEH98 Data'!G$3)+1),ROWS('VEH98 Data'!G$3:'VEH98 Data'!G183))),"")</f>
        <v/>
      </c>
      <c r="D195" s="58" t="str">
        <f t="array" aca="1" ref="D195" ca="1">IFERROR(INDEX('VEH98 Data'!I$3:I$3508, SMALL(IF('VEH98 Data'!$AG$3:$AG$3508="TRUE", ROW('VEH98 Data'!I$3:I$3508)-ROW('VEH98 Data'!I$3)+1),ROWS('VEH98 Data'!I$3:'VEH98 Data'!I183))),"")</f>
        <v/>
      </c>
      <c r="E195" s="58" t="str">
        <f t="array" aca="1" ref="E195" ca="1">IFERROR(INDEX('VEH98 Data'!J$3:J$3508, SMALL(IF('VEH98 Data'!$AG$3:$AG$3508="TRUE", ROW('VEH98 Data'!J$3:J$3508)-ROW('VEH98 Data'!J$3)+1),ROWS('VEH98 Data'!J$3:'VEH98 Data'!J183))),"")</f>
        <v/>
      </c>
      <c r="F195" s="58" t="str">
        <f t="array" aca="1" ref="F195" ca="1">IFERROR(INDEX('VEH98 Data'!K$3:K$3508, SMALL(IF('VEH98 Data'!$AG$3:$AG$3508="TRUE", ROW('VEH98 Data'!K$3:K$3508)-ROW('VEH98 Data'!K$3)+1),ROWS('VEH98 Data'!K$3:'VEH98 Data'!K183))),"")</f>
        <v/>
      </c>
      <c r="G195" s="654" t="str">
        <f t="array" aca="1" ref="G195" ca="1">IFERROR(INDEX('VEH98 Data'!R$3:R$3508, SMALL(IF('VEH98 Data'!$AG$3:$AG$3508="TRUE", ROW('VEH98 Data'!R$3:R$3508)-ROW('VEH98 Data'!R$3)+1),ROWS('VEH98 Data'!R$3:'VEH98 Data'!R183))),"")</f>
        <v/>
      </c>
      <c r="H195" s="654" t="str">
        <f t="array" aca="1" ref="H195" ca="1">IFERROR(INDEX('VEH98 Data'!Y$3:Y$3508, SMALL(IF('VEH98 Data'!$AG$3:$AG$3508="TRUE", ROW('VEH98 Data'!Y$3:Y$3508)-ROW('VEH98 Data'!Y$3)+1),ROWS('VEH98 Data'!Y$3:'VEH98 Data'!Y183))),"")</f>
        <v/>
      </c>
      <c r="I195" s="19"/>
      <c r="J195" s="652" t="str">
        <f t="array" aca="1" ref="J195" ca="1">IFERROR(INDEX('VEH98 Data'!H$3:H$3508, SMALL(IF('VEH98 Data'!$AH$3:$AH$3508="TRUE", ROW('VEH98 Data'!H$3:H$3508)-ROW('VEH98 Data'!H$3)+1),ROWS('VEH98 Data'!H$3:'VEH98 Data'!H489))),"")</f>
        <v/>
      </c>
      <c r="K195" s="652" t="str">
        <f t="array" aca="1" ref="K195" ca="1">IFERROR(INDEX('VEH98 Data'!G$3:G$3508, SMALL(IF('VEH98 Data'!$AH$3:$AH$3508="TRUE", ROW('VEH98 Data'!G$3:G$3508)-ROW('VEH98 Data'!G$3)+1),ROWS('VEH98 Data'!G$3:'VEH98 Data'!G489))),"")</f>
        <v/>
      </c>
      <c r="L195" s="652" t="str">
        <f t="array" aca="1" ref="L195" ca="1">IFERROR(INDEX('VEH98 Data'!I$3:I$3508, SMALL(IF('VEH98 Data'!$AH$3:$AH$3508="TRUE", ROW('VEH98 Data'!I$3:I$3508)-ROW('VEH98 Data'!I$3)+1),ROWS('VEH98 Data'!I$3:'VEH98 Data'!I489))),"")</f>
        <v/>
      </c>
      <c r="M195" s="652" t="str">
        <f t="array" aca="1" ref="M195" ca="1">IFERROR(INDEX('VEH98 Data'!J$3:J$3508, SMALL(IF('VEH98 Data'!$AH$3:$AH$3508="TRUE", ROW('VEH98 Data'!J$3:J$3508)-ROW('VEH98 Data'!J$3)+1),ROWS('VEH98 Data'!J$3:'VEH98 Data'!J489))),"")</f>
        <v/>
      </c>
      <c r="N195" s="652" t="str">
        <f t="array" aca="1" ref="N195" ca="1">IFERROR(INDEX('VEH98 Data'!K$3:K$3508, SMALL(IF('VEH98 Data'!$AH$3:$AH$3508="TRUE", ROW('VEH98 Data'!K$3:K$3508)-ROW('VEH98 Data'!K$3)+1),ROWS('VEH98 Data'!K$3:'VEH98 Data'!K489))),"")</f>
        <v/>
      </c>
      <c r="O195" s="653" t="str">
        <f t="array" aca="1" ref="O195" ca="1">IFERROR(INDEX('VEH98 Data'!R$3:R$3508, SMALL(IF('VEH98 Data'!$AH$3:$AH$3508="TRUE", ROW('VEH98 Data'!R$3:R$3508)-ROW('VEH98 Data'!R$3)+1),ROWS('VEH98 Data'!R$3:'VEH98 Data'!R489))),"")</f>
        <v/>
      </c>
      <c r="P195" s="653" t="str">
        <f t="array" aca="1" ref="P195" ca="1">IFERROR(INDEX('VEH98 Data'!Y$3:Y$3508, SMALL(IF('VEH98 Data'!$AH$3:$AH$3508="TRUE", ROW('VEH98 Data'!Y$3:Y$3508)-ROW('VEH98 Data'!Y$3)+1),ROWS('VEH98 Data'!Y$3:'VEH98 Data'!Y489))),"")</f>
        <v/>
      </c>
    </row>
    <row r="196" spans="1:16">
      <c r="A196" s="99"/>
      <c r="B196" s="652"/>
      <c r="C196" s="652" t="str">
        <f t="array" aca="1" ref="C196" ca="1">IFERROR(INDEX('VEH98 Data'!G$3:G$3508, SMALL(IF('VEH98 Data'!$AG$3:$AG$3508="TRUE", ROW('VEH98 Data'!G$3:G$3508)-ROW('VEH98 Data'!G$3)+1),ROWS('VEH98 Data'!G$3:'VEH98 Data'!G184))),"")</f>
        <v/>
      </c>
      <c r="D196" s="652" t="str">
        <f t="array" aca="1" ref="D196" ca="1">IFERROR(INDEX('VEH98 Data'!I$3:I$3508, SMALL(IF('VEH98 Data'!$AG$3:$AG$3508="TRUE", ROW('VEH98 Data'!I$3:I$3508)-ROW('VEH98 Data'!I$3)+1),ROWS('VEH98 Data'!I$3:'VEH98 Data'!I184))),"")</f>
        <v/>
      </c>
      <c r="E196" s="652" t="str">
        <f t="array" aca="1" ref="E196" ca="1">IFERROR(INDEX('VEH98 Data'!J$3:J$3508, SMALL(IF('VEH98 Data'!$AG$3:$AG$3508="TRUE", ROW('VEH98 Data'!J$3:J$3508)-ROW('VEH98 Data'!J$3)+1),ROWS('VEH98 Data'!J$3:'VEH98 Data'!J184))),"")</f>
        <v/>
      </c>
      <c r="F196" s="652" t="str">
        <f t="array" aca="1" ref="F196" ca="1">IFERROR(INDEX('VEH98 Data'!K$3:K$3508, SMALL(IF('VEH98 Data'!$AG$3:$AG$3508="TRUE", ROW('VEH98 Data'!K$3:K$3508)-ROW('VEH98 Data'!K$3)+1),ROWS('VEH98 Data'!K$3:'VEH98 Data'!K184))),"")</f>
        <v/>
      </c>
      <c r="G196" s="653" t="str">
        <f t="array" aca="1" ref="G196" ca="1">IFERROR(INDEX('VEH98 Data'!R$3:R$3508, SMALL(IF('VEH98 Data'!$AG$3:$AG$3508="TRUE", ROW('VEH98 Data'!R$3:R$3508)-ROW('VEH98 Data'!R$3)+1),ROWS('VEH98 Data'!R$3:'VEH98 Data'!R184))),"")</f>
        <v/>
      </c>
      <c r="H196" s="653" t="str">
        <f t="array" aca="1" ref="H196" ca="1">IFERROR(INDEX('VEH98 Data'!Y$3:Y$3508, SMALL(IF('VEH98 Data'!$AG$3:$AG$3508="TRUE", ROW('VEH98 Data'!Y$3:Y$3508)-ROW('VEH98 Data'!Y$3)+1),ROWS('VEH98 Data'!Y$3:'VEH98 Data'!Y184))),"")</f>
        <v/>
      </c>
      <c r="I196" s="19"/>
      <c r="J196" s="58" t="str">
        <f t="array" aca="1" ref="J196" ca="1">IFERROR(INDEX('VEH98 Data'!H$3:H$3508, SMALL(IF('VEH98 Data'!$AH$3:$AH$3508="TRUE", ROW('VEH98 Data'!H$3:H$3508)-ROW('VEH98 Data'!H$3)+1),ROWS('VEH98 Data'!H$3:'VEH98 Data'!H490))),"")</f>
        <v/>
      </c>
      <c r="K196" s="58" t="str">
        <f t="array" aca="1" ref="K196" ca="1">IFERROR(INDEX('VEH98 Data'!G$3:G$3508, SMALL(IF('VEH98 Data'!$AH$3:$AH$3508="TRUE", ROW('VEH98 Data'!G$3:G$3508)-ROW('VEH98 Data'!G$3)+1),ROWS('VEH98 Data'!G$3:'VEH98 Data'!G490))),"")</f>
        <v/>
      </c>
      <c r="L196" s="58" t="str">
        <f t="array" aca="1" ref="L196" ca="1">IFERROR(INDEX('VEH98 Data'!I$3:I$3508, SMALL(IF('VEH98 Data'!$AH$3:$AH$3508="TRUE", ROW('VEH98 Data'!I$3:I$3508)-ROW('VEH98 Data'!I$3)+1),ROWS('VEH98 Data'!I$3:'VEH98 Data'!I490))),"")</f>
        <v/>
      </c>
      <c r="M196" s="58" t="str">
        <f t="array" aca="1" ref="M196" ca="1">IFERROR(INDEX('VEH98 Data'!J$3:J$3508, SMALL(IF('VEH98 Data'!$AH$3:$AH$3508="TRUE", ROW('VEH98 Data'!J$3:J$3508)-ROW('VEH98 Data'!J$3)+1),ROWS('VEH98 Data'!J$3:'VEH98 Data'!J490))),"")</f>
        <v/>
      </c>
      <c r="N196" s="58" t="str">
        <f t="array" aca="1" ref="N196" ca="1">IFERROR(INDEX('VEH98 Data'!K$3:K$3508, SMALL(IF('VEH98 Data'!$AH$3:$AH$3508="TRUE", ROW('VEH98 Data'!K$3:K$3508)-ROW('VEH98 Data'!K$3)+1),ROWS('VEH98 Data'!K$3:'VEH98 Data'!K490))),"")</f>
        <v/>
      </c>
      <c r="O196" s="654" t="str">
        <f t="array" aca="1" ref="O196" ca="1">IFERROR(INDEX('VEH98 Data'!R$3:R$3508, SMALL(IF('VEH98 Data'!$AH$3:$AH$3508="TRUE", ROW('VEH98 Data'!R$3:R$3508)-ROW('VEH98 Data'!R$3)+1),ROWS('VEH98 Data'!R$3:'VEH98 Data'!R490))),"")</f>
        <v/>
      </c>
      <c r="P196" s="654" t="str">
        <f t="array" aca="1" ref="P196" ca="1">IFERROR(INDEX('VEH98 Data'!Y$3:Y$3508, SMALL(IF('VEH98 Data'!$AH$3:$AH$3508="TRUE", ROW('VEH98 Data'!Y$3:Y$3508)-ROW('VEH98 Data'!Y$3)+1),ROWS('VEH98 Data'!Y$3:'VEH98 Data'!Y490))),"")</f>
        <v/>
      </c>
    </row>
    <row r="197" spans="1:16">
      <c r="A197" s="99"/>
      <c r="B197" s="58"/>
      <c r="C197" s="58" t="str">
        <f t="array" aca="1" ref="C197" ca="1">IFERROR(INDEX('VEH98 Data'!G$3:G$3508, SMALL(IF('VEH98 Data'!$AG$3:$AG$3508="TRUE", ROW('VEH98 Data'!G$3:G$3508)-ROW('VEH98 Data'!G$3)+1),ROWS('VEH98 Data'!G$3:'VEH98 Data'!G185))),"")</f>
        <v/>
      </c>
      <c r="D197" s="58" t="str">
        <f t="array" aca="1" ref="D197" ca="1">IFERROR(INDEX('VEH98 Data'!I$3:I$3508, SMALL(IF('VEH98 Data'!$AG$3:$AG$3508="TRUE", ROW('VEH98 Data'!I$3:I$3508)-ROW('VEH98 Data'!I$3)+1),ROWS('VEH98 Data'!I$3:'VEH98 Data'!I185))),"")</f>
        <v/>
      </c>
      <c r="E197" s="58" t="str">
        <f t="array" aca="1" ref="E197" ca="1">IFERROR(INDEX('VEH98 Data'!J$3:J$3508, SMALL(IF('VEH98 Data'!$AG$3:$AG$3508="TRUE", ROW('VEH98 Data'!J$3:J$3508)-ROW('VEH98 Data'!J$3)+1),ROWS('VEH98 Data'!J$3:'VEH98 Data'!J185))),"")</f>
        <v/>
      </c>
      <c r="F197" s="58" t="str">
        <f t="array" aca="1" ref="F197" ca="1">IFERROR(INDEX('VEH98 Data'!K$3:K$3508, SMALL(IF('VEH98 Data'!$AG$3:$AG$3508="TRUE", ROW('VEH98 Data'!K$3:K$3508)-ROW('VEH98 Data'!K$3)+1),ROWS('VEH98 Data'!K$3:'VEH98 Data'!K185))),"")</f>
        <v/>
      </c>
      <c r="G197" s="654" t="str">
        <f t="array" aca="1" ref="G197" ca="1">IFERROR(INDEX('VEH98 Data'!R$3:R$3508, SMALL(IF('VEH98 Data'!$AG$3:$AG$3508="TRUE", ROW('VEH98 Data'!R$3:R$3508)-ROW('VEH98 Data'!R$3)+1),ROWS('VEH98 Data'!R$3:'VEH98 Data'!R185))),"")</f>
        <v/>
      </c>
      <c r="H197" s="654" t="str">
        <f t="array" aca="1" ref="H197" ca="1">IFERROR(INDEX('VEH98 Data'!Y$3:Y$3508, SMALL(IF('VEH98 Data'!$AG$3:$AG$3508="TRUE", ROW('VEH98 Data'!Y$3:Y$3508)-ROW('VEH98 Data'!Y$3)+1),ROWS('VEH98 Data'!Y$3:'VEH98 Data'!Y185))),"")</f>
        <v/>
      </c>
      <c r="I197" s="19"/>
      <c r="J197" s="652" t="str">
        <f t="array" aca="1" ref="J197" ca="1">IFERROR(INDEX('VEH98 Data'!H$3:H$3508, SMALL(IF('VEH98 Data'!$AH$3:$AH$3508="TRUE", ROW('VEH98 Data'!H$3:H$3508)-ROW('VEH98 Data'!H$3)+1),ROWS('VEH98 Data'!H$3:'VEH98 Data'!H491))),"")</f>
        <v/>
      </c>
      <c r="K197" s="652" t="str">
        <f t="array" aca="1" ref="K197" ca="1">IFERROR(INDEX('VEH98 Data'!G$3:G$3508, SMALL(IF('VEH98 Data'!$AH$3:$AH$3508="TRUE", ROW('VEH98 Data'!G$3:G$3508)-ROW('VEH98 Data'!G$3)+1),ROWS('VEH98 Data'!G$3:'VEH98 Data'!G491))),"")</f>
        <v/>
      </c>
      <c r="L197" s="652" t="str">
        <f t="array" aca="1" ref="L197" ca="1">IFERROR(INDEX('VEH98 Data'!I$3:I$3508, SMALL(IF('VEH98 Data'!$AH$3:$AH$3508="TRUE", ROW('VEH98 Data'!I$3:I$3508)-ROW('VEH98 Data'!I$3)+1),ROWS('VEH98 Data'!I$3:'VEH98 Data'!I491))),"")</f>
        <v/>
      </c>
      <c r="M197" s="652" t="str">
        <f t="array" aca="1" ref="M197" ca="1">IFERROR(INDEX('VEH98 Data'!J$3:J$3508, SMALL(IF('VEH98 Data'!$AH$3:$AH$3508="TRUE", ROW('VEH98 Data'!J$3:J$3508)-ROW('VEH98 Data'!J$3)+1),ROWS('VEH98 Data'!J$3:'VEH98 Data'!J491))),"")</f>
        <v/>
      </c>
      <c r="N197" s="652" t="str">
        <f t="array" aca="1" ref="N197" ca="1">IFERROR(INDEX('VEH98 Data'!K$3:K$3508, SMALL(IF('VEH98 Data'!$AH$3:$AH$3508="TRUE", ROW('VEH98 Data'!K$3:K$3508)-ROW('VEH98 Data'!K$3)+1),ROWS('VEH98 Data'!K$3:'VEH98 Data'!K491))),"")</f>
        <v/>
      </c>
      <c r="O197" s="653" t="str">
        <f t="array" aca="1" ref="O197" ca="1">IFERROR(INDEX('VEH98 Data'!R$3:R$3508, SMALL(IF('VEH98 Data'!$AH$3:$AH$3508="TRUE", ROW('VEH98 Data'!R$3:R$3508)-ROW('VEH98 Data'!R$3)+1),ROWS('VEH98 Data'!R$3:'VEH98 Data'!R491))),"")</f>
        <v/>
      </c>
      <c r="P197" s="653" t="str">
        <f t="array" aca="1" ref="P197" ca="1">IFERROR(INDEX('VEH98 Data'!Y$3:Y$3508, SMALL(IF('VEH98 Data'!$AH$3:$AH$3508="TRUE", ROW('VEH98 Data'!Y$3:Y$3508)-ROW('VEH98 Data'!Y$3)+1),ROWS('VEH98 Data'!Y$3:'VEH98 Data'!Y491))),"")</f>
        <v/>
      </c>
    </row>
    <row r="198" spans="1:16">
      <c r="A198" s="99"/>
      <c r="B198" s="652"/>
      <c r="C198" s="652" t="str">
        <f t="array" aca="1" ref="C198" ca="1">IFERROR(INDEX('VEH98 Data'!G$3:G$3508, SMALL(IF('VEH98 Data'!$AG$3:$AG$3508="TRUE", ROW('VEH98 Data'!G$3:G$3508)-ROW('VEH98 Data'!G$3)+1),ROWS('VEH98 Data'!G$3:'VEH98 Data'!G186))),"")</f>
        <v/>
      </c>
      <c r="D198" s="652" t="str">
        <f t="array" aca="1" ref="D198" ca="1">IFERROR(INDEX('VEH98 Data'!I$3:I$3508, SMALL(IF('VEH98 Data'!$AG$3:$AG$3508="TRUE", ROW('VEH98 Data'!I$3:I$3508)-ROW('VEH98 Data'!I$3)+1),ROWS('VEH98 Data'!I$3:'VEH98 Data'!I186))),"")</f>
        <v/>
      </c>
      <c r="E198" s="652" t="str">
        <f t="array" aca="1" ref="E198" ca="1">IFERROR(INDEX('VEH98 Data'!J$3:J$3508, SMALL(IF('VEH98 Data'!$AG$3:$AG$3508="TRUE", ROW('VEH98 Data'!J$3:J$3508)-ROW('VEH98 Data'!J$3)+1),ROWS('VEH98 Data'!J$3:'VEH98 Data'!J186))),"")</f>
        <v/>
      </c>
      <c r="F198" s="652" t="str">
        <f t="array" aca="1" ref="F198" ca="1">IFERROR(INDEX('VEH98 Data'!K$3:K$3508, SMALL(IF('VEH98 Data'!$AG$3:$AG$3508="TRUE", ROW('VEH98 Data'!K$3:K$3508)-ROW('VEH98 Data'!K$3)+1),ROWS('VEH98 Data'!K$3:'VEH98 Data'!K186))),"")</f>
        <v/>
      </c>
      <c r="G198" s="653" t="str">
        <f t="array" aca="1" ref="G198" ca="1">IFERROR(INDEX('VEH98 Data'!R$3:R$3508, SMALL(IF('VEH98 Data'!$AG$3:$AG$3508="TRUE", ROW('VEH98 Data'!R$3:R$3508)-ROW('VEH98 Data'!R$3)+1),ROWS('VEH98 Data'!R$3:'VEH98 Data'!R186))),"")</f>
        <v/>
      </c>
      <c r="H198" s="653" t="str">
        <f t="array" aca="1" ref="H198" ca="1">IFERROR(INDEX('VEH98 Data'!Y$3:Y$3508, SMALL(IF('VEH98 Data'!$AG$3:$AG$3508="TRUE", ROW('VEH98 Data'!Y$3:Y$3508)-ROW('VEH98 Data'!Y$3)+1),ROWS('VEH98 Data'!Y$3:'VEH98 Data'!Y186))),"")</f>
        <v/>
      </c>
      <c r="I198" s="19"/>
      <c r="J198" s="58" t="str">
        <f t="array" aca="1" ref="J198" ca="1">IFERROR(INDEX('VEH98 Data'!H$3:H$3508, SMALL(IF('VEH98 Data'!$AH$3:$AH$3508="TRUE", ROW('VEH98 Data'!H$3:H$3508)-ROW('VEH98 Data'!H$3)+1),ROWS('VEH98 Data'!H$3:'VEH98 Data'!H492))),"")</f>
        <v/>
      </c>
      <c r="K198" s="58" t="str">
        <f t="array" aca="1" ref="K198" ca="1">IFERROR(INDEX('VEH98 Data'!G$3:G$3508, SMALL(IF('VEH98 Data'!$AH$3:$AH$3508="TRUE", ROW('VEH98 Data'!G$3:G$3508)-ROW('VEH98 Data'!G$3)+1),ROWS('VEH98 Data'!G$3:'VEH98 Data'!G492))),"")</f>
        <v/>
      </c>
      <c r="L198" s="58" t="str">
        <f t="array" aca="1" ref="L198" ca="1">IFERROR(INDEX('VEH98 Data'!I$3:I$3508, SMALL(IF('VEH98 Data'!$AH$3:$AH$3508="TRUE", ROW('VEH98 Data'!I$3:I$3508)-ROW('VEH98 Data'!I$3)+1),ROWS('VEH98 Data'!I$3:'VEH98 Data'!I492))),"")</f>
        <v/>
      </c>
      <c r="M198" s="58" t="str">
        <f t="array" aca="1" ref="M198" ca="1">IFERROR(INDEX('VEH98 Data'!J$3:J$3508, SMALL(IF('VEH98 Data'!$AH$3:$AH$3508="TRUE", ROW('VEH98 Data'!J$3:J$3508)-ROW('VEH98 Data'!J$3)+1),ROWS('VEH98 Data'!J$3:'VEH98 Data'!J492))),"")</f>
        <v/>
      </c>
      <c r="N198" s="58" t="str">
        <f t="array" aca="1" ref="N198" ca="1">IFERROR(INDEX('VEH98 Data'!K$3:K$3508, SMALL(IF('VEH98 Data'!$AH$3:$AH$3508="TRUE", ROW('VEH98 Data'!K$3:K$3508)-ROW('VEH98 Data'!K$3)+1),ROWS('VEH98 Data'!K$3:'VEH98 Data'!K492))),"")</f>
        <v/>
      </c>
      <c r="O198" s="654" t="str">
        <f t="array" aca="1" ref="O198" ca="1">IFERROR(INDEX('VEH98 Data'!R$3:R$3508, SMALL(IF('VEH98 Data'!$AH$3:$AH$3508="TRUE", ROW('VEH98 Data'!R$3:R$3508)-ROW('VEH98 Data'!R$3)+1),ROWS('VEH98 Data'!R$3:'VEH98 Data'!R492))),"")</f>
        <v/>
      </c>
      <c r="P198" s="654" t="str">
        <f t="array" aca="1" ref="P198" ca="1">IFERROR(INDEX('VEH98 Data'!Y$3:Y$3508, SMALL(IF('VEH98 Data'!$AH$3:$AH$3508="TRUE", ROW('VEH98 Data'!Y$3:Y$3508)-ROW('VEH98 Data'!Y$3)+1),ROWS('VEH98 Data'!Y$3:'VEH98 Data'!Y492))),"")</f>
        <v/>
      </c>
    </row>
    <row r="199" spans="1:16">
      <c r="A199" s="99"/>
      <c r="B199" s="58"/>
      <c r="C199" s="58" t="str">
        <f t="array" aca="1" ref="C199" ca="1">IFERROR(INDEX('VEH98 Data'!G$3:G$3508, SMALL(IF('VEH98 Data'!$AG$3:$AG$3508="TRUE", ROW('VEH98 Data'!G$3:G$3508)-ROW('VEH98 Data'!G$3)+1),ROWS('VEH98 Data'!G$3:'VEH98 Data'!G187))),"")</f>
        <v/>
      </c>
      <c r="D199" s="58" t="str">
        <f t="array" aca="1" ref="D199" ca="1">IFERROR(INDEX('VEH98 Data'!I$3:I$3508, SMALL(IF('VEH98 Data'!$AG$3:$AG$3508="TRUE", ROW('VEH98 Data'!I$3:I$3508)-ROW('VEH98 Data'!I$3)+1),ROWS('VEH98 Data'!I$3:'VEH98 Data'!I187))),"")</f>
        <v/>
      </c>
      <c r="E199" s="58" t="str">
        <f t="array" aca="1" ref="E199" ca="1">IFERROR(INDEX('VEH98 Data'!J$3:J$3508, SMALL(IF('VEH98 Data'!$AG$3:$AG$3508="TRUE", ROW('VEH98 Data'!J$3:J$3508)-ROW('VEH98 Data'!J$3)+1),ROWS('VEH98 Data'!J$3:'VEH98 Data'!J187))),"")</f>
        <v/>
      </c>
      <c r="F199" s="58" t="str">
        <f t="array" aca="1" ref="F199" ca="1">IFERROR(INDEX('VEH98 Data'!K$3:K$3508, SMALL(IF('VEH98 Data'!$AG$3:$AG$3508="TRUE", ROW('VEH98 Data'!K$3:K$3508)-ROW('VEH98 Data'!K$3)+1),ROWS('VEH98 Data'!K$3:'VEH98 Data'!K187))),"")</f>
        <v/>
      </c>
      <c r="G199" s="654" t="str">
        <f t="array" aca="1" ref="G199" ca="1">IFERROR(INDEX('VEH98 Data'!R$3:R$3508, SMALL(IF('VEH98 Data'!$AG$3:$AG$3508="TRUE", ROW('VEH98 Data'!R$3:R$3508)-ROW('VEH98 Data'!R$3)+1),ROWS('VEH98 Data'!R$3:'VEH98 Data'!R187))),"")</f>
        <v/>
      </c>
      <c r="H199" s="654" t="str">
        <f t="array" aca="1" ref="H199" ca="1">IFERROR(INDEX('VEH98 Data'!Y$3:Y$3508, SMALL(IF('VEH98 Data'!$AG$3:$AG$3508="TRUE", ROW('VEH98 Data'!Y$3:Y$3508)-ROW('VEH98 Data'!Y$3)+1),ROWS('VEH98 Data'!Y$3:'VEH98 Data'!Y187))),"")</f>
        <v/>
      </c>
      <c r="I199" s="19"/>
      <c r="J199" s="652" t="str">
        <f t="array" aca="1" ref="J199" ca="1">IFERROR(INDEX('VEH98 Data'!H$3:H$3508, SMALL(IF('VEH98 Data'!$AH$3:$AH$3508="TRUE", ROW('VEH98 Data'!H$3:H$3508)-ROW('VEH98 Data'!H$3)+1),ROWS('VEH98 Data'!H$3:'VEH98 Data'!H493))),"")</f>
        <v/>
      </c>
      <c r="K199" s="652" t="str">
        <f t="array" aca="1" ref="K199" ca="1">IFERROR(INDEX('VEH98 Data'!G$3:G$3508, SMALL(IF('VEH98 Data'!$AH$3:$AH$3508="TRUE", ROW('VEH98 Data'!G$3:G$3508)-ROW('VEH98 Data'!G$3)+1),ROWS('VEH98 Data'!G$3:'VEH98 Data'!G493))),"")</f>
        <v/>
      </c>
      <c r="L199" s="652" t="str">
        <f t="array" aca="1" ref="L199" ca="1">IFERROR(INDEX('VEH98 Data'!I$3:I$3508, SMALL(IF('VEH98 Data'!$AH$3:$AH$3508="TRUE", ROW('VEH98 Data'!I$3:I$3508)-ROW('VEH98 Data'!I$3)+1),ROWS('VEH98 Data'!I$3:'VEH98 Data'!I493))),"")</f>
        <v/>
      </c>
      <c r="M199" s="652" t="str">
        <f t="array" aca="1" ref="M199" ca="1">IFERROR(INDEX('VEH98 Data'!J$3:J$3508, SMALL(IF('VEH98 Data'!$AH$3:$AH$3508="TRUE", ROW('VEH98 Data'!J$3:J$3508)-ROW('VEH98 Data'!J$3)+1),ROWS('VEH98 Data'!J$3:'VEH98 Data'!J493))),"")</f>
        <v/>
      </c>
      <c r="N199" s="652" t="str">
        <f t="array" aca="1" ref="N199" ca="1">IFERROR(INDEX('VEH98 Data'!K$3:K$3508, SMALL(IF('VEH98 Data'!$AH$3:$AH$3508="TRUE", ROW('VEH98 Data'!K$3:K$3508)-ROW('VEH98 Data'!K$3)+1),ROWS('VEH98 Data'!K$3:'VEH98 Data'!K493))),"")</f>
        <v/>
      </c>
      <c r="O199" s="653" t="str">
        <f t="array" aca="1" ref="O199" ca="1">IFERROR(INDEX('VEH98 Data'!R$3:R$3508, SMALL(IF('VEH98 Data'!$AH$3:$AH$3508="TRUE", ROW('VEH98 Data'!R$3:R$3508)-ROW('VEH98 Data'!R$3)+1),ROWS('VEH98 Data'!R$3:'VEH98 Data'!R493))),"")</f>
        <v/>
      </c>
      <c r="P199" s="653" t="str">
        <f t="array" aca="1" ref="P199" ca="1">IFERROR(INDEX('VEH98 Data'!Y$3:Y$3508, SMALL(IF('VEH98 Data'!$AH$3:$AH$3508="TRUE", ROW('VEH98 Data'!Y$3:Y$3508)-ROW('VEH98 Data'!Y$3)+1),ROWS('VEH98 Data'!Y$3:'VEH98 Data'!Y493))),"")</f>
        <v/>
      </c>
    </row>
    <row r="200" spans="1:16">
      <c r="A200" s="99"/>
      <c r="B200" s="652"/>
      <c r="C200" s="652" t="str">
        <f t="array" aca="1" ref="C200" ca="1">IFERROR(INDEX('VEH98 Data'!G$3:G$3508, SMALL(IF('VEH98 Data'!$AG$3:$AG$3508="TRUE", ROW('VEH98 Data'!G$3:G$3508)-ROW('VEH98 Data'!G$3)+1),ROWS('VEH98 Data'!G$3:'VEH98 Data'!G188))),"")</f>
        <v/>
      </c>
      <c r="D200" s="652" t="str">
        <f t="array" aca="1" ref="D200" ca="1">IFERROR(INDEX('VEH98 Data'!I$3:I$3508, SMALL(IF('VEH98 Data'!$AG$3:$AG$3508="TRUE", ROW('VEH98 Data'!I$3:I$3508)-ROW('VEH98 Data'!I$3)+1),ROWS('VEH98 Data'!I$3:'VEH98 Data'!I188))),"")</f>
        <v/>
      </c>
      <c r="E200" s="652" t="str">
        <f t="array" aca="1" ref="E200" ca="1">IFERROR(INDEX('VEH98 Data'!J$3:J$3508, SMALL(IF('VEH98 Data'!$AG$3:$AG$3508="TRUE", ROW('VEH98 Data'!J$3:J$3508)-ROW('VEH98 Data'!J$3)+1),ROWS('VEH98 Data'!J$3:'VEH98 Data'!J188))),"")</f>
        <v/>
      </c>
      <c r="F200" s="652" t="str">
        <f t="array" aca="1" ref="F200" ca="1">IFERROR(INDEX('VEH98 Data'!K$3:K$3508, SMALL(IF('VEH98 Data'!$AG$3:$AG$3508="TRUE", ROW('VEH98 Data'!K$3:K$3508)-ROW('VEH98 Data'!K$3)+1),ROWS('VEH98 Data'!K$3:'VEH98 Data'!K188))),"")</f>
        <v/>
      </c>
      <c r="G200" s="653" t="str">
        <f t="array" aca="1" ref="G200" ca="1">IFERROR(INDEX('VEH98 Data'!R$3:R$3508, SMALL(IF('VEH98 Data'!$AG$3:$AG$3508="TRUE", ROW('VEH98 Data'!R$3:R$3508)-ROW('VEH98 Data'!R$3)+1),ROWS('VEH98 Data'!R$3:'VEH98 Data'!R188))),"")</f>
        <v/>
      </c>
      <c r="H200" s="653" t="str">
        <f t="array" aca="1" ref="H200" ca="1">IFERROR(INDEX('VEH98 Data'!Y$3:Y$3508, SMALL(IF('VEH98 Data'!$AG$3:$AG$3508="TRUE", ROW('VEH98 Data'!Y$3:Y$3508)-ROW('VEH98 Data'!Y$3)+1),ROWS('VEH98 Data'!Y$3:'VEH98 Data'!Y188))),"")</f>
        <v/>
      </c>
      <c r="I200" s="19"/>
      <c r="J200" s="58" t="str">
        <f t="array" aca="1" ref="J200" ca="1">IFERROR(INDEX('VEH98 Data'!H$3:H$3508, SMALL(IF('VEH98 Data'!$AH$3:$AH$3508="TRUE", ROW('VEH98 Data'!H$3:H$3508)-ROW('VEH98 Data'!H$3)+1),ROWS('VEH98 Data'!H$3:'VEH98 Data'!H494))),"")</f>
        <v/>
      </c>
      <c r="K200" s="58" t="str">
        <f t="array" aca="1" ref="K200" ca="1">IFERROR(INDEX('VEH98 Data'!G$3:G$3508, SMALL(IF('VEH98 Data'!$AH$3:$AH$3508="TRUE", ROW('VEH98 Data'!G$3:G$3508)-ROW('VEH98 Data'!G$3)+1),ROWS('VEH98 Data'!G$3:'VEH98 Data'!G494))),"")</f>
        <v/>
      </c>
      <c r="L200" s="58" t="str">
        <f t="array" aca="1" ref="L200" ca="1">IFERROR(INDEX('VEH98 Data'!I$3:I$3508, SMALL(IF('VEH98 Data'!$AH$3:$AH$3508="TRUE", ROW('VEH98 Data'!I$3:I$3508)-ROW('VEH98 Data'!I$3)+1),ROWS('VEH98 Data'!I$3:'VEH98 Data'!I494))),"")</f>
        <v/>
      </c>
      <c r="M200" s="58" t="str">
        <f t="array" aca="1" ref="M200" ca="1">IFERROR(INDEX('VEH98 Data'!J$3:J$3508, SMALL(IF('VEH98 Data'!$AH$3:$AH$3508="TRUE", ROW('VEH98 Data'!J$3:J$3508)-ROW('VEH98 Data'!J$3)+1),ROWS('VEH98 Data'!J$3:'VEH98 Data'!J494))),"")</f>
        <v/>
      </c>
      <c r="N200" s="58" t="str">
        <f t="array" aca="1" ref="N200" ca="1">IFERROR(INDEX('VEH98 Data'!K$3:K$3508, SMALL(IF('VEH98 Data'!$AH$3:$AH$3508="TRUE", ROW('VEH98 Data'!K$3:K$3508)-ROW('VEH98 Data'!K$3)+1),ROWS('VEH98 Data'!K$3:'VEH98 Data'!K494))),"")</f>
        <v/>
      </c>
      <c r="O200" s="654" t="str">
        <f t="array" aca="1" ref="O200" ca="1">IFERROR(INDEX('VEH98 Data'!R$3:R$3508, SMALL(IF('VEH98 Data'!$AH$3:$AH$3508="TRUE", ROW('VEH98 Data'!R$3:R$3508)-ROW('VEH98 Data'!R$3)+1),ROWS('VEH98 Data'!R$3:'VEH98 Data'!R494))),"")</f>
        <v/>
      </c>
      <c r="P200" s="654" t="str">
        <f t="array" aca="1" ref="P200" ca="1">IFERROR(INDEX('VEH98 Data'!Y$3:Y$3508, SMALL(IF('VEH98 Data'!$AH$3:$AH$3508="TRUE", ROW('VEH98 Data'!Y$3:Y$3508)-ROW('VEH98 Data'!Y$3)+1),ROWS('VEH98 Data'!Y$3:'VEH98 Data'!Y494))),"")</f>
        <v/>
      </c>
    </row>
    <row r="201" spans="1:16">
      <c r="A201" s="99"/>
      <c r="B201" s="58"/>
      <c r="C201" s="58" t="str">
        <f t="array" aca="1" ref="C201" ca="1">IFERROR(INDEX('VEH98 Data'!G$3:G$3508, SMALL(IF('VEH98 Data'!$AG$3:$AG$3508="TRUE", ROW('VEH98 Data'!G$3:G$3508)-ROW('VEH98 Data'!G$3)+1),ROWS('VEH98 Data'!G$3:'VEH98 Data'!G189))),"")</f>
        <v/>
      </c>
      <c r="D201" s="58" t="str">
        <f t="array" aca="1" ref="D201" ca="1">IFERROR(INDEX('VEH98 Data'!I$3:I$3508, SMALL(IF('VEH98 Data'!$AG$3:$AG$3508="TRUE", ROW('VEH98 Data'!I$3:I$3508)-ROW('VEH98 Data'!I$3)+1),ROWS('VEH98 Data'!I$3:'VEH98 Data'!I189))),"")</f>
        <v/>
      </c>
      <c r="E201" s="58" t="str">
        <f t="array" aca="1" ref="E201" ca="1">IFERROR(INDEX('VEH98 Data'!J$3:J$3508, SMALL(IF('VEH98 Data'!$AG$3:$AG$3508="TRUE", ROW('VEH98 Data'!J$3:J$3508)-ROW('VEH98 Data'!J$3)+1),ROWS('VEH98 Data'!J$3:'VEH98 Data'!J189))),"")</f>
        <v/>
      </c>
      <c r="F201" s="58" t="str">
        <f t="array" aca="1" ref="F201" ca="1">IFERROR(INDEX('VEH98 Data'!K$3:K$3508, SMALL(IF('VEH98 Data'!$AG$3:$AG$3508="TRUE", ROW('VEH98 Data'!K$3:K$3508)-ROW('VEH98 Data'!K$3)+1),ROWS('VEH98 Data'!K$3:'VEH98 Data'!K189))),"")</f>
        <v/>
      </c>
      <c r="G201" s="654" t="str">
        <f t="array" aca="1" ref="G201" ca="1">IFERROR(INDEX('VEH98 Data'!R$3:R$3508, SMALL(IF('VEH98 Data'!$AG$3:$AG$3508="TRUE", ROW('VEH98 Data'!R$3:R$3508)-ROW('VEH98 Data'!R$3)+1),ROWS('VEH98 Data'!R$3:'VEH98 Data'!R189))),"")</f>
        <v/>
      </c>
      <c r="H201" s="654" t="str">
        <f t="array" aca="1" ref="H201" ca="1">IFERROR(INDEX('VEH98 Data'!Y$3:Y$3508, SMALL(IF('VEH98 Data'!$AG$3:$AG$3508="TRUE", ROW('VEH98 Data'!Y$3:Y$3508)-ROW('VEH98 Data'!Y$3)+1),ROWS('VEH98 Data'!Y$3:'VEH98 Data'!Y189))),"")</f>
        <v/>
      </c>
      <c r="I201" s="19"/>
      <c r="J201" s="652" t="str">
        <f t="array" aca="1" ref="J201" ca="1">IFERROR(INDEX('VEH98 Data'!H$3:H$3508, SMALL(IF('VEH98 Data'!$AH$3:$AH$3508="TRUE", ROW('VEH98 Data'!H$3:H$3508)-ROW('VEH98 Data'!H$3)+1),ROWS('VEH98 Data'!H$3:'VEH98 Data'!H495))),"")</f>
        <v/>
      </c>
      <c r="K201" s="652" t="str">
        <f t="array" aca="1" ref="K201" ca="1">IFERROR(INDEX('VEH98 Data'!G$3:G$3508, SMALL(IF('VEH98 Data'!$AH$3:$AH$3508="TRUE", ROW('VEH98 Data'!G$3:G$3508)-ROW('VEH98 Data'!G$3)+1),ROWS('VEH98 Data'!G$3:'VEH98 Data'!G495))),"")</f>
        <v/>
      </c>
      <c r="L201" s="652" t="str">
        <f t="array" aca="1" ref="L201" ca="1">IFERROR(INDEX('VEH98 Data'!I$3:I$3508, SMALL(IF('VEH98 Data'!$AH$3:$AH$3508="TRUE", ROW('VEH98 Data'!I$3:I$3508)-ROW('VEH98 Data'!I$3)+1),ROWS('VEH98 Data'!I$3:'VEH98 Data'!I495))),"")</f>
        <v/>
      </c>
      <c r="M201" s="652" t="str">
        <f t="array" aca="1" ref="M201" ca="1">IFERROR(INDEX('VEH98 Data'!J$3:J$3508, SMALL(IF('VEH98 Data'!$AH$3:$AH$3508="TRUE", ROW('VEH98 Data'!J$3:J$3508)-ROW('VEH98 Data'!J$3)+1),ROWS('VEH98 Data'!J$3:'VEH98 Data'!J495))),"")</f>
        <v/>
      </c>
      <c r="N201" s="652" t="str">
        <f t="array" aca="1" ref="N201" ca="1">IFERROR(INDEX('VEH98 Data'!K$3:K$3508, SMALL(IF('VEH98 Data'!$AH$3:$AH$3508="TRUE", ROW('VEH98 Data'!K$3:K$3508)-ROW('VEH98 Data'!K$3)+1),ROWS('VEH98 Data'!K$3:'VEH98 Data'!K495))),"")</f>
        <v/>
      </c>
      <c r="O201" s="653" t="str">
        <f t="array" aca="1" ref="O201" ca="1">IFERROR(INDEX('VEH98 Data'!R$3:R$3508, SMALL(IF('VEH98 Data'!$AH$3:$AH$3508="TRUE", ROW('VEH98 Data'!R$3:R$3508)-ROW('VEH98 Data'!R$3)+1),ROWS('VEH98 Data'!R$3:'VEH98 Data'!R495))),"")</f>
        <v/>
      </c>
      <c r="P201" s="653" t="str">
        <f t="array" aca="1" ref="P201" ca="1">IFERROR(INDEX('VEH98 Data'!Y$3:Y$3508, SMALL(IF('VEH98 Data'!$AH$3:$AH$3508="TRUE", ROW('VEH98 Data'!Y$3:Y$3508)-ROW('VEH98 Data'!Y$3)+1),ROWS('VEH98 Data'!Y$3:'VEH98 Data'!Y495))),"")</f>
        <v/>
      </c>
    </row>
    <row r="202" spans="1:16">
      <c r="A202" s="99"/>
      <c r="B202" s="652"/>
      <c r="C202" s="652" t="str">
        <f t="array" aca="1" ref="C202" ca="1">IFERROR(INDEX('VEH98 Data'!G$3:G$3508, SMALL(IF('VEH98 Data'!$AG$3:$AG$3508="TRUE", ROW('VEH98 Data'!G$3:G$3508)-ROW('VEH98 Data'!G$3)+1),ROWS('VEH98 Data'!G$3:'VEH98 Data'!G190))),"")</f>
        <v/>
      </c>
      <c r="D202" s="652" t="str">
        <f t="array" aca="1" ref="D202" ca="1">IFERROR(INDEX('VEH98 Data'!I$3:I$3508, SMALL(IF('VEH98 Data'!$AG$3:$AG$3508="TRUE", ROW('VEH98 Data'!I$3:I$3508)-ROW('VEH98 Data'!I$3)+1),ROWS('VEH98 Data'!I$3:'VEH98 Data'!I190))),"")</f>
        <v/>
      </c>
      <c r="E202" s="652" t="str">
        <f t="array" aca="1" ref="E202" ca="1">IFERROR(INDEX('VEH98 Data'!J$3:J$3508, SMALL(IF('VEH98 Data'!$AG$3:$AG$3508="TRUE", ROW('VEH98 Data'!J$3:J$3508)-ROW('VEH98 Data'!J$3)+1),ROWS('VEH98 Data'!J$3:'VEH98 Data'!J190))),"")</f>
        <v/>
      </c>
      <c r="F202" s="652" t="str">
        <f t="array" aca="1" ref="F202" ca="1">IFERROR(INDEX('VEH98 Data'!K$3:K$3508, SMALL(IF('VEH98 Data'!$AG$3:$AG$3508="TRUE", ROW('VEH98 Data'!K$3:K$3508)-ROW('VEH98 Data'!K$3)+1),ROWS('VEH98 Data'!K$3:'VEH98 Data'!K190))),"")</f>
        <v/>
      </c>
      <c r="G202" s="653" t="str">
        <f t="array" aca="1" ref="G202" ca="1">IFERROR(INDEX('VEH98 Data'!R$3:R$3508, SMALL(IF('VEH98 Data'!$AG$3:$AG$3508="TRUE", ROW('VEH98 Data'!R$3:R$3508)-ROW('VEH98 Data'!R$3)+1),ROWS('VEH98 Data'!R$3:'VEH98 Data'!R190))),"")</f>
        <v/>
      </c>
      <c r="H202" s="653" t="str">
        <f t="array" aca="1" ref="H202" ca="1">IFERROR(INDEX('VEH98 Data'!Y$3:Y$3508, SMALL(IF('VEH98 Data'!$AG$3:$AG$3508="TRUE", ROW('VEH98 Data'!Y$3:Y$3508)-ROW('VEH98 Data'!Y$3)+1),ROWS('VEH98 Data'!Y$3:'VEH98 Data'!Y190))),"")</f>
        <v/>
      </c>
      <c r="I202" s="19"/>
      <c r="J202" s="58" t="str">
        <f t="array" aca="1" ref="J202" ca="1">IFERROR(INDEX('VEH98 Data'!H$3:H$3508, SMALL(IF('VEH98 Data'!$AH$3:$AH$3508="TRUE", ROW('VEH98 Data'!H$3:H$3508)-ROW('VEH98 Data'!H$3)+1),ROWS('VEH98 Data'!H$3:'VEH98 Data'!H496))),"")</f>
        <v/>
      </c>
      <c r="K202" s="58" t="str">
        <f t="array" aca="1" ref="K202" ca="1">IFERROR(INDEX('VEH98 Data'!G$3:G$3508, SMALL(IF('VEH98 Data'!$AH$3:$AH$3508="TRUE", ROW('VEH98 Data'!G$3:G$3508)-ROW('VEH98 Data'!G$3)+1),ROWS('VEH98 Data'!G$3:'VEH98 Data'!G496))),"")</f>
        <v/>
      </c>
      <c r="L202" s="58" t="str">
        <f t="array" aca="1" ref="L202" ca="1">IFERROR(INDEX('VEH98 Data'!I$3:I$3508, SMALL(IF('VEH98 Data'!$AH$3:$AH$3508="TRUE", ROW('VEH98 Data'!I$3:I$3508)-ROW('VEH98 Data'!I$3)+1),ROWS('VEH98 Data'!I$3:'VEH98 Data'!I496))),"")</f>
        <v/>
      </c>
      <c r="M202" s="58" t="str">
        <f t="array" aca="1" ref="M202" ca="1">IFERROR(INDEX('VEH98 Data'!J$3:J$3508, SMALL(IF('VEH98 Data'!$AH$3:$AH$3508="TRUE", ROW('VEH98 Data'!J$3:J$3508)-ROW('VEH98 Data'!J$3)+1),ROWS('VEH98 Data'!J$3:'VEH98 Data'!J496))),"")</f>
        <v/>
      </c>
      <c r="N202" s="58" t="str">
        <f t="array" aca="1" ref="N202" ca="1">IFERROR(INDEX('VEH98 Data'!K$3:K$3508, SMALL(IF('VEH98 Data'!$AH$3:$AH$3508="TRUE", ROW('VEH98 Data'!K$3:K$3508)-ROW('VEH98 Data'!K$3)+1),ROWS('VEH98 Data'!K$3:'VEH98 Data'!K496))),"")</f>
        <v/>
      </c>
      <c r="O202" s="654" t="str">
        <f t="array" aca="1" ref="O202" ca="1">IFERROR(INDEX('VEH98 Data'!R$3:R$3508, SMALL(IF('VEH98 Data'!$AH$3:$AH$3508="TRUE", ROW('VEH98 Data'!R$3:R$3508)-ROW('VEH98 Data'!R$3)+1),ROWS('VEH98 Data'!R$3:'VEH98 Data'!R496))),"")</f>
        <v/>
      </c>
      <c r="P202" s="654" t="str">
        <f t="array" aca="1" ref="P202" ca="1">IFERROR(INDEX('VEH98 Data'!Y$3:Y$3508, SMALL(IF('VEH98 Data'!$AH$3:$AH$3508="TRUE", ROW('VEH98 Data'!Y$3:Y$3508)-ROW('VEH98 Data'!Y$3)+1),ROWS('VEH98 Data'!Y$3:'VEH98 Data'!Y496))),"")</f>
        <v/>
      </c>
    </row>
    <row r="203" spans="1:16">
      <c r="A203" s="99"/>
      <c r="B203" s="58"/>
      <c r="C203" s="58" t="str">
        <f t="array" aca="1" ref="C203" ca="1">IFERROR(INDEX('VEH98 Data'!G$3:G$3508, SMALL(IF('VEH98 Data'!$AG$3:$AG$3508="TRUE", ROW('VEH98 Data'!G$3:G$3508)-ROW('VEH98 Data'!G$3)+1),ROWS('VEH98 Data'!G$3:'VEH98 Data'!G191))),"")</f>
        <v/>
      </c>
      <c r="D203" s="58" t="str">
        <f t="array" aca="1" ref="D203" ca="1">IFERROR(INDEX('VEH98 Data'!I$3:I$3508, SMALL(IF('VEH98 Data'!$AG$3:$AG$3508="TRUE", ROW('VEH98 Data'!I$3:I$3508)-ROW('VEH98 Data'!I$3)+1),ROWS('VEH98 Data'!I$3:'VEH98 Data'!I191))),"")</f>
        <v/>
      </c>
      <c r="E203" s="58" t="str">
        <f t="array" aca="1" ref="E203" ca="1">IFERROR(INDEX('VEH98 Data'!J$3:J$3508, SMALL(IF('VEH98 Data'!$AG$3:$AG$3508="TRUE", ROW('VEH98 Data'!J$3:J$3508)-ROW('VEH98 Data'!J$3)+1),ROWS('VEH98 Data'!J$3:'VEH98 Data'!J191))),"")</f>
        <v/>
      </c>
      <c r="F203" s="58" t="str">
        <f t="array" aca="1" ref="F203" ca="1">IFERROR(INDEX('VEH98 Data'!K$3:K$3508, SMALL(IF('VEH98 Data'!$AG$3:$AG$3508="TRUE", ROW('VEH98 Data'!K$3:K$3508)-ROW('VEH98 Data'!K$3)+1),ROWS('VEH98 Data'!K$3:'VEH98 Data'!K191))),"")</f>
        <v/>
      </c>
      <c r="G203" s="654" t="str">
        <f t="array" aca="1" ref="G203" ca="1">IFERROR(INDEX('VEH98 Data'!R$3:R$3508, SMALL(IF('VEH98 Data'!$AG$3:$AG$3508="TRUE", ROW('VEH98 Data'!R$3:R$3508)-ROW('VEH98 Data'!R$3)+1),ROWS('VEH98 Data'!R$3:'VEH98 Data'!R191))),"")</f>
        <v/>
      </c>
      <c r="H203" s="654" t="str">
        <f t="array" aca="1" ref="H203" ca="1">IFERROR(INDEX('VEH98 Data'!Y$3:Y$3508, SMALL(IF('VEH98 Data'!$AG$3:$AG$3508="TRUE", ROW('VEH98 Data'!Y$3:Y$3508)-ROW('VEH98 Data'!Y$3)+1),ROWS('VEH98 Data'!Y$3:'VEH98 Data'!Y191))),"")</f>
        <v/>
      </c>
      <c r="I203" s="19"/>
      <c r="J203" s="652" t="str">
        <f t="array" aca="1" ref="J203" ca="1">IFERROR(INDEX('VEH98 Data'!H$3:H$3508, SMALL(IF('VEH98 Data'!$AH$3:$AH$3508="TRUE", ROW('VEH98 Data'!H$3:H$3508)-ROW('VEH98 Data'!H$3)+1),ROWS('VEH98 Data'!H$3:'VEH98 Data'!H497))),"")</f>
        <v/>
      </c>
      <c r="K203" s="652" t="str">
        <f t="array" aca="1" ref="K203" ca="1">IFERROR(INDEX('VEH98 Data'!G$3:G$3508, SMALL(IF('VEH98 Data'!$AH$3:$AH$3508="TRUE", ROW('VEH98 Data'!G$3:G$3508)-ROW('VEH98 Data'!G$3)+1),ROWS('VEH98 Data'!G$3:'VEH98 Data'!G497))),"")</f>
        <v/>
      </c>
      <c r="L203" s="652" t="str">
        <f t="array" aca="1" ref="L203" ca="1">IFERROR(INDEX('VEH98 Data'!I$3:I$3508, SMALL(IF('VEH98 Data'!$AH$3:$AH$3508="TRUE", ROW('VEH98 Data'!I$3:I$3508)-ROW('VEH98 Data'!I$3)+1),ROWS('VEH98 Data'!I$3:'VEH98 Data'!I497))),"")</f>
        <v/>
      </c>
      <c r="M203" s="652" t="str">
        <f t="array" aca="1" ref="M203" ca="1">IFERROR(INDEX('VEH98 Data'!J$3:J$3508, SMALL(IF('VEH98 Data'!$AH$3:$AH$3508="TRUE", ROW('VEH98 Data'!J$3:J$3508)-ROW('VEH98 Data'!J$3)+1),ROWS('VEH98 Data'!J$3:'VEH98 Data'!J497))),"")</f>
        <v/>
      </c>
      <c r="N203" s="652" t="str">
        <f t="array" aca="1" ref="N203" ca="1">IFERROR(INDEX('VEH98 Data'!K$3:K$3508, SMALL(IF('VEH98 Data'!$AH$3:$AH$3508="TRUE", ROW('VEH98 Data'!K$3:K$3508)-ROW('VEH98 Data'!K$3)+1),ROWS('VEH98 Data'!K$3:'VEH98 Data'!K497))),"")</f>
        <v/>
      </c>
      <c r="O203" s="653" t="str">
        <f t="array" aca="1" ref="O203" ca="1">IFERROR(INDEX('VEH98 Data'!R$3:R$3508, SMALL(IF('VEH98 Data'!$AH$3:$AH$3508="TRUE", ROW('VEH98 Data'!R$3:R$3508)-ROW('VEH98 Data'!R$3)+1),ROWS('VEH98 Data'!R$3:'VEH98 Data'!R497))),"")</f>
        <v/>
      </c>
      <c r="P203" s="653" t="str">
        <f t="array" aca="1" ref="P203" ca="1">IFERROR(INDEX('VEH98 Data'!Y$3:Y$3508, SMALL(IF('VEH98 Data'!$AH$3:$AH$3508="TRUE", ROW('VEH98 Data'!Y$3:Y$3508)-ROW('VEH98 Data'!Y$3)+1),ROWS('VEH98 Data'!Y$3:'VEH98 Data'!Y497))),"")</f>
        <v/>
      </c>
    </row>
    <row r="204" spans="1:16">
      <c r="A204" s="99"/>
      <c r="B204" s="652"/>
      <c r="C204" s="652" t="str">
        <f t="array" aca="1" ref="C204" ca="1">IFERROR(INDEX('VEH98 Data'!G$3:G$3508, SMALL(IF('VEH98 Data'!$AG$3:$AG$3508="TRUE", ROW('VEH98 Data'!G$3:G$3508)-ROW('VEH98 Data'!G$3)+1),ROWS('VEH98 Data'!G$3:'VEH98 Data'!G192))),"")</f>
        <v/>
      </c>
      <c r="D204" s="652" t="str">
        <f t="array" aca="1" ref="D204" ca="1">IFERROR(INDEX('VEH98 Data'!I$3:I$3508, SMALL(IF('VEH98 Data'!$AG$3:$AG$3508="TRUE", ROW('VEH98 Data'!I$3:I$3508)-ROW('VEH98 Data'!I$3)+1),ROWS('VEH98 Data'!I$3:'VEH98 Data'!I192))),"")</f>
        <v/>
      </c>
      <c r="E204" s="652" t="str">
        <f t="array" aca="1" ref="E204" ca="1">IFERROR(INDEX('VEH98 Data'!J$3:J$3508, SMALL(IF('VEH98 Data'!$AG$3:$AG$3508="TRUE", ROW('VEH98 Data'!J$3:J$3508)-ROW('VEH98 Data'!J$3)+1),ROWS('VEH98 Data'!J$3:'VEH98 Data'!J192))),"")</f>
        <v/>
      </c>
      <c r="F204" s="652" t="str">
        <f t="array" aca="1" ref="F204" ca="1">IFERROR(INDEX('VEH98 Data'!K$3:K$3508, SMALL(IF('VEH98 Data'!$AG$3:$AG$3508="TRUE", ROW('VEH98 Data'!K$3:K$3508)-ROW('VEH98 Data'!K$3)+1),ROWS('VEH98 Data'!K$3:'VEH98 Data'!K192))),"")</f>
        <v/>
      </c>
      <c r="G204" s="653" t="str">
        <f t="array" aca="1" ref="G204" ca="1">IFERROR(INDEX('VEH98 Data'!R$3:R$3508, SMALL(IF('VEH98 Data'!$AG$3:$AG$3508="TRUE", ROW('VEH98 Data'!R$3:R$3508)-ROW('VEH98 Data'!R$3)+1),ROWS('VEH98 Data'!R$3:'VEH98 Data'!R192))),"")</f>
        <v/>
      </c>
      <c r="H204" s="653" t="str">
        <f t="array" aca="1" ref="H204" ca="1">IFERROR(INDEX('VEH98 Data'!Y$3:Y$3508, SMALL(IF('VEH98 Data'!$AG$3:$AG$3508="TRUE", ROW('VEH98 Data'!Y$3:Y$3508)-ROW('VEH98 Data'!Y$3)+1),ROWS('VEH98 Data'!Y$3:'VEH98 Data'!Y192))),"")</f>
        <v/>
      </c>
      <c r="I204" s="19"/>
      <c r="J204" s="58" t="str">
        <f t="array" aca="1" ref="J204" ca="1">IFERROR(INDEX('VEH98 Data'!H$3:H$3508, SMALL(IF('VEH98 Data'!$AH$3:$AH$3508="TRUE", ROW('VEH98 Data'!H$3:H$3508)-ROW('VEH98 Data'!H$3)+1),ROWS('VEH98 Data'!H$3:'VEH98 Data'!H498))),"")</f>
        <v/>
      </c>
      <c r="K204" s="58" t="str">
        <f t="array" aca="1" ref="K204" ca="1">IFERROR(INDEX('VEH98 Data'!G$3:G$3508, SMALL(IF('VEH98 Data'!$AH$3:$AH$3508="TRUE", ROW('VEH98 Data'!G$3:G$3508)-ROW('VEH98 Data'!G$3)+1),ROWS('VEH98 Data'!G$3:'VEH98 Data'!G498))),"")</f>
        <v/>
      </c>
      <c r="L204" s="58" t="str">
        <f t="array" aca="1" ref="L204" ca="1">IFERROR(INDEX('VEH98 Data'!I$3:I$3508, SMALL(IF('VEH98 Data'!$AH$3:$AH$3508="TRUE", ROW('VEH98 Data'!I$3:I$3508)-ROW('VEH98 Data'!I$3)+1),ROWS('VEH98 Data'!I$3:'VEH98 Data'!I498))),"")</f>
        <v/>
      </c>
      <c r="M204" s="58" t="str">
        <f t="array" aca="1" ref="M204" ca="1">IFERROR(INDEX('VEH98 Data'!J$3:J$3508, SMALL(IF('VEH98 Data'!$AH$3:$AH$3508="TRUE", ROW('VEH98 Data'!J$3:J$3508)-ROW('VEH98 Data'!J$3)+1),ROWS('VEH98 Data'!J$3:'VEH98 Data'!J498))),"")</f>
        <v/>
      </c>
      <c r="N204" s="58" t="str">
        <f t="array" aca="1" ref="N204" ca="1">IFERROR(INDEX('VEH98 Data'!K$3:K$3508, SMALL(IF('VEH98 Data'!$AH$3:$AH$3508="TRUE", ROW('VEH98 Data'!K$3:K$3508)-ROW('VEH98 Data'!K$3)+1),ROWS('VEH98 Data'!K$3:'VEH98 Data'!K498))),"")</f>
        <v/>
      </c>
      <c r="O204" s="654" t="str">
        <f t="array" aca="1" ref="O204" ca="1">IFERROR(INDEX('VEH98 Data'!R$3:R$3508, SMALL(IF('VEH98 Data'!$AH$3:$AH$3508="TRUE", ROW('VEH98 Data'!R$3:R$3508)-ROW('VEH98 Data'!R$3)+1),ROWS('VEH98 Data'!R$3:'VEH98 Data'!R498))),"")</f>
        <v/>
      </c>
      <c r="P204" s="654" t="str">
        <f t="array" aca="1" ref="P204" ca="1">IFERROR(INDEX('VEH98 Data'!Y$3:Y$3508, SMALL(IF('VEH98 Data'!$AH$3:$AH$3508="TRUE", ROW('VEH98 Data'!Y$3:Y$3508)-ROW('VEH98 Data'!Y$3)+1),ROWS('VEH98 Data'!Y$3:'VEH98 Data'!Y498))),"")</f>
        <v/>
      </c>
    </row>
    <row r="205" spans="1:16">
      <c r="A205" s="99"/>
      <c r="B205" s="58"/>
      <c r="C205" s="58" t="str">
        <f t="array" aca="1" ref="C205" ca="1">IFERROR(INDEX('VEH98 Data'!G$3:G$3508, SMALL(IF('VEH98 Data'!$AG$3:$AG$3508="TRUE", ROW('VEH98 Data'!G$3:G$3508)-ROW('VEH98 Data'!G$3)+1),ROWS('VEH98 Data'!G$3:'VEH98 Data'!G193))),"")</f>
        <v/>
      </c>
      <c r="D205" s="58" t="str">
        <f t="array" aca="1" ref="D205" ca="1">IFERROR(INDEX('VEH98 Data'!I$3:I$3508, SMALL(IF('VEH98 Data'!$AG$3:$AG$3508="TRUE", ROW('VEH98 Data'!I$3:I$3508)-ROW('VEH98 Data'!I$3)+1),ROWS('VEH98 Data'!I$3:'VEH98 Data'!I193))),"")</f>
        <v/>
      </c>
      <c r="E205" s="58" t="str">
        <f t="array" aca="1" ref="E205" ca="1">IFERROR(INDEX('VEH98 Data'!J$3:J$3508, SMALL(IF('VEH98 Data'!$AG$3:$AG$3508="TRUE", ROW('VEH98 Data'!J$3:J$3508)-ROW('VEH98 Data'!J$3)+1),ROWS('VEH98 Data'!J$3:'VEH98 Data'!J193))),"")</f>
        <v/>
      </c>
      <c r="F205" s="58" t="str">
        <f t="array" aca="1" ref="F205" ca="1">IFERROR(INDEX('VEH98 Data'!K$3:K$3508, SMALL(IF('VEH98 Data'!$AG$3:$AG$3508="TRUE", ROW('VEH98 Data'!K$3:K$3508)-ROW('VEH98 Data'!K$3)+1),ROWS('VEH98 Data'!K$3:'VEH98 Data'!K193))),"")</f>
        <v/>
      </c>
      <c r="G205" s="654" t="str">
        <f t="array" aca="1" ref="G205" ca="1">IFERROR(INDEX('VEH98 Data'!R$3:R$3508, SMALL(IF('VEH98 Data'!$AG$3:$AG$3508="TRUE", ROW('VEH98 Data'!R$3:R$3508)-ROW('VEH98 Data'!R$3)+1),ROWS('VEH98 Data'!R$3:'VEH98 Data'!R193))),"")</f>
        <v/>
      </c>
      <c r="H205" s="654" t="str">
        <f t="array" aca="1" ref="H205" ca="1">IFERROR(INDEX('VEH98 Data'!Y$3:Y$3508, SMALL(IF('VEH98 Data'!$AG$3:$AG$3508="TRUE", ROW('VEH98 Data'!Y$3:Y$3508)-ROW('VEH98 Data'!Y$3)+1),ROWS('VEH98 Data'!Y$3:'VEH98 Data'!Y193))),"")</f>
        <v/>
      </c>
      <c r="I205" s="19"/>
      <c r="J205" s="652" t="str">
        <f t="array" aca="1" ref="J205" ca="1">IFERROR(INDEX('VEH98 Data'!H$3:H$3508, SMALL(IF('VEH98 Data'!$AH$3:$AH$3508="TRUE", ROW('VEH98 Data'!H$3:H$3508)-ROW('VEH98 Data'!H$3)+1),ROWS('VEH98 Data'!H$3:'VEH98 Data'!H499))),"")</f>
        <v/>
      </c>
      <c r="K205" s="652" t="str">
        <f t="array" aca="1" ref="K205" ca="1">IFERROR(INDEX('VEH98 Data'!G$3:G$3508, SMALL(IF('VEH98 Data'!$AH$3:$AH$3508="TRUE", ROW('VEH98 Data'!G$3:G$3508)-ROW('VEH98 Data'!G$3)+1),ROWS('VEH98 Data'!G$3:'VEH98 Data'!G499))),"")</f>
        <v/>
      </c>
      <c r="L205" s="652" t="str">
        <f t="array" aca="1" ref="L205" ca="1">IFERROR(INDEX('VEH98 Data'!I$3:I$3508, SMALL(IF('VEH98 Data'!$AH$3:$AH$3508="TRUE", ROW('VEH98 Data'!I$3:I$3508)-ROW('VEH98 Data'!I$3)+1),ROWS('VEH98 Data'!I$3:'VEH98 Data'!I499))),"")</f>
        <v/>
      </c>
      <c r="M205" s="652" t="str">
        <f t="array" aca="1" ref="M205" ca="1">IFERROR(INDEX('VEH98 Data'!J$3:J$3508, SMALL(IF('VEH98 Data'!$AH$3:$AH$3508="TRUE", ROW('VEH98 Data'!J$3:J$3508)-ROW('VEH98 Data'!J$3)+1),ROWS('VEH98 Data'!J$3:'VEH98 Data'!J499))),"")</f>
        <v/>
      </c>
      <c r="N205" s="652" t="str">
        <f t="array" aca="1" ref="N205" ca="1">IFERROR(INDEX('VEH98 Data'!K$3:K$3508, SMALL(IF('VEH98 Data'!$AH$3:$AH$3508="TRUE", ROW('VEH98 Data'!K$3:K$3508)-ROW('VEH98 Data'!K$3)+1),ROWS('VEH98 Data'!K$3:'VEH98 Data'!K499))),"")</f>
        <v/>
      </c>
      <c r="O205" s="653" t="str">
        <f t="array" aca="1" ref="O205" ca="1">IFERROR(INDEX('VEH98 Data'!R$3:R$3508, SMALL(IF('VEH98 Data'!$AH$3:$AH$3508="TRUE", ROW('VEH98 Data'!R$3:R$3508)-ROW('VEH98 Data'!R$3)+1),ROWS('VEH98 Data'!R$3:'VEH98 Data'!R499))),"")</f>
        <v/>
      </c>
      <c r="P205" s="653" t="str">
        <f t="array" aca="1" ref="P205" ca="1">IFERROR(INDEX('VEH98 Data'!Y$3:Y$3508, SMALL(IF('VEH98 Data'!$AH$3:$AH$3508="TRUE", ROW('VEH98 Data'!Y$3:Y$3508)-ROW('VEH98 Data'!Y$3)+1),ROWS('VEH98 Data'!Y$3:'VEH98 Data'!Y499))),"")</f>
        <v/>
      </c>
    </row>
    <row r="206" spans="1:16">
      <c r="A206" s="99"/>
      <c r="B206" s="652"/>
      <c r="C206" s="652" t="str">
        <f t="array" aca="1" ref="C206" ca="1">IFERROR(INDEX('VEH98 Data'!G$3:G$3508, SMALL(IF('VEH98 Data'!$AG$3:$AG$3508="TRUE", ROW('VEH98 Data'!G$3:G$3508)-ROW('VEH98 Data'!G$3)+1),ROWS('VEH98 Data'!G$3:'VEH98 Data'!G194))),"")</f>
        <v/>
      </c>
      <c r="D206" s="652" t="str">
        <f t="array" aca="1" ref="D206" ca="1">IFERROR(INDEX('VEH98 Data'!I$3:I$3508, SMALL(IF('VEH98 Data'!$AG$3:$AG$3508="TRUE", ROW('VEH98 Data'!I$3:I$3508)-ROW('VEH98 Data'!I$3)+1),ROWS('VEH98 Data'!I$3:'VEH98 Data'!I194))),"")</f>
        <v/>
      </c>
      <c r="E206" s="652" t="str">
        <f t="array" aca="1" ref="E206" ca="1">IFERROR(INDEX('VEH98 Data'!J$3:J$3508, SMALL(IF('VEH98 Data'!$AG$3:$AG$3508="TRUE", ROW('VEH98 Data'!J$3:J$3508)-ROW('VEH98 Data'!J$3)+1),ROWS('VEH98 Data'!J$3:'VEH98 Data'!J194))),"")</f>
        <v/>
      </c>
      <c r="F206" s="652" t="str">
        <f t="array" aca="1" ref="F206" ca="1">IFERROR(INDEX('VEH98 Data'!K$3:K$3508, SMALL(IF('VEH98 Data'!$AG$3:$AG$3508="TRUE", ROW('VEH98 Data'!K$3:K$3508)-ROW('VEH98 Data'!K$3)+1),ROWS('VEH98 Data'!K$3:'VEH98 Data'!K194))),"")</f>
        <v/>
      </c>
      <c r="G206" s="653" t="str">
        <f t="array" aca="1" ref="G206" ca="1">IFERROR(INDEX('VEH98 Data'!R$3:R$3508, SMALL(IF('VEH98 Data'!$AG$3:$AG$3508="TRUE", ROW('VEH98 Data'!R$3:R$3508)-ROW('VEH98 Data'!R$3)+1),ROWS('VEH98 Data'!R$3:'VEH98 Data'!R194))),"")</f>
        <v/>
      </c>
      <c r="H206" s="653" t="str">
        <f t="array" aca="1" ref="H206" ca="1">IFERROR(INDEX('VEH98 Data'!Y$3:Y$3508, SMALL(IF('VEH98 Data'!$AG$3:$AG$3508="TRUE", ROW('VEH98 Data'!Y$3:Y$3508)-ROW('VEH98 Data'!Y$3)+1),ROWS('VEH98 Data'!Y$3:'VEH98 Data'!Y194))),"")</f>
        <v/>
      </c>
      <c r="I206" s="19"/>
      <c r="J206" s="58" t="str">
        <f t="array" aca="1" ref="J206" ca="1">IFERROR(INDEX('VEH98 Data'!H$3:H$3508, SMALL(IF('VEH98 Data'!$AH$3:$AH$3508="TRUE", ROW('VEH98 Data'!H$3:H$3508)-ROW('VEH98 Data'!H$3)+1),ROWS('VEH98 Data'!H$3:'VEH98 Data'!H500))),"")</f>
        <v/>
      </c>
      <c r="K206" s="58" t="str">
        <f t="array" aca="1" ref="K206" ca="1">IFERROR(INDEX('VEH98 Data'!G$3:G$3508, SMALL(IF('VEH98 Data'!$AH$3:$AH$3508="TRUE", ROW('VEH98 Data'!G$3:G$3508)-ROW('VEH98 Data'!G$3)+1),ROWS('VEH98 Data'!G$3:'VEH98 Data'!G500))),"")</f>
        <v/>
      </c>
      <c r="L206" s="58" t="str">
        <f t="array" aca="1" ref="L206" ca="1">IFERROR(INDEX('VEH98 Data'!I$3:I$3508, SMALL(IF('VEH98 Data'!$AH$3:$AH$3508="TRUE", ROW('VEH98 Data'!I$3:I$3508)-ROW('VEH98 Data'!I$3)+1),ROWS('VEH98 Data'!I$3:'VEH98 Data'!I500))),"")</f>
        <v/>
      </c>
      <c r="M206" s="58" t="str">
        <f t="array" aca="1" ref="M206" ca="1">IFERROR(INDEX('VEH98 Data'!J$3:J$3508, SMALL(IF('VEH98 Data'!$AH$3:$AH$3508="TRUE", ROW('VEH98 Data'!J$3:J$3508)-ROW('VEH98 Data'!J$3)+1),ROWS('VEH98 Data'!J$3:'VEH98 Data'!J500))),"")</f>
        <v/>
      </c>
      <c r="N206" s="58" t="str">
        <f t="array" aca="1" ref="N206" ca="1">IFERROR(INDEX('VEH98 Data'!K$3:K$3508, SMALL(IF('VEH98 Data'!$AH$3:$AH$3508="TRUE", ROW('VEH98 Data'!K$3:K$3508)-ROW('VEH98 Data'!K$3)+1),ROWS('VEH98 Data'!K$3:'VEH98 Data'!K500))),"")</f>
        <v/>
      </c>
      <c r="O206" s="654" t="str">
        <f t="array" aca="1" ref="O206" ca="1">IFERROR(INDEX('VEH98 Data'!R$3:R$3508, SMALL(IF('VEH98 Data'!$AH$3:$AH$3508="TRUE", ROW('VEH98 Data'!R$3:R$3508)-ROW('VEH98 Data'!R$3)+1),ROWS('VEH98 Data'!R$3:'VEH98 Data'!R500))),"")</f>
        <v/>
      </c>
      <c r="P206" s="654" t="str">
        <f t="array" aca="1" ref="P206" ca="1">IFERROR(INDEX('VEH98 Data'!Y$3:Y$3508, SMALL(IF('VEH98 Data'!$AH$3:$AH$3508="TRUE", ROW('VEH98 Data'!Y$3:Y$3508)-ROW('VEH98 Data'!Y$3)+1),ROWS('VEH98 Data'!Y$3:'VEH98 Data'!Y500))),"")</f>
        <v/>
      </c>
    </row>
    <row r="207" spans="1:16">
      <c r="A207" s="99"/>
      <c r="B207" s="58"/>
      <c r="C207" s="58" t="str">
        <f t="array" aca="1" ref="C207" ca="1">IFERROR(INDEX('VEH98 Data'!G$3:G$3508, SMALL(IF('VEH98 Data'!$AG$3:$AG$3508="TRUE", ROW('VEH98 Data'!G$3:G$3508)-ROW('VEH98 Data'!G$3)+1),ROWS('VEH98 Data'!G$3:'VEH98 Data'!G195))),"")</f>
        <v/>
      </c>
      <c r="D207" s="58" t="str">
        <f t="array" aca="1" ref="D207" ca="1">IFERROR(INDEX('VEH98 Data'!I$3:I$3508, SMALL(IF('VEH98 Data'!$AG$3:$AG$3508="TRUE", ROW('VEH98 Data'!I$3:I$3508)-ROW('VEH98 Data'!I$3)+1),ROWS('VEH98 Data'!I$3:'VEH98 Data'!I195))),"")</f>
        <v/>
      </c>
      <c r="E207" s="58" t="str">
        <f t="array" aca="1" ref="E207" ca="1">IFERROR(INDEX('VEH98 Data'!J$3:J$3508, SMALL(IF('VEH98 Data'!$AG$3:$AG$3508="TRUE", ROW('VEH98 Data'!J$3:J$3508)-ROW('VEH98 Data'!J$3)+1),ROWS('VEH98 Data'!J$3:'VEH98 Data'!J195))),"")</f>
        <v/>
      </c>
      <c r="F207" s="58" t="str">
        <f t="array" aca="1" ref="F207" ca="1">IFERROR(INDEX('VEH98 Data'!K$3:K$3508, SMALL(IF('VEH98 Data'!$AG$3:$AG$3508="TRUE", ROW('VEH98 Data'!K$3:K$3508)-ROW('VEH98 Data'!K$3)+1),ROWS('VEH98 Data'!K$3:'VEH98 Data'!K195))),"")</f>
        <v/>
      </c>
      <c r="G207" s="654" t="str">
        <f t="array" aca="1" ref="G207" ca="1">IFERROR(INDEX('VEH98 Data'!R$3:R$3508, SMALL(IF('VEH98 Data'!$AG$3:$AG$3508="TRUE", ROW('VEH98 Data'!R$3:R$3508)-ROW('VEH98 Data'!R$3)+1),ROWS('VEH98 Data'!R$3:'VEH98 Data'!R195))),"")</f>
        <v/>
      </c>
      <c r="H207" s="654" t="str">
        <f t="array" aca="1" ref="H207" ca="1">IFERROR(INDEX('VEH98 Data'!Y$3:Y$3508, SMALL(IF('VEH98 Data'!$AG$3:$AG$3508="TRUE", ROW('VEH98 Data'!Y$3:Y$3508)-ROW('VEH98 Data'!Y$3)+1),ROWS('VEH98 Data'!Y$3:'VEH98 Data'!Y195))),"")</f>
        <v/>
      </c>
      <c r="I207" s="19"/>
      <c r="J207" s="652" t="str">
        <f t="array" aca="1" ref="J207" ca="1">IFERROR(INDEX('VEH98 Data'!H$3:H$3508, SMALL(IF('VEH98 Data'!$AH$3:$AH$3508="TRUE", ROW('VEH98 Data'!H$3:H$3508)-ROW('VEH98 Data'!H$3)+1),ROWS('VEH98 Data'!H$3:'VEH98 Data'!H501))),"")</f>
        <v/>
      </c>
      <c r="K207" s="652" t="str">
        <f t="array" aca="1" ref="K207" ca="1">IFERROR(INDEX('VEH98 Data'!G$3:G$3508, SMALL(IF('VEH98 Data'!$AH$3:$AH$3508="TRUE", ROW('VEH98 Data'!G$3:G$3508)-ROW('VEH98 Data'!G$3)+1),ROWS('VEH98 Data'!G$3:'VEH98 Data'!G501))),"")</f>
        <v/>
      </c>
      <c r="L207" s="652" t="str">
        <f t="array" aca="1" ref="L207" ca="1">IFERROR(INDEX('VEH98 Data'!I$3:I$3508, SMALL(IF('VEH98 Data'!$AH$3:$AH$3508="TRUE", ROW('VEH98 Data'!I$3:I$3508)-ROW('VEH98 Data'!I$3)+1),ROWS('VEH98 Data'!I$3:'VEH98 Data'!I501))),"")</f>
        <v/>
      </c>
      <c r="M207" s="652" t="str">
        <f t="array" aca="1" ref="M207" ca="1">IFERROR(INDEX('VEH98 Data'!J$3:J$3508, SMALL(IF('VEH98 Data'!$AH$3:$AH$3508="TRUE", ROW('VEH98 Data'!J$3:J$3508)-ROW('VEH98 Data'!J$3)+1),ROWS('VEH98 Data'!J$3:'VEH98 Data'!J501))),"")</f>
        <v/>
      </c>
      <c r="N207" s="652" t="str">
        <f t="array" aca="1" ref="N207" ca="1">IFERROR(INDEX('VEH98 Data'!K$3:K$3508, SMALL(IF('VEH98 Data'!$AH$3:$AH$3508="TRUE", ROW('VEH98 Data'!K$3:K$3508)-ROW('VEH98 Data'!K$3)+1),ROWS('VEH98 Data'!K$3:'VEH98 Data'!K501))),"")</f>
        <v/>
      </c>
      <c r="O207" s="653" t="str">
        <f t="array" aca="1" ref="O207" ca="1">IFERROR(INDEX('VEH98 Data'!R$3:R$3508, SMALL(IF('VEH98 Data'!$AH$3:$AH$3508="TRUE", ROW('VEH98 Data'!R$3:R$3508)-ROW('VEH98 Data'!R$3)+1),ROWS('VEH98 Data'!R$3:'VEH98 Data'!R501))),"")</f>
        <v/>
      </c>
      <c r="P207" s="653" t="str">
        <f t="array" aca="1" ref="P207" ca="1">IFERROR(INDEX('VEH98 Data'!Y$3:Y$3508, SMALL(IF('VEH98 Data'!$AH$3:$AH$3508="TRUE", ROW('VEH98 Data'!Y$3:Y$3508)-ROW('VEH98 Data'!Y$3)+1),ROWS('VEH98 Data'!Y$3:'VEH98 Data'!Y501))),"")</f>
        <v/>
      </c>
    </row>
    <row r="208" spans="1:16">
      <c r="A208" s="99"/>
      <c r="B208" s="652"/>
      <c r="C208" s="652" t="str">
        <f t="array" aca="1" ref="C208" ca="1">IFERROR(INDEX('VEH98 Data'!G$3:G$3508, SMALL(IF('VEH98 Data'!$AG$3:$AG$3508="TRUE", ROW('VEH98 Data'!G$3:G$3508)-ROW('VEH98 Data'!G$3)+1),ROWS('VEH98 Data'!G$3:'VEH98 Data'!G196))),"")</f>
        <v/>
      </c>
      <c r="D208" s="652" t="str">
        <f t="array" aca="1" ref="D208" ca="1">IFERROR(INDEX('VEH98 Data'!I$3:I$3508, SMALL(IF('VEH98 Data'!$AG$3:$AG$3508="TRUE", ROW('VEH98 Data'!I$3:I$3508)-ROW('VEH98 Data'!I$3)+1),ROWS('VEH98 Data'!I$3:'VEH98 Data'!I196))),"")</f>
        <v/>
      </c>
      <c r="E208" s="652" t="str">
        <f t="array" aca="1" ref="E208" ca="1">IFERROR(INDEX('VEH98 Data'!J$3:J$3508, SMALL(IF('VEH98 Data'!$AG$3:$AG$3508="TRUE", ROW('VEH98 Data'!J$3:J$3508)-ROW('VEH98 Data'!J$3)+1),ROWS('VEH98 Data'!J$3:'VEH98 Data'!J196))),"")</f>
        <v/>
      </c>
      <c r="F208" s="652" t="str">
        <f t="array" aca="1" ref="F208" ca="1">IFERROR(INDEX('VEH98 Data'!K$3:K$3508, SMALL(IF('VEH98 Data'!$AG$3:$AG$3508="TRUE", ROW('VEH98 Data'!K$3:K$3508)-ROW('VEH98 Data'!K$3)+1),ROWS('VEH98 Data'!K$3:'VEH98 Data'!K196))),"")</f>
        <v/>
      </c>
      <c r="G208" s="653" t="str">
        <f t="array" aca="1" ref="G208" ca="1">IFERROR(INDEX('VEH98 Data'!R$3:R$3508, SMALL(IF('VEH98 Data'!$AG$3:$AG$3508="TRUE", ROW('VEH98 Data'!R$3:R$3508)-ROW('VEH98 Data'!R$3)+1),ROWS('VEH98 Data'!R$3:'VEH98 Data'!R196))),"")</f>
        <v/>
      </c>
      <c r="H208" s="653" t="str">
        <f t="array" aca="1" ref="H208" ca="1">IFERROR(INDEX('VEH98 Data'!Y$3:Y$3508, SMALL(IF('VEH98 Data'!$AG$3:$AG$3508="TRUE", ROW('VEH98 Data'!Y$3:Y$3508)-ROW('VEH98 Data'!Y$3)+1),ROWS('VEH98 Data'!Y$3:'VEH98 Data'!Y196))),"")</f>
        <v/>
      </c>
      <c r="I208" s="19"/>
      <c r="J208" s="58" t="str">
        <f t="array" aca="1" ref="J208" ca="1">IFERROR(INDEX('VEH98 Data'!H$3:H$3508, SMALL(IF('VEH98 Data'!$AH$3:$AH$3508="TRUE", ROW('VEH98 Data'!H$3:H$3508)-ROW('VEH98 Data'!H$3)+1),ROWS('VEH98 Data'!H$3:'VEH98 Data'!H502))),"")</f>
        <v/>
      </c>
      <c r="K208" s="58" t="str">
        <f t="array" aca="1" ref="K208" ca="1">IFERROR(INDEX('VEH98 Data'!G$3:G$3508, SMALL(IF('VEH98 Data'!$AH$3:$AH$3508="TRUE", ROW('VEH98 Data'!G$3:G$3508)-ROW('VEH98 Data'!G$3)+1),ROWS('VEH98 Data'!G$3:'VEH98 Data'!G502))),"")</f>
        <v/>
      </c>
      <c r="L208" s="58" t="str">
        <f t="array" aca="1" ref="L208" ca="1">IFERROR(INDEX('VEH98 Data'!I$3:I$3508, SMALL(IF('VEH98 Data'!$AH$3:$AH$3508="TRUE", ROW('VEH98 Data'!I$3:I$3508)-ROW('VEH98 Data'!I$3)+1),ROWS('VEH98 Data'!I$3:'VEH98 Data'!I502))),"")</f>
        <v/>
      </c>
      <c r="M208" s="58" t="str">
        <f t="array" aca="1" ref="M208" ca="1">IFERROR(INDEX('VEH98 Data'!J$3:J$3508, SMALL(IF('VEH98 Data'!$AH$3:$AH$3508="TRUE", ROW('VEH98 Data'!J$3:J$3508)-ROW('VEH98 Data'!J$3)+1),ROWS('VEH98 Data'!J$3:'VEH98 Data'!J502))),"")</f>
        <v/>
      </c>
      <c r="N208" s="58" t="str">
        <f t="array" aca="1" ref="N208" ca="1">IFERROR(INDEX('VEH98 Data'!K$3:K$3508, SMALL(IF('VEH98 Data'!$AH$3:$AH$3508="TRUE", ROW('VEH98 Data'!K$3:K$3508)-ROW('VEH98 Data'!K$3)+1),ROWS('VEH98 Data'!K$3:'VEH98 Data'!K502))),"")</f>
        <v/>
      </c>
      <c r="O208" s="654" t="str">
        <f t="array" aca="1" ref="O208" ca="1">IFERROR(INDEX('VEH98 Data'!R$3:R$3508, SMALL(IF('VEH98 Data'!$AH$3:$AH$3508="TRUE", ROW('VEH98 Data'!R$3:R$3508)-ROW('VEH98 Data'!R$3)+1),ROWS('VEH98 Data'!R$3:'VEH98 Data'!R502))),"")</f>
        <v/>
      </c>
      <c r="P208" s="654" t="str">
        <f t="array" aca="1" ref="P208" ca="1">IFERROR(INDEX('VEH98 Data'!Y$3:Y$3508, SMALL(IF('VEH98 Data'!$AH$3:$AH$3508="TRUE", ROW('VEH98 Data'!Y$3:Y$3508)-ROW('VEH98 Data'!Y$3)+1),ROWS('VEH98 Data'!Y$3:'VEH98 Data'!Y502))),"")</f>
        <v/>
      </c>
    </row>
    <row r="209" spans="1:16">
      <c r="A209" s="99"/>
      <c r="B209" s="58"/>
      <c r="C209" s="58" t="str">
        <f t="array" aca="1" ref="C209" ca="1">IFERROR(INDEX('VEH98 Data'!G$3:G$3508, SMALL(IF('VEH98 Data'!$AG$3:$AG$3508="TRUE", ROW('VEH98 Data'!G$3:G$3508)-ROW('VEH98 Data'!G$3)+1),ROWS('VEH98 Data'!G$3:'VEH98 Data'!G197))),"")</f>
        <v/>
      </c>
      <c r="D209" s="58" t="str">
        <f t="array" aca="1" ref="D209" ca="1">IFERROR(INDEX('VEH98 Data'!I$3:I$3508, SMALL(IF('VEH98 Data'!$AG$3:$AG$3508="TRUE", ROW('VEH98 Data'!I$3:I$3508)-ROW('VEH98 Data'!I$3)+1),ROWS('VEH98 Data'!I$3:'VEH98 Data'!I197))),"")</f>
        <v/>
      </c>
      <c r="E209" s="58" t="str">
        <f t="array" aca="1" ref="E209" ca="1">IFERROR(INDEX('VEH98 Data'!J$3:J$3508, SMALL(IF('VEH98 Data'!$AG$3:$AG$3508="TRUE", ROW('VEH98 Data'!J$3:J$3508)-ROW('VEH98 Data'!J$3)+1),ROWS('VEH98 Data'!J$3:'VEH98 Data'!J197))),"")</f>
        <v/>
      </c>
      <c r="F209" s="58" t="str">
        <f t="array" aca="1" ref="F209" ca="1">IFERROR(INDEX('VEH98 Data'!K$3:K$3508, SMALL(IF('VEH98 Data'!$AG$3:$AG$3508="TRUE", ROW('VEH98 Data'!K$3:K$3508)-ROW('VEH98 Data'!K$3)+1),ROWS('VEH98 Data'!K$3:'VEH98 Data'!K197))),"")</f>
        <v/>
      </c>
      <c r="G209" s="654" t="str">
        <f t="array" aca="1" ref="G209" ca="1">IFERROR(INDEX('VEH98 Data'!R$3:R$3508, SMALL(IF('VEH98 Data'!$AG$3:$AG$3508="TRUE", ROW('VEH98 Data'!R$3:R$3508)-ROW('VEH98 Data'!R$3)+1),ROWS('VEH98 Data'!R$3:'VEH98 Data'!R197))),"")</f>
        <v/>
      </c>
      <c r="H209" s="654" t="str">
        <f t="array" aca="1" ref="H209" ca="1">IFERROR(INDEX('VEH98 Data'!Y$3:Y$3508, SMALL(IF('VEH98 Data'!$AG$3:$AG$3508="TRUE", ROW('VEH98 Data'!Y$3:Y$3508)-ROW('VEH98 Data'!Y$3)+1),ROWS('VEH98 Data'!Y$3:'VEH98 Data'!Y197))),"")</f>
        <v/>
      </c>
      <c r="I209" s="19"/>
      <c r="J209" s="652" t="str">
        <f t="array" aca="1" ref="J209" ca="1">IFERROR(INDEX('VEH98 Data'!H$3:H$3508, SMALL(IF('VEH98 Data'!$AH$3:$AH$3508="TRUE", ROW('VEH98 Data'!H$3:H$3508)-ROW('VEH98 Data'!H$3)+1),ROWS('VEH98 Data'!H$3:'VEH98 Data'!H503))),"")</f>
        <v/>
      </c>
      <c r="K209" s="652" t="str">
        <f t="array" aca="1" ref="K209" ca="1">IFERROR(INDEX('VEH98 Data'!G$3:G$3508, SMALL(IF('VEH98 Data'!$AH$3:$AH$3508="TRUE", ROW('VEH98 Data'!G$3:G$3508)-ROW('VEH98 Data'!G$3)+1),ROWS('VEH98 Data'!G$3:'VEH98 Data'!G503))),"")</f>
        <v/>
      </c>
      <c r="L209" s="652" t="str">
        <f t="array" aca="1" ref="L209" ca="1">IFERROR(INDEX('VEH98 Data'!I$3:I$3508, SMALL(IF('VEH98 Data'!$AH$3:$AH$3508="TRUE", ROW('VEH98 Data'!I$3:I$3508)-ROW('VEH98 Data'!I$3)+1),ROWS('VEH98 Data'!I$3:'VEH98 Data'!I503))),"")</f>
        <v/>
      </c>
      <c r="M209" s="652" t="str">
        <f t="array" aca="1" ref="M209" ca="1">IFERROR(INDEX('VEH98 Data'!J$3:J$3508, SMALL(IF('VEH98 Data'!$AH$3:$AH$3508="TRUE", ROW('VEH98 Data'!J$3:J$3508)-ROW('VEH98 Data'!J$3)+1),ROWS('VEH98 Data'!J$3:'VEH98 Data'!J503))),"")</f>
        <v/>
      </c>
      <c r="N209" s="652" t="str">
        <f t="array" aca="1" ref="N209" ca="1">IFERROR(INDEX('VEH98 Data'!K$3:K$3508, SMALL(IF('VEH98 Data'!$AH$3:$AH$3508="TRUE", ROW('VEH98 Data'!K$3:K$3508)-ROW('VEH98 Data'!K$3)+1),ROWS('VEH98 Data'!K$3:'VEH98 Data'!K503))),"")</f>
        <v/>
      </c>
      <c r="O209" s="653" t="str">
        <f t="array" aca="1" ref="O209" ca="1">IFERROR(INDEX('VEH98 Data'!R$3:R$3508, SMALL(IF('VEH98 Data'!$AH$3:$AH$3508="TRUE", ROW('VEH98 Data'!R$3:R$3508)-ROW('VEH98 Data'!R$3)+1),ROWS('VEH98 Data'!R$3:'VEH98 Data'!R503))),"")</f>
        <v/>
      </c>
      <c r="P209" s="653" t="str">
        <f t="array" aca="1" ref="P209" ca="1">IFERROR(INDEX('VEH98 Data'!Y$3:Y$3508, SMALL(IF('VEH98 Data'!$AH$3:$AH$3508="TRUE", ROW('VEH98 Data'!Y$3:Y$3508)-ROW('VEH98 Data'!Y$3)+1),ROWS('VEH98 Data'!Y$3:'VEH98 Data'!Y503))),"")</f>
        <v/>
      </c>
    </row>
    <row r="210" spans="1:16">
      <c r="A210" s="99"/>
      <c r="B210" s="652"/>
      <c r="C210" s="652" t="str">
        <f t="array" aca="1" ref="C210" ca="1">IFERROR(INDEX('VEH98 Data'!G$3:G$3508, SMALL(IF('VEH98 Data'!$AG$3:$AG$3508="TRUE", ROW('VEH98 Data'!G$3:G$3508)-ROW('VEH98 Data'!G$3)+1),ROWS('VEH98 Data'!G$3:'VEH98 Data'!G198))),"")</f>
        <v/>
      </c>
      <c r="D210" s="652" t="str">
        <f t="array" aca="1" ref="D210" ca="1">IFERROR(INDEX('VEH98 Data'!I$3:I$3508, SMALL(IF('VEH98 Data'!$AG$3:$AG$3508="TRUE", ROW('VEH98 Data'!I$3:I$3508)-ROW('VEH98 Data'!I$3)+1),ROWS('VEH98 Data'!I$3:'VEH98 Data'!I198))),"")</f>
        <v/>
      </c>
      <c r="E210" s="652" t="str">
        <f t="array" aca="1" ref="E210" ca="1">IFERROR(INDEX('VEH98 Data'!J$3:J$3508, SMALL(IF('VEH98 Data'!$AG$3:$AG$3508="TRUE", ROW('VEH98 Data'!J$3:J$3508)-ROW('VEH98 Data'!J$3)+1),ROWS('VEH98 Data'!J$3:'VEH98 Data'!J198))),"")</f>
        <v/>
      </c>
      <c r="F210" s="652" t="str">
        <f t="array" aca="1" ref="F210" ca="1">IFERROR(INDEX('VEH98 Data'!K$3:K$3508, SMALL(IF('VEH98 Data'!$AG$3:$AG$3508="TRUE", ROW('VEH98 Data'!K$3:K$3508)-ROW('VEH98 Data'!K$3)+1),ROWS('VEH98 Data'!K$3:'VEH98 Data'!K198))),"")</f>
        <v/>
      </c>
      <c r="G210" s="653" t="str">
        <f t="array" aca="1" ref="G210" ca="1">IFERROR(INDEX('VEH98 Data'!R$3:R$3508, SMALL(IF('VEH98 Data'!$AG$3:$AG$3508="TRUE", ROW('VEH98 Data'!R$3:R$3508)-ROW('VEH98 Data'!R$3)+1),ROWS('VEH98 Data'!R$3:'VEH98 Data'!R198))),"")</f>
        <v/>
      </c>
      <c r="H210" s="653" t="str">
        <f t="array" aca="1" ref="H210" ca="1">IFERROR(INDEX('VEH98 Data'!Y$3:Y$3508, SMALL(IF('VEH98 Data'!$AG$3:$AG$3508="TRUE", ROW('VEH98 Data'!Y$3:Y$3508)-ROW('VEH98 Data'!Y$3)+1),ROWS('VEH98 Data'!Y$3:'VEH98 Data'!Y198))),"")</f>
        <v/>
      </c>
      <c r="I210" s="19"/>
      <c r="J210" s="58" t="str">
        <f t="array" aca="1" ref="J210" ca="1">IFERROR(INDEX('VEH98 Data'!H$3:H$3508, SMALL(IF('VEH98 Data'!$AH$3:$AH$3508="TRUE", ROW('VEH98 Data'!H$3:H$3508)-ROW('VEH98 Data'!H$3)+1),ROWS('VEH98 Data'!H$3:'VEH98 Data'!H504))),"")</f>
        <v/>
      </c>
      <c r="K210" s="58" t="str">
        <f t="array" aca="1" ref="K210" ca="1">IFERROR(INDEX('VEH98 Data'!G$3:G$3508, SMALL(IF('VEH98 Data'!$AH$3:$AH$3508="TRUE", ROW('VEH98 Data'!G$3:G$3508)-ROW('VEH98 Data'!G$3)+1),ROWS('VEH98 Data'!G$3:'VEH98 Data'!G504))),"")</f>
        <v/>
      </c>
      <c r="L210" s="58" t="str">
        <f t="array" aca="1" ref="L210" ca="1">IFERROR(INDEX('VEH98 Data'!I$3:I$3508, SMALL(IF('VEH98 Data'!$AH$3:$AH$3508="TRUE", ROW('VEH98 Data'!I$3:I$3508)-ROW('VEH98 Data'!I$3)+1),ROWS('VEH98 Data'!I$3:'VEH98 Data'!I504))),"")</f>
        <v/>
      </c>
      <c r="M210" s="58" t="str">
        <f t="array" aca="1" ref="M210" ca="1">IFERROR(INDEX('VEH98 Data'!J$3:J$3508, SMALL(IF('VEH98 Data'!$AH$3:$AH$3508="TRUE", ROW('VEH98 Data'!J$3:J$3508)-ROW('VEH98 Data'!J$3)+1),ROWS('VEH98 Data'!J$3:'VEH98 Data'!J504))),"")</f>
        <v/>
      </c>
      <c r="N210" s="58" t="str">
        <f t="array" aca="1" ref="N210" ca="1">IFERROR(INDEX('VEH98 Data'!K$3:K$3508, SMALL(IF('VEH98 Data'!$AH$3:$AH$3508="TRUE", ROW('VEH98 Data'!K$3:K$3508)-ROW('VEH98 Data'!K$3)+1),ROWS('VEH98 Data'!K$3:'VEH98 Data'!K504))),"")</f>
        <v/>
      </c>
      <c r="O210" s="654" t="str">
        <f t="array" aca="1" ref="O210" ca="1">IFERROR(INDEX('VEH98 Data'!R$3:R$3508, SMALL(IF('VEH98 Data'!$AH$3:$AH$3508="TRUE", ROW('VEH98 Data'!R$3:R$3508)-ROW('VEH98 Data'!R$3)+1),ROWS('VEH98 Data'!R$3:'VEH98 Data'!R504))),"")</f>
        <v/>
      </c>
      <c r="P210" s="654" t="str">
        <f t="array" aca="1" ref="P210" ca="1">IFERROR(INDEX('VEH98 Data'!Y$3:Y$3508, SMALL(IF('VEH98 Data'!$AH$3:$AH$3508="TRUE", ROW('VEH98 Data'!Y$3:Y$3508)-ROW('VEH98 Data'!Y$3)+1),ROWS('VEH98 Data'!Y$3:'VEH98 Data'!Y504))),"")</f>
        <v/>
      </c>
    </row>
    <row r="211" spans="1:16">
      <c r="A211" s="99"/>
      <c r="B211" s="58"/>
      <c r="C211" s="58" t="str">
        <f t="array" aca="1" ref="C211" ca="1">IFERROR(INDEX('VEH98 Data'!G$3:G$3508, SMALL(IF('VEH98 Data'!$AG$3:$AG$3508="TRUE", ROW('VEH98 Data'!G$3:G$3508)-ROW('VEH98 Data'!G$3)+1),ROWS('VEH98 Data'!G$3:'VEH98 Data'!G199))),"")</f>
        <v/>
      </c>
      <c r="D211" s="58" t="str">
        <f t="array" aca="1" ref="D211" ca="1">IFERROR(INDEX('VEH98 Data'!I$3:I$3508, SMALL(IF('VEH98 Data'!$AG$3:$AG$3508="TRUE", ROW('VEH98 Data'!I$3:I$3508)-ROW('VEH98 Data'!I$3)+1),ROWS('VEH98 Data'!I$3:'VEH98 Data'!I199))),"")</f>
        <v/>
      </c>
      <c r="E211" s="58" t="str">
        <f t="array" aca="1" ref="E211" ca="1">IFERROR(INDEX('VEH98 Data'!J$3:J$3508, SMALL(IF('VEH98 Data'!$AG$3:$AG$3508="TRUE", ROW('VEH98 Data'!J$3:J$3508)-ROW('VEH98 Data'!J$3)+1),ROWS('VEH98 Data'!J$3:'VEH98 Data'!J199))),"")</f>
        <v/>
      </c>
      <c r="F211" s="58" t="str">
        <f t="array" aca="1" ref="F211" ca="1">IFERROR(INDEX('VEH98 Data'!K$3:K$3508, SMALL(IF('VEH98 Data'!$AG$3:$AG$3508="TRUE", ROW('VEH98 Data'!K$3:K$3508)-ROW('VEH98 Data'!K$3)+1),ROWS('VEH98 Data'!K$3:'VEH98 Data'!K199))),"")</f>
        <v/>
      </c>
      <c r="G211" s="654" t="str">
        <f t="array" aca="1" ref="G211" ca="1">IFERROR(INDEX('VEH98 Data'!R$3:R$3508, SMALL(IF('VEH98 Data'!$AG$3:$AG$3508="TRUE", ROW('VEH98 Data'!R$3:R$3508)-ROW('VEH98 Data'!R$3)+1),ROWS('VEH98 Data'!R$3:'VEH98 Data'!R199))),"")</f>
        <v/>
      </c>
      <c r="H211" s="654" t="str">
        <f t="array" aca="1" ref="H211" ca="1">IFERROR(INDEX('VEH98 Data'!Y$3:Y$3508, SMALL(IF('VEH98 Data'!$AG$3:$AG$3508="TRUE", ROW('VEH98 Data'!Y$3:Y$3508)-ROW('VEH98 Data'!Y$3)+1),ROWS('VEH98 Data'!Y$3:'VEH98 Data'!Y199))),"")</f>
        <v/>
      </c>
      <c r="I211" s="19"/>
      <c r="J211" s="652" t="str">
        <f t="array" aca="1" ref="J211" ca="1">IFERROR(INDEX('VEH98 Data'!H$3:H$3508, SMALL(IF('VEH98 Data'!$AH$3:$AH$3508="TRUE", ROW('VEH98 Data'!H$3:H$3508)-ROW('VEH98 Data'!H$3)+1),ROWS('VEH98 Data'!H$3:'VEH98 Data'!H505))),"")</f>
        <v/>
      </c>
      <c r="K211" s="652" t="str">
        <f t="array" aca="1" ref="K211" ca="1">IFERROR(INDEX('VEH98 Data'!G$3:G$3508, SMALL(IF('VEH98 Data'!$AH$3:$AH$3508="TRUE", ROW('VEH98 Data'!G$3:G$3508)-ROW('VEH98 Data'!G$3)+1),ROWS('VEH98 Data'!G$3:'VEH98 Data'!G505))),"")</f>
        <v/>
      </c>
      <c r="L211" s="652" t="str">
        <f t="array" aca="1" ref="L211" ca="1">IFERROR(INDEX('VEH98 Data'!I$3:I$3508, SMALL(IF('VEH98 Data'!$AH$3:$AH$3508="TRUE", ROW('VEH98 Data'!I$3:I$3508)-ROW('VEH98 Data'!I$3)+1),ROWS('VEH98 Data'!I$3:'VEH98 Data'!I505))),"")</f>
        <v/>
      </c>
      <c r="M211" s="652" t="str">
        <f t="array" aca="1" ref="M211" ca="1">IFERROR(INDEX('VEH98 Data'!J$3:J$3508, SMALL(IF('VEH98 Data'!$AH$3:$AH$3508="TRUE", ROW('VEH98 Data'!J$3:J$3508)-ROW('VEH98 Data'!J$3)+1),ROWS('VEH98 Data'!J$3:'VEH98 Data'!J505))),"")</f>
        <v/>
      </c>
      <c r="N211" s="652" t="str">
        <f t="array" aca="1" ref="N211" ca="1">IFERROR(INDEX('VEH98 Data'!K$3:K$3508, SMALL(IF('VEH98 Data'!$AH$3:$AH$3508="TRUE", ROW('VEH98 Data'!K$3:K$3508)-ROW('VEH98 Data'!K$3)+1),ROWS('VEH98 Data'!K$3:'VEH98 Data'!K505))),"")</f>
        <v/>
      </c>
      <c r="O211" s="653" t="str">
        <f t="array" aca="1" ref="O211" ca="1">IFERROR(INDEX('VEH98 Data'!R$3:R$3508, SMALL(IF('VEH98 Data'!$AH$3:$AH$3508="TRUE", ROW('VEH98 Data'!R$3:R$3508)-ROW('VEH98 Data'!R$3)+1),ROWS('VEH98 Data'!R$3:'VEH98 Data'!R505))),"")</f>
        <v/>
      </c>
      <c r="P211" s="653" t="str">
        <f t="array" aca="1" ref="P211" ca="1">IFERROR(INDEX('VEH98 Data'!Y$3:Y$3508, SMALL(IF('VEH98 Data'!$AH$3:$AH$3508="TRUE", ROW('VEH98 Data'!Y$3:Y$3508)-ROW('VEH98 Data'!Y$3)+1),ROWS('VEH98 Data'!Y$3:'VEH98 Data'!Y505))),"")</f>
        <v/>
      </c>
    </row>
    <row r="212" spans="1:16">
      <c r="A212" s="99"/>
      <c r="B212" s="652"/>
      <c r="C212" s="652" t="str">
        <f t="array" aca="1" ref="C212" ca="1">IFERROR(INDEX('VEH98 Data'!G$3:G$3508, SMALL(IF('VEH98 Data'!$AG$3:$AG$3508="TRUE", ROW('VEH98 Data'!G$3:G$3508)-ROW('VEH98 Data'!G$3)+1),ROWS('VEH98 Data'!G$3:'VEH98 Data'!G200))),"")</f>
        <v/>
      </c>
      <c r="D212" s="652" t="str">
        <f t="array" aca="1" ref="D212" ca="1">IFERROR(INDEX('VEH98 Data'!I$3:I$3508, SMALL(IF('VEH98 Data'!$AG$3:$AG$3508="TRUE", ROW('VEH98 Data'!I$3:I$3508)-ROW('VEH98 Data'!I$3)+1),ROWS('VEH98 Data'!I$3:'VEH98 Data'!I200))),"")</f>
        <v/>
      </c>
      <c r="E212" s="652" t="str">
        <f t="array" aca="1" ref="E212" ca="1">IFERROR(INDEX('VEH98 Data'!J$3:J$3508, SMALL(IF('VEH98 Data'!$AG$3:$AG$3508="TRUE", ROW('VEH98 Data'!J$3:J$3508)-ROW('VEH98 Data'!J$3)+1),ROWS('VEH98 Data'!J$3:'VEH98 Data'!J200))),"")</f>
        <v/>
      </c>
      <c r="F212" s="652" t="str">
        <f t="array" aca="1" ref="F212" ca="1">IFERROR(INDEX('VEH98 Data'!K$3:K$3508, SMALL(IF('VEH98 Data'!$AG$3:$AG$3508="TRUE", ROW('VEH98 Data'!K$3:K$3508)-ROW('VEH98 Data'!K$3)+1),ROWS('VEH98 Data'!K$3:'VEH98 Data'!K200))),"")</f>
        <v/>
      </c>
      <c r="G212" s="653" t="str">
        <f t="array" aca="1" ref="G212" ca="1">IFERROR(INDEX('VEH98 Data'!R$3:R$3508, SMALL(IF('VEH98 Data'!$AG$3:$AG$3508="TRUE", ROW('VEH98 Data'!R$3:R$3508)-ROW('VEH98 Data'!R$3)+1),ROWS('VEH98 Data'!R$3:'VEH98 Data'!R200))),"")</f>
        <v/>
      </c>
      <c r="H212" s="653" t="str">
        <f t="array" aca="1" ref="H212" ca="1">IFERROR(INDEX('VEH98 Data'!Y$3:Y$3508, SMALL(IF('VEH98 Data'!$AG$3:$AG$3508="TRUE", ROW('VEH98 Data'!Y$3:Y$3508)-ROW('VEH98 Data'!Y$3)+1),ROWS('VEH98 Data'!Y$3:'VEH98 Data'!Y200))),"")</f>
        <v/>
      </c>
      <c r="I212" s="19"/>
      <c r="J212" s="58" t="str">
        <f t="array" aca="1" ref="J212" ca="1">IFERROR(INDEX('VEH98 Data'!H$3:H$3508, SMALL(IF('VEH98 Data'!$AH$3:$AH$3508="TRUE", ROW('VEH98 Data'!H$3:H$3508)-ROW('VEH98 Data'!H$3)+1),ROWS('VEH98 Data'!H$3:'VEH98 Data'!H506))),"")</f>
        <v/>
      </c>
      <c r="K212" s="58" t="str">
        <f t="array" aca="1" ref="K212" ca="1">IFERROR(INDEX('VEH98 Data'!G$3:G$3508, SMALL(IF('VEH98 Data'!$AH$3:$AH$3508="TRUE", ROW('VEH98 Data'!G$3:G$3508)-ROW('VEH98 Data'!G$3)+1),ROWS('VEH98 Data'!G$3:'VEH98 Data'!G506))),"")</f>
        <v/>
      </c>
      <c r="L212" s="58" t="str">
        <f t="array" aca="1" ref="L212" ca="1">IFERROR(INDEX('VEH98 Data'!I$3:I$3508, SMALL(IF('VEH98 Data'!$AH$3:$AH$3508="TRUE", ROW('VEH98 Data'!I$3:I$3508)-ROW('VEH98 Data'!I$3)+1),ROWS('VEH98 Data'!I$3:'VEH98 Data'!I506))),"")</f>
        <v/>
      </c>
      <c r="M212" s="58" t="str">
        <f t="array" aca="1" ref="M212" ca="1">IFERROR(INDEX('VEH98 Data'!J$3:J$3508, SMALL(IF('VEH98 Data'!$AH$3:$AH$3508="TRUE", ROW('VEH98 Data'!J$3:J$3508)-ROW('VEH98 Data'!J$3)+1),ROWS('VEH98 Data'!J$3:'VEH98 Data'!J506))),"")</f>
        <v/>
      </c>
      <c r="N212" s="58" t="str">
        <f t="array" aca="1" ref="N212" ca="1">IFERROR(INDEX('VEH98 Data'!K$3:K$3508, SMALL(IF('VEH98 Data'!$AH$3:$AH$3508="TRUE", ROW('VEH98 Data'!K$3:K$3508)-ROW('VEH98 Data'!K$3)+1),ROWS('VEH98 Data'!K$3:'VEH98 Data'!K506))),"")</f>
        <v/>
      </c>
      <c r="O212" s="654" t="str">
        <f t="array" aca="1" ref="O212" ca="1">IFERROR(INDEX('VEH98 Data'!R$3:R$3508, SMALL(IF('VEH98 Data'!$AH$3:$AH$3508="TRUE", ROW('VEH98 Data'!R$3:R$3508)-ROW('VEH98 Data'!R$3)+1),ROWS('VEH98 Data'!R$3:'VEH98 Data'!R506))),"")</f>
        <v/>
      </c>
      <c r="P212" s="654" t="str">
        <f t="array" aca="1" ref="P212" ca="1">IFERROR(INDEX('VEH98 Data'!Y$3:Y$3508, SMALL(IF('VEH98 Data'!$AH$3:$AH$3508="TRUE", ROW('VEH98 Data'!Y$3:Y$3508)-ROW('VEH98 Data'!Y$3)+1),ROWS('VEH98 Data'!Y$3:'VEH98 Data'!Y506))),"")</f>
        <v/>
      </c>
    </row>
    <row r="213" spans="1:16">
      <c r="A213" s="99"/>
      <c r="B213" s="58"/>
      <c r="C213" s="58" t="str">
        <f t="array" aca="1" ref="C213" ca="1">IFERROR(INDEX('VEH98 Data'!G$3:G$3508, SMALL(IF('VEH98 Data'!$AG$3:$AG$3508="TRUE", ROW('VEH98 Data'!G$3:G$3508)-ROW('VEH98 Data'!G$3)+1),ROWS('VEH98 Data'!G$3:'VEH98 Data'!G201))),"")</f>
        <v/>
      </c>
      <c r="D213" s="58" t="str">
        <f t="array" aca="1" ref="D213" ca="1">IFERROR(INDEX('VEH98 Data'!I$3:I$3508, SMALL(IF('VEH98 Data'!$AG$3:$AG$3508="TRUE", ROW('VEH98 Data'!I$3:I$3508)-ROW('VEH98 Data'!I$3)+1),ROWS('VEH98 Data'!I$3:'VEH98 Data'!I201))),"")</f>
        <v/>
      </c>
      <c r="E213" s="58" t="str">
        <f t="array" aca="1" ref="E213" ca="1">IFERROR(INDEX('VEH98 Data'!J$3:J$3508, SMALL(IF('VEH98 Data'!$AG$3:$AG$3508="TRUE", ROW('VEH98 Data'!J$3:J$3508)-ROW('VEH98 Data'!J$3)+1),ROWS('VEH98 Data'!J$3:'VEH98 Data'!J201))),"")</f>
        <v/>
      </c>
      <c r="F213" s="58" t="str">
        <f t="array" aca="1" ref="F213" ca="1">IFERROR(INDEX('VEH98 Data'!K$3:K$3508, SMALL(IF('VEH98 Data'!$AG$3:$AG$3508="TRUE", ROW('VEH98 Data'!K$3:K$3508)-ROW('VEH98 Data'!K$3)+1),ROWS('VEH98 Data'!K$3:'VEH98 Data'!K201))),"")</f>
        <v/>
      </c>
      <c r="G213" s="654" t="str">
        <f t="array" aca="1" ref="G213" ca="1">IFERROR(INDEX('VEH98 Data'!R$3:R$3508, SMALL(IF('VEH98 Data'!$AG$3:$AG$3508="TRUE", ROW('VEH98 Data'!R$3:R$3508)-ROW('VEH98 Data'!R$3)+1),ROWS('VEH98 Data'!R$3:'VEH98 Data'!R201))),"")</f>
        <v/>
      </c>
      <c r="H213" s="654" t="str">
        <f t="array" aca="1" ref="H213" ca="1">IFERROR(INDEX('VEH98 Data'!Y$3:Y$3508, SMALL(IF('VEH98 Data'!$AG$3:$AG$3508="TRUE", ROW('VEH98 Data'!Y$3:Y$3508)-ROW('VEH98 Data'!Y$3)+1),ROWS('VEH98 Data'!Y$3:'VEH98 Data'!Y201))),"")</f>
        <v/>
      </c>
      <c r="I213" s="19"/>
      <c r="J213" s="652" t="str">
        <f t="array" aca="1" ref="J213" ca="1">IFERROR(INDEX('VEH98 Data'!H$3:H$3508, SMALL(IF('VEH98 Data'!$AH$3:$AH$3508="TRUE", ROW('VEH98 Data'!H$3:H$3508)-ROW('VEH98 Data'!H$3)+1),ROWS('VEH98 Data'!H$3:'VEH98 Data'!H507))),"")</f>
        <v/>
      </c>
      <c r="K213" s="652" t="str">
        <f t="array" aca="1" ref="K213" ca="1">IFERROR(INDEX('VEH98 Data'!G$3:G$3508, SMALL(IF('VEH98 Data'!$AH$3:$AH$3508="TRUE", ROW('VEH98 Data'!G$3:G$3508)-ROW('VEH98 Data'!G$3)+1),ROWS('VEH98 Data'!G$3:'VEH98 Data'!G507))),"")</f>
        <v/>
      </c>
      <c r="L213" s="652" t="str">
        <f t="array" aca="1" ref="L213" ca="1">IFERROR(INDEX('VEH98 Data'!I$3:I$3508, SMALL(IF('VEH98 Data'!$AH$3:$AH$3508="TRUE", ROW('VEH98 Data'!I$3:I$3508)-ROW('VEH98 Data'!I$3)+1),ROWS('VEH98 Data'!I$3:'VEH98 Data'!I507))),"")</f>
        <v/>
      </c>
      <c r="M213" s="652" t="str">
        <f t="array" aca="1" ref="M213" ca="1">IFERROR(INDEX('VEH98 Data'!J$3:J$3508, SMALL(IF('VEH98 Data'!$AH$3:$AH$3508="TRUE", ROW('VEH98 Data'!J$3:J$3508)-ROW('VEH98 Data'!J$3)+1),ROWS('VEH98 Data'!J$3:'VEH98 Data'!J507))),"")</f>
        <v/>
      </c>
      <c r="N213" s="652" t="str">
        <f t="array" aca="1" ref="N213" ca="1">IFERROR(INDEX('VEH98 Data'!K$3:K$3508, SMALL(IF('VEH98 Data'!$AH$3:$AH$3508="TRUE", ROW('VEH98 Data'!K$3:K$3508)-ROW('VEH98 Data'!K$3)+1),ROWS('VEH98 Data'!K$3:'VEH98 Data'!K507))),"")</f>
        <v/>
      </c>
      <c r="O213" s="653" t="str">
        <f t="array" aca="1" ref="O213" ca="1">IFERROR(INDEX('VEH98 Data'!R$3:R$3508, SMALL(IF('VEH98 Data'!$AH$3:$AH$3508="TRUE", ROW('VEH98 Data'!R$3:R$3508)-ROW('VEH98 Data'!R$3)+1),ROWS('VEH98 Data'!R$3:'VEH98 Data'!R507))),"")</f>
        <v/>
      </c>
      <c r="P213" s="653" t="str">
        <f t="array" aca="1" ref="P213" ca="1">IFERROR(INDEX('VEH98 Data'!Y$3:Y$3508, SMALL(IF('VEH98 Data'!$AH$3:$AH$3508="TRUE", ROW('VEH98 Data'!Y$3:Y$3508)-ROW('VEH98 Data'!Y$3)+1),ROWS('VEH98 Data'!Y$3:'VEH98 Data'!Y507))),"")</f>
        <v/>
      </c>
    </row>
    <row r="214" spans="1:16">
      <c r="A214" s="99"/>
      <c r="B214" s="652"/>
      <c r="C214" s="652" t="str">
        <f t="array" aca="1" ref="C214" ca="1">IFERROR(INDEX('VEH98 Data'!G$3:G$3508, SMALL(IF('VEH98 Data'!$AG$3:$AG$3508="TRUE", ROW('VEH98 Data'!G$3:G$3508)-ROW('VEH98 Data'!G$3)+1),ROWS('VEH98 Data'!G$3:'VEH98 Data'!G202))),"")</f>
        <v/>
      </c>
      <c r="D214" s="652" t="str">
        <f t="array" aca="1" ref="D214" ca="1">IFERROR(INDEX('VEH98 Data'!I$3:I$3508, SMALL(IF('VEH98 Data'!$AG$3:$AG$3508="TRUE", ROW('VEH98 Data'!I$3:I$3508)-ROW('VEH98 Data'!I$3)+1),ROWS('VEH98 Data'!I$3:'VEH98 Data'!I202))),"")</f>
        <v/>
      </c>
      <c r="E214" s="652" t="str">
        <f t="array" aca="1" ref="E214" ca="1">IFERROR(INDEX('VEH98 Data'!J$3:J$3508, SMALL(IF('VEH98 Data'!$AG$3:$AG$3508="TRUE", ROW('VEH98 Data'!J$3:J$3508)-ROW('VEH98 Data'!J$3)+1),ROWS('VEH98 Data'!J$3:'VEH98 Data'!J202))),"")</f>
        <v/>
      </c>
      <c r="F214" s="652" t="str">
        <f t="array" aca="1" ref="F214" ca="1">IFERROR(INDEX('VEH98 Data'!K$3:K$3508, SMALL(IF('VEH98 Data'!$AG$3:$AG$3508="TRUE", ROW('VEH98 Data'!K$3:K$3508)-ROW('VEH98 Data'!K$3)+1),ROWS('VEH98 Data'!K$3:'VEH98 Data'!K202))),"")</f>
        <v/>
      </c>
      <c r="G214" s="653" t="str">
        <f t="array" aca="1" ref="G214" ca="1">IFERROR(INDEX('VEH98 Data'!R$3:R$3508, SMALL(IF('VEH98 Data'!$AG$3:$AG$3508="TRUE", ROW('VEH98 Data'!R$3:R$3508)-ROW('VEH98 Data'!R$3)+1),ROWS('VEH98 Data'!R$3:'VEH98 Data'!R202))),"")</f>
        <v/>
      </c>
      <c r="H214" s="653" t="str">
        <f t="array" aca="1" ref="H214" ca="1">IFERROR(INDEX('VEH98 Data'!Y$3:Y$3508, SMALL(IF('VEH98 Data'!$AG$3:$AG$3508="TRUE", ROW('VEH98 Data'!Y$3:Y$3508)-ROW('VEH98 Data'!Y$3)+1),ROWS('VEH98 Data'!Y$3:'VEH98 Data'!Y202))),"")</f>
        <v/>
      </c>
      <c r="I214" s="19"/>
      <c r="J214" s="58" t="str">
        <f t="array" aca="1" ref="J214" ca="1">IFERROR(INDEX('VEH98 Data'!H$3:H$3508, SMALL(IF('VEH98 Data'!$AH$3:$AH$3508="TRUE", ROW('VEH98 Data'!H$3:H$3508)-ROW('VEH98 Data'!H$3)+1),ROWS('VEH98 Data'!H$3:'VEH98 Data'!H508))),"")</f>
        <v/>
      </c>
      <c r="K214" s="58" t="str">
        <f t="array" aca="1" ref="K214" ca="1">IFERROR(INDEX('VEH98 Data'!G$3:G$3508, SMALL(IF('VEH98 Data'!$AH$3:$AH$3508="TRUE", ROW('VEH98 Data'!G$3:G$3508)-ROW('VEH98 Data'!G$3)+1),ROWS('VEH98 Data'!G$3:'VEH98 Data'!G508))),"")</f>
        <v/>
      </c>
      <c r="L214" s="58" t="str">
        <f t="array" aca="1" ref="L214" ca="1">IFERROR(INDEX('VEH98 Data'!I$3:I$3508, SMALL(IF('VEH98 Data'!$AH$3:$AH$3508="TRUE", ROW('VEH98 Data'!I$3:I$3508)-ROW('VEH98 Data'!I$3)+1),ROWS('VEH98 Data'!I$3:'VEH98 Data'!I508))),"")</f>
        <v/>
      </c>
      <c r="M214" s="58" t="str">
        <f t="array" aca="1" ref="M214" ca="1">IFERROR(INDEX('VEH98 Data'!J$3:J$3508, SMALL(IF('VEH98 Data'!$AH$3:$AH$3508="TRUE", ROW('VEH98 Data'!J$3:J$3508)-ROW('VEH98 Data'!J$3)+1),ROWS('VEH98 Data'!J$3:'VEH98 Data'!J508))),"")</f>
        <v/>
      </c>
      <c r="N214" s="58" t="str">
        <f t="array" aca="1" ref="N214" ca="1">IFERROR(INDEX('VEH98 Data'!K$3:K$3508, SMALL(IF('VEH98 Data'!$AH$3:$AH$3508="TRUE", ROW('VEH98 Data'!K$3:K$3508)-ROW('VEH98 Data'!K$3)+1),ROWS('VEH98 Data'!K$3:'VEH98 Data'!K508))),"")</f>
        <v/>
      </c>
      <c r="O214" s="654" t="str">
        <f t="array" aca="1" ref="O214" ca="1">IFERROR(INDEX('VEH98 Data'!R$3:R$3508, SMALL(IF('VEH98 Data'!$AH$3:$AH$3508="TRUE", ROW('VEH98 Data'!R$3:R$3508)-ROW('VEH98 Data'!R$3)+1),ROWS('VEH98 Data'!R$3:'VEH98 Data'!R508))),"")</f>
        <v/>
      </c>
      <c r="P214" s="654" t="str">
        <f t="array" aca="1" ref="P214" ca="1">IFERROR(INDEX('VEH98 Data'!Y$3:Y$3508, SMALL(IF('VEH98 Data'!$AH$3:$AH$3508="TRUE", ROW('VEH98 Data'!Y$3:Y$3508)-ROW('VEH98 Data'!Y$3)+1),ROWS('VEH98 Data'!Y$3:'VEH98 Data'!Y508))),"")</f>
        <v/>
      </c>
    </row>
    <row r="215" spans="1:16">
      <c r="A215" s="99"/>
      <c r="B215" s="58"/>
      <c r="C215" s="58"/>
      <c r="D215" s="58"/>
      <c r="E215" s="58"/>
      <c r="F215" s="58"/>
      <c r="G215" s="19"/>
      <c r="H215" s="654"/>
      <c r="I215" s="19"/>
      <c r="J215" s="159"/>
      <c r="K215" s="99"/>
      <c r="L215" s="99"/>
      <c r="M215" s="99"/>
      <c r="N215" s="99"/>
      <c r="O215" s="99"/>
      <c r="P215" s="99"/>
    </row>
    <row r="216" spans="1:16">
      <c r="A216" s="99"/>
      <c r="B216" s="58"/>
      <c r="C216" s="58"/>
      <c r="D216" s="58"/>
      <c r="E216" s="58"/>
      <c r="F216" s="58"/>
      <c r="G216" s="19"/>
      <c r="H216" s="58"/>
      <c r="I216" s="19"/>
      <c r="J216" s="159"/>
      <c r="K216" s="99"/>
      <c r="L216" s="99"/>
      <c r="M216" s="99"/>
      <c r="N216" s="99"/>
      <c r="O216" s="99"/>
      <c r="P216" s="99"/>
    </row>
    <row r="217" spans="1:16">
      <c r="A217" s="99"/>
      <c r="B217" s="58"/>
      <c r="C217" s="58"/>
      <c r="D217" s="58"/>
      <c r="E217" s="58"/>
      <c r="F217" s="58"/>
      <c r="G217" s="19"/>
      <c r="H217" s="58"/>
      <c r="I217" s="19"/>
      <c r="J217" s="159"/>
      <c r="K217" s="99"/>
      <c r="L217" s="99"/>
      <c r="M217" s="99"/>
      <c r="N217" s="99"/>
      <c r="O217" s="99"/>
      <c r="P217" s="99"/>
    </row>
    <row r="218" spans="1:16">
      <c r="A218" s="99"/>
      <c r="B218" s="58"/>
      <c r="C218" s="58"/>
      <c r="D218" s="58"/>
      <c r="E218" s="58"/>
      <c r="F218" s="58"/>
      <c r="G218" s="19"/>
      <c r="H218" s="58"/>
      <c r="I218" s="19"/>
      <c r="J218" s="159"/>
      <c r="K218" s="99"/>
      <c r="L218" s="99"/>
      <c r="M218" s="99"/>
      <c r="N218" s="99"/>
      <c r="O218" s="99"/>
      <c r="P218" s="99"/>
    </row>
    <row r="219" spans="1:16">
      <c r="A219" s="99"/>
      <c r="B219" s="58"/>
      <c r="C219" s="58"/>
      <c r="D219" s="58"/>
      <c r="E219" s="58"/>
      <c r="F219" s="58"/>
      <c r="G219" s="19"/>
      <c r="H219" s="58"/>
      <c r="I219" s="19"/>
      <c r="J219" s="159"/>
      <c r="K219" s="99"/>
      <c r="L219" s="99"/>
      <c r="M219" s="99"/>
      <c r="N219" s="99"/>
      <c r="O219" s="99"/>
      <c r="P219" s="99"/>
    </row>
    <row r="220" spans="1:16">
      <c r="A220" s="99"/>
      <c r="B220" s="58"/>
      <c r="C220" s="58"/>
      <c r="D220" s="58"/>
      <c r="E220" s="58"/>
      <c r="F220" s="58"/>
      <c r="G220" s="19"/>
      <c r="H220" s="58"/>
      <c r="I220" s="19"/>
      <c r="J220" s="159"/>
      <c r="K220" s="99"/>
      <c r="L220" s="99"/>
      <c r="M220" s="99"/>
      <c r="N220" s="99"/>
      <c r="O220" s="99"/>
      <c r="P220" s="99"/>
    </row>
    <row r="221" spans="1:16">
      <c r="A221" s="99"/>
      <c r="B221" s="58"/>
      <c r="C221" s="58"/>
      <c r="D221" s="58"/>
      <c r="E221" s="58"/>
      <c r="F221" s="58"/>
      <c r="G221" s="19"/>
      <c r="H221" s="58"/>
      <c r="I221" s="19"/>
      <c r="J221" s="159"/>
      <c r="K221" s="99"/>
      <c r="L221" s="99"/>
      <c r="M221" s="99"/>
      <c r="N221" s="99"/>
      <c r="O221" s="99"/>
      <c r="P221" s="99"/>
    </row>
    <row r="222" spans="1:16">
      <c r="A222" s="99"/>
      <c r="B222" s="58"/>
      <c r="C222" s="58"/>
      <c r="D222" s="58"/>
      <c r="E222" s="58"/>
      <c r="F222" s="58"/>
      <c r="G222" s="19"/>
      <c r="H222" s="58"/>
      <c r="I222" s="19"/>
      <c r="J222" s="159"/>
      <c r="K222" s="99"/>
      <c r="L222" s="99"/>
      <c r="M222" s="99"/>
      <c r="N222" s="99"/>
      <c r="O222" s="99"/>
      <c r="P222" s="99"/>
    </row>
    <row r="223" spans="1:16">
      <c r="A223" s="99"/>
      <c r="B223" s="58"/>
      <c r="C223" s="58"/>
      <c r="D223" s="58"/>
      <c r="E223" s="58"/>
      <c r="F223" s="58"/>
      <c r="G223" s="19"/>
      <c r="H223" s="58"/>
      <c r="I223" s="19"/>
      <c r="J223" s="159"/>
      <c r="K223" s="99"/>
      <c r="L223" s="99"/>
      <c r="M223" s="99"/>
      <c r="N223" s="99"/>
      <c r="O223" s="99"/>
      <c r="P223" s="99"/>
    </row>
    <row r="224" spans="1:16">
      <c r="A224" s="99"/>
      <c r="B224" s="58"/>
      <c r="C224" s="58"/>
      <c r="D224" s="58"/>
      <c r="E224" s="58"/>
      <c r="F224" s="58"/>
      <c r="G224" s="19"/>
      <c r="H224" s="58"/>
      <c r="I224" s="19"/>
      <c r="J224" s="159"/>
      <c r="K224" s="99"/>
      <c r="L224" s="99"/>
      <c r="M224" s="99"/>
      <c r="N224" s="99"/>
      <c r="O224" s="99"/>
      <c r="P224" s="99"/>
    </row>
    <row r="225" spans="1:16">
      <c r="A225" s="99"/>
      <c r="B225" s="58"/>
      <c r="C225" s="58"/>
      <c r="D225" s="58"/>
      <c r="E225" s="58"/>
      <c r="F225" s="58"/>
      <c r="G225" s="19"/>
      <c r="H225" s="58"/>
      <c r="I225" s="19"/>
      <c r="J225" s="159"/>
      <c r="K225" s="99"/>
      <c r="L225" s="99"/>
      <c r="M225" s="99"/>
      <c r="N225" s="99"/>
      <c r="O225" s="99"/>
      <c r="P225" s="99"/>
    </row>
    <row r="226" spans="1:16">
      <c r="A226" s="99"/>
      <c r="B226" s="58"/>
      <c r="C226" s="58"/>
      <c r="D226" s="58"/>
      <c r="E226" s="58"/>
      <c r="F226" s="58"/>
      <c r="G226" s="19"/>
      <c r="H226" s="58"/>
      <c r="I226" s="19"/>
      <c r="J226" s="159"/>
      <c r="K226" s="99"/>
      <c r="L226" s="99"/>
      <c r="M226" s="99"/>
      <c r="N226" s="99"/>
      <c r="O226" s="99"/>
      <c r="P226" s="99"/>
    </row>
    <row r="227" spans="1:16">
      <c r="A227" s="99"/>
      <c r="B227" s="58"/>
      <c r="C227" s="58"/>
      <c r="D227" s="58"/>
      <c r="E227" s="58"/>
      <c r="F227" s="58"/>
      <c r="G227" s="19"/>
      <c r="H227" s="58"/>
      <c r="I227" s="19"/>
      <c r="J227" s="159"/>
      <c r="K227" s="99"/>
      <c r="L227" s="99"/>
      <c r="M227" s="99"/>
      <c r="N227" s="99"/>
      <c r="O227" s="99"/>
      <c r="P227" s="99"/>
    </row>
    <row r="228" spans="1:16">
      <c r="A228" s="99"/>
      <c r="B228" s="58"/>
      <c r="C228" s="58"/>
      <c r="D228" s="58"/>
      <c r="E228" s="58"/>
      <c r="F228" s="58"/>
      <c r="G228" s="19"/>
      <c r="H228" s="58"/>
      <c r="I228" s="19"/>
      <c r="J228" s="159"/>
      <c r="K228" s="99"/>
      <c r="L228" s="99"/>
      <c r="M228" s="99"/>
      <c r="N228" s="99"/>
      <c r="O228" s="99"/>
      <c r="P228" s="99"/>
    </row>
    <row r="229" spans="1:16">
      <c r="A229" s="99"/>
      <c r="B229" s="58"/>
      <c r="C229" s="58"/>
      <c r="D229" s="58"/>
      <c r="E229" s="58"/>
      <c r="F229" s="58"/>
      <c r="G229" s="19"/>
      <c r="H229" s="58"/>
      <c r="I229" s="19"/>
      <c r="J229" s="159"/>
      <c r="K229" s="99"/>
      <c r="L229" s="99"/>
      <c r="M229" s="99"/>
      <c r="N229" s="99"/>
      <c r="O229" s="99"/>
      <c r="P229" s="99"/>
    </row>
    <row r="230" spans="1:16">
      <c r="A230" s="99"/>
      <c r="B230" s="58"/>
      <c r="C230" s="58"/>
      <c r="D230" s="58"/>
      <c r="E230" s="58"/>
      <c r="F230" s="58"/>
      <c r="G230" s="19"/>
      <c r="H230" s="58"/>
      <c r="I230" s="19"/>
      <c r="J230" s="159"/>
      <c r="K230" s="99"/>
      <c r="L230" s="99"/>
      <c r="M230" s="99"/>
      <c r="N230" s="99"/>
      <c r="O230" s="99"/>
      <c r="P230" s="99"/>
    </row>
    <row r="231" spans="1:16">
      <c r="A231" s="99"/>
      <c r="B231" s="58"/>
      <c r="C231" s="58"/>
      <c r="D231" s="58"/>
      <c r="E231" s="58"/>
      <c r="F231" s="58"/>
      <c r="G231" s="19"/>
      <c r="H231" s="58"/>
      <c r="I231" s="19"/>
      <c r="J231" s="159"/>
      <c r="K231" s="99"/>
      <c r="L231" s="99"/>
      <c r="M231" s="99"/>
      <c r="N231" s="99"/>
      <c r="O231" s="99"/>
      <c r="P231" s="99"/>
    </row>
    <row r="232" spans="1:16">
      <c r="A232" s="99"/>
      <c r="B232" s="58"/>
      <c r="C232" s="58"/>
      <c r="D232" s="58"/>
      <c r="E232" s="58"/>
      <c r="F232" s="58"/>
      <c r="G232" s="19"/>
      <c r="H232" s="58"/>
      <c r="I232" s="19"/>
      <c r="J232" s="159"/>
      <c r="K232" s="99"/>
      <c r="L232" s="99"/>
      <c r="M232" s="99"/>
      <c r="N232" s="99"/>
      <c r="O232" s="99"/>
      <c r="P232" s="99"/>
    </row>
    <row r="233" spans="1:16">
      <c r="A233" s="99"/>
      <c r="B233" s="58"/>
      <c r="C233" s="58"/>
      <c r="D233" s="58"/>
      <c r="E233" s="58"/>
      <c r="F233" s="58"/>
      <c r="G233" s="19"/>
      <c r="H233" s="58"/>
      <c r="I233" s="19"/>
      <c r="J233" s="159"/>
      <c r="K233" s="99"/>
      <c r="L233" s="99"/>
      <c r="M233" s="99"/>
      <c r="N233" s="99"/>
      <c r="O233" s="99"/>
      <c r="P233" s="99"/>
    </row>
    <row r="234" spans="1:16">
      <c r="A234" s="99"/>
      <c r="B234" s="58"/>
      <c r="C234" s="58"/>
      <c r="D234" s="58"/>
      <c r="E234" s="58"/>
      <c r="F234" s="58"/>
      <c r="G234" s="19"/>
      <c r="H234" s="58"/>
      <c r="I234" s="19"/>
      <c r="J234" s="159"/>
      <c r="K234" s="99"/>
      <c r="L234" s="99"/>
      <c r="M234" s="99"/>
      <c r="N234" s="99"/>
      <c r="O234" s="99"/>
      <c r="P234" s="99"/>
    </row>
    <row r="235" spans="1:16">
      <c r="A235" s="99"/>
      <c r="B235" s="58"/>
      <c r="C235" s="58"/>
      <c r="D235" s="58"/>
      <c r="E235" s="58"/>
      <c r="F235" s="58"/>
      <c r="G235" s="19"/>
      <c r="H235" s="58"/>
      <c r="I235" s="19"/>
      <c r="J235" s="159"/>
      <c r="K235" s="99"/>
      <c r="L235" s="99"/>
      <c r="M235" s="99"/>
      <c r="N235" s="99"/>
      <c r="O235" s="99"/>
      <c r="P235" s="99"/>
    </row>
    <row r="236" spans="1:16">
      <c r="A236" s="99"/>
      <c r="B236" s="58"/>
      <c r="C236" s="58"/>
      <c r="D236" s="58"/>
      <c r="E236" s="58"/>
      <c r="F236" s="58"/>
      <c r="G236" s="19"/>
      <c r="H236" s="58"/>
      <c r="I236" s="19"/>
      <c r="J236" s="159"/>
      <c r="K236" s="99"/>
      <c r="L236" s="99"/>
      <c r="M236" s="99"/>
      <c r="N236" s="99"/>
      <c r="O236" s="99"/>
      <c r="P236" s="99"/>
    </row>
    <row r="237" spans="1:16">
      <c r="A237" s="99"/>
      <c r="B237" s="58"/>
      <c r="C237" s="58"/>
      <c r="D237" s="58"/>
      <c r="E237" s="58"/>
      <c r="F237" s="58"/>
      <c r="G237" s="19"/>
      <c r="H237" s="58"/>
      <c r="I237" s="19"/>
      <c r="J237" s="159"/>
      <c r="K237" s="99"/>
      <c r="L237" s="99"/>
      <c r="M237" s="99"/>
      <c r="N237" s="99"/>
      <c r="O237" s="99"/>
      <c r="P237" s="99"/>
    </row>
    <row r="238" spans="1:16">
      <c r="A238" s="99"/>
      <c r="B238" s="58"/>
      <c r="C238" s="58"/>
      <c r="D238" s="58"/>
      <c r="E238" s="58"/>
      <c r="F238" s="58"/>
      <c r="G238" s="19"/>
      <c r="H238" s="58"/>
      <c r="I238" s="19"/>
      <c r="J238" s="159"/>
      <c r="K238" s="99"/>
      <c r="L238" s="99"/>
      <c r="M238" s="99"/>
      <c r="N238" s="99"/>
      <c r="O238" s="99"/>
      <c r="P238" s="99"/>
    </row>
    <row r="239" spans="1:16">
      <c r="A239" s="99"/>
      <c r="B239" s="58"/>
      <c r="C239" s="58"/>
      <c r="D239" s="58"/>
      <c r="E239" s="58"/>
      <c r="F239" s="58"/>
      <c r="G239" s="19"/>
      <c r="H239" s="58"/>
      <c r="I239" s="19"/>
      <c r="J239" s="159"/>
      <c r="K239" s="99"/>
      <c r="L239" s="99"/>
      <c r="M239" s="99"/>
      <c r="N239" s="99"/>
      <c r="O239" s="99"/>
      <c r="P239" s="99"/>
    </row>
    <row r="240" spans="1:16">
      <c r="A240" s="99"/>
      <c r="B240" s="58"/>
      <c r="C240" s="58"/>
      <c r="D240" s="58"/>
      <c r="E240" s="58"/>
      <c r="F240" s="58"/>
      <c r="G240" s="19"/>
      <c r="H240" s="58"/>
      <c r="I240" s="19"/>
      <c r="J240" s="159"/>
      <c r="K240" s="99"/>
      <c r="L240" s="99"/>
      <c r="M240" s="99"/>
      <c r="N240" s="99"/>
      <c r="O240" s="99"/>
      <c r="P240" s="99"/>
    </row>
    <row r="241" spans="1:16">
      <c r="A241" s="99"/>
      <c r="B241" s="58"/>
      <c r="C241" s="58"/>
      <c r="D241" s="58"/>
      <c r="E241" s="58"/>
      <c r="F241" s="58"/>
      <c r="G241" s="19"/>
      <c r="H241" s="58"/>
      <c r="I241" s="19"/>
      <c r="J241" s="159"/>
      <c r="K241" s="99"/>
      <c r="L241" s="99"/>
      <c r="M241" s="99"/>
      <c r="N241" s="99"/>
      <c r="O241" s="99"/>
      <c r="P241" s="99"/>
    </row>
    <row r="242" spans="1:16">
      <c r="A242" s="99"/>
      <c r="B242" s="58"/>
      <c r="C242" s="58"/>
      <c r="D242" s="58"/>
      <c r="E242" s="58"/>
      <c r="F242" s="58"/>
      <c r="G242" s="19"/>
      <c r="H242" s="58"/>
      <c r="I242" s="19"/>
      <c r="J242" s="159"/>
      <c r="K242" s="99"/>
      <c r="L242" s="99"/>
      <c r="M242" s="99"/>
      <c r="N242" s="99"/>
      <c r="O242" s="99"/>
      <c r="P242" s="99"/>
    </row>
    <row r="243" spans="1:16">
      <c r="A243" s="99"/>
      <c r="B243" s="58"/>
      <c r="C243" s="58"/>
      <c r="D243" s="58"/>
      <c r="E243" s="58"/>
      <c r="F243" s="58"/>
      <c r="G243" s="19"/>
      <c r="H243" s="58"/>
      <c r="I243" s="19"/>
      <c r="J243" s="159"/>
      <c r="K243" s="99"/>
      <c r="L243" s="99"/>
      <c r="M243" s="99"/>
      <c r="N243" s="99"/>
      <c r="O243" s="99"/>
      <c r="P243" s="99"/>
    </row>
    <row r="244" spans="1:16">
      <c r="A244" s="99"/>
      <c r="B244" s="58"/>
      <c r="C244" s="58"/>
      <c r="D244" s="58"/>
      <c r="E244" s="58"/>
      <c r="F244" s="58"/>
      <c r="G244" s="19"/>
      <c r="H244" s="58"/>
      <c r="I244" s="19"/>
      <c r="J244" s="159"/>
      <c r="K244" s="99"/>
      <c r="L244" s="99"/>
      <c r="M244" s="99"/>
      <c r="N244" s="99"/>
      <c r="O244" s="99"/>
      <c r="P244" s="99"/>
    </row>
    <row r="245" spans="1:16">
      <c r="A245" s="99"/>
      <c r="B245" s="58"/>
      <c r="C245" s="58"/>
      <c r="D245" s="58"/>
      <c r="E245" s="58"/>
      <c r="F245" s="58"/>
      <c r="G245" s="19"/>
      <c r="H245" s="58"/>
      <c r="I245" s="19"/>
      <c r="J245" s="159"/>
      <c r="K245" s="99"/>
      <c r="L245" s="99"/>
      <c r="M245" s="99"/>
      <c r="N245" s="99"/>
      <c r="O245" s="99"/>
      <c r="P245" s="99"/>
    </row>
    <row r="246" spans="1:16">
      <c r="A246" s="99"/>
      <c r="B246" s="58"/>
      <c r="C246" s="58"/>
      <c r="D246" s="58"/>
      <c r="E246" s="58"/>
      <c r="F246" s="58"/>
      <c r="G246" s="19"/>
      <c r="H246" s="58"/>
      <c r="I246" s="19"/>
      <c r="J246" s="159"/>
      <c r="K246" s="99"/>
      <c r="L246" s="99"/>
      <c r="M246" s="99"/>
      <c r="N246" s="99"/>
      <c r="O246" s="99"/>
      <c r="P246" s="99"/>
    </row>
    <row r="247" spans="1:16">
      <c r="A247" s="99"/>
      <c r="B247" s="58"/>
      <c r="C247" s="58"/>
      <c r="D247" s="58"/>
      <c r="E247" s="58"/>
      <c r="F247" s="58"/>
      <c r="G247" s="19"/>
      <c r="H247" s="58"/>
      <c r="I247" s="19"/>
      <c r="J247" s="159"/>
      <c r="K247" s="99"/>
      <c r="L247" s="99"/>
      <c r="M247" s="99"/>
      <c r="N247" s="99"/>
      <c r="O247" s="99"/>
      <c r="P247" s="99"/>
    </row>
    <row r="248" spans="1:16">
      <c r="A248" s="99"/>
      <c r="B248" s="58"/>
      <c r="C248" s="58"/>
      <c r="D248" s="58"/>
      <c r="E248" s="58"/>
      <c r="F248" s="58"/>
      <c r="G248" s="19"/>
      <c r="H248" s="58"/>
      <c r="I248" s="19"/>
      <c r="J248" s="159"/>
      <c r="K248" s="99"/>
      <c r="L248" s="99"/>
      <c r="M248" s="99"/>
      <c r="N248" s="99"/>
      <c r="O248" s="99"/>
      <c r="P248" s="99"/>
    </row>
    <row r="249" spans="1:16">
      <c r="A249" s="99"/>
      <c r="B249" s="58"/>
      <c r="C249" s="58"/>
      <c r="D249" s="58"/>
      <c r="E249" s="58"/>
      <c r="F249" s="58"/>
      <c r="G249" s="19"/>
      <c r="H249" s="58"/>
      <c r="I249" s="19"/>
      <c r="J249" s="159"/>
      <c r="K249" s="99"/>
      <c r="L249" s="99"/>
      <c r="M249" s="99"/>
      <c r="N249" s="99"/>
      <c r="O249" s="99"/>
      <c r="P249" s="99"/>
    </row>
    <row r="250" spans="1:16">
      <c r="A250" s="99"/>
      <c r="B250" s="58"/>
      <c r="C250" s="58"/>
      <c r="D250" s="58"/>
      <c r="E250" s="58"/>
      <c r="F250" s="58"/>
      <c r="G250" s="19"/>
      <c r="H250" s="58"/>
      <c r="I250" s="19"/>
      <c r="J250" s="159"/>
      <c r="K250" s="99"/>
      <c r="L250" s="99"/>
      <c r="M250" s="99"/>
      <c r="N250" s="99"/>
      <c r="O250" s="99"/>
      <c r="P250" s="99"/>
    </row>
    <row r="251" spans="1:16">
      <c r="A251" s="99"/>
      <c r="B251" s="58"/>
      <c r="C251" s="58"/>
      <c r="D251" s="58"/>
      <c r="E251" s="58"/>
      <c r="F251" s="58"/>
      <c r="G251" s="19"/>
      <c r="H251" s="58"/>
      <c r="I251" s="19"/>
      <c r="J251" s="159"/>
      <c r="K251" s="99"/>
      <c r="L251" s="99"/>
      <c r="M251" s="99"/>
      <c r="N251" s="99"/>
      <c r="O251" s="99"/>
      <c r="P251" s="99"/>
    </row>
    <row r="252" spans="1:16">
      <c r="A252" s="99"/>
      <c r="B252" s="58"/>
      <c r="C252" s="58"/>
      <c r="D252" s="58"/>
      <c r="E252" s="58"/>
      <c r="F252" s="58"/>
      <c r="G252" s="19"/>
      <c r="H252" s="58"/>
      <c r="I252" s="19"/>
      <c r="J252" s="159"/>
      <c r="K252" s="99"/>
      <c r="L252" s="99"/>
      <c r="M252" s="99"/>
      <c r="N252" s="99"/>
      <c r="O252" s="99"/>
      <c r="P252" s="99"/>
    </row>
    <row r="253" spans="1:16">
      <c r="A253" s="99"/>
      <c r="B253" s="58"/>
      <c r="C253" s="58"/>
      <c r="D253" s="58"/>
      <c r="E253" s="58"/>
      <c r="F253" s="58"/>
      <c r="G253" s="19"/>
      <c r="H253" s="58"/>
      <c r="I253" s="19"/>
      <c r="J253" s="159"/>
      <c r="K253" s="99"/>
      <c r="L253" s="99"/>
      <c r="M253" s="99"/>
      <c r="N253" s="99"/>
      <c r="O253" s="99"/>
      <c r="P253" s="99"/>
    </row>
    <row r="254" spans="1:16">
      <c r="A254" s="99"/>
      <c r="B254" s="58"/>
      <c r="C254" s="58"/>
      <c r="D254" s="58"/>
      <c r="E254" s="58"/>
      <c r="F254" s="58"/>
      <c r="G254" s="19"/>
      <c r="H254" s="58"/>
      <c r="I254" s="19"/>
      <c r="J254" s="159"/>
      <c r="K254" s="99"/>
      <c r="L254" s="99"/>
      <c r="M254" s="99"/>
      <c r="N254" s="99"/>
      <c r="O254" s="99"/>
      <c r="P254" s="99"/>
    </row>
    <row r="255" spans="1:16">
      <c r="A255" s="99"/>
      <c r="B255" s="58"/>
      <c r="C255" s="58"/>
      <c r="D255" s="58"/>
      <c r="E255" s="58"/>
      <c r="F255" s="58"/>
      <c r="G255" s="19"/>
      <c r="H255" s="58"/>
      <c r="I255" s="19"/>
      <c r="J255" s="159"/>
      <c r="K255" s="99"/>
      <c r="L255" s="99"/>
      <c r="M255" s="99"/>
      <c r="N255" s="99"/>
      <c r="O255" s="99"/>
      <c r="P255" s="99"/>
    </row>
    <row r="256" spans="1:16">
      <c r="A256" s="99"/>
      <c r="B256" s="58"/>
      <c r="C256" s="58"/>
      <c r="D256" s="58"/>
      <c r="E256" s="58"/>
      <c r="F256" s="58"/>
      <c r="G256" s="19"/>
      <c r="H256" s="58"/>
      <c r="I256" s="19"/>
      <c r="J256" s="159"/>
      <c r="K256" s="99"/>
      <c r="L256" s="99"/>
      <c r="M256" s="99"/>
      <c r="N256" s="99"/>
      <c r="O256" s="99"/>
      <c r="P256" s="99"/>
    </row>
    <row r="257" spans="1:16">
      <c r="A257" s="99"/>
      <c r="B257" s="58"/>
      <c r="C257" s="58"/>
      <c r="D257" s="58"/>
      <c r="E257" s="58"/>
      <c r="F257" s="58"/>
      <c r="G257" s="19"/>
      <c r="H257" s="58"/>
      <c r="I257" s="19"/>
      <c r="J257" s="159"/>
      <c r="K257" s="99"/>
      <c r="L257" s="99"/>
      <c r="M257" s="99"/>
      <c r="N257" s="99"/>
      <c r="O257" s="99"/>
      <c r="P257" s="99"/>
    </row>
    <row r="258" spans="1:16">
      <c r="A258" s="99"/>
      <c r="B258" s="58"/>
      <c r="C258" s="58"/>
      <c r="D258" s="58"/>
      <c r="E258" s="58"/>
      <c r="F258" s="58"/>
      <c r="G258" s="19"/>
      <c r="H258" s="58"/>
      <c r="I258" s="19"/>
      <c r="J258" s="159"/>
      <c r="K258" s="99"/>
      <c r="L258" s="99"/>
      <c r="M258" s="99"/>
      <c r="N258" s="99"/>
      <c r="O258" s="99"/>
      <c r="P258" s="99"/>
    </row>
    <row r="259" spans="1:16">
      <c r="A259" s="99"/>
      <c r="B259" s="58"/>
      <c r="C259" s="58"/>
      <c r="D259" s="58"/>
      <c r="E259" s="58"/>
      <c r="F259" s="58"/>
      <c r="G259" s="19"/>
      <c r="H259" s="58"/>
      <c r="I259" s="19"/>
      <c r="J259" s="159"/>
      <c r="K259" s="99"/>
      <c r="L259" s="99"/>
      <c r="M259" s="99"/>
      <c r="N259" s="99"/>
      <c r="O259" s="99"/>
      <c r="P259" s="99"/>
    </row>
    <row r="260" spans="1:16">
      <c r="A260" s="99"/>
      <c r="B260" s="58"/>
      <c r="C260" s="58"/>
      <c r="D260" s="58"/>
      <c r="E260" s="58"/>
      <c r="F260" s="58"/>
      <c r="G260" s="19"/>
      <c r="H260" s="58"/>
      <c r="I260" s="19"/>
      <c r="J260" s="159"/>
      <c r="K260" s="99"/>
      <c r="L260" s="99"/>
      <c r="M260" s="99"/>
      <c r="N260" s="99"/>
      <c r="O260" s="99"/>
      <c r="P260" s="99"/>
    </row>
    <row r="261" spans="1:16">
      <c r="A261" s="99"/>
      <c r="B261" s="58"/>
      <c r="C261" s="58"/>
      <c r="D261" s="58"/>
      <c r="E261" s="58"/>
      <c r="F261" s="58"/>
      <c r="G261" s="19"/>
      <c r="H261" s="58"/>
      <c r="I261" s="19"/>
      <c r="J261" s="159"/>
      <c r="K261" s="99"/>
      <c r="L261" s="99"/>
      <c r="M261" s="99"/>
      <c r="N261" s="99"/>
      <c r="O261" s="99"/>
      <c r="P261" s="99"/>
    </row>
    <row r="262" spans="1:16">
      <c r="A262" s="99"/>
      <c r="B262" s="58"/>
      <c r="C262" s="58"/>
      <c r="D262" s="58"/>
      <c r="E262" s="58"/>
      <c r="F262" s="58"/>
      <c r="G262" s="19"/>
      <c r="H262" s="58"/>
      <c r="I262" s="19"/>
      <c r="J262" s="159"/>
      <c r="K262" s="99"/>
      <c r="L262" s="99"/>
      <c r="M262" s="99"/>
      <c r="N262" s="99"/>
      <c r="O262" s="99"/>
      <c r="P262" s="99"/>
    </row>
    <row r="263" spans="1:16">
      <c r="A263" s="99"/>
      <c r="B263" s="58"/>
      <c r="C263" s="58"/>
      <c r="D263" s="58"/>
      <c r="E263" s="58"/>
      <c r="F263" s="58"/>
      <c r="G263" s="19"/>
      <c r="H263" s="58"/>
      <c r="I263" s="19"/>
      <c r="J263" s="159"/>
      <c r="K263" s="99"/>
      <c r="L263" s="99"/>
      <c r="M263" s="99"/>
      <c r="N263" s="99"/>
      <c r="O263" s="99"/>
      <c r="P263" s="99"/>
    </row>
    <row r="264" spans="1:16">
      <c r="A264" s="99"/>
      <c r="B264" s="58"/>
      <c r="C264" s="58"/>
      <c r="D264" s="58"/>
      <c r="E264" s="58"/>
      <c r="F264" s="58"/>
      <c r="G264" s="19"/>
      <c r="H264" s="58"/>
      <c r="I264" s="19"/>
      <c r="J264" s="159"/>
      <c r="K264" s="99"/>
      <c r="L264" s="99"/>
      <c r="M264" s="99"/>
      <c r="N264" s="99"/>
      <c r="O264" s="99"/>
      <c r="P264" s="99"/>
    </row>
    <row r="265" spans="1:16">
      <c r="A265" s="99"/>
      <c r="B265" s="58"/>
      <c r="C265" s="58"/>
      <c r="D265" s="58"/>
      <c r="E265" s="58"/>
      <c r="F265" s="58"/>
      <c r="G265" s="19"/>
      <c r="H265" s="58"/>
      <c r="I265" s="19"/>
      <c r="J265" s="159"/>
      <c r="K265" s="99"/>
      <c r="L265" s="99"/>
      <c r="M265" s="99"/>
      <c r="N265" s="99"/>
      <c r="O265" s="99"/>
      <c r="P265" s="99"/>
    </row>
    <row r="266" spans="1:16">
      <c r="A266" s="99"/>
      <c r="B266" s="58"/>
      <c r="C266" s="58"/>
      <c r="D266" s="58"/>
      <c r="E266" s="58"/>
      <c r="F266" s="58"/>
      <c r="G266" s="19"/>
      <c r="H266" s="58"/>
      <c r="I266" s="19"/>
      <c r="J266" s="159"/>
      <c r="K266" s="99"/>
      <c r="L266" s="99"/>
      <c r="M266" s="99"/>
      <c r="N266" s="99"/>
      <c r="O266" s="99"/>
      <c r="P266" s="99"/>
    </row>
    <row r="267" spans="1:16">
      <c r="A267" s="99"/>
      <c r="B267" s="58"/>
      <c r="C267" s="58"/>
      <c r="D267" s="58"/>
      <c r="E267" s="58"/>
      <c r="F267" s="58"/>
      <c r="G267" s="19"/>
      <c r="H267" s="58"/>
      <c r="I267" s="19"/>
      <c r="J267" s="159"/>
      <c r="K267" s="99"/>
      <c r="L267" s="99"/>
      <c r="M267" s="99"/>
      <c r="N267" s="99"/>
      <c r="O267" s="99"/>
      <c r="P267" s="99"/>
    </row>
    <row r="268" spans="1:16">
      <c r="A268" s="99"/>
      <c r="B268" s="58"/>
      <c r="C268" s="58"/>
      <c r="D268" s="58"/>
      <c r="E268" s="58"/>
      <c r="F268" s="58"/>
      <c r="G268" s="19"/>
      <c r="H268" s="58"/>
      <c r="I268" s="19"/>
      <c r="J268" s="159"/>
      <c r="K268" s="99"/>
      <c r="L268" s="99"/>
      <c r="M268" s="99"/>
      <c r="N268" s="99"/>
      <c r="O268" s="99"/>
      <c r="P268" s="99"/>
    </row>
    <row r="269" spans="1:16">
      <c r="A269" s="99"/>
      <c r="B269" s="58"/>
      <c r="C269" s="58"/>
      <c r="D269" s="58"/>
      <c r="E269" s="58"/>
      <c r="F269" s="58"/>
      <c r="G269" s="19"/>
      <c r="H269" s="58"/>
      <c r="I269" s="19"/>
      <c r="J269" s="159"/>
      <c r="K269" s="99"/>
      <c r="L269" s="99"/>
      <c r="M269" s="99"/>
      <c r="N269" s="99"/>
      <c r="O269" s="99"/>
      <c r="P269" s="99"/>
    </row>
    <row r="270" spans="1:16">
      <c r="A270" s="99"/>
      <c r="B270" s="649"/>
      <c r="C270" s="649"/>
      <c r="D270" s="649"/>
      <c r="E270" s="649"/>
      <c r="F270" s="649"/>
      <c r="G270" s="19"/>
      <c r="H270" s="655"/>
      <c r="I270" s="19"/>
      <c r="J270" s="159"/>
      <c r="K270" s="99"/>
      <c r="L270" s="99"/>
      <c r="M270" s="99"/>
      <c r="N270" s="99"/>
      <c r="O270" s="99"/>
      <c r="P270" s="99"/>
    </row>
    <row r="271" spans="1:16">
      <c r="A271" s="99"/>
      <c r="B271" s="649"/>
      <c r="C271" s="649"/>
      <c r="D271" s="649"/>
      <c r="E271" s="649"/>
      <c r="F271" s="649"/>
      <c r="G271" s="19"/>
      <c r="H271" s="655"/>
      <c r="I271" s="19"/>
      <c r="J271" s="159"/>
      <c r="K271" s="99"/>
      <c r="L271" s="99"/>
      <c r="M271" s="99"/>
      <c r="N271" s="99"/>
      <c r="O271" s="99"/>
      <c r="P271" s="99"/>
    </row>
    <row r="272" spans="1:16">
      <c r="A272" s="99"/>
      <c r="B272" s="649"/>
      <c r="C272" s="649"/>
      <c r="D272" s="649"/>
      <c r="E272" s="649"/>
      <c r="F272" s="649"/>
      <c r="G272" s="19"/>
      <c r="H272" s="655"/>
      <c r="I272" s="19"/>
      <c r="J272" s="159"/>
      <c r="K272" s="99"/>
      <c r="L272" s="99"/>
      <c r="M272" s="99"/>
      <c r="N272" s="99"/>
      <c r="O272" s="99"/>
      <c r="P272" s="99"/>
    </row>
    <row r="273" spans="1:16">
      <c r="A273" s="99"/>
      <c r="B273" s="649"/>
      <c r="C273" s="649"/>
      <c r="D273" s="649"/>
      <c r="E273" s="649"/>
      <c r="F273" s="649"/>
      <c r="G273" s="19"/>
      <c r="H273" s="655"/>
      <c r="I273" s="19"/>
      <c r="J273" s="159"/>
      <c r="K273" s="99"/>
      <c r="L273" s="99"/>
      <c r="M273" s="99"/>
      <c r="N273" s="99"/>
      <c r="O273" s="99"/>
      <c r="P273" s="99"/>
    </row>
    <row r="274" spans="1:16">
      <c r="A274" s="99"/>
      <c r="B274" s="649"/>
      <c r="C274" s="649"/>
      <c r="D274" s="649"/>
      <c r="E274" s="649"/>
      <c r="F274" s="649"/>
      <c r="G274" s="19"/>
      <c r="H274" s="655"/>
      <c r="I274" s="19"/>
      <c r="J274" s="159"/>
      <c r="K274" s="99"/>
      <c r="L274" s="99"/>
      <c r="M274" s="99"/>
      <c r="N274" s="99"/>
      <c r="O274" s="99"/>
      <c r="P274" s="99"/>
    </row>
    <row r="275" spans="1:16">
      <c r="A275" s="99"/>
      <c r="B275" s="649"/>
      <c r="C275" s="649"/>
      <c r="D275" s="649"/>
      <c r="E275" s="649"/>
      <c r="F275" s="649"/>
      <c r="G275" s="19"/>
      <c r="H275" s="655"/>
      <c r="I275" s="19"/>
      <c r="J275" s="159"/>
      <c r="K275" s="99"/>
      <c r="L275" s="99"/>
      <c r="M275" s="99"/>
      <c r="N275" s="99"/>
      <c r="O275" s="99"/>
      <c r="P275" s="99"/>
    </row>
    <row r="276" spans="1:16">
      <c r="A276" s="99"/>
      <c r="B276" s="649"/>
      <c r="C276" s="649"/>
      <c r="D276" s="649"/>
      <c r="E276" s="649"/>
      <c r="F276" s="649"/>
      <c r="G276" s="19"/>
      <c r="H276" s="655"/>
      <c r="I276" s="19"/>
      <c r="J276" s="159"/>
      <c r="K276" s="99"/>
      <c r="L276" s="99"/>
      <c r="M276" s="99"/>
      <c r="N276" s="99"/>
      <c r="O276" s="99"/>
      <c r="P276" s="99"/>
    </row>
    <row r="277" spans="1:16">
      <c r="A277" s="99"/>
      <c r="B277" s="649"/>
      <c r="C277" s="649"/>
      <c r="D277" s="649"/>
      <c r="E277" s="649"/>
      <c r="F277" s="649"/>
      <c r="G277" s="19"/>
      <c r="H277" s="655"/>
      <c r="I277" s="19"/>
      <c r="J277" s="159"/>
      <c r="K277" s="99"/>
      <c r="L277" s="99"/>
      <c r="M277" s="99"/>
      <c r="N277" s="99"/>
      <c r="O277" s="99"/>
      <c r="P277" s="99"/>
    </row>
    <row r="278" spans="1:16">
      <c r="A278" s="99"/>
      <c r="B278" s="649"/>
      <c r="C278" s="649"/>
      <c r="D278" s="649"/>
      <c r="E278" s="649"/>
      <c r="F278" s="649"/>
      <c r="G278" s="19"/>
      <c r="H278" s="655"/>
      <c r="I278" s="19"/>
      <c r="J278" s="159"/>
      <c r="K278" s="99"/>
      <c r="L278" s="99"/>
      <c r="M278" s="99"/>
      <c r="N278" s="99"/>
      <c r="O278" s="99"/>
      <c r="P278" s="99"/>
    </row>
    <row r="279" spans="1:16">
      <c r="A279" s="99"/>
      <c r="B279" s="649"/>
      <c r="C279" s="649"/>
      <c r="D279" s="649"/>
      <c r="E279" s="649"/>
      <c r="F279" s="649"/>
      <c r="G279" s="19"/>
      <c r="H279" s="655"/>
      <c r="I279" s="19"/>
      <c r="J279" s="159"/>
      <c r="K279" s="99"/>
      <c r="L279" s="99"/>
      <c r="M279" s="99"/>
      <c r="N279" s="99"/>
      <c r="O279" s="99"/>
      <c r="P279" s="99"/>
    </row>
    <row r="280" spans="1:16">
      <c r="A280" s="99"/>
      <c r="B280" s="649"/>
      <c r="C280" s="649"/>
      <c r="D280" s="649"/>
      <c r="E280" s="649"/>
      <c r="F280" s="649"/>
      <c r="G280" s="19"/>
      <c r="H280" s="655"/>
      <c r="I280" s="19"/>
      <c r="J280" s="159"/>
      <c r="K280" s="99"/>
      <c r="L280" s="99"/>
      <c r="M280" s="99"/>
      <c r="N280" s="99"/>
      <c r="O280" s="99"/>
      <c r="P280" s="99"/>
    </row>
    <row r="281" spans="1:16">
      <c r="A281" s="99"/>
      <c r="B281" s="649"/>
      <c r="C281" s="649"/>
      <c r="D281" s="649"/>
      <c r="E281" s="649"/>
      <c r="F281" s="649"/>
      <c r="G281" s="19"/>
      <c r="H281" s="655"/>
      <c r="I281" s="19"/>
      <c r="J281" s="159"/>
      <c r="K281" s="99"/>
      <c r="L281" s="99"/>
      <c r="M281" s="99"/>
      <c r="N281" s="99"/>
      <c r="O281" s="99"/>
      <c r="P281" s="99"/>
    </row>
    <row r="282" spans="1:16">
      <c r="A282" s="99"/>
      <c r="B282" s="649"/>
      <c r="C282" s="649"/>
      <c r="D282" s="649"/>
      <c r="E282" s="649"/>
      <c r="F282" s="649"/>
      <c r="G282" s="19"/>
      <c r="H282" s="655"/>
      <c r="I282" s="19"/>
      <c r="J282" s="159"/>
      <c r="K282" s="99"/>
      <c r="L282" s="99"/>
      <c r="M282" s="99"/>
      <c r="N282" s="99"/>
      <c r="O282" s="99"/>
      <c r="P282" s="99"/>
    </row>
    <row r="283" spans="1:16">
      <c r="A283" s="99"/>
      <c r="B283" s="649"/>
      <c r="C283" s="649"/>
      <c r="D283" s="649"/>
      <c r="E283" s="649"/>
      <c r="F283" s="649"/>
      <c r="G283" s="19"/>
      <c r="H283" s="655"/>
      <c r="I283" s="19"/>
      <c r="J283" s="159"/>
      <c r="K283" s="99"/>
      <c r="L283" s="99"/>
      <c r="M283" s="99"/>
      <c r="N283" s="99"/>
      <c r="O283" s="99"/>
      <c r="P283" s="99"/>
    </row>
    <row r="284" spans="1:16">
      <c r="A284" s="99"/>
      <c r="B284" s="649"/>
      <c r="C284" s="649"/>
      <c r="D284" s="649"/>
      <c r="E284" s="649"/>
      <c r="F284" s="649"/>
      <c r="G284" s="19"/>
      <c r="H284" s="655"/>
      <c r="I284" s="19"/>
      <c r="J284" s="159"/>
      <c r="K284" s="99"/>
      <c r="L284" s="99"/>
      <c r="M284" s="99"/>
      <c r="N284" s="99"/>
      <c r="O284" s="99"/>
      <c r="P284" s="99"/>
    </row>
    <row r="285" spans="1:16">
      <c r="A285" s="99"/>
      <c r="B285" s="649"/>
      <c r="C285" s="649"/>
      <c r="D285" s="649"/>
      <c r="E285" s="649"/>
      <c r="F285" s="649"/>
      <c r="G285" s="19"/>
      <c r="H285" s="655"/>
      <c r="I285" s="19"/>
      <c r="J285" s="159"/>
      <c r="K285" s="99"/>
      <c r="L285" s="99"/>
      <c r="M285" s="99"/>
      <c r="N285" s="99"/>
      <c r="O285" s="99"/>
      <c r="P285" s="99"/>
    </row>
    <row r="286" spans="1:16">
      <c r="A286" s="99"/>
      <c r="B286" s="649"/>
      <c r="C286" s="649"/>
      <c r="D286" s="649"/>
      <c r="E286" s="649"/>
      <c r="F286" s="649"/>
      <c r="G286" s="19"/>
      <c r="H286" s="655"/>
      <c r="I286" s="19"/>
      <c r="J286" s="159"/>
      <c r="K286" s="99"/>
      <c r="L286" s="99"/>
      <c r="M286" s="99"/>
      <c r="N286" s="99"/>
      <c r="O286" s="99"/>
      <c r="P286" s="99"/>
    </row>
    <row r="287" spans="1:16">
      <c r="A287" s="99"/>
      <c r="B287" s="649"/>
      <c r="C287" s="649"/>
      <c r="D287" s="649"/>
      <c r="E287" s="649"/>
      <c r="F287" s="649"/>
      <c r="G287" s="19"/>
      <c r="H287" s="655"/>
      <c r="I287" s="19"/>
      <c r="J287" s="159"/>
      <c r="K287" s="99"/>
      <c r="L287" s="99"/>
      <c r="M287" s="99"/>
      <c r="N287" s="99"/>
      <c r="O287" s="99"/>
      <c r="P287" s="99"/>
    </row>
    <row r="288" spans="1:16">
      <c r="A288" s="99"/>
      <c r="B288" s="649"/>
      <c r="C288" s="649"/>
      <c r="D288" s="649"/>
      <c r="E288" s="649"/>
      <c r="F288" s="649"/>
      <c r="G288" s="19"/>
      <c r="H288" s="655"/>
      <c r="I288" s="19"/>
      <c r="J288" s="159"/>
      <c r="K288" s="99"/>
      <c r="L288" s="99"/>
      <c r="M288" s="99"/>
      <c r="N288" s="99"/>
      <c r="O288" s="99"/>
      <c r="P288" s="99"/>
    </row>
    <row r="289" spans="1:16">
      <c r="A289" s="99"/>
      <c r="B289" s="649"/>
      <c r="C289" s="649"/>
      <c r="D289" s="649"/>
      <c r="E289" s="649"/>
      <c r="F289" s="649"/>
      <c r="G289" s="19"/>
      <c r="H289" s="655"/>
      <c r="I289" s="19"/>
      <c r="J289" s="159"/>
      <c r="K289" s="99"/>
      <c r="L289" s="99"/>
      <c r="M289" s="99"/>
      <c r="N289" s="99"/>
      <c r="O289" s="99"/>
      <c r="P289" s="99"/>
    </row>
    <row r="290" spans="1:16">
      <c r="A290" s="99"/>
      <c r="B290" s="649"/>
      <c r="C290" s="649"/>
      <c r="D290" s="649"/>
      <c r="E290" s="649"/>
      <c r="F290" s="649"/>
      <c r="G290" s="19"/>
      <c r="H290" s="655"/>
      <c r="I290" s="19"/>
      <c r="J290" s="159"/>
      <c r="K290" s="99"/>
      <c r="L290" s="99"/>
      <c r="M290" s="99"/>
      <c r="N290" s="99"/>
      <c r="O290" s="99"/>
      <c r="P290" s="99"/>
    </row>
    <row r="291" spans="1:16">
      <c r="A291" s="99"/>
      <c r="B291" s="649"/>
      <c r="C291" s="649"/>
      <c r="D291" s="649"/>
      <c r="E291" s="649"/>
      <c r="F291" s="649"/>
      <c r="G291" s="19"/>
      <c r="H291" s="655"/>
      <c r="I291" s="19"/>
      <c r="J291" s="159"/>
      <c r="K291" s="99"/>
      <c r="L291" s="99"/>
      <c r="M291" s="99"/>
      <c r="N291" s="99"/>
      <c r="O291" s="99"/>
      <c r="P291" s="99"/>
    </row>
    <row r="292" spans="1:16">
      <c r="A292" s="99"/>
      <c r="B292" s="649"/>
      <c r="C292" s="649"/>
      <c r="D292" s="649"/>
      <c r="E292" s="649"/>
      <c r="F292" s="649"/>
      <c r="G292" s="19"/>
      <c r="H292" s="655"/>
      <c r="I292" s="19"/>
      <c r="J292" s="159"/>
      <c r="K292" s="99"/>
      <c r="L292" s="99"/>
      <c r="M292" s="99"/>
      <c r="N292" s="99"/>
      <c r="O292" s="99"/>
      <c r="P292" s="99"/>
    </row>
    <row r="293" spans="1:16">
      <c r="A293" s="99"/>
      <c r="B293" s="649"/>
      <c r="C293" s="649"/>
      <c r="D293" s="649"/>
      <c r="E293" s="649"/>
      <c r="F293" s="649"/>
      <c r="G293" s="19"/>
      <c r="H293" s="655"/>
      <c r="I293" s="19"/>
      <c r="J293" s="159"/>
      <c r="K293" s="99"/>
      <c r="L293" s="99"/>
      <c r="M293" s="99"/>
      <c r="N293" s="99"/>
      <c r="O293" s="99"/>
      <c r="P293" s="99"/>
    </row>
    <row r="294" spans="1:16">
      <c r="A294" s="99"/>
      <c r="B294" s="649"/>
      <c r="C294" s="649"/>
      <c r="D294" s="649"/>
      <c r="E294" s="649"/>
      <c r="F294" s="649"/>
      <c r="G294" s="19"/>
      <c r="H294" s="655"/>
      <c r="I294" s="19"/>
      <c r="J294" s="159"/>
      <c r="K294" s="99"/>
      <c r="L294" s="99"/>
      <c r="M294" s="99"/>
      <c r="N294" s="99"/>
      <c r="O294" s="99"/>
      <c r="P294" s="99"/>
    </row>
    <row r="295" spans="1:16">
      <c r="A295" s="99"/>
      <c r="B295" s="649"/>
      <c r="C295" s="649"/>
      <c r="D295" s="649"/>
      <c r="E295" s="649"/>
      <c r="F295" s="649"/>
      <c r="G295" s="19"/>
      <c r="H295" s="655"/>
      <c r="I295" s="19"/>
      <c r="J295" s="159"/>
      <c r="K295" s="99"/>
      <c r="L295" s="99"/>
      <c r="M295" s="99"/>
      <c r="N295" s="99"/>
      <c r="O295" s="99"/>
      <c r="P295" s="99"/>
    </row>
    <row r="296" spans="1:16">
      <c r="A296" s="99"/>
      <c r="B296" s="649"/>
      <c r="C296" s="649"/>
      <c r="D296" s="649"/>
      <c r="E296" s="649"/>
      <c r="F296" s="649"/>
      <c r="G296" s="19"/>
      <c r="H296" s="655"/>
      <c r="I296" s="19"/>
      <c r="J296" s="159"/>
      <c r="K296" s="99"/>
      <c r="L296" s="99"/>
      <c r="M296" s="99"/>
      <c r="N296" s="99"/>
      <c r="O296" s="99"/>
      <c r="P296" s="99"/>
    </row>
    <row r="297" spans="1:16">
      <c r="A297" s="99"/>
      <c r="B297" s="649"/>
      <c r="C297" s="649"/>
      <c r="D297" s="649"/>
      <c r="E297" s="649"/>
      <c r="F297" s="649"/>
      <c r="G297" s="19"/>
      <c r="H297" s="655"/>
      <c r="I297" s="19"/>
      <c r="J297" s="159"/>
      <c r="K297" s="99"/>
      <c r="L297" s="99"/>
      <c r="M297" s="99"/>
      <c r="N297" s="99"/>
      <c r="O297" s="99"/>
      <c r="P297" s="99"/>
    </row>
    <row r="298" spans="1:16">
      <c r="A298" s="99"/>
      <c r="B298" s="649"/>
      <c r="C298" s="649"/>
      <c r="D298" s="649"/>
      <c r="E298" s="649"/>
      <c r="F298" s="649"/>
      <c r="G298" s="19"/>
      <c r="H298" s="655"/>
      <c r="I298" s="19"/>
      <c r="J298" s="159"/>
      <c r="K298" s="99"/>
      <c r="L298" s="99"/>
      <c r="M298" s="99"/>
      <c r="N298" s="99"/>
      <c r="O298" s="99"/>
      <c r="P298" s="99"/>
    </row>
    <row r="299" spans="1:16">
      <c r="A299" s="99"/>
      <c r="B299" s="649"/>
      <c r="C299" s="649"/>
      <c r="D299" s="649"/>
      <c r="E299" s="649"/>
      <c r="F299" s="649"/>
      <c r="G299" s="19"/>
      <c r="H299" s="655"/>
      <c r="I299" s="19"/>
      <c r="J299" s="159"/>
      <c r="K299" s="99"/>
      <c r="L299" s="99"/>
      <c r="M299" s="99"/>
      <c r="N299" s="99"/>
      <c r="O299" s="99"/>
      <c r="P299" s="99"/>
    </row>
    <row r="300" spans="1:16">
      <c r="A300" s="99"/>
      <c r="B300" s="649"/>
      <c r="C300" s="649"/>
      <c r="D300" s="649"/>
      <c r="E300" s="649"/>
      <c r="F300" s="649"/>
      <c r="G300" s="19"/>
      <c r="H300" s="655"/>
      <c r="I300" s="19"/>
      <c r="J300" s="159"/>
      <c r="K300" s="99"/>
      <c r="L300" s="99"/>
      <c r="M300" s="99"/>
      <c r="N300" s="99"/>
      <c r="O300" s="99"/>
      <c r="P300" s="99"/>
    </row>
    <row r="301" spans="1:16">
      <c r="A301" s="99"/>
      <c r="B301" s="649"/>
      <c r="C301" s="649"/>
      <c r="D301" s="649"/>
      <c r="E301" s="649"/>
      <c r="F301" s="649"/>
      <c r="G301" s="19"/>
      <c r="H301" s="655"/>
      <c r="I301" s="19"/>
      <c r="J301" s="159"/>
      <c r="K301" s="99"/>
      <c r="L301" s="99"/>
      <c r="M301" s="99"/>
      <c r="N301" s="99"/>
      <c r="O301" s="99"/>
      <c r="P301" s="99"/>
    </row>
    <row r="302" spans="1:16">
      <c r="A302" s="99"/>
      <c r="B302" s="649"/>
      <c r="C302" s="649"/>
      <c r="D302" s="649"/>
      <c r="E302" s="649"/>
      <c r="F302" s="649"/>
      <c r="G302" s="19"/>
      <c r="H302" s="655"/>
      <c r="I302" s="19"/>
      <c r="J302" s="159"/>
      <c r="K302" s="99"/>
      <c r="L302" s="99"/>
      <c r="M302" s="99"/>
      <c r="N302" s="99"/>
      <c r="O302" s="99"/>
      <c r="P302" s="99"/>
    </row>
    <row r="303" spans="1:16">
      <c r="A303" s="99"/>
      <c r="B303" s="649"/>
      <c r="C303" s="649"/>
      <c r="D303" s="649"/>
      <c r="E303" s="649"/>
      <c r="F303" s="649"/>
      <c r="G303" s="19"/>
      <c r="H303" s="655"/>
      <c r="I303" s="19"/>
      <c r="J303" s="159"/>
      <c r="K303" s="99"/>
      <c r="L303" s="99"/>
      <c r="M303" s="99"/>
      <c r="N303" s="99"/>
      <c r="O303" s="99"/>
      <c r="P303" s="99"/>
    </row>
    <row r="304" spans="1:16">
      <c r="A304" s="99"/>
      <c r="B304" s="649"/>
      <c r="C304" s="649"/>
      <c r="D304" s="649"/>
      <c r="E304" s="649"/>
      <c r="F304" s="649"/>
      <c r="G304" s="19"/>
      <c r="H304" s="655"/>
      <c r="I304" s="19"/>
      <c r="J304" s="159"/>
      <c r="K304" s="99"/>
      <c r="L304" s="99"/>
      <c r="M304" s="99"/>
      <c r="N304" s="99"/>
      <c r="O304" s="99"/>
      <c r="P304" s="99"/>
    </row>
    <row r="305" spans="1:16">
      <c r="A305" s="99"/>
      <c r="B305" s="649"/>
      <c r="C305" s="649"/>
      <c r="D305" s="649"/>
      <c r="E305" s="649"/>
      <c r="F305" s="649"/>
      <c r="G305" s="19"/>
      <c r="H305" s="655"/>
      <c r="I305" s="19"/>
      <c r="J305" s="159"/>
      <c r="K305" s="99"/>
      <c r="L305" s="99"/>
      <c r="M305" s="99"/>
      <c r="N305" s="99"/>
      <c r="O305" s="99"/>
      <c r="P305" s="99"/>
    </row>
    <row r="306" spans="1:16">
      <c r="A306" s="99"/>
      <c r="B306" s="649"/>
      <c r="C306" s="649"/>
      <c r="D306" s="649"/>
      <c r="E306" s="649"/>
      <c r="F306" s="649"/>
      <c r="G306" s="19"/>
      <c r="H306" s="655"/>
      <c r="I306" s="19"/>
      <c r="J306" s="159"/>
      <c r="K306" s="99"/>
      <c r="L306" s="99"/>
      <c r="M306" s="99"/>
      <c r="N306" s="99"/>
      <c r="O306" s="99"/>
      <c r="P306" s="99"/>
    </row>
    <row r="307" spans="1:16">
      <c r="A307" s="99"/>
      <c r="B307" s="649"/>
      <c r="C307" s="649"/>
      <c r="D307" s="649"/>
      <c r="E307" s="649"/>
      <c r="F307" s="649"/>
      <c r="G307" s="19"/>
      <c r="H307" s="655"/>
      <c r="I307" s="19"/>
      <c r="J307" s="159"/>
      <c r="K307" s="99"/>
      <c r="L307" s="99"/>
      <c r="M307" s="99"/>
      <c r="N307" s="99"/>
      <c r="O307" s="99"/>
      <c r="P307" s="99"/>
    </row>
    <row r="308" spans="1:16">
      <c r="A308" s="99"/>
      <c r="B308" s="649"/>
      <c r="C308" s="649"/>
      <c r="D308" s="649"/>
      <c r="E308" s="649"/>
      <c r="F308" s="649"/>
      <c r="G308" s="19"/>
      <c r="H308" s="655"/>
      <c r="I308" s="19"/>
      <c r="J308" s="159"/>
      <c r="K308" s="99"/>
      <c r="L308" s="99"/>
      <c r="M308" s="99"/>
      <c r="N308" s="99"/>
      <c r="O308" s="99"/>
      <c r="P308" s="99"/>
    </row>
    <row r="309" spans="1:16">
      <c r="A309" s="99"/>
      <c r="B309" s="649"/>
      <c r="C309" s="649"/>
      <c r="D309" s="649"/>
      <c r="E309" s="649"/>
      <c r="F309" s="649"/>
      <c r="G309" s="19"/>
      <c r="H309" s="655"/>
      <c r="I309" s="19"/>
      <c r="J309" s="159"/>
      <c r="K309" s="99"/>
      <c r="L309" s="99"/>
      <c r="M309" s="99"/>
      <c r="N309" s="99"/>
      <c r="O309" s="99"/>
      <c r="P309" s="99"/>
    </row>
    <row r="310" spans="1:16">
      <c r="A310" s="99"/>
      <c r="B310" s="649"/>
      <c r="C310" s="649"/>
      <c r="D310" s="649"/>
      <c r="E310" s="649"/>
      <c r="F310" s="649"/>
      <c r="G310" s="19"/>
      <c r="H310" s="655"/>
      <c r="I310" s="19"/>
      <c r="J310" s="159"/>
      <c r="K310" s="99"/>
      <c r="L310" s="99"/>
      <c r="M310" s="99"/>
      <c r="N310" s="99"/>
      <c r="O310" s="99"/>
      <c r="P310" s="99"/>
    </row>
    <row r="311" spans="1:16">
      <c r="A311" s="99"/>
      <c r="B311" s="649"/>
      <c r="C311" s="649"/>
      <c r="D311" s="649"/>
      <c r="E311" s="649"/>
      <c r="F311" s="649"/>
      <c r="G311" s="19"/>
      <c r="H311" s="655"/>
      <c r="I311" s="19"/>
      <c r="J311" s="159"/>
      <c r="K311" s="99"/>
      <c r="L311" s="99"/>
      <c r="M311" s="99"/>
      <c r="N311" s="99"/>
      <c r="O311" s="99"/>
      <c r="P311" s="99"/>
    </row>
    <row r="312" spans="1:16">
      <c r="A312" s="99"/>
      <c r="B312" s="649"/>
      <c r="C312" s="649"/>
      <c r="D312" s="649"/>
      <c r="E312" s="649"/>
      <c r="F312" s="649"/>
      <c r="G312" s="19"/>
      <c r="H312" s="655"/>
      <c r="I312" s="19"/>
      <c r="J312" s="159"/>
      <c r="K312" s="99"/>
      <c r="L312" s="99"/>
      <c r="M312" s="99"/>
      <c r="N312" s="99"/>
      <c r="O312" s="99"/>
      <c r="P312" s="99"/>
    </row>
    <row r="313" spans="1:16">
      <c r="A313" s="99"/>
      <c r="B313" s="649"/>
      <c r="C313" s="649"/>
      <c r="D313" s="649"/>
      <c r="E313" s="649"/>
      <c r="F313" s="649"/>
      <c r="G313" s="19"/>
      <c r="H313" s="655"/>
      <c r="I313" s="19"/>
      <c r="J313" s="159"/>
      <c r="K313" s="99"/>
      <c r="L313" s="99"/>
      <c r="M313" s="99"/>
      <c r="N313" s="99"/>
      <c r="O313" s="99"/>
      <c r="P313" s="99"/>
    </row>
    <row r="314" spans="1:16">
      <c r="A314" s="99"/>
      <c r="B314" s="649"/>
      <c r="C314" s="649"/>
      <c r="D314" s="649"/>
      <c r="E314" s="649"/>
      <c r="F314" s="649"/>
      <c r="G314" s="19"/>
      <c r="H314" s="655"/>
      <c r="I314" s="19"/>
      <c r="J314" s="159"/>
      <c r="K314" s="99"/>
      <c r="L314" s="99"/>
      <c r="M314" s="99"/>
      <c r="N314" s="99"/>
      <c r="O314" s="99"/>
      <c r="P314" s="99"/>
    </row>
    <row r="315" spans="1:16">
      <c r="A315" s="99"/>
      <c r="B315" s="649"/>
      <c r="C315" s="649"/>
      <c r="D315" s="649"/>
      <c r="E315" s="649"/>
      <c r="F315" s="649"/>
      <c r="G315" s="19"/>
      <c r="H315" s="655"/>
      <c r="I315" s="19"/>
      <c r="J315" s="159"/>
      <c r="K315" s="99"/>
      <c r="L315" s="99"/>
      <c r="M315" s="99"/>
      <c r="N315" s="99"/>
      <c r="O315" s="99"/>
      <c r="P315" s="99"/>
    </row>
    <row r="316" spans="1:16">
      <c r="A316" s="99"/>
      <c r="B316" s="649"/>
      <c r="C316" s="649"/>
      <c r="D316" s="649"/>
      <c r="E316" s="649"/>
      <c r="F316" s="649"/>
      <c r="G316" s="19"/>
      <c r="H316" s="655"/>
      <c r="I316" s="19"/>
      <c r="J316" s="159"/>
      <c r="K316" s="99"/>
      <c r="L316" s="99"/>
      <c r="M316" s="99"/>
      <c r="N316" s="99"/>
      <c r="O316" s="99"/>
      <c r="P316" s="99"/>
    </row>
    <row r="317" spans="1:16">
      <c r="A317" s="99"/>
      <c r="B317" s="649"/>
      <c r="C317" s="649"/>
      <c r="D317" s="649"/>
      <c r="E317" s="649"/>
      <c r="F317" s="649"/>
      <c r="G317" s="19"/>
      <c r="H317" s="655"/>
      <c r="I317" s="19"/>
      <c r="J317" s="159"/>
      <c r="K317" s="99"/>
      <c r="L317" s="99"/>
      <c r="M317" s="99"/>
      <c r="N317" s="99"/>
      <c r="O317" s="99"/>
      <c r="P317" s="99"/>
    </row>
    <row r="318" spans="1:16">
      <c r="A318" s="99"/>
      <c r="B318" s="649"/>
      <c r="C318" s="649"/>
      <c r="D318" s="649"/>
      <c r="E318" s="649"/>
      <c r="F318" s="649"/>
      <c r="G318" s="19"/>
      <c r="H318" s="655"/>
      <c r="I318" s="19"/>
      <c r="J318" s="159"/>
      <c r="K318" s="99"/>
      <c r="L318" s="99"/>
      <c r="M318" s="99"/>
      <c r="N318" s="99"/>
      <c r="O318" s="99"/>
      <c r="P318" s="99"/>
    </row>
    <row r="319" spans="1:16">
      <c r="A319" s="99"/>
      <c r="B319" s="649"/>
      <c r="C319" s="649"/>
      <c r="D319" s="649"/>
      <c r="E319" s="649"/>
      <c r="F319" s="649"/>
      <c r="G319" s="19"/>
      <c r="H319" s="655"/>
      <c r="I319" s="19"/>
      <c r="J319" s="159"/>
      <c r="K319" s="99"/>
      <c r="L319" s="99"/>
      <c r="M319" s="99"/>
      <c r="N319" s="99"/>
      <c r="O319" s="99"/>
      <c r="P319" s="99"/>
    </row>
    <row r="320" spans="1:16">
      <c r="A320" s="99"/>
      <c r="B320" s="649"/>
      <c r="C320" s="649"/>
      <c r="D320" s="649"/>
      <c r="E320" s="649"/>
      <c r="F320" s="649"/>
      <c r="G320" s="19"/>
      <c r="H320" s="655"/>
      <c r="I320" s="19"/>
      <c r="J320" s="159"/>
      <c r="K320" s="99"/>
      <c r="L320" s="99"/>
      <c r="M320" s="99"/>
      <c r="N320" s="99"/>
      <c r="O320" s="99"/>
      <c r="P320" s="99"/>
    </row>
    <row r="321" spans="1:16">
      <c r="A321" s="99"/>
      <c r="B321" s="649"/>
      <c r="C321" s="649"/>
      <c r="D321" s="649"/>
      <c r="E321" s="649"/>
      <c r="F321" s="649"/>
      <c r="G321" s="19"/>
      <c r="H321" s="655"/>
      <c r="I321" s="19"/>
      <c r="J321" s="159"/>
      <c r="K321" s="99"/>
      <c r="L321" s="99"/>
      <c r="M321" s="99"/>
      <c r="N321" s="99"/>
      <c r="O321" s="99"/>
      <c r="P321" s="99"/>
    </row>
    <row r="322" spans="1:16">
      <c r="A322" s="99"/>
      <c r="B322" s="649"/>
      <c r="C322" s="649"/>
      <c r="D322" s="649"/>
      <c r="E322" s="649"/>
      <c r="F322" s="649"/>
      <c r="G322" s="19"/>
      <c r="H322" s="655"/>
      <c r="I322" s="19"/>
      <c r="J322" s="159"/>
      <c r="K322" s="99"/>
      <c r="L322" s="99"/>
      <c r="M322" s="99"/>
      <c r="N322" s="99"/>
      <c r="O322" s="99"/>
      <c r="P322" s="99"/>
    </row>
    <row r="323" spans="1:16">
      <c r="A323" s="99"/>
      <c r="B323" s="649"/>
      <c r="C323" s="649"/>
      <c r="D323" s="649"/>
      <c r="E323" s="649"/>
      <c r="F323" s="649"/>
      <c r="G323" s="19"/>
      <c r="H323" s="655"/>
      <c r="I323" s="19"/>
      <c r="J323" s="159"/>
      <c r="K323" s="99"/>
      <c r="L323" s="99"/>
      <c r="M323" s="99"/>
      <c r="N323" s="99"/>
      <c r="O323" s="99"/>
      <c r="P323" s="99"/>
    </row>
    <row r="324" spans="1:16">
      <c r="A324" s="99"/>
      <c r="B324" s="649"/>
      <c r="C324" s="649"/>
      <c r="D324" s="649"/>
      <c r="E324" s="649"/>
      <c r="F324" s="649"/>
      <c r="G324" s="19"/>
      <c r="H324" s="655"/>
      <c r="I324" s="19"/>
      <c r="J324" s="159"/>
      <c r="K324" s="99"/>
      <c r="L324" s="99"/>
      <c r="M324" s="99"/>
      <c r="N324" s="99"/>
      <c r="O324" s="99"/>
      <c r="P324" s="99"/>
    </row>
    <row r="325" spans="1:16">
      <c r="A325" s="99"/>
      <c r="B325" s="649"/>
      <c r="C325" s="649"/>
      <c r="D325" s="649"/>
      <c r="E325" s="649"/>
      <c r="F325" s="649"/>
      <c r="G325" s="19"/>
      <c r="H325" s="655"/>
      <c r="I325" s="19"/>
      <c r="J325" s="159"/>
      <c r="K325" s="99"/>
      <c r="L325" s="99"/>
      <c r="M325" s="99"/>
      <c r="N325" s="99"/>
      <c r="O325" s="99"/>
      <c r="P325" s="99"/>
    </row>
    <row r="326" spans="1:16">
      <c r="A326" s="99"/>
      <c r="B326" s="649"/>
      <c r="C326" s="649"/>
      <c r="D326" s="649"/>
      <c r="E326" s="649"/>
      <c r="F326" s="649"/>
      <c r="G326" s="19"/>
      <c r="H326" s="655"/>
      <c r="I326" s="19"/>
      <c r="J326" s="159"/>
      <c r="K326" s="99"/>
      <c r="L326" s="99"/>
      <c r="M326" s="99"/>
      <c r="N326" s="99"/>
      <c r="O326" s="99"/>
      <c r="P326" s="99"/>
    </row>
    <row r="327" spans="1:16">
      <c r="A327" s="99"/>
      <c r="B327" s="649"/>
      <c r="C327" s="649"/>
      <c r="D327" s="649"/>
      <c r="E327" s="649"/>
      <c r="F327" s="649"/>
      <c r="G327" s="19"/>
      <c r="H327" s="655"/>
      <c r="I327" s="19"/>
      <c r="J327" s="159"/>
      <c r="K327" s="99"/>
      <c r="L327" s="99"/>
      <c r="M327" s="99"/>
      <c r="N327" s="99"/>
      <c r="O327" s="99"/>
      <c r="P327" s="99"/>
    </row>
    <row r="328" spans="1:16">
      <c r="A328" s="99"/>
      <c r="B328" s="649"/>
      <c r="C328" s="649"/>
      <c r="D328" s="649"/>
      <c r="E328" s="649"/>
      <c r="F328" s="649"/>
      <c r="G328" s="19"/>
      <c r="H328" s="655"/>
      <c r="I328" s="19"/>
      <c r="J328" s="159"/>
      <c r="K328" s="99"/>
      <c r="L328" s="99"/>
      <c r="M328" s="99"/>
      <c r="N328" s="99"/>
      <c r="O328" s="99"/>
      <c r="P328" s="99"/>
    </row>
    <row r="329" spans="1:16">
      <c r="A329" s="99"/>
      <c r="B329" s="649"/>
      <c r="C329" s="649"/>
      <c r="D329" s="649"/>
      <c r="E329" s="649"/>
      <c r="F329" s="649"/>
      <c r="G329" s="19"/>
      <c r="H329" s="655"/>
      <c r="I329" s="19"/>
      <c r="J329" s="159"/>
      <c r="K329" s="99"/>
      <c r="L329" s="99"/>
      <c r="M329" s="99"/>
      <c r="N329" s="99"/>
      <c r="O329" s="99"/>
      <c r="P329" s="99"/>
    </row>
    <row r="330" spans="1:16">
      <c r="A330" s="99"/>
      <c r="B330" s="649"/>
      <c r="C330" s="649"/>
      <c r="D330" s="649"/>
      <c r="E330" s="649"/>
      <c r="F330" s="649"/>
      <c r="G330" s="19"/>
      <c r="H330" s="655"/>
      <c r="I330" s="19"/>
      <c r="J330" s="159"/>
      <c r="K330" s="99"/>
      <c r="L330" s="99"/>
      <c r="M330" s="99"/>
      <c r="N330" s="99"/>
      <c r="O330" s="99"/>
      <c r="P330" s="99"/>
    </row>
    <row r="331" spans="1:16">
      <c r="A331" s="99"/>
      <c r="B331" s="649"/>
      <c r="C331" s="649"/>
      <c r="D331" s="649"/>
      <c r="E331" s="649"/>
      <c r="F331" s="649"/>
      <c r="G331" s="19"/>
      <c r="H331" s="655"/>
      <c r="I331" s="19"/>
      <c r="J331" s="159"/>
      <c r="K331" s="99"/>
      <c r="L331" s="99"/>
      <c r="M331" s="99"/>
      <c r="N331" s="99"/>
      <c r="O331" s="99"/>
      <c r="P331" s="99"/>
    </row>
    <row r="332" spans="1:16">
      <c r="A332" s="99"/>
      <c r="B332" s="649"/>
      <c r="C332" s="649"/>
      <c r="D332" s="649"/>
      <c r="E332" s="649"/>
      <c r="F332" s="649"/>
      <c r="G332" s="19"/>
      <c r="H332" s="655"/>
      <c r="I332" s="19"/>
      <c r="J332" s="159"/>
      <c r="K332" s="99"/>
      <c r="L332" s="99"/>
      <c r="M332" s="99"/>
      <c r="N332" s="99"/>
      <c r="O332" s="99"/>
      <c r="P332" s="99"/>
    </row>
    <row r="333" spans="1:16">
      <c r="A333" s="99"/>
      <c r="B333" s="649"/>
      <c r="C333" s="649"/>
      <c r="D333" s="649"/>
      <c r="E333" s="649"/>
      <c r="F333" s="649"/>
      <c r="G333" s="19"/>
      <c r="H333" s="655"/>
      <c r="I333" s="19"/>
      <c r="J333" s="159"/>
      <c r="K333" s="99"/>
      <c r="L333" s="99"/>
      <c r="M333" s="99"/>
      <c r="N333" s="99"/>
      <c r="O333" s="99"/>
      <c r="P333" s="99"/>
    </row>
    <row r="334" spans="1:16">
      <c r="A334" s="99"/>
      <c r="B334" s="649"/>
      <c r="C334" s="649"/>
      <c r="D334" s="649"/>
      <c r="E334" s="649"/>
      <c r="F334" s="649"/>
      <c r="G334" s="19"/>
      <c r="H334" s="655"/>
      <c r="I334" s="19"/>
      <c r="J334" s="159"/>
      <c r="K334" s="99"/>
      <c r="L334" s="99"/>
      <c r="M334" s="99"/>
      <c r="N334" s="99"/>
      <c r="O334" s="99"/>
      <c r="P334" s="99"/>
    </row>
    <row r="335" spans="1:16">
      <c r="A335" s="99"/>
      <c r="B335" s="649"/>
      <c r="C335" s="649"/>
      <c r="D335" s="649"/>
      <c r="E335" s="649"/>
      <c r="F335" s="649"/>
      <c r="G335" s="19"/>
      <c r="H335" s="655"/>
      <c r="I335" s="19"/>
      <c r="J335" s="159"/>
      <c r="K335" s="99"/>
      <c r="L335" s="99"/>
      <c r="M335" s="99"/>
      <c r="N335" s="99"/>
      <c r="O335" s="99"/>
      <c r="P335" s="99"/>
    </row>
    <row r="336" spans="1:16">
      <c r="A336" s="99"/>
      <c r="B336" s="649"/>
      <c r="C336" s="649"/>
      <c r="D336" s="649"/>
      <c r="E336" s="649"/>
      <c r="F336" s="649"/>
      <c r="G336" s="19"/>
      <c r="H336" s="655"/>
      <c r="I336" s="19"/>
      <c r="J336" s="159"/>
      <c r="K336" s="99"/>
      <c r="L336" s="99"/>
      <c r="M336" s="99"/>
      <c r="N336" s="99"/>
      <c r="O336" s="99"/>
      <c r="P336" s="99"/>
    </row>
    <row r="337" spans="1:16">
      <c r="A337" s="99"/>
      <c r="B337" s="649"/>
      <c r="C337" s="649"/>
      <c r="D337" s="649"/>
      <c r="E337" s="649"/>
      <c r="F337" s="649"/>
      <c r="G337" s="19"/>
      <c r="H337" s="655"/>
      <c r="I337" s="19"/>
      <c r="J337" s="159"/>
      <c r="K337" s="99"/>
      <c r="L337" s="99"/>
      <c r="M337" s="99"/>
      <c r="N337" s="99"/>
      <c r="O337" s="99"/>
      <c r="P337" s="99"/>
    </row>
    <row r="338" spans="1:16">
      <c r="A338" s="99"/>
      <c r="B338" s="649"/>
      <c r="C338" s="649"/>
      <c r="D338" s="649"/>
      <c r="E338" s="649"/>
      <c r="F338" s="649"/>
      <c r="G338" s="19"/>
      <c r="H338" s="655"/>
      <c r="I338" s="19"/>
      <c r="J338" s="159"/>
      <c r="K338" s="99"/>
      <c r="L338" s="99"/>
      <c r="M338" s="99"/>
      <c r="N338" s="99"/>
      <c r="O338" s="99"/>
      <c r="P338" s="99"/>
    </row>
    <row r="339" spans="1:16">
      <c r="A339" s="99"/>
      <c r="B339" s="649"/>
      <c r="C339" s="649"/>
      <c r="D339" s="649"/>
      <c r="E339" s="649"/>
      <c r="F339" s="649"/>
      <c r="G339" s="19"/>
      <c r="H339" s="655"/>
      <c r="I339" s="19"/>
      <c r="J339" s="159"/>
      <c r="K339" s="99"/>
      <c r="L339" s="99"/>
      <c r="M339" s="99"/>
      <c r="N339" s="99"/>
      <c r="O339" s="99"/>
      <c r="P339" s="99"/>
    </row>
    <row r="340" spans="1:16">
      <c r="A340" s="99"/>
      <c r="B340" s="649"/>
      <c r="C340" s="649"/>
      <c r="D340" s="649"/>
      <c r="E340" s="649"/>
      <c r="F340" s="649"/>
      <c r="G340" s="19"/>
      <c r="H340" s="655"/>
      <c r="I340" s="19"/>
      <c r="J340" s="159"/>
      <c r="K340" s="99"/>
      <c r="L340" s="99"/>
      <c r="M340" s="99"/>
      <c r="N340" s="99"/>
      <c r="O340" s="99"/>
      <c r="P340" s="99"/>
    </row>
    <row r="341" spans="1:16">
      <c r="A341" s="99"/>
      <c r="B341" s="649"/>
      <c r="C341" s="649"/>
      <c r="D341" s="649"/>
      <c r="E341" s="649"/>
      <c r="F341" s="649"/>
      <c r="G341" s="19"/>
      <c r="H341" s="655"/>
      <c r="I341" s="19"/>
      <c r="J341" s="159"/>
      <c r="K341" s="99"/>
      <c r="L341" s="99"/>
      <c r="M341" s="99"/>
      <c r="N341" s="99"/>
      <c r="O341" s="99"/>
      <c r="P341" s="99"/>
    </row>
    <row r="342" spans="1:16">
      <c r="A342" s="99"/>
      <c r="B342" s="649"/>
      <c r="C342" s="649"/>
      <c r="D342" s="649"/>
      <c r="E342" s="649"/>
      <c r="F342" s="649"/>
      <c r="G342" s="19"/>
      <c r="H342" s="655"/>
      <c r="I342" s="19"/>
      <c r="J342" s="159"/>
      <c r="K342" s="99"/>
      <c r="L342" s="99"/>
      <c r="M342" s="99"/>
      <c r="N342" s="99"/>
      <c r="O342" s="99"/>
      <c r="P342" s="99"/>
    </row>
    <row r="343" spans="1:16">
      <c r="A343" s="99"/>
      <c r="B343" s="649"/>
      <c r="C343" s="649"/>
      <c r="D343" s="649"/>
      <c r="E343" s="649"/>
      <c r="F343" s="649"/>
      <c r="G343" s="19"/>
      <c r="H343" s="655"/>
      <c r="I343" s="19"/>
      <c r="J343" s="159"/>
      <c r="K343" s="99"/>
      <c r="L343" s="99"/>
      <c r="M343" s="99"/>
      <c r="N343" s="99"/>
      <c r="O343" s="99"/>
      <c r="P343" s="99"/>
    </row>
    <row r="344" spans="1:16">
      <c r="A344" s="99"/>
      <c r="B344" s="649"/>
      <c r="C344" s="649"/>
      <c r="D344" s="649"/>
      <c r="E344" s="649"/>
      <c r="F344" s="649"/>
      <c r="G344" s="19"/>
      <c r="H344" s="655"/>
      <c r="I344" s="19"/>
      <c r="J344" s="159"/>
      <c r="K344" s="99"/>
      <c r="L344" s="99"/>
      <c r="M344" s="99"/>
      <c r="N344" s="99"/>
      <c r="O344" s="99"/>
      <c r="P344" s="99"/>
    </row>
    <row r="345" spans="1:16">
      <c r="A345" s="99"/>
      <c r="B345" s="649"/>
      <c r="C345" s="649"/>
      <c r="D345" s="649"/>
      <c r="E345" s="649"/>
      <c r="F345" s="649"/>
      <c r="G345" s="19"/>
      <c r="H345" s="655"/>
      <c r="I345" s="19"/>
      <c r="J345" s="159"/>
      <c r="K345" s="99"/>
      <c r="L345" s="99"/>
      <c r="M345" s="99"/>
      <c r="N345" s="99"/>
      <c r="O345" s="99"/>
      <c r="P345" s="99"/>
    </row>
    <row r="346" spans="1:16">
      <c r="A346" s="99"/>
      <c r="B346" s="649"/>
      <c r="C346" s="649"/>
      <c r="D346" s="649"/>
      <c r="E346" s="649"/>
      <c r="F346" s="649"/>
      <c r="G346" s="19"/>
      <c r="H346" s="655"/>
      <c r="I346" s="19"/>
      <c r="J346" s="159"/>
      <c r="K346" s="99"/>
      <c r="L346" s="99"/>
      <c r="M346" s="99"/>
      <c r="N346" s="99"/>
      <c r="O346" s="99"/>
      <c r="P346" s="99"/>
    </row>
    <row r="347" spans="1:16">
      <c r="A347" s="99"/>
      <c r="B347" s="649"/>
      <c r="C347" s="649"/>
      <c r="D347" s="649"/>
      <c r="E347" s="649"/>
      <c r="F347" s="649"/>
      <c r="G347" s="19"/>
      <c r="H347" s="655"/>
      <c r="I347" s="19"/>
      <c r="J347" s="159"/>
      <c r="K347" s="99"/>
      <c r="L347" s="99"/>
      <c r="M347" s="99"/>
      <c r="N347" s="99"/>
      <c r="O347" s="99"/>
      <c r="P347" s="99"/>
    </row>
    <row r="348" spans="1:16">
      <c r="A348" s="99"/>
      <c r="B348" s="649"/>
      <c r="C348" s="649"/>
      <c r="D348" s="649"/>
      <c r="E348" s="649"/>
      <c r="F348" s="649"/>
      <c r="G348" s="19"/>
      <c r="H348" s="655"/>
      <c r="I348" s="19"/>
      <c r="J348" s="159"/>
      <c r="K348" s="99"/>
      <c r="L348" s="99"/>
      <c r="M348" s="99"/>
      <c r="N348" s="99"/>
      <c r="O348" s="99"/>
      <c r="P348" s="99"/>
    </row>
    <row r="349" spans="1:16">
      <c r="A349" s="99"/>
      <c r="B349" s="649"/>
      <c r="C349" s="649"/>
      <c r="D349" s="649"/>
      <c r="E349" s="649"/>
      <c r="F349" s="649"/>
      <c r="G349" s="19"/>
      <c r="H349" s="655"/>
      <c r="I349" s="19"/>
      <c r="J349" s="159"/>
      <c r="K349" s="99"/>
      <c r="L349" s="99"/>
      <c r="M349" s="99"/>
      <c r="N349" s="99"/>
      <c r="O349" s="99"/>
      <c r="P349" s="99"/>
    </row>
    <row r="350" spans="1:16">
      <c r="A350" s="99"/>
      <c r="B350" s="649"/>
      <c r="C350" s="649"/>
      <c r="D350" s="649"/>
      <c r="E350" s="649"/>
      <c r="F350" s="649"/>
      <c r="G350" s="19"/>
      <c r="H350" s="655"/>
      <c r="I350" s="19"/>
      <c r="J350" s="159"/>
      <c r="K350" s="99"/>
      <c r="L350" s="99"/>
      <c r="M350" s="99"/>
      <c r="N350" s="99"/>
      <c r="O350" s="99"/>
      <c r="P350" s="99"/>
    </row>
    <row r="351" spans="1:16">
      <c r="A351" s="99"/>
      <c r="B351" s="649"/>
      <c r="C351" s="649"/>
      <c r="D351" s="649"/>
      <c r="E351" s="649"/>
      <c r="F351" s="649"/>
      <c r="G351" s="19"/>
      <c r="H351" s="655"/>
      <c r="I351" s="19"/>
      <c r="J351" s="159"/>
      <c r="K351" s="99"/>
      <c r="L351" s="99"/>
      <c r="M351" s="99"/>
      <c r="N351" s="99"/>
      <c r="O351" s="99"/>
      <c r="P351" s="99"/>
    </row>
    <row r="352" spans="1:16">
      <c r="A352" s="99"/>
      <c r="B352" s="649"/>
      <c r="C352" s="649"/>
      <c r="D352" s="649"/>
      <c r="E352" s="649"/>
      <c r="F352" s="649"/>
      <c r="G352" s="19"/>
      <c r="H352" s="655"/>
      <c r="I352" s="19"/>
      <c r="J352" s="159"/>
      <c r="K352" s="99"/>
      <c r="L352" s="99"/>
      <c r="M352" s="99"/>
      <c r="N352" s="99"/>
      <c r="O352" s="99"/>
      <c r="P352" s="99"/>
    </row>
    <row r="353" spans="1:16">
      <c r="A353" s="99"/>
      <c r="B353" s="649"/>
      <c r="C353" s="649"/>
      <c r="D353" s="649"/>
      <c r="E353" s="649"/>
      <c r="F353" s="649"/>
      <c r="G353" s="19"/>
      <c r="H353" s="655"/>
      <c r="I353" s="19"/>
      <c r="J353" s="159"/>
      <c r="K353" s="99"/>
      <c r="L353" s="99"/>
      <c r="M353" s="99"/>
      <c r="N353" s="99"/>
      <c r="O353" s="99"/>
      <c r="P353" s="99"/>
    </row>
    <row r="354" spans="1:16">
      <c r="A354" s="99"/>
      <c r="B354" s="649"/>
      <c r="C354" s="649"/>
      <c r="D354" s="649"/>
      <c r="E354" s="649"/>
      <c r="F354" s="649"/>
      <c r="G354" s="19"/>
      <c r="H354" s="655"/>
      <c r="I354" s="19"/>
      <c r="J354" s="159"/>
      <c r="K354" s="99"/>
      <c r="L354" s="99"/>
      <c r="M354" s="99"/>
      <c r="N354" s="99"/>
      <c r="O354" s="99"/>
      <c r="P354" s="99"/>
    </row>
    <row r="355" spans="1:16">
      <c r="A355" s="99"/>
      <c r="B355" s="649"/>
      <c r="C355" s="649"/>
      <c r="D355" s="649"/>
      <c r="E355" s="649"/>
      <c r="F355" s="649"/>
      <c r="G355" s="19"/>
      <c r="H355" s="655"/>
      <c r="I355" s="19"/>
      <c r="J355" s="159"/>
      <c r="K355" s="99"/>
      <c r="L355" s="99"/>
      <c r="M355" s="99"/>
      <c r="N355" s="99"/>
      <c r="O355" s="99"/>
      <c r="P355" s="99"/>
    </row>
    <row r="356" spans="1:16">
      <c r="A356" s="99"/>
      <c r="B356" s="649"/>
      <c r="C356" s="649"/>
      <c r="D356" s="649"/>
      <c r="E356" s="649"/>
      <c r="F356" s="649"/>
      <c r="G356" s="19"/>
      <c r="H356" s="655"/>
      <c r="I356" s="19"/>
      <c r="J356" s="159"/>
      <c r="K356" s="99"/>
      <c r="L356" s="99"/>
      <c r="M356" s="99"/>
      <c r="N356" s="99"/>
      <c r="O356" s="99"/>
      <c r="P356" s="99"/>
    </row>
    <row r="357" spans="1:16">
      <c r="A357" s="99"/>
      <c r="B357" s="649"/>
      <c r="C357" s="649"/>
      <c r="D357" s="649"/>
      <c r="E357" s="649"/>
      <c r="F357" s="649"/>
      <c r="G357" s="19"/>
      <c r="H357" s="655"/>
      <c r="I357" s="19"/>
      <c r="J357" s="159"/>
      <c r="K357" s="99"/>
      <c r="L357" s="99"/>
      <c r="M357" s="99"/>
      <c r="N357" s="99"/>
      <c r="O357" s="99"/>
      <c r="P357" s="99"/>
    </row>
    <row r="358" spans="1:16">
      <c r="A358" s="99"/>
      <c r="B358" s="649"/>
      <c r="C358" s="649"/>
      <c r="D358" s="649"/>
      <c r="E358" s="649"/>
      <c r="F358" s="649"/>
      <c r="G358" s="19"/>
      <c r="H358" s="655"/>
      <c r="I358" s="19"/>
      <c r="J358" s="159"/>
      <c r="K358" s="99"/>
      <c r="L358" s="99"/>
      <c r="M358" s="99"/>
      <c r="N358" s="99"/>
      <c r="O358" s="99"/>
      <c r="P358" s="99"/>
    </row>
    <row r="359" spans="1:16">
      <c r="A359" s="99"/>
      <c r="B359" s="649"/>
      <c r="C359" s="649"/>
      <c r="D359" s="649"/>
      <c r="E359" s="649"/>
      <c r="F359" s="649"/>
      <c r="G359" s="19"/>
      <c r="H359" s="655"/>
      <c r="I359" s="19"/>
      <c r="J359" s="159"/>
      <c r="K359" s="99"/>
      <c r="L359" s="99"/>
      <c r="M359" s="99"/>
      <c r="N359" s="99"/>
      <c r="O359" s="99"/>
      <c r="P359" s="99"/>
    </row>
    <row r="360" spans="1:16">
      <c r="A360" s="99"/>
      <c r="B360" s="99"/>
      <c r="C360" s="99"/>
      <c r="D360" s="99"/>
      <c r="E360" s="99"/>
      <c r="F360" s="99"/>
      <c r="G360" s="19"/>
      <c r="H360" s="649"/>
      <c r="I360" s="19"/>
      <c r="J360" s="159"/>
      <c r="K360" s="99"/>
      <c r="L360" s="99"/>
      <c r="M360" s="99"/>
      <c r="N360" s="99"/>
      <c r="O360" s="99"/>
      <c r="P360" s="99"/>
    </row>
    <row r="361" spans="1:16">
      <c r="A361" s="99"/>
      <c r="B361" s="99"/>
      <c r="C361" s="99"/>
      <c r="D361" s="99"/>
      <c r="E361" s="99"/>
      <c r="F361" s="99"/>
      <c r="G361" s="19"/>
      <c r="H361" s="99"/>
      <c r="I361" s="19"/>
      <c r="J361" s="159"/>
      <c r="K361" s="99"/>
      <c r="L361" s="99"/>
      <c r="M361" s="99"/>
      <c r="N361" s="99"/>
      <c r="O361" s="99"/>
      <c r="P361" s="99"/>
    </row>
    <row r="362" spans="1:16">
      <c r="A362" s="99"/>
      <c r="B362" s="99"/>
      <c r="C362" s="99"/>
      <c r="D362" s="99"/>
      <c r="E362" s="99"/>
      <c r="F362" s="99"/>
      <c r="G362" s="19"/>
      <c r="H362" s="99"/>
      <c r="I362" s="19"/>
      <c r="J362" s="159"/>
      <c r="K362" s="99"/>
      <c r="L362" s="99"/>
      <c r="M362" s="99"/>
      <c r="N362" s="99"/>
      <c r="O362" s="99"/>
      <c r="P362" s="99"/>
    </row>
    <row r="363" spans="1:16">
      <c r="A363" s="99"/>
      <c r="B363" s="99"/>
      <c r="C363" s="99"/>
      <c r="D363" s="99"/>
      <c r="E363" s="99"/>
      <c r="F363" s="99"/>
      <c r="G363" s="19"/>
      <c r="H363" s="99"/>
      <c r="I363" s="19"/>
      <c r="J363" s="159"/>
      <c r="K363" s="99"/>
      <c r="L363" s="99"/>
      <c r="M363" s="99"/>
      <c r="N363" s="99"/>
      <c r="O363" s="99"/>
      <c r="P363" s="99"/>
    </row>
    <row r="364" spans="1:16">
      <c r="A364" s="99"/>
      <c r="B364" s="99"/>
      <c r="C364" s="99"/>
      <c r="D364" s="99"/>
      <c r="E364" s="99"/>
      <c r="F364" s="99"/>
      <c r="G364" s="19"/>
      <c r="H364" s="99"/>
      <c r="I364" s="19"/>
      <c r="J364" s="159"/>
      <c r="K364" s="99"/>
      <c r="L364" s="99"/>
      <c r="M364" s="99"/>
      <c r="N364" s="99"/>
      <c r="O364" s="99"/>
      <c r="P364" s="99"/>
    </row>
    <row r="365" spans="1:16">
      <c r="A365" s="99"/>
      <c r="B365" s="99"/>
      <c r="C365" s="99"/>
      <c r="D365" s="99"/>
      <c r="E365" s="99"/>
      <c r="F365" s="99"/>
      <c r="G365" s="19"/>
      <c r="H365" s="99"/>
      <c r="I365" s="19"/>
      <c r="J365" s="159"/>
      <c r="K365" s="99"/>
      <c r="L365" s="99"/>
      <c r="M365" s="99"/>
      <c r="N365" s="99"/>
      <c r="O365" s="99"/>
      <c r="P365" s="99"/>
    </row>
    <row r="366" spans="1:16">
      <c r="A366" s="99"/>
      <c r="B366" s="99"/>
      <c r="C366" s="99"/>
      <c r="D366" s="99"/>
      <c r="E366" s="99"/>
      <c r="F366" s="99"/>
      <c r="G366" s="19"/>
      <c r="H366" s="99"/>
      <c r="I366" s="19"/>
      <c r="J366" s="159"/>
      <c r="K366" s="99"/>
      <c r="L366" s="99"/>
      <c r="M366" s="99"/>
      <c r="N366" s="99"/>
      <c r="O366" s="99"/>
      <c r="P366" s="99"/>
    </row>
    <row r="367" spans="1:16">
      <c r="A367" s="99"/>
      <c r="B367" s="99"/>
      <c r="C367" s="99"/>
      <c r="D367" s="99"/>
      <c r="E367" s="99"/>
      <c r="F367" s="99"/>
      <c r="G367" s="19"/>
      <c r="H367" s="99"/>
      <c r="I367" s="19"/>
      <c r="J367" s="159"/>
      <c r="K367" s="99"/>
      <c r="L367" s="99"/>
      <c r="M367" s="99"/>
      <c r="N367" s="99"/>
      <c r="O367" s="99"/>
      <c r="P367" s="99"/>
    </row>
    <row r="368" spans="1:16">
      <c r="A368" s="99"/>
      <c r="B368" s="99"/>
      <c r="C368" s="99"/>
      <c r="D368" s="99"/>
      <c r="E368" s="99"/>
      <c r="F368" s="99"/>
      <c r="G368" s="19"/>
      <c r="H368" s="99"/>
      <c r="I368" s="19"/>
      <c r="J368" s="159"/>
      <c r="K368" s="99"/>
      <c r="L368" s="99"/>
      <c r="M368" s="99"/>
      <c r="N368" s="99"/>
      <c r="O368" s="99"/>
      <c r="P368" s="99"/>
    </row>
    <row r="369" spans="1:16">
      <c r="A369" s="99"/>
      <c r="B369" s="99"/>
      <c r="C369" s="99"/>
      <c r="D369" s="99"/>
      <c r="E369" s="99"/>
      <c r="F369" s="99"/>
      <c r="G369" s="19"/>
      <c r="H369" s="99"/>
      <c r="I369" s="19"/>
      <c r="J369" s="159"/>
      <c r="K369" s="99"/>
      <c r="L369" s="99"/>
      <c r="M369" s="99"/>
      <c r="N369" s="99"/>
      <c r="O369" s="99"/>
      <c r="P369" s="99"/>
    </row>
    <row r="370" spans="1:16">
      <c r="A370" s="99"/>
      <c r="B370" s="99"/>
      <c r="C370" s="99"/>
      <c r="D370" s="99"/>
      <c r="E370" s="99"/>
      <c r="F370" s="99"/>
      <c r="G370" s="19"/>
      <c r="H370" s="99"/>
      <c r="I370" s="19"/>
      <c r="J370" s="159"/>
      <c r="K370" s="99"/>
      <c r="L370" s="99"/>
      <c r="M370" s="99"/>
      <c r="N370" s="99"/>
      <c r="O370" s="99"/>
      <c r="P370" s="99"/>
    </row>
    <row r="371" spans="1:16">
      <c r="A371" s="99"/>
      <c r="B371" s="99"/>
      <c r="C371" s="99"/>
      <c r="D371" s="99"/>
      <c r="E371" s="99"/>
      <c r="F371" s="99"/>
      <c r="G371" s="19"/>
      <c r="H371" s="99"/>
      <c r="I371" s="19"/>
      <c r="J371" s="159"/>
      <c r="K371" s="99"/>
      <c r="L371" s="99"/>
      <c r="M371" s="99"/>
      <c r="N371" s="99"/>
      <c r="O371" s="99"/>
      <c r="P371" s="99"/>
    </row>
    <row r="372" spans="1:16">
      <c r="A372" s="99"/>
      <c r="B372" s="99"/>
      <c r="C372" s="99"/>
      <c r="D372" s="99"/>
      <c r="E372" s="99"/>
      <c r="F372" s="99"/>
      <c r="G372" s="19"/>
      <c r="H372" s="99"/>
      <c r="I372" s="19"/>
      <c r="J372" s="159"/>
      <c r="K372" s="99"/>
      <c r="L372" s="99"/>
      <c r="M372" s="99"/>
      <c r="N372" s="99"/>
      <c r="O372" s="99"/>
      <c r="P372" s="99"/>
    </row>
    <row r="373" spans="1:16">
      <c r="A373" s="99"/>
      <c r="B373" s="99"/>
      <c r="C373" s="99"/>
      <c r="D373" s="99"/>
      <c r="E373" s="99"/>
      <c r="F373" s="99"/>
      <c r="G373" s="19"/>
      <c r="H373" s="99"/>
      <c r="I373" s="19"/>
      <c r="J373" s="159"/>
      <c r="K373" s="99"/>
      <c r="L373" s="99"/>
      <c r="M373" s="99"/>
      <c r="N373" s="99"/>
      <c r="O373" s="99"/>
      <c r="P373" s="99"/>
    </row>
    <row r="374" spans="1:16">
      <c r="A374" s="99"/>
      <c r="B374" s="99"/>
      <c r="C374" s="99"/>
      <c r="D374" s="99"/>
      <c r="E374" s="99"/>
      <c r="F374" s="99"/>
      <c r="G374" s="19"/>
      <c r="H374" s="99"/>
      <c r="I374" s="19"/>
      <c r="J374" s="159"/>
      <c r="K374" s="99"/>
      <c r="L374" s="99"/>
      <c r="M374" s="99"/>
      <c r="N374" s="99"/>
      <c r="O374" s="99"/>
      <c r="P374" s="99"/>
    </row>
    <row r="375" spans="1:16">
      <c r="A375" s="99"/>
      <c r="B375" s="99"/>
      <c r="C375" s="99"/>
      <c r="D375" s="99"/>
      <c r="E375" s="99"/>
      <c r="F375" s="99"/>
      <c r="G375" s="19"/>
      <c r="H375" s="99"/>
      <c r="I375" s="19"/>
      <c r="J375" s="159"/>
      <c r="K375" s="99"/>
      <c r="L375" s="99"/>
      <c r="M375" s="99"/>
      <c r="N375" s="99"/>
      <c r="O375" s="99"/>
      <c r="P375" s="99"/>
    </row>
    <row r="376" spans="1:16">
      <c r="A376" s="99"/>
      <c r="B376" s="99"/>
      <c r="C376" s="99"/>
      <c r="D376" s="99"/>
      <c r="E376" s="99"/>
      <c r="F376" s="99"/>
      <c r="G376" s="19"/>
      <c r="H376" s="99"/>
      <c r="I376" s="19"/>
      <c r="J376" s="159"/>
      <c r="K376" s="99"/>
      <c r="L376" s="99"/>
      <c r="M376" s="99"/>
      <c r="N376" s="99"/>
      <c r="O376" s="99"/>
      <c r="P376" s="99"/>
    </row>
    <row r="377" spans="1:16">
      <c r="A377" s="99"/>
      <c r="B377" s="99"/>
      <c r="C377" s="99"/>
      <c r="D377" s="99"/>
      <c r="E377" s="99"/>
      <c r="F377" s="99"/>
      <c r="G377" s="19"/>
      <c r="H377" s="99"/>
      <c r="I377" s="19"/>
      <c r="J377" s="159"/>
      <c r="K377" s="99"/>
      <c r="L377" s="99"/>
      <c r="M377" s="99"/>
      <c r="N377" s="99"/>
      <c r="O377" s="99"/>
      <c r="P377" s="99"/>
    </row>
    <row r="378" spans="1:16">
      <c r="A378" s="99"/>
      <c r="B378" s="99"/>
      <c r="C378" s="99"/>
      <c r="D378" s="99"/>
      <c r="E378" s="99"/>
      <c r="F378" s="99"/>
      <c r="G378" s="19"/>
      <c r="H378" s="99"/>
      <c r="I378" s="19"/>
      <c r="J378" s="159"/>
      <c r="K378" s="99"/>
      <c r="L378" s="99"/>
      <c r="M378" s="99"/>
      <c r="N378" s="99"/>
      <c r="O378" s="99"/>
      <c r="P378" s="99"/>
    </row>
    <row r="379" spans="1:16">
      <c r="A379" s="99"/>
      <c r="B379" s="99"/>
      <c r="C379" s="99"/>
      <c r="D379" s="99"/>
      <c r="E379" s="99"/>
      <c r="F379" s="99"/>
      <c r="G379" s="19"/>
      <c r="H379" s="99"/>
      <c r="I379" s="19"/>
      <c r="J379" s="159"/>
      <c r="K379" s="99"/>
      <c r="L379" s="99"/>
      <c r="M379" s="99"/>
      <c r="N379" s="99"/>
      <c r="O379" s="99"/>
      <c r="P379" s="99"/>
    </row>
    <row r="380" spans="1:16">
      <c r="A380" s="99"/>
      <c r="B380" s="99"/>
      <c r="C380" s="99"/>
      <c r="D380" s="99"/>
      <c r="E380" s="99"/>
      <c r="F380" s="99"/>
      <c r="G380" s="19"/>
      <c r="H380" s="99"/>
      <c r="I380" s="19"/>
      <c r="J380" s="159"/>
      <c r="K380" s="99"/>
      <c r="L380" s="99"/>
      <c r="M380" s="99"/>
      <c r="N380" s="99"/>
      <c r="O380" s="99"/>
      <c r="P380" s="99"/>
    </row>
    <row r="381" spans="1:16">
      <c r="A381" s="99"/>
      <c r="B381" s="99"/>
      <c r="C381" s="99"/>
      <c r="D381" s="99"/>
      <c r="E381" s="99"/>
      <c r="F381" s="99"/>
      <c r="G381" s="19"/>
      <c r="H381" s="99"/>
      <c r="I381" s="19"/>
      <c r="J381" s="159"/>
      <c r="K381" s="99"/>
      <c r="L381" s="99"/>
      <c r="M381" s="99"/>
      <c r="N381" s="99"/>
      <c r="O381" s="99"/>
      <c r="P381" s="99"/>
    </row>
    <row r="382" spans="1:16">
      <c r="A382" s="99"/>
      <c r="B382" s="99"/>
      <c r="C382" s="99"/>
      <c r="D382" s="99"/>
      <c r="E382" s="99"/>
      <c r="F382" s="99"/>
      <c r="G382" s="19"/>
      <c r="H382" s="99"/>
      <c r="I382" s="19"/>
      <c r="J382" s="159"/>
      <c r="K382" s="99"/>
      <c r="L382" s="99"/>
      <c r="M382" s="99"/>
      <c r="N382" s="99"/>
      <c r="O382" s="99"/>
      <c r="P382" s="99"/>
    </row>
    <row r="383" spans="1:16">
      <c r="A383" s="99"/>
      <c r="B383" s="99"/>
      <c r="C383" s="99"/>
      <c r="D383" s="99"/>
      <c r="E383" s="99"/>
      <c r="F383" s="99"/>
      <c r="G383" s="19"/>
      <c r="H383" s="99"/>
      <c r="I383" s="19"/>
      <c r="J383" s="159"/>
      <c r="K383" s="99"/>
      <c r="L383" s="99"/>
      <c r="M383" s="99"/>
      <c r="N383" s="99"/>
      <c r="O383" s="99"/>
      <c r="P383" s="99"/>
    </row>
    <row r="384" spans="1:16">
      <c r="A384" s="99"/>
      <c r="B384" s="99"/>
      <c r="C384" s="99"/>
      <c r="D384" s="99"/>
      <c r="E384" s="99"/>
      <c r="F384" s="99"/>
      <c r="G384" s="19"/>
      <c r="H384" s="99"/>
      <c r="I384" s="19"/>
      <c r="J384" s="159"/>
      <c r="K384" s="99"/>
      <c r="L384" s="99"/>
      <c r="M384" s="99"/>
      <c r="N384" s="99"/>
      <c r="O384" s="99"/>
      <c r="P384" s="99"/>
    </row>
    <row r="385" spans="1:16">
      <c r="A385" s="99"/>
      <c r="B385" s="99"/>
      <c r="C385" s="99"/>
      <c r="D385" s="99"/>
      <c r="E385" s="99"/>
      <c r="F385" s="99"/>
      <c r="G385" s="19"/>
      <c r="H385" s="99"/>
      <c r="I385" s="19"/>
      <c r="J385" s="159"/>
      <c r="K385" s="99"/>
      <c r="L385" s="99"/>
      <c r="M385" s="99"/>
      <c r="N385" s="99"/>
      <c r="O385" s="99"/>
      <c r="P385" s="99"/>
    </row>
    <row r="386" spans="1:16">
      <c r="A386" s="99"/>
      <c r="B386" s="99"/>
      <c r="C386" s="99"/>
      <c r="D386" s="99"/>
      <c r="E386" s="99"/>
      <c r="F386" s="99"/>
      <c r="G386" s="19"/>
      <c r="H386" s="99"/>
      <c r="I386" s="19"/>
      <c r="J386" s="159"/>
      <c r="K386" s="99"/>
      <c r="L386" s="99"/>
      <c r="M386" s="99"/>
      <c r="N386" s="99"/>
      <c r="O386" s="99"/>
      <c r="P386" s="99"/>
    </row>
    <row r="387" spans="1:16">
      <c r="A387" s="99"/>
      <c r="B387" s="99"/>
      <c r="C387" s="99"/>
      <c r="D387" s="99"/>
      <c r="E387" s="99"/>
      <c r="F387" s="99"/>
      <c r="G387" s="19"/>
      <c r="H387" s="99"/>
      <c r="I387" s="19"/>
      <c r="J387" s="159"/>
      <c r="K387" s="99"/>
      <c r="L387" s="99"/>
      <c r="M387" s="99"/>
      <c r="N387" s="99"/>
      <c r="O387" s="99"/>
      <c r="P387" s="99"/>
    </row>
    <row r="388" spans="1:16">
      <c r="A388" s="99"/>
      <c r="B388" s="99"/>
      <c r="C388" s="99"/>
      <c r="D388" s="99"/>
      <c r="E388" s="99"/>
      <c r="F388" s="99"/>
      <c r="G388" s="19"/>
      <c r="H388" s="99"/>
      <c r="I388" s="19"/>
      <c r="J388" s="159"/>
      <c r="K388" s="99"/>
      <c r="L388" s="99"/>
      <c r="M388" s="99"/>
      <c r="N388" s="99"/>
      <c r="O388" s="99"/>
      <c r="P388" s="99"/>
    </row>
    <row r="389" spans="1:16">
      <c r="A389" s="99"/>
      <c r="B389" s="99"/>
      <c r="C389" s="99"/>
      <c r="D389" s="99"/>
      <c r="E389" s="99"/>
      <c r="F389" s="99"/>
      <c r="G389" s="19"/>
      <c r="H389" s="99"/>
      <c r="I389" s="19"/>
      <c r="J389" s="159"/>
      <c r="K389" s="99"/>
      <c r="L389" s="99"/>
      <c r="M389" s="99"/>
      <c r="N389" s="99"/>
      <c r="O389" s="99"/>
      <c r="P389" s="99"/>
    </row>
    <row r="390" spans="1:16">
      <c r="A390" s="99"/>
      <c r="B390" s="99"/>
      <c r="C390" s="99"/>
      <c r="D390" s="99"/>
      <c r="E390" s="99"/>
      <c r="F390" s="99"/>
      <c r="G390" s="19"/>
      <c r="H390" s="99"/>
      <c r="I390" s="19"/>
      <c r="J390" s="159"/>
      <c r="K390" s="99"/>
      <c r="L390" s="99"/>
      <c r="M390" s="99"/>
      <c r="N390" s="99"/>
      <c r="O390" s="99"/>
      <c r="P390" s="99"/>
    </row>
    <row r="391" spans="1:16">
      <c r="A391" s="99"/>
      <c r="B391" s="99"/>
      <c r="C391" s="99"/>
      <c r="D391" s="99"/>
      <c r="E391" s="99"/>
      <c r="F391" s="99"/>
      <c r="G391" s="19"/>
      <c r="H391" s="99"/>
      <c r="I391" s="19"/>
      <c r="J391" s="159"/>
      <c r="K391" s="99"/>
      <c r="L391" s="99"/>
      <c r="M391" s="99"/>
      <c r="N391" s="99"/>
      <c r="O391" s="99"/>
      <c r="P391" s="99"/>
    </row>
    <row r="392" spans="1:16">
      <c r="A392" s="99"/>
      <c r="B392" s="99"/>
      <c r="C392" s="99"/>
      <c r="D392" s="99"/>
      <c r="E392" s="99"/>
      <c r="F392" s="99"/>
      <c r="G392" s="19"/>
      <c r="H392" s="99"/>
      <c r="I392" s="19"/>
      <c r="J392" s="159"/>
      <c r="K392" s="99"/>
      <c r="L392" s="99"/>
      <c r="M392" s="99"/>
      <c r="N392" s="99"/>
      <c r="O392" s="99"/>
      <c r="P392" s="99"/>
    </row>
    <row r="393" spans="1:16">
      <c r="A393" s="99"/>
      <c r="B393" s="99"/>
      <c r="C393" s="99"/>
      <c r="D393" s="99"/>
      <c r="E393" s="99"/>
      <c r="F393" s="99"/>
      <c r="G393" s="19"/>
      <c r="H393" s="99"/>
      <c r="I393" s="19"/>
      <c r="J393" s="159"/>
      <c r="K393" s="99"/>
      <c r="L393" s="99"/>
      <c r="M393" s="99"/>
      <c r="N393" s="99"/>
      <c r="O393" s="99"/>
      <c r="P393" s="99"/>
    </row>
    <row r="394" spans="1:16">
      <c r="A394" s="99"/>
      <c r="B394" s="99"/>
      <c r="C394" s="99"/>
      <c r="D394" s="99"/>
      <c r="E394" s="99"/>
      <c r="F394" s="99"/>
      <c r="G394" s="19"/>
      <c r="H394" s="99"/>
      <c r="I394" s="19"/>
      <c r="J394" s="159"/>
      <c r="K394" s="99"/>
      <c r="L394" s="99"/>
      <c r="M394" s="99"/>
      <c r="N394" s="99"/>
      <c r="O394" s="99"/>
      <c r="P394" s="99"/>
    </row>
    <row r="395" spans="1:16">
      <c r="A395" s="99"/>
      <c r="B395" s="99"/>
      <c r="C395" s="99"/>
      <c r="D395" s="99"/>
      <c r="E395" s="99"/>
      <c r="F395" s="99"/>
      <c r="G395" s="19"/>
      <c r="H395" s="99"/>
      <c r="I395" s="19"/>
      <c r="J395" s="159"/>
      <c r="K395" s="99"/>
      <c r="L395" s="99"/>
      <c r="M395" s="99"/>
      <c r="N395" s="99"/>
      <c r="O395" s="99"/>
      <c r="P395" s="99"/>
    </row>
    <row r="396" spans="1:16">
      <c r="A396" s="99"/>
      <c r="B396" s="99"/>
      <c r="C396" s="99"/>
      <c r="D396" s="99"/>
      <c r="E396" s="99"/>
      <c r="F396" s="99"/>
      <c r="G396" s="19"/>
      <c r="H396" s="99"/>
      <c r="I396" s="19"/>
      <c r="J396" s="159"/>
      <c r="K396" s="99"/>
      <c r="L396" s="99"/>
      <c r="M396" s="99"/>
      <c r="N396" s="99"/>
      <c r="O396" s="99"/>
      <c r="P396" s="99"/>
    </row>
    <row r="397" spans="1:16">
      <c r="A397" s="99"/>
      <c r="B397" s="99"/>
      <c r="C397" s="99"/>
      <c r="D397" s="99"/>
      <c r="E397" s="99"/>
      <c r="F397" s="99"/>
      <c r="G397" s="19"/>
      <c r="H397" s="99"/>
      <c r="I397" s="19"/>
      <c r="J397" s="159"/>
      <c r="K397" s="99"/>
      <c r="L397" s="99"/>
      <c r="M397" s="99"/>
      <c r="N397" s="99"/>
      <c r="O397" s="99"/>
      <c r="P397" s="99"/>
    </row>
    <row r="398" spans="1:16">
      <c r="A398" s="99"/>
      <c r="B398" s="99"/>
      <c r="C398" s="99"/>
      <c r="D398" s="99"/>
      <c r="E398" s="99"/>
      <c r="F398" s="99"/>
      <c r="G398" s="19"/>
      <c r="H398" s="99"/>
      <c r="I398" s="19"/>
      <c r="J398" s="159"/>
      <c r="K398" s="99"/>
      <c r="L398" s="99"/>
      <c r="M398" s="99"/>
      <c r="N398" s="99"/>
      <c r="O398" s="99"/>
      <c r="P398" s="99"/>
    </row>
    <row r="399" spans="1:16">
      <c r="A399" s="99"/>
      <c r="B399" s="99"/>
      <c r="C399" s="99"/>
      <c r="D399" s="99"/>
      <c r="E399" s="99"/>
      <c r="F399" s="99"/>
      <c r="G399" s="19"/>
      <c r="H399" s="99"/>
      <c r="I399" s="19"/>
      <c r="J399" s="159"/>
      <c r="K399" s="99"/>
      <c r="L399" s="99"/>
      <c r="M399" s="99"/>
      <c r="N399" s="99"/>
      <c r="O399" s="99"/>
      <c r="P399" s="99"/>
    </row>
    <row r="400" spans="1:16">
      <c r="A400" s="99"/>
      <c r="B400" s="99"/>
      <c r="C400" s="99"/>
      <c r="D400" s="99"/>
      <c r="E400" s="99"/>
      <c r="F400" s="99"/>
      <c r="G400" s="19"/>
      <c r="H400" s="99"/>
      <c r="I400" s="19"/>
      <c r="J400" s="159"/>
      <c r="K400" s="99"/>
      <c r="L400" s="99"/>
      <c r="M400" s="99"/>
      <c r="N400" s="99"/>
      <c r="O400" s="99"/>
      <c r="P400" s="99"/>
    </row>
    <row r="401" spans="1:16">
      <c r="A401" s="99"/>
      <c r="B401" s="99"/>
      <c r="C401" s="99"/>
      <c r="D401" s="99"/>
      <c r="E401" s="99"/>
      <c r="F401" s="99"/>
      <c r="G401" s="19"/>
      <c r="H401" s="99"/>
      <c r="I401" s="19"/>
      <c r="J401" s="159"/>
      <c r="K401" s="99"/>
      <c r="L401" s="99"/>
      <c r="M401" s="99"/>
      <c r="N401" s="99"/>
      <c r="O401" s="99"/>
      <c r="P401" s="99"/>
    </row>
    <row r="402" spans="1:16">
      <c r="A402" s="99"/>
      <c r="B402" s="99"/>
      <c r="C402" s="99"/>
      <c r="D402" s="99"/>
      <c r="E402" s="99"/>
      <c r="F402" s="99"/>
      <c r="G402" s="19"/>
      <c r="H402" s="99"/>
      <c r="I402" s="19"/>
      <c r="J402" s="159"/>
      <c r="K402" s="99"/>
      <c r="L402" s="99"/>
      <c r="M402" s="99"/>
      <c r="N402" s="99"/>
      <c r="O402" s="99"/>
      <c r="P402" s="99"/>
    </row>
    <row r="403" spans="1:16">
      <c r="A403" s="99"/>
      <c r="B403" s="99"/>
      <c r="C403" s="99"/>
      <c r="D403" s="99"/>
      <c r="E403" s="99"/>
      <c r="F403" s="99"/>
      <c r="G403" s="19"/>
      <c r="H403" s="99"/>
      <c r="I403" s="19"/>
      <c r="J403" s="159"/>
      <c r="K403" s="99"/>
      <c r="L403" s="99"/>
      <c r="M403" s="99"/>
      <c r="N403" s="99"/>
      <c r="O403" s="99"/>
      <c r="P403" s="99"/>
    </row>
    <row r="404" spans="1:16">
      <c r="A404" s="99"/>
      <c r="B404" s="99"/>
      <c r="C404" s="99"/>
      <c r="D404" s="99"/>
      <c r="E404" s="99"/>
      <c r="F404" s="99"/>
      <c r="G404" s="19"/>
      <c r="H404" s="99"/>
      <c r="I404" s="19"/>
      <c r="J404" s="159"/>
      <c r="K404" s="99"/>
      <c r="L404" s="99"/>
      <c r="M404" s="99"/>
      <c r="N404" s="99"/>
      <c r="O404" s="99"/>
      <c r="P404" s="99"/>
    </row>
    <row r="405" spans="1:16">
      <c r="A405" s="99"/>
      <c r="B405" s="99"/>
      <c r="C405" s="99"/>
      <c r="D405" s="99"/>
      <c r="E405" s="99"/>
      <c r="F405" s="99"/>
      <c r="G405" s="19"/>
      <c r="H405" s="99"/>
      <c r="I405" s="19"/>
      <c r="J405" s="159"/>
      <c r="K405" s="99"/>
      <c r="L405" s="99"/>
      <c r="M405" s="99"/>
      <c r="N405" s="99"/>
      <c r="O405" s="99"/>
      <c r="P405" s="99"/>
    </row>
    <row r="406" spans="1:16">
      <c r="A406" s="99"/>
      <c r="B406" s="99"/>
      <c r="C406" s="99"/>
      <c r="D406" s="99"/>
      <c r="E406" s="99"/>
      <c r="F406" s="99"/>
      <c r="G406" s="19"/>
      <c r="H406" s="99"/>
      <c r="I406" s="19"/>
      <c r="J406" s="159"/>
      <c r="K406" s="99"/>
      <c r="L406" s="99"/>
      <c r="M406" s="99"/>
      <c r="N406" s="99"/>
      <c r="O406" s="99"/>
      <c r="P406" s="99"/>
    </row>
    <row r="407" spans="1:16">
      <c r="A407" s="99"/>
      <c r="B407" s="99"/>
      <c r="C407" s="99"/>
      <c r="D407" s="99"/>
      <c r="E407" s="99"/>
      <c r="F407" s="99"/>
      <c r="G407" s="19"/>
      <c r="H407" s="99"/>
      <c r="I407" s="19"/>
      <c r="J407" s="159"/>
      <c r="K407" s="99"/>
      <c r="L407" s="99"/>
      <c r="M407" s="99"/>
      <c r="N407" s="99"/>
      <c r="O407" s="99"/>
      <c r="P407" s="99"/>
    </row>
    <row r="408" spans="1:16">
      <c r="A408" s="99"/>
      <c r="B408" s="99"/>
      <c r="C408" s="99"/>
      <c r="D408" s="99"/>
      <c r="E408" s="99"/>
      <c r="F408" s="99"/>
      <c r="G408" s="19"/>
      <c r="H408" s="99"/>
      <c r="I408" s="19"/>
      <c r="J408" s="159"/>
      <c r="K408" s="99"/>
      <c r="L408" s="99"/>
      <c r="M408" s="99"/>
      <c r="N408" s="99"/>
      <c r="O408" s="99"/>
      <c r="P408" s="99"/>
    </row>
    <row r="409" spans="1:16">
      <c r="A409" s="99"/>
      <c r="B409" s="99"/>
      <c r="C409" s="99"/>
      <c r="D409" s="99"/>
      <c r="E409" s="99"/>
      <c r="F409" s="99"/>
      <c r="G409" s="19"/>
      <c r="H409" s="99"/>
      <c r="I409" s="19"/>
      <c r="J409" s="159"/>
      <c r="K409" s="99"/>
      <c r="L409" s="99"/>
      <c r="M409" s="99"/>
      <c r="N409" s="99"/>
      <c r="O409" s="99"/>
      <c r="P409" s="99"/>
    </row>
    <row r="410" spans="1:16">
      <c r="A410" s="99"/>
      <c r="B410" s="99"/>
      <c r="C410" s="99"/>
      <c r="D410" s="99"/>
      <c r="E410" s="99"/>
      <c r="F410" s="99"/>
      <c r="G410" s="19"/>
      <c r="H410" s="99"/>
      <c r="I410" s="19"/>
      <c r="J410" s="159"/>
      <c r="K410" s="99"/>
      <c r="L410" s="99"/>
      <c r="M410" s="99"/>
      <c r="N410" s="99"/>
      <c r="O410" s="99"/>
      <c r="P410" s="99"/>
    </row>
    <row r="411" spans="1:16">
      <c r="A411" s="99"/>
      <c r="B411" s="99"/>
      <c r="C411" s="99"/>
      <c r="D411" s="99"/>
      <c r="E411" s="99"/>
      <c r="F411" s="99"/>
      <c r="G411" s="19"/>
      <c r="H411" s="99"/>
      <c r="I411" s="19"/>
      <c r="J411" s="159"/>
      <c r="K411" s="99"/>
      <c r="L411" s="99"/>
      <c r="M411" s="99"/>
      <c r="N411" s="99"/>
      <c r="O411" s="99"/>
      <c r="P411" s="99"/>
    </row>
    <row r="412" spans="1:16">
      <c r="A412" s="99"/>
      <c r="B412" s="99"/>
      <c r="C412" s="99"/>
      <c r="D412" s="99"/>
      <c r="E412" s="99"/>
      <c r="F412" s="99"/>
      <c r="G412" s="19"/>
      <c r="H412" s="99"/>
      <c r="I412" s="19"/>
      <c r="J412" s="159"/>
      <c r="K412" s="99"/>
      <c r="L412" s="99"/>
      <c r="M412" s="99"/>
      <c r="N412" s="99"/>
      <c r="O412" s="99"/>
      <c r="P412" s="99"/>
    </row>
    <row r="413" spans="1:16">
      <c r="A413" s="99"/>
      <c r="B413" s="99"/>
      <c r="C413" s="99"/>
      <c r="D413" s="99"/>
      <c r="E413" s="99"/>
      <c r="F413" s="99"/>
      <c r="G413" s="19"/>
      <c r="H413" s="99"/>
      <c r="I413" s="19"/>
      <c r="J413" s="159"/>
      <c r="K413" s="99"/>
      <c r="L413" s="99"/>
      <c r="M413" s="99"/>
      <c r="N413" s="99"/>
      <c r="O413" s="99"/>
      <c r="P413" s="99"/>
    </row>
    <row r="414" spans="1:16">
      <c r="A414" s="99"/>
      <c r="B414" s="99"/>
      <c r="C414" s="99"/>
      <c r="D414" s="99"/>
      <c r="E414" s="99"/>
      <c r="F414" s="99"/>
      <c r="G414" s="19"/>
      <c r="H414" s="99"/>
      <c r="I414" s="19"/>
      <c r="J414" s="159"/>
      <c r="K414" s="99"/>
      <c r="L414" s="99"/>
      <c r="M414" s="99"/>
      <c r="N414" s="99"/>
      <c r="O414" s="99"/>
      <c r="P414" s="99"/>
    </row>
    <row r="415" spans="1:16">
      <c r="A415" s="99"/>
      <c r="B415" s="99"/>
      <c r="C415" s="99"/>
      <c r="D415" s="99"/>
      <c r="E415" s="99"/>
      <c r="F415" s="99"/>
      <c r="G415" s="19"/>
      <c r="H415" s="99"/>
      <c r="I415" s="19"/>
      <c r="J415" s="159"/>
      <c r="K415" s="99"/>
      <c r="L415" s="99"/>
      <c r="M415" s="99"/>
      <c r="N415" s="99"/>
      <c r="O415" s="99"/>
      <c r="P415" s="99"/>
    </row>
    <row r="416" spans="1:16">
      <c r="A416" s="99"/>
      <c r="B416" s="99"/>
      <c r="C416" s="99"/>
      <c r="D416" s="99"/>
      <c r="E416" s="99"/>
      <c r="F416" s="99"/>
      <c r="G416" s="19"/>
      <c r="H416" s="99"/>
      <c r="I416" s="19"/>
      <c r="J416" s="159"/>
      <c r="K416" s="99"/>
      <c r="L416" s="99"/>
      <c r="M416" s="99"/>
      <c r="N416" s="99"/>
      <c r="O416" s="99"/>
      <c r="P416" s="99"/>
    </row>
    <row r="417" spans="1:16">
      <c r="A417" s="99"/>
      <c r="B417" s="99"/>
      <c r="C417" s="99"/>
      <c r="D417" s="99"/>
      <c r="E417" s="99"/>
      <c r="F417" s="99"/>
      <c r="G417" s="19"/>
      <c r="H417" s="99"/>
      <c r="I417" s="19"/>
      <c r="J417" s="159"/>
      <c r="K417" s="99"/>
      <c r="L417" s="99"/>
      <c r="M417" s="99"/>
      <c r="N417" s="99"/>
      <c r="O417" s="99"/>
      <c r="P417" s="99"/>
    </row>
    <row r="418" spans="1:16">
      <c r="A418" s="99"/>
      <c r="B418" s="99"/>
      <c r="C418" s="99"/>
      <c r="D418" s="99"/>
      <c r="E418" s="99"/>
      <c r="F418" s="99"/>
      <c r="G418" s="19"/>
      <c r="H418" s="99"/>
      <c r="I418" s="19"/>
      <c r="J418" s="159"/>
      <c r="K418" s="99"/>
      <c r="L418" s="99"/>
      <c r="M418" s="99"/>
      <c r="N418" s="99"/>
      <c r="O418" s="99"/>
      <c r="P418" s="99"/>
    </row>
    <row r="419" spans="1:16">
      <c r="A419" s="99"/>
      <c r="B419" s="99"/>
      <c r="C419" s="99"/>
      <c r="D419" s="99"/>
      <c r="E419" s="99"/>
      <c r="F419" s="99"/>
      <c r="G419" s="19"/>
      <c r="H419" s="99"/>
      <c r="I419" s="19"/>
      <c r="J419" s="159"/>
      <c r="K419" s="99"/>
      <c r="L419" s="99"/>
      <c r="M419" s="99"/>
      <c r="N419" s="99"/>
      <c r="O419" s="99"/>
      <c r="P419" s="99"/>
    </row>
    <row r="420" spans="1:16">
      <c r="A420" s="99"/>
      <c r="B420" s="99"/>
      <c r="C420" s="99"/>
      <c r="D420" s="99"/>
      <c r="E420" s="99"/>
      <c r="F420" s="99"/>
      <c r="G420" s="19"/>
      <c r="H420" s="99"/>
      <c r="I420" s="19"/>
      <c r="J420" s="159"/>
      <c r="K420" s="99"/>
      <c r="L420" s="99"/>
      <c r="M420" s="99"/>
      <c r="N420" s="99"/>
      <c r="O420" s="99"/>
      <c r="P420" s="99"/>
    </row>
    <row r="421" spans="1:16">
      <c r="A421" s="99"/>
      <c r="B421" s="99"/>
      <c r="C421" s="99"/>
      <c r="D421" s="99"/>
      <c r="E421" s="99"/>
      <c r="F421" s="99"/>
      <c r="G421" s="19"/>
      <c r="H421" s="99"/>
      <c r="I421" s="19"/>
      <c r="J421" s="159"/>
      <c r="K421" s="99"/>
      <c r="L421" s="99"/>
      <c r="M421" s="99"/>
      <c r="N421" s="99"/>
      <c r="O421" s="99"/>
      <c r="P421" s="99"/>
    </row>
    <row r="422" spans="1:16">
      <c r="A422" s="99"/>
      <c r="B422" s="99"/>
      <c r="C422" s="99"/>
      <c r="D422" s="99"/>
      <c r="E422" s="99"/>
      <c r="F422" s="99"/>
      <c r="G422" s="19"/>
      <c r="H422" s="99"/>
      <c r="I422" s="19"/>
      <c r="J422" s="159"/>
      <c r="K422" s="99"/>
      <c r="L422" s="99"/>
      <c r="M422" s="99"/>
      <c r="N422" s="99"/>
      <c r="O422" s="99"/>
      <c r="P422" s="99"/>
    </row>
    <row r="423" spans="1:16">
      <c r="A423" s="99"/>
      <c r="B423" s="99"/>
      <c r="C423" s="99"/>
      <c r="D423" s="99"/>
      <c r="E423" s="99"/>
      <c r="F423" s="99"/>
      <c r="G423" s="19"/>
      <c r="H423" s="99"/>
      <c r="I423" s="19"/>
      <c r="J423" s="159"/>
      <c r="K423" s="99"/>
      <c r="L423" s="99"/>
      <c r="M423" s="99"/>
      <c r="N423" s="99"/>
      <c r="O423" s="99"/>
      <c r="P423" s="99"/>
    </row>
    <row r="424" spans="1:16">
      <c r="A424" s="99"/>
      <c r="B424" s="99"/>
      <c r="C424" s="99"/>
      <c r="D424" s="99"/>
      <c r="E424" s="99"/>
      <c r="F424" s="99"/>
      <c r="G424" s="19"/>
      <c r="H424" s="99"/>
      <c r="I424" s="19"/>
      <c r="J424" s="159"/>
      <c r="K424" s="99"/>
      <c r="L424" s="99"/>
      <c r="M424" s="99"/>
      <c r="N424" s="99"/>
      <c r="O424" s="99"/>
      <c r="P424" s="99"/>
    </row>
    <row r="425" spans="1:16">
      <c r="A425" s="99"/>
      <c r="B425" s="99"/>
      <c r="C425" s="99"/>
      <c r="D425" s="99"/>
      <c r="E425" s="99"/>
      <c r="F425" s="99"/>
      <c r="G425" s="19"/>
      <c r="H425" s="99"/>
      <c r="I425" s="19"/>
      <c r="J425" s="159"/>
      <c r="K425" s="99"/>
      <c r="L425" s="99"/>
      <c r="M425" s="99"/>
      <c r="N425" s="99"/>
      <c r="O425" s="99"/>
      <c r="P425" s="99"/>
    </row>
    <row r="426" spans="1:16">
      <c r="A426" s="99"/>
      <c r="B426" s="99"/>
      <c r="C426" s="99"/>
      <c r="D426" s="99"/>
      <c r="E426" s="99"/>
      <c r="F426" s="99"/>
      <c r="G426" s="19"/>
      <c r="H426" s="99"/>
      <c r="I426" s="19"/>
      <c r="J426" s="159"/>
      <c r="K426" s="99"/>
      <c r="L426" s="99"/>
      <c r="M426" s="99"/>
      <c r="N426" s="99"/>
      <c r="O426" s="99"/>
      <c r="P426" s="99"/>
    </row>
    <row r="427" spans="1:16">
      <c r="A427" s="99"/>
      <c r="B427" s="99"/>
      <c r="C427" s="99"/>
      <c r="D427" s="99"/>
      <c r="E427" s="99"/>
      <c r="F427" s="99"/>
      <c r="G427" s="19"/>
      <c r="H427" s="99"/>
      <c r="I427" s="19"/>
      <c r="J427" s="159"/>
      <c r="K427" s="99"/>
      <c r="L427" s="99"/>
      <c r="M427" s="99"/>
      <c r="N427" s="99"/>
      <c r="O427" s="99"/>
      <c r="P427" s="99"/>
    </row>
    <row r="428" spans="1:16">
      <c r="A428" s="99"/>
      <c r="B428" s="99"/>
      <c r="C428" s="99"/>
      <c r="D428" s="99"/>
      <c r="E428" s="99"/>
      <c r="F428" s="99"/>
      <c r="G428" s="19"/>
      <c r="H428" s="99"/>
      <c r="I428" s="19"/>
      <c r="J428" s="159"/>
      <c r="K428" s="99"/>
      <c r="L428" s="99"/>
      <c r="M428" s="99"/>
      <c r="N428" s="99"/>
      <c r="O428" s="99"/>
      <c r="P428" s="99"/>
    </row>
    <row r="429" spans="1:16">
      <c r="A429" s="99"/>
      <c r="B429" s="99"/>
      <c r="C429" s="99"/>
      <c r="D429" s="99"/>
      <c r="E429" s="99"/>
      <c r="F429" s="99"/>
      <c r="G429" s="19"/>
      <c r="H429" s="99"/>
      <c r="J429" s="159"/>
      <c r="K429" s="99"/>
      <c r="L429" s="99"/>
      <c r="M429" s="99"/>
      <c r="N429" s="99"/>
      <c r="O429" s="99"/>
      <c r="P429" s="99"/>
    </row>
    <row r="430" spans="1:16">
      <c r="A430" s="99"/>
      <c r="B430" s="99"/>
      <c r="C430" s="99"/>
      <c r="D430" s="99"/>
      <c r="E430" s="99"/>
      <c r="F430" s="99"/>
      <c r="G430" s="19"/>
      <c r="H430" s="99"/>
      <c r="J430" s="159"/>
      <c r="K430" s="99"/>
      <c r="L430" s="99"/>
      <c r="M430" s="99"/>
      <c r="N430" s="99"/>
      <c r="O430" s="99"/>
      <c r="P430" s="99"/>
    </row>
    <row r="431" spans="1:16">
      <c r="A431" s="99"/>
      <c r="B431" s="99"/>
      <c r="C431" s="99"/>
      <c r="D431" s="99"/>
      <c r="E431" s="99"/>
      <c r="F431" s="99"/>
      <c r="G431" s="19"/>
      <c r="H431" s="99"/>
      <c r="J431" s="159"/>
      <c r="K431" s="99"/>
      <c r="L431" s="99"/>
      <c r="M431" s="99"/>
      <c r="N431" s="99"/>
      <c r="O431" s="99"/>
      <c r="P431" s="99"/>
    </row>
    <row r="432" spans="1:16">
      <c r="A432" s="99"/>
      <c r="B432" s="99"/>
      <c r="C432" s="99"/>
      <c r="D432" s="99"/>
      <c r="E432" s="99"/>
      <c r="F432" s="99"/>
      <c r="G432" s="19"/>
      <c r="H432" s="99"/>
      <c r="J432" s="159"/>
      <c r="K432" s="99"/>
      <c r="L432" s="99"/>
      <c r="M432" s="99"/>
      <c r="N432" s="99"/>
      <c r="O432" s="99"/>
      <c r="P432" s="99"/>
    </row>
    <row r="433" spans="1:16">
      <c r="A433" s="99"/>
      <c r="B433" s="99"/>
      <c r="C433" s="99"/>
      <c r="D433" s="99"/>
      <c r="E433" s="99"/>
      <c r="F433" s="99"/>
      <c r="G433" s="19"/>
      <c r="H433" s="99"/>
      <c r="J433" s="159"/>
      <c r="K433" s="99"/>
      <c r="L433" s="99"/>
      <c r="M433" s="99"/>
      <c r="N433" s="99"/>
      <c r="O433" s="99"/>
      <c r="P433" s="99"/>
    </row>
    <row r="434" spans="1:16">
      <c r="A434" s="99"/>
      <c r="B434" s="99"/>
      <c r="C434" s="99"/>
      <c r="D434" s="99"/>
      <c r="E434" s="99"/>
      <c r="F434" s="99"/>
      <c r="G434" s="19"/>
      <c r="H434" s="99"/>
      <c r="J434" s="159"/>
      <c r="K434" s="99"/>
      <c r="L434" s="99"/>
      <c r="M434" s="99"/>
      <c r="N434" s="99"/>
      <c r="O434" s="99"/>
      <c r="P434" s="99"/>
    </row>
    <row r="435" spans="1:16">
      <c r="A435" s="99"/>
      <c r="B435" s="99"/>
      <c r="C435" s="99"/>
      <c r="D435" s="99"/>
      <c r="E435" s="99"/>
      <c r="F435" s="99"/>
      <c r="G435" s="19"/>
      <c r="H435" s="99"/>
      <c r="J435" s="159"/>
      <c r="K435" s="99"/>
      <c r="L435" s="99"/>
      <c r="M435" s="99"/>
      <c r="N435" s="99"/>
      <c r="O435" s="99"/>
      <c r="P435" s="99"/>
    </row>
    <row r="436" spans="1:16">
      <c r="A436" s="99"/>
      <c r="B436" s="99"/>
      <c r="C436" s="99"/>
      <c r="D436" s="99"/>
      <c r="E436" s="99"/>
      <c r="F436" s="99"/>
      <c r="G436" s="19"/>
      <c r="H436" s="99"/>
      <c r="J436" s="159"/>
      <c r="K436" s="99"/>
      <c r="L436" s="99"/>
      <c r="M436" s="99"/>
      <c r="N436" s="99"/>
      <c r="O436" s="99"/>
      <c r="P436" s="99"/>
    </row>
    <row r="437" spans="1:16">
      <c r="A437" s="99"/>
      <c r="B437" s="99"/>
      <c r="C437" s="99"/>
      <c r="D437" s="99"/>
      <c r="E437" s="99"/>
      <c r="F437" s="99"/>
      <c r="G437" s="19"/>
      <c r="H437" s="99"/>
      <c r="J437" s="159"/>
      <c r="K437" s="99"/>
      <c r="L437" s="99"/>
      <c r="M437" s="99"/>
      <c r="N437" s="99"/>
      <c r="O437" s="99"/>
      <c r="P437" s="99"/>
    </row>
    <row r="438" spans="1:16">
      <c r="A438" s="99"/>
      <c r="B438" s="99"/>
      <c r="C438" s="99"/>
      <c r="D438" s="99"/>
      <c r="E438" s="99"/>
      <c r="F438" s="99"/>
      <c r="G438" s="19"/>
      <c r="H438" s="99"/>
      <c r="J438" s="159"/>
      <c r="K438" s="99"/>
      <c r="L438" s="99"/>
      <c r="M438" s="99"/>
      <c r="N438" s="99"/>
      <c r="O438" s="99"/>
      <c r="P438" s="99"/>
    </row>
    <row r="439" spans="1:16">
      <c r="A439" s="99"/>
      <c r="B439" s="99"/>
      <c r="C439" s="99"/>
      <c r="D439" s="99"/>
      <c r="E439" s="99"/>
      <c r="F439" s="99"/>
      <c r="G439" s="19"/>
      <c r="H439" s="99"/>
      <c r="J439" s="159"/>
      <c r="K439" s="99"/>
      <c r="L439" s="99"/>
      <c r="M439" s="99"/>
      <c r="N439" s="99"/>
      <c r="O439" s="99"/>
      <c r="P439" s="99"/>
    </row>
    <row r="440" spans="1:16">
      <c r="A440" s="99"/>
      <c r="B440" s="99"/>
      <c r="C440" s="99"/>
      <c r="D440" s="99"/>
      <c r="E440" s="99"/>
      <c r="F440" s="99"/>
      <c r="G440" s="19"/>
      <c r="H440" s="99"/>
      <c r="J440" s="159"/>
      <c r="K440" s="99"/>
      <c r="L440" s="99"/>
      <c r="M440" s="99"/>
      <c r="N440" s="99"/>
      <c r="O440" s="99"/>
      <c r="P440" s="99"/>
    </row>
    <row r="441" spans="1:16">
      <c r="A441" s="99"/>
      <c r="B441" s="99"/>
      <c r="C441" s="99"/>
      <c r="D441" s="99"/>
      <c r="E441" s="99"/>
      <c r="F441" s="99"/>
      <c r="G441" s="19"/>
      <c r="H441" s="99"/>
      <c r="J441" s="159"/>
      <c r="K441" s="99"/>
      <c r="L441" s="99"/>
      <c r="M441" s="99"/>
      <c r="N441" s="99"/>
      <c r="O441" s="99"/>
      <c r="P441" s="99"/>
    </row>
    <row r="442" spans="1:16">
      <c r="A442" s="99"/>
      <c r="B442" s="99"/>
      <c r="C442" s="99"/>
      <c r="D442" s="99"/>
      <c r="E442" s="99"/>
      <c r="F442" s="99"/>
      <c r="G442" s="19"/>
      <c r="H442" s="99"/>
      <c r="J442" s="159"/>
      <c r="K442" s="99"/>
      <c r="L442" s="99"/>
      <c r="M442" s="99"/>
      <c r="N442" s="99"/>
      <c r="O442" s="99"/>
      <c r="P442" s="99"/>
    </row>
    <row r="443" spans="1:16">
      <c r="A443" s="99"/>
      <c r="B443" s="99"/>
      <c r="C443" s="99"/>
      <c r="D443" s="99"/>
      <c r="E443" s="99"/>
      <c r="F443" s="99"/>
      <c r="G443" s="19"/>
      <c r="H443" s="99"/>
      <c r="J443" s="159"/>
      <c r="K443" s="99"/>
      <c r="L443" s="99"/>
      <c r="M443" s="99"/>
      <c r="N443" s="99"/>
      <c r="O443" s="99"/>
      <c r="P443" s="99"/>
    </row>
    <row r="444" spans="1:16">
      <c r="A444" s="99"/>
      <c r="B444" s="99"/>
      <c r="C444" s="99"/>
      <c r="D444" s="99"/>
      <c r="E444" s="99"/>
      <c r="F444" s="99"/>
      <c r="G444" s="19"/>
      <c r="H444" s="99"/>
      <c r="J444" s="159"/>
      <c r="K444" s="99"/>
      <c r="L444" s="99"/>
      <c r="M444" s="99"/>
      <c r="N444" s="99"/>
      <c r="O444" s="99"/>
      <c r="P444" s="99"/>
    </row>
    <row r="445" spans="1:16">
      <c r="A445" s="99"/>
      <c r="B445" s="99"/>
      <c r="C445" s="99"/>
      <c r="D445" s="99"/>
      <c r="E445" s="99"/>
      <c r="F445" s="99"/>
      <c r="G445" s="19"/>
      <c r="H445" s="99"/>
      <c r="J445" s="159"/>
      <c r="K445" s="99"/>
      <c r="L445" s="99"/>
      <c r="M445" s="99"/>
      <c r="N445" s="99"/>
      <c r="O445" s="99"/>
      <c r="P445" s="99"/>
    </row>
    <row r="446" spans="1:16">
      <c r="A446" s="99"/>
      <c r="B446" s="99"/>
      <c r="C446" s="99"/>
      <c r="D446" s="99"/>
      <c r="E446" s="99"/>
      <c r="F446" s="99"/>
      <c r="G446" s="19"/>
      <c r="H446" s="99"/>
      <c r="J446" s="159"/>
      <c r="K446" s="99"/>
      <c r="L446" s="99"/>
      <c r="M446" s="99"/>
      <c r="N446" s="99"/>
      <c r="O446" s="99"/>
      <c r="P446" s="99"/>
    </row>
    <row r="447" spans="1:16">
      <c r="A447" s="99"/>
      <c r="B447" s="99"/>
      <c r="C447" s="99"/>
      <c r="D447" s="99"/>
      <c r="E447" s="99"/>
      <c r="F447" s="99"/>
      <c r="G447" s="19"/>
      <c r="H447" s="99"/>
      <c r="J447" s="159"/>
      <c r="K447" s="99"/>
      <c r="L447" s="99"/>
      <c r="M447" s="99"/>
      <c r="N447" s="99"/>
      <c r="O447" s="99"/>
      <c r="P447" s="99"/>
    </row>
    <row r="448" spans="1:16">
      <c r="A448" s="99"/>
      <c r="B448" s="99"/>
      <c r="C448" s="99"/>
      <c r="D448" s="99"/>
      <c r="E448" s="99"/>
      <c r="F448" s="99"/>
      <c r="G448" s="19"/>
      <c r="H448" s="99"/>
      <c r="J448" s="159"/>
      <c r="K448" s="99"/>
      <c r="L448" s="99"/>
      <c r="M448" s="99"/>
      <c r="N448" s="99"/>
      <c r="O448" s="99"/>
      <c r="P448" s="99"/>
    </row>
    <row r="449" spans="1:16">
      <c r="A449" s="99"/>
      <c r="B449" s="99"/>
      <c r="C449" s="99"/>
      <c r="D449" s="99"/>
      <c r="E449" s="99"/>
      <c r="F449" s="99"/>
      <c r="G449" s="19"/>
      <c r="H449" s="99"/>
      <c r="J449" s="159"/>
      <c r="K449" s="99"/>
      <c r="L449" s="99"/>
      <c r="M449" s="99"/>
      <c r="N449" s="99"/>
      <c r="O449" s="99"/>
      <c r="P449" s="99"/>
    </row>
    <row r="450" spans="1:16">
      <c r="A450" s="99"/>
      <c r="B450" s="99"/>
      <c r="C450" s="99"/>
      <c r="D450" s="99"/>
      <c r="E450" s="99"/>
      <c r="F450" s="99"/>
      <c r="G450" s="19"/>
      <c r="H450" s="99"/>
      <c r="J450" s="159"/>
      <c r="K450" s="99"/>
      <c r="L450" s="99"/>
      <c r="M450" s="99"/>
      <c r="N450" s="99"/>
      <c r="O450" s="99"/>
      <c r="P450" s="99"/>
    </row>
    <row r="451" spans="1:16">
      <c r="A451" s="99"/>
      <c r="B451" s="99"/>
      <c r="C451" s="99"/>
      <c r="D451" s="99"/>
      <c r="E451" s="99"/>
      <c r="F451" s="99"/>
      <c r="G451" s="19"/>
      <c r="H451" s="99"/>
      <c r="J451" s="159"/>
      <c r="K451" s="99"/>
      <c r="L451" s="99"/>
      <c r="M451" s="99"/>
      <c r="N451" s="99"/>
      <c r="O451" s="99"/>
      <c r="P451" s="99"/>
    </row>
    <row r="452" spans="1:16">
      <c r="A452" s="99"/>
      <c r="B452" s="99"/>
      <c r="C452" s="99"/>
      <c r="D452" s="99"/>
      <c r="E452" s="99"/>
      <c r="F452" s="99"/>
      <c r="G452" s="19"/>
      <c r="H452" s="99"/>
      <c r="J452" s="159"/>
      <c r="K452" s="99"/>
      <c r="L452" s="99"/>
      <c r="M452" s="99"/>
      <c r="N452" s="99"/>
      <c r="O452" s="99"/>
      <c r="P452" s="99"/>
    </row>
    <row r="453" spans="1:16">
      <c r="A453" s="99"/>
      <c r="B453" s="99"/>
      <c r="C453" s="99"/>
      <c r="D453" s="99"/>
      <c r="E453" s="99"/>
      <c r="F453" s="99"/>
      <c r="G453" s="19"/>
      <c r="H453" s="99"/>
      <c r="J453" s="159"/>
      <c r="K453" s="99"/>
      <c r="L453" s="99"/>
      <c r="M453" s="99"/>
      <c r="N453" s="99"/>
      <c r="O453" s="99"/>
      <c r="P453" s="99"/>
    </row>
    <row r="454" spans="1:16">
      <c r="A454" s="99"/>
      <c r="B454" s="99"/>
      <c r="C454" s="99"/>
      <c r="D454" s="99"/>
      <c r="E454" s="99"/>
      <c r="F454" s="99"/>
      <c r="G454" s="19"/>
      <c r="H454" s="99"/>
      <c r="J454" s="159"/>
      <c r="K454" s="99"/>
      <c r="L454" s="99"/>
      <c r="M454" s="99"/>
      <c r="N454" s="99"/>
      <c r="O454" s="99"/>
      <c r="P454" s="99"/>
    </row>
    <row r="455" spans="1:16">
      <c r="A455" s="99"/>
      <c r="B455" s="99"/>
      <c r="C455" s="99"/>
      <c r="D455" s="99"/>
      <c r="E455" s="99"/>
      <c r="F455" s="99"/>
      <c r="G455" s="19"/>
      <c r="H455" s="99"/>
      <c r="J455" s="159"/>
      <c r="K455" s="99"/>
      <c r="L455" s="99"/>
      <c r="M455" s="99"/>
      <c r="N455" s="99"/>
      <c r="O455" s="99"/>
      <c r="P455" s="99"/>
    </row>
    <row r="456" spans="1:16">
      <c r="A456" s="99"/>
      <c r="B456" s="99"/>
      <c r="C456" s="99"/>
      <c r="D456" s="99"/>
      <c r="E456" s="99"/>
      <c r="F456" s="99"/>
      <c r="G456" s="19"/>
      <c r="H456" s="99"/>
      <c r="J456" s="159"/>
      <c r="K456" s="99"/>
      <c r="L456" s="99"/>
      <c r="M456" s="99"/>
      <c r="N456" s="99"/>
      <c r="O456" s="99"/>
      <c r="P456" s="99"/>
    </row>
    <row r="457" spans="1:16">
      <c r="A457" s="99"/>
      <c r="B457" s="99"/>
      <c r="C457" s="99"/>
      <c r="D457" s="99"/>
      <c r="E457" s="99"/>
      <c r="F457" s="99"/>
      <c r="G457" s="19"/>
      <c r="H457" s="99"/>
      <c r="J457" s="159"/>
      <c r="K457" s="99"/>
      <c r="L457" s="99"/>
      <c r="M457" s="99"/>
      <c r="N457" s="99"/>
      <c r="O457" s="99"/>
      <c r="P457" s="99"/>
    </row>
    <row r="458" spans="1:16">
      <c r="A458" s="99"/>
      <c r="B458" s="99"/>
      <c r="C458" s="99"/>
      <c r="D458" s="99"/>
      <c r="E458" s="99"/>
      <c r="F458" s="99"/>
      <c r="G458" s="19"/>
      <c r="H458" s="99"/>
      <c r="J458" s="159"/>
      <c r="K458" s="99"/>
      <c r="L458" s="99"/>
      <c r="M458" s="99"/>
      <c r="N458" s="99"/>
      <c r="O458" s="99"/>
      <c r="P458" s="99"/>
    </row>
    <row r="459" spans="1:16">
      <c r="A459" s="99"/>
      <c r="B459" s="99"/>
      <c r="C459" s="99"/>
      <c r="D459" s="99"/>
      <c r="E459" s="99"/>
      <c r="F459" s="99"/>
      <c r="G459" s="19"/>
      <c r="H459" s="99"/>
      <c r="J459" s="159"/>
      <c r="K459" s="99"/>
      <c r="L459" s="99"/>
      <c r="M459" s="99"/>
      <c r="N459" s="99"/>
      <c r="O459" s="99"/>
      <c r="P459" s="99"/>
    </row>
    <row r="460" spans="1:16">
      <c r="A460" s="99"/>
      <c r="B460" s="99"/>
      <c r="C460" s="99"/>
      <c r="D460" s="99"/>
      <c r="E460" s="99"/>
      <c r="F460" s="99"/>
      <c r="G460" s="19"/>
      <c r="H460" s="99"/>
      <c r="J460" s="159"/>
      <c r="K460" s="99"/>
      <c r="L460" s="99"/>
      <c r="M460" s="99"/>
      <c r="N460" s="99"/>
      <c r="O460" s="99"/>
      <c r="P460" s="99"/>
    </row>
    <row r="461" spans="1:16">
      <c r="A461" s="99"/>
      <c r="B461" s="99"/>
      <c r="C461" s="99"/>
      <c r="D461" s="99"/>
      <c r="E461" s="99"/>
      <c r="F461" s="99"/>
      <c r="G461" s="19"/>
      <c r="H461" s="99"/>
      <c r="J461" s="159"/>
      <c r="K461" s="99"/>
      <c r="L461" s="99"/>
      <c r="M461" s="99"/>
      <c r="N461" s="99"/>
      <c r="O461" s="99"/>
      <c r="P461" s="99"/>
    </row>
    <row r="462" spans="1:16">
      <c r="A462" s="99"/>
      <c r="B462" s="99"/>
      <c r="C462" s="99"/>
      <c r="D462" s="99"/>
      <c r="E462" s="99"/>
      <c r="F462" s="99"/>
      <c r="G462" s="19"/>
      <c r="H462" s="99"/>
      <c r="J462" s="159"/>
      <c r="K462" s="99"/>
      <c r="L462" s="99"/>
      <c r="M462" s="99"/>
      <c r="N462" s="99"/>
      <c r="O462" s="99"/>
      <c r="P462" s="99"/>
    </row>
    <row r="463" spans="1:16">
      <c r="A463" s="99"/>
      <c r="B463" s="99"/>
      <c r="C463" s="99"/>
      <c r="D463" s="99"/>
      <c r="E463" s="99"/>
      <c r="F463" s="99"/>
      <c r="G463" s="19"/>
      <c r="H463" s="99"/>
      <c r="J463" s="159"/>
      <c r="K463" s="99"/>
      <c r="L463" s="99"/>
      <c r="M463" s="99"/>
      <c r="N463" s="99"/>
      <c r="O463" s="99"/>
      <c r="P463" s="99"/>
    </row>
    <row r="464" spans="1:16">
      <c r="A464" s="99"/>
      <c r="B464" s="99"/>
      <c r="C464" s="99"/>
      <c r="D464" s="99"/>
      <c r="E464" s="99"/>
      <c r="F464" s="99"/>
      <c r="G464" s="19"/>
      <c r="H464" s="99"/>
      <c r="J464" s="159"/>
      <c r="K464" s="99"/>
      <c r="L464" s="99"/>
      <c r="M464" s="99"/>
      <c r="N464" s="99"/>
      <c r="O464" s="99"/>
      <c r="P464" s="99"/>
    </row>
    <row r="465" spans="1:16">
      <c r="A465" s="99"/>
      <c r="B465" s="99"/>
      <c r="C465" s="99"/>
      <c r="D465" s="99"/>
      <c r="E465" s="99"/>
      <c r="F465" s="99"/>
      <c r="G465" s="19"/>
      <c r="H465" s="99"/>
      <c r="J465" s="159"/>
      <c r="K465" s="99"/>
      <c r="L465" s="99"/>
      <c r="M465" s="99"/>
      <c r="N465" s="99"/>
      <c r="O465" s="99"/>
      <c r="P465" s="99"/>
    </row>
    <row r="466" spans="1:16">
      <c r="A466" s="99"/>
      <c r="B466" s="99"/>
      <c r="C466" s="99"/>
      <c r="D466" s="99"/>
      <c r="E466" s="99"/>
      <c r="F466" s="99"/>
      <c r="G466" s="19"/>
      <c r="H466" s="99"/>
      <c r="J466" s="159"/>
      <c r="K466" s="99"/>
      <c r="L466" s="99"/>
      <c r="M466" s="99"/>
      <c r="N466" s="99"/>
      <c r="O466" s="99"/>
      <c r="P466" s="99"/>
    </row>
    <row r="467" spans="1:16">
      <c r="A467" s="99"/>
      <c r="B467" s="99"/>
      <c r="C467" s="99"/>
      <c r="D467" s="99"/>
      <c r="E467" s="99"/>
      <c r="F467" s="99"/>
      <c r="G467" s="19"/>
      <c r="H467" s="99"/>
      <c r="J467" s="159"/>
      <c r="K467" s="99"/>
      <c r="L467" s="99"/>
      <c r="M467" s="99"/>
      <c r="N467" s="99"/>
      <c r="O467" s="99"/>
      <c r="P467" s="99"/>
    </row>
    <row r="468" spans="1:16">
      <c r="A468" s="99"/>
      <c r="B468" s="99"/>
      <c r="C468" s="99"/>
      <c r="D468" s="99"/>
      <c r="E468" s="99"/>
      <c r="F468" s="99"/>
      <c r="G468" s="19"/>
      <c r="H468" s="99"/>
      <c r="J468" s="159"/>
      <c r="K468" s="99"/>
      <c r="L468" s="99"/>
      <c r="M468" s="99"/>
      <c r="N468" s="99"/>
      <c r="O468" s="99"/>
      <c r="P468" s="99"/>
    </row>
    <row r="469" spans="1:16">
      <c r="A469" s="99"/>
      <c r="B469" s="99"/>
      <c r="C469" s="99"/>
      <c r="D469" s="99"/>
      <c r="E469" s="99"/>
      <c r="F469" s="99"/>
      <c r="G469" s="19"/>
      <c r="H469" s="99"/>
      <c r="J469" s="159"/>
      <c r="K469" s="99"/>
      <c r="L469" s="99"/>
      <c r="M469" s="99"/>
      <c r="N469" s="99"/>
      <c r="O469" s="99"/>
      <c r="P469" s="99"/>
    </row>
    <row r="470" spans="1:16">
      <c r="A470" s="99"/>
      <c r="B470" s="99"/>
      <c r="C470" s="99"/>
      <c r="D470" s="99"/>
      <c r="E470" s="99"/>
      <c r="F470" s="99"/>
      <c r="G470" s="19"/>
      <c r="H470" s="99"/>
      <c r="J470" s="159"/>
      <c r="K470" s="99"/>
      <c r="L470" s="99"/>
      <c r="M470" s="99"/>
      <c r="N470" s="99"/>
      <c r="O470" s="99"/>
      <c r="P470" s="99"/>
    </row>
    <row r="471" spans="1:16">
      <c r="A471" s="99"/>
      <c r="B471" s="99"/>
      <c r="C471" s="99"/>
      <c r="D471" s="99"/>
      <c r="E471" s="99"/>
      <c r="F471" s="99"/>
      <c r="G471" s="19"/>
      <c r="H471" s="99"/>
      <c r="J471" s="159"/>
      <c r="K471" s="99"/>
      <c r="L471" s="99"/>
      <c r="M471" s="99"/>
      <c r="N471" s="99"/>
      <c r="O471" s="99"/>
      <c r="P471" s="99"/>
    </row>
    <row r="472" spans="1:16">
      <c r="A472" s="99"/>
      <c r="B472" s="99"/>
      <c r="C472" s="99"/>
      <c r="D472" s="99"/>
      <c r="E472" s="99"/>
      <c r="F472" s="99"/>
      <c r="G472" s="19"/>
      <c r="H472" s="99"/>
      <c r="J472" s="159"/>
      <c r="K472" s="99"/>
      <c r="L472" s="99"/>
      <c r="M472" s="99"/>
      <c r="N472" s="99"/>
      <c r="O472" s="99"/>
      <c r="P472" s="99"/>
    </row>
    <row r="473" spans="1:16">
      <c r="A473" s="99"/>
      <c r="B473" s="99"/>
      <c r="C473" s="99"/>
      <c r="D473" s="99"/>
      <c r="E473" s="99"/>
      <c r="F473" s="99"/>
      <c r="G473" s="19"/>
      <c r="H473" s="99"/>
      <c r="J473" s="159"/>
      <c r="K473" s="99"/>
      <c r="L473" s="99"/>
      <c r="M473" s="99"/>
      <c r="N473" s="99"/>
      <c r="O473" s="99"/>
      <c r="P473" s="99"/>
    </row>
    <row r="474" spans="1:16">
      <c r="A474" s="99"/>
      <c r="B474" s="99"/>
      <c r="C474" s="99"/>
      <c r="D474" s="99"/>
      <c r="E474" s="99"/>
      <c r="F474" s="99"/>
      <c r="G474" s="19"/>
      <c r="H474" s="99"/>
      <c r="J474" s="159"/>
      <c r="K474" s="99"/>
      <c r="L474" s="99"/>
      <c r="M474" s="99"/>
      <c r="N474" s="99"/>
      <c r="O474" s="99"/>
      <c r="P474" s="99"/>
    </row>
    <row r="475" spans="1:16">
      <c r="A475" s="99"/>
      <c r="B475" s="99"/>
      <c r="C475" s="99"/>
      <c r="D475" s="99"/>
      <c r="E475" s="99"/>
      <c r="F475" s="99"/>
      <c r="G475" s="19"/>
      <c r="H475" s="99"/>
      <c r="J475" s="159"/>
      <c r="K475" s="99"/>
      <c r="L475" s="99"/>
      <c r="M475" s="99"/>
      <c r="N475" s="99"/>
      <c r="O475" s="99"/>
      <c r="P475" s="99"/>
    </row>
    <row r="476" spans="1:16">
      <c r="A476" s="99"/>
      <c r="B476" s="99"/>
      <c r="C476" s="99"/>
      <c r="D476" s="99"/>
      <c r="E476" s="99"/>
      <c r="F476" s="99"/>
      <c r="G476" s="19"/>
      <c r="H476" s="99"/>
      <c r="J476" s="159"/>
      <c r="K476" s="99"/>
      <c r="L476" s="99"/>
      <c r="M476" s="99"/>
      <c r="N476" s="99"/>
      <c r="O476" s="99"/>
      <c r="P476" s="99"/>
    </row>
    <row r="477" spans="1:16">
      <c r="A477" s="99"/>
      <c r="B477" s="99"/>
      <c r="C477" s="99"/>
      <c r="D477" s="99"/>
      <c r="E477" s="99"/>
      <c r="F477" s="99"/>
      <c r="G477" s="19"/>
      <c r="H477" s="99"/>
      <c r="J477" s="159"/>
      <c r="K477" s="99"/>
      <c r="L477" s="99"/>
      <c r="M477" s="99"/>
      <c r="N477" s="99"/>
      <c r="O477" s="99"/>
      <c r="P477" s="99"/>
    </row>
    <row r="478" spans="1:16">
      <c r="A478" s="99"/>
      <c r="B478" s="99"/>
      <c r="C478" s="99"/>
      <c r="D478" s="99"/>
      <c r="E478" s="99"/>
      <c r="F478" s="99"/>
      <c r="G478" s="19"/>
      <c r="H478" s="99"/>
      <c r="J478" s="159"/>
      <c r="K478" s="99"/>
      <c r="L478" s="99"/>
      <c r="M478" s="99"/>
      <c r="N478" s="99"/>
      <c r="O478" s="99"/>
      <c r="P478" s="99"/>
    </row>
    <row r="479" spans="1:16">
      <c r="A479" s="99"/>
      <c r="B479" s="99"/>
      <c r="C479" s="99"/>
      <c r="D479" s="99"/>
      <c r="E479" s="99"/>
      <c r="F479" s="99"/>
      <c r="G479" s="19"/>
      <c r="H479" s="99"/>
      <c r="J479" s="159"/>
      <c r="K479" s="99"/>
      <c r="L479" s="99"/>
      <c r="M479" s="99"/>
      <c r="N479" s="99"/>
      <c r="O479" s="99"/>
      <c r="P479" s="99"/>
    </row>
    <row r="480" spans="1:16">
      <c r="A480" s="99"/>
      <c r="B480" s="99"/>
      <c r="C480" s="99"/>
      <c r="D480" s="99"/>
      <c r="E480" s="99"/>
      <c r="F480" s="99"/>
      <c r="G480" s="19"/>
      <c r="H480" s="99"/>
      <c r="J480" s="159"/>
      <c r="K480" s="99"/>
      <c r="L480" s="99"/>
      <c r="M480" s="99"/>
      <c r="N480" s="99"/>
      <c r="O480" s="99"/>
      <c r="P480" s="99"/>
    </row>
    <row r="481" spans="1:16">
      <c r="A481" s="99"/>
      <c r="B481" s="99"/>
      <c r="C481" s="99"/>
      <c r="D481" s="99"/>
      <c r="E481" s="99"/>
      <c r="F481" s="99"/>
      <c r="G481" s="19"/>
      <c r="H481" s="99"/>
      <c r="J481" s="159"/>
      <c r="K481" s="99"/>
      <c r="L481" s="99"/>
      <c r="M481" s="99"/>
      <c r="N481" s="99"/>
      <c r="O481" s="99"/>
      <c r="P481" s="99"/>
    </row>
    <row r="482" spans="1:16">
      <c r="A482" s="99"/>
      <c r="B482" s="99"/>
      <c r="C482" s="99"/>
      <c r="D482" s="99"/>
      <c r="E482" s="99"/>
      <c r="F482" s="99"/>
      <c r="G482" s="19"/>
      <c r="H482" s="99"/>
      <c r="J482" s="159"/>
      <c r="K482" s="99"/>
      <c r="L482" s="99"/>
      <c r="M482" s="99"/>
      <c r="N482" s="99"/>
      <c r="O482" s="99"/>
      <c r="P482" s="99"/>
    </row>
    <row r="483" spans="1:16">
      <c r="A483" s="99"/>
      <c r="B483" s="99"/>
      <c r="C483" s="99"/>
      <c r="D483" s="99"/>
      <c r="E483" s="99"/>
      <c r="F483" s="99"/>
      <c r="G483" s="19"/>
      <c r="H483" s="99"/>
      <c r="J483" s="159"/>
      <c r="K483" s="99"/>
      <c r="L483" s="99"/>
      <c r="M483" s="99"/>
      <c r="N483" s="99"/>
      <c r="O483" s="99"/>
      <c r="P483" s="99"/>
    </row>
    <row r="484" spans="1:16">
      <c r="A484" s="99"/>
      <c r="B484" s="99"/>
      <c r="C484" s="99"/>
      <c r="D484" s="99"/>
      <c r="E484" s="99"/>
      <c r="F484" s="99"/>
      <c r="G484" s="19"/>
      <c r="H484" s="99"/>
      <c r="J484" s="159"/>
      <c r="K484" s="99"/>
      <c r="L484" s="99"/>
      <c r="M484" s="99"/>
      <c r="N484" s="99"/>
      <c r="O484" s="99"/>
      <c r="P484" s="99"/>
    </row>
    <row r="485" spans="1:16">
      <c r="A485" s="99"/>
      <c r="B485" s="99"/>
      <c r="C485" s="99"/>
      <c r="D485" s="99"/>
      <c r="E485" s="99"/>
      <c r="F485" s="99"/>
      <c r="G485" s="19"/>
      <c r="H485" s="99"/>
      <c r="J485" s="159"/>
      <c r="K485" s="99"/>
      <c r="L485" s="99"/>
      <c r="M485" s="99"/>
      <c r="N485" s="99"/>
      <c r="O485" s="99"/>
      <c r="P485" s="99"/>
    </row>
    <row r="486" spans="1:16">
      <c r="A486" s="99"/>
      <c r="B486" s="99"/>
      <c r="C486" s="99"/>
      <c r="D486" s="99"/>
      <c r="E486" s="99"/>
      <c r="F486" s="99"/>
      <c r="G486" s="19"/>
      <c r="H486" s="99"/>
      <c r="J486" s="159"/>
      <c r="K486" s="99"/>
      <c r="L486" s="99"/>
      <c r="M486" s="99"/>
      <c r="N486" s="99"/>
      <c r="O486" s="99"/>
      <c r="P486" s="99"/>
    </row>
    <row r="487" spans="1:16">
      <c r="A487" s="99"/>
      <c r="B487" s="99"/>
      <c r="C487" s="99"/>
      <c r="D487" s="99"/>
      <c r="E487" s="99"/>
      <c r="F487" s="99"/>
      <c r="G487" s="19"/>
      <c r="H487" s="99"/>
      <c r="J487" s="159"/>
      <c r="K487" s="99"/>
      <c r="L487" s="99"/>
      <c r="M487" s="99"/>
      <c r="N487" s="99"/>
      <c r="O487" s="99"/>
      <c r="P487" s="99"/>
    </row>
    <row r="488" spans="1:16">
      <c r="A488" s="99"/>
      <c r="B488" s="99"/>
      <c r="C488" s="99"/>
      <c r="D488" s="99"/>
      <c r="E488" s="99"/>
      <c r="F488" s="99"/>
      <c r="G488" s="19"/>
      <c r="H488" s="99"/>
      <c r="J488" s="159"/>
      <c r="K488" s="99"/>
      <c r="L488" s="99"/>
      <c r="M488" s="99"/>
      <c r="N488" s="99"/>
      <c r="O488" s="99"/>
      <c r="P488" s="99"/>
    </row>
    <row r="489" spans="1:16">
      <c r="A489" s="99"/>
      <c r="B489" s="99"/>
      <c r="C489" s="99"/>
      <c r="D489" s="99"/>
      <c r="E489" s="99"/>
      <c r="F489" s="99"/>
      <c r="G489" s="19"/>
      <c r="H489" s="99"/>
      <c r="J489" s="159"/>
      <c r="K489" s="99"/>
      <c r="L489" s="99"/>
      <c r="M489" s="99"/>
      <c r="N489" s="99"/>
      <c r="O489" s="99"/>
      <c r="P489" s="99"/>
    </row>
    <row r="490" spans="1:16">
      <c r="A490" s="99"/>
      <c r="B490" s="99"/>
      <c r="C490" s="99"/>
      <c r="D490" s="99"/>
      <c r="E490" s="99"/>
      <c r="F490" s="99"/>
      <c r="G490" s="19"/>
      <c r="H490" s="99"/>
      <c r="J490" s="159"/>
      <c r="K490" s="99"/>
      <c r="L490" s="99"/>
      <c r="M490" s="99"/>
      <c r="N490" s="99"/>
      <c r="O490" s="99"/>
      <c r="P490" s="99"/>
    </row>
    <row r="491" spans="1:16">
      <c r="A491" s="99"/>
      <c r="B491" s="99"/>
      <c r="C491" s="99"/>
      <c r="D491" s="99"/>
      <c r="E491" s="99"/>
      <c r="F491" s="99"/>
      <c r="G491" s="19"/>
      <c r="H491" s="99"/>
      <c r="J491" s="159"/>
      <c r="K491" s="99"/>
      <c r="L491" s="99"/>
      <c r="M491" s="99"/>
      <c r="N491" s="99"/>
      <c r="O491" s="99"/>
      <c r="P491" s="99"/>
    </row>
    <row r="492" spans="1:16">
      <c r="A492" s="99"/>
      <c r="B492" s="99"/>
      <c r="C492" s="99"/>
      <c r="D492" s="99"/>
      <c r="E492" s="99"/>
      <c r="F492" s="99"/>
      <c r="G492" s="19"/>
      <c r="H492" s="99"/>
      <c r="J492" s="159"/>
      <c r="K492" s="99"/>
      <c r="L492" s="99"/>
      <c r="M492" s="99"/>
      <c r="N492" s="99"/>
      <c r="O492" s="99"/>
      <c r="P492" s="99"/>
    </row>
    <row r="493" spans="1:16">
      <c r="A493" s="99"/>
      <c r="B493" s="99"/>
      <c r="C493" s="99"/>
      <c r="D493" s="99"/>
      <c r="E493" s="99"/>
      <c r="F493" s="99"/>
      <c r="G493" s="19"/>
      <c r="H493" s="99"/>
      <c r="J493" s="159"/>
      <c r="K493" s="99"/>
      <c r="L493" s="99"/>
      <c r="M493" s="99"/>
      <c r="N493" s="99"/>
      <c r="O493" s="99"/>
      <c r="P493" s="99"/>
    </row>
    <row r="494" spans="1:16">
      <c r="A494" s="99"/>
      <c r="B494" s="99"/>
      <c r="C494" s="99"/>
      <c r="D494" s="99"/>
      <c r="E494" s="99"/>
      <c r="F494" s="99"/>
      <c r="G494" s="19"/>
      <c r="H494" s="99"/>
      <c r="J494" s="159"/>
      <c r="K494" s="99"/>
      <c r="L494" s="99"/>
      <c r="M494" s="99"/>
      <c r="N494" s="99"/>
      <c r="O494" s="99"/>
      <c r="P494" s="99"/>
    </row>
    <row r="495" spans="1:16">
      <c r="A495" s="99"/>
      <c r="B495" s="99"/>
      <c r="C495" s="99"/>
      <c r="D495" s="99"/>
      <c r="E495" s="99"/>
      <c r="F495" s="99"/>
      <c r="G495" s="19"/>
      <c r="H495" s="99"/>
      <c r="J495" s="159"/>
      <c r="K495" s="99"/>
      <c r="L495" s="99"/>
      <c r="M495" s="99"/>
      <c r="N495" s="99"/>
      <c r="O495" s="99"/>
      <c r="P495" s="99"/>
    </row>
    <row r="496" spans="1:16">
      <c r="A496" s="99"/>
      <c r="B496" s="99"/>
      <c r="C496" s="99"/>
      <c r="D496" s="99"/>
      <c r="E496" s="99"/>
      <c r="F496" s="99"/>
      <c r="G496" s="19"/>
      <c r="H496" s="99"/>
      <c r="J496" s="159"/>
      <c r="K496" s="99"/>
      <c r="L496" s="99"/>
      <c r="M496" s="99"/>
      <c r="N496" s="99"/>
      <c r="O496" s="99"/>
      <c r="P496" s="99"/>
    </row>
    <row r="497" spans="1:16">
      <c r="A497" s="99"/>
      <c r="B497" s="99"/>
      <c r="C497" s="99"/>
      <c r="D497" s="99"/>
      <c r="E497" s="99"/>
      <c r="F497" s="99"/>
      <c r="G497" s="19"/>
      <c r="H497" s="99"/>
      <c r="J497" s="159"/>
      <c r="K497" s="99"/>
      <c r="L497" s="99"/>
      <c r="M497" s="99"/>
      <c r="N497" s="99"/>
      <c r="O497" s="99"/>
      <c r="P497" s="99"/>
    </row>
    <row r="498" spans="1:16">
      <c r="A498" s="99"/>
      <c r="B498" s="99"/>
      <c r="C498" s="99"/>
      <c r="D498" s="99"/>
      <c r="E498" s="99"/>
      <c r="F498" s="99"/>
      <c r="G498" s="19"/>
      <c r="H498" s="99"/>
      <c r="J498" s="159"/>
      <c r="K498" s="99"/>
      <c r="L498" s="99"/>
      <c r="M498" s="99"/>
      <c r="N498" s="99"/>
      <c r="O498" s="99"/>
      <c r="P498" s="99"/>
    </row>
    <row r="499" spans="1:16">
      <c r="A499" s="99"/>
      <c r="B499" s="99"/>
      <c r="C499" s="99"/>
      <c r="D499" s="99"/>
      <c r="E499" s="99"/>
      <c r="F499" s="99"/>
      <c r="G499" s="19"/>
      <c r="H499" s="99"/>
      <c r="J499" s="159"/>
      <c r="K499" s="99"/>
      <c r="L499" s="99"/>
      <c r="M499" s="99"/>
      <c r="N499" s="99"/>
      <c r="O499" s="99"/>
      <c r="P499" s="99"/>
    </row>
    <row r="500" spans="1:16">
      <c r="A500" s="99"/>
      <c r="B500" s="99"/>
      <c r="C500" s="99"/>
      <c r="D500" s="99"/>
      <c r="E500" s="99"/>
      <c r="F500" s="99"/>
      <c r="G500" s="19"/>
      <c r="H500" s="99"/>
      <c r="J500" s="159"/>
      <c r="K500" s="99"/>
      <c r="L500" s="99"/>
      <c r="M500" s="99"/>
      <c r="N500" s="99"/>
      <c r="O500" s="99"/>
      <c r="P500" s="99"/>
    </row>
    <row r="501" spans="1:16">
      <c r="A501" s="99"/>
      <c r="B501" s="99"/>
      <c r="C501" s="99"/>
      <c r="D501" s="99"/>
      <c r="E501" s="99"/>
      <c r="F501" s="99"/>
      <c r="G501" s="19"/>
      <c r="H501" s="99"/>
      <c r="J501" s="159"/>
      <c r="K501" s="99"/>
      <c r="L501" s="99"/>
      <c r="M501" s="99"/>
      <c r="N501" s="99"/>
      <c r="O501" s="99"/>
      <c r="P501" s="99"/>
    </row>
    <row r="502" spans="1:16">
      <c r="A502" s="99"/>
      <c r="B502" s="99"/>
      <c r="C502" s="99"/>
      <c r="D502" s="99"/>
      <c r="E502" s="99"/>
      <c r="F502" s="99"/>
      <c r="G502" s="19"/>
      <c r="H502" s="99"/>
      <c r="J502" s="159"/>
      <c r="K502" s="99"/>
      <c r="L502" s="99"/>
      <c r="M502" s="99"/>
      <c r="N502" s="99"/>
      <c r="O502" s="99"/>
      <c r="P502" s="99"/>
    </row>
    <row r="503" spans="1:16">
      <c r="A503" s="99"/>
      <c r="B503" s="99"/>
      <c r="C503" s="99"/>
      <c r="D503" s="99"/>
      <c r="E503" s="99"/>
      <c r="F503" s="99"/>
      <c r="G503" s="19"/>
      <c r="H503" s="99"/>
      <c r="J503" s="159"/>
      <c r="K503" s="99"/>
      <c r="L503" s="99"/>
      <c r="M503" s="99"/>
      <c r="N503" s="99"/>
      <c r="O503" s="99"/>
      <c r="P503" s="99"/>
    </row>
    <row r="504" spans="1:16">
      <c r="A504" s="99"/>
      <c r="B504" s="99"/>
      <c r="C504" s="99"/>
      <c r="D504" s="99"/>
      <c r="E504" s="99"/>
      <c r="F504" s="99"/>
      <c r="G504" s="19"/>
      <c r="H504" s="99"/>
      <c r="J504" s="159"/>
      <c r="K504" s="99"/>
      <c r="L504" s="99"/>
      <c r="M504" s="99"/>
      <c r="N504" s="99"/>
      <c r="O504" s="99"/>
      <c r="P504" s="99"/>
    </row>
    <row r="505" spans="1:16">
      <c r="A505" s="99"/>
      <c r="B505" s="99"/>
      <c r="C505" s="99"/>
      <c r="D505" s="99"/>
      <c r="E505" s="99"/>
      <c r="F505" s="99"/>
      <c r="G505" s="19"/>
      <c r="H505" s="99"/>
      <c r="J505" s="159"/>
      <c r="K505" s="99"/>
      <c r="L505" s="99"/>
      <c r="M505" s="99"/>
      <c r="N505" s="99"/>
      <c r="O505" s="99"/>
      <c r="P505" s="99"/>
    </row>
    <row r="506" spans="1:16">
      <c r="A506" s="99"/>
      <c r="B506" s="99"/>
      <c r="C506" s="99"/>
      <c r="D506" s="99"/>
      <c r="E506" s="99"/>
      <c r="F506" s="99"/>
      <c r="G506" s="19"/>
      <c r="H506" s="99"/>
      <c r="J506" s="159"/>
      <c r="K506" s="99"/>
      <c r="L506" s="99"/>
      <c r="M506" s="99"/>
      <c r="N506" s="99"/>
      <c r="O506" s="99"/>
      <c r="P506" s="99"/>
    </row>
    <row r="507" spans="1:16">
      <c r="A507" s="99"/>
      <c r="B507" s="99"/>
      <c r="C507" s="99"/>
      <c r="D507" s="99"/>
      <c r="E507" s="99"/>
      <c r="F507" s="99"/>
      <c r="G507" s="19"/>
      <c r="H507" s="99"/>
      <c r="J507" s="159"/>
      <c r="K507" s="99"/>
      <c r="L507" s="99"/>
      <c r="M507" s="99"/>
      <c r="N507" s="99"/>
      <c r="O507" s="99"/>
      <c r="P507" s="99"/>
    </row>
    <row r="508" spans="1:16">
      <c r="A508" s="99"/>
      <c r="B508" s="99"/>
      <c r="C508" s="99"/>
      <c r="D508" s="99"/>
      <c r="E508" s="99"/>
      <c r="F508" s="99"/>
      <c r="G508" s="19"/>
      <c r="H508" s="99"/>
      <c r="J508" s="159"/>
      <c r="K508" s="99"/>
      <c r="L508" s="99"/>
      <c r="M508" s="99"/>
      <c r="N508" s="99"/>
      <c r="O508" s="99"/>
      <c r="P508" s="99"/>
    </row>
    <row r="509" spans="1:16">
      <c r="A509" s="99"/>
      <c r="B509" s="99"/>
      <c r="C509" s="99"/>
      <c r="D509" s="99"/>
      <c r="E509" s="99"/>
      <c r="F509" s="99"/>
      <c r="G509" s="19"/>
      <c r="H509" s="99"/>
      <c r="J509" s="159"/>
      <c r="K509" s="99"/>
      <c r="L509" s="99"/>
      <c r="M509" s="99"/>
      <c r="N509" s="99"/>
      <c r="O509" s="99"/>
      <c r="P509" s="99"/>
    </row>
    <row r="510" spans="1:16">
      <c r="A510" s="99"/>
      <c r="B510" s="99"/>
      <c r="C510" s="99"/>
      <c r="D510" s="99"/>
      <c r="E510" s="99"/>
      <c r="F510" s="99"/>
      <c r="G510" s="19"/>
      <c r="H510" s="99"/>
      <c r="J510" s="159"/>
      <c r="K510" s="99"/>
      <c r="L510" s="99"/>
      <c r="M510" s="99"/>
      <c r="N510" s="99"/>
      <c r="O510" s="99"/>
      <c r="P510" s="99"/>
    </row>
    <row r="511" spans="1:16">
      <c r="A511" s="99"/>
      <c r="B511" s="99"/>
      <c r="C511" s="99"/>
      <c r="D511" s="99"/>
      <c r="E511" s="99"/>
      <c r="F511" s="99"/>
      <c r="G511" s="19"/>
      <c r="H511" s="99"/>
      <c r="J511" s="159"/>
      <c r="K511" s="99"/>
      <c r="L511" s="99"/>
      <c r="M511" s="99"/>
      <c r="N511" s="99"/>
      <c r="O511" s="99"/>
      <c r="P511" s="99"/>
    </row>
    <row r="512" spans="1:16">
      <c r="A512" s="99"/>
      <c r="B512" s="99"/>
      <c r="C512" s="99"/>
      <c r="D512" s="99"/>
      <c r="E512" s="99"/>
      <c r="F512" s="99"/>
      <c r="G512" s="19"/>
      <c r="H512" s="99"/>
      <c r="J512" s="159"/>
      <c r="K512" s="99"/>
      <c r="L512" s="99"/>
      <c r="M512" s="99"/>
      <c r="N512" s="99"/>
      <c r="O512" s="99"/>
      <c r="P512" s="99"/>
    </row>
    <row r="513" spans="1:16">
      <c r="A513" s="99"/>
      <c r="B513" s="99"/>
      <c r="C513" s="99"/>
      <c r="D513" s="99"/>
      <c r="E513" s="99"/>
      <c r="F513" s="99"/>
      <c r="G513" s="19"/>
      <c r="H513" s="99"/>
      <c r="J513" s="159"/>
      <c r="K513" s="99"/>
      <c r="L513" s="99"/>
      <c r="M513" s="99"/>
      <c r="N513" s="99"/>
      <c r="O513" s="99"/>
      <c r="P513" s="99"/>
    </row>
    <row r="514" spans="1:16">
      <c r="A514" s="99"/>
      <c r="B514" s="99"/>
      <c r="C514" s="99"/>
      <c r="D514" s="99"/>
      <c r="E514" s="99"/>
      <c r="F514" s="99"/>
      <c r="G514" s="19"/>
      <c r="H514" s="99"/>
      <c r="J514" s="159"/>
      <c r="K514" s="99"/>
      <c r="L514" s="99"/>
      <c r="M514" s="99"/>
      <c r="N514" s="99"/>
      <c r="O514" s="99"/>
      <c r="P514" s="99"/>
    </row>
    <row r="515" spans="1:16">
      <c r="A515" s="99"/>
      <c r="B515" s="99"/>
      <c r="C515" s="99"/>
      <c r="D515" s="99"/>
      <c r="E515" s="99"/>
      <c r="F515" s="99"/>
      <c r="G515" s="19"/>
      <c r="H515" s="99"/>
      <c r="J515" s="159"/>
      <c r="K515" s="99"/>
      <c r="L515" s="99"/>
      <c r="M515" s="99"/>
      <c r="N515" s="99"/>
      <c r="O515" s="99"/>
      <c r="P515" s="99"/>
    </row>
    <row r="516" spans="1:16">
      <c r="A516" s="99"/>
      <c r="B516" s="99"/>
      <c r="C516" s="99"/>
      <c r="D516" s="99"/>
      <c r="E516" s="99"/>
      <c r="F516" s="99"/>
      <c r="G516" s="19"/>
      <c r="H516" s="99"/>
      <c r="J516" s="159"/>
      <c r="K516" s="99"/>
      <c r="L516" s="99"/>
      <c r="M516" s="99"/>
      <c r="N516" s="99"/>
      <c r="O516" s="99"/>
      <c r="P516" s="99"/>
    </row>
    <row r="517" spans="1:16">
      <c r="A517" s="99"/>
      <c r="B517" s="99"/>
      <c r="C517" s="99"/>
      <c r="D517" s="99"/>
      <c r="E517" s="99"/>
      <c r="F517" s="99"/>
      <c r="G517" s="19"/>
      <c r="H517" s="99"/>
      <c r="J517" s="159"/>
      <c r="K517" s="99"/>
      <c r="L517" s="99"/>
      <c r="M517" s="99"/>
      <c r="N517" s="99"/>
      <c r="O517" s="99"/>
      <c r="P517" s="99"/>
    </row>
    <row r="518" spans="1:16">
      <c r="A518" s="99"/>
      <c r="B518" s="99"/>
      <c r="C518" s="99"/>
      <c r="D518" s="99"/>
      <c r="E518" s="99"/>
      <c r="F518" s="99"/>
      <c r="G518" s="19"/>
      <c r="H518" s="99"/>
      <c r="J518" s="159"/>
      <c r="K518" s="99"/>
      <c r="L518" s="99"/>
      <c r="M518" s="99"/>
      <c r="N518" s="99"/>
      <c r="O518" s="99"/>
      <c r="P518" s="99"/>
    </row>
    <row r="519" spans="1:16">
      <c r="A519" s="99"/>
      <c r="B519" s="99"/>
      <c r="C519" s="99"/>
      <c r="D519" s="99"/>
      <c r="E519" s="99"/>
      <c r="F519" s="99"/>
      <c r="G519" s="19"/>
      <c r="H519" s="99"/>
      <c r="J519" s="159"/>
      <c r="K519" s="99"/>
      <c r="L519" s="99"/>
      <c r="M519" s="99"/>
      <c r="N519" s="99"/>
      <c r="O519" s="99"/>
      <c r="P519" s="99"/>
    </row>
    <row r="520" spans="1:16">
      <c r="A520" s="99"/>
      <c r="B520" s="99"/>
      <c r="C520" s="99"/>
      <c r="D520" s="99"/>
      <c r="E520" s="99"/>
      <c r="F520" s="99"/>
      <c r="G520" s="19"/>
      <c r="H520" s="99"/>
      <c r="J520" s="159"/>
      <c r="K520" s="99"/>
      <c r="L520" s="99"/>
      <c r="M520" s="99"/>
      <c r="N520" s="99"/>
      <c r="O520" s="99"/>
      <c r="P520" s="99"/>
    </row>
    <row r="521" spans="1:16">
      <c r="A521" s="99"/>
      <c r="B521" s="99"/>
      <c r="C521" s="99"/>
      <c r="D521" s="99"/>
      <c r="E521" s="99"/>
      <c r="F521" s="99"/>
      <c r="G521" s="19"/>
      <c r="H521" s="99"/>
      <c r="J521" s="159"/>
      <c r="K521" s="99"/>
      <c r="L521" s="99"/>
      <c r="M521" s="99"/>
      <c r="N521" s="99"/>
      <c r="O521" s="99"/>
      <c r="P521" s="99"/>
    </row>
    <row r="522" spans="1:16">
      <c r="A522" s="99"/>
      <c r="B522" s="99"/>
      <c r="C522" s="99"/>
      <c r="D522" s="99"/>
      <c r="E522" s="99"/>
      <c r="F522" s="99"/>
      <c r="G522" s="19"/>
      <c r="H522" s="99"/>
      <c r="J522" s="159"/>
      <c r="K522" s="99"/>
      <c r="L522" s="99"/>
      <c r="M522" s="99"/>
      <c r="N522" s="99"/>
      <c r="O522" s="99"/>
      <c r="P522" s="99"/>
    </row>
    <row r="523" spans="1:16">
      <c r="A523" s="99"/>
      <c r="B523" s="99"/>
      <c r="C523" s="99"/>
      <c r="D523" s="99"/>
      <c r="E523" s="99"/>
      <c r="F523" s="99"/>
      <c r="G523" s="19"/>
      <c r="H523" s="99"/>
      <c r="J523" s="159"/>
      <c r="K523" s="99"/>
      <c r="L523" s="99"/>
      <c r="M523" s="99"/>
      <c r="N523" s="99"/>
      <c r="O523" s="99"/>
      <c r="P523" s="99"/>
    </row>
    <row r="524" spans="1:16">
      <c r="A524" s="99"/>
      <c r="B524" s="99"/>
      <c r="C524" s="99"/>
      <c r="D524" s="99"/>
      <c r="E524" s="99"/>
      <c r="F524" s="99"/>
      <c r="G524" s="19"/>
      <c r="H524" s="99"/>
      <c r="J524" s="159"/>
      <c r="K524" s="99"/>
      <c r="L524" s="99"/>
      <c r="M524" s="99"/>
      <c r="N524" s="99"/>
      <c r="O524" s="99"/>
      <c r="P524" s="99"/>
    </row>
    <row r="525" spans="1:16">
      <c r="A525" s="99"/>
      <c r="B525" s="99"/>
      <c r="C525" s="99"/>
      <c r="D525" s="99"/>
      <c r="E525" s="99"/>
      <c r="F525" s="99"/>
      <c r="G525" s="19"/>
      <c r="H525" s="99"/>
      <c r="J525" s="159"/>
      <c r="K525" s="99"/>
      <c r="L525" s="99"/>
      <c r="M525" s="99"/>
      <c r="N525" s="99"/>
      <c r="O525" s="99"/>
      <c r="P525" s="99"/>
    </row>
    <row r="526" spans="1:16">
      <c r="A526" s="99"/>
      <c r="B526" s="99"/>
      <c r="C526" s="99"/>
      <c r="D526" s="99"/>
      <c r="E526" s="99"/>
      <c r="F526" s="99"/>
      <c r="G526" s="19"/>
      <c r="H526" s="99"/>
      <c r="J526" s="159"/>
      <c r="K526" s="99"/>
      <c r="L526" s="99"/>
      <c r="M526" s="99"/>
      <c r="N526" s="99"/>
      <c r="O526" s="99"/>
      <c r="P526" s="99"/>
    </row>
    <row r="527" spans="1:16">
      <c r="A527" s="99"/>
      <c r="B527" s="99"/>
      <c r="C527" s="99"/>
      <c r="D527" s="99"/>
      <c r="E527" s="99"/>
      <c r="F527" s="99"/>
      <c r="G527" s="19"/>
      <c r="H527" s="99"/>
      <c r="J527" s="159"/>
      <c r="K527" s="99"/>
      <c r="L527" s="99"/>
      <c r="M527" s="99"/>
      <c r="N527" s="99"/>
      <c r="O527" s="99"/>
      <c r="P527" s="99"/>
    </row>
    <row r="528" spans="1:16">
      <c r="A528" s="99"/>
      <c r="B528" s="99"/>
      <c r="C528" s="99"/>
      <c r="D528" s="99"/>
      <c r="E528" s="99"/>
      <c r="F528" s="99"/>
      <c r="G528" s="19"/>
      <c r="H528" s="99"/>
      <c r="J528" s="159"/>
      <c r="K528" s="99"/>
      <c r="L528" s="99"/>
      <c r="M528" s="99"/>
      <c r="N528" s="99"/>
      <c r="O528" s="99"/>
      <c r="P528" s="99"/>
    </row>
    <row r="529" spans="1:16">
      <c r="A529" s="99"/>
      <c r="B529" s="99"/>
      <c r="C529" s="99"/>
      <c r="D529" s="99"/>
      <c r="E529" s="99"/>
      <c r="F529" s="99"/>
      <c r="G529" s="19"/>
      <c r="H529" s="99"/>
      <c r="J529" s="159"/>
      <c r="K529" s="99"/>
      <c r="L529" s="99"/>
      <c r="M529" s="99"/>
      <c r="N529" s="99"/>
      <c r="O529" s="99"/>
      <c r="P529" s="99"/>
    </row>
    <row r="530" spans="1:16">
      <c r="A530" s="99"/>
      <c r="B530" s="99"/>
      <c r="C530" s="99"/>
      <c r="D530" s="99"/>
      <c r="E530" s="99"/>
      <c r="F530" s="99"/>
      <c r="G530" s="19"/>
      <c r="H530" s="99"/>
      <c r="J530" s="159"/>
      <c r="K530" s="99"/>
      <c r="L530" s="99"/>
      <c r="M530" s="99"/>
      <c r="N530" s="99"/>
      <c r="O530" s="99"/>
      <c r="P530" s="99"/>
    </row>
    <row r="531" spans="1:16">
      <c r="A531" s="99"/>
      <c r="B531" s="99"/>
      <c r="C531" s="99"/>
      <c r="D531" s="99"/>
      <c r="E531" s="99"/>
      <c r="F531" s="99"/>
      <c r="G531" s="19"/>
      <c r="H531" s="99"/>
      <c r="J531" s="159"/>
      <c r="K531" s="99"/>
      <c r="L531" s="99"/>
      <c r="M531" s="99"/>
      <c r="N531" s="99"/>
      <c r="O531" s="99"/>
      <c r="P531" s="99"/>
    </row>
    <row r="532" spans="1:16">
      <c r="A532" s="99"/>
      <c r="B532" s="99"/>
      <c r="C532" s="99"/>
      <c r="D532" s="99"/>
      <c r="E532" s="99"/>
      <c r="F532" s="99"/>
      <c r="G532" s="19"/>
      <c r="H532" s="99"/>
      <c r="J532" s="159"/>
      <c r="K532" s="99"/>
      <c r="L532" s="99"/>
      <c r="M532" s="99"/>
      <c r="N532" s="99"/>
      <c r="O532" s="99"/>
      <c r="P532" s="99"/>
    </row>
    <row r="533" spans="1:16">
      <c r="A533" s="99"/>
      <c r="B533" s="99"/>
      <c r="C533" s="99"/>
      <c r="D533" s="99"/>
      <c r="E533" s="99"/>
      <c r="F533" s="99"/>
      <c r="G533" s="19"/>
      <c r="H533" s="99"/>
      <c r="J533" s="159"/>
      <c r="K533" s="99"/>
      <c r="L533" s="99"/>
      <c r="M533" s="99"/>
      <c r="N533" s="99"/>
      <c r="O533" s="99"/>
      <c r="P533" s="99"/>
    </row>
    <row r="534" spans="1:16">
      <c r="A534" s="99"/>
      <c r="B534" s="99"/>
      <c r="C534" s="99"/>
      <c r="D534" s="99"/>
      <c r="E534" s="99"/>
      <c r="F534" s="99"/>
      <c r="G534" s="19"/>
      <c r="H534" s="99"/>
      <c r="J534" s="159"/>
      <c r="K534" s="99"/>
      <c r="L534" s="99"/>
      <c r="M534" s="99"/>
      <c r="N534" s="99"/>
      <c r="O534" s="99"/>
      <c r="P534" s="99"/>
    </row>
    <row r="535" spans="1:16">
      <c r="A535" s="99"/>
      <c r="B535" s="99"/>
      <c r="C535" s="99"/>
      <c r="D535" s="99"/>
      <c r="E535" s="99"/>
      <c r="F535" s="99"/>
      <c r="G535" s="19"/>
      <c r="H535" s="99"/>
      <c r="J535" s="159"/>
      <c r="K535" s="99"/>
      <c r="L535" s="99"/>
      <c r="M535" s="99"/>
      <c r="N535" s="99"/>
      <c r="O535" s="99"/>
      <c r="P535" s="99"/>
    </row>
    <row r="536" spans="1:16">
      <c r="A536" s="99"/>
      <c r="B536" s="99"/>
      <c r="C536" s="99"/>
      <c r="D536" s="99"/>
      <c r="E536" s="99"/>
      <c r="F536" s="99"/>
      <c r="G536" s="19"/>
      <c r="H536" s="99"/>
      <c r="J536" s="159"/>
      <c r="K536" s="99"/>
      <c r="L536" s="99"/>
      <c r="M536" s="99"/>
      <c r="N536" s="99"/>
      <c r="O536" s="99"/>
      <c r="P536" s="99"/>
    </row>
    <row r="537" spans="1:16">
      <c r="A537" s="99"/>
      <c r="B537" s="99"/>
      <c r="C537" s="99"/>
      <c r="D537" s="99"/>
      <c r="E537" s="99"/>
      <c r="F537" s="99"/>
      <c r="G537" s="19"/>
      <c r="H537" s="99"/>
      <c r="J537" s="159"/>
      <c r="K537" s="99"/>
      <c r="L537" s="99"/>
      <c r="M537" s="99"/>
      <c r="N537" s="99"/>
      <c r="O537" s="99"/>
      <c r="P537" s="99"/>
    </row>
    <row r="538" spans="1:16">
      <c r="A538" s="99"/>
      <c r="B538" s="99"/>
      <c r="C538" s="99"/>
      <c r="D538" s="99"/>
      <c r="E538" s="99"/>
      <c r="F538" s="99"/>
      <c r="G538" s="19"/>
      <c r="H538" s="99"/>
      <c r="J538" s="159"/>
      <c r="K538" s="99"/>
      <c r="L538" s="99"/>
      <c r="M538" s="99"/>
      <c r="N538" s="99"/>
      <c r="O538" s="99"/>
      <c r="P538" s="99"/>
    </row>
    <row r="539" spans="1:16">
      <c r="A539" s="99"/>
      <c r="B539" s="99"/>
      <c r="C539" s="99"/>
      <c r="D539" s="99"/>
      <c r="E539" s="99"/>
      <c r="F539" s="99"/>
      <c r="G539" s="19"/>
      <c r="H539" s="99"/>
      <c r="J539" s="159"/>
      <c r="K539" s="99"/>
      <c r="L539" s="99"/>
      <c r="M539" s="99"/>
      <c r="N539" s="99"/>
      <c r="O539" s="99"/>
      <c r="P539" s="99"/>
    </row>
    <row r="540" spans="1:16">
      <c r="A540" s="99"/>
      <c r="B540" s="99"/>
      <c r="C540" s="99"/>
      <c r="D540" s="99"/>
      <c r="E540" s="99"/>
      <c r="F540" s="99"/>
      <c r="G540" s="19"/>
      <c r="H540" s="99"/>
      <c r="J540" s="159"/>
      <c r="K540" s="99"/>
      <c r="L540" s="99"/>
      <c r="M540" s="99"/>
      <c r="N540" s="99"/>
      <c r="O540" s="99"/>
      <c r="P540" s="99"/>
    </row>
    <row r="541" spans="1:16">
      <c r="A541" s="99"/>
      <c r="B541" s="99"/>
      <c r="C541" s="99"/>
      <c r="D541" s="99"/>
      <c r="E541" s="99"/>
      <c r="F541" s="99"/>
      <c r="G541" s="19"/>
      <c r="H541" s="99"/>
      <c r="J541" s="159"/>
      <c r="K541" s="99"/>
      <c r="L541" s="99"/>
      <c r="M541" s="99"/>
      <c r="N541" s="99"/>
      <c r="O541" s="99"/>
      <c r="P541" s="99"/>
    </row>
    <row r="542" spans="1:16">
      <c r="A542" s="99"/>
      <c r="B542" s="99"/>
      <c r="C542" s="99"/>
      <c r="D542" s="99"/>
      <c r="E542" s="99"/>
      <c r="F542" s="99"/>
      <c r="G542" s="19"/>
      <c r="H542" s="99"/>
      <c r="J542" s="159"/>
      <c r="K542" s="99"/>
      <c r="L542" s="99"/>
      <c r="M542" s="99"/>
      <c r="N542" s="99"/>
      <c r="O542" s="99"/>
      <c r="P542" s="99"/>
    </row>
    <row r="543" spans="1:16">
      <c r="A543" s="99"/>
      <c r="B543" s="99"/>
      <c r="C543" s="99"/>
      <c r="D543" s="99"/>
      <c r="E543" s="99"/>
      <c r="F543" s="99"/>
      <c r="G543" s="19"/>
      <c r="H543" s="99"/>
      <c r="J543" s="159"/>
      <c r="K543" s="99"/>
      <c r="L543" s="99"/>
      <c r="M543" s="99"/>
      <c r="N543" s="99"/>
      <c r="O543" s="99"/>
      <c r="P543" s="99"/>
    </row>
    <row r="544" spans="1:16">
      <c r="A544" s="99"/>
      <c r="B544" s="99"/>
      <c r="C544" s="99"/>
      <c r="D544" s="99"/>
      <c r="E544" s="99"/>
      <c r="F544" s="99"/>
      <c r="G544" s="19"/>
      <c r="H544" s="99"/>
      <c r="J544" s="159"/>
      <c r="K544" s="99"/>
      <c r="L544" s="99"/>
      <c r="M544" s="99"/>
      <c r="N544" s="99"/>
      <c r="O544" s="99"/>
      <c r="P544" s="99"/>
    </row>
    <row r="545" spans="1:16">
      <c r="A545" s="99"/>
      <c r="B545" s="99"/>
      <c r="C545" s="99"/>
      <c r="D545" s="99"/>
      <c r="E545" s="99"/>
      <c r="F545" s="99"/>
      <c r="G545" s="19"/>
      <c r="H545" s="99"/>
      <c r="J545" s="159"/>
      <c r="K545" s="99"/>
      <c r="L545" s="99"/>
      <c r="M545" s="99"/>
      <c r="N545" s="99"/>
      <c r="O545" s="99"/>
      <c r="P545" s="99"/>
    </row>
    <row r="546" spans="1:16">
      <c r="A546" s="99"/>
      <c r="B546" s="99"/>
      <c r="C546" s="99"/>
      <c r="D546" s="99"/>
      <c r="E546" s="99"/>
      <c r="F546" s="99"/>
      <c r="G546" s="19"/>
      <c r="H546" s="99"/>
      <c r="J546" s="159"/>
      <c r="K546" s="99"/>
      <c r="L546" s="99"/>
      <c r="M546" s="99"/>
      <c r="N546" s="99"/>
      <c r="O546" s="99"/>
      <c r="P546" s="99"/>
    </row>
    <row r="547" spans="1:16">
      <c r="A547" s="99"/>
      <c r="B547" s="99"/>
      <c r="C547" s="99"/>
      <c r="D547" s="99"/>
      <c r="E547" s="99"/>
      <c r="F547" s="99"/>
      <c r="G547" s="19"/>
      <c r="H547" s="99"/>
      <c r="J547" s="159"/>
      <c r="K547" s="99"/>
      <c r="L547" s="99"/>
      <c r="M547" s="99"/>
      <c r="N547" s="99"/>
      <c r="O547" s="99"/>
      <c r="P547" s="99"/>
    </row>
    <row r="548" spans="1:16">
      <c r="A548" s="99"/>
      <c r="B548" s="99"/>
      <c r="C548" s="99"/>
      <c r="D548" s="99"/>
      <c r="E548" s="99"/>
      <c r="F548" s="99"/>
      <c r="G548" s="19"/>
      <c r="H548" s="99"/>
      <c r="J548" s="159"/>
      <c r="K548" s="99"/>
      <c r="L548" s="99"/>
      <c r="M548" s="99"/>
      <c r="N548" s="99"/>
      <c r="O548" s="99"/>
      <c r="P548" s="99"/>
    </row>
    <row r="549" spans="1:16">
      <c r="A549" s="99"/>
      <c r="B549" s="99"/>
      <c r="C549" s="99"/>
      <c r="D549" s="99"/>
      <c r="E549" s="99"/>
      <c r="F549" s="99"/>
      <c r="G549" s="19"/>
      <c r="H549" s="99"/>
      <c r="J549" s="159"/>
      <c r="K549" s="99"/>
      <c r="L549" s="99"/>
      <c r="M549" s="99"/>
      <c r="N549" s="99"/>
      <c r="O549" s="99"/>
      <c r="P549" s="99"/>
    </row>
    <row r="550" spans="1:16">
      <c r="A550" s="99"/>
      <c r="B550" s="99"/>
      <c r="C550" s="99"/>
      <c r="D550" s="99"/>
      <c r="E550" s="99"/>
      <c r="F550" s="99"/>
      <c r="G550" s="19"/>
      <c r="H550" s="99"/>
      <c r="J550" s="159"/>
      <c r="K550" s="99"/>
      <c r="L550" s="99"/>
      <c r="M550" s="99"/>
      <c r="N550" s="99"/>
      <c r="O550" s="99"/>
      <c r="P550" s="99"/>
    </row>
    <row r="551" spans="1:16">
      <c r="A551" s="99"/>
      <c r="B551" s="99"/>
      <c r="C551" s="99"/>
      <c r="D551" s="99"/>
      <c r="E551" s="99"/>
      <c r="F551" s="99"/>
      <c r="G551" s="19"/>
      <c r="H551" s="99"/>
      <c r="J551" s="159"/>
      <c r="K551" s="99"/>
      <c r="L551" s="99"/>
      <c r="M551" s="99"/>
      <c r="N551" s="99"/>
      <c r="O551" s="99"/>
      <c r="P551" s="99"/>
    </row>
    <row r="552" spans="1:16">
      <c r="A552" s="99"/>
      <c r="B552" s="99"/>
      <c r="C552" s="99"/>
      <c r="D552" s="99"/>
      <c r="E552" s="99"/>
      <c r="F552" s="99"/>
      <c r="G552" s="19"/>
      <c r="H552" s="99"/>
      <c r="J552" s="159"/>
      <c r="K552" s="99"/>
      <c r="L552" s="99"/>
      <c r="M552" s="99"/>
      <c r="N552" s="99"/>
      <c r="O552" s="99"/>
      <c r="P552" s="99"/>
    </row>
    <row r="553" spans="1:16">
      <c r="A553" s="99"/>
      <c r="B553" s="99"/>
      <c r="C553" s="99"/>
      <c r="D553" s="99"/>
      <c r="E553" s="99"/>
      <c r="F553" s="99"/>
      <c r="G553" s="19"/>
      <c r="H553" s="99"/>
      <c r="J553" s="159"/>
      <c r="K553" s="99"/>
      <c r="L553" s="99"/>
      <c r="M553" s="99"/>
      <c r="N553" s="99"/>
      <c r="O553" s="99"/>
      <c r="P553" s="99"/>
    </row>
    <row r="554" spans="1:16">
      <c r="A554" s="99"/>
      <c r="B554" s="99"/>
      <c r="C554" s="99"/>
      <c r="D554" s="99"/>
      <c r="E554" s="99"/>
      <c r="F554" s="99"/>
      <c r="G554" s="19"/>
      <c r="H554" s="99"/>
      <c r="J554" s="159"/>
      <c r="K554" s="99"/>
      <c r="L554" s="99"/>
      <c r="M554" s="99"/>
      <c r="N554" s="99"/>
      <c r="O554" s="99"/>
      <c r="P554" s="99"/>
    </row>
    <row r="555" spans="1:16">
      <c r="A555" s="99"/>
      <c r="B555" s="99"/>
      <c r="C555" s="99"/>
      <c r="D555" s="99"/>
      <c r="E555" s="99"/>
      <c r="F555" s="99"/>
      <c r="G555" s="19"/>
      <c r="H555" s="99"/>
      <c r="J555" s="159"/>
      <c r="K555" s="99"/>
      <c r="L555" s="99"/>
      <c r="M555" s="99"/>
      <c r="N555" s="99"/>
      <c r="O555" s="99"/>
      <c r="P555" s="99"/>
    </row>
    <row r="556" spans="1:16">
      <c r="A556" s="99"/>
      <c r="B556" s="99"/>
      <c r="C556" s="99"/>
      <c r="D556" s="99"/>
      <c r="E556" s="99"/>
      <c r="F556" s="99"/>
      <c r="G556" s="19"/>
      <c r="H556" s="99"/>
      <c r="J556" s="159"/>
      <c r="K556" s="99"/>
      <c r="L556" s="99"/>
      <c r="M556" s="99"/>
      <c r="N556" s="99"/>
      <c r="O556" s="99"/>
      <c r="P556" s="99"/>
    </row>
    <row r="557" spans="1:16">
      <c r="A557" s="99"/>
      <c r="B557" s="99"/>
      <c r="C557" s="99"/>
      <c r="D557" s="99"/>
      <c r="E557" s="99"/>
      <c r="F557" s="99"/>
      <c r="G557" s="19"/>
      <c r="H557" s="99"/>
      <c r="J557" s="159"/>
      <c r="K557" s="99"/>
      <c r="L557" s="99"/>
      <c r="M557" s="99"/>
      <c r="N557" s="99"/>
      <c r="O557" s="99"/>
      <c r="P557" s="99"/>
    </row>
    <row r="558" spans="1:16">
      <c r="A558" s="99"/>
      <c r="B558" s="99"/>
      <c r="C558" s="99"/>
      <c r="D558" s="99"/>
      <c r="E558" s="99"/>
      <c r="F558" s="99"/>
      <c r="G558" s="19"/>
      <c r="H558" s="99"/>
      <c r="J558" s="159"/>
      <c r="K558" s="99"/>
      <c r="L558" s="99"/>
      <c r="M558" s="99"/>
      <c r="N558" s="99"/>
      <c r="O558" s="99"/>
      <c r="P558" s="99"/>
    </row>
    <row r="559" spans="1:16">
      <c r="A559" s="99"/>
      <c r="B559" s="99"/>
      <c r="C559" s="99"/>
      <c r="D559" s="99"/>
      <c r="E559" s="99"/>
      <c r="F559" s="99"/>
      <c r="G559" s="19"/>
      <c r="H559" s="99"/>
      <c r="J559" s="159"/>
      <c r="K559" s="99"/>
      <c r="L559" s="99"/>
      <c r="M559" s="99"/>
      <c r="N559" s="99"/>
      <c r="O559" s="99"/>
      <c r="P559" s="99"/>
    </row>
    <row r="560" spans="1:16">
      <c r="A560" s="99"/>
      <c r="B560" s="99"/>
      <c r="C560" s="99"/>
      <c r="D560" s="99"/>
      <c r="E560" s="99"/>
      <c r="F560" s="99"/>
      <c r="G560" s="19"/>
      <c r="H560" s="99"/>
      <c r="J560" s="159"/>
      <c r="K560" s="99"/>
      <c r="L560" s="99"/>
      <c r="M560" s="99"/>
      <c r="N560" s="99"/>
      <c r="O560" s="99"/>
      <c r="P560" s="99"/>
    </row>
    <row r="561" spans="1:16">
      <c r="A561" s="99"/>
      <c r="B561" s="99"/>
      <c r="C561" s="99"/>
      <c r="D561" s="99"/>
      <c r="E561" s="99"/>
      <c r="F561" s="99"/>
      <c r="G561" s="19"/>
      <c r="H561" s="99"/>
      <c r="J561" s="159"/>
      <c r="K561" s="99"/>
      <c r="L561" s="99"/>
      <c r="M561" s="99"/>
      <c r="N561" s="99"/>
      <c r="O561" s="99"/>
      <c r="P561" s="99"/>
    </row>
    <row r="562" spans="1:16">
      <c r="A562" s="99"/>
      <c r="B562" s="99"/>
      <c r="C562" s="99"/>
      <c r="D562" s="99"/>
      <c r="E562" s="99"/>
      <c r="F562" s="99"/>
      <c r="G562" s="19"/>
      <c r="H562" s="99"/>
      <c r="J562" s="159"/>
      <c r="K562" s="99"/>
      <c r="L562" s="99"/>
      <c r="M562" s="99"/>
      <c r="N562" s="99"/>
      <c r="O562" s="99"/>
      <c r="P562" s="99"/>
    </row>
    <row r="563" spans="1:16">
      <c r="A563" s="99"/>
      <c r="B563" s="99"/>
      <c r="C563" s="99"/>
      <c r="D563" s="99"/>
      <c r="E563" s="99"/>
      <c r="F563" s="99"/>
      <c r="G563" s="19"/>
      <c r="H563" s="99"/>
      <c r="J563" s="159"/>
      <c r="K563" s="99"/>
      <c r="L563" s="99"/>
      <c r="M563" s="99"/>
      <c r="N563" s="99"/>
      <c r="O563" s="99"/>
      <c r="P563" s="99"/>
    </row>
    <row r="564" spans="1:16">
      <c r="A564" s="99"/>
      <c r="B564" s="99"/>
      <c r="C564" s="99"/>
      <c r="D564" s="99"/>
      <c r="E564" s="99"/>
      <c r="F564" s="99"/>
      <c r="G564" s="19"/>
      <c r="H564" s="99"/>
      <c r="J564" s="159"/>
      <c r="K564" s="99"/>
      <c r="L564" s="99"/>
      <c r="M564" s="99"/>
      <c r="N564" s="99"/>
      <c r="O564" s="99"/>
      <c r="P564" s="99"/>
    </row>
    <row r="565" spans="1:16">
      <c r="A565" s="99"/>
      <c r="B565" s="99"/>
      <c r="C565" s="99"/>
      <c r="D565" s="99"/>
      <c r="E565" s="99"/>
      <c r="F565" s="99"/>
      <c r="G565" s="19"/>
      <c r="H565" s="99"/>
      <c r="J565" s="159"/>
      <c r="K565" s="99"/>
      <c r="L565" s="99"/>
      <c r="M565" s="99"/>
      <c r="N565" s="99"/>
      <c r="O565" s="99"/>
      <c r="P565" s="99"/>
    </row>
    <row r="566" spans="1:16">
      <c r="A566" s="99"/>
      <c r="B566" s="99"/>
      <c r="C566" s="99"/>
      <c r="D566" s="99"/>
      <c r="E566" s="99"/>
      <c r="F566" s="99"/>
      <c r="G566" s="19"/>
      <c r="H566" s="99"/>
      <c r="J566" s="159"/>
      <c r="K566" s="99"/>
      <c r="L566" s="99"/>
      <c r="M566" s="99"/>
      <c r="N566" s="99"/>
      <c r="O566" s="99"/>
      <c r="P566" s="99"/>
    </row>
    <row r="567" spans="1:16">
      <c r="A567" s="99"/>
      <c r="B567" s="99"/>
      <c r="C567" s="99"/>
      <c r="D567" s="99"/>
      <c r="E567" s="99"/>
      <c r="F567" s="99"/>
      <c r="G567" s="19"/>
      <c r="H567" s="99"/>
      <c r="J567" s="159"/>
      <c r="K567" s="99"/>
      <c r="L567" s="99"/>
      <c r="M567" s="99"/>
      <c r="N567" s="99"/>
      <c r="O567" s="99"/>
      <c r="P567" s="99"/>
    </row>
    <row r="568" spans="1:16">
      <c r="A568" s="99"/>
      <c r="B568" s="99"/>
      <c r="C568" s="99"/>
      <c r="D568" s="99"/>
      <c r="E568" s="99"/>
      <c r="F568" s="99"/>
      <c r="G568" s="19"/>
      <c r="H568" s="99"/>
      <c r="J568" s="159"/>
      <c r="K568" s="99"/>
      <c r="L568" s="99"/>
      <c r="M568" s="99"/>
      <c r="N568" s="99"/>
      <c r="O568" s="99"/>
      <c r="P568" s="99"/>
    </row>
    <row r="569" spans="1:16">
      <c r="A569" s="99"/>
      <c r="B569" s="99"/>
      <c r="C569" s="99"/>
      <c r="D569" s="99"/>
      <c r="E569" s="99"/>
      <c r="F569" s="99"/>
      <c r="G569" s="19"/>
      <c r="H569" s="99"/>
      <c r="J569" s="159"/>
      <c r="K569" s="99"/>
      <c r="L569" s="99"/>
      <c r="M569" s="99"/>
      <c r="N569" s="99"/>
      <c r="O569" s="99"/>
      <c r="P569" s="99"/>
    </row>
    <row r="570" spans="1:16">
      <c r="A570" s="99"/>
      <c r="B570" s="99"/>
      <c r="C570" s="99"/>
      <c r="D570" s="99"/>
      <c r="E570" s="99"/>
      <c r="F570" s="99"/>
      <c r="G570" s="19"/>
      <c r="H570" s="99"/>
      <c r="J570" s="159"/>
      <c r="K570" s="99"/>
      <c r="L570" s="99"/>
      <c r="M570" s="99"/>
      <c r="N570" s="99"/>
      <c r="O570" s="99"/>
      <c r="P570" s="99"/>
    </row>
    <row r="571" spans="1:16">
      <c r="A571" s="99"/>
      <c r="B571" s="99"/>
      <c r="C571" s="99"/>
      <c r="D571" s="99"/>
      <c r="E571" s="99"/>
      <c r="F571" s="99"/>
      <c r="G571" s="19"/>
      <c r="H571" s="99"/>
      <c r="J571" s="159"/>
      <c r="K571" s="99"/>
      <c r="L571" s="99"/>
      <c r="M571" s="99"/>
      <c r="N571" s="99"/>
      <c r="O571" s="99"/>
      <c r="P571" s="99"/>
    </row>
    <row r="572" spans="1:16">
      <c r="A572" s="99"/>
      <c r="B572" s="99"/>
      <c r="C572" s="99"/>
      <c r="D572" s="99"/>
      <c r="E572" s="99"/>
      <c r="F572" s="99"/>
      <c r="G572" s="19"/>
      <c r="H572" s="99"/>
      <c r="J572" s="159"/>
      <c r="K572" s="99"/>
      <c r="L572" s="99"/>
      <c r="M572" s="99"/>
      <c r="N572" s="99"/>
      <c r="O572" s="99"/>
      <c r="P572" s="99"/>
    </row>
    <row r="573" spans="1:16">
      <c r="A573" s="99"/>
      <c r="B573" s="99"/>
      <c r="C573" s="99"/>
      <c r="D573" s="99"/>
      <c r="E573" s="99"/>
      <c r="F573" s="99"/>
      <c r="G573" s="19"/>
      <c r="H573" s="99"/>
      <c r="J573" s="159"/>
      <c r="K573" s="99"/>
      <c r="L573" s="99"/>
      <c r="M573" s="99"/>
      <c r="N573" s="99"/>
      <c r="O573" s="99"/>
      <c r="P573" s="99"/>
    </row>
    <row r="574" spans="1:16">
      <c r="A574" s="99"/>
      <c r="B574" s="99"/>
      <c r="C574" s="99"/>
      <c r="D574" s="99"/>
      <c r="E574" s="99"/>
      <c r="F574" s="99"/>
      <c r="G574" s="19"/>
      <c r="H574" s="99"/>
      <c r="J574" s="159"/>
      <c r="K574" s="99"/>
      <c r="L574" s="99"/>
      <c r="M574" s="99"/>
      <c r="N574" s="99"/>
      <c r="O574" s="99"/>
      <c r="P574" s="99"/>
    </row>
    <row r="575" spans="1:16">
      <c r="A575" s="99"/>
      <c r="B575" s="99"/>
      <c r="C575" s="99"/>
      <c r="D575" s="99"/>
      <c r="E575" s="99"/>
      <c r="F575" s="99"/>
      <c r="G575" s="19"/>
      <c r="H575" s="99"/>
      <c r="J575" s="159"/>
      <c r="K575" s="99"/>
      <c r="L575" s="99"/>
      <c r="M575" s="99"/>
      <c r="N575" s="99"/>
      <c r="O575" s="99"/>
      <c r="P575" s="99"/>
    </row>
    <row r="576" spans="1:16">
      <c r="A576" s="99"/>
      <c r="B576" s="99"/>
      <c r="C576" s="99"/>
      <c r="D576" s="99"/>
      <c r="E576" s="99"/>
      <c r="F576" s="99"/>
      <c r="G576" s="19"/>
      <c r="H576" s="99"/>
      <c r="J576" s="159"/>
      <c r="K576" s="99"/>
      <c r="L576" s="99"/>
      <c r="M576" s="99"/>
      <c r="N576" s="99"/>
      <c r="O576" s="99"/>
      <c r="P576" s="99"/>
    </row>
    <row r="577" spans="1:16">
      <c r="A577" s="99"/>
      <c r="B577" s="99"/>
      <c r="C577" s="99"/>
      <c r="D577" s="99"/>
      <c r="E577" s="99"/>
      <c r="F577" s="99"/>
      <c r="G577" s="19"/>
      <c r="H577" s="99"/>
      <c r="J577" s="159"/>
      <c r="K577" s="99"/>
      <c r="L577" s="99"/>
      <c r="M577" s="99"/>
      <c r="N577" s="99"/>
      <c r="O577" s="99"/>
      <c r="P577" s="99"/>
    </row>
    <row r="578" spans="1:16">
      <c r="A578" s="99"/>
      <c r="B578" s="99"/>
      <c r="C578" s="99"/>
      <c r="D578" s="99"/>
      <c r="E578" s="99"/>
      <c r="F578" s="99"/>
      <c r="G578" s="19"/>
      <c r="H578" s="99"/>
      <c r="J578" s="159"/>
      <c r="K578" s="99"/>
      <c r="L578" s="99"/>
      <c r="M578" s="99"/>
      <c r="N578" s="99"/>
      <c r="O578" s="99"/>
      <c r="P578" s="99"/>
    </row>
    <row r="579" spans="1:16">
      <c r="A579" s="99"/>
      <c r="B579" s="99"/>
      <c r="C579" s="99"/>
      <c r="D579" s="99"/>
      <c r="E579" s="99"/>
      <c r="F579" s="99"/>
      <c r="G579" s="19"/>
      <c r="H579" s="99"/>
      <c r="J579" s="159"/>
      <c r="K579" s="99"/>
      <c r="L579" s="99"/>
      <c r="M579" s="99"/>
      <c r="N579" s="99"/>
      <c r="O579" s="99"/>
      <c r="P579" s="99"/>
    </row>
    <row r="580" spans="1:16">
      <c r="A580" s="99"/>
      <c r="B580" s="99"/>
      <c r="C580" s="99"/>
      <c r="D580" s="99"/>
      <c r="E580" s="99"/>
      <c r="F580" s="99"/>
      <c r="G580" s="19"/>
      <c r="H580" s="99"/>
      <c r="J580" s="159"/>
      <c r="K580" s="99"/>
      <c r="L580" s="99"/>
      <c r="M580" s="99"/>
      <c r="N580" s="99"/>
      <c r="O580" s="99"/>
      <c r="P580" s="99"/>
    </row>
    <row r="581" spans="1:16">
      <c r="A581" s="99"/>
      <c r="B581" s="99"/>
      <c r="C581" s="99"/>
      <c r="D581" s="99"/>
      <c r="E581" s="99"/>
      <c r="F581" s="99"/>
      <c r="G581" s="19"/>
      <c r="H581" s="99"/>
      <c r="J581" s="159"/>
      <c r="K581" s="99"/>
      <c r="L581" s="99"/>
      <c r="M581" s="99"/>
      <c r="N581" s="99"/>
      <c r="O581" s="99"/>
      <c r="P581" s="99"/>
    </row>
    <row r="582" spans="1:16">
      <c r="A582" s="99"/>
      <c r="B582" s="99"/>
      <c r="C582" s="99"/>
      <c r="D582" s="99"/>
      <c r="E582" s="99"/>
      <c r="F582" s="99"/>
      <c r="G582" s="19"/>
      <c r="H582" s="99"/>
      <c r="J582" s="159"/>
      <c r="K582" s="99"/>
      <c r="L582" s="99"/>
      <c r="M582" s="99"/>
      <c r="N582" s="99"/>
      <c r="O582" s="99"/>
      <c r="P582" s="99"/>
    </row>
    <row r="583" spans="1:16">
      <c r="A583" s="99"/>
      <c r="B583" s="99"/>
      <c r="C583" s="99"/>
      <c r="D583" s="99"/>
      <c r="E583" s="99"/>
      <c r="F583" s="99"/>
      <c r="G583" s="19"/>
      <c r="H583" s="99"/>
      <c r="J583" s="159"/>
      <c r="K583" s="99"/>
      <c r="L583" s="99"/>
      <c r="M583" s="99"/>
      <c r="N583" s="99"/>
      <c r="O583" s="99"/>
      <c r="P583" s="99"/>
    </row>
    <row r="584" spans="1:16">
      <c r="A584" s="99"/>
      <c r="B584" s="99"/>
      <c r="C584" s="99"/>
      <c r="D584" s="99"/>
      <c r="E584" s="99"/>
      <c r="F584" s="99"/>
      <c r="G584" s="19"/>
      <c r="H584" s="99"/>
      <c r="J584" s="159"/>
      <c r="K584" s="99"/>
      <c r="L584" s="99"/>
      <c r="M584" s="99"/>
      <c r="N584" s="99"/>
      <c r="O584" s="99"/>
      <c r="P584" s="99"/>
    </row>
    <row r="585" spans="1:16">
      <c r="A585" s="99"/>
      <c r="B585" s="99"/>
      <c r="C585" s="99"/>
      <c r="D585" s="99"/>
      <c r="E585" s="99"/>
      <c r="F585" s="99"/>
      <c r="G585" s="19"/>
      <c r="H585" s="99"/>
      <c r="J585" s="159"/>
      <c r="K585" s="99"/>
      <c r="L585" s="99"/>
      <c r="M585" s="99"/>
      <c r="N585" s="99"/>
      <c r="O585" s="99"/>
      <c r="P585" s="99"/>
    </row>
    <row r="586" spans="1:16">
      <c r="A586" s="99"/>
      <c r="B586" s="99"/>
      <c r="C586" s="99"/>
      <c r="D586" s="99"/>
      <c r="E586" s="99"/>
      <c r="F586" s="99"/>
      <c r="G586" s="19"/>
      <c r="H586" s="99"/>
      <c r="J586" s="159"/>
      <c r="K586" s="99"/>
      <c r="L586" s="99"/>
      <c r="M586" s="99"/>
      <c r="N586" s="99"/>
      <c r="O586" s="99"/>
      <c r="P586" s="99"/>
    </row>
    <row r="587" spans="1:16">
      <c r="A587" s="99"/>
      <c r="B587" s="99"/>
      <c r="C587" s="99"/>
      <c r="D587" s="99"/>
      <c r="E587" s="99"/>
      <c r="F587" s="99"/>
      <c r="G587" s="19"/>
      <c r="H587" s="99"/>
      <c r="J587" s="159"/>
      <c r="K587" s="99"/>
      <c r="L587" s="99"/>
      <c r="M587" s="99"/>
      <c r="N587" s="99"/>
      <c r="O587" s="99"/>
      <c r="P587" s="99"/>
    </row>
    <row r="588" spans="1:16">
      <c r="A588" s="99"/>
      <c r="B588" s="99"/>
      <c r="C588" s="99"/>
      <c r="D588" s="99"/>
      <c r="E588" s="99"/>
      <c r="F588" s="99"/>
      <c r="G588" s="19"/>
      <c r="H588" s="99"/>
      <c r="J588" s="159"/>
      <c r="K588" s="99"/>
      <c r="L588" s="99"/>
      <c r="M588" s="99"/>
      <c r="N588" s="99"/>
      <c r="O588" s="99"/>
      <c r="P588" s="99"/>
    </row>
    <row r="589" spans="1:16">
      <c r="A589" s="99"/>
      <c r="B589" s="99"/>
      <c r="C589" s="99"/>
      <c r="D589" s="99"/>
      <c r="E589" s="99"/>
      <c r="F589" s="99"/>
      <c r="G589" s="19"/>
      <c r="H589" s="99"/>
      <c r="J589" s="159"/>
      <c r="K589" s="99"/>
      <c r="L589" s="99"/>
      <c r="M589" s="99"/>
      <c r="N589" s="99"/>
      <c r="O589" s="99"/>
      <c r="P589" s="99"/>
    </row>
    <row r="590" spans="1:16">
      <c r="A590" s="99"/>
      <c r="B590" s="99"/>
      <c r="C590" s="99"/>
      <c r="D590" s="99"/>
      <c r="E590" s="99"/>
      <c r="F590" s="99"/>
      <c r="G590" s="19"/>
      <c r="H590" s="99"/>
      <c r="J590" s="159"/>
      <c r="K590" s="99"/>
      <c r="L590" s="99"/>
      <c r="M590" s="99"/>
      <c r="N590" s="99"/>
      <c r="O590" s="99"/>
      <c r="P590" s="99"/>
    </row>
    <row r="591" spans="1:16">
      <c r="A591" s="99"/>
      <c r="B591" s="99"/>
      <c r="C591" s="99"/>
      <c r="D591" s="99"/>
      <c r="E591" s="99"/>
      <c r="F591" s="99"/>
      <c r="G591" s="19"/>
      <c r="H591" s="99"/>
      <c r="J591" s="159"/>
      <c r="K591" s="99"/>
      <c r="L591" s="99"/>
      <c r="M591" s="99"/>
      <c r="N591" s="99"/>
      <c r="O591" s="99"/>
      <c r="P591" s="99"/>
    </row>
    <row r="592" spans="1:16">
      <c r="A592" s="99"/>
      <c r="B592" s="99"/>
      <c r="C592" s="99"/>
      <c r="D592" s="99"/>
      <c r="E592" s="99"/>
      <c r="F592" s="99"/>
      <c r="G592" s="19"/>
      <c r="H592" s="99"/>
      <c r="J592" s="159"/>
      <c r="K592" s="99"/>
      <c r="L592" s="99"/>
      <c r="M592" s="99"/>
      <c r="N592" s="99"/>
      <c r="O592" s="99"/>
      <c r="P592" s="99"/>
    </row>
    <row r="593" spans="1:16">
      <c r="A593" s="99"/>
      <c r="B593" s="99"/>
      <c r="C593" s="99"/>
      <c r="D593" s="99"/>
      <c r="E593" s="99"/>
      <c r="F593" s="99"/>
      <c r="G593" s="19"/>
      <c r="H593" s="99"/>
      <c r="J593" s="159"/>
      <c r="K593" s="99"/>
      <c r="L593" s="99"/>
      <c r="M593" s="99"/>
      <c r="N593" s="99"/>
      <c r="O593" s="99"/>
      <c r="P593" s="99"/>
    </row>
    <row r="594" spans="1:16">
      <c r="A594" s="99"/>
      <c r="B594" s="99"/>
      <c r="C594" s="99"/>
      <c r="D594" s="99"/>
      <c r="E594" s="99"/>
      <c r="F594" s="99"/>
      <c r="G594" s="19"/>
      <c r="H594" s="99"/>
      <c r="J594" s="159"/>
      <c r="K594" s="99"/>
      <c r="L594" s="99"/>
      <c r="M594" s="99"/>
      <c r="N594" s="99"/>
      <c r="O594" s="99"/>
      <c r="P594" s="99"/>
    </row>
    <row r="595" spans="1:16">
      <c r="A595" s="99"/>
      <c r="B595" s="99"/>
      <c r="C595" s="99"/>
      <c r="D595" s="99"/>
      <c r="E595" s="99"/>
      <c r="F595" s="99"/>
      <c r="G595" s="19"/>
      <c r="H595" s="99"/>
      <c r="J595" s="159"/>
      <c r="K595" s="99"/>
      <c r="L595" s="99"/>
      <c r="M595" s="99"/>
      <c r="N595" s="99"/>
      <c r="O595" s="99"/>
      <c r="P595" s="99"/>
    </row>
    <row r="596" spans="1:16">
      <c r="A596" s="99"/>
      <c r="B596" s="99"/>
      <c r="C596" s="99"/>
      <c r="D596" s="99"/>
      <c r="E596" s="99"/>
      <c r="F596" s="99"/>
      <c r="G596" s="19"/>
      <c r="H596" s="99"/>
      <c r="J596" s="159"/>
      <c r="K596" s="99"/>
      <c r="L596" s="99"/>
      <c r="M596" s="99"/>
      <c r="N596" s="99"/>
      <c r="O596" s="99"/>
      <c r="P596" s="99"/>
    </row>
    <row r="597" spans="1:16">
      <c r="A597" s="99"/>
      <c r="B597" s="99"/>
      <c r="C597" s="99"/>
      <c r="D597" s="99"/>
      <c r="E597" s="99"/>
      <c r="F597" s="99"/>
      <c r="G597" s="19"/>
      <c r="H597" s="99"/>
      <c r="J597" s="159"/>
      <c r="K597" s="99"/>
      <c r="L597" s="99"/>
      <c r="M597" s="99"/>
      <c r="N597" s="99"/>
      <c r="O597" s="99"/>
      <c r="P597" s="99"/>
    </row>
    <row r="598" spans="1:16">
      <c r="A598" s="99"/>
      <c r="B598" s="99"/>
      <c r="C598" s="99"/>
      <c r="D598" s="99"/>
      <c r="E598" s="99"/>
      <c r="F598" s="99"/>
      <c r="G598" s="19"/>
      <c r="H598" s="99"/>
      <c r="J598" s="159"/>
      <c r="K598" s="99"/>
      <c r="L598" s="99"/>
      <c r="M598" s="99"/>
      <c r="N598" s="99"/>
      <c r="O598" s="99"/>
      <c r="P598" s="99"/>
    </row>
    <row r="599" spans="1:16">
      <c r="A599" s="99"/>
      <c r="B599" s="99"/>
      <c r="C599" s="99"/>
      <c r="D599" s="99"/>
      <c r="E599" s="99"/>
      <c r="F599" s="99"/>
      <c r="G599" s="19"/>
      <c r="H599" s="99"/>
      <c r="J599" s="159"/>
      <c r="K599" s="99"/>
      <c r="L599" s="99"/>
      <c r="M599" s="99"/>
      <c r="N599" s="99"/>
      <c r="O599" s="99"/>
      <c r="P599" s="99"/>
    </row>
    <row r="600" spans="1:16">
      <c r="A600" s="99"/>
      <c r="B600" s="99"/>
      <c r="C600" s="99"/>
      <c r="D600" s="99"/>
      <c r="E600" s="99"/>
      <c r="F600" s="99"/>
      <c r="G600" s="19"/>
      <c r="H600" s="99"/>
      <c r="J600" s="159"/>
      <c r="K600" s="99"/>
      <c r="L600" s="99"/>
      <c r="M600" s="99"/>
      <c r="N600" s="99"/>
      <c r="O600" s="99"/>
      <c r="P600" s="99"/>
    </row>
    <row r="601" spans="1:16">
      <c r="A601" s="99"/>
      <c r="B601" s="99"/>
      <c r="C601" s="99"/>
      <c r="D601" s="99"/>
      <c r="E601" s="99"/>
      <c r="F601" s="99"/>
      <c r="G601" s="19"/>
      <c r="H601" s="99"/>
      <c r="J601" s="159"/>
      <c r="K601" s="99"/>
      <c r="L601" s="99"/>
      <c r="M601" s="99"/>
      <c r="N601" s="99"/>
      <c r="O601" s="99"/>
      <c r="P601" s="99"/>
    </row>
    <row r="602" spans="1:16">
      <c r="A602" s="99"/>
      <c r="B602" s="99"/>
      <c r="C602" s="99"/>
      <c r="D602" s="99"/>
      <c r="E602" s="99"/>
      <c r="F602" s="99"/>
      <c r="G602" s="19"/>
      <c r="H602" s="99"/>
      <c r="J602" s="159"/>
      <c r="K602" s="99"/>
      <c r="L602" s="99"/>
      <c r="M602" s="99"/>
      <c r="N602" s="99"/>
      <c r="O602" s="99"/>
      <c r="P602" s="99"/>
    </row>
    <row r="603" spans="1:16">
      <c r="A603" s="99"/>
      <c r="B603" s="99"/>
      <c r="C603" s="99"/>
      <c r="D603" s="99"/>
      <c r="E603" s="99"/>
      <c r="F603" s="99"/>
      <c r="G603" s="19"/>
      <c r="H603" s="99"/>
      <c r="J603" s="159"/>
      <c r="K603" s="99"/>
      <c r="L603" s="99"/>
      <c r="M603" s="99"/>
      <c r="N603" s="99"/>
      <c r="O603" s="99"/>
      <c r="P603" s="99"/>
    </row>
    <row r="604" spans="1:16">
      <c r="A604" s="99"/>
      <c r="B604" s="99"/>
      <c r="C604" s="99"/>
      <c r="D604" s="99"/>
      <c r="E604" s="99"/>
      <c r="F604" s="99"/>
      <c r="G604" s="19"/>
      <c r="H604" s="99"/>
      <c r="J604" s="159"/>
      <c r="K604" s="99"/>
      <c r="L604" s="99"/>
      <c r="M604" s="99"/>
      <c r="N604" s="99"/>
      <c r="O604" s="99"/>
      <c r="P604" s="99"/>
    </row>
    <row r="605" spans="1:16">
      <c r="A605" s="99"/>
      <c r="B605" s="99"/>
      <c r="C605" s="99"/>
      <c r="D605" s="99"/>
      <c r="E605" s="99"/>
      <c r="F605" s="99"/>
      <c r="G605" s="19"/>
      <c r="H605" s="99"/>
      <c r="J605" s="159"/>
      <c r="K605" s="99"/>
      <c r="L605" s="99"/>
      <c r="M605" s="99"/>
      <c r="N605" s="99"/>
      <c r="O605" s="99"/>
      <c r="P605" s="99"/>
    </row>
    <row r="606" spans="1:16">
      <c r="A606" s="99"/>
      <c r="B606" s="99"/>
      <c r="C606" s="99"/>
      <c r="D606" s="99"/>
      <c r="E606" s="99"/>
      <c r="F606" s="99"/>
      <c r="G606" s="19"/>
      <c r="H606" s="99"/>
      <c r="J606" s="159"/>
      <c r="K606" s="99"/>
      <c r="L606" s="99"/>
      <c r="M606" s="99"/>
      <c r="N606" s="99"/>
      <c r="O606" s="99"/>
      <c r="P606" s="99"/>
    </row>
    <row r="607" spans="1:16">
      <c r="A607" s="99"/>
      <c r="B607" s="99"/>
      <c r="C607" s="99"/>
      <c r="D607" s="99"/>
      <c r="E607" s="99"/>
      <c r="F607" s="99"/>
      <c r="G607" s="19"/>
      <c r="H607" s="99"/>
      <c r="J607" s="159"/>
      <c r="K607" s="99"/>
      <c r="L607" s="99"/>
      <c r="M607" s="99"/>
      <c r="N607" s="99"/>
      <c r="O607" s="99"/>
      <c r="P607" s="99"/>
    </row>
    <row r="608" spans="1:16">
      <c r="A608" s="99"/>
      <c r="B608" s="99"/>
      <c r="C608" s="99"/>
      <c r="D608" s="99"/>
      <c r="E608" s="99"/>
      <c r="F608" s="99"/>
      <c r="G608" s="19"/>
      <c r="H608" s="99"/>
      <c r="J608" s="159"/>
      <c r="K608" s="99"/>
      <c r="L608" s="99"/>
      <c r="M608" s="99"/>
      <c r="N608" s="99"/>
      <c r="O608" s="99"/>
      <c r="P608" s="99"/>
    </row>
    <row r="609" spans="1:16">
      <c r="A609" s="99"/>
      <c r="B609" s="99"/>
      <c r="C609" s="99"/>
      <c r="D609" s="99"/>
      <c r="E609" s="99"/>
      <c r="F609" s="99"/>
      <c r="G609" s="19"/>
      <c r="H609" s="99"/>
      <c r="J609" s="159"/>
      <c r="K609" s="99"/>
      <c r="L609" s="99"/>
      <c r="M609" s="99"/>
      <c r="N609" s="99"/>
      <c r="O609" s="99"/>
      <c r="P609" s="99"/>
    </row>
    <row r="610" spans="1:16">
      <c r="A610" s="99"/>
      <c r="B610" s="99"/>
      <c r="C610" s="99"/>
      <c r="D610" s="99"/>
      <c r="E610" s="99"/>
      <c r="F610" s="99"/>
      <c r="G610" s="19"/>
      <c r="H610" s="99"/>
      <c r="J610" s="159"/>
      <c r="K610" s="99"/>
      <c r="L610" s="99"/>
      <c r="M610" s="99"/>
      <c r="N610" s="99"/>
      <c r="O610" s="99"/>
      <c r="P610" s="99"/>
    </row>
    <row r="611" spans="1:16">
      <c r="A611" s="99"/>
      <c r="B611" s="99"/>
      <c r="C611" s="99"/>
      <c r="D611" s="99"/>
      <c r="E611" s="99"/>
      <c r="F611" s="99"/>
      <c r="G611" s="19"/>
      <c r="H611" s="99"/>
      <c r="J611" s="159"/>
      <c r="K611" s="99"/>
      <c r="L611" s="99"/>
      <c r="M611" s="99"/>
      <c r="N611" s="99"/>
      <c r="O611" s="99"/>
      <c r="P611" s="99"/>
    </row>
    <row r="612" spans="1:16">
      <c r="A612" s="99"/>
      <c r="B612" s="99"/>
      <c r="C612" s="99"/>
      <c r="D612" s="99"/>
      <c r="E612" s="99"/>
      <c r="F612" s="99"/>
      <c r="G612" s="19"/>
      <c r="H612" s="99"/>
      <c r="J612" s="159"/>
      <c r="K612" s="99"/>
      <c r="L612" s="99"/>
      <c r="M612" s="99"/>
      <c r="N612" s="99"/>
      <c r="O612" s="99"/>
      <c r="P612" s="99"/>
    </row>
    <row r="613" spans="1:16">
      <c r="A613" s="99"/>
      <c r="B613" s="99"/>
      <c r="C613" s="99"/>
      <c r="D613" s="99"/>
      <c r="E613" s="99"/>
      <c r="F613" s="99"/>
      <c r="G613" s="19"/>
      <c r="H613" s="99"/>
      <c r="J613" s="159"/>
      <c r="K613" s="99"/>
      <c r="L613" s="99"/>
      <c r="M613" s="99"/>
      <c r="N613" s="99"/>
      <c r="O613" s="99"/>
      <c r="P613" s="99"/>
    </row>
    <row r="614" spans="1:16">
      <c r="A614" s="99"/>
      <c r="B614" s="99"/>
      <c r="C614" s="99"/>
      <c r="D614" s="99"/>
      <c r="E614" s="99"/>
      <c r="F614" s="99"/>
      <c r="G614" s="19"/>
      <c r="H614" s="99"/>
      <c r="J614" s="159"/>
      <c r="K614" s="99"/>
      <c r="L614" s="99"/>
      <c r="M614" s="99"/>
      <c r="N614" s="99"/>
      <c r="O614" s="99"/>
      <c r="P614" s="99"/>
    </row>
    <row r="615" spans="1:16">
      <c r="A615" s="99"/>
      <c r="B615" s="99"/>
      <c r="C615" s="99"/>
      <c r="D615" s="99"/>
      <c r="E615" s="99"/>
      <c r="F615" s="99"/>
      <c r="G615" s="19"/>
      <c r="H615" s="99"/>
      <c r="J615" s="159"/>
      <c r="K615" s="99"/>
      <c r="L615" s="99"/>
      <c r="M615" s="99"/>
      <c r="N615" s="99"/>
      <c r="O615" s="99"/>
      <c r="P615" s="99"/>
    </row>
    <row r="616" spans="1:16">
      <c r="A616" s="99"/>
      <c r="B616" s="99"/>
      <c r="C616" s="99"/>
      <c r="D616" s="99"/>
      <c r="E616" s="99"/>
      <c r="F616" s="99"/>
      <c r="G616" s="19"/>
      <c r="H616" s="99"/>
      <c r="J616" s="159"/>
      <c r="K616" s="99"/>
      <c r="L616" s="99"/>
      <c r="M616" s="99"/>
      <c r="N616" s="99"/>
      <c r="O616" s="99"/>
      <c r="P616" s="99"/>
    </row>
    <row r="617" spans="1:16">
      <c r="A617" s="99"/>
      <c r="B617" s="99"/>
      <c r="C617" s="99"/>
      <c r="D617" s="99"/>
      <c r="E617" s="99"/>
      <c r="F617" s="99"/>
      <c r="G617" s="19"/>
      <c r="H617" s="99"/>
      <c r="J617" s="159"/>
      <c r="K617" s="99"/>
      <c r="L617" s="99"/>
      <c r="M617" s="99"/>
      <c r="N617" s="99"/>
      <c r="O617" s="99"/>
      <c r="P617" s="99"/>
    </row>
    <row r="618" spans="1:16">
      <c r="A618" s="99"/>
      <c r="B618" s="99"/>
      <c r="C618" s="99"/>
      <c r="D618" s="99"/>
      <c r="E618" s="99"/>
      <c r="F618" s="99"/>
      <c r="G618" s="19"/>
      <c r="H618" s="99"/>
      <c r="J618" s="159"/>
      <c r="K618" s="99"/>
      <c r="L618" s="99"/>
      <c r="M618" s="99"/>
      <c r="N618" s="99"/>
      <c r="O618" s="99"/>
      <c r="P618" s="99"/>
    </row>
    <row r="619" spans="1:16">
      <c r="A619" s="99"/>
      <c r="B619" s="99"/>
      <c r="C619" s="99"/>
      <c r="D619" s="99"/>
      <c r="E619" s="99"/>
      <c r="F619" s="99"/>
      <c r="G619" s="19"/>
      <c r="H619" s="99"/>
      <c r="J619" s="159"/>
      <c r="K619" s="99"/>
      <c r="L619" s="99"/>
      <c r="M619" s="99"/>
      <c r="N619" s="99"/>
      <c r="O619" s="99"/>
      <c r="P619" s="99"/>
    </row>
    <row r="620" spans="1:16">
      <c r="A620" s="99"/>
      <c r="B620" s="99"/>
      <c r="C620" s="99"/>
      <c r="D620" s="99"/>
      <c r="E620" s="99"/>
      <c r="F620" s="99"/>
      <c r="G620" s="19"/>
      <c r="H620" s="99"/>
      <c r="J620" s="159"/>
      <c r="K620" s="99"/>
      <c r="L620" s="99"/>
      <c r="M620" s="99"/>
      <c r="N620" s="99"/>
      <c r="O620" s="99"/>
      <c r="P620" s="99"/>
    </row>
    <row r="621" spans="1:16">
      <c r="A621" s="99"/>
      <c r="B621" s="99"/>
      <c r="C621" s="99"/>
      <c r="D621" s="99"/>
      <c r="E621" s="99"/>
      <c r="F621" s="99"/>
      <c r="G621" s="19"/>
      <c r="H621" s="99"/>
      <c r="J621" s="159"/>
      <c r="K621" s="99"/>
      <c r="L621" s="99"/>
      <c r="M621" s="99"/>
      <c r="N621" s="99"/>
      <c r="O621" s="99"/>
      <c r="P621" s="99"/>
    </row>
    <row r="622" spans="1:16">
      <c r="A622" s="99"/>
      <c r="B622" s="99"/>
      <c r="C622" s="99"/>
      <c r="D622" s="99"/>
      <c r="E622" s="99"/>
      <c r="F622" s="99"/>
      <c r="G622" s="19"/>
      <c r="H622" s="99"/>
      <c r="J622" s="159"/>
      <c r="K622" s="99"/>
      <c r="L622" s="99"/>
      <c r="M622" s="99"/>
      <c r="N622" s="99"/>
      <c r="O622" s="99"/>
      <c r="P622" s="99"/>
    </row>
    <row r="623" spans="1:16">
      <c r="A623" s="99"/>
      <c r="B623" s="99"/>
      <c r="C623" s="99"/>
      <c r="D623" s="99"/>
      <c r="E623" s="99"/>
      <c r="F623" s="99"/>
      <c r="G623" s="19"/>
      <c r="H623" s="99"/>
      <c r="J623" s="159"/>
      <c r="K623" s="99"/>
      <c r="L623" s="99"/>
      <c r="M623" s="99"/>
      <c r="N623" s="99"/>
      <c r="O623" s="99"/>
      <c r="P623" s="99"/>
    </row>
    <row r="624" spans="1:16">
      <c r="A624" s="99"/>
      <c r="B624" s="99"/>
      <c r="C624" s="99"/>
      <c r="D624" s="99"/>
      <c r="E624" s="99"/>
      <c r="F624" s="99"/>
      <c r="G624" s="19"/>
      <c r="H624" s="99"/>
      <c r="J624" s="159"/>
      <c r="K624" s="99"/>
      <c r="L624" s="99"/>
      <c r="M624" s="99"/>
      <c r="N624" s="99"/>
      <c r="O624" s="99"/>
      <c r="P624" s="99"/>
    </row>
    <row r="625" spans="1:16">
      <c r="A625" s="99"/>
      <c r="B625" s="99"/>
      <c r="C625" s="99"/>
      <c r="D625" s="99"/>
      <c r="E625" s="99"/>
      <c r="F625" s="99"/>
      <c r="G625" s="19"/>
      <c r="H625" s="99"/>
      <c r="J625" s="159"/>
      <c r="K625" s="99"/>
      <c r="L625" s="99"/>
      <c r="M625" s="99"/>
      <c r="N625" s="99"/>
      <c r="O625" s="99"/>
      <c r="P625" s="99"/>
    </row>
    <row r="626" spans="1:16">
      <c r="A626" s="99"/>
      <c r="B626" s="99"/>
      <c r="C626" s="99"/>
      <c r="D626" s="99"/>
      <c r="E626" s="99"/>
      <c r="F626" s="99"/>
      <c r="G626" s="19"/>
      <c r="H626" s="99"/>
      <c r="J626" s="159"/>
      <c r="K626" s="99"/>
      <c r="L626" s="99"/>
      <c r="M626" s="99"/>
      <c r="N626" s="99"/>
      <c r="O626" s="99"/>
      <c r="P626" s="99"/>
    </row>
    <row r="627" spans="1:16">
      <c r="A627" s="99"/>
      <c r="B627" s="99"/>
      <c r="C627" s="99"/>
      <c r="D627" s="99"/>
      <c r="E627" s="99"/>
      <c r="F627" s="99"/>
      <c r="G627" s="19"/>
      <c r="H627" s="99"/>
      <c r="J627" s="159"/>
      <c r="K627" s="99"/>
      <c r="L627" s="99"/>
      <c r="M627" s="99"/>
      <c r="N627" s="99"/>
      <c r="O627" s="99"/>
      <c r="P627" s="99"/>
    </row>
    <row r="628" spans="1:16">
      <c r="A628" s="99"/>
      <c r="B628" s="99"/>
      <c r="C628" s="99"/>
      <c r="D628" s="99"/>
      <c r="E628" s="99"/>
      <c r="F628" s="99"/>
      <c r="G628" s="19"/>
      <c r="H628" s="99"/>
      <c r="J628" s="159"/>
      <c r="K628" s="99"/>
      <c r="L628" s="99"/>
      <c r="M628" s="99"/>
      <c r="N628" s="99"/>
      <c r="O628" s="99"/>
      <c r="P628" s="99"/>
    </row>
    <row r="629" spans="1:16">
      <c r="A629" s="99"/>
      <c r="B629" s="99"/>
      <c r="C629" s="99"/>
      <c r="D629" s="99"/>
      <c r="E629" s="99"/>
      <c r="F629" s="99"/>
      <c r="G629" s="19"/>
      <c r="H629" s="99"/>
      <c r="J629" s="159"/>
      <c r="K629" s="99"/>
      <c r="L629" s="99"/>
      <c r="M629" s="99"/>
      <c r="N629" s="99"/>
      <c r="O629" s="99"/>
      <c r="P629" s="99"/>
    </row>
    <row r="630" spans="1:16">
      <c r="A630" s="99"/>
      <c r="B630" s="99"/>
      <c r="C630" s="99"/>
      <c r="D630" s="99"/>
      <c r="E630" s="99"/>
      <c r="F630" s="99"/>
      <c r="G630" s="19"/>
      <c r="H630" s="99"/>
      <c r="J630" s="159"/>
      <c r="K630" s="99"/>
      <c r="L630" s="99"/>
      <c r="M630" s="99"/>
      <c r="N630" s="99"/>
      <c r="O630" s="99"/>
      <c r="P630" s="99"/>
    </row>
    <row r="631" spans="1:16">
      <c r="A631" s="99"/>
      <c r="B631" s="99"/>
      <c r="C631" s="99"/>
      <c r="D631" s="99"/>
      <c r="E631" s="99"/>
      <c r="F631" s="99"/>
      <c r="G631" s="19"/>
      <c r="H631" s="99"/>
      <c r="J631" s="159"/>
      <c r="K631" s="99"/>
      <c r="L631" s="99"/>
      <c r="M631" s="99"/>
      <c r="N631" s="99"/>
      <c r="O631" s="99"/>
      <c r="P631" s="99"/>
    </row>
    <row r="632" spans="1:16">
      <c r="A632" s="99"/>
      <c r="B632" s="99"/>
      <c r="C632" s="99"/>
      <c r="D632" s="99"/>
      <c r="E632" s="99"/>
      <c r="F632" s="99"/>
      <c r="G632" s="19"/>
      <c r="H632" s="99"/>
      <c r="J632" s="159"/>
      <c r="K632" s="99"/>
      <c r="L632" s="99"/>
      <c r="M632" s="99"/>
      <c r="N632" s="99"/>
      <c r="O632" s="99"/>
      <c r="P632" s="99"/>
    </row>
    <row r="633" spans="1:16">
      <c r="A633" s="99"/>
      <c r="B633" s="99"/>
      <c r="C633" s="99"/>
      <c r="D633" s="99"/>
      <c r="E633" s="99"/>
      <c r="F633" s="99"/>
      <c r="G633" s="19"/>
      <c r="H633" s="99"/>
      <c r="J633" s="159"/>
      <c r="K633" s="99"/>
      <c r="L633" s="99"/>
      <c r="M633" s="99"/>
      <c r="N633" s="99"/>
      <c r="O633" s="99"/>
      <c r="P633" s="99"/>
    </row>
    <row r="634" spans="1:16">
      <c r="A634" s="99"/>
      <c r="B634" s="99"/>
      <c r="C634" s="99"/>
      <c r="D634" s="99"/>
      <c r="E634" s="99"/>
      <c r="F634" s="99"/>
      <c r="G634" s="19"/>
      <c r="H634" s="99"/>
      <c r="J634" s="159"/>
      <c r="K634" s="99"/>
      <c r="L634" s="99"/>
      <c r="M634" s="99"/>
      <c r="N634" s="99"/>
      <c r="O634" s="99"/>
      <c r="P634" s="99"/>
    </row>
    <row r="635" spans="1:16">
      <c r="A635" s="99"/>
      <c r="B635" s="99"/>
      <c r="C635" s="99"/>
      <c r="D635" s="99"/>
      <c r="E635" s="99"/>
      <c r="F635" s="99"/>
      <c r="G635" s="19"/>
      <c r="H635" s="99"/>
      <c r="J635" s="159"/>
      <c r="K635" s="99"/>
      <c r="L635" s="99"/>
      <c r="M635" s="99"/>
      <c r="N635" s="99"/>
      <c r="O635" s="99"/>
      <c r="P635" s="99"/>
    </row>
    <row r="636" spans="1:16">
      <c r="A636" s="99"/>
      <c r="B636" s="99"/>
      <c r="C636" s="99"/>
      <c r="D636" s="99"/>
      <c r="E636" s="99"/>
      <c r="F636" s="99"/>
      <c r="G636" s="19"/>
      <c r="H636" s="99"/>
      <c r="J636" s="159"/>
      <c r="K636" s="99"/>
      <c r="L636" s="99"/>
      <c r="M636" s="99"/>
      <c r="N636" s="99"/>
      <c r="O636" s="99"/>
      <c r="P636" s="99"/>
    </row>
    <row r="637" spans="1:16">
      <c r="A637" s="99"/>
      <c r="B637" s="99"/>
      <c r="C637" s="99"/>
      <c r="D637" s="99"/>
      <c r="E637" s="99"/>
      <c r="F637" s="99"/>
      <c r="G637" s="19"/>
      <c r="H637" s="99"/>
      <c r="J637" s="159"/>
      <c r="K637" s="99"/>
      <c r="L637" s="99"/>
      <c r="M637" s="99"/>
      <c r="N637" s="99"/>
      <c r="O637" s="99"/>
      <c r="P637" s="99"/>
    </row>
    <row r="638" spans="1:16">
      <c r="A638" s="99"/>
      <c r="B638" s="99"/>
      <c r="C638" s="99"/>
      <c r="D638" s="99"/>
      <c r="E638" s="99"/>
      <c r="F638" s="99"/>
      <c r="G638" s="19"/>
      <c r="H638" s="99"/>
      <c r="J638" s="159"/>
      <c r="K638" s="99"/>
      <c r="L638" s="99"/>
      <c r="M638" s="99"/>
      <c r="N638" s="99"/>
      <c r="O638" s="99"/>
      <c r="P638" s="99"/>
    </row>
    <row r="639" spans="1:16">
      <c r="A639" s="99"/>
      <c r="B639" s="99"/>
      <c r="C639" s="99"/>
      <c r="D639" s="99"/>
      <c r="E639" s="99"/>
      <c r="F639" s="99"/>
      <c r="G639" s="19"/>
      <c r="H639" s="99"/>
      <c r="J639" s="159"/>
      <c r="K639" s="99"/>
      <c r="L639" s="99"/>
      <c r="M639" s="99"/>
      <c r="N639" s="99"/>
      <c r="O639" s="99"/>
      <c r="P639" s="99"/>
    </row>
    <row r="640" spans="1:16">
      <c r="A640" s="99"/>
      <c r="B640" s="99"/>
      <c r="C640" s="99"/>
      <c r="D640" s="99"/>
      <c r="E640" s="99"/>
      <c r="F640" s="99"/>
      <c r="G640" s="19"/>
      <c r="H640" s="99"/>
      <c r="J640" s="159"/>
      <c r="K640" s="99"/>
      <c r="L640" s="99"/>
      <c r="M640" s="99"/>
      <c r="N640" s="99"/>
      <c r="O640" s="99"/>
      <c r="P640" s="99"/>
    </row>
    <row r="641" spans="1:16">
      <c r="A641" s="99"/>
      <c r="B641" s="99"/>
      <c r="C641" s="99"/>
      <c r="D641" s="99"/>
      <c r="E641" s="99"/>
      <c r="F641" s="99"/>
      <c r="G641" s="19"/>
      <c r="H641" s="99"/>
      <c r="J641" s="159"/>
      <c r="K641" s="99"/>
      <c r="L641" s="99"/>
      <c r="M641" s="99"/>
      <c r="N641" s="99"/>
      <c r="O641" s="99"/>
      <c r="P641" s="99"/>
    </row>
    <row r="642" spans="1:16">
      <c r="A642" s="99"/>
      <c r="B642" s="99"/>
      <c r="C642" s="99"/>
      <c r="D642" s="99"/>
      <c r="E642" s="99"/>
      <c r="F642" s="99"/>
      <c r="G642" s="19"/>
      <c r="H642" s="99"/>
      <c r="J642" s="159"/>
      <c r="K642" s="99"/>
      <c r="L642" s="99"/>
      <c r="M642" s="99"/>
      <c r="N642" s="99"/>
      <c r="O642" s="99"/>
      <c r="P642" s="99"/>
    </row>
    <row r="643" spans="1:16">
      <c r="A643" s="99"/>
      <c r="B643" s="99"/>
      <c r="C643" s="99"/>
      <c r="D643" s="99"/>
      <c r="E643" s="99"/>
      <c r="F643" s="99"/>
      <c r="G643" s="19"/>
      <c r="H643" s="99"/>
      <c r="J643" s="159"/>
      <c r="K643" s="99"/>
      <c r="L643" s="99"/>
      <c r="M643" s="99"/>
      <c r="N643" s="99"/>
      <c r="O643" s="99"/>
      <c r="P643" s="99"/>
    </row>
    <row r="644" spans="1:16">
      <c r="A644" s="99"/>
      <c r="B644" s="99"/>
      <c r="C644" s="99"/>
      <c r="D644" s="99"/>
      <c r="E644" s="99"/>
      <c r="F644" s="99"/>
      <c r="G644" s="19"/>
      <c r="H644" s="99"/>
      <c r="J644" s="159"/>
      <c r="K644" s="99"/>
      <c r="L644" s="99"/>
      <c r="M644" s="99"/>
      <c r="N644" s="99"/>
      <c r="O644" s="99"/>
      <c r="P644" s="99"/>
    </row>
    <row r="645" spans="1:16">
      <c r="A645" s="99"/>
      <c r="B645" s="99"/>
      <c r="C645" s="99"/>
      <c r="D645" s="99"/>
      <c r="E645" s="99"/>
      <c r="F645" s="99"/>
      <c r="G645" s="19"/>
      <c r="H645" s="99"/>
      <c r="J645" s="159"/>
      <c r="K645" s="99"/>
      <c r="L645" s="99"/>
      <c r="M645" s="99"/>
      <c r="N645" s="99"/>
      <c r="O645" s="99"/>
      <c r="P645" s="99"/>
    </row>
    <row r="646" spans="1:16">
      <c r="A646" s="99"/>
      <c r="B646" s="99"/>
      <c r="C646" s="99"/>
      <c r="D646" s="99"/>
      <c r="E646" s="99"/>
      <c r="F646" s="99"/>
      <c r="G646" s="19"/>
      <c r="H646" s="99"/>
      <c r="J646" s="159"/>
      <c r="K646" s="99"/>
      <c r="L646" s="99"/>
      <c r="M646" s="99"/>
      <c r="N646" s="99"/>
      <c r="O646" s="99"/>
      <c r="P646" s="99"/>
    </row>
    <row r="647" spans="1:16">
      <c r="A647" s="99"/>
      <c r="B647" s="99"/>
      <c r="C647" s="99"/>
      <c r="D647" s="99"/>
      <c r="E647" s="99"/>
      <c r="F647" s="99"/>
      <c r="G647" s="19"/>
      <c r="H647" s="99"/>
      <c r="J647" s="159"/>
      <c r="K647" s="99"/>
      <c r="L647" s="99"/>
      <c r="M647" s="99"/>
      <c r="N647" s="99"/>
      <c r="O647" s="99"/>
      <c r="P647" s="99"/>
    </row>
    <row r="648" spans="1:16">
      <c r="A648" s="99"/>
      <c r="B648" s="99"/>
      <c r="C648" s="99"/>
      <c r="D648" s="99"/>
      <c r="E648" s="99"/>
      <c r="F648" s="99"/>
      <c r="G648" s="19"/>
      <c r="H648" s="99"/>
      <c r="J648" s="159"/>
      <c r="K648" s="99"/>
      <c r="L648" s="99"/>
      <c r="M648" s="99"/>
      <c r="N648" s="99"/>
      <c r="O648" s="99"/>
      <c r="P648" s="99"/>
    </row>
    <row r="649" spans="1:16">
      <c r="A649" s="99"/>
      <c r="B649" s="99"/>
      <c r="C649" s="99"/>
      <c r="D649" s="99"/>
      <c r="E649" s="99"/>
      <c r="F649" s="99"/>
      <c r="G649" s="19"/>
      <c r="H649" s="99"/>
      <c r="J649" s="159"/>
      <c r="K649" s="99"/>
      <c r="L649" s="99"/>
      <c r="M649" s="99"/>
      <c r="N649" s="99"/>
      <c r="O649" s="99"/>
      <c r="P649" s="99"/>
    </row>
    <row r="650" spans="1:16">
      <c r="A650" s="99"/>
      <c r="B650" s="99"/>
      <c r="C650" s="99"/>
      <c r="D650" s="99"/>
      <c r="E650" s="99"/>
      <c r="F650" s="99"/>
      <c r="G650" s="19"/>
      <c r="H650" s="99"/>
      <c r="J650" s="159"/>
      <c r="K650" s="99"/>
      <c r="L650" s="99"/>
      <c r="M650" s="99"/>
      <c r="N650" s="99"/>
      <c r="O650" s="99"/>
      <c r="P650" s="99"/>
    </row>
    <row r="651" spans="1:16">
      <c r="A651" s="99"/>
      <c r="B651" s="99"/>
      <c r="C651" s="99"/>
      <c r="D651" s="99"/>
      <c r="E651" s="99"/>
      <c r="F651" s="99"/>
      <c r="G651" s="19"/>
      <c r="H651" s="99"/>
      <c r="J651" s="159"/>
      <c r="K651" s="99"/>
      <c r="L651" s="99"/>
      <c r="M651" s="99"/>
      <c r="N651" s="99"/>
      <c r="O651" s="99"/>
      <c r="P651" s="99"/>
    </row>
    <row r="652" spans="1:16">
      <c r="A652" s="99"/>
      <c r="B652" s="99"/>
      <c r="C652" s="99"/>
      <c r="D652" s="99"/>
      <c r="E652" s="99"/>
      <c r="F652" s="99"/>
      <c r="G652" s="19"/>
      <c r="H652" s="99"/>
      <c r="J652" s="159"/>
      <c r="K652" s="99"/>
      <c r="L652" s="99"/>
      <c r="M652" s="99"/>
      <c r="N652" s="99"/>
      <c r="O652" s="99"/>
      <c r="P652" s="99"/>
    </row>
    <row r="653" spans="1:16">
      <c r="A653" s="99"/>
      <c r="B653" s="99"/>
      <c r="C653" s="99"/>
      <c r="D653" s="99"/>
      <c r="E653" s="99"/>
      <c r="F653" s="99"/>
      <c r="G653" s="19"/>
      <c r="H653" s="99"/>
      <c r="J653" s="159"/>
      <c r="K653" s="99"/>
      <c r="L653" s="99"/>
      <c r="M653" s="99"/>
      <c r="N653" s="99"/>
      <c r="O653" s="99"/>
      <c r="P653" s="99"/>
    </row>
    <row r="654" spans="1:16">
      <c r="A654" s="99"/>
      <c r="B654" s="99"/>
      <c r="C654" s="99"/>
      <c r="D654" s="99"/>
      <c r="E654" s="99"/>
      <c r="F654" s="99"/>
      <c r="G654" s="19"/>
      <c r="H654" s="99"/>
      <c r="J654" s="159"/>
      <c r="K654" s="99"/>
      <c r="L654" s="99"/>
      <c r="M654" s="99"/>
      <c r="N654" s="99"/>
      <c r="O654" s="99"/>
      <c r="P654" s="99"/>
    </row>
    <row r="655" spans="1:16">
      <c r="A655" s="99"/>
      <c r="B655" s="99"/>
      <c r="C655" s="99"/>
      <c r="D655" s="99"/>
      <c r="E655" s="99"/>
      <c r="F655" s="99"/>
      <c r="G655" s="19"/>
      <c r="H655" s="99"/>
      <c r="J655" s="159"/>
      <c r="K655" s="99"/>
      <c r="L655" s="99"/>
      <c r="M655" s="99"/>
      <c r="N655" s="99"/>
      <c r="O655" s="99"/>
      <c r="P655" s="99"/>
    </row>
    <row r="656" spans="1:16">
      <c r="A656" s="99"/>
      <c r="B656" s="99"/>
      <c r="C656" s="99"/>
      <c r="D656" s="99"/>
      <c r="E656" s="99"/>
      <c r="F656" s="99"/>
      <c r="G656" s="19"/>
      <c r="H656" s="99"/>
      <c r="J656" s="159"/>
      <c r="K656" s="99"/>
      <c r="L656" s="99"/>
      <c r="M656" s="99"/>
      <c r="N656" s="99"/>
      <c r="O656" s="99"/>
      <c r="P656" s="99"/>
    </row>
    <row r="657" spans="1:16">
      <c r="A657" s="99"/>
      <c r="B657" s="99"/>
      <c r="C657" s="99"/>
      <c r="D657" s="99"/>
      <c r="E657" s="99"/>
      <c r="F657" s="99"/>
      <c r="G657" s="19"/>
      <c r="H657" s="99"/>
      <c r="J657" s="159"/>
      <c r="K657" s="99"/>
      <c r="L657" s="99"/>
      <c r="M657" s="99"/>
      <c r="N657" s="99"/>
      <c r="O657" s="99"/>
      <c r="P657" s="99"/>
    </row>
    <row r="658" spans="1:16">
      <c r="A658" s="99"/>
      <c r="B658" s="99"/>
      <c r="C658" s="99"/>
      <c r="D658" s="99"/>
      <c r="E658" s="99"/>
      <c r="F658" s="99"/>
      <c r="G658" s="19"/>
      <c r="H658" s="99"/>
      <c r="J658" s="159"/>
      <c r="K658" s="99"/>
      <c r="L658" s="99"/>
      <c r="M658" s="99"/>
      <c r="N658" s="99"/>
      <c r="O658" s="99"/>
      <c r="P658" s="99"/>
    </row>
    <row r="659" spans="1:16">
      <c r="A659" s="99"/>
      <c r="B659" s="99"/>
      <c r="C659" s="99"/>
      <c r="D659" s="99"/>
      <c r="E659" s="99"/>
      <c r="F659" s="99"/>
      <c r="G659" s="19"/>
      <c r="H659" s="99"/>
      <c r="J659" s="159"/>
      <c r="K659" s="99"/>
      <c r="L659" s="99"/>
      <c r="M659" s="99"/>
      <c r="N659" s="99"/>
      <c r="O659" s="99"/>
      <c r="P659" s="99"/>
    </row>
    <row r="660" spans="1:16">
      <c r="A660" s="99"/>
      <c r="B660" s="99"/>
      <c r="C660" s="99"/>
      <c r="D660" s="99"/>
      <c r="E660" s="99"/>
      <c r="F660" s="99"/>
      <c r="G660" s="19"/>
      <c r="H660" s="99"/>
      <c r="J660" s="159"/>
      <c r="K660" s="99"/>
      <c r="L660" s="99"/>
      <c r="M660" s="99"/>
      <c r="N660" s="99"/>
      <c r="O660" s="99"/>
      <c r="P660" s="99"/>
    </row>
    <row r="661" spans="1:16">
      <c r="A661" s="99"/>
      <c r="B661" s="99"/>
      <c r="C661" s="99"/>
      <c r="D661" s="99"/>
      <c r="E661" s="99"/>
      <c r="F661" s="99"/>
      <c r="G661" s="19"/>
      <c r="H661" s="99"/>
      <c r="J661" s="159"/>
      <c r="K661" s="99"/>
      <c r="L661" s="99"/>
      <c r="M661" s="99"/>
      <c r="N661" s="99"/>
      <c r="O661" s="99"/>
      <c r="P661" s="99"/>
    </row>
    <row r="662" spans="1:16">
      <c r="A662" s="99"/>
      <c r="B662" s="99"/>
      <c r="C662" s="99"/>
      <c r="D662" s="99"/>
      <c r="E662" s="99"/>
      <c r="F662" s="99"/>
      <c r="G662" s="19"/>
      <c r="H662" s="99"/>
      <c r="J662" s="159"/>
      <c r="K662" s="99"/>
      <c r="L662" s="99"/>
      <c r="M662" s="99"/>
      <c r="N662" s="99"/>
      <c r="O662" s="99"/>
      <c r="P662" s="99"/>
    </row>
    <row r="663" spans="1:16">
      <c r="A663" s="99"/>
      <c r="B663" s="99"/>
      <c r="C663" s="99"/>
      <c r="D663" s="99"/>
      <c r="E663" s="99"/>
      <c r="F663" s="99"/>
      <c r="G663" s="19"/>
      <c r="H663" s="99"/>
      <c r="J663" s="159"/>
      <c r="K663" s="99"/>
      <c r="L663" s="99"/>
      <c r="M663" s="99"/>
      <c r="N663" s="99"/>
      <c r="O663" s="99"/>
      <c r="P663" s="99"/>
    </row>
    <row r="664" spans="1:16">
      <c r="A664" s="99"/>
      <c r="B664" s="99"/>
      <c r="C664" s="99"/>
      <c r="D664" s="99"/>
      <c r="E664" s="99"/>
      <c r="F664" s="99"/>
      <c r="G664" s="19"/>
      <c r="H664" s="99"/>
      <c r="J664" s="159"/>
      <c r="K664" s="99"/>
      <c r="L664" s="99"/>
      <c r="M664" s="99"/>
      <c r="N664" s="99"/>
      <c r="O664" s="99"/>
      <c r="P664" s="99"/>
    </row>
    <row r="665" spans="1:16">
      <c r="A665" s="99"/>
      <c r="B665" s="99"/>
      <c r="C665" s="99"/>
      <c r="D665" s="99"/>
      <c r="E665" s="99"/>
      <c r="F665" s="99"/>
      <c r="G665" s="19"/>
      <c r="H665" s="99"/>
      <c r="J665" s="159"/>
      <c r="K665" s="99"/>
      <c r="L665" s="99"/>
      <c r="M665" s="99"/>
      <c r="N665" s="99"/>
      <c r="O665" s="99"/>
      <c r="P665" s="99"/>
    </row>
    <row r="666" spans="1:16">
      <c r="A666" s="99"/>
      <c r="B666" s="99"/>
      <c r="C666" s="99"/>
      <c r="D666" s="99"/>
      <c r="E666" s="99"/>
      <c r="F666" s="99"/>
      <c r="G666" s="19"/>
      <c r="H666" s="99"/>
      <c r="J666" s="159"/>
      <c r="K666" s="99"/>
      <c r="L666" s="99"/>
      <c r="M666" s="99"/>
      <c r="N666" s="99"/>
      <c r="O666" s="99"/>
      <c r="P666" s="99"/>
    </row>
    <row r="667" spans="1:16">
      <c r="A667" s="99"/>
      <c r="B667" s="99"/>
      <c r="C667" s="99"/>
      <c r="D667" s="99"/>
      <c r="E667" s="99"/>
      <c r="F667" s="99"/>
      <c r="G667" s="19"/>
      <c r="H667" s="99"/>
      <c r="J667" s="159"/>
      <c r="K667" s="99"/>
      <c r="L667" s="99"/>
      <c r="M667" s="99"/>
      <c r="N667" s="99"/>
      <c r="O667" s="99"/>
      <c r="P667" s="99"/>
    </row>
    <row r="668" spans="1:16">
      <c r="A668" s="99"/>
      <c r="B668" s="99"/>
      <c r="C668" s="99"/>
      <c r="D668" s="99"/>
      <c r="E668" s="99"/>
      <c r="F668" s="99"/>
      <c r="G668" s="19"/>
      <c r="H668" s="99"/>
      <c r="J668" s="159"/>
      <c r="K668" s="99"/>
      <c r="L668" s="99"/>
      <c r="M668" s="99"/>
      <c r="N668" s="99"/>
      <c r="O668" s="99"/>
      <c r="P668" s="99"/>
    </row>
    <row r="669" spans="1:16">
      <c r="A669" s="99"/>
      <c r="B669" s="99"/>
      <c r="C669" s="99"/>
      <c r="D669" s="99"/>
      <c r="E669" s="99"/>
      <c r="F669" s="99"/>
      <c r="G669" s="19"/>
      <c r="H669" s="99"/>
      <c r="J669" s="159"/>
      <c r="K669" s="99"/>
      <c r="L669" s="99"/>
      <c r="M669" s="99"/>
      <c r="N669" s="99"/>
      <c r="O669" s="99"/>
      <c r="P669" s="99"/>
    </row>
    <row r="670" spans="1:16">
      <c r="A670" s="99"/>
      <c r="B670" s="99"/>
      <c r="C670" s="99"/>
      <c r="D670" s="99"/>
      <c r="E670" s="99"/>
      <c r="F670" s="99"/>
      <c r="G670" s="19"/>
      <c r="H670" s="99"/>
      <c r="J670" s="159"/>
      <c r="K670" s="99"/>
      <c r="L670" s="99"/>
      <c r="M670" s="99"/>
      <c r="N670" s="99"/>
      <c r="O670" s="99"/>
      <c r="P670" s="99"/>
    </row>
    <row r="671" spans="1:16">
      <c r="A671" s="99"/>
      <c r="B671" s="99"/>
      <c r="C671" s="99"/>
      <c r="D671" s="99"/>
      <c r="E671" s="99"/>
      <c r="F671" s="99"/>
      <c r="G671" s="19"/>
      <c r="H671" s="99"/>
      <c r="J671" s="159"/>
      <c r="K671" s="99"/>
      <c r="L671" s="99"/>
      <c r="M671" s="99"/>
      <c r="N671" s="99"/>
      <c r="O671" s="99"/>
      <c r="P671" s="99"/>
    </row>
    <row r="672" spans="1:16">
      <c r="A672" s="99"/>
      <c r="B672" s="99"/>
      <c r="C672" s="99"/>
      <c r="D672" s="99"/>
      <c r="E672" s="99"/>
      <c r="F672" s="99"/>
      <c r="G672" s="19"/>
      <c r="H672" s="99"/>
      <c r="J672" s="159"/>
      <c r="K672" s="99"/>
      <c r="L672" s="99"/>
      <c r="M672" s="99"/>
      <c r="N672" s="99"/>
      <c r="O672" s="99"/>
      <c r="P672" s="99"/>
    </row>
    <row r="673" spans="1:16">
      <c r="A673" s="99"/>
      <c r="B673" s="99"/>
      <c r="C673" s="99"/>
      <c r="D673" s="99"/>
      <c r="E673" s="99"/>
      <c r="F673" s="99"/>
      <c r="G673" s="19"/>
      <c r="H673" s="99"/>
      <c r="J673" s="159"/>
      <c r="K673" s="99"/>
      <c r="L673" s="99"/>
      <c r="M673" s="99"/>
      <c r="N673" s="99"/>
      <c r="O673" s="99"/>
      <c r="P673" s="99"/>
    </row>
    <row r="674" spans="1:16">
      <c r="A674" s="99"/>
      <c r="B674" s="99"/>
      <c r="C674" s="99"/>
      <c r="D674" s="99"/>
      <c r="E674" s="99"/>
      <c r="F674" s="99"/>
      <c r="G674" s="19"/>
      <c r="H674" s="99"/>
      <c r="J674" s="159"/>
      <c r="K674" s="99"/>
      <c r="L674" s="99"/>
      <c r="M674" s="99"/>
      <c r="N674" s="99"/>
      <c r="O674" s="99"/>
      <c r="P674" s="99"/>
    </row>
    <row r="675" spans="1:16">
      <c r="A675" s="99"/>
      <c r="B675" s="99"/>
      <c r="C675" s="99"/>
      <c r="D675" s="99"/>
      <c r="E675" s="99"/>
      <c r="F675" s="99"/>
      <c r="G675" s="19"/>
      <c r="H675" s="99"/>
      <c r="J675" s="159"/>
      <c r="K675" s="99"/>
      <c r="L675" s="99"/>
      <c r="M675" s="99"/>
      <c r="N675" s="99"/>
      <c r="O675" s="99"/>
      <c r="P675" s="99"/>
    </row>
    <row r="676" spans="1:16">
      <c r="A676" s="99"/>
      <c r="B676" s="99"/>
      <c r="C676" s="99"/>
      <c r="D676" s="99"/>
      <c r="E676" s="99"/>
      <c r="F676" s="99"/>
      <c r="G676" s="19"/>
      <c r="H676" s="99"/>
      <c r="J676" s="159"/>
      <c r="K676" s="99"/>
      <c r="L676" s="99"/>
      <c r="M676" s="99"/>
      <c r="N676" s="99"/>
      <c r="O676" s="99"/>
      <c r="P676" s="99"/>
    </row>
    <row r="677" spans="1:16">
      <c r="A677" s="99"/>
      <c r="B677" s="99"/>
      <c r="C677" s="99"/>
      <c r="D677" s="99"/>
      <c r="E677" s="99"/>
      <c r="F677" s="99"/>
      <c r="G677" s="19"/>
      <c r="H677" s="99"/>
      <c r="J677" s="159"/>
      <c r="K677" s="99"/>
      <c r="L677" s="99"/>
      <c r="M677" s="99"/>
      <c r="N677" s="99"/>
      <c r="O677" s="99"/>
      <c r="P677" s="99"/>
    </row>
    <row r="678" spans="1:16">
      <c r="A678" s="99"/>
      <c r="B678" s="99"/>
      <c r="C678" s="99"/>
      <c r="D678" s="99"/>
      <c r="E678" s="99"/>
      <c r="F678" s="99"/>
      <c r="G678" s="19"/>
      <c r="H678" s="99"/>
      <c r="J678" s="159"/>
      <c r="K678" s="99"/>
      <c r="L678" s="99"/>
      <c r="M678" s="99"/>
      <c r="N678" s="99"/>
      <c r="O678" s="99"/>
      <c r="P678" s="99"/>
    </row>
    <row r="679" spans="1:16">
      <c r="A679" s="99"/>
      <c r="B679" s="99"/>
      <c r="C679" s="99"/>
      <c r="D679" s="99"/>
      <c r="E679" s="99"/>
      <c r="F679" s="99"/>
      <c r="G679" s="19"/>
      <c r="H679" s="99"/>
      <c r="J679" s="159"/>
      <c r="K679" s="99"/>
      <c r="L679" s="99"/>
      <c r="M679" s="99"/>
      <c r="N679" s="99"/>
      <c r="O679" s="99"/>
      <c r="P679" s="99"/>
    </row>
    <row r="680" spans="1:16">
      <c r="A680" s="99"/>
      <c r="B680" s="99"/>
      <c r="C680" s="99"/>
      <c r="D680" s="99"/>
      <c r="E680" s="99"/>
      <c r="F680" s="99"/>
      <c r="G680" s="19"/>
      <c r="H680" s="99"/>
      <c r="J680" s="159"/>
      <c r="K680" s="99"/>
      <c r="L680" s="99"/>
      <c r="M680" s="99"/>
      <c r="N680" s="99"/>
      <c r="O680" s="99"/>
      <c r="P680" s="99"/>
    </row>
    <row r="681" spans="1:16">
      <c r="A681" s="99"/>
      <c r="B681" s="99"/>
      <c r="C681" s="99"/>
      <c r="D681" s="99"/>
      <c r="E681" s="99"/>
      <c r="F681" s="99"/>
      <c r="G681" s="19"/>
      <c r="H681" s="99"/>
      <c r="J681" s="159"/>
      <c r="K681" s="99"/>
      <c r="L681" s="99"/>
      <c r="M681" s="99"/>
      <c r="N681" s="99"/>
      <c r="O681" s="99"/>
      <c r="P681" s="99"/>
    </row>
    <row r="682" spans="1:16">
      <c r="A682" s="99"/>
      <c r="B682" s="99"/>
      <c r="C682" s="99"/>
      <c r="D682" s="99"/>
      <c r="E682" s="99"/>
      <c r="F682" s="99"/>
      <c r="G682" s="19"/>
      <c r="H682" s="99"/>
      <c r="J682" s="159"/>
      <c r="K682" s="99"/>
      <c r="L682" s="99"/>
      <c r="M682" s="99"/>
      <c r="N682" s="99"/>
      <c r="O682" s="99"/>
      <c r="P682" s="99"/>
    </row>
    <row r="683" spans="1:16">
      <c r="A683" s="99"/>
      <c r="B683" s="99"/>
      <c r="C683" s="99"/>
      <c r="D683" s="99"/>
      <c r="E683" s="99"/>
      <c r="F683" s="99"/>
      <c r="G683" s="19"/>
      <c r="H683" s="99"/>
      <c r="J683" s="159"/>
      <c r="K683" s="99"/>
      <c r="L683" s="99"/>
      <c r="M683" s="99"/>
      <c r="N683" s="99"/>
      <c r="O683" s="99"/>
      <c r="P683" s="99"/>
    </row>
    <row r="684" spans="1:16">
      <c r="A684" s="99"/>
      <c r="B684" s="99"/>
      <c r="C684" s="99"/>
      <c r="D684" s="99"/>
      <c r="E684" s="99"/>
      <c r="F684" s="99"/>
      <c r="G684" s="19"/>
      <c r="H684" s="99"/>
      <c r="J684" s="159"/>
      <c r="K684" s="99"/>
      <c r="L684" s="99"/>
      <c r="M684" s="99"/>
      <c r="N684" s="99"/>
      <c r="O684" s="99"/>
      <c r="P684" s="99"/>
    </row>
    <row r="685" spans="1:16">
      <c r="A685" s="99"/>
      <c r="B685" s="99"/>
      <c r="C685" s="99"/>
      <c r="D685" s="99"/>
      <c r="E685" s="99"/>
      <c r="F685" s="99"/>
      <c r="G685" s="19"/>
      <c r="H685" s="99"/>
      <c r="J685" s="159"/>
      <c r="K685" s="99"/>
      <c r="L685" s="99"/>
      <c r="M685" s="99"/>
      <c r="N685" s="99"/>
      <c r="O685" s="99"/>
      <c r="P685" s="99"/>
    </row>
    <row r="686" spans="1:16">
      <c r="A686" s="99"/>
      <c r="B686" s="99"/>
      <c r="C686" s="99"/>
      <c r="D686" s="99"/>
      <c r="E686" s="99"/>
      <c r="F686" s="99"/>
      <c r="G686" s="19"/>
      <c r="H686" s="99"/>
      <c r="J686" s="159"/>
      <c r="K686" s="99"/>
      <c r="L686" s="99"/>
      <c r="M686" s="99"/>
      <c r="N686" s="99"/>
      <c r="O686" s="99"/>
      <c r="P686" s="99"/>
    </row>
    <row r="687" spans="1:16">
      <c r="A687" s="99"/>
      <c r="B687" s="99"/>
      <c r="C687" s="99"/>
      <c r="D687" s="99"/>
      <c r="E687" s="99"/>
      <c r="F687" s="99"/>
      <c r="G687" s="19"/>
      <c r="H687" s="99"/>
      <c r="J687" s="159"/>
      <c r="K687" s="99"/>
      <c r="L687" s="99"/>
      <c r="M687" s="99"/>
      <c r="N687" s="99"/>
      <c r="O687" s="99"/>
      <c r="P687" s="99"/>
    </row>
    <row r="688" spans="1:16">
      <c r="A688" s="99"/>
      <c r="B688" s="99"/>
      <c r="C688" s="99"/>
      <c r="D688" s="99"/>
      <c r="E688" s="99"/>
      <c r="F688" s="99"/>
      <c r="G688" s="19"/>
      <c r="H688" s="99"/>
      <c r="J688" s="159"/>
      <c r="K688" s="99"/>
      <c r="L688" s="99"/>
      <c r="M688" s="99"/>
      <c r="N688" s="99"/>
      <c r="O688" s="99"/>
      <c r="P688" s="99"/>
    </row>
    <row r="689" spans="1:16">
      <c r="A689" s="99"/>
      <c r="B689" s="99"/>
      <c r="C689" s="99"/>
      <c r="D689" s="99"/>
      <c r="E689" s="99"/>
      <c r="F689" s="99"/>
      <c r="G689" s="19"/>
      <c r="H689" s="99"/>
      <c r="J689" s="159"/>
      <c r="K689" s="99"/>
      <c r="L689" s="99"/>
      <c r="M689" s="99"/>
      <c r="N689" s="99"/>
      <c r="O689" s="99"/>
      <c r="P689" s="99"/>
    </row>
    <row r="690" spans="1:16">
      <c r="A690" s="99"/>
      <c r="B690" s="99"/>
      <c r="C690" s="99"/>
      <c r="D690" s="99"/>
      <c r="E690" s="99"/>
      <c r="F690" s="99"/>
      <c r="G690" s="19"/>
      <c r="H690" s="99"/>
      <c r="J690" s="159"/>
      <c r="K690" s="99"/>
      <c r="L690" s="99"/>
      <c r="M690" s="99"/>
      <c r="N690" s="99"/>
      <c r="O690" s="99"/>
      <c r="P690" s="99"/>
    </row>
    <row r="691" spans="1:16">
      <c r="A691" s="99"/>
      <c r="B691" s="99"/>
      <c r="C691" s="99"/>
      <c r="D691" s="99"/>
      <c r="E691" s="99"/>
      <c r="F691" s="99"/>
      <c r="G691" s="19"/>
      <c r="H691" s="99"/>
      <c r="J691" s="159"/>
      <c r="K691" s="99"/>
      <c r="L691" s="99"/>
      <c r="M691" s="99"/>
      <c r="N691" s="99"/>
      <c r="O691" s="99"/>
      <c r="P691" s="99"/>
    </row>
    <row r="692" spans="1:16">
      <c r="A692" s="99"/>
      <c r="B692" s="99"/>
      <c r="C692" s="99"/>
      <c r="D692" s="99"/>
      <c r="E692" s="99"/>
      <c r="F692" s="99"/>
      <c r="G692" s="19"/>
      <c r="H692" s="99"/>
      <c r="J692" s="159"/>
      <c r="K692" s="99"/>
      <c r="L692" s="99"/>
      <c r="M692" s="99"/>
      <c r="N692" s="99"/>
      <c r="O692" s="99"/>
      <c r="P692" s="99"/>
    </row>
    <row r="693" spans="1:16">
      <c r="A693" s="99"/>
      <c r="B693" s="99"/>
      <c r="C693" s="99"/>
      <c r="D693" s="99"/>
      <c r="E693" s="99"/>
      <c r="F693" s="99"/>
      <c r="G693" s="19"/>
      <c r="H693" s="99"/>
      <c r="J693" s="159"/>
      <c r="K693" s="99"/>
      <c r="L693" s="99"/>
      <c r="M693" s="99"/>
      <c r="N693" s="99"/>
      <c r="O693" s="99"/>
      <c r="P693" s="99"/>
    </row>
    <row r="694" spans="1:16">
      <c r="A694" s="99"/>
      <c r="B694" s="99"/>
      <c r="C694" s="99"/>
      <c r="D694" s="99"/>
      <c r="E694" s="99"/>
      <c r="F694" s="99"/>
      <c r="G694" s="19"/>
      <c r="H694" s="99"/>
      <c r="J694" s="159"/>
      <c r="K694" s="99"/>
      <c r="L694" s="99"/>
      <c r="M694" s="99"/>
      <c r="N694" s="99"/>
      <c r="O694" s="99"/>
      <c r="P694" s="99"/>
    </row>
    <row r="695" spans="1:16">
      <c r="A695" s="99"/>
      <c r="B695" s="99"/>
      <c r="C695" s="99"/>
      <c r="D695" s="99"/>
      <c r="E695" s="99"/>
      <c r="F695" s="99"/>
      <c r="G695" s="19"/>
      <c r="H695" s="99"/>
      <c r="J695" s="159"/>
      <c r="K695" s="99"/>
      <c r="L695" s="99"/>
      <c r="M695" s="99"/>
      <c r="N695" s="99"/>
      <c r="O695" s="99"/>
      <c r="P695" s="99"/>
    </row>
    <row r="696" spans="1:16">
      <c r="A696" s="99"/>
      <c r="B696" s="99"/>
      <c r="C696" s="99"/>
      <c r="D696" s="99"/>
      <c r="E696" s="99"/>
      <c r="F696" s="99"/>
      <c r="G696" s="19"/>
      <c r="H696" s="99"/>
      <c r="J696" s="159"/>
      <c r="K696" s="99"/>
      <c r="L696" s="99"/>
      <c r="M696" s="99"/>
      <c r="N696" s="99"/>
      <c r="O696" s="99"/>
      <c r="P696" s="99"/>
    </row>
    <row r="697" spans="1:16">
      <c r="A697" s="99"/>
      <c r="B697" s="99"/>
      <c r="C697" s="99"/>
      <c r="D697" s="99"/>
      <c r="E697" s="99"/>
      <c r="F697" s="99"/>
      <c r="G697" s="19"/>
      <c r="H697" s="99"/>
      <c r="J697" s="159"/>
      <c r="K697" s="99"/>
      <c r="L697" s="99"/>
      <c r="M697" s="99"/>
      <c r="N697" s="99"/>
      <c r="O697" s="99"/>
      <c r="P697" s="99"/>
    </row>
    <row r="698" spans="1:16">
      <c r="A698" s="99"/>
      <c r="B698" s="99"/>
      <c r="C698" s="99"/>
      <c r="D698" s="99"/>
      <c r="E698" s="99"/>
      <c r="F698" s="99"/>
      <c r="G698" s="19"/>
      <c r="H698" s="99"/>
      <c r="J698" s="99"/>
      <c r="K698" s="99"/>
      <c r="L698" s="99"/>
      <c r="M698" s="99"/>
      <c r="N698" s="99"/>
      <c r="O698" s="99"/>
      <c r="P698" s="99"/>
    </row>
    <row r="699" spans="1:16">
      <c r="A699" s="99"/>
      <c r="B699" s="99"/>
      <c r="C699" s="99"/>
      <c r="D699" s="99"/>
      <c r="E699" s="99"/>
      <c r="F699" s="99"/>
      <c r="G699" s="19"/>
      <c r="H699" s="99"/>
      <c r="J699" s="99"/>
      <c r="K699" s="99"/>
      <c r="L699" s="99"/>
      <c r="M699" s="99"/>
      <c r="N699" s="99"/>
      <c r="O699" s="99"/>
      <c r="P699" s="99"/>
    </row>
    <row r="700" spans="1:16">
      <c r="A700" s="99"/>
      <c r="B700" s="99"/>
      <c r="C700" s="99"/>
      <c r="D700" s="99"/>
      <c r="E700" s="99"/>
      <c r="F700" s="99"/>
      <c r="G700" s="19"/>
      <c r="H700" s="99"/>
      <c r="J700" s="99"/>
      <c r="K700" s="99"/>
      <c r="L700" s="99"/>
      <c r="M700" s="99"/>
      <c r="N700" s="99"/>
      <c r="O700" s="99"/>
      <c r="P700" s="99"/>
    </row>
    <row r="701" spans="1:16">
      <c r="A701" s="99"/>
      <c r="B701" s="99"/>
      <c r="C701" s="99"/>
      <c r="D701" s="99"/>
      <c r="E701" s="99"/>
      <c r="F701" s="99"/>
      <c r="G701" s="19"/>
      <c r="H701" s="99"/>
      <c r="J701" s="99"/>
      <c r="K701" s="99"/>
      <c r="L701" s="99"/>
      <c r="M701" s="99"/>
      <c r="N701" s="99"/>
      <c r="O701" s="99"/>
      <c r="P701" s="99"/>
    </row>
    <row r="702" spans="1:16">
      <c r="A702" s="99"/>
      <c r="B702" s="99"/>
      <c r="C702" s="99"/>
      <c r="D702" s="99"/>
      <c r="E702" s="99"/>
      <c r="F702" s="99"/>
      <c r="G702" s="19"/>
      <c r="H702" s="99"/>
      <c r="J702" s="99"/>
      <c r="K702" s="99"/>
      <c r="L702" s="99"/>
      <c r="M702" s="99"/>
      <c r="N702" s="99"/>
      <c r="O702" s="99"/>
      <c r="P702" s="99"/>
    </row>
    <row r="703" spans="1:16">
      <c r="A703" s="99"/>
      <c r="B703" s="99"/>
      <c r="C703" s="99"/>
      <c r="D703" s="99"/>
      <c r="E703" s="99"/>
      <c r="F703" s="99"/>
      <c r="G703" s="19"/>
      <c r="H703" s="99"/>
      <c r="J703" s="99"/>
      <c r="K703" s="99"/>
      <c r="L703" s="99"/>
      <c r="M703" s="99"/>
      <c r="N703" s="99"/>
      <c r="O703" s="99"/>
      <c r="P703" s="99"/>
    </row>
    <row r="704" spans="1:16">
      <c r="A704" s="99"/>
      <c r="B704" s="99"/>
      <c r="C704" s="99"/>
      <c r="D704" s="99"/>
      <c r="E704" s="99"/>
      <c r="F704" s="99"/>
      <c r="G704" s="19"/>
      <c r="H704" s="99"/>
      <c r="J704" s="99"/>
      <c r="K704" s="99"/>
      <c r="L704" s="99"/>
      <c r="M704" s="99"/>
      <c r="N704" s="99"/>
      <c r="O704" s="99"/>
      <c r="P704" s="99"/>
    </row>
    <row r="705" spans="1:16">
      <c r="A705" s="99"/>
      <c r="B705" s="99"/>
      <c r="C705" s="99"/>
      <c r="D705" s="99"/>
      <c r="E705" s="99"/>
      <c r="F705" s="99"/>
      <c r="G705" s="19"/>
      <c r="H705" s="99"/>
      <c r="J705" s="99"/>
      <c r="K705" s="99"/>
      <c r="L705" s="99"/>
      <c r="M705" s="99"/>
      <c r="N705" s="99"/>
      <c r="O705" s="99"/>
      <c r="P705" s="99"/>
    </row>
    <row r="706" spans="1:16">
      <c r="A706" s="99"/>
      <c r="B706" s="99"/>
      <c r="C706" s="99"/>
      <c r="D706" s="99"/>
      <c r="E706" s="99"/>
      <c r="F706" s="99"/>
      <c r="G706" s="19"/>
      <c r="H706" s="99"/>
      <c r="J706" s="99"/>
      <c r="K706" s="99"/>
      <c r="L706" s="99"/>
      <c r="M706" s="99"/>
      <c r="N706" s="99"/>
      <c r="O706" s="99"/>
      <c r="P706" s="99"/>
    </row>
    <row r="707" spans="1:16">
      <c r="A707" s="99"/>
      <c r="B707" s="99"/>
      <c r="C707" s="99"/>
      <c r="D707" s="99"/>
      <c r="E707" s="99"/>
      <c r="F707" s="99"/>
      <c r="G707" s="19"/>
      <c r="H707" s="99"/>
      <c r="J707" s="99"/>
      <c r="K707" s="99"/>
      <c r="L707" s="99"/>
      <c r="M707" s="99"/>
      <c r="N707" s="99"/>
      <c r="O707" s="99"/>
      <c r="P707" s="99"/>
    </row>
    <row r="708" spans="1:16">
      <c r="A708" s="99"/>
      <c r="B708" s="99"/>
      <c r="C708" s="99"/>
      <c r="D708" s="99"/>
      <c r="E708" s="99"/>
      <c r="F708" s="99"/>
      <c r="G708" s="19"/>
      <c r="H708" s="99"/>
      <c r="J708" s="99"/>
      <c r="K708" s="99"/>
      <c r="L708" s="99"/>
      <c r="M708" s="99"/>
      <c r="N708" s="99"/>
      <c r="O708" s="99"/>
      <c r="P708" s="99"/>
    </row>
    <row r="709" spans="1:16">
      <c r="A709" s="99"/>
      <c r="B709" s="99"/>
      <c r="C709" s="99"/>
      <c r="D709" s="99"/>
      <c r="E709" s="99"/>
      <c r="F709" s="99"/>
      <c r="G709" s="19"/>
      <c r="H709" s="99"/>
      <c r="J709" s="99"/>
      <c r="K709" s="99"/>
      <c r="L709" s="99"/>
      <c r="M709" s="99"/>
      <c r="N709" s="99"/>
      <c r="O709" s="99"/>
      <c r="P709" s="99"/>
    </row>
    <row r="710" spans="1:16">
      <c r="A710" s="99"/>
      <c r="B710" s="99"/>
      <c r="C710" s="99"/>
      <c r="D710" s="99"/>
      <c r="E710" s="99"/>
      <c r="F710" s="99"/>
      <c r="G710" s="19"/>
      <c r="H710" s="99"/>
      <c r="J710" s="99"/>
      <c r="K710" s="99"/>
      <c r="L710" s="99"/>
      <c r="M710" s="99"/>
      <c r="N710" s="99"/>
      <c r="O710" s="99"/>
      <c r="P710" s="99"/>
    </row>
    <row r="711" spans="1:16">
      <c r="A711" s="99"/>
      <c r="B711" s="99"/>
      <c r="C711" s="99"/>
      <c r="D711" s="99"/>
      <c r="E711" s="99"/>
      <c r="F711" s="99"/>
      <c r="G711" s="19"/>
      <c r="H711" s="99"/>
      <c r="J711" s="99"/>
      <c r="K711" s="99"/>
      <c r="L711" s="99"/>
      <c r="M711" s="99"/>
      <c r="N711" s="99"/>
      <c r="O711" s="99"/>
      <c r="P711" s="99"/>
    </row>
    <row r="712" spans="1:16">
      <c r="A712" s="99"/>
      <c r="B712" s="99"/>
      <c r="C712" s="99"/>
      <c r="D712" s="99"/>
      <c r="E712" s="99"/>
      <c r="F712" s="99"/>
      <c r="G712" s="19"/>
      <c r="H712" s="99"/>
      <c r="J712" s="99"/>
      <c r="K712" s="99"/>
      <c r="L712" s="99"/>
      <c r="M712" s="99"/>
      <c r="N712" s="99"/>
      <c r="O712" s="99"/>
      <c r="P712" s="99"/>
    </row>
    <row r="713" spans="1:16">
      <c r="A713" s="99"/>
      <c r="B713" s="99"/>
      <c r="C713" s="99"/>
      <c r="D713" s="99"/>
      <c r="E713" s="99"/>
      <c r="F713" s="99"/>
      <c r="G713" s="19"/>
      <c r="H713" s="99"/>
      <c r="J713" s="99"/>
      <c r="K713" s="99"/>
      <c r="L713" s="99"/>
      <c r="M713" s="99"/>
      <c r="N713" s="99"/>
      <c r="O713" s="99"/>
      <c r="P713" s="99"/>
    </row>
    <row r="714" spans="1:16">
      <c r="A714" s="99"/>
      <c r="B714" s="99"/>
      <c r="C714" s="99"/>
      <c r="D714" s="99"/>
      <c r="E714" s="99"/>
      <c r="F714" s="99"/>
      <c r="G714" s="19"/>
      <c r="H714" s="99"/>
      <c r="J714" s="99"/>
      <c r="K714" s="99"/>
      <c r="L714" s="99"/>
      <c r="M714" s="99"/>
      <c r="N714" s="99"/>
      <c r="O714" s="99"/>
      <c r="P714" s="99"/>
    </row>
    <row r="715" spans="1:16">
      <c r="A715" s="99"/>
      <c r="B715" s="99"/>
      <c r="C715" s="99"/>
      <c r="D715" s="99"/>
      <c r="E715" s="99"/>
      <c r="F715" s="99"/>
      <c r="G715" s="19"/>
      <c r="H715" s="99"/>
      <c r="J715" s="99"/>
      <c r="K715" s="99"/>
      <c r="L715" s="99"/>
      <c r="M715" s="99"/>
      <c r="N715" s="99"/>
      <c r="O715" s="99"/>
      <c r="P715" s="99"/>
    </row>
    <row r="716" spans="1:16">
      <c r="A716" s="99"/>
      <c r="B716" s="99"/>
      <c r="C716" s="99"/>
      <c r="D716" s="99"/>
      <c r="E716" s="99"/>
      <c r="F716" s="99"/>
      <c r="G716" s="19"/>
      <c r="H716" s="99"/>
      <c r="J716" s="99"/>
      <c r="K716" s="99"/>
      <c r="L716" s="99"/>
      <c r="M716" s="99"/>
      <c r="N716" s="99"/>
      <c r="O716" s="99"/>
      <c r="P716" s="99"/>
    </row>
    <row r="717" spans="1:16">
      <c r="A717" s="99"/>
      <c r="B717" s="99"/>
      <c r="C717" s="99"/>
      <c r="D717" s="99"/>
      <c r="E717" s="99"/>
      <c r="F717" s="99"/>
      <c r="G717" s="19"/>
      <c r="H717" s="99"/>
      <c r="J717" s="99"/>
      <c r="K717" s="99"/>
      <c r="L717" s="99"/>
      <c r="M717" s="99"/>
      <c r="N717" s="99"/>
      <c r="O717" s="99"/>
      <c r="P717" s="99"/>
    </row>
    <row r="718" spans="1:16">
      <c r="A718" s="99"/>
      <c r="B718" s="99"/>
      <c r="C718" s="99"/>
      <c r="D718" s="99"/>
      <c r="E718" s="99"/>
      <c r="F718" s="99"/>
      <c r="G718" s="19"/>
      <c r="H718" s="99"/>
      <c r="J718" s="99"/>
      <c r="K718" s="99"/>
      <c r="L718" s="99"/>
      <c r="M718" s="99"/>
      <c r="N718" s="99"/>
      <c r="O718" s="99"/>
      <c r="P718" s="99"/>
    </row>
    <row r="719" spans="1:16">
      <c r="A719" s="99"/>
      <c r="B719" s="99"/>
      <c r="C719" s="99"/>
      <c r="D719" s="99"/>
      <c r="E719" s="99"/>
      <c r="F719" s="99"/>
      <c r="G719" s="19"/>
      <c r="H719" s="99"/>
      <c r="J719" s="99"/>
      <c r="K719" s="99"/>
      <c r="L719" s="99"/>
      <c r="M719" s="99"/>
      <c r="N719" s="99"/>
      <c r="O719" s="99"/>
      <c r="P719" s="99"/>
    </row>
    <row r="720" spans="1:16">
      <c r="A720" s="99"/>
      <c r="B720" s="99"/>
      <c r="C720" s="99"/>
      <c r="D720" s="99"/>
      <c r="E720" s="99"/>
      <c r="F720" s="99"/>
      <c r="G720" s="19"/>
      <c r="H720" s="99"/>
      <c r="J720" s="99"/>
      <c r="K720" s="99"/>
      <c r="L720" s="99"/>
      <c r="M720" s="99"/>
      <c r="N720" s="99"/>
      <c r="O720" s="99"/>
      <c r="P720" s="99"/>
    </row>
    <row r="721" spans="1:16">
      <c r="A721" s="99"/>
      <c r="B721" s="99"/>
      <c r="C721" s="99"/>
      <c r="D721" s="99"/>
      <c r="E721" s="99"/>
      <c r="F721" s="99"/>
      <c r="G721" s="19"/>
      <c r="H721" s="99"/>
      <c r="J721" s="99"/>
      <c r="K721" s="99"/>
      <c r="L721" s="99"/>
      <c r="M721" s="99"/>
      <c r="N721" s="99"/>
      <c r="O721" s="99"/>
      <c r="P721" s="99"/>
    </row>
    <row r="722" spans="1:16">
      <c r="A722" s="99"/>
      <c r="B722" s="99"/>
      <c r="C722" s="99"/>
      <c r="D722" s="99"/>
      <c r="E722" s="99"/>
      <c r="F722" s="99"/>
      <c r="G722" s="19"/>
      <c r="H722" s="99"/>
      <c r="J722" s="99"/>
      <c r="K722" s="99"/>
      <c r="L722" s="99"/>
      <c r="M722" s="99"/>
      <c r="N722" s="99"/>
      <c r="O722" s="99"/>
      <c r="P722" s="99"/>
    </row>
    <row r="723" spans="1:16">
      <c r="A723" s="99"/>
      <c r="B723" s="99"/>
      <c r="C723" s="99"/>
      <c r="D723" s="99"/>
      <c r="E723" s="99"/>
      <c r="F723" s="99"/>
      <c r="G723" s="19"/>
      <c r="H723" s="99"/>
      <c r="J723" s="99"/>
      <c r="K723" s="99"/>
      <c r="L723" s="99"/>
      <c r="M723" s="99"/>
      <c r="N723" s="99"/>
      <c r="O723" s="99"/>
      <c r="P723" s="99"/>
    </row>
    <row r="724" spans="1:16">
      <c r="A724" s="99"/>
      <c r="B724" s="99"/>
      <c r="C724" s="99"/>
      <c r="D724" s="99"/>
      <c r="E724" s="99"/>
      <c r="F724" s="99"/>
      <c r="G724" s="19"/>
      <c r="H724" s="99"/>
      <c r="J724" s="99"/>
      <c r="K724" s="99"/>
      <c r="L724" s="99"/>
      <c r="M724" s="99"/>
      <c r="N724" s="99"/>
      <c r="O724" s="99"/>
      <c r="P724" s="99"/>
    </row>
    <row r="725" spans="1:16">
      <c r="A725" s="99"/>
      <c r="B725" s="99"/>
      <c r="C725" s="99"/>
      <c r="D725" s="99"/>
      <c r="E725" s="99"/>
      <c r="F725" s="99"/>
      <c r="G725" s="19"/>
      <c r="H725" s="99"/>
      <c r="J725" s="99"/>
      <c r="K725" s="99"/>
      <c r="L725" s="99"/>
      <c r="M725" s="99"/>
      <c r="N725" s="99"/>
      <c r="O725" s="99"/>
      <c r="P725" s="99"/>
    </row>
    <row r="726" spans="1:16">
      <c r="A726" s="99"/>
      <c r="B726" s="99"/>
      <c r="C726" s="99"/>
      <c r="D726" s="99"/>
      <c r="E726" s="99"/>
      <c r="F726" s="99"/>
      <c r="G726" s="19"/>
      <c r="H726" s="99"/>
      <c r="J726" s="99"/>
      <c r="K726" s="99"/>
      <c r="L726" s="99"/>
      <c r="M726" s="99"/>
      <c r="N726" s="99"/>
      <c r="O726" s="99"/>
      <c r="P726" s="99"/>
    </row>
    <row r="727" spans="1:16">
      <c r="A727" s="99"/>
      <c r="B727" s="99"/>
      <c r="C727" s="99"/>
      <c r="D727" s="99"/>
      <c r="E727" s="99"/>
      <c r="F727" s="99"/>
      <c r="G727" s="19"/>
      <c r="H727" s="99"/>
      <c r="J727" s="99"/>
      <c r="K727" s="99"/>
      <c r="L727" s="99"/>
      <c r="M727" s="99"/>
      <c r="N727" s="99"/>
      <c r="O727" s="99"/>
      <c r="P727" s="99"/>
    </row>
    <row r="728" spans="1:16">
      <c r="A728" s="99"/>
      <c r="B728" s="99"/>
      <c r="C728" s="99"/>
      <c r="D728" s="99"/>
      <c r="E728" s="99"/>
      <c r="F728" s="99"/>
      <c r="G728" s="19"/>
      <c r="H728" s="99"/>
      <c r="J728" s="99"/>
      <c r="K728" s="99"/>
      <c r="L728" s="99"/>
      <c r="M728" s="99"/>
      <c r="N728" s="99"/>
      <c r="O728" s="99"/>
      <c r="P728" s="99"/>
    </row>
    <row r="729" spans="1:16">
      <c r="A729" s="99"/>
      <c r="B729" s="99"/>
      <c r="C729" s="99"/>
      <c r="D729" s="99"/>
      <c r="E729" s="99"/>
      <c r="F729" s="99"/>
      <c r="G729" s="19"/>
      <c r="H729" s="99"/>
      <c r="J729" s="99"/>
      <c r="K729" s="99"/>
      <c r="L729" s="99"/>
      <c r="M729" s="99"/>
      <c r="N729" s="99"/>
      <c r="O729" s="99"/>
      <c r="P729" s="99"/>
    </row>
    <row r="730" spans="1:16">
      <c r="A730" s="99"/>
      <c r="B730" s="99"/>
      <c r="C730" s="99"/>
      <c r="D730" s="99"/>
      <c r="E730" s="99"/>
      <c r="F730" s="99"/>
      <c r="G730" s="19"/>
      <c r="H730" s="99"/>
      <c r="J730" s="99"/>
      <c r="K730" s="99"/>
      <c r="L730" s="99"/>
      <c r="M730" s="99"/>
      <c r="N730" s="99"/>
      <c r="O730" s="99"/>
      <c r="P730" s="99"/>
    </row>
    <row r="731" spans="1:16">
      <c r="A731" s="99"/>
      <c r="B731" s="99"/>
      <c r="C731" s="99"/>
      <c r="D731" s="99"/>
      <c r="E731" s="99"/>
      <c r="F731" s="99"/>
      <c r="G731" s="19"/>
      <c r="H731" s="99"/>
      <c r="J731" s="99"/>
      <c r="K731" s="99"/>
      <c r="L731" s="99"/>
      <c r="M731" s="99"/>
      <c r="N731" s="99"/>
      <c r="O731" s="99"/>
      <c r="P731" s="99"/>
    </row>
    <row r="732" spans="1:16">
      <c r="A732" s="99"/>
      <c r="B732" s="99"/>
      <c r="C732" s="99"/>
      <c r="D732" s="99"/>
      <c r="E732" s="99"/>
      <c r="F732" s="99"/>
      <c r="G732" s="19"/>
      <c r="H732" s="99"/>
      <c r="J732" s="99"/>
      <c r="K732" s="99"/>
      <c r="L732" s="99"/>
      <c r="M732" s="99"/>
      <c r="N732" s="99"/>
      <c r="O732" s="99"/>
      <c r="P732" s="99"/>
    </row>
    <row r="733" spans="1:16">
      <c r="A733" s="99"/>
      <c r="B733" s="99"/>
      <c r="C733" s="99"/>
      <c r="D733" s="99"/>
      <c r="E733" s="99"/>
      <c r="F733" s="99"/>
      <c r="G733" s="19"/>
      <c r="H733" s="99"/>
      <c r="J733" s="99"/>
      <c r="K733" s="99"/>
      <c r="L733" s="99"/>
      <c r="M733" s="99"/>
      <c r="N733" s="99"/>
      <c r="O733" s="99"/>
      <c r="P733" s="99"/>
    </row>
    <row r="734" spans="1:16">
      <c r="A734" s="99"/>
      <c r="B734" s="99"/>
      <c r="C734" s="99"/>
      <c r="D734" s="99"/>
      <c r="E734" s="99"/>
      <c r="F734" s="99"/>
      <c r="G734" s="19"/>
      <c r="H734" s="99"/>
      <c r="J734" s="99"/>
      <c r="K734" s="99"/>
      <c r="L734" s="99"/>
      <c r="M734" s="99"/>
      <c r="N734" s="99"/>
      <c r="O734" s="99"/>
      <c r="P734" s="99"/>
    </row>
    <row r="735" spans="1:16">
      <c r="A735" s="99"/>
      <c r="B735" s="99"/>
      <c r="C735" s="99"/>
      <c r="D735" s="99"/>
      <c r="E735" s="99"/>
      <c r="F735" s="99"/>
      <c r="G735" s="19"/>
      <c r="H735" s="99"/>
      <c r="J735" s="99"/>
      <c r="K735" s="99"/>
      <c r="L735" s="99"/>
      <c r="M735" s="99"/>
      <c r="N735" s="99"/>
      <c r="O735" s="99"/>
      <c r="P735" s="99"/>
    </row>
    <row r="736" spans="1:16">
      <c r="A736" s="99"/>
      <c r="B736" s="99"/>
      <c r="C736" s="99"/>
      <c r="D736" s="99"/>
      <c r="E736" s="99"/>
      <c r="F736" s="99"/>
      <c r="G736" s="19"/>
      <c r="H736" s="99"/>
      <c r="J736" s="99"/>
      <c r="K736" s="99"/>
      <c r="L736" s="99"/>
      <c r="M736" s="99"/>
      <c r="N736" s="99"/>
      <c r="O736" s="99"/>
      <c r="P736" s="99"/>
    </row>
    <row r="737" spans="1:16">
      <c r="A737" s="99"/>
      <c r="B737" s="99"/>
      <c r="C737" s="99"/>
      <c r="D737" s="99"/>
      <c r="E737" s="99"/>
      <c r="F737" s="99"/>
      <c r="G737" s="19"/>
      <c r="H737" s="99"/>
      <c r="J737" s="99"/>
      <c r="K737" s="99"/>
      <c r="L737" s="99"/>
      <c r="M737" s="99"/>
      <c r="N737" s="99"/>
      <c r="O737" s="99"/>
      <c r="P737" s="99"/>
    </row>
    <row r="738" spans="1:16">
      <c r="A738" s="99"/>
      <c r="B738" s="99"/>
      <c r="C738" s="99"/>
      <c r="D738" s="99"/>
      <c r="E738" s="99"/>
      <c r="F738" s="99"/>
      <c r="G738" s="19"/>
      <c r="H738" s="99"/>
      <c r="J738" s="99"/>
      <c r="K738" s="99"/>
      <c r="L738" s="99"/>
      <c r="M738" s="99"/>
      <c r="N738" s="99"/>
      <c r="O738" s="99"/>
      <c r="P738" s="99"/>
    </row>
    <row r="739" spans="1:16">
      <c r="A739" s="99"/>
      <c r="B739" s="99"/>
      <c r="C739" s="99"/>
      <c r="D739" s="99"/>
      <c r="E739" s="99"/>
      <c r="F739" s="99"/>
      <c r="G739" s="19"/>
      <c r="H739" s="99"/>
      <c r="J739" s="99"/>
      <c r="K739" s="99"/>
      <c r="L739" s="99"/>
      <c r="M739" s="99"/>
      <c r="N739" s="99"/>
      <c r="O739" s="99"/>
      <c r="P739" s="99"/>
    </row>
    <row r="740" spans="1:16">
      <c r="A740" s="99"/>
      <c r="B740" s="99"/>
      <c r="C740" s="99"/>
      <c r="D740" s="99"/>
      <c r="E740" s="99"/>
      <c r="F740" s="99"/>
      <c r="G740" s="19"/>
      <c r="H740" s="99"/>
      <c r="J740" s="99"/>
      <c r="K740" s="99"/>
      <c r="L740" s="99"/>
      <c r="M740" s="99"/>
      <c r="N740" s="99"/>
      <c r="O740" s="99"/>
      <c r="P740" s="99"/>
    </row>
    <row r="741" spans="1:16">
      <c r="A741" s="99"/>
      <c r="B741" s="99"/>
      <c r="C741" s="99"/>
      <c r="D741" s="99"/>
      <c r="E741" s="99"/>
      <c r="F741" s="99"/>
      <c r="G741" s="19"/>
      <c r="H741" s="99"/>
      <c r="J741" s="99"/>
      <c r="K741" s="99"/>
      <c r="L741" s="99"/>
      <c r="M741" s="99"/>
      <c r="N741" s="99"/>
      <c r="O741" s="99"/>
      <c r="P741" s="99"/>
    </row>
    <row r="742" spans="1:16">
      <c r="A742" s="99"/>
      <c r="B742" s="99"/>
      <c r="C742" s="99"/>
      <c r="D742" s="99"/>
      <c r="E742" s="99"/>
      <c r="F742" s="99"/>
      <c r="G742" s="19"/>
      <c r="H742" s="99"/>
      <c r="J742" s="99"/>
      <c r="K742" s="99"/>
      <c r="L742" s="99"/>
      <c r="M742" s="99"/>
      <c r="N742" s="99"/>
      <c r="O742" s="99"/>
      <c r="P742" s="99"/>
    </row>
    <row r="743" spans="1:16">
      <c r="A743" s="99"/>
      <c r="B743" s="99"/>
      <c r="C743" s="99"/>
      <c r="D743" s="99"/>
      <c r="E743" s="99"/>
      <c r="F743" s="99"/>
      <c r="G743" s="19"/>
      <c r="H743" s="99"/>
      <c r="J743" s="99"/>
      <c r="K743" s="99"/>
      <c r="L743" s="99"/>
      <c r="M743" s="99"/>
      <c r="N743" s="99"/>
      <c r="O743" s="99"/>
      <c r="P743" s="99"/>
    </row>
    <row r="744" spans="1:16">
      <c r="A744" s="99"/>
      <c r="B744" s="99"/>
      <c r="C744" s="99"/>
      <c r="D744" s="99"/>
      <c r="E744" s="99"/>
      <c r="F744" s="99"/>
      <c r="G744" s="19"/>
      <c r="H744" s="99"/>
      <c r="J744" s="99"/>
      <c r="K744" s="99"/>
      <c r="L744" s="99"/>
      <c r="M744" s="99"/>
      <c r="N744" s="99"/>
      <c r="O744" s="99"/>
      <c r="P744" s="99"/>
    </row>
    <row r="745" spans="1:16">
      <c r="A745" s="99"/>
      <c r="B745" s="99"/>
      <c r="C745" s="99"/>
      <c r="D745" s="99"/>
      <c r="E745" s="99"/>
      <c r="F745" s="99"/>
      <c r="G745" s="19"/>
      <c r="H745" s="99"/>
      <c r="J745" s="99"/>
      <c r="K745" s="99"/>
      <c r="L745" s="99"/>
      <c r="M745" s="99"/>
      <c r="N745" s="99"/>
      <c r="O745" s="99"/>
      <c r="P745" s="99"/>
    </row>
    <row r="746" spans="1:16">
      <c r="A746" s="99"/>
      <c r="B746" s="99"/>
      <c r="C746" s="99"/>
      <c r="D746" s="99"/>
      <c r="E746" s="99"/>
      <c r="F746" s="99"/>
      <c r="G746" s="19"/>
      <c r="H746" s="99"/>
      <c r="J746" s="99"/>
      <c r="K746" s="99"/>
      <c r="L746" s="99"/>
      <c r="M746" s="99"/>
      <c r="N746" s="99"/>
      <c r="O746" s="99"/>
      <c r="P746" s="99"/>
    </row>
    <row r="747" spans="1:16">
      <c r="A747" s="99"/>
      <c r="B747" s="99"/>
      <c r="C747" s="99"/>
      <c r="D747" s="99"/>
      <c r="E747" s="99"/>
      <c r="F747" s="99"/>
      <c r="G747" s="19"/>
      <c r="H747" s="99"/>
      <c r="J747" s="99"/>
      <c r="K747" s="99"/>
      <c r="L747" s="99"/>
      <c r="M747" s="99"/>
      <c r="N747" s="99"/>
      <c r="O747" s="99"/>
      <c r="P747" s="99"/>
    </row>
    <row r="748" spans="1:16">
      <c r="A748" s="99"/>
      <c r="B748" s="99"/>
      <c r="C748" s="99"/>
      <c r="D748" s="99"/>
      <c r="E748" s="99"/>
      <c r="F748" s="99"/>
      <c r="G748" s="19"/>
      <c r="H748" s="99"/>
      <c r="J748" s="99"/>
      <c r="K748" s="99"/>
      <c r="L748" s="99"/>
      <c r="M748" s="99"/>
      <c r="N748" s="99"/>
      <c r="O748" s="99"/>
      <c r="P748" s="99"/>
    </row>
    <row r="749" spans="1:16">
      <c r="A749" s="99"/>
      <c r="B749" s="99"/>
      <c r="C749" s="99"/>
      <c r="D749" s="99"/>
      <c r="E749" s="99"/>
      <c r="F749" s="99"/>
      <c r="G749" s="19"/>
      <c r="H749" s="99"/>
      <c r="J749" s="99"/>
      <c r="K749" s="99"/>
      <c r="L749" s="99"/>
      <c r="M749" s="99"/>
      <c r="N749" s="99"/>
      <c r="O749" s="99"/>
      <c r="P749" s="99"/>
    </row>
    <row r="750" spans="1:16">
      <c r="A750" s="99"/>
      <c r="B750" s="99"/>
      <c r="C750" s="99"/>
      <c r="D750" s="99"/>
      <c r="E750" s="99"/>
      <c r="F750" s="99"/>
      <c r="G750" s="19"/>
      <c r="H750" s="99"/>
      <c r="J750" s="99"/>
      <c r="K750" s="99"/>
      <c r="L750" s="99"/>
      <c r="M750" s="99"/>
      <c r="N750" s="99"/>
      <c r="O750" s="99"/>
      <c r="P750" s="99"/>
    </row>
    <row r="751" spans="1:16">
      <c r="A751" s="99"/>
      <c r="B751" s="99"/>
      <c r="C751" s="99"/>
      <c r="D751" s="99"/>
      <c r="E751" s="99"/>
      <c r="F751" s="99"/>
      <c r="G751" s="19"/>
      <c r="H751" s="99"/>
      <c r="J751" s="99"/>
      <c r="K751" s="99"/>
      <c r="L751" s="99"/>
      <c r="M751" s="99"/>
      <c r="N751" s="99"/>
      <c r="O751" s="99"/>
      <c r="P751" s="99"/>
    </row>
    <row r="752" spans="1:16">
      <c r="A752" s="99"/>
      <c r="B752" s="99"/>
      <c r="C752" s="99"/>
      <c r="D752" s="99"/>
      <c r="E752" s="99"/>
      <c r="F752" s="99"/>
      <c r="G752" s="19"/>
      <c r="H752" s="99"/>
      <c r="J752" s="99"/>
      <c r="K752" s="99"/>
      <c r="L752" s="99"/>
      <c r="M752" s="99"/>
      <c r="N752" s="99"/>
      <c r="O752" s="99"/>
      <c r="P752" s="99"/>
    </row>
    <row r="753" spans="1:16">
      <c r="A753" s="99"/>
      <c r="B753" s="99"/>
      <c r="C753" s="99"/>
      <c r="D753" s="99"/>
      <c r="E753" s="99"/>
      <c r="F753" s="99"/>
      <c r="G753" s="19"/>
      <c r="H753" s="99"/>
      <c r="J753" s="99"/>
      <c r="K753" s="99"/>
      <c r="L753" s="99"/>
      <c r="M753" s="99"/>
      <c r="N753" s="99"/>
      <c r="O753" s="99"/>
      <c r="P753" s="99"/>
    </row>
    <row r="754" spans="1:16">
      <c r="A754" s="99"/>
      <c r="B754" s="99"/>
      <c r="C754" s="99"/>
      <c r="D754" s="99"/>
      <c r="E754" s="99"/>
      <c r="F754" s="99"/>
      <c r="G754" s="19"/>
      <c r="H754" s="99"/>
      <c r="J754" s="99"/>
      <c r="K754" s="99"/>
      <c r="L754" s="99"/>
      <c r="M754" s="99"/>
      <c r="N754" s="99"/>
      <c r="O754" s="99"/>
      <c r="P754" s="99"/>
    </row>
    <row r="755" spans="1:16">
      <c r="A755" s="99"/>
      <c r="B755" s="99"/>
      <c r="C755" s="99"/>
      <c r="D755" s="99"/>
      <c r="E755" s="99"/>
      <c r="F755" s="99"/>
      <c r="G755" s="19"/>
      <c r="H755" s="99"/>
      <c r="J755" s="99"/>
      <c r="K755" s="99"/>
      <c r="L755" s="99"/>
      <c r="M755" s="99"/>
      <c r="N755" s="99"/>
      <c r="O755" s="99"/>
      <c r="P755" s="99"/>
    </row>
    <row r="756" spans="1:16">
      <c r="A756" s="99"/>
      <c r="B756" s="99"/>
      <c r="C756" s="99"/>
      <c r="D756" s="99"/>
      <c r="E756" s="99"/>
      <c r="F756" s="99"/>
      <c r="G756" s="19"/>
      <c r="H756" s="99"/>
      <c r="J756" s="99"/>
      <c r="K756" s="99"/>
      <c r="L756" s="99"/>
      <c r="M756" s="99"/>
      <c r="N756" s="99"/>
      <c r="O756" s="99"/>
      <c r="P756" s="99"/>
    </row>
    <row r="757" spans="1:16">
      <c r="A757" s="99"/>
      <c r="B757" s="99"/>
      <c r="C757" s="99"/>
      <c r="D757" s="99"/>
      <c r="E757" s="99"/>
      <c r="F757" s="99"/>
      <c r="G757" s="19"/>
      <c r="H757" s="99"/>
      <c r="J757" s="99"/>
      <c r="K757" s="99"/>
      <c r="L757" s="99"/>
      <c r="M757" s="99"/>
      <c r="N757" s="99"/>
      <c r="O757" s="99"/>
      <c r="P757" s="99"/>
    </row>
    <row r="758" spans="1:16">
      <c r="A758" s="99"/>
      <c r="B758" s="99"/>
      <c r="C758" s="99"/>
      <c r="D758" s="99"/>
      <c r="E758" s="99"/>
      <c r="F758" s="99"/>
      <c r="G758" s="19"/>
      <c r="H758" s="99"/>
      <c r="J758" s="99"/>
      <c r="K758" s="99"/>
      <c r="L758" s="99"/>
      <c r="M758" s="99"/>
      <c r="N758" s="99"/>
      <c r="O758" s="99"/>
      <c r="P758" s="99"/>
    </row>
    <row r="759" spans="1:16">
      <c r="A759" s="99"/>
      <c r="B759" s="99"/>
      <c r="C759" s="99"/>
      <c r="D759" s="99"/>
      <c r="E759" s="99"/>
      <c r="F759" s="99"/>
      <c r="G759" s="19"/>
      <c r="H759" s="99"/>
      <c r="J759" s="99"/>
      <c r="K759" s="99"/>
      <c r="L759" s="99"/>
      <c r="M759" s="99"/>
      <c r="N759" s="99"/>
      <c r="O759" s="99"/>
      <c r="P759" s="99"/>
    </row>
    <row r="760" spans="1:16">
      <c r="A760" s="99"/>
      <c r="B760" s="99"/>
      <c r="C760" s="99"/>
      <c r="D760" s="99"/>
      <c r="E760" s="99"/>
      <c r="F760" s="99"/>
      <c r="G760" s="19"/>
      <c r="H760" s="99"/>
      <c r="J760" s="99"/>
      <c r="K760" s="99"/>
      <c r="L760" s="99"/>
      <c r="M760" s="99"/>
      <c r="N760" s="99"/>
      <c r="O760" s="99"/>
      <c r="P760" s="99"/>
    </row>
    <row r="761" spans="1:16">
      <c r="A761" s="99"/>
      <c r="B761" s="99"/>
      <c r="C761" s="99"/>
      <c r="D761" s="99"/>
      <c r="E761" s="99"/>
      <c r="F761" s="99"/>
      <c r="G761" s="19"/>
      <c r="H761" s="99"/>
      <c r="J761" s="99"/>
      <c r="K761" s="99"/>
      <c r="L761" s="99"/>
      <c r="M761" s="99"/>
      <c r="N761" s="99"/>
      <c r="O761" s="99"/>
      <c r="P761" s="99"/>
    </row>
    <row r="762" spans="1:16">
      <c r="A762" s="99"/>
      <c r="B762" s="99"/>
      <c r="C762" s="99"/>
      <c r="D762" s="99"/>
      <c r="E762" s="99"/>
      <c r="F762" s="99"/>
      <c r="G762" s="19"/>
      <c r="H762" s="99"/>
      <c r="J762" s="99"/>
      <c r="K762" s="99"/>
      <c r="L762" s="99"/>
      <c r="M762" s="99"/>
      <c r="N762" s="99"/>
      <c r="O762" s="99"/>
      <c r="P762" s="99"/>
    </row>
    <row r="763" spans="1:16">
      <c r="A763" s="99"/>
      <c r="B763" s="99"/>
      <c r="C763" s="99"/>
      <c r="D763" s="99"/>
      <c r="E763" s="99"/>
      <c r="F763" s="99"/>
      <c r="G763" s="19"/>
      <c r="H763" s="99"/>
      <c r="J763" s="99"/>
      <c r="K763" s="99"/>
      <c r="L763" s="99"/>
      <c r="M763" s="99"/>
      <c r="N763" s="99"/>
      <c r="O763" s="99"/>
      <c r="P763" s="99"/>
    </row>
    <row r="764" spans="1:16">
      <c r="A764" s="99"/>
      <c r="B764" s="99"/>
      <c r="C764" s="99"/>
      <c r="D764" s="99"/>
      <c r="E764" s="99"/>
      <c r="F764" s="99"/>
      <c r="G764" s="19"/>
      <c r="H764" s="99"/>
      <c r="J764" s="99"/>
      <c r="K764" s="99"/>
      <c r="L764" s="99"/>
      <c r="M764" s="99"/>
      <c r="N764" s="99"/>
      <c r="O764" s="99"/>
      <c r="P764" s="99"/>
    </row>
    <row r="765" spans="1:16">
      <c r="A765" s="99"/>
      <c r="B765" s="99"/>
      <c r="C765" s="99"/>
      <c r="D765" s="99"/>
      <c r="E765" s="99"/>
      <c r="F765" s="99"/>
      <c r="G765" s="19"/>
      <c r="H765" s="99"/>
      <c r="J765" s="99"/>
      <c r="K765" s="99"/>
      <c r="L765" s="99"/>
      <c r="M765" s="99"/>
      <c r="N765" s="99"/>
      <c r="O765" s="99"/>
      <c r="P765" s="99"/>
    </row>
    <row r="766" spans="1:16">
      <c r="A766" s="99"/>
      <c r="B766" s="99"/>
      <c r="C766" s="99"/>
      <c r="D766" s="99"/>
      <c r="E766" s="99"/>
      <c r="F766" s="99"/>
      <c r="G766" s="19"/>
      <c r="H766" s="99"/>
      <c r="J766" s="99"/>
      <c r="K766" s="99"/>
      <c r="L766" s="99"/>
      <c r="M766" s="99"/>
      <c r="N766" s="99"/>
      <c r="O766" s="99"/>
      <c r="P766" s="99"/>
    </row>
    <row r="767" spans="1:16">
      <c r="A767" s="99"/>
      <c r="B767" s="99"/>
      <c r="C767" s="99"/>
      <c r="D767" s="99"/>
      <c r="E767" s="99"/>
      <c r="F767" s="99"/>
      <c r="G767" s="19"/>
      <c r="H767" s="99"/>
      <c r="J767" s="99"/>
      <c r="K767" s="99"/>
      <c r="L767" s="99"/>
      <c r="M767" s="99"/>
      <c r="N767" s="99"/>
      <c r="O767" s="99"/>
      <c r="P767" s="99"/>
    </row>
    <row r="768" spans="1:16">
      <c r="A768" s="99"/>
      <c r="B768" s="99"/>
      <c r="C768" s="99"/>
      <c r="D768" s="99"/>
      <c r="E768" s="99"/>
      <c r="F768" s="99"/>
      <c r="G768" s="19"/>
      <c r="H768" s="99"/>
      <c r="J768" s="99"/>
      <c r="K768" s="99"/>
      <c r="L768" s="99"/>
      <c r="M768" s="99"/>
      <c r="N768" s="99"/>
      <c r="O768" s="99"/>
      <c r="P768" s="99"/>
    </row>
    <row r="769" spans="1:16">
      <c r="A769" s="99"/>
      <c r="B769" s="99"/>
      <c r="C769" s="99"/>
      <c r="D769" s="99"/>
      <c r="E769" s="99"/>
      <c r="F769" s="99"/>
      <c r="G769" s="19"/>
      <c r="H769" s="99"/>
      <c r="J769" s="99"/>
      <c r="K769" s="99"/>
      <c r="L769" s="99"/>
      <c r="M769" s="99"/>
      <c r="N769" s="99"/>
      <c r="O769" s="99"/>
      <c r="P769" s="99"/>
    </row>
    <row r="770" spans="1:16">
      <c r="A770" s="99"/>
      <c r="B770" s="99"/>
      <c r="C770" s="99"/>
      <c r="D770" s="99"/>
      <c r="E770" s="99"/>
      <c r="F770" s="99"/>
      <c r="G770" s="19"/>
      <c r="H770" s="99"/>
      <c r="J770" s="99"/>
      <c r="K770" s="99"/>
      <c r="L770" s="99"/>
      <c r="M770" s="99"/>
      <c r="N770" s="99"/>
      <c r="O770" s="99"/>
      <c r="P770" s="99"/>
    </row>
    <row r="771" spans="1:16">
      <c r="A771" s="99"/>
      <c r="B771" s="99"/>
      <c r="C771" s="99"/>
      <c r="D771" s="99"/>
      <c r="E771" s="99"/>
      <c r="F771" s="99"/>
      <c r="G771" s="19"/>
      <c r="H771" s="99"/>
      <c r="J771" s="99"/>
      <c r="K771" s="99"/>
      <c r="L771" s="99"/>
      <c r="M771" s="99"/>
      <c r="N771" s="99"/>
      <c r="O771" s="99"/>
      <c r="P771" s="99"/>
    </row>
    <row r="772" spans="1:16">
      <c r="A772" s="99"/>
      <c r="B772" s="99"/>
      <c r="C772" s="99"/>
      <c r="D772" s="99"/>
      <c r="E772" s="99"/>
      <c r="F772" s="99"/>
      <c r="G772" s="19"/>
      <c r="H772" s="99"/>
      <c r="J772" s="99"/>
      <c r="K772" s="99"/>
      <c r="L772" s="99"/>
      <c r="M772" s="99"/>
      <c r="N772" s="99"/>
      <c r="O772" s="99"/>
      <c r="P772" s="99"/>
    </row>
    <row r="773" spans="1:16">
      <c r="A773" s="99"/>
      <c r="B773" s="99"/>
      <c r="C773" s="99"/>
      <c r="D773" s="99"/>
      <c r="E773" s="99"/>
      <c r="F773" s="99"/>
      <c r="G773" s="19"/>
      <c r="H773" s="99"/>
      <c r="J773" s="99"/>
      <c r="K773" s="99"/>
      <c r="L773" s="99"/>
      <c r="M773" s="99"/>
      <c r="N773" s="99"/>
      <c r="O773" s="99"/>
      <c r="P773" s="99"/>
    </row>
    <row r="774" spans="1:16">
      <c r="A774" s="99"/>
      <c r="B774" s="99"/>
      <c r="C774" s="99"/>
      <c r="D774" s="99"/>
      <c r="E774" s="99"/>
      <c r="F774" s="99"/>
      <c r="G774" s="19"/>
      <c r="H774" s="99"/>
      <c r="J774" s="99"/>
      <c r="K774" s="99"/>
      <c r="L774" s="99"/>
      <c r="M774" s="99"/>
      <c r="N774" s="99"/>
      <c r="O774" s="99"/>
      <c r="P774" s="99"/>
    </row>
    <row r="775" spans="1:16">
      <c r="A775" s="99"/>
      <c r="B775" s="99"/>
      <c r="C775" s="99"/>
      <c r="D775" s="99"/>
      <c r="E775" s="99"/>
      <c r="F775" s="99"/>
      <c r="G775" s="19"/>
      <c r="H775" s="99"/>
      <c r="J775" s="99"/>
      <c r="K775" s="99"/>
      <c r="L775" s="99"/>
      <c r="M775" s="99"/>
      <c r="N775" s="99"/>
      <c r="O775" s="99"/>
      <c r="P775" s="99"/>
    </row>
    <row r="776" spans="1:16">
      <c r="A776" s="99"/>
      <c r="B776" s="99"/>
      <c r="C776" s="99"/>
      <c r="D776" s="99"/>
      <c r="E776" s="99"/>
      <c r="F776" s="99"/>
      <c r="G776" s="19"/>
      <c r="H776" s="99"/>
      <c r="J776" s="99"/>
      <c r="K776" s="99"/>
      <c r="L776" s="99"/>
      <c r="M776" s="99"/>
      <c r="N776" s="99"/>
      <c r="O776" s="99"/>
      <c r="P776" s="99"/>
    </row>
    <row r="777" spans="1:16">
      <c r="A777" s="99"/>
      <c r="B777" s="99"/>
      <c r="C777" s="99"/>
      <c r="D777" s="99"/>
      <c r="E777" s="99"/>
      <c r="F777" s="99"/>
      <c r="G777" s="19"/>
      <c r="H777" s="99"/>
      <c r="J777" s="99"/>
      <c r="K777" s="99"/>
      <c r="L777" s="99"/>
      <c r="M777" s="99"/>
      <c r="N777" s="99"/>
      <c r="O777" s="99"/>
      <c r="P777" s="99"/>
    </row>
    <row r="778" spans="1:16">
      <c r="A778" s="99"/>
      <c r="B778" s="99"/>
      <c r="C778" s="99"/>
      <c r="D778" s="99"/>
      <c r="E778" s="99"/>
      <c r="F778" s="99"/>
      <c r="G778" s="19"/>
      <c r="H778" s="99"/>
      <c r="J778" s="99"/>
      <c r="K778" s="99"/>
      <c r="L778" s="99"/>
      <c r="M778" s="99"/>
      <c r="N778" s="99"/>
      <c r="O778" s="99"/>
      <c r="P778" s="99"/>
    </row>
    <row r="779" spans="1:16">
      <c r="A779" s="99"/>
      <c r="B779" s="99"/>
      <c r="C779" s="99"/>
      <c r="D779" s="99"/>
      <c r="E779" s="99"/>
      <c r="F779" s="99"/>
      <c r="G779" s="19"/>
      <c r="H779" s="99"/>
      <c r="J779" s="99"/>
      <c r="K779" s="99"/>
      <c r="L779" s="99"/>
      <c r="M779" s="99"/>
      <c r="N779" s="99"/>
      <c r="O779" s="99"/>
      <c r="P779" s="99"/>
    </row>
    <row r="780" spans="1:16">
      <c r="A780" s="99"/>
      <c r="B780" s="99"/>
      <c r="C780" s="99"/>
      <c r="D780" s="99"/>
      <c r="E780" s="99"/>
      <c r="F780" s="99"/>
      <c r="G780" s="19"/>
      <c r="H780" s="99"/>
      <c r="J780" s="99"/>
      <c r="K780" s="99"/>
      <c r="L780" s="99"/>
      <c r="M780" s="99"/>
      <c r="N780" s="99"/>
      <c r="O780" s="99"/>
      <c r="P780" s="99"/>
    </row>
    <row r="781" spans="1:16">
      <c r="A781" s="99"/>
      <c r="B781" s="99"/>
      <c r="C781" s="99"/>
      <c r="D781" s="99"/>
      <c r="E781" s="99"/>
      <c r="F781" s="99"/>
      <c r="G781" s="19"/>
      <c r="H781" s="99"/>
      <c r="J781" s="99"/>
      <c r="K781" s="99"/>
      <c r="L781" s="99"/>
      <c r="M781" s="99"/>
      <c r="N781" s="99"/>
      <c r="O781" s="99"/>
      <c r="P781" s="99"/>
    </row>
    <row r="782" spans="1:16">
      <c r="A782" s="99"/>
      <c r="B782" s="99"/>
      <c r="C782" s="99"/>
      <c r="D782" s="99"/>
      <c r="E782" s="99"/>
      <c r="F782" s="99"/>
      <c r="G782" s="19"/>
      <c r="H782" s="99"/>
      <c r="J782" s="99"/>
      <c r="K782" s="99"/>
      <c r="L782" s="99"/>
      <c r="M782" s="99"/>
      <c r="N782" s="99"/>
      <c r="O782" s="99"/>
      <c r="P782" s="99"/>
    </row>
    <row r="783" spans="1:16">
      <c r="A783" s="99"/>
      <c r="B783" s="99"/>
      <c r="C783" s="99"/>
      <c r="D783" s="99"/>
      <c r="E783" s="99"/>
      <c r="F783" s="99"/>
      <c r="G783" s="19"/>
      <c r="H783" s="99"/>
      <c r="J783" s="99"/>
      <c r="K783" s="99"/>
      <c r="L783" s="99"/>
      <c r="M783" s="99"/>
      <c r="N783" s="99"/>
      <c r="O783" s="99"/>
      <c r="P783" s="99"/>
    </row>
    <row r="784" spans="1:16">
      <c r="A784" s="99"/>
      <c r="B784" s="99"/>
      <c r="C784" s="99"/>
      <c r="D784" s="99"/>
      <c r="E784" s="99"/>
      <c r="F784" s="99"/>
      <c r="G784" s="19"/>
      <c r="H784" s="99"/>
      <c r="J784" s="99"/>
      <c r="K784" s="99"/>
      <c r="L784" s="99"/>
      <c r="M784" s="99"/>
      <c r="N784" s="99"/>
      <c r="O784" s="99"/>
      <c r="P784" s="99"/>
    </row>
    <row r="785" spans="1:16">
      <c r="A785" s="99"/>
      <c r="B785" s="99"/>
      <c r="C785" s="99"/>
      <c r="D785" s="99"/>
      <c r="E785" s="99"/>
      <c r="F785" s="99"/>
      <c r="G785" s="19"/>
      <c r="H785" s="99"/>
      <c r="J785" s="99"/>
      <c r="K785" s="99"/>
      <c r="L785" s="99"/>
      <c r="M785" s="99"/>
      <c r="N785" s="99"/>
      <c r="O785" s="99"/>
      <c r="P785" s="99"/>
    </row>
    <row r="786" spans="1:16">
      <c r="A786" s="99"/>
      <c r="B786" s="99"/>
      <c r="C786" s="99"/>
      <c r="D786" s="99"/>
      <c r="E786" s="99"/>
      <c r="F786" s="99"/>
      <c r="G786" s="19"/>
      <c r="H786" s="99"/>
      <c r="J786" s="99"/>
      <c r="K786" s="99"/>
      <c r="L786" s="99"/>
      <c r="M786" s="99"/>
      <c r="N786" s="99"/>
      <c r="O786" s="99"/>
      <c r="P786" s="99"/>
    </row>
    <row r="787" spans="1:16">
      <c r="A787" s="99"/>
      <c r="B787" s="99"/>
      <c r="C787" s="99"/>
      <c r="D787" s="99"/>
      <c r="E787" s="99"/>
      <c r="F787" s="99"/>
      <c r="G787" s="19"/>
      <c r="H787" s="99"/>
      <c r="J787" s="99"/>
      <c r="K787" s="99"/>
      <c r="L787" s="99"/>
      <c r="M787" s="99"/>
      <c r="N787" s="99"/>
      <c r="O787" s="99"/>
      <c r="P787" s="99"/>
    </row>
    <row r="788" spans="1:16">
      <c r="A788" s="99"/>
      <c r="B788" s="99"/>
      <c r="C788" s="99"/>
      <c r="D788" s="99"/>
      <c r="E788" s="99"/>
      <c r="F788" s="99"/>
      <c r="G788" s="19"/>
      <c r="H788" s="99"/>
      <c r="J788" s="99"/>
      <c r="K788" s="99"/>
      <c r="L788" s="99"/>
      <c r="M788" s="99"/>
      <c r="N788" s="99"/>
      <c r="O788" s="99"/>
      <c r="P788" s="99"/>
    </row>
    <row r="789" spans="1:16">
      <c r="A789" s="99"/>
      <c r="B789" s="99"/>
      <c r="C789" s="99"/>
      <c r="D789" s="99"/>
      <c r="E789" s="99"/>
      <c r="F789" s="99"/>
      <c r="G789" s="19"/>
      <c r="H789" s="99"/>
      <c r="J789" s="99"/>
      <c r="K789" s="99"/>
      <c r="L789" s="99"/>
      <c r="M789" s="99"/>
      <c r="N789" s="99"/>
      <c r="O789" s="99"/>
      <c r="P789" s="99"/>
    </row>
    <row r="790" spans="1:16">
      <c r="A790" s="99"/>
      <c r="B790" s="99"/>
      <c r="C790" s="99"/>
      <c r="D790" s="99"/>
      <c r="E790" s="99"/>
      <c r="F790" s="99"/>
      <c r="G790" s="19"/>
      <c r="H790" s="99"/>
      <c r="J790" s="99"/>
      <c r="K790" s="99"/>
      <c r="L790" s="99"/>
      <c r="M790" s="99"/>
      <c r="N790" s="99"/>
      <c r="O790" s="99"/>
      <c r="P790" s="99"/>
    </row>
    <row r="791" spans="1:16">
      <c r="A791" s="99"/>
      <c r="B791" s="99"/>
      <c r="C791" s="99"/>
      <c r="D791" s="99"/>
      <c r="E791" s="99"/>
      <c r="F791" s="99"/>
      <c r="G791" s="19"/>
      <c r="H791" s="99"/>
      <c r="J791" s="99"/>
      <c r="K791" s="99"/>
      <c r="L791" s="99"/>
      <c r="M791" s="99"/>
      <c r="N791" s="99"/>
      <c r="O791" s="99"/>
      <c r="P791" s="99"/>
    </row>
    <row r="792" spans="1:16">
      <c r="A792" s="99"/>
      <c r="B792" s="99"/>
      <c r="C792" s="99"/>
      <c r="D792" s="99"/>
      <c r="E792" s="99"/>
      <c r="F792" s="99"/>
      <c r="G792" s="19"/>
      <c r="H792" s="99"/>
      <c r="J792" s="99"/>
      <c r="K792" s="99"/>
      <c r="L792" s="99"/>
      <c r="M792" s="99"/>
      <c r="N792" s="99"/>
      <c r="O792" s="99"/>
      <c r="P792" s="99"/>
    </row>
    <row r="793" spans="1:16">
      <c r="A793" s="99"/>
      <c r="B793" s="99"/>
      <c r="C793" s="99"/>
      <c r="D793" s="99"/>
      <c r="E793" s="99"/>
      <c r="F793" s="99"/>
      <c r="G793" s="19"/>
      <c r="H793" s="99"/>
      <c r="J793" s="99"/>
      <c r="K793" s="99"/>
      <c r="L793" s="99"/>
      <c r="M793" s="99"/>
      <c r="N793" s="99"/>
      <c r="O793" s="99"/>
      <c r="P793" s="99"/>
    </row>
    <row r="794" spans="1:16">
      <c r="A794" s="99"/>
      <c r="B794" s="99"/>
      <c r="C794" s="99"/>
      <c r="D794" s="99"/>
      <c r="E794" s="99"/>
      <c r="F794" s="99"/>
      <c r="G794" s="19"/>
      <c r="H794" s="99"/>
      <c r="J794" s="99"/>
      <c r="K794" s="99"/>
      <c r="L794" s="99"/>
      <c r="M794" s="99"/>
      <c r="N794" s="99"/>
      <c r="O794" s="99"/>
      <c r="P794" s="99"/>
    </row>
    <row r="795" spans="1:16">
      <c r="A795" s="99"/>
      <c r="B795" s="99"/>
      <c r="C795" s="99"/>
      <c r="D795" s="99"/>
      <c r="E795" s="99"/>
      <c r="F795" s="99"/>
      <c r="G795" s="19"/>
      <c r="H795" s="99"/>
      <c r="J795" s="99"/>
      <c r="K795" s="99"/>
      <c r="L795" s="99"/>
      <c r="M795" s="99"/>
      <c r="N795" s="99"/>
      <c r="O795" s="99"/>
      <c r="P795" s="99"/>
    </row>
    <row r="796" spans="1:16">
      <c r="A796" s="99"/>
      <c r="B796" s="99"/>
      <c r="C796" s="99"/>
      <c r="D796" s="99"/>
      <c r="E796" s="99"/>
      <c r="F796" s="99"/>
      <c r="G796" s="19"/>
      <c r="H796" s="99"/>
      <c r="J796" s="99"/>
      <c r="K796" s="99"/>
      <c r="L796" s="99"/>
      <c r="M796" s="99"/>
      <c r="N796" s="99"/>
      <c r="O796" s="99"/>
      <c r="P796" s="99"/>
    </row>
    <row r="797" spans="1:16">
      <c r="A797" s="99"/>
      <c r="B797" s="99"/>
      <c r="C797" s="99"/>
      <c r="D797" s="99"/>
      <c r="E797" s="99"/>
      <c r="F797" s="99"/>
      <c r="G797" s="19"/>
      <c r="H797" s="99"/>
      <c r="J797" s="99"/>
      <c r="K797" s="99"/>
      <c r="L797" s="99"/>
      <c r="M797" s="99"/>
      <c r="N797" s="99"/>
      <c r="O797" s="99"/>
      <c r="P797" s="99"/>
    </row>
    <row r="798" spans="1:16">
      <c r="A798" s="99"/>
      <c r="B798" s="99"/>
      <c r="C798" s="99"/>
      <c r="D798" s="99"/>
      <c r="E798" s="99"/>
      <c r="F798" s="99"/>
      <c r="G798" s="19"/>
      <c r="H798" s="99"/>
      <c r="J798" s="99"/>
      <c r="K798" s="99"/>
      <c r="L798" s="99"/>
      <c r="M798" s="99"/>
      <c r="N798" s="99"/>
      <c r="O798" s="99"/>
      <c r="P798" s="99"/>
    </row>
    <row r="799" spans="1:16">
      <c r="A799" s="99"/>
      <c r="B799" s="99"/>
      <c r="C799" s="99"/>
      <c r="D799" s="99"/>
      <c r="E799" s="99"/>
      <c r="F799" s="99"/>
      <c r="G799" s="19"/>
      <c r="H799" s="99"/>
      <c r="J799" s="99"/>
      <c r="K799" s="99"/>
      <c r="L799" s="99"/>
      <c r="M799" s="99"/>
      <c r="N799" s="99"/>
      <c r="O799" s="99"/>
      <c r="P799" s="99"/>
    </row>
    <row r="800" spans="1:16">
      <c r="A800" s="99"/>
      <c r="B800" s="99"/>
      <c r="C800" s="99"/>
      <c r="D800" s="99"/>
      <c r="E800" s="99"/>
      <c r="F800" s="99"/>
      <c r="G800" s="19"/>
      <c r="H800" s="99"/>
      <c r="J800" s="99"/>
      <c r="K800" s="99"/>
      <c r="L800" s="99"/>
      <c r="M800" s="99"/>
      <c r="N800" s="99"/>
      <c r="O800" s="99"/>
      <c r="P800" s="99"/>
    </row>
    <row r="801" spans="1:16">
      <c r="A801" s="99"/>
      <c r="B801" s="99"/>
      <c r="C801" s="99"/>
      <c r="D801" s="99"/>
      <c r="E801" s="99"/>
      <c r="F801" s="99"/>
      <c r="G801" s="19"/>
      <c r="H801" s="99"/>
      <c r="J801" s="99"/>
      <c r="K801" s="99"/>
      <c r="L801" s="99"/>
      <c r="M801" s="99"/>
      <c r="N801" s="99"/>
      <c r="O801" s="99"/>
      <c r="P801" s="99"/>
    </row>
    <row r="802" spans="1:16">
      <c r="A802" s="99"/>
      <c r="B802" s="99"/>
      <c r="C802" s="99"/>
      <c r="D802" s="99"/>
      <c r="E802" s="99"/>
      <c r="F802" s="99"/>
      <c r="G802" s="19"/>
      <c r="H802" s="99"/>
      <c r="J802" s="99"/>
      <c r="K802" s="99"/>
      <c r="L802" s="99"/>
      <c r="M802" s="99"/>
      <c r="N802" s="99"/>
      <c r="O802" s="99"/>
      <c r="P802" s="99"/>
    </row>
    <row r="803" spans="1:16">
      <c r="A803" s="99"/>
      <c r="B803" s="99"/>
      <c r="C803" s="99"/>
      <c r="D803" s="99"/>
      <c r="E803" s="99"/>
      <c r="F803" s="99"/>
      <c r="G803" s="19"/>
      <c r="H803" s="99"/>
      <c r="J803" s="99"/>
      <c r="K803" s="99"/>
      <c r="L803" s="99"/>
      <c r="M803" s="99"/>
      <c r="N803" s="99"/>
      <c r="O803" s="99"/>
      <c r="P803" s="99"/>
    </row>
    <row r="804" spans="1:16">
      <c r="A804" s="99"/>
      <c r="B804" s="99"/>
      <c r="C804" s="99"/>
      <c r="D804" s="99"/>
      <c r="E804" s="99"/>
      <c r="F804" s="99"/>
      <c r="G804" s="19"/>
      <c r="H804" s="99"/>
      <c r="J804" s="99"/>
      <c r="K804" s="99"/>
      <c r="L804" s="99"/>
      <c r="M804" s="99"/>
      <c r="N804" s="99"/>
      <c r="O804" s="99"/>
      <c r="P804" s="99"/>
    </row>
    <row r="805" spans="1:16">
      <c r="A805" s="99"/>
      <c r="B805" s="99"/>
      <c r="C805" s="99"/>
      <c r="D805" s="99"/>
      <c r="E805" s="99"/>
      <c r="F805" s="99"/>
      <c r="G805" s="19"/>
      <c r="H805" s="99"/>
      <c r="J805" s="99"/>
      <c r="K805" s="99"/>
      <c r="L805" s="99"/>
      <c r="M805" s="99"/>
      <c r="N805" s="99"/>
      <c r="O805" s="99"/>
      <c r="P805" s="99"/>
    </row>
    <row r="806" spans="1:16">
      <c r="A806" s="99"/>
      <c r="B806" s="99"/>
      <c r="C806" s="99"/>
      <c r="D806" s="99"/>
      <c r="E806" s="99"/>
      <c r="F806" s="99"/>
      <c r="G806" s="19"/>
      <c r="H806" s="99"/>
      <c r="J806" s="99"/>
      <c r="K806" s="99"/>
      <c r="L806" s="99"/>
      <c r="M806" s="99"/>
      <c r="N806" s="99"/>
      <c r="O806" s="99"/>
      <c r="P806" s="99"/>
    </row>
    <row r="807" spans="1:16">
      <c r="A807" s="99"/>
      <c r="B807" s="99"/>
      <c r="C807" s="99"/>
      <c r="D807" s="99"/>
      <c r="E807" s="99"/>
      <c r="F807" s="99"/>
      <c r="G807" s="19"/>
      <c r="H807" s="99"/>
      <c r="J807" s="99"/>
      <c r="K807" s="99"/>
      <c r="L807" s="99"/>
      <c r="M807" s="99"/>
      <c r="N807" s="99"/>
      <c r="O807" s="99"/>
      <c r="P807" s="99"/>
    </row>
    <row r="808" spans="1:16">
      <c r="A808" s="99"/>
      <c r="B808" s="99"/>
      <c r="C808" s="99"/>
      <c r="D808" s="99"/>
      <c r="E808" s="99"/>
      <c r="F808" s="99"/>
      <c r="G808" s="19"/>
      <c r="H808" s="99"/>
      <c r="J808" s="99"/>
      <c r="K808" s="99"/>
      <c r="L808" s="99"/>
      <c r="M808" s="99"/>
      <c r="N808" s="99"/>
      <c r="O808" s="99"/>
      <c r="P808" s="99"/>
    </row>
    <row r="809" spans="1:16">
      <c r="A809" s="99"/>
      <c r="B809" s="99"/>
      <c r="C809" s="99"/>
      <c r="D809" s="99"/>
      <c r="E809" s="99"/>
      <c r="F809" s="99"/>
      <c r="G809" s="19"/>
      <c r="H809" s="99"/>
      <c r="J809" s="99"/>
      <c r="K809" s="99"/>
      <c r="L809" s="99"/>
      <c r="M809" s="99"/>
      <c r="N809" s="99"/>
      <c r="O809" s="99"/>
      <c r="P809" s="99"/>
    </row>
    <row r="810" spans="1:16">
      <c r="A810" s="99"/>
      <c r="B810" s="99"/>
      <c r="C810" s="99"/>
      <c r="D810" s="99"/>
      <c r="E810" s="99"/>
      <c r="F810" s="99"/>
      <c r="G810" s="19"/>
      <c r="H810" s="99"/>
      <c r="J810" s="99"/>
      <c r="K810" s="99"/>
      <c r="L810" s="99"/>
      <c r="M810" s="99"/>
      <c r="N810" s="99"/>
      <c r="O810" s="99"/>
      <c r="P810" s="99"/>
    </row>
    <row r="811" spans="1:16">
      <c r="A811" s="99"/>
      <c r="B811" s="99"/>
      <c r="C811" s="99"/>
      <c r="D811" s="99"/>
      <c r="E811" s="99"/>
      <c r="F811" s="99"/>
      <c r="G811" s="19"/>
      <c r="H811" s="99"/>
      <c r="J811" s="99"/>
      <c r="K811" s="99"/>
      <c r="L811" s="99"/>
      <c r="M811" s="99"/>
      <c r="N811" s="99"/>
      <c r="O811" s="99"/>
      <c r="P811" s="99"/>
    </row>
    <row r="812" spans="1:16">
      <c r="A812" s="99"/>
      <c r="B812" s="99"/>
      <c r="C812" s="99"/>
      <c r="D812" s="99"/>
      <c r="E812" s="99"/>
      <c r="F812" s="99"/>
      <c r="G812" s="19"/>
      <c r="H812" s="99"/>
      <c r="J812" s="99"/>
      <c r="K812" s="99"/>
      <c r="L812" s="99"/>
      <c r="M812" s="99"/>
      <c r="N812" s="99"/>
      <c r="O812" s="99"/>
      <c r="P812" s="99"/>
    </row>
    <row r="813" spans="1:16">
      <c r="A813" s="99"/>
      <c r="B813" s="99"/>
      <c r="C813" s="99"/>
      <c r="D813" s="99"/>
      <c r="E813" s="99"/>
      <c r="F813" s="99"/>
      <c r="G813" s="19"/>
      <c r="H813" s="99"/>
      <c r="J813" s="99"/>
      <c r="K813" s="99"/>
      <c r="L813" s="99"/>
      <c r="M813" s="99"/>
      <c r="N813" s="99"/>
      <c r="O813" s="99"/>
      <c r="P813" s="99"/>
    </row>
    <row r="814" spans="1:16">
      <c r="A814" s="99"/>
      <c r="B814" s="99"/>
      <c r="C814" s="99"/>
      <c r="D814" s="99"/>
      <c r="E814" s="99"/>
      <c r="F814" s="99"/>
      <c r="G814" s="19"/>
      <c r="H814" s="99"/>
      <c r="J814" s="99"/>
      <c r="K814" s="99"/>
      <c r="L814" s="99"/>
      <c r="M814" s="99"/>
      <c r="N814" s="99"/>
      <c r="O814" s="99"/>
      <c r="P814" s="99"/>
    </row>
    <row r="815" spans="1:16">
      <c r="A815" s="99"/>
      <c r="B815" s="99"/>
      <c r="C815" s="99"/>
      <c r="D815" s="99"/>
      <c r="E815" s="99"/>
      <c r="F815" s="99"/>
      <c r="G815" s="19"/>
      <c r="H815" s="99"/>
      <c r="J815" s="99"/>
      <c r="K815" s="99"/>
      <c r="L815" s="99"/>
      <c r="M815" s="99"/>
      <c r="N815" s="99"/>
      <c r="O815" s="99"/>
      <c r="P815" s="99"/>
    </row>
    <row r="816" spans="1:16">
      <c r="A816" s="99"/>
      <c r="B816" s="99"/>
      <c r="C816" s="99"/>
      <c r="D816" s="99"/>
      <c r="E816" s="99"/>
      <c r="F816" s="99"/>
      <c r="G816" s="19"/>
      <c r="H816" s="99"/>
      <c r="J816" s="99"/>
      <c r="K816" s="99"/>
      <c r="L816" s="99"/>
      <c r="M816" s="99"/>
      <c r="N816" s="99"/>
      <c r="O816" s="99"/>
      <c r="P816" s="99"/>
    </row>
    <row r="817" spans="1:16">
      <c r="A817" s="99"/>
      <c r="B817" s="99"/>
      <c r="C817" s="99"/>
      <c r="D817" s="99"/>
      <c r="E817" s="99"/>
      <c r="F817" s="99"/>
      <c r="G817" s="19"/>
      <c r="H817" s="99"/>
      <c r="J817" s="99"/>
      <c r="K817" s="99"/>
      <c r="L817" s="99"/>
      <c r="M817" s="99"/>
      <c r="N817" s="99"/>
      <c r="O817" s="99"/>
      <c r="P817" s="99"/>
    </row>
    <row r="818" spans="1:16">
      <c r="A818" s="99"/>
      <c r="B818" s="99"/>
      <c r="C818" s="99"/>
      <c r="D818" s="99"/>
      <c r="E818" s="99"/>
      <c r="F818" s="99"/>
      <c r="G818" s="19"/>
      <c r="H818" s="99"/>
      <c r="J818" s="99"/>
      <c r="K818" s="99"/>
      <c r="L818" s="99"/>
      <c r="M818" s="99"/>
      <c r="N818" s="99"/>
      <c r="O818" s="99"/>
      <c r="P818" s="99"/>
    </row>
    <row r="819" spans="1:16">
      <c r="A819" s="99"/>
      <c r="B819" s="99"/>
      <c r="C819" s="99"/>
      <c r="D819" s="99"/>
      <c r="E819" s="99"/>
      <c r="F819" s="99"/>
      <c r="G819" s="19"/>
      <c r="H819" s="99"/>
      <c r="J819" s="99"/>
      <c r="K819" s="99"/>
      <c r="L819" s="99"/>
      <c r="M819" s="99"/>
      <c r="N819" s="99"/>
      <c r="O819" s="99"/>
      <c r="P819" s="99"/>
    </row>
    <row r="820" spans="1:16">
      <c r="A820" s="99"/>
      <c r="B820" s="99"/>
      <c r="C820" s="99"/>
      <c r="D820" s="99"/>
      <c r="E820" s="99"/>
      <c r="F820" s="99"/>
      <c r="G820" s="19"/>
      <c r="H820" s="99"/>
      <c r="J820" s="99"/>
      <c r="K820" s="99"/>
      <c r="L820" s="99"/>
      <c r="M820" s="99"/>
      <c r="N820" s="99"/>
      <c r="O820" s="99"/>
      <c r="P820" s="99"/>
    </row>
    <row r="821" spans="1:16">
      <c r="A821" s="99"/>
      <c r="B821" s="99"/>
      <c r="C821" s="99"/>
      <c r="D821" s="99"/>
      <c r="E821" s="99"/>
      <c r="F821" s="99"/>
      <c r="G821" s="19"/>
      <c r="H821" s="99"/>
      <c r="J821" s="99"/>
      <c r="K821" s="99"/>
      <c r="L821" s="99"/>
      <c r="M821" s="99"/>
      <c r="N821" s="99"/>
      <c r="O821" s="99"/>
      <c r="P821" s="99"/>
    </row>
    <row r="822" spans="1:16">
      <c r="A822" s="99"/>
      <c r="B822" s="99"/>
      <c r="C822" s="99"/>
      <c r="D822" s="99"/>
      <c r="E822" s="99"/>
      <c r="F822" s="99"/>
      <c r="G822" s="19"/>
      <c r="H822" s="99"/>
      <c r="J822" s="99"/>
      <c r="K822" s="99"/>
      <c r="L822" s="99"/>
      <c r="M822" s="99"/>
      <c r="N822" s="99"/>
      <c r="O822" s="99"/>
      <c r="P822" s="99"/>
    </row>
    <row r="823" spans="1:16">
      <c r="A823" s="99"/>
      <c r="B823" s="99"/>
      <c r="C823" s="99"/>
      <c r="D823" s="99"/>
      <c r="E823" s="99"/>
      <c r="F823" s="99"/>
      <c r="G823" s="19"/>
      <c r="H823" s="99"/>
      <c r="J823" s="99"/>
      <c r="K823" s="99"/>
      <c r="L823" s="99"/>
      <c r="M823" s="99"/>
      <c r="N823" s="99"/>
      <c r="O823" s="99"/>
      <c r="P823" s="99"/>
    </row>
    <row r="824" spans="1:16">
      <c r="A824" s="99"/>
      <c r="B824" s="99"/>
      <c r="C824" s="99"/>
      <c r="D824" s="99"/>
      <c r="E824" s="99"/>
      <c r="F824" s="99"/>
      <c r="G824" s="19"/>
      <c r="H824" s="99"/>
      <c r="J824" s="99"/>
      <c r="K824" s="99"/>
      <c r="L824" s="99"/>
      <c r="M824" s="99"/>
      <c r="N824" s="99"/>
      <c r="O824" s="99"/>
      <c r="P824" s="99"/>
    </row>
    <row r="825" spans="1:16">
      <c r="A825" s="99"/>
      <c r="B825" s="99"/>
      <c r="C825" s="99"/>
      <c r="D825" s="99"/>
      <c r="E825" s="99"/>
      <c r="F825" s="99"/>
      <c r="G825" s="19"/>
      <c r="H825" s="99"/>
      <c r="J825" s="99"/>
      <c r="K825" s="99"/>
      <c r="L825" s="99"/>
      <c r="M825" s="99"/>
      <c r="N825" s="99"/>
      <c r="O825" s="99"/>
      <c r="P825" s="99"/>
    </row>
    <row r="826" spans="1:16">
      <c r="A826" s="99"/>
      <c r="B826" s="99"/>
      <c r="C826" s="99"/>
      <c r="D826" s="99"/>
      <c r="E826" s="99"/>
      <c r="F826" s="99"/>
      <c r="G826" s="19"/>
      <c r="H826" s="99"/>
      <c r="J826" s="99"/>
      <c r="K826" s="99"/>
      <c r="L826" s="99"/>
      <c r="M826" s="99"/>
      <c r="N826" s="99"/>
      <c r="O826" s="99"/>
      <c r="P826" s="99"/>
    </row>
    <row r="827" spans="1:16">
      <c r="A827" s="99"/>
      <c r="B827" s="99"/>
      <c r="C827" s="99"/>
      <c r="D827" s="99"/>
      <c r="E827" s="99"/>
      <c r="F827" s="99"/>
      <c r="G827" s="19"/>
      <c r="H827" s="99"/>
      <c r="J827" s="99"/>
      <c r="K827" s="99"/>
      <c r="L827" s="99"/>
      <c r="M827" s="99"/>
      <c r="N827" s="99"/>
      <c r="O827" s="99"/>
      <c r="P827" s="99"/>
    </row>
    <row r="828" spans="1:16">
      <c r="A828" s="99"/>
      <c r="B828" s="99"/>
      <c r="C828" s="99"/>
      <c r="D828" s="99"/>
      <c r="E828" s="99"/>
      <c r="F828" s="99"/>
      <c r="G828" s="19"/>
      <c r="H828" s="99"/>
      <c r="J828" s="99"/>
      <c r="K828" s="99"/>
      <c r="L828" s="99"/>
      <c r="M828" s="99"/>
      <c r="N828" s="99"/>
      <c r="O828" s="99"/>
      <c r="P828" s="99"/>
    </row>
    <row r="829" spans="1:16">
      <c r="A829" s="99"/>
      <c r="B829" s="99"/>
      <c r="C829" s="99"/>
      <c r="D829" s="99"/>
      <c r="E829" s="99"/>
      <c r="F829" s="99"/>
      <c r="G829" s="19"/>
      <c r="H829" s="99"/>
      <c r="J829" s="99"/>
      <c r="K829" s="99"/>
      <c r="L829" s="99"/>
      <c r="M829" s="99"/>
      <c r="N829" s="99"/>
      <c r="O829" s="99"/>
      <c r="P829" s="99"/>
    </row>
    <row r="830" spans="1:16">
      <c r="A830" s="99"/>
      <c r="B830" s="99"/>
      <c r="C830" s="99"/>
      <c r="D830" s="99"/>
      <c r="E830" s="99"/>
      <c r="F830" s="99"/>
      <c r="G830" s="19"/>
      <c r="H830" s="99"/>
      <c r="J830" s="99"/>
      <c r="K830" s="99"/>
      <c r="L830" s="99"/>
      <c r="M830" s="99"/>
      <c r="N830" s="99"/>
      <c r="O830" s="99"/>
      <c r="P830" s="99"/>
    </row>
    <row r="831" spans="1:16">
      <c r="A831" s="99"/>
      <c r="B831" s="99"/>
      <c r="C831" s="99"/>
      <c r="D831" s="99"/>
      <c r="E831" s="99"/>
      <c r="F831" s="99"/>
      <c r="G831" s="19"/>
      <c r="H831" s="99"/>
      <c r="J831" s="99"/>
      <c r="K831" s="99"/>
      <c r="L831" s="99"/>
      <c r="M831" s="99"/>
      <c r="N831" s="99"/>
      <c r="O831" s="99"/>
      <c r="P831" s="99"/>
    </row>
    <row r="832" spans="1:16">
      <c r="A832" s="99"/>
      <c r="B832" s="99"/>
      <c r="C832" s="99"/>
      <c r="D832" s="99"/>
      <c r="E832" s="99"/>
      <c r="F832" s="99"/>
      <c r="G832" s="19"/>
      <c r="H832" s="99"/>
      <c r="J832" s="99"/>
      <c r="K832" s="99"/>
      <c r="L832" s="99"/>
      <c r="M832" s="99"/>
      <c r="N832" s="99"/>
      <c r="O832" s="99"/>
      <c r="P832" s="99"/>
    </row>
    <row r="833" spans="1:16">
      <c r="A833" s="99"/>
      <c r="B833" s="99"/>
      <c r="C833" s="99"/>
      <c r="D833" s="99"/>
      <c r="E833" s="99"/>
      <c r="F833" s="99"/>
      <c r="G833" s="19"/>
      <c r="H833" s="99"/>
      <c r="J833" s="99"/>
      <c r="K833" s="99"/>
      <c r="L833" s="99"/>
      <c r="M833" s="99"/>
      <c r="N833" s="99"/>
      <c r="O833" s="99"/>
      <c r="P833" s="99"/>
    </row>
    <row r="834" spans="1:16">
      <c r="A834" s="99"/>
      <c r="B834" s="99"/>
      <c r="C834" s="99"/>
      <c r="D834" s="99"/>
      <c r="E834" s="99"/>
      <c r="F834" s="99"/>
      <c r="G834" s="19"/>
      <c r="H834" s="99"/>
      <c r="J834" s="99"/>
      <c r="K834" s="99"/>
      <c r="L834" s="99"/>
      <c r="M834" s="99"/>
      <c r="N834" s="99"/>
      <c r="O834" s="99"/>
      <c r="P834" s="99"/>
    </row>
    <row r="835" spans="1:16">
      <c r="A835" s="99"/>
      <c r="B835" s="99"/>
      <c r="C835" s="99"/>
      <c r="D835" s="99"/>
      <c r="E835" s="99"/>
      <c r="F835" s="99"/>
      <c r="G835" s="19"/>
      <c r="H835" s="99"/>
      <c r="J835" s="99"/>
      <c r="K835" s="99"/>
      <c r="L835" s="99"/>
      <c r="M835" s="99"/>
      <c r="N835" s="99"/>
      <c r="O835" s="99"/>
      <c r="P835" s="99"/>
    </row>
    <row r="836" spans="1:16">
      <c r="A836" s="99"/>
      <c r="B836" s="99"/>
      <c r="C836" s="99"/>
      <c r="D836" s="99"/>
      <c r="E836" s="99"/>
      <c r="F836" s="99"/>
      <c r="G836" s="19"/>
      <c r="H836" s="99"/>
      <c r="J836" s="99"/>
      <c r="K836" s="99"/>
      <c r="L836" s="99"/>
      <c r="M836" s="99"/>
      <c r="N836" s="99"/>
      <c r="O836" s="99"/>
      <c r="P836" s="99"/>
    </row>
    <row r="837" spans="1:16">
      <c r="A837" s="99"/>
      <c r="B837" s="99"/>
      <c r="C837" s="99"/>
      <c r="D837" s="99"/>
      <c r="E837" s="99"/>
      <c r="F837" s="99"/>
      <c r="G837" s="19"/>
      <c r="H837" s="99"/>
      <c r="J837" s="99"/>
      <c r="K837" s="99"/>
      <c r="L837" s="99"/>
      <c r="M837" s="99"/>
      <c r="N837" s="99"/>
      <c r="O837" s="99"/>
      <c r="P837" s="99"/>
    </row>
    <row r="838" spans="1:16">
      <c r="A838" s="99"/>
      <c r="B838" s="99"/>
      <c r="C838" s="99"/>
      <c r="D838" s="99"/>
      <c r="E838" s="99"/>
      <c r="F838" s="99"/>
      <c r="G838" s="19"/>
      <c r="H838" s="99"/>
      <c r="J838" s="99"/>
      <c r="K838" s="99"/>
      <c r="L838" s="99"/>
      <c r="M838" s="99"/>
      <c r="N838" s="99"/>
      <c r="O838" s="99"/>
      <c r="P838" s="99"/>
    </row>
    <row r="839" spans="1:16">
      <c r="A839" s="99"/>
      <c r="B839" s="99"/>
      <c r="C839" s="99"/>
      <c r="D839" s="99"/>
      <c r="E839" s="99"/>
      <c r="F839" s="99"/>
      <c r="G839" s="19"/>
      <c r="H839" s="99"/>
      <c r="J839" s="99"/>
      <c r="K839" s="99"/>
      <c r="L839" s="99"/>
      <c r="M839" s="99"/>
      <c r="N839" s="99"/>
      <c r="O839" s="99"/>
      <c r="P839" s="99"/>
    </row>
    <row r="840" spans="1:16">
      <c r="A840" s="99"/>
      <c r="B840" s="99"/>
      <c r="C840" s="99"/>
      <c r="D840" s="99"/>
      <c r="E840" s="99"/>
      <c r="F840" s="99"/>
      <c r="G840" s="19"/>
      <c r="H840" s="99"/>
      <c r="J840" s="99"/>
      <c r="K840" s="99"/>
      <c r="L840" s="99"/>
      <c r="M840" s="99"/>
      <c r="N840" s="99"/>
      <c r="O840" s="99"/>
      <c r="P840" s="99"/>
    </row>
    <row r="841" spans="1:16">
      <c r="A841" s="99"/>
      <c r="B841" s="99"/>
      <c r="C841" s="99"/>
      <c r="D841" s="99"/>
      <c r="E841" s="99"/>
      <c r="F841" s="99"/>
      <c r="G841" s="19"/>
      <c r="H841" s="99"/>
      <c r="J841" s="99"/>
      <c r="K841" s="99"/>
      <c r="L841" s="99"/>
      <c r="M841" s="99"/>
      <c r="N841" s="99"/>
      <c r="O841" s="99"/>
      <c r="P841" s="99"/>
    </row>
    <row r="842" spans="1:16">
      <c r="A842" s="99"/>
      <c r="B842" s="99"/>
      <c r="C842" s="99"/>
      <c r="D842" s="99"/>
      <c r="E842" s="99"/>
      <c r="F842" s="99"/>
      <c r="G842" s="19"/>
      <c r="H842" s="99"/>
      <c r="J842" s="99"/>
      <c r="K842" s="99"/>
      <c r="L842" s="99"/>
      <c r="M842" s="99"/>
      <c r="N842" s="99"/>
      <c r="O842" s="99"/>
      <c r="P842" s="99"/>
    </row>
    <row r="843" spans="1:16">
      <c r="A843" s="99"/>
      <c r="B843" s="99"/>
      <c r="C843" s="99"/>
      <c r="D843" s="99"/>
      <c r="E843" s="99"/>
      <c r="F843" s="99"/>
      <c r="G843" s="19"/>
      <c r="H843" s="99"/>
      <c r="J843" s="99"/>
      <c r="K843" s="99"/>
      <c r="L843" s="99"/>
      <c r="M843" s="99"/>
      <c r="N843" s="99"/>
      <c r="O843" s="99"/>
      <c r="P843" s="99"/>
    </row>
    <row r="844" spans="1:16">
      <c r="A844" s="99"/>
      <c r="B844" s="99"/>
      <c r="C844" s="99"/>
      <c r="D844" s="99"/>
      <c r="E844" s="99"/>
      <c r="F844" s="99"/>
      <c r="G844" s="19"/>
      <c r="H844" s="99"/>
      <c r="J844" s="99"/>
      <c r="K844" s="99"/>
      <c r="L844" s="99"/>
      <c r="M844" s="99"/>
      <c r="N844" s="99"/>
      <c r="O844" s="99"/>
      <c r="P844" s="99"/>
    </row>
    <row r="845" spans="1:16">
      <c r="A845" s="99"/>
      <c r="B845" s="99"/>
      <c r="C845" s="99"/>
      <c r="D845" s="99"/>
      <c r="E845" s="99"/>
      <c r="F845" s="99"/>
      <c r="G845" s="19"/>
      <c r="H845" s="99"/>
      <c r="J845" s="99"/>
      <c r="K845" s="99"/>
      <c r="L845" s="99"/>
      <c r="M845" s="99"/>
      <c r="N845" s="99"/>
      <c r="O845" s="99"/>
      <c r="P845" s="99"/>
    </row>
    <row r="846" spans="1:16">
      <c r="A846" s="99"/>
      <c r="B846" s="99"/>
      <c r="C846" s="99"/>
      <c r="D846" s="99"/>
      <c r="E846" s="99"/>
      <c r="F846" s="99"/>
      <c r="G846" s="19"/>
      <c r="H846" s="99"/>
      <c r="J846" s="99"/>
      <c r="K846" s="99"/>
      <c r="L846" s="99"/>
      <c r="M846" s="99"/>
      <c r="N846" s="99"/>
      <c r="O846" s="99"/>
      <c r="P846" s="99"/>
    </row>
    <row r="847" spans="1:16">
      <c r="A847" s="99"/>
      <c r="B847" s="99"/>
      <c r="C847" s="99"/>
      <c r="D847" s="99"/>
      <c r="E847" s="99"/>
      <c r="F847" s="99"/>
      <c r="G847" s="19"/>
      <c r="H847" s="99"/>
      <c r="J847" s="99"/>
      <c r="K847" s="99"/>
      <c r="L847" s="99"/>
      <c r="M847" s="99"/>
      <c r="N847" s="99"/>
      <c r="O847" s="99"/>
      <c r="P847" s="99"/>
    </row>
    <row r="848" spans="1:16">
      <c r="A848" s="99"/>
      <c r="B848" s="99"/>
      <c r="C848" s="99"/>
      <c r="D848" s="99"/>
      <c r="E848" s="99"/>
      <c r="F848" s="99"/>
      <c r="G848" s="19"/>
      <c r="H848" s="99"/>
      <c r="J848" s="99"/>
      <c r="K848" s="99"/>
      <c r="L848" s="99"/>
      <c r="M848" s="99"/>
      <c r="N848" s="99"/>
      <c r="O848" s="99"/>
      <c r="P848" s="99"/>
    </row>
    <row r="849" spans="1:16">
      <c r="A849" s="99"/>
      <c r="B849" s="99"/>
      <c r="C849" s="99"/>
      <c r="D849" s="99"/>
      <c r="E849" s="99"/>
      <c r="F849" s="99"/>
      <c r="G849" s="19"/>
      <c r="H849" s="99"/>
      <c r="J849" s="99"/>
      <c r="K849" s="99"/>
      <c r="L849" s="99"/>
      <c r="M849" s="99"/>
      <c r="N849" s="99"/>
      <c r="O849" s="99"/>
      <c r="P849" s="99"/>
    </row>
    <row r="850" spans="1:16">
      <c r="A850" s="99"/>
      <c r="B850" s="99"/>
      <c r="C850" s="99"/>
      <c r="D850" s="99"/>
      <c r="E850" s="99"/>
      <c r="F850" s="99"/>
      <c r="G850" s="19"/>
      <c r="H850" s="99"/>
      <c r="J850" s="99"/>
      <c r="K850" s="99"/>
      <c r="L850" s="99"/>
      <c r="M850" s="99"/>
      <c r="N850" s="99"/>
      <c r="O850" s="99"/>
      <c r="P850" s="99"/>
    </row>
    <row r="851" spans="1:16">
      <c r="A851" s="99"/>
      <c r="B851" s="99"/>
      <c r="C851" s="99"/>
      <c r="D851" s="99"/>
      <c r="E851" s="99"/>
      <c r="F851" s="99"/>
      <c r="G851" s="19"/>
      <c r="H851" s="99"/>
      <c r="J851" s="99"/>
      <c r="K851" s="99"/>
      <c r="L851" s="99"/>
      <c r="M851" s="99"/>
      <c r="N851" s="99"/>
      <c r="O851" s="99"/>
      <c r="P851" s="99"/>
    </row>
    <row r="852" spans="1:16">
      <c r="A852" s="99"/>
      <c r="B852" s="99"/>
      <c r="C852" s="99"/>
      <c r="D852" s="99"/>
      <c r="E852" s="99"/>
      <c r="F852" s="99"/>
      <c r="G852" s="19"/>
      <c r="H852" s="99"/>
      <c r="J852" s="99"/>
      <c r="K852" s="99"/>
      <c r="L852" s="99"/>
      <c r="M852" s="99"/>
      <c r="N852" s="99"/>
      <c r="O852" s="99"/>
      <c r="P852" s="99"/>
    </row>
    <row r="853" spans="1:16">
      <c r="A853" s="99"/>
      <c r="B853" s="99"/>
      <c r="C853" s="99"/>
      <c r="D853" s="99"/>
      <c r="E853" s="99"/>
      <c r="F853" s="99"/>
      <c r="G853" s="19"/>
      <c r="H853" s="99"/>
      <c r="J853" s="99"/>
      <c r="K853" s="99"/>
      <c r="L853" s="99"/>
      <c r="M853" s="99"/>
      <c r="N853" s="99"/>
      <c r="O853" s="99"/>
      <c r="P853" s="99"/>
    </row>
    <row r="854" spans="1:16">
      <c r="A854" s="99"/>
      <c r="B854" s="99"/>
      <c r="C854" s="99"/>
      <c r="D854" s="99"/>
      <c r="E854" s="99"/>
      <c r="F854" s="99"/>
      <c r="G854" s="19"/>
      <c r="H854" s="99"/>
      <c r="J854" s="99"/>
      <c r="K854" s="99"/>
      <c r="L854" s="99"/>
      <c r="M854" s="99"/>
      <c r="N854" s="99"/>
      <c r="O854" s="99"/>
      <c r="P854" s="99"/>
    </row>
    <row r="855" spans="1:16">
      <c r="A855" s="99"/>
      <c r="B855" s="99"/>
      <c r="C855" s="99"/>
      <c r="D855" s="99"/>
      <c r="E855" s="99"/>
      <c r="F855" s="99"/>
      <c r="G855" s="19"/>
      <c r="H855" s="99"/>
      <c r="J855" s="99"/>
      <c r="K855" s="99"/>
      <c r="L855" s="99"/>
      <c r="M855" s="99"/>
      <c r="N855" s="99"/>
      <c r="O855" s="99"/>
      <c r="P855" s="99"/>
    </row>
    <row r="856" spans="1:16">
      <c r="A856" s="99"/>
      <c r="B856" s="99"/>
      <c r="C856" s="99"/>
      <c r="D856" s="99"/>
      <c r="E856" s="99"/>
      <c r="F856" s="99"/>
      <c r="G856" s="19"/>
      <c r="H856" s="99"/>
      <c r="J856" s="99"/>
      <c r="K856" s="99"/>
      <c r="L856" s="99"/>
      <c r="M856" s="99"/>
      <c r="N856" s="99"/>
      <c r="O856" s="99"/>
      <c r="P856" s="99"/>
    </row>
    <row r="857" spans="1:16">
      <c r="A857" s="99"/>
      <c r="B857" s="99"/>
      <c r="C857" s="99"/>
      <c r="D857" s="99"/>
      <c r="E857" s="99"/>
      <c r="F857" s="99"/>
      <c r="G857" s="19"/>
      <c r="H857" s="99"/>
      <c r="J857" s="99"/>
      <c r="K857" s="99"/>
      <c r="L857" s="99"/>
      <c r="M857" s="99"/>
      <c r="N857" s="99"/>
      <c r="O857" s="99"/>
      <c r="P857" s="99"/>
    </row>
    <row r="858" spans="1:16">
      <c r="A858" s="99"/>
      <c r="B858" s="99"/>
      <c r="C858" s="99"/>
      <c r="D858" s="99"/>
      <c r="E858" s="99"/>
      <c r="F858" s="99"/>
      <c r="G858" s="19"/>
      <c r="H858" s="99"/>
      <c r="J858" s="99"/>
      <c r="K858" s="99"/>
      <c r="L858" s="99"/>
      <c r="M858" s="99"/>
      <c r="N858" s="99"/>
      <c r="O858" s="99"/>
      <c r="P858" s="99"/>
    </row>
    <row r="859" spans="1:16">
      <c r="A859" s="99"/>
      <c r="B859" s="99"/>
      <c r="C859" s="99"/>
      <c r="D859" s="99"/>
      <c r="E859" s="99"/>
      <c r="F859" s="99"/>
      <c r="G859" s="19"/>
      <c r="H859" s="99"/>
      <c r="J859" s="99"/>
      <c r="K859" s="99"/>
      <c r="L859" s="99"/>
      <c r="M859" s="99"/>
      <c r="N859" s="99"/>
      <c r="O859" s="99"/>
      <c r="P859" s="99"/>
    </row>
    <row r="860" spans="1:16">
      <c r="A860" s="99"/>
      <c r="B860" s="99"/>
      <c r="C860" s="99"/>
      <c r="D860" s="99"/>
      <c r="E860" s="99"/>
      <c r="F860" s="99"/>
      <c r="G860" s="19"/>
      <c r="H860" s="99"/>
      <c r="J860" s="99"/>
      <c r="K860" s="99"/>
      <c r="L860" s="99"/>
      <c r="M860" s="99"/>
      <c r="N860" s="99"/>
      <c r="O860" s="99"/>
      <c r="P860" s="99"/>
    </row>
    <row r="861" spans="1:16">
      <c r="A861" s="99"/>
      <c r="B861" s="99"/>
      <c r="C861" s="99"/>
      <c r="D861" s="99"/>
      <c r="E861" s="99"/>
      <c r="F861" s="99"/>
      <c r="G861" s="19"/>
      <c r="H861" s="99"/>
      <c r="J861" s="99"/>
      <c r="K861" s="99"/>
      <c r="L861" s="99"/>
      <c r="M861" s="99"/>
      <c r="N861" s="99"/>
      <c r="O861" s="99"/>
      <c r="P861" s="99"/>
    </row>
    <row r="862" spans="1:16">
      <c r="A862" s="99"/>
      <c r="B862" s="99"/>
      <c r="C862" s="99"/>
      <c r="D862" s="99"/>
      <c r="E862" s="99"/>
      <c r="F862" s="99"/>
      <c r="G862" s="19"/>
      <c r="H862" s="99"/>
      <c r="J862" s="99"/>
      <c r="K862" s="99"/>
      <c r="L862" s="99"/>
      <c r="M862" s="99"/>
      <c r="N862" s="99"/>
      <c r="O862" s="99"/>
      <c r="P862" s="99"/>
    </row>
    <row r="863" spans="1:16">
      <c r="A863" s="99"/>
      <c r="B863" s="99"/>
      <c r="C863" s="99"/>
      <c r="D863" s="99"/>
      <c r="E863" s="99"/>
      <c r="F863" s="99"/>
      <c r="G863" s="19"/>
      <c r="H863" s="99"/>
      <c r="J863" s="99"/>
      <c r="K863" s="99"/>
      <c r="L863" s="99"/>
      <c r="M863" s="99"/>
      <c r="N863" s="99"/>
      <c r="O863" s="99"/>
      <c r="P863" s="99"/>
    </row>
    <row r="864" spans="1:16">
      <c r="A864" s="99"/>
      <c r="B864" s="99"/>
      <c r="C864" s="99"/>
      <c r="D864" s="99"/>
      <c r="E864" s="99"/>
      <c r="F864" s="99"/>
      <c r="G864" s="19"/>
      <c r="H864" s="99"/>
      <c r="J864" s="99"/>
      <c r="K864" s="99"/>
      <c r="L864" s="99"/>
      <c r="M864" s="99"/>
      <c r="N864" s="99"/>
      <c r="O864" s="99"/>
      <c r="P864" s="99"/>
    </row>
    <row r="865" spans="1:16">
      <c r="A865" s="99"/>
      <c r="B865" s="99"/>
      <c r="C865" s="99"/>
      <c r="D865" s="99"/>
      <c r="E865" s="99"/>
      <c r="F865" s="99"/>
      <c r="G865" s="19"/>
      <c r="H865" s="99"/>
      <c r="J865" s="99"/>
      <c r="K865" s="99"/>
      <c r="L865" s="99"/>
      <c r="M865" s="99"/>
      <c r="N865" s="99"/>
      <c r="O865" s="99"/>
      <c r="P865" s="99"/>
    </row>
    <row r="866" spans="1:16">
      <c r="A866" s="99"/>
      <c r="B866" s="99"/>
      <c r="C866" s="99"/>
      <c r="D866" s="99"/>
      <c r="E866" s="99"/>
      <c r="F866" s="99"/>
      <c r="G866" s="19"/>
      <c r="H866" s="99"/>
      <c r="J866" s="99"/>
      <c r="K866" s="99"/>
      <c r="L866" s="99"/>
      <c r="M866" s="99"/>
      <c r="N866" s="99"/>
      <c r="O866" s="99"/>
      <c r="P866" s="99"/>
    </row>
    <row r="867" spans="1:16">
      <c r="A867" s="99"/>
      <c r="B867" s="99"/>
      <c r="C867" s="99"/>
      <c r="D867" s="99"/>
      <c r="E867" s="99"/>
      <c r="F867" s="99"/>
      <c r="G867" s="19"/>
      <c r="H867" s="99"/>
      <c r="J867" s="99"/>
      <c r="K867" s="99"/>
      <c r="L867" s="99"/>
      <c r="M867" s="99"/>
      <c r="N867" s="99"/>
      <c r="O867" s="99"/>
      <c r="P867" s="99"/>
    </row>
    <row r="868" spans="1:16">
      <c r="A868" s="99"/>
      <c r="B868" s="99"/>
      <c r="C868" s="99"/>
      <c r="D868" s="99"/>
      <c r="E868" s="99"/>
      <c r="F868" s="99"/>
      <c r="G868" s="19"/>
      <c r="H868" s="99"/>
      <c r="J868" s="99"/>
      <c r="K868" s="99"/>
      <c r="L868" s="99"/>
      <c r="M868" s="99"/>
      <c r="N868" s="99"/>
      <c r="O868" s="99"/>
      <c r="P868" s="99"/>
    </row>
    <row r="869" spans="1:16">
      <c r="A869" s="99"/>
      <c r="B869" s="99"/>
      <c r="C869" s="99"/>
      <c r="D869" s="99"/>
      <c r="E869" s="99"/>
      <c r="F869" s="99"/>
      <c r="G869" s="19"/>
      <c r="H869" s="99"/>
      <c r="J869" s="99"/>
      <c r="K869" s="99"/>
      <c r="L869" s="99"/>
      <c r="M869" s="99"/>
      <c r="N869" s="99"/>
      <c r="O869" s="99"/>
      <c r="P869" s="99"/>
    </row>
    <row r="870" spans="1:16">
      <c r="A870" s="99"/>
      <c r="B870" s="99"/>
      <c r="C870" s="99"/>
      <c r="D870" s="99"/>
      <c r="E870" s="99"/>
      <c r="F870" s="99"/>
      <c r="G870" s="19"/>
      <c r="H870" s="99"/>
      <c r="J870" s="99"/>
      <c r="K870" s="99"/>
      <c r="L870" s="99"/>
      <c r="M870" s="99"/>
      <c r="N870" s="99"/>
      <c r="O870" s="99"/>
      <c r="P870" s="99"/>
    </row>
    <row r="871" spans="1:16">
      <c r="A871" s="99"/>
      <c r="B871" s="99"/>
      <c r="C871" s="99"/>
      <c r="D871" s="99"/>
      <c r="E871" s="99"/>
      <c r="F871" s="99"/>
      <c r="G871" s="19"/>
      <c r="H871" s="99"/>
      <c r="J871" s="99"/>
      <c r="K871" s="99"/>
      <c r="L871" s="99"/>
      <c r="M871" s="99"/>
      <c r="N871" s="99"/>
      <c r="O871" s="99"/>
      <c r="P871" s="99"/>
    </row>
    <row r="872" spans="1:16">
      <c r="A872" s="99"/>
      <c r="B872" s="99"/>
      <c r="C872" s="99"/>
      <c r="D872" s="99"/>
      <c r="E872" s="99"/>
      <c r="F872" s="99"/>
      <c r="G872" s="19"/>
      <c r="H872" s="99"/>
      <c r="J872" s="99"/>
      <c r="K872" s="99"/>
      <c r="L872" s="99"/>
      <c r="M872" s="99"/>
      <c r="N872" s="99"/>
      <c r="O872" s="99"/>
      <c r="P872" s="99"/>
    </row>
    <row r="873" spans="1:16">
      <c r="A873" s="99"/>
      <c r="B873" s="99"/>
      <c r="C873" s="99"/>
      <c r="D873" s="99"/>
      <c r="E873" s="99"/>
      <c r="F873" s="99"/>
      <c r="G873" s="19"/>
      <c r="H873" s="99"/>
      <c r="J873" s="99"/>
      <c r="K873" s="99"/>
      <c r="L873" s="99"/>
      <c r="M873" s="99"/>
      <c r="N873" s="99"/>
      <c r="O873" s="99"/>
      <c r="P873" s="99"/>
    </row>
    <row r="874" spans="1:16">
      <c r="A874" s="99"/>
      <c r="B874" s="99"/>
      <c r="C874" s="99"/>
      <c r="D874" s="99"/>
      <c r="E874" s="99"/>
      <c r="F874" s="99"/>
      <c r="G874" s="19"/>
      <c r="H874" s="99"/>
      <c r="J874" s="99"/>
      <c r="K874" s="99"/>
      <c r="L874" s="99"/>
      <c r="M874" s="99"/>
      <c r="N874" s="99"/>
      <c r="O874" s="99"/>
      <c r="P874" s="99"/>
    </row>
    <row r="875" spans="1:16">
      <c r="A875" s="99"/>
      <c r="B875" s="99"/>
      <c r="C875" s="99"/>
      <c r="D875" s="99"/>
      <c r="E875" s="99"/>
      <c r="F875" s="99"/>
      <c r="G875" s="19"/>
      <c r="H875" s="99"/>
      <c r="J875" s="99"/>
      <c r="K875" s="99"/>
      <c r="L875" s="99"/>
      <c r="M875" s="99"/>
      <c r="N875" s="99"/>
      <c r="O875" s="99"/>
      <c r="P875" s="99"/>
    </row>
    <row r="876" spans="1:16">
      <c r="A876" s="99"/>
      <c r="B876" s="99"/>
      <c r="C876" s="99"/>
      <c r="D876" s="99"/>
      <c r="E876" s="99"/>
      <c r="F876" s="99"/>
      <c r="G876" s="19"/>
      <c r="H876" s="99"/>
      <c r="J876" s="99"/>
      <c r="K876" s="99"/>
      <c r="L876" s="99"/>
      <c r="M876" s="99"/>
      <c r="N876" s="99"/>
      <c r="O876" s="99"/>
      <c r="P876" s="99"/>
    </row>
    <row r="877" spans="1:16">
      <c r="A877" s="99"/>
      <c r="B877" s="99"/>
      <c r="C877" s="99"/>
      <c r="D877" s="99"/>
      <c r="E877" s="99"/>
      <c r="F877" s="99"/>
      <c r="G877" s="19"/>
      <c r="H877" s="99"/>
      <c r="J877" s="99"/>
      <c r="K877" s="99"/>
      <c r="L877" s="99"/>
      <c r="M877" s="99"/>
      <c r="N877" s="99"/>
      <c r="O877" s="99"/>
      <c r="P877" s="99"/>
    </row>
    <row r="878" spans="1:16">
      <c r="A878" s="99"/>
      <c r="B878" s="99"/>
      <c r="C878" s="99"/>
      <c r="D878" s="99"/>
      <c r="E878" s="99"/>
      <c r="F878" s="99"/>
      <c r="G878" s="19"/>
      <c r="H878" s="99"/>
      <c r="J878" s="99"/>
      <c r="K878" s="99"/>
      <c r="L878" s="99"/>
      <c r="M878" s="99"/>
      <c r="N878" s="99"/>
      <c r="O878" s="99"/>
      <c r="P878" s="99"/>
    </row>
    <row r="879" spans="1:16">
      <c r="A879" s="99"/>
      <c r="B879" s="99"/>
      <c r="C879" s="99"/>
      <c r="D879" s="99"/>
      <c r="E879" s="99"/>
      <c r="F879" s="99"/>
      <c r="G879" s="19"/>
      <c r="H879" s="99"/>
      <c r="J879" s="99"/>
      <c r="K879" s="99"/>
      <c r="L879" s="99"/>
      <c r="M879" s="99"/>
      <c r="N879" s="99"/>
      <c r="O879" s="99"/>
      <c r="P879" s="99"/>
    </row>
    <row r="880" spans="1:16">
      <c r="A880" s="99"/>
      <c r="B880" s="99"/>
      <c r="C880" s="99"/>
      <c r="D880" s="99"/>
      <c r="E880" s="99"/>
      <c r="F880" s="99"/>
      <c r="G880" s="19"/>
      <c r="H880" s="99"/>
      <c r="J880" s="99"/>
      <c r="K880" s="99"/>
      <c r="L880" s="99"/>
      <c r="M880" s="99"/>
      <c r="N880" s="99"/>
      <c r="O880" s="99"/>
      <c r="P880" s="99"/>
    </row>
    <row r="881" spans="1:16">
      <c r="A881" s="99"/>
      <c r="B881" s="99"/>
      <c r="C881" s="99"/>
      <c r="D881" s="99"/>
      <c r="E881" s="99"/>
      <c r="F881" s="99"/>
      <c r="G881" s="19"/>
      <c r="H881" s="99"/>
      <c r="J881" s="99"/>
      <c r="K881" s="99"/>
      <c r="L881" s="99"/>
      <c r="M881" s="99"/>
      <c r="N881" s="99"/>
      <c r="O881" s="99"/>
      <c r="P881" s="99"/>
    </row>
    <row r="882" spans="1:16">
      <c r="A882" s="99"/>
      <c r="B882" s="99"/>
      <c r="C882" s="99"/>
      <c r="D882" s="99"/>
      <c r="E882" s="99"/>
      <c r="F882" s="99"/>
      <c r="G882" s="19"/>
      <c r="H882" s="99"/>
      <c r="J882" s="99"/>
      <c r="K882" s="99"/>
      <c r="L882" s="99"/>
      <c r="M882" s="99"/>
      <c r="N882" s="99"/>
      <c r="O882" s="99"/>
      <c r="P882" s="99"/>
    </row>
    <row r="883" spans="1:16">
      <c r="A883" s="99"/>
      <c r="B883" s="99"/>
      <c r="C883" s="99"/>
      <c r="D883" s="99"/>
      <c r="E883" s="99"/>
      <c r="F883" s="99"/>
      <c r="G883" s="19"/>
      <c r="H883" s="99"/>
      <c r="J883" s="99"/>
      <c r="K883" s="99"/>
      <c r="L883" s="99"/>
      <c r="M883" s="99"/>
      <c r="N883" s="99"/>
      <c r="O883" s="99"/>
      <c r="P883" s="99"/>
    </row>
    <row r="884" spans="1:16">
      <c r="A884" s="99"/>
      <c r="B884" s="99"/>
      <c r="C884" s="99"/>
      <c r="D884" s="99"/>
      <c r="E884" s="99"/>
      <c r="F884" s="99"/>
      <c r="G884" s="19"/>
      <c r="H884" s="99"/>
      <c r="J884" s="99"/>
      <c r="K884" s="99"/>
      <c r="L884" s="99"/>
      <c r="M884" s="99"/>
      <c r="N884" s="99"/>
      <c r="O884" s="99"/>
      <c r="P884" s="99"/>
    </row>
    <row r="885" spans="1:16">
      <c r="A885" s="99"/>
      <c r="B885" s="99"/>
      <c r="C885" s="99"/>
      <c r="D885" s="99"/>
      <c r="E885" s="99"/>
      <c r="F885" s="99"/>
      <c r="G885" s="19"/>
      <c r="H885" s="99"/>
      <c r="J885" s="99"/>
      <c r="K885" s="99"/>
      <c r="L885" s="99"/>
      <c r="M885" s="99"/>
      <c r="N885" s="99"/>
      <c r="O885" s="99"/>
      <c r="P885" s="99"/>
    </row>
    <row r="886" spans="1:16">
      <c r="A886" s="99"/>
      <c r="B886" s="99"/>
      <c r="C886" s="99"/>
      <c r="D886" s="99"/>
      <c r="E886" s="99"/>
      <c r="F886" s="99"/>
      <c r="G886" s="19"/>
      <c r="H886" s="99"/>
      <c r="J886" s="99"/>
      <c r="K886" s="99"/>
      <c r="L886" s="99"/>
      <c r="M886" s="99"/>
      <c r="N886" s="99"/>
      <c r="O886" s="99"/>
      <c r="P886" s="99"/>
    </row>
    <row r="887" spans="1:16">
      <c r="A887" s="99"/>
      <c r="B887" s="99"/>
      <c r="C887" s="99"/>
      <c r="D887" s="99"/>
      <c r="E887" s="99"/>
      <c r="F887" s="99"/>
      <c r="G887" s="19"/>
      <c r="H887" s="99"/>
      <c r="J887" s="99"/>
      <c r="K887" s="99"/>
      <c r="L887" s="99"/>
      <c r="M887" s="99"/>
      <c r="N887" s="99"/>
      <c r="O887" s="99"/>
      <c r="P887" s="99"/>
    </row>
    <row r="888" spans="1:16">
      <c r="A888" s="99"/>
      <c r="B888" s="99"/>
      <c r="C888" s="99"/>
      <c r="D888" s="99"/>
      <c r="E888" s="99"/>
      <c r="F888" s="99"/>
      <c r="G888" s="19"/>
      <c r="H888" s="99"/>
      <c r="J888" s="99"/>
      <c r="K888" s="99"/>
      <c r="L888" s="99"/>
      <c r="M888" s="99"/>
      <c r="N888" s="99"/>
      <c r="O888" s="99"/>
      <c r="P888" s="99"/>
    </row>
    <row r="889" spans="1:16">
      <c r="A889" s="99"/>
      <c r="B889" s="99"/>
      <c r="C889" s="99"/>
      <c r="D889" s="99"/>
      <c r="E889" s="99"/>
      <c r="F889" s="99"/>
      <c r="G889" s="19"/>
      <c r="H889" s="99"/>
      <c r="J889" s="99"/>
      <c r="K889" s="99"/>
      <c r="L889" s="99"/>
      <c r="M889" s="99"/>
      <c r="N889" s="99"/>
      <c r="O889" s="99"/>
      <c r="P889" s="99"/>
    </row>
    <row r="890" spans="1:16">
      <c r="A890" s="99"/>
      <c r="B890" s="99"/>
      <c r="C890" s="99"/>
      <c r="D890" s="99"/>
      <c r="E890" s="99"/>
      <c r="F890" s="99"/>
      <c r="G890" s="19"/>
      <c r="H890" s="99"/>
      <c r="J890" s="99"/>
      <c r="K890" s="99"/>
      <c r="L890" s="99"/>
      <c r="M890" s="99"/>
      <c r="N890" s="99"/>
      <c r="O890" s="99"/>
      <c r="P890" s="99"/>
    </row>
    <row r="891" spans="1:16">
      <c r="A891" s="99"/>
      <c r="B891" s="99"/>
      <c r="C891" s="99"/>
      <c r="D891" s="99"/>
      <c r="E891" s="99"/>
      <c r="F891" s="99"/>
      <c r="G891" s="19"/>
      <c r="H891" s="99"/>
      <c r="J891" s="99"/>
      <c r="K891" s="99"/>
      <c r="L891" s="99"/>
      <c r="M891" s="99"/>
      <c r="N891" s="99"/>
      <c r="O891" s="99"/>
      <c r="P891" s="99"/>
    </row>
    <row r="892" spans="1:16">
      <c r="A892" s="99"/>
      <c r="B892" s="99"/>
      <c r="C892" s="99"/>
      <c r="D892" s="99"/>
      <c r="E892" s="99"/>
      <c r="F892" s="99"/>
      <c r="G892" s="19"/>
      <c r="H892" s="99"/>
      <c r="J892" s="99"/>
      <c r="K892" s="99"/>
      <c r="L892" s="99"/>
      <c r="M892" s="99"/>
      <c r="N892" s="99"/>
      <c r="O892" s="99"/>
      <c r="P892" s="99"/>
    </row>
    <row r="893" spans="1:16">
      <c r="A893" s="99"/>
      <c r="B893" s="99"/>
      <c r="C893" s="99"/>
      <c r="D893" s="99"/>
      <c r="E893" s="99"/>
      <c r="F893" s="99"/>
      <c r="G893" s="19"/>
      <c r="H893" s="99"/>
      <c r="J893" s="99"/>
      <c r="K893" s="99"/>
      <c r="L893" s="99"/>
      <c r="M893" s="99"/>
      <c r="N893" s="99"/>
      <c r="O893" s="99"/>
      <c r="P893" s="99"/>
    </row>
    <row r="894" spans="1:16">
      <c r="A894" s="99"/>
      <c r="B894" s="99"/>
      <c r="C894" s="99"/>
      <c r="D894" s="99"/>
      <c r="E894" s="99"/>
      <c r="F894" s="99"/>
      <c r="G894" s="19"/>
      <c r="H894" s="99"/>
      <c r="J894" s="99"/>
      <c r="K894" s="99"/>
      <c r="L894" s="99"/>
      <c r="M894" s="99"/>
      <c r="N894" s="99"/>
      <c r="O894" s="99"/>
      <c r="P894" s="99"/>
    </row>
    <row r="895" spans="1:16">
      <c r="A895" s="99"/>
      <c r="B895" s="99"/>
      <c r="C895" s="99"/>
      <c r="D895" s="99"/>
      <c r="E895" s="99"/>
      <c r="F895" s="99"/>
      <c r="G895" s="19"/>
      <c r="H895" s="99"/>
      <c r="J895" s="99"/>
      <c r="K895" s="99"/>
      <c r="L895" s="99"/>
      <c r="M895" s="99"/>
      <c r="N895" s="99"/>
      <c r="O895" s="99"/>
      <c r="P895" s="99"/>
    </row>
    <row r="896" spans="1:16">
      <c r="A896" s="99"/>
      <c r="B896" s="99"/>
      <c r="C896" s="99"/>
      <c r="D896" s="99"/>
      <c r="E896" s="99"/>
      <c r="F896" s="99"/>
      <c r="G896" s="19"/>
      <c r="H896" s="99"/>
      <c r="J896" s="99"/>
      <c r="K896" s="99"/>
      <c r="L896" s="99"/>
      <c r="M896" s="99"/>
      <c r="N896" s="99"/>
      <c r="O896" s="99"/>
      <c r="P896" s="99"/>
    </row>
    <row r="897" spans="1:16">
      <c r="A897" s="99"/>
      <c r="B897" s="99"/>
      <c r="C897" s="99"/>
      <c r="D897" s="99"/>
      <c r="E897" s="99"/>
      <c r="F897" s="99"/>
      <c r="G897" s="19"/>
      <c r="H897" s="99"/>
      <c r="J897" s="99"/>
      <c r="K897" s="99"/>
      <c r="L897" s="99"/>
      <c r="M897" s="99"/>
      <c r="N897" s="99"/>
      <c r="O897" s="99"/>
      <c r="P897" s="99"/>
    </row>
    <row r="898" spans="1:16">
      <c r="A898" s="99"/>
      <c r="B898" s="99"/>
      <c r="C898" s="99"/>
      <c r="D898" s="99"/>
      <c r="E898" s="99"/>
      <c r="F898" s="99"/>
      <c r="G898" s="19"/>
      <c r="H898" s="99"/>
      <c r="J898" s="99"/>
      <c r="K898" s="99"/>
      <c r="L898" s="99"/>
      <c r="M898" s="99"/>
      <c r="N898" s="99"/>
      <c r="O898" s="99"/>
      <c r="P898" s="99"/>
    </row>
    <row r="899" spans="1:16">
      <c r="A899" s="99"/>
      <c r="B899" s="99"/>
      <c r="C899" s="99"/>
      <c r="D899" s="99"/>
      <c r="E899" s="99"/>
      <c r="F899" s="99"/>
      <c r="G899" s="19"/>
      <c r="H899" s="99"/>
      <c r="J899" s="99"/>
      <c r="K899" s="99"/>
      <c r="L899" s="99"/>
      <c r="M899" s="99"/>
      <c r="N899" s="99"/>
      <c r="O899" s="99"/>
      <c r="P899" s="99"/>
    </row>
    <row r="900" spans="1:16">
      <c r="A900" s="99"/>
      <c r="B900" s="99"/>
      <c r="C900" s="99"/>
      <c r="D900" s="99"/>
      <c r="E900" s="99"/>
      <c r="F900" s="99"/>
      <c r="G900" s="19"/>
      <c r="H900" s="99"/>
      <c r="J900" s="99"/>
      <c r="K900" s="99"/>
      <c r="L900" s="99"/>
      <c r="M900" s="99"/>
      <c r="N900" s="99"/>
      <c r="O900" s="99"/>
      <c r="P900" s="99"/>
    </row>
    <row r="901" spans="1:16">
      <c r="A901" s="99"/>
      <c r="B901" s="99"/>
      <c r="C901" s="99"/>
      <c r="D901" s="99"/>
      <c r="E901" s="99"/>
      <c r="F901" s="99"/>
      <c r="G901" s="19"/>
      <c r="H901" s="99"/>
      <c r="J901" s="99"/>
      <c r="K901" s="99"/>
      <c r="L901" s="99"/>
      <c r="M901" s="99"/>
      <c r="N901" s="99"/>
      <c r="O901" s="99"/>
      <c r="P901" s="99"/>
    </row>
    <row r="902" spans="1:16">
      <c r="A902" s="99"/>
      <c r="B902" s="99"/>
      <c r="C902" s="99"/>
      <c r="D902" s="99"/>
      <c r="E902" s="99"/>
      <c r="F902" s="99"/>
      <c r="G902" s="19"/>
      <c r="H902" s="99"/>
      <c r="J902" s="99"/>
      <c r="K902" s="99"/>
      <c r="L902" s="99"/>
      <c r="M902" s="99"/>
      <c r="N902" s="99"/>
      <c r="O902" s="99"/>
      <c r="P902" s="99"/>
    </row>
    <row r="903" spans="1:16">
      <c r="A903" s="99"/>
      <c r="B903" s="99"/>
      <c r="C903" s="99"/>
      <c r="D903" s="99"/>
      <c r="E903" s="99"/>
      <c r="F903" s="99"/>
      <c r="G903" s="19"/>
      <c r="H903" s="99"/>
      <c r="J903" s="99"/>
      <c r="K903" s="99"/>
      <c r="L903" s="99"/>
      <c r="M903" s="99"/>
      <c r="N903" s="99"/>
      <c r="O903" s="99"/>
      <c r="P903" s="99"/>
    </row>
    <row r="904" spans="1:16">
      <c r="A904" s="99"/>
      <c r="B904" s="99"/>
      <c r="C904" s="99"/>
      <c r="D904" s="99"/>
      <c r="E904" s="99"/>
      <c r="F904" s="99"/>
      <c r="G904" s="19"/>
      <c r="H904" s="99"/>
      <c r="J904" s="99"/>
      <c r="K904" s="99"/>
      <c r="L904" s="99"/>
      <c r="M904" s="99"/>
      <c r="N904" s="99"/>
      <c r="O904" s="99"/>
      <c r="P904" s="99"/>
    </row>
    <row r="905" spans="1:16">
      <c r="A905" s="99"/>
      <c r="B905" s="99"/>
      <c r="C905" s="99"/>
      <c r="D905" s="99"/>
      <c r="E905" s="99"/>
      <c r="F905" s="99"/>
      <c r="G905" s="19"/>
      <c r="H905" s="99"/>
      <c r="J905" s="99"/>
      <c r="K905" s="99"/>
      <c r="L905" s="99"/>
      <c r="M905" s="99"/>
      <c r="N905" s="99"/>
      <c r="O905" s="99"/>
      <c r="P905" s="99"/>
    </row>
    <row r="906" spans="1:16">
      <c r="A906" s="99"/>
      <c r="B906" s="99"/>
      <c r="C906" s="99"/>
      <c r="D906" s="99"/>
      <c r="E906" s="99"/>
      <c r="F906" s="99"/>
      <c r="G906" s="19"/>
      <c r="H906" s="99"/>
      <c r="J906" s="99"/>
      <c r="K906" s="99"/>
      <c r="L906" s="99"/>
      <c r="M906" s="99"/>
      <c r="N906" s="99"/>
      <c r="O906" s="99"/>
      <c r="P906" s="99"/>
    </row>
    <row r="907" spans="1:16">
      <c r="A907" s="99"/>
      <c r="B907" s="99"/>
      <c r="C907" s="99"/>
      <c r="D907" s="99"/>
      <c r="E907" s="99"/>
      <c r="F907" s="99"/>
      <c r="G907" s="19"/>
      <c r="H907" s="99"/>
      <c r="J907" s="99"/>
      <c r="K907" s="99"/>
      <c r="L907" s="99"/>
      <c r="M907" s="99"/>
      <c r="N907" s="99"/>
      <c r="O907" s="99"/>
      <c r="P907" s="99"/>
    </row>
    <row r="908" spans="1:16">
      <c r="A908" s="99"/>
      <c r="B908" s="99"/>
      <c r="C908" s="99"/>
      <c r="D908" s="99"/>
      <c r="E908" s="99"/>
      <c r="F908" s="99"/>
      <c r="G908" s="19"/>
      <c r="H908" s="99"/>
      <c r="J908" s="99"/>
      <c r="K908" s="99"/>
      <c r="L908" s="99"/>
      <c r="M908" s="99"/>
      <c r="N908" s="99"/>
      <c r="O908" s="99"/>
      <c r="P908" s="99"/>
    </row>
    <row r="909" spans="1:16">
      <c r="A909" s="99"/>
      <c r="B909" s="99"/>
      <c r="C909" s="99"/>
      <c r="D909" s="99"/>
      <c r="E909" s="99"/>
      <c r="F909" s="99"/>
      <c r="G909" s="19"/>
      <c r="H909" s="99"/>
      <c r="J909" s="99"/>
      <c r="K909" s="99"/>
      <c r="L909" s="99"/>
      <c r="M909" s="99"/>
      <c r="N909" s="99"/>
      <c r="O909" s="99"/>
      <c r="P909" s="99"/>
    </row>
    <row r="910" spans="1:16">
      <c r="A910" s="99"/>
      <c r="B910" s="99"/>
      <c r="C910" s="99"/>
      <c r="D910" s="99"/>
      <c r="E910" s="99"/>
      <c r="F910" s="99"/>
      <c r="G910" s="19"/>
      <c r="H910" s="99"/>
      <c r="J910" s="99"/>
      <c r="K910" s="99"/>
      <c r="L910" s="99"/>
      <c r="M910" s="99"/>
      <c r="N910" s="99"/>
      <c r="O910" s="99"/>
      <c r="P910" s="99"/>
    </row>
    <row r="911" spans="1:16">
      <c r="A911" s="99"/>
      <c r="B911" s="99"/>
      <c r="C911" s="99"/>
      <c r="D911" s="99"/>
      <c r="E911" s="99"/>
      <c r="F911" s="99"/>
      <c r="G911" s="19"/>
      <c r="H911" s="99"/>
      <c r="J911" s="99"/>
      <c r="K911" s="99"/>
      <c r="L911" s="99"/>
      <c r="M911" s="99"/>
      <c r="N911" s="99"/>
      <c r="O911" s="99"/>
      <c r="P911" s="99"/>
    </row>
    <row r="912" spans="1:16">
      <c r="A912" s="99"/>
      <c r="B912" s="99"/>
      <c r="C912" s="99"/>
      <c r="D912" s="99"/>
      <c r="E912" s="99"/>
      <c r="F912" s="99"/>
      <c r="G912" s="19"/>
      <c r="H912" s="99"/>
      <c r="J912" s="99"/>
      <c r="K912" s="99"/>
      <c r="L912" s="99"/>
      <c r="M912" s="99"/>
      <c r="N912" s="99"/>
      <c r="O912" s="99"/>
      <c r="P912" s="99"/>
    </row>
    <row r="913" spans="1:16">
      <c r="A913" s="99"/>
      <c r="B913" s="99"/>
      <c r="C913" s="99"/>
      <c r="D913" s="99"/>
      <c r="E913" s="99"/>
      <c r="F913" s="99"/>
      <c r="G913" s="19"/>
      <c r="H913" s="99"/>
      <c r="J913" s="99"/>
      <c r="K913" s="99"/>
      <c r="L913" s="99"/>
      <c r="M913" s="99"/>
      <c r="N913" s="99"/>
      <c r="O913" s="99"/>
      <c r="P913" s="99"/>
    </row>
    <row r="914" spans="1:16">
      <c r="A914" s="99"/>
      <c r="B914" s="99"/>
      <c r="C914" s="99"/>
      <c r="D914" s="99"/>
      <c r="E914" s="99"/>
      <c r="F914" s="99"/>
      <c r="G914" s="19"/>
      <c r="H914" s="99"/>
      <c r="J914" s="99"/>
      <c r="K914" s="99"/>
      <c r="L914" s="99"/>
      <c r="M914" s="99"/>
      <c r="N914" s="99"/>
      <c r="O914" s="99"/>
      <c r="P914" s="99"/>
    </row>
    <row r="915" spans="1:16">
      <c r="A915" s="99"/>
      <c r="B915" s="99"/>
      <c r="C915" s="99"/>
      <c r="D915" s="99"/>
      <c r="E915" s="99"/>
      <c r="F915" s="99"/>
      <c r="G915" s="19"/>
      <c r="H915" s="99"/>
      <c r="J915" s="99"/>
      <c r="K915" s="99"/>
      <c r="L915" s="99"/>
      <c r="M915" s="99"/>
      <c r="N915" s="99"/>
      <c r="O915" s="99"/>
      <c r="P915" s="99"/>
    </row>
    <row r="916" spans="1:16">
      <c r="A916" s="99"/>
      <c r="B916" s="99"/>
      <c r="C916" s="99"/>
      <c r="D916" s="99"/>
      <c r="E916" s="99"/>
      <c r="F916" s="99"/>
      <c r="G916" s="19"/>
      <c r="H916" s="99"/>
      <c r="J916" s="99"/>
      <c r="K916" s="99"/>
      <c r="L916" s="99"/>
      <c r="M916" s="99"/>
      <c r="N916" s="99"/>
      <c r="O916" s="99"/>
      <c r="P916" s="99"/>
    </row>
    <row r="917" spans="1:16">
      <c r="A917" s="99"/>
      <c r="B917" s="99"/>
      <c r="C917" s="99"/>
      <c r="D917" s="99"/>
      <c r="E917" s="99"/>
      <c r="F917" s="99"/>
      <c r="G917" s="19"/>
      <c r="H917" s="99"/>
      <c r="J917" s="99"/>
      <c r="K917" s="99"/>
      <c r="L917" s="99"/>
      <c r="M917" s="99"/>
      <c r="N917" s="99"/>
      <c r="O917" s="99"/>
      <c r="P917" s="99"/>
    </row>
    <row r="918" spans="1:16">
      <c r="A918" s="99"/>
      <c r="B918" s="99"/>
      <c r="C918" s="99"/>
      <c r="D918" s="99"/>
      <c r="E918" s="99"/>
      <c r="F918" s="99"/>
      <c r="G918" s="19"/>
      <c r="H918" s="99"/>
      <c r="J918" s="99"/>
      <c r="K918" s="99"/>
      <c r="L918" s="99"/>
      <c r="M918" s="99"/>
      <c r="N918" s="99"/>
      <c r="O918" s="99"/>
      <c r="P918" s="99"/>
    </row>
    <row r="919" spans="1:16">
      <c r="A919" s="99"/>
      <c r="B919" s="99"/>
      <c r="C919" s="99"/>
      <c r="D919" s="99"/>
      <c r="E919" s="99"/>
      <c r="F919" s="99"/>
      <c r="G919" s="19"/>
      <c r="H919" s="99"/>
      <c r="J919" s="99"/>
      <c r="K919" s="99"/>
      <c r="L919" s="99"/>
      <c r="M919" s="99"/>
      <c r="N919" s="99"/>
      <c r="O919" s="99"/>
      <c r="P919" s="99"/>
    </row>
    <row r="920" spans="1:16">
      <c r="A920" s="99"/>
      <c r="B920" s="99"/>
      <c r="C920" s="99"/>
      <c r="D920" s="99"/>
      <c r="E920" s="99"/>
      <c r="F920" s="99"/>
      <c r="G920" s="19"/>
      <c r="H920" s="99"/>
      <c r="J920" s="99"/>
      <c r="K920" s="99"/>
      <c r="L920" s="99"/>
      <c r="M920" s="99"/>
      <c r="N920" s="99"/>
      <c r="O920" s="99"/>
      <c r="P920" s="99"/>
    </row>
    <row r="921" spans="1:16">
      <c r="A921" s="99"/>
      <c r="B921" s="99"/>
      <c r="C921" s="99"/>
      <c r="D921" s="99"/>
      <c r="E921" s="99"/>
      <c r="F921" s="99"/>
      <c r="G921" s="19"/>
      <c r="H921" s="99"/>
      <c r="J921" s="99"/>
      <c r="K921" s="99"/>
      <c r="L921" s="99"/>
      <c r="M921" s="99"/>
      <c r="N921" s="99"/>
      <c r="O921" s="99"/>
      <c r="P921" s="99"/>
    </row>
    <row r="922" spans="1:16">
      <c r="A922" s="99"/>
      <c r="B922" s="99"/>
      <c r="C922" s="99"/>
      <c r="D922" s="99"/>
      <c r="E922" s="99"/>
      <c r="F922" s="99"/>
      <c r="G922" s="19"/>
      <c r="H922" s="99"/>
      <c r="J922" s="99"/>
      <c r="K922" s="99"/>
      <c r="L922" s="99"/>
      <c r="M922" s="99"/>
      <c r="N922" s="99"/>
      <c r="O922" s="99"/>
      <c r="P922" s="99"/>
    </row>
    <row r="923" spans="1:16">
      <c r="A923" s="99"/>
      <c r="B923" s="99"/>
      <c r="C923" s="99"/>
      <c r="D923" s="99"/>
      <c r="E923" s="99"/>
      <c r="F923" s="99"/>
      <c r="G923" s="19"/>
      <c r="H923" s="99"/>
      <c r="J923" s="99"/>
      <c r="K923" s="99"/>
      <c r="L923" s="99"/>
      <c r="M923" s="99"/>
      <c r="N923" s="99"/>
      <c r="O923" s="99"/>
      <c r="P923" s="99"/>
    </row>
    <row r="924" spans="1:16">
      <c r="A924" s="99"/>
      <c r="B924" s="99"/>
      <c r="C924" s="99"/>
      <c r="D924" s="99"/>
      <c r="E924" s="99"/>
      <c r="F924" s="99"/>
      <c r="G924" s="19"/>
      <c r="H924" s="99"/>
      <c r="J924" s="99"/>
      <c r="K924" s="99"/>
      <c r="L924" s="99"/>
      <c r="M924" s="99"/>
      <c r="N924" s="99"/>
      <c r="O924" s="99"/>
      <c r="P924" s="99"/>
    </row>
    <row r="925" spans="1:16">
      <c r="A925" s="99"/>
      <c r="B925" s="99"/>
      <c r="C925" s="99"/>
      <c r="D925" s="99"/>
      <c r="E925" s="99"/>
      <c r="F925" s="99"/>
      <c r="G925" s="19"/>
      <c r="H925" s="99"/>
      <c r="J925" s="99"/>
      <c r="K925" s="99"/>
      <c r="L925" s="99"/>
      <c r="M925" s="99"/>
      <c r="N925" s="99"/>
      <c r="O925" s="99"/>
      <c r="P925" s="99"/>
    </row>
    <row r="926" spans="1:16">
      <c r="A926" s="99"/>
      <c r="B926" s="99"/>
      <c r="C926" s="99"/>
      <c r="D926" s="99"/>
      <c r="E926" s="99"/>
      <c r="F926" s="99"/>
      <c r="G926" s="19"/>
      <c r="H926" s="99"/>
      <c r="J926" s="99"/>
      <c r="K926" s="99"/>
      <c r="L926" s="99"/>
      <c r="M926" s="99"/>
      <c r="N926" s="99"/>
      <c r="O926" s="99"/>
      <c r="P926" s="99"/>
    </row>
    <row r="927" spans="1:16">
      <c r="A927" s="99"/>
      <c r="B927" s="99"/>
      <c r="C927" s="99"/>
      <c r="D927" s="99"/>
      <c r="E927" s="99"/>
      <c r="F927" s="99"/>
      <c r="G927" s="19"/>
      <c r="H927" s="99"/>
      <c r="J927" s="99"/>
      <c r="K927" s="99"/>
      <c r="L927" s="99"/>
      <c r="M927" s="99"/>
      <c r="N927" s="99"/>
      <c r="O927" s="99"/>
      <c r="P927" s="99"/>
    </row>
    <row r="928" spans="1:16">
      <c r="A928" s="99"/>
      <c r="B928" s="99"/>
      <c r="C928" s="99"/>
      <c r="D928" s="99"/>
      <c r="E928" s="99"/>
      <c r="F928" s="99"/>
      <c r="G928" s="19"/>
      <c r="H928" s="99"/>
      <c r="J928" s="99"/>
      <c r="K928" s="99"/>
      <c r="L928" s="99"/>
      <c r="M928" s="99"/>
      <c r="N928" s="99"/>
      <c r="O928" s="99"/>
      <c r="P928" s="99"/>
    </row>
    <row r="929" spans="1:16">
      <c r="A929" s="99"/>
      <c r="B929" s="99"/>
      <c r="C929" s="99"/>
      <c r="D929" s="99"/>
      <c r="E929" s="99"/>
      <c r="F929" s="99"/>
      <c r="G929" s="19"/>
      <c r="H929" s="99"/>
      <c r="J929" s="99"/>
      <c r="K929" s="99"/>
      <c r="L929" s="99"/>
      <c r="M929" s="99"/>
      <c r="N929" s="99"/>
      <c r="O929" s="99"/>
      <c r="P929" s="99"/>
    </row>
    <row r="930" spans="1:16">
      <c r="A930" s="99"/>
      <c r="B930" s="99"/>
      <c r="C930" s="99"/>
      <c r="D930" s="99"/>
      <c r="E930" s="99"/>
      <c r="F930" s="99"/>
      <c r="G930" s="19"/>
      <c r="H930" s="99"/>
      <c r="J930" s="99"/>
      <c r="K930" s="99"/>
      <c r="L930" s="99"/>
      <c r="M930" s="99"/>
      <c r="N930" s="99"/>
      <c r="O930" s="99"/>
      <c r="P930" s="99"/>
    </row>
    <row r="931" spans="1:16">
      <c r="A931" s="99"/>
      <c r="B931" s="99"/>
      <c r="C931" s="99"/>
      <c r="D931" s="99"/>
      <c r="E931" s="99"/>
      <c r="F931" s="99"/>
      <c r="G931" s="19"/>
      <c r="H931" s="99"/>
      <c r="J931" s="99"/>
      <c r="K931" s="99"/>
      <c r="L931" s="99"/>
      <c r="M931" s="99"/>
      <c r="N931" s="99"/>
      <c r="O931" s="99"/>
      <c r="P931" s="99"/>
    </row>
    <row r="932" spans="1:16">
      <c r="A932" s="99"/>
      <c r="B932" s="99"/>
      <c r="C932" s="99"/>
      <c r="D932" s="99"/>
      <c r="E932" s="99"/>
      <c r="F932" s="99"/>
      <c r="G932" s="19"/>
      <c r="H932" s="99"/>
      <c r="J932" s="99"/>
      <c r="K932" s="99"/>
      <c r="L932" s="99"/>
      <c r="M932" s="99"/>
      <c r="N932" s="99"/>
      <c r="O932" s="99"/>
      <c r="P932" s="99"/>
    </row>
    <row r="933" spans="1:16">
      <c r="A933" s="99"/>
      <c r="B933" s="99"/>
      <c r="C933" s="99"/>
      <c r="D933" s="99"/>
      <c r="E933" s="99"/>
      <c r="F933" s="99"/>
      <c r="G933" s="19"/>
      <c r="H933" s="99"/>
      <c r="J933" s="99"/>
      <c r="K933" s="99"/>
      <c r="L933" s="99"/>
      <c r="M933" s="99"/>
      <c r="N933" s="99"/>
      <c r="O933" s="99"/>
      <c r="P933" s="99"/>
    </row>
    <row r="934" spans="1:16">
      <c r="A934" s="99"/>
      <c r="B934" s="99"/>
      <c r="C934" s="99"/>
      <c r="D934" s="99"/>
      <c r="E934" s="99"/>
      <c r="F934" s="99"/>
      <c r="G934" s="19"/>
      <c r="H934" s="99"/>
      <c r="J934" s="99"/>
      <c r="K934" s="99"/>
      <c r="L934" s="99"/>
      <c r="M934" s="99"/>
      <c r="N934" s="99"/>
      <c r="O934" s="99"/>
      <c r="P934" s="99"/>
    </row>
    <row r="935" spans="1:16">
      <c r="A935" s="99"/>
      <c r="B935" s="99"/>
      <c r="C935" s="99"/>
      <c r="D935" s="99"/>
      <c r="E935" s="99"/>
      <c r="F935" s="99"/>
      <c r="G935" s="19"/>
      <c r="H935" s="99"/>
      <c r="J935" s="99"/>
      <c r="K935" s="99"/>
      <c r="L935" s="99"/>
      <c r="M935" s="99"/>
      <c r="N935" s="99"/>
      <c r="O935" s="99"/>
      <c r="P935" s="99"/>
    </row>
    <row r="936" spans="1:16">
      <c r="A936" s="99"/>
      <c r="B936" s="99"/>
      <c r="C936" s="99"/>
      <c r="D936" s="99"/>
      <c r="E936" s="99"/>
      <c r="F936" s="99"/>
      <c r="G936" s="19"/>
      <c r="H936" s="99"/>
      <c r="J936" s="99"/>
      <c r="K936" s="99"/>
      <c r="L936" s="99"/>
      <c r="M936" s="99"/>
      <c r="N936" s="99"/>
      <c r="O936" s="99"/>
      <c r="P936" s="99"/>
    </row>
    <row r="937" spans="1:16">
      <c r="A937" s="99"/>
      <c r="B937" s="99"/>
      <c r="C937" s="99"/>
      <c r="D937" s="99"/>
      <c r="E937" s="99"/>
      <c r="F937" s="99"/>
      <c r="G937" s="19"/>
      <c r="H937" s="99"/>
      <c r="J937" s="99"/>
      <c r="K937" s="99"/>
      <c r="L937" s="99"/>
      <c r="M937" s="99"/>
      <c r="N937" s="99"/>
      <c r="O937" s="99"/>
      <c r="P937" s="99"/>
    </row>
    <row r="938" spans="1:16">
      <c r="A938" s="99"/>
      <c r="B938" s="99"/>
      <c r="C938" s="99"/>
      <c r="D938" s="99"/>
      <c r="E938" s="99"/>
      <c r="F938" s="99"/>
      <c r="G938" s="19"/>
      <c r="H938" s="99"/>
      <c r="J938" s="99"/>
      <c r="K938" s="99"/>
      <c r="L938" s="99"/>
      <c r="M938" s="99"/>
      <c r="N938" s="99"/>
      <c r="O938" s="99"/>
      <c r="P938" s="99"/>
    </row>
    <row r="939" spans="1:16">
      <c r="A939" s="99"/>
      <c r="B939" s="99"/>
      <c r="C939" s="99"/>
      <c r="D939" s="99"/>
      <c r="E939" s="99"/>
      <c r="F939" s="99"/>
      <c r="G939" s="19"/>
      <c r="H939" s="99"/>
      <c r="J939" s="99"/>
      <c r="K939" s="99"/>
      <c r="L939" s="99"/>
      <c r="M939" s="99"/>
      <c r="N939" s="99"/>
      <c r="O939" s="99"/>
      <c r="P939" s="99"/>
    </row>
    <row r="940" spans="1:16">
      <c r="A940" s="99"/>
      <c r="B940" s="99"/>
      <c r="C940" s="99"/>
      <c r="D940" s="99"/>
      <c r="E940" s="99"/>
      <c r="F940" s="99"/>
      <c r="G940" s="19"/>
      <c r="H940" s="99"/>
      <c r="J940" s="99"/>
      <c r="K940" s="99"/>
      <c r="L940" s="99"/>
      <c r="M940" s="99"/>
      <c r="N940" s="99"/>
      <c r="O940" s="99"/>
      <c r="P940" s="99"/>
    </row>
    <row r="941" spans="1:16">
      <c r="A941" s="99"/>
      <c r="B941" s="99"/>
      <c r="C941" s="99"/>
      <c r="D941" s="99"/>
      <c r="E941" s="99"/>
      <c r="F941" s="99"/>
      <c r="G941" s="19"/>
      <c r="H941" s="99"/>
      <c r="J941" s="99"/>
      <c r="K941" s="99"/>
      <c r="L941" s="99"/>
      <c r="M941" s="99"/>
      <c r="N941" s="99"/>
      <c r="O941" s="99"/>
      <c r="P941" s="99"/>
    </row>
    <row r="942" spans="1:16">
      <c r="A942" s="99"/>
      <c r="B942" s="99"/>
      <c r="C942" s="99"/>
      <c r="D942" s="99"/>
      <c r="E942" s="99"/>
      <c r="F942" s="99"/>
      <c r="G942" s="19"/>
      <c r="H942" s="99"/>
      <c r="J942" s="99"/>
      <c r="K942" s="99"/>
      <c r="L942" s="99"/>
      <c r="M942" s="99"/>
      <c r="N942" s="99"/>
      <c r="O942" s="99"/>
      <c r="P942" s="99"/>
    </row>
    <row r="943" spans="1:16">
      <c r="A943" s="99"/>
      <c r="B943" s="99"/>
      <c r="C943" s="99"/>
      <c r="D943" s="99"/>
      <c r="E943" s="99"/>
      <c r="F943" s="99"/>
      <c r="G943" s="19"/>
      <c r="H943" s="99"/>
      <c r="J943" s="99"/>
      <c r="K943" s="99"/>
      <c r="L943" s="99"/>
      <c r="M943" s="99"/>
      <c r="N943" s="99"/>
      <c r="O943" s="99"/>
      <c r="P943" s="99"/>
    </row>
    <row r="944" spans="1:16">
      <c r="A944" s="99"/>
      <c r="B944" s="99"/>
      <c r="C944" s="99"/>
      <c r="D944" s="99"/>
      <c r="E944" s="99"/>
      <c r="F944" s="99"/>
      <c r="G944" s="19"/>
      <c r="H944" s="99"/>
      <c r="J944" s="99"/>
      <c r="K944" s="99"/>
      <c r="L944" s="99"/>
      <c r="M944" s="99"/>
      <c r="N944" s="99"/>
      <c r="O944" s="99"/>
      <c r="P944" s="99"/>
    </row>
    <row r="945" spans="1:16">
      <c r="A945" s="99"/>
      <c r="B945" s="99"/>
      <c r="C945" s="99"/>
      <c r="D945" s="99"/>
      <c r="E945" s="99"/>
      <c r="F945" s="99"/>
      <c r="G945" s="19"/>
      <c r="H945" s="99"/>
      <c r="J945" s="99"/>
      <c r="K945" s="99"/>
      <c r="L945" s="99"/>
      <c r="M945" s="99"/>
      <c r="N945" s="99"/>
      <c r="O945" s="99"/>
      <c r="P945" s="99"/>
    </row>
    <row r="946" spans="1:16">
      <c r="A946" s="99"/>
      <c r="B946" s="99"/>
      <c r="C946" s="99"/>
      <c r="D946" s="99"/>
      <c r="E946" s="99"/>
      <c r="F946" s="99"/>
      <c r="G946" s="19"/>
      <c r="H946" s="99"/>
      <c r="J946" s="99"/>
      <c r="K946" s="99"/>
      <c r="L946" s="99"/>
      <c r="M946" s="99"/>
      <c r="N946" s="99"/>
      <c r="O946" s="99"/>
      <c r="P946" s="99"/>
    </row>
    <row r="947" spans="1:16">
      <c r="A947" s="99"/>
      <c r="B947" s="99"/>
      <c r="C947" s="99"/>
      <c r="D947" s="99"/>
      <c r="E947" s="99"/>
      <c r="F947" s="99"/>
      <c r="G947" s="19"/>
      <c r="H947" s="99"/>
      <c r="J947" s="99"/>
      <c r="K947" s="99"/>
      <c r="L947" s="99"/>
      <c r="M947" s="99"/>
      <c r="N947" s="99"/>
      <c r="O947" s="99"/>
      <c r="P947" s="99"/>
    </row>
    <row r="948" spans="1:16">
      <c r="A948" s="99"/>
      <c r="B948" s="99"/>
      <c r="C948" s="99"/>
      <c r="D948" s="99"/>
      <c r="E948" s="99"/>
      <c r="F948" s="99"/>
      <c r="G948" s="19"/>
      <c r="H948" s="99"/>
      <c r="J948" s="99"/>
      <c r="K948" s="99"/>
      <c r="L948" s="99"/>
      <c r="M948" s="99"/>
      <c r="N948" s="99"/>
      <c r="O948" s="99"/>
      <c r="P948" s="99"/>
    </row>
    <row r="949" spans="1:16">
      <c r="A949" s="99"/>
      <c r="B949" s="99"/>
      <c r="C949" s="99"/>
      <c r="D949" s="99"/>
      <c r="E949" s="99"/>
      <c r="F949" s="99"/>
      <c r="G949" s="19"/>
      <c r="H949" s="99"/>
      <c r="J949" s="99"/>
      <c r="K949" s="99"/>
      <c r="L949" s="99"/>
      <c r="M949" s="99"/>
      <c r="N949" s="99"/>
      <c r="O949" s="99"/>
      <c r="P949" s="99"/>
    </row>
    <row r="950" spans="1:16">
      <c r="A950" s="99"/>
      <c r="B950" s="99"/>
      <c r="C950" s="99"/>
      <c r="D950" s="99"/>
      <c r="E950" s="99"/>
      <c r="F950" s="99"/>
      <c r="G950" s="19"/>
      <c r="H950" s="99"/>
      <c r="J950" s="99"/>
      <c r="K950" s="99"/>
      <c r="L950" s="99"/>
      <c r="M950" s="99"/>
      <c r="N950" s="99"/>
      <c r="O950" s="99"/>
      <c r="P950" s="99"/>
    </row>
    <row r="951" spans="1:16">
      <c r="A951" s="99"/>
      <c r="B951" s="99"/>
      <c r="C951" s="99"/>
      <c r="D951" s="99"/>
      <c r="E951" s="99"/>
      <c r="F951" s="99"/>
      <c r="G951" s="19"/>
      <c r="H951" s="99"/>
      <c r="J951" s="99"/>
      <c r="K951" s="99"/>
      <c r="L951" s="99"/>
      <c r="M951" s="99"/>
      <c r="N951" s="99"/>
      <c r="O951" s="99"/>
      <c r="P951" s="99"/>
    </row>
    <row r="952" spans="1:16">
      <c r="A952" s="99"/>
      <c r="B952" s="99"/>
      <c r="C952" s="99"/>
      <c r="D952" s="99"/>
      <c r="E952" s="99"/>
      <c r="F952" s="99"/>
      <c r="G952" s="19"/>
      <c r="H952" s="99"/>
      <c r="J952" s="99"/>
      <c r="K952" s="99"/>
      <c r="L952" s="99"/>
      <c r="M952" s="99"/>
      <c r="N952" s="99"/>
      <c r="O952" s="99"/>
      <c r="P952" s="99"/>
    </row>
    <row r="953" spans="1:16">
      <c r="A953" s="99"/>
      <c r="B953" s="99"/>
      <c r="C953" s="99"/>
      <c r="D953" s="99"/>
      <c r="E953" s="99"/>
      <c r="F953" s="99"/>
      <c r="G953" s="19"/>
      <c r="H953" s="99"/>
      <c r="J953" s="99"/>
      <c r="K953" s="99"/>
      <c r="L953" s="99"/>
      <c r="M953" s="99"/>
      <c r="N953" s="99"/>
      <c r="O953" s="99"/>
      <c r="P953" s="99"/>
    </row>
    <row r="954" spans="1:16">
      <c r="A954" s="99"/>
      <c r="B954" s="99"/>
      <c r="C954" s="99"/>
      <c r="D954" s="99"/>
      <c r="E954" s="99"/>
      <c r="F954" s="99"/>
      <c r="G954" s="19"/>
      <c r="H954" s="99"/>
      <c r="J954" s="99"/>
      <c r="K954" s="99"/>
      <c r="L954" s="99"/>
      <c r="M954" s="99"/>
      <c r="N954" s="99"/>
      <c r="O954" s="99"/>
      <c r="P954" s="99"/>
    </row>
    <row r="955" spans="1:16">
      <c r="A955" s="99"/>
      <c r="B955" s="99"/>
      <c r="C955" s="99"/>
      <c r="D955" s="99"/>
      <c r="E955" s="99"/>
      <c r="F955" s="99"/>
      <c r="G955" s="19"/>
      <c r="H955" s="99"/>
      <c r="J955" s="99"/>
      <c r="K955" s="99"/>
      <c r="L955" s="99"/>
      <c r="M955" s="99"/>
      <c r="N955" s="99"/>
      <c r="O955" s="99"/>
      <c r="P955" s="99"/>
    </row>
    <row r="956" spans="1:16">
      <c r="A956" s="99"/>
      <c r="B956" s="99"/>
      <c r="C956" s="99"/>
      <c r="D956" s="99"/>
      <c r="E956" s="99"/>
      <c r="F956" s="99"/>
      <c r="G956" s="19"/>
      <c r="H956" s="99"/>
      <c r="J956" s="99"/>
      <c r="K956" s="99"/>
      <c r="L956" s="99"/>
      <c r="M956" s="99"/>
      <c r="N956" s="99"/>
      <c r="O956" s="99"/>
      <c r="P956" s="99"/>
    </row>
    <row r="957" spans="1:16">
      <c r="A957" s="99"/>
      <c r="B957" s="99"/>
      <c r="C957" s="99"/>
      <c r="D957" s="99"/>
      <c r="E957" s="99"/>
      <c r="F957" s="99"/>
      <c r="G957" s="19"/>
      <c r="H957" s="99"/>
      <c r="J957" s="99"/>
      <c r="K957" s="99"/>
      <c r="L957" s="99"/>
      <c r="M957" s="99"/>
      <c r="N957" s="99"/>
      <c r="O957" s="99"/>
      <c r="P957" s="99"/>
    </row>
    <row r="958" spans="1:16">
      <c r="A958" s="99"/>
      <c r="B958" s="99"/>
      <c r="C958" s="99"/>
      <c r="D958" s="99"/>
      <c r="E958" s="99"/>
      <c r="F958" s="99"/>
      <c r="G958" s="19"/>
      <c r="H958" s="99"/>
      <c r="J958" s="99"/>
      <c r="K958" s="99"/>
      <c r="L958" s="99"/>
      <c r="M958" s="99"/>
      <c r="N958" s="99"/>
      <c r="O958" s="99"/>
      <c r="P958" s="99"/>
    </row>
    <row r="959" spans="1:16">
      <c r="A959" s="99"/>
      <c r="B959" s="99"/>
      <c r="C959" s="99"/>
      <c r="D959" s="99"/>
      <c r="E959" s="99"/>
      <c r="F959" s="99"/>
      <c r="G959" s="19"/>
      <c r="H959" s="99"/>
      <c r="J959" s="99"/>
      <c r="K959" s="99"/>
      <c r="L959" s="99"/>
      <c r="M959" s="99"/>
      <c r="N959" s="99"/>
      <c r="O959" s="99"/>
      <c r="P959" s="99"/>
    </row>
    <row r="960" spans="1:16">
      <c r="A960" s="99"/>
      <c r="B960" s="99"/>
      <c r="C960" s="99"/>
      <c r="D960" s="99"/>
      <c r="E960" s="99"/>
      <c r="F960" s="99"/>
      <c r="G960" s="19"/>
      <c r="H960" s="99"/>
      <c r="J960" s="99"/>
      <c r="K960" s="99"/>
      <c r="L960" s="99"/>
      <c r="M960" s="99"/>
      <c r="N960" s="99"/>
      <c r="O960" s="99"/>
      <c r="P960" s="99"/>
    </row>
    <row r="961" spans="1:16">
      <c r="A961" s="99"/>
      <c r="B961" s="99"/>
      <c r="C961" s="99"/>
      <c r="D961" s="99"/>
      <c r="E961" s="99"/>
      <c r="F961" s="99"/>
      <c r="G961" s="19"/>
      <c r="H961" s="99"/>
      <c r="J961" s="99"/>
      <c r="K961" s="99"/>
      <c r="L961" s="99"/>
      <c r="M961" s="99"/>
      <c r="N961" s="99"/>
      <c r="O961" s="99"/>
      <c r="P961" s="99"/>
    </row>
    <row r="962" spans="1:16">
      <c r="A962" s="99"/>
      <c r="B962" s="99"/>
      <c r="C962" s="99"/>
      <c r="D962" s="99"/>
      <c r="E962" s="99"/>
      <c r="F962" s="99"/>
      <c r="G962" s="19"/>
      <c r="H962" s="99"/>
      <c r="J962" s="99"/>
      <c r="K962" s="99"/>
      <c r="L962" s="99"/>
      <c r="M962" s="99"/>
      <c r="N962" s="99"/>
      <c r="O962" s="99"/>
      <c r="P962" s="99"/>
    </row>
    <row r="963" spans="1:16">
      <c r="A963" s="99"/>
      <c r="B963" s="99"/>
      <c r="C963" s="99"/>
      <c r="D963" s="99"/>
      <c r="E963" s="99"/>
      <c r="F963" s="99"/>
      <c r="G963" s="19"/>
      <c r="H963" s="99"/>
      <c r="J963" s="99"/>
      <c r="K963" s="99"/>
      <c r="L963" s="99"/>
      <c r="M963" s="99"/>
      <c r="N963" s="99"/>
      <c r="O963" s="99"/>
      <c r="P963" s="99"/>
    </row>
    <row r="964" spans="1:16">
      <c r="A964" s="99"/>
      <c r="B964" s="99"/>
      <c r="C964" s="99"/>
      <c r="D964" s="99"/>
      <c r="E964" s="99"/>
      <c r="F964" s="99"/>
      <c r="G964" s="19"/>
      <c r="H964" s="99"/>
      <c r="J964" s="99"/>
      <c r="K964" s="99"/>
      <c r="L964" s="99"/>
      <c r="M964" s="99"/>
      <c r="N964" s="99"/>
      <c r="O964" s="99"/>
      <c r="P964" s="99"/>
    </row>
    <row r="965" spans="1:16">
      <c r="A965" s="99"/>
      <c r="B965" s="99"/>
      <c r="C965" s="99"/>
      <c r="D965" s="99"/>
      <c r="E965" s="99"/>
      <c r="F965" s="99"/>
      <c r="G965" s="19"/>
      <c r="H965" s="99"/>
      <c r="J965" s="99"/>
      <c r="K965" s="99"/>
      <c r="L965" s="99"/>
      <c r="M965" s="99"/>
      <c r="N965" s="99"/>
      <c r="O965" s="99"/>
      <c r="P965" s="99"/>
    </row>
    <row r="966" spans="1:16">
      <c r="A966" s="99"/>
      <c r="B966" s="99"/>
      <c r="C966" s="99"/>
      <c r="D966" s="99"/>
      <c r="E966" s="99"/>
      <c r="F966" s="99"/>
      <c r="G966" s="19"/>
      <c r="H966" s="99"/>
      <c r="J966" s="99"/>
      <c r="K966" s="99"/>
      <c r="L966" s="99"/>
      <c r="M966" s="99"/>
      <c r="N966" s="99"/>
      <c r="O966" s="99"/>
      <c r="P966" s="99"/>
    </row>
    <row r="967" spans="1:16">
      <c r="A967" s="99"/>
      <c r="B967" s="99"/>
      <c r="C967" s="99"/>
      <c r="D967" s="99"/>
      <c r="E967" s="99"/>
      <c r="F967" s="99"/>
      <c r="G967" s="19"/>
      <c r="H967" s="99"/>
      <c r="J967" s="99"/>
      <c r="K967" s="99"/>
      <c r="L967" s="99"/>
      <c r="M967" s="99"/>
      <c r="N967" s="99"/>
      <c r="O967" s="99"/>
      <c r="P967" s="99"/>
    </row>
    <row r="968" spans="1:16">
      <c r="A968" s="99"/>
      <c r="B968" s="99"/>
      <c r="C968" s="99"/>
      <c r="D968" s="99"/>
      <c r="E968" s="99"/>
      <c r="F968" s="99"/>
      <c r="G968" s="19"/>
      <c r="H968" s="99"/>
      <c r="J968" s="99"/>
      <c r="K968" s="99"/>
      <c r="L968" s="99"/>
      <c r="M968" s="99"/>
      <c r="N968" s="99"/>
      <c r="O968" s="99"/>
      <c r="P968" s="99"/>
    </row>
    <row r="969" spans="1:16">
      <c r="A969" s="99"/>
      <c r="B969" s="99"/>
      <c r="C969" s="99"/>
      <c r="D969" s="99"/>
      <c r="E969" s="99"/>
      <c r="F969" s="99"/>
      <c r="G969" s="19"/>
      <c r="H969" s="99"/>
      <c r="J969" s="99"/>
      <c r="K969" s="99"/>
      <c r="L969" s="99"/>
      <c r="M969" s="99"/>
      <c r="N969" s="99"/>
      <c r="O969" s="99"/>
      <c r="P969" s="99"/>
    </row>
    <row r="970" spans="1:16">
      <c r="A970" s="99"/>
      <c r="B970" s="99"/>
      <c r="C970" s="99"/>
      <c r="D970" s="99"/>
      <c r="E970" s="99"/>
      <c r="F970" s="99"/>
      <c r="G970" s="19"/>
      <c r="H970" s="99"/>
      <c r="J970" s="99"/>
      <c r="K970" s="99"/>
      <c r="L970" s="99"/>
      <c r="M970" s="99"/>
      <c r="N970" s="99"/>
      <c r="O970" s="99"/>
      <c r="P970" s="99"/>
    </row>
    <row r="971" spans="1:16">
      <c r="A971" s="99"/>
      <c r="B971" s="99"/>
      <c r="C971" s="99"/>
      <c r="D971" s="99"/>
      <c r="E971" s="99"/>
      <c r="F971" s="99"/>
      <c r="G971" s="19"/>
      <c r="H971" s="99"/>
      <c r="J971" s="99"/>
      <c r="K971" s="99"/>
      <c r="L971" s="99"/>
      <c r="M971" s="99"/>
      <c r="N971" s="99"/>
      <c r="O971" s="99"/>
      <c r="P971" s="99"/>
    </row>
    <row r="972" spans="1:16">
      <c r="A972" s="99"/>
      <c r="B972" s="99"/>
      <c r="C972" s="99"/>
      <c r="D972" s="99"/>
      <c r="E972" s="99"/>
      <c r="F972" s="99"/>
      <c r="G972" s="19"/>
      <c r="H972" s="99"/>
      <c r="J972" s="99"/>
      <c r="K972" s="99"/>
      <c r="L972" s="99"/>
      <c r="M972" s="99"/>
      <c r="N972" s="99"/>
      <c r="O972" s="99"/>
      <c r="P972" s="99"/>
    </row>
    <row r="973" spans="1:16">
      <c r="A973" s="99"/>
      <c r="B973" s="99"/>
      <c r="C973" s="99"/>
      <c r="D973" s="99"/>
      <c r="E973" s="99"/>
      <c r="F973" s="99"/>
      <c r="G973" s="19"/>
      <c r="H973" s="99"/>
      <c r="J973" s="99"/>
      <c r="K973" s="99"/>
      <c r="L973" s="99"/>
      <c r="M973" s="99"/>
      <c r="N973" s="99"/>
      <c r="O973" s="99"/>
      <c r="P973" s="99"/>
    </row>
    <row r="974" spans="1:16">
      <c r="A974" s="99"/>
      <c r="B974" s="99"/>
      <c r="C974" s="99"/>
      <c r="D974" s="99"/>
      <c r="E974" s="99"/>
      <c r="F974" s="99"/>
      <c r="G974" s="19"/>
      <c r="H974" s="99"/>
      <c r="J974" s="99"/>
      <c r="K974" s="99"/>
      <c r="L974" s="99"/>
      <c r="M974" s="99"/>
      <c r="N974" s="99"/>
      <c r="O974" s="99"/>
      <c r="P974" s="99"/>
    </row>
    <row r="975" spans="1:16">
      <c r="A975" s="99"/>
      <c r="B975" s="99"/>
      <c r="C975" s="99"/>
      <c r="D975" s="99"/>
      <c r="E975" s="99"/>
      <c r="F975" s="99"/>
      <c r="G975" s="19"/>
      <c r="H975" s="99"/>
      <c r="J975" s="99"/>
      <c r="K975" s="99"/>
      <c r="L975" s="99"/>
      <c r="M975" s="99"/>
      <c r="N975" s="99"/>
      <c r="O975" s="99"/>
      <c r="P975" s="99"/>
    </row>
    <row r="976" spans="1:16">
      <c r="A976" s="99"/>
      <c r="B976" s="99"/>
      <c r="C976" s="99"/>
      <c r="D976" s="99"/>
      <c r="E976" s="99"/>
      <c r="F976" s="99"/>
      <c r="G976" s="19"/>
      <c r="H976" s="99"/>
      <c r="J976" s="99"/>
      <c r="K976" s="99"/>
      <c r="L976" s="99"/>
      <c r="M976" s="99"/>
      <c r="N976" s="99"/>
      <c r="O976" s="99"/>
      <c r="P976" s="99"/>
    </row>
    <row r="977" spans="1:16">
      <c r="A977" s="99"/>
      <c r="B977" s="99"/>
      <c r="C977" s="99"/>
      <c r="D977" s="99"/>
      <c r="E977" s="99"/>
      <c r="F977" s="99"/>
      <c r="G977" s="19"/>
      <c r="H977" s="99"/>
      <c r="J977" s="99"/>
      <c r="K977" s="99"/>
      <c r="L977" s="99"/>
      <c r="M977" s="99"/>
      <c r="N977" s="99"/>
      <c r="O977" s="99"/>
      <c r="P977" s="99"/>
    </row>
    <row r="978" spans="1:16">
      <c r="A978" s="99"/>
      <c r="B978" s="99"/>
      <c r="C978" s="99"/>
      <c r="D978" s="99"/>
      <c r="E978" s="99"/>
      <c r="F978" s="99"/>
      <c r="G978" s="19"/>
      <c r="H978" s="99"/>
      <c r="J978" s="99"/>
      <c r="K978" s="99"/>
      <c r="L978" s="99"/>
      <c r="M978" s="99"/>
      <c r="N978" s="99"/>
      <c r="O978" s="99"/>
      <c r="P978" s="99"/>
    </row>
    <row r="979" spans="1:16">
      <c r="A979" s="99"/>
      <c r="B979" s="99"/>
      <c r="C979" s="99"/>
      <c r="D979" s="99"/>
      <c r="E979" s="99"/>
      <c r="F979" s="99"/>
      <c r="G979" s="19"/>
      <c r="H979" s="99"/>
      <c r="J979" s="99"/>
      <c r="K979" s="99"/>
      <c r="L979" s="99"/>
      <c r="M979" s="99"/>
      <c r="N979" s="99"/>
      <c r="O979" s="99"/>
      <c r="P979" s="99"/>
    </row>
    <row r="980" spans="1:16">
      <c r="A980" s="99"/>
      <c r="B980" s="99"/>
      <c r="C980" s="99"/>
      <c r="D980" s="99"/>
      <c r="E980" s="99"/>
      <c r="F980" s="99"/>
      <c r="G980" s="19"/>
      <c r="H980" s="99"/>
      <c r="J980" s="99"/>
      <c r="K980" s="99"/>
      <c r="L980" s="99"/>
      <c r="M980" s="99"/>
      <c r="N980" s="99"/>
      <c r="O980" s="99"/>
      <c r="P980" s="99"/>
    </row>
    <row r="981" spans="1:16">
      <c r="A981" s="99"/>
      <c r="B981" s="99"/>
      <c r="C981" s="99"/>
      <c r="D981" s="99"/>
      <c r="E981" s="99"/>
      <c r="F981" s="99"/>
      <c r="G981" s="19"/>
      <c r="H981" s="99"/>
      <c r="J981" s="99"/>
      <c r="K981" s="99"/>
      <c r="L981" s="99"/>
      <c r="M981" s="99"/>
      <c r="N981" s="99"/>
      <c r="O981" s="99"/>
      <c r="P981" s="99"/>
    </row>
    <row r="982" spans="1:16">
      <c r="A982" s="99"/>
      <c r="B982" s="99"/>
      <c r="C982" s="99"/>
      <c r="D982" s="99"/>
      <c r="E982" s="99"/>
      <c r="F982" s="99"/>
      <c r="G982" s="19"/>
      <c r="H982" s="99"/>
      <c r="J982" s="99"/>
      <c r="K982" s="99"/>
      <c r="L982" s="99"/>
      <c r="M982" s="99"/>
      <c r="N982" s="99"/>
      <c r="O982" s="99"/>
      <c r="P982" s="99"/>
    </row>
    <row r="983" spans="1:16">
      <c r="A983" s="99"/>
      <c r="B983" s="99"/>
      <c r="C983" s="99"/>
      <c r="D983" s="99"/>
      <c r="E983" s="99"/>
      <c r="F983" s="99"/>
      <c r="G983" s="19"/>
      <c r="H983" s="99"/>
      <c r="J983" s="99"/>
      <c r="K983" s="99"/>
      <c r="L983" s="99"/>
      <c r="M983" s="99"/>
      <c r="N983" s="99"/>
      <c r="O983" s="99"/>
      <c r="P983" s="99"/>
    </row>
    <row r="984" spans="1:16">
      <c r="A984" s="99"/>
      <c r="B984" s="99"/>
      <c r="C984" s="99"/>
      <c r="D984" s="99"/>
      <c r="E984" s="99"/>
      <c r="F984" s="99"/>
      <c r="G984" s="19"/>
      <c r="H984" s="99"/>
      <c r="J984" s="99"/>
      <c r="K984" s="99"/>
      <c r="L984" s="99"/>
      <c r="M984" s="99"/>
      <c r="N984" s="99"/>
      <c r="O984" s="99"/>
      <c r="P984" s="99"/>
    </row>
    <row r="985" spans="1:16">
      <c r="A985" s="99"/>
      <c r="B985" s="99"/>
      <c r="C985" s="99"/>
      <c r="D985" s="99"/>
      <c r="E985" s="99"/>
      <c r="F985" s="99"/>
      <c r="G985" s="19"/>
      <c r="H985" s="99"/>
      <c r="J985" s="99"/>
      <c r="K985" s="99"/>
      <c r="L985" s="99"/>
      <c r="M985" s="99"/>
      <c r="N985" s="99"/>
      <c r="O985" s="99"/>
      <c r="P985" s="99"/>
    </row>
    <row r="986" spans="1:16">
      <c r="A986" s="99"/>
      <c r="B986" s="99"/>
      <c r="C986" s="99"/>
      <c r="D986" s="99"/>
      <c r="E986" s="99"/>
      <c r="F986" s="99"/>
      <c r="G986" s="19"/>
      <c r="H986" s="99"/>
      <c r="J986" s="99"/>
      <c r="K986" s="99"/>
      <c r="L986" s="99"/>
      <c r="M986" s="99"/>
      <c r="N986" s="99"/>
      <c r="O986" s="99"/>
      <c r="P986" s="99"/>
    </row>
    <row r="987" spans="1:16">
      <c r="A987" s="99"/>
      <c r="B987" s="99"/>
      <c r="C987" s="99"/>
      <c r="D987" s="99"/>
      <c r="E987" s="99"/>
      <c r="F987" s="99"/>
      <c r="G987" s="19"/>
      <c r="H987" s="99"/>
      <c r="J987" s="99"/>
      <c r="K987" s="99"/>
      <c r="L987" s="99"/>
      <c r="M987" s="99"/>
      <c r="N987" s="99"/>
      <c r="O987" s="99"/>
      <c r="P987" s="99"/>
    </row>
    <row r="988" spans="1:16">
      <c r="A988" s="99"/>
      <c r="B988" s="99"/>
      <c r="C988" s="99"/>
      <c r="D988" s="99"/>
      <c r="E988" s="99"/>
      <c r="F988" s="99"/>
      <c r="G988" s="19"/>
      <c r="H988" s="99"/>
      <c r="J988" s="99"/>
      <c r="K988" s="99"/>
      <c r="L988" s="99"/>
      <c r="M988" s="99"/>
      <c r="N988" s="99"/>
      <c r="O988" s="99"/>
      <c r="P988" s="99"/>
    </row>
    <row r="989" spans="1:16">
      <c r="A989" s="99"/>
      <c r="B989" s="99"/>
      <c r="C989" s="99"/>
      <c r="D989" s="99"/>
      <c r="E989" s="99"/>
      <c r="F989" s="99"/>
      <c r="G989" s="19"/>
      <c r="H989" s="99"/>
      <c r="J989" s="99"/>
      <c r="K989" s="99"/>
      <c r="L989" s="99"/>
      <c r="M989" s="99"/>
      <c r="N989" s="99"/>
      <c r="O989" s="99"/>
      <c r="P989" s="99"/>
    </row>
    <row r="990" spans="1:16">
      <c r="A990" s="99"/>
      <c r="B990" s="99"/>
      <c r="C990" s="99"/>
      <c r="D990" s="99"/>
      <c r="E990" s="99"/>
      <c r="F990" s="99"/>
      <c r="G990" s="19"/>
      <c r="H990" s="99"/>
      <c r="J990" s="99"/>
      <c r="K990" s="99"/>
      <c r="L990" s="99"/>
      <c r="M990" s="99"/>
      <c r="N990" s="99"/>
      <c r="O990" s="99"/>
      <c r="P990" s="99"/>
    </row>
    <row r="991" spans="1:16">
      <c r="A991" s="99"/>
      <c r="B991" s="99"/>
      <c r="C991" s="99"/>
      <c r="D991" s="99"/>
      <c r="E991" s="99"/>
      <c r="F991" s="99"/>
      <c r="G991" s="19"/>
      <c r="H991" s="99"/>
      <c r="J991" s="99"/>
      <c r="K991" s="99"/>
      <c r="L991" s="99"/>
      <c r="M991" s="99"/>
      <c r="N991" s="99"/>
      <c r="O991" s="99"/>
      <c r="P991" s="99"/>
    </row>
    <row r="992" spans="1:16">
      <c r="A992" s="99"/>
      <c r="B992" s="99"/>
      <c r="C992" s="99"/>
      <c r="D992" s="99"/>
      <c r="E992" s="99"/>
      <c r="F992" s="99"/>
      <c r="G992" s="19"/>
      <c r="H992" s="99"/>
      <c r="J992" s="99"/>
      <c r="K992" s="99"/>
      <c r="L992" s="99"/>
      <c r="M992" s="99"/>
      <c r="N992" s="99"/>
      <c r="O992" s="99"/>
      <c r="P992" s="99"/>
    </row>
    <row r="993" spans="1:16">
      <c r="A993" s="99"/>
      <c r="B993" s="99"/>
      <c r="C993" s="99"/>
      <c r="D993" s="99"/>
      <c r="E993" s="99"/>
      <c r="F993" s="99"/>
      <c r="G993" s="19"/>
      <c r="H993" s="99"/>
      <c r="J993" s="99"/>
      <c r="K993" s="99"/>
      <c r="L993" s="99"/>
      <c r="M993" s="99"/>
      <c r="N993" s="99"/>
      <c r="O993" s="99"/>
      <c r="P993" s="99"/>
    </row>
    <row r="994" spans="1:16">
      <c r="A994" s="99"/>
      <c r="B994" s="99"/>
      <c r="C994" s="99"/>
      <c r="D994" s="99"/>
      <c r="E994" s="99"/>
      <c r="F994" s="99"/>
      <c r="G994" s="19"/>
      <c r="H994" s="99"/>
      <c r="J994" s="99"/>
      <c r="K994" s="99"/>
      <c r="L994" s="99"/>
      <c r="M994" s="99"/>
      <c r="N994" s="99"/>
      <c r="O994" s="99"/>
      <c r="P994" s="99"/>
    </row>
    <row r="995" spans="1:16">
      <c r="A995" s="99"/>
      <c r="B995" s="99"/>
      <c r="C995" s="99"/>
      <c r="D995" s="99"/>
      <c r="E995" s="99"/>
      <c r="F995" s="99"/>
      <c r="G995" s="19"/>
      <c r="H995" s="99"/>
      <c r="J995" s="99"/>
      <c r="K995" s="99"/>
      <c r="L995" s="99"/>
      <c r="M995" s="99"/>
      <c r="N995" s="99"/>
      <c r="O995" s="99"/>
      <c r="P995" s="99"/>
    </row>
    <row r="996" spans="1:16">
      <c r="A996" s="99"/>
      <c r="B996" s="99"/>
      <c r="C996" s="99"/>
      <c r="D996" s="99"/>
      <c r="E996" s="99"/>
      <c r="F996" s="99"/>
      <c r="G996" s="19"/>
      <c r="H996" s="99"/>
      <c r="J996" s="99"/>
      <c r="K996" s="99"/>
      <c r="L996" s="99"/>
      <c r="M996" s="99"/>
      <c r="N996" s="99"/>
      <c r="O996" s="99"/>
      <c r="P996" s="99"/>
    </row>
    <row r="997" spans="1:16">
      <c r="A997" s="99"/>
      <c r="B997" s="99"/>
      <c r="C997" s="99"/>
      <c r="D997" s="99"/>
      <c r="E997" s="99"/>
      <c r="F997" s="99"/>
      <c r="G997" s="19"/>
      <c r="H997" s="99"/>
      <c r="J997" s="99"/>
      <c r="K997" s="99"/>
      <c r="L997" s="99"/>
      <c r="M997" s="99"/>
      <c r="N997" s="99"/>
      <c r="O997" s="99"/>
      <c r="P997" s="99"/>
    </row>
    <row r="998" spans="1:16">
      <c r="A998" s="99"/>
      <c r="B998" s="99"/>
      <c r="C998" s="99"/>
      <c r="D998" s="99"/>
      <c r="E998" s="99"/>
      <c r="F998" s="99"/>
      <c r="G998" s="19"/>
      <c r="H998" s="99"/>
      <c r="J998" s="99"/>
      <c r="K998" s="99"/>
      <c r="L998" s="99"/>
      <c r="M998" s="99"/>
      <c r="N998" s="99"/>
      <c r="O998" s="99"/>
      <c r="P998" s="99"/>
    </row>
    <row r="999" spans="1:16">
      <c r="A999" s="99"/>
      <c r="B999" s="99"/>
      <c r="C999" s="99"/>
      <c r="D999" s="99"/>
      <c r="E999" s="99"/>
      <c r="F999" s="99"/>
      <c r="G999" s="19"/>
      <c r="H999" s="99"/>
      <c r="J999" s="99"/>
      <c r="K999" s="99"/>
      <c r="L999" s="99"/>
      <c r="M999" s="99"/>
      <c r="N999" s="99"/>
      <c r="O999" s="99"/>
      <c r="P999" s="99"/>
    </row>
    <row r="1000" spans="1:16">
      <c r="A1000" s="99"/>
      <c r="B1000" s="99"/>
      <c r="C1000" s="99"/>
      <c r="D1000" s="99"/>
      <c r="E1000" s="99"/>
      <c r="F1000" s="99"/>
      <c r="G1000" s="19"/>
      <c r="H1000" s="99"/>
      <c r="J1000" s="99"/>
      <c r="K1000" s="99"/>
      <c r="L1000" s="99"/>
      <c r="M1000" s="99"/>
      <c r="N1000" s="99"/>
      <c r="O1000" s="99"/>
      <c r="P1000" s="99"/>
    </row>
    <row r="1001" spans="1:16">
      <c r="A1001" s="99"/>
      <c r="B1001" s="99"/>
      <c r="C1001" s="99"/>
      <c r="D1001" s="99"/>
      <c r="E1001" s="99"/>
      <c r="F1001" s="99"/>
      <c r="G1001" s="19"/>
      <c r="H1001" s="99"/>
      <c r="J1001" s="99"/>
      <c r="K1001" s="99"/>
      <c r="L1001" s="99"/>
      <c r="M1001" s="99"/>
      <c r="N1001" s="99"/>
      <c r="O1001" s="99"/>
      <c r="P1001" s="99"/>
    </row>
    <row r="1002" spans="1:16">
      <c r="A1002" s="99"/>
      <c r="B1002" s="99"/>
      <c r="C1002" s="99"/>
      <c r="D1002" s="99"/>
      <c r="E1002" s="99"/>
      <c r="F1002" s="99"/>
      <c r="G1002" s="19"/>
      <c r="H1002" s="99"/>
      <c r="J1002" s="99"/>
      <c r="K1002" s="99"/>
      <c r="L1002" s="99"/>
      <c r="M1002" s="99"/>
      <c r="N1002" s="99"/>
      <c r="O1002" s="99"/>
      <c r="P1002" s="99"/>
    </row>
    <row r="1003" spans="1:16">
      <c r="A1003" s="99"/>
      <c r="B1003" s="99"/>
      <c r="C1003" s="99"/>
      <c r="D1003" s="99"/>
      <c r="E1003" s="99"/>
      <c r="F1003" s="99"/>
      <c r="G1003" s="19"/>
      <c r="H1003" s="99"/>
      <c r="J1003" s="99"/>
      <c r="K1003" s="99"/>
      <c r="L1003" s="99"/>
      <c r="M1003" s="99"/>
      <c r="N1003" s="99"/>
      <c r="O1003" s="99"/>
      <c r="P1003" s="99"/>
    </row>
    <row r="1004" spans="1:16">
      <c r="A1004" s="99"/>
      <c r="B1004" s="99"/>
      <c r="C1004" s="99"/>
      <c r="D1004" s="99"/>
      <c r="E1004" s="99"/>
      <c r="F1004" s="99"/>
      <c r="G1004" s="19"/>
      <c r="H1004" s="99"/>
    </row>
    <row r="1005" spans="1:16">
      <c r="A1005" s="99"/>
      <c r="B1005" s="99"/>
      <c r="C1005" s="99"/>
      <c r="D1005" s="99"/>
      <c r="E1005" s="99"/>
      <c r="F1005" s="99"/>
      <c r="G1005" s="19"/>
      <c r="H1005" s="99"/>
    </row>
    <row r="1006" spans="1:16">
      <c r="A1006" s="99"/>
      <c r="B1006" s="99"/>
      <c r="C1006" s="99"/>
      <c r="D1006" s="99"/>
      <c r="E1006" s="99"/>
      <c r="F1006" s="99"/>
      <c r="G1006" s="19"/>
      <c r="H1006" s="99"/>
    </row>
    <row r="1007" spans="1:16">
      <c r="A1007" s="99"/>
      <c r="B1007" s="99"/>
      <c r="C1007" s="99"/>
      <c r="D1007" s="99"/>
      <c r="E1007" s="99"/>
      <c r="F1007" s="99"/>
      <c r="G1007" s="19"/>
      <c r="H1007" s="99"/>
    </row>
    <row r="1008" spans="1:16">
      <c r="A1008" s="99"/>
      <c r="B1008" s="99"/>
      <c r="C1008" s="99"/>
      <c r="D1008" s="99"/>
      <c r="E1008" s="99"/>
      <c r="F1008" s="99"/>
      <c r="G1008" s="19"/>
      <c r="H1008" s="99"/>
    </row>
    <row r="1009" spans="1:8">
      <c r="A1009" s="99"/>
      <c r="B1009" s="99"/>
      <c r="C1009" s="99"/>
      <c r="D1009" s="99"/>
      <c r="E1009" s="99"/>
      <c r="F1009" s="99"/>
      <c r="G1009" s="19"/>
      <c r="H1009" s="99"/>
    </row>
    <row r="1010" spans="1:8">
      <c r="A1010" s="99"/>
      <c r="B1010" s="99"/>
      <c r="C1010" s="99"/>
      <c r="D1010" s="99"/>
      <c r="E1010" s="99"/>
      <c r="F1010" s="99"/>
      <c r="G1010" s="19"/>
      <c r="H1010" s="99"/>
    </row>
    <row r="1011" spans="1:8">
      <c r="A1011" s="99"/>
      <c r="B1011" s="99"/>
      <c r="C1011" s="99"/>
      <c r="D1011" s="99"/>
      <c r="E1011" s="99"/>
      <c r="F1011" s="99"/>
      <c r="G1011" s="19"/>
      <c r="H1011" s="99"/>
    </row>
    <row r="1012" spans="1:8">
      <c r="A1012" s="99"/>
      <c r="B1012" s="99"/>
      <c r="C1012" s="99"/>
      <c r="D1012" s="99"/>
      <c r="E1012" s="99"/>
      <c r="F1012" s="99"/>
      <c r="G1012" s="19"/>
      <c r="H1012" s="99"/>
    </row>
    <row r="1013" spans="1:8">
      <c r="A1013" s="99"/>
      <c r="B1013" s="99"/>
      <c r="C1013" s="99"/>
      <c r="D1013" s="99"/>
      <c r="E1013" s="99"/>
      <c r="F1013" s="99"/>
      <c r="G1013" s="19"/>
      <c r="H1013" s="99"/>
    </row>
    <row r="1014" spans="1:8">
      <c r="A1014" s="99"/>
      <c r="B1014" s="99"/>
      <c r="C1014" s="99"/>
      <c r="D1014" s="99"/>
      <c r="E1014" s="99"/>
      <c r="F1014" s="99"/>
      <c r="G1014" s="19"/>
      <c r="H1014" s="99"/>
    </row>
    <row r="1015" spans="1:8">
      <c r="A1015" s="99"/>
      <c r="B1015" s="99"/>
      <c r="C1015" s="99"/>
      <c r="D1015" s="99"/>
      <c r="E1015" s="99"/>
      <c r="F1015" s="99"/>
      <c r="G1015" s="19"/>
      <c r="H1015" s="99"/>
    </row>
    <row r="1016" spans="1:8">
      <c r="A1016" s="99"/>
      <c r="B1016" s="99"/>
      <c r="C1016" s="99"/>
      <c r="D1016" s="99"/>
      <c r="E1016" s="99"/>
      <c r="F1016" s="99"/>
      <c r="G1016" s="19"/>
      <c r="H1016" s="99"/>
    </row>
    <row r="1017" spans="1:8">
      <c r="A1017" s="99"/>
      <c r="B1017" s="99"/>
      <c r="C1017" s="99"/>
      <c r="D1017" s="99"/>
      <c r="E1017" s="99"/>
      <c r="F1017" s="99"/>
      <c r="G1017" s="19"/>
      <c r="H1017" s="99"/>
    </row>
    <row r="1018" spans="1:8">
      <c r="A1018" s="99"/>
      <c r="B1018" s="99"/>
      <c r="C1018" s="99"/>
      <c r="D1018" s="99"/>
      <c r="E1018" s="99"/>
      <c r="F1018" s="99"/>
      <c r="G1018" s="19"/>
      <c r="H1018" s="99"/>
    </row>
    <row r="1019" spans="1:8">
      <c r="A1019" s="99"/>
      <c r="B1019" s="99"/>
      <c r="C1019" s="99"/>
      <c r="D1019" s="99"/>
      <c r="E1019" s="99"/>
      <c r="F1019" s="99"/>
      <c r="G1019" s="19"/>
      <c r="H1019" s="99"/>
    </row>
    <row r="1020" spans="1:8">
      <c r="A1020" s="99"/>
      <c r="B1020" s="99"/>
      <c r="C1020" s="99"/>
      <c r="D1020" s="99"/>
      <c r="E1020" s="99"/>
      <c r="F1020" s="99"/>
      <c r="G1020" s="19"/>
      <c r="H1020" s="99"/>
    </row>
    <row r="1021" spans="1:8">
      <c r="A1021" s="99"/>
      <c r="B1021" s="99"/>
      <c r="C1021" s="99"/>
      <c r="D1021" s="99"/>
      <c r="E1021" s="99"/>
      <c r="F1021" s="99"/>
      <c r="G1021" s="19"/>
      <c r="H1021" s="99"/>
    </row>
    <row r="1022" spans="1:8">
      <c r="A1022" s="99"/>
      <c r="B1022" s="99"/>
      <c r="C1022" s="99"/>
      <c r="D1022" s="99"/>
      <c r="E1022" s="99"/>
      <c r="F1022" s="99"/>
      <c r="G1022" s="19"/>
      <c r="H1022" s="99"/>
    </row>
    <row r="1023" spans="1:8">
      <c r="A1023" s="99"/>
      <c r="B1023" s="99"/>
      <c r="C1023" s="99"/>
      <c r="D1023" s="99"/>
      <c r="E1023" s="99"/>
      <c r="F1023" s="99"/>
      <c r="G1023" s="19"/>
      <c r="H1023" s="99"/>
    </row>
    <row r="1024" spans="1:8">
      <c r="A1024" s="99"/>
      <c r="B1024" s="99"/>
      <c r="C1024" s="99"/>
      <c r="D1024" s="99"/>
      <c r="E1024" s="99"/>
      <c r="F1024" s="99"/>
      <c r="G1024" s="19"/>
      <c r="H1024" s="99"/>
    </row>
    <row r="1025" spans="1:8">
      <c r="A1025" s="99"/>
      <c r="B1025" s="99"/>
      <c r="C1025" s="99"/>
      <c r="D1025" s="99"/>
      <c r="E1025" s="99"/>
      <c r="F1025" s="99"/>
      <c r="G1025" s="19"/>
      <c r="H1025" s="99"/>
    </row>
    <row r="1026" spans="1:8">
      <c r="A1026" s="99"/>
      <c r="B1026" s="99"/>
      <c r="C1026" s="99"/>
      <c r="D1026" s="99"/>
      <c r="E1026" s="99"/>
      <c r="F1026" s="99"/>
      <c r="G1026" s="19"/>
      <c r="H1026" s="99"/>
    </row>
    <row r="1027" spans="1:8">
      <c r="A1027" s="99"/>
      <c r="B1027" s="99"/>
      <c r="C1027" s="99"/>
      <c r="D1027" s="99"/>
      <c r="E1027" s="99"/>
      <c r="F1027" s="99"/>
      <c r="G1027" s="19"/>
      <c r="H1027" s="99"/>
    </row>
    <row r="1028" spans="1:8">
      <c r="A1028" s="99"/>
      <c r="B1028" s="99"/>
      <c r="C1028" s="99"/>
      <c r="D1028" s="99"/>
      <c r="E1028" s="99"/>
      <c r="F1028" s="99"/>
      <c r="G1028" s="19"/>
      <c r="H1028" s="99"/>
    </row>
    <row r="1029" spans="1:8">
      <c r="A1029" s="99"/>
      <c r="B1029" s="99"/>
      <c r="C1029" s="99"/>
      <c r="D1029" s="99"/>
      <c r="E1029" s="99"/>
      <c r="F1029" s="99"/>
      <c r="G1029" s="19"/>
      <c r="H1029" s="99"/>
    </row>
    <row r="1030" spans="1:8">
      <c r="A1030" s="99"/>
      <c r="B1030" s="99"/>
      <c r="C1030" s="99"/>
      <c r="D1030" s="99"/>
      <c r="E1030" s="99"/>
      <c r="F1030" s="99"/>
      <c r="G1030" s="19"/>
      <c r="H1030" s="99"/>
    </row>
    <row r="1031" spans="1:8">
      <c r="A1031" s="99"/>
      <c r="B1031" s="99"/>
      <c r="C1031" s="99"/>
      <c r="D1031" s="99"/>
      <c r="E1031" s="99"/>
      <c r="F1031" s="99"/>
      <c r="G1031" s="19"/>
      <c r="H1031" s="99"/>
    </row>
    <row r="1032" spans="1:8">
      <c r="A1032" s="99"/>
      <c r="B1032" s="99"/>
      <c r="C1032" s="99"/>
      <c r="D1032" s="99"/>
      <c r="E1032" s="99"/>
      <c r="F1032" s="99"/>
      <c r="G1032" s="19"/>
      <c r="H1032" s="99"/>
    </row>
    <row r="1033" spans="1:8">
      <c r="A1033" s="99"/>
      <c r="B1033" s="99"/>
      <c r="C1033" s="99"/>
      <c r="D1033" s="99"/>
      <c r="E1033" s="99"/>
      <c r="F1033" s="99"/>
      <c r="G1033" s="19"/>
      <c r="H1033" s="99"/>
    </row>
    <row r="1034" spans="1:8">
      <c r="A1034" s="99"/>
      <c r="B1034" s="99"/>
      <c r="C1034" s="99"/>
      <c r="D1034" s="99"/>
      <c r="E1034" s="99"/>
      <c r="F1034" s="99"/>
      <c r="G1034" s="19"/>
      <c r="H1034" s="99"/>
    </row>
    <row r="1035" spans="1:8">
      <c r="A1035" s="99"/>
      <c r="B1035" s="99"/>
      <c r="C1035" s="99"/>
      <c r="D1035" s="99"/>
      <c r="E1035" s="99"/>
      <c r="F1035" s="99"/>
      <c r="G1035" s="19"/>
      <c r="H1035" s="99"/>
    </row>
    <row r="1036" spans="1:8">
      <c r="A1036" s="99"/>
      <c r="B1036" s="99"/>
      <c r="C1036" s="99"/>
      <c r="D1036" s="99"/>
      <c r="E1036" s="99"/>
      <c r="F1036" s="99"/>
      <c r="G1036" s="19"/>
      <c r="H1036" s="99"/>
    </row>
    <row r="1037" spans="1:8">
      <c r="A1037" s="99"/>
      <c r="B1037" s="99"/>
      <c r="C1037" s="99"/>
      <c r="D1037" s="99"/>
      <c r="E1037" s="99"/>
      <c r="F1037" s="99"/>
      <c r="G1037" s="19"/>
      <c r="H1037" s="99"/>
    </row>
    <row r="1038" spans="1:8">
      <c r="A1038" s="99"/>
      <c r="B1038" s="99"/>
      <c r="C1038" s="99"/>
      <c r="D1038" s="99"/>
      <c r="E1038" s="99"/>
      <c r="F1038" s="99"/>
      <c r="G1038" s="19"/>
      <c r="H1038" s="99"/>
    </row>
    <row r="1039" spans="1:8">
      <c r="A1039" s="99"/>
      <c r="B1039" s="99"/>
      <c r="C1039" s="99"/>
      <c r="D1039" s="99"/>
      <c r="E1039" s="99"/>
      <c r="F1039" s="99"/>
      <c r="G1039" s="19"/>
      <c r="H1039" s="99"/>
    </row>
    <row r="1040" spans="1:8">
      <c r="A1040" s="99"/>
      <c r="B1040" s="99"/>
      <c r="C1040" s="99"/>
      <c r="D1040" s="99"/>
      <c r="E1040" s="99"/>
      <c r="F1040" s="99"/>
      <c r="G1040" s="19"/>
      <c r="H1040" s="99"/>
    </row>
    <row r="1041" spans="1:8">
      <c r="A1041" s="99"/>
      <c r="B1041" s="99"/>
      <c r="C1041" s="99"/>
      <c r="D1041" s="99"/>
      <c r="E1041" s="99"/>
      <c r="F1041" s="99"/>
      <c r="G1041" s="19"/>
      <c r="H1041" s="99"/>
    </row>
    <row r="1042" spans="1:8">
      <c r="A1042" s="99"/>
      <c r="B1042" s="99"/>
      <c r="C1042" s="99"/>
      <c r="D1042" s="99"/>
      <c r="E1042" s="99"/>
      <c r="F1042" s="99"/>
      <c r="G1042" s="19"/>
      <c r="H1042" s="99"/>
    </row>
    <row r="1043" spans="1:8">
      <c r="A1043" s="99"/>
      <c r="B1043" s="99"/>
      <c r="C1043" s="99"/>
      <c r="D1043" s="99"/>
      <c r="E1043" s="99"/>
      <c r="F1043" s="99"/>
      <c r="G1043" s="19"/>
      <c r="H1043" s="99"/>
    </row>
    <row r="1044" spans="1:8">
      <c r="A1044" s="99"/>
      <c r="B1044" s="99"/>
      <c r="C1044" s="99"/>
      <c r="D1044" s="99"/>
      <c r="E1044" s="99"/>
      <c r="F1044" s="99"/>
      <c r="G1044" s="19"/>
      <c r="H1044" s="99"/>
    </row>
    <row r="1045" spans="1:8">
      <c r="A1045" s="99"/>
      <c r="B1045" s="99"/>
      <c r="C1045" s="99"/>
      <c r="D1045" s="99"/>
      <c r="E1045" s="99"/>
      <c r="F1045" s="99"/>
      <c r="G1045" s="19"/>
      <c r="H1045" s="99"/>
    </row>
    <row r="1046" spans="1:8">
      <c r="A1046" s="99"/>
      <c r="B1046" s="99"/>
      <c r="C1046" s="99"/>
      <c r="D1046" s="99"/>
      <c r="E1046" s="99"/>
      <c r="F1046" s="99"/>
      <c r="G1046" s="19"/>
      <c r="H1046" s="99"/>
    </row>
    <row r="1047" spans="1:8">
      <c r="A1047" s="99"/>
      <c r="B1047" s="99"/>
      <c r="C1047" s="99"/>
      <c r="D1047" s="99"/>
      <c r="E1047" s="99"/>
      <c r="F1047" s="99"/>
      <c r="G1047" s="19"/>
      <c r="H1047" s="99"/>
    </row>
    <row r="1048" spans="1:8">
      <c r="A1048" s="99"/>
      <c r="B1048" s="99"/>
      <c r="C1048" s="99"/>
      <c r="D1048" s="99"/>
      <c r="E1048" s="99"/>
      <c r="F1048" s="99"/>
      <c r="G1048" s="19"/>
      <c r="H1048" s="99"/>
    </row>
    <row r="1049" spans="1:8">
      <c r="A1049" s="99"/>
      <c r="B1049" s="99"/>
      <c r="C1049" s="99"/>
      <c r="D1049" s="99"/>
      <c r="E1049" s="99"/>
      <c r="F1049" s="99"/>
      <c r="G1049" s="19"/>
      <c r="H1049" s="99"/>
    </row>
    <row r="1050" spans="1:8">
      <c r="A1050" s="99"/>
      <c r="B1050" s="99"/>
      <c r="C1050" s="99"/>
      <c r="D1050" s="99"/>
      <c r="E1050" s="99"/>
      <c r="F1050" s="99"/>
      <c r="G1050" s="19"/>
      <c r="H1050" s="99"/>
    </row>
    <row r="1051" spans="1:8">
      <c r="A1051" s="99"/>
      <c r="B1051" s="99"/>
      <c r="C1051" s="99"/>
      <c r="D1051" s="99"/>
      <c r="E1051" s="99"/>
      <c r="F1051" s="99"/>
      <c r="G1051" s="19"/>
      <c r="H1051" s="99"/>
    </row>
    <row r="1052" spans="1:8">
      <c r="A1052" s="99"/>
      <c r="B1052" s="99"/>
      <c r="C1052" s="99"/>
      <c r="D1052" s="99"/>
      <c r="E1052" s="99"/>
      <c r="F1052" s="99"/>
      <c r="G1052" s="19"/>
      <c r="H1052" s="99"/>
    </row>
    <row r="1053" spans="1:8">
      <c r="A1053" s="99"/>
      <c r="B1053" s="99"/>
      <c r="C1053" s="99"/>
      <c r="D1053" s="99"/>
      <c r="E1053" s="99"/>
      <c r="F1053" s="99"/>
      <c r="G1053" s="19"/>
      <c r="H1053" s="99"/>
    </row>
    <row r="1054" spans="1:8">
      <c r="A1054" s="99"/>
      <c r="B1054" s="99"/>
      <c r="C1054" s="99"/>
      <c r="D1054" s="99"/>
      <c r="E1054" s="99"/>
      <c r="F1054" s="99"/>
      <c r="G1054" s="19"/>
      <c r="H1054" s="99"/>
    </row>
    <row r="1055" spans="1:8">
      <c r="A1055" s="99"/>
      <c r="B1055" s="99"/>
      <c r="C1055" s="99"/>
      <c r="D1055" s="99"/>
      <c r="E1055" s="99"/>
      <c r="F1055" s="99"/>
      <c r="G1055" s="19"/>
      <c r="H1055" s="99"/>
    </row>
    <row r="1056" spans="1:8">
      <c r="A1056" s="99"/>
      <c r="B1056" s="99"/>
      <c r="C1056" s="99"/>
      <c r="D1056" s="99"/>
      <c r="E1056" s="99"/>
      <c r="F1056" s="99"/>
      <c r="G1056" s="19"/>
      <c r="H1056" s="99"/>
    </row>
    <row r="1057" spans="1:8">
      <c r="A1057" s="99"/>
      <c r="B1057" s="99"/>
      <c r="C1057" s="99"/>
      <c r="D1057" s="99"/>
      <c r="E1057" s="99"/>
      <c r="F1057" s="99"/>
      <c r="G1057" s="19"/>
      <c r="H1057" s="99"/>
    </row>
    <row r="1058" spans="1:8">
      <c r="A1058" s="99"/>
      <c r="B1058" s="99"/>
      <c r="C1058" s="99"/>
      <c r="D1058" s="99"/>
      <c r="E1058" s="99"/>
      <c r="F1058" s="99"/>
      <c r="G1058" s="19"/>
      <c r="H1058" s="99"/>
    </row>
    <row r="1059" spans="1:8">
      <c r="A1059" s="99"/>
      <c r="B1059" s="99"/>
      <c r="C1059" s="99"/>
      <c r="D1059" s="99"/>
      <c r="E1059" s="99"/>
      <c r="F1059" s="99"/>
      <c r="G1059" s="19"/>
      <c r="H1059" s="99"/>
    </row>
    <row r="1060" spans="1:8">
      <c r="A1060" s="99"/>
      <c r="B1060" s="99"/>
      <c r="C1060" s="99"/>
      <c r="D1060" s="99"/>
      <c r="E1060" s="99"/>
      <c r="F1060" s="99"/>
      <c r="G1060" s="19"/>
      <c r="H1060" s="99"/>
    </row>
    <row r="1061" spans="1:8">
      <c r="A1061" s="99"/>
      <c r="B1061" s="99"/>
      <c r="C1061" s="99"/>
      <c r="D1061" s="99"/>
      <c r="E1061" s="99"/>
      <c r="F1061" s="99"/>
      <c r="G1061" s="19"/>
      <c r="H1061" s="99"/>
    </row>
    <row r="1062" spans="1:8">
      <c r="A1062" s="99"/>
      <c r="B1062" s="99"/>
      <c r="C1062" s="99"/>
      <c r="D1062" s="99"/>
      <c r="E1062" s="99"/>
      <c r="F1062" s="99"/>
      <c r="G1062" s="19"/>
      <c r="H1062" s="99"/>
    </row>
    <row r="1063" spans="1:8">
      <c r="A1063" s="99"/>
      <c r="B1063" s="99"/>
      <c r="C1063" s="99"/>
      <c r="D1063" s="99"/>
      <c r="E1063" s="99"/>
      <c r="F1063" s="99"/>
      <c r="G1063" s="19"/>
      <c r="H1063" s="99"/>
    </row>
    <row r="1064" spans="1:8">
      <c r="A1064" s="99"/>
      <c r="B1064" s="99"/>
      <c r="C1064" s="99"/>
      <c r="D1064" s="99"/>
      <c r="E1064" s="99"/>
      <c r="F1064" s="99"/>
      <c r="G1064" s="19"/>
      <c r="H1064" s="99"/>
    </row>
    <row r="1065" spans="1:8">
      <c r="A1065" s="99"/>
      <c r="B1065" s="99"/>
      <c r="C1065" s="99"/>
      <c r="D1065" s="99"/>
      <c r="E1065" s="99"/>
      <c r="F1065" s="99"/>
      <c r="G1065" s="19"/>
      <c r="H1065" s="99"/>
    </row>
    <row r="1066" spans="1:8">
      <c r="A1066" s="99"/>
      <c r="B1066" s="99"/>
      <c r="C1066" s="99"/>
      <c r="D1066" s="99"/>
      <c r="E1066" s="99"/>
      <c r="F1066" s="99"/>
      <c r="G1066" s="19"/>
      <c r="H1066" s="99"/>
    </row>
    <row r="1067" spans="1:8">
      <c r="A1067" s="99"/>
      <c r="B1067" s="99"/>
      <c r="C1067" s="99"/>
      <c r="D1067" s="99"/>
      <c r="E1067" s="99"/>
      <c r="F1067" s="99"/>
      <c r="G1067" s="19"/>
      <c r="H1067" s="99"/>
    </row>
    <row r="1068" spans="1:8">
      <c r="A1068" s="99"/>
      <c r="B1068" s="99"/>
      <c r="C1068" s="99"/>
      <c r="D1068" s="99"/>
      <c r="E1068" s="99"/>
      <c r="F1068" s="99"/>
      <c r="G1068" s="19"/>
      <c r="H1068" s="99"/>
    </row>
    <row r="1069" spans="1:8">
      <c r="A1069" s="99"/>
      <c r="B1069" s="99"/>
      <c r="C1069" s="99"/>
      <c r="D1069" s="99"/>
      <c r="E1069" s="99"/>
      <c r="F1069" s="99"/>
      <c r="G1069" s="19"/>
      <c r="H1069" s="99"/>
    </row>
    <row r="1070" spans="1:8">
      <c r="A1070" s="99"/>
      <c r="B1070" s="99"/>
      <c r="C1070" s="99"/>
      <c r="D1070" s="99"/>
      <c r="E1070" s="99"/>
      <c r="F1070" s="99"/>
      <c r="G1070" s="19"/>
      <c r="H1070" s="99"/>
    </row>
    <row r="1071" spans="1:8">
      <c r="A1071" s="99"/>
      <c r="B1071" s="99"/>
      <c r="C1071" s="99"/>
      <c r="D1071" s="99"/>
      <c r="E1071" s="99"/>
      <c r="F1071" s="99"/>
      <c r="G1071" s="19"/>
      <c r="H1071" s="99"/>
    </row>
    <row r="1072" spans="1:8">
      <c r="A1072" s="99"/>
      <c r="B1072" s="99"/>
      <c r="C1072" s="99"/>
      <c r="D1072" s="99"/>
      <c r="E1072" s="99"/>
      <c r="F1072" s="99"/>
      <c r="G1072" s="19"/>
      <c r="H1072" s="99"/>
    </row>
    <row r="1073" spans="1:8">
      <c r="A1073" s="99"/>
      <c r="B1073" s="99"/>
      <c r="C1073" s="99"/>
      <c r="D1073" s="99"/>
      <c r="E1073" s="99"/>
      <c r="F1073" s="99"/>
      <c r="G1073" s="19"/>
      <c r="H1073" s="99"/>
    </row>
    <row r="1074" spans="1:8">
      <c r="A1074" s="99"/>
      <c r="B1074" s="99"/>
      <c r="C1074" s="99"/>
      <c r="D1074" s="99"/>
      <c r="E1074" s="99"/>
      <c r="F1074" s="99"/>
      <c r="G1074" s="19"/>
      <c r="H1074" s="99"/>
    </row>
    <row r="1075" spans="1:8">
      <c r="A1075" s="99"/>
      <c r="B1075" s="99"/>
      <c r="C1075" s="99"/>
      <c r="D1075" s="99"/>
      <c r="E1075" s="99"/>
      <c r="F1075" s="99"/>
      <c r="G1075" s="19"/>
      <c r="H1075" s="99"/>
    </row>
    <row r="1076" spans="1:8">
      <c r="A1076" s="99"/>
      <c r="B1076" s="99"/>
      <c r="C1076" s="99"/>
      <c r="D1076" s="99"/>
      <c r="E1076" s="99"/>
      <c r="F1076" s="99"/>
      <c r="G1076" s="19"/>
      <c r="H1076" s="99"/>
    </row>
    <row r="1077" spans="1:8">
      <c r="A1077" s="99"/>
      <c r="B1077" s="99"/>
      <c r="C1077" s="99"/>
      <c r="D1077" s="99"/>
      <c r="E1077" s="99"/>
      <c r="F1077" s="99"/>
      <c r="G1077" s="19"/>
      <c r="H1077" s="99"/>
    </row>
    <row r="1078" spans="1:8">
      <c r="A1078" s="99"/>
      <c r="B1078" s="99"/>
      <c r="C1078" s="99"/>
      <c r="D1078" s="99"/>
      <c r="E1078" s="99"/>
      <c r="F1078" s="99"/>
      <c r="G1078" s="19"/>
      <c r="H1078" s="99"/>
    </row>
    <row r="1079" spans="1:8">
      <c r="A1079" s="99"/>
      <c r="B1079" s="99"/>
      <c r="C1079" s="99"/>
      <c r="D1079" s="99"/>
      <c r="E1079" s="99"/>
      <c r="F1079" s="99"/>
      <c r="G1079" s="19"/>
      <c r="H1079" s="99"/>
    </row>
    <row r="1080" spans="1:8">
      <c r="A1080" s="99"/>
      <c r="B1080" s="99"/>
      <c r="C1080" s="99"/>
      <c r="D1080" s="99"/>
      <c r="E1080" s="99"/>
      <c r="F1080" s="99"/>
      <c r="G1080" s="19"/>
      <c r="H1080" s="99"/>
    </row>
    <row r="1081" spans="1:8">
      <c r="A1081" s="99"/>
      <c r="B1081" s="99"/>
      <c r="C1081" s="99"/>
      <c r="D1081" s="99"/>
      <c r="E1081" s="99"/>
      <c r="F1081" s="99"/>
      <c r="G1081" s="19"/>
      <c r="H1081" s="99"/>
    </row>
    <row r="1082" spans="1:8">
      <c r="A1082" s="99"/>
      <c r="B1082" s="99"/>
      <c r="C1082" s="99"/>
      <c r="D1082" s="99"/>
      <c r="E1082" s="99"/>
      <c r="F1082" s="99"/>
      <c r="G1082" s="19"/>
      <c r="H1082" s="99"/>
    </row>
    <row r="1083" spans="1:8">
      <c r="A1083" s="99"/>
      <c r="B1083" s="99"/>
      <c r="C1083" s="99"/>
      <c r="D1083" s="99"/>
      <c r="E1083" s="99"/>
      <c r="F1083" s="99"/>
      <c r="G1083" s="19"/>
      <c r="H1083" s="99"/>
    </row>
    <row r="1084" spans="1:8">
      <c r="A1084" s="99"/>
      <c r="B1084" s="99"/>
      <c r="C1084" s="99"/>
      <c r="D1084" s="99"/>
      <c r="E1084" s="99"/>
      <c r="F1084" s="99"/>
      <c r="G1084" s="19"/>
      <c r="H1084" s="99"/>
    </row>
    <row r="1085" spans="1:8">
      <c r="A1085" s="99"/>
      <c r="B1085" s="99"/>
      <c r="C1085" s="99"/>
      <c r="D1085" s="99"/>
      <c r="E1085" s="99"/>
      <c r="F1085" s="99"/>
      <c r="G1085" s="19"/>
      <c r="H1085" s="99"/>
    </row>
    <row r="1086" spans="1:8">
      <c r="A1086" s="99"/>
      <c r="B1086" s="99"/>
      <c r="C1086" s="99"/>
      <c r="D1086" s="99"/>
      <c r="E1086" s="99"/>
      <c r="F1086" s="99"/>
      <c r="G1086" s="19"/>
      <c r="H1086" s="99"/>
    </row>
    <row r="1087" spans="1:8">
      <c r="A1087" s="99"/>
      <c r="B1087" s="99"/>
      <c r="C1087" s="99"/>
      <c r="D1087" s="99"/>
      <c r="E1087" s="99"/>
      <c r="F1087" s="99"/>
      <c r="G1087" s="19"/>
      <c r="H1087" s="99"/>
    </row>
    <row r="1088" spans="1:8">
      <c r="A1088" s="99"/>
      <c r="B1088" s="99"/>
      <c r="C1088" s="99"/>
      <c r="D1088" s="99"/>
      <c r="E1088" s="99"/>
      <c r="F1088" s="99"/>
      <c r="G1088" s="19"/>
      <c r="H1088" s="99"/>
    </row>
    <row r="1089" spans="1:8">
      <c r="A1089" s="99"/>
      <c r="B1089" s="99"/>
      <c r="C1089" s="99"/>
      <c r="D1089" s="99"/>
      <c r="E1089" s="99"/>
      <c r="F1089" s="99"/>
      <c r="G1089" s="19"/>
      <c r="H1089" s="99"/>
    </row>
    <row r="1090" spans="1:8">
      <c r="A1090" s="99"/>
      <c r="B1090" s="99"/>
      <c r="C1090" s="99"/>
      <c r="D1090" s="99"/>
      <c r="E1090" s="99"/>
      <c r="F1090" s="99"/>
      <c r="G1090" s="19"/>
      <c r="H1090" s="99"/>
    </row>
    <row r="1091" spans="1:8">
      <c r="A1091" s="99"/>
      <c r="B1091" s="99"/>
      <c r="C1091" s="99"/>
      <c r="D1091" s="99"/>
      <c r="E1091" s="99"/>
      <c r="F1091" s="99"/>
      <c r="G1091" s="19"/>
      <c r="H1091" s="99"/>
    </row>
    <row r="1092" spans="1:8">
      <c r="A1092" s="99"/>
      <c r="B1092" s="99"/>
      <c r="C1092" s="99"/>
      <c r="D1092" s="99"/>
      <c r="E1092" s="99"/>
      <c r="F1092" s="99"/>
      <c r="G1092" s="19"/>
      <c r="H1092" s="99"/>
    </row>
    <row r="1093" spans="1:8">
      <c r="A1093" s="99"/>
      <c r="B1093" s="99"/>
      <c r="C1093" s="99"/>
      <c r="D1093" s="99"/>
      <c r="E1093" s="99"/>
      <c r="F1093" s="99"/>
      <c r="G1093" s="19"/>
      <c r="H1093" s="99"/>
    </row>
    <row r="1094" spans="1:8">
      <c r="A1094" s="99"/>
      <c r="B1094" s="99"/>
      <c r="C1094" s="99"/>
      <c r="D1094" s="99"/>
      <c r="E1094" s="99"/>
      <c r="F1094" s="99"/>
      <c r="G1094" s="19"/>
      <c r="H1094" s="99"/>
    </row>
    <row r="1095" spans="1:8">
      <c r="A1095" s="99"/>
      <c r="B1095" s="99"/>
      <c r="C1095" s="99"/>
      <c r="D1095" s="99"/>
      <c r="E1095" s="99"/>
      <c r="F1095" s="99"/>
      <c r="G1095" s="19"/>
      <c r="H1095" s="99"/>
    </row>
    <row r="1096" spans="1:8">
      <c r="A1096" s="99"/>
      <c r="B1096" s="99"/>
      <c r="C1096" s="99"/>
      <c r="D1096" s="99"/>
      <c r="E1096" s="99"/>
      <c r="F1096" s="99"/>
      <c r="G1096" s="19"/>
      <c r="H1096" s="99"/>
    </row>
    <row r="1097" spans="1:8">
      <c r="A1097" s="99"/>
      <c r="B1097" s="99"/>
      <c r="C1097" s="99"/>
      <c r="D1097" s="99"/>
      <c r="E1097" s="99"/>
      <c r="F1097" s="99"/>
      <c r="G1097" s="19"/>
      <c r="H1097" s="99"/>
    </row>
    <row r="1098" spans="1:8">
      <c r="A1098" s="99"/>
      <c r="B1098" s="99"/>
      <c r="C1098" s="99"/>
      <c r="D1098" s="99"/>
      <c r="E1098" s="99"/>
      <c r="F1098" s="99"/>
      <c r="G1098" s="19"/>
      <c r="H1098" s="99"/>
    </row>
    <row r="1099" spans="1:8">
      <c r="A1099" s="99"/>
      <c r="B1099" s="99"/>
      <c r="C1099" s="99"/>
      <c r="D1099" s="99"/>
      <c r="E1099" s="99"/>
      <c r="F1099" s="99"/>
      <c r="G1099" s="19"/>
      <c r="H1099" s="99"/>
    </row>
    <row r="1100" spans="1:8">
      <c r="A1100" s="99"/>
      <c r="B1100" s="99"/>
      <c r="C1100" s="99"/>
      <c r="D1100" s="99"/>
      <c r="E1100" s="99"/>
      <c r="F1100" s="99"/>
      <c r="G1100" s="19"/>
      <c r="H1100" s="99"/>
    </row>
    <row r="1101" spans="1:8">
      <c r="A1101" s="99"/>
      <c r="B1101" s="99"/>
      <c r="C1101" s="99"/>
      <c r="D1101" s="99"/>
      <c r="E1101" s="99"/>
      <c r="F1101" s="99"/>
      <c r="G1101" s="19"/>
      <c r="H1101" s="99"/>
    </row>
    <row r="1102" spans="1:8">
      <c r="A1102" s="99"/>
      <c r="B1102" s="99"/>
      <c r="C1102" s="99"/>
      <c r="D1102" s="99"/>
      <c r="E1102" s="99"/>
      <c r="F1102" s="99"/>
      <c r="G1102" s="19"/>
      <c r="H1102" s="99"/>
    </row>
    <row r="1103" spans="1:8">
      <c r="A1103" s="99"/>
      <c r="B1103" s="99"/>
      <c r="C1103" s="99"/>
      <c r="D1103" s="99"/>
      <c r="E1103" s="99"/>
      <c r="F1103" s="99"/>
      <c r="G1103" s="19"/>
      <c r="H1103" s="99"/>
    </row>
    <row r="1104" spans="1:8">
      <c r="A1104" s="99"/>
      <c r="B1104" s="99"/>
      <c r="C1104" s="99"/>
      <c r="D1104" s="99"/>
      <c r="E1104" s="99"/>
      <c r="F1104" s="99"/>
      <c r="G1104" s="19"/>
      <c r="H1104" s="99"/>
    </row>
    <row r="1105" spans="1:8">
      <c r="A1105" s="99"/>
      <c r="B1105" s="99"/>
      <c r="C1105" s="99"/>
      <c r="D1105" s="99"/>
      <c r="E1105" s="99"/>
      <c r="F1105" s="99"/>
      <c r="G1105" s="19"/>
      <c r="H1105" s="99"/>
    </row>
    <row r="1106" spans="1:8">
      <c r="A1106" s="99"/>
      <c r="B1106" s="99"/>
      <c r="C1106" s="99"/>
      <c r="D1106" s="99"/>
      <c r="E1106" s="99"/>
      <c r="F1106" s="99"/>
      <c r="G1106" s="19"/>
      <c r="H1106" s="99"/>
    </row>
    <row r="1107" spans="1:8">
      <c r="A1107" s="99"/>
      <c r="B1107" s="99"/>
      <c r="C1107" s="99"/>
      <c r="D1107" s="99"/>
      <c r="E1107" s="99"/>
      <c r="F1107" s="99"/>
      <c r="G1107" s="19"/>
      <c r="H1107" s="99"/>
    </row>
    <row r="1108" spans="1:8">
      <c r="A1108" s="99"/>
      <c r="B1108" s="99"/>
      <c r="C1108" s="99"/>
      <c r="D1108" s="99"/>
      <c r="E1108" s="99"/>
      <c r="F1108" s="99"/>
      <c r="G1108" s="19"/>
      <c r="H1108" s="99"/>
    </row>
    <row r="1109" spans="1:8">
      <c r="A1109" s="99"/>
      <c r="B1109" s="99"/>
      <c r="C1109" s="99"/>
      <c r="D1109" s="99"/>
      <c r="E1109" s="99"/>
      <c r="F1109" s="99"/>
      <c r="G1109" s="19"/>
      <c r="H1109" s="99"/>
    </row>
    <row r="1110" spans="1:8">
      <c r="A1110" s="99"/>
      <c r="B1110" s="99"/>
      <c r="C1110" s="99"/>
      <c r="D1110" s="99"/>
      <c r="E1110" s="99"/>
      <c r="F1110" s="99"/>
      <c r="G1110" s="19"/>
      <c r="H1110" s="99"/>
    </row>
    <row r="1111" spans="1:8">
      <c r="A1111" s="99"/>
      <c r="B1111" s="99"/>
      <c r="C1111" s="99"/>
      <c r="D1111" s="99"/>
      <c r="E1111" s="99"/>
      <c r="F1111" s="99"/>
      <c r="G1111" s="19"/>
      <c r="H1111" s="99"/>
    </row>
    <row r="1112" spans="1:8">
      <c r="A1112" s="99"/>
      <c r="B1112" s="99"/>
      <c r="C1112" s="99"/>
      <c r="D1112" s="99"/>
      <c r="E1112" s="99"/>
      <c r="F1112" s="99"/>
      <c r="G1112" s="19"/>
      <c r="H1112" s="99"/>
    </row>
    <row r="1113" spans="1:8">
      <c r="A1113" s="99"/>
      <c r="B1113" s="99"/>
      <c r="C1113" s="99"/>
      <c r="D1113" s="99"/>
      <c r="E1113" s="99"/>
      <c r="F1113" s="99"/>
      <c r="G1113" s="19"/>
      <c r="H1113" s="99"/>
    </row>
    <row r="1114" spans="1:8">
      <c r="A1114" s="99"/>
      <c r="B1114" s="99"/>
      <c r="C1114" s="99"/>
      <c r="D1114" s="99"/>
      <c r="E1114" s="99"/>
      <c r="F1114" s="99"/>
      <c r="G1114" s="19"/>
      <c r="H1114" s="99"/>
    </row>
    <row r="1115" spans="1:8">
      <c r="A1115" s="99"/>
      <c r="B1115" s="99"/>
      <c r="C1115" s="99"/>
      <c r="D1115" s="99"/>
      <c r="E1115" s="99"/>
      <c r="F1115" s="99"/>
      <c r="G1115" s="19"/>
      <c r="H1115" s="99"/>
    </row>
    <row r="1116" spans="1:8">
      <c r="A1116" s="99"/>
      <c r="B1116" s="99"/>
      <c r="C1116" s="99"/>
      <c r="D1116" s="99"/>
      <c r="E1116" s="99"/>
      <c r="F1116" s="99"/>
      <c r="G1116" s="19"/>
      <c r="H1116" s="99"/>
    </row>
    <row r="1117" spans="1:8">
      <c r="A1117" s="99"/>
      <c r="B1117" s="99"/>
      <c r="C1117" s="99"/>
      <c r="D1117" s="99"/>
      <c r="E1117" s="99"/>
      <c r="F1117" s="99"/>
      <c r="G1117" s="19"/>
      <c r="H1117" s="99"/>
    </row>
    <row r="1118" spans="1:8">
      <c r="A1118" s="99"/>
      <c r="B1118" s="99"/>
      <c r="C1118" s="99"/>
      <c r="D1118" s="99"/>
      <c r="E1118" s="99"/>
      <c r="F1118" s="99"/>
      <c r="G1118" s="19"/>
      <c r="H1118" s="99"/>
    </row>
    <row r="1119" spans="1:8">
      <c r="A1119" s="99"/>
      <c r="B1119" s="99"/>
      <c r="C1119" s="99"/>
      <c r="D1119" s="99"/>
      <c r="E1119" s="99"/>
      <c r="F1119" s="99"/>
      <c r="G1119" s="19"/>
      <c r="H1119" s="99"/>
    </row>
    <row r="1120" spans="1:8">
      <c r="A1120" s="99"/>
      <c r="B1120" s="99"/>
      <c r="C1120" s="99"/>
      <c r="D1120" s="99"/>
      <c r="E1120" s="99"/>
      <c r="F1120" s="99"/>
      <c r="G1120" s="19"/>
      <c r="H1120" s="99"/>
    </row>
    <row r="1121" spans="1:8">
      <c r="A1121" s="99"/>
      <c r="B1121" s="99"/>
      <c r="C1121" s="99"/>
      <c r="D1121" s="99"/>
      <c r="E1121" s="99"/>
      <c r="F1121" s="99"/>
      <c r="G1121" s="19"/>
      <c r="H1121" s="99"/>
    </row>
    <row r="1122" spans="1:8">
      <c r="A1122" s="99"/>
      <c r="B1122" s="99"/>
      <c r="C1122" s="99"/>
      <c r="D1122" s="99"/>
      <c r="E1122" s="99"/>
      <c r="F1122" s="99"/>
      <c r="G1122" s="19"/>
      <c r="H1122" s="99"/>
    </row>
    <row r="1123" spans="1:8">
      <c r="A1123" s="99"/>
      <c r="B1123" s="99"/>
      <c r="C1123" s="99"/>
      <c r="D1123" s="99"/>
      <c r="E1123" s="99"/>
      <c r="F1123" s="99"/>
      <c r="G1123" s="19"/>
      <c r="H1123" s="99"/>
    </row>
    <row r="1124" spans="1:8">
      <c r="A1124" s="99"/>
      <c r="B1124" s="99"/>
      <c r="C1124" s="99"/>
      <c r="D1124" s="99"/>
      <c r="E1124" s="99"/>
      <c r="F1124" s="99"/>
      <c r="G1124" s="19"/>
      <c r="H1124" s="99"/>
    </row>
    <row r="1125" spans="1:8">
      <c r="A1125" s="99"/>
      <c r="B1125" s="99"/>
      <c r="C1125" s="99"/>
      <c r="D1125" s="99"/>
      <c r="E1125" s="99"/>
      <c r="F1125" s="99"/>
      <c r="G1125" s="19"/>
      <c r="H1125" s="99"/>
    </row>
    <row r="1126" spans="1:8">
      <c r="A1126" s="99"/>
      <c r="B1126" s="99"/>
      <c r="C1126" s="99"/>
      <c r="D1126" s="99"/>
      <c r="E1126" s="99"/>
      <c r="F1126" s="99"/>
      <c r="G1126" s="19"/>
      <c r="H1126" s="99"/>
    </row>
    <row r="1127" spans="1:8">
      <c r="A1127" s="99"/>
      <c r="B1127" s="99"/>
      <c r="C1127" s="99"/>
      <c r="D1127" s="99"/>
      <c r="E1127" s="99"/>
      <c r="F1127" s="99"/>
      <c r="G1127" s="19"/>
      <c r="H1127" s="99"/>
    </row>
    <row r="1128" spans="1:8">
      <c r="A1128" s="99"/>
      <c r="B1128" s="99"/>
      <c r="C1128" s="99"/>
      <c r="D1128" s="99"/>
      <c r="E1128" s="99"/>
      <c r="F1128" s="99"/>
      <c r="G1128" s="19"/>
      <c r="H1128" s="99"/>
    </row>
    <row r="1129" spans="1:8">
      <c r="A1129" s="99"/>
      <c r="B1129" s="99"/>
      <c r="C1129" s="99"/>
      <c r="D1129" s="99"/>
      <c r="E1129" s="99"/>
      <c r="F1129" s="99"/>
      <c r="G1129" s="19"/>
      <c r="H1129" s="99"/>
    </row>
    <row r="1130" spans="1:8">
      <c r="A1130" s="99"/>
      <c r="B1130" s="99"/>
      <c r="C1130" s="99"/>
      <c r="D1130" s="99"/>
      <c r="E1130" s="99"/>
      <c r="F1130" s="99"/>
      <c r="G1130" s="19"/>
      <c r="H1130" s="99"/>
    </row>
    <row r="1131" spans="1:8">
      <c r="A1131" s="99"/>
      <c r="B1131" s="99"/>
      <c r="C1131" s="99"/>
      <c r="D1131" s="99"/>
      <c r="E1131" s="99"/>
      <c r="F1131" s="99"/>
      <c r="G1131" s="19"/>
      <c r="H1131" s="99"/>
    </row>
    <row r="1132" spans="1:8">
      <c r="A1132" s="99"/>
      <c r="B1132" s="99"/>
      <c r="C1132" s="99"/>
      <c r="D1132" s="99"/>
      <c r="E1132" s="99"/>
      <c r="F1132" s="99"/>
      <c r="G1132" s="19"/>
      <c r="H1132" s="99"/>
    </row>
    <row r="1133" spans="1:8">
      <c r="A1133" s="99"/>
      <c r="B1133" s="99"/>
      <c r="C1133" s="99"/>
      <c r="D1133" s="99"/>
      <c r="E1133" s="99"/>
      <c r="F1133" s="99"/>
      <c r="G1133" s="19"/>
      <c r="H1133" s="99"/>
    </row>
    <row r="1134" spans="1:8">
      <c r="A1134" s="99"/>
      <c r="B1134" s="99"/>
      <c r="C1134" s="99"/>
      <c r="D1134" s="99"/>
      <c r="E1134" s="99"/>
      <c r="F1134" s="99"/>
      <c r="G1134" s="19"/>
      <c r="H1134" s="99"/>
    </row>
    <row r="1135" spans="1:8">
      <c r="A1135" s="99"/>
      <c r="B1135" s="99"/>
      <c r="C1135" s="99"/>
      <c r="D1135" s="99"/>
      <c r="E1135" s="99"/>
      <c r="F1135" s="99"/>
      <c r="G1135" s="19"/>
      <c r="H1135" s="99"/>
    </row>
    <row r="1136" spans="1:8">
      <c r="A1136" s="99"/>
      <c r="B1136" s="99"/>
      <c r="C1136" s="99"/>
      <c r="D1136" s="99"/>
      <c r="E1136" s="99"/>
      <c r="F1136" s="99"/>
      <c r="G1136" s="19"/>
      <c r="H1136" s="99"/>
    </row>
    <row r="1137" spans="1:8">
      <c r="A1137" s="99"/>
      <c r="B1137" s="99"/>
      <c r="C1137" s="99"/>
      <c r="D1137" s="99"/>
      <c r="E1137" s="99"/>
      <c r="F1137" s="99"/>
      <c r="G1137" s="19"/>
      <c r="H1137" s="99"/>
    </row>
    <row r="1138" spans="1:8">
      <c r="A1138" s="99"/>
      <c r="B1138" s="99"/>
      <c r="C1138" s="99"/>
      <c r="D1138" s="99"/>
      <c r="E1138" s="99"/>
      <c r="F1138" s="99"/>
      <c r="G1138" s="19"/>
      <c r="H1138" s="99"/>
    </row>
    <row r="1139" spans="1:8">
      <c r="A1139" s="99"/>
      <c r="B1139" s="99"/>
      <c r="C1139" s="99"/>
      <c r="D1139" s="99"/>
      <c r="E1139" s="99"/>
      <c r="F1139" s="99"/>
      <c r="G1139" s="19"/>
      <c r="H1139" s="99"/>
    </row>
    <row r="1140" spans="1:8">
      <c r="A1140" s="99"/>
      <c r="B1140" s="99"/>
      <c r="C1140" s="99"/>
      <c r="D1140" s="99"/>
      <c r="E1140" s="99"/>
      <c r="F1140" s="99"/>
      <c r="G1140" s="19"/>
      <c r="H1140" s="99"/>
    </row>
    <row r="1141" spans="1:8">
      <c r="A1141" s="99"/>
      <c r="B1141" s="99"/>
      <c r="C1141" s="99"/>
      <c r="D1141" s="99"/>
      <c r="E1141" s="99"/>
      <c r="F1141" s="99"/>
      <c r="G1141" s="19"/>
      <c r="H1141" s="99"/>
    </row>
    <row r="1142" spans="1:8">
      <c r="A1142" s="99"/>
      <c r="B1142" s="99"/>
      <c r="C1142" s="99"/>
      <c r="D1142" s="99"/>
      <c r="E1142" s="99"/>
      <c r="F1142" s="99"/>
      <c r="G1142" s="19"/>
      <c r="H1142" s="99"/>
    </row>
    <row r="1143" spans="1:8">
      <c r="A1143" s="99"/>
      <c r="B1143" s="99"/>
      <c r="C1143" s="99"/>
      <c r="D1143" s="99"/>
      <c r="E1143" s="99"/>
      <c r="F1143" s="99"/>
      <c r="G1143" s="19"/>
      <c r="H1143" s="99"/>
    </row>
    <row r="1144" spans="1:8">
      <c r="A1144" s="99"/>
      <c r="B1144" s="99"/>
      <c r="C1144" s="99"/>
      <c r="D1144" s="99"/>
      <c r="E1144" s="99"/>
      <c r="F1144" s="99"/>
      <c r="G1144" s="19"/>
      <c r="H1144" s="99"/>
    </row>
    <row r="1145" spans="1:8">
      <c r="A1145" s="99"/>
      <c r="B1145" s="99"/>
      <c r="C1145" s="99"/>
      <c r="D1145" s="99"/>
      <c r="E1145" s="99"/>
      <c r="F1145" s="99"/>
      <c r="G1145" s="19"/>
      <c r="H1145" s="99"/>
    </row>
    <row r="1146" spans="1:8">
      <c r="A1146" s="99"/>
      <c r="B1146" s="99"/>
      <c r="C1146" s="99"/>
      <c r="D1146" s="99"/>
      <c r="E1146" s="99"/>
      <c r="F1146" s="99"/>
      <c r="G1146" s="19"/>
      <c r="H1146" s="99"/>
    </row>
    <row r="1147" spans="1:8">
      <c r="A1147" s="99"/>
      <c r="B1147" s="99"/>
      <c r="C1147" s="99"/>
      <c r="D1147" s="99"/>
      <c r="E1147" s="99"/>
      <c r="F1147" s="99"/>
      <c r="G1147" s="19"/>
      <c r="H1147" s="99"/>
    </row>
    <row r="1148" spans="1:8">
      <c r="A1148" s="99"/>
      <c r="B1148" s="99"/>
      <c r="C1148" s="99"/>
      <c r="D1148" s="99"/>
      <c r="E1148" s="99"/>
      <c r="F1148" s="99"/>
      <c r="G1148" s="19"/>
      <c r="H1148" s="99"/>
    </row>
    <row r="1149" spans="1:8">
      <c r="A1149" s="99"/>
      <c r="B1149" s="99"/>
      <c r="C1149" s="99"/>
      <c r="D1149" s="99"/>
      <c r="E1149" s="99"/>
      <c r="F1149" s="99"/>
      <c r="G1149" s="19"/>
      <c r="H1149" s="99"/>
    </row>
    <row r="1150" spans="1:8">
      <c r="A1150" s="99"/>
      <c r="B1150" s="99"/>
      <c r="C1150" s="99"/>
      <c r="D1150" s="99"/>
      <c r="E1150" s="99"/>
      <c r="F1150" s="99"/>
      <c r="G1150" s="19"/>
      <c r="H1150" s="99"/>
    </row>
    <row r="1151" spans="1:8">
      <c r="A1151" s="99"/>
      <c r="B1151" s="99"/>
      <c r="C1151" s="99"/>
      <c r="D1151" s="99"/>
      <c r="E1151" s="99"/>
      <c r="F1151" s="99"/>
      <c r="G1151" s="19"/>
      <c r="H1151" s="99"/>
    </row>
    <row r="1152" spans="1:8">
      <c r="A1152" s="99"/>
      <c r="B1152" s="99"/>
      <c r="C1152" s="99"/>
      <c r="D1152" s="99"/>
      <c r="E1152" s="99"/>
      <c r="F1152" s="99"/>
      <c r="G1152" s="19"/>
      <c r="H1152" s="99"/>
    </row>
    <row r="1153" spans="1:8">
      <c r="A1153" s="99"/>
      <c r="B1153" s="99"/>
      <c r="C1153" s="99"/>
      <c r="D1153" s="99"/>
      <c r="E1153" s="99"/>
      <c r="F1153" s="99"/>
      <c r="G1153" s="19"/>
      <c r="H1153" s="99"/>
    </row>
    <row r="1154" spans="1:8">
      <c r="A1154" s="99"/>
      <c r="B1154" s="99"/>
      <c r="C1154" s="99"/>
      <c r="D1154" s="99"/>
      <c r="E1154" s="99"/>
      <c r="F1154" s="99"/>
      <c r="G1154" s="19"/>
      <c r="H1154" s="99"/>
    </row>
    <row r="1155" spans="1:8">
      <c r="A1155" s="99"/>
      <c r="B1155" s="99"/>
      <c r="C1155" s="99"/>
      <c r="D1155" s="99"/>
      <c r="E1155" s="99"/>
      <c r="F1155" s="99"/>
      <c r="G1155" s="19"/>
      <c r="H1155" s="99"/>
    </row>
    <row r="1156" spans="1:8">
      <c r="A1156" s="99"/>
      <c r="B1156" s="99"/>
      <c r="C1156" s="99"/>
      <c r="D1156" s="99"/>
      <c r="E1156" s="99"/>
      <c r="F1156" s="99"/>
      <c r="G1156" s="19"/>
      <c r="H1156" s="99"/>
    </row>
    <row r="1157" spans="1:8">
      <c r="A1157" s="99"/>
      <c r="B1157" s="99"/>
      <c r="C1157" s="99"/>
      <c r="D1157" s="99"/>
      <c r="E1157" s="99"/>
      <c r="F1157" s="99"/>
      <c r="G1157" s="19"/>
      <c r="H1157" s="99"/>
    </row>
    <row r="1158" spans="1:8">
      <c r="A1158" s="99"/>
      <c r="B1158" s="99"/>
      <c r="C1158" s="99"/>
      <c r="D1158" s="99"/>
      <c r="E1158" s="99"/>
      <c r="F1158" s="99"/>
      <c r="G1158" s="19"/>
      <c r="H1158" s="99"/>
    </row>
    <row r="1159" spans="1:8">
      <c r="A1159" s="99"/>
      <c r="B1159" s="99"/>
      <c r="C1159" s="99"/>
      <c r="D1159" s="99"/>
      <c r="E1159" s="99"/>
      <c r="F1159" s="99"/>
      <c r="G1159" s="19"/>
      <c r="H1159" s="99"/>
    </row>
    <row r="1160" spans="1:8">
      <c r="A1160" s="99"/>
      <c r="B1160" s="99"/>
      <c r="C1160" s="99"/>
      <c r="D1160" s="99"/>
      <c r="E1160" s="99"/>
      <c r="F1160" s="99"/>
      <c r="G1160" s="19"/>
      <c r="H1160" s="99"/>
    </row>
    <row r="1161" spans="1:8">
      <c r="A1161" s="99"/>
      <c r="B1161" s="99"/>
      <c r="C1161" s="99"/>
      <c r="D1161" s="99"/>
      <c r="E1161" s="99"/>
      <c r="F1161" s="99"/>
      <c r="G1161" s="19"/>
      <c r="H1161" s="99"/>
    </row>
    <row r="1162" spans="1:8">
      <c r="A1162" s="99"/>
      <c r="B1162" s="99"/>
      <c r="C1162" s="99"/>
      <c r="D1162" s="99"/>
      <c r="E1162" s="99"/>
      <c r="F1162" s="99"/>
      <c r="G1162" s="19"/>
      <c r="H1162" s="99"/>
    </row>
    <row r="1163" spans="1:8">
      <c r="A1163" s="99"/>
      <c r="B1163" s="99"/>
      <c r="C1163" s="99"/>
      <c r="D1163" s="99"/>
      <c r="E1163" s="99"/>
      <c r="F1163" s="99"/>
      <c r="G1163" s="19"/>
      <c r="H1163" s="99"/>
    </row>
    <row r="1164" spans="1:8">
      <c r="A1164" s="99"/>
      <c r="B1164" s="99"/>
      <c r="C1164" s="99"/>
      <c r="D1164" s="99"/>
      <c r="E1164" s="99"/>
      <c r="F1164" s="99"/>
      <c r="G1164" s="19"/>
      <c r="H1164" s="99"/>
    </row>
    <row r="1165" spans="1:8">
      <c r="A1165" s="99"/>
      <c r="B1165" s="99"/>
      <c r="C1165" s="99"/>
      <c r="D1165" s="99"/>
      <c r="E1165" s="99"/>
      <c r="F1165" s="99"/>
      <c r="G1165" s="19"/>
      <c r="H1165" s="99"/>
    </row>
    <row r="1166" spans="1:8">
      <c r="A1166" s="99"/>
      <c r="B1166" s="99"/>
      <c r="C1166" s="99"/>
      <c r="D1166" s="99"/>
      <c r="E1166" s="99"/>
      <c r="F1166" s="99"/>
      <c r="G1166" s="19"/>
      <c r="H1166" s="99"/>
    </row>
    <row r="1167" spans="1:8">
      <c r="A1167" s="99"/>
      <c r="B1167" s="99"/>
      <c r="C1167" s="99"/>
      <c r="D1167" s="99"/>
      <c r="E1167" s="99"/>
      <c r="F1167" s="99"/>
      <c r="G1167" s="19"/>
      <c r="H1167" s="99"/>
    </row>
    <row r="1168" spans="1:8">
      <c r="A1168" s="99"/>
      <c r="B1168" s="99"/>
      <c r="C1168" s="99"/>
      <c r="D1168" s="99"/>
      <c r="E1168" s="99"/>
      <c r="F1168" s="99"/>
      <c r="G1168" s="19"/>
      <c r="H1168" s="99"/>
    </row>
    <row r="1169" spans="1:8">
      <c r="A1169" s="99"/>
      <c r="B1169" s="99"/>
      <c r="C1169" s="99"/>
      <c r="D1169" s="99"/>
      <c r="E1169" s="99"/>
      <c r="F1169" s="99"/>
      <c r="G1169" s="19"/>
      <c r="H1169" s="99"/>
    </row>
    <row r="1170" spans="1:8">
      <c r="A1170" s="99"/>
      <c r="B1170" s="99"/>
      <c r="C1170" s="99"/>
      <c r="D1170" s="99"/>
      <c r="E1170" s="99"/>
      <c r="F1170" s="99"/>
      <c r="G1170" s="19"/>
      <c r="H1170" s="99"/>
    </row>
    <row r="1171" spans="1:8">
      <c r="A1171" s="99"/>
      <c r="B1171" s="99"/>
      <c r="C1171" s="99"/>
      <c r="D1171" s="99"/>
      <c r="E1171" s="99"/>
      <c r="F1171" s="99"/>
      <c r="G1171" s="19"/>
      <c r="H1171" s="99"/>
    </row>
    <row r="1172" spans="1:8">
      <c r="A1172" s="99"/>
      <c r="B1172" s="99"/>
      <c r="C1172" s="99"/>
      <c r="D1172" s="99"/>
      <c r="E1172" s="99"/>
      <c r="F1172" s="99"/>
      <c r="G1172" s="19"/>
      <c r="H1172" s="99"/>
    </row>
    <row r="1173" spans="1:8">
      <c r="A1173" s="99"/>
      <c r="B1173" s="99"/>
      <c r="C1173" s="99"/>
      <c r="D1173" s="99"/>
      <c r="E1173" s="99"/>
      <c r="F1173" s="99"/>
      <c r="G1173" s="19"/>
      <c r="H1173" s="99"/>
    </row>
    <row r="1174" spans="1:8">
      <c r="A1174" s="99"/>
      <c r="B1174" s="99"/>
      <c r="C1174" s="99"/>
      <c r="D1174" s="99"/>
      <c r="E1174" s="99"/>
      <c r="F1174" s="99"/>
      <c r="G1174" s="19"/>
      <c r="H1174" s="99"/>
    </row>
    <row r="1175" spans="1:8">
      <c r="A1175" s="99"/>
      <c r="B1175" s="99"/>
      <c r="C1175" s="99"/>
      <c r="D1175" s="99"/>
      <c r="E1175" s="99"/>
      <c r="F1175" s="99"/>
      <c r="G1175" s="19"/>
      <c r="H1175" s="99"/>
    </row>
    <row r="1176" spans="1:8">
      <c r="A1176" s="99"/>
      <c r="B1176" s="99"/>
      <c r="C1176" s="99"/>
      <c r="D1176" s="99"/>
      <c r="E1176" s="99"/>
      <c r="F1176" s="99"/>
      <c r="G1176" s="19"/>
      <c r="H1176" s="99"/>
    </row>
    <row r="1177" spans="1:8">
      <c r="A1177" s="99"/>
      <c r="B1177" s="99"/>
      <c r="C1177" s="99"/>
      <c r="D1177" s="99"/>
      <c r="E1177" s="99"/>
      <c r="F1177" s="99"/>
      <c r="G1177" s="19"/>
      <c r="H1177" s="99"/>
    </row>
    <row r="1178" spans="1:8">
      <c r="A1178" s="99"/>
      <c r="B1178" s="99"/>
      <c r="C1178" s="99"/>
      <c r="D1178" s="99"/>
      <c r="E1178" s="99"/>
      <c r="F1178" s="99"/>
      <c r="G1178" s="19"/>
      <c r="H1178" s="99"/>
    </row>
    <row r="1179" spans="1:8">
      <c r="A1179" s="99"/>
      <c r="B1179" s="99"/>
      <c r="C1179" s="99"/>
      <c r="D1179" s="99"/>
      <c r="E1179" s="99"/>
      <c r="F1179" s="99"/>
      <c r="G1179" s="19"/>
      <c r="H1179" s="99"/>
    </row>
    <row r="1180" spans="1:8">
      <c r="A1180" s="99"/>
      <c r="B1180" s="99"/>
      <c r="C1180" s="99"/>
      <c r="D1180" s="99"/>
      <c r="E1180" s="99"/>
      <c r="F1180" s="99"/>
      <c r="G1180" s="19"/>
      <c r="H1180" s="99"/>
    </row>
    <row r="1181" spans="1:8">
      <c r="A1181" s="99"/>
      <c r="B1181" s="99"/>
      <c r="C1181" s="99"/>
      <c r="D1181" s="99"/>
      <c r="E1181" s="99"/>
      <c r="F1181" s="99"/>
      <c r="G1181" s="19"/>
      <c r="H1181" s="99"/>
    </row>
    <row r="1182" spans="1:8">
      <c r="A1182" s="99"/>
      <c r="B1182" s="99"/>
      <c r="C1182" s="99"/>
      <c r="D1182" s="99"/>
      <c r="E1182" s="99"/>
      <c r="F1182" s="99"/>
      <c r="G1182" s="19"/>
      <c r="H1182" s="99"/>
    </row>
    <row r="1183" spans="1:8">
      <c r="A1183" s="99"/>
      <c r="B1183" s="99"/>
      <c r="C1183" s="99"/>
      <c r="D1183" s="99"/>
      <c r="E1183" s="99"/>
      <c r="F1183" s="99"/>
      <c r="G1183" s="19"/>
      <c r="H1183" s="99"/>
    </row>
    <row r="1184" spans="1:8">
      <c r="A1184" s="99"/>
      <c r="B1184" s="99"/>
      <c r="C1184" s="99"/>
      <c r="D1184" s="99"/>
      <c r="E1184" s="99"/>
      <c r="F1184" s="99"/>
      <c r="G1184" s="19"/>
      <c r="H1184" s="99"/>
    </row>
    <row r="1185" spans="1:8">
      <c r="A1185" s="99"/>
      <c r="B1185" s="99"/>
      <c r="C1185" s="99"/>
      <c r="D1185" s="99"/>
      <c r="E1185" s="99"/>
      <c r="F1185" s="99"/>
      <c r="G1185" s="19"/>
      <c r="H1185" s="99"/>
    </row>
    <row r="1186" spans="1:8">
      <c r="A1186" s="99"/>
      <c r="B1186" s="99"/>
      <c r="C1186" s="99"/>
      <c r="D1186" s="99"/>
      <c r="E1186" s="99"/>
      <c r="F1186" s="99"/>
      <c r="G1186" s="19"/>
      <c r="H1186" s="99"/>
    </row>
    <row r="1187" spans="1:8">
      <c r="A1187" s="99"/>
      <c r="B1187" s="99"/>
      <c r="C1187" s="99"/>
      <c r="D1187" s="99"/>
      <c r="E1187" s="99"/>
      <c r="F1187" s="99"/>
      <c r="G1187" s="19"/>
      <c r="H1187" s="99"/>
    </row>
    <row r="1188" spans="1:8">
      <c r="A1188" s="99"/>
      <c r="B1188" s="99"/>
      <c r="C1188" s="99"/>
      <c r="D1188" s="99"/>
      <c r="E1188" s="99"/>
      <c r="F1188" s="99"/>
      <c r="G1188" s="19"/>
      <c r="H1188" s="99"/>
    </row>
    <row r="1189" spans="1:8">
      <c r="A1189" s="99"/>
      <c r="B1189" s="99"/>
      <c r="C1189" s="99"/>
      <c r="D1189" s="99"/>
      <c r="E1189" s="99"/>
      <c r="F1189" s="99"/>
      <c r="G1189" s="19"/>
      <c r="H1189" s="99"/>
    </row>
    <row r="1190" spans="1:8">
      <c r="A1190" s="99"/>
      <c r="B1190" s="99"/>
      <c r="C1190" s="99"/>
      <c r="D1190" s="99"/>
      <c r="E1190" s="99"/>
      <c r="F1190" s="99"/>
      <c r="G1190" s="19"/>
      <c r="H1190" s="99"/>
    </row>
    <row r="1191" spans="1:8">
      <c r="A1191" s="99"/>
      <c r="B1191" s="99"/>
      <c r="C1191" s="99"/>
      <c r="D1191" s="99"/>
      <c r="E1191" s="99"/>
      <c r="F1191" s="99"/>
      <c r="G1191" s="19"/>
      <c r="H1191" s="99"/>
    </row>
    <row r="1192" spans="1:8">
      <c r="A1192" s="99"/>
      <c r="B1192" s="99"/>
      <c r="C1192" s="99"/>
      <c r="D1192" s="99"/>
      <c r="E1192" s="99"/>
      <c r="F1192" s="99"/>
      <c r="G1192" s="19"/>
      <c r="H1192" s="99"/>
    </row>
    <row r="1193" spans="1:8">
      <c r="A1193" s="99"/>
      <c r="B1193" s="99"/>
      <c r="C1193" s="99"/>
      <c r="D1193" s="99"/>
      <c r="E1193" s="99"/>
      <c r="F1193" s="99"/>
      <c r="G1193" s="19"/>
      <c r="H1193" s="99"/>
    </row>
    <row r="1194" spans="1:8">
      <c r="A1194" s="99"/>
      <c r="B1194" s="99"/>
      <c r="C1194" s="99"/>
      <c r="D1194" s="99"/>
      <c r="E1194" s="99"/>
      <c r="F1194" s="99"/>
      <c r="G1194" s="19"/>
      <c r="H1194" s="99"/>
    </row>
    <row r="1195" spans="1:8">
      <c r="A1195" s="99"/>
      <c r="B1195" s="99"/>
      <c r="C1195" s="99"/>
      <c r="D1195" s="99"/>
      <c r="E1195" s="99"/>
      <c r="F1195" s="99"/>
      <c r="G1195" s="19"/>
      <c r="H1195" s="99"/>
    </row>
    <row r="1196" spans="1:8">
      <c r="A1196" s="99"/>
      <c r="B1196" s="99"/>
      <c r="C1196" s="99"/>
      <c r="D1196" s="99"/>
      <c r="E1196" s="99"/>
      <c r="F1196" s="99"/>
      <c r="G1196" s="19"/>
      <c r="H1196" s="99"/>
    </row>
    <row r="1197" spans="1:8">
      <c r="A1197" s="99"/>
      <c r="B1197" s="99"/>
      <c r="C1197" s="99"/>
      <c r="D1197" s="99"/>
      <c r="E1197" s="99"/>
      <c r="F1197" s="99"/>
      <c r="G1197" s="19"/>
      <c r="H1197" s="99"/>
    </row>
    <row r="1198" spans="1:8">
      <c r="A1198" s="99"/>
      <c r="B1198" s="99"/>
      <c r="C1198" s="99"/>
      <c r="D1198" s="99"/>
      <c r="E1198" s="99"/>
      <c r="F1198" s="99"/>
      <c r="G1198" s="19"/>
      <c r="H1198" s="99"/>
    </row>
    <row r="1199" spans="1:8">
      <c r="A1199" s="99"/>
      <c r="B1199" s="99"/>
      <c r="C1199" s="99"/>
      <c r="D1199" s="99"/>
      <c r="E1199" s="99"/>
      <c r="F1199" s="99"/>
      <c r="G1199" s="19"/>
      <c r="H1199" s="99"/>
    </row>
    <row r="1200" spans="1:8">
      <c r="A1200" s="99"/>
      <c r="B1200" s="99"/>
      <c r="C1200" s="99"/>
      <c r="D1200" s="99"/>
      <c r="E1200" s="99"/>
      <c r="F1200" s="99"/>
      <c r="G1200" s="19"/>
      <c r="H1200" s="99"/>
    </row>
    <row r="1201" spans="1:8">
      <c r="A1201" s="99"/>
      <c r="B1201" s="99"/>
      <c r="C1201" s="99"/>
      <c r="D1201" s="99"/>
      <c r="E1201" s="99"/>
      <c r="F1201" s="99"/>
      <c r="G1201" s="19"/>
      <c r="H1201" s="99"/>
    </row>
    <row r="1202" spans="1:8">
      <c r="A1202" s="99"/>
      <c r="B1202" s="99"/>
      <c r="C1202" s="99"/>
      <c r="D1202" s="99"/>
      <c r="E1202" s="99"/>
      <c r="F1202" s="99"/>
      <c r="G1202" s="19"/>
      <c r="H1202" s="99"/>
    </row>
    <row r="1203" spans="1:8">
      <c r="A1203" s="99"/>
      <c r="B1203" s="99"/>
      <c r="C1203" s="99"/>
      <c r="D1203" s="99"/>
      <c r="E1203" s="99"/>
      <c r="F1203" s="99"/>
      <c r="G1203" s="19"/>
      <c r="H1203" s="99"/>
    </row>
    <row r="1204" spans="1:8">
      <c r="A1204" s="99"/>
      <c r="B1204" s="99"/>
      <c r="C1204" s="99"/>
      <c r="D1204" s="99"/>
      <c r="E1204" s="99"/>
      <c r="F1204" s="99"/>
      <c r="G1204" s="19"/>
      <c r="H1204" s="99"/>
    </row>
    <row r="1205" spans="1:8">
      <c r="A1205" s="99"/>
      <c r="B1205" s="99"/>
      <c r="C1205" s="99"/>
      <c r="D1205" s="99"/>
      <c r="E1205" s="99"/>
      <c r="F1205" s="99"/>
      <c r="G1205" s="19"/>
      <c r="H1205" s="99"/>
    </row>
    <row r="1206" spans="1:8">
      <c r="A1206" s="99"/>
      <c r="B1206" s="99"/>
      <c r="C1206" s="99"/>
      <c r="D1206" s="99"/>
      <c r="E1206" s="99"/>
      <c r="F1206" s="99"/>
      <c r="G1206" s="19"/>
      <c r="H1206" s="99"/>
    </row>
    <row r="1207" spans="1:8">
      <c r="A1207" s="99"/>
      <c r="B1207" s="99"/>
      <c r="C1207" s="99"/>
      <c r="D1207" s="99"/>
      <c r="E1207" s="99"/>
      <c r="F1207" s="99"/>
      <c r="G1207" s="19"/>
      <c r="H1207" s="99"/>
    </row>
    <row r="1208" spans="1:8">
      <c r="A1208" s="99"/>
      <c r="B1208" s="99"/>
      <c r="C1208" s="99"/>
      <c r="D1208" s="99"/>
      <c r="E1208" s="99"/>
      <c r="F1208" s="99"/>
      <c r="G1208" s="19"/>
      <c r="H1208" s="99"/>
    </row>
    <row r="1209" spans="1:8">
      <c r="A1209" s="99"/>
      <c r="B1209" s="99"/>
      <c r="C1209" s="99"/>
      <c r="D1209" s="99"/>
      <c r="E1209" s="99"/>
      <c r="F1209" s="99"/>
      <c r="G1209" s="19"/>
      <c r="H1209" s="99"/>
    </row>
    <row r="1210" spans="1:8">
      <c r="A1210" s="99"/>
      <c r="B1210" s="99"/>
      <c r="C1210" s="99"/>
      <c r="D1210" s="99"/>
      <c r="E1210" s="99"/>
      <c r="F1210" s="99"/>
      <c r="G1210" s="19"/>
      <c r="H1210" s="99"/>
    </row>
    <row r="1211" spans="1:8">
      <c r="A1211" s="99"/>
      <c r="B1211" s="99"/>
      <c r="C1211" s="99"/>
      <c r="D1211" s="99"/>
      <c r="E1211" s="99"/>
      <c r="F1211" s="99"/>
      <c r="G1211" s="19"/>
      <c r="H1211" s="99"/>
    </row>
    <row r="1212" spans="1:8">
      <c r="A1212" s="99"/>
      <c r="B1212" s="99"/>
      <c r="C1212" s="99"/>
      <c r="D1212" s="99"/>
      <c r="E1212" s="99"/>
      <c r="F1212" s="99"/>
      <c r="G1212" s="19"/>
      <c r="H1212" s="99"/>
    </row>
    <row r="1213" spans="1:8">
      <c r="A1213" s="99"/>
      <c r="B1213" s="99"/>
      <c r="C1213" s="99"/>
      <c r="D1213" s="99"/>
      <c r="E1213" s="99"/>
      <c r="F1213" s="99"/>
      <c r="G1213" s="19"/>
      <c r="H1213" s="99"/>
    </row>
    <row r="1214" spans="1:8">
      <c r="A1214" s="99"/>
      <c r="B1214" s="99"/>
      <c r="C1214" s="99"/>
      <c r="D1214" s="99"/>
      <c r="E1214" s="99"/>
      <c r="F1214" s="99"/>
      <c r="G1214" s="19"/>
      <c r="H1214" s="99"/>
    </row>
    <row r="1215" spans="1:8">
      <c r="A1215" s="99"/>
      <c r="B1215" s="99"/>
      <c r="C1215" s="99"/>
      <c r="D1215" s="99"/>
      <c r="E1215" s="99"/>
      <c r="F1215" s="99"/>
      <c r="G1215" s="19"/>
      <c r="H1215" s="99"/>
    </row>
    <row r="1216" spans="1:8">
      <c r="A1216" s="99"/>
      <c r="B1216" s="99"/>
      <c r="C1216" s="99"/>
      <c r="D1216" s="99"/>
      <c r="E1216" s="99"/>
      <c r="F1216" s="99"/>
      <c r="G1216" s="19"/>
      <c r="H1216" s="99"/>
    </row>
    <row r="1217" spans="1:8">
      <c r="A1217" s="99"/>
      <c r="B1217" s="99"/>
      <c r="C1217" s="99"/>
      <c r="D1217" s="99"/>
      <c r="E1217" s="99"/>
      <c r="F1217" s="99"/>
      <c r="G1217" s="19"/>
      <c r="H1217" s="99"/>
    </row>
    <row r="1218" spans="1:8">
      <c r="A1218" s="99"/>
      <c r="B1218" s="99"/>
      <c r="C1218" s="99"/>
      <c r="D1218" s="99"/>
      <c r="E1218" s="99"/>
      <c r="F1218" s="99"/>
      <c r="G1218" s="19"/>
      <c r="H1218" s="99"/>
    </row>
    <row r="1219" spans="1:8">
      <c r="A1219" s="99"/>
      <c r="B1219" s="99"/>
      <c r="C1219" s="99"/>
      <c r="D1219" s="99"/>
      <c r="E1219" s="99"/>
      <c r="F1219" s="99"/>
      <c r="G1219" s="19"/>
      <c r="H1219" s="99"/>
    </row>
    <row r="1220" spans="1:8">
      <c r="A1220" s="99"/>
      <c r="B1220" s="99"/>
      <c r="C1220" s="99"/>
      <c r="D1220" s="99"/>
      <c r="E1220" s="99"/>
      <c r="F1220" s="99"/>
      <c r="G1220" s="19"/>
      <c r="H1220" s="99"/>
    </row>
    <row r="1221" spans="1:8">
      <c r="A1221" s="99"/>
      <c r="B1221" s="99"/>
      <c r="C1221" s="99"/>
      <c r="D1221" s="99"/>
      <c r="E1221" s="99"/>
      <c r="F1221" s="99"/>
      <c r="G1221" s="19"/>
      <c r="H1221" s="99"/>
    </row>
    <row r="1222" spans="1:8">
      <c r="A1222" s="99"/>
      <c r="B1222" s="99"/>
      <c r="C1222" s="99"/>
      <c r="D1222" s="99"/>
      <c r="E1222" s="99"/>
      <c r="F1222" s="99"/>
      <c r="G1222" s="19"/>
      <c r="H1222" s="99"/>
    </row>
    <row r="1223" spans="1:8">
      <c r="A1223" s="99"/>
      <c r="B1223" s="99"/>
      <c r="C1223" s="99"/>
      <c r="D1223" s="99"/>
      <c r="E1223" s="99"/>
      <c r="F1223" s="99"/>
      <c r="G1223" s="19"/>
      <c r="H1223" s="99"/>
    </row>
    <row r="1224" spans="1:8">
      <c r="A1224" s="99"/>
      <c r="B1224" s="99"/>
      <c r="C1224" s="99"/>
      <c r="D1224" s="99"/>
      <c r="E1224" s="99"/>
      <c r="F1224" s="99"/>
      <c r="G1224" s="19"/>
      <c r="H1224" s="99"/>
    </row>
    <row r="1225" spans="1:8">
      <c r="A1225" s="99"/>
      <c r="B1225" s="99"/>
      <c r="C1225" s="99"/>
      <c r="D1225" s="99"/>
      <c r="E1225" s="99"/>
      <c r="F1225" s="99"/>
      <c r="G1225" s="19"/>
      <c r="H1225" s="99"/>
    </row>
    <row r="1226" spans="1:8">
      <c r="A1226" s="99"/>
      <c r="B1226" s="99"/>
      <c r="C1226" s="99"/>
      <c r="D1226" s="99"/>
      <c r="E1226" s="99"/>
      <c r="F1226" s="99"/>
      <c r="G1226" s="19"/>
      <c r="H1226" s="99"/>
    </row>
    <row r="1227" spans="1:8">
      <c r="A1227" s="99"/>
      <c r="B1227" s="99"/>
      <c r="C1227" s="99"/>
      <c r="D1227" s="99"/>
      <c r="E1227" s="99"/>
      <c r="F1227" s="99"/>
      <c r="G1227" s="19"/>
      <c r="H1227" s="99"/>
    </row>
    <row r="1228" spans="1:8">
      <c r="A1228" s="99"/>
      <c r="B1228" s="99"/>
      <c r="C1228" s="99"/>
      <c r="D1228" s="99"/>
      <c r="E1228" s="99"/>
      <c r="F1228" s="99"/>
      <c r="G1228" s="19"/>
      <c r="H1228" s="99"/>
    </row>
    <row r="1229" spans="1:8">
      <c r="A1229" s="99"/>
      <c r="B1229" s="99"/>
      <c r="C1229" s="99"/>
      <c r="D1229" s="99"/>
      <c r="E1229" s="99"/>
      <c r="F1229" s="99"/>
      <c r="G1229" s="19"/>
      <c r="H1229" s="99"/>
    </row>
    <row r="1230" spans="1:8">
      <c r="A1230" s="99"/>
      <c r="B1230" s="99"/>
      <c r="C1230" s="99"/>
      <c r="D1230" s="99"/>
      <c r="E1230" s="99"/>
      <c r="F1230" s="99"/>
      <c r="G1230" s="19"/>
      <c r="H1230" s="99"/>
    </row>
    <row r="1231" spans="1:8">
      <c r="A1231" s="99"/>
      <c r="B1231" s="99"/>
      <c r="C1231" s="99"/>
      <c r="D1231" s="99"/>
      <c r="E1231" s="99"/>
      <c r="F1231" s="99"/>
      <c r="G1231" s="19"/>
      <c r="H1231" s="99"/>
    </row>
    <row r="1232" spans="1:8">
      <c r="A1232" s="99"/>
      <c r="B1232" s="99"/>
      <c r="C1232" s="99"/>
      <c r="D1232" s="99"/>
      <c r="E1232" s="99"/>
      <c r="F1232" s="99"/>
      <c r="G1232" s="19"/>
      <c r="H1232" s="99"/>
    </row>
    <row r="1233" spans="1:8">
      <c r="A1233" s="99"/>
      <c r="B1233" s="99"/>
      <c r="C1233" s="99"/>
      <c r="D1233" s="99"/>
      <c r="E1233" s="99"/>
      <c r="F1233" s="99"/>
      <c r="G1233" s="19"/>
      <c r="H1233" s="99"/>
    </row>
    <row r="1234" spans="1:8">
      <c r="A1234" s="99"/>
      <c r="B1234" s="99"/>
      <c r="C1234" s="99"/>
      <c r="D1234" s="99"/>
      <c r="E1234" s="99"/>
      <c r="F1234" s="99"/>
      <c r="G1234" s="19"/>
      <c r="H1234" s="99"/>
    </row>
    <row r="1235" spans="1:8">
      <c r="A1235" s="99"/>
      <c r="B1235" s="99"/>
      <c r="C1235" s="99"/>
      <c r="D1235" s="99"/>
      <c r="E1235" s="99"/>
      <c r="F1235" s="99"/>
      <c r="G1235" s="19"/>
      <c r="H1235" s="99"/>
    </row>
    <row r="1236" spans="1:8">
      <c r="A1236" s="99"/>
      <c r="B1236" s="99"/>
      <c r="C1236" s="99"/>
      <c r="D1236" s="99"/>
      <c r="E1236" s="99"/>
      <c r="F1236" s="99"/>
      <c r="G1236" s="19"/>
      <c r="H1236" s="99"/>
    </row>
    <row r="1237" spans="1:8">
      <c r="A1237" s="99"/>
      <c r="B1237" s="99"/>
      <c r="C1237" s="99"/>
      <c r="D1237" s="99"/>
      <c r="E1237" s="99"/>
      <c r="F1237" s="99"/>
      <c r="G1237" s="19"/>
      <c r="H1237" s="99"/>
    </row>
    <row r="1238" spans="1:8">
      <c r="A1238" s="99"/>
      <c r="B1238" s="99"/>
      <c r="C1238" s="99"/>
      <c r="D1238" s="99"/>
      <c r="E1238" s="99"/>
      <c r="F1238" s="99"/>
      <c r="G1238" s="19"/>
      <c r="H1238" s="99"/>
    </row>
    <row r="1239" spans="1:8">
      <c r="A1239" s="99"/>
      <c r="B1239" s="99"/>
      <c r="C1239" s="99"/>
      <c r="D1239" s="99"/>
      <c r="E1239" s="99"/>
      <c r="F1239" s="99"/>
      <c r="G1239" s="19"/>
      <c r="H1239" s="99"/>
    </row>
    <row r="1240" spans="1:8">
      <c r="A1240" s="99"/>
      <c r="B1240" s="99"/>
      <c r="C1240" s="99"/>
      <c r="D1240" s="99"/>
      <c r="E1240" s="99"/>
      <c r="F1240" s="99"/>
      <c r="G1240" s="19"/>
      <c r="H1240" s="99"/>
    </row>
    <row r="1241" spans="1:8">
      <c r="A1241" s="99"/>
      <c r="B1241" s="99"/>
      <c r="C1241" s="99"/>
      <c r="D1241" s="99"/>
      <c r="E1241" s="99"/>
      <c r="F1241" s="99"/>
      <c r="G1241" s="19"/>
      <c r="H1241" s="99"/>
    </row>
    <row r="1242" spans="1:8">
      <c r="A1242" s="99"/>
      <c r="B1242" s="99"/>
      <c r="C1242" s="99"/>
      <c r="D1242" s="99"/>
      <c r="E1242" s="99"/>
      <c r="F1242" s="99"/>
      <c r="G1242" s="19"/>
      <c r="H1242" s="99"/>
    </row>
    <row r="1243" spans="1:8">
      <c r="A1243" s="99"/>
      <c r="B1243" s="99"/>
      <c r="C1243" s="99"/>
      <c r="D1243" s="99"/>
      <c r="E1243" s="99"/>
      <c r="F1243" s="99"/>
      <c r="G1243" s="19"/>
      <c r="H1243" s="99"/>
    </row>
    <row r="1244" spans="1:8">
      <c r="A1244" s="99"/>
      <c r="B1244" s="99"/>
      <c r="C1244" s="99"/>
      <c r="D1244" s="99"/>
      <c r="E1244" s="99"/>
      <c r="F1244" s="99"/>
      <c r="G1244" s="19"/>
      <c r="H1244" s="99"/>
    </row>
    <row r="1245" spans="1:8">
      <c r="A1245" s="99"/>
      <c r="B1245" s="99"/>
      <c r="C1245" s="99"/>
      <c r="D1245" s="99"/>
      <c r="E1245" s="99"/>
      <c r="F1245" s="99"/>
      <c r="G1245" s="19"/>
      <c r="H1245" s="99"/>
    </row>
    <row r="1246" spans="1:8">
      <c r="A1246" s="99"/>
      <c r="B1246" s="99"/>
      <c r="C1246" s="99"/>
      <c r="D1246" s="99"/>
      <c r="E1246" s="99"/>
      <c r="F1246" s="99"/>
      <c r="G1246" s="19"/>
      <c r="H1246" s="99"/>
    </row>
    <row r="1247" spans="1:8">
      <c r="A1247" s="99"/>
      <c r="B1247" s="99"/>
      <c r="C1247" s="99"/>
      <c r="D1247" s="99"/>
      <c r="E1247" s="99"/>
      <c r="F1247" s="99"/>
      <c r="G1247" s="19"/>
      <c r="H1247" s="99"/>
    </row>
    <row r="1248" spans="1:8">
      <c r="A1248" s="99"/>
      <c r="B1248" s="99"/>
      <c r="C1248" s="99"/>
      <c r="D1248" s="99"/>
      <c r="E1248" s="99"/>
      <c r="F1248" s="99"/>
      <c r="G1248" s="19"/>
      <c r="H1248" s="99"/>
    </row>
    <row r="1249" spans="1:8">
      <c r="A1249" s="99"/>
      <c r="B1249" s="99"/>
      <c r="C1249" s="99"/>
      <c r="D1249" s="99"/>
      <c r="E1249" s="99"/>
      <c r="F1249" s="99"/>
      <c r="G1249" s="19"/>
      <c r="H1249" s="99"/>
    </row>
    <row r="1250" spans="1:8">
      <c r="A1250" s="99"/>
      <c r="B1250" s="99"/>
      <c r="C1250" s="99"/>
      <c r="D1250" s="99"/>
      <c r="E1250" s="99"/>
      <c r="F1250" s="99"/>
      <c r="G1250" s="19"/>
      <c r="H1250" s="99"/>
    </row>
    <row r="1251" spans="1:8">
      <c r="A1251" s="99"/>
      <c r="B1251" s="99"/>
      <c r="C1251" s="99"/>
      <c r="D1251" s="99"/>
      <c r="E1251" s="99"/>
      <c r="F1251" s="99"/>
      <c r="G1251" s="19"/>
      <c r="H1251" s="99"/>
    </row>
    <row r="1252" spans="1:8">
      <c r="A1252" s="99"/>
      <c r="B1252" s="99"/>
      <c r="C1252" s="99"/>
      <c r="D1252" s="99"/>
      <c r="E1252" s="99"/>
      <c r="F1252" s="99"/>
      <c r="G1252" s="19"/>
      <c r="H1252" s="99"/>
    </row>
    <row r="1253" spans="1:8">
      <c r="A1253" s="99"/>
      <c r="B1253" s="99"/>
      <c r="C1253" s="99"/>
      <c r="D1253" s="99"/>
      <c r="E1253" s="99"/>
      <c r="F1253" s="99"/>
      <c r="G1253" s="19"/>
      <c r="H1253" s="99"/>
    </row>
    <row r="1254" spans="1:8">
      <c r="A1254" s="99"/>
      <c r="B1254" s="99"/>
      <c r="C1254" s="99"/>
      <c r="D1254" s="99"/>
      <c r="E1254" s="99"/>
      <c r="F1254" s="99"/>
      <c r="G1254" s="19"/>
      <c r="H1254" s="99"/>
    </row>
    <row r="1255" spans="1:8">
      <c r="A1255" s="99"/>
      <c r="B1255" s="99"/>
      <c r="C1255" s="99"/>
      <c r="D1255" s="99"/>
      <c r="E1255" s="99"/>
      <c r="F1255" s="99"/>
      <c r="G1255" s="19"/>
      <c r="H1255" s="99"/>
    </row>
    <row r="1256" spans="1:8">
      <c r="A1256" s="99"/>
      <c r="B1256" s="99"/>
      <c r="C1256" s="99"/>
      <c r="D1256" s="99"/>
      <c r="E1256" s="99"/>
      <c r="F1256" s="99"/>
      <c r="G1256" s="19"/>
      <c r="H1256" s="99"/>
    </row>
    <row r="1257" spans="1:8">
      <c r="A1257" s="99"/>
      <c r="B1257" s="99"/>
      <c r="C1257" s="99"/>
      <c r="D1257" s="99"/>
      <c r="E1257" s="99"/>
      <c r="F1257" s="99"/>
      <c r="G1257" s="19"/>
      <c r="H1257" s="99"/>
    </row>
    <row r="1258" spans="1:8">
      <c r="A1258" s="99"/>
      <c r="B1258" s="99"/>
      <c r="C1258" s="99"/>
      <c r="D1258" s="99"/>
      <c r="E1258" s="99"/>
      <c r="F1258" s="99"/>
      <c r="G1258" s="19"/>
      <c r="H1258" s="99"/>
    </row>
    <row r="1259" spans="1:8">
      <c r="A1259" s="99"/>
      <c r="B1259" s="99"/>
      <c r="C1259" s="99"/>
      <c r="D1259" s="99"/>
      <c r="E1259" s="99"/>
      <c r="F1259" s="99"/>
      <c r="G1259" s="19"/>
      <c r="H1259" s="99"/>
    </row>
    <row r="1260" spans="1:8">
      <c r="A1260" s="99"/>
      <c r="B1260" s="99"/>
      <c r="C1260" s="99"/>
      <c r="D1260" s="99"/>
      <c r="E1260" s="99"/>
      <c r="F1260" s="99"/>
      <c r="G1260" s="19"/>
      <c r="H1260" s="99"/>
    </row>
    <row r="1261" spans="1:8">
      <c r="A1261" s="99"/>
      <c r="B1261" s="99"/>
      <c r="C1261" s="99"/>
      <c r="D1261" s="99"/>
      <c r="E1261" s="99"/>
      <c r="F1261" s="99"/>
      <c r="G1261" s="19"/>
      <c r="H1261" s="99"/>
    </row>
    <row r="1262" spans="1:8">
      <c r="A1262" s="99"/>
      <c r="B1262" s="99"/>
      <c r="C1262" s="99"/>
      <c r="D1262" s="99"/>
      <c r="E1262" s="99"/>
      <c r="F1262" s="99"/>
      <c r="G1262" s="19"/>
      <c r="H1262" s="99"/>
    </row>
    <row r="1263" spans="1:8">
      <c r="A1263" s="99"/>
      <c r="B1263" s="99"/>
      <c r="C1263" s="99"/>
      <c r="D1263" s="99"/>
      <c r="E1263" s="99"/>
      <c r="F1263" s="99"/>
      <c r="G1263" s="19"/>
      <c r="H1263" s="99"/>
    </row>
    <row r="1264" spans="1:8">
      <c r="A1264" s="99"/>
      <c r="B1264" s="99"/>
      <c r="C1264" s="99"/>
      <c r="D1264" s="99"/>
      <c r="E1264" s="99"/>
      <c r="F1264" s="99"/>
      <c r="G1264" s="19"/>
      <c r="H1264" s="99"/>
    </row>
    <row r="1265" spans="1:8">
      <c r="A1265" s="99"/>
      <c r="B1265" s="99"/>
      <c r="C1265" s="99"/>
      <c r="D1265" s="99"/>
      <c r="E1265" s="99"/>
      <c r="F1265" s="99"/>
      <c r="G1265" s="19"/>
      <c r="H1265" s="99"/>
    </row>
    <row r="1266" spans="1:8">
      <c r="A1266" s="99"/>
      <c r="B1266" s="99"/>
      <c r="C1266" s="99"/>
      <c r="D1266" s="99"/>
      <c r="E1266" s="99"/>
      <c r="F1266" s="99"/>
      <c r="G1266" s="19"/>
      <c r="H1266" s="99"/>
    </row>
    <row r="1267" spans="1:8">
      <c r="A1267" s="99"/>
      <c r="B1267" s="99"/>
      <c r="C1267" s="99"/>
      <c r="D1267" s="99"/>
      <c r="E1267" s="99"/>
      <c r="F1267" s="99"/>
      <c r="G1267" s="19"/>
      <c r="H1267" s="99"/>
    </row>
    <row r="1268" spans="1:8">
      <c r="A1268" s="99"/>
      <c r="B1268" s="99"/>
      <c r="C1268" s="99"/>
      <c r="D1268" s="99"/>
      <c r="E1268" s="99"/>
      <c r="F1268" s="99"/>
      <c r="G1268" s="19"/>
      <c r="H1268" s="99"/>
    </row>
    <row r="1269" spans="1:8">
      <c r="A1269" s="99"/>
      <c r="B1269" s="99"/>
      <c r="C1269" s="99"/>
      <c r="D1269" s="99"/>
      <c r="E1269" s="99"/>
      <c r="F1269" s="99"/>
      <c r="G1269" s="19"/>
      <c r="H1269" s="99"/>
    </row>
    <row r="1270" spans="1:8">
      <c r="A1270" s="99"/>
      <c r="B1270" s="99"/>
      <c r="C1270" s="99"/>
      <c r="D1270" s="99"/>
      <c r="E1270" s="99"/>
      <c r="F1270" s="99"/>
      <c r="G1270" s="19"/>
      <c r="H1270" s="99"/>
    </row>
    <row r="1271" spans="1:8">
      <c r="A1271" s="99"/>
      <c r="B1271" s="99"/>
      <c r="C1271" s="99"/>
      <c r="D1271" s="99"/>
      <c r="E1271" s="99"/>
      <c r="F1271" s="99"/>
      <c r="G1271" s="19"/>
      <c r="H1271" s="99"/>
    </row>
    <row r="1272" spans="1:8">
      <c r="A1272" s="99"/>
      <c r="B1272" s="99"/>
      <c r="C1272" s="99"/>
      <c r="D1272" s="99"/>
      <c r="E1272" s="99"/>
      <c r="F1272" s="99"/>
      <c r="G1272" s="19"/>
      <c r="H1272" s="99"/>
    </row>
    <row r="1273" spans="1:8">
      <c r="A1273" s="99"/>
      <c r="B1273" s="99"/>
      <c r="C1273" s="99"/>
      <c r="D1273" s="99"/>
      <c r="E1273" s="99"/>
      <c r="F1273" s="99"/>
      <c r="G1273" s="19"/>
      <c r="H1273" s="99"/>
    </row>
    <row r="1274" spans="1:8">
      <c r="A1274" s="99"/>
      <c r="B1274" s="99"/>
      <c r="C1274" s="99"/>
      <c r="D1274" s="99"/>
      <c r="E1274" s="99"/>
      <c r="F1274" s="99"/>
      <c r="G1274" s="19"/>
      <c r="H1274" s="99"/>
    </row>
    <row r="1275" spans="1:8">
      <c r="A1275" s="99"/>
      <c r="B1275" s="99"/>
      <c r="C1275" s="99"/>
      <c r="D1275" s="99"/>
      <c r="E1275" s="99"/>
      <c r="F1275" s="99"/>
      <c r="G1275" s="19"/>
      <c r="H1275" s="99"/>
    </row>
    <row r="1276" spans="1:8">
      <c r="A1276" s="99"/>
      <c r="B1276" s="99"/>
      <c r="C1276" s="99"/>
      <c r="D1276" s="99"/>
      <c r="E1276" s="99"/>
      <c r="F1276" s="99"/>
      <c r="G1276" s="19"/>
      <c r="H1276" s="99"/>
    </row>
    <row r="1277" spans="1:8">
      <c r="A1277" s="99"/>
      <c r="B1277" s="99"/>
      <c r="C1277" s="99"/>
      <c r="D1277" s="99"/>
      <c r="E1277" s="99"/>
      <c r="F1277" s="99"/>
      <c r="G1277" s="19"/>
      <c r="H1277" s="99"/>
    </row>
    <row r="1278" spans="1:8">
      <c r="A1278" s="99"/>
      <c r="B1278" s="99"/>
      <c r="C1278" s="99"/>
      <c r="D1278" s="99"/>
      <c r="E1278" s="99"/>
      <c r="F1278" s="99"/>
      <c r="G1278" s="19"/>
      <c r="H1278" s="99"/>
    </row>
    <row r="1279" spans="1:8">
      <c r="A1279" s="99"/>
      <c r="B1279" s="99"/>
      <c r="C1279" s="99"/>
      <c r="D1279" s="99"/>
      <c r="E1279" s="99"/>
      <c r="F1279" s="99"/>
      <c r="G1279" s="19"/>
      <c r="H1279" s="99"/>
    </row>
    <row r="1280" spans="1:8">
      <c r="A1280" s="99"/>
      <c r="B1280" s="99"/>
      <c r="C1280" s="99"/>
      <c r="D1280" s="99"/>
      <c r="E1280" s="99"/>
      <c r="F1280" s="99"/>
      <c r="G1280" s="19"/>
      <c r="H1280" s="99"/>
    </row>
    <row r="1281" spans="1:8">
      <c r="A1281" s="99"/>
      <c r="B1281" s="99"/>
      <c r="C1281" s="99"/>
      <c r="D1281" s="99"/>
      <c r="E1281" s="99"/>
      <c r="F1281" s="99"/>
      <c r="G1281" s="19"/>
      <c r="H1281" s="99"/>
    </row>
    <row r="1282" spans="1:8">
      <c r="A1282" s="99"/>
      <c r="B1282" s="99"/>
      <c r="C1282" s="99"/>
      <c r="D1282" s="99"/>
      <c r="E1282" s="99"/>
      <c r="F1282" s="99"/>
      <c r="G1282" s="99"/>
      <c r="H1282" s="99"/>
    </row>
    <row r="1283" spans="1:8">
      <c r="A1283" s="99"/>
      <c r="B1283" s="99"/>
      <c r="C1283" s="99"/>
      <c r="D1283" s="99"/>
      <c r="E1283" s="99"/>
      <c r="F1283" s="99"/>
      <c r="G1283" s="99"/>
      <c r="H1283" s="99"/>
    </row>
    <row r="1284" spans="1:8">
      <c r="A1284" s="99"/>
      <c r="B1284" s="99"/>
      <c r="C1284" s="99"/>
      <c r="D1284" s="99"/>
      <c r="E1284" s="99"/>
      <c r="F1284" s="99"/>
      <c r="G1284" s="99"/>
      <c r="H1284" s="99"/>
    </row>
    <row r="1285" spans="1:8">
      <c r="A1285" s="99"/>
      <c r="B1285" s="99"/>
      <c r="C1285" s="99"/>
      <c r="D1285" s="99"/>
      <c r="E1285" s="99"/>
      <c r="F1285" s="99"/>
      <c r="G1285" s="99"/>
      <c r="H1285" s="99"/>
    </row>
    <row r="1286" spans="1:8"/>
    <row r="1287" spans="1:8"/>
  </sheetData>
  <sheetProtection algorithmName="SHA-512" hashValue="hkyo7d84v787L9Bez8vURqf5Rvgr1QMIT1NKkslUbgYF+q0gdysSX1j9zGsBPQZ/uXUXujfszxsC68rXmLMT4w==" saltValue="4ZTRjigEtf4+tFFX8jIcVw==" spinCount="100000" sheet="1" objects="1" scenarios="1" sort="0" autoFilter="0"/>
  <autoFilter ref="B14:P102" xr:uid="{00000000-0009-0000-0000-000002000000}"/>
  <mergeCells count="9">
    <mergeCell ref="B1:E1"/>
    <mergeCell ref="B2:F2"/>
    <mergeCell ref="B10:H10"/>
    <mergeCell ref="J8:P8"/>
    <mergeCell ref="J9:P9"/>
    <mergeCell ref="J10:P10"/>
    <mergeCell ref="B8:H8"/>
    <mergeCell ref="B9:H9"/>
    <mergeCell ref="B3:H4"/>
  </mergeCells>
  <conditionalFormatting sqref="P214">
    <cfRule type="cellIs" dxfId="242" priority="1" operator="greaterThan">
      <formula>30</formula>
    </cfRule>
  </conditionalFormatting>
  <conditionalFormatting sqref="H15:H16">
    <cfRule type="cellIs" dxfId="241" priority="8" operator="greaterThan">
      <formula>36</formula>
    </cfRule>
  </conditionalFormatting>
  <conditionalFormatting sqref="P15:P16">
    <cfRule type="cellIs" dxfId="240" priority="7" operator="greaterThan">
      <formula>30</formula>
    </cfRule>
  </conditionalFormatting>
  <conditionalFormatting sqref="H17:H101 H215">
    <cfRule type="cellIs" dxfId="239" priority="6" operator="greaterThan">
      <formula>36</formula>
    </cfRule>
  </conditionalFormatting>
  <conditionalFormatting sqref="P17:P22">
    <cfRule type="cellIs" dxfId="238" priority="5" operator="greaterThan">
      <formula>30</formula>
    </cfRule>
  </conditionalFormatting>
  <conditionalFormatting sqref="P23:P200">
    <cfRule type="cellIs" dxfId="237" priority="4" operator="greaterThan">
      <formula>30</formula>
    </cfRule>
  </conditionalFormatting>
  <conditionalFormatting sqref="H102:H214">
    <cfRule type="cellIs" dxfId="236" priority="3" operator="greaterThan">
      <formula>36</formula>
    </cfRule>
  </conditionalFormatting>
  <conditionalFormatting sqref="P201:P213">
    <cfRule type="cellIs" dxfId="235" priority="2" operator="greaterThan">
      <formula>30</formula>
    </cfRule>
  </conditionalFormatting>
  <hyperlinks>
    <hyperlink ref="B6" location="'Review &amp; Instructions '!B25" display="Instructions" xr:uid="{00000000-0004-0000-0200-000000000000}"/>
  </hyperlinks>
  <pageMargins left="0.5" right="0.5" top="0.5" bottom="0.5" header="0.25" footer="0.25"/>
  <pageSetup paperSize="5" scale="66" orientation="landscape" r:id="rId1"/>
  <headerFooter>
    <oddHeader>&amp;F</oddHeader>
    <oddFooter>&amp;L&amp;A&amp;CPage &amp;P of &amp;N</oddFooter>
  </headerFooter>
  <rowBreaks count="1" manualBreakCount="1">
    <brk id="50" max="16383" man="1"/>
  </rowBreaks>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3512"/>
  <sheetViews>
    <sheetView zoomScale="80" zoomScaleNormal="80" workbookViewId="0">
      <pane ySplit="1" topLeftCell="A3497" activePane="bottomLeft" state="frozen"/>
      <selection pane="bottomLeft" activeCell="A3511" sqref="A3511"/>
    </sheetView>
  </sheetViews>
  <sheetFormatPr defaultColWidth="9.140625" defaultRowHeight="14.1"/>
  <cols>
    <col min="1" max="1" width="26" style="596" bestFit="1" customWidth="1"/>
    <col min="2" max="2" width="18" style="602" bestFit="1" customWidth="1"/>
    <col min="3" max="3" width="32.42578125" style="597" bestFit="1" customWidth="1"/>
    <col min="4" max="4" width="8.42578125" style="597" bestFit="1" customWidth="1"/>
    <col min="5" max="5" width="19.42578125" style="597" bestFit="1" customWidth="1"/>
    <col min="6" max="6" width="37.7109375" style="597" bestFit="1" customWidth="1"/>
    <col min="7" max="7" width="13.85546875" style="597" bestFit="1" customWidth="1"/>
    <col min="8" max="8" width="6.85546875" style="597" bestFit="1" customWidth="1"/>
    <col min="9" max="10" width="15.85546875" style="597" customWidth="1"/>
    <col min="11" max="12" width="15.85546875" style="598" customWidth="1"/>
    <col min="13" max="13" width="10.28515625" style="598" customWidth="1"/>
    <col min="14" max="14" width="19.140625" style="598" customWidth="1"/>
    <col min="15" max="15" width="15.42578125" style="598" customWidth="1"/>
    <col min="16" max="16" width="12.42578125" style="598" customWidth="1"/>
    <col min="17" max="17" width="19.28515625" style="598" customWidth="1"/>
    <col min="18" max="18" width="25.85546875" style="598" bestFit="1" customWidth="1"/>
    <col min="19" max="19" width="18" style="599" bestFit="1" customWidth="1"/>
    <col min="20" max="20" width="10.85546875" style="663" bestFit="1" customWidth="1"/>
    <col min="21" max="21" width="11.28515625" style="598" customWidth="1"/>
    <col min="22" max="22" width="7.85546875" style="598" customWidth="1"/>
    <col min="23" max="23" width="15.42578125" style="600" customWidth="1"/>
    <col min="24" max="24" width="8.42578125" style="600" bestFit="1" customWidth="1"/>
    <col min="25" max="25" width="10" style="598" bestFit="1" customWidth="1"/>
    <col min="26" max="26" width="12.42578125" style="572" bestFit="1" customWidth="1"/>
    <col min="27" max="27" width="10.28515625" style="601" bestFit="1" customWidth="1"/>
    <col min="28" max="28" width="12.42578125" style="601" bestFit="1" customWidth="1"/>
    <col min="29" max="29" width="12.7109375" style="601" bestFit="1" customWidth="1"/>
    <col min="30" max="30" width="11.42578125" style="602" bestFit="1" customWidth="1"/>
    <col min="31" max="31" width="12.140625" style="602" bestFit="1" customWidth="1"/>
    <col min="32" max="32" width="25.85546875" style="602" bestFit="1" customWidth="1"/>
    <col min="33" max="34" width="11.7109375" style="602" bestFit="1" customWidth="1"/>
    <col min="35" max="35" width="9.140625" style="602"/>
    <col min="36" max="38" width="26" style="602" customWidth="1"/>
    <col min="39" max="39" width="86.42578125" style="602" customWidth="1"/>
    <col min="40" max="40" width="26" style="596" customWidth="1"/>
    <col min="41" max="16384" width="9.140625" style="602"/>
  </cols>
  <sheetData>
    <row r="1" spans="1:40" s="603" customFormat="1" ht="48">
      <c r="A1" s="190" t="s">
        <v>112</v>
      </c>
      <c r="B1" s="574" t="s">
        <v>113</v>
      </c>
      <c r="C1" s="574" t="s">
        <v>114</v>
      </c>
      <c r="D1" s="574" t="s">
        <v>115</v>
      </c>
      <c r="E1" s="574" t="s">
        <v>116</v>
      </c>
      <c r="F1" s="574" t="s">
        <v>117</v>
      </c>
      <c r="G1" s="574" t="s">
        <v>118</v>
      </c>
      <c r="H1" s="574" t="s">
        <v>119</v>
      </c>
      <c r="I1" s="574" t="s">
        <v>107</v>
      </c>
      <c r="J1" s="574" t="s">
        <v>108</v>
      </c>
      <c r="K1" s="574" t="s">
        <v>109</v>
      </c>
      <c r="L1" s="574" t="s">
        <v>120</v>
      </c>
      <c r="M1" s="574" t="s">
        <v>121</v>
      </c>
      <c r="N1" s="574" t="s">
        <v>122</v>
      </c>
      <c r="O1" s="574" t="s">
        <v>123</v>
      </c>
      <c r="P1" s="574" t="s">
        <v>124</v>
      </c>
      <c r="Q1" s="574" t="s">
        <v>125</v>
      </c>
      <c r="R1" s="574" t="s">
        <v>126</v>
      </c>
      <c r="S1" s="574" t="s">
        <v>127</v>
      </c>
      <c r="T1" s="574" t="s">
        <v>128</v>
      </c>
      <c r="U1" s="574" t="s">
        <v>129</v>
      </c>
      <c r="V1" s="574" t="s">
        <v>130</v>
      </c>
      <c r="W1" s="574" t="s">
        <v>131</v>
      </c>
      <c r="X1" s="191" t="s">
        <v>132</v>
      </c>
      <c r="Y1" s="508" t="s">
        <v>111</v>
      </c>
      <c r="Z1" s="574" t="s">
        <v>133</v>
      </c>
      <c r="AA1" s="574" t="s">
        <v>134</v>
      </c>
      <c r="AB1" s="575" t="s">
        <v>135</v>
      </c>
      <c r="AC1" s="575" t="s">
        <v>136</v>
      </c>
      <c r="AD1" s="575" t="s">
        <v>137</v>
      </c>
      <c r="AE1" s="574" t="s">
        <v>138</v>
      </c>
      <c r="AF1" s="657" t="s">
        <v>139</v>
      </c>
      <c r="AG1" s="658" t="s">
        <v>140</v>
      </c>
      <c r="AH1" s="658" t="s">
        <v>141</v>
      </c>
      <c r="AI1" s="658" t="s">
        <v>116</v>
      </c>
      <c r="AJ1" s="659" t="s">
        <v>142</v>
      </c>
      <c r="AK1" s="659" t="s">
        <v>143</v>
      </c>
      <c r="AL1" s="659" t="s">
        <v>144</v>
      </c>
      <c r="AM1" s="659" t="s">
        <v>145</v>
      </c>
      <c r="AN1" s="190" t="s">
        <v>146</v>
      </c>
    </row>
    <row r="2" spans="1:40" s="192" customFormat="1" ht="15.95" thickBot="1">
      <c r="A2" s="590"/>
      <c r="B2" s="590"/>
      <c r="C2" s="591"/>
      <c r="D2" s="591"/>
      <c r="E2" s="591"/>
      <c r="F2" s="591"/>
      <c r="G2" s="591"/>
      <c r="H2" s="591"/>
      <c r="I2" s="591"/>
      <c r="J2" s="591"/>
      <c r="K2" s="591"/>
      <c r="L2" s="591"/>
      <c r="M2" s="591"/>
      <c r="N2" s="591"/>
      <c r="O2" s="591"/>
      <c r="P2" s="591"/>
      <c r="Q2" s="591"/>
      <c r="R2" s="591"/>
      <c r="S2" s="591"/>
      <c r="T2" s="591"/>
      <c r="U2" s="591"/>
      <c r="V2" s="591"/>
      <c r="W2" s="591"/>
      <c r="X2" s="592"/>
      <c r="Y2" s="593"/>
      <c r="Z2" s="591"/>
      <c r="AA2" s="591"/>
      <c r="AB2" s="594"/>
      <c r="AC2" s="594"/>
      <c r="AD2" s="594"/>
      <c r="AE2" s="591"/>
      <c r="AF2" s="595" t="s">
        <v>147</v>
      </c>
      <c r="AG2" s="595"/>
      <c r="AH2" s="595"/>
      <c r="AI2" s="595"/>
      <c r="AJ2" s="660"/>
      <c r="AK2" s="660"/>
      <c r="AL2" s="660"/>
      <c r="AM2" s="660"/>
      <c r="AN2" s="612"/>
    </row>
    <row r="3" spans="1:40" s="572" customFormat="1" ht="15">
      <c r="A3" s="570" t="s">
        <v>148</v>
      </c>
      <c r="B3" s="573" t="s">
        <v>149</v>
      </c>
      <c r="C3" s="573" t="s">
        <v>150</v>
      </c>
      <c r="D3" s="578">
        <v>13</v>
      </c>
      <c r="E3" s="573" t="s">
        <v>151</v>
      </c>
      <c r="F3" s="573" t="s">
        <v>152</v>
      </c>
      <c r="G3" s="573" t="s">
        <v>153</v>
      </c>
      <c r="H3" s="573">
        <v>2019</v>
      </c>
      <c r="I3" s="573" t="s">
        <v>154</v>
      </c>
      <c r="J3" s="573" t="s">
        <v>155</v>
      </c>
      <c r="K3" s="573" t="s">
        <v>156</v>
      </c>
      <c r="L3" s="573">
        <v>5</v>
      </c>
      <c r="M3" s="573">
        <v>0</v>
      </c>
      <c r="N3" s="573" t="s">
        <v>157</v>
      </c>
      <c r="O3" s="573">
        <v>2</v>
      </c>
      <c r="P3" s="573" t="s">
        <v>157</v>
      </c>
      <c r="Q3" s="571" t="s">
        <v>157</v>
      </c>
      <c r="R3" s="573" t="s">
        <v>158</v>
      </c>
      <c r="S3" s="573" t="s">
        <v>159</v>
      </c>
      <c r="T3" s="573" t="s">
        <v>160</v>
      </c>
      <c r="U3" s="573" t="s">
        <v>161</v>
      </c>
      <c r="V3" s="573">
        <v>102.4</v>
      </c>
      <c r="W3" s="573" t="s">
        <v>162</v>
      </c>
      <c r="X3" s="571">
        <v>3563</v>
      </c>
      <c r="Y3" s="579">
        <v>119</v>
      </c>
      <c r="Z3" s="579" t="s">
        <v>163</v>
      </c>
      <c r="AA3" s="579" t="s">
        <v>163</v>
      </c>
      <c r="AB3" s="584">
        <v>37495</v>
      </c>
      <c r="AC3" s="584" t="s">
        <v>164</v>
      </c>
      <c r="AD3" s="584">
        <v>35731</v>
      </c>
      <c r="AE3" s="586">
        <v>0.03</v>
      </c>
      <c r="AF3" s="661" t="str">
        <f t="shared" ref="AF3:AF66" si="0">A3</f>
        <v>2019-PAS-CHV-BOLT-001-13</v>
      </c>
      <c r="AG3" s="661" t="str">
        <f>IF(AND($Y3&gt;=32,(AI3="I"),(Y3&lt;&gt;"~"),(COUNTIF($AN$1:$AN3,$AN3)=1)),"TRUE","FALSE")</f>
        <v>TRUE</v>
      </c>
      <c r="AH3" s="661" t="str">
        <f>IF(AND($Y3&gt;=22, (AI3&lt;&gt;"I"),(Y3&lt;&gt;"~"),(COUNTIF($AN$1:$AN3,$AN3)=1)),"TRUE","FALSE")</f>
        <v>FALSE</v>
      </c>
      <c r="AI3" s="661" t="str">
        <f>IF(OR((LEFT($E3,2)="01"),AND(LEFT($E3,2)="06",ISNUMBER(SEARCH("pas",$F3))),AND(LEFT($E3,2)="05",ISNUMBER(SEARCH("pas",$F3)))),"I",IF(AND((LEFT($E3,2)&lt;&gt;"01"),$X3&lt;=10000),"II",IF(AND((LEFT($E3,2)&lt;&gt;"01"),$X3&gt;10000),"N/A")))</f>
        <v>I</v>
      </c>
      <c r="AJ3" s="662" t="str">
        <f t="shared" ref="AJ3:AJ66" si="1">MID(A3,14,8)</f>
        <v>BOLT-001</v>
      </c>
      <c r="AK3" s="662" t="str">
        <f t="shared" ref="AK3:AK66" si="2">MID(A3,6,3)</f>
        <v>PAS</v>
      </c>
      <c r="AL3" s="662" t="str">
        <f t="shared" ref="AL3:AL66" si="3">MID(A3,10,3)</f>
        <v>CHV</v>
      </c>
      <c r="AM3" s="662" t="str">
        <f t="shared" ref="AM3:AM66" si="4">CONCATENATE(I3,"-",J3,"-",K3,"-",L3,"-",P3,"-",Q3,"-",R3,"-",S3,"-",T3,"-",U3,"-",V3,"-",W3,"-",Z3,"-",AA3)</f>
        <v>Bolt EV-LT-FWD-5-~-~-200hp Electric-60 kWh Battery-1FB48-2LT-102.4-238 mi range-Electric-Electric</v>
      </c>
      <c r="AN3" s="662" t="str">
        <f t="shared" ref="AN3:AN66" si="5">LEFT(A3,21)</f>
        <v>2019-PAS-CHV-BOLT-001</v>
      </c>
    </row>
    <row r="4" spans="1:40" s="572" customFormat="1" ht="15">
      <c r="A4" s="570" t="s">
        <v>165</v>
      </c>
      <c r="B4" s="569" t="s">
        <v>149</v>
      </c>
      <c r="C4" s="569" t="s">
        <v>166</v>
      </c>
      <c r="D4" s="580">
        <v>17</v>
      </c>
      <c r="E4" s="569" t="s">
        <v>151</v>
      </c>
      <c r="F4" s="569" t="s">
        <v>152</v>
      </c>
      <c r="G4" s="569" t="s">
        <v>153</v>
      </c>
      <c r="H4" s="569">
        <v>2019</v>
      </c>
      <c r="I4" s="569" t="s">
        <v>154</v>
      </c>
      <c r="J4" s="569" t="s">
        <v>155</v>
      </c>
      <c r="K4" s="569" t="s">
        <v>156</v>
      </c>
      <c r="L4" s="569">
        <v>5</v>
      </c>
      <c r="M4" s="569">
        <v>0</v>
      </c>
      <c r="N4" s="569" t="s">
        <v>157</v>
      </c>
      <c r="O4" s="569">
        <v>2</v>
      </c>
      <c r="P4" s="569" t="s">
        <v>157</v>
      </c>
      <c r="Q4" s="568" t="s">
        <v>157</v>
      </c>
      <c r="R4" s="569" t="s">
        <v>158</v>
      </c>
      <c r="S4" s="569" t="s">
        <v>159</v>
      </c>
      <c r="T4" s="569" t="s">
        <v>160</v>
      </c>
      <c r="U4" s="569" t="s">
        <v>161</v>
      </c>
      <c r="V4" s="569">
        <v>102.4</v>
      </c>
      <c r="W4" s="569" t="s">
        <v>162</v>
      </c>
      <c r="X4" s="568">
        <v>3563</v>
      </c>
      <c r="Y4" s="581">
        <v>119</v>
      </c>
      <c r="Z4" s="581" t="s">
        <v>163</v>
      </c>
      <c r="AA4" s="581" t="s">
        <v>163</v>
      </c>
      <c r="AB4" s="585">
        <v>37495</v>
      </c>
      <c r="AC4" s="585" t="s">
        <v>164</v>
      </c>
      <c r="AD4" s="585">
        <v>34883.43</v>
      </c>
      <c r="AE4" s="587">
        <v>7.1999999999999995E-2</v>
      </c>
      <c r="AF4" s="661" t="str">
        <f t="shared" si="0"/>
        <v>2019-PAS-CHV-BOLT-001-17</v>
      </c>
      <c r="AG4" s="661" t="str">
        <f>IF(AND($Y4&gt;=32,(AI4="I"),(Y4&lt;&gt;"~"),(COUNTIF($AN$1:$AN4,$AN4)=1)),"TRUE","FALSE")</f>
        <v>FALSE</v>
      </c>
      <c r="AH4" s="661" t="str">
        <f>IF(AND($Y4&gt;=22, (AI4&lt;&gt;"I"),(Y4&lt;&gt;"~"),(COUNTIF($AN$1:$AN4,$AN4)=1)),"TRUE","FALSE")</f>
        <v>FALSE</v>
      </c>
      <c r="AI4" s="661" t="str">
        <f t="shared" ref="AI4:AI67" si="6">IF(OR((LEFT($E4,2)="01"),AND(LEFT($E4,2)="06",ISNUMBER(SEARCH("pas",$F4))),AND(LEFT($E4,2)="05",ISNUMBER(SEARCH("pas",$F4)))),"I",IF(AND((LEFT($E4,2)&lt;&gt;"01"),$X4&lt;=10000),"II",IF(AND((LEFT($E4,2)&lt;&gt;"01"),$X4&gt;10000),"N/A")))</f>
        <v>I</v>
      </c>
      <c r="AJ4" s="662" t="str">
        <f t="shared" si="1"/>
        <v>BOLT-001</v>
      </c>
      <c r="AK4" s="662" t="str">
        <f t="shared" si="2"/>
        <v>PAS</v>
      </c>
      <c r="AL4" s="662" t="str">
        <f t="shared" si="3"/>
        <v>CHV</v>
      </c>
      <c r="AM4" s="662" t="str">
        <f t="shared" si="4"/>
        <v>Bolt EV-LT-FWD-5-~-~-200hp Electric-60 kWh Battery-1FB48-2LT-102.4-238 mi range-Electric-Electric</v>
      </c>
      <c r="AN4" s="662" t="str">
        <f t="shared" si="5"/>
        <v>2019-PAS-CHV-BOLT-001</v>
      </c>
    </row>
    <row r="5" spans="1:40" s="572" customFormat="1" ht="30">
      <c r="A5" s="570" t="s">
        <v>167</v>
      </c>
      <c r="B5" s="573" t="s">
        <v>168</v>
      </c>
      <c r="C5" s="573" t="s">
        <v>169</v>
      </c>
      <c r="D5" s="578">
        <v>11</v>
      </c>
      <c r="E5" s="573" t="s">
        <v>151</v>
      </c>
      <c r="F5" s="573" t="s">
        <v>152</v>
      </c>
      <c r="G5" s="573" t="s">
        <v>153</v>
      </c>
      <c r="H5" s="573">
        <v>2019</v>
      </c>
      <c r="I5" s="573" t="s">
        <v>154</v>
      </c>
      <c r="J5" s="573" t="s">
        <v>170</v>
      </c>
      <c r="K5" s="573" t="s">
        <v>156</v>
      </c>
      <c r="L5" s="573">
        <v>5</v>
      </c>
      <c r="M5" s="573">
        <v>0</v>
      </c>
      <c r="N5" s="573" t="s">
        <v>157</v>
      </c>
      <c r="O5" s="573">
        <v>2</v>
      </c>
      <c r="P5" s="573" t="s">
        <v>157</v>
      </c>
      <c r="Q5" s="571" t="s">
        <v>157</v>
      </c>
      <c r="R5" s="573" t="s">
        <v>158</v>
      </c>
      <c r="S5" s="573" t="s">
        <v>159</v>
      </c>
      <c r="T5" s="573" t="s">
        <v>160</v>
      </c>
      <c r="U5" s="573" t="s">
        <v>161</v>
      </c>
      <c r="V5" s="573">
        <v>102.4</v>
      </c>
      <c r="W5" s="573" t="s">
        <v>162</v>
      </c>
      <c r="X5" s="571">
        <v>3563</v>
      </c>
      <c r="Y5" s="579">
        <v>119</v>
      </c>
      <c r="Z5" s="579" t="s">
        <v>163</v>
      </c>
      <c r="AA5" s="579" t="s">
        <v>163</v>
      </c>
      <c r="AB5" s="584">
        <v>38245</v>
      </c>
      <c r="AC5" s="584" t="s">
        <v>164</v>
      </c>
      <c r="AD5" s="584">
        <v>34336.291666666664</v>
      </c>
      <c r="AE5" s="586">
        <v>0.05</v>
      </c>
      <c r="AF5" s="661" t="str">
        <f t="shared" si="0"/>
        <v>2019-PAS-CHV-BOLT-002-11</v>
      </c>
      <c r="AG5" s="661" t="str">
        <f>IF(AND($Y5&gt;=32,(AI5="I"),(Y5&lt;&gt;"~"),(COUNTIF($AN$1:$AN5,$AN5)=1)),"TRUE","FALSE")</f>
        <v>TRUE</v>
      </c>
      <c r="AH5" s="661" t="str">
        <f>IF(AND($Y5&gt;=22, (AI5&lt;&gt;"I"),(Y5&lt;&gt;"~"),(COUNTIF($AN$1:$AN5,$AN5)=1)),"TRUE","FALSE")</f>
        <v>FALSE</v>
      </c>
      <c r="AI5" s="661" t="str">
        <f t="shared" si="6"/>
        <v>I</v>
      </c>
      <c r="AJ5" s="662" t="str">
        <f t="shared" si="1"/>
        <v>BOLT-002</v>
      </c>
      <c r="AK5" s="662" t="str">
        <f t="shared" si="2"/>
        <v>PAS</v>
      </c>
      <c r="AL5" s="662" t="str">
        <f t="shared" si="3"/>
        <v>CHV</v>
      </c>
      <c r="AM5" s="662" t="str">
        <f t="shared" si="4"/>
        <v>Bolt EV-LT - W/Fast Charge Option-FWD-5-~-~-200hp Electric-60 kWh Battery-1FB48-2LT-102.4-238 mi range-Electric-Electric</v>
      </c>
      <c r="AN5" s="662" t="str">
        <f t="shared" si="5"/>
        <v>2019-PAS-CHV-BOLT-002</v>
      </c>
    </row>
    <row r="6" spans="1:40" s="572" customFormat="1" ht="30">
      <c r="A6" s="570" t="s">
        <v>167</v>
      </c>
      <c r="B6" s="569" t="s">
        <v>168</v>
      </c>
      <c r="C6" s="569" t="s">
        <v>169</v>
      </c>
      <c r="D6" s="580">
        <v>11</v>
      </c>
      <c r="E6" s="569" t="s">
        <v>151</v>
      </c>
      <c r="F6" s="569" t="s">
        <v>152</v>
      </c>
      <c r="G6" s="569" t="s">
        <v>153</v>
      </c>
      <c r="H6" s="569">
        <v>2019</v>
      </c>
      <c r="I6" s="569" t="s">
        <v>154</v>
      </c>
      <c r="J6" s="569" t="s">
        <v>170</v>
      </c>
      <c r="K6" s="569" t="s">
        <v>156</v>
      </c>
      <c r="L6" s="569">
        <v>5</v>
      </c>
      <c r="M6" s="569">
        <v>0</v>
      </c>
      <c r="N6" s="569" t="s">
        <v>157</v>
      </c>
      <c r="O6" s="569">
        <v>2</v>
      </c>
      <c r="P6" s="569" t="s">
        <v>157</v>
      </c>
      <c r="Q6" s="568" t="s">
        <v>157</v>
      </c>
      <c r="R6" s="569" t="s">
        <v>158</v>
      </c>
      <c r="S6" s="569" t="s">
        <v>159</v>
      </c>
      <c r="T6" s="569" t="s">
        <v>160</v>
      </c>
      <c r="U6" s="569" t="s">
        <v>161</v>
      </c>
      <c r="V6" s="569">
        <v>102.4</v>
      </c>
      <c r="W6" s="569" t="s">
        <v>162</v>
      </c>
      <c r="X6" s="568">
        <v>3563</v>
      </c>
      <c r="Y6" s="581">
        <v>119</v>
      </c>
      <c r="Z6" s="581" t="s">
        <v>163</v>
      </c>
      <c r="AA6" s="581" t="s">
        <v>163</v>
      </c>
      <c r="AB6" s="585">
        <v>38245</v>
      </c>
      <c r="AC6" s="585" t="s">
        <v>164</v>
      </c>
      <c r="AD6" s="585">
        <v>34336.291666666664</v>
      </c>
      <c r="AE6" s="587">
        <v>0.05</v>
      </c>
      <c r="AF6" s="661" t="str">
        <f t="shared" si="0"/>
        <v>2019-PAS-CHV-BOLT-002-11</v>
      </c>
      <c r="AG6" s="661" t="str">
        <f>IF(AND($Y6&gt;=32,(AI6="I"),(Y6&lt;&gt;"~"),(COUNTIF($AN$1:$AN6,$AN6)=1)),"TRUE","FALSE")</f>
        <v>FALSE</v>
      </c>
      <c r="AH6" s="661" t="str">
        <f>IF(AND($Y6&gt;=22, (AI6&lt;&gt;"I"),(Y6&lt;&gt;"~"),(COUNTIF($AN$1:$AN6,$AN6)=1)),"TRUE","FALSE")</f>
        <v>FALSE</v>
      </c>
      <c r="AI6" s="661" t="str">
        <f t="shared" si="6"/>
        <v>I</v>
      </c>
      <c r="AJ6" s="662" t="str">
        <f t="shared" si="1"/>
        <v>BOLT-002</v>
      </c>
      <c r="AK6" s="662" t="str">
        <f t="shared" si="2"/>
        <v>PAS</v>
      </c>
      <c r="AL6" s="662" t="str">
        <f t="shared" si="3"/>
        <v>CHV</v>
      </c>
      <c r="AM6" s="662" t="str">
        <f t="shared" si="4"/>
        <v>Bolt EV-LT - W/Fast Charge Option-FWD-5-~-~-200hp Electric-60 kWh Battery-1FB48-2LT-102.4-238 mi range-Electric-Electric</v>
      </c>
      <c r="AN6" s="662" t="str">
        <f t="shared" si="5"/>
        <v>2019-PAS-CHV-BOLT-002</v>
      </c>
    </row>
    <row r="7" spans="1:40" s="572" customFormat="1" ht="15">
      <c r="A7" s="570" t="s">
        <v>171</v>
      </c>
      <c r="B7" s="573" t="s">
        <v>172</v>
      </c>
      <c r="C7" s="573" t="s">
        <v>150</v>
      </c>
      <c r="D7" s="578">
        <v>13</v>
      </c>
      <c r="E7" s="573" t="s">
        <v>151</v>
      </c>
      <c r="F7" s="573" t="s">
        <v>152</v>
      </c>
      <c r="G7" s="573" t="s">
        <v>153</v>
      </c>
      <c r="H7" s="573">
        <v>2019</v>
      </c>
      <c r="I7" s="573" t="s">
        <v>173</v>
      </c>
      <c r="J7" s="573" t="s">
        <v>174</v>
      </c>
      <c r="K7" s="573" t="s">
        <v>156</v>
      </c>
      <c r="L7" s="573">
        <v>5</v>
      </c>
      <c r="M7" s="573">
        <v>0</v>
      </c>
      <c r="N7" s="573" t="s">
        <v>157</v>
      </c>
      <c r="O7" s="573">
        <v>2</v>
      </c>
      <c r="P7" s="573" t="s">
        <v>157</v>
      </c>
      <c r="Q7" s="571" t="s">
        <v>157</v>
      </c>
      <c r="R7" s="573" t="s">
        <v>175</v>
      </c>
      <c r="S7" s="573">
        <v>4</v>
      </c>
      <c r="T7" s="573" t="s">
        <v>176</v>
      </c>
      <c r="U7" s="573" t="s">
        <v>177</v>
      </c>
      <c r="V7" s="573">
        <v>106.3</v>
      </c>
      <c r="W7" s="573">
        <v>13.7</v>
      </c>
      <c r="X7" s="571">
        <v>3840</v>
      </c>
      <c r="Y7" s="579">
        <v>33</v>
      </c>
      <c r="Z7" s="579" t="s">
        <v>178</v>
      </c>
      <c r="AA7" s="579" t="s">
        <v>178</v>
      </c>
      <c r="AB7" s="584">
        <v>20400</v>
      </c>
      <c r="AC7" s="584" t="s">
        <v>164</v>
      </c>
      <c r="AD7" s="584">
        <v>17983</v>
      </c>
      <c r="AE7" s="586">
        <v>0.03</v>
      </c>
      <c r="AF7" s="661" t="str">
        <f t="shared" si="0"/>
        <v>2019-PAS-CHV-CRUZ-001-13</v>
      </c>
      <c r="AG7" s="661" t="str">
        <f>IF(AND($Y7&gt;=32,(AI7="I"),(Y7&lt;&gt;"~"),(COUNTIF($AN$1:$AN7,$AN7)=1)),"TRUE","FALSE")</f>
        <v>TRUE</v>
      </c>
      <c r="AH7" s="661" t="str">
        <f>IF(AND($Y7&gt;=22, (AI7&lt;&gt;"I"),(Y7&lt;&gt;"~"),(COUNTIF($AN$1:$AN7,$AN7)=1)),"TRUE","FALSE")</f>
        <v>FALSE</v>
      </c>
      <c r="AI7" s="661" t="str">
        <f t="shared" si="6"/>
        <v>I</v>
      </c>
      <c r="AJ7" s="662" t="str">
        <f t="shared" si="1"/>
        <v>CRUZ-001</v>
      </c>
      <c r="AK7" s="662" t="str">
        <f t="shared" si="2"/>
        <v>PAS</v>
      </c>
      <c r="AL7" s="662" t="str">
        <f t="shared" si="3"/>
        <v>CHV</v>
      </c>
      <c r="AM7" s="662" t="str">
        <f t="shared" si="4"/>
        <v>Cruze-LS-FWD-5-~-~-1.4L-4-1BR69-1SB-106.3-13.7-Unleaded-Unleaded</v>
      </c>
      <c r="AN7" s="662" t="str">
        <f t="shared" si="5"/>
        <v>2019-PAS-CHV-CRUZ-001</v>
      </c>
    </row>
    <row r="8" spans="1:40" s="572" customFormat="1" ht="15">
      <c r="A8" s="570" t="s">
        <v>179</v>
      </c>
      <c r="B8" s="569" t="s">
        <v>172</v>
      </c>
      <c r="C8" s="569" t="s">
        <v>166</v>
      </c>
      <c r="D8" s="580">
        <v>17</v>
      </c>
      <c r="E8" s="569" t="s">
        <v>151</v>
      </c>
      <c r="F8" s="569" t="s">
        <v>152</v>
      </c>
      <c r="G8" s="569" t="s">
        <v>153</v>
      </c>
      <c r="H8" s="569">
        <v>2019</v>
      </c>
      <c r="I8" s="569" t="s">
        <v>173</v>
      </c>
      <c r="J8" s="569" t="s">
        <v>174</v>
      </c>
      <c r="K8" s="569" t="s">
        <v>156</v>
      </c>
      <c r="L8" s="569">
        <v>5</v>
      </c>
      <c r="M8" s="569">
        <v>0</v>
      </c>
      <c r="N8" s="569" t="s">
        <v>157</v>
      </c>
      <c r="O8" s="569">
        <v>2</v>
      </c>
      <c r="P8" s="569" t="s">
        <v>157</v>
      </c>
      <c r="Q8" s="568" t="s">
        <v>157</v>
      </c>
      <c r="R8" s="569" t="s">
        <v>175</v>
      </c>
      <c r="S8" s="569">
        <v>4</v>
      </c>
      <c r="T8" s="569" t="s">
        <v>176</v>
      </c>
      <c r="U8" s="569" t="s">
        <v>177</v>
      </c>
      <c r="V8" s="569">
        <v>106.3</v>
      </c>
      <c r="W8" s="569">
        <v>13.7</v>
      </c>
      <c r="X8" s="568">
        <v>3840</v>
      </c>
      <c r="Y8" s="581">
        <v>33</v>
      </c>
      <c r="Z8" s="581" t="s">
        <v>178</v>
      </c>
      <c r="AA8" s="581" t="s">
        <v>178</v>
      </c>
      <c r="AB8" s="585">
        <v>19995</v>
      </c>
      <c r="AC8" s="585" t="s">
        <v>164</v>
      </c>
      <c r="AD8" s="585">
        <v>16855</v>
      </c>
      <c r="AE8" s="587">
        <v>7.1999999999999995E-2</v>
      </c>
      <c r="AF8" s="661" t="str">
        <f t="shared" si="0"/>
        <v>2019-PAS-CHV-CRUZ-001-17</v>
      </c>
      <c r="AG8" s="661" t="str">
        <f>IF(AND($Y8&gt;=32,(AI8="I"),(Y8&lt;&gt;"~"),(COUNTIF($AN$1:$AN8,$AN8)=1)),"TRUE","FALSE")</f>
        <v>FALSE</v>
      </c>
      <c r="AH8" s="661" t="str">
        <f>IF(AND($Y8&gt;=22, (AI8&lt;&gt;"I"),(Y8&lt;&gt;"~"),(COUNTIF($AN$1:$AN8,$AN8)=1)),"TRUE","FALSE")</f>
        <v>FALSE</v>
      </c>
      <c r="AI8" s="661" t="str">
        <f t="shared" si="6"/>
        <v>I</v>
      </c>
      <c r="AJ8" s="662" t="str">
        <f t="shared" si="1"/>
        <v>CRUZ-001</v>
      </c>
      <c r="AK8" s="662" t="str">
        <f t="shared" si="2"/>
        <v>PAS</v>
      </c>
      <c r="AL8" s="662" t="str">
        <f t="shared" si="3"/>
        <v>CHV</v>
      </c>
      <c r="AM8" s="662" t="str">
        <f t="shared" si="4"/>
        <v>Cruze-LS-FWD-5-~-~-1.4L-4-1BR69-1SB-106.3-13.7-Unleaded-Unleaded</v>
      </c>
      <c r="AN8" s="662" t="str">
        <f t="shared" si="5"/>
        <v>2019-PAS-CHV-CRUZ-001</v>
      </c>
    </row>
    <row r="9" spans="1:40" s="572" customFormat="1" ht="15">
      <c r="A9" s="570" t="s">
        <v>180</v>
      </c>
      <c r="B9" s="573" t="s">
        <v>181</v>
      </c>
      <c r="C9" s="573" t="s">
        <v>169</v>
      </c>
      <c r="D9" s="578">
        <v>11</v>
      </c>
      <c r="E9" s="573" t="s">
        <v>151</v>
      </c>
      <c r="F9" s="573" t="s">
        <v>152</v>
      </c>
      <c r="G9" s="573" t="s">
        <v>153</v>
      </c>
      <c r="H9" s="573">
        <v>2019</v>
      </c>
      <c r="I9" s="573" t="s">
        <v>173</v>
      </c>
      <c r="J9" s="573" t="s">
        <v>155</v>
      </c>
      <c r="K9" s="573" t="s">
        <v>156</v>
      </c>
      <c r="L9" s="573">
        <v>5</v>
      </c>
      <c r="M9" s="573">
        <v>0</v>
      </c>
      <c r="N9" s="573" t="s">
        <v>157</v>
      </c>
      <c r="O9" s="573">
        <v>2</v>
      </c>
      <c r="P9" s="573" t="s">
        <v>157</v>
      </c>
      <c r="Q9" s="571" t="s">
        <v>157</v>
      </c>
      <c r="R9" s="573" t="s">
        <v>175</v>
      </c>
      <c r="S9" s="573">
        <v>4</v>
      </c>
      <c r="T9" s="573" t="s">
        <v>182</v>
      </c>
      <c r="U9" s="573" t="s">
        <v>183</v>
      </c>
      <c r="V9" s="573">
        <v>106.3</v>
      </c>
      <c r="W9" s="573">
        <v>13.7</v>
      </c>
      <c r="X9" s="571">
        <v>3118</v>
      </c>
      <c r="Y9" s="579">
        <v>33</v>
      </c>
      <c r="Z9" s="579" t="s">
        <v>178</v>
      </c>
      <c r="AA9" s="579" t="s">
        <v>178</v>
      </c>
      <c r="AB9" s="584">
        <v>22595</v>
      </c>
      <c r="AC9" s="584" t="s">
        <v>164</v>
      </c>
      <c r="AD9" s="584">
        <v>20447.916666666668</v>
      </c>
      <c r="AE9" s="586">
        <v>0.05</v>
      </c>
      <c r="AF9" s="661" t="str">
        <f t="shared" si="0"/>
        <v>2019-PAS-CHV-CRUZ-002-11</v>
      </c>
      <c r="AG9" s="661" t="str">
        <f>IF(AND($Y9&gt;=32,(AI9="I"),(Y9&lt;&gt;"~"),(COUNTIF($AN$1:$AN9,$AN9)=1)),"TRUE","FALSE")</f>
        <v>TRUE</v>
      </c>
      <c r="AH9" s="661" t="str">
        <f>IF(AND($Y9&gt;=22, (AI9&lt;&gt;"I"),(Y9&lt;&gt;"~"),(COUNTIF($AN$1:$AN9,$AN9)=1)),"TRUE","FALSE")</f>
        <v>FALSE</v>
      </c>
      <c r="AI9" s="661" t="str">
        <f t="shared" si="6"/>
        <v>I</v>
      </c>
      <c r="AJ9" s="662" t="str">
        <f t="shared" si="1"/>
        <v>CRUZ-002</v>
      </c>
      <c r="AK9" s="662" t="str">
        <f t="shared" si="2"/>
        <v>PAS</v>
      </c>
      <c r="AL9" s="662" t="str">
        <f t="shared" si="3"/>
        <v>CHV</v>
      </c>
      <c r="AM9" s="662" t="str">
        <f t="shared" si="4"/>
        <v>Cruze-LT-FWD-5-~-~-1.4L-4-1BT69-1SD-106.3-13.7-Unleaded-Unleaded</v>
      </c>
      <c r="AN9" s="662" t="str">
        <f t="shared" si="5"/>
        <v>2019-PAS-CHV-CRUZ-002</v>
      </c>
    </row>
    <row r="10" spans="1:40" s="572" customFormat="1" ht="15">
      <c r="A10" s="570" t="s">
        <v>184</v>
      </c>
      <c r="B10" s="569" t="s">
        <v>181</v>
      </c>
      <c r="C10" s="569" t="s">
        <v>166</v>
      </c>
      <c r="D10" s="580">
        <v>17</v>
      </c>
      <c r="E10" s="569" t="s">
        <v>151</v>
      </c>
      <c r="F10" s="569" t="s">
        <v>152</v>
      </c>
      <c r="G10" s="569" t="s">
        <v>153</v>
      </c>
      <c r="H10" s="569">
        <v>2019</v>
      </c>
      <c r="I10" s="569" t="s">
        <v>173</v>
      </c>
      <c r="J10" s="569" t="s">
        <v>155</v>
      </c>
      <c r="K10" s="569" t="s">
        <v>156</v>
      </c>
      <c r="L10" s="569">
        <v>5</v>
      </c>
      <c r="M10" s="569">
        <v>0</v>
      </c>
      <c r="N10" s="569" t="s">
        <v>157</v>
      </c>
      <c r="O10" s="569">
        <v>2</v>
      </c>
      <c r="P10" s="569" t="s">
        <v>157</v>
      </c>
      <c r="Q10" s="568" t="s">
        <v>157</v>
      </c>
      <c r="R10" s="569" t="s">
        <v>175</v>
      </c>
      <c r="S10" s="569">
        <v>4</v>
      </c>
      <c r="T10" s="569" t="s">
        <v>182</v>
      </c>
      <c r="U10" s="569" t="s">
        <v>183</v>
      </c>
      <c r="V10" s="569">
        <v>106.3</v>
      </c>
      <c r="W10" s="569">
        <v>13.7</v>
      </c>
      <c r="X10" s="568">
        <v>3118</v>
      </c>
      <c r="Y10" s="581">
        <v>33</v>
      </c>
      <c r="Z10" s="581" t="s">
        <v>178</v>
      </c>
      <c r="AA10" s="581" t="s">
        <v>178</v>
      </c>
      <c r="AB10" s="585">
        <v>22595</v>
      </c>
      <c r="AC10" s="585" t="s">
        <v>164</v>
      </c>
      <c r="AD10" s="585">
        <v>19625</v>
      </c>
      <c r="AE10" s="587">
        <v>7.1999999999999995E-2</v>
      </c>
      <c r="AF10" s="661" t="str">
        <f t="shared" si="0"/>
        <v>2019-PAS-CHV-CRUZ-002-17</v>
      </c>
      <c r="AG10" s="661" t="str">
        <f>IF(AND($Y10&gt;=32,(AI10="I"),(Y10&lt;&gt;"~"),(COUNTIF($AN$1:$AN10,$AN10)=1)),"TRUE","FALSE")</f>
        <v>FALSE</v>
      </c>
      <c r="AH10" s="661" t="str">
        <f>IF(AND($Y10&gt;=22, (AI10&lt;&gt;"I"),(Y10&lt;&gt;"~"),(COUNTIF($AN$1:$AN10,$AN10)=1)),"TRUE","FALSE")</f>
        <v>FALSE</v>
      </c>
      <c r="AI10" s="661" t="str">
        <f t="shared" si="6"/>
        <v>I</v>
      </c>
      <c r="AJ10" s="662" t="str">
        <f t="shared" si="1"/>
        <v>CRUZ-002</v>
      </c>
      <c r="AK10" s="662" t="str">
        <f t="shared" si="2"/>
        <v>PAS</v>
      </c>
      <c r="AL10" s="662" t="str">
        <f t="shared" si="3"/>
        <v>CHV</v>
      </c>
      <c r="AM10" s="662" t="str">
        <f t="shared" si="4"/>
        <v>Cruze-LT-FWD-5-~-~-1.4L-4-1BT69-1SD-106.3-13.7-Unleaded-Unleaded</v>
      </c>
      <c r="AN10" s="662" t="str">
        <f t="shared" si="5"/>
        <v>2019-PAS-CHV-CRUZ-002</v>
      </c>
    </row>
    <row r="11" spans="1:40" s="572" customFormat="1" ht="15">
      <c r="A11" s="570" t="s">
        <v>185</v>
      </c>
      <c r="B11" s="573" t="s">
        <v>186</v>
      </c>
      <c r="C11" s="573" t="s">
        <v>169</v>
      </c>
      <c r="D11" s="578">
        <v>11</v>
      </c>
      <c r="E11" s="573" t="s">
        <v>151</v>
      </c>
      <c r="F11" s="573" t="s">
        <v>187</v>
      </c>
      <c r="G11" s="573" t="s">
        <v>153</v>
      </c>
      <c r="H11" s="573">
        <v>2019</v>
      </c>
      <c r="I11" s="573" t="s">
        <v>188</v>
      </c>
      <c r="J11" s="573" t="s">
        <v>174</v>
      </c>
      <c r="K11" s="573" t="s">
        <v>156</v>
      </c>
      <c r="L11" s="573">
        <v>5</v>
      </c>
      <c r="M11" s="573">
        <v>0</v>
      </c>
      <c r="N11" s="573" t="s">
        <v>157</v>
      </c>
      <c r="O11" s="573">
        <v>2</v>
      </c>
      <c r="P11" s="573" t="s">
        <v>157</v>
      </c>
      <c r="Q11" s="571" t="s">
        <v>157</v>
      </c>
      <c r="R11" s="573" t="s">
        <v>189</v>
      </c>
      <c r="S11" s="573">
        <v>4</v>
      </c>
      <c r="T11" s="573" t="s">
        <v>190</v>
      </c>
      <c r="U11" s="573" t="s">
        <v>191</v>
      </c>
      <c r="V11" s="573">
        <v>111.7</v>
      </c>
      <c r="W11" s="573">
        <v>18.5</v>
      </c>
      <c r="X11" s="571">
        <v>3730</v>
      </c>
      <c r="Y11" s="579">
        <v>25</v>
      </c>
      <c r="Z11" s="579" t="s">
        <v>178</v>
      </c>
      <c r="AA11" s="579" t="s">
        <v>178</v>
      </c>
      <c r="AB11" s="584">
        <v>28895</v>
      </c>
      <c r="AC11" s="584" t="s">
        <v>164</v>
      </c>
      <c r="AD11" s="584">
        <v>22999.625</v>
      </c>
      <c r="AE11" s="586">
        <v>0.05</v>
      </c>
      <c r="AF11" s="661" t="str">
        <f t="shared" si="0"/>
        <v>2019-PAS-CHV-IMPL-001-11</v>
      </c>
      <c r="AG11" s="661" t="str">
        <f>IF(AND($Y11&gt;=32,(AI11="I"),(Y11&lt;&gt;"~"),(COUNTIF($AN$1:$AN11,$AN11)=1)),"TRUE","FALSE")</f>
        <v>FALSE</v>
      </c>
      <c r="AH11" s="661" t="str">
        <f>IF(AND($Y11&gt;=22, (AI11&lt;&gt;"I"),(Y11&lt;&gt;"~"),(COUNTIF($AN$1:$AN11,$AN11)=1)),"TRUE","FALSE")</f>
        <v>FALSE</v>
      </c>
      <c r="AI11" s="661" t="str">
        <f t="shared" si="6"/>
        <v>I</v>
      </c>
      <c r="AJ11" s="662" t="str">
        <f t="shared" si="1"/>
        <v>IMPL-001</v>
      </c>
      <c r="AK11" s="662" t="str">
        <f t="shared" si="2"/>
        <v>PAS</v>
      </c>
      <c r="AL11" s="662" t="str">
        <f t="shared" si="3"/>
        <v>CHV</v>
      </c>
      <c r="AM11" s="662" t="str">
        <f t="shared" si="4"/>
        <v>Impala-LS-FWD-5-~-~-2.5L-4-1GX69-1FL-111.7-18.5-Unleaded-Unleaded</v>
      </c>
      <c r="AN11" s="662" t="str">
        <f t="shared" si="5"/>
        <v>2019-PAS-CHV-IMPL-001</v>
      </c>
    </row>
    <row r="12" spans="1:40" s="572" customFormat="1" ht="15">
      <c r="A12" s="570" t="s">
        <v>192</v>
      </c>
      <c r="B12" s="569" t="s">
        <v>186</v>
      </c>
      <c r="C12" s="569" t="s">
        <v>150</v>
      </c>
      <c r="D12" s="580">
        <v>13</v>
      </c>
      <c r="E12" s="569" t="s">
        <v>151</v>
      </c>
      <c r="F12" s="569" t="s">
        <v>187</v>
      </c>
      <c r="G12" s="569" t="s">
        <v>153</v>
      </c>
      <c r="H12" s="569">
        <v>2019</v>
      </c>
      <c r="I12" s="569" t="s">
        <v>188</v>
      </c>
      <c r="J12" s="569" t="s">
        <v>174</v>
      </c>
      <c r="K12" s="569" t="s">
        <v>156</v>
      </c>
      <c r="L12" s="569">
        <v>5</v>
      </c>
      <c r="M12" s="569">
        <v>0</v>
      </c>
      <c r="N12" s="569" t="s">
        <v>157</v>
      </c>
      <c r="O12" s="569">
        <v>2</v>
      </c>
      <c r="P12" s="569" t="s">
        <v>157</v>
      </c>
      <c r="Q12" s="568" t="s">
        <v>157</v>
      </c>
      <c r="R12" s="569" t="s">
        <v>189</v>
      </c>
      <c r="S12" s="569">
        <v>4</v>
      </c>
      <c r="T12" s="569" t="s">
        <v>190</v>
      </c>
      <c r="U12" s="569" t="s">
        <v>191</v>
      </c>
      <c r="V12" s="569">
        <v>111.7</v>
      </c>
      <c r="W12" s="569">
        <v>18.5</v>
      </c>
      <c r="X12" s="568">
        <v>3730</v>
      </c>
      <c r="Y12" s="581">
        <v>25</v>
      </c>
      <c r="Z12" s="581" t="s">
        <v>178</v>
      </c>
      <c r="AA12" s="581" t="s">
        <v>178</v>
      </c>
      <c r="AB12" s="585">
        <v>28895</v>
      </c>
      <c r="AC12" s="585" t="s">
        <v>164</v>
      </c>
      <c r="AD12" s="585">
        <v>23967</v>
      </c>
      <c r="AE12" s="587">
        <v>0.03</v>
      </c>
      <c r="AF12" s="661" t="str">
        <f t="shared" si="0"/>
        <v>2019-PAS-CHV-IMPL-001-13</v>
      </c>
      <c r="AG12" s="661" t="str">
        <f>IF(AND($Y12&gt;=32,(AI12="I"),(Y12&lt;&gt;"~"),(COUNTIF($AN$1:$AN12,$AN12)=1)),"TRUE","FALSE")</f>
        <v>FALSE</v>
      </c>
      <c r="AH12" s="661" t="str">
        <f>IF(AND($Y12&gt;=22, (AI12&lt;&gt;"I"),(Y12&lt;&gt;"~"),(COUNTIF($AN$1:$AN12,$AN12)=1)),"TRUE","FALSE")</f>
        <v>FALSE</v>
      </c>
      <c r="AI12" s="661" t="str">
        <f t="shared" si="6"/>
        <v>I</v>
      </c>
      <c r="AJ12" s="662" t="str">
        <f t="shared" si="1"/>
        <v>IMPL-001</v>
      </c>
      <c r="AK12" s="662" t="str">
        <f t="shared" si="2"/>
        <v>PAS</v>
      </c>
      <c r="AL12" s="662" t="str">
        <f t="shared" si="3"/>
        <v>CHV</v>
      </c>
      <c r="AM12" s="662" t="str">
        <f t="shared" si="4"/>
        <v>Impala-LS-FWD-5-~-~-2.5L-4-1GX69-1FL-111.7-18.5-Unleaded-Unleaded</v>
      </c>
      <c r="AN12" s="662" t="str">
        <f t="shared" si="5"/>
        <v>2019-PAS-CHV-IMPL-001</v>
      </c>
    </row>
    <row r="13" spans="1:40" s="572" customFormat="1" ht="15">
      <c r="A13" s="570" t="s">
        <v>193</v>
      </c>
      <c r="B13" s="573" t="s">
        <v>186</v>
      </c>
      <c r="C13" s="573" t="s">
        <v>166</v>
      </c>
      <c r="D13" s="578">
        <v>17</v>
      </c>
      <c r="E13" s="573" t="s">
        <v>151</v>
      </c>
      <c r="F13" s="573" t="s">
        <v>187</v>
      </c>
      <c r="G13" s="573" t="s">
        <v>153</v>
      </c>
      <c r="H13" s="573">
        <v>2019</v>
      </c>
      <c r="I13" s="573" t="s">
        <v>188</v>
      </c>
      <c r="J13" s="573" t="s">
        <v>174</v>
      </c>
      <c r="K13" s="573" t="s">
        <v>156</v>
      </c>
      <c r="L13" s="573">
        <v>5</v>
      </c>
      <c r="M13" s="573">
        <v>0</v>
      </c>
      <c r="N13" s="573" t="s">
        <v>157</v>
      </c>
      <c r="O13" s="573">
        <v>2</v>
      </c>
      <c r="P13" s="573" t="s">
        <v>157</v>
      </c>
      <c r="Q13" s="571" t="s">
        <v>157</v>
      </c>
      <c r="R13" s="573" t="s">
        <v>189</v>
      </c>
      <c r="S13" s="573">
        <v>4</v>
      </c>
      <c r="T13" s="573" t="s">
        <v>190</v>
      </c>
      <c r="U13" s="573" t="s">
        <v>191</v>
      </c>
      <c r="V13" s="573">
        <v>111.7</v>
      </c>
      <c r="W13" s="573">
        <v>18.5</v>
      </c>
      <c r="X13" s="571">
        <v>3730</v>
      </c>
      <c r="Y13" s="579">
        <v>25</v>
      </c>
      <c r="Z13" s="579" t="s">
        <v>178</v>
      </c>
      <c r="AA13" s="579" t="s">
        <v>178</v>
      </c>
      <c r="AB13" s="584">
        <v>28895</v>
      </c>
      <c r="AC13" s="584" t="s">
        <v>164</v>
      </c>
      <c r="AD13" s="584">
        <v>23995</v>
      </c>
      <c r="AE13" s="586">
        <v>7.1999999999999995E-2</v>
      </c>
      <c r="AF13" s="661" t="str">
        <f t="shared" si="0"/>
        <v>2019-PAS-CHV-IMPL-001-17</v>
      </c>
      <c r="AG13" s="661" t="str">
        <f>IF(AND($Y13&gt;=32,(AI13="I"),(Y13&lt;&gt;"~"),(COUNTIF($AN$1:$AN13,$AN13)=1)),"TRUE","FALSE")</f>
        <v>FALSE</v>
      </c>
      <c r="AH13" s="661" t="str">
        <f>IF(AND($Y13&gt;=22, (AI13&lt;&gt;"I"),(Y13&lt;&gt;"~"),(COUNTIF($AN$1:$AN13,$AN13)=1)),"TRUE","FALSE")</f>
        <v>FALSE</v>
      </c>
      <c r="AI13" s="661" t="str">
        <f t="shared" si="6"/>
        <v>I</v>
      </c>
      <c r="AJ13" s="662" t="str">
        <f t="shared" si="1"/>
        <v>IMPL-001</v>
      </c>
      <c r="AK13" s="662" t="str">
        <f t="shared" si="2"/>
        <v>PAS</v>
      </c>
      <c r="AL13" s="662" t="str">
        <f t="shared" si="3"/>
        <v>CHV</v>
      </c>
      <c r="AM13" s="662" t="str">
        <f t="shared" si="4"/>
        <v>Impala-LS-FWD-5-~-~-2.5L-4-1GX69-1FL-111.7-18.5-Unleaded-Unleaded</v>
      </c>
      <c r="AN13" s="662" t="str">
        <f t="shared" si="5"/>
        <v>2019-PAS-CHV-IMPL-001</v>
      </c>
    </row>
    <row r="14" spans="1:40" s="572" customFormat="1" ht="15">
      <c r="A14" s="570" t="s">
        <v>193</v>
      </c>
      <c r="B14" s="569" t="s">
        <v>186</v>
      </c>
      <c r="C14" s="569" t="s">
        <v>166</v>
      </c>
      <c r="D14" s="580">
        <v>17</v>
      </c>
      <c r="E14" s="569" t="s">
        <v>151</v>
      </c>
      <c r="F14" s="569" t="s">
        <v>187</v>
      </c>
      <c r="G14" s="569" t="s">
        <v>153</v>
      </c>
      <c r="H14" s="569">
        <v>2019</v>
      </c>
      <c r="I14" s="569" t="s">
        <v>188</v>
      </c>
      <c r="J14" s="569" t="s">
        <v>174</v>
      </c>
      <c r="K14" s="569" t="s">
        <v>156</v>
      </c>
      <c r="L14" s="569">
        <v>5</v>
      </c>
      <c r="M14" s="569">
        <v>0</v>
      </c>
      <c r="N14" s="569" t="s">
        <v>157</v>
      </c>
      <c r="O14" s="569">
        <v>2</v>
      </c>
      <c r="P14" s="569" t="s">
        <v>157</v>
      </c>
      <c r="Q14" s="568" t="s">
        <v>157</v>
      </c>
      <c r="R14" s="569" t="s">
        <v>189</v>
      </c>
      <c r="S14" s="569">
        <v>4</v>
      </c>
      <c r="T14" s="569" t="s">
        <v>190</v>
      </c>
      <c r="U14" s="569" t="s">
        <v>191</v>
      </c>
      <c r="V14" s="569">
        <v>111.7</v>
      </c>
      <c r="W14" s="569">
        <v>18.5</v>
      </c>
      <c r="X14" s="568">
        <v>3730</v>
      </c>
      <c r="Y14" s="581">
        <v>25</v>
      </c>
      <c r="Z14" s="581" t="s">
        <v>178</v>
      </c>
      <c r="AA14" s="581" t="s">
        <v>178</v>
      </c>
      <c r="AB14" s="585">
        <v>28895</v>
      </c>
      <c r="AC14" s="585" t="s">
        <v>164</v>
      </c>
      <c r="AD14" s="585">
        <v>23894</v>
      </c>
      <c r="AE14" s="587">
        <v>7.1999999999999995E-2</v>
      </c>
      <c r="AF14" s="661" t="str">
        <f t="shared" si="0"/>
        <v>2019-PAS-CHV-IMPL-001-17</v>
      </c>
      <c r="AG14" s="661" t="str">
        <f>IF(AND($Y14&gt;=32,(AI14="I"),(Y14&lt;&gt;"~"),(COUNTIF($AN$1:$AN14,$AN14)=1)),"TRUE","FALSE")</f>
        <v>FALSE</v>
      </c>
      <c r="AH14" s="661" t="str">
        <f>IF(AND($Y14&gt;=22, (AI14&lt;&gt;"I"),(Y14&lt;&gt;"~"),(COUNTIF($AN$1:$AN14,$AN14)=1)),"TRUE","FALSE")</f>
        <v>FALSE</v>
      </c>
      <c r="AI14" s="661" t="str">
        <f t="shared" si="6"/>
        <v>I</v>
      </c>
      <c r="AJ14" s="662" t="str">
        <f t="shared" si="1"/>
        <v>IMPL-001</v>
      </c>
      <c r="AK14" s="662" t="str">
        <f t="shared" si="2"/>
        <v>PAS</v>
      </c>
      <c r="AL14" s="662" t="str">
        <f t="shared" si="3"/>
        <v>CHV</v>
      </c>
      <c r="AM14" s="662" t="str">
        <f t="shared" si="4"/>
        <v>Impala-LS-FWD-5-~-~-2.5L-4-1GX69-1FL-111.7-18.5-Unleaded-Unleaded</v>
      </c>
      <c r="AN14" s="662" t="str">
        <f t="shared" si="5"/>
        <v>2019-PAS-CHV-IMPL-001</v>
      </c>
    </row>
    <row r="15" spans="1:40" s="572" customFormat="1" ht="15">
      <c r="A15" s="570" t="s">
        <v>194</v>
      </c>
      <c r="B15" s="573" t="s">
        <v>195</v>
      </c>
      <c r="C15" s="573" t="s">
        <v>169</v>
      </c>
      <c r="D15" s="578">
        <v>11</v>
      </c>
      <c r="E15" s="573" t="s">
        <v>151</v>
      </c>
      <c r="F15" s="573" t="s">
        <v>196</v>
      </c>
      <c r="G15" s="573" t="s">
        <v>153</v>
      </c>
      <c r="H15" s="573">
        <v>2019</v>
      </c>
      <c r="I15" s="573" t="s">
        <v>197</v>
      </c>
      <c r="J15" s="573" t="s">
        <v>198</v>
      </c>
      <c r="K15" s="573" t="s">
        <v>156</v>
      </c>
      <c r="L15" s="573">
        <v>5</v>
      </c>
      <c r="M15" s="573">
        <v>0</v>
      </c>
      <c r="N15" s="573" t="s">
        <v>157</v>
      </c>
      <c r="O15" s="573">
        <v>2</v>
      </c>
      <c r="P15" s="573" t="s">
        <v>157</v>
      </c>
      <c r="Q15" s="571" t="s">
        <v>157</v>
      </c>
      <c r="R15" s="573" t="s">
        <v>199</v>
      </c>
      <c r="S15" s="573">
        <v>4</v>
      </c>
      <c r="T15" s="573" t="s">
        <v>200</v>
      </c>
      <c r="U15" s="573" t="s">
        <v>201</v>
      </c>
      <c r="V15" s="573">
        <v>111.4</v>
      </c>
      <c r="W15" s="573">
        <v>13</v>
      </c>
      <c r="X15" s="571">
        <v>3366</v>
      </c>
      <c r="Y15" s="579">
        <v>46</v>
      </c>
      <c r="Z15" s="579" t="s">
        <v>178</v>
      </c>
      <c r="AA15" s="579" t="s">
        <v>163</v>
      </c>
      <c r="AB15" s="584">
        <v>28945</v>
      </c>
      <c r="AC15" s="584" t="s">
        <v>164</v>
      </c>
      <c r="AD15" s="584">
        <v>26511.831578947371</v>
      </c>
      <c r="AE15" s="586">
        <v>0.05</v>
      </c>
      <c r="AF15" s="661" t="str">
        <f t="shared" si="0"/>
        <v>2019-PAS-CHV-MALI-001-11</v>
      </c>
      <c r="AG15" s="661" t="str">
        <f>IF(AND($Y15&gt;=32,(AI15="I"),(Y15&lt;&gt;"~"),(COUNTIF($AN$1:$AN15,$AN15)=1)),"TRUE","FALSE")</f>
        <v>TRUE</v>
      </c>
      <c r="AH15" s="661" t="str">
        <f>IF(AND($Y15&gt;=22, (AI15&lt;&gt;"I"),(Y15&lt;&gt;"~"),(COUNTIF($AN$1:$AN15,$AN15)=1)),"TRUE","FALSE")</f>
        <v>FALSE</v>
      </c>
      <c r="AI15" s="661" t="str">
        <f t="shared" si="6"/>
        <v>I</v>
      </c>
      <c r="AJ15" s="662" t="str">
        <f t="shared" si="1"/>
        <v>MALI-001</v>
      </c>
      <c r="AK15" s="662" t="str">
        <f t="shared" si="2"/>
        <v>PAS</v>
      </c>
      <c r="AL15" s="662" t="str">
        <f t="shared" si="3"/>
        <v>CHV</v>
      </c>
      <c r="AM15" s="662" t="str">
        <f t="shared" si="4"/>
        <v>Malibu-Hybrid-FWD-5-~-~-1.8L-4-1ZE69-1HY-111.4-13-Unleaded-Electric</v>
      </c>
      <c r="AN15" s="662" t="str">
        <f t="shared" si="5"/>
        <v>2019-PAS-CHV-MALI-001</v>
      </c>
    </row>
    <row r="16" spans="1:40" s="572" customFormat="1" ht="15">
      <c r="A16" s="570" t="s">
        <v>202</v>
      </c>
      <c r="B16" s="569" t="s">
        <v>195</v>
      </c>
      <c r="C16" s="569" t="s">
        <v>166</v>
      </c>
      <c r="D16" s="580">
        <v>17</v>
      </c>
      <c r="E16" s="569" t="s">
        <v>151</v>
      </c>
      <c r="F16" s="569" t="s">
        <v>196</v>
      </c>
      <c r="G16" s="569" t="s">
        <v>153</v>
      </c>
      <c r="H16" s="569">
        <v>2019</v>
      </c>
      <c r="I16" s="569" t="s">
        <v>197</v>
      </c>
      <c r="J16" s="569" t="s">
        <v>198</v>
      </c>
      <c r="K16" s="569" t="s">
        <v>156</v>
      </c>
      <c r="L16" s="569">
        <v>5</v>
      </c>
      <c r="M16" s="569">
        <v>0</v>
      </c>
      <c r="N16" s="569" t="s">
        <v>157</v>
      </c>
      <c r="O16" s="569">
        <v>2</v>
      </c>
      <c r="P16" s="569" t="s">
        <v>157</v>
      </c>
      <c r="Q16" s="568" t="s">
        <v>157</v>
      </c>
      <c r="R16" s="569" t="s">
        <v>199</v>
      </c>
      <c r="S16" s="569">
        <v>4</v>
      </c>
      <c r="T16" s="569" t="s">
        <v>200</v>
      </c>
      <c r="U16" s="569" t="s">
        <v>201</v>
      </c>
      <c r="V16" s="569">
        <v>111.4</v>
      </c>
      <c r="W16" s="569">
        <v>13</v>
      </c>
      <c r="X16" s="568">
        <v>3366</v>
      </c>
      <c r="Y16" s="581">
        <v>46</v>
      </c>
      <c r="Z16" s="581" t="s">
        <v>178</v>
      </c>
      <c r="AA16" s="581" t="s">
        <v>163</v>
      </c>
      <c r="AB16" s="585">
        <v>28945</v>
      </c>
      <c r="AC16" s="585" t="s">
        <v>164</v>
      </c>
      <c r="AD16" s="585">
        <v>26855</v>
      </c>
      <c r="AE16" s="587">
        <v>7.1999999999999995E-2</v>
      </c>
      <c r="AF16" s="661" t="str">
        <f t="shared" si="0"/>
        <v>2019-PAS-CHV-MALI-001-17</v>
      </c>
      <c r="AG16" s="661" t="str">
        <f>IF(AND($Y16&gt;=32,(AI16="I"),(Y16&lt;&gt;"~"),(COUNTIF($AN$1:$AN16,$AN16)=1)),"TRUE","FALSE")</f>
        <v>FALSE</v>
      </c>
      <c r="AH16" s="661" t="str">
        <f>IF(AND($Y16&gt;=22, (AI16&lt;&gt;"I"),(Y16&lt;&gt;"~"),(COUNTIF($AN$1:$AN16,$AN16)=1)),"TRUE","FALSE")</f>
        <v>FALSE</v>
      </c>
      <c r="AI16" s="661" t="str">
        <f t="shared" si="6"/>
        <v>I</v>
      </c>
      <c r="AJ16" s="662" t="str">
        <f t="shared" si="1"/>
        <v>MALI-001</v>
      </c>
      <c r="AK16" s="662" t="str">
        <f t="shared" si="2"/>
        <v>PAS</v>
      </c>
      <c r="AL16" s="662" t="str">
        <f t="shared" si="3"/>
        <v>CHV</v>
      </c>
      <c r="AM16" s="662" t="str">
        <f t="shared" si="4"/>
        <v>Malibu-Hybrid-FWD-5-~-~-1.8L-4-1ZE69-1HY-111.4-13-Unleaded-Electric</v>
      </c>
      <c r="AN16" s="662" t="str">
        <f t="shared" si="5"/>
        <v>2019-PAS-CHV-MALI-001</v>
      </c>
    </row>
    <row r="17" spans="1:40" s="572" customFormat="1" ht="15">
      <c r="A17" s="570" t="s">
        <v>203</v>
      </c>
      <c r="B17" s="573" t="s">
        <v>204</v>
      </c>
      <c r="C17" s="573" t="s">
        <v>169</v>
      </c>
      <c r="D17" s="578">
        <v>11</v>
      </c>
      <c r="E17" s="573" t="s">
        <v>151</v>
      </c>
      <c r="F17" s="573" t="s">
        <v>196</v>
      </c>
      <c r="G17" s="573" t="s">
        <v>153</v>
      </c>
      <c r="H17" s="573">
        <v>2019</v>
      </c>
      <c r="I17" s="573" t="s">
        <v>197</v>
      </c>
      <c r="J17" s="573" t="s">
        <v>174</v>
      </c>
      <c r="K17" s="573" t="s">
        <v>156</v>
      </c>
      <c r="L17" s="573">
        <v>5</v>
      </c>
      <c r="M17" s="573">
        <v>0</v>
      </c>
      <c r="N17" s="573" t="s">
        <v>157</v>
      </c>
      <c r="O17" s="573">
        <v>2</v>
      </c>
      <c r="P17" s="573" t="s">
        <v>157</v>
      </c>
      <c r="Q17" s="571" t="s">
        <v>157</v>
      </c>
      <c r="R17" s="573" t="s">
        <v>205</v>
      </c>
      <c r="S17" s="573">
        <v>4</v>
      </c>
      <c r="T17" s="573" t="s">
        <v>206</v>
      </c>
      <c r="U17" s="573" t="s">
        <v>174</v>
      </c>
      <c r="V17" s="573">
        <v>111.4</v>
      </c>
      <c r="W17" s="573">
        <v>15.8</v>
      </c>
      <c r="X17" s="571">
        <v>3393</v>
      </c>
      <c r="Y17" s="579">
        <v>32</v>
      </c>
      <c r="Z17" s="579" t="s">
        <v>178</v>
      </c>
      <c r="AA17" s="579" t="s">
        <v>178</v>
      </c>
      <c r="AB17" s="584">
        <v>23995</v>
      </c>
      <c r="AC17" s="584" t="s">
        <v>164</v>
      </c>
      <c r="AD17" s="584">
        <v>18800.893617021276</v>
      </c>
      <c r="AE17" s="586">
        <v>0.05</v>
      </c>
      <c r="AF17" s="661" t="str">
        <f t="shared" si="0"/>
        <v>2019-PAS-CHV-MALI-002-11</v>
      </c>
      <c r="AG17" s="661" t="str">
        <f>IF(AND($Y17&gt;=32,(AI17="I"),(Y17&lt;&gt;"~"),(COUNTIF($AN$1:$AN17,$AN17)=1)),"TRUE","FALSE")</f>
        <v>TRUE</v>
      </c>
      <c r="AH17" s="661" t="str">
        <f>IF(AND($Y17&gt;=22, (AI17&lt;&gt;"I"),(Y17&lt;&gt;"~"),(COUNTIF($AN$1:$AN17,$AN17)=1)),"TRUE","FALSE")</f>
        <v>FALSE</v>
      </c>
      <c r="AI17" s="661" t="str">
        <f t="shared" si="6"/>
        <v>I</v>
      </c>
      <c r="AJ17" s="662" t="str">
        <f t="shared" si="1"/>
        <v>MALI-002</v>
      </c>
      <c r="AK17" s="662" t="str">
        <f t="shared" si="2"/>
        <v>PAS</v>
      </c>
      <c r="AL17" s="662" t="str">
        <f t="shared" si="3"/>
        <v>CHV</v>
      </c>
      <c r="AM17" s="662" t="str">
        <f t="shared" si="4"/>
        <v>Malibu-LS-FWD-5-~-~-1.5L-4-1ZC69-LS-111.4-15.8-Unleaded-Unleaded</v>
      </c>
      <c r="AN17" s="662" t="str">
        <f t="shared" si="5"/>
        <v>2019-PAS-CHV-MALI-002</v>
      </c>
    </row>
    <row r="18" spans="1:40" s="572" customFormat="1" ht="15">
      <c r="A18" s="570" t="s">
        <v>207</v>
      </c>
      <c r="B18" s="569" t="s">
        <v>204</v>
      </c>
      <c r="C18" s="569" t="s">
        <v>150</v>
      </c>
      <c r="D18" s="580">
        <v>13</v>
      </c>
      <c r="E18" s="569" t="s">
        <v>151</v>
      </c>
      <c r="F18" s="569" t="s">
        <v>196</v>
      </c>
      <c r="G18" s="569" t="s">
        <v>153</v>
      </c>
      <c r="H18" s="569">
        <v>2019</v>
      </c>
      <c r="I18" s="569" t="s">
        <v>197</v>
      </c>
      <c r="J18" s="569" t="s">
        <v>174</v>
      </c>
      <c r="K18" s="569" t="s">
        <v>156</v>
      </c>
      <c r="L18" s="569">
        <v>5</v>
      </c>
      <c r="M18" s="569">
        <v>0</v>
      </c>
      <c r="N18" s="569" t="s">
        <v>157</v>
      </c>
      <c r="O18" s="569">
        <v>2</v>
      </c>
      <c r="P18" s="569" t="s">
        <v>157</v>
      </c>
      <c r="Q18" s="568" t="s">
        <v>157</v>
      </c>
      <c r="R18" s="569" t="s">
        <v>205</v>
      </c>
      <c r="S18" s="569">
        <v>4</v>
      </c>
      <c r="T18" s="569" t="s">
        <v>206</v>
      </c>
      <c r="U18" s="569" t="s">
        <v>191</v>
      </c>
      <c r="V18" s="569">
        <v>111.4</v>
      </c>
      <c r="W18" s="569">
        <v>15.8</v>
      </c>
      <c r="X18" s="568">
        <v>3393</v>
      </c>
      <c r="Y18" s="581">
        <v>30</v>
      </c>
      <c r="Z18" s="581" t="s">
        <v>178</v>
      </c>
      <c r="AA18" s="581" t="s">
        <v>178</v>
      </c>
      <c r="AB18" s="585">
        <v>24100</v>
      </c>
      <c r="AC18" s="585" t="s">
        <v>164</v>
      </c>
      <c r="AD18" s="585">
        <v>20024</v>
      </c>
      <c r="AE18" s="587">
        <v>0.03</v>
      </c>
      <c r="AF18" s="661" t="str">
        <f t="shared" si="0"/>
        <v>2019-PAS-CHV-MALI-002-13</v>
      </c>
      <c r="AG18" s="661" t="str">
        <f>IF(AND($Y18&gt;=32,(AI18="I"),(Y18&lt;&gt;"~"),(COUNTIF($AN$1:$AN18,$AN18)=1)),"TRUE","FALSE")</f>
        <v>FALSE</v>
      </c>
      <c r="AH18" s="661" t="str">
        <f>IF(AND($Y18&gt;=22, (AI18&lt;&gt;"I"),(Y18&lt;&gt;"~"),(COUNTIF($AN$1:$AN18,$AN18)=1)),"TRUE","FALSE")</f>
        <v>FALSE</v>
      </c>
      <c r="AI18" s="661" t="str">
        <f t="shared" si="6"/>
        <v>I</v>
      </c>
      <c r="AJ18" s="662" t="str">
        <f t="shared" si="1"/>
        <v>MALI-002</v>
      </c>
      <c r="AK18" s="662" t="str">
        <f t="shared" si="2"/>
        <v>PAS</v>
      </c>
      <c r="AL18" s="662" t="str">
        <f t="shared" si="3"/>
        <v>CHV</v>
      </c>
      <c r="AM18" s="662" t="str">
        <f t="shared" si="4"/>
        <v>Malibu-LS-FWD-5-~-~-1.5L-4-1ZC69-1FL-111.4-15.8-Unleaded-Unleaded</v>
      </c>
      <c r="AN18" s="662" t="str">
        <f t="shared" si="5"/>
        <v>2019-PAS-CHV-MALI-002</v>
      </c>
    </row>
    <row r="19" spans="1:40" s="572" customFormat="1" ht="15">
      <c r="A19" s="570" t="s">
        <v>208</v>
      </c>
      <c r="B19" s="573" t="s">
        <v>204</v>
      </c>
      <c r="C19" s="573" t="s">
        <v>166</v>
      </c>
      <c r="D19" s="578">
        <v>17</v>
      </c>
      <c r="E19" s="573" t="s">
        <v>151</v>
      </c>
      <c r="F19" s="573" t="s">
        <v>196</v>
      </c>
      <c r="G19" s="573" t="s">
        <v>153</v>
      </c>
      <c r="H19" s="573">
        <v>2019</v>
      </c>
      <c r="I19" s="573" t="s">
        <v>197</v>
      </c>
      <c r="J19" s="573" t="s">
        <v>174</v>
      </c>
      <c r="K19" s="573" t="s">
        <v>156</v>
      </c>
      <c r="L19" s="573">
        <v>5</v>
      </c>
      <c r="M19" s="573">
        <v>0</v>
      </c>
      <c r="N19" s="573" t="s">
        <v>157</v>
      </c>
      <c r="O19" s="573">
        <v>2</v>
      </c>
      <c r="P19" s="573" t="s">
        <v>157</v>
      </c>
      <c r="Q19" s="571" t="s">
        <v>157</v>
      </c>
      <c r="R19" s="573" t="s">
        <v>205</v>
      </c>
      <c r="S19" s="573">
        <v>4</v>
      </c>
      <c r="T19" s="573" t="s">
        <v>206</v>
      </c>
      <c r="U19" s="573" t="s">
        <v>191</v>
      </c>
      <c r="V19" s="573">
        <v>111.4</v>
      </c>
      <c r="W19" s="573">
        <v>15.8</v>
      </c>
      <c r="X19" s="571">
        <v>3393</v>
      </c>
      <c r="Y19" s="579">
        <v>30</v>
      </c>
      <c r="Z19" s="579" t="s">
        <v>178</v>
      </c>
      <c r="AA19" s="579" t="s">
        <v>178</v>
      </c>
      <c r="AB19" s="584">
        <v>23995</v>
      </c>
      <c r="AC19" s="584" t="s">
        <v>164</v>
      </c>
      <c r="AD19" s="584">
        <v>19522</v>
      </c>
      <c r="AE19" s="586">
        <v>7.1999999999999995E-2</v>
      </c>
      <c r="AF19" s="661" t="str">
        <f t="shared" si="0"/>
        <v>2019-PAS-CHV-MALI-002-17</v>
      </c>
      <c r="AG19" s="661" t="str">
        <f>IF(AND($Y19&gt;=32,(AI19="I"),(Y19&lt;&gt;"~"),(COUNTIF($AN$1:$AN19,$AN19)=1)),"TRUE","FALSE")</f>
        <v>FALSE</v>
      </c>
      <c r="AH19" s="661" t="str">
        <f>IF(AND($Y19&gt;=22, (AI19&lt;&gt;"I"),(Y19&lt;&gt;"~"),(COUNTIF($AN$1:$AN19,$AN19)=1)),"TRUE","FALSE")</f>
        <v>FALSE</v>
      </c>
      <c r="AI19" s="661" t="str">
        <f t="shared" si="6"/>
        <v>I</v>
      </c>
      <c r="AJ19" s="662" t="str">
        <f t="shared" si="1"/>
        <v>MALI-002</v>
      </c>
      <c r="AK19" s="662" t="str">
        <f t="shared" si="2"/>
        <v>PAS</v>
      </c>
      <c r="AL19" s="662" t="str">
        <f t="shared" si="3"/>
        <v>CHV</v>
      </c>
      <c r="AM19" s="662" t="str">
        <f t="shared" si="4"/>
        <v>Malibu-LS-FWD-5-~-~-1.5L-4-1ZC69-1FL-111.4-15.8-Unleaded-Unleaded</v>
      </c>
      <c r="AN19" s="662" t="str">
        <f t="shared" si="5"/>
        <v>2019-PAS-CHV-MALI-002</v>
      </c>
    </row>
    <row r="20" spans="1:40" s="572" customFormat="1" ht="15">
      <c r="A20" s="570" t="s">
        <v>208</v>
      </c>
      <c r="B20" s="569" t="s">
        <v>204</v>
      </c>
      <c r="C20" s="569" t="s">
        <v>166</v>
      </c>
      <c r="D20" s="580">
        <v>17</v>
      </c>
      <c r="E20" s="569" t="s">
        <v>151</v>
      </c>
      <c r="F20" s="569" t="s">
        <v>196</v>
      </c>
      <c r="G20" s="569" t="s">
        <v>153</v>
      </c>
      <c r="H20" s="569">
        <v>2019</v>
      </c>
      <c r="I20" s="569" t="s">
        <v>197</v>
      </c>
      <c r="J20" s="569" t="s">
        <v>174</v>
      </c>
      <c r="K20" s="569" t="s">
        <v>156</v>
      </c>
      <c r="L20" s="569">
        <v>5</v>
      </c>
      <c r="M20" s="569">
        <v>0</v>
      </c>
      <c r="N20" s="569" t="s">
        <v>157</v>
      </c>
      <c r="O20" s="569">
        <v>2</v>
      </c>
      <c r="P20" s="569" t="s">
        <v>157</v>
      </c>
      <c r="Q20" s="568" t="s">
        <v>157</v>
      </c>
      <c r="R20" s="569" t="s">
        <v>205</v>
      </c>
      <c r="S20" s="569">
        <v>4</v>
      </c>
      <c r="T20" s="569" t="s">
        <v>206</v>
      </c>
      <c r="U20" s="569" t="s">
        <v>191</v>
      </c>
      <c r="V20" s="569">
        <v>111.4</v>
      </c>
      <c r="W20" s="569">
        <v>15.8</v>
      </c>
      <c r="X20" s="568">
        <v>3393</v>
      </c>
      <c r="Y20" s="581">
        <v>31</v>
      </c>
      <c r="Z20" s="581" t="s">
        <v>178</v>
      </c>
      <c r="AA20" s="581" t="s">
        <v>178</v>
      </c>
      <c r="AB20" s="585">
        <v>23995</v>
      </c>
      <c r="AC20" s="585" t="s">
        <v>164</v>
      </c>
      <c r="AD20" s="585">
        <v>19522</v>
      </c>
      <c r="AE20" s="587">
        <v>7.1999999999999995E-2</v>
      </c>
      <c r="AF20" s="661" t="str">
        <f t="shared" si="0"/>
        <v>2019-PAS-CHV-MALI-002-17</v>
      </c>
      <c r="AG20" s="661" t="str">
        <f>IF(AND($Y20&gt;=32,(AI20="I"),(Y20&lt;&gt;"~"),(COUNTIF($AN$1:$AN20,$AN20)=1)),"TRUE","FALSE")</f>
        <v>FALSE</v>
      </c>
      <c r="AH20" s="661" t="str">
        <f>IF(AND($Y20&gt;=22, (AI20&lt;&gt;"I"),(Y20&lt;&gt;"~"),(COUNTIF($AN$1:$AN20,$AN20)=1)),"TRUE","FALSE")</f>
        <v>FALSE</v>
      </c>
      <c r="AI20" s="661" t="str">
        <f t="shared" si="6"/>
        <v>I</v>
      </c>
      <c r="AJ20" s="662" t="str">
        <f t="shared" si="1"/>
        <v>MALI-002</v>
      </c>
      <c r="AK20" s="662" t="str">
        <f t="shared" si="2"/>
        <v>PAS</v>
      </c>
      <c r="AL20" s="662" t="str">
        <f t="shared" si="3"/>
        <v>CHV</v>
      </c>
      <c r="AM20" s="662" t="str">
        <f t="shared" si="4"/>
        <v>Malibu-LS-FWD-5-~-~-1.5L-4-1ZC69-1FL-111.4-15.8-Unleaded-Unleaded</v>
      </c>
      <c r="AN20" s="662" t="str">
        <f t="shared" si="5"/>
        <v>2019-PAS-CHV-MALI-002</v>
      </c>
    </row>
    <row r="21" spans="1:40" s="572" customFormat="1" ht="15">
      <c r="A21" s="570" t="s">
        <v>208</v>
      </c>
      <c r="B21" s="573" t="s">
        <v>204</v>
      </c>
      <c r="C21" s="573" t="s">
        <v>166</v>
      </c>
      <c r="D21" s="578">
        <v>17</v>
      </c>
      <c r="E21" s="573" t="s">
        <v>151</v>
      </c>
      <c r="F21" s="573" t="s">
        <v>196</v>
      </c>
      <c r="G21" s="573" t="s">
        <v>153</v>
      </c>
      <c r="H21" s="573">
        <v>2019</v>
      </c>
      <c r="I21" s="573" t="s">
        <v>197</v>
      </c>
      <c r="J21" s="573" t="s">
        <v>174</v>
      </c>
      <c r="K21" s="573" t="s">
        <v>156</v>
      </c>
      <c r="L21" s="573">
        <v>5</v>
      </c>
      <c r="M21" s="573">
        <v>0</v>
      </c>
      <c r="N21" s="573" t="s">
        <v>157</v>
      </c>
      <c r="O21" s="573">
        <v>2</v>
      </c>
      <c r="P21" s="573" t="s">
        <v>157</v>
      </c>
      <c r="Q21" s="571" t="s">
        <v>157</v>
      </c>
      <c r="R21" s="573" t="s">
        <v>205</v>
      </c>
      <c r="S21" s="573">
        <v>4</v>
      </c>
      <c r="T21" s="573" t="s">
        <v>206</v>
      </c>
      <c r="U21" s="573" t="s">
        <v>191</v>
      </c>
      <c r="V21" s="573">
        <v>111.4</v>
      </c>
      <c r="W21" s="573">
        <v>15.8</v>
      </c>
      <c r="X21" s="571">
        <v>3393</v>
      </c>
      <c r="Y21" s="579">
        <v>32</v>
      </c>
      <c r="Z21" s="579" t="s">
        <v>178</v>
      </c>
      <c r="AA21" s="579" t="s">
        <v>178</v>
      </c>
      <c r="AB21" s="584">
        <v>23995</v>
      </c>
      <c r="AC21" s="584" t="s">
        <v>164</v>
      </c>
      <c r="AD21" s="584">
        <v>19522</v>
      </c>
      <c r="AE21" s="586">
        <v>7.1999999999999995E-2</v>
      </c>
      <c r="AF21" s="661" t="str">
        <f t="shared" si="0"/>
        <v>2019-PAS-CHV-MALI-002-17</v>
      </c>
      <c r="AG21" s="661" t="str">
        <f>IF(AND($Y21&gt;=32,(AI21="I"),(Y21&lt;&gt;"~"),(COUNTIF($AN$1:$AN21,$AN21)=1)),"TRUE","FALSE")</f>
        <v>FALSE</v>
      </c>
      <c r="AH21" s="661" t="str">
        <f>IF(AND($Y21&gt;=22, (AI21&lt;&gt;"I"),(Y21&lt;&gt;"~"),(COUNTIF($AN$1:$AN21,$AN21)=1)),"TRUE","FALSE")</f>
        <v>FALSE</v>
      </c>
      <c r="AI21" s="661" t="str">
        <f t="shared" si="6"/>
        <v>I</v>
      </c>
      <c r="AJ21" s="662" t="str">
        <f t="shared" si="1"/>
        <v>MALI-002</v>
      </c>
      <c r="AK21" s="662" t="str">
        <f t="shared" si="2"/>
        <v>PAS</v>
      </c>
      <c r="AL21" s="662" t="str">
        <f t="shared" si="3"/>
        <v>CHV</v>
      </c>
      <c r="AM21" s="662" t="str">
        <f t="shared" si="4"/>
        <v>Malibu-LS-FWD-5-~-~-1.5L-4-1ZC69-1FL-111.4-15.8-Unleaded-Unleaded</v>
      </c>
      <c r="AN21" s="662" t="str">
        <f t="shared" si="5"/>
        <v>2019-PAS-CHV-MALI-002</v>
      </c>
    </row>
    <row r="22" spans="1:40" s="572" customFormat="1" ht="15">
      <c r="A22" s="570" t="s">
        <v>209</v>
      </c>
      <c r="B22" s="569" t="s">
        <v>210</v>
      </c>
      <c r="C22" s="569" t="s">
        <v>169</v>
      </c>
      <c r="D22" s="580">
        <v>11</v>
      </c>
      <c r="E22" s="569" t="s">
        <v>151</v>
      </c>
      <c r="F22" s="569" t="s">
        <v>211</v>
      </c>
      <c r="G22" s="569" t="s">
        <v>153</v>
      </c>
      <c r="H22" s="569">
        <v>2019</v>
      </c>
      <c r="I22" s="569" t="s">
        <v>212</v>
      </c>
      <c r="J22" s="569" t="s">
        <v>213</v>
      </c>
      <c r="K22" s="569" t="s">
        <v>156</v>
      </c>
      <c r="L22" s="569">
        <v>4</v>
      </c>
      <c r="M22" s="569">
        <v>0</v>
      </c>
      <c r="N22" s="569" t="s">
        <v>157</v>
      </c>
      <c r="O22" s="569">
        <v>2</v>
      </c>
      <c r="P22" s="569" t="s">
        <v>157</v>
      </c>
      <c r="Q22" s="568" t="s">
        <v>157</v>
      </c>
      <c r="R22" s="569" t="s">
        <v>175</v>
      </c>
      <c r="S22" s="569">
        <v>4</v>
      </c>
      <c r="T22" s="569" t="s">
        <v>214</v>
      </c>
      <c r="U22" s="569" t="s">
        <v>183</v>
      </c>
      <c r="V22" s="569">
        <v>93.5</v>
      </c>
      <c r="W22" s="569">
        <v>9.1999999999999993</v>
      </c>
      <c r="X22" s="568">
        <v>2312</v>
      </c>
      <c r="Y22" s="581">
        <v>33</v>
      </c>
      <c r="Z22" s="581" t="s">
        <v>178</v>
      </c>
      <c r="AA22" s="581" t="s">
        <v>178</v>
      </c>
      <c r="AB22" s="585">
        <v>17095</v>
      </c>
      <c r="AC22" s="585" t="s">
        <v>164</v>
      </c>
      <c r="AD22" s="585">
        <v>16314.129032258063</v>
      </c>
      <c r="AE22" s="587">
        <v>0.05</v>
      </c>
      <c r="AF22" s="661" t="str">
        <f t="shared" si="0"/>
        <v>2019-PAS-CHV-SPRK-001-11</v>
      </c>
      <c r="AG22" s="661" t="str">
        <f>IF(AND($Y22&gt;=32,(AI22="I"),(Y22&lt;&gt;"~"),(COUNTIF($AN$1:$AN22,$AN22)=1)),"TRUE","FALSE")</f>
        <v>TRUE</v>
      </c>
      <c r="AH22" s="661" t="str">
        <f>IF(AND($Y22&gt;=22, (AI22&lt;&gt;"I"),(Y22&lt;&gt;"~"),(COUNTIF($AN$1:$AN22,$AN22)=1)),"TRUE","FALSE")</f>
        <v>FALSE</v>
      </c>
      <c r="AI22" s="661" t="str">
        <f t="shared" si="6"/>
        <v>I</v>
      </c>
      <c r="AJ22" s="662" t="str">
        <f t="shared" si="1"/>
        <v>SPRK-001</v>
      </c>
      <c r="AK22" s="662" t="str">
        <f t="shared" si="2"/>
        <v>PAS</v>
      </c>
      <c r="AL22" s="662" t="str">
        <f t="shared" si="3"/>
        <v>CHV</v>
      </c>
      <c r="AM22" s="662" t="str">
        <f t="shared" si="4"/>
        <v>Spark-1LT-FWD-4-~-~-1.4L-4-1DS48-1SD-93.5-9.2-Unleaded-Unleaded</v>
      </c>
      <c r="AN22" s="662" t="str">
        <f t="shared" si="5"/>
        <v>2019-PAS-CHV-SPRK-001</v>
      </c>
    </row>
    <row r="23" spans="1:40" s="572" customFormat="1" ht="15">
      <c r="A23" s="570" t="s">
        <v>215</v>
      </c>
      <c r="B23" s="573" t="s">
        <v>210</v>
      </c>
      <c r="C23" s="573" t="s">
        <v>166</v>
      </c>
      <c r="D23" s="578">
        <v>17</v>
      </c>
      <c r="E23" s="573" t="s">
        <v>151</v>
      </c>
      <c r="F23" s="573" t="s">
        <v>211</v>
      </c>
      <c r="G23" s="573" t="s">
        <v>153</v>
      </c>
      <c r="H23" s="573">
        <v>2019</v>
      </c>
      <c r="I23" s="573" t="s">
        <v>212</v>
      </c>
      <c r="J23" s="573" t="s">
        <v>213</v>
      </c>
      <c r="K23" s="573" t="s">
        <v>156</v>
      </c>
      <c r="L23" s="573">
        <v>4</v>
      </c>
      <c r="M23" s="573">
        <v>0</v>
      </c>
      <c r="N23" s="573" t="s">
        <v>157</v>
      </c>
      <c r="O23" s="573">
        <v>2</v>
      </c>
      <c r="P23" s="573" t="s">
        <v>157</v>
      </c>
      <c r="Q23" s="571" t="s">
        <v>157</v>
      </c>
      <c r="R23" s="573" t="s">
        <v>175</v>
      </c>
      <c r="S23" s="573">
        <v>4</v>
      </c>
      <c r="T23" s="573" t="s">
        <v>214</v>
      </c>
      <c r="U23" s="573" t="s">
        <v>183</v>
      </c>
      <c r="V23" s="573">
        <v>93.5</v>
      </c>
      <c r="W23" s="573">
        <v>9.1999999999999993</v>
      </c>
      <c r="X23" s="571">
        <v>2312</v>
      </c>
      <c r="Y23" s="579">
        <v>34</v>
      </c>
      <c r="Z23" s="579" t="s">
        <v>178</v>
      </c>
      <c r="AA23" s="579" t="s">
        <v>178</v>
      </c>
      <c r="AB23" s="584">
        <v>17095</v>
      </c>
      <c r="AC23" s="584" t="s">
        <v>164</v>
      </c>
      <c r="AD23" s="584">
        <v>15920.96</v>
      </c>
      <c r="AE23" s="586">
        <v>7.1999999999999995E-2</v>
      </c>
      <c r="AF23" s="661" t="str">
        <f t="shared" si="0"/>
        <v>2019-PAS-CHV-SPRK-001-17</v>
      </c>
      <c r="AG23" s="661" t="str">
        <f>IF(AND($Y23&gt;=32,(AI23="I"),(Y23&lt;&gt;"~"),(COUNTIF($AN$1:$AN23,$AN23)=1)),"TRUE","FALSE")</f>
        <v>FALSE</v>
      </c>
      <c r="AH23" s="661" t="str">
        <f>IF(AND($Y23&gt;=22, (AI23&lt;&gt;"I"),(Y23&lt;&gt;"~"),(COUNTIF($AN$1:$AN23,$AN23)=1)),"TRUE","FALSE")</f>
        <v>FALSE</v>
      </c>
      <c r="AI23" s="661" t="str">
        <f t="shared" si="6"/>
        <v>I</v>
      </c>
      <c r="AJ23" s="662" t="str">
        <f t="shared" si="1"/>
        <v>SPRK-001</v>
      </c>
      <c r="AK23" s="662" t="str">
        <f t="shared" si="2"/>
        <v>PAS</v>
      </c>
      <c r="AL23" s="662" t="str">
        <f t="shared" si="3"/>
        <v>CHV</v>
      </c>
      <c r="AM23" s="662" t="str">
        <f t="shared" si="4"/>
        <v>Spark-1LT-FWD-4-~-~-1.4L-4-1DS48-1SD-93.5-9.2-Unleaded-Unleaded</v>
      </c>
      <c r="AN23" s="662" t="str">
        <f t="shared" si="5"/>
        <v>2019-PAS-CHV-SPRK-001</v>
      </c>
    </row>
    <row r="24" spans="1:40" s="572" customFormat="1" ht="15">
      <c r="A24" s="570" t="s">
        <v>216</v>
      </c>
      <c r="B24" s="569" t="s">
        <v>217</v>
      </c>
      <c r="C24" s="569" t="s">
        <v>166</v>
      </c>
      <c r="D24" s="580">
        <v>17</v>
      </c>
      <c r="E24" s="569" t="s">
        <v>151</v>
      </c>
      <c r="F24" s="569" t="s">
        <v>211</v>
      </c>
      <c r="G24" s="569" t="s">
        <v>153</v>
      </c>
      <c r="H24" s="569">
        <v>2019</v>
      </c>
      <c r="I24" s="569" t="s">
        <v>212</v>
      </c>
      <c r="J24" s="569" t="s">
        <v>213</v>
      </c>
      <c r="K24" s="569" t="s">
        <v>156</v>
      </c>
      <c r="L24" s="569">
        <v>4</v>
      </c>
      <c r="M24" s="569">
        <v>0</v>
      </c>
      <c r="N24" s="569" t="s">
        <v>157</v>
      </c>
      <c r="O24" s="569">
        <v>2</v>
      </c>
      <c r="P24" s="569" t="s">
        <v>157</v>
      </c>
      <c r="Q24" s="568" t="s">
        <v>157</v>
      </c>
      <c r="R24" s="569" t="s">
        <v>175</v>
      </c>
      <c r="S24" s="569">
        <v>4</v>
      </c>
      <c r="T24" s="569" t="s">
        <v>214</v>
      </c>
      <c r="U24" s="569" t="s">
        <v>183</v>
      </c>
      <c r="V24" s="569">
        <v>93.9</v>
      </c>
      <c r="W24" s="569">
        <v>9.1999999999999993</v>
      </c>
      <c r="X24" s="568">
        <v>2368</v>
      </c>
      <c r="Y24" s="581">
        <v>34</v>
      </c>
      <c r="Z24" s="581" t="s">
        <v>178</v>
      </c>
      <c r="AA24" s="581" t="s">
        <v>178</v>
      </c>
      <c r="AB24" s="585">
        <v>17095</v>
      </c>
      <c r="AC24" s="585" t="s">
        <v>164</v>
      </c>
      <c r="AD24" s="585">
        <v>15920.96</v>
      </c>
      <c r="AE24" s="587">
        <v>7.1999999999999995E-2</v>
      </c>
      <c r="AF24" s="661" t="str">
        <f t="shared" si="0"/>
        <v>2019-PAS-CHV-SPRK-002-17</v>
      </c>
      <c r="AG24" s="661" t="str">
        <f>IF(AND($Y24&gt;=32,(AI24="I"),(Y24&lt;&gt;"~"),(COUNTIF($AN$1:$AN24,$AN24)=1)),"TRUE","FALSE")</f>
        <v>TRUE</v>
      </c>
      <c r="AH24" s="661" t="str">
        <f>IF(AND($Y24&gt;=22, (AI24&lt;&gt;"I"),(Y24&lt;&gt;"~"),(COUNTIF($AN$1:$AN24,$AN24)=1)),"TRUE","FALSE")</f>
        <v>FALSE</v>
      </c>
      <c r="AI24" s="661" t="str">
        <f t="shared" si="6"/>
        <v>I</v>
      </c>
      <c r="AJ24" s="662" t="str">
        <f t="shared" si="1"/>
        <v>SPRK-002</v>
      </c>
      <c r="AK24" s="662" t="str">
        <f t="shared" si="2"/>
        <v>PAS</v>
      </c>
      <c r="AL24" s="662" t="str">
        <f t="shared" si="3"/>
        <v>CHV</v>
      </c>
      <c r="AM24" s="662" t="str">
        <f t="shared" si="4"/>
        <v>Spark-1LT-FWD-4-~-~-1.4L-4-1DS48-1SD-93.9-9.2-Unleaded-Unleaded</v>
      </c>
      <c r="AN24" s="662" t="str">
        <f t="shared" si="5"/>
        <v>2019-PAS-CHV-SPRK-002</v>
      </c>
    </row>
    <row r="25" spans="1:40" s="572" customFormat="1" ht="15">
      <c r="A25" s="570" t="s">
        <v>218</v>
      </c>
      <c r="B25" s="573" t="s">
        <v>219</v>
      </c>
      <c r="C25" s="573" t="s">
        <v>169</v>
      </c>
      <c r="D25" s="578">
        <v>11</v>
      </c>
      <c r="E25" s="573" t="s">
        <v>151</v>
      </c>
      <c r="F25" s="573" t="s">
        <v>152</v>
      </c>
      <c r="G25" s="573" t="s">
        <v>153</v>
      </c>
      <c r="H25" s="573">
        <v>2019</v>
      </c>
      <c r="I25" s="573" t="s">
        <v>220</v>
      </c>
      <c r="J25" s="573" t="s">
        <v>155</v>
      </c>
      <c r="K25" s="573" t="s">
        <v>156</v>
      </c>
      <c r="L25" s="573">
        <v>5</v>
      </c>
      <c r="M25" s="573">
        <v>0</v>
      </c>
      <c r="N25" s="573" t="s">
        <v>157</v>
      </c>
      <c r="O25" s="573">
        <v>2</v>
      </c>
      <c r="P25" s="573" t="s">
        <v>157</v>
      </c>
      <c r="Q25" s="571" t="s">
        <v>157</v>
      </c>
      <c r="R25" s="573" t="s">
        <v>205</v>
      </c>
      <c r="S25" s="573">
        <v>4</v>
      </c>
      <c r="T25" s="573" t="s">
        <v>221</v>
      </c>
      <c r="U25" s="573" t="s">
        <v>161</v>
      </c>
      <c r="V25" s="573">
        <v>106.1</v>
      </c>
      <c r="W25" s="573">
        <v>8.9</v>
      </c>
      <c r="X25" s="571">
        <v>3543</v>
      </c>
      <c r="Y25" s="579">
        <v>106</v>
      </c>
      <c r="Z25" s="579" t="s">
        <v>163</v>
      </c>
      <c r="AA25" s="579" t="s">
        <v>178</v>
      </c>
      <c r="AB25" s="584">
        <v>34395</v>
      </c>
      <c r="AC25" s="584" t="s">
        <v>164</v>
      </c>
      <c r="AD25" s="584">
        <v>31172.541666666668</v>
      </c>
      <c r="AE25" s="586">
        <v>0.05</v>
      </c>
      <c r="AF25" s="661" t="str">
        <f t="shared" si="0"/>
        <v>2019-PAS-CHV-VOLT-001-11</v>
      </c>
      <c r="AG25" s="661" t="str">
        <f>IF(AND($Y25&gt;=32,(AI25="I"),(Y25&lt;&gt;"~"),(COUNTIF($AN$1:$AN25,$AN25)=1)),"TRUE","FALSE")</f>
        <v>TRUE</v>
      </c>
      <c r="AH25" s="661" t="str">
        <f>IF(AND($Y25&gt;=22, (AI25&lt;&gt;"I"),(Y25&lt;&gt;"~"),(COUNTIF($AN$1:$AN25,$AN25)=1)),"TRUE","FALSE")</f>
        <v>FALSE</v>
      </c>
      <c r="AI25" s="661" t="str">
        <f t="shared" si="6"/>
        <v>I</v>
      </c>
      <c r="AJ25" s="662" t="str">
        <f t="shared" si="1"/>
        <v>VOLT-001</v>
      </c>
      <c r="AK25" s="662" t="str">
        <f t="shared" si="2"/>
        <v>PAS</v>
      </c>
      <c r="AL25" s="662" t="str">
        <f t="shared" si="3"/>
        <v>CHV</v>
      </c>
      <c r="AM25" s="662" t="str">
        <f t="shared" si="4"/>
        <v>Volt-LT-FWD-5-~-~-1.5L-4-1RF68-2LT-106.1-8.9-Electric-Unleaded</v>
      </c>
      <c r="AN25" s="662" t="str">
        <f t="shared" si="5"/>
        <v>2019-PAS-CHV-VOLT-001</v>
      </c>
    </row>
    <row r="26" spans="1:40" s="572" customFormat="1" ht="15">
      <c r="A26" s="570" t="s">
        <v>222</v>
      </c>
      <c r="B26" s="569" t="s">
        <v>219</v>
      </c>
      <c r="C26" s="569" t="s">
        <v>150</v>
      </c>
      <c r="D26" s="580">
        <v>13</v>
      </c>
      <c r="E26" s="569" t="s">
        <v>151</v>
      </c>
      <c r="F26" s="569" t="s">
        <v>152</v>
      </c>
      <c r="G26" s="569" t="s">
        <v>153</v>
      </c>
      <c r="H26" s="569">
        <v>2019</v>
      </c>
      <c r="I26" s="569" t="s">
        <v>220</v>
      </c>
      <c r="J26" s="569" t="s">
        <v>155</v>
      </c>
      <c r="K26" s="569" t="s">
        <v>156</v>
      </c>
      <c r="L26" s="569">
        <v>5</v>
      </c>
      <c r="M26" s="569">
        <v>0</v>
      </c>
      <c r="N26" s="569" t="s">
        <v>157</v>
      </c>
      <c r="O26" s="569">
        <v>2</v>
      </c>
      <c r="P26" s="569" t="s">
        <v>157</v>
      </c>
      <c r="Q26" s="568" t="s">
        <v>157</v>
      </c>
      <c r="R26" s="569" t="s">
        <v>205</v>
      </c>
      <c r="S26" s="569">
        <v>4</v>
      </c>
      <c r="T26" s="569" t="s">
        <v>221</v>
      </c>
      <c r="U26" s="569" t="s">
        <v>161</v>
      </c>
      <c r="V26" s="569">
        <v>106.1</v>
      </c>
      <c r="W26" s="569">
        <v>8.9</v>
      </c>
      <c r="X26" s="568">
        <v>3543</v>
      </c>
      <c r="Y26" s="581">
        <v>106</v>
      </c>
      <c r="Z26" s="581" t="s">
        <v>163</v>
      </c>
      <c r="AA26" s="581" t="s">
        <v>178</v>
      </c>
      <c r="AB26" s="585">
        <v>34395</v>
      </c>
      <c r="AC26" s="585" t="s">
        <v>164</v>
      </c>
      <c r="AD26" s="585">
        <v>32770</v>
      </c>
      <c r="AE26" s="587">
        <v>0.03</v>
      </c>
      <c r="AF26" s="661" t="str">
        <f t="shared" si="0"/>
        <v>2019-PAS-CHV-VOLT-001-13</v>
      </c>
      <c r="AG26" s="661" t="str">
        <f>IF(AND($Y26&gt;=32,(AI26="I"),(Y26&lt;&gt;"~"),(COUNTIF($AN$1:$AN26,$AN26)=1)),"TRUE","FALSE")</f>
        <v>FALSE</v>
      </c>
      <c r="AH26" s="661" t="str">
        <f>IF(AND($Y26&gt;=22, (AI26&lt;&gt;"I"),(Y26&lt;&gt;"~"),(COUNTIF($AN$1:$AN26,$AN26)=1)),"TRUE","FALSE")</f>
        <v>FALSE</v>
      </c>
      <c r="AI26" s="661" t="str">
        <f t="shared" si="6"/>
        <v>I</v>
      </c>
      <c r="AJ26" s="662" t="str">
        <f t="shared" si="1"/>
        <v>VOLT-001</v>
      </c>
      <c r="AK26" s="662" t="str">
        <f t="shared" si="2"/>
        <v>PAS</v>
      </c>
      <c r="AL26" s="662" t="str">
        <f t="shared" si="3"/>
        <v>CHV</v>
      </c>
      <c r="AM26" s="662" t="str">
        <f t="shared" si="4"/>
        <v>Volt-LT-FWD-5-~-~-1.5L-4-1RF68-2LT-106.1-8.9-Electric-Unleaded</v>
      </c>
      <c r="AN26" s="662" t="str">
        <f t="shared" si="5"/>
        <v>2019-PAS-CHV-VOLT-001</v>
      </c>
    </row>
    <row r="27" spans="1:40" s="572" customFormat="1" ht="15">
      <c r="A27" s="570" t="s">
        <v>223</v>
      </c>
      <c r="B27" s="573" t="s">
        <v>219</v>
      </c>
      <c r="C27" s="573" t="s">
        <v>166</v>
      </c>
      <c r="D27" s="578">
        <v>17</v>
      </c>
      <c r="E27" s="573" t="s">
        <v>151</v>
      </c>
      <c r="F27" s="573" t="s">
        <v>152</v>
      </c>
      <c r="G27" s="573" t="s">
        <v>153</v>
      </c>
      <c r="H27" s="573">
        <v>2019</v>
      </c>
      <c r="I27" s="573" t="s">
        <v>220</v>
      </c>
      <c r="J27" s="573" t="s">
        <v>155</v>
      </c>
      <c r="K27" s="573" t="s">
        <v>156</v>
      </c>
      <c r="L27" s="573">
        <v>5</v>
      </c>
      <c r="M27" s="573">
        <v>0</v>
      </c>
      <c r="N27" s="573" t="s">
        <v>157</v>
      </c>
      <c r="O27" s="573">
        <v>2</v>
      </c>
      <c r="P27" s="573" t="s">
        <v>157</v>
      </c>
      <c r="Q27" s="571" t="s">
        <v>157</v>
      </c>
      <c r="R27" s="573" t="s">
        <v>205</v>
      </c>
      <c r="S27" s="573">
        <v>4</v>
      </c>
      <c r="T27" s="573" t="s">
        <v>221</v>
      </c>
      <c r="U27" s="573" t="s">
        <v>161</v>
      </c>
      <c r="V27" s="573">
        <v>106.1</v>
      </c>
      <c r="W27" s="573">
        <v>8.9</v>
      </c>
      <c r="X27" s="571">
        <v>3543</v>
      </c>
      <c r="Y27" s="579">
        <v>106</v>
      </c>
      <c r="Z27" s="579" t="s">
        <v>163</v>
      </c>
      <c r="AA27" s="579" t="s">
        <v>178</v>
      </c>
      <c r="AB27" s="584">
        <v>34395</v>
      </c>
      <c r="AC27" s="584" t="s">
        <v>164</v>
      </c>
      <c r="AD27" s="584">
        <v>32800</v>
      </c>
      <c r="AE27" s="586">
        <v>7.1999999999999995E-2</v>
      </c>
      <c r="AF27" s="661" t="str">
        <f t="shared" si="0"/>
        <v>2019-PAS-CHV-VOLT-001-17</v>
      </c>
      <c r="AG27" s="661" t="str">
        <f>IF(AND($Y27&gt;=32,(AI27="I"),(Y27&lt;&gt;"~"),(COUNTIF($AN$1:$AN27,$AN27)=1)),"TRUE","FALSE")</f>
        <v>FALSE</v>
      </c>
      <c r="AH27" s="661" t="str">
        <f>IF(AND($Y27&gt;=22, (AI27&lt;&gt;"I"),(Y27&lt;&gt;"~"),(COUNTIF($AN$1:$AN27,$AN27)=1)),"TRUE","FALSE")</f>
        <v>FALSE</v>
      </c>
      <c r="AI27" s="661" t="str">
        <f t="shared" si="6"/>
        <v>I</v>
      </c>
      <c r="AJ27" s="662" t="str">
        <f t="shared" si="1"/>
        <v>VOLT-001</v>
      </c>
      <c r="AK27" s="662" t="str">
        <f t="shared" si="2"/>
        <v>PAS</v>
      </c>
      <c r="AL27" s="662" t="str">
        <f t="shared" si="3"/>
        <v>CHV</v>
      </c>
      <c r="AM27" s="662" t="str">
        <f t="shared" si="4"/>
        <v>Volt-LT-FWD-5-~-~-1.5L-4-1RF68-2LT-106.1-8.9-Electric-Unleaded</v>
      </c>
      <c r="AN27" s="662" t="str">
        <f t="shared" si="5"/>
        <v>2019-PAS-CHV-VOLT-001</v>
      </c>
    </row>
    <row r="28" spans="1:40" s="572" customFormat="1" ht="15">
      <c r="A28" s="570" t="s">
        <v>224</v>
      </c>
      <c r="B28" s="569" t="s">
        <v>225</v>
      </c>
      <c r="C28" s="569" t="s">
        <v>226</v>
      </c>
      <c r="D28" s="580" t="s">
        <v>227</v>
      </c>
      <c r="E28" s="569" t="s">
        <v>151</v>
      </c>
      <c r="F28" s="569" t="s">
        <v>187</v>
      </c>
      <c r="G28" s="569" t="s">
        <v>228</v>
      </c>
      <c r="H28" s="569">
        <v>2019</v>
      </c>
      <c r="I28" s="569">
        <v>300</v>
      </c>
      <c r="J28" s="569" t="s">
        <v>229</v>
      </c>
      <c r="K28" s="569" t="s">
        <v>230</v>
      </c>
      <c r="L28" s="569">
        <v>5</v>
      </c>
      <c r="M28" s="569">
        <v>0</v>
      </c>
      <c r="N28" s="569" t="s">
        <v>157</v>
      </c>
      <c r="O28" s="569">
        <v>2</v>
      </c>
      <c r="P28" s="569" t="s">
        <v>157</v>
      </c>
      <c r="Q28" s="568" t="s">
        <v>157</v>
      </c>
      <c r="R28" s="569" t="s">
        <v>231</v>
      </c>
      <c r="S28" s="569">
        <v>6</v>
      </c>
      <c r="T28" s="569" t="s">
        <v>232</v>
      </c>
      <c r="U28" s="569" t="s">
        <v>233</v>
      </c>
      <c r="V28" s="569">
        <v>120.2</v>
      </c>
      <c r="W28" s="569">
        <v>18.5</v>
      </c>
      <c r="X28" s="568">
        <v>5350</v>
      </c>
      <c r="Y28" s="581">
        <v>23</v>
      </c>
      <c r="Z28" s="581" t="s">
        <v>178</v>
      </c>
      <c r="AA28" s="581" t="s">
        <v>178</v>
      </c>
      <c r="AB28" s="585">
        <v>32840</v>
      </c>
      <c r="AC28" s="585" t="s">
        <v>164</v>
      </c>
      <c r="AD28" s="585">
        <v>27708</v>
      </c>
      <c r="AE28" s="587">
        <v>6.25E-2</v>
      </c>
      <c r="AF28" s="661" t="str">
        <f t="shared" si="0"/>
        <v>2019-PAS-CRY-~300-003-04</v>
      </c>
      <c r="AG28" s="661" t="str">
        <f>IF(AND($Y28&gt;=32,(AI28="I"),(Y28&lt;&gt;"~"),(COUNTIF($AN$1:$AN28,$AN28)=1)),"TRUE","FALSE")</f>
        <v>FALSE</v>
      </c>
      <c r="AH28" s="661" t="str">
        <f>IF(AND($Y28&gt;=22, (AI28&lt;&gt;"I"),(Y28&lt;&gt;"~"),(COUNTIF($AN$1:$AN28,$AN28)=1)),"TRUE","FALSE")</f>
        <v>FALSE</v>
      </c>
      <c r="AI28" s="661" t="str">
        <f t="shared" si="6"/>
        <v>I</v>
      </c>
      <c r="AJ28" s="662" t="str">
        <f t="shared" si="1"/>
        <v>~300-003</v>
      </c>
      <c r="AK28" s="662" t="str">
        <f t="shared" si="2"/>
        <v>PAS</v>
      </c>
      <c r="AL28" s="662" t="str">
        <f t="shared" si="3"/>
        <v>CRY</v>
      </c>
      <c r="AM28" s="662" t="str">
        <f t="shared" si="4"/>
        <v>300-Touring -AWD-5-~-~-3.6L-6-LXFH48-22E-120.2-18.5-Unleaded-Unleaded</v>
      </c>
      <c r="AN28" s="662" t="str">
        <f t="shared" si="5"/>
        <v>2019-PAS-CRY-~300-003</v>
      </c>
    </row>
    <row r="29" spans="1:40" s="572" customFormat="1" ht="15">
      <c r="A29" s="570" t="s">
        <v>234</v>
      </c>
      <c r="B29" s="573" t="s">
        <v>235</v>
      </c>
      <c r="C29" s="573" t="s">
        <v>226</v>
      </c>
      <c r="D29" s="578" t="s">
        <v>227</v>
      </c>
      <c r="E29" s="573" t="s">
        <v>151</v>
      </c>
      <c r="F29" s="573" t="s">
        <v>187</v>
      </c>
      <c r="G29" s="573" t="s">
        <v>228</v>
      </c>
      <c r="H29" s="573">
        <v>2019</v>
      </c>
      <c r="I29" s="573">
        <v>300</v>
      </c>
      <c r="J29" s="573" t="s">
        <v>229</v>
      </c>
      <c r="K29" s="573" t="s">
        <v>236</v>
      </c>
      <c r="L29" s="573">
        <v>5</v>
      </c>
      <c r="M29" s="573">
        <v>0</v>
      </c>
      <c r="N29" s="573" t="s">
        <v>157</v>
      </c>
      <c r="O29" s="573">
        <v>2</v>
      </c>
      <c r="P29" s="573" t="s">
        <v>157</v>
      </c>
      <c r="Q29" s="571" t="s">
        <v>157</v>
      </c>
      <c r="R29" s="573" t="s">
        <v>231</v>
      </c>
      <c r="S29" s="573">
        <v>6</v>
      </c>
      <c r="T29" s="573" t="s">
        <v>237</v>
      </c>
      <c r="U29" s="573" t="s">
        <v>233</v>
      </c>
      <c r="V29" s="573">
        <v>120.2</v>
      </c>
      <c r="W29" s="573">
        <v>18.5</v>
      </c>
      <c r="X29" s="571">
        <v>5100</v>
      </c>
      <c r="Y29" s="579">
        <v>23</v>
      </c>
      <c r="Z29" s="579" t="s">
        <v>178</v>
      </c>
      <c r="AA29" s="579" t="s">
        <v>178</v>
      </c>
      <c r="AB29" s="584">
        <v>30340</v>
      </c>
      <c r="AC29" s="584" t="s">
        <v>164</v>
      </c>
      <c r="AD29" s="584">
        <v>25436</v>
      </c>
      <c r="AE29" s="586">
        <v>6.25E-2</v>
      </c>
      <c r="AF29" s="661" t="str">
        <f t="shared" si="0"/>
        <v>2019-PAS-CRY-~300-004-04</v>
      </c>
      <c r="AG29" s="661" t="str">
        <f>IF(AND($Y29&gt;=32,(AI29="I"),(Y29&lt;&gt;"~"),(COUNTIF($AN$1:$AN29,$AN29)=1)),"TRUE","FALSE")</f>
        <v>FALSE</v>
      </c>
      <c r="AH29" s="661" t="str">
        <f>IF(AND($Y29&gt;=22, (AI29&lt;&gt;"I"),(Y29&lt;&gt;"~"),(COUNTIF($AN$1:$AN29,$AN29)=1)),"TRUE","FALSE")</f>
        <v>FALSE</v>
      </c>
      <c r="AI29" s="661" t="str">
        <f t="shared" si="6"/>
        <v>I</v>
      </c>
      <c r="AJ29" s="662" t="str">
        <f t="shared" si="1"/>
        <v>~300-004</v>
      </c>
      <c r="AK29" s="662" t="str">
        <f t="shared" si="2"/>
        <v>PAS</v>
      </c>
      <c r="AL29" s="662" t="str">
        <f t="shared" si="3"/>
        <v>CRY</v>
      </c>
      <c r="AM29" s="662" t="str">
        <f t="shared" si="4"/>
        <v>300-Touring -RWD-5-~-~-3.6L-6-LXCH48-22E-120.2-18.5-Unleaded-Unleaded</v>
      </c>
      <c r="AN29" s="662" t="str">
        <f t="shared" si="5"/>
        <v>2019-PAS-CRY-~300-004</v>
      </c>
    </row>
    <row r="30" spans="1:40" s="572" customFormat="1" ht="15">
      <c r="A30" s="570" t="s">
        <v>238</v>
      </c>
      <c r="B30" s="569" t="s">
        <v>239</v>
      </c>
      <c r="C30" s="569" t="s">
        <v>240</v>
      </c>
      <c r="D30" s="580" t="s">
        <v>241</v>
      </c>
      <c r="E30" s="569" t="s">
        <v>151</v>
      </c>
      <c r="F30" s="569" t="s">
        <v>187</v>
      </c>
      <c r="G30" s="569" t="s">
        <v>228</v>
      </c>
      <c r="H30" s="569">
        <v>2019</v>
      </c>
      <c r="I30" s="569">
        <v>300</v>
      </c>
      <c r="J30" s="569" t="s">
        <v>242</v>
      </c>
      <c r="K30" s="569" t="s">
        <v>230</v>
      </c>
      <c r="L30" s="569">
        <v>5</v>
      </c>
      <c r="M30" s="569">
        <v>0</v>
      </c>
      <c r="N30" s="569" t="s">
        <v>157</v>
      </c>
      <c r="O30" s="569">
        <v>2</v>
      </c>
      <c r="P30" s="569" t="s">
        <v>157</v>
      </c>
      <c r="Q30" s="568" t="s">
        <v>157</v>
      </c>
      <c r="R30" s="569" t="s">
        <v>231</v>
      </c>
      <c r="S30" s="569">
        <v>6</v>
      </c>
      <c r="T30" s="569" t="s">
        <v>232</v>
      </c>
      <c r="U30" s="569" t="s">
        <v>243</v>
      </c>
      <c r="V30" s="569">
        <v>120.2</v>
      </c>
      <c r="W30" s="569">
        <v>18.5</v>
      </c>
      <c r="X30" s="568">
        <v>5350</v>
      </c>
      <c r="Y30" s="581">
        <v>21</v>
      </c>
      <c r="Z30" s="581" t="s">
        <v>178</v>
      </c>
      <c r="AA30" s="581" t="s">
        <v>178</v>
      </c>
      <c r="AB30" s="585">
        <v>36485</v>
      </c>
      <c r="AC30" s="585" t="s">
        <v>164</v>
      </c>
      <c r="AD30" s="585">
        <v>30858.333333333299</v>
      </c>
      <c r="AE30" s="587">
        <v>0.05</v>
      </c>
      <c r="AF30" s="661" t="str">
        <f t="shared" si="0"/>
        <v>2019-PAS-CRY-~300-001-08</v>
      </c>
      <c r="AG30" s="661" t="str">
        <f>IF(AND($Y30&gt;=32,(AI30="I"),(Y30&lt;&gt;"~"),(COUNTIF($AN$1:$AN30,$AN30)=1)),"TRUE","FALSE")</f>
        <v>FALSE</v>
      </c>
      <c r="AH30" s="661" t="str">
        <f>IF(AND($Y30&gt;=22, (AI30&lt;&gt;"I"),(Y30&lt;&gt;"~"),(COUNTIF($AN$1:$AN30,$AN30)=1)),"TRUE","FALSE")</f>
        <v>FALSE</v>
      </c>
      <c r="AI30" s="661" t="str">
        <f t="shared" si="6"/>
        <v>I</v>
      </c>
      <c r="AJ30" s="662" t="str">
        <f t="shared" si="1"/>
        <v>~300-001</v>
      </c>
      <c r="AK30" s="662" t="str">
        <f t="shared" si="2"/>
        <v>PAS</v>
      </c>
      <c r="AL30" s="662" t="str">
        <f t="shared" si="3"/>
        <v>CRY</v>
      </c>
      <c r="AM30" s="662" t="str">
        <f t="shared" si="4"/>
        <v>300-Touring L-AWD-5-~-~-3.6L-6-LXFH48-22F-120.2-18.5-Unleaded-Unleaded</v>
      </c>
      <c r="AN30" s="662" t="str">
        <f t="shared" si="5"/>
        <v>2019-PAS-CRY-~300-001</v>
      </c>
    </row>
    <row r="31" spans="1:40" s="572" customFormat="1" ht="15">
      <c r="A31" s="570" t="s">
        <v>244</v>
      </c>
      <c r="B31" s="573" t="s">
        <v>245</v>
      </c>
      <c r="C31" s="573" t="s">
        <v>240</v>
      </c>
      <c r="D31" s="578" t="s">
        <v>241</v>
      </c>
      <c r="E31" s="573" t="s">
        <v>151</v>
      </c>
      <c r="F31" s="573" t="s">
        <v>187</v>
      </c>
      <c r="G31" s="573" t="s">
        <v>228</v>
      </c>
      <c r="H31" s="573">
        <v>2019</v>
      </c>
      <c r="I31" s="573">
        <v>300</v>
      </c>
      <c r="J31" s="573" t="s">
        <v>242</v>
      </c>
      <c r="K31" s="573" t="s">
        <v>236</v>
      </c>
      <c r="L31" s="573">
        <v>5</v>
      </c>
      <c r="M31" s="573">
        <v>0</v>
      </c>
      <c r="N31" s="573" t="s">
        <v>157</v>
      </c>
      <c r="O31" s="573">
        <v>2</v>
      </c>
      <c r="P31" s="573" t="s">
        <v>157</v>
      </c>
      <c r="Q31" s="571" t="s">
        <v>157</v>
      </c>
      <c r="R31" s="573" t="s">
        <v>231</v>
      </c>
      <c r="S31" s="573">
        <v>6</v>
      </c>
      <c r="T31" s="573" t="s">
        <v>237</v>
      </c>
      <c r="U31" s="573" t="s">
        <v>243</v>
      </c>
      <c r="V31" s="573">
        <v>120.2</v>
      </c>
      <c r="W31" s="573">
        <v>18.5</v>
      </c>
      <c r="X31" s="571">
        <v>5100</v>
      </c>
      <c r="Y31" s="579">
        <v>23</v>
      </c>
      <c r="Z31" s="579" t="s">
        <v>178</v>
      </c>
      <c r="AA31" s="579" t="s">
        <v>178</v>
      </c>
      <c r="AB31" s="584">
        <v>33985</v>
      </c>
      <c r="AC31" s="584" t="s">
        <v>164</v>
      </c>
      <c r="AD31" s="584">
        <v>28514.583333333336</v>
      </c>
      <c r="AE31" s="586">
        <v>0.05</v>
      </c>
      <c r="AF31" s="661" t="str">
        <f t="shared" si="0"/>
        <v>2019-PAS-CRY-~300-002-08</v>
      </c>
      <c r="AG31" s="661" t="str">
        <f>IF(AND($Y31&gt;=32,(AI31="I"),(Y31&lt;&gt;"~"),(COUNTIF($AN$1:$AN31,$AN31)=1)),"TRUE","FALSE")</f>
        <v>FALSE</v>
      </c>
      <c r="AH31" s="661" t="str">
        <f>IF(AND($Y31&gt;=22, (AI31&lt;&gt;"I"),(Y31&lt;&gt;"~"),(COUNTIF($AN$1:$AN31,$AN31)=1)),"TRUE","FALSE")</f>
        <v>FALSE</v>
      </c>
      <c r="AI31" s="661" t="str">
        <f t="shared" si="6"/>
        <v>I</v>
      </c>
      <c r="AJ31" s="662" t="str">
        <f t="shared" si="1"/>
        <v>~300-002</v>
      </c>
      <c r="AK31" s="662" t="str">
        <f t="shared" si="2"/>
        <v>PAS</v>
      </c>
      <c r="AL31" s="662" t="str">
        <f t="shared" si="3"/>
        <v>CRY</v>
      </c>
      <c r="AM31" s="662" t="str">
        <f t="shared" si="4"/>
        <v>300-Touring L-RWD-5-~-~-3.6L-6-LXCH48-22F-120.2-18.5-Unleaded-Unleaded</v>
      </c>
      <c r="AN31" s="662" t="str">
        <f t="shared" si="5"/>
        <v>2019-PAS-CRY-~300-002</v>
      </c>
    </row>
    <row r="32" spans="1:40" s="572" customFormat="1" ht="15">
      <c r="A32" s="570" t="s">
        <v>246</v>
      </c>
      <c r="B32" s="569" t="s">
        <v>247</v>
      </c>
      <c r="C32" s="569" t="s">
        <v>226</v>
      </c>
      <c r="D32" s="580" t="s">
        <v>227</v>
      </c>
      <c r="E32" s="569" t="s">
        <v>151</v>
      </c>
      <c r="F32" s="569" t="s">
        <v>196</v>
      </c>
      <c r="G32" s="569" t="s">
        <v>248</v>
      </c>
      <c r="H32" s="569">
        <v>2019</v>
      </c>
      <c r="I32" s="569" t="s">
        <v>249</v>
      </c>
      <c r="J32" s="569" t="s">
        <v>250</v>
      </c>
      <c r="K32" s="569" t="s">
        <v>236</v>
      </c>
      <c r="L32" s="569">
        <v>5</v>
      </c>
      <c r="M32" s="569">
        <v>0</v>
      </c>
      <c r="N32" s="569" t="s">
        <v>157</v>
      </c>
      <c r="O32" s="569">
        <v>2</v>
      </c>
      <c r="P32" s="569" t="s">
        <v>157</v>
      </c>
      <c r="Q32" s="568" t="s">
        <v>157</v>
      </c>
      <c r="R32" s="569" t="s">
        <v>231</v>
      </c>
      <c r="S32" s="569">
        <v>6</v>
      </c>
      <c r="T32" s="569" t="s">
        <v>251</v>
      </c>
      <c r="U32" s="569" t="s">
        <v>252</v>
      </c>
      <c r="V32" s="569">
        <v>116.2</v>
      </c>
      <c r="W32" s="569">
        <v>18.5</v>
      </c>
      <c r="X32" s="568">
        <v>4950</v>
      </c>
      <c r="Y32" s="581">
        <v>23</v>
      </c>
      <c r="Z32" s="581" t="s">
        <v>178</v>
      </c>
      <c r="AA32" s="581" t="s">
        <v>178</v>
      </c>
      <c r="AB32" s="585">
        <v>28640</v>
      </c>
      <c r="AC32" s="585" t="s">
        <v>164</v>
      </c>
      <c r="AD32" s="585">
        <v>27178</v>
      </c>
      <c r="AE32" s="587">
        <v>6.25E-2</v>
      </c>
      <c r="AF32" s="661" t="str">
        <f t="shared" si="0"/>
        <v>2019-PAS-DOD-CHAL-001-04</v>
      </c>
      <c r="AG32" s="661" t="str">
        <f>IF(AND($Y32&gt;=32,(AI32="I"),(Y32&lt;&gt;"~"),(COUNTIF($AN$1:$AN32,$AN32)=1)),"TRUE","FALSE")</f>
        <v>FALSE</v>
      </c>
      <c r="AH32" s="661" t="str">
        <f>IF(AND($Y32&gt;=22, (AI32&lt;&gt;"I"),(Y32&lt;&gt;"~"),(COUNTIF($AN$1:$AN32,$AN32)=1)),"TRUE","FALSE")</f>
        <v>FALSE</v>
      </c>
      <c r="AI32" s="661" t="str">
        <f t="shared" si="6"/>
        <v>I</v>
      </c>
      <c r="AJ32" s="662" t="str">
        <f t="shared" si="1"/>
        <v>CHAL-001</v>
      </c>
      <c r="AK32" s="662" t="str">
        <f t="shared" si="2"/>
        <v>PAS</v>
      </c>
      <c r="AL32" s="662" t="str">
        <f t="shared" si="3"/>
        <v>DOD</v>
      </c>
      <c r="AM32" s="662" t="str">
        <f t="shared" si="4"/>
        <v>Challenger-SXT-RWD-5-~-~-3.6L-6-LADH22-21A-116.2-18.5-Unleaded-Unleaded</v>
      </c>
      <c r="AN32" s="662" t="str">
        <f t="shared" si="5"/>
        <v>2019-PAS-DOD-CHAL-001</v>
      </c>
    </row>
    <row r="33" spans="1:40" s="572" customFormat="1" ht="15">
      <c r="A33" s="570" t="s">
        <v>253</v>
      </c>
      <c r="B33" s="573" t="s">
        <v>247</v>
      </c>
      <c r="C33" s="573" t="s">
        <v>240</v>
      </c>
      <c r="D33" s="578" t="s">
        <v>241</v>
      </c>
      <c r="E33" s="573" t="s">
        <v>151</v>
      </c>
      <c r="F33" s="573" t="s">
        <v>196</v>
      </c>
      <c r="G33" s="573" t="s">
        <v>248</v>
      </c>
      <c r="H33" s="573">
        <v>2019</v>
      </c>
      <c r="I33" s="573" t="s">
        <v>249</v>
      </c>
      <c r="J33" s="573" t="s">
        <v>250</v>
      </c>
      <c r="K33" s="573" t="s">
        <v>236</v>
      </c>
      <c r="L33" s="573">
        <v>5</v>
      </c>
      <c r="M33" s="573">
        <v>0</v>
      </c>
      <c r="N33" s="573" t="s">
        <v>157</v>
      </c>
      <c r="O33" s="573">
        <v>2</v>
      </c>
      <c r="P33" s="573" t="s">
        <v>157</v>
      </c>
      <c r="Q33" s="571" t="s">
        <v>157</v>
      </c>
      <c r="R33" s="573" t="s">
        <v>231</v>
      </c>
      <c r="S33" s="573">
        <v>6</v>
      </c>
      <c r="T33" s="573" t="s">
        <v>251</v>
      </c>
      <c r="U33" s="573" t="s">
        <v>252</v>
      </c>
      <c r="V33" s="573">
        <v>116.2</v>
      </c>
      <c r="W33" s="573">
        <v>18.5</v>
      </c>
      <c r="X33" s="571">
        <v>3894</v>
      </c>
      <c r="Y33" s="579">
        <v>23</v>
      </c>
      <c r="Z33" s="579" t="s">
        <v>178</v>
      </c>
      <c r="AA33" s="579" t="s">
        <v>178</v>
      </c>
      <c r="AB33" s="584">
        <v>28640</v>
      </c>
      <c r="AC33" s="584" t="s">
        <v>164</v>
      </c>
      <c r="AD33" s="584">
        <v>27045.833333333336</v>
      </c>
      <c r="AE33" s="586">
        <v>0.05</v>
      </c>
      <c r="AF33" s="661" t="str">
        <f t="shared" si="0"/>
        <v>2019-PAS-DOD-CHAL-001-08</v>
      </c>
      <c r="AG33" s="661" t="str">
        <f>IF(AND($Y33&gt;=32,(AI33="I"),(Y33&lt;&gt;"~"),(COUNTIF($AN$1:$AN33,$AN33)=1)),"TRUE","FALSE")</f>
        <v>FALSE</v>
      </c>
      <c r="AH33" s="661" t="str">
        <f>IF(AND($Y33&gt;=22, (AI33&lt;&gt;"I"),(Y33&lt;&gt;"~"),(COUNTIF($AN$1:$AN33,$AN33)=1)),"TRUE","FALSE")</f>
        <v>FALSE</v>
      </c>
      <c r="AI33" s="661" t="str">
        <f t="shared" si="6"/>
        <v>I</v>
      </c>
      <c r="AJ33" s="662" t="str">
        <f t="shared" si="1"/>
        <v>CHAL-001</v>
      </c>
      <c r="AK33" s="662" t="str">
        <f t="shared" si="2"/>
        <v>PAS</v>
      </c>
      <c r="AL33" s="662" t="str">
        <f t="shared" si="3"/>
        <v>DOD</v>
      </c>
      <c r="AM33" s="662" t="str">
        <f t="shared" si="4"/>
        <v>Challenger-SXT-RWD-5-~-~-3.6L-6-LADH22-21A-116.2-18.5-Unleaded-Unleaded</v>
      </c>
      <c r="AN33" s="662" t="str">
        <f t="shared" si="5"/>
        <v>2019-PAS-DOD-CHAL-001</v>
      </c>
    </row>
    <row r="34" spans="1:40" s="572" customFormat="1" ht="15">
      <c r="A34" s="570" t="s">
        <v>254</v>
      </c>
      <c r="B34" s="569" t="s">
        <v>255</v>
      </c>
      <c r="C34" s="569" t="s">
        <v>240</v>
      </c>
      <c r="D34" s="580" t="s">
        <v>241</v>
      </c>
      <c r="E34" s="569" t="s">
        <v>151</v>
      </c>
      <c r="F34" s="569" t="s">
        <v>187</v>
      </c>
      <c r="G34" s="569" t="s">
        <v>248</v>
      </c>
      <c r="H34" s="569">
        <v>2019</v>
      </c>
      <c r="I34" s="569" t="s">
        <v>256</v>
      </c>
      <c r="J34" s="569" t="s">
        <v>257</v>
      </c>
      <c r="K34" s="569" t="s">
        <v>230</v>
      </c>
      <c r="L34" s="569">
        <v>5</v>
      </c>
      <c r="M34" s="569">
        <v>0</v>
      </c>
      <c r="N34" s="569" t="s">
        <v>157</v>
      </c>
      <c r="O34" s="569">
        <v>2</v>
      </c>
      <c r="P34" s="569" t="s">
        <v>157</v>
      </c>
      <c r="Q34" s="568" t="s">
        <v>157</v>
      </c>
      <c r="R34" s="569" t="s">
        <v>231</v>
      </c>
      <c r="S34" s="569">
        <v>6</v>
      </c>
      <c r="T34" s="569" t="s">
        <v>258</v>
      </c>
      <c r="U34" s="569" t="s">
        <v>259</v>
      </c>
      <c r="V34" s="569">
        <v>120.2</v>
      </c>
      <c r="W34" s="569">
        <v>18.5</v>
      </c>
      <c r="X34" s="568">
        <v>5350</v>
      </c>
      <c r="Y34" s="581">
        <v>21</v>
      </c>
      <c r="Z34" s="581" t="s">
        <v>178</v>
      </c>
      <c r="AA34" s="581" t="s">
        <v>178</v>
      </c>
      <c r="AB34" s="585">
        <v>34340</v>
      </c>
      <c r="AC34" s="585" t="s">
        <v>164</v>
      </c>
      <c r="AD34" s="585">
        <v>24847.916666666668</v>
      </c>
      <c r="AE34" s="587">
        <v>0.05</v>
      </c>
      <c r="AF34" s="661" t="str">
        <f t="shared" si="0"/>
        <v>2019-PAS-DOD-CHRG-001-08</v>
      </c>
      <c r="AG34" s="661" t="str">
        <f>IF(AND($Y34&gt;=32,(AI34="I"),(Y34&lt;&gt;"~"),(COUNTIF($AN$1:$AN34,$AN34)=1)),"TRUE","FALSE")</f>
        <v>FALSE</v>
      </c>
      <c r="AH34" s="661" t="str">
        <f>IF(AND($Y34&gt;=22, (AI34&lt;&gt;"I"),(Y34&lt;&gt;"~"),(COUNTIF($AN$1:$AN34,$AN34)=1)),"TRUE","FALSE")</f>
        <v>FALSE</v>
      </c>
      <c r="AI34" s="661" t="str">
        <f t="shared" si="6"/>
        <v>I</v>
      </c>
      <c r="AJ34" s="662" t="str">
        <f t="shared" si="1"/>
        <v>CHRG-001</v>
      </c>
      <c r="AK34" s="662" t="str">
        <f t="shared" si="2"/>
        <v>PAS</v>
      </c>
      <c r="AL34" s="662" t="str">
        <f t="shared" si="3"/>
        <v>DOD</v>
      </c>
      <c r="AM34" s="662" t="str">
        <f t="shared" si="4"/>
        <v>Charger-GT-AWD-5-~-~-3.6L-6-LDES48-28H-120.2-18.5-Unleaded-Unleaded</v>
      </c>
      <c r="AN34" s="662" t="str">
        <f t="shared" si="5"/>
        <v>2019-PAS-DOD-CHRG-001</v>
      </c>
    </row>
    <row r="35" spans="1:40" s="572" customFormat="1" ht="15">
      <c r="A35" s="570" t="s">
        <v>260</v>
      </c>
      <c r="B35" s="573" t="s">
        <v>261</v>
      </c>
      <c r="C35" s="573" t="s">
        <v>226</v>
      </c>
      <c r="D35" s="578" t="s">
        <v>227</v>
      </c>
      <c r="E35" s="573" t="s">
        <v>151</v>
      </c>
      <c r="F35" s="573" t="s">
        <v>187</v>
      </c>
      <c r="G35" s="573" t="s">
        <v>248</v>
      </c>
      <c r="H35" s="573">
        <v>2019</v>
      </c>
      <c r="I35" s="573" t="s">
        <v>256</v>
      </c>
      <c r="J35" s="573" t="s">
        <v>250</v>
      </c>
      <c r="K35" s="573" t="s">
        <v>230</v>
      </c>
      <c r="L35" s="573">
        <v>5</v>
      </c>
      <c r="M35" s="573">
        <v>0</v>
      </c>
      <c r="N35" s="573" t="s">
        <v>157</v>
      </c>
      <c r="O35" s="573">
        <v>2</v>
      </c>
      <c r="P35" s="573" t="s">
        <v>157</v>
      </c>
      <c r="Q35" s="571" t="s">
        <v>157</v>
      </c>
      <c r="R35" s="573" t="s">
        <v>231</v>
      </c>
      <c r="S35" s="573">
        <v>6</v>
      </c>
      <c r="T35" s="573" t="s">
        <v>258</v>
      </c>
      <c r="U35" s="573" t="s">
        <v>259</v>
      </c>
      <c r="V35" s="573">
        <v>120.2</v>
      </c>
      <c r="W35" s="573">
        <v>18.5</v>
      </c>
      <c r="X35" s="571">
        <v>5350</v>
      </c>
      <c r="Y35" s="579">
        <v>21</v>
      </c>
      <c r="Z35" s="579" t="s">
        <v>178</v>
      </c>
      <c r="AA35" s="579" t="s">
        <v>178</v>
      </c>
      <c r="AB35" s="584">
        <v>34340</v>
      </c>
      <c r="AC35" s="584" t="s">
        <v>164</v>
      </c>
      <c r="AD35" s="584">
        <v>25047</v>
      </c>
      <c r="AE35" s="586">
        <v>6.25E-2</v>
      </c>
      <c r="AF35" s="661" t="str">
        <f t="shared" si="0"/>
        <v>2019-PAS-DOD-CHRG-006-04</v>
      </c>
      <c r="AG35" s="661" t="str">
        <f>IF(AND($Y35&gt;=32,(AI35="I"),(Y35&lt;&gt;"~"),(COUNTIF($AN$1:$AN35,$AN35)=1)),"TRUE","FALSE")</f>
        <v>FALSE</v>
      </c>
      <c r="AH35" s="661" t="str">
        <f>IF(AND($Y35&gt;=22, (AI35&lt;&gt;"I"),(Y35&lt;&gt;"~"),(COUNTIF($AN$1:$AN35,$AN35)=1)),"TRUE","FALSE")</f>
        <v>FALSE</v>
      </c>
      <c r="AI35" s="661" t="str">
        <f t="shared" si="6"/>
        <v>I</v>
      </c>
      <c r="AJ35" s="662" t="str">
        <f t="shared" si="1"/>
        <v>CHRG-006</v>
      </c>
      <c r="AK35" s="662" t="str">
        <f t="shared" si="2"/>
        <v>PAS</v>
      </c>
      <c r="AL35" s="662" t="str">
        <f t="shared" si="3"/>
        <v>DOD</v>
      </c>
      <c r="AM35" s="662" t="str">
        <f t="shared" si="4"/>
        <v>Charger-SXT-AWD-5-~-~-3.6L-6-LDES48-28H-120.2-18.5-Unleaded-Unleaded</v>
      </c>
      <c r="AN35" s="662" t="str">
        <f t="shared" si="5"/>
        <v>2019-PAS-DOD-CHRG-006</v>
      </c>
    </row>
    <row r="36" spans="1:40" s="572" customFormat="1" ht="15">
      <c r="A36" s="570" t="s">
        <v>262</v>
      </c>
      <c r="B36" s="569" t="s">
        <v>263</v>
      </c>
      <c r="C36" s="569" t="s">
        <v>226</v>
      </c>
      <c r="D36" s="580" t="s">
        <v>227</v>
      </c>
      <c r="E36" s="569" t="s">
        <v>151</v>
      </c>
      <c r="F36" s="569" t="s">
        <v>187</v>
      </c>
      <c r="G36" s="569" t="s">
        <v>248</v>
      </c>
      <c r="H36" s="569">
        <v>2019</v>
      </c>
      <c r="I36" s="569" t="s">
        <v>256</v>
      </c>
      <c r="J36" s="569" t="s">
        <v>250</v>
      </c>
      <c r="K36" s="569" t="s">
        <v>236</v>
      </c>
      <c r="L36" s="569">
        <v>5</v>
      </c>
      <c r="M36" s="569">
        <v>0</v>
      </c>
      <c r="N36" s="569" t="s">
        <v>157</v>
      </c>
      <c r="O36" s="569">
        <v>2</v>
      </c>
      <c r="P36" s="569" t="s">
        <v>157</v>
      </c>
      <c r="Q36" s="568" t="s">
        <v>157</v>
      </c>
      <c r="R36" s="569" t="s">
        <v>231</v>
      </c>
      <c r="S36" s="569">
        <v>6</v>
      </c>
      <c r="T36" s="569" t="s">
        <v>264</v>
      </c>
      <c r="U36" s="569" t="s">
        <v>265</v>
      </c>
      <c r="V36" s="569">
        <v>120.2</v>
      </c>
      <c r="W36" s="569">
        <v>18.5</v>
      </c>
      <c r="X36" s="568">
        <v>5100</v>
      </c>
      <c r="Y36" s="581">
        <v>23</v>
      </c>
      <c r="Z36" s="581" t="s">
        <v>178</v>
      </c>
      <c r="AA36" s="581" t="s">
        <v>178</v>
      </c>
      <c r="AB36" s="585">
        <v>30340</v>
      </c>
      <c r="AC36" s="585" t="s">
        <v>164</v>
      </c>
      <c r="AD36" s="585">
        <v>22386</v>
      </c>
      <c r="AE36" s="587">
        <v>6.25E-2</v>
      </c>
      <c r="AF36" s="661" t="str">
        <f t="shared" si="0"/>
        <v>2019-PAS-DOD-CHRG-005-04</v>
      </c>
      <c r="AG36" s="661" t="str">
        <f>IF(AND($Y36&gt;=32,(AI36="I"),(Y36&lt;&gt;"~"),(COUNTIF($AN$1:$AN36,$AN36)=1)),"TRUE","FALSE")</f>
        <v>FALSE</v>
      </c>
      <c r="AH36" s="661" t="str">
        <f>IF(AND($Y36&gt;=22, (AI36&lt;&gt;"I"),(Y36&lt;&gt;"~"),(COUNTIF($AN$1:$AN36,$AN36)=1)),"TRUE","FALSE")</f>
        <v>FALSE</v>
      </c>
      <c r="AI36" s="661" t="str">
        <f t="shared" si="6"/>
        <v>I</v>
      </c>
      <c r="AJ36" s="662" t="str">
        <f t="shared" si="1"/>
        <v>CHRG-005</v>
      </c>
      <c r="AK36" s="662" t="str">
        <f t="shared" si="2"/>
        <v>PAS</v>
      </c>
      <c r="AL36" s="662" t="str">
        <f t="shared" si="3"/>
        <v>DOD</v>
      </c>
      <c r="AM36" s="662" t="str">
        <f t="shared" si="4"/>
        <v>Charger-SXT-RWD-5-~-~-3.6L-6-LDDM48-29G-120.2-18.5-Unleaded-Unleaded</v>
      </c>
      <c r="AN36" s="662" t="str">
        <f t="shared" si="5"/>
        <v>2019-PAS-DOD-CHRG-005</v>
      </c>
    </row>
    <row r="37" spans="1:40" s="572" customFormat="1" ht="15">
      <c r="A37" s="570" t="s">
        <v>266</v>
      </c>
      <c r="B37" s="573" t="s">
        <v>263</v>
      </c>
      <c r="C37" s="573" t="s">
        <v>240</v>
      </c>
      <c r="D37" s="578" t="s">
        <v>241</v>
      </c>
      <c r="E37" s="573" t="s">
        <v>151</v>
      </c>
      <c r="F37" s="573" t="s">
        <v>187</v>
      </c>
      <c r="G37" s="573" t="s">
        <v>248</v>
      </c>
      <c r="H37" s="573">
        <v>2019</v>
      </c>
      <c r="I37" s="573" t="s">
        <v>256</v>
      </c>
      <c r="J37" s="573" t="s">
        <v>250</v>
      </c>
      <c r="K37" s="573" t="s">
        <v>236</v>
      </c>
      <c r="L37" s="573">
        <v>5</v>
      </c>
      <c r="M37" s="573">
        <v>0</v>
      </c>
      <c r="N37" s="573" t="s">
        <v>157</v>
      </c>
      <c r="O37" s="573">
        <v>2</v>
      </c>
      <c r="P37" s="573" t="s">
        <v>157</v>
      </c>
      <c r="Q37" s="571" t="s">
        <v>157</v>
      </c>
      <c r="R37" s="573" t="s">
        <v>231</v>
      </c>
      <c r="S37" s="573">
        <v>6</v>
      </c>
      <c r="T37" s="573" t="s">
        <v>264</v>
      </c>
      <c r="U37" s="573" t="s">
        <v>265</v>
      </c>
      <c r="V37" s="573">
        <v>120.2</v>
      </c>
      <c r="W37" s="573">
        <v>18.5</v>
      </c>
      <c r="X37" s="571">
        <v>5100</v>
      </c>
      <c r="Y37" s="579">
        <v>23</v>
      </c>
      <c r="Z37" s="579" t="s">
        <v>178</v>
      </c>
      <c r="AA37" s="579" t="s">
        <v>178</v>
      </c>
      <c r="AB37" s="584">
        <v>30340</v>
      </c>
      <c r="AC37" s="584" t="s">
        <v>164</v>
      </c>
      <c r="AD37" s="584">
        <v>22399</v>
      </c>
      <c r="AE37" s="586">
        <v>0.05</v>
      </c>
      <c r="AF37" s="661" t="str">
        <f t="shared" si="0"/>
        <v>2019-PAS-DOD-CHRG-005-08</v>
      </c>
      <c r="AG37" s="661" t="str">
        <f>IF(AND($Y37&gt;=32,(AI37="I"),(Y37&lt;&gt;"~"),(COUNTIF($AN$1:$AN37,$AN37)=1)),"TRUE","FALSE")</f>
        <v>FALSE</v>
      </c>
      <c r="AH37" s="661" t="str">
        <f>IF(AND($Y37&gt;=22, (AI37&lt;&gt;"I"),(Y37&lt;&gt;"~"),(COUNTIF($AN$1:$AN37,$AN37)=1)),"TRUE","FALSE")</f>
        <v>FALSE</v>
      </c>
      <c r="AI37" s="661" t="str">
        <f t="shared" si="6"/>
        <v>I</v>
      </c>
      <c r="AJ37" s="662" t="str">
        <f t="shared" si="1"/>
        <v>CHRG-005</v>
      </c>
      <c r="AK37" s="662" t="str">
        <f t="shared" si="2"/>
        <v>PAS</v>
      </c>
      <c r="AL37" s="662" t="str">
        <f t="shared" si="3"/>
        <v>DOD</v>
      </c>
      <c r="AM37" s="662" t="str">
        <f t="shared" si="4"/>
        <v>Charger-SXT-RWD-5-~-~-3.6L-6-LDDM48-29G-120.2-18.5-Unleaded-Unleaded</v>
      </c>
      <c r="AN37" s="662" t="str">
        <f t="shared" si="5"/>
        <v>2019-PAS-DOD-CHRG-005</v>
      </c>
    </row>
    <row r="38" spans="1:40" s="572" customFormat="1" ht="15">
      <c r="A38" s="570" t="s">
        <v>267</v>
      </c>
      <c r="B38" s="569" t="s">
        <v>268</v>
      </c>
      <c r="C38" s="569" t="s">
        <v>269</v>
      </c>
      <c r="D38" s="580" t="s">
        <v>270</v>
      </c>
      <c r="E38" s="569" t="s">
        <v>151</v>
      </c>
      <c r="F38" s="569" t="s">
        <v>211</v>
      </c>
      <c r="G38" s="569" t="s">
        <v>271</v>
      </c>
      <c r="H38" s="569">
        <v>2019</v>
      </c>
      <c r="I38" s="569" t="s">
        <v>272</v>
      </c>
      <c r="J38" s="569" t="s">
        <v>273</v>
      </c>
      <c r="K38" s="569" t="s">
        <v>156</v>
      </c>
      <c r="L38" s="569">
        <v>5</v>
      </c>
      <c r="M38" s="569">
        <v>0</v>
      </c>
      <c r="N38" s="569" t="s">
        <v>157</v>
      </c>
      <c r="O38" s="569">
        <v>2</v>
      </c>
      <c r="P38" s="569" t="s">
        <v>157</v>
      </c>
      <c r="Q38" s="568" t="s">
        <v>157</v>
      </c>
      <c r="R38" s="569" t="s">
        <v>274</v>
      </c>
      <c r="S38" s="569">
        <v>4</v>
      </c>
      <c r="T38" s="569" t="s">
        <v>275</v>
      </c>
      <c r="U38" s="569" t="s">
        <v>276</v>
      </c>
      <c r="V38" s="569">
        <v>98</v>
      </c>
      <c r="W38" s="569">
        <v>12.4</v>
      </c>
      <c r="X38" s="568">
        <v>2578</v>
      </c>
      <c r="Y38" s="581">
        <v>30</v>
      </c>
      <c r="Z38" s="581" t="s">
        <v>178</v>
      </c>
      <c r="AA38" s="581" t="s">
        <v>178</v>
      </c>
      <c r="AB38" s="585">
        <v>16230</v>
      </c>
      <c r="AC38" s="585" t="s">
        <v>164</v>
      </c>
      <c r="AD38" s="585">
        <v>14934.375</v>
      </c>
      <c r="AE38" s="587">
        <v>0.03</v>
      </c>
      <c r="AF38" s="661" t="str">
        <f t="shared" si="0"/>
        <v>2019-PAS-FRD-FSTA-001-05</v>
      </c>
      <c r="AG38" s="661" t="str">
        <f>IF(AND($Y38&gt;=32,(AI38="I"),(Y38&lt;&gt;"~"),(COUNTIF($AN$1:$AN38,$AN38)=1)),"TRUE","FALSE")</f>
        <v>FALSE</v>
      </c>
      <c r="AH38" s="661" t="str">
        <f>IF(AND($Y38&gt;=22, (AI38&lt;&gt;"I"),(Y38&lt;&gt;"~"),(COUNTIF($AN$1:$AN38,$AN38)=1)),"TRUE","FALSE")</f>
        <v>FALSE</v>
      </c>
      <c r="AI38" s="661" t="str">
        <f t="shared" si="6"/>
        <v>I</v>
      </c>
      <c r="AJ38" s="662" t="str">
        <f t="shared" si="1"/>
        <v>FSTA-001</v>
      </c>
      <c r="AK38" s="662" t="str">
        <f t="shared" si="2"/>
        <v>PAS</v>
      </c>
      <c r="AL38" s="662" t="str">
        <f t="shared" si="3"/>
        <v>FRD</v>
      </c>
      <c r="AM38" s="662" t="str">
        <f t="shared" si="4"/>
        <v>Fiesta-S-FWD-5-~-~-1.6L-4-P4A-100A-98-12.4-Unleaded-Unleaded</v>
      </c>
      <c r="AN38" s="662" t="str">
        <f t="shared" si="5"/>
        <v>2019-PAS-FRD-FSTA-001</v>
      </c>
    </row>
    <row r="39" spans="1:40" s="572" customFormat="1" ht="15">
      <c r="A39" s="570" t="s">
        <v>277</v>
      </c>
      <c r="B39" s="573" t="s">
        <v>268</v>
      </c>
      <c r="C39" s="573" t="s">
        <v>278</v>
      </c>
      <c r="D39" s="578">
        <v>15</v>
      </c>
      <c r="E39" s="573" t="s">
        <v>151</v>
      </c>
      <c r="F39" s="573" t="s">
        <v>211</v>
      </c>
      <c r="G39" s="573" t="s">
        <v>271</v>
      </c>
      <c r="H39" s="573">
        <v>2019</v>
      </c>
      <c r="I39" s="573" t="s">
        <v>272</v>
      </c>
      <c r="J39" s="573" t="s">
        <v>273</v>
      </c>
      <c r="K39" s="573" t="s">
        <v>156</v>
      </c>
      <c r="L39" s="573">
        <v>5</v>
      </c>
      <c r="M39" s="573">
        <v>0</v>
      </c>
      <c r="N39" s="573" t="s">
        <v>157</v>
      </c>
      <c r="O39" s="573">
        <v>2</v>
      </c>
      <c r="P39" s="573" t="s">
        <v>157</v>
      </c>
      <c r="Q39" s="571" t="s">
        <v>157</v>
      </c>
      <c r="R39" s="573" t="s">
        <v>274</v>
      </c>
      <c r="S39" s="573">
        <v>4</v>
      </c>
      <c r="T39" s="573" t="s">
        <v>275</v>
      </c>
      <c r="U39" s="573" t="s">
        <v>276</v>
      </c>
      <c r="V39" s="573">
        <v>98</v>
      </c>
      <c r="W39" s="573">
        <v>12.4</v>
      </c>
      <c r="X39" s="571">
        <v>2578</v>
      </c>
      <c r="Y39" s="579">
        <v>30</v>
      </c>
      <c r="Z39" s="579" t="s">
        <v>178</v>
      </c>
      <c r="AA39" s="579" t="s">
        <v>178</v>
      </c>
      <c r="AB39" s="584">
        <v>16230</v>
      </c>
      <c r="AC39" s="584" t="s">
        <v>164</v>
      </c>
      <c r="AD39" s="584">
        <v>14984</v>
      </c>
      <c r="AE39" s="586">
        <v>0.01</v>
      </c>
      <c r="AF39" s="661" t="str">
        <f t="shared" si="0"/>
        <v>2019-PAS-FRD-FSTA-001-15</v>
      </c>
      <c r="AG39" s="661" t="str">
        <f>IF(AND($Y39&gt;=32,(AI39="I"),(Y39&lt;&gt;"~"),(COUNTIF($AN$1:$AN39,$AN39)=1)),"TRUE","FALSE")</f>
        <v>FALSE</v>
      </c>
      <c r="AH39" s="661" t="str">
        <f>IF(AND($Y39&gt;=22, (AI39&lt;&gt;"I"),(Y39&lt;&gt;"~"),(COUNTIF($AN$1:$AN39,$AN39)=1)),"TRUE","FALSE")</f>
        <v>FALSE</v>
      </c>
      <c r="AI39" s="661" t="str">
        <f t="shared" si="6"/>
        <v>I</v>
      </c>
      <c r="AJ39" s="662" t="str">
        <f t="shared" si="1"/>
        <v>FSTA-001</v>
      </c>
      <c r="AK39" s="662" t="str">
        <f t="shared" si="2"/>
        <v>PAS</v>
      </c>
      <c r="AL39" s="662" t="str">
        <f t="shared" si="3"/>
        <v>FRD</v>
      </c>
      <c r="AM39" s="662" t="str">
        <f t="shared" si="4"/>
        <v>Fiesta-S-FWD-5-~-~-1.6L-4-P4A-100A-98-12.4-Unleaded-Unleaded</v>
      </c>
      <c r="AN39" s="662" t="str">
        <f t="shared" si="5"/>
        <v>2019-PAS-FRD-FSTA-001</v>
      </c>
    </row>
    <row r="40" spans="1:40" s="572" customFormat="1" ht="15">
      <c r="A40" s="570" t="s">
        <v>279</v>
      </c>
      <c r="B40" s="569" t="s">
        <v>268</v>
      </c>
      <c r="C40" s="569" t="s">
        <v>280</v>
      </c>
      <c r="D40" s="580">
        <v>27</v>
      </c>
      <c r="E40" s="569" t="s">
        <v>151</v>
      </c>
      <c r="F40" s="569" t="s">
        <v>211</v>
      </c>
      <c r="G40" s="569" t="s">
        <v>271</v>
      </c>
      <c r="H40" s="569">
        <v>2019</v>
      </c>
      <c r="I40" s="569" t="s">
        <v>272</v>
      </c>
      <c r="J40" s="569" t="s">
        <v>273</v>
      </c>
      <c r="K40" s="569" t="s">
        <v>156</v>
      </c>
      <c r="L40" s="569">
        <v>5</v>
      </c>
      <c r="M40" s="569">
        <v>0</v>
      </c>
      <c r="N40" s="569" t="s">
        <v>157</v>
      </c>
      <c r="O40" s="569">
        <v>2</v>
      </c>
      <c r="P40" s="569" t="s">
        <v>157</v>
      </c>
      <c r="Q40" s="568" t="s">
        <v>157</v>
      </c>
      <c r="R40" s="569" t="s">
        <v>274</v>
      </c>
      <c r="S40" s="569">
        <v>4</v>
      </c>
      <c r="T40" s="569" t="s">
        <v>275</v>
      </c>
      <c r="U40" s="569" t="s">
        <v>276</v>
      </c>
      <c r="V40" s="569">
        <v>98</v>
      </c>
      <c r="W40" s="569">
        <v>12.4</v>
      </c>
      <c r="X40" s="568">
        <v>2578</v>
      </c>
      <c r="Y40" s="581">
        <v>30</v>
      </c>
      <c r="Z40" s="581" t="s">
        <v>178</v>
      </c>
      <c r="AA40" s="581" t="s">
        <v>178</v>
      </c>
      <c r="AB40" s="585">
        <v>16230</v>
      </c>
      <c r="AC40" s="585" t="s">
        <v>164</v>
      </c>
      <c r="AD40" s="585">
        <v>14934.375</v>
      </c>
      <c r="AE40" s="587">
        <v>0.03</v>
      </c>
      <c r="AF40" s="661" t="str">
        <f t="shared" si="0"/>
        <v>2019-PAS-FRD-FSTA-001-27</v>
      </c>
      <c r="AG40" s="661" t="str">
        <f>IF(AND($Y40&gt;=32,(AI40="I"),(Y40&lt;&gt;"~"),(COUNTIF($AN$1:$AN40,$AN40)=1)),"TRUE","FALSE")</f>
        <v>FALSE</v>
      </c>
      <c r="AH40" s="661" t="str">
        <f>IF(AND($Y40&gt;=22, (AI40&lt;&gt;"I"),(Y40&lt;&gt;"~"),(COUNTIF($AN$1:$AN40,$AN40)=1)),"TRUE","FALSE")</f>
        <v>FALSE</v>
      </c>
      <c r="AI40" s="661" t="str">
        <f t="shared" si="6"/>
        <v>I</v>
      </c>
      <c r="AJ40" s="662" t="str">
        <f t="shared" si="1"/>
        <v>FSTA-001</v>
      </c>
      <c r="AK40" s="662" t="str">
        <f t="shared" si="2"/>
        <v>PAS</v>
      </c>
      <c r="AL40" s="662" t="str">
        <f t="shared" si="3"/>
        <v>FRD</v>
      </c>
      <c r="AM40" s="662" t="str">
        <f t="shared" si="4"/>
        <v>Fiesta-S-FWD-5-~-~-1.6L-4-P4A-100A-98-12.4-Unleaded-Unleaded</v>
      </c>
      <c r="AN40" s="662" t="str">
        <f t="shared" si="5"/>
        <v>2019-PAS-FRD-FSTA-001</v>
      </c>
    </row>
    <row r="41" spans="1:40" s="572" customFormat="1" ht="15">
      <c r="A41" s="570" t="s">
        <v>281</v>
      </c>
      <c r="B41" s="573" t="s">
        <v>282</v>
      </c>
      <c r="C41" s="573" t="s">
        <v>269</v>
      </c>
      <c r="D41" s="578" t="s">
        <v>270</v>
      </c>
      <c r="E41" s="573" t="s">
        <v>151</v>
      </c>
      <c r="F41" s="573" t="s">
        <v>211</v>
      </c>
      <c r="G41" s="573" t="s">
        <v>271</v>
      </c>
      <c r="H41" s="573">
        <v>2019</v>
      </c>
      <c r="I41" s="573" t="s">
        <v>272</v>
      </c>
      <c r="J41" s="573" t="s">
        <v>283</v>
      </c>
      <c r="K41" s="573" t="s">
        <v>156</v>
      </c>
      <c r="L41" s="573">
        <v>5</v>
      </c>
      <c r="M41" s="573">
        <v>0</v>
      </c>
      <c r="N41" s="573" t="s">
        <v>157</v>
      </c>
      <c r="O41" s="573">
        <v>2</v>
      </c>
      <c r="P41" s="573" t="s">
        <v>157</v>
      </c>
      <c r="Q41" s="571" t="s">
        <v>157</v>
      </c>
      <c r="R41" s="573" t="s">
        <v>274</v>
      </c>
      <c r="S41" s="573">
        <v>4</v>
      </c>
      <c r="T41" s="573" t="s">
        <v>284</v>
      </c>
      <c r="U41" s="573" t="s">
        <v>276</v>
      </c>
      <c r="V41" s="573">
        <v>98</v>
      </c>
      <c r="W41" s="573">
        <v>12.4</v>
      </c>
      <c r="X41" s="571">
        <v>2578</v>
      </c>
      <c r="Y41" s="579">
        <v>30</v>
      </c>
      <c r="Z41" s="579" t="s">
        <v>178</v>
      </c>
      <c r="AA41" s="579" t="s">
        <v>178</v>
      </c>
      <c r="AB41" s="584">
        <v>16530</v>
      </c>
      <c r="AC41" s="584" t="s">
        <v>164</v>
      </c>
      <c r="AD41" s="584">
        <v>15221.1875</v>
      </c>
      <c r="AE41" s="586">
        <v>0.03</v>
      </c>
      <c r="AF41" s="661" t="str">
        <f t="shared" si="0"/>
        <v>2019-PAS-FRD-FSTA-004-05</v>
      </c>
      <c r="AG41" s="661" t="str">
        <f>IF(AND($Y41&gt;=32,(AI41="I"),(Y41&lt;&gt;"~"),(COUNTIF($AN$1:$AN41,$AN41)=1)),"TRUE","FALSE")</f>
        <v>FALSE</v>
      </c>
      <c r="AH41" s="661" t="str">
        <f>IF(AND($Y41&gt;=22, (AI41&lt;&gt;"I"),(Y41&lt;&gt;"~"),(COUNTIF($AN$1:$AN41,$AN41)=1)),"TRUE","FALSE")</f>
        <v>FALSE</v>
      </c>
      <c r="AI41" s="661" t="str">
        <f t="shared" si="6"/>
        <v>I</v>
      </c>
      <c r="AJ41" s="662" t="str">
        <f t="shared" si="1"/>
        <v>FSTA-004</v>
      </c>
      <c r="AK41" s="662" t="str">
        <f t="shared" si="2"/>
        <v>PAS</v>
      </c>
      <c r="AL41" s="662" t="str">
        <f t="shared" si="3"/>
        <v>FRD</v>
      </c>
      <c r="AM41" s="662" t="str">
        <f t="shared" si="4"/>
        <v>Fiesta-S Hatch-FWD-5-~-~-1.6L-4-P4T-100A-98-12.4-Unleaded-Unleaded</v>
      </c>
      <c r="AN41" s="662" t="str">
        <f t="shared" si="5"/>
        <v>2019-PAS-FRD-FSTA-004</v>
      </c>
    </row>
    <row r="42" spans="1:40" s="572" customFormat="1" ht="15">
      <c r="A42" s="570" t="s">
        <v>285</v>
      </c>
      <c r="B42" s="569" t="s">
        <v>282</v>
      </c>
      <c r="C42" s="569" t="s">
        <v>278</v>
      </c>
      <c r="D42" s="580">
        <v>15</v>
      </c>
      <c r="E42" s="569" t="s">
        <v>151</v>
      </c>
      <c r="F42" s="569" t="s">
        <v>211</v>
      </c>
      <c r="G42" s="569" t="s">
        <v>271</v>
      </c>
      <c r="H42" s="569">
        <v>2019</v>
      </c>
      <c r="I42" s="569" t="s">
        <v>272</v>
      </c>
      <c r="J42" s="569" t="s">
        <v>283</v>
      </c>
      <c r="K42" s="569" t="s">
        <v>156</v>
      </c>
      <c r="L42" s="569">
        <v>5</v>
      </c>
      <c r="M42" s="569">
        <v>0</v>
      </c>
      <c r="N42" s="569" t="s">
        <v>157</v>
      </c>
      <c r="O42" s="569">
        <v>2</v>
      </c>
      <c r="P42" s="569" t="s">
        <v>157</v>
      </c>
      <c r="Q42" s="568" t="s">
        <v>157</v>
      </c>
      <c r="R42" s="569" t="s">
        <v>274</v>
      </c>
      <c r="S42" s="569">
        <v>4</v>
      </c>
      <c r="T42" s="569" t="s">
        <v>284</v>
      </c>
      <c r="U42" s="569" t="s">
        <v>276</v>
      </c>
      <c r="V42" s="569">
        <v>98</v>
      </c>
      <c r="W42" s="569">
        <v>12.4</v>
      </c>
      <c r="X42" s="568">
        <v>2578</v>
      </c>
      <c r="Y42" s="581">
        <v>30</v>
      </c>
      <c r="Z42" s="581" t="s">
        <v>178</v>
      </c>
      <c r="AA42" s="581" t="s">
        <v>178</v>
      </c>
      <c r="AB42" s="585">
        <v>16530</v>
      </c>
      <c r="AC42" s="585" t="s">
        <v>164</v>
      </c>
      <c r="AD42" s="585">
        <v>15277</v>
      </c>
      <c r="AE42" s="587">
        <v>0.01</v>
      </c>
      <c r="AF42" s="661" t="str">
        <f t="shared" si="0"/>
        <v>2019-PAS-FRD-FSTA-004-15</v>
      </c>
      <c r="AG42" s="661" t="str">
        <f>IF(AND($Y42&gt;=32,(AI42="I"),(Y42&lt;&gt;"~"),(COUNTIF($AN$1:$AN42,$AN42)=1)),"TRUE","FALSE")</f>
        <v>FALSE</v>
      </c>
      <c r="AH42" s="661" t="str">
        <f>IF(AND($Y42&gt;=22, (AI42&lt;&gt;"I"),(Y42&lt;&gt;"~"),(COUNTIF($AN$1:$AN42,$AN42)=1)),"TRUE","FALSE")</f>
        <v>FALSE</v>
      </c>
      <c r="AI42" s="661" t="str">
        <f t="shared" si="6"/>
        <v>I</v>
      </c>
      <c r="AJ42" s="662" t="str">
        <f t="shared" si="1"/>
        <v>FSTA-004</v>
      </c>
      <c r="AK42" s="662" t="str">
        <f t="shared" si="2"/>
        <v>PAS</v>
      </c>
      <c r="AL42" s="662" t="str">
        <f t="shared" si="3"/>
        <v>FRD</v>
      </c>
      <c r="AM42" s="662" t="str">
        <f t="shared" si="4"/>
        <v>Fiesta-S Hatch-FWD-5-~-~-1.6L-4-P4T-100A-98-12.4-Unleaded-Unleaded</v>
      </c>
      <c r="AN42" s="662" t="str">
        <f t="shared" si="5"/>
        <v>2019-PAS-FRD-FSTA-004</v>
      </c>
    </row>
    <row r="43" spans="1:40" s="572" customFormat="1" ht="15">
      <c r="A43" s="570" t="s">
        <v>286</v>
      </c>
      <c r="B43" s="573" t="s">
        <v>282</v>
      </c>
      <c r="C43" s="573" t="s">
        <v>287</v>
      </c>
      <c r="D43" s="578">
        <v>26</v>
      </c>
      <c r="E43" s="573" t="s">
        <v>151</v>
      </c>
      <c r="F43" s="573" t="s">
        <v>211</v>
      </c>
      <c r="G43" s="573" t="s">
        <v>271</v>
      </c>
      <c r="H43" s="573">
        <v>2019</v>
      </c>
      <c r="I43" s="573" t="s">
        <v>272</v>
      </c>
      <c r="J43" s="573" t="s">
        <v>283</v>
      </c>
      <c r="K43" s="573" t="s">
        <v>156</v>
      </c>
      <c r="L43" s="573">
        <v>5</v>
      </c>
      <c r="M43" s="573">
        <v>0</v>
      </c>
      <c r="N43" s="573" t="s">
        <v>157</v>
      </c>
      <c r="O43" s="573">
        <v>2</v>
      </c>
      <c r="P43" s="573" t="s">
        <v>157</v>
      </c>
      <c r="Q43" s="571" t="s">
        <v>157</v>
      </c>
      <c r="R43" s="573" t="s">
        <v>274</v>
      </c>
      <c r="S43" s="573">
        <v>4</v>
      </c>
      <c r="T43" s="573" t="s">
        <v>284</v>
      </c>
      <c r="U43" s="573" t="s">
        <v>276</v>
      </c>
      <c r="V43" s="573">
        <v>98</v>
      </c>
      <c r="W43" s="573">
        <v>12.4</v>
      </c>
      <c r="X43" s="571">
        <v>2578</v>
      </c>
      <c r="Y43" s="579">
        <v>30</v>
      </c>
      <c r="Z43" s="579" t="s">
        <v>178</v>
      </c>
      <c r="AA43" s="579" t="s">
        <v>178</v>
      </c>
      <c r="AB43" s="584">
        <v>16530</v>
      </c>
      <c r="AC43" s="584" t="s">
        <v>164</v>
      </c>
      <c r="AD43" s="584">
        <v>15691</v>
      </c>
      <c r="AE43" s="586">
        <v>0.05</v>
      </c>
      <c r="AF43" s="661" t="str">
        <f t="shared" si="0"/>
        <v>2019-PAS-FRD-FSTA-004-26</v>
      </c>
      <c r="AG43" s="661" t="str">
        <f>IF(AND($Y43&gt;=32,(AI43="I"),(Y43&lt;&gt;"~"),(COUNTIF($AN$1:$AN43,$AN43)=1)),"TRUE","FALSE")</f>
        <v>FALSE</v>
      </c>
      <c r="AH43" s="661" t="str">
        <f>IF(AND($Y43&gt;=22, (AI43&lt;&gt;"I"),(Y43&lt;&gt;"~"),(COUNTIF($AN$1:$AN43,$AN43)=1)),"TRUE","FALSE")</f>
        <v>FALSE</v>
      </c>
      <c r="AI43" s="661" t="str">
        <f t="shared" si="6"/>
        <v>I</v>
      </c>
      <c r="AJ43" s="662" t="str">
        <f t="shared" si="1"/>
        <v>FSTA-004</v>
      </c>
      <c r="AK43" s="662" t="str">
        <f t="shared" si="2"/>
        <v>PAS</v>
      </c>
      <c r="AL43" s="662" t="str">
        <f t="shared" si="3"/>
        <v>FRD</v>
      </c>
      <c r="AM43" s="662" t="str">
        <f t="shared" si="4"/>
        <v>Fiesta-S Hatch-FWD-5-~-~-1.6L-4-P4T-100A-98-12.4-Unleaded-Unleaded</v>
      </c>
      <c r="AN43" s="662" t="str">
        <f t="shared" si="5"/>
        <v>2019-PAS-FRD-FSTA-004</v>
      </c>
    </row>
    <row r="44" spans="1:40" s="572" customFormat="1" ht="15">
      <c r="A44" s="570" t="s">
        <v>288</v>
      </c>
      <c r="B44" s="569" t="s">
        <v>282</v>
      </c>
      <c r="C44" s="569" t="s">
        <v>280</v>
      </c>
      <c r="D44" s="580">
        <v>27</v>
      </c>
      <c r="E44" s="569" t="s">
        <v>151</v>
      </c>
      <c r="F44" s="569" t="s">
        <v>211</v>
      </c>
      <c r="G44" s="569" t="s">
        <v>271</v>
      </c>
      <c r="H44" s="569">
        <v>2019</v>
      </c>
      <c r="I44" s="569" t="s">
        <v>272</v>
      </c>
      <c r="J44" s="569" t="s">
        <v>283</v>
      </c>
      <c r="K44" s="569" t="s">
        <v>156</v>
      </c>
      <c r="L44" s="569">
        <v>5</v>
      </c>
      <c r="M44" s="569">
        <v>0</v>
      </c>
      <c r="N44" s="569" t="s">
        <v>157</v>
      </c>
      <c r="O44" s="569">
        <v>2</v>
      </c>
      <c r="P44" s="569" t="s">
        <v>157</v>
      </c>
      <c r="Q44" s="568" t="s">
        <v>157</v>
      </c>
      <c r="R44" s="569" t="s">
        <v>274</v>
      </c>
      <c r="S44" s="569">
        <v>4</v>
      </c>
      <c r="T44" s="569" t="s">
        <v>284</v>
      </c>
      <c r="U44" s="569" t="s">
        <v>276</v>
      </c>
      <c r="V44" s="569">
        <v>98</v>
      </c>
      <c r="W44" s="569">
        <v>12.4</v>
      </c>
      <c r="X44" s="568">
        <v>2578</v>
      </c>
      <c r="Y44" s="581">
        <v>30</v>
      </c>
      <c r="Z44" s="581" t="s">
        <v>178</v>
      </c>
      <c r="AA44" s="581" t="s">
        <v>178</v>
      </c>
      <c r="AB44" s="585">
        <v>16530</v>
      </c>
      <c r="AC44" s="585" t="s">
        <v>164</v>
      </c>
      <c r="AD44" s="585">
        <v>15221.1875</v>
      </c>
      <c r="AE44" s="587">
        <v>0.03</v>
      </c>
      <c r="AF44" s="661" t="str">
        <f t="shared" si="0"/>
        <v>2019-PAS-FRD-FSTA-004-27</v>
      </c>
      <c r="AG44" s="661" t="str">
        <f>IF(AND($Y44&gt;=32,(AI44="I"),(Y44&lt;&gt;"~"),(COUNTIF($AN$1:$AN44,$AN44)=1)),"TRUE","FALSE")</f>
        <v>FALSE</v>
      </c>
      <c r="AH44" s="661" t="str">
        <f>IF(AND($Y44&gt;=22, (AI44&lt;&gt;"I"),(Y44&lt;&gt;"~"),(COUNTIF($AN$1:$AN44,$AN44)=1)),"TRUE","FALSE")</f>
        <v>FALSE</v>
      </c>
      <c r="AI44" s="661" t="str">
        <f t="shared" si="6"/>
        <v>I</v>
      </c>
      <c r="AJ44" s="662" t="str">
        <f t="shared" si="1"/>
        <v>FSTA-004</v>
      </c>
      <c r="AK44" s="662" t="str">
        <f t="shared" si="2"/>
        <v>PAS</v>
      </c>
      <c r="AL44" s="662" t="str">
        <f t="shared" si="3"/>
        <v>FRD</v>
      </c>
      <c r="AM44" s="662" t="str">
        <f t="shared" si="4"/>
        <v>Fiesta-S Hatch-FWD-5-~-~-1.6L-4-P4T-100A-98-12.4-Unleaded-Unleaded</v>
      </c>
      <c r="AN44" s="662" t="str">
        <f t="shared" si="5"/>
        <v>2019-PAS-FRD-FSTA-004</v>
      </c>
    </row>
    <row r="45" spans="1:40" s="572" customFormat="1" ht="15">
      <c r="A45" s="570" t="s">
        <v>267</v>
      </c>
      <c r="B45" s="573" t="s">
        <v>268</v>
      </c>
      <c r="C45" s="573" t="s">
        <v>269</v>
      </c>
      <c r="D45" s="578" t="s">
        <v>270</v>
      </c>
      <c r="E45" s="573" t="s">
        <v>151</v>
      </c>
      <c r="F45" s="573" t="s">
        <v>211</v>
      </c>
      <c r="G45" s="573" t="s">
        <v>271</v>
      </c>
      <c r="H45" s="573">
        <v>2019</v>
      </c>
      <c r="I45" s="573" t="s">
        <v>272</v>
      </c>
      <c r="J45" s="573" t="s">
        <v>289</v>
      </c>
      <c r="K45" s="573" t="s">
        <v>156</v>
      </c>
      <c r="L45" s="573">
        <v>5</v>
      </c>
      <c r="M45" s="573">
        <v>0</v>
      </c>
      <c r="N45" s="573" t="s">
        <v>157</v>
      </c>
      <c r="O45" s="573">
        <v>2</v>
      </c>
      <c r="P45" s="573" t="s">
        <v>157</v>
      </c>
      <c r="Q45" s="571" t="s">
        <v>157</v>
      </c>
      <c r="R45" s="573" t="s">
        <v>274</v>
      </c>
      <c r="S45" s="573">
        <v>4</v>
      </c>
      <c r="T45" s="573" t="s">
        <v>275</v>
      </c>
      <c r="U45" s="573" t="s">
        <v>276</v>
      </c>
      <c r="V45" s="573">
        <v>98</v>
      </c>
      <c r="W45" s="573">
        <v>12.4</v>
      </c>
      <c r="X45" s="571">
        <v>2578</v>
      </c>
      <c r="Y45" s="579">
        <v>30</v>
      </c>
      <c r="Z45" s="579" t="s">
        <v>178</v>
      </c>
      <c r="AA45" s="579" t="s">
        <v>178</v>
      </c>
      <c r="AB45" s="584">
        <v>16230</v>
      </c>
      <c r="AC45" s="584" t="s">
        <v>164</v>
      </c>
      <c r="AD45" s="584">
        <v>14934.729166666668</v>
      </c>
      <c r="AE45" s="586">
        <v>0.03</v>
      </c>
      <c r="AF45" s="661" t="str">
        <f t="shared" si="0"/>
        <v>2019-PAS-FRD-FSTA-001-05</v>
      </c>
      <c r="AG45" s="661" t="str">
        <f>IF(AND($Y45&gt;=32,(AI45="I"),(Y45&lt;&gt;"~"),(COUNTIF($AN$1:$AN45,$AN45)=1)),"TRUE","FALSE")</f>
        <v>FALSE</v>
      </c>
      <c r="AH45" s="661" t="str">
        <f>IF(AND($Y45&gt;=22, (AI45&lt;&gt;"I"),(Y45&lt;&gt;"~"),(COUNTIF($AN$1:$AN45,$AN45)=1)),"TRUE","FALSE")</f>
        <v>FALSE</v>
      </c>
      <c r="AI45" s="661" t="str">
        <f t="shared" si="6"/>
        <v>I</v>
      </c>
      <c r="AJ45" s="662" t="str">
        <f t="shared" si="1"/>
        <v>FSTA-001</v>
      </c>
      <c r="AK45" s="662" t="str">
        <f t="shared" si="2"/>
        <v>PAS</v>
      </c>
      <c r="AL45" s="662" t="str">
        <f t="shared" si="3"/>
        <v>FRD</v>
      </c>
      <c r="AM45" s="662" t="str">
        <f t="shared" si="4"/>
        <v>Fiesta-S Sedan-FWD-5-~-~-1.6L-4-P4A-100A-98-12.4-Unleaded-Unleaded</v>
      </c>
      <c r="AN45" s="662" t="str">
        <f t="shared" si="5"/>
        <v>2019-PAS-FRD-FSTA-001</v>
      </c>
    </row>
    <row r="46" spans="1:40" s="572" customFormat="1" ht="15">
      <c r="A46" s="570" t="s">
        <v>277</v>
      </c>
      <c r="B46" s="569" t="s">
        <v>268</v>
      </c>
      <c r="C46" s="569" t="s">
        <v>278</v>
      </c>
      <c r="D46" s="580">
        <v>15</v>
      </c>
      <c r="E46" s="569" t="s">
        <v>151</v>
      </c>
      <c r="F46" s="569" t="s">
        <v>211</v>
      </c>
      <c r="G46" s="569" t="s">
        <v>271</v>
      </c>
      <c r="H46" s="569">
        <v>2019</v>
      </c>
      <c r="I46" s="569" t="s">
        <v>272</v>
      </c>
      <c r="J46" s="569" t="s">
        <v>289</v>
      </c>
      <c r="K46" s="569" t="s">
        <v>156</v>
      </c>
      <c r="L46" s="569">
        <v>5</v>
      </c>
      <c r="M46" s="569">
        <v>0</v>
      </c>
      <c r="N46" s="569" t="s">
        <v>157</v>
      </c>
      <c r="O46" s="569">
        <v>2</v>
      </c>
      <c r="P46" s="569" t="s">
        <v>157</v>
      </c>
      <c r="Q46" s="568" t="s">
        <v>157</v>
      </c>
      <c r="R46" s="569" t="s">
        <v>274</v>
      </c>
      <c r="S46" s="569">
        <v>4</v>
      </c>
      <c r="T46" s="569" t="s">
        <v>275</v>
      </c>
      <c r="U46" s="569" t="s">
        <v>276</v>
      </c>
      <c r="V46" s="569">
        <v>98</v>
      </c>
      <c r="W46" s="569">
        <v>12.4</v>
      </c>
      <c r="X46" s="568">
        <v>2578</v>
      </c>
      <c r="Y46" s="581">
        <v>30</v>
      </c>
      <c r="Z46" s="581" t="s">
        <v>178</v>
      </c>
      <c r="AA46" s="581" t="s">
        <v>178</v>
      </c>
      <c r="AB46" s="585">
        <v>16230</v>
      </c>
      <c r="AC46" s="585" t="s">
        <v>164</v>
      </c>
      <c r="AD46" s="585">
        <v>14984</v>
      </c>
      <c r="AE46" s="587">
        <v>0.01</v>
      </c>
      <c r="AF46" s="661" t="str">
        <f t="shared" si="0"/>
        <v>2019-PAS-FRD-FSTA-001-15</v>
      </c>
      <c r="AG46" s="661" t="str">
        <f>IF(AND($Y46&gt;=32,(AI46="I"),(Y46&lt;&gt;"~"),(COUNTIF($AN$1:$AN46,$AN46)=1)),"TRUE","FALSE")</f>
        <v>FALSE</v>
      </c>
      <c r="AH46" s="661" t="str">
        <f>IF(AND($Y46&gt;=22, (AI46&lt;&gt;"I"),(Y46&lt;&gt;"~"),(COUNTIF($AN$1:$AN46,$AN46)=1)),"TRUE","FALSE")</f>
        <v>FALSE</v>
      </c>
      <c r="AI46" s="661" t="str">
        <f t="shared" si="6"/>
        <v>I</v>
      </c>
      <c r="AJ46" s="662" t="str">
        <f t="shared" si="1"/>
        <v>FSTA-001</v>
      </c>
      <c r="AK46" s="662" t="str">
        <f t="shared" si="2"/>
        <v>PAS</v>
      </c>
      <c r="AL46" s="662" t="str">
        <f t="shared" si="3"/>
        <v>FRD</v>
      </c>
      <c r="AM46" s="662" t="str">
        <f t="shared" si="4"/>
        <v>Fiesta-S Sedan-FWD-5-~-~-1.6L-4-P4A-100A-98-12.4-Unleaded-Unleaded</v>
      </c>
      <c r="AN46" s="662" t="str">
        <f t="shared" si="5"/>
        <v>2019-PAS-FRD-FSTA-001</v>
      </c>
    </row>
    <row r="47" spans="1:40" s="572" customFormat="1" ht="15">
      <c r="A47" s="570" t="s">
        <v>290</v>
      </c>
      <c r="B47" s="573" t="s">
        <v>268</v>
      </c>
      <c r="C47" s="573" t="s">
        <v>287</v>
      </c>
      <c r="D47" s="578">
        <v>26</v>
      </c>
      <c r="E47" s="573" t="s">
        <v>151</v>
      </c>
      <c r="F47" s="573" t="s">
        <v>211</v>
      </c>
      <c r="G47" s="573" t="s">
        <v>271</v>
      </c>
      <c r="H47" s="573">
        <v>2019</v>
      </c>
      <c r="I47" s="573" t="s">
        <v>272</v>
      </c>
      <c r="J47" s="573" t="s">
        <v>289</v>
      </c>
      <c r="K47" s="573" t="s">
        <v>156</v>
      </c>
      <c r="L47" s="573">
        <v>5</v>
      </c>
      <c r="M47" s="573">
        <v>0</v>
      </c>
      <c r="N47" s="573" t="s">
        <v>157</v>
      </c>
      <c r="O47" s="573">
        <v>2</v>
      </c>
      <c r="P47" s="573" t="s">
        <v>157</v>
      </c>
      <c r="Q47" s="571" t="s">
        <v>157</v>
      </c>
      <c r="R47" s="573" t="s">
        <v>274</v>
      </c>
      <c r="S47" s="573">
        <v>4</v>
      </c>
      <c r="T47" s="573" t="s">
        <v>275</v>
      </c>
      <c r="U47" s="573" t="s">
        <v>276</v>
      </c>
      <c r="V47" s="573">
        <v>98</v>
      </c>
      <c r="W47" s="573">
        <v>12.4</v>
      </c>
      <c r="X47" s="571">
        <v>2578</v>
      </c>
      <c r="Y47" s="579">
        <v>30</v>
      </c>
      <c r="Z47" s="579" t="s">
        <v>178</v>
      </c>
      <c r="AA47" s="579" t="s">
        <v>178</v>
      </c>
      <c r="AB47" s="584">
        <v>16230</v>
      </c>
      <c r="AC47" s="584" t="s">
        <v>164</v>
      </c>
      <c r="AD47" s="584">
        <v>15478</v>
      </c>
      <c r="AE47" s="586">
        <v>0.05</v>
      </c>
      <c r="AF47" s="661" t="str">
        <f t="shared" si="0"/>
        <v>2019-PAS-FRD-FSTA-001-26</v>
      </c>
      <c r="AG47" s="661" t="str">
        <f>IF(AND($Y47&gt;=32,(AI47="I"),(Y47&lt;&gt;"~"),(COUNTIF($AN$1:$AN47,$AN47)=1)),"TRUE","FALSE")</f>
        <v>FALSE</v>
      </c>
      <c r="AH47" s="661" t="str">
        <f>IF(AND($Y47&gt;=22, (AI47&lt;&gt;"I"),(Y47&lt;&gt;"~"),(COUNTIF($AN$1:$AN47,$AN47)=1)),"TRUE","FALSE")</f>
        <v>FALSE</v>
      </c>
      <c r="AI47" s="661" t="str">
        <f t="shared" si="6"/>
        <v>I</v>
      </c>
      <c r="AJ47" s="662" t="str">
        <f t="shared" si="1"/>
        <v>FSTA-001</v>
      </c>
      <c r="AK47" s="662" t="str">
        <f t="shared" si="2"/>
        <v>PAS</v>
      </c>
      <c r="AL47" s="662" t="str">
        <f t="shared" si="3"/>
        <v>FRD</v>
      </c>
      <c r="AM47" s="662" t="str">
        <f t="shared" si="4"/>
        <v>Fiesta-S Sedan-FWD-5-~-~-1.6L-4-P4A-100A-98-12.4-Unleaded-Unleaded</v>
      </c>
      <c r="AN47" s="662" t="str">
        <f t="shared" si="5"/>
        <v>2019-PAS-FRD-FSTA-001</v>
      </c>
    </row>
    <row r="48" spans="1:40" s="572" customFormat="1" ht="15">
      <c r="A48" s="570" t="s">
        <v>279</v>
      </c>
      <c r="B48" s="569" t="s">
        <v>268</v>
      </c>
      <c r="C48" s="569" t="s">
        <v>280</v>
      </c>
      <c r="D48" s="580">
        <v>27</v>
      </c>
      <c r="E48" s="569" t="s">
        <v>151</v>
      </c>
      <c r="F48" s="569" t="s">
        <v>211</v>
      </c>
      <c r="G48" s="569" t="s">
        <v>271</v>
      </c>
      <c r="H48" s="569">
        <v>2019</v>
      </c>
      <c r="I48" s="569" t="s">
        <v>272</v>
      </c>
      <c r="J48" s="569" t="s">
        <v>289</v>
      </c>
      <c r="K48" s="569" t="s">
        <v>156</v>
      </c>
      <c r="L48" s="569">
        <v>5</v>
      </c>
      <c r="M48" s="569">
        <v>0</v>
      </c>
      <c r="N48" s="569" t="s">
        <v>157</v>
      </c>
      <c r="O48" s="569">
        <v>2</v>
      </c>
      <c r="P48" s="569" t="s">
        <v>157</v>
      </c>
      <c r="Q48" s="568" t="s">
        <v>157</v>
      </c>
      <c r="R48" s="569" t="s">
        <v>274</v>
      </c>
      <c r="S48" s="569">
        <v>4</v>
      </c>
      <c r="T48" s="569" t="s">
        <v>275</v>
      </c>
      <c r="U48" s="569" t="s">
        <v>276</v>
      </c>
      <c r="V48" s="569">
        <v>98</v>
      </c>
      <c r="W48" s="569">
        <v>12.4</v>
      </c>
      <c r="X48" s="568">
        <v>2578</v>
      </c>
      <c r="Y48" s="581">
        <v>30</v>
      </c>
      <c r="Z48" s="581" t="s">
        <v>178</v>
      </c>
      <c r="AA48" s="581" t="s">
        <v>178</v>
      </c>
      <c r="AB48" s="585">
        <v>16230</v>
      </c>
      <c r="AC48" s="585" t="s">
        <v>164</v>
      </c>
      <c r="AD48" s="585">
        <v>14934.729166666668</v>
      </c>
      <c r="AE48" s="587">
        <v>0.03</v>
      </c>
      <c r="AF48" s="661" t="str">
        <f t="shared" si="0"/>
        <v>2019-PAS-FRD-FSTA-001-27</v>
      </c>
      <c r="AG48" s="661" t="str">
        <f>IF(AND($Y48&gt;=32,(AI48="I"),(Y48&lt;&gt;"~"),(COUNTIF($AN$1:$AN48,$AN48)=1)),"TRUE","FALSE")</f>
        <v>FALSE</v>
      </c>
      <c r="AH48" s="661" t="str">
        <f>IF(AND($Y48&gt;=22, (AI48&lt;&gt;"I"),(Y48&lt;&gt;"~"),(COUNTIF($AN$1:$AN48,$AN48)=1)),"TRUE","FALSE")</f>
        <v>FALSE</v>
      </c>
      <c r="AI48" s="661" t="str">
        <f t="shared" si="6"/>
        <v>I</v>
      </c>
      <c r="AJ48" s="662" t="str">
        <f t="shared" si="1"/>
        <v>FSTA-001</v>
      </c>
      <c r="AK48" s="662" t="str">
        <f t="shared" si="2"/>
        <v>PAS</v>
      </c>
      <c r="AL48" s="662" t="str">
        <f t="shared" si="3"/>
        <v>FRD</v>
      </c>
      <c r="AM48" s="662" t="str">
        <f t="shared" si="4"/>
        <v>Fiesta-S Sedan-FWD-5-~-~-1.6L-4-P4A-100A-98-12.4-Unleaded-Unleaded</v>
      </c>
      <c r="AN48" s="662" t="str">
        <f t="shared" si="5"/>
        <v>2019-PAS-FRD-FSTA-001</v>
      </c>
    </row>
    <row r="49" spans="1:40" s="572" customFormat="1" ht="15">
      <c r="A49" s="570" t="s">
        <v>291</v>
      </c>
      <c r="B49" s="573" t="s">
        <v>292</v>
      </c>
      <c r="C49" s="573" t="s">
        <v>269</v>
      </c>
      <c r="D49" s="578" t="s">
        <v>270</v>
      </c>
      <c r="E49" s="573" t="s">
        <v>151</v>
      </c>
      <c r="F49" s="573" t="s">
        <v>211</v>
      </c>
      <c r="G49" s="573" t="s">
        <v>271</v>
      </c>
      <c r="H49" s="573">
        <v>2019</v>
      </c>
      <c r="I49" s="573" t="s">
        <v>272</v>
      </c>
      <c r="J49" s="573" t="s">
        <v>293</v>
      </c>
      <c r="K49" s="573" t="s">
        <v>156</v>
      </c>
      <c r="L49" s="573">
        <v>5</v>
      </c>
      <c r="M49" s="573">
        <v>0</v>
      </c>
      <c r="N49" s="573" t="s">
        <v>157</v>
      </c>
      <c r="O49" s="573">
        <v>2</v>
      </c>
      <c r="P49" s="573" t="s">
        <v>157</v>
      </c>
      <c r="Q49" s="571" t="s">
        <v>157</v>
      </c>
      <c r="R49" s="573" t="s">
        <v>274</v>
      </c>
      <c r="S49" s="573">
        <v>4</v>
      </c>
      <c r="T49" s="573" t="s">
        <v>294</v>
      </c>
      <c r="U49" s="573" t="s">
        <v>295</v>
      </c>
      <c r="V49" s="573">
        <v>98</v>
      </c>
      <c r="W49" s="573">
        <v>12.4</v>
      </c>
      <c r="X49" s="571">
        <v>2578</v>
      </c>
      <c r="Y49" s="579">
        <v>30</v>
      </c>
      <c r="Z49" s="579" t="s">
        <v>178</v>
      </c>
      <c r="AA49" s="579" t="s">
        <v>178</v>
      </c>
      <c r="AB49" s="584">
        <v>17760</v>
      </c>
      <c r="AC49" s="584" t="s">
        <v>164</v>
      </c>
      <c r="AD49" s="584">
        <v>16397.229166666668</v>
      </c>
      <c r="AE49" s="586">
        <v>0.03</v>
      </c>
      <c r="AF49" s="661" t="str">
        <f t="shared" si="0"/>
        <v>2019-PAS-FRD-FSTA-005-05</v>
      </c>
      <c r="AG49" s="661" t="str">
        <f>IF(AND($Y49&gt;=32,(AI49="I"),(Y49&lt;&gt;"~"),(COUNTIF($AN$1:$AN49,$AN49)=1)),"TRUE","FALSE")</f>
        <v>FALSE</v>
      </c>
      <c r="AH49" s="661" t="str">
        <f>IF(AND($Y49&gt;=22, (AI49&lt;&gt;"I"),(Y49&lt;&gt;"~"),(COUNTIF($AN$1:$AN49,$AN49)=1)),"TRUE","FALSE")</f>
        <v>FALSE</v>
      </c>
      <c r="AI49" s="661" t="str">
        <f t="shared" si="6"/>
        <v>I</v>
      </c>
      <c r="AJ49" s="662" t="str">
        <f t="shared" si="1"/>
        <v>FSTA-005</v>
      </c>
      <c r="AK49" s="662" t="str">
        <f t="shared" si="2"/>
        <v>PAS</v>
      </c>
      <c r="AL49" s="662" t="str">
        <f t="shared" si="3"/>
        <v>FRD</v>
      </c>
      <c r="AM49" s="662" t="str">
        <f t="shared" si="4"/>
        <v>Fiesta-SE Hatch-FWD-5-~-~-1.6L-4-P4E-200A-98-12.4-Unleaded-Unleaded</v>
      </c>
      <c r="AN49" s="662" t="str">
        <f t="shared" si="5"/>
        <v>2019-PAS-FRD-FSTA-005</v>
      </c>
    </row>
    <row r="50" spans="1:40" s="572" customFormat="1" ht="15">
      <c r="A50" s="570" t="s">
        <v>296</v>
      </c>
      <c r="B50" s="569" t="s">
        <v>292</v>
      </c>
      <c r="C50" s="569" t="s">
        <v>278</v>
      </c>
      <c r="D50" s="580">
        <v>15</v>
      </c>
      <c r="E50" s="569" t="s">
        <v>151</v>
      </c>
      <c r="F50" s="569" t="s">
        <v>211</v>
      </c>
      <c r="G50" s="569" t="s">
        <v>271</v>
      </c>
      <c r="H50" s="569">
        <v>2019</v>
      </c>
      <c r="I50" s="569" t="s">
        <v>272</v>
      </c>
      <c r="J50" s="569" t="s">
        <v>293</v>
      </c>
      <c r="K50" s="569" t="s">
        <v>156</v>
      </c>
      <c r="L50" s="569">
        <v>5</v>
      </c>
      <c r="M50" s="569">
        <v>0</v>
      </c>
      <c r="N50" s="569" t="s">
        <v>157</v>
      </c>
      <c r="O50" s="569">
        <v>2</v>
      </c>
      <c r="P50" s="569" t="s">
        <v>157</v>
      </c>
      <c r="Q50" s="568" t="s">
        <v>157</v>
      </c>
      <c r="R50" s="569" t="s">
        <v>274</v>
      </c>
      <c r="S50" s="569">
        <v>4</v>
      </c>
      <c r="T50" s="569" t="s">
        <v>294</v>
      </c>
      <c r="U50" s="569" t="s">
        <v>295</v>
      </c>
      <c r="V50" s="569">
        <v>98</v>
      </c>
      <c r="W50" s="569">
        <v>12.4</v>
      </c>
      <c r="X50" s="568">
        <v>2578</v>
      </c>
      <c r="Y50" s="581">
        <v>30</v>
      </c>
      <c r="Z50" s="581" t="s">
        <v>178</v>
      </c>
      <c r="AA50" s="581" t="s">
        <v>178</v>
      </c>
      <c r="AB50" s="585">
        <v>17760</v>
      </c>
      <c r="AC50" s="585" t="s">
        <v>164</v>
      </c>
      <c r="AD50" s="585">
        <v>16480</v>
      </c>
      <c r="AE50" s="587">
        <v>0.01</v>
      </c>
      <c r="AF50" s="661" t="str">
        <f t="shared" si="0"/>
        <v>2019-PAS-FRD-FSTA-005-15</v>
      </c>
      <c r="AG50" s="661" t="str">
        <f>IF(AND($Y50&gt;=32,(AI50="I"),(Y50&lt;&gt;"~"),(COUNTIF($AN$1:$AN50,$AN50)=1)),"TRUE","FALSE")</f>
        <v>FALSE</v>
      </c>
      <c r="AH50" s="661" t="str">
        <f>IF(AND($Y50&gt;=22, (AI50&lt;&gt;"I"),(Y50&lt;&gt;"~"),(COUNTIF($AN$1:$AN50,$AN50)=1)),"TRUE","FALSE")</f>
        <v>FALSE</v>
      </c>
      <c r="AI50" s="661" t="str">
        <f t="shared" si="6"/>
        <v>I</v>
      </c>
      <c r="AJ50" s="662" t="str">
        <f t="shared" si="1"/>
        <v>FSTA-005</v>
      </c>
      <c r="AK50" s="662" t="str">
        <f t="shared" si="2"/>
        <v>PAS</v>
      </c>
      <c r="AL50" s="662" t="str">
        <f t="shared" si="3"/>
        <v>FRD</v>
      </c>
      <c r="AM50" s="662" t="str">
        <f t="shared" si="4"/>
        <v>Fiesta-SE Hatch-FWD-5-~-~-1.6L-4-P4E-200A-98-12.4-Unleaded-Unleaded</v>
      </c>
      <c r="AN50" s="662" t="str">
        <f t="shared" si="5"/>
        <v>2019-PAS-FRD-FSTA-005</v>
      </c>
    </row>
    <row r="51" spans="1:40" s="572" customFormat="1" ht="15">
      <c r="A51" s="570" t="s">
        <v>297</v>
      </c>
      <c r="B51" s="573" t="s">
        <v>292</v>
      </c>
      <c r="C51" s="573" t="s">
        <v>287</v>
      </c>
      <c r="D51" s="578">
        <v>26</v>
      </c>
      <c r="E51" s="573" t="s">
        <v>151</v>
      </c>
      <c r="F51" s="573" t="s">
        <v>211</v>
      </c>
      <c r="G51" s="573" t="s">
        <v>271</v>
      </c>
      <c r="H51" s="573">
        <v>2019</v>
      </c>
      <c r="I51" s="573" t="s">
        <v>272</v>
      </c>
      <c r="J51" s="573" t="s">
        <v>293</v>
      </c>
      <c r="K51" s="573" t="s">
        <v>156</v>
      </c>
      <c r="L51" s="573">
        <v>5</v>
      </c>
      <c r="M51" s="573">
        <v>0</v>
      </c>
      <c r="N51" s="573" t="s">
        <v>157</v>
      </c>
      <c r="O51" s="573">
        <v>2</v>
      </c>
      <c r="P51" s="573" t="s">
        <v>157</v>
      </c>
      <c r="Q51" s="571" t="s">
        <v>157</v>
      </c>
      <c r="R51" s="573" t="s">
        <v>274</v>
      </c>
      <c r="S51" s="573">
        <v>4</v>
      </c>
      <c r="T51" s="573" t="s">
        <v>294</v>
      </c>
      <c r="U51" s="573" t="s">
        <v>295</v>
      </c>
      <c r="V51" s="573">
        <v>98</v>
      </c>
      <c r="W51" s="573">
        <v>12.4</v>
      </c>
      <c r="X51" s="571">
        <v>2578</v>
      </c>
      <c r="Y51" s="579">
        <v>30</v>
      </c>
      <c r="Z51" s="579" t="s">
        <v>178</v>
      </c>
      <c r="AA51" s="579" t="s">
        <v>178</v>
      </c>
      <c r="AB51" s="584">
        <v>17760</v>
      </c>
      <c r="AC51" s="584" t="s">
        <v>164</v>
      </c>
      <c r="AD51" s="584">
        <v>16891</v>
      </c>
      <c r="AE51" s="586">
        <v>0.05</v>
      </c>
      <c r="AF51" s="661" t="str">
        <f t="shared" si="0"/>
        <v>2019-PAS-FRD-FSTA-005-26</v>
      </c>
      <c r="AG51" s="661" t="str">
        <f>IF(AND($Y51&gt;=32,(AI51="I"),(Y51&lt;&gt;"~"),(COUNTIF($AN$1:$AN51,$AN51)=1)),"TRUE","FALSE")</f>
        <v>FALSE</v>
      </c>
      <c r="AH51" s="661" t="str">
        <f>IF(AND($Y51&gt;=22, (AI51&lt;&gt;"I"),(Y51&lt;&gt;"~"),(COUNTIF($AN$1:$AN51,$AN51)=1)),"TRUE","FALSE")</f>
        <v>FALSE</v>
      </c>
      <c r="AI51" s="661" t="str">
        <f t="shared" si="6"/>
        <v>I</v>
      </c>
      <c r="AJ51" s="662" t="str">
        <f t="shared" si="1"/>
        <v>FSTA-005</v>
      </c>
      <c r="AK51" s="662" t="str">
        <f t="shared" si="2"/>
        <v>PAS</v>
      </c>
      <c r="AL51" s="662" t="str">
        <f t="shared" si="3"/>
        <v>FRD</v>
      </c>
      <c r="AM51" s="662" t="str">
        <f t="shared" si="4"/>
        <v>Fiesta-SE Hatch-FWD-5-~-~-1.6L-4-P4E-200A-98-12.4-Unleaded-Unleaded</v>
      </c>
      <c r="AN51" s="662" t="str">
        <f t="shared" si="5"/>
        <v>2019-PAS-FRD-FSTA-005</v>
      </c>
    </row>
    <row r="52" spans="1:40" s="572" customFormat="1" ht="15">
      <c r="A52" s="570" t="s">
        <v>298</v>
      </c>
      <c r="B52" s="569" t="s">
        <v>292</v>
      </c>
      <c r="C52" s="569" t="s">
        <v>280</v>
      </c>
      <c r="D52" s="580">
        <v>27</v>
      </c>
      <c r="E52" s="569" t="s">
        <v>151</v>
      </c>
      <c r="F52" s="569" t="s">
        <v>211</v>
      </c>
      <c r="G52" s="569" t="s">
        <v>271</v>
      </c>
      <c r="H52" s="569">
        <v>2019</v>
      </c>
      <c r="I52" s="569" t="s">
        <v>272</v>
      </c>
      <c r="J52" s="569" t="s">
        <v>293</v>
      </c>
      <c r="K52" s="569" t="s">
        <v>156</v>
      </c>
      <c r="L52" s="569">
        <v>5</v>
      </c>
      <c r="M52" s="569">
        <v>0</v>
      </c>
      <c r="N52" s="569" t="s">
        <v>157</v>
      </c>
      <c r="O52" s="569">
        <v>2</v>
      </c>
      <c r="P52" s="569" t="s">
        <v>157</v>
      </c>
      <c r="Q52" s="568" t="s">
        <v>157</v>
      </c>
      <c r="R52" s="569" t="s">
        <v>274</v>
      </c>
      <c r="S52" s="569">
        <v>4</v>
      </c>
      <c r="T52" s="569" t="s">
        <v>294</v>
      </c>
      <c r="U52" s="569" t="s">
        <v>295</v>
      </c>
      <c r="V52" s="569">
        <v>98</v>
      </c>
      <c r="W52" s="569">
        <v>12.4</v>
      </c>
      <c r="X52" s="568">
        <v>2578</v>
      </c>
      <c r="Y52" s="581">
        <v>30</v>
      </c>
      <c r="Z52" s="581" t="s">
        <v>178</v>
      </c>
      <c r="AA52" s="581" t="s">
        <v>178</v>
      </c>
      <c r="AB52" s="585">
        <v>17760</v>
      </c>
      <c r="AC52" s="585" t="s">
        <v>164</v>
      </c>
      <c r="AD52" s="585">
        <v>16397.229166666668</v>
      </c>
      <c r="AE52" s="587">
        <v>0.03</v>
      </c>
      <c r="AF52" s="661" t="str">
        <f t="shared" si="0"/>
        <v>2019-PAS-FRD-FSTA-005-27</v>
      </c>
      <c r="AG52" s="661" t="str">
        <f>IF(AND($Y52&gt;=32,(AI52="I"),(Y52&lt;&gt;"~"),(COUNTIF($AN$1:$AN52,$AN52)=1)),"TRUE","FALSE")</f>
        <v>FALSE</v>
      </c>
      <c r="AH52" s="661" t="str">
        <f>IF(AND($Y52&gt;=22, (AI52&lt;&gt;"I"),(Y52&lt;&gt;"~"),(COUNTIF($AN$1:$AN52,$AN52)=1)),"TRUE","FALSE")</f>
        <v>FALSE</v>
      </c>
      <c r="AI52" s="661" t="str">
        <f t="shared" si="6"/>
        <v>I</v>
      </c>
      <c r="AJ52" s="662" t="str">
        <f t="shared" si="1"/>
        <v>FSTA-005</v>
      </c>
      <c r="AK52" s="662" t="str">
        <f t="shared" si="2"/>
        <v>PAS</v>
      </c>
      <c r="AL52" s="662" t="str">
        <f t="shared" si="3"/>
        <v>FRD</v>
      </c>
      <c r="AM52" s="662" t="str">
        <f t="shared" si="4"/>
        <v>Fiesta-SE Hatch-FWD-5-~-~-1.6L-4-P4E-200A-98-12.4-Unleaded-Unleaded</v>
      </c>
      <c r="AN52" s="662" t="str">
        <f t="shared" si="5"/>
        <v>2019-PAS-FRD-FSTA-005</v>
      </c>
    </row>
    <row r="53" spans="1:40" s="572" customFormat="1" ht="15">
      <c r="A53" s="570" t="s">
        <v>299</v>
      </c>
      <c r="B53" s="573" t="s">
        <v>300</v>
      </c>
      <c r="C53" s="573" t="s">
        <v>269</v>
      </c>
      <c r="D53" s="578" t="s">
        <v>270</v>
      </c>
      <c r="E53" s="573" t="s">
        <v>151</v>
      </c>
      <c r="F53" s="573" t="s">
        <v>211</v>
      </c>
      <c r="G53" s="573" t="s">
        <v>271</v>
      </c>
      <c r="H53" s="573">
        <v>2019</v>
      </c>
      <c r="I53" s="573" t="s">
        <v>272</v>
      </c>
      <c r="J53" s="573" t="s">
        <v>301</v>
      </c>
      <c r="K53" s="573" t="s">
        <v>156</v>
      </c>
      <c r="L53" s="573">
        <v>5</v>
      </c>
      <c r="M53" s="573">
        <v>0</v>
      </c>
      <c r="N53" s="573" t="s">
        <v>157</v>
      </c>
      <c r="O53" s="573">
        <v>2</v>
      </c>
      <c r="P53" s="573" t="s">
        <v>157</v>
      </c>
      <c r="Q53" s="571" t="s">
        <v>157</v>
      </c>
      <c r="R53" s="573" t="s">
        <v>274</v>
      </c>
      <c r="S53" s="573">
        <v>4</v>
      </c>
      <c r="T53" s="573" t="s">
        <v>302</v>
      </c>
      <c r="U53" s="573" t="s">
        <v>295</v>
      </c>
      <c r="V53" s="573">
        <v>98</v>
      </c>
      <c r="W53" s="573">
        <v>12.4</v>
      </c>
      <c r="X53" s="571">
        <v>2578</v>
      </c>
      <c r="Y53" s="579">
        <v>30</v>
      </c>
      <c r="Z53" s="579" t="s">
        <v>178</v>
      </c>
      <c r="AA53" s="579" t="s">
        <v>178</v>
      </c>
      <c r="AB53" s="584">
        <v>17460</v>
      </c>
      <c r="AC53" s="584" t="s">
        <v>164</v>
      </c>
      <c r="AD53" s="584">
        <v>16109.729166666668</v>
      </c>
      <c r="AE53" s="586">
        <v>0.03</v>
      </c>
      <c r="AF53" s="661" t="str">
        <f t="shared" si="0"/>
        <v>2019-PAS-FRD-FSTA-002-05</v>
      </c>
      <c r="AG53" s="661" t="str">
        <f>IF(AND($Y53&gt;=32,(AI53="I"),(Y53&lt;&gt;"~"),(COUNTIF($AN$1:$AN53,$AN53)=1)),"TRUE","FALSE")</f>
        <v>FALSE</v>
      </c>
      <c r="AH53" s="661" t="str">
        <f>IF(AND($Y53&gt;=22, (AI53&lt;&gt;"I"),(Y53&lt;&gt;"~"),(COUNTIF($AN$1:$AN53,$AN53)=1)),"TRUE","FALSE")</f>
        <v>FALSE</v>
      </c>
      <c r="AI53" s="661" t="str">
        <f t="shared" si="6"/>
        <v>I</v>
      </c>
      <c r="AJ53" s="662" t="str">
        <f t="shared" si="1"/>
        <v>FSTA-002</v>
      </c>
      <c r="AK53" s="662" t="str">
        <f t="shared" si="2"/>
        <v>PAS</v>
      </c>
      <c r="AL53" s="662" t="str">
        <f t="shared" si="3"/>
        <v>FRD</v>
      </c>
      <c r="AM53" s="662" t="str">
        <f t="shared" si="4"/>
        <v>Fiesta-SE Sedan-FWD-5-~-~-1.6L-4-P4B-200A-98-12.4-Unleaded-Unleaded</v>
      </c>
      <c r="AN53" s="662" t="str">
        <f t="shared" si="5"/>
        <v>2019-PAS-FRD-FSTA-002</v>
      </c>
    </row>
    <row r="54" spans="1:40" s="572" customFormat="1" ht="15">
      <c r="A54" s="570" t="s">
        <v>303</v>
      </c>
      <c r="B54" s="569" t="s">
        <v>300</v>
      </c>
      <c r="C54" s="569" t="s">
        <v>278</v>
      </c>
      <c r="D54" s="580">
        <v>15</v>
      </c>
      <c r="E54" s="569" t="s">
        <v>151</v>
      </c>
      <c r="F54" s="569" t="s">
        <v>211</v>
      </c>
      <c r="G54" s="569" t="s">
        <v>271</v>
      </c>
      <c r="H54" s="569">
        <v>2019</v>
      </c>
      <c r="I54" s="569" t="s">
        <v>272</v>
      </c>
      <c r="J54" s="569" t="s">
        <v>301</v>
      </c>
      <c r="K54" s="569" t="s">
        <v>156</v>
      </c>
      <c r="L54" s="569">
        <v>5</v>
      </c>
      <c r="M54" s="569">
        <v>0</v>
      </c>
      <c r="N54" s="569" t="s">
        <v>157</v>
      </c>
      <c r="O54" s="569">
        <v>2</v>
      </c>
      <c r="P54" s="569" t="s">
        <v>157</v>
      </c>
      <c r="Q54" s="568" t="s">
        <v>157</v>
      </c>
      <c r="R54" s="569" t="s">
        <v>274</v>
      </c>
      <c r="S54" s="569">
        <v>4</v>
      </c>
      <c r="T54" s="569" t="s">
        <v>302</v>
      </c>
      <c r="U54" s="569" t="s">
        <v>295</v>
      </c>
      <c r="V54" s="569">
        <v>98</v>
      </c>
      <c r="W54" s="569">
        <v>12.4</v>
      </c>
      <c r="X54" s="568">
        <v>2578</v>
      </c>
      <c r="Y54" s="581">
        <v>30</v>
      </c>
      <c r="Z54" s="581" t="s">
        <v>178</v>
      </c>
      <c r="AA54" s="581" t="s">
        <v>178</v>
      </c>
      <c r="AB54" s="585">
        <v>17460</v>
      </c>
      <c r="AC54" s="585" t="s">
        <v>164</v>
      </c>
      <c r="AD54" s="585">
        <v>16186</v>
      </c>
      <c r="AE54" s="587">
        <v>0.01</v>
      </c>
      <c r="AF54" s="661" t="str">
        <f t="shared" si="0"/>
        <v>2019-PAS-FRD-FSTA-002-15</v>
      </c>
      <c r="AG54" s="661" t="str">
        <f>IF(AND($Y54&gt;=32,(AI54="I"),(Y54&lt;&gt;"~"),(COUNTIF($AN$1:$AN54,$AN54)=1)),"TRUE","FALSE")</f>
        <v>FALSE</v>
      </c>
      <c r="AH54" s="661" t="str">
        <f>IF(AND($Y54&gt;=22, (AI54&lt;&gt;"I"),(Y54&lt;&gt;"~"),(COUNTIF($AN$1:$AN54,$AN54)=1)),"TRUE","FALSE")</f>
        <v>FALSE</v>
      </c>
      <c r="AI54" s="661" t="str">
        <f t="shared" si="6"/>
        <v>I</v>
      </c>
      <c r="AJ54" s="662" t="str">
        <f t="shared" si="1"/>
        <v>FSTA-002</v>
      </c>
      <c r="AK54" s="662" t="str">
        <f t="shared" si="2"/>
        <v>PAS</v>
      </c>
      <c r="AL54" s="662" t="str">
        <f t="shared" si="3"/>
        <v>FRD</v>
      </c>
      <c r="AM54" s="662" t="str">
        <f t="shared" si="4"/>
        <v>Fiesta-SE Sedan-FWD-5-~-~-1.6L-4-P4B-200A-98-12.4-Unleaded-Unleaded</v>
      </c>
      <c r="AN54" s="662" t="str">
        <f t="shared" si="5"/>
        <v>2019-PAS-FRD-FSTA-002</v>
      </c>
    </row>
    <row r="55" spans="1:40" s="572" customFormat="1" ht="15">
      <c r="A55" s="570" t="s">
        <v>304</v>
      </c>
      <c r="B55" s="573" t="s">
        <v>300</v>
      </c>
      <c r="C55" s="573" t="s">
        <v>287</v>
      </c>
      <c r="D55" s="578">
        <v>26</v>
      </c>
      <c r="E55" s="573" t="s">
        <v>151</v>
      </c>
      <c r="F55" s="573" t="s">
        <v>211</v>
      </c>
      <c r="G55" s="573" t="s">
        <v>271</v>
      </c>
      <c r="H55" s="573">
        <v>2019</v>
      </c>
      <c r="I55" s="573" t="s">
        <v>272</v>
      </c>
      <c r="J55" s="573" t="s">
        <v>301</v>
      </c>
      <c r="K55" s="573" t="s">
        <v>156</v>
      </c>
      <c r="L55" s="573">
        <v>5</v>
      </c>
      <c r="M55" s="573">
        <v>0</v>
      </c>
      <c r="N55" s="573" t="s">
        <v>157</v>
      </c>
      <c r="O55" s="573">
        <v>2</v>
      </c>
      <c r="P55" s="573" t="s">
        <v>157</v>
      </c>
      <c r="Q55" s="571" t="s">
        <v>157</v>
      </c>
      <c r="R55" s="573" t="s">
        <v>274</v>
      </c>
      <c r="S55" s="573">
        <v>4</v>
      </c>
      <c r="T55" s="573" t="s">
        <v>302</v>
      </c>
      <c r="U55" s="573" t="s">
        <v>295</v>
      </c>
      <c r="V55" s="573">
        <v>98</v>
      </c>
      <c r="W55" s="573">
        <v>12.4</v>
      </c>
      <c r="X55" s="571">
        <v>2578</v>
      </c>
      <c r="Y55" s="579">
        <v>30</v>
      </c>
      <c r="Z55" s="579" t="s">
        <v>178</v>
      </c>
      <c r="AA55" s="579" t="s">
        <v>178</v>
      </c>
      <c r="AB55" s="584">
        <v>17460</v>
      </c>
      <c r="AC55" s="584" t="s">
        <v>164</v>
      </c>
      <c r="AD55" s="584">
        <v>16598</v>
      </c>
      <c r="AE55" s="586">
        <v>0.05</v>
      </c>
      <c r="AF55" s="661" t="str">
        <f t="shared" si="0"/>
        <v>2019-PAS-FRD-FSTA-002-26</v>
      </c>
      <c r="AG55" s="661" t="str">
        <f>IF(AND($Y55&gt;=32,(AI55="I"),(Y55&lt;&gt;"~"),(COUNTIF($AN$1:$AN55,$AN55)=1)),"TRUE","FALSE")</f>
        <v>FALSE</v>
      </c>
      <c r="AH55" s="661" t="str">
        <f>IF(AND($Y55&gt;=22, (AI55&lt;&gt;"I"),(Y55&lt;&gt;"~"),(COUNTIF($AN$1:$AN55,$AN55)=1)),"TRUE","FALSE")</f>
        <v>FALSE</v>
      </c>
      <c r="AI55" s="661" t="str">
        <f t="shared" si="6"/>
        <v>I</v>
      </c>
      <c r="AJ55" s="662" t="str">
        <f t="shared" si="1"/>
        <v>FSTA-002</v>
      </c>
      <c r="AK55" s="662" t="str">
        <f t="shared" si="2"/>
        <v>PAS</v>
      </c>
      <c r="AL55" s="662" t="str">
        <f t="shared" si="3"/>
        <v>FRD</v>
      </c>
      <c r="AM55" s="662" t="str">
        <f t="shared" si="4"/>
        <v>Fiesta-SE Sedan-FWD-5-~-~-1.6L-4-P4B-200A-98-12.4-Unleaded-Unleaded</v>
      </c>
      <c r="AN55" s="662" t="str">
        <f t="shared" si="5"/>
        <v>2019-PAS-FRD-FSTA-002</v>
      </c>
    </row>
    <row r="56" spans="1:40" s="572" customFormat="1" ht="15">
      <c r="A56" s="570" t="s">
        <v>305</v>
      </c>
      <c r="B56" s="569" t="s">
        <v>300</v>
      </c>
      <c r="C56" s="569" t="s">
        <v>280</v>
      </c>
      <c r="D56" s="580">
        <v>27</v>
      </c>
      <c r="E56" s="569" t="s">
        <v>151</v>
      </c>
      <c r="F56" s="569" t="s">
        <v>211</v>
      </c>
      <c r="G56" s="569" t="s">
        <v>271</v>
      </c>
      <c r="H56" s="569">
        <v>2019</v>
      </c>
      <c r="I56" s="569" t="s">
        <v>272</v>
      </c>
      <c r="J56" s="569" t="s">
        <v>301</v>
      </c>
      <c r="K56" s="569" t="s">
        <v>156</v>
      </c>
      <c r="L56" s="569">
        <v>5</v>
      </c>
      <c r="M56" s="569">
        <v>0</v>
      </c>
      <c r="N56" s="569" t="s">
        <v>157</v>
      </c>
      <c r="O56" s="569">
        <v>2</v>
      </c>
      <c r="P56" s="569" t="s">
        <v>157</v>
      </c>
      <c r="Q56" s="568" t="s">
        <v>157</v>
      </c>
      <c r="R56" s="569" t="s">
        <v>274</v>
      </c>
      <c r="S56" s="569">
        <v>4</v>
      </c>
      <c r="T56" s="569" t="s">
        <v>302</v>
      </c>
      <c r="U56" s="569" t="s">
        <v>295</v>
      </c>
      <c r="V56" s="569">
        <v>98</v>
      </c>
      <c r="W56" s="569">
        <v>12.4</v>
      </c>
      <c r="X56" s="568">
        <v>2578</v>
      </c>
      <c r="Y56" s="581">
        <v>30</v>
      </c>
      <c r="Z56" s="581" t="s">
        <v>178</v>
      </c>
      <c r="AA56" s="581" t="s">
        <v>178</v>
      </c>
      <c r="AB56" s="585">
        <v>17460</v>
      </c>
      <c r="AC56" s="585" t="s">
        <v>164</v>
      </c>
      <c r="AD56" s="585">
        <v>16109.729166666668</v>
      </c>
      <c r="AE56" s="587">
        <v>0.03</v>
      </c>
      <c r="AF56" s="661" t="str">
        <f t="shared" si="0"/>
        <v>2019-PAS-FRD-FSTA-002-27</v>
      </c>
      <c r="AG56" s="661" t="str">
        <f>IF(AND($Y56&gt;=32,(AI56="I"),(Y56&lt;&gt;"~"),(COUNTIF($AN$1:$AN56,$AN56)=1)),"TRUE","FALSE")</f>
        <v>FALSE</v>
      </c>
      <c r="AH56" s="661" t="str">
        <f>IF(AND($Y56&gt;=22, (AI56&lt;&gt;"I"),(Y56&lt;&gt;"~"),(COUNTIF($AN$1:$AN56,$AN56)=1)),"TRUE","FALSE")</f>
        <v>FALSE</v>
      </c>
      <c r="AI56" s="661" t="str">
        <f t="shared" si="6"/>
        <v>I</v>
      </c>
      <c r="AJ56" s="662" t="str">
        <f t="shared" si="1"/>
        <v>FSTA-002</v>
      </c>
      <c r="AK56" s="662" t="str">
        <f t="shared" si="2"/>
        <v>PAS</v>
      </c>
      <c r="AL56" s="662" t="str">
        <f t="shared" si="3"/>
        <v>FRD</v>
      </c>
      <c r="AM56" s="662" t="str">
        <f t="shared" si="4"/>
        <v>Fiesta-SE Sedan-FWD-5-~-~-1.6L-4-P4B-200A-98-12.4-Unleaded-Unleaded</v>
      </c>
      <c r="AN56" s="662" t="str">
        <f t="shared" si="5"/>
        <v>2019-PAS-FRD-FSTA-002</v>
      </c>
    </row>
    <row r="57" spans="1:40" s="572" customFormat="1" ht="15">
      <c r="A57" s="570" t="s">
        <v>306</v>
      </c>
      <c r="B57" s="573" t="s">
        <v>307</v>
      </c>
      <c r="C57" s="573" t="s">
        <v>278</v>
      </c>
      <c r="D57" s="578">
        <v>15</v>
      </c>
      <c r="E57" s="573" t="s">
        <v>151</v>
      </c>
      <c r="F57" s="573" t="s">
        <v>211</v>
      </c>
      <c r="G57" s="573" t="s">
        <v>271</v>
      </c>
      <c r="H57" s="573">
        <v>2019</v>
      </c>
      <c r="I57" s="573" t="s">
        <v>272</v>
      </c>
      <c r="J57" s="573" t="s">
        <v>308</v>
      </c>
      <c r="K57" s="573" t="s">
        <v>156</v>
      </c>
      <c r="L57" s="573">
        <v>5</v>
      </c>
      <c r="M57" s="573">
        <v>0</v>
      </c>
      <c r="N57" s="573" t="s">
        <v>157</v>
      </c>
      <c r="O57" s="573">
        <v>2</v>
      </c>
      <c r="P57" s="573" t="s">
        <v>157</v>
      </c>
      <c r="Q57" s="571" t="s">
        <v>157</v>
      </c>
      <c r="R57" s="573" t="s">
        <v>274</v>
      </c>
      <c r="S57" s="573">
        <v>4</v>
      </c>
      <c r="T57" s="573" t="s">
        <v>309</v>
      </c>
      <c r="U57" s="573" t="s">
        <v>310</v>
      </c>
      <c r="V57" s="573">
        <v>98</v>
      </c>
      <c r="W57" s="573">
        <v>12.4</v>
      </c>
      <c r="X57" s="571">
        <v>2578</v>
      </c>
      <c r="Y57" s="579">
        <v>30</v>
      </c>
      <c r="Z57" s="579" t="s">
        <v>178</v>
      </c>
      <c r="AA57" s="579" t="s">
        <v>178</v>
      </c>
      <c r="AB57" s="584">
        <v>22215</v>
      </c>
      <c r="AC57" s="584" t="s">
        <v>164</v>
      </c>
      <c r="AD57" s="584">
        <v>20868</v>
      </c>
      <c r="AE57" s="586">
        <v>0.01</v>
      </c>
      <c r="AF57" s="661" t="str">
        <f t="shared" si="0"/>
        <v>2019-PAS-FRD-FSTA-007-15</v>
      </c>
      <c r="AG57" s="661" t="str">
        <f>IF(AND($Y57&gt;=32,(AI57="I"),(Y57&lt;&gt;"~"),(COUNTIF($AN$1:$AN57,$AN57)=1)),"TRUE","FALSE")</f>
        <v>FALSE</v>
      </c>
      <c r="AH57" s="661" t="str">
        <f>IF(AND($Y57&gt;=22, (AI57&lt;&gt;"I"),(Y57&lt;&gt;"~"),(COUNTIF($AN$1:$AN57,$AN57)=1)),"TRUE","FALSE")</f>
        <v>FALSE</v>
      </c>
      <c r="AI57" s="661" t="str">
        <f t="shared" si="6"/>
        <v>I</v>
      </c>
      <c r="AJ57" s="662" t="str">
        <f t="shared" si="1"/>
        <v>FSTA-007</v>
      </c>
      <c r="AK57" s="662" t="str">
        <f t="shared" si="2"/>
        <v>PAS</v>
      </c>
      <c r="AL57" s="662" t="str">
        <f t="shared" si="3"/>
        <v>FRD</v>
      </c>
      <c r="AM57" s="662" t="str">
        <f t="shared" si="4"/>
        <v>Fiesta-ST Hatch-FWD-5-~-~-1.6L-4-P4G-400A-98-12.4-Unleaded-Unleaded</v>
      </c>
      <c r="AN57" s="662" t="str">
        <f t="shared" si="5"/>
        <v>2019-PAS-FRD-FSTA-007</v>
      </c>
    </row>
    <row r="58" spans="1:40" s="572" customFormat="1" ht="15">
      <c r="A58" s="570" t="s">
        <v>311</v>
      </c>
      <c r="B58" s="569" t="s">
        <v>307</v>
      </c>
      <c r="C58" s="569" t="s">
        <v>287</v>
      </c>
      <c r="D58" s="580">
        <v>26</v>
      </c>
      <c r="E58" s="569" t="s">
        <v>151</v>
      </c>
      <c r="F58" s="569" t="s">
        <v>211</v>
      </c>
      <c r="G58" s="569" t="s">
        <v>271</v>
      </c>
      <c r="H58" s="569">
        <v>2019</v>
      </c>
      <c r="I58" s="569" t="s">
        <v>272</v>
      </c>
      <c r="J58" s="569" t="s">
        <v>308</v>
      </c>
      <c r="K58" s="569" t="s">
        <v>156</v>
      </c>
      <c r="L58" s="569">
        <v>5</v>
      </c>
      <c r="M58" s="569">
        <v>0</v>
      </c>
      <c r="N58" s="569" t="s">
        <v>157</v>
      </c>
      <c r="O58" s="569">
        <v>2</v>
      </c>
      <c r="P58" s="569" t="s">
        <v>157</v>
      </c>
      <c r="Q58" s="568" t="s">
        <v>157</v>
      </c>
      <c r="R58" s="569" t="s">
        <v>274</v>
      </c>
      <c r="S58" s="569">
        <v>4</v>
      </c>
      <c r="T58" s="569" t="s">
        <v>309</v>
      </c>
      <c r="U58" s="569" t="s">
        <v>310</v>
      </c>
      <c r="V58" s="569">
        <v>98</v>
      </c>
      <c r="W58" s="569">
        <v>12.4</v>
      </c>
      <c r="X58" s="568">
        <v>2578</v>
      </c>
      <c r="Y58" s="581">
        <v>30</v>
      </c>
      <c r="Z58" s="581" t="s">
        <v>178</v>
      </c>
      <c r="AA58" s="581" t="s">
        <v>178</v>
      </c>
      <c r="AB58" s="585">
        <v>23310</v>
      </c>
      <c r="AC58" s="585" t="s">
        <v>164</v>
      </c>
      <c r="AD58" s="585">
        <v>22305</v>
      </c>
      <c r="AE58" s="587">
        <v>0.05</v>
      </c>
      <c r="AF58" s="661" t="str">
        <f t="shared" si="0"/>
        <v>2019-PAS-FRD-FSTA-007-26</v>
      </c>
      <c r="AG58" s="661" t="str">
        <f>IF(AND($Y58&gt;=32,(AI58="I"),(Y58&lt;&gt;"~"),(COUNTIF($AN$1:$AN58,$AN58)=1)),"TRUE","FALSE")</f>
        <v>FALSE</v>
      </c>
      <c r="AH58" s="661" t="str">
        <f>IF(AND($Y58&gt;=22, (AI58&lt;&gt;"I"),(Y58&lt;&gt;"~"),(COUNTIF($AN$1:$AN58,$AN58)=1)),"TRUE","FALSE")</f>
        <v>FALSE</v>
      </c>
      <c r="AI58" s="661" t="str">
        <f t="shared" si="6"/>
        <v>I</v>
      </c>
      <c r="AJ58" s="662" t="str">
        <f t="shared" si="1"/>
        <v>FSTA-007</v>
      </c>
      <c r="AK58" s="662" t="str">
        <f t="shared" si="2"/>
        <v>PAS</v>
      </c>
      <c r="AL58" s="662" t="str">
        <f t="shared" si="3"/>
        <v>FRD</v>
      </c>
      <c r="AM58" s="662" t="str">
        <f t="shared" si="4"/>
        <v>Fiesta-ST Hatch-FWD-5-~-~-1.6L-4-P4G-400A-98-12.4-Unleaded-Unleaded</v>
      </c>
      <c r="AN58" s="662" t="str">
        <f t="shared" si="5"/>
        <v>2019-PAS-FRD-FSTA-007</v>
      </c>
    </row>
    <row r="59" spans="1:40" s="572" customFormat="1" ht="15">
      <c r="A59" s="570" t="s">
        <v>312</v>
      </c>
      <c r="B59" s="573" t="s">
        <v>313</v>
      </c>
      <c r="C59" s="573" t="s">
        <v>269</v>
      </c>
      <c r="D59" s="578" t="s">
        <v>270</v>
      </c>
      <c r="E59" s="573" t="s">
        <v>151</v>
      </c>
      <c r="F59" s="573" t="s">
        <v>187</v>
      </c>
      <c r="G59" s="573" t="s">
        <v>271</v>
      </c>
      <c r="H59" s="573">
        <v>2019</v>
      </c>
      <c r="I59" s="573" t="s">
        <v>314</v>
      </c>
      <c r="J59" s="573" t="s">
        <v>315</v>
      </c>
      <c r="K59" s="573" t="s">
        <v>230</v>
      </c>
      <c r="L59" s="573">
        <v>7</v>
      </c>
      <c r="M59" s="573">
        <v>0</v>
      </c>
      <c r="N59" s="573" t="s">
        <v>157</v>
      </c>
      <c r="O59" s="573">
        <v>3</v>
      </c>
      <c r="P59" s="573" t="s">
        <v>157</v>
      </c>
      <c r="Q59" s="571" t="s">
        <v>157</v>
      </c>
      <c r="R59" s="573" t="s">
        <v>316</v>
      </c>
      <c r="S59" s="573">
        <v>6</v>
      </c>
      <c r="T59" s="573" t="s">
        <v>317</v>
      </c>
      <c r="U59" s="573" t="s">
        <v>318</v>
      </c>
      <c r="V59" s="573">
        <v>117.9</v>
      </c>
      <c r="W59" s="573">
        <v>18.600000000000001</v>
      </c>
      <c r="X59" s="571">
        <v>5970</v>
      </c>
      <c r="Y59" s="579">
        <v>18</v>
      </c>
      <c r="Z59" s="579" t="s">
        <v>178</v>
      </c>
      <c r="AA59" s="579" t="s">
        <v>178</v>
      </c>
      <c r="AB59" s="584">
        <v>41735</v>
      </c>
      <c r="AC59" s="584" t="s">
        <v>164</v>
      </c>
      <c r="AD59" s="584">
        <v>37254.25</v>
      </c>
      <c r="AE59" s="586">
        <v>0.03</v>
      </c>
      <c r="AF59" s="661" t="str">
        <f t="shared" si="0"/>
        <v>2019-PAS-FRD-FLEX-004-05</v>
      </c>
      <c r="AG59" s="661" t="str">
        <f>IF(AND($Y59&gt;=32,(AI59="I"),(Y59&lt;&gt;"~"),(COUNTIF($AN$1:$AN59,$AN59)=1)),"TRUE","FALSE")</f>
        <v>FALSE</v>
      </c>
      <c r="AH59" s="661" t="str">
        <f>IF(AND($Y59&gt;=22, (AI59&lt;&gt;"I"),(Y59&lt;&gt;"~"),(COUNTIF($AN$1:$AN59,$AN59)=1)),"TRUE","FALSE")</f>
        <v>FALSE</v>
      </c>
      <c r="AI59" s="661" t="str">
        <f t="shared" si="6"/>
        <v>I</v>
      </c>
      <c r="AJ59" s="662" t="str">
        <f t="shared" si="1"/>
        <v>FLEX-004</v>
      </c>
      <c r="AK59" s="662" t="str">
        <f t="shared" si="2"/>
        <v>PAS</v>
      </c>
      <c r="AL59" s="662" t="str">
        <f t="shared" si="3"/>
        <v>FRD</v>
      </c>
      <c r="AM59" s="662" t="str">
        <f t="shared" si="4"/>
        <v>Flex-Limited-AWD-7-~-~-3.5L-6-K6D-300A-117.9-18.6-Unleaded-Unleaded</v>
      </c>
      <c r="AN59" s="662" t="str">
        <f t="shared" si="5"/>
        <v>2019-PAS-FRD-FLEX-004</v>
      </c>
    </row>
    <row r="60" spans="1:40" s="572" customFormat="1" ht="15">
      <c r="A60" s="570" t="s">
        <v>319</v>
      </c>
      <c r="B60" s="569" t="s">
        <v>313</v>
      </c>
      <c r="C60" s="569" t="s">
        <v>278</v>
      </c>
      <c r="D60" s="580">
        <v>15</v>
      </c>
      <c r="E60" s="569" t="s">
        <v>151</v>
      </c>
      <c r="F60" s="569" t="s">
        <v>187</v>
      </c>
      <c r="G60" s="569" t="s">
        <v>271</v>
      </c>
      <c r="H60" s="569">
        <v>2019</v>
      </c>
      <c r="I60" s="569" t="s">
        <v>314</v>
      </c>
      <c r="J60" s="569" t="s">
        <v>315</v>
      </c>
      <c r="K60" s="569" t="s">
        <v>230</v>
      </c>
      <c r="L60" s="569">
        <v>7</v>
      </c>
      <c r="M60" s="569">
        <v>0</v>
      </c>
      <c r="N60" s="569" t="s">
        <v>157</v>
      </c>
      <c r="O60" s="569">
        <v>3</v>
      </c>
      <c r="P60" s="569" t="s">
        <v>157</v>
      </c>
      <c r="Q60" s="568" t="s">
        <v>157</v>
      </c>
      <c r="R60" s="569" t="s">
        <v>316</v>
      </c>
      <c r="S60" s="569">
        <v>6</v>
      </c>
      <c r="T60" s="569" t="s">
        <v>317</v>
      </c>
      <c r="U60" s="569" t="s">
        <v>318</v>
      </c>
      <c r="V60" s="569">
        <v>117.9</v>
      </c>
      <c r="W60" s="569">
        <v>18.600000000000001</v>
      </c>
      <c r="X60" s="568">
        <v>5970</v>
      </c>
      <c r="Y60" s="581">
        <v>18</v>
      </c>
      <c r="Z60" s="581" t="s">
        <v>178</v>
      </c>
      <c r="AA60" s="581" t="s">
        <v>178</v>
      </c>
      <c r="AB60" s="585">
        <v>41735</v>
      </c>
      <c r="AC60" s="585" t="s">
        <v>164</v>
      </c>
      <c r="AD60" s="585">
        <v>39700</v>
      </c>
      <c r="AE60" s="587">
        <v>0.01</v>
      </c>
      <c r="AF60" s="661" t="str">
        <f t="shared" si="0"/>
        <v>2019-PAS-FRD-FLEX-004-15</v>
      </c>
      <c r="AG60" s="661" t="str">
        <f>IF(AND($Y60&gt;=32,(AI60="I"),(Y60&lt;&gt;"~"),(COUNTIF($AN$1:$AN60,$AN60)=1)),"TRUE","FALSE")</f>
        <v>FALSE</v>
      </c>
      <c r="AH60" s="661" t="str">
        <f>IF(AND($Y60&gt;=22, (AI60&lt;&gt;"I"),(Y60&lt;&gt;"~"),(COUNTIF($AN$1:$AN60,$AN60)=1)),"TRUE","FALSE")</f>
        <v>FALSE</v>
      </c>
      <c r="AI60" s="661" t="str">
        <f t="shared" si="6"/>
        <v>I</v>
      </c>
      <c r="AJ60" s="662" t="str">
        <f t="shared" si="1"/>
        <v>FLEX-004</v>
      </c>
      <c r="AK60" s="662" t="str">
        <f t="shared" si="2"/>
        <v>PAS</v>
      </c>
      <c r="AL60" s="662" t="str">
        <f t="shared" si="3"/>
        <v>FRD</v>
      </c>
      <c r="AM60" s="662" t="str">
        <f t="shared" si="4"/>
        <v>Flex-Limited-AWD-7-~-~-3.5L-6-K6D-300A-117.9-18.6-Unleaded-Unleaded</v>
      </c>
      <c r="AN60" s="662" t="str">
        <f t="shared" si="5"/>
        <v>2019-PAS-FRD-FLEX-004</v>
      </c>
    </row>
    <row r="61" spans="1:40" s="572" customFormat="1" ht="15">
      <c r="A61" s="570" t="s">
        <v>320</v>
      </c>
      <c r="B61" s="573" t="s">
        <v>313</v>
      </c>
      <c r="C61" s="573" t="s">
        <v>287</v>
      </c>
      <c r="D61" s="578">
        <v>26</v>
      </c>
      <c r="E61" s="573" t="s">
        <v>151</v>
      </c>
      <c r="F61" s="573" t="s">
        <v>187</v>
      </c>
      <c r="G61" s="573" t="s">
        <v>271</v>
      </c>
      <c r="H61" s="573">
        <v>2019</v>
      </c>
      <c r="I61" s="573" t="s">
        <v>314</v>
      </c>
      <c r="J61" s="573" t="s">
        <v>315</v>
      </c>
      <c r="K61" s="573" t="s">
        <v>230</v>
      </c>
      <c r="L61" s="573">
        <v>7</v>
      </c>
      <c r="M61" s="573">
        <v>0</v>
      </c>
      <c r="N61" s="573" t="s">
        <v>157</v>
      </c>
      <c r="O61" s="573">
        <v>3</v>
      </c>
      <c r="P61" s="573" t="s">
        <v>157</v>
      </c>
      <c r="Q61" s="571" t="s">
        <v>157</v>
      </c>
      <c r="R61" s="573" t="s">
        <v>316</v>
      </c>
      <c r="S61" s="573">
        <v>6</v>
      </c>
      <c r="T61" s="573" t="s">
        <v>317</v>
      </c>
      <c r="U61" s="573" t="s">
        <v>318</v>
      </c>
      <c r="V61" s="573">
        <v>117.9</v>
      </c>
      <c r="W61" s="573">
        <v>18.600000000000001</v>
      </c>
      <c r="X61" s="571">
        <v>5970</v>
      </c>
      <c r="Y61" s="579">
        <v>18</v>
      </c>
      <c r="Z61" s="579" t="s">
        <v>178</v>
      </c>
      <c r="AA61" s="579" t="s">
        <v>178</v>
      </c>
      <c r="AB61" s="584">
        <v>41735</v>
      </c>
      <c r="AC61" s="584" t="s">
        <v>164</v>
      </c>
      <c r="AD61" s="584">
        <v>38307</v>
      </c>
      <c r="AE61" s="586">
        <v>0.05</v>
      </c>
      <c r="AF61" s="661" t="str">
        <f t="shared" si="0"/>
        <v>2019-PAS-FRD-FLEX-004-26</v>
      </c>
      <c r="AG61" s="661" t="str">
        <f>IF(AND($Y61&gt;=32,(AI61="I"),(Y61&lt;&gt;"~"),(COUNTIF($AN$1:$AN61,$AN61)=1)),"TRUE","FALSE")</f>
        <v>FALSE</v>
      </c>
      <c r="AH61" s="661" t="str">
        <f>IF(AND($Y61&gt;=22, (AI61&lt;&gt;"I"),(Y61&lt;&gt;"~"),(COUNTIF($AN$1:$AN61,$AN61)=1)),"TRUE","FALSE")</f>
        <v>FALSE</v>
      </c>
      <c r="AI61" s="661" t="str">
        <f t="shared" si="6"/>
        <v>I</v>
      </c>
      <c r="AJ61" s="662" t="str">
        <f t="shared" si="1"/>
        <v>FLEX-004</v>
      </c>
      <c r="AK61" s="662" t="str">
        <f t="shared" si="2"/>
        <v>PAS</v>
      </c>
      <c r="AL61" s="662" t="str">
        <f t="shared" si="3"/>
        <v>FRD</v>
      </c>
      <c r="AM61" s="662" t="str">
        <f t="shared" si="4"/>
        <v>Flex-Limited-AWD-7-~-~-3.5L-6-K6D-300A-117.9-18.6-Unleaded-Unleaded</v>
      </c>
      <c r="AN61" s="662" t="str">
        <f t="shared" si="5"/>
        <v>2019-PAS-FRD-FLEX-004</v>
      </c>
    </row>
    <row r="62" spans="1:40" s="572" customFormat="1" ht="15">
      <c r="A62" s="570" t="s">
        <v>321</v>
      </c>
      <c r="B62" s="569" t="s">
        <v>313</v>
      </c>
      <c r="C62" s="569" t="s">
        <v>280</v>
      </c>
      <c r="D62" s="580">
        <v>27</v>
      </c>
      <c r="E62" s="569" t="s">
        <v>151</v>
      </c>
      <c r="F62" s="569" t="s">
        <v>187</v>
      </c>
      <c r="G62" s="569" t="s">
        <v>271</v>
      </c>
      <c r="H62" s="569">
        <v>2019</v>
      </c>
      <c r="I62" s="569" t="s">
        <v>314</v>
      </c>
      <c r="J62" s="569" t="s">
        <v>315</v>
      </c>
      <c r="K62" s="569" t="s">
        <v>230</v>
      </c>
      <c r="L62" s="569">
        <v>7</v>
      </c>
      <c r="M62" s="569">
        <v>0</v>
      </c>
      <c r="N62" s="569" t="s">
        <v>157</v>
      </c>
      <c r="O62" s="569">
        <v>3</v>
      </c>
      <c r="P62" s="569" t="s">
        <v>157</v>
      </c>
      <c r="Q62" s="568" t="s">
        <v>157</v>
      </c>
      <c r="R62" s="569" t="s">
        <v>316</v>
      </c>
      <c r="S62" s="569">
        <v>6</v>
      </c>
      <c r="T62" s="569" t="s">
        <v>317</v>
      </c>
      <c r="U62" s="569" t="s">
        <v>318</v>
      </c>
      <c r="V62" s="569">
        <v>117.9</v>
      </c>
      <c r="W62" s="569">
        <v>18.600000000000001</v>
      </c>
      <c r="X62" s="568">
        <v>5970</v>
      </c>
      <c r="Y62" s="581">
        <v>18</v>
      </c>
      <c r="Z62" s="581" t="s">
        <v>178</v>
      </c>
      <c r="AA62" s="581" t="s">
        <v>178</v>
      </c>
      <c r="AB62" s="585">
        <v>41735</v>
      </c>
      <c r="AC62" s="585" t="s">
        <v>164</v>
      </c>
      <c r="AD62" s="585">
        <v>37254.25</v>
      </c>
      <c r="AE62" s="587">
        <v>0.03</v>
      </c>
      <c r="AF62" s="661" t="str">
        <f t="shared" si="0"/>
        <v>2019-PAS-FRD-FLEX-004-27</v>
      </c>
      <c r="AG62" s="661" t="str">
        <f>IF(AND($Y62&gt;=32,(AI62="I"),(Y62&lt;&gt;"~"),(COUNTIF($AN$1:$AN62,$AN62)=1)),"TRUE","FALSE")</f>
        <v>FALSE</v>
      </c>
      <c r="AH62" s="661" t="str">
        <f>IF(AND($Y62&gt;=22, (AI62&lt;&gt;"I"),(Y62&lt;&gt;"~"),(COUNTIF($AN$1:$AN62,$AN62)=1)),"TRUE","FALSE")</f>
        <v>FALSE</v>
      </c>
      <c r="AI62" s="661" t="str">
        <f t="shared" si="6"/>
        <v>I</v>
      </c>
      <c r="AJ62" s="662" t="str">
        <f t="shared" si="1"/>
        <v>FLEX-004</v>
      </c>
      <c r="AK62" s="662" t="str">
        <f t="shared" si="2"/>
        <v>PAS</v>
      </c>
      <c r="AL62" s="662" t="str">
        <f t="shared" si="3"/>
        <v>FRD</v>
      </c>
      <c r="AM62" s="662" t="str">
        <f t="shared" si="4"/>
        <v>Flex-Limited-AWD-7-~-~-3.5L-6-K6D-300A-117.9-18.6-Unleaded-Unleaded</v>
      </c>
      <c r="AN62" s="662" t="str">
        <f t="shared" si="5"/>
        <v>2019-PAS-FRD-FLEX-004</v>
      </c>
    </row>
    <row r="63" spans="1:40" s="572" customFormat="1" ht="15">
      <c r="A63" s="570" t="s">
        <v>322</v>
      </c>
      <c r="B63" s="573" t="s">
        <v>323</v>
      </c>
      <c r="C63" s="573" t="s">
        <v>269</v>
      </c>
      <c r="D63" s="578" t="s">
        <v>270</v>
      </c>
      <c r="E63" s="573" t="s">
        <v>151</v>
      </c>
      <c r="F63" s="573" t="s">
        <v>187</v>
      </c>
      <c r="G63" s="573" t="s">
        <v>271</v>
      </c>
      <c r="H63" s="573">
        <v>2019</v>
      </c>
      <c r="I63" s="573" t="s">
        <v>314</v>
      </c>
      <c r="J63" s="573" t="s">
        <v>315</v>
      </c>
      <c r="K63" s="573" t="s">
        <v>156</v>
      </c>
      <c r="L63" s="573">
        <v>7</v>
      </c>
      <c r="M63" s="573">
        <v>0</v>
      </c>
      <c r="N63" s="573" t="s">
        <v>157</v>
      </c>
      <c r="O63" s="573">
        <v>3</v>
      </c>
      <c r="P63" s="573" t="s">
        <v>157</v>
      </c>
      <c r="Q63" s="571" t="s">
        <v>157</v>
      </c>
      <c r="R63" s="573" t="s">
        <v>316</v>
      </c>
      <c r="S63" s="573">
        <v>6</v>
      </c>
      <c r="T63" s="573" t="s">
        <v>324</v>
      </c>
      <c r="U63" s="573" t="s">
        <v>318</v>
      </c>
      <c r="V63" s="573">
        <v>117.9</v>
      </c>
      <c r="W63" s="573">
        <v>18.600000000000001</v>
      </c>
      <c r="X63" s="571">
        <v>5970</v>
      </c>
      <c r="Y63" s="579">
        <v>19</v>
      </c>
      <c r="Z63" s="579" t="s">
        <v>178</v>
      </c>
      <c r="AA63" s="579" t="s">
        <v>178</v>
      </c>
      <c r="AB63" s="584">
        <v>39785</v>
      </c>
      <c r="AC63" s="584" t="s">
        <v>164</v>
      </c>
      <c r="AD63" s="584">
        <v>35451.125</v>
      </c>
      <c r="AE63" s="586">
        <v>0.03</v>
      </c>
      <c r="AF63" s="661" t="str">
        <f t="shared" si="0"/>
        <v>2019-PAS-FRD-FLEX-005-05</v>
      </c>
      <c r="AG63" s="661" t="str">
        <f>IF(AND($Y63&gt;=32,(AI63="I"),(Y63&lt;&gt;"~"),(COUNTIF($AN$1:$AN63,$AN63)=1)),"TRUE","FALSE")</f>
        <v>FALSE</v>
      </c>
      <c r="AH63" s="661" t="str">
        <f>IF(AND($Y63&gt;=22, (AI63&lt;&gt;"I"),(Y63&lt;&gt;"~"),(COUNTIF($AN$1:$AN63,$AN63)=1)),"TRUE","FALSE")</f>
        <v>FALSE</v>
      </c>
      <c r="AI63" s="661" t="str">
        <f t="shared" si="6"/>
        <v>I</v>
      </c>
      <c r="AJ63" s="662" t="str">
        <f t="shared" si="1"/>
        <v>FLEX-005</v>
      </c>
      <c r="AK63" s="662" t="str">
        <f t="shared" si="2"/>
        <v>PAS</v>
      </c>
      <c r="AL63" s="662" t="str">
        <f t="shared" si="3"/>
        <v>FRD</v>
      </c>
      <c r="AM63" s="662" t="str">
        <f t="shared" si="4"/>
        <v>Flex-Limited-FWD-7-~-~-3.5L-6-K5D-300A-117.9-18.6-Unleaded-Unleaded</v>
      </c>
      <c r="AN63" s="662" t="str">
        <f t="shared" si="5"/>
        <v>2019-PAS-FRD-FLEX-005</v>
      </c>
    </row>
    <row r="64" spans="1:40" s="572" customFormat="1" ht="15">
      <c r="A64" s="570" t="s">
        <v>325</v>
      </c>
      <c r="B64" s="569" t="s">
        <v>323</v>
      </c>
      <c r="C64" s="569" t="s">
        <v>278</v>
      </c>
      <c r="D64" s="580">
        <v>15</v>
      </c>
      <c r="E64" s="569" t="s">
        <v>151</v>
      </c>
      <c r="F64" s="569" t="s">
        <v>187</v>
      </c>
      <c r="G64" s="569" t="s">
        <v>271</v>
      </c>
      <c r="H64" s="569">
        <v>2019</v>
      </c>
      <c r="I64" s="569" t="s">
        <v>314</v>
      </c>
      <c r="J64" s="569" t="s">
        <v>315</v>
      </c>
      <c r="K64" s="569" t="s">
        <v>156</v>
      </c>
      <c r="L64" s="569">
        <v>7</v>
      </c>
      <c r="M64" s="569">
        <v>0</v>
      </c>
      <c r="N64" s="569" t="s">
        <v>157</v>
      </c>
      <c r="O64" s="569">
        <v>3</v>
      </c>
      <c r="P64" s="569" t="s">
        <v>157</v>
      </c>
      <c r="Q64" s="568" t="s">
        <v>157</v>
      </c>
      <c r="R64" s="569" t="s">
        <v>316</v>
      </c>
      <c r="S64" s="569">
        <v>6</v>
      </c>
      <c r="T64" s="569" t="s">
        <v>324</v>
      </c>
      <c r="U64" s="569" t="s">
        <v>318</v>
      </c>
      <c r="V64" s="569">
        <v>117.9</v>
      </c>
      <c r="W64" s="569">
        <v>18.600000000000001</v>
      </c>
      <c r="X64" s="568">
        <v>5970</v>
      </c>
      <c r="Y64" s="581">
        <v>19</v>
      </c>
      <c r="Z64" s="581" t="s">
        <v>178</v>
      </c>
      <c r="AA64" s="581" t="s">
        <v>178</v>
      </c>
      <c r="AB64" s="585">
        <v>39785</v>
      </c>
      <c r="AC64" s="585" t="s">
        <v>164</v>
      </c>
      <c r="AD64" s="585">
        <v>37850</v>
      </c>
      <c r="AE64" s="587">
        <v>0.01</v>
      </c>
      <c r="AF64" s="661" t="str">
        <f t="shared" si="0"/>
        <v>2019-PAS-FRD-FLEX-005-15</v>
      </c>
      <c r="AG64" s="661" t="str">
        <f>IF(AND($Y64&gt;=32,(AI64="I"),(Y64&lt;&gt;"~"),(COUNTIF($AN$1:$AN64,$AN64)=1)),"TRUE","FALSE")</f>
        <v>FALSE</v>
      </c>
      <c r="AH64" s="661" t="str">
        <f>IF(AND($Y64&gt;=22, (AI64&lt;&gt;"I"),(Y64&lt;&gt;"~"),(COUNTIF($AN$1:$AN64,$AN64)=1)),"TRUE","FALSE")</f>
        <v>FALSE</v>
      </c>
      <c r="AI64" s="661" t="str">
        <f t="shared" si="6"/>
        <v>I</v>
      </c>
      <c r="AJ64" s="662" t="str">
        <f t="shared" si="1"/>
        <v>FLEX-005</v>
      </c>
      <c r="AK64" s="662" t="str">
        <f t="shared" si="2"/>
        <v>PAS</v>
      </c>
      <c r="AL64" s="662" t="str">
        <f t="shared" si="3"/>
        <v>FRD</v>
      </c>
      <c r="AM64" s="662" t="str">
        <f t="shared" si="4"/>
        <v>Flex-Limited-FWD-7-~-~-3.5L-6-K5D-300A-117.9-18.6-Unleaded-Unleaded</v>
      </c>
      <c r="AN64" s="662" t="str">
        <f t="shared" si="5"/>
        <v>2019-PAS-FRD-FLEX-005</v>
      </c>
    </row>
    <row r="65" spans="1:40" s="572" customFormat="1" ht="15">
      <c r="A65" s="570" t="s">
        <v>326</v>
      </c>
      <c r="B65" s="573" t="s">
        <v>323</v>
      </c>
      <c r="C65" s="573" t="s">
        <v>287</v>
      </c>
      <c r="D65" s="578">
        <v>26</v>
      </c>
      <c r="E65" s="573" t="s">
        <v>151</v>
      </c>
      <c r="F65" s="573" t="s">
        <v>187</v>
      </c>
      <c r="G65" s="573" t="s">
        <v>271</v>
      </c>
      <c r="H65" s="573">
        <v>2019</v>
      </c>
      <c r="I65" s="573" t="s">
        <v>314</v>
      </c>
      <c r="J65" s="573" t="s">
        <v>315</v>
      </c>
      <c r="K65" s="573" t="s">
        <v>156</v>
      </c>
      <c r="L65" s="573">
        <v>7</v>
      </c>
      <c r="M65" s="573">
        <v>0</v>
      </c>
      <c r="N65" s="573" t="s">
        <v>157</v>
      </c>
      <c r="O65" s="573">
        <v>3</v>
      </c>
      <c r="P65" s="573" t="s">
        <v>157</v>
      </c>
      <c r="Q65" s="571" t="s">
        <v>157</v>
      </c>
      <c r="R65" s="573" t="s">
        <v>316</v>
      </c>
      <c r="S65" s="573">
        <v>6</v>
      </c>
      <c r="T65" s="573" t="s">
        <v>324</v>
      </c>
      <c r="U65" s="573" t="s">
        <v>318</v>
      </c>
      <c r="V65" s="573">
        <v>117.9</v>
      </c>
      <c r="W65" s="573">
        <v>18.600000000000001</v>
      </c>
      <c r="X65" s="571">
        <v>5970</v>
      </c>
      <c r="Y65" s="579">
        <v>19</v>
      </c>
      <c r="Z65" s="579" t="s">
        <v>178</v>
      </c>
      <c r="AA65" s="579" t="s">
        <v>178</v>
      </c>
      <c r="AB65" s="584">
        <v>39785</v>
      </c>
      <c r="AC65" s="584" t="s">
        <v>164</v>
      </c>
      <c r="AD65" s="584">
        <v>36460</v>
      </c>
      <c r="AE65" s="586">
        <v>0.05</v>
      </c>
      <c r="AF65" s="661" t="str">
        <f t="shared" si="0"/>
        <v>2019-PAS-FRD-FLEX-005-26</v>
      </c>
      <c r="AG65" s="661" t="str">
        <f>IF(AND($Y65&gt;=32,(AI65="I"),(Y65&lt;&gt;"~"),(COUNTIF($AN$1:$AN65,$AN65)=1)),"TRUE","FALSE")</f>
        <v>FALSE</v>
      </c>
      <c r="AH65" s="661" t="str">
        <f>IF(AND($Y65&gt;=22, (AI65&lt;&gt;"I"),(Y65&lt;&gt;"~"),(COUNTIF($AN$1:$AN65,$AN65)=1)),"TRUE","FALSE")</f>
        <v>FALSE</v>
      </c>
      <c r="AI65" s="661" t="str">
        <f t="shared" si="6"/>
        <v>I</v>
      </c>
      <c r="AJ65" s="662" t="str">
        <f t="shared" si="1"/>
        <v>FLEX-005</v>
      </c>
      <c r="AK65" s="662" t="str">
        <f t="shared" si="2"/>
        <v>PAS</v>
      </c>
      <c r="AL65" s="662" t="str">
        <f t="shared" si="3"/>
        <v>FRD</v>
      </c>
      <c r="AM65" s="662" t="str">
        <f t="shared" si="4"/>
        <v>Flex-Limited-FWD-7-~-~-3.5L-6-K5D-300A-117.9-18.6-Unleaded-Unleaded</v>
      </c>
      <c r="AN65" s="662" t="str">
        <f t="shared" si="5"/>
        <v>2019-PAS-FRD-FLEX-005</v>
      </c>
    </row>
    <row r="66" spans="1:40" s="572" customFormat="1" ht="15">
      <c r="A66" s="570" t="s">
        <v>327</v>
      </c>
      <c r="B66" s="569" t="s">
        <v>323</v>
      </c>
      <c r="C66" s="569" t="s">
        <v>280</v>
      </c>
      <c r="D66" s="580">
        <v>27</v>
      </c>
      <c r="E66" s="569" t="s">
        <v>151</v>
      </c>
      <c r="F66" s="569" t="s">
        <v>187</v>
      </c>
      <c r="G66" s="569" t="s">
        <v>271</v>
      </c>
      <c r="H66" s="569">
        <v>2019</v>
      </c>
      <c r="I66" s="569" t="s">
        <v>314</v>
      </c>
      <c r="J66" s="569" t="s">
        <v>315</v>
      </c>
      <c r="K66" s="569" t="s">
        <v>156</v>
      </c>
      <c r="L66" s="569">
        <v>7</v>
      </c>
      <c r="M66" s="569">
        <v>0</v>
      </c>
      <c r="N66" s="569" t="s">
        <v>157</v>
      </c>
      <c r="O66" s="569">
        <v>3</v>
      </c>
      <c r="P66" s="569" t="s">
        <v>157</v>
      </c>
      <c r="Q66" s="568" t="s">
        <v>157</v>
      </c>
      <c r="R66" s="569" t="s">
        <v>316</v>
      </c>
      <c r="S66" s="569">
        <v>6</v>
      </c>
      <c r="T66" s="569" t="s">
        <v>324</v>
      </c>
      <c r="U66" s="569" t="s">
        <v>318</v>
      </c>
      <c r="V66" s="569">
        <v>117.9</v>
      </c>
      <c r="W66" s="569">
        <v>18.600000000000001</v>
      </c>
      <c r="X66" s="568">
        <v>5970</v>
      </c>
      <c r="Y66" s="581">
        <v>19</v>
      </c>
      <c r="Z66" s="581" t="s">
        <v>178</v>
      </c>
      <c r="AA66" s="581" t="s">
        <v>178</v>
      </c>
      <c r="AB66" s="585">
        <v>39785</v>
      </c>
      <c r="AC66" s="585" t="s">
        <v>164</v>
      </c>
      <c r="AD66" s="585">
        <v>35451.125</v>
      </c>
      <c r="AE66" s="587">
        <v>0.03</v>
      </c>
      <c r="AF66" s="661" t="str">
        <f t="shared" si="0"/>
        <v>2019-PAS-FRD-FLEX-005-27</v>
      </c>
      <c r="AG66" s="661" t="str">
        <f>IF(AND($Y66&gt;=32,(AI66="I"),(Y66&lt;&gt;"~"),(COUNTIF($AN$1:$AN66,$AN66)=1)),"TRUE","FALSE")</f>
        <v>FALSE</v>
      </c>
      <c r="AH66" s="661" t="str">
        <f>IF(AND($Y66&gt;=22, (AI66&lt;&gt;"I"),(Y66&lt;&gt;"~"),(COUNTIF($AN$1:$AN66,$AN66)=1)),"TRUE","FALSE")</f>
        <v>FALSE</v>
      </c>
      <c r="AI66" s="661" t="str">
        <f t="shared" si="6"/>
        <v>I</v>
      </c>
      <c r="AJ66" s="662" t="str">
        <f t="shared" si="1"/>
        <v>FLEX-005</v>
      </c>
      <c r="AK66" s="662" t="str">
        <f t="shared" si="2"/>
        <v>PAS</v>
      </c>
      <c r="AL66" s="662" t="str">
        <f t="shared" si="3"/>
        <v>FRD</v>
      </c>
      <c r="AM66" s="662" t="str">
        <f t="shared" si="4"/>
        <v>Flex-Limited-FWD-7-~-~-3.5L-6-K5D-300A-117.9-18.6-Unleaded-Unleaded</v>
      </c>
      <c r="AN66" s="662" t="str">
        <f t="shared" si="5"/>
        <v>2019-PAS-FRD-FLEX-005</v>
      </c>
    </row>
    <row r="67" spans="1:40" s="572" customFormat="1" ht="15">
      <c r="A67" s="570" t="s">
        <v>328</v>
      </c>
      <c r="B67" s="573" t="s">
        <v>329</v>
      </c>
      <c r="C67" s="573" t="s">
        <v>269</v>
      </c>
      <c r="D67" s="578" t="s">
        <v>270</v>
      </c>
      <c r="E67" s="573" t="s">
        <v>151</v>
      </c>
      <c r="F67" s="573" t="s">
        <v>187</v>
      </c>
      <c r="G67" s="573" t="s">
        <v>271</v>
      </c>
      <c r="H67" s="573">
        <v>2019</v>
      </c>
      <c r="I67" s="573" t="s">
        <v>314</v>
      </c>
      <c r="J67" s="573" t="s">
        <v>330</v>
      </c>
      <c r="K67" s="573" t="s">
        <v>156</v>
      </c>
      <c r="L67" s="573">
        <v>7</v>
      </c>
      <c r="M67" s="573">
        <v>0</v>
      </c>
      <c r="N67" s="573" t="s">
        <v>157</v>
      </c>
      <c r="O67" s="573">
        <v>3</v>
      </c>
      <c r="P67" s="573" t="s">
        <v>157</v>
      </c>
      <c r="Q67" s="571" t="s">
        <v>157</v>
      </c>
      <c r="R67" s="573" t="s">
        <v>316</v>
      </c>
      <c r="S67" s="573">
        <v>6</v>
      </c>
      <c r="T67" s="573" t="s">
        <v>331</v>
      </c>
      <c r="U67" s="573" t="s">
        <v>276</v>
      </c>
      <c r="V67" s="573">
        <v>117.9</v>
      </c>
      <c r="W67" s="573">
        <v>18.600000000000001</v>
      </c>
      <c r="X67" s="571">
        <v>5970</v>
      </c>
      <c r="Y67" s="579">
        <v>19</v>
      </c>
      <c r="Z67" s="579" t="s">
        <v>178</v>
      </c>
      <c r="AA67" s="579" t="s">
        <v>178</v>
      </c>
      <c r="AB67" s="584">
        <v>31570</v>
      </c>
      <c r="AC67" s="584" t="s">
        <v>164</v>
      </c>
      <c r="AD67" s="584">
        <v>28175.083333333336</v>
      </c>
      <c r="AE67" s="586">
        <v>0.03</v>
      </c>
      <c r="AF67" s="661" t="str">
        <f t="shared" ref="AF67:AF130" si="7">A67</f>
        <v>2019-PAS-FRD-FLEX-001-05</v>
      </c>
      <c r="AG67" s="661" t="str">
        <f>IF(AND($Y67&gt;=32,(AI67="I"),(Y67&lt;&gt;"~"),(COUNTIF($AN$1:$AN67,$AN67)=1)),"TRUE","FALSE")</f>
        <v>FALSE</v>
      </c>
      <c r="AH67" s="661" t="str">
        <f>IF(AND($Y67&gt;=22, (AI67&lt;&gt;"I"),(Y67&lt;&gt;"~"),(COUNTIF($AN$1:$AN67,$AN67)=1)),"TRUE","FALSE")</f>
        <v>FALSE</v>
      </c>
      <c r="AI67" s="661" t="str">
        <f t="shared" si="6"/>
        <v>I</v>
      </c>
      <c r="AJ67" s="662" t="str">
        <f t="shared" ref="AJ67:AJ130" si="8">MID(A67,14,8)</f>
        <v>FLEX-001</v>
      </c>
      <c r="AK67" s="662" t="str">
        <f t="shared" ref="AK67:AK130" si="9">MID(A67,6,3)</f>
        <v>PAS</v>
      </c>
      <c r="AL67" s="662" t="str">
        <f t="shared" ref="AL67:AL130" si="10">MID(A67,10,3)</f>
        <v>FRD</v>
      </c>
      <c r="AM67" s="662" t="str">
        <f t="shared" ref="AM67:AM130" si="11">CONCATENATE(I67,"-",J67,"-",K67,"-",L67,"-",P67,"-",Q67,"-",R67,"-",S67,"-",T67,"-",U67,"-",V67,"-",W67,"-",Z67,"-",AA67)</f>
        <v>Flex-SE-FWD-7-~-~-3.5L-6-K5B-100A-117.9-18.6-Unleaded-Unleaded</v>
      </c>
      <c r="AN67" s="662" t="str">
        <f t="shared" ref="AN67:AN130" si="12">LEFT(A67,21)</f>
        <v>2019-PAS-FRD-FLEX-001</v>
      </c>
    </row>
    <row r="68" spans="1:40" s="572" customFormat="1" ht="15">
      <c r="A68" s="570" t="s">
        <v>332</v>
      </c>
      <c r="B68" s="569" t="s">
        <v>329</v>
      </c>
      <c r="C68" s="569" t="s">
        <v>278</v>
      </c>
      <c r="D68" s="580">
        <v>15</v>
      </c>
      <c r="E68" s="569" t="s">
        <v>151</v>
      </c>
      <c r="F68" s="569" t="s">
        <v>187</v>
      </c>
      <c r="G68" s="569" t="s">
        <v>271</v>
      </c>
      <c r="H68" s="569">
        <v>2019</v>
      </c>
      <c r="I68" s="569" t="s">
        <v>314</v>
      </c>
      <c r="J68" s="569" t="s">
        <v>330</v>
      </c>
      <c r="K68" s="569" t="s">
        <v>156</v>
      </c>
      <c r="L68" s="569">
        <v>7</v>
      </c>
      <c r="M68" s="569">
        <v>0</v>
      </c>
      <c r="N68" s="569" t="s">
        <v>157</v>
      </c>
      <c r="O68" s="569">
        <v>3</v>
      </c>
      <c r="P68" s="569" t="s">
        <v>157</v>
      </c>
      <c r="Q68" s="568" t="s">
        <v>157</v>
      </c>
      <c r="R68" s="569" t="s">
        <v>316</v>
      </c>
      <c r="S68" s="569">
        <v>6</v>
      </c>
      <c r="T68" s="569" t="s">
        <v>331</v>
      </c>
      <c r="U68" s="569" t="s">
        <v>276</v>
      </c>
      <c r="V68" s="569">
        <v>117.9</v>
      </c>
      <c r="W68" s="569">
        <v>18.600000000000001</v>
      </c>
      <c r="X68" s="568">
        <v>5970</v>
      </c>
      <c r="Y68" s="581">
        <v>19</v>
      </c>
      <c r="Z68" s="581" t="s">
        <v>178</v>
      </c>
      <c r="AA68" s="581" t="s">
        <v>178</v>
      </c>
      <c r="AB68" s="585">
        <v>31570</v>
      </c>
      <c r="AC68" s="585" t="s">
        <v>164</v>
      </c>
      <c r="AD68" s="585">
        <v>30450</v>
      </c>
      <c r="AE68" s="587">
        <v>0.01</v>
      </c>
      <c r="AF68" s="661" t="str">
        <f t="shared" si="7"/>
        <v>2019-PAS-FRD-FLEX-001-15</v>
      </c>
      <c r="AG68" s="661" t="str">
        <f>IF(AND($Y68&gt;=32,(AI68="I"),(Y68&lt;&gt;"~"),(COUNTIF($AN$1:$AN68,$AN68)=1)),"TRUE","FALSE")</f>
        <v>FALSE</v>
      </c>
      <c r="AH68" s="661" t="str">
        <f>IF(AND($Y68&gt;=22, (AI68&lt;&gt;"I"),(Y68&lt;&gt;"~"),(COUNTIF($AN$1:$AN68,$AN68)=1)),"TRUE","FALSE")</f>
        <v>FALSE</v>
      </c>
      <c r="AI68" s="661" t="str">
        <f t="shared" ref="AI68:AI131" si="13">IF(OR((LEFT($E68,2)="01"),AND(LEFT($E68,2)="06",ISNUMBER(SEARCH("pas",$F68))),AND(LEFT($E68,2)="05",ISNUMBER(SEARCH("pas",$F68)))),"I",IF(AND((LEFT($E68,2)&lt;&gt;"01"),$X68&lt;=10000),"II",IF(AND((LEFT($E68,2)&lt;&gt;"01"),$X68&gt;10000),"N/A")))</f>
        <v>I</v>
      </c>
      <c r="AJ68" s="662" t="str">
        <f t="shared" si="8"/>
        <v>FLEX-001</v>
      </c>
      <c r="AK68" s="662" t="str">
        <f t="shared" si="9"/>
        <v>PAS</v>
      </c>
      <c r="AL68" s="662" t="str">
        <f t="shared" si="10"/>
        <v>FRD</v>
      </c>
      <c r="AM68" s="662" t="str">
        <f t="shared" si="11"/>
        <v>Flex-SE-FWD-7-~-~-3.5L-6-K5B-100A-117.9-18.6-Unleaded-Unleaded</v>
      </c>
      <c r="AN68" s="662" t="str">
        <f t="shared" si="12"/>
        <v>2019-PAS-FRD-FLEX-001</v>
      </c>
    </row>
    <row r="69" spans="1:40" s="572" customFormat="1" ht="15">
      <c r="A69" s="570" t="s">
        <v>333</v>
      </c>
      <c r="B69" s="573" t="s">
        <v>329</v>
      </c>
      <c r="C69" s="573" t="s">
        <v>287</v>
      </c>
      <c r="D69" s="578">
        <v>26</v>
      </c>
      <c r="E69" s="573" t="s">
        <v>151</v>
      </c>
      <c r="F69" s="573" t="s">
        <v>187</v>
      </c>
      <c r="G69" s="573" t="s">
        <v>271</v>
      </c>
      <c r="H69" s="573">
        <v>2019</v>
      </c>
      <c r="I69" s="573" t="s">
        <v>314</v>
      </c>
      <c r="J69" s="573" t="s">
        <v>330</v>
      </c>
      <c r="K69" s="573" t="s">
        <v>156</v>
      </c>
      <c r="L69" s="573">
        <v>7</v>
      </c>
      <c r="M69" s="573">
        <v>0</v>
      </c>
      <c r="N69" s="573" t="s">
        <v>157</v>
      </c>
      <c r="O69" s="573">
        <v>3</v>
      </c>
      <c r="P69" s="573" t="s">
        <v>157</v>
      </c>
      <c r="Q69" s="571" t="s">
        <v>157</v>
      </c>
      <c r="R69" s="573" t="s">
        <v>316</v>
      </c>
      <c r="S69" s="573">
        <v>6</v>
      </c>
      <c r="T69" s="573" t="s">
        <v>331</v>
      </c>
      <c r="U69" s="573" t="s">
        <v>276</v>
      </c>
      <c r="V69" s="573">
        <v>117.9</v>
      </c>
      <c r="W69" s="573">
        <v>18.600000000000001</v>
      </c>
      <c r="X69" s="571">
        <v>5970</v>
      </c>
      <c r="Y69" s="579">
        <v>19</v>
      </c>
      <c r="Z69" s="579" t="s">
        <v>178</v>
      </c>
      <c r="AA69" s="579" t="s">
        <v>178</v>
      </c>
      <c r="AB69" s="584">
        <v>31570</v>
      </c>
      <c r="AC69" s="584" t="s">
        <v>164</v>
      </c>
      <c r="AD69" s="584">
        <v>28995</v>
      </c>
      <c r="AE69" s="586">
        <v>0.05</v>
      </c>
      <c r="AF69" s="661" t="str">
        <f t="shared" si="7"/>
        <v>2019-PAS-FRD-FLEX-001-26</v>
      </c>
      <c r="AG69" s="661" t="str">
        <f>IF(AND($Y69&gt;=32,(AI69="I"),(Y69&lt;&gt;"~"),(COUNTIF($AN$1:$AN69,$AN69)=1)),"TRUE","FALSE")</f>
        <v>FALSE</v>
      </c>
      <c r="AH69" s="661" t="str">
        <f>IF(AND($Y69&gt;=22, (AI69&lt;&gt;"I"),(Y69&lt;&gt;"~"),(COUNTIF($AN$1:$AN69,$AN69)=1)),"TRUE","FALSE")</f>
        <v>FALSE</v>
      </c>
      <c r="AI69" s="661" t="str">
        <f t="shared" si="13"/>
        <v>I</v>
      </c>
      <c r="AJ69" s="662" t="str">
        <f t="shared" si="8"/>
        <v>FLEX-001</v>
      </c>
      <c r="AK69" s="662" t="str">
        <f t="shared" si="9"/>
        <v>PAS</v>
      </c>
      <c r="AL69" s="662" t="str">
        <f t="shared" si="10"/>
        <v>FRD</v>
      </c>
      <c r="AM69" s="662" t="str">
        <f t="shared" si="11"/>
        <v>Flex-SE-FWD-7-~-~-3.5L-6-K5B-100A-117.9-18.6-Unleaded-Unleaded</v>
      </c>
      <c r="AN69" s="662" t="str">
        <f t="shared" si="12"/>
        <v>2019-PAS-FRD-FLEX-001</v>
      </c>
    </row>
    <row r="70" spans="1:40" s="572" customFormat="1" ht="15">
      <c r="A70" s="570" t="s">
        <v>334</v>
      </c>
      <c r="B70" s="569" t="s">
        <v>329</v>
      </c>
      <c r="C70" s="569" t="s">
        <v>280</v>
      </c>
      <c r="D70" s="580">
        <v>27</v>
      </c>
      <c r="E70" s="569" t="s">
        <v>151</v>
      </c>
      <c r="F70" s="569" t="s">
        <v>187</v>
      </c>
      <c r="G70" s="569" t="s">
        <v>271</v>
      </c>
      <c r="H70" s="569">
        <v>2019</v>
      </c>
      <c r="I70" s="569" t="s">
        <v>314</v>
      </c>
      <c r="J70" s="569" t="s">
        <v>330</v>
      </c>
      <c r="K70" s="569" t="s">
        <v>156</v>
      </c>
      <c r="L70" s="569">
        <v>7</v>
      </c>
      <c r="M70" s="569">
        <v>0</v>
      </c>
      <c r="N70" s="569" t="s">
        <v>157</v>
      </c>
      <c r="O70" s="569">
        <v>3</v>
      </c>
      <c r="P70" s="569" t="s">
        <v>157</v>
      </c>
      <c r="Q70" s="568" t="s">
        <v>157</v>
      </c>
      <c r="R70" s="569" t="s">
        <v>316</v>
      </c>
      <c r="S70" s="569">
        <v>6</v>
      </c>
      <c r="T70" s="569" t="s">
        <v>331</v>
      </c>
      <c r="U70" s="569" t="s">
        <v>276</v>
      </c>
      <c r="V70" s="569">
        <v>117.9</v>
      </c>
      <c r="W70" s="569">
        <v>18.600000000000001</v>
      </c>
      <c r="X70" s="568">
        <v>5970</v>
      </c>
      <c r="Y70" s="581">
        <v>19</v>
      </c>
      <c r="Z70" s="581" t="s">
        <v>178</v>
      </c>
      <c r="AA70" s="581" t="s">
        <v>178</v>
      </c>
      <c r="AB70" s="585">
        <v>31570</v>
      </c>
      <c r="AC70" s="585" t="s">
        <v>164</v>
      </c>
      <c r="AD70" s="585">
        <v>28175.083333333336</v>
      </c>
      <c r="AE70" s="587">
        <v>0.03</v>
      </c>
      <c r="AF70" s="661" t="str">
        <f t="shared" si="7"/>
        <v>2019-PAS-FRD-FLEX-001-27</v>
      </c>
      <c r="AG70" s="661" t="str">
        <f>IF(AND($Y70&gt;=32,(AI70="I"),(Y70&lt;&gt;"~"),(COUNTIF($AN$1:$AN70,$AN70)=1)),"TRUE","FALSE")</f>
        <v>FALSE</v>
      </c>
      <c r="AH70" s="661" t="str">
        <f>IF(AND($Y70&gt;=22, (AI70&lt;&gt;"I"),(Y70&lt;&gt;"~"),(COUNTIF($AN$1:$AN70,$AN70)=1)),"TRUE","FALSE")</f>
        <v>FALSE</v>
      </c>
      <c r="AI70" s="661" t="str">
        <f t="shared" si="13"/>
        <v>I</v>
      </c>
      <c r="AJ70" s="662" t="str">
        <f t="shared" si="8"/>
        <v>FLEX-001</v>
      </c>
      <c r="AK70" s="662" t="str">
        <f t="shared" si="9"/>
        <v>PAS</v>
      </c>
      <c r="AL70" s="662" t="str">
        <f t="shared" si="10"/>
        <v>FRD</v>
      </c>
      <c r="AM70" s="662" t="str">
        <f t="shared" si="11"/>
        <v>Flex-SE-FWD-7-~-~-3.5L-6-K5B-100A-117.9-18.6-Unleaded-Unleaded</v>
      </c>
      <c r="AN70" s="662" t="str">
        <f t="shared" si="12"/>
        <v>2019-PAS-FRD-FLEX-001</v>
      </c>
    </row>
    <row r="71" spans="1:40" s="572" customFormat="1" ht="15">
      <c r="A71" s="570" t="s">
        <v>335</v>
      </c>
      <c r="B71" s="573" t="s">
        <v>336</v>
      </c>
      <c r="C71" s="573" t="s">
        <v>269</v>
      </c>
      <c r="D71" s="578" t="s">
        <v>270</v>
      </c>
      <c r="E71" s="573" t="s">
        <v>151</v>
      </c>
      <c r="F71" s="573" t="s">
        <v>187</v>
      </c>
      <c r="G71" s="573" t="s">
        <v>271</v>
      </c>
      <c r="H71" s="573">
        <v>2019</v>
      </c>
      <c r="I71" s="573" t="s">
        <v>314</v>
      </c>
      <c r="J71" s="573" t="s">
        <v>337</v>
      </c>
      <c r="K71" s="573" t="s">
        <v>230</v>
      </c>
      <c r="L71" s="573">
        <v>7</v>
      </c>
      <c r="M71" s="573">
        <v>0</v>
      </c>
      <c r="N71" s="573" t="s">
        <v>157</v>
      </c>
      <c r="O71" s="573">
        <v>3</v>
      </c>
      <c r="P71" s="573" t="s">
        <v>157</v>
      </c>
      <c r="Q71" s="571" t="s">
        <v>157</v>
      </c>
      <c r="R71" s="573" t="s">
        <v>316</v>
      </c>
      <c r="S71" s="573">
        <v>6</v>
      </c>
      <c r="T71" s="573" t="s">
        <v>338</v>
      </c>
      <c r="U71" s="573" t="s">
        <v>295</v>
      </c>
      <c r="V71" s="573">
        <v>117.9</v>
      </c>
      <c r="W71" s="573">
        <v>18.600000000000001</v>
      </c>
      <c r="X71" s="571">
        <v>5970</v>
      </c>
      <c r="Y71" s="579">
        <v>18</v>
      </c>
      <c r="Z71" s="579" t="s">
        <v>178</v>
      </c>
      <c r="AA71" s="579" t="s">
        <v>178</v>
      </c>
      <c r="AB71" s="584">
        <v>36235</v>
      </c>
      <c r="AC71" s="584" t="s">
        <v>164</v>
      </c>
      <c r="AD71" s="584">
        <v>32169.875000000004</v>
      </c>
      <c r="AE71" s="586">
        <v>0.03</v>
      </c>
      <c r="AF71" s="661" t="str">
        <f t="shared" si="7"/>
        <v>2019-PAS-FRD-FLEX-002-05</v>
      </c>
      <c r="AG71" s="661" t="str">
        <f>IF(AND($Y71&gt;=32,(AI71="I"),(Y71&lt;&gt;"~"),(COUNTIF($AN$1:$AN71,$AN71)=1)),"TRUE","FALSE")</f>
        <v>FALSE</v>
      </c>
      <c r="AH71" s="661" t="str">
        <f>IF(AND($Y71&gt;=22, (AI71&lt;&gt;"I"),(Y71&lt;&gt;"~"),(COUNTIF($AN$1:$AN71,$AN71)=1)),"TRUE","FALSE")</f>
        <v>FALSE</v>
      </c>
      <c r="AI71" s="661" t="str">
        <f t="shared" si="13"/>
        <v>I</v>
      </c>
      <c r="AJ71" s="662" t="str">
        <f t="shared" si="8"/>
        <v>FLEX-002</v>
      </c>
      <c r="AK71" s="662" t="str">
        <f t="shared" si="9"/>
        <v>PAS</v>
      </c>
      <c r="AL71" s="662" t="str">
        <f t="shared" si="10"/>
        <v>FRD</v>
      </c>
      <c r="AM71" s="662" t="str">
        <f t="shared" si="11"/>
        <v>Flex-SEL-AWD-7-~-~-3.5L-6-K6C-200A-117.9-18.6-Unleaded-Unleaded</v>
      </c>
      <c r="AN71" s="662" t="str">
        <f t="shared" si="12"/>
        <v>2019-PAS-FRD-FLEX-002</v>
      </c>
    </row>
    <row r="72" spans="1:40" s="572" customFormat="1" ht="15">
      <c r="A72" s="570" t="s">
        <v>339</v>
      </c>
      <c r="B72" s="569" t="s">
        <v>336</v>
      </c>
      <c r="C72" s="569" t="s">
        <v>278</v>
      </c>
      <c r="D72" s="580">
        <v>15</v>
      </c>
      <c r="E72" s="569" t="s">
        <v>151</v>
      </c>
      <c r="F72" s="569" t="s">
        <v>187</v>
      </c>
      <c r="G72" s="569" t="s">
        <v>271</v>
      </c>
      <c r="H72" s="569">
        <v>2019</v>
      </c>
      <c r="I72" s="569" t="s">
        <v>314</v>
      </c>
      <c r="J72" s="569" t="s">
        <v>337</v>
      </c>
      <c r="K72" s="569" t="s">
        <v>230</v>
      </c>
      <c r="L72" s="569">
        <v>7</v>
      </c>
      <c r="M72" s="569">
        <v>0</v>
      </c>
      <c r="N72" s="569" t="s">
        <v>157</v>
      </c>
      <c r="O72" s="569">
        <v>3</v>
      </c>
      <c r="P72" s="569" t="s">
        <v>157</v>
      </c>
      <c r="Q72" s="568" t="s">
        <v>157</v>
      </c>
      <c r="R72" s="569" t="s">
        <v>316</v>
      </c>
      <c r="S72" s="569">
        <v>6</v>
      </c>
      <c r="T72" s="569" t="s">
        <v>338</v>
      </c>
      <c r="U72" s="569" t="s">
        <v>295</v>
      </c>
      <c r="V72" s="569">
        <v>117.9</v>
      </c>
      <c r="W72" s="569">
        <v>18.600000000000001</v>
      </c>
      <c r="X72" s="568">
        <v>5970</v>
      </c>
      <c r="Y72" s="581">
        <v>18</v>
      </c>
      <c r="Z72" s="581" t="s">
        <v>178</v>
      </c>
      <c r="AA72" s="581" t="s">
        <v>178</v>
      </c>
      <c r="AB72" s="585">
        <v>36235</v>
      </c>
      <c r="AC72" s="585" t="s">
        <v>164</v>
      </c>
      <c r="AD72" s="585">
        <v>34500</v>
      </c>
      <c r="AE72" s="587">
        <v>0.01</v>
      </c>
      <c r="AF72" s="661" t="str">
        <f t="shared" si="7"/>
        <v>2019-PAS-FRD-FLEX-002-15</v>
      </c>
      <c r="AG72" s="661" t="str">
        <f>IF(AND($Y72&gt;=32,(AI72="I"),(Y72&lt;&gt;"~"),(COUNTIF($AN$1:$AN72,$AN72)=1)),"TRUE","FALSE")</f>
        <v>FALSE</v>
      </c>
      <c r="AH72" s="661" t="str">
        <f>IF(AND($Y72&gt;=22, (AI72&lt;&gt;"I"),(Y72&lt;&gt;"~"),(COUNTIF($AN$1:$AN72,$AN72)=1)),"TRUE","FALSE")</f>
        <v>FALSE</v>
      </c>
      <c r="AI72" s="661" t="str">
        <f t="shared" si="13"/>
        <v>I</v>
      </c>
      <c r="AJ72" s="662" t="str">
        <f t="shared" si="8"/>
        <v>FLEX-002</v>
      </c>
      <c r="AK72" s="662" t="str">
        <f t="shared" si="9"/>
        <v>PAS</v>
      </c>
      <c r="AL72" s="662" t="str">
        <f t="shared" si="10"/>
        <v>FRD</v>
      </c>
      <c r="AM72" s="662" t="str">
        <f t="shared" si="11"/>
        <v>Flex-SEL-AWD-7-~-~-3.5L-6-K6C-200A-117.9-18.6-Unleaded-Unleaded</v>
      </c>
      <c r="AN72" s="662" t="str">
        <f t="shared" si="12"/>
        <v>2019-PAS-FRD-FLEX-002</v>
      </c>
    </row>
    <row r="73" spans="1:40" s="572" customFormat="1" ht="15">
      <c r="A73" s="570" t="s">
        <v>340</v>
      </c>
      <c r="B73" s="573" t="s">
        <v>336</v>
      </c>
      <c r="C73" s="573" t="s">
        <v>287</v>
      </c>
      <c r="D73" s="578">
        <v>26</v>
      </c>
      <c r="E73" s="573" t="s">
        <v>151</v>
      </c>
      <c r="F73" s="573" t="s">
        <v>187</v>
      </c>
      <c r="G73" s="573" t="s">
        <v>271</v>
      </c>
      <c r="H73" s="573">
        <v>2019</v>
      </c>
      <c r="I73" s="573" t="s">
        <v>314</v>
      </c>
      <c r="J73" s="573" t="s">
        <v>337</v>
      </c>
      <c r="K73" s="573" t="s">
        <v>230</v>
      </c>
      <c r="L73" s="573">
        <v>7</v>
      </c>
      <c r="M73" s="573">
        <v>0</v>
      </c>
      <c r="N73" s="573" t="s">
        <v>157</v>
      </c>
      <c r="O73" s="573">
        <v>3</v>
      </c>
      <c r="P73" s="573" t="s">
        <v>157</v>
      </c>
      <c r="Q73" s="571" t="s">
        <v>157</v>
      </c>
      <c r="R73" s="573" t="s">
        <v>316</v>
      </c>
      <c r="S73" s="573">
        <v>6</v>
      </c>
      <c r="T73" s="573" t="s">
        <v>338</v>
      </c>
      <c r="U73" s="573" t="s">
        <v>295</v>
      </c>
      <c r="V73" s="573">
        <v>117.9</v>
      </c>
      <c r="W73" s="573">
        <v>18.600000000000001</v>
      </c>
      <c r="X73" s="571">
        <v>5970</v>
      </c>
      <c r="Y73" s="579">
        <v>18</v>
      </c>
      <c r="Z73" s="579" t="s">
        <v>178</v>
      </c>
      <c r="AA73" s="579" t="s">
        <v>178</v>
      </c>
      <c r="AB73" s="584">
        <v>36235</v>
      </c>
      <c r="AC73" s="584" t="s">
        <v>164</v>
      </c>
      <c r="AD73" s="584">
        <v>33092</v>
      </c>
      <c r="AE73" s="586">
        <v>0.05</v>
      </c>
      <c r="AF73" s="661" t="str">
        <f t="shared" si="7"/>
        <v>2019-PAS-FRD-FLEX-002-26</v>
      </c>
      <c r="AG73" s="661" t="str">
        <f>IF(AND($Y73&gt;=32,(AI73="I"),(Y73&lt;&gt;"~"),(COUNTIF($AN$1:$AN73,$AN73)=1)),"TRUE","FALSE")</f>
        <v>FALSE</v>
      </c>
      <c r="AH73" s="661" t="str">
        <f>IF(AND($Y73&gt;=22, (AI73&lt;&gt;"I"),(Y73&lt;&gt;"~"),(COUNTIF($AN$1:$AN73,$AN73)=1)),"TRUE","FALSE")</f>
        <v>FALSE</v>
      </c>
      <c r="AI73" s="661" t="str">
        <f t="shared" si="13"/>
        <v>I</v>
      </c>
      <c r="AJ73" s="662" t="str">
        <f t="shared" si="8"/>
        <v>FLEX-002</v>
      </c>
      <c r="AK73" s="662" t="str">
        <f t="shared" si="9"/>
        <v>PAS</v>
      </c>
      <c r="AL73" s="662" t="str">
        <f t="shared" si="10"/>
        <v>FRD</v>
      </c>
      <c r="AM73" s="662" t="str">
        <f t="shared" si="11"/>
        <v>Flex-SEL-AWD-7-~-~-3.5L-6-K6C-200A-117.9-18.6-Unleaded-Unleaded</v>
      </c>
      <c r="AN73" s="662" t="str">
        <f t="shared" si="12"/>
        <v>2019-PAS-FRD-FLEX-002</v>
      </c>
    </row>
    <row r="74" spans="1:40" s="572" customFormat="1" ht="15">
      <c r="A74" s="570" t="s">
        <v>341</v>
      </c>
      <c r="B74" s="569" t="s">
        <v>336</v>
      </c>
      <c r="C74" s="569" t="s">
        <v>280</v>
      </c>
      <c r="D74" s="580">
        <v>27</v>
      </c>
      <c r="E74" s="569" t="s">
        <v>151</v>
      </c>
      <c r="F74" s="569" t="s">
        <v>187</v>
      </c>
      <c r="G74" s="569" t="s">
        <v>271</v>
      </c>
      <c r="H74" s="569">
        <v>2019</v>
      </c>
      <c r="I74" s="569" t="s">
        <v>314</v>
      </c>
      <c r="J74" s="569" t="s">
        <v>337</v>
      </c>
      <c r="K74" s="569" t="s">
        <v>230</v>
      </c>
      <c r="L74" s="569">
        <v>7</v>
      </c>
      <c r="M74" s="569">
        <v>0</v>
      </c>
      <c r="N74" s="569" t="s">
        <v>157</v>
      </c>
      <c r="O74" s="569">
        <v>3</v>
      </c>
      <c r="P74" s="569" t="s">
        <v>157</v>
      </c>
      <c r="Q74" s="568" t="s">
        <v>157</v>
      </c>
      <c r="R74" s="569" t="s">
        <v>316</v>
      </c>
      <c r="S74" s="569">
        <v>6</v>
      </c>
      <c r="T74" s="569" t="s">
        <v>338</v>
      </c>
      <c r="U74" s="569" t="s">
        <v>295</v>
      </c>
      <c r="V74" s="569">
        <v>117.9</v>
      </c>
      <c r="W74" s="569">
        <v>18.600000000000001</v>
      </c>
      <c r="X74" s="568">
        <v>5970</v>
      </c>
      <c r="Y74" s="581">
        <v>18</v>
      </c>
      <c r="Z74" s="581" t="s">
        <v>178</v>
      </c>
      <c r="AA74" s="581" t="s">
        <v>178</v>
      </c>
      <c r="AB74" s="585">
        <v>36235</v>
      </c>
      <c r="AC74" s="585" t="s">
        <v>164</v>
      </c>
      <c r="AD74" s="585">
        <v>32169.875000000004</v>
      </c>
      <c r="AE74" s="587">
        <v>0.03</v>
      </c>
      <c r="AF74" s="661" t="str">
        <f t="shared" si="7"/>
        <v>2019-PAS-FRD-FLEX-002-27</v>
      </c>
      <c r="AG74" s="661" t="str">
        <f>IF(AND($Y74&gt;=32,(AI74="I"),(Y74&lt;&gt;"~"),(COUNTIF($AN$1:$AN74,$AN74)=1)),"TRUE","FALSE")</f>
        <v>FALSE</v>
      </c>
      <c r="AH74" s="661" t="str">
        <f>IF(AND($Y74&gt;=22, (AI74&lt;&gt;"I"),(Y74&lt;&gt;"~"),(COUNTIF($AN$1:$AN74,$AN74)=1)),"TRUE","FALSE")</f>
        <v>FALSE</v>
      </c>
      <c r="AI74" s="661" t="str">
        <f t="shared" si="13"/>
        <v>I</v>
      </c>
      <c r="AJ74" s="662" t="str">
        <f t="shared" si="8"/>
        <v>FLEX-002</v>
      </c>
      <c r="AK74" s="662" t="str">
        <f t="shared" si="9"/>
        <v>PAS</v>
      </c>
      <c r="AL74" s="662" t="str">
        <f t="shared" si="10"/>
        <v>FRD</v>
      </c>
      <c r="AM74" s="662" t="str">
        <f t="shared" si="11"/>
        <v>Flex-SEL-AWD-7-~-~-3.5L-6-K6C-200A-117.9-18.6-Unleaded-Unleaded</v>
      </c>
      <c r="AN74" s="662" t="str">
        <f t="shared" si="12"/>
        <v>2019-PAS-FRD-FLEX-002</v>
      </c>
    </row>
    <row r="75" spans="1:40" s="572" customFormat="1" ht="15">
      <c r="A75" s="570" t="s">
        <v>342</v>
      </c>
      <c r="B75" s="573" t="s">
        <v>343</v>
      </c>
      <c r="C75" s="573" t="s">
        <v>269</v>
      </c>
      <c r="D75" s="578" t="s">
        <v>270</v>
      </c>
      <c r="E75" s="573" t="s">
        <v>151</v>
      </c>
      <c r="F75" s="573" t="s">
        <v>187</v>
      </c>
      <c r="G75" s="573" t="s">
        <v>271</v>
      </c>
      <c r="H75" s="573">
        <v>2019</v>
      </c>
      <c r="I75" s="573" t="s">
        <v>314</v>
      </c>
      <c r="J75" s="573" t="s">
        <v>337</v>
      </c>
      <c r="K75" s="573" t="s">
        <v>156</v>
      </c>
      <c r="L75" s="573">
        <v>7</v>
      </c>
      <c r="M75" s="573">
        <v>0</v>
      </c>
      <c r="N75" s="573" t="s">
        <v>157</v>
      </c>
      <c r="O75" s="573">
        <v>3</v>
      </c>
      <c r="P75" s="573" t="s">
        <v>157</v>
      </c>
      <c r="Q75" s="571" t="s">
        <v>157</v>
      </c>
      <c r="R75" s="573" t="s">
        <v>316</v>
      </c>
      <c r="S75" s="573">
        <v>6</v>
      </c>
      <c r="T75" s="573" t="s">
        <v>344</v>
      </c>
      <c r="U75" s="573" t="s">
        <v>295</v>
      </c>
      <c r="V75" s="573">
        <v>117.9</v>
      </c>
      <c r="W75" s="573">
        <v>18.600000000000001</v>
      </c>
      <c r="X75" s="571">
        <v>5970</v>
      </c>
      <c r="Y75" s="579">
        <v>19</v>
      </c>
      <c r="Z75" s="579" t="s">
        <v>178</v>
      </c>
      <c r="AA75" s="579" t="s">
        <v>178</v>
      </c>
      <c r="AB75" s="584">
        <v>34285</v>
      </c>
      <c r="AC75" s="584" t="s">
        <v>164</v>
      </c>
      <c r="AD75" s="584">
        <v>30366.750000000004</v>
      </c>
      <c r="AE75" s="586">
        <v>0.03</v>
      </c>
      <c r="AF75" s="661" t="str">
        <f t="shared" si="7"/>
        <v>2019-PAS-FRD-FLEX-003-05</v>
      </c>
      <c r="AG75" s="661" t="str">
        <f>IF(AND($Y75&gt;=32,(AI75="I"),(Y75&lt;&gt;"~"),(COUNTIF($AN$1:$AN75,$AN75)=1)),"TRUE","FALSE")</f>
        <v>FALSE</v>
      </c>
      <c r="AH75" s="661" t="str">
        <f>IF(AND($Y75&gt;=22, (AI75&lt;&gt;"I"),(Y75&lt;&gt;"~"),(COUNTIF($AN$1:$AN75,$AN75)=1)),"TRUE","FALSE")</f>
        <v>FALSE</v>
      </c>
      <c r="AI75" s="661" t="str">
        <f t="shared" si="13"/>
        <v>I</v>
      </c>
      <c r="AJ75" s="662" t="str">
        <f t="shared" si="8"/>
        <v>FLEX-003</v>
      </c>
      <c r="AK75" s="662" t="str">
        <f t="shared" si="9"/>
        <v>PAS</v>
      </c>
      <c r="AL75" s="662" t="str">
        <f t="shared" si="10"/>
        <v>FRD</v>
      </c>
      <c r="AM75" s="662" t="str">
        <f t="shared" si="11"/>
        <v>Flex-SEL-FWD-7-~-~-3.5L-6-K5C-200A-117.9-18.6-Unleaded-Unleaded</v>
      </c>
      <c r="AN75" s="662" t="str">
        <f t="shared" si="12"/>
        <v>2019-PAS-FRD-FLEX-003</v>
      </c>
    </row>
    <row r="76" spans="1:40" s="572" customFormat="1" ht="15">
      <c r="A76" s="570" t="s">
        <v>345</v>
      </c>
      <c r="B76" s="569" t="s">
        <v>343</v>
      </c>
      <c r="C76" s="569" t="s">
        <v>278</v>
      </c>
      <c r="D76" s="580">
        <v>15</v>
      </c>
      <c r="E76" s="569" t="s">
        <v>151</v>
      </c>
      <c r="F76" s="569" t="s">
        <v>187</v>
      </c>
      <c r="G76" s="569" t="s">
        <v>271</v>
      </c>
      <c r="H76" s="569">
        <v>2019</v>
      </c>
      <c r="I76" s="569" t="s">
        <v>314</v>
      </c>
      <c r="J76" s="569" t="s">
        <v>337</v>
      </c>
      <c r="K76" s="569" t="s">
        <v>156</v>
      </c>
      <c r="L76" s="569">
        <v>7</v>
      </c>
      <c r="M76" s="569">
        <v>0</v>
      </c>
      <c r="N76" s="569" t="s">
        <v>157</v>
      </c>
      <c r="O76" s="569">
        <v>3</v>
      </c>
      <c r="P76" s="569" t="s">
        <v>157</v>
      </c>
      <c r="Q76" s="568" t="s">
        <v>157</v>
      </c>
      <c r="R76" s="569" t="s">
        <v>316</v>
      </c>
      <c r="S76" s="569">
        <v>6</v>
      </c>
      <c r="T76" s="569" t="s">
        <v>344</v>
      </c>
      <c r="U76" s="569" t="s">
        <v>295</v>
      </c>
      <c r="V76" s="569">
        <v>117.9</v>
      </c>
      <c r="W76" s="569">
        <v>18.600000000000001</v>
      </c>
      <c r="X76" s="568">
        <v>5970</v>
      </c>
      <c r="Y76" s="581">
        <v>19</v>
      </c>
      <c r="Z76" s="581" t="s">
        <v>178</v>
      </c>
      <c r="AA76" s="581" t="s">
        <v>178</v>
      </c>
      <c r="AB76" s="585">
        <v>34285</v>
      </c>
      <c r="AC76" s="585" t="s">
        <v>164</v>
      </c>
      <c r="AD76" s="585">
        <v>32700</v>
      </c>
      <c r="AE76" s="587">
        <v>0.01</v>
      </c>
      <c r="AF76" s="661" t="str">
        <f t="shared" si="7"/>
        <v>2019-PAS-FRD-FLEX-003-15</v>
      </c>
      <c r="AG76" s="661" t="str">
        <f>IF(AND($Y76&gt;=32,(AI76="I"),(Y76&lt;&gt;"~"),(COUNTIF($AN$1:$AN76,$AN76)=1)),"TRUE","FALSE")</f>
        <v>FALSE</v>
      </c>
      <c r="AH76" s="661" t="str">
        <f>IF(AND($Y76&gt;=22, (AI76&lt;&gt;"I"),(Y76&lt;&gt;"~"),(COUNTIF($AN$1:$AN76,$AN76)=1)),"TRUE","FALSE")</f>
        <v>FALSE</v>
      </c>
      <c r="AI76" s="661" t="str">
        <f t="shared" si="13"/>
        <v>I</v>
      </c>
      <c r="AJ76" s="662" t="str">
        <f t="shared" si="8"/>
        <v>FLEX-003</v>
      </c>
      <c r="AK76" s="662" t="str">
        <f t="shared" si="9"/>
        <v>PAS</v>
      </c>
      <c r="AL76" s="662" t="str">
        <f t="shared" si="10"/>
        <v>FRD</v>
      </c>
      <c r="AM76" s="662" t="str">
        <f t="shared" si="11"/>
        <v>Flex-SEL-FWD-7-~-~-3.5L-6-K5C-200A-117.9-18.6-Unleaded-Unleaded</v>
      </c>
      <c r="AN76" s="662" t="str">
        <f t="shared" si="12"/>
        <v>2019-PAS-FRD-FLEX-003</v>
      </c>
    </row>
    <row r="77" spans="1:40" s="572" customFormat="1" ht="15">
      <c r="A77" s="570" t="s">
        <v>346</v>
      </c>
      <c r="B77" s="573" t="s">
        <v>343</v>
      </c>
      <c r="C77" s="573" t="s">
        <v>287</v>
      </c>
      <c r="D77" s="578">
        <v>26</v>
      </c>
      <c r="E77" s="573" t="s">
        <v>151</v>
      </c>
      <c r="F77" s="573" t="s">
        <v>187</v>
      </c>
      <c r="G77" s="573" t="s">
        <v>271</v>
      </c>
      <c r="H77" s="573">
        <v>2019</v>
      </c>
      <c r="I77" s="573" t="s">
        <v>314</v>
      </c>
      <c r="J77" s="573" t="s">
        <v>337</v>
      </c>
      <c r="K77" s="573" t="s">
        <v>156</v>
      </c>
      <c r="L77" s="573">
        <v>7</v>
      </c>
      <c r="M77" s="573">
        <v>0</v>
      </c>
      <c r="N77" s="573" t="s">
        <v>157</v>
      </c>
      <c r="O77" s="573">
        <v>3</v>
      </c>
      <c r="P77" s="573" t="s">
        <v>157</v>
      </c>
      <c r="Q77" s="571" t="s">
        <v>157</v>
      </c>
      <c r="R77" s="573" t="s">
        <v>316</v>
      </c>
      <c r="S77" s="573">
        <v>6</v>
      </c>
      <c r="T77" s="573" t="s">
        <v>344</v>
      </c>
      <c r="U77" s="573" t="s">
        <v>295</v>
      </c>
      <c r="V77" s="573">
        <v>117.9</v>
      </c>
      <c r="W77" s="573">
        <v>18.600000000000001</v>
      </c>
      <c r="X77" s="571">
        <v>5970</v>
      </c>
      <c r="Y77" s="579">
        <v>19</v>
      </c>
      <c r="Z77" s="579" t="s">
        <v>178</v>
      </c>
      <c r="AA77" s="579" t="s">
        <v>178</v>
      </c>
      <c r="AB77" s="584">
        <v>34285</v>
      </c>
      <c r="AC77" s="584" t="s">
        <v>164</v>
      </c>
      <c r="AD77" s="584">
        <v>31243</v>
      </c>
      <c r="AE77" s="586">
        <v>0.05</v>
      </c>
      <c r="AF77" s="661" t="str">
        <f t="shared" si="7"/>
        <v>2019-PAS-FRD-FLEX-003-26</v>
      </c>
      <c r="AG77" s="661" t="str">
        <f>IF(AND($Y77&gt;=32,(AI77="I"),(Y77&lt;&gt;"~"),(COUNTIF($AN$1:$AN77,$AN77)=1)),"TRUE","FALSE")</f>
        <v>FALSE</v>
      </c>
      <c r="AH77" s="661" t="str">
        <f>IF(AND($Y77&gt;=22, (AI77&lt;&gt;"I"),(Y77&lt;&gt;"~"),(COUNTIF($AN$1:$AN77,$AN77)=1)),"TRUE","FALSE")</f>
        <v>FALSE</v>
      </c>
      <c r="AI77" s="661" t="str">
        <f t="shared" si="13"/>
        <v>I</v>
      </c>
      <c r="AJ77" s="662" t="str">
        <f t="shared" si="8"/>
        <v>FLEX-003</v>
      </c>
      <c r="AK77" s="662" t="str">
        <f t="shared" si="9"/>
        <v>PAS</v>
      </c>
      <c r="AL77" s="662" t="str">
        <f t="shared" si="10"/>
        <v>FRD</v>
      </c>
      <c r="AM77" s="662" t="str">
        <f t="shared" si="11"/>
        <v>Flex-SEL-FWD-7-~-~-3.5L-6-K5C-200A-117.9-18.6-Unleaded-Unleaded</v>
      </c>
      <c r="AN77" s="662" t="str">
        <f t="shared" si="12"/>
        <v>2019-PAS-FRD-FLEX-003</v>
      </c>
    </row>
    <row r="78" spans="1:40" s="572" customFormat="1" ht="15">
      <c r="A78" s="570" t="s">
        <v>347</v>
      </c>
      <c r="B78" s="569" t="s">
        <v>343</v>
      </c>
      <c r="C78" s="569" t="s">
        <v>280</v>
      </c>
      <c r="D78" s="580">
        <v>27</v>
      </c>
      <c r="E78" s="569" t="s">
        <v>151</v>
      </c>
      <c r="F78" s="569" t="s">
        <v>187</v>
      </c>
      <c r="G78" s="569" t="s">
        <v>271</v>
      </c>
      <c r="H78" s="569">
        <v>2019</v>
      </c>
      <c r="I78" s="569" t="s">
        <v>314</v>
      </c>
      <c r="J78" s="569" t="s">
        <v>337</v>
      </c>
      <c r="K78" s="569" t="s">
        <v>156</v>
      </c>
      <c r="L78" s="569">
        <v>7</v>
      </c>
      <c r="M78" s="569">
        <v>0</v>
      </c>
      <c r="N78" s="569" t="s">
        <v>157</v>
      </c>
      <c r="O78" s="569">
        <v>3</v>
      </c>
      <c r="P78" s="569" t="s">
        <v>157</v>
      </c>
      <c r="Q78" s="568" t="s">
        <v>157</v>
      </c>
      <c r="R78" s="569" t="s">
        <v>316</v>
      </c>
      <c r="S78" s="569">
        <v>6</v>
      </c>
      <c r="T78" s="569" t="s">
        <v>344</v>
      </c>
      <c r="U78" s="569" t="s">
        <v>295</v>
      </c>
      <c r="V78" s="569">
        <v>117.9</v>
      </c>
      <c r="W78" s="569">
        <v>18.600000000000001</v>
      </c>
      <c r="X78" s="568">
        <v>5970</v>
      </c>
      <c r="Y78" s="581">
        <v>19</v>
      </c>
      <c r="Z78" s="581" t="s">
        <v>178</v>
      </c>
      <c r="AA78" s="581" t="s">
        <v>178</v>
      </c>
      <c r="AB78" s="585">
        <v>34285</v>
      </c>
      <c r="AC78" s="585" t="s">
        <v>164</v>
      </c>
      <c r="AD78" s="585">
        <v>30366.750000000004</v>
      </c>
      <c r="AE78" s="587">
        <v>0.03</v>
      </c>
      <c r="AF78" s="661" t="str">
        <f t="shared" si="7"/>
        <v>2019-PAS-FRD-FLEX-003-27</v>
      </c>
      <c r="AG78" s="661" t="str">
        <f>IF(AND($Y78&gt;=32,(AI78="I"),(Y78&lt;&gt;"~"),(COUNTIF($AN$1:$AN78,$AN78)=1)),"TRUE","FALSE")</f>
        <v>FALSE</v>
      </c>
      <c r="AH78" s="661" t="str">
        <f>IF(AND($Y78&gt;=22, (AI78&lt;&gt;"I"),(Y78&lt;&gt;"~"),(COUNTIF($AN$1:$AN78,$AN78)=1)),"TRUE","FALSE")</f>
        <v>FALSE</v>
      </c>
      <c r="AI78" s="661" t="str">
        <f t="shared" si="13"/>
        <v>I</v>
      </c>
      <c r="AJ78" s="662" t="str">
        <f t="shared" si="8"/>
        <v>FLEX-003</v>
      </c>
      <c r="AK78" s="662" t="str">
        <f t="shared" si="9"/>
        <v>PAS</v>
      </c>
      <c r="AL78" s="662" t="str">
        <f t="shared" si="10"/>
        <v>FRD</v>
      </c>
      <c r="AM78" s="662" t="str">
        <f t="shared" si="11"/>
        <v>Flex-SEL-FWD-7-~-~-3.5L-6-K5C-200A-117.9-18.6-Unleaded-Unleaded</v>
      </c>
      <c r="AN78" s="662" t="str">
        <f t="shared" si="12"/>
        <v>2019-PAS-FRD-FLEX-003</v>
      </c>
    </row>
    <row r="79" spans="1:40" s="572" customFormat="1" ht="15">
      <c r="A79" s="570" t="s">
        <v>348</v>
      </c>
      <c r="B79" s="573" t="s">
        <v>349</v>
      </c>
      <c r="C79" s="573" t="s">
        <v>269</v>
      </c>
      <c r="D79" s="578" t="s">
        <v>270</v>
      </c>
      <c r="E79" s="573" t="s">
        <v>151</v>
      </c>
      <c r="F79" s="573" t="s">
        <v>196</v>
      </c>
      <c r="G79" s="573" t="s">
        <v>271</v>
      </c>
      <c r="H79" s="573">
        <v>2019</v>
      </c>
      <c r="I79" s="573" t="s">
        <v>350</v>
      </c>
      <c r="J79" s="573" t="s">
        <v>351</v>
      </c>
      <c r="K79" s="573" t="s">
        <v>156</v>
      </c>
      <c r="L79" s="573">
        <v>5</v>
      </c>
      <c r="M79" s="573">
        <v>0</v>
      </c>
      <c r="N79" s="573" t="s">
        <v>157</v>
      </c>
      <c r="O79" s="573">
        <v>2</v>
      </c>
      <c r="P79" s="573" t="s">
        <v>157</v>
      </c>
      <c r="Q79" s="571" t="s">
        <v>157</v>
      </c>
      <c r="R79" s="573" t="s">
        <v>352</v>
      </c>
      <c r="S79" s="573">
        <v>4</v>
      </c>
      <c r="T79" s="573" t="s">
        <v>353</v>
      </c>
      <c r="U79" s="573" t="s">
        <v>354</v>
      </c>
      <c r="V79" s="573">
        <v>112.2</v>
      </c>
      <c r="W79" s="573">
        <v>14</v>
      </c>
      <c r="X79" s="571">
        <v>3639</v>
      </c>
      <c r="Y79" s="579">
        <v>97</v>
      </c>
      <c r="Z79" s="579" t="s">
        <v>163</v>
      </c>
      <c r="AA79" s="579" t="s">
        <v>178</v>
      </c>
      <c r="AB79" s="584">
        <v>35490</v>
      </c>
      <c r="AC79" s="584" t="s">
        <v>164</v>
      </c>
      <c r="AD79" s="584">
        <v>30889.770833333336</v>
      </c>
      <c r="AE79" s="586">
        <v>0.03</v>
      </c>
      <c r="AF79" s="661" t="str">
        <f t="shared" si="7"/>
        <v>2019-PAS-FRD-FUSN-017-05</v>
      </c>
      <c r="AG79" s="661" t="str">
        <f>IF(AND($Y79&gt;=32,(AI79="I"),(Y79&lt;&gt;"~"),(COUNTIF($AN$1:$AN79,$AN79)=1)),"TRUE","FALSE")</f>
        <v>TRUE</v>
      </c>
      <c r="AH79" s="661" t="str">
        <f>IF(AND($Y79&gt;=22, (AI79&lt;&gt;"I"),(Y79&lt;&gt;"~"),(COUNTIF($AN$1:$AN79,$AN79)=1)),"TRUE","FALSE")</f>
        <v>FALSE</v>
      </c>
      <c r="AI79" s="661" t="str">
        <f t="shared" si="13"/>
        <v>I</v>
      </c>
      <c r="AJ79" s="662" t="str">
        <f t="shared" si="8"/>
        <v>FUSN-017</v>
      </c>
      <c r="AK79" s="662" t="str">
        <f t="shared" si="9"/>
        <v>PAS</v>
      </c>
      <c r="AL79" s="662" t="str">
        <f t="shared" si="10"/>
        <v>FRD</v>
      </c>
      <c r="AM79" s="662" t="str">
        <f t="shared" si="11"/>
        <v>Fusion-Energi Titanium-FWD-5-~-~-2.0L-4-P0S-850A-112.2-14-Electric-Unleaded</v>
      </c>
      <c r="AN79" s="662" t="str">
        <f t="shared" si="12"/>
        <v>2019-PAS-FRD-FUSN-017</v>
      </c>
    </row>
    <row r="80" spans="1:40" s="572" customFormat="1" ht="15">
      <c r="A80" s="570" t="s">
        <v>355</v>
      </c>
      <c r="B80" s="569" t="s">
        <v>356</v>
      </c>
      <c r="C80" s="569" t="s">
        <v>278</v>
      </c>
      <c r="D80" s="580">
        <v>15</v>
      </c>
      <c r="E80" s="569" t="s">
        <v>151</v>
      </c>
      <c r="F80" s="569" t="s">
        <v>196</v>
      </c>
      <c r="G80" s="569" t="s">
        <v>271</v>
      </c>
      <c r="H80" s="569">
        <v>2019</v>
      </c>
      <c r="I80" s="569" t="s">
        <v>350</v>
      </c>
      <c r="J80" s="569" t="s">
        <v>351</v>
      </c>
      <c r="K80" s="569" t="s">
        <v>156</v>
      </c>
      <c r="L80" s="569">
        <v>5</v>
      </c>
      <c r="M80" s="569">
        <v>0</v>
      </c>
      <c r="N80" s="569" t="s">
        <v>157</v>
      </c>
      <c r="O80" s="569">
        <v>2</v>
      </c>
      <c r="P80" s="569" t="s">
        <v>157</v>
      </c>
      <c r="Q80" s="568" t="s">
        <v>157</v>
      </c>
      <c r="R80" s="569" t="s">
        <v>352</v>
      </c>
      <c r="S80" s="569">
        <v>4</v>
      </c>
      <c r="T80" s="569" t="s">
        <v>353</v>
      </c>
      <c r="U80" s="569" t="s">
        <v>357</v>
      </c>
      <c r="V80" s="569">
        <v>112.2</v>
      </c>
      <c r="W80" s="569">
        <v>14</v>
      </c>
      <c r="X80" s="568">
        <v>3639</v>
      </c>
      <c r="Y80" s="581">
        <v>97</v>
      </c>
      <c r="Z80" s="581" t="s">
        <v>163</v>
      </c>
      <c r="AA80" s="581" t="s">
        <v>178</v>
      </c>
      <c r="AB80" s="585">
        <v>35490</v>
      </c>
      <c r="AC80" s="585" t="s">
        <v>164</v>
      </c>
      <c r="AD80" s="585">
        <v>32255</v>
      </c>
      <c r="AE80" s="587">
        <v>0.01</v>
      </c>
      <c r="AF80" s="661" t="str">
        <f t="shared" si="7"/>
        <v>2019-PAS-FRD-FUSN-007-15</v>
      </c>
      <c r="AG80" s="661" t="str">
        <f>IF(AND($Y80&gt;=32,(AI80="I"),(Y80&lt;&gt;"~"),(COUNTIF($AN$1:$AN80,$AN80)=1)),"TRUE","FALSE")</f>
        <v>TRUE</v>
      </c>
      <c r="AH80" s="661" t="str">
        <f>IF(AND($Y80&gt;=22, (AI80&lt;&gt;"I"),(Y80&lt;&gt;"~"),(COUNTIF($AN$1:$AN80,$AN80)=1)),"TRUE","FALSE")</f>
        <v>FALSE</v>
      </c>
      <c r="AI80" s="661" t="str">
        <f t="shared" si="13"/>
        <v>I</v>
      </c>
      <c r="AJ80" s="662" t="str">
        <f t="shared" si="8"/>
        <v>FUSN-007</v>
      </c>
      <c r="AK80" s="662" t="str">
        <f t="shared" si="9"/>
        <v>PAS</v>
      </c>
      <c r="AL80" s="662" t="str">
        <f t="shared" si="10"/>
        <v>FRD</v>
      </c>
      <c r="AM80" s="662" t="str">
        <f t="shared" si="11"/>
        <v>Fusion-Energi Titanium-FWD-5-~-~-2.0L-4-P0S-900A-112.2-14-Electric-Unleaded</v>
      </c>
      <c r="AN80" s="662" t="str">
        <f t="shared" si="12"/>
        <v>2019-PAS-FRD-FUSN-007</v>
      </c>
    </row>
    <row r="81" spans="1:40" s="572" customFormat="1" ht="15">
      <c r="A81" s="570" t="s">
        <v>358</v>
      </c>
      <c r="B81" s="573" t="s">
        <v>356</v>
      </c>
      <c r="C81" s="573" t="s">
        <v>287</v>
      </c>
      <c r="D81" s="578">
        <v>26</v>
      </c>
      <c r="E81" s="573" t="s">
        <v>151</v>
      </c>
      <c r="F81" s="573" t="s">
        <v>196</v>
      </c>
      <c r="G81" s="573" t="s">
        <v>271</v>
      </c>
      <c r="H81" s="573">
        <v>2019</v>
      </c>
      <c r="I81" s="573" t="s">
        <v>350</v>
      </c>
      <c r="J81" s="573" t="s">
        <v>351</v>
      </c>
      <c r="K81" s="573" t="s">
        <v>156</v>
      </c>
      <c r="L81" s="573">
        <v>5</v>
      </c>
      <c r="M81" s="573">
        <v>0</v>
      </c>
      <c r="N81" s="573" t="s">
        <v>157</v>
      </c>
      <c r="O81" s="573">
        <v>2</v>
      </c>
      <c r="P81" s="573" t="s">
        <v>157</v>
      </c>
      <c r="Q81" s="571" t="s">
        <v>157</v>
      </c>
      <c r="R81" s="573" t="s">
        <v>352</v>
      </c>
      <c r="S81" s="573">
        <v>4</v>
      </c>
      <c r="T81" s="573" t="s">
        <v>353</v>
      </c>
      <c r="U81" s="573" t="s">
        <v>357</v>
      </c>
      <c r="V81" s="573">
        <v>112.2</v>
      </c>
      <c r="W81" s="573">
        <v>14</v>
      </c>
      <c r="X81" s="571">
        <v>3639</v>
      </c>
      <c r="Y81" s="579">
        <v>97</v>
      </c>
      <c r="Z81" s="579" t="s">
        <v>163</v>
      </c>
      <c r="AA81" s="579" t="s">
        <v>178</v>
      </c>
      <c r="AB81" s="584">
        <v>37490</v>
      </c>
      <c r="AC81" s="584" t="s">
        <v>164</v>
      </c>
      <c r="AD81" s="584">
        <v>33904</v>
      </c>
      <c r="AE81" s="586">
        <v>0.05</v>
      </c>
      <c r="AF81" s="661" t="str">
        <f t="shared" si="7"/>
        <v>2019-PAS-FRD-FUSN-007-26</v>
      </c>
      <c r="AG81" s="661" t="str">
        <f>IF(AND($Y81&gt;=32,(AI81="I"),(Y81&lt;&gt;"~"),(COUNTIF($AN$1:$AN81,$AN81)=1)),"TRUE","FALSE")</f>
        <v>FALSE</v>
      </c>
      <c r="AH81" s="661" t="str">
        <f>IF(AND($Y81&gt;=22, (AI81&lt;&gt;"I"),(Y81&lt;&gt;"~"),(COUNTIF($AN$1:$AN81,$AN81)=1)),"TRUE","FALSE")</f>
        <v>FALSE</v>
      </c>
      <c r="AI81" s="661" t="str">
        <f t="shared" si="13"/>
        <v>I</v>
      </c>
      <c r="AJ81" s="662" t="str">
        <f t="shared" si="8"/>
        <v>FUSN-007</v>
      </c>
      <c r="AK81" s="662" t="str">
        <f t="shared" si="9"/>
        <v>PAS</v>
      </c>
      <c r="AL81" s="662" t="str">
        <f t="shared" si="10"/>
        <v>FRD</v>
      </c>
      <c r="AM81" s="662" t="str">
        <f t="shared" si="11"/>
        <v>Fusion-Energi Titanium-FWD-5-~-~-2.0L-4-P0S-900A-112.2-14-Electric-Unleaded</v>
      </c>
      <c r="AN81" s="662" t="str">
        <f t="shared" si="12"/>
        <v>2019-PAS-FRD-FUSN-007</v>
      </c>
    </row>
    <row r="82" spans="1:40" s="572" customFormat="1" ht="15">
      <c r="A82" s="570" t="s">
        <v>359</v>
      </c>
      <c r="B82" s="569" t="s">
        <v>349</v>
      </c>
      <c r="C82" s="569" t="s">
        <v>280</v>
      </c>
      <c r="D82" s="580">
        <v>27</v>
      </c>
      <c r="E82" s="569" t="s">
        <v>151</v>
      </c>
      <c r="F82" s="569" t="s">
        <v>196</v>
      </c>
      <c r="G82" s="569" t="s">
        <v>271</v>
      </c>
      <c r="H82" s="569">
        <v>2019</v>
      </c>
      <c r="I82" s="569" t="s">
        <v>350</v>
      </c>
      <c r="J82" s="569" t="s">
        <v>351</v>
      </c>
      <c r="K82" s="569" t="s">
        <v>156</v>
      </c>
      <c r="L82" s="569">
        <v>5</v>
      </c>
      <c r="M82" s="569">
        <v>0</v>
      </c>
      <c r="N82" s="569" t="s">
        <v>157</v>
      </c>
      <c r="O82" s="569">
        <v>2</v>
      </c>
      <c r="P82" s="569" t="s">
        <v>157</v>
      </c>
      <c r="Q82" s="568" t="s">
        <v>157</v>
      </c>
      <c r="R82" s="569" t="s">
        <v>352</v>
      </c>
      <c r="S82" s="569">
        <v>4</v>
      </c>
      <c r="T82" s="569" t="s">
        <v>353</v>
      </c>
      <c r="U82" s="569" t="s">
        <v>354</v>
      </c>
      <c r="V82" s="569">
        <v>112.2</v>
      </c>
      <c r="W82" s="569">
        <v>14</v>
      </c>
      <c r="X82" s="568">
        <v>3639</v>
      </c>
      <c r="Y82" s="581">
        <v>97</v>
      </c>
      <c r="Z82" s="581" t="s">
        <v>163</v>
      </c>
      <c r="AA82" s="581" t="s">
        <v>178</v>
      </c>
      <c r="AB82" s="585">
        <v>35490</v>
      </c>
      <c r="AC82" s="585" t="s">
        <v>164</v>
      </c>
      <c r="AD82" s="585">
        <v>30889.770833333336</v>
      </c>
      <c r="AE82" s="587">
        <v>0.03</v>
      </c>
      <c r="AF82" s="661" t="str">
        <f t="shared" si="7"/>
        <v>2019-PAS-FRD-FUSN-017-27</v>
      </c>
      <c r="AG82" s="661" t="str">
        <f>IF(AND($Y82&gt;=32,(AI82="I"),(Y82&lt;&gt;"~"),(COUNTIF($AN$1:$AN82,$AN82)=1)),"TRUE","FALSE")</f>
        <v>FALSE</v>
      </c>
      <c r="AH82" s="661" t="str">
        <f>IF(AND($Y82&gt;=22, (AI82&lt;&gt;"I"),(Y82&lt;&gt;"~"),(COUNTIF($AN$1:$AN82,$AN82)=1)),"TRUE","FALSE")</f>
        <v>FALSE</v>
      </c>
      <c r="AI82" s="661" t="str">
        <f t="shared" si="13"/>
        <v>I</v>
      </c>
      <c r="AJ82" s="662" t="str">
        <f t="shared" si="8"/>
        <v>FUSN-017</v>
      </c>
      <c r="AK82" s="662" t="str">
        <f t="shared" si="9"/>
        <v>PAS</v>
      </c>
      <c r="AL82" s="662" t="str">
        <f t="shared" si="10"/>
        <v>FRD</v>
      </c>
      <c r="AM82" s="662" t="str">
        <f t="shared" si="11"/>
        <v>Fusion-Energi Titanium-FWD-5-~-~-2.0L-4-P0S-850A-112.2-14-Electric-Unleaded</v>
      </c>
      <c r="AN82" s="662" t="str">
        <f t="shared" si="12"/>
        <v>2019-PAS-FRD-FUSN-017</v>
      </c>
    </row>
    <row r="83" spans="1:40" s="572" customFormat="1" ht="15">
      <c r="A83" s="570" t="s">
        <v>360</v>
      </c>
      <c r="B83" s="573" t="s">
        <v>361</v>
      </c>
      <c r="C83" s="573" t="s">
        <v>269</v>
      </c>
      <c r="D83" s="578" t="s">
        <v>270</v>
      </c>
      <c r="E83" s="573" t="s">
        <v>151</v>
      </c>
      <c r="F83" s="573" t="s">
        <v>196</v>
      </c>
      <c r="G83" s="573" t="s">
        <v>271</v>
      </c>
      <c r="H83" s="573">
        <v>2019</v>
      </c>
      <c r="I83" s="573" t="s">
        <v>350</v>
      </c>
      <c r="J83" s="573" t="s">
        <v>362</v>
      </c>
      <c r="K83" s="573" t="s">
        <v>156</v>
      </c>
      <c r="L83" s="573">
        <v>5</v>
      </c>
      <c r="M83" s="573">
        <v>0</v>
      </c>
      <c r="N83" s="573" t="s">
        <v>157</v>
      </c>
      <c r="O83" s="573">
        <v>2</v>
      </c>
      <c r="P83" s="573" t="s">
        <v>157</v>
      </c>
      <c r="Q83" s="571" t="s">
        <v>157</v>
      </c>
      <c r="R83" s="573" t="s">
        <v>352</v>
      </c>
      <c r="S83" s="573">
        <v>4</v>
      </c>
      <c r="T83" s="573" t="s">
        <v>363</v>
      </c>
      <c r="U83" s="573" t="s">
        <v>364</v>
      </c>
      <c r="V83" s="573">
        <v>112.2</v>
      </c>
      <c r="W83" s="573">
        <v>14</v>
      </c>
      <c r="X83" s="571">
        <v>3639</v>
      </c>
      <c r="Y83" s="579">
        <v>42</v>
      </c>
      <c r="Z83" s="579" t="s">
        <v>178</v>
      </c>
      <c r="AA83" s="579" t="s">
        <v>163</v>
      </c>
      <c r="AB83" s="584">
        <v>28450</v>
      </c>
      <c r="AC83" s="584" t="s">
        <v>164</v>
      </c>
      <c r="AD83" s="584">
        <v>25506.4375</v>
      </c>
      <c r="AE83" s="586">
        <v>0.03</v>
      </c>
      <c r="AF83" s="661" t="str">
        <f t="shared" si="7"/>
        <v>2019-PAS-FRD-FUSN-002-05</v>
      </c>
      <c r="AG83" s="661" t="str">
        <f>IF(AND($Y83&gt;=32,(AI83="I"),(Y83&lt;&gt;"~"),(COUNTIF($AN$1:$AN83,$AN83)=1)),"TRUE","FALSE")</f>
        <v>TRUE</v>
      </c>
      <c r="AH83" s="661" t="str">
        <f>IF(AND($Y83&gt;=22, (AI83&lt;&gt;"I"),(Y83&lt;&gt;"~"),(COUNTIF($AN$1:$AN83,$AN83)=1)),"TRUE","FALSE")</f>
        <v>FALSE</v>
      </c>
      <c r="AI83" s="661" t="str">
        <f t="shared" si="13"/>
        <v>I</v>
      </c>
      <c r="AJ83" s="662" t="str">
        <f t="shared" si="8"/>
        <v>FUSN-002</v>
      </c>
      <c r="AK83" s="662" t="str">
        <f t="shared" si="9"/>
        <v>PAS</v>
      </c>
      <c r="AL83" s="662" t="str">
        <f t="shared" si="10"/>
        <v>FRD</v>
      </c>
      <c r="AM83" s="662" t="str">
        <f t="shared" si="11"/>
        <v>Fusion-Hybrid SE-FWD-5-~-~-2.0L-4-P0L-550A-112.2-14-Unleaded-Electric</v>
      </c>
      <c r="AN83" s="662" t="str">
        <f t="shared" si="12"/>
        <v>2019-PAS-FRD-FUSN-002</v>
      </c>
    </row>
    <row r="84" spans="1:40" s="572" customFormat="1" ht="15">
      <c r="A84" s="570" t="s">
        <v>365</v>
      </c>
      <c r="B84" s="569" t="s">
        <v>361</v>
      </c>
      <c r="C84" s="569" t="s">
        <v>278</v>
      </c>
      <c r="D84" s="580">
        <v>15</v>
      </c>
      <c r="E84" s="569" t="s">
        <v>151</v>
      </c>
      <c r="F84" s="569" t="s">
        <v>196</v>
      </c>
      <c r="G84" s="569" t="s">
        <v>271</v>
      </c>
      <c r="H84" s="569">
        <v>2019</v>
      </c>
      <c r="I84" s="569" t="s">
        <v>350</v>
      </c>
      <c r="J84" s="569" t="s">
        <v>362</v>
      </c>
      <c r="K84" s="569" t="s">
        <v>156</v>
      </c>
      <c r="L84" s="569">
        <v>5</v>
      </c>
      <c r="M84" s="569">
        <v>0</v>
      </c>
      <c r="N84" s="569" t="s">
        <v>157</v>
      </c>
      <c r="O84" s="569">
        <v>2</v>
      </c>
      <c r="P84" s="569" t="s">
        <v>157</v>
      </c>
      <c r="Q84" s="568" t="s">
        <v>157</v>
      </c>
      <c r="R84" s="569" t="s">
        <v>352</v>
      </c>
      <c r="S84" s="569">
        <v>4</v>
      </c>
      <c r="T84" s="569" t="s">
        <v>363</v>
      </c>
      <c r="U84" s="569" t="s">
        <v>366</v>
      </c>
      <c r="V84" s="569">
        <v>112.2</v>
      </c>
      <c r="W84" s="569">
        <v>14</v>
      </c>
      <c r="X84" s="568">
        <v>3639</v>
      </c>
      <c r="Y84" s="581">
        <v>42</v>
      </c>
      <c r="Z84" s="581" t="s">
        <v>178</v>
      </c>
      <c r="AA84" s="581" t="s">
        <v>163</v>
      </c>
      <c r="AB84" s="585">
        <v>28450</v>
      </c>
      <c r="AC84" s="585" t="s">
        <v>164</v>
      </c>
      <c r="AD84" s="585">
        <v>25780</v>
      </c>
      <c r="AE84" s="587">
        <v>0.01</v>
      </c>
      <c r="AF84" s="661" t="str">
        <f t="shared" si="7"/>
        <v>2019-PAS-FRD-FUSN-002-15</v>
      </c>
      <c r="AG84" s="661" t="str">
        <f>IF(AND($Y84&gt;=32,(AI84="I"),(Y84&lt;&gt;"~"),(COUNTIF($AN$1:$AN84,$AN84)=1)),"TRUE","FALSE")</f>
        <v>FALSE</v>
      </c>
      <c r="AH84" s="661" t="str">
        <f>IF(AND($Y84&gt;=22, (AI84&lt;&gt;"I"),(Y84&lt;&gt;"~"),(COUNTIF($AN$1:$AN84,$AN84)=1)),"TRUE","FALSE")</f>
        <v>FALSE</v>
      </c>
      <c r="AI84" s="661" t="str">
        <f t="shared" si="13"/>
        <v>I</v>
      </c>
      <c r="AJ84" s="662" t="str">
        <f t="shared" si="8"/>
        <v>FUSN-002</v>
      </c>
      <c r="AK84" s="662" t="str">
        <f t="shared" si="9"/>
        <v>PAS</v>
      </c>
      <c r="AL84" s="662" t="str">
        <f t="shared" si="10"/>
        <v>FRD</v>
      </c>
      <c r="AM84" s="662" t="str">
        <f t="shared" si="11"/>
        <v>Fusion-Hybrid SE-FWD-5-~-~-2.0L-4-P0L-600A-112.2-14-Unleaded-Electric</v>
      </c>
      <c r="AN84" s="662" t="str">
        <f t="shared" si="12"/>
        <v>2019-PAS-FRD-FUSN-002</v>
      </c>
    </row>
    <row r="85" spans="1:40" s="572" customFormat="1" ht="15">
      <c r="A85" s="570" t="s">
        <v>367</v>
      </c>
      <c r="B85" s="573" t="s">
        <v>361</v>
      </c>
      <c r="C85" s="573" t="s">
        <v>287</v>
      </c>
      <c r="D85" s="578">
        <v>26</v>
      </c>
      <c r="E85" s="573" t="s">
        <v>151</v>
      </c>
      <c r="F85" s="573" t="s">
        <v>196</v>
      </c>
      <c r="G85" s="573" t="s">
        <v>271</v>
      </c>
      <c r="H85" s="573">
        <v>2019</v>
      </c>
      <c r="I85" s="573" t="s">
        <v>350</v>
      </c>
      <c r="J85" s="573" t="s">
        <v>362</v>
      </c>
      <c r="K85" s="573" t="s">
        <v>156</v>
      </c>
      <c r="L85" s="573">
        <v>5</v>
      </c>
      <c r="M85" s="573">
        <v>0</v>
      </c>
      <c r="N85" s="573" t="s">
        <v>157</v>
      </c>
      <c r="O85" s="573">
        <v>2</v>
      </c>
      <c r="P85" s="573" t="s">
        <v>157</v>
      </c>
      <c r="Q85" s="571" t="s">
        <v>157</v>
      </c>
      <c r="R85" s="573" t="s">
        <v>352</v>
      </c>
      <c r="S85" s="573">
        <v>4</v>
      </c>
      <c r="T85" s="573" t="s">
        <v>363</v>
      </c>
      <c r="U85" s="573" t="s">
        <v>366</v>
      </c>
      <c r="V85" s="573">
        <v>112.2</v>
      </c>
      <c r="W85" s="573">
        <v>14</v>
      </c>
      <c r="X85" s="571">
        <v>3639</v>
      </c>
      <c r="Y85" s="579">
        <v>42</v>
      </c>
      <c r="Z85" s="579" t="s">
        <v>178</v>
      </c>
      <c r="AA85" s="579" t="s">
        <v>163</v>
      </c>
      <c r="AB85" s="584">
        <v>28450</v>
      </c>
      <c r="AC85" s="584" t="s">
        <v>164</v>
      </c>
      <c r="AD85" s="584">
        <v>26445</v>
      </c>
      <c r="AE85" s="586">
        <v>0.05</v>
      </c>
      <c r="AF85" s="661" t="str">
        <f t="shared" si="7"/>
        <v>2019-PAS-FRD-FUSN-002-26</v>
      </c>
      <c r="AG85" s="661" t="str">
        <f>IF(AND($Y85&gt;=32,(AI85="I"),(Y85&lt;&gt;"~"),(COUNTIF($AN$1:$AN85,$AN85)=1)),"TRUE","FALSE")</f>
        <v>FALSE</v>
      </c>
      <c r="AH85" s="661" t="str">
        <f>IF(AND($Y85&gt;=22, (AI85&lt;&gt;"I"),(Y85&lt;&gt;"~"),(COUNTIF($AN$1:$AN85,$AN85)=1)),"TRUE","FALSE")</f>
        <v>FALSE</v>
      </c>
      <c r="AI85" s="661" t="str">
        <f t="shared" si="13"/>
        <v>I</v>
      </c>
      <c r="AJ85" s="662" t="str">
        <f t="shared" si="8"/>
        <v>FUSN-002</v>
      </c>
      <c r="AK85" s="662" t="str">
        <f t="shared" si="9"/>
        <v>PAS</v>
      </c>
      <c r="AL85" s="662" t="str">
        <f t="shared" si="10"/>
        <v>FRD</v>
      </c>
      <c r="AM85" s="662" t="str">
        <f t="shared" si="11"/>
        <v>Fusion-Hybrid SE-FWD-5-~-~-2.0L-4-P0L-600A-112.2-14-Unleaded-Electric</v>
      </c>
      <c r="AN85" s="662" t="str">
        <f t="shared" si="12"/>
        <v>2019-PAS-FRD-FUSN-002</v>
      </c>
    </row>
    <row r="86" spans="1:40" s="572" customFormat="1" ht="15">
      <c r="A86" s="570" t="s">
        <v>368</v>
      </c>
      <c r="B86" s="569" t="s">
        <v>361</v>
      </c>
      <c r="C86" s="569" t="s">
        <v>280</v>
      </c>
      <c r="D86" s="580">
        <v>27</v>
      </c>
      <c r="E86" s="569" t="s">
        <v>151</v>
      </c>
      <c r="F86" s="569" t="s">
        <v>196</v>
      </c>
      <c r="G86" s="569" t="s">
        <v>271</v>
      </c>
      <c r="H86" s="569">
        <v>2019</v>
      </c>
      <c r="I86" s="569" t="s">
        <v>350</v>
      </c>
      <c r="J86" s="569" t="s">
        <v>362</v>
      </c>
      <c r="K86" s="569" t="s">
        <v>156</v>
      </c>
      <c r="L86" s="569">
        <v>5</v>
      </c>
      <c r="M86" s="569">
        <v>0</v>
      </c>
      <c r="N86" s="569" t="s">
        <v>157</v>
      </c>
      <c r="O86" s="569">
        <v>2</v>
      </c>
      <c r="P86" s="569" t="s">
        <v>157</v>
      </c>
      <c r="Q86" s="568" t="s">
        <v>157</v>
      </c>
      <c r="R86" s="569" t="s">
        <v>352</v>
      </c>
      <c r="S86" s="569">
        <v>4</v>
      </c>
      <c r="T86" s="569" t="s">
        <v>363</v>
      </c>
      <c r="U86" s="569" t="s">
        <v>364</v>
      </c>
      <c r="V86" s="569">
        <v>112.2</v>
      </c>
      <c r="W86" s="569">
        <v>14</v>
      </c>
      <c r="X86" s="568">
        <v>3639</v>
      </c>
      <c r="Y86" s="581">
        <v>42</v>
      </c>
      <c r="Z86" s="581" t="s">
        <v>178</v>
      </c>
      <c r="AA86" s="581" t="s">
        <v>163</v>
      </c>
      <c r="AB86" s="585">
        <v>28450</v>
      </c>
      <c r="AC86" s="585" t="s">
        <v>164</v>
      </c>
      <c r="AD86" s="585">
        <v>25506.4375</v>
      </c>
      <c r="AE86" s="587">
        <v>0.03</v>
      </c>
      <c r="AF86" s="661" t="str">
        <f t="shared" si="7"/>
        <v>2019-PAS-FRD-FUSN-002-27</v>
      </c>
      <c r="AG86" s="661" t="str">
        <f>IF(AND($Y86&gt;=32,(AI86="I"),(Y86&lt;&gt;"~"),(COUNTIF($AN$1:$AN86,$AN86)=1)),"TRUE","FALSE")</f>
        <v>FALSE</v>
      </c>
      <c r="AH86" s="661" t="str">
        <f>IF(AND($Y86&gt;=22, (AI86&lt;&gt;"I"),(Y86&lt;&gt;"~"),(COUNTIF($AN$1:$AN86,$AN86)=1)),"TRUE","FALSE")</f>
        <v>FALSE</v>
      </c>
      <c r="AI86" s="661" t="str">
        <f t="shared" si="13"/>
        <v>I</v>
      </c>
      <c r="AJ86" s="662" t="str">
        <f t="shared" si="8"/>
        <v>FUSN-002</v>
      </c>
      <c r="AK86" s="662" t="str">
        <f t="shared" si="9"/>
        <v>PAS</v>
      </c>
      <c r="AL86" s="662" t="str">
        <f t="shared" si="10"/>
        <v>FRD</v>
      </c>
      <c r="AM86" s="662" t="str">
        <f t="shared" si="11"/>
        <v>Fusion-Hybrid SE-FWD-5-~-~-2.0L-4-P0L-550A-112.2-14-Unleaded-Electric</v>
      </c>
      <c r="AN86" s="662" t="str">
        <f t="shared" si="12"/>
        <v>2019-PAS-FRD-FUSN-002</v>
      </c>
    </row>
    <row r="87" spans="1:40" s="572" customFormat="1" ht="15">
      <c r="A87" s="570" t="s">
        <v>369</v>
      </c>
      <c r="B87" s="573" t="s">
        <v>370</v>
      </c>
      <c r="C87" s="573" t="s">
        <v>269</v>
      </c>
      <c r="D87" s="578" t="s">
        <v>270</v>
      </c>
      <c r="E87" s="573" t="s">
        <v>151</v>
      </c>
      <c r="F87" s="573" t="s">
        <v>196</v>
      </c>
      <c r="G87" s="573" t="s">
        <v>271</v>
      </c>
      <c r="H87" s="573">
        <v>2019</v>
      </c>
      <c r="I87" s="573" t="s">
        <v>350</v>
      </c>
      <c r="J87" s="573" t="s">
        <v>371</v>
      </c>
      <c r="K87" s="573" t="s">
        <v>156</v>
      </c>
      <c r="L87" s="573">
        <v>5</v>
      </c>
      <c r="M87" s="573">
        <v>0</v>
      </c>
      <c r="N87" s="573" t="s">
        <v>157</v>
      </c>
      <c r="O87" s="573">
        <v>2</v>
      </c>
      <c r="P87" s="573">
        <v>72.8</v>
      </c>
      <c r="Q87" s="571" t="s">
        <v>157</v>
      </c>
      <c r="R87" s="573" t="s">
        <v>352</v>
      </c>
      <c r="S87" s="573">
        <v>4</v>
      </c>
      <c r="T87" s="573" t="s">
        <v>372</v>
      </c>
      <c r="U87" s="573" t="s">
        <v>366</v>
      </c>
      <c r="V87" s="573">
        <v>112.2</v>
      </c>
      <c r="W87" s="573">
        <v>14</v>
      </c>
      <c r="X87" s="571">
        <v>3639</v>
      </c>
      <c r="Y87" s="579">
        <v>43</v>
      </c>
      <c r="Z87" s="579" t="s">
        <v>178</v>
      </c>
      <c r="AA87" s="579" t="s">
        <v>163</v>
      </c>
      <c r="AB87" s="584">
        <v>32415</v>
      </c>
      <c r="AC87" s="584" t="s">
        <v>164</v>
      </c>
      <c r="AD87" s="584">
        <v>29131.604166666668</v>
      </c>
      <c r="AE87" s="586">
        <v>0.03</v>
      </c>
      <c r="AF87" s="661" t="str">
        <f t="shared" si="7"/>
        <v>2019-PAS-FRD-FUSN-015-05</v>
      </c>
      <c r="AG87" s="661" t="str">
        <f>IF(AND($Y87&gt;=32,(AI87="I"),(Y87&lt;&gt;"~"),(COUNTIF($AN$1:$AN87,$AN87)=1)),"TRUE","FALSE")</f>
        <v>TRUE</v>
      </c>
      <c r="AH87" s="661" t="str">
        <f>IF(AND($Y87&gt;=22, (AI87&lt;&gt;"I"),(Y87&lt;&gt;"~"),(COUNTIF($AN$1:$AN87,$AN87)=1)),"TRUE","FALSE")</f>
        <v>FALSE</v>
      </c>
      <c r="AI87" s="661" t="str">
        <f t="shared" si="13"/>
        <v>I</v>
      </c>
      <c r="AJ87" s="662" t="str">
        <f t="shared" si="8"/>
        <v>FUSN-015</v>
      </c>
      <c r="AK87" s="662" t="str">
        <f t="shared" si="9"/>
        <v>PAS</v>
      </c>
      <c r="AL87" s="662" t="str">
        <f t="shared" si="10"/>
        <v>FRD</v>
      </c>
      <c r="AM87" s="662" t="str">
        <f t="shared" si="11"/>
        <v>Fusion-Hybrid SEL-FWD-5-72.8-~-2.0L-4-P0M-600A-112.2-14-Unleaded-Electric</v>
      </c>
      <c r="AN87" s="662" t="str">
        <f t="shared" si="12"/>
        <v>2019-PAS-FRD-FUSN-015</v>
      </c>
    </row>
    <row r="88" spans="1:40" s="572" customFormat="1" ht="15">
      <c r="A88" s="570" t="s">
        <v>373</v>
      </c>
      <c r="B88" s="569" t="s">
        <v>370</v>
      </c>
      <c r="C88" s="569" t="s">
        <v>280</v>
      </c>
      <c r="D88" s="580">
        <v>27</v>
      </c>
      <c r="E88" s="569" t="s">
        <v>151</v>
      </c>
      <c r="F88" s="569" t="s">
        <v>196</v>
      </c>
      <c r="G88" s="569" t="s">
        <v>271</v>
      </c>
      <c r="H88" s="569">
        <v>2019</v>
      </c>
      <c r="I88" s="569" t="s">
        <v>350</v>
      </c>
      <c r="J88" s="569" t="s">
        <v>371</v>
      </c>
      <c r="K88" s="569" t="s">
        <v>156</v>
      </c>
      <c r="L88" s="569">
        <v>5</v>
      </c>
      <c r="M88" s="569">
        <v>0</v>
      </c>
      <c r="N88" s="569" t="s">
        <v>157</v>
      </c>
      <c r="O88" s="569">
        <v>2</v>
      </c>
      <c r="P88" s="569">
        <v>72.8</v>
      </c>
      <c r="Q88" s="568" t="s">
        <v>157</v>
      </c>
      <c r="R88" s="569" t="s">
        <v>352</v>
      </c>
      <c r="S88" s="569">
        <v>4</v>
      </c>
      <c r="T88" s="569" t="s">
        <v>372</v>
      </c>
      <c r="U88" s="569" t="s">
        <v>366</v>
      </c>
      <c r="V88" s="569">
        <v>112.2</v>
      </c>
      <c r="W88" s="569">
        <v>14</v>
      </c>
      <c r="X88" s="568">
        <v>3639</v>
      </c>
      <c r="Y88" s="581">
        <v>43</v>
      </c>
      <c r="Z88" s="581" t="s">
        <v>178</v>
      </c>
      <c r="AA88" s="581" t="s">
        <v>163</v>
      </c>
      <c r="AB88" s="585">
        <v>32415</v>
      </c>
      <c r="AC88" s="585" t="s">
        <v>164</v>
      </c>
      <c r="AD88" s="585">
        <v>29131.604166666668</v>
      </c>
      <c r="AE88" s="587">
        <v>0.03</v>
      </c>
      <c r="AF88" s="661" t="str">
        <f t="shared" si="7"/>
        <v>2019-PAS-FRD-FUSN-015-27</v>
      </c>
      <c r="AG88" s="661" t="str">
        <f>IF(AND($Y88&gt;=32,(AI88="I"),(Y88&lt;&gt;"~"),(COUNTIF($AN$1:$AN88,$AN88)=1)),"TRUE","FALSE")</f>
        <v>FALSE</v>
      </c>
      <c r="AH88" s="661" t="str">
        <f>IF(AND($Y88&gt;=22, (AI88&lt;&gt;"I"),(Y88&lt;&gt;"~"),(COUNTIF($AN$1:$AN88,$AN88)=1)),"TRUE","FALSE")</f>
        <v>FALSE</v>
      </c>
      <c r="AI88" s="661" t="str">
        <f t="shared" si="13"/>
        <v>I</v>
      </c>
      <c r="AJ88" s="662" t="str">
        <f t="shared" si="8"/>
        <v>FUSN-015</v>
      </c>
      <c r="AK88" s="662" t="str">
        <f t="shared" si="9"/>
        <v>PAS</v>
      </c>
      <c r="AL88" s="662" t="str">
        <f t="shared" si="10"/>
        <v>FRD</v>
      </c>
      <c r="AM88" s="662" t="str">
        <f t="shared" si="11"/>
        <v>Fusion-Hybrid SEL-FWD-5-72.8-~-2.0L-4-P0M-600A-112.2-14-Unleaded-Electric</v>
      </c>
      <c r="AN88" s="662" t="str">
        <f t="shared" si="12"/>
        <v>2019-PAS-FRD-FUSN-015</v>
      </c>
    </row>
    <row r="89" spans="1:40" s="572" customFormat="1" ht="15">
      <c r="A89" s="570" t="s">
        <v>374</v>
      </c>
      <c r="B89" s="573" t="s">
        <v>375</v>
      </c>
      <c r="C89" s="573" t="s">
        <v>269</v>
      </c>
      <c r="D89" s="578" t="s">
        <v>270</v>
      </c>
      <c r="E89" s="573" t="s">
        <v>151</v>
      </c>
      <c r="F89" s="573" t="s">
        <v>196</v>
      </c>
      <c r="G89" s="573" t="s">
        <v>271</v>
      </c>
      <c r="H89" s="573">
        <v>2019</v>
      </c>
      <c r="I89" s="573" t="s">
        <v>350</v>
      </c>
      <c r="J89" s="573" t="s">
        <v>376</v>
      </c>
      <c r="K89" s="573" t="s">
        <v>156</v>
      </c>
      <c r="L89" s="573">
        <v>5</v>
      </c>
      <c r="M89" s="573">
        <v>0</v>
      </c>
      <c r="N89" s="573" t="s">
        <v>157</v>
      </c>
      <c r="O89" s="573">
        <v>2</v>
      </c>
      <c r="P89" s="573" t="s">
        <v>157</v>
      </c>
      <c r="Q89" s="571" t="s">
        <v>157</v>
      </c>
      <c r="R89" s="573" t="s">
        <v>352</v>
      </c>
      <c r="S89" s="573">
        <v>4</v>
      </c>
      <c r="T89" s="573" t="s">
        <v>377</v>
      </c>
      <c r="U89" s="573" t="s">
        <v>378</v>
      </c>
      <c r="V89" s="573">
        <v>112.2</v>
      </c>
      <c r="W89" s="573">
        <v>14</v>
      </c>
      <c r="X89" s="571">
        <v>3639</v>
      </c>
      <c r="Y89" s="579">
        <v>42</v>
      </c>
      <c r="Z89" s="579" t="s">
        <v>178</v>
      </c>
      <c r="AA89" s="579" t="s">
        <v>163</v>
      </c>
      <c r="AB89" s="584">
        <v>35380</v>
      </c>
      <c r="AC89" s="584" t="s">
        <v>164</v>
      </c>
      <c r="AD89" s="584">
        <v>31841.854166666668</v>
      </c>
      <c r="AE89" s="586">
        <v>0.03</v>
      </c>
      <c r="AF89" s="661" t="str">
        <f t="shared" si="7"/>
        <v>2019-PAS-FRD-FUSN-009-05</v>
      </c>
      <c r="AG89" s="661" t="str">
        <f>IF(AND($Y89&gt;=32,(AI89="I"),(Y89&lt;&gt;"~"),(COUNTIF($AN$1:$AN89,$AN89)=1)),"TRUE","FALSE")</f>
        <v>TRUE</v>
      </c>
      <c r="AH89" s="661" t="str">
        <f>IF(AND($Y89&gt;=22, (AI89&lt;&gt;"I"),(Y89&lt;&gt;"~"),(COUNTIF($AN$1:$AN89,$AN89)=1)),"TRUE","FALSE")</f>
        <v>FALSE</v>
      </c>
      <c r="AI89" s="661" t="str">
        <f t="shared" si="13"/>
        <v>I</v>
      </c>
      <c r="AJ89" s="662" t="str">
        <f t="shared" si="8"/>
        <v>FUSN-009</v>
      </c>
      <c r="AK89" s="662" t="str">
        <f t="shared" si="9"/>
        <v>PAS</v>
      </c>
      <c r="AL89" s="662" t="str">
        <f t="shared" si="10"/>
        <v>FRD</v>
      </c>
      <c r="AM89" s="662" t="str">
        <f t="shared" si="11"/>
        <v>Fusion-Hybrid Titanium-FWD-5-~-~-2.0L-4-P0R-650A-112.2-14-Unleaded-Electric</v>
      </c>
      <c r="AN89" s="662" t="str">
        <f t="shared" si="12"/>
        <v>2019-PAS-FRD-FUSN-009</v>
      </c>
    </row>
    <row r="90" spans="1:40" s="572" customFormat="1" ht="15">
      <c r="A90" s="570" t="s">
        <v>379</v>
      </c>
      <c r="B90" s="569" t="s">
        <v>375</v>
      </c>
      <c r="C90" s="569" t="s">
        <v>278</v>
      </c>
      <c r="D90" s="580">
        <v>15</v>
      </c>
      <c r="E90" s="569" t="s">
        <v>151</v>
      </c>
      <c r="F90" s="569" t="s">
        <v>196</v>
      </c>
      <c r="G90" s="569" t="s">
        <v>271</v>
      </c>
      <c r="H90" s="569">
        <v>2019</v>
      </c>
      <c r="I90" s="569" t="s">
        <v>350</v>
      </c>
      <c r="J90" s="569" t="s">
        <v>376</v>
      </c>
      <c r="K90" s="569" t="s">
        <v>156</v>
      </c>
      <c r="L90" s="569">
        <v>5</v>
      </c>
      <c r="M90" s="569">
        <v>0</v>
      </c>
      <c r="N90" s="569" t="s">
        <v>157</v>
      </c>
      <c r="O90" s="569">
        <v>2</v>
      </c>
      <c r="P90" s="569" t="s">
        <v>157</v>
      </c>
      <c r="Q90" s="568" t="s">
        <v>157</v>
      </c>
      <c r="R90" s="569" t="s">
        <v>352</v>
      </c>
      <c r="S90" s="569">
        <v>4</v>
      </c>
      <c r="T90" s="569" t="s">
        <v>377</v>
      </c>
      <c r="U90" s="569" t="s">
        <v>380</v>
      </c>
      <c r="V90" s="569">
        <v>112.2</v>
      </c>
      <c r="W90" s="569">
        <v>14</v>
      </c>
      <c r="X90" s="568">
        <v>3639</v>
      </c>
      <c r="Y90" s="581">
        <v>42</v>
      </c>
      <c r="Z90" s="581" t="s">
        <v>178</v>
      </c>
      <c r="AA90" s="581" t="s">
        <v>163</v>
      </c>
      <c r="AB90" s="585">
        <v>35380</v>
      </c>
      <c r="AC90" s="585" t="s">
        <v>164</v>
      </c>
      <c r="AD90" s="585">
        <v>32250</v>
      </c>
      <c r="AE90" s="587">
        <v>0.01</v>
      </c>
      <c r="AF90" s="661" t="str">
        <f t="shared" si="7"/>
        <v>2019-PAS-FRD-FUSN-009-15</v>
      </c>
      <c r="AG90" s="661" t="str">
        <f>IF(AND($Y90&gt;=32,(AI90="I"),(Y90&lt;&gt;"~"),(COUNTIF($AN$1:$AN90,$AN90)=1)),"TRUE","FALSE")</f>
        <v>FALSE</v>
      </c>
      <c r="AH90" s="661" t="str">
        <f>IF(AND($Y90&gt;=22, (AI90&lt;&gt;"I"),(Y90&lt;&gt;"~"),(COUNTIF($AN$1:$AN90,$AN90)=1)),"TRUE","FALSE")</f>
        <v>FALSE</v>
      </c>
      <c r="AI90" s="661" t="str">
        <f t="shared" si="13"/>
        <v>I</v>
      </c>
      <c r="AJ90" s="662" t="str">
        <f t="shared" si="8"/>
        <v>FUSN-009</v>
      </c>
      <c r="AK90" s="662" t="str">
        <f t="shared" si="9"/>
        <v>PAS</v>
      </c>
      <c r="AL90" s="662" t="str">
        <f t="shared" si="10"/>
        <v>FRD</v>
      </c>
      <c r="AM90" s="662" t="str">
        <f t="shared" si="11"/>
        <v>Fusion-Hybrid Titanium-FWD-5-~-~-2.0L-4-P0R-700A-112.2-14-Unleaded-Electric</v>
      </c>
      <c r="AN90" s="662" t="str">
        <f t="shared" si="12"/>
        <v>2019-PAS-FRD-FUSN-009</v>
      </c>
    </row>
    <row r="91" spans="1:40" s="572" customFormat="1" ht="15">
      <c r="A91" s="570" t="s">
        <v>381</v>
      </c>
      <c r="B91" s="573" t="s">
        <v>375</v>
      </c>
      <c r="C91" s="573" t="s">
        <v>287</v>
      </c>
      <c r="D91" s="578">
        <v>26</v>
      </c>
      <c r="E91" s="573" t="s">
        <v>151</v>
      </c>
      <c r="F91" s="573" t="s">
        <v>196</v>
      </c>
      <c r="G91" s="573" t="s">
        <v>271</v>
      </c>
      <c r="H91" s="573">
        <v>2019</v>
      </c>
      <c r="I91" s="573" t="s">
        <v>350</v>
      </c>
      <c r="J91" s="573" t="s">
        <v>376</v>
      </c>
      <c r="K91" s="573" t="s">
        <v>156</v>
      </c>
      <c r="L91" s="573">
        <v>5</v>
      </c>
      <c r="M91" s="573">
        <v>0</v>
      </c>
      <c r="N91" s="573" t="s">
        <v>157</v>
      </c>
      <c r="O91" s="573">
        <v>2</v>
      </c>
      <c r="P91" s="573" t="s">
        <v>157</v>
      </c>
      <c r="Q91" s="571" t="s">
        <v>157</v>
      </c>
      <c r="R91" s="573" t="s">
        <v>352</v>
      </c>
      <c r="S91" s="573">
        <v>4</v>
      </c>
      <c r="T91" s="573" t="s">
        <v>377</v>
      </c>
      <c r="U91" s="573" t="s">
        <v>380</v>
      </c>
      <c r="V91" s="573">
        <v>112.2</v>
      </c>
      <c r="W91" s="573">
        <v>14</v>
      </c>
      <c r="X91" s="571">
        <v>3639</v>
      </c>
      <c r="Y91" s="579">
        <v>42</v>
      </c>
      <c r="Z91" s="579" t="s">
        <v>178</v>
      </c>
      <c r="AA91" s="579" t="s">
        <v>163</v>
      </c>
      <c r="AB91" s="584">
        <v>35380</v>
      </c>
      <c r="AC91" s="584" t="s">
        <v>164</v>
      </c>
      <c r="AD91" s="584">
        <v>32989</v>
      </c>
      <c r="AE91" s="586">
        <v>0.05</v>
      </c>
      <c r="AF91" s="661" t="str">
        <f t="shared" si="7"/>
        <v>2019-PAS-FRD-FUSN-009-26</v>
      </c>
      <c r="AG91" s="661" t="str">
        <f>IF(AND($Y91&gt;=32,(AI91="I"),(Y91&lt;&gt;"~"),(COUNTIF($AN$1:$AN91,$AN91)=1)),"TRUE","FALSE")</f>
        <v>FALSE</v>
      </c>
      <c r="AH91" s="661" t="str">
        <f>IF(AND($Y91&gt;=22, (AI91&lt;&gt;"I"),(Y91&lt;&gt;"~"),(COUNTIF($AN$1:$AN91,$AN91)=1)),"TRUE","FALSE")</f>
        <v>FALSE</v>
      </c>
      <c r="AI91" s="661" t="str">
        <f t="shared" si="13"/>
        <v>I</v>
      </c>
      <c r="AJ91" s="662" t="str">
        <f t="shared" si="8"/>
        <v>FUSN-009</v>
      </c>
      <c r="AK91" s="662" t="str">
        <f t="shared" si="9"/>
        <v>PAS</v>
      </c>
      <c r="AL91" s="662" t="str">
        <f t="shared" si="10"/>
        <v>FRD</v>
      </c>
      <c r="AM91" s="662" t="str">
        <f t="shared" si="11"/>
        <v>Fusion-Hybrid Titanium-FWD-5-~-~-2.0L-4-P0R-700A-112.2-14-Unleaded-Electric</v>
      </c>
      <c r="AN91" s="662" t="str">
        <f t="shared" si="12"/>
        <v>2019-PAS-FRD-FUSN-009</v>
      </c>
    </row>
    <row r="92" spans="1:40" s="572" customFormat="1" ht="15">
      <c r="A92" s="570" t="s">
        <v>382</v>
      </c>
      <c r="B92" s="569" t="s">
        <v>375</v>
      </c>
      <c r="C92" s="569" t="s">
        <v>280</v>
      </c>
      <c r="D92" s="580">
        <v>27</v>
      </c>
      <c r="E92" s="569" t="s">
        <v>151</v>
      </c>
      <c r="F92" s="569" t="s">
        <v>196</v>
      </c>
      <c r="G92" s="569" t="s">
        <v>271</v>
      </c>
      <c r="H92" s="569">
        <v>2019</v>
      </c>
      <c r="I92" s="569" t="s">
        <v>350</v>
      </c>
      <c r="J92" s="569" t="s">
        <v>376</v>
      </c>
      <c r="K92" s="569" t="s">
        <v>156</v>
      </c>
      <c r="L92" s="569">
        <v>5</v>
      </c>
      <c r="M92" s="569">
        <v>0</v>
      </c>
      <c r="N92" s="569" t="s">
        <v>157</v>
      </c>
      <c r="O92" s="569">
        <v>2</v>
      </c>
      <c r="P92" s="569" t="s">
        <v>157</v>
      </c>
      <c r="Q92" s="568" t="s">
        <v>157</v>
      </c>
      <c r="R92" s="569" t="s">
        <v>352</v>
      </c>
      <c r="S92" s="569">
        <v>4</v>
      </c>
      <c r="T92" s="569" t="s">
        <v>377</v>
      </c>
      <c r="U92" s="569" t="s">
        <v>378</v>
      </c>
      <c r="V92" s="569">
        <v>112.2</v>
      </c>
      <c r="W92" s="569">
        <v>14</v>
      </c>
      <c r="X92" s="568">
        <v>3639</v>
      </c>
      <c r="Y92" s="581">
        <v>42</v>
      </c>
      <c r="Z92" s="581" t="s">
        <v>178</v>
      </c>
      <c r="AA92" s="581" t="s">
        <v>163</v>
      </c>
      <c r="AB92" s="585">
        <v>35380</v>
      </c>
      <c r="AC92" s="585" t="s">
        <v>164</v>
      </c>
      <c r="AD92" s="585">
        <v>31841.854166666668</v>
      </c>
      <c r="AE92" s="587">
        <v>0.03</v>
      </c>
      <c r="AF92" s="661" t="str">
        <f t="shared" si="7"/>
        <v>2019-PAS-FRD-FUSN-009-27</v>
      </c>
      <c r="AG92" s="661" t="str">
        <f>IF(AND($Y92&gt;=32,(AI92="I"),(Y92&lt;&gt;"~"),(COUNTIF($AN$1:$AN92,$AN92)=1)),"TRUE","FALSE")</f>
        <v>FALSE</v>
      </c>
      <c r="AH92" s="661" t="str">
        <f>IF(AND($Y92&gt;=22, (AI92&lt;&gt;"I"),(Y92&lt;&gt;"~"),(COUNTIF($AN$1:$AN92,$AN92)=1)),"TRUE","FALSE")</f>
        <v>FALSE</v>
      </c>
      <c r="AI92" s="661" t="str">
        <f t="shared" si="13"/>
        <v>I</v>
      </c>
      <c r="AJ92" s="662" t="str">
        <f t="shared" si="8"/>
        <v>FUSN-009</v>
      </c>
      <c r="AK92" s="662" t="str">
        <f t="shared" si="9"/>
        <v>PAS</v>
      </c>
      <c r="AL92" s="662" t="str">
        <f t="shared" si="10"/>
        <v>FRD</v>
      </c>
      <c r="AM92" s="662" t="str">
        <f t="shared" si="11"/>
        <v>Fusion-Hybrid Titanium-FWD-5-~-~-2.0L-4-P0R-650A-112.2-14-Unleaded-Electric</v>
      </c>
      <c r="AN92" s="662" t="str">
        <f t="shared" si="12"/>
        <v>2019-PAS-FRD-FUSN-009</v>
      </c>
    </row>
    <row r="93" spans="1:40" s="572" customFormat="1" ht="15">
      <c r="A93" s="570" t="s">
        <v>383</v>
      </c>
      <c r="B93" s="573" t="s">
        <v>384</v>
      </c>
      <c r="C93" s="573" t="s">
        <v>269</v>
      </c>
      <c r="D93" s="578" t="s">
        <v>270</v>
      </c>
      <c r="E93" s="573" t="s">
        <v>151</v>
      </c>
      <c r="F93" s="573" t="s">
        <v>196</v>
      </c>
      <c r="G93" s="573" t="s">
        <v>271</v>
      </c>
      <c r="H93" s="573">
        <v>2019</v>
      </c>
      <c r="I93" s="573" t="s">
        <v>350</v>
      </c>
      <c r="J93" s="573" t="s">
        <v>273</v>
      </c>
      <c r="K93" s="573" t="s">
        <v>156</v>
      </c>
      <c r="L93" s="573">
        <v>5</v>
      </c>
      <c r="M93" s="573">
        <v>0</v>
      </c>
      <c r="N93" s="573" t="s">
        <v>157</v>
      </c>
      <c r="O93" s="573">
        <v>2</v>
      </c>
      <c r="P93" s="573" t="s">
        <v>157</v>
      </c>
      <c r="Q93" s="571" t="s">
        <v>157</v>
      </c>
      <c r="R93" s="573" t="s">
        <v>189</v>
      </c>
      <c r="S93" s="573">
        <v>4</v>
      </c>
      <c r="T93" s="573" t="s">
        <v>385</v>
      </c>
      <c r="U93" s="573" t="s">
        <v>276</v>
      </c>
      <c r="V93" s="573">
        <v>112.2</v>
      </c>
      <c r="W93" s="573">
        <v>16.5</v>
      </c>
      <c r="X93" s="571">
        <v>3431</v>
      </c>
      <c r="Y93" s="579">
        <v>25</v>
      </c>
      <c r="Z93" s="579" t="s">
        <v>178</v>
      </c>
      <c r="AA93" s="579" t="s">
        <v>178</v>
      </c>
      <c r="AB93" s="584">
        <v>23735</v>
      </c>
      <c r="AC93" s="584" t="s">
        <v>164</v>
      </c>
      <c r="AD93" s="584">
        <v>18518.9375</v>
      </c>
      <c r="AE93" s="586">
        <v>0.03</v>
      </c>
      <c r="AF93" s="661" t="str">
        <f t="shared" si="7"/>
        <v>2019-PAS-FRD-FUSN-011-05</v>
      </c>
      <c r="AG93" s="661" t="str">
        <f>IF(AND($Y93&gt;=32,(AI93="I"),(Y93&lt;&gt;"~"),(COUNTIF($AN$1:$AN93,$AN93)=1)),"TRUE","FALSE")</f>
        <v>FALSE</v>
      </c>
      <c r="AH93" s="661" t="str">
        <f>IF(AND($Y93&gt;=22, (AI93&lt;&gt;"I"),(Y93&lt;&gt;"~"),(COUNTIF($AN$1:$AN93,$AN93)=1)),"TRUE","FALSE")</f>
        <v>FALSE</v>
      </c>
      <c r="AI93" s="661" t="str">
        <f t="shared" si="13"/>
        <v>I</v>
      </c>
      <c r="AJ93" s="662" t="str">
        <f t="shared" si="8"/>
        <v>FUSN-011</v>
      </c>
      <c r="AK93" s="662" t="str">
        <f t="shared" si="9"/>
        <v>PAS</v>
      </c>
      <c r="AL93" s="662" t="str">
        <f t="shared" si="10"/>
        <v>FRD</v>
      </c>
      <c r="AM93" s="662" t="str">
        <f t="shared" si="11"/>
        <v>Fusion-S-FWD-5-~-~-2.5L-4-P0G-100A-112.2-16.5-Unleaded-Unleaded</v>
      </c>
      <c r="AN93" s="662" t="str">
        <f t="shared" si="12"/>
        <v>2019-PAS-FRD-FUSN-011</v>
      </c>
    </row>
    <row r="94" spans="1:40" s="572" customFormat="1" ht="15">
      <c r="A94" s="570" t="s">
        <v>386</v>
      </c>
      <c r="B94" s="569" t="s">
        <v>384</v>
      </c>
      <c r="C94" s="569" t="s">
        <v>278</v>
      </c>
      <c r="D94" s="580">
        <v>15</v>
      </c>
      <c r="E94" s="569" t="s">
        <v>151</v>
      </c>
      <c r="F94" s="569" t="s">
        <v>196</v>
      </c>
      <c r="G94" s="569" t="s">
        <v>271</v>
      </c>
      <c r="H94" s="569">
        <v>2019</v>
      </c>
      <c r="I94" s="569" t="s">
        <v>350</v>
      </c>
      <c r="J94" s="569" t="s">
        <v>273</v>
      </c>
      <c r="K94" s="569" t="s">
        <v>156</v>
      </c>
      <c r="L94" s="569">
        <v>5</v>
      </c>
      <c r="M94" s="569">
        <v>0</v>
      </c>
      <c r="N94" s="569" t="s">
        <v>157</v>
      </c>
      <c r="O94" s="569">
        <v>2</v>
      </c>
      <c r="P94" s="569" t="s">
        <v>157</v>
      </c>
      <c r="Q94" s="568" t="s">
        <v>157</v>
      </c>
      <c r="R94" s="569" t="s">
        <v>352</v>
      </c>
      <c r="S94" s="569">
        <v>4</v>
      </c>
      <c r="T94" s="569" t="s">
        <v>385</v>
      </c>
      <c r="U94" s="569" t="s">
        <v>276</v>
      </c>
      <c r="V94" s="569">
        <v>112.2</v>
      </c>
      <c r="W94" s="569">
        <v>17.5</v>
      </c>
      <c r="X94" s="568">
        <v>3431</v>
      </c>
      <c r="Y94" s="581">
        <v>27</v>
      </c>
      <c r="Z94" s="581" t="s">
        <v>178</v>
      </c>
      <c r="AA94" s="581" t="s">
        <v>178</v>
      </c>
      <c r="AB94" s="585">
        <v>23735</v>
      </c>
      <c r="AC94" s="585" t="s">
        <v>164</v>
      </c>
      <c r="AD94" s="585">
        <v>18645</v>
      </c>
      <c r="AE94" s="587">
        <v>0.01</v>
      </c>
      <c r="AF94" s="661" t="str">
        <f t="shared" si="7"/>
        <v>2019-PAS-FRD-FUSN-011-15</v>
      </c>
      <c r="AG94" s="661" t="str">
        <f>IF(AND($Y94&gt;=32,(AI94="I"),(Y94&lt;&gt;"~"),(COUNTIF($AN$1:$AN94,$AN94)=1)),"TRUE","FALSE")</f>
        <v>FALSE</v>
      </c>
      <c r="AH94" s="661" t="str">
        <f>IF(AND($Y94&gt;=22, (AI94&lt;&gt;"I"),(Y94&lt;&gt;"~"),(COUNTIF($AN$1:$AN94,$AN94)=1)),"TRUE","FALSE")</f>
        <v>FALSE</v>
      </c>
      <c r="AI94" s="661" t="str">
        <f t="shared" si="13"/>
        <v>I</v>
      </c>
      <c r="AJ94" s="662" t="str">
        <f t="shared" si="8"/>
        <v>FUSN-011</v>
      </c>
      <c r="AK94" s="662" t="str">
        <f t="shared" si="9"/>
        <v>PAS</v>
      </c>
      <c r="AL94" s="662" t="str">
        <f t="shared" si="10"/>
        <v>FRD</v>
      </c>
      <c r="AM94" s="662" t="str">
        <f t="shared" si="11"/>
        <v>Fusion-S-FWD-5-~-~-2.0L-4-P0G-100A-112.2-17.5-Unleaded-Unleaded</v>
      </c>
      <c r="AN94" s="662" t="str">
        <f t="shared" si="12"/>
        <v>2019-PAS-FRD-FUSN-011</v>
      </c>
    </row>
    <row r="95" spans="1:40" s="572" customFormat="1" ht="15">
      <c r="A95" s="570" t="s">
        <v>387</v>
      </c>
      <c r="B95" s="573" t="s">
        <v>384</v>
      </c>
      <c r="C95" s="573" t="s">
        <v>287</v>
      </c>
      <c r="D95" s="578">
        <v>26</v>
      </c>
      <c r="E95" s="573" t="s">
        <v>151</v>
      </c>
      <c r="F95" s="573" t="s">
        <v>196</v>
      </c>
      <c r="G95" s="573" t="s">
        <v>271</v>
      </c>
      <c r="H95" s="573">
        <v>2019</v>
      </c>
      <c r="I95" s="573" t="s">
        <v>350</v>
      </c>
      <c r="J95" s="573" t="s">
        <v>273</v>
      </c>
      <c r="K95" s="573" t="s">
        <v>156</v>
      </c>
      <c r="L95" s="573">
        <v>5</v>
      </c>
      <c r="M95" s="573">
        <v>0</v>
      </c>
      <c r="N95" s="573" t="s">
        <v>157</v>
      </c>
      <c r="O95" s="573">
        <v>2</v>
      </c>
      <c r="P95" s="573" t="s">
        <v>157</v>
      </c>
      <c r="Q95" s="571" t="s">
        <v>157</v>
      </c>
      <c r="R95" s="573" t="s">
        <v>352</v>
      </c>
      <c r="S95" s="573">
        <v>4</v>
      </c>
      <c r="T95" s="573" t="s">
        <v>385</v>
      </c>
      <c r="U95" s="573" t="s">
        <v>276</v>
      </c>
      <c r="V95" s="573">
        <v>112.2</v>
      </c>
      <c r="W95" s="573">
        <v>17.5</v>
      </c>
      <c r="X95" s="571">
        <v>3431</v>
      </c>
      <c r="Y95" s="579">
        <v>27</v>
      </c>
      <c r="Z95" s="579" t="s">
        <v>178</v>
      </c>
      <c r="AA95" s="579" t="s">
        <v>178</v>
      </c>
      <c r="AB95" s="584">
        <v>23735</v>
      </c>
      <c r="AC95" s="584" t="s">
        <v>164</v>
      </c>
      <c r="AD95" s="584">
        <v>19089</v>
      </c>
      <c r="AE95" s="586">
        <v>0.05</v>
      </c>
      <c r="AF95" s="661" t="str">
        <f t="shared" si="7"/>
        <v>2019-PAS-FRD-FUSN-011-26</v>
      </c>
      <c r="AG95" s="661" t="str">
        <f>IF(AND($Y95&gt;=32,(AI95="I"),(Y95&lt;&gt;"~"),(COUNTIF($AN$1:$AN95,$AN95)=1)),"TRUE","FALSE")</f>
        <v>FALSE</v>
      </c>
      <c r="AH95" s="661" t="str">
        <f>IF(AND($Y95&gt;=22, (AI95&lt;&gt;"I"),(Y95&lt;&gt;"~"),(COUNTIF($AN$1:$AN95,$AN95)=1)),"TRUE","FALSE")</f>
        <v>FALSE</v>
      </c>
      <c r="AI95" s="661" t="str">
        <f t="shared" si="13"/>
        <v>I</v>
      </c>
      <c r="AJ95" s="662" t="str">
        <f t="shared" si="8"/>
        <v>FUSN-011</v>
      </c>
      <c r="AK95" s="662" t="str">
        <f t="shared" si="9"/>
        <v>PAS</v>
      </c>
      <c r="AL95" s="662" t="str">
        <f t="shared" si="10"/>
        <v>FRD</v>
      </c>
      <c r="AM95" s="662" t="str">
        <f t="shared" si="11"/>
        <v>Fusion-S-FWD-5-~-~-2.0L-4-P0G-100A-112.2-17.5-Unleaded-Unleaded</v>
      </c>
      <c r="AN95" s="662" t="str">
        <f t="shared" si="12"/>
        <v>2019-PAS-FRD-FUSN-011</v>
      </c>
    </row>
    <row r="96" spans="1:40" s="572" customFormat="1" ht="15">
      <c r="A96" s="570" t="s">
        <v>388</v>
      </c>
      <c r="B96" s="569" t="s">
        <v>384</v>
      </c>
      <c r="C96" s="569" t="s">
        <v>280</v>
      </c>
      <c r="D96" s="580">
        <v>27</v>
      </c>
      <c r="E96" s="569" t="s">
        <v>151</v>
      </c>
      <c r="F96" s="569" t="s">
        <v>196</v>
      </c>
      <c r="G96" s="569" t="s">
        <v>271</v>
      </c>
      <c r="H96" s="569">
        <v>2019</v>
      </c>
      <c r="I96" s="569" t="s">
        <v>350</v>
      </c>
      <c r="J96" s="569" t="s">
        <v>273</v>
      </c>
      <c r="K96" s="569" t="s">
        <v>156</v>
      </c>
      <c r="L96" s="569">
        <v>5</v>
      </c>
      <c r="M96" s="569">
        <v>0</v>
      </c>
      <c r="N96" s="569" t="s">
        <v>157</v>
      </c>
      <c r="O96" s="569">
        <v>2</v>
      </c>
      <c r="P96" s="569" t="s">
        <v>157</v>
      </c>
      <c r="Q96" s="568" t="s">
        <v>157</v>
      </c>
      <c r="R96" s="569" t="s">
        <v>189</v>
      </c>
      <c r="S96" s="569">
        <v>4</v>
      </c>
      <c r="T96" s="569" t="s">
        <v>385</v>
      </c>
      <c r="U96" s="569" t="s">
        <v>276</v>
      </c>
      <c r="V96" s="569">
        <v>112.2</v>
      </c>
      <c r="W96" s="569">
        <v>16.5</v>
      </c>
      <c r="X96" s="568">
        <v>3431</v>
      </c>
      <c r="Y96" s="581">
        <v>25</v>
      </c>
      <c r="Z96" s="581" t="s">
        <v>178</v>
      </c>
      <c r="AA96" s="581" t="s">
        <v>178</v>
      </c>
      <c r="AB96" s="585">
        <v>23735</v>
      </c>
      <c r="AC96" s="585" t="s">
        <v>164</v>
      </c>
      <c r="AD96" s="585">
        <v>18518.9375</v>
      </c>
      <c r="AE96" s="587">
        <v>0.03</v>
      </c>
      <c r="AF96" s="661" t="str">
        <f t="shared" si="7"/>
        <v>2019-PAS-FRD-FUSN-011-27</v>
      </c>
      <c r="AG96" s="661" t="str">
        <f>IF(AND($Y96&gt;=32,(AI96="I"),(Y96&lt;&gt;"~"),(COUNTIF($AN$1:$AN96,$AN96)=1)),"TRUE","FALSE")</f>
        <v>FALSE</v>
      </c>
      <c r="AH96" s="661" t="str">
        <f>IF(AND($Y96&gt;=22, (AI96&lt;&gt;"I"),(Y96&lt;&gt;"~"),(COUNTIF($AN$1:$AN96,$AN96)=1)),"TRUE","FALSE")</f>
        <v>FALSE</v>
      </c>
      <c r="AI96" s="661" t="str">
        <f t="shared" si="13"/>
        <v>I</v>
      </c>
      <c r="AJ96" s="662" t="str">
        <f t="shared" si="8"/>
        <v>FUSN-011</v>
      </c>
      <c r="AK96" s="662" t="str">
        <f t="shared" si="9"/>
        <v>PAS</v>
      </c>
      <c r="AL96" s="662" t="str">
        <f t="shared" si="10"/>
        <v>FRD</v>
      </c>
      <c r="AM96" s="662" t="str">
        <f t="shared" si="11"/>
        <v>Fusion-S-FWD-5-~-~-2.5L-4-P0G-100A-112.2-16.5-Unleaded-Unleaded</v>
      </c>
      <c r="AN96" s="662" t="str">
        <f t="shared" si="12"/>
        <v>2019-PAS-FRD-FUSN-011</v>
      </c>
    </row>
    <row r="97" spans="1:40" s="572" customFormat="1" ht="15">
      <c r="A97" s="570" t="s">
        <v>389</v>
      </c>
      <c r="B97" s="573" t="s">
        <v>390</v>
      </c>
      <c r="C97" s="573" t="s">
        <v>269</v>
      </c>
      <c r="D97" s="578" t="s">
        <v>270</v>
      </c>
      <c r="E97" s="573" t="s">
        <v>151</v>
      </c>
      <c r="F97" s="573" t="s">
        <v>196</v>
      </c>
      <c r="G97" s="573" t="s">
        <v>271</v>
      </c>
      <c r="H97" s="573">
        <v>2019</v>
      </c>
      <c r="I97" s="573" t="s">
        <v>350</v>
      </c>
      <c r="J97" s="573" t="s">
        <v>330</v>
      </c>
      <c r="K97" s="573" t="s">
        <v>230</v>
      </c>
      <c r="L97" s="573">
        <v>5</v>
      </c>
      <c r="M97" s="573">
        <v>0</v>
      </c>
      <c r="N97" s="573" t="s">
        <v>157</v>
      </c>
      <c r="O97" s="573">
        <v>2</v>
      </c>
      <c r="P97" s="573" t="s">
        <v>157</v>
      </c>
      <c r="Q97" s="571" t="s">
        <v>157</v>
      </c>
      <c r="R97" s="573" t="s">
        <v>352</v>
      </c>
      <c r="S97" s="573">
        <v>4</v>
      </c>
      <c r="T97" s="573" t="s">
        <v>391</v>
      </c>
      <c r="U97" s="573" t="s">
        <v>392</v>
      </c>
      <c r="V97" s="573">
        <v>112.2</v>
      </c>
      <c r="W97" s="573">
        <v>18</v>
      </c>
      <c r="X97" s="571">
        <v>3681</v>
      </c>
      <c r="Y97" s="579">
        <v>23</v>
      </c>
      <c r="Z97" s="579" t="s">
        <v>178</v>
      </c>
      <c r="AA97" s="579" t="s">
        <v>178</v>
      </c>
      <c r="AB97" s="584">
        <v>27875</v>
      </c>
      <c r="AC97" s="584" t="s">
        <v>164</v>
      </c>
      <c r="AD97" s="584">
        <v>22893.9375</v>
      </c>
      <c r="AE97" s="586">
        <v>0.03</v>
      </c>
      <c r="AF97" s="661" t="str">
        <f t="shared" si="7"/>
        <v>2019-PAS-FRD-FUSN-005-05</v>
      </c>
      <c r="AG97" s="661" t="str">
        <f>IF(AND($Y97&gt;=32,(AI97="I"),(Y97&lt;&gt;"~"),(COUNTIF($AN$1:$AN97,$AN97)=1)),"TRUE","FALSE")</f>
        <v>FALSE</v>
      </c>
      <c r="AH97" s="661" t="str">
        <f>IF(AND($Y97&gt;=22, (AI97&lt;&gt;"I"),(Y97&lt;&gt;"~"),(COUNTIF($AN$1:$AN97,$AN97)=1)),"TRUE","FALSE")</f>
        <v>FALSE</v>
      </c>
      <c r="AI97" s="661" t="str">
        <f t="shared" si="13"/>
        <v>I</v>
      </c>
      <c r="AJ97" s="662" t="str">
        <f t="shared" si="8"/>
        <v>FUSN-005</v>
      </c>
      <c r="AK97" s="662" t="str">
        <f t="shared" si="9"/>
        <v>PAS</v>
      </c>
      <c r="AL97" s="662" t="str">
        <f t="shared" si="10"/>
        <v>FRD</v>
      </c>
      <c r="AM97" s="662" t="str">
        <f t="shared" si="11"/>
        <v>Fusion-SE-AWD-5-~-~-2.0L-4-P0T-150A-112.2-18-Unleaded-Unleaded</v>
      </c>
      <c r="AN97" s="662" t="str">
        <f t="shared" si="12"/>
        <v>2019-PAS-FRD-FUSN-005</v>
      </c>
    </row>
    <row r="98" spans="1:40" s="572" customFormat="1" ht="15">
      <c r="A98" s="570" t="s">
        <v>393</v>
      </c>
      <c r="B98" s="569" t="s">
        <v>390</v>
      </c>
      <c r="C98" s="569" t="s">
        <v>278</v>
      </c>
      <c r="D98" s="580">
        <v>15</v>
      </c>
      <c r="E98" s="569" t="s">
        <v>151</v>
      </c>
      <c r="F98" s="569" t="s">
        <v>196</v>
      </c>
      <c r="G98" s="569" t="s">
        <v>271</v>
      </c>
      <c r="H98" s="569">
        <v>2019</v>
      </c>
      <c r="I98" s="569" t="s">
        <v>350</v>
      </c>
      <c r="J98" s="569" t="s">
        <v>330</v>
      </c>
      <c r="K98" s="569" t="s">
        <v>230</v>
      </c>
      <c r="L98" s="569">
        <v>5</v>
      </c>
      <c r="M98" s="569">
        <v>0</v>
      </c>
      <c r="N98" s="569" t="s">
        <v>157</v>
      </c>
      <c r="O98" s="569">
        <v>2</v>
      </c>
      <c r="P98" s="569" t="s">
        <v>157</v>
      </c>
      <c r="Q98" s="568" t="s">
        <v>157</v>
      </c>
      <c r="R98" s="569" t="s">
        <v>352</v>
      </c>
      <c r="S98" s="569">
        <v>4</v>
      </c>
      <c r="T98" s="569" t="s">
        <v>391</v>
      </c>
      <c r="U98" s="569" t="s">
        <v>394</v>
      </c>
      <c r="V98" s="569">
        <v>112.2</v>
      </c>
      <c r="W98" s="569">
        <v>17.5</v>
      </c>
      <c r="X98" s="568">
        <v>3681</v>
      </c>
      <c r="Y98" s="581">
        <v>23</v>
      </c>
      <c r="Z98" s="581" t="s">
        <v>178</v>
      </c>
      <c r="AA98" s="581" t="s">
        <v>178</v>
      </c>
      <c r="AB98" s="585">
        <v>27875</v>
      </c>
      <c r="AC98" s="585" t="s">
        <v>164</v>
      </c>
      <c r="AD98" s="585">
        <v>23112</v>
      </c>
      <c r="AE98" s="587">
        <v>0.01</v>
      </c>
      <c r="AF98" s="661" t="str">
        <f t="shared" si="7"/>
        <v>2019-PAS-FRD-FUSN-005-15</v>
      </c>
      <c r="AG98" s="661" t="str">
        <f>IF(AND($Y98&gt;=32,(AI98="I"),(Y98&lt;&gt;"~"),(COUNTIF($AN$1:$AN98,$AN98)=1)),"TRUE","FALSE")</f>
        <v>FALSE</v>
      </c>
      <c r="AH98" s="661" t="str">
        <f>IF(AND($Y98&gt;=22, (AI98&lt;&gt;"I"),(Y98&lt;&gt;"~"),(COUNTIF($AN$1:$AN98,$AN98)=1)),"TRUE","FALSE")</f>
        <v>FALSE</v>
      </c>
      <c r="AI98" s="661" t="str">
        <f t="shared" si="13"/>
        <v>I</v>
      </c>
      <c r="AJ98" s="662" t="str">
        <f t="shared" si="8"/>
        <v>FUSN-005</v>
      </c>
      <c r="AK98" s="662" t="str">
        <f t="shared" si="9"/>
        <v>PAS</v>
      </c>
      <c r="AL98" s="662" t="str">
        <f t="shared" si="10"/>
        <v>FRD</v>
      </c>
      <c r="AM98" s="662" t="str">
        <f t="shared" si="11"/>
        <v>Fusion-SE-AWD-5-~-~-2.0L-4-P0T-201A-112.2-17.5-Unleaded-Unleaded</v>
      </c>
      <c r="AN98" s="662" t="str">
        <f t="shared" si="12"/>
        <v>2019-PAS-FRD-FUSN-005</v>
      </c>
    </row>
    <row r="99" spans="1:40" s="572" customFormat="1" ht="15">
      <c r="A99" s="570" t="s">
        <v>395</v>
      </c>
      <c r="B99" s="573" t="s">
        <v>390</v>
      </c>
      <c r="C99" s="573" t="s">
        <v>287</v>
      </c>
      <c r="D99" s="578">
        <v>26</v>
      </c>
      <c r="E99" s="573" t="s">
        <v>151</v>
      </c>
      <c r="F99" s="573" t="s">
        <v>196</v>
      </c>
      <c r="G99" s="573" t="s">
        <v>271</v>
      </c>
      <c r="H99" s="573">
        <v>2019</v>
      </c>
      <c r="I99" s="573" t="s">
        <v>350</v>
      </c>
      <c r="J99" s="573" t="s">
        <v>330</v>
      </c>
      <c r="K99" s="573" t="s">
        <v>230</v>
      </c>
      <c r="L99" s="573">
        <v>5</v>
      </c>
      <c r="M99" s="573">
        <v>0</v>
      </c>
      <c r="N99" s="573" t="s">
        <v>157</v>
      </c>
      <c r="O99" s="573">
        <v>2</v>
      </c>
      <c r="P99" s="573" t="s">
        <v>157</v>
      </c>
      <c r="Q99" s="571" t="s">
        <v>157</v>
      </c>
      <c r="R99" s="573" t="s">
        <v>352</v>
      </c>
      <c r="S99" s="573">
        <v>4</v>
      </c>
      <c r="T99" s="573" t="s">
        <v>391</v>
      </c>
      <c r="U99" s="573" t="s">
        <v>394</v>
      </c>
      <c r="V99" s="573">
        <v>112.2</v>
      </c>
      <c r="W99" s="573">
        <v>17.5</v>
      </c>
      <c r="X99" s="571">
        <v>3681</v>
      </c>
      <c r="Y99" s="579">
        <v>23</v>
      </c>
      <c r="Z99" s="579" t="s">
        <v>178</v>
      </c>
      <c r="AA99" s="579" t="s">
        <v>178</v>
      </c>
      <c r="AB99" s="584">
        <v>28670</v>
      </c>
      <c r="AC99" s="584" t="s">
        <v>164</v>
      </c>
      <c r="AD99" s="584">
        <v>24327</v>
      </c>
      <c r="AE99" s="586">
        <v>0.05</v>
      </c>
      <c r="AF99" s="661" t="str">
        <f t="shared" si="7"/>
        <v>2019-PAS-FRD-FUSN-005-26</v>
      </c>
      <c r="AG99" s="661" t="str">
        <f>IF(AND($Y99&gt;=32,(AI99="I"),(Y99&lt;&gt;"~"),(COUNTIF($AN$1:$AN99,$AN99)=1)),"TRUE","FALSE")</f>
        <v>FALSE</v>
      </c>
      <c r="AH99" s="661" t="str">
        <f>IF(AND($Y99&gt;=22, (AI99&lt;&gt;"I"),(Y99&lt;&gt;"~"),(COUNTIF($AN$1:$AN99,$AN99)=1)),"TRUE","FALSE")</f>
        <v>FALSE</v>
      </c>
      <c r="AI99" s="661" t="str">
        <f t="shared" si="13"/>
        <v>I</v>
      </c>
      <c r="AJ99" s="662" t="str">
        <f t="shared" si="8"/>
        <v>FUSN-005</v>
      </c>
      <c r="AK99" s="662" t="str">
        <f t="shared" si="9"/>
        <v>PAS</v>
      </c>
      <c r="AL99" s="662" t="str">
        <f t="shared" si="10"/>
        <v>FRD</v>
      </c>
      <c r="AM99" s="662" t="str">
        <f t="shared" si="11"/>
        <v>Fusion-SE-AWD-5-~-~-2.0L-4-P0T-201A-112.2-17.5-Unleaded-Unleaded</v>
      </c>
      <c r="AN99" s="662" t="str">
        <f t="shared" si="12"/>
        <v>2019-PAS-FRD-FUSN-005</v>
      </c>
    </row>
    <row r="100" spans="1:40" s="572" customFormat="1" ht="15">
      <c r="A100" s="570" t="s">
        <v>396</v>
      </c>
      <c r="B100" s="569" t="s">
        <v>390</v>
      </c>
      <c r="C100" s="569" t="s">
        <v>280</v>
      </c>
      <c r="D100" s="580">
        <v>27</v>
      </c>
      <c r="E100" s="569" t="s">
        <v>151</v>
      </c>
      <c r="F100" s="569" t="s">
        <v>196</v>
      </c>
      <c r="G100" s="569" t="s">
        <v>271</v>
      </c>
      <c r="H100" s="569">
        <v>2019</v>
      </c>
      <c r="I100" s="569" t="s">
        <v>350</v>
      </c>
      <c r="J100" s="569" t="s">
        <v>330</v>
      </c>
      <c r="K100" s="569" t="s">
        <v>230</v>
      </c>
      <c r="L100" s="569">
        <v>5</v>
      </c>
      <c r="M100" s="569">
        <v>0</v>
      </c>
      <c r="N100" s="569" t="s">
        <v>157</v>
      </c>
      <c r="O100" s="569">
        <v>2</v>
      </c>
      <c r="P100" s="569" t="s">
        <v>157</v>
      </c>
      <c r="Q100" s="568" t="s">
        <v>157</v>
      </c>
      <c r="R100" s="569" t="s">
        <v>352</v>
      </c>
      <c r="S100" s="569">
        <v>4</v>
      </c>
      <c r="T100" s="569" t="s">
        <v>391</v>
      </c>
      <c r="U100" s="569" t="s">
        <v>392</v>
      </c>
      <c r="V100" s="569">
        <v>112.2</v>
      </c>
      <c r="W100" s="569">
        <v>18</v>
      </c>
      <c r="X100" s="568">
        <v>3681</v>
      </c>
      <c r="Y100" s="581">
        <v>23</v>
      </c>
      <c r="Z100" s="581" t="s">
        <v>178</v>
      </c>
      <c r="AA100" s="581" t="s">
        <v>178</v>
      </c>
      <c r="AB100" s="585">
        <v>27875</v>
      </c>
      <c r="AC100" s="585" t="s">
        <v>164</v>
      </c>
      <c r="AD100" s="585">
        <v>22893.9375</v>
      </c>
      <c r="AE100" s="587">
        <v>0.03</v>
      </c>
      <c r="AF100" s="661" t="str">
        <f t="shared" si="7"/>
        <v>2019-PAS-FRD-FUSN-005-27</v>
      </c>
      <c r="AG100" s="661" t="str">
        <f>IF(AND($Y100&gt;=32,(AI100="I"),(Y100&lt;&gt;"~"),(COUNTIF($AN$1:$AN100,$AN100)=1)),"TRUE","FALSE")</f>
        <v>FALSE</v>
      </c>
      <c r="AH100" s="661" t="str">
        <f>IF(AND($Y100&gt;=22, (AI100&lt;&gt;"I"),(Y100&lt;&gt;"~"),(COUNTIF($AN$1:$AN100,$AN100)=1)),"TRUE","FALSE")</f>
        <v>FALSE</v>
      </c>
      <c r="AI100" s="661" t="str">
        <f t="shared" si="13"/>
        <v>I</v>
      </c>
      <c r="AJ100" s="662" t="str">
        <f t="shared" si="8"/>
        <v>FUSN-005</v>
      </c>
      <c r="AK100" s="662" t="str">
        <f t="shared" si="9"/>
        <v>PAS</v>
      </c>
      <c r="AL100" s="662" t="str">
        <f t="shared" si="10"/>
        <v>FRD</v>
      </c>
      <c r="AM100" s="662" t="str">
        <f t="shared" si="11"/>
        <v>Fusion-SE-AWD-5-~-~-2.0L-4-P0T-150A-112.2-18-Unleaded-Unleaded</v>
      </c>
      <c r="AN100" s="662" t="str">
        <f t="shared" si="12"/>
        <v>2019-PAS-FRD-FUSN-005</v>
      </c>
    </row>
    <row r="101" spans="1:40" s="572" customFormat="1" ht="15">
      <c r="A101" s="570" t="s">
        <v>397</v>
      </c>
      <c r="B101" s="573" t="s">
        <v>398</v>
      </c>
      <c r="C101" s="573" t="s">
        <v>269</v>
      </c>
      <c r="D101" s="578" t="s">
        <v>270</v>
      </c>
      <c r="E101" s="573" t="s">
        <v>151</v>
      </c>
      <c r="F101" s="573" t="s">
        <v>196</v>
      </c>
      <c r="G101" s="573" t="s">
        <v>271</v>
      </c>
      <c r="H101" s="573">
        <v>2019</v>
      </c>
      <c r="I101" s="573" t="s">
        <v>350</v>
      </c>
      <c r="J101" s="573" t="s">
        <v>330</v>
      </c>
      <c r="K101" s="573" t="s">
        <v>156</v>
      </c>
      <c r="L101" s="573">
        <v>5</v>
      </c>
      <c r="M101" s="573">
        <v>0</v>
      </c>
      <c r="N101" s="573" t="s">
        <v>157</v>
      </c>
      <c r="O101" s="573">
        <v>2</v>
      </c>
      <c r="P101" s="573" t="s">
        <v>157</v>
      </c>
      <c r="Q101" s="571" t="s">
        <v>157</v>
      </c>
      <c r="R101" s="573" t="s">
        <v>399</v>
      </c>
      <c r="S101" s="573">
        <v>4</v>
      </c>
      <c r="T101" s="573" t="s">
        <v>400</v>
      </c>
      <c r="U101" s="573" t="s">
        <v>392</v>
      </c>
      <c r="V101" s="573">
        <v>112.2</v>
      </c>
      <c r="W101" s="573">
        <v>16.5</v>
      </c>
      <c r="X101" s="571">
        <v>3431</v>
      </c>
      <c r="Y101" s="579">
        <v>27</v>
      </c>
      <c r="Z101" s="579" t="s">
        <v>178</v>
      </c>
      <c r="AA101" s="579" t="s">
        <v>178</v>
      </c>
      <c r="AB101" s="584">
        <v>25015</v>
      </c>
      <c r="AC101" s="584" t="s">
        <v>164</v>
      </c>
      <c r="AD101" s="584">
        <v>19659.729166666668</v>
      </c>
      <c r="AE101" s="586">
        <v>0.03</v>
      </c>
      <c r="AF101" s="661" t="str">
        <f t="shared" si="7"/>
        <v>2019-PAS-FRD-FUSN-006-05</v>
      </c>
      <c r="AG101" s="661" t="str">
        <f>IF(AND($Y101&gt;=32,(AI101="I"),(Y101&lt;&gt;"~"),(COUNTIF($AN$1:$AN101,$AN101)=1)),"TRUE","FALSE")</f>
        <v>FALSE</v>
      </c>
      <c r="AH101" s="661" t="str">
        <f>IF(AND($Y101&gt;=22, (AI101&lt;&gt;"I"),(Y101&lt;&gt;"~"),(COUNTIF($AN$1:$AN101,$AN101)=1)),"TRUE","FALSE")</f>
        <v>FALSE</v>
      </c>
      <c r="AI101" s="661" t="str">
        <f t="shared" si="13"/>
        <v>I</v>
      </c>
      <c r="AJ101" s="662" t="str">
        <f t="shared" si="8"/>
        <v>FUSN-006</v>
      </c>
      <c r="AK101" s="662" t="str">
        <f t="shared" si="9"/>
        <v>PAS</v>
      </c>
      <c r="AL101" s="662" t="str">
        <f t="shared" si="10"/>
        <v>FRD</v>
      </c>
      <c r="AM101" s="662" t="str">
        <f t="shared" si="11"/>
        <v>Fusion-SE-FWD-5-~-~-1.5L w/start-stop-4-P0H-150A-112.2-16.5-Unleaded-Unleaded</v>
      </c>
      <c r="AN101" s="662" t="str">
        <f t="shared" si="12"/>
        <v>2019-PAS-FRD-FUSN-006</v>
      </c>
    </row>
    <row r="102" spans="1:40" s="572" customFormat="1" ht="15">
      <c r="A102" s="570" t="s">
        <v>401</v>
      </c>
      <c r="B102" s="569" t="s">
        <v>402</v>
      </c>
      <c r="C102" s="569" t="s">
        <v>269</v>
      </c>
      <c r="D102" s="580" t="s">
        <v>270</v>
      </c>
      <c r="E102" s="569" t="s">
        <v>151</v>
      </c>
      <c r="F102" s="569" t="s">
        <v>196</v>
      </c>
      <c r="G102" s="569" t="s">
        <v>271</v>
      </c>
      <c r="H102" s="569">
        <v>2019</v>
      </c>
      <c r="I102" s="569" t="s">
        <v>350</v>
      </c>
      <c r="J102" s="569" t="s">
        <v>330</v>
      </c>
      <c r="K102" s="569" t="s">
        <v>156</v>
      </c>
      <c r="L102" s="569">
        <v>5</v>
      </c>
      <c r="M102" s="569">
        <v>0</v>
      </c>
      <c r="N102" s="569" t="s">
        <v>157</v>
      </c>
      <c r="O102" s="569">
        <v>2</v>
      </c>
      <c r="P102" s="569" t="s">
        <v>157</v>
      </c>
      <c r="Q102" s="568" t="s">
        <v>157</v>
      </c>
      <c r="R102" s="569" t="s">
        <v>189</v>
      </c>
      <c r="S102" s="569">
        <v>4</v>
      </c>
      <c r="T102" s="569" t="s">
        <v>400</v>
      </c>
      <c r="U102" s="569" t="s">
        <v>392</v>
      </c>
      <c r="V102" s="569">
        <v>112.2</v>
      </c>
      <c r="W102" s="569">
        <v>16.5</v>
      </c>
      <c r="X102" s="568">
        <v>3431</v>
      </c>
      <c r="Y102" s="581">
        <v>25</v>
      </c>
      <c r="Z102" s="581" t="s">
        <v>178</v>
      </c>
      <c r="AA102" s="581" t="s">
        <v>178</v>
      </c>
      <c r="AB102" s="585">
        <v>25015</v>
      </c>
      <c r="AC102" s="585" t="s">
        <v>164</v>
      </c>
      <c r="AD102" s="585">
        <v>19659.729166666668</v>
      </c>
      <c r="AE102" s="587">
        <v>0.03</v>
      </c>
      <c r="AF102" s="661" t="str">
        <f t="shared" si="7"/>
        <v>2019-PAS-FRD-FUSN-010-05</v>
      </c>
      <c r="AG102" s="661" t="str">
        <f>IF(AND($Y102&gt;=32,(AI102="I"),(Y102&lt;&gt;"~"),(COUNTIF($AN$1:$AN102,$AN102)=1)),"TRUE","FALSE")</f>
        <v>FALSE</v>
      </c>
      <c r="AH102" s="661" t="str">
        <f>IF(AND($Y102&gt;=22, (AI102&lt;&gt;"I"),(Y102&lt;&gt;"~"),(COUNTIF($AN$1:$AN102,$AN102)=1)),"TRUE","FALSE")</f>
        <v>FALSE</v>
      </c>
      <c r="AI102" s="661" t="str">
        <f t="shared" si="13"/>
        <v>I</v>
      </c>
      <c r="AJ102" s="662" t="str">
        <f t="shared" si="8"/>
        <v>FUSN-010</v>
      </c>
      <c r="AK102" s="662" t="str">
        <f t="shared" si="9"/>
        <v>PAS</v>
      </c>
      <c r="AL102" s="662" t="str">
        <f t="shared" si="10"/>
        <v>FRD</v>
      </c>
      <c r="AM102" s="662" t="str">
        <f t="shared" si="11"/>
        <v>Fusion-SE-FWD-5-~-~-2.5L-4-P0H-150A-112.2-16.5-Unleaded-Unleaded</v>
      </c>
      <c r="AN102" s="662" t="str">
        <f t="shared" si="12"/>
        <v>2019-PAS-FRD-FUSN-010</v>
      </c>
    </row>
    <row r="103" spans="1:40" s="572" customFormat="1" ht="15">
      <c r="A103" s="570" t="s">
        <v>403</v>
      </c>
      <c r="B103" s="573" t="s">
        <v>398</v>
      </c>
      <c r="C103" s="573" t="s">
        <v>278</v>
      </c>
      <c r="D103" s="578">
        <v>15</v>
      </c>
      <c r="E103" s="573" t="s">
        <v>151</v>
      </c>
      <c r="F103" s="573" t="s">
        <v>196</v>
      </c>
      <c r="G103" s="573" t="s">
        <v>271</v>
      </c>
      <c r="H103" s="573">
        <v>2019</v>
      </c>
      <c r="I103" s="573" t="s">
        <v>350</v>
      </c>
      <c r="J103" s="573" t="s">
        <v>330</v>
      </c>
      <c r="K103" s="573" t="s">
        <v>156</v>
      </c>
      <c r="L103" s="573">
        <v>5</v>
      </c>
      <c r="M103" s="573">
        <v>0</v>
      </c>
      <c r="N103" s="573" t="s">
        <v>157</v>
      </c>
      <c r="O103" s="573">
        <v>2</v>
      </c>
      <c r="P103" s="573" t="s">
        <v>157</v>
      </c>
      <c r="Q103" s="571" t="s">
        <v>157</v>
      </c>
      <c r="R103" s="573" t="s">
        <v>399</v>
      </c>
      <c r="S103" s="573">
        <v>4</v>
      </c>
      <c r="T103" s="573" t="s">
        <v>400</v>
      </c>
      <c r="U103" s="573" t="s">
        <v>295</v>
      </c>
      <c r="V103" s="573">
        <v>112.2</v>
      </c>
      <c r="W103" s="573">
        <v>16.5</v>
      </c>
      <c r="X103" s="571">
        <v>3431</v>
      </c>
      <c r="Y103" s="579">
        <v>27</v>
      </c>
      <c r="Z103" s="579" t="s">
        <v>178</v>
      </c>
      <c r="AA103" s="579" t="s">
        <v>178</v>
      </c>
      <c r="AB103" s="584">
        <v>25015</v>
      </c>
      <c r="AC103" s="584" t="s">
        <v>164</v>
      </c>
      <c r="AD103" s="584">
        <v>19800</v>
      </c>
      <c r="AE103" s="586">
        <v>0.01</v>
      </c>
      <c r="AF103" s="661" t="str">
        <f t="shared" si="7"/>
        <v>2019-PAS-FRD-FUSN-006-15</v>
      </c>
      <c r="AG103" s="661" t="str">
        <f>IF(AND($Y103&gt;=32,(AI103="I"),(Y103&lt;&gt;"~"),(COUNTIF($AN$1:$AN103,$AN103)=1)),"TRUE","FALSE")</f>
        <v>FALSE</v>
      </c>
      <c r="AH103" s="661" t="str">
        <f>IF(AND($Y103&gt;=22, (AI103&lt;&gt;"I"),(Y103&lt;&gt;"~"),(COUNTIF($AN$1:$AN103,$AN103)=1)),"TRUE","FALSE")</f>
        <v>FALSE</v>
      </c>
      <c r="AI103" s="661" t="str">
        <f t="shared" si="13"/>
        <v>I</v>
      </c>
      <c r="AJ103" s="662" t="str">
        <f t="shared" si="8"/>
        <v>FUSN-006</v>
      </c>
      <c r="AK103" s="662" t="str">
        <f t="shared" si="9"/>
        <v>PAS</v>
      </c>
      <c r="AL103" s="662" t="str">
        <f t="shared" si="10"/>
        <v>FRD</v>
      </c>
      <c r="AM103" s="662" t="str">
        <f t="shared" si="11"/>
        <v>Fusion-SE-FWD-5-~-~-1.5L w/start-stop-4-P0H-200A-112.2-16.5-Unleaded-Unleaded</v>
      </c>
      <c r="AN103" s="662" t="str">
        <f t="shared" si="12"/>
        <v>2019-PAS-FRD-FUSN-006</v>
      </c>
    </row>
    <row r="104" spans="1:40" s="572" customFormat="1" ht="15">
      <c r="A104" s="570" t="s">
        <v>404</v>
      </c>
      <c r="B104" s="569" t="s">
        <v>398</v>
      </c>
      <c r="C104" s="569" t="s">
        <v>287</v>
      </c>
      <c r="D104" s="580">
        <v>26</v>
      </c>
      <c r="E104" s="569" t="s">
        <v>151</v>
      </c>
      <c r="F104" s="569" t="s">
        <v>196</v>
      </c>
      <c r="G104" s="569" t="s">
        <v>271</v>
      </c>
      <c r="H104" s="569">
        <v>2019</v>
      </c>
      <c r="I104" s="569" t="s">
        <v>350</v>
      </c>
      <c r="J104" s="569" t="s">
        <v>330</v>
      </c>
      <c r="K104" s="569" t="s">
        <v>156</v>
      </c>
      <c r="L104" s="569">
        <v>5</v>
      </c>
      <c r="M104" s="569">
        <v>0</v>
      </c>
      <c r="N104" s="569" t="s">
        <v>157</v>
      </c>
      <c r="O104" s="569">
        <v>2</v>
      </c>
      <c r="P104" s="569" t="s">
        <v>157</v>
      </c>
      <c r="Q104" s="568" t="s">
        <v>157</v>
      </c>
      <c r="R104" s="569" t="s">
        <v>399</v>
      </c>
      <c r="S104" s="569">
        <v>4</v>
      </c>
      <c r="T104" s="569" t="s">
        <v>400</v>
      </c>
      <c r="U104" s="569" t="s">
        <v>295</v>
      </c>
      <c r="V104" s="569">
        <v>112.2</v>
      </c>
      <c r="W104" s="569">
        <v>16.5</v>
      </c>
      <c r="X104" s="568">
        <v>3431</v>
      </c>
      <c r="Y104" s="581">
        <v>27</v>
      </c>
      <c r="Z104" s="581" t="s">
        <v>178</v>
      </c>
      <c r="AA104" s="581" t="s">
        <v>178</v>
      </c>
      <c r="AB104" s="585">
        <v>25015</v>
      </c>
      <c r="AC104" s="585" t="s">
        <v>164</v>
      </c>
      <c r="AD104" s="585">
        <v>20260</v>
      </c>
      <c r="AE104" s="587">
        <v>0.05</v>
      </c>
      <c r="AF104" s="661" t="str">
        <f t="shared" si="7"/>
        <v>2019-PAS-FRD-FUSN-006-26</v>
      </c>
      <c r="AG104" s="661" t="str">
        <f>IF(AND($Y104&gt;=32,(AI104="I"),(Y104&lt;&gt;"~"),(COUNTIF($AN$1:$AN104,$AN104)=1)),"TRUE","FALSE")</f>
        <v>FALSE</v>
      </c>
      <c r="AH104" s="661" t="str">
        <f>IF(AND($Y104&gt;=22, (AI104&lt;&gt;"I"),(Y104&lt;&gt;"~"),(COUNTIF($AN$1:$AN104,$AN104)=1)),"TRUE","FALSE")</f>
        <v>FALSE</v>
      </c>
      <c r="AI104" s="661" t="str">
        <f t="shared" si="13"/>
        <v>I</v>
      </c>
      <c r="AJ104" s="662" t="str">
        <f t="shared" si="8"/>
        <v>FUSN-006</v>
      </c>
      <c r="AK104" s="662" t="str">
        <f t="shared" si="9"/>
        <v>PAS</v>
      </c>
      <c r="AL104" s="662" t="str">
        <f t="shared" si="10"/>
        <v>FRD</v>
      </c>
      <c r="AM104" s="662" t="str">
        <f t="shared" si="11"/>
        <v>Fusion-SE-FWD-5-~-~-1.5L w/start-stop-4-P0H-200A-112.2-16.5-Unleaded-Unleaded</v>
      </c>
      <c r="AN104" s="662" t="str">
        <f t="shared" si="12"/>
        <v>2019-PAS-FRD-FUSN-006</v>
      </c>
    </row>
    <row r="105" spans="1:40" s="572" customFormat="1" ht="15">
      <c r="A105" s="570" t="s">
        <v>405</v>
      </c>
      <c r="B105" s="573" t="s">
        <v>398</v>
      </c>
      <c r="C105" s="573" t="s">
        <v>280</v>
      </c>
      <c r="D105" s="578">
        <v>27</v>
      </c>
      <c r="E105" s="573" t="s">
        <v>151</v>
      </c>
      <c r="F105" s="573" t="s">
        <v>196</v>
      </c>
      <c r="G105" s="573" t="s">
        <v>271</v>
      </c>
      <c r="H105" s="573">
        <v>2019</v>
      </c>
      <c r="I105" s="573" t="s">
        <v>350</v>
      </c>
      <c r="J105" s="573" t="s">
        <v>330</v>
      </c>
      <c r="K105" s="573" t="s">
        <v>156</v>
      </c>
      <c r="L105" s="573">
        <v>5</v>
      </c>
      <c r="M105" s="573">
        <v>0</v>
      </c>
      <c r="N105" s="573" t="s">
        <v>157</v>
      </c>
      <c r="O105" s="573">
        <v>2</v>
      </c>
      <c r="P105" s="573" t="s">
        <v>157</v>
      </c>
      <c r="Q105" s="571" t="s">
        <v>157</v>
      </c>
      <c r="R105" s="573" t="s">
        <v>399</v>
      </c>
      <c r="S105" s="573">
        <v>4</v>
      </c>
      <c r="T105" s="573" t="s">
        <v>400</v>
      </c>
      <c r="U105" s="573" t="s">
        <v>392</v>
      </c>
      <c r="V105" s="573">
        <v>112.2</v>
      </c>
      <c r="W105" s="573">
        <v>16.5</v>
      </c>
      <c r="X105" s="571">
        <v>3431</v>
      </c>
      <c r="Y105" s="579">
        <v>27</v>
      </c>
      <c r="Z105" s="579" t="s">
        <v>178</v>
      </c>
      <c r="AA105" s="579" t="s">
        <v>178</v>
      </c>
      <c r="AB105" s="584">
        <v>25015</v>
      </c>
      <c r="AC105" s="584" t="s">
        <v>164</v>
      </c>
      <c r="AD105" s="584">
        <v>19659.729166666668</v>
      </c>
      <c r="AE105" s="586">
        <v>0.03</v>
      </c>
      <c r="AF105" s="661" t="str">
        <f t="shared" si="7"/>
        <v>2019-PAS-FRD-FUSN-006-27</v>
      </c>
      <c r="AG105" s="661" t="str">
        <f>IF(AND($Y105&gt;=32,(AI105="I"),(Y105&lt;&gt;"~"),(COUNTIF($AN$1:$AN105,$AN105)=1)),"TRUE","FALSE")</f>
        <v>FALSE</v>
      </c>
      <c r="AH105" s="661" t="str">
        <f>IF(AND($Y105&gt;=22, (AI105&lt;&gt;"I"),(Y105&lt;&gt;"~"),(COUNTIF($AN$1:$AN105,$AN105)=1)),"TRUE","FALSE")</f>
        <v>FALSE</v>
      </c>
      <c r="AI105" s="661" t="str">
        <f t="shared" si="13"/>
        <v>I</v>
      </c>
      <c r="AJ105" s="662" t="str">
        <f t="shared" si="8"/>
        <v>FUSN-006</v>
      </c>
      <c r="AK105" s="662" t="str">
        <f t="shared" si="9"/>
        <v>PAS</v>
      </c>
      <c r="AL105" s="662" t="str">
        <f t="shared" si="10"/>
        <v>FRD</v>
      </c>
      <c r="AM105" s="662" t="str">
        <f t="shared" si="11"/>
        <v>Fusion-SE-FWD-5-~-~-1.5L w/start-stop-4-P0H-150A-112.2-16.5-Unleaded-Unleaded</v>
      </c>
      <c r="AN105" s="662" t="str">
        <f t="shared" si="12"/>
        <v>2019-PAS-FRD-FUSN-006</v>
      </c>
    </row>
    <row r="106" spans="1:40" s="572" customFormat="1" ht="15">
      <c r="A106" s="570" t="s">
        <v>406</v>
      </c>
      <c r="B106" s="569" t="s">
        <v>402</v>
      </c>
      <c r="C106" s="569" t="s">
        <v>280</v>
      </c>
      <c r="D106" s="580">
        <v>27</v>
      </c>
      <c r="E106" s="569" t="s">
        <v>151</v>
      </c>
      <c r="F106" s="569" t="s">
        <v>196</v>
      </c>
      <c r="G106" s="569" t="s">
        <v>271</v>
      </c>
      <c r="H106" s="569">
        <v>2019</v>
      </c>
      <c r="I106" s="569" t="s">
        <v>350</v>
      </c>
      <c r="J106" s="569" t="s">
        <v>330</v>
      </c>
      <c r="K106" s="569" t="s">
        <v>156</v>
      </c>
      <c r="L106" s="569">
        <v>5</v>
      </c>
      <c r="M106" s="569">
        <v>0</v>
      </c>
      <c r="N106" s="569" t="s">
        <v>157</v>
      </c>
      <c r="O106" s="569">
        <v>2</v>
      </c>
      <c r="P106" s="569" t="s">
        <v>157</v>
      </c>
      <c r="Q106" s="568" t="s">
        <v>157</v>
      </c>
      <c r="R106" s="569" t="s">
        <v>189</v>
      </c>
      <c r="S106" s="569">
        <v>4</v>
      </c>
      <c r="T106" s="569" t="s">
        <v>400</v>
      </c>
      <c r="U106" s="569" t="s">
        <v>392</v>
      </c>
      <c r="V106" s="569">
        <v>112.2</v>
      </c>
      <c r="W106" s="569">
        <v>16.5</v>
      </c>
      <c r="X106" s="568">
        <v>3431</v>
      </c>
      <c r="Y106" s="581">
        <v>25</v>
      </c>
      <c r="Z106" s="581" t="s">
        <v>178</v>
      </c>
      <c r="AA106" s="581" t="s">
        <v>178</v>
      </c>
      <c r="AB106" s="585">
        <v>25015</v>
      </c>
      <c r="AC106" s="585" t="s">
        <v>164</v>
      </c>
      <c r="AD106" s="585">
        <v>19659.729166666668</v>
      </c>
      <c r="AE106" s="587">
        <v>0.03</v>
      </c>
      <c r="AF106" s="661" t="str">
        <f t="shared" si="7"/>
        <v>2019-PAS-FRD-FUSN-010-27</v>
      </c>
      <c r="AG106" s="661" t="str">
        <f>IF(AND($Y106&gt;=32,(AI106="I"),(Y106&lt;&gt;"~"),(COUNTIF($AN$1:$AN106,$AN106)=1)),"TRUE","FALSE")</f>
        <v>FALSE</v>
      </c>
      <c r="AH106" s="661" t="str">
        <f>IF(AND($Y106&gt;=22, (AI106&lt;&gt;"I"),(Y106&lt;&gt;"~"),(COUNTIF($AN$1:$AN106,$AN106)=1)),"TRUE","FALSE")</f>
        <v>FALSE</v>
      </c>
      <c r="AI106" s="661" t="str">
        <f t="shared" si="13"/>
        <v>I</v>
      </c>
      <c r="AJ106" s="662" t="str">
        <f t="shared" si="8"/>
        <v>FUSN-010</v>
      </c>
      <c r="AK106" s="662" t="str">
        <f t="shared" si="9"/>
        <v>PAS</v>
      </c>
      <c r="AL106" s="662" t="str">
        <f t="shared" si="10"/>
        <v>FRD</v>
      </c>
      <c r="AM106" s="662" t="str">
        <f t="shared" si="11"/>
        <v>Fusion-SE-FWD-5-~-~-2.5L-4-P0H-150A-112.2-16.5-Unleaded-Unleaded</v>
      </c>
      <c r="AN106" s="662" t="str">
        <f t="shared" si="12"/>
        <v>2019-PAS-FRD-FUSN-010</v>
      </c>
    </row>
    <row r="107" spans="1:40" s="572" customFormat="1" ht="15">
      <c r="A107" s="570" t="s">
        <v>407</v>
      </c>
      <c r="B107" s="573" t="s">
        <v>408</v>
      </c>
      <c r="C107" s="573" t="s">
        <v>269</v>
      </c>
      <c r="D107" s="578" t="s">
        <v>270</v>
      </c>
      <c r="E107" s="573" t="s">
        <v>151</v>
      </c>
      <c r="F107" s="573" t="s">
        <v>196</v>
      </c>
      <c r="G107" s="573" t="s">
        <v>271</v>
      </c>
      <c r="H107" s="573">
        <v>2019</v>
      </c>
      <c r="I107" s="573" t="s">
        <v>350</v>
      </c>
      <c r="J107" s="573" t="s">
        <v>409</v>
      </c>
      <c r="K107" s="573" t="s">
        <v>156</v>
      </c>
      <c r="L107" s="573">
        <v>5</v>
      </c>
      <c r="M107" s="573">
        <v>0</v>
      </c>
      <c r="N107" s="573" t="s">
        <v>157</v>
      </c>
      <c r="O107" s="573">
        <v>2</v>
      </c>
      <c r="P107" s="573" t="s">
        <v>157</v>
      </c>
      <c r="Q107" s="571" t="s">
        <v>157</v>
      </c>
      <c r="R107" s="573" t="s">
        <v>410</v>
      </c>
      <c r="S107" s="573">
        <v>4</v>
      </c>
      <c r="T107" s="573" t="s">
        <v>411</v>
      </c>
      <c r="U107" s="573" t="s">
        <v>310</v>
      </c>
      <c r="V107" s="573">
        <v>112.2</v>
      </c>
      <c r="W107" s="573">
        <v>17.5</v>
      </c>
      <c r="X107" s="571">
        <v>3431</v>
      </c>
      <c r="Y107" s="579">
        <v>27</v>
      </c>
      <c r="Z107" s="579" t="s">
        <v>178</v>
      </c>
      <c r="AA107" s="579" t="s">
        <v>178</v>
      </c>
      <c r="AB107" s="584">
        <v>40910</v>
      </c>
      <c r="AC107" s="584" t="s">
        <v>164</v>
      </c>
      <c r="AD107" s="584">
        <v>34813.895833333328</v>
      </c>
      <c r="AE107" s="586">
        <v>0.03</v>
      </c>
      <c r="AF107" s="661" t="str">
        <f t="shared" si="7"/>
        <v>2019-PAS-FRD-FUSN-019-05</v>
      </c>
      <c r="AG107" s="661" t="str">
        <f>IF(AND($Y107&gt;=32,(AI107="I"),(Y107&lt;&gt;"~"),(COUNTIF($AN$1:$AN107,$AN107)=1)),"TRUE","FALSE")</f>
        <v>FALSE</v>
      </c>
      <c r="AH107" s="661" t="str">
        <f>IF(AND($Y107&gt;=22, (AI107&lt;&gt;"I"),(Y107&lt;&gt;"~"),(COUNTIF($AN$1:$AN107,$AN107)=1)),"TRUE","FALSE")</f>
        <v>FALSE</v>
      </c>
      <c r="AI107" s="661" t="str">
        <f t="shared" si="13"/>
        <v>I</v>
      </c>
      <c r="AJ107" s="662" t="str">
        <f t="shared" si="8"/>
        <v>FUSN-019</v>
      </c>
      <c r="AK107" s="662" t="str">
        <f t="shared" si="9"/>
        <v>PAS</v>
      </c>
      <c r="AL107" s="662" t="str">
        <f t="shared" si="10"/>
        <v>FRD</v>
      </c>
      <c r="AM107" s="662" t="str">
        <f t="shared" si="11"/>
        <v>Fusion-Sport-FWD-5-~-~-2.7L Ecoboost-4-P0V-400A-112.2-17.5-Unleaded-Unleaded</v>
      </c>
      <c r="AN107" s="662" t="str">
        <f t="shared" si="12"/>
        <v>2019-PAS-FRD-FUSN-019</v>
      </c>
    </row>
    <row r="108" spans="1:40" s="572" customFormat="1" ht="15">
      <c r="A108" s="570" t="s">
        <v>412</v>
      </c>
      <c r="B108" s="569" t="s">
        <v>413</v>
      </c>
      <c r="C108" s="569" t="s">
        <v>278</v>
      </c>
      <c r="D108" s="580">
        <v>15</v>
      </c>
      <c r="E108" s="569" t="s">
        <v>151</v>
      </c>
      <c r="F108" s="569" t="s">
        <v>196</v>
      </c>
      <c r="G108" s="569" t="s">
        <v>271</v>
      </c>
      <c r="H108" s="569">
        <v>2019</v>
      </c>
      <c r="I108" s="569" t="s">
        <v>350</v>
      </c>
      <c r="J108" s="569" t="s">
        <v>409</v>
      </c>
      <c r="K108" s="569" t="s">
        <v>156</v>
      </c>
      <c r="L108" s="569">
        <v>5</v>
      </c>
      <c r="M108" s="569">
        <v>0</v>
      </c>
      <c r="N108" s="569" t="s">
        <v>157</v>
      </c>
      <c r="O108" s="569">
        <v>2</v>
      </c>
      <c r="P108" s="569" t="s">
        <v>157</v>
      </c>
      <c r="Q108" s="568" t="s">
        <v>157</v>
      </c>
      <c r="R108" s="569" t="s">
        <v>352</v>
      </c>
      <c r="S108" s="569">
        <v>4</v>
      </c>
      <c r="T108" s="569" t="s">
        <v>411</v>
      </c>
      <c r="U108" s="569" t="s">
        <v>310</v>
      </c>
      <c r="V108" s="569">
        <v>112.2</v>
      </c>
      <c r="W108" s="569">
        <v>17.5</v>
      </c>
      <c r="X108" s="568">
        <v>3431</v>
      </c>
      <c r="Y108" s="581">
        <v>27</v>
      </c>
      <c r="Z108" s="581" t="s">
        <v>178</v>
      </c>
      <c r="AA108" s="581" t="s">
        <v>178</v>
      </c>
      <c r="AB108" s="585">
        <v>40910</v>
      </c>
      <c r="AC108" s="585" t="s">
        <v>164</v>
      </c>
      <c r="AD108" s="585">
        <v>35288</v>
      </c>
      <c r="AE108" s="587">
        <v>0.01</v>
      </c>
      <c r="AF108" s="661" t="str">
        <f t="shared" si="7"/>
        <v>2019-PAS-FRD-FUSN-012-15</v>
      </c>
      <c r="AG108" s="661" t="str">
        <f>IF(AND($Y108&gt;=32,(AI108="I"),(Y108&lt;&gt;"~"),(COUNTIF($AN$1:$AN108,$AN108)=1)),"TRUE","FALSE")</f>
        <v>FALSE</v>
      </c>
      <c r="AH108" s="661" t="str">
        <f>IF(AND($Y108&gt;=22, (AI108&lt;&gt;"I"),(Y108&lt;&gt;"~"),(COUNTIF($AN$1:$AN108,$AN108)=1)),"TRUE","FALSE")</f>
        <v>FALSE</v>
      </c>
      <c r="AI108" s="661" t="str">
        <f t="shared" si="13"/>
        <v>I</v>
      </c>
      <c r="AJ108" s="662" t="str">
        <f t="shared" si="8"/>
        <v>FUSN-012</v>
      </c>
      <c r="AK108" s="662" t="str">
        <f t="shared" si="9"/>
        <v>PAS</v>
      </c>
      <c r="AL108" s="662" t="str">
        <f t="shared" si="10"/>
        <v>FRD</v>
      </c>
      <c r="AM108" s="662" t="str">
        <f t="shared" si="11"/>
        <v>Fusion-Sport-FWD-5-~-~-2.0L-4-P0V-400A-112.2-17.5-Unleaded-Unleaded</v>
      </c>
      <c r="AN108" s="662" t="str">
        <f t="shared" si="12"/>
        <v>2019-PAS-FRD-FUSN-012</v>
      </c>
    </row>
    <row r="109" spans="1:40" s="572" customFormat="1" ht="15">
      <c r="A109" s="570" t="s">
        <v>414</v>
      </c>
      <c r="B109" s="573" t="s">
        <v>413</v>
      </c>
      <c r="C109" s="573" t="s">
        <v>287</v>
      </c>
      <c r="D109" s="578">
        <v>26</v>
      </c>
      <c r="E109" s="573" t="s">
        <v>151</v>
      </c>
      <c r="F109" s="573" t="s">
        <v>196</v>
      </c>
      <c r="G109" s="573" t="s">
        <v>271</v>
      </c>
      <c r="H109" s="573">
        <v>2019</v>
      </c>
      <c r="I109" s="573" t="s">
        <v>350</v>
      </c>
      <c r="J109" s="573" t="s">
        <v>409</v>
      </c>
      <c r="K109" s="573" t="s">
        <v>156</v>
      </c>
      <c r="L109" s="573">
        <v>5</v>
      </c>
      <c r="M109" s="573">
        <v>0</v>
      </c>
      <c r="N109" s="573" t="s">
        <v>157</v>
      </c>
      <c r="O109" s="573">
        <v>2</v>
      </c>
      <c r="P109" s="573" t="s">
        <v>157</v>
      </c>
      <c r="Q109" s="571" t="s">
        <v>157</v>
      </c>
      <c r="R109" s="573" t="s">
        <v>352</v>
      </c>
      <c r="S109" s="573">
        <v>4</v>
      </c>
      <c r="T109" s="573" t="s">
        <v>411</v>
      </c>
      <c r="U109" s="573" t="s">
        <v>310</v>
      </c>
      <c r="V109" s="573">
        <v>112.2</v>
      </c>
      <c r="W109" s="573">
        <v>17.5</v>
      </c>
      <c r="X109" s="571">
        <v>3431</v>
      </c>
      <c r="Y109" s="579">
        <v>27</v>
      </c>
      <c r="Z109" s="579" t="s">
        <v>178</v>
      </c>
      <c r="AA109" s="579" t="s">
        <v>178</v>
      </c>
      <c r="AB109" s="584">
        <v>40910</v>
      </c>
      <c r="AC109" s="584" t="s">
        <v>164</v>
      </c>
      <c r="AD109" s="584">
        <v>35804</v>
      </c>
      <c r="AE109" s="586">
        <v>0.05</v>
      </c>
      <c r="AF109" s="661" t="str">
        <f t="shared" si="7"/>
        <v>2019-PAS-FRD-FUSN-012-26</v>
      </c>
      <c r="AG109" s="661" t="str">
        <f>IF(AND($Y109&gt;=32,(AI109="I"),(Y109&lt;&gt;"~"),(COUNTIF($AN$1:$AN109,$AN109)=1)),"TRUE","FALSE")</f>
        <v>FALSE</v>
      </c>
      <c r="AH109" s="661" t="str">
        <f>IF(AND($Y109&gt;=22, (AI109&lt;&gt;"I"),(Y109&lt;&gt;"~"),(COUNTIF($AN$1:$AN109,$AN109)=1)),"TRUE","FALSE")</f>
        <v>FALSE</v>
      </c>
      <c r="AI109" s="661" t="str">
        <f t="shared" si="13"/>
        <v>I</v>
      </c>
      <c r="AJ109" s="662" t="str">
        <f t="shared" si="8"/>
        <v>FUSN-012</v>
      </c>
      <c r="AK109" s="662" t="str">
        <f t="shared" si="9"/>
        <v>PAS</v>
      </c>
      <c r="AL109" s="662" t="str">
        <f t="shared" si="10"/>
        <v>FRD</v>
      </c>
      <c r="AM109" s="662" t="str">
        <f t="shared" si="11"/>
        <v>Fusion-Sport-FWD-5-~-~-2.0L-4-P0V-400A-112.2-17.5-Unleaded-Unleaded</v>
      </c>
      <c r="AN109" s="662" t="str">
        <f t="shared" si="12"/>
        <v>2019-PAS-FRD-FUSN-012</v>
      </c>
    </row>
    <row r="110" spans="1:40" s="572" customFormat="1" ht="15">
      <c r="A110" s="570" t="s">
        <v>415</v>
      </c>
      <c r="B110" s="569" t="s">
        <v>408</v>
      </c>
      <c r="C110" s="569" t="s">
        <v>280</v>
      </c>
      <c r="D110" s="580">
        <v>27</v>
      </c>
      <c r="E110" s="569" t="s">
        <v>151</v>
      </c>
      <c r="F110" s="569" t="s">
        <v>196</v>
      </c>
      <c r="G110" s="569" t="s">
        <v>271</v>
      </c>
      <c r="H110" s="569">
        <v>2019</v>
      </c>
      <c r="I110" s="569" t="s">
        <v>350</v>
      </c>
      <c r="J110" s="569" t="s">
        <v>409</v>
      </c>
      <c r="K110" s="569" t="s">
        <v>156</v>
      </c>
      <c r="L110" s="569">
        <v>5</v>
      </c>
      <c r="M110" s="569">
        <v>0</v>
      </c>
      <c r="N110" s="569" t="s">
        <v>157</v>
      </c>
      <c r="O110" s="569">
        <v>2</v>
      </c>
      <c r="P110" s="569" t="s">
        <v>157</v>
      </c>
      <c r="Q110" s="568" t="s">
        <v>157</v>
      </c>
      <c r="R110" s="569" t="s">
        <v>410</v>
      </c>
      <c r="S110" s="569">
        <v>4</v>
      </c>
      <c r="T110" s="569" t="s">
        <v>411</v>
      </c>
      <c r="U110" s="569" t="s">
        <v>310</v>
      </c>
      <c r="V110" s="569">
        <v>112.2</v>
      </c>
      <c r="W110" s="569">
        <v>17.5</v>
      </c>
      <c r="X110" s="568">
        <v>3431</v>
      </c>
      <c r="Y110" s="581">
        <v>27</v>
      </c>
      <c r="Z110" s="581" t="s">
        <v>178</v>
      </c>
      <c r="AA110" s="581" t="s">
        <v>178</v>
      </c>
      <c r="AB110" s="585">
        <v>40910</v>
      </c>
      <c r="AC110" s="585" t="s">
        <v>164</v>
      </c>
      <c r="AD110" s="585">
        <v>34813.895833333328</v>
      </c>
      <c r="AE110" s="587">
        <v>0.03</v>
      </c>
      <c r="AF110" s="661" t="str">
        <f t="shared" si="7"/>
        <v>2019-PAS-FRD-FUSN-019-27</v>
      </c>
      <c r="AG110" s="661" t="str">
        <f>IF(AND($Y110&gt;=32,(AI110="I"),(Y110&lt;&gt;"~"),(COUNTIF($AN$1:$AN110,$AN110)=1)),"TRUE","FALSE")</f>
        <v>FALSE</v>
      </c>
      <c r="AH110" s="661" t="str">
        <f>IF(AND($Y110&gt;=22, (AI110&lt;&gt;"I"),(Y110&lt;&gt;"~"),(COUNTIF($AN$1:$AN110,$AN110)=1)),"TRUE","FALSE")</f>
        <v>FALSE</v>
      </c>
      <c r="AI110" s="661" t="str">
        <f t="shared" si="13"/>
        <v>I</v>
      </c>
      <c r="AJ110" s="662" t="str">
        <f t="shared" si="8"/>
        <v>FUSN-019</v>
      </c>
      <c r="AK110" s="662" t="str">
        <f t="shared" si="9"/>
        <v>PAS</v>
      </c>
      <c r="AL110" s="662" t="str">
        <f t="shared" si="10"/>
        <v>FRD</v>
      </c>
      <c r="AM110" s="662" t="str">
        <f t="shared" si="11"/>
        <v>Fusion-Sport-FWD-5-~-~-2.7L Ecoboost-4-P0V-400A-112.2-17.5-Unleaded-Unleaded</v>
      </c>
      <c r="AN110" s="662" t="str">
        <f t="shared" si="12"/>
        <v>2019-PAS-FRD-FUSN-019</v>
      </c>
    </row>
    <row r="111" spans="1:40" s="572" customFormat="1" ht="15">
      <c r="A111" s="570" t="s">
        <v>416</v>
      </c>
      <c r="B111" s="573" t="s">
        <v>417</v>
      </c>
      <c r="C111" s="573" t="s">
        <v>269</v>
      </c>
      <c r="D111" s="578" t="s">
        <v>270</v>
      </c>
      <c r="E111" s="573" t="s">
        <v>151</v>
      </c>
      <c r="F111" s="573" t="s">
        <v>196</v>
      </c>
      <c r="G111" s="573" t="s">
        <v>271</v>
      </c>
      <c r="H111" s="573">
        <v>2019</v>
      </c>
      <c r="I111" s="573" t="s">
        <v>350</v>
      </c>
      <c r="J111" s="573" t="s">
        <v>418</v>
      </c>
      <c r="K111" s="573" t="s">
        <v>230</v>
      </c>
      <c r="L111" s="573">
        <v>5</v>
      </c>
      <c r="M111" s="573">
        <v>0</v>
      </c>
      <c r="N111" s="573" t="s">
        <v>157</v>
      </c>
      <c r="O111" s="573">
        <v>2</v>
      </c>
      <c r="P111" s="573" t="s">
        <v>157</v>
      </c>
      <c r="Q111" s="571" t="s">
        <v>157</v>
      </c>
      <c r="R111" s="573" t="s">
        <v>352</v>
      </c>
      <c r="S111" s="573">
        <v>4</v>
      </c>
      <c r="T111" s="573" t="s">
        <v>419</v>
      </c>
      <c r="U111" s="573" t="s">
        <v>420</v>
      </c>
      <c r="V111" s="573">
        <v>112.2</v>
      </c>
      <c r="W111" s="573">
        <v>16.5</v>
      </c>
      <c r="X111" s="571">
        <v>3681</v>
      </c>
      <c r="Y111" s="579">
        <v>23</v>
      </c>
      <c r="Z111" s="579" t="s">
        <v>178</v>
      </c>
      <c r="AA111" s="579" t="s">
        <v>178</v>
      </c>
      <c r="AB111" s="584">
        <v>37235</v>
      </c>
      <c r="AC111" s="584" t="s">
        <v>164</v>
      </c>
      <c r="AD111" s="584">
        <v>31246.187499999996</v>
      </c>
      <c r="AE111" s="586">
        <v>0.03</v>
      </c>
      <c r="AF111" s="661" t="str">
        <f t="shared" si="7"/>
        <v>2019-PAS-FRD-FUSN-013-05</v>
      </c>
      <c r="AG111" s="661" t="str">
        <f>IF(AND($Y111&gt;=32,(AI111="I"),(Y111&lt;&gt;"~"),(COUNTIF($AN$1:$AN111,$AN111)=1)),"TRUE","FALSE")</f>
        <v>FALSE</v>
      </c>
      <c r="AH111" s="661" t="str">
        <f>IF(AND($Y111&gt;=22, (AI111&lt;&gt;"I"),(Y111&lt;&gt;"~"),(COUNTIF($AN$1:$AN111,$AN111)=1)),"TRUE","FALSE")</f>
        <v>FALSE</v>
      </c>
      <c r="AI111" s="661" t="str">
        <f t="shared" si="13"/>
        <v>I</v>
      </c>
      <c r="AJ111" s="662" t="str">
        <f t="shared" si="8"/>
        <v>FUSN-013</v>
      </c>
      <c r="AK111" s="662" t="str">
        <f t="shared" si="9"/>
        <v>PAS</v>
      </c>
      <c r="AL111" s="662" t="str">
        <f t="shared" si="10"/>
        <v>FRD</v>
      </c>
      <c r="AM111" s="662" t="str">
        <f t="shared" si="11"/>
        <v>Fusion-Titanium-AWD-5-~-~-2.0L-4-P0D-250A-112.2-16.5-Unleaded-Unleaded</v>
      </c>
      <c r="AN111" s="662" t="str">
        <f t="shared" si="12"/>
        <v>2019-PAS-FRD-FUSN-013</v>
      </c>
    </row>
    <row r="112" spans="1:40" s="572" customFormat="1" ht="15">
      <c r="A112" s="570" t="s">
        <v>421</v>
      </c>
      <c r="B112" s="569" t="s">
        <v>417</v>
      </c>
      <c r="C112" s="569" t="s">
        <v>278</v>
      </c>
      <c r="D112" s="580">
        <v>15</v>
      </c>
      <c r="E112" s="569" t="s">
        <v>151</v>
      </c>
      <c r="F112" s="569" t="s">
        <v>196</v>
      </c>
      <c r="G112" s="569" t="s">
        <v>271</v>
      </c>
      <c r="H112" s="569">
        <v>2019</v>
      </c>
      <c r="I112" s="569" t="s">
        <v>350</v>
      </c>
      <c r="J112" s="569" t="s">
        <v>418</v>
      </c>
      <c r="K112" s="569" t="s">
        <v>230</v>
      </c>
      <c r="L112" s="569">
        <v>5</v>
      </c>
      <c r="M112" s="569">
        <v>0</v>
      </c>
      <c r="N112" s="569" t="s">
        <v>157</v>
      </c>
      <c r="O112" s="569">
        <v>2</v>
      </c>
      <c r="P112" s="569" t="s">
        <v>157</v>
      </c>
      <c r="Q112" s="568" t="s">
        <v>157</v>
      </c>
      <c r="R112" s="569" t="s">
        <v>352</v>
      </c>
      <c r="S112" s="569">
        <v>4</v>
      </c>
      <c r="T112" s="569" t="s">
        <v>419</v>
      </c>
      <c r="U112" s="569" t="s">
        <v>318</v>
      </c>
      <c r="V112" s="569">
        <v>112.2</v>
      </c>
      <c r="W112" s="569">
        <v>16.5</v>
      </c>
      <c r="X112" s="568">
        <v>3681</v>
      </c>
      <c r="Y112" s="581">
        <v>23</v>
      </c>
      <c r="Z112" s="581" t="s">
        <v>178</v>
      </c>
      <c r="AA112" s="581" t="s">
        <v>178</v>
      </c>
      <c r="AB112" s="585">
        <v>37235</v>
      </c>
      <c r="AC112" s="585" t="s">
        <v>164</v>
      </c>
      <c r="AD112" s="585">
        <v>31645</v>
      </c>
      <c r="AE112" s="587">
        <v>0.01</v>
      </c>
      <c r="AF112" s="661" t="str">
        <f t="shared" si="7"/>
        <v>2019-PAS-FRD-FUSN-013-15</v>
      </c>
      <c r="AG112" s="661" t="str">
        <f>IF(AND($Y112&gt;=32,(AI112="I"),(Y112&lt;&gt;"~"),(COUNTIF($AN$1:$AN112,$AN112)=1)),"TRUE","FALSE")</f>
        <v>FALSE</v>
      </c>
      <c r="AH112" s="661" t="str">
        <f>IF(AND($Y112&gt;=22, (AI112&lt;&gt;"I"),(Y112&lt;&gt;"~"),(COUNTIF($AN$1:$AN112,$AN112)=1)),"TRUE","FALSE")</f>
        <v>FALSE</v>
      </c>
      <c r="AI112" s="661" t="str">
        <f t="shared" si="13"/>
        <v>I</v>
      </c>
      <c r="AJ112" s="662" t="str">
        <f t="shared" si="8"/>
        <v>FUSN-013</v>
      </c>
      <c r="AK112" s="662" t="str">
        <f t="shared" si="9"/>
        <v>PAS</v>
      </c>
      <c r="AL112" s="662" t="str">
        <f t="shared" si="10"/>
        <v>FRD</v>
      </c>
      <c r="AM112" s="662" t="str">
        <f t="shared" si="11"/>
        <v>Fusion-Titanium-AWD-5-~-~-2.0L-4-P0D-300A-112.2-16.5-Unleaded-Unleaded</v>
      </c>
      <c r="AN112" s="662" t="str">
        <f t="shared" si="12"/>
        <v>2019-PAS-FRD-FUSN-013</v>
      </c>
    </row>
    <row r="113" spans="1:40" s="572" customFormat="1" ht="15">
      <c r="A113" s="570" t="s">
        <v>422</v>
      </c>
      <c r="B113" s="573" t="s">
        <v>417</v>
      </c>
      <c r="C113" s="573" t="s">
        <v>287</v>
      </c>
      <c r="D113" s="578">
        <v>26</v>
      </c>
      <c r="E113" s="573" t="s">
        <v>151</v>
      </c>
      <c r="F113" s="573" t="s">
        <v>196</v>
      </c>
      <c r="G113" s="573" t="s">
        <v>271</v>
      </c>
      <c r="H113" s="573">
        <v>2019</v>
      </c>
      <c r="I113" s="573" t="s">
        <v>350</v>
      </c>
      <c r="J113" s="573" t="s">
        <v>418</v>
      </c>
      <c r="K113" s="573" t="s">
        <v>230</v>
      </c>
      <c r="L113" s="573">
        <v>5</v>
      </c>
      <c r="M113" s="573">
        <v>0</v>
      </c>
      <c r="N113" s="573" t="s">
        <v>157</v>
      </c>
      <c r="O113" s="573">
        <v>2</v>
      </c>
      <c r="P113" s="573" t="s">
        <v>157</v>
      </c>
      <c r="Q113" s="571" t="s">
        <v>157</v>
      </c>
      <c r="R113" s="573" t="s">
        <v>352</v>
      </c>
      <c r="S113" s="573">
        <v>4</v>
      </c>
      <c r="T113" s="573" t="s">
        <v>419</v>
      </c>
      <c r="U113" s="573" t="s">
        <v>318</v>
      </c>
      <c r="V113" s="573">
        <v>112.2</v>
      </c>
      <c r="W113" s="573">
        <v>16.5</v>
      </c>
      <c r="X113" s="571">
        <v>3681</v>
      </c>
      <c r="Y113" s="579">
        <v>23</v>
      </c>
      <c r="Z113" s="579" t="s">
        <v>178</v>
      </c>
      <c r="AA113" s="579" t="s">
        <v>178</v>
      </c>
      <c r="AB113" s="584">
        <v>37235</v>
      </c>
      <c r="AC113" s="584" t="s">
        <v>164</v>
      </c>
      <c r="AD113" s="584">
        <v>32144</v>
      </c>
      <c r="AE113" s="586">
        <v>0.05</v>
      </c>
      <c r="AF113" s="661" t="str">
        <f t="shared" si="7"/>
        <v>2019-PAS-FRD-FUSN-013-26</v>
      </c>
      <c r="AG113" s="661" t="str">
        <f>IF(AND($Y113&gt;=32,(AI113="I"),(Y113&lt;&gt;"~"),(COUNTIF($AN$1:$AN113,$AN113)=1)),"TRUE","FALSE")</f>
        <v>FALSE</v>
      </c>
      <c r="AH113" s="661" t="str">
        <f>IF(AND($Y113&gt;=22, (AI113&lt;&gt;"I"),(Y113&lt;&gt;"~"),(COUNTIF($AN$1:$AN113,$AN113)=1)),"TRUE","FALSE")</f>
        <v>FALSE</v>
      </c>
      <c r="AI113" s="661" t="str">
        <f t="shared" si="13"/>
        <v>I</v>
      </c>
      <c r="AJ113" s="662" t="str">
        <f t="shared" si="8"/>
        <v>FUSN-013</v>
      </c>
      <c r="AK113" s="662" t="str">
        <f t="shared" si="9"/>
        <v>PAS</v>
      </c>
      <c r="AL113" s="662" t="str">
        <f t="shared" si="10"/>
        <v>FRD</v>
      </c>
      <c r="AM113" s="662" t="str">
        <f t="shared" si="11"/>
        <v>Fusion-Titanium-AWD-5-~-~-2.0L-4-P0D-300A-112.2-16.5-Unleaded-Unleaded</v>
      </c>
      <c r="AN113" s="662" t="str">
        <f t="shared" si="12"/>
        <v>2019-PAS-FRD-FUSN-013</v>
      </c>
    </row>
    <row r="114" spans="1:40" s="572" customFormat="1" ht="15">
      <c r="A114" s="570" t="s">
        <v>423</v>
      </c>
      <c r="B114" s="569" t="s">
        <v>417</v>
      </c>
      <c r="C114" s="569" t="s">
        <v>280</v>
      </c>
      <c r="D114" s="580">
        <v>27</v>
      </c>
      <c r="E114" s="569" t="s">
        <v>151</v>
      </c>
      <c r="F114" s="569" t="s">
        <v>196</v>
      </c>
      <c r="G114" s="569" t="s">
        <v>271</v>
      </c>
      <c r="H114" s="569">
        <v>2019</v>
      </c>
      <c r="I114" s="569" t="s">
        <v>350</v>
      </c>
      <c r="J114" s="569" t="s">
        <v>418</v>
      </c>
      <c r="K114" s="569" t="s">
        <v>230</v>
      </c>
      <c r="L114" s="569">
        <v>5</v>
      </c>
      <c r="M114" s="569">
        <v>0</v>
      </c>
      <c r="N114" s="569" t="s">
        <v>157</v>
      </c>
      <c r="O114" s="569">
        <v>2</v>
      </c>
      <c r="P114" s="569" t="s">
        <v>157</v>
      </c>
      <c r="Q114" s="568" t="s">
        <v>157</v>
      </c>
      <c r="R114" s="569" t="s">
        <v>352</v>
      </c>
      <c r="S114" s="569">
        <v>4</v>
      </c>
      <c r="T114" s="569" t="s">
        <v>419</v>
      </c>
      <c r="U114" s="569" t="s">
        <v>420</v>
      </c>
      <c r="V114" s="569">
        <v>112.2</v>
      </c>
      <c r="W114" s="569">
        <v>16.5</v>
      </c>
      <c r="X114" s="568">
        <v>3681</v>
      </c>
      <c r="Y114" s="581">
        <v>23</v>
      </c>
      <c r="Z114" s="581" t="s">
        <v>178</v>
      </c>
      <c r="AA114" s="581" t="s">
        <v>178</v>
      </c>
      <c r="AB114" s="585">
        <v>37235</v>
      </c>
      <c r="AC114" s="585" t="s">
        <v>164</v>
      </c>
      <c r="AD114" s="585">
        <v>31246.187499999996</v>
      </c>
      <c r="AE114" s="587">
        <v>0.03</v>
      </c>
      <c r="AF114" s="661" t="str">
        <f t="shared" si="7"/>
        <v>2019-PAS-FRD-FUSN-013-27</v>
      </c>
      <c r="AG114" s="661" t="str">
        <f>IF(AND($Y114&gt;=32,(AI114="I"),(Y114&lt;&gt;"~"),(COUNTIF($AN$1:$AN114,$AN114)=1)),"TRUE","FALSE")</f>
        <v>FALSE</v>
      </c>
      <c r="AH114" s="661" t="str">
        <f>IF(AND($Y114&gt;=22, (AI114&lt;&gt;"I"),(Y114&lt;&gt;"~"),(COUNTIF($AN$1:$AN114,$AN114)=1)),"TRUE","FALSE")</f>
        <v>FALSE</v>
      </c>
      <c r="AI114" s="661" t="str">
        <f t="shared" si="13"/>
        <v>I</v>
      </c>
      <c r="AJ114" s="662" t="str">
        <f t="shared" si="8"/>
        <v>FUSN-013</v>
      </c>
      <c r="AK114" s="662" t="str">
        <f t="shared" si="9"/>
        <v>PAS</v>
      </c>
      <c r="AL114" s="662" t="str">
        <f t="shared" si="10"/>
        <v>FRD</v>
      </c>
      <c r="AM114" s="662" t="str">
        <f t="shared" si="11"/>
        <v>Fusion-Titanium-AWD-5-~-~-2.0L-4-P0D-250A-112.2-16.5-Unleaded-Unleaded</v>
      </c>
      <c r="AN114" s="662" t="str">
        <f t="shared" si="12"/>
        <v>2019-PAS-FRD-FUSN-013</v>
      </c>
    </row>
    <row r="115" spans="1:40" s="572" customFormat="1" ht="15">
      <c r="A115" s="570" t="s">
        <v>424</v>
      </c>
      <c r="B115" s="573" t="s">
        <v>425</v>
      </c>
      <c r="C115" s="573" t="s">
        <v>269</v>
      </c>
      <c r="D115" s="578" t="s">
        <v>270</v>
      </c>
      <c r="E115" s="573" t="s">
        <v>151</v>
      </c>
      <c r="F115" s="573" t="s">
        <v>196</v>
      </c>
      <c r="G115" s="573" t="s">
        <v>271</v>
      </c>
      <c r="H115" s="573">
        <v>2019</v>
      </c>
      <c r="I115" s="573" t="s">
        <v>350</v>
      </c>
      <c r="J115" s="573" t="s">
        <v>418</v>
      </c>
      <c r="K115" s="573" t="s">
        <v>156</v>
      </c>
      <c r="L115" s="573">
        <v>5</v>
      </c>
      <c r="M115" s="573">
        <v>0</v>
      </c>
      <c r="N115" s="573" t="s">
        <v>157</v>
      </c>
      <c r="O115" s="573">
        <v>2</v>
      </c>
      <c r="P115" s="573" t="s">
        <v>157</v>
      </c>
      <c r="Q115" s="571" t="s">
        <v>157</v>
      </c>
      <c r="R115" s="573" t="s">
        <v>352</v>
      </c>
      <c r="S115" s="573">
        <v>4</v>
      </c>
      <c r="T115" s="573" t="s">
        <v>426</v>
      </c>
      <c r="U115" s="573" t="s">
        <v>420</v>
      </c>
      <c r="V115" s="573">
        <v>112.2</v>
      </c>
      <c r="W115" s="573">
        <v>16.5</v>
      </c>
      <c r="X115" s="571">
        <v>3431</v>
      </c>
      <c r="Y115" s="579">
        <v>25</v>
      </c>
      <c r="Z115" s="579" t="s">
        <v>178</v>
      </c>
      <c r="AA115" s="579" t="s">
        <v>178</v>
      </c>
      <c r="AB115" s="584">
        <v>35235</v>
      </c>
      <c r="AC115" s="584" t="s">
        <v>164</v>
      </c>
      <c r="AD115" s="584">
        <v>29626.229166666668</v>
      </c>
      <c r="AE115" s="586">
        <v>0.03</v>
      </c>
      <c r="AF115" s="661" t="str">
        <f t="shared" si="7"/>
        <v>2019-PAS-FRD-FUSN-014-05</v>
      </c>
      <c r="AG115" s="661" t="str">
        <f>IF(AND($Y115&gt;=32,(AI115="I"),(Y115&lt;&gt;"~"),(COUNTIF($AN$1:$AN115,$AN115)=1)),"TRUE","FALSE")</f>
        <v>FALSE</v>
      </c>
      <c r="AH115" s="661" t="str">
        <f>IF(AND($Y115&gt;=22, (AI115&lt;&gt;"I"),(Y115&lt;&gt;"~"),(COUNTIF($AN$1:$AN115,$AN115)=1)),"TRUE","FALSE")</f>
        <v>FALSE</v>
      </c>
      <c r="AI115" s="661" t="str">
        <f t="shared" si="13"/>
        <v>I</v>
      </c>
      <c r="AJ115" s="662" t="str">
        <f t="shared" si="8"/>
        <v>FUSN-014</v>
      </c>
      <c r="AK115" s="662" t="str">
        <f t="shared" si="9"/>
        <v>PAS</v>
      </c>
      <c r="AL115" s="662" t="str">
        <f t="shared" si="10"/>
        <v>FRD</v>
      </c>
      <c r="AM115" s="662" t="str">
        <f t="shared" si="11"/>
        <v>Fusion-Titanium-FWD-5-~-~-2.0L-4-P0K-250A-112.2-16.5-Unleaded-Unleaded</v>
      </c>
      <c r="AN115" s="662" t="str">
        <f t="shared" si="12"/>
        <v>2019-PAS-FRD-FUSN-014</v>
      </c>
    </row>
    <row r="116" spans="1:40" s="572" customFormat="1" ht="15">
      <c r="A116" s="570" t="s">
        <v>427</v>
      </c>
      <c r="B116" s="569" t="s">
        <v>425</v>
      </c>
      <c r="C116" s="569" t="s">
        <v>278</v>
      </c>
      <c r="D116" s="580">
        <v>15</v>
      </c>
      <c r="E116" s="569" t="s">
        <v>151</v>
      </c>
      <c r="F116" s="569" t="s">
        <v>196</v>
      </c>
      <c r="G116" s="569" t="s">
        <v>271</v>
      </c>
      <c r="H116" s="569">
        <v>2019</v>
      </c>
      <c r="I116" s="569" t="s">
        <v>350</v>
      </c>
      <c r="J116" s="569" t="s">
        <v>418</v>
      </c>
      <c r="K116" s="569" t="s">
        <v>156</v>
      </c>
      <c r="L116" s="569">
        <v>5</v>
      </c>
      <c r="M116" s="569">
        <v>0</v>
      </c>
      <c r="N116" s="569" t="s">
        <v>157</v>
      </c>
      <c r="O116" s="569">
        <v>2</v>
      </c>
      <c r="P116" s="569" t="s">
        <v>157</v>
      </c>
      <c r="Q116" s="568" t="s">
        <v>157</v>
      </c>
      <c r="R116" s="569" t="s">
        <v>352</v>
      </c>
      <c r="S116" s="569">
        <v>4</v>
      </c>
      <c r="T116" s="569" t="s">
        <v>426</v>
      </c>
      <c r="U116" s="569" t="s">
        <v>318</v>
      </c>
      <c r="V116" s="569">
        <v>112.2</v>
      </c>
      <c r="W116" s="569">
        <v>17.5</v>
      </c>
      <c r="X116" s="568">
        <v>3431</v>
      </c>
      <c r="Y116" s="581">
        <v>27</v>
      </c>
      <c r="Z116" s="581" t="s">
        <v>178</v>
      </c>
      <c r="AA116" s="581" t="s">
        <v>178</v>
      </c>
      <c r="AB116" s="585">
        <v>35235</v>
      </c>
      <c r="AC116" s="585" t="s">
        <v>164</v>
      </c>
      <c r="AD116" s="585">
        <v>29990</v>
      </c>
      <c r="AE116" s="587">
        <v>0.01</v>
      </c>
      <c r="AF116" s="661" t="str">
        <f t="shared" si="7"/>
        <v>2019-PAS-FRD-FUSN-014-15</v>
      </c>
      <c r="AG116" s="661" t="str">
        <f>IF(AND($Y116&gt;=32,(AI116="I"),(Y116&lt;&gt;"~"),(COUNTIF($AN$1:$AN116,$AN116)=1)),"TRUE","FALSE")</f>
        <v>FALSE</v>
      </c>
      <c r="AH116" s="661" t="str">
        <f>IF(AND($Y116&gt;=22, (AI116&lt;&gt;"I"),(Y116&lt;&gt;"~"),(COUNTIF($AN$1:$AN116,$AN116)=1)),"TRUE","FALSE")</f>
        <v>FALSE</v>
      </c>
      <c r="AI116" s="661" t="str">
        <f t="shared" si="13"/>
        <v>I</v>
      </c>
      <c r="AJ116" s="662" t="str">
        <f t="shared" si="8"/>
        <v>FUSN-014</v>
      </c>
      <c r="AK116" s="662" t="str">
        <f t="shared" si="9"/>
        <v>PAS</v>
      </c>
      <c r="AL116" s="662" t="str">
        <f t="shared" si="10"/>
        <v>FRD</v>
      </c>
      <c r="AM116" s="662" t="str">
        <f t="shared" si="11"/>
        <v>Fusion-Titanium-FWD-5-~-~-2.0L-4-P0K-300A-112.2-17.5-Unleaded-Unleaded</v>
      </c>
      <c r="AN116" s="662" t="str">
        <f t="shared" si="12"/>
        <v>2019-PAS-FRD-FUSN-014</v>
      </c>
    </row>
    <row r="117" spans="1:40" s="572" customFormat="1" ht="15">
      <c r="A117" s="570" t="s">
        <v>428</v>
      </c>
      <c r="B117" s="573" t="s">
        <v>425</v>
      </c>
      <c r="C117" s="573" t="s">
        <v>287</v>
      </c>
      <c r="D117" s="578">
        <v>26</v>
      </c>
      <c r="E117" s="573" t="s">
        <v>151</v>
      </c>
      <c r="F117" s="573" t="s">
        <v>196</v>
      </c>
      <c r="G117" s="573" t="s">
        <v>271</v>
      </c>
      <c r="H117" s="573">
        <v>2019</v>
      </c>
      <c r="I117" s="573" t="s">
        <v>350</v>
      </c>
      <c r="J117" s="573" t="s">
        <v>418</v>
      </c>
      <c r="K117" s="573" t="s">
        <v>156</v>
      </c>
      <c r="L117" s="573">
        <v>5</v>
      </c>
      <c r="M117" s="573">
        <v>0</v>
      </c>
      <c r="N117" s="573" t="s">
        <v>157</v>
      </c>
      <c r="O117" s="573">
        <v>2</v>
      </c>
      <c r="P117" s="573" t="s">
        <v>157</v>
      </c>
      <c r="Q117" s="571" t="s">
        <v>157</v>
      </c>
      <c r="R117" s="573" t="s">
        <v>352</v>
      </c>
      <c r="S117" s="573">
        <v>4</v>
      </c>
      <c r="T117" s="573" t="s">
        <v>426</v>
      </c>
      <c r="U117" s="573" t="s">
        <v>318</v>
      </c>
      <c r="V117" s="573">
        <v>112.2</v>
      </c>
      <c r="W117" s="573">
        <v>17.5</v>
      </c>
      <c r="X117" s="571">
        <v>3431</v>
      </c>
      <c r="Y117" s="579">
        <v>27</v>
      </c>
      <c r="Z117" s="579" t="s">
        <v>178</v>
      </c>
      <c r="AA117" s="579" t="s">
        <v>178</v>
      </c>
      <c r="AB117" s="584">
        <v>35235</v>
      </c>
      <c r="AC117" s="584" t="s">
        <v>164</v>
      </c>
      <c r="AD117" s="584">
        <v>30483</v>
      </c>
      <c r="AE117" s="586">
        <v>0.05</v>
      </c>
      <c r="AF117" s="661" t="str">
        <f t="shared" si="7"/>
        <v>2019-PAS-FRD-FUSN-014-26</v>
      </c>
      <c r="AG117" s="661" t="str">
        <f>IF(AND($Y117&gt;=32,(AI117="I"),(Y117&lt;&gt;"~"),(COUNTIF($AN$1:$AN117,$AN117)=1)),"TRUE","FALSE")</f>
        <v>FALSE</v>
      </c>
      <c r="AH117" s="661" t="str">
        <f>IF(AND($Y117&gt;=22, (AI117&lt;&gt;"I"),(Y117&lt;&gt;"~"),(COUNTIF($AN$1:$AN117,$AN117)=1)),"TRUE","FALSE")</f>
        <v>FALSE</v>
      </c>
      <c r="AI117" s="661" t="str">
        <f t="shared" si="13"/>
        <v>I</v>
      </c>
      <c r="AJ117" s="662" t="str">
        <f t="shared" si="8"/>
        <v>FUSN-014</v>
      </c>
      <c r="AK117" s="662" t="str">
        <f t="shared" si="9"/>
        <v>PAS</v>
      </c>
      <c r="AL117" s="662" t="str">
        <f t="shared" si="10"/>
        <v>FRD</v>
      </c>
      <c r="AM117" s="662" t="str">
        <f t="shared" si="11"/>
        <v>Fusion-Titanium-FWD-5-~-~-2.0L-4-P0K-300A-112.2-17.5-Unleaded-Unleaded</v>
      </c>
      <c r="AN117" s="662" t="str">
        <f t="shared" si="12"/>
        <v>2019-PAS-FRD-FUSN-014</v>
      </c>
    </row>
    <row r="118" spans="1:40" s="572" customFormat="1" ht="15">
      <c r="A118" s="570" t="s">
        <v>429</v>
      </c>
      <c r="B118" s="569" t="s">
        <v>425</v>
      </c>
      <c r="C118" s="569" t="s">
        <v>280</v>
      </c>
      <c r="D118" s="580">
        <v>27</v>
      </c>
      <c r="E118" s="569" t="s">
        <v>151</v>
      </c>
      <c r="F118" s="569" t="s">
        <v>196</v>
      </c>
      <c r="G118" s="569" t="s">
        <v>271</v>
      </c>
      <c r="H118" s="569">
        <v>2019</v>
      </c>
      <c r="I118" s="569" t="s">
        <v>350</v>
      </c>
      <c r="J118" s="569" t="s">
        <v>418</v>
      </c>
      <c r="K118" s="569" t="s">
        <v>156</v>
      </c>
      <c r="L118" s="569">
        <v>5</v>
      </c>
      <c r="M118" s="569">
        <v>0</v>
      </c>
      <c r="N118" s="569" t="s">
        <v>157</v>
      </c>
      <c r="O118" s="569">
        <v>2</v>
      </c>
      <c r="P118" s="569" t="s">
        <v>157</v>
      </c>
      <c r="Q118" s="568" t="s">
        <v>157</v>
      </c>
      <c r="R118" s="569" t="s">
        <v>352</v>
      </c>
      <c r="S118" s="569">
        <v>4</v>
      </c>
      <c r="T118" s="569" t="s">
        <v>426</v>
      </c>
      <c r="U118" s="569" t="s">
        <v>420</v>
      </c>
      <c r="V118" s="569">
        <v>112.2</v>
      </c>
      <c r="W118" s="569">
        <v>16.5</v>
      </c>
      <c r="X118" s="568">
        <v>3431</v>
      </c>
      <c r="Y118" s="581">
        <v>25</v>
      </c>
      <c r="Z118" s="581" t="s">
        <v>178</v>
      </c>
      <c r="AA118" s="581" t="s">
        <v>178</v>
      </c>
      <c r="AB118" s="585">
        <v>35235</v>
      </c>
      <c r="AC118" s="585" t="s">
        <v>164</v>
      </c>
      <c r="AD118" s="585">
        <v>29626.229166666668</v>
      </c>
      <c r="AE118" s="587">
        <v>0.03</v>
      </c>
      <c r="AF118" s="661" t="str">
        <f t="shared" si="7"/>
        <v>2019-PAS-FRD-FUSN-014-27</v>
      </c>
      <c r="AG118" s="661" t="str">
        <f>IF(AND($Y118&gt;=32,(AI118="I"),(Y118&lt;&gt;"~"),(COUNTIF($AN$1:$AN118,$AN118)=1)),"TRUE","FALSE")</f>
        <v>FALSE</v>
      </c>
      <c r="AH118" s="661" t="str">
        <f>IF(AND($Y118&gt;=22, (AI118&lt;&gt;"I"),(Y118&lt;&gt;"~"),(COUNTIF($AN$1:$AN118,$AN118)=1)),"TRUE","FALSE")</f>
        <v>FALSE</v>
      </c>
      <c r="AI118" s="661" t="str">
        <f t="shared" si="13"/>
        <v>I</v>
      </c>
      <c r="AJ118" s="662" t="str">
        <f t="shared" si="8"/>
        <v>FUSN-014</v>
      </c>
      <c r="AK118" s="662" t="str">
        <f t="shared" si="9"/>
        <v>PAS</v>
      </c>
      <c r="AL118" s="662" t="str">
        <f t="shared" si="10"/>
        <v>FRD</v>
      </c>
      <c r="AM118" s="662" t="str">
        <f t="shared" si="11"/>
        <v>Fusion-Titanium-FWD-5-~-~-2.0L-4-P0K-250A-112.2-16.5-Unleaded-Unleaded</v>
      </c>
      <c r="AN118" s="662" t="str">
        <f t="shared" si="12"/>
        <v>2019-PAS-FRD-FUSN-014</v>
      </c>
    </row>
    <row r="119" spans="1:40" s="572" customFormat="1" ht="15">
      <c r="A119" s="570" t="s">
        <v>430</v>
      </c>
      <c r="B119" s="573" t="s">
        <v>431</v>
      </c>
      <c r="C119" s="573" t="s">
        <v>269</v>
      </c>
      <c r="D119" s="578" t="s">
        <v>270</v>
      </c>
      <c r="E119" s="573" t="s">
        <v>151</v>
      </c>
      <c r="F119" s="573" t="s">
        <v>187</v>
      </c>
      <c r="G119" s="573" t="s">
        <v>271</v>
      </c>
      <c r="H119" s="573">
        <v>2019</v>
      </c>
      <c r="I119" s="573" t="s">
        <v>432</v>
      </c>
      <c r="J119" s="573" t="s">
        <v>315</v>
      </c>
      <c r="K119" s="573" t="s">
        <v>230</v>
      </c>
      <c r="L119" s="573">
        <v>5</v>
      </c>
      <c r="M119" s="573">
        <v>0</v>
      </c>
      <c r="N119" s="573" t="s">
        <v>157</v>
      </c>
      <c r="O119" s="573">
        <v>2</v>
      </c>
      <c r="P119" s="573" t="s">
        <v>157</v>
      </c>
      <c r="Q119" s="571" t="s">
        <v>157</v>
      </c>
      <c r="R119" s="573" t="s">
        <v>316</v>
      </c>
      <c r="S119" s="573">
        <v>6</v>
      </c>
      <c r="T119" s="573" t="s">
        <v>433</v>
      </c>
      <c r="U119" s="573" t="s">
        <v>434</v>
      </c>
      <c r="V119" s="573">
        <v>113</v>
      </c>
      <c r="W119" s="573">
        <v>19</v>
      </c>
      <c r="X119" s="571">
        <v>4140</v>
      </c>
      <c r="Y119" s="579">
        <v>19</v>
      </c>
      <c r="Z119" s="579" t="s">
        <v>178</v>
      </c>
      <c r="AA119" s="579" t="s">
        <v>178</v>
      </c>
      <c r="AB119" s="584">
        <v>40155</v>
      </c>
      <c r="AC119" s="584" t="s">
        <v>164</v>
      </c>
      <c r="AD119" s="584">
        <v>37260.604166666672</v>
      </c>
      <c r="AE119" s="586">
        <v>0.03</v>
      </c>
      <c r="AF119" s="661" t="str">
        <f t="shared" si="7"/>
        <v>2019-PAS-FRD-TRUS-004-05</v>
      </c>
      <c r="AG119" s="661" t="str">
        <f>IF(AND($Y119&gt;=32,(AI119="I"),(Y119&lt;&gt;"~"),(COUNTIF($AN$1:$AN119,$AN119)=1)),"TRUE","FALSE")</f>
        <v>FALSE</v>
      </c>
      <c r="AH119" s="661" t="str">
        <f>IF(AND($Y119&gt;=22, (AI119&lt;&gt;"I"),(Y119&lt;&gt;"~"),(COUNTIF($AN$1:$AN119,$AN119)=1)),"TRUE","FALSE")</f>
        <v>FALSE</v>
      </c>
      <c r="AI119" s="661" t="str">
        <f t="shared" si="13"/>
        <v>I</v>
      </c>
      <c r="AJ119" s="662" t="str">
        <f t="shared" si="8"/>
        <v>TRUS-004</v>
      </c>
      <c r="AK119" s="662" t="str">
        <f t="shared" si="9"/>
        <v>PAS</v>
      </c>
      <c r="AL119" s="662" t="str">
        <f t="shared" si="10"/>
        <v>FRD</v>
      </c>
      <c r="AM119" s="662" t="str">
        <f t="shared" si="11"/>
        <v>Taurus-Limited-AWD-5-~-~-3.5L-6-P2J-301A-113-19-Unleaded-Unleaded</v>
      </c>
      <c r="AN119" s="662" t="str">
        <f t="shared" si="12"/>
        <v>2019-PAS-FRD-TRUS-004</v>
      </c>
    </row>
    <row r="120" spans="1:40" s="572" customFormat="1" ht="15">
      <c r="A120" s="570" t="s">
        <v>435</v>
      </c>
      <c r="B120" s="569" t="s">
        <v>431</v>
      </c>
      <c r="C120" s="569" t="s">
        <v>287</v>
      </c>
      <c r="D120" s="580">
        <v>26</v>
      </c>
      <c r="E120" s="569" t="s">
        <v>151</v>
      </c>
      <c r="F120" s="569" t="s">
        <v>187</v>
      </c>
      <c r="G120" s="569" t="s">
        <v>271</v>
      </c>
      <c r="H120" s="569">
        <v>2019</v>
      </c>
      <c r="I120" s="569" t="s">
        <v>432</v>
      </c>
      <c r="J120" s="569" t="s">
        <v>315</v>
      </c>
      <c r="K120" s="569" t="s">
        <v>230</v>
      </c>
      <c r="L120" s="569">
        <v>5</v>
      </c>
      <c r="M120" s="569">
        <v>0</v>
      </c>
      <c r="N120" s="569" t="s">
        <v>157</v>
      </c>
      <c r="O120" s="569">
        <v>2</v>
      </c>
      <c r="P120" s="569" t="s">
        <v>157</v>
      </c>
      <c r="Q120" s="568" t="s">
        <v>157</v>
      </c>
      <c r="R120" s="569" t="s">
        <v>316</v>
      </c>
      <c r="S120" s="569">
        <v>6</v>
      </c>
      <c r="T120" s="569" t="s">
        <v>433</v>
      </c>
      <c r="U120" s="569" t="s">
        <v>434</v>
      </c>
      <c r="V120" s="569">
        <v>113</v>
      </c>
      <c r="W120" s="569">
        <v>19</v>
      </c>
      <c r="X120" s="568">
        <v>4140</v>
      </c>
      <c r="Y120" s="581">
        <v>19</v>
      </c>
      <c r="Z120" s="581" t="s">
        <v>178</v>
      </c>
      <c r="AA120" s="581" t="s">
        <v>178</v>
      </c>
      <c r="AB120" s="585">
        <v>40155</v>
      </c>
      <c r="AC120" s="585" t="s">
        <v>164</v>
      </c>
      <c r="AD120" s="585">
        <v>38174</v>
      </c>
      <c r="AE120" s="587">
        <v>0.05</v>
      </c>
      <c r="AF120" s="661" t="str">
        <f t="shared" si="7"/>
        <v>2019-PAS-FRD-TRUS-004-26</v>
      </c>
      <c r="AG120" s="661" t="str">
        <f>IF(AND($Y120&gt;=32,(AI120="I"),(Y120&lt;&gt;"~"),(COUNTIF($AN$1:$AN120,$AN120)=1)),"TRUE","FALSE")</f>
        <v>FALSE</v>
      </c>
      <c r="AH120" s="661" t="str">
        <f>IF(AND($Y120&gt;=22, (AI120&lt;&gt;"I"),(Y120&lt;&gt;"~"),(COUNTIF($AN$1:$AN120,$AN120)=1)),"TRUE","FALSE")</f>
        <v>FALSE</v>
      </c>
      <c r="AI120" s="661" t="str">
        <f t="shared" si="13"/>
        <v>I</v>
      </c>
      <c r="AJ120" s="662" t="str">
        <f t="shared" si="8"/>
        <v>TRUS-004</v>
      </c>
      <c r="AK120" s="662" t="str">
        <f t="shared" si="9"/>
        <v>PAS</v>
      </c>
      <c r="AL120" s="662" t="str">
        <f t="shared" si="10"/>
        <v>FRD</v>
      </c>
      <c r="AM120" s="662" t="str">
        <f t="shared" si="11"/>
        <v>Taurus-Limited-AWD-5-~-~-3.5L-6-P2J-301A-113-19-Unleaded-Unleaded</v>
      </c>
      <c r="AN120" s="662" t="str">
        <f t="shared" si="12"/>
        <v>2019-PAS-FRD-TRUS-004</v>
      </c>
    </row>
    <row r="121" spans="1:40" s="572" customFormat="1" ht="15">
      <c r="A121" s="570" t="s">
        <v>436</v>
      </c>
      <c r="B121" s="573" t="s">
        <v>431</v>
      </c>
      <c r="C121" s="573" t="s">
        <v>280</v>
      </c>
      <c r="D121" s="578">
        <v>27</v>
      </c>
      <c r="E121" s="573" t="s">
        <v>151</v>
      </c>
      <c r="F121" s="573" t="s">
        <v>187</v>
      </c>
      <c r="G121" s="573" t="s">
        <v>271</v>
      </c>
      <c r="H121" s="573">
        <v>2019</v>
      </c>
      <c r="I121" s="573" t="s">
        <v>432</v>
      </c>
      <c r="J121" s="573" t="s">
        <v>315</v>
      </c>
      <c r="K121" s="573" t="s">
        <v>230</v>
      </c>
      <c r="L121" s="573">
        <v>5</v>
      </c>
      <c r="M121" s="573">
        <v>0</v>
      </c>
      <c r="N121" s="573" t="s">
        <v>157</v>
      </c>
      <c r="O121" s="573">
        <v>2</v>
      </c>
      <c r="P121" s="573" t="s">
        <v>157</v>
      </c>
      <c r="Q121" s="571" t="s">
        <v>157</v>
      </c>
      <c r="R121" s="573" t="s">
        <v>316</v>
      </c>
      <c r="S121" s="573">
        <v>6</v>
      </c>
      <c r="T121" s="573" t="s">
        <v>433</v>
      </c>
      <c r="U121" s="573" t="s">
        <v>434</v>
      </c>
      <c r="V121" s="573">
        <v>113</v>
      </c>
      <c r="W121" s="573">
        <v>19</v>
      </c>
      <c r="X121" s="571">
        <v>4140</v>
      </c>
      <c r="Y121" s="579">
        <v>19</v>
      </c>
      <c r="Z121" s="579" t="s">
        <v>178</v>
      </c>
      <c r="AA121" s="579" t="s">
        <v>178</v>
      </c>
      <c r="AB121" s="584">
        <v>40155</v>
      </c>
      <c r="AC121" s="584" t="s">
        <v>164</v>
      </c>
      <c r="AD121" s="584">
        <v>37260.604166666672</v>
      </c>
      <c r="AE121" s="586">
        <v>0.03</v>
      </c>
      <c r="AF121" s="661" t="str">
        <f t="shared" si="7"/>
        <v>2019-PAS-FRD-TRUS-004-27</v>
      </c>
      <c r="AG121" s="661" t="str">
        <f>IF(AND($Y121&gt;=32,(AI121="I"),(Y121&lt;&gt;"~"),(COUNTIF($AN$1:$AN121,$AN121)=1)),"TRUE","FALSE")</f>
        <v>FALSE</v>
      </c>
      <c r="AH121" s="661" t="str">
        <f>IF(AND($Y121&gt;=22, (AI121&lt;&gt;"I"),(Y121&lt;&gt;"~"),(COUNTIF($AN$1:$AN121,$AN121)=1)),"TRUE","FALSE")</f>
        <v>FALSE</v>
      </c>
      <c r="AI121" s="661" t="str">
        <f t="shared" si="13"/>
        <v>I</v>
      </c>
      <c r="AJ121" s="662" t="str">
        <f t="shared" si="8"/>
        <v>TRUS-004</v>
      </c>
      <c r="AK121" s="662" t="str">
        <f t="shared" si="9"/>
        <v>PAS</v>
      </c>
      <c r="AL121" s="662" t="str">
        <f t="shared" si="10"/>
        <v>FRD</v>
      </c>
      <c r="AM121" s="662" t="str">
        <f t="shared" si="11"/>
        <v>Taurus-Limited-AWD-5-~-~-3.5L-6-P2J-301A-113-19-Unleaded-Unleaded</v>
      </c>
      <c r="AN121" s="662" t="str">
        <f t="shared" si="12"/>
        <v>2019-PAS-FRD-TRUS-004</v>
      </c>
    </row>
    <row r="122" spans="1:40" s="572" customFormat="1" ht="15">
      <c r="A122" s="570" t="s">
        <v>437</v>
      </c>
      <c r="B122" s="569" t="s">
        <v>438</v>
      </c>
      <c r="C122" s="569" t="s">
        <v>269</v>
      </c>
      <c r="D122" s="580" t="s">
        <v>270</v>
      </c>
      <c r="E122" s="569" t="s">
        <v>151</v>
      </c>
      <c r="F122" s="569" t="s">
        <v>187</v>
      </c>
      <c r="G122" s="569" t="s">
        <v>271</v>
      </c>
      <c r="H122" s="569">
        <v>2019</v>
      </c>
      <c r="I122" s="569" t="s">
        <v>432</v>
      </c>
      <c r="J122" s="569" t="s">
        <v>315</v>
      </c>
      <c r="K122" s="569" t="s">
        <v>156</v>
      </c>
      <c r="L122" s="569">
        <v>5</v>
      </c>
      <c r="M122" s="569">
        <v>0</v>
      </c>
      <c r="N122" s="569" t="s">
        <v>157</v>
      </c>
      <c r="O122" s="569">
        <v>2</v>
      </c>
      <c r="P122" s="569" t="s">
        <v>157</v>
      </c>
      <c r="Q122" s="568" t="s">
        <v>157</v>
      </c>
      <c r="R122" s="569" t="s">
        <v>316</v>
      </c>
      <c r="S122" s="569">
        <v>6</v>
      </c>
      <c r="T122" s="569" t="s">
        <v>439</v>
      </c>
      <c r="U122" s="569" t="s">
        <v>434</v>
      </c>
      <c r="V122" s="569">
        <v>113</v>
      </c>
      <c r="W122" s="569">
        <v>19</v>
      </c>
      <c r="X122" s="568">
        <v>3858</v>
      </c>
      <c r="Y122" s="581">
        <v>21</v>
      </c>
      <c r="Z122" s="581" t="s">
        <v>178</v>
      </c>
      <c r="AA122" s="581" t="s">
        <v>178</v>
      </c>
      <c r="AB122" s="585">
        <v>38305</v>
      </c>
      <c r="AC122" s="585" t="s">
        <v>164</v>
      </c>
      <c r="AD122" s="585">
        <v>35569.979166666672</v>
      </c>
      <c r="AE122" s="587">
        <v>0.03</v>
      </c>
      <c r="AF122" s="661" t="str">
        <f t="shared" si="7"/>
        <v>2019-PAS-FRD-TRUS-005-05</v>
      </c>
      <c r="AG122" s="661" t="str">
        <f>IF(AND($Y122&gt;=32,(AI122="I"),(Y122&lt;&gt;"~"),(COUNTIF($AN$1:$AN122,$AN122)=1)),"TRUE","FALSE")</f>
        <v>FALSE</v>
      </c>
      <c r="AH122" s="661" t="str">
        <f>IF(AND($Y122&gt;=22, (AI122&lt;&gt;"I"),(Y122&lt;&gt;"~"),(COUNTIF($AN$1:$AN122,$AN122)=1)),"TRUE","FALSE")</f>
        <v>FALSE</v>
      </c>
      <c r="AI122" s="661" t="str">
        <f t="shared" si="13"/>
        <v>I</v>
      </c>
      <c r="AJ122" s="662" t="str">
        <f t="shared" si="8"/>
        <v>TRUS-005</v>
      </c>
      <c r="AK122" s="662" t="str">
        <f t="shared" si="9"/>
        <v>PAS</v>
      </c>
      <c r="AL122" s="662" t="str">
        <f t="shared" si="10"/>
        <v>FRD</v>
      </c>
      <c r="AM122" s="662" t="str">
        <f t="shared" si="11"/>
        <v>Taurus-Limited-FWD-5-~-~-3.5L-6-P2F-301A-113-19-Unleaded-Unleaded</v>
      </c>
      <c r="AN122" s="662" t="str">
        <f t="shared" si="12"/>
        <v>2019-PAS-FRD-TRUS-005</v>
      </c>
    </row>
    <row r="123" spans="1:40" s="572" customFormat="1" ht="15">
      <c r="A123" s="570" t="s">
        <v>440</v>
      </c>
      <c r="B123" s="573" t="s">
        <v>438</v>
      </c>
      <c r="C123" s="573" t="s">
        <v>287</v>
      </c>
      <c r="D123" s="578">
        <v>26</v>
      </c>
      <c r="E123" s="573" t="s">
        <v>151</v>
      </c>
      <c r="F123" s="573" t="s">
        <v>187</v>
      </c>
      <c r="G123" s="573" t="s">
        <v>271</v>
      </c>
      <c r="H123" s="573">
        <v>2019</v>
      </c>
      <c r="I123" s="573" t="s">
        <v>432</v>
      </c>
      <c r="J123" s="573" t="s">
        <v>315</v>
      </c>
      <c r="K123" s="573" t="s">
        <v>156</v>
      </c>
      <c r="L123" s="573">
        <v>5</v>
      </c>
      <c r="M123" s="573">
        <v>0</v>
      </c>
      <c r="N123" s="573" t="s">
        <v>157</v>
      </c>
      <c r="O123" s="573">
        <v>2</v>
      </c>
      <c r="P123" s="573" t="s">
        <v>157</v>
      </c>
      <c r="Q123" s="571" t="s">
        <v>157</v>
      </c>
      <c r="R123" s="573" t="s">
        <v>316</v>
      </c>
      <c r="S123" s="573">
        <v>6</v>
      </c>
      <c r="T123" s="573" t="s">
        <v>439</v>
      </c>
      <c r="U123" s="573" t="s">
        <v>434</v>
      </c>
      <c r="V123" s="573">
        <v>113</v>
      </c>
      <c r="W123" s="573">
        <v>19</v>
      </c>
      <c r="X123" s="571">
        <v>3858</v>
      </c>
      <c r="Y123" s="579">
        <v>21</v>
      </c>
      <c r="Z123" s="579" t="s">
        <v>178</v>
      </c>
      <c r="AA123" s="579" t="s">
        <v>178</v>
      </c>
      <c r="AB123" s="584">
        <v>38305</v>
      </c>
      <c r="AC123" s="584" t="s">
        <v>164</v>
      </c>
      <c r="AD123" s="584">
        <v>36431</v>
      </c>
      <c r="AE123" s="586">
        <v>0.05</v>
      </c>
      <c r="AF123" s="661" t="str">
        <f t="shared" si="7"/>
        <v>2019-PAS-FRD-TRUS-005-26</v>
      </c>
      <c r="AG123" s="661" t="str">
        <f>IF(AND($Y123&gt;=32,(AI123="I"),(Y123&lt;&gt;"~"),(COUNTIF($AN$1:$AN123,$AN123)=1)),"TRUE","FALSE")</f>
        <v>FALSE</v>
      </c>
      <c r="AH123" s="661" t="str">
        <f>IF(AND($Y123&gt;=22, (AI123&lt;&gt;"I"),(Y123&lt;&gt;"~"),(COUNTIF($AN$1:$AN123,$AN123)=1)),"TRUE","FALSE")</f>
        <v>FALSE</v>
      </c>
      <c r="AI123" s="661" t="str">
        <f t="shared" si="13"/>
        <v>I</v>
      </c>
      <c r="AJ123" s="662" t="str">
        <f t="shared" si="8"/>
        <v>TRUS-005</v>
      </c>
      <c r="AK123" s="662" t="str">
        <f t="shared" si="9"/>
        <v>PAS</v>
      </c>
      <c r="AL123" s="662" t="str">
        <f t="shared" si="10"/>
        <v>FRD</v>
      </c>
      <c r="AM123" s="662" t="str">
        <f t="shared" si="11"/>
        <v>Taurus-Limited-FWD-5-~-~-3.5L-6-P2F-301A-113-19-Unleaded-Unleaded</v>
      </c>
      <c r="AN123" s="662" t="str">
        <f t="shared" si="12"/>
        <v>2019-PAS-FRD-TRUS-005</v>
      </c>
    </row>
    <row r="124" spans="1:40" s="572" customFormat="1" ht="15">
      <c r="A124" s="570" t="s">
        <v>441</v>
      </c>
      <c r="B124" s="569" t="s">
        <v>438</v>
      </c>
      <c r="C124" s="569" t="s">
        <v>280</v>
      </c>
      <c r="D124" s="580">
        <v>27</v>
      </c>
      <c r="E124" s="569" t="s">
        <v>151</v>
      </c>
      <c r="F124" s="569" t="s">
        <v>187</v>
      </c>
      <c r="G124" s="569" t="s">
        <v>271</v>
      </c>
      <c r="H124" s="569">
        <v>2019</v>
      </c>
      <c r="I124" s="569" t="s">
        <v>432</v>
      </c>
      <c r="J124" s="569" t="s">
        <v>315</v>
      </c>
      <c r="K124" s="569" t="s">
        <v>156</v>
      </c>
      <c r="L124" s="569">
        <v>5</v>
      </c>
      <c r="M124" s="569">
        <v>0</v>
      </c>
      <c r="N124" s="569" t="s">
        <v>157</v>
      </c>
      <c r="O124" s="569">
        <v>2</v>
      </c>
      <c r="P124" s="569" t="s">
        <v>157</v>
      </c>
      <c r="Q124" s="568" t="s">
        <v>157</v>
      </c>
      <c r="R124" s="569" t="s">
        <v>316</v>
      </c>
      <c r="S124" s="569">
        <v>6</v>
      </c>
      <c r="T124" s="569" t="s">
        <v>439</v>
      </c>
      <c r="U124" s="569" t="s">
        <v>434</v>
      </c>
      <c r="V124" s="569">
        <v>113</v>
      </c>
      <c r="W124" s="569">
        <v>19</v>
      </c>
      <c r="X124" s="568">
        <v>3858</v>
      </c>
      <c r="Y124" s="581">
        <v>21</v>
      </c>
      <c r="Z124" s="581" t="s">
        <v>178</v>
      </c>
      <c r="AA124" s="581" t="s">
        <v>178</v>
      </c>
      <c r="AB124" s="585">
        <v>38305</v>
      </c>
      <c r="AC124" s="585" t="s">
        <v>164</v>
      </c>
      <c r="AD124" s="585">
        <v>35569.979166666672</v>
      </c>
      <c r="AE124" s="587">
        <v>0.03</v>
      </c>
      <c r="AF124" s="661" t="str">
        <f t="shared" si="7"/>
        <v>2019-PAS-FRD-TRUS-005-27</v>
      </c>
      <c r="AG124" s="661" t="str">
        <f>IF(AND($Y124&gt;=32,(AI124="I"),(Y124&lt;&gt;"~"),(COUNTIF($AN$1:$AN124,$AN124)=1)),"TRUE","FALSE")</f>
        <v>FALSE</v>
      </c>
      <c r="AH124" s="661" t="str">
        <f>IF(AND($Y124&gt;=22, (AI124&lt;&gt;"I"),(Y124&lt;&gt;"~"),(COUNTIF($AN$1:$AN124,$AN124)=1)),"TRUE","FALSE")</f>
        <v>FALSE</v>
      </c>
      <c r="AI124" s="661" t="str">
        <f t="shared" si="13"/>
        <v>I</v>
      </c>
      <c r="AJ124" s="662" t="str">
        <f t="shared" si="8"/>
        <v>TRUS-005</v>
      </c>
      <c r="AK124" s="662" t="str">
        <f t="shared" si="9"/>
        <v>PAS</v>
      </c>
      <c r="AL124" s="662" t="str">
        <f t="shared" si="10"/>
        <v>FRD</v>
      </c>
      <c r="AM124" s="662" t="str">
        <f t="shared" si="11"/>
        <v>Taurus-Limited-FWD-5-~-~-3.5L-6-P2F-301A-113-19-Unleaded-Unleaded</v>
      </c>
      <c r="AN124" s="662" t="str">
        <f t="shared" si="12"/>
        <v>2019-PAS-FRD-TRUS-005</v>
      </c>
    </row>
    <row r="125" spans="1:40" s="572" customFormat="1" ht="15">
      <c r="A125" s="570" t="s">
        <v>442</v>
      </c>
      <c r="B125" s="573" t="s">
        <v>443</v>
      </c>
      <c r="C125" s="573" t="s">
        <v>269</v>
      </c>
      <c r="D125" s="578" t="s">
        <v>270</v>
      </c>
      <c r="E125" s="573" t="s">
        <v>151</v>
      </c>
      <c r="F125" s="573" t="s">
        <v>187</v>
      </c>
      <c r="G125" s="573" t="s">
        <v>271</v>
      </c>
      <c r="H125" s="573">
        <v>2019</v>
      </c>
      <c r="I125" s="573" t="s">
        <v>432</v>
      </c>
      <c r="J125" s="573" t="s">
        <v>330</v>
      </c>
      <c r="K125" s="573" t="s">
        <v>156</v>
      </c>
      <c r="L125" s="573">
        <v>5</v>
      </c>
      <c r="M125" s="573">
        <v>0</v>
      </c>
      <c r="N125" s="573" t="s">
        <v>157</v>
      </c>
      <c r="O125" s="573">
        <v>2</v>
      </c>
      <c r="P125" s="573" t="s">
        <v>157</v>
      </c>
      <c r="Q125" s="571" t="s">
        <v>157</v>
      </c>
      <c r="R125" s="573" t="s">
        <v>316</v>
      </c>
      <c r="S125" s="573">
        <v>6</v>
      </c>
      <c r="T125" s="573" t="s">
        <v>444</v>
      </c>
      <c r="U125" s="573" t="s">
        <v>276</v>
      </c>
      <c r="V125" s="573">
        <v>112.9</v>
      </c>
      <c r="W125" s="573">
        <v>19</v>
      </c>
      <c r="X125" s="571">
        <v>3858</v>
      </c>
      <c r="Y125" s="579">
        <v>21</v>
      </c>
      <c r="Z125" s="579" t="s">
        <v>178</v>
      </c>
      <c r="AA125" s="579" t="s">
        <v>178</v>
      </c>
      <c r="AB125" s="584">
        <v>28795</v>
      </c>
      <c r="AC125" s="584" t="s">
        <v>164</v>
      </c>
      <c r="AD125" s="584">
        <v>26876.229166666668</v>
      </c>
      <c r="AE125" s="586">
        <v>0.03</v>
      </c>
      <c r="AF125" s="661" t="str">
        <f t="shared" si="7"/>
        <v>2019-PAS-FRD-TRUS-001-05</v>
      </c>
      <c r="AG125" s="661" t="str">
        <f>IF(AND($Y125&gt;=32,(AI125="I"),(Y125&lt;&gt;"~"),(COUNTIF($AN$1:$AN125,$AN125)=1)),"TRUE","FALSE")</f>
        <v>FALSE</v>
      </c>
      <c r="AH125" s="661" t="str">
        <f>IF(AND($Y125&gt;=22, (AI125&lt;&gt;"I"),(Y125&lt;&gt;"~"),(COUNTIF($AN$1:$AN125,$AN125)=1)),"TRUE","FALSE")</f>
        <v>FALSE</v>
      </c>
      <c r="AI125" s="661" t="str">
        <f t="shared" si="13"/>
        <v>I</v>
      </c>
      <c r="AJ125" s="662" t="str">
        <f t="shared" si="8"/>
        <v>TRUS-001</v>
      </c>
      <c r="AK125" s="662" t="str">
        <f t="shared" si="9"/>
        <v>PAS</v>
      </c>
      <c r="AL125" s="662" t="str">
        <f t="shared" si="10"/>
        <v>FRD</v>
      </c>
      <c r="AM125" s="662" t="str">
        <f t="shared" si="11"/>
        <v>Taurus-SE-FWD-5-~-~-3.5L-6-P2D-100A-112.9-19-Unleaded-Unleaded</v>
      </c>
      <c r="AN125" s="662" t="str">
        <f t="shared" si="12"/>
        <v>2019-PAS-FRD-TRUS-001</v>
      </c>
    </row>
    <row r="126" spans="1:40" s="572" customFormat="1" ht="15">
      <c r="A126" s="570" t="s">
        <v>445</v>
      </c>
      <c r="B126" s="569" t="s">
        <v>443</v>
      </c>
      <c r="C126" s="569" t="s">
        <v>287</v>
      </c>
      <c r="D126" s="580">
        <v>26</v>
      </c>
      <c r="E126" s="569" t="s">
        <v>151</v>
      </c>
      <c r="F126" s="569" t="s">
        <v>187</v>
      </c>
      <c r="G126" s="569" t="s">
        <v>271</v>
      </c>
      <c r="H126" s="569">
        <v>2019</v>
      </c>
      <c r="I126" s="569" t="s">
        <v>432</v>
      </c>
      <c r="J126" s="569" t="s">
        <v>330</v>
      </c>
      <c r="K126" s="569" t="s">
        <v>156</v>
      </c>
      <c r="L126" s="569">
        <v>5</v>
      </c>
      <c r="M126" s="569">
        <v>0</v>
      </c>
      <c r="N126" s="569" t="s">
        <v>157</v>
      </c>
      <c r="O126" s="569">
        <v>2</v>
      </c>
      <c r="P126" s="569" t="s">
        <v>157</v>
      </c>
      <c r="Q126" s="568" t="s">
        <v>157</v>
      </c>
      <c r="R126" s="569" t="s">
        <v>316</v>
      </c>
      <c r="S126" s="569">
        <v>6</v>
      </c>
      <c r="T126" s="569" t="s">
        <v>444</v>
      </c>
      <c r="U126" s="569" t="s">
        <v>276</v>
      </c>
      <c r="V126" s="569">
        <v>112.9</v>
      </c>
      <c r="W126" s="569">
        <v>19</v>
      </c>
      <c r="X126" s="568">
        <v>3858</v>
      </c>
      <c r="Y126" s="581">
        <v>21</v>
      </c>
      <c r="Z126" s="581" t="s">
        <v>178</v>
      </c>
      <c r="AA126" s="581" t="s">
        <v>178</v>
      </c>
      <c r="AB126" s="585">
        <v>28795</v>
      </c>
      <c r="AC126" s="585" t="s">
        <v>164</v>
      </c>
      <c r="AD126" s="585">
        <v>27472</v>
      </c>
      <c r="AE126" s="587">
        <v>0.05</v>
      </c>
      <c r="AF126" s="661" t="str">
        <f t="shared" si="7"/>
        <v>2019-PAS-FRD-TRUS-001-26</v>
      </c>
      <c r="AG126" s="661" t="str">
        <f>IF(AND($Y126&gt;=32,(AI126="I"),(Y126&lt;&gt;"~"),(COUNTIF($AN$1:$AN126,$AN126)=1)),"TRUE","FALSE")</f>
        <v>FALSE</v>
      </c>
      <c r="AH126" s="661" t="str">
        <f>IF(AND($Y126&gt;=22, (AI126&lt;&gt;"I"),(Y126&lt;&gt;"~"),(COUNTIF($AN$1:$AN126,$AN126)=1)),"TRUE","FALSE")</f>
        <v>FALSE</v>
      </c>
      <c r="AI126" s="661" t="str">
        <f t="shared" si="13"/>
        <v>I</v>
      </c>
      <c r="AJ126" s="662" t="str">
        <f t="shared" si="8"/>
        <v>TRUS-001</v>
      </c>
      <c r="AK126" s="662" t="str">
        <f t="shared" si="9"/>
        <v>PAS</v>
      </c>
      <c r="AL126" s="662" t="str">
        <f t="shared" si="10"/>
        <v>FRD</v>
      </c>
      <c r="AM126" s="662" t="str">
        <f t="shared" si="11"/>
        <v>Taurus-SE-FWD-5-~-~-3.5L-6-P2D-100A-112.9-19-Unleaded-Unleaded</v>
      </c>
      <c r="AN126" s="662" t="str">
        <f t="shared" si="12"/>
        <v>2019-PAS-FRD-TRUS-001</v>
      </c>
    </row>
    <row r="127" spans="1:40" s="572" customFormat="1" ht="15">
      <c r="A127" s="570" t="s">
        <v>446</v>
      </c>
      <c r="B127" s="573" t="s">
        <v>443</v>
      </c>
      <c r="C127" s="573" t="s">
        <v>280</v>
      </c>
      <c r="D127" s="578">
        <v>27</v>
      </c>
      <c r="E127" s="573" t="s">
        <v>151</v>
      </c>
      <c r="F127" s="573" t="s">
        <v>187</v>
      </c>
      <c r="G127" s="573" t="s">
        <v>271</v>
      </c>
      <c r="H127" s="573">
        <v>2019</v>
      </c>
      <c r="I127" s="573" t="s">
        <v>432</v>
      </c>
      <c r="J127" s="573" t="s">
        <v>330</v>
      </c>
      <c r="K127" s="573" t="s">
        <v>156</v>
      </c>
      <c r="L127" s="573">
        <v>5</v>
      </c>
      <c r="M127" s="573">
        <v>0</v>
      </c>
      <c r="N127" s="573" t="s">
        <v>157</v>
      </c>
      <c r="O127" s="573">
        <v>2</v>
      </c>
      <c r="P127" s="573" t="s">
        <v>157</v>
      </c>
      <c r="Q127" s="571" t="s">
        <v>157</v>
      </c>
      <c r="R127" s="573" t="s">
        <v>316</v>
      </c>
      <c r="S127" s="573">
        <v>6</v>
      </c>
      <c r="T127" s="573" t="s">
        <v>444</v>
      </c>
      <c r="U127" s="573" t="s">
        <v>276</v>
      </c>
      <c r="V127" s="573">
        <v>112.9</v>
      </c>
      <c r="W127" s="573">
        <v>19</v>
      </c>
      <c r="X127" s="571">
        <v>3858</v>
      </c>
      <c r="Y127" s="579">
        <v>21</v>
      </c>
      <c r="Z127" s="579" t="s">
        <v>178</v>
      </c>
      <c r="AA127" s="579" t="s">
        <v>178</v>
      </c>
      <c r="AB127" s="584">
        <v>28795</v>
      </c>
      <c r="AC127" s="584" t="s">
        <v>164</v>
      </c>
      <c r="AD127" s="584">
        <v>26876.229166666668</v>
      </c>
      <c r="AE127" s="586">
        <v>0.03</v>
      </c>
      <c r="AF127" s="661" t="str">
        <f t="shared" si="7"/>
        <v>2019-PAS-FRD-TRUS-001-27</v>
      </c>
      <c r="AG127" s="661" t="str">
        <f>IF(AND($Y127&gt;=32,(AI127="I"),(Y127&lt;&gt;"~"),(COUNTIF($AN$1:$AN127,$AN127)=1)),"TRUE","FALSE")</f>
        <v>FALSE</v>
      </c>
      <c r="AH127" s="661" t="str">
        <f>IF(AND($Y127&gt;=22, (AI127&lt;&gt;"I"),(Y127&lt;&gt;"~"),(COUNTIF($AN$1:$AN127,$AN127)=1)),"TRUE","FALSE")</f>
        <v>FALSE</v>
      </c>
      <c r="AI127" s="661" t="str">
        <f t="shared" si="13"/>
        <v>I</v>
      </c>
      <c r="AJ127" s="662" t="str">
        <f t="shared" si="8"/>
        <v>TRUS-001</v>
      </c>
      <c r="AK127" s="662" t="str">
        <f t="shared" si="9"/>
        <v>PAS</v>
      </c>
      <c r="AL127" s="662" t="str">
        <f t="shared" si="10"/>
        <v>FRD</v>
      </c>
      <c r="AM127" s="662" t="str">
        <f t="shared" si="11"/>
        <v>Taurus-SE-FWD-5-~-~-3.5L-6-P2D-100A-112.9-19-Unleaded-Unleaded</v>
      </c>
      <c r="AN127" s="662" t="str">
        <f t="shared" si="12"/>
        <v>2019-PAS-FRD-TRUS-001</v>
      </c>
    </row>
    <row r="128" spans="1:40" s="572" customFormat="1" ht="15">
      <c r="A128" s="570" t="s">
        <v>447</v>
      </c>
      <c r="B128" s="569" t="s">
        <v>448</v>
      </c>
      <c r="C128" s="569" t="s">
        <v>269</v>
      </c>
      <c r="D128" s="580" t="s">
        <v>270</v>
      </c>
      <c r="E128" s="569" t="s">
        <v>151</v>
      </c>
      <c r="F128" s="569" t="s">
        <v>187</v>
      </c>
      <c r="G128" s="569" t="s">
        <v>271</v>
      </c>
      <c r="H128" s="569">
        <v>2019</v>
      </c>
      <c r="I128" s="569" t="s">
        <v>432</v>
      </c>
      <c r="J128" s="569" t="s">
        <v>337</v>
      </c>
      <c r="K128" s="569" t="s">
        <v>230</v>
      </c>
      <c r="L128" s="569">
        <v>5</v>
      </c>
      <c r="M128" s="569">
        <v>0</v>
      </c>
      <c r="N128" s="569" t="s">
        <v>157</v>
      </c>
      <c r="O128" s="569">
        <v>2</v>
      </c>
      <c r="P128" s="569" t="s">
        <v>157</v>
      </c>
      <c r="Q128" s="568" t="s">
        <v>157</v>
      </c>
      <c r="R128" s="569" t="s">
        <v>316</v>
      </c>
      <c r="S128" s="569">
        <v>6</v>
      </c>
      <c r="T128" s="569" t="s">
        <v>449</v>
      </c>
      <c r="U128" s="569" t="s">
        <v>295</v>
      </c>
      <c r="V128" s="569">
        <v>112.9</v>
      </c>
      <c r="W128" s="569">
        <v>19</v>
      </c>
      <c r="X128" s="568">
        <v>4140</v>
      </c>
      <c r="Y128" s="581">
        <v>19</v>
      </c>
      <c r="Z128" s="581" t="s">
        <v>450</v>
      </c>
      <c r="AA128" s="581" t="s">
        <v>178</v>
      </c>
      <c r="AB128" s="585">
        <v>33075</v>
      </c>
      <c r="AC128" s="585" t="s">
        <v>164</v>
      </c>
      <c r="AD128" s="585">
        <v>30788.729166666668</v>
      </c>
      <c r="AE128" s="587">
        <v>0.03</v>
      </c>
      <c r="AF128" s="661" t="str">
        <f t="shared" si="7"/>
        <v>2019-PAS-FRD-TRUS-002-05</v>
      </c>
      <c r="AG128" s="661" t="str">
        <f>IF(AND($Y128&gt;=32,(AI128="I"),(Y128&lt;&gt;"~"),(COUNTIF($AN$1:$AN128,$AN128)=1)),"TRUE","FALSE")</f>
        <v>FALSE</v>
      </c>
      <c r="AH128" s="661" t="str">
        <f>IF(AND($Y128&gt;=22, (AI128&lt;&gt;"I"),(Y128&lt;&gt;"~"),(COUNTIF($AN$1:$AN128,$AN128)=1)),"TRUE","FALSE")</f>
        <v>FALSE</v>
      </c>
      <c r="AI128" s="661" t="str">
        <f t="shared" si="13"/>
        <v>I</v>
      </c>
      <c r="AJ128" s="662" t="str">
        <f t="shared" si="8"/>
        <v>TRUS-002</v>
      </c>
      <c r="AK128" s="662" t="str">
        <f t="shared" si="9"/>
        <v>PAS</v>
      </c>
      <c r="AL128" s="662" t="str">
        <f t="shared" si="10"/>
        <v>FRD</v>
      </c>
      <c r="AM128" s="662" t="str">
        <f t="shared" si="11"/>
        <v>Taurus-SEL-AWD-5-~-~-3.5L-6-P2H-200A-112.9-19-E85-Unleaded</v>
      </c>
      <c r="AN128" s="662" t="str">
        <f t="shared" si="12"/>
        <v>2019-PAS-FRD-TRUS-002</v>
      </c>
    </row>
    <row r="129" spans="1:40" s="572" customFormat="1" ht="15">
      <c r="A129" s="570" t="s">
        <v>451</v>
      </c>
      <c r="B129" s="573" t="s">
        <v>448</v>
      </c>
      <c r="C129" s="573" t="s">
        <v>287</v>
      </c>
      <c r="D129" s="578">
        <v>26</v>
      </c>
      <c r="E129" s="573" t="s">
        <v>151</v>
      </c>
      <c r="F129" s="573" t="s">
        <v>187</v>
      </c>
      <c r="G129" s="573" t="s">
        <v>271</v>
      </c>
      <c r="H129" s="573">
        <v>2019</v>
      </c>
      <c r="I129" s="573" t="s">
        <v>432</v>
      </c>
      <c r="J129" s="573" t="s">
        <v>337</v>
      </c>
      <c r="K129" s="573" t="s">
        <v>230</v>
      </c>
      <c r="L129" s="573">
        <v>5</v>
      </c>
      <c r="M129" s="573">
        <v>0</v>
      </c>
      <c r="N129" s="573" t="s">
        <v>157</v>
      </c>
      <c r="O129" s="573">
        <v>2</v>
      </c>
      <c r="P129" s="573" t="s">
        <v>157</v>
      </c>
      <c r="Q129" s="571" t="s">
        <v>157</v>
      </c>
      <c r="R129" s="573" t="s">
        <v>316</v>
      </c>
      <c r="S129" s="573">
        <v>6</v>
      </c>
      <c r="T129" s="573" t="s">
        <v>449</v>
      </c>
      <c r="U129" s="573" t="s">
        <v>295</v>
      </c>
      <c r="V129" s="573">
        <v>112.9</v>
      </c>
      <c r="W129" s="573">
        <v>19</v>
      </c>
      <c r="X129" s="571">
        <v>4140</v>
      </c>
      <c r="Y129" s="579">
        <v>19</v>
      </c>
      <c r="Z129" s="579" t="s">
        <v>450</v>
      </c>
      <c r="AA129" s="579" t="s">
        <v>178</v>
      </c>
      <c r="AB129" s="584">
        <v>33075</v>
      </c>
      <c r="AC129" s="584" t="s">
        <v>164</v>
      </c>
      <c r="AD129" s="584">
        <v>31504</v>
      </c>
      <c r="AE129" s="586">
        <v>0.05</v>
      </c>
      <c r="AF129" s="661" t="str">
        <f t="shared" si="7"/>
        <v>2019-PAS-FRD-TRUS-002-26</v>
      </c>
      <c r="AG129" s="661" t="str">
        <f>IF(AND($Y129&gt;=32,(AI129="I"),(Y129&lt;&gt;"~"),(COUNTIF($AN$1:$AN129,$AN129)=1)),"TRUE","FALSE")</f>
        <v>FALSE</v>
      </c>
      <c r="AH129" s="661" t="str">
        <f>IF(AND($Y129&gt;=22, (AI129&lt;&gt;"I"),(Y129&lt;&gt;"~"),(COUNTIF($AN$1:$AN129,$AN129)=1)),"TRUE","FALSE")</f>
        <v>FALSE</v>
      </c>
      <c r="AI129" s="661" t="str">
        <f t="shared" si="13"/>
        <v>I</v>
      </c>
      <c r="AJ129" s="662" t="str">
        <f t="shared" si="8"/>
        <v>TRUS-002</v>
      </c>
      <c r="AK129" s="662" t="str">
        <f t="shared" si="9"/>
        <v>PAS</v>
      </c>
      <c r="AL129" s="662" t="str">
        <f t="shared" si="10"/>
        <v>FRD</v>
      </c>
      <c r="AM129" s="662" t="str">
        <f t="shared" si="11"/>
        <v>Taurus-SEL-AWD-5-~-~-3.5L-6-P2H-200A-112.9-19-E85-Unleaded</v>
      </c>
      <c r="AN129" s="662" t="str">
        <f t="shared" si="12"/>
        <v>2019-PAS-FRD-TRUS-002</v>
      </c>
    </row>
    <row r="130" spans="1:40" s="572" customFormat="1" ht="15">
      <c r="A130" s="570" t="s">
        <v>452</v>
      </c>
      <c r="B130" s="569" t="s">
        <v>448</v>
      </c>
      <c r="C130" s="569" t="s">
        <v>280</v>
      </c>
      <c r="D130" s="580">
        <v>27</v>
      </c>
      <c r="E130" s="569" t="s">
        <v>151</v>
      </c>
      <c r="F130" s="569" t="s">
        <v>187</v>
      </c>
      <c r="G130" s="569" t="s">
        <v>271</v>
      </c>
      <c r="H130" s="569">
        <v>2019</v>
      </c>
      <c r="I130" s="569" t="s">
        <v>432</v>
      </c>
      <c r="J130" s="569" t="s">
        <v>337</v>
      </c>
      <c r="K130" s="569" t="s">
        <v>230</v>
      </c>
      <c r="L130" s="569">
        <v>5</v>
      </c>
      <c r="M130" s="569">
        <v>0</v>
      </c>
      <c r="N130" s="569" t="s">
        <v>157</v>
      </c>
      <c r="O130" s="569">
        <v>2</v>
      </c>
      <c r="P130" s="569" t="s">
        <v>157</v>
      </c>
      <c r="Q130" s="568" t="s">
        <v>157</v>
      </c>
      <c r="R130" s="569" t="s">
        <v>316</v>
      </c>
      <c r="S130" s="569">
        <v>6</v>
      </c>
      <c r="T130" s="569" t="s">
        <v>449</v>
      </c>
      <c r="U130" s="569" t="s">
        <v>295</v>
      </c>
      <c r="V130" s="569">
        <v>112.9</v>
      </c>
      <c r="W130" s="569">
        <v>19</v>
      </c>
      <c r="X130" s="568">
        <v>4140</v>
      </c>
      <c r="Y130" s="581">
        <v>19</v>
      </c>
      <c r="Z130" s="581" t="s">
        <v>450</v>
      </c>
      <c r="AA130" s="581" t="s">
        <v>178</v>
      </c>
      <c r="AB130" s="585">
        <v>33075</v>
      </c>
      <c r="AC130" s="585" t="s">
        <v>164</v>
      </c>
      <c r="AD130" s="585">
        <v>30788.729166666668</v>
      </c>
      <c r="AE130" s="587">
        <v>0.03</v>
      </c>
      <c r="AF130" s="661" t="str">
        <f t="shared" si="7"/>
        <v>2019-PAS-FRD-TRUS-002-27</v>
      </c>
      <c r="AG130" s="661" t="str">
        <f>IF(AND($Y130&gt;=32,(AI130="I"),(Y130&lt;&gt;"~"),(COUNTIF($AN$1:$AN130,$AN130)=1)),"TRUE","FALSE")</f>
        <v>FALSE</v>
      </c>
      <c r="AH130" s="661" t="str">
        <f>IF(AND($Y130&gt;=22, (AI130&lt;&gt;"I"),(Y130&lt;&gt;"~"),(COUNTIF($AN$1:$AN130,$AN130)=1)),"TRUE","FALSE")</f>
        <v>FALSE</v>
      </c>
      <c r="AI130" s="661" t="str">
        <f t="shared" si="13"/>
        <v>I</v>
      </c>
      <c r="AJ130" s="662" t="str">
        <f t="shared" si="8"/>
        <v>TRUS-002</v>
      </c>
      <c r="AK130" s="662" t="str">
        <f t="shared" si="9"/>
        <v>PAS</v>
      </c>
      <c r="AL130" s="662" t="str">
        <f t="shared" si="10"/>
        <v>FRD</v>
      </c>
      <c r="AM130" s="662" t="str">
        <f t="shared" si="11"/>
        <v>Taurus-SEL-AWD-5-~-~-3.5L-6-P2H-200A-112.9-19-E85-Unleaded</v>
      </c>
      <c r="AN130" s="662" t="str">
        <f t="shared" si="12"/>
        <v>2019-PAS-FRD-TRUS-002</v>
      </c>
    </row>
    <row r="131" spans="1:40" s="572" customFormat="1" ht="15">
      <c r="A131" s="570" t="s">
        <v>453</v>
      </c>
      <c r="B131" s="573" t="s">
        <v>454</v>
      </c>
      <c r="C131" s="573" t="s">
        <v>269</v>
      </c>
      <c r="D131" s="578" t="s">
        <v>270</v>
      </c>
      <c r="E131" s="573" t="s">
        <v>151</v>
      </c>
      <c r="F131" s="573" t="s">
        <v>187</v>
      </c>
      <c r="G131" s="573" t="s">
        <v>271</v>
      </c>
      <c r="H131" s="573">
        <v>2019</v>
      </c>
      <c r="I131" s="573" t="s">
        <v>432</v>
      </c>
      <c r="J131" s="573" t="s">
        <v>337</v>
      </c>
      <c r="K131" s="573" t="s">
        <v>156</v>
      </c>
      <c r="L131" s="573">
        <v>5</v>
      </c>
      <c r="M131" s="573">
        <v>0</v>
      </c>
      <c r="N131" s="573" t="s">
        <v>157</v>
      </c>
      <c r="O131" s="573">
        <v>2</v>
      </c>
      <c r="P131" s="573" t="s">
        <v>157</v>
      </c>
      <c r="Q131" s="571" t="s">
        <v>157</v>
      </c>
      <c r="R131" s="573" t="s">
        <v>316</v>
      </c>
      <c r="S131" s="573">
        <v>6</v>
      </c>
      <c r="T131" s="573" t="s">
        <v>455</v>
      </c>
      <c r="U131" s="573" t="s">
        <v>295</v>
      </c>
      <c r="V131" s="573">
        <v>112.9</v>
      </c>
      <c r="W131" s="573">
        <v>19</v>
      </c>
      <c r="X131" s="571">
        <v>3858</v>
      </c>
      <c r="Y131" s="579">
        <v>21</v>
      </c>
      <c r="Z131" s="579" t="s">
        <v>178</v>
      </c>
      <c r="AA131" s="579" t="s">
        <v>178</v>
      </c>
      <c r="AB131" s="584">
        <v>31225</v>
      </c>
      <c r="AC131" s="584" t="s">
        <v>164</v>
      </c>
      <c r="AD131" s="584">
        <v>29098.104166666668</v>
      </c>
      <c r="AE131" s="586">
        <v>0.03</v>
      </c>
      <c r="AF131" s="661" t="str">
        <f t="shared" ref="AF131:AF194" si="14">A131</f>
        <v>2019-PAS-FRD-TRUS-003-05</v>
      </c>
      <c r="AG131" s="661" t="str">
        <f>IF(AND($Y131&gt;=32,(AI131="I"),(Y131&lt;&gt;"~"),(COUNTIF($AN$1:$AN131,$AN131)=1)),"TRUE","FALSE")</f>
        <v>FALSE</v>
      </c>
      <c r="AH131" s="661" t="str">
        <f>IF(AND($Y131&gt;=22, (AI131&lt;&gt;"I"),(Y131&lt;&gt;"~"),(COUNTIF($AN$1:$AN131,$AN131)=1)),"TRUE","FALSE")</f>
        <v>FALSE</v>
      </c>
      <c r="AI131" s="661" t="str">
        <f t="shared" si="13"/>
        <v>I</v>
      </c>
      <c r="AJ131" s="662" t="str">
        <f t="shared" ref="AJ131:AJ194" si="15">MID(A131,14,8)</f>
        <v>TRUS-003</v>
      </c>
      <c r="AK131" s="662" t="str">
        <f t="shared" ref="AK131:AK194" si="16">MID(A131,6,3)</f>
        <v>PAS</v>
      </c>
      <c r="AL131" s="662" t="str">
        <f t="shared" ref="AL131:AL194" si="17">MID(A131,10,3)</f>
        <v>FRD</v>
      </c>
      <c r="AM131" s="662" t="str">
        <f t="shared" ref="AM131:AM218" si="18">CONCATENATE(I131,"-",J131,"-",K131,"-",L131,"-",P131,"-",Q131,"-",R131,"-",S131,"-",T131,"-",U131,"-",V131,"-",W131,"-",Z131,"-",AA131)</f>
        <v>Taurus-SEL-FWD-5-~-~-3.5L-6-P2E-200A-112.9-19-Unleaded-Unleaded</v>
      </c>
      <c r="AN131" s="662" t="str">
        <f t="shared" ref="AN131:AN194" si="19">LEFT(A131,21)</f>
        <v>2019-PAS-FRD-TRUS-003</v>
      </c>
    </row>
    <row r="132" spans="1:40" s="572" customFormat="1" ht="15">
      <c r="A132" s="570" t="s">
        <v>456</v>
      </c>
      <c r="B132" s="569" t="s">
        <v>454</v>
      </c>
      <c r="C132" s="569" t="s">
        <v>287</v>
      </c>
      <c r="D132" s="580">
        <v>26</v>
      </c>
      <c r="E132" s="569" t="s">
        <v>151</v>
      </c>
      <c r="F132" s="569" t="s">
        <v>187</v>
      </c>
      <c r="G132" s="569" t="s">
        <v>271</v>
      </c>
      <c r="H132" s="569">
        <v>2019</v>
      </c>
      <c r="I132" s="569" t="s">
        <v>432</v>
      </c>
      <c r="J132" s="569" t="s">
        <v>337</v>
      </c>
      <c r="K132" s="569" t="s">
        <v>156</v>
      </c>
      <c r="L132" s="569">
        <v>5</v>
      </c>
      <c r="M132" s="569">
        <v>0</v>
      </c>
      <c r="N132" s="569" t="s">
        <v>157</v>
      </c>
      <c r="O132" s="569">
        <v>2</v>
      </c>
      <c r="P132" s="569" t="s">
        <v>157</v>
      </c>
      <c r="Q132" s="568" t="s">
        <v>157</v>
      </c>
      <c r="R132" s="569" t="s">
        <v>316</v>
      </c>
      <c r="S132" s="569">
        <v>6</v>
      </c>
      <c r="T132" s="569" t="s">
        <v>455</v>
      </c>
      <c r="U132" s="569" t="s">
        <v>295</v>
      </c>
      <c r="V132" s="569">
        <v>112.9</v>
      </c>
      <c r="W132" s="569">
        <v>19</v>
      </c>
      <c r="X132" s="568">
        <v>3858</v>
      </c>
      <c r="Y132" s="581">
        <v>21</v>
      </c>
      <c r="Z132" s="581" t="s">
        <v>178</v>
      </c>
      <c r="AA132" s="581" t="s">
        <v>178</v>
      </c>
      <c r="AB132" s="585">
        <v>31225</v>
      </c>
      <c r="AC132" s="585" t="s">
        <v>164</v>
      </c>
      <c r="AD132" s="585">
        <v>29762</v>
      </c>
      <c r="AE132" s="587">
        <v>0.05</v>
      </c>
      <c r="AF132" s="661" t="str">
        <f t="shared" si="14"/>
        <v>2019-PAS-FRD-TRUS-003-26</v>
      </c>
      <c r="AG132" s="661" t="str">
        <f>IF(AND($Y132&gt;=32,(AI132="I"),(Y132&lt;&gt;"~"),(COUNTIF($AN$1:$AN132,$AN132)=1)),"TRUE","FALSE")</f>
        <v>FALSE</v>
      </c>
      <c r="AH132" s="661" t="str">
        <f>IF(AND($Y132&gt;=22, (AI132&lt;&gt;"I"),(Y132&lt;&gt;"~"),(COUNTIF($AN$1:$AN132,$AN132)=1)),"TRUE","FALSE")</f>
        <v>FALSE</v>
      </c>
      <c r="AI132" s="661" t="str">
        <f t="shared" ref="AI132:AI219" si="20">IF(OR((LEFT($E132,2)="01"),AND(LEFT($E132,2)="06",ISNUMBER(SEARCH("pas",$F132))),AND(LEFT($E132,2)="05",ISNUMBER(SEARCH("pas",$F132)))),"I",IF(AND((LEFT($E132,2)&lt;&gt;"01"),$X132&lt;=10000),"II",IF(AND((LEFT($E132,2)&lt;&gt;"01"),$X132&gt;10000),"N/A")))</f>
        <v>I</v>
      </c>
      <c r="AJ132" s="662" t="str">
        <f t="shared" si="15"/>
        <v>TRUS-003</v>
      </c>
      <c r="AK132" s="662" t="str">
        <f t="shared" si="16"/>
        <v>PAS</v>
      </c>
      <c r="AL132" s="662" t="str">
        <f t="shared" si="17"/>
        <v>FRD</v>
      </c>
      <c r="AM132" s="662" t="str">
        <f t="shared" si="18"/>
        <v>Taurus-SEL-FWD-5-~-~-3.5L-6-P2E-200A-112.9-19-Unleaded-Unleaded</v>
      </c>
      <c r="AN132" s="662" t="str">
        <f t="shared" si="19"/>
        <v>2019-PAS-FRD-TRUS-003</v>
      </c>
    </row>
    <row r="133" spans="1:40" s="572" customFormat="1" ht="15">
      <c r="A133" s="570" t="s">
        <v>457</v>
      </c>
      <c r="B133" s="573" t="s">
        <v>454</v>
      </c>
      <c r="C133" s="573" t="s">
        <v>280</v>
      </c>
      <c r="D133" s="578">
        <v>27</v>
      </c>
      <c r="E133" s="573" t="s">
        <v>151</v>
      </c>
      <c r="F133" s="573" t="s">
        <v>187</v>
      </c>
      <c r="G133" s="573" t="s">
        <v>271</v>
      </c>
      <c r="H133" s="573">
        <v>2019</v>
      </c>
      <c r="I133" s="573" t="s">
        <v>432</v>
      </c>
      <c r="J133" s="573" t="s">
        <v>337</v>
      </c>
      <c r="K133" s="573" t="s">
        <v>156</v>
      </c>
      <c r="L133" s="573">
        <v>5</v>
      </c>
      <c r="M133" s="573">
        <v>0</v>
      </c>
      <c r="N133" s="573" t="s">
        <v>157</v>
      </c>
      <c r="O133" s="573">
        <v>2</v>
      </c>
      <c r="P133" s="573" t="s">
        <v>157</v>
      </c>
      <c r="Q133" s="571" t="s">
        <v>157</v>
      </c>
      <c r="R133" s="573" t="s">
        <v>316</v>
      </c>
      <c r="S133" s="573">
        <v>6</v>
      </c>
      <c r="T133" s="573" t="s">
        <v>455</v>
      </c>
      <c r="U133" s="573" t="s">
        <v>295</v>
      </c>
      <c r="V133" s="573">
        <v>112.9</v>
      </c>
      <c r="W133" s="573">
        <v>19</v>
      </c>
      <c r="X133" s="571">
        <v>3858</v>
      </c>
      <c r="Y133" s="579">
        <v>21</v>
      </c>
      <c r="Z133" s="579" t="s">
        <v>178</v>
      </c>
      <c r="AA133" s="579" t="s">
        <v>178</v>
      </c>
      <c r="AB133" s="584">
        <v>31225</v>
      </c>
      <c r="AC133" s="584" t="s">
        <v>164</v>
      </c>
      <c r="AD133" s="584">
        <v>29098.104166666668</v>
      </c>
      <c r="AE133" s="586">
        <v>0.03</v>
      </c>
      <c r="AF133" s="661" t="str">
        <f t="shared" si="14"/>
        <v>2019-PAS-FRD-TRUS-003-27</v>
      </c>
      <c r="AG133" s="661" t="str">
        <f>IF(AND($Y133&gt;=32,(AI133="I"),(Y133&lt;&gt;"~"),(COUNTIF($AN$1:$AN133,$AN133)=1)),"TRUE","FALSE")</f>
        <v>FALSE</v>
      </c>
      <c r="AH133" s="661" t="str">
        <f>IF(AND($Y133&gt;=22, (AI133&lt;&gt;"I"),(Y133&lt;&gt;"~"),(COUNTIF($AN$1:$AN133,$AN133)=1)),"TRUE","FALSE")</f>
        <v>FALSE</v>
      </c>
      <c r="AI133" s="661" t="str">
        <f t="shared" si="20"/>
        <v>I</v>
      </c>
      <c r="AJ133" s="662" t="str">
        <f t="shared" si="15"/>
        <v>TRUS-003</v>
      </c>
      <c r="AK133" s="662" t="str">
        <f t="shared" si="16"/>
        <v>PAS</v>
      </c>
      <c r="AL133" s="662" t="str">
        <f t="shared" si="17"/>
        <v>FRD</v>
      </c>
      <c r="AM133" s="662" t="str">
        <f t="shared" si="18"/>
        <v>Taurus-SEL-FWD-5-~-~-3.5L-6-P2E-200A-112.9-19-Unleaded-Unleaded</v>
      </c>
      <c r="AN133" s="662" t="str">
        <f t="shared" si="19"/>
        <v>2019-PAS-FRD-TRUS-003</v>
      </c>
    </row>
    <row r="134" spans="1:40" s="572" customFormat="1" ht="15">
      <c r="A134" s="570" t="s">
        <v>458</v>
      </c>
      <c r="B134" s="569" t="s">
        <v>459</v>
      </c>
      <c r="C134" s="569" t="s">
        <v>269</v>
      </c>
      <c r="D134" s="580" t="s">
        <v>270</v>
      </c>
      <c r="E134" s="569" t="s">
        <v>151</v>
      </c>
      <c r="F134" s="569" t="s">
        <v>187</v>
      </c>
      <c r="G134" s="569" t="s">
        <v>271</v>
      </c>
      <c r="H134" s="569">
        <v>2019</v>
      </c>
      <c r="I134" s="569" t="s">
        <v>432</v>
      </c>
      <c r="J134" s="569" t="s">
        <v>460</v>
      </c>
      <c r="K134" s="569" t="s">
        <v>230</v>
      </c>
      <c r="L134" s="569">
        <v>5</v>
      </c>
      <c r="M134" s="569">
        <v>0</v>
      </c>
      <c r="N134" s="569" t="s">
        <v>157</v>
      </c>
      <c r="O134" s="569">
        <v>2</v>
      </c>
      <c r="P134" s="569" t="s">
        <v>157</v>
      </c>
      <c r="Q134" s="568" t="s">
        <v>157</v>
      </c>
      <c r="R134" s="569" t="s">
        <v>316</v>
      </c>
      <c r="S134" s="569">
        <v>6</v>
      </c>
      <c r="T134" s="569" t="s">
        <v>461</v>
      </c>
      <c r="U134" s="569" t="s">
        <v>462</v>
      </c>
      <c r="V134" s="569">
        <v>113</v>
      </c>
      <c r="W134" s="569">
        <v>19</v>
      </c>
      <c r="X134" s="568">
        <v>4140</v>
      </c>
      <c r="Y134" s="581">
        <v>19</v>
      </c>
      <c r="Z134" s="581" t="s">
        <v>178</v>
      </c>
      <c r="AA134" s="581" t="s">
        <v>178</v>
      </c>
      <c r="AB134" s="585">
        <v>43970</v>
      </c>
      <c r="AC134" s="585" t="s">
        <v>164</v>
      </c>
      <c r="AD134" s="585">
        <v>40747.0625</v>
      </c>
      <c r="AE134" s="587">
        <v>0.03</v>
      </c>
      <c r="AF134" s="661" t="str">
        <f t="shared" si="14"/>
        <v>2019-PAS-FRD-TRUS-006-05</v>
      </c>
      <c r="AG134" s="661" t="str">
        <f>IF(AND($Y134&gt;=32,(AI134="I"),(Y134&lt;&gt;"~"),(COUNTIF($AN$1:$AN134,$AN134)=1)),"TRUE","FALSE")</f>
        <v>FALSE</v>
      </c>
      <c r="AH134" s="661" t="str">
        <f>IF(AND($Y134&gt;=22, (AI134&lt;&gt;"I"),(Y134&lt;&gt;"~"),(COUNTIF($AN$1:$AN134,$AN134)=1)),"TRUE","FALSE")</f>
        <v>FALSE</v>
      </c>
      <c r="AI134" s="661" t="str">
        <f t="shared" si="20"/>
        <v>I</v>
      </c>
      <c r="AJ134" s="662" t="str">
        <f t="shared" si="15"/>
        <v>TRUS-006</v>
      </c>
      <c r="AK134" s="662" t="str">
        <f t="shared" si="16"/>
        <v>PAS</v>
      </c>
      <c r="AL134" s="662" t="str">
        <f t="shared" si="17"/>
        <v>FRD</v>
      </c>
      <c r="AM134" s="662" t="str">
        <f t="shared" si="18"/>
        <v>Taurus-SHO-AWD-5-~-~-3.5L-6-P2K-401A-113-19-Unleaded-Unleaded</v>
      </c>
      <c r="AN134" s="662" t="str">
        <f t="shared" si="19"/>
        <v>2019-PAS-FRD-TRUS-006</v>
      </c>
    </row>
    <row r="135" spans="1:40" s="572" customFormat="1" ht="15">
      <c r="A135" s="570" t="s">
        <v>463</v>
      </c>
      <c r="B135" s="573" t="s">
        <v>459</v>
      </c>
      <c r="C135" s="573" t="s">
        <v>287</v>
      </c>
      <c r="D135" s="578">
        <v>26</v>
      </c>
      <c r="E135" s="573" t="s">
        <v>151</v>
      </c>
      <c r="F135" s="573" t="s">
        <v>187</v>
      </c>
      <c r="G135" s="573" t="s">
        <v>271</v>
      </c>
      <c r="H135" s="573">
        <v>2019</v>
      </c>
      <c r="I135" s="573" t="s">
        <v>432</v>
      </c>
      <c r="J135" s="573" t="s">
        <v>460</v>
      </c>
      <c r="K135" s="573" t="s">
        <v>230</v>
      </c>
      <c r="L135" s="573">
        <v>5</v>
      </c>
      <c r="M135" s="573">
        <v>0</v>
      </c>
      <c r="N135" s="573" t="s">
        <v>157</v>
      </c>
      <c r="O135" s="573">
        <v>2</v>
      </c>
      <c r="P135" s="573" t="s">
        <v>157</v>
      </c>
      <c r="Q135" s="571" t="s">
        <v>157</v>
      </c>
      <c r="R135" s="573" t="s">
        <v>316</v>
      </c>
      <c r="S135" s="573">
        <v>6</v>
      </c>
      <c r="T135" s="573" t="s">
        <v>461</v>
      </c>
      <c r="U135" s="573" t="s">
        <v>462</v>
      </c>
      <c r="V135" s="573">
        <v>113</v>
      </c>
      <c r="W135" s="573">
        <v>19</v>
      </c>
      <c r="X135" s="571">
        <v>3917</v>
      </c>
      <c r="Y135" s="579">
        <v>19</v>
      </c>
      <c r="Z135" s="579" t="s">
        <v>178</v>
      </c>
      <c r="AA135" s="579" t="s">
        <v>178</v>
      </c>
      <c r="AB135" s="584">
        <v>43970</v>
      </c>
      <c r="AC135" s="584" t="s">
        <v>164</v>
      </c>
      <c r="AD135" s="584">
        <v>41768</v>
      </c>
      <c r="AE135" s="586">
        <v>0.05</v>
      </c>
      <c r="AF135" s="661" t="str">
        <f t="shared" si="14"/>
        <v>2019-PAS-FRD-TRUS-006-26</v>
      </c>
      <c r="AG135" s="661" t="str">
        <f>IF(AND($Y135&gt;=32,(AI135="I"),(Y135&lt;&gt;"~"),(COUNTIF($AN$1:$AN135,$AN135)=1)),"TRUE","FALSE")</f>
        <v>FALSE</v>
      </c>
      <c r="AH135" s="661" t="str">
        <f>IF(AND($Y135&gt;=22, (AI135&lt;&gt;"I"),(Y135&lt;&gt;"~"),(COUNTIF($AN$1:$AN135,$AN135)=1)),"TRUE","FALSE")</f>
        <v>FALSE</v>
      </c>
      <c r="AI135" s="661" t="str">
        <f t="shared" si="20"/>
        <v>I</v>
      </c>
      <c r="AJ135" s="662" t="str">
        <f t="shared" si="15"/>
        <v>TRUS-006</v>
      </c>
      <c r="AK135" s="662" t="str">
        <f t="shared" si="16"/>
        <v>PAS</v>
      </c>
      <c r="AL135" s="662" t="str">
        <f t="shared" si="17"/>
        <v>FRD</v>
      </c>
      <c r="AM135" s="662" t="str">
        <f t="shared" si="18"/>
        <v>Taurus-SHO-AWD-5-~-~-3.5L-6-P2K-401A-113-19-Unleaded-Unleaded</v>
      </c>
      <c r="AN135" s="662" t="str">
        <f t="shared" si="19"/>
        <v>2019-PAS-FRD-TRUS-006</v>
      </c>
    </row>
    <row r="136" spans="1:40" s="572" customFormat="1" ht="15">
      <c r="A136" s="570" t="s">
        <v>464</v>
      </c>
      <c r="B136" s="569" t="s">
        <v>459</v>
      </c>
      <c r="C136" s="569" t="s">
        <v>280</v>
      </c>
      <c r="D136" s="580">
        <v>27</v>
      </c>
      <c r="E136" s="569" t="s">
        <v>151</v>
      </c>
      <c r="F136" s="569" t="s">
        <v>187</v>
      </c>
      <c r="G136" s="569" t="s">
        <v>271</v>
      </c>
      <c r="H136" s="569">
        <v>2019</v>
      </c>
      <c r="I136" s="569" t="s">
        <v>432</v>
      </c>
      <c r="J136" s="569" t="s">
        <v>460</v>
      </c>
      <c r="K136" s="569" t="s">
        <v>230</v>
      </c>
      <c r="L136" s="569">
        <v>5</v>
      </c>
      <c r="M136" s="569">
        <v>0</v>
      </c>
      <c r="N136" s="569" t="s">
        <v>157</v>
      </c>
      <c r="O136" s="569">
        <v>2</v>
      </c>
      <c r="P136" s="569" t="s">
        <v>157</v>
      </c>
      <c r="Q136" s="568" t="s">
        <v>157</v>
      </c>
      <c r="R136" s="569" t="s">
        <v>316</v>
      </c>
      <c r="S136" s="569">
        <v>6</v>
      </c>
      <c r="T136" s="569" t="s">
        <v>461</v>
      </c>
      <c r="U136" s="569" t="s">
        <v>462</v>
      </c>
      <c r="V136" s="569">
        <v>113</v>
      </c>
      <c r="W136" s="569">
        <v>19</v>
      </c>
      <c r="X136" s="568">
        <v>4140</v>
      </c>
      <c r="Y136" s="581">
        <v>19</v>
      </c>
      <c r="Z136" s="581" t="s">
        <v>178</v>
      </c>
      <c r="AA136" s="581" t="s">
        <v>178</v>
      </c>
      <c r="AB136" s="585">
        <v>43970</v>
      </c>
      <c r="AC136" s="585" t="s">
        <v>164</v>
      </c>
      <c r="AD136" s="585">
        <v>40747.0625</v>
      </c>
      <c r="AE136" s="587">
        <v>0.03</v>
      </c>
      <c r="AF136" s="661" t="str">
        <f t="shared" si="14"/>
        <v>2019-PAS-FRD-TRUS-006-27</v>
      </c>
      <c r="AG136" s="661" t="str">
        <f>IF(AND($Y136&gt;=32,(AI136="I"),(Y136&lt;&gt;"~"),(COUNTIF($AN$1:$AN136,$AN136)=1)),"TRUE","FALSE")</f>
        <v>FALSE</v>
      </c>
      <c r="AH136" s="661" t="str">
        <f>IF(AND($Y136&gt;=22, (AI136&lt;&gt;"I"),(Y136&lt;&gt;"~"),(COUNTIF($AN$1:$AN136,$AN136)=1)),"TRUE","FALSE")</f>
        <v>FALSE</v>
      </c>
      <c r="AI136" s="661" t="str">
        <f t="shared" si="20"/>
        <v>I</v>
      </c>
      <c r="AJ136" s="662" t="str">
        <f t="shared" si="15"/>
        <v>TRUS-006</v>
      </c>
      <c r="AK136" s="662" t="str">
        <f t="shared" si="16"/>
        <v>PAS</v>
      </c>
      <c r="AL136" s="662" t="str">
        <f t="shared" si="17"/>
        <v>FRD</v>
      </c>
      <c r="AM136" s="662" t="str">
        <f t="shared" si="18"/>
        <v>Taurus-SHO-AWD-5-~-~-3.5L-6-P2K-401A-113-19-Unleaded-Unleaded</v>
      </c>
      <c r="AN136" s="662" t="str">
        <f t="shared" si="19"/>
        <v>2019-PAS-FRD-TRUS-006</v>
      </c>
    </row>
    <row r="137" spans="1:40" s="572" customFormat="1" ht="15">
      <c r="A137" s="570" t="s">
        <v>465</v>
      </c>
      <c r="B137" s="573" t="s">
        <v>466</v>
      </c>
      <c r="C137" s="573" t="s">
        <v>467</v>
      </c>
      <c r="D137" s="578" t="s">
        <v>468</v>
      </c>
      <c r="E137" s="573" t="s">
        <v>151</v>
      </c>
      <c r="F137" s="573" t="s">
        <v>196</v>
      </c>
      <c r="G137" s="573" t="s">
        <v>469</v>
      </c>
      <c r="H137" s="573">
        <v>2019</v>
      </c>
      <c r="I137" s="573" t="s">
        <v>470</v>
      </c>
      <c r="J137" s="573" t="s">
        <v>198</v>
      </c>
      <c r="K137" s="573" t="s">
        <v>156</v>
      </c>
      <c r="L137" s="573">
        <v>5</v>
      </c>
      <c r="M137" s="573">
        <v>0</v>
      </c>
      <c r="N137" s="573" t="s">
        <v>157</v>
      </c>
      <c r="O137" s="573">
        <v>2</v>
      </c>
      <c r="P137" s="573" t="s">
        <v>157</v>
      </c>
      <c r="Q137" s="571" t="s">
        <v>157</v>
      </c>
      <c r="R137" s="573" t="s">
        <v>352</v>
      </c>
      <c r="S137" s="573">
        <v>4</v>
      </c>
      <c r="T137" s="573" t="s">
        <v>471</v>
      </c>
      <c r="U137" s="573" t="s">
        <v>157</v>
      </c>
      <c r="V137" s="573">
        <v>111.4</v>
      </c>
      <c r="W137" s="573">
        <v>12.8</v>
      </c>
      <c r="X137" s="571">
        <v>3327</v>
      </c>
      <c r="Y137" s="579">
        <v>48</v>
      </c>
      <c r="Z137" s="579" t="s">
        <v>178</v>
      </c>
      <c r="AA137" s="579" t="s">
        <v>163</v>
      </c>
      <c r="AB137" s="584">
        <v>26215</v>
      </c>
      <c r="AC137" s="584" t="s">
        <v>164</v>
      </c>
      <c r="AD137" s="584">
        <v>25828.55</v>
      </c>
      <c r="AE137" s="586">
        <v>0.03</v>
      </c>
      <c r="AF137" s="661" t="str">
        <f t="shared" si="14"/>
        <v>2019-PAS-HND-ACRD-001-06</v>
      </c>
      <c r="AG137" s="661" t="str">
        <f>IF(AND($Y137&gt;=32,(AI137="I"),(Y137&lt;&gt;"~"),(COUNTIF($AN$1:$AN137,$AN137)=1)),"TRUE","FALSE")</f>
        <v>TRUE</v>
      </c>
      <c r="AH137" s="661" t="str">
        <f>IF(AND($Y137&gt;=22, (AI137&lt;&gt;"I"),(Y137&lt;&gt;"~"),(COUNTIF($AN$1:$AN137,$AN137)=1)),"TRUE","FALSE")</f>
        <v>FALSE</v>
      </c>
      <c r="AI137" s="661" t="str">
        <f t="shared" si="20"/>
        <v>I</v>
      </c>
      <c r="AJ137" s="662" t="str">
        <f t="shared" si="15"/>
        <v>ACRD-001</v>
      </c>
      <c r="AK137" s="662" t="str">
        <f t="shared" si="16"/>
        <v>PAS</v>
      </c>
      <c r="AL137" s="662" t="str">
        <f t="shared" si="17"/>
        <v>HND</v>
      </c>
      <c r="AM137" s="662" t="str">
        <f t="shared" si="18"/>
        <v>Accord-Hybrid-FWD-5-~-~-2.0L-4-CV3F1KEW-~-111.4-12.8-Unleaded-Electric</v>
      </c>
      <c r="AN137" s="662" t="str">
        <f t="shared" si="19"/>
        <v>2019-PAS-HND-ACRD-001</v>
      </c>
    </row>
    <row r="138" spans="1:40" s="572" customFormat="1" ht="15">
      <c r="A138" s="570" t="s">
        <v>472</v>
      </c>
      <c r="B138" s="569" t="s">
        <v>466</v>
      </c>
      <c r="C138" s="569" t="s">
        <v>473</v>
      </c>
      <c r="D138" s="580">
        <v>14</v>
      </c>
      <c r="E138" s="569" t="s">
        <v>151</v>
      </c>
      <c r="F138" s="569" t="s">
        <v>196</v>
      </c>
      <c r="G138" s="569" t="s">
        <v>469</v>
      </c>
      <c r="H138" s="569">
        <v>2019</v>
      </c>
      <c r="I138" s="569" t="s">
        <v>470</v>
      </c>
      <c r="J138" s="569" t="s">
        <v>198</v>
      </c>
      <c r="K138" s="569" t="s">
        <v>156</v>
      </c>
      <c r="L138" s="569">
        <v>5</v>
      </c>
      <c r="M138" s="569">
        <v>0</v>
      </c>
      <c r="N138" s="569" t="s">
        <v>157</v>
      </c>
      <c r="O138" s="569">
        <v>2</v>
      </c>
      <c r="P138" s="569" t="s">
        <v>157</v>
      </c>
      <c r="Q138" s="568" t="s">
        <v>157</v>
      </c>
      <c r="R138" s="569" t="s">
        <v>352</v>
      </c>
      <c r="S138" s="569">
        <v>4</v>
      </c>
      <c r="T138" s="569" t="s">
        <v>471</v>
      </c>
      <c r="U138" s="569" t="s">
        <v>157</v>
      </c>
      <c r="V138" s="569">
        <v>111.4</v>
      </c>
      <c r="W138" s="569">
        <v>12.8</v>
      </c>
      <c r="X138" s="568">
        <v>3327</v>
      </c>
      <c r="Y138" s="581">
        <v>48</v>
      </c>
      <c r="Z138" s="581" t="s">
        <v>178</v>
      </c>
      <c r="AA138" s="581" t="s">
        <v>163</v>
      </c>
      <c r="AB138" s="585">
        <v>26215</v>
      </c>
      <c r="AC138" s="585" t="s">
        <v>164</v>
      </c>
      <c r="AD138" s="585">
        <v>24875</v>
      </c>
      <c r="AE138" s="587">
        <v>0.1</v>
      </c>
      <c r="AF138" s="661" t="str">
        <f t="shared" si="14"/>
        <v>2019-PAS-HND-ACRD-001-14</v>
      </c>
      <c r="AG138" s="661" t="str">
        <f>IF(AND($Y138&gt;=32,(AI138="I"),(Y138&lt;&gt;"~"),(COUNTIF($AN$1:$AN138,$AN138)=1)),"TRUE","FALSE")</f>
        <v>FALSE</v>
      </c>
      <c r="AH138" s="661" t="str">
        <f>IF(AND($Y138&gt;=22, (AI138&lt;&gt;"I"),(Y138&lt;&gt;"~"),(COUNTIF($AN$1:$AN138,$AN138)=1)),"TRUE","FALSE")</f>
        <v>FALSE</v>
      </c>
      <c r="AI138" s="661" t="str">
        <f t="shared" si="20"/>
        <v>I</v>
      </c>
      <c r="AJ138" s="662" t="str">
        <f t="shared" si="15"/>
        <v>ACRD-001</v>
      </c>
      <c r="AK138" s="662" t="str">
        <f t="shared" si="16"/>
        <v>PAS</v>
      </c>
      <c r="AL138" s="662" t="str">
        <f t="shared" si="17"/>
        <v>HND</v>
      </c>
      <c r="AM138" s="662" t="str">
        <f t="shared" si="18"/>
        <v>Accord-Hybrid-FWD-5-~-~-2.0L-4-CV3F1KEW-~-111.4-12.8-Unleaded-Electric</v>
      </c>
      <c r="AN138" s="662" t="str">
        <f t="shared" si="19"/>
        <v>2019-PAS-HND-ACRD-001</v>
      </c>
    </row>
    <row r="139" spans="1:40" s="572" customFormat="1" ht="15">
      <c r="A139" s="570" t="s">
        <v>474</v>
      </c>
      <c r="B139" s="573" t="s">
        <v>475</v>
      </c>
      <c r="C139" s="573" t="s">
        <v>467</v>
      </c>
      <c r="D139" s="578" t="s">
        <v>468</v>
      </c>
      <c r="E139" s="573" t="s">
        <v>151</v>
      </c>
      <c r="F139" s="573" t="s">
        <v>196</v>
      </c>
      <c r="G139" s="573" t="s">
        <v>469</v>
      </c>
      <c r="H139" s="573">
        <v>2019</v>
      </c>
      <c r="I139" s="573" t="s">
        <v>470</v>
      </c>
      <c r="J139" s="573" t="s">
        <v>476</v>
      </c>
      <c r="K139" s="573" t="s">
        <v>156</v>
      </c>
      <c r="L139" s="573">
        <v>5</v>
      </c>
      <c r="M139" s="573">
        <v>0</v>
      </c>
      <c r="N139" s="573" t="s">
        <v>157</v>
      </c>
      <c r="O139" s="573">
        <v>2</v>
      </c>
      <c r="P139" s="573" t="s">
        <v>157</v>
      </c>
      <c r="Q139" s="571" t="s">
        <v>157</v>
      </c>
      <c r="R139" s="573" t="s">
        <v>205</v>
      </c>
      <c r="S139" s="573">
        <v>4</v>
      </c>
      <c r="T139" s="573" t="s">
        <v>477</v>
      </c>
      <c r="U139" s="573" t="s">
        <v>157</v>
      </c>
      <c r="V139" s="573">
        <v>111.4</v>
      </c>
      <c r="W139" s="573">
        <v>14.8</v>
      </c>
      <c r="X139" s="571">
        <v>3131</v>
      </c>
      <c r="Y139" s="579">
        <v>33</v>
      </c>
      <c r="Z139" s="579" t="s">
        <v>178</v>
      </c>
      <c r="AA139" s="579" t="s">
        <v>178</v>
      </c>
      <c r="AB139" s="584">
        <v>24615</v>
      </c>
      <c r="AC139" s="584" t="s">
        <v>164</v>
      </c>
      <c r="AD139" s="584">
        <v>24276.55</v>
      </c>
      <c r="AE139" s="586">
        <v>0.03</v>
      </c>
      <c r="AF139" s="661" t="str">
        <f t="shared" si="14"/>
        <v>2019-PAS-HND-ACRD-002-06</v>
      </c>
      <c r="AG139" s="661" t="str">
        <f>IF(AND($Y139&gt;=32,(AI139="I"),(Y139&lt;&gt;"~"),(COUNTIF($AN$1:$AN139,$AN139)=1)),"TRUE","FALSE")</f>
        <v>TRUE</v>
      </c>
      <c r="AH139" s="661" t="str">
        <f>IF(AND($Y139&gt;=22, (AI139&lt;&gt;"I"),(Y139&lt;&gt;"~"),(COUNTIF($AN$1:$AN139,$AN139)=1)),"TRUE","FALSE")</f>
        <v>FALSE</v>
      </c>
      <c r="AI139" s="661" t="str">
        <f t="shared" si="20"/>
        <v>I</v>
      </c>
      <c r="AJ139" s="662" t="str">
        <f t="shared" si="15"/>
        <v>ACRD-002</v>
      </c>
      <c r="AK139" s="662" t="str">
        <f t="shared" si="16"/>
        <v>PAS</v>
      </c>
      <c r="AL139" s="662" t="str">
        <f t="shared" si="17"/>
        <v>HND</v>
      </c>
      <c r="AM139" s="662" t="str">
        <f t="shared" si="18"/>
        <v>Accord-LX (CVT)-FWD-5-~-~-1.5L-4-CV1F1KEW-~-111.4-14.8-Unleaded-Unleaded</v>
      </c>
      <c r="AN139" s="662" t="str">
        <f t="shared" si="19"/>
        <v>2019-PAS-HND-ACRD-002</v>
      </c>
    </row>
    <row r="140" spans="1:40" s="572" customFormat="1" ht="15">
      <c r="A140" s="570" t="s">
        <v>478</v>
      </c>
      <c r="B140" s="569" t="s">
        <v>475</v>
      </c>
      <c r="C140" s="569" t="s">
        <v>473</v>
      </c>
      <c r="D140" s="580">
        <v>14</v>
      </c>
      <c r="E140" s="569" t="s">
        <v>151</v>
      </c>
      <c r="F140" s="569" t="s">
        <v>196</v>
      </c>
      <c r="G140" s="569" t="s">
        <v>469</v>
      </c>
      <c r="H140" s="569">
        <v>2019</v>
      </c>
      <c r="I140" s="569" t="s">
        <v>470</v>
      </c>
      <c r="J140" s="569" t="s">
        <v>476</v>
      </c>
      <c r="K140" s="569" t="s">
        <v>156</v>
      </c>
      <c r="L140" s="569">
        <v>5</v>
      </c>
      <c r="M140" s="569">
        <v>0</v>
      </c>
      <c r="N140" s="569" t="s">
        <v>157</v>
      </c>
      <c r="O140" s="569">
        <v>2</v>
      </c>
      <c r="P140" s="569" t="s">
        <v>157</v>
      </c>
      <c r="Q140" s="568" t="s">
        <v>157</v>
      </c>
      <c r="R140" s="569" t="s">
        <v>205</v>
      </c>
      <c r="S140" s="569">
        <v>4</v>
      </c>
      <c r="T140" s="569" t="s">
        <v>477</v>
      </c>
      <c r="U140" s="569" t="s">
        <v>157</v>
      </c>
      <c r="V140" s="569">
        <v>111.4</v>
      </c>
      <c r="W140" s="569">
        <v>14.8</v>
      </c>
      <c r="X140" s="568">
        <v>3131</v>
      </c>
      <c r="Y140" s="581">
        <v>33</v>
      </c>
      <c r="Z140" s="581" t="s">
        <v>178</v>
      </c>
      <c r="AA140" s="581" t="s">
        <v>178</v>
      </c>
      <c r="AB140" s="585">
        <v>24615</v>
      </c>
      <c r="AC140" s="585" t="s">
        <v>164</v>
      </c>
      <c r="AD140" s="585">
        <v>23085</v>
      </c>
      <c r="AE140" s="587">
        <v>0.1</v>
      </c>
      <c r="AF140" s="661" t="str">
        <f t="shared" si="14"/>
        <v>2019-PAS-HND-ACRD-002-14</v>
      </c>
      <c r="AG140" s="661" t="str">
        <f>IF(AND($Y140&gt;=32,(AI140="I"),(Y140&lt;&gt;"~"),(COUNTIF($AN$1:$AN140,$AN140)=1)),"TRUE","FALSE")</f>
        <v>FALSE</v>
      </c>
      <c r="AH140" s="661" t="str">
        <f>IF(AND($Y140&gt;=22, (AI140&lt;&gt;"I"),(Y140&lt;&gt;"~"),(COUNTIF($AN$1:$AN140,$AN140)=1)),"TRUE","FALSE")</f>
        <v>FALSE</v>
      </c>
      <c r="AI140" s="661" t="str">
        <f t="shared" si="20"/>
        <v>I</v>
      </c>
      <c r="AJ140" s="662" t="str">
        <f t="shared" si="15"/>
        <v>ACRD-002</v>
      </c>
      <c r="AK140" s="662" t="str">
        <f t="shared" si="16"/>
        <v>PAS</v>
      </c>
      <c r="AL140" s="662" t="str">
        <f t="shared" si="17"/>
        <v>HND</v>
      </c>
      <c r="AM140" s="662" t="str">
        <f t="shared" si="18"/>
        <v>Accord-LX (CVT)-FWD-5-~-~-1.5L-4-CV1F1KEW-~-111.4-14.8-Unleaded-Unleaded</v>
      </c>
      <c r="AN140" s="662" t="str">
        <f t="shared" si="19"/>
        <v>2019-PAS-HND-ACRD-002</v>
      </c>
    </row>
    <row r="141" spans="1:40" s="572" customFormat="1" ht="15">
      <c r="A141" s="570" t="s">
        <v>479</v>
      </c>
      <c r="B141" s="573" t="s">
        <v>480</v>
      </c>
      <c r="C141" s="573" t="s">
        <v>467</v>
      </c>
      <c r="D141" s="578" t="s">
        <v>468</v>
      </c>
      <c r="E141" s="573" t="s">
        <v>151</v>
      </c>
      <c r="F141" s="573" t="s">
        <v>152</v>
      </c>
      <c r="G141" s="573" t="s">
        <v>469</v>
      </c>
      <c r="H141" s="573">
        <v>2019</v>
      </c>
      <c r="I141" s="573" t="s">
        <v>481</v>
      </c>
      <c r="J141" s="573" t="s">
        <v>476</v>
      </c>
      <c r="K141" s="573" t="s">
        <v>156</v>
      </c>
      <c r="L141" s="573">
        <v>5</v>
      </c>
      <c r="M141" s="573">
        <v>0</v>
      </c>
      <c r="N141" s="573" t="s">
        <v>157</v>
      </c>
      <c r="O141" s="573">
        <v>2</v>
      </c>
      <c r="P141" s="573" t="s">
        <v>157</v>
      </c>
      <c r="Q141" s="571" t="s">
        <v>157</v>
      </c>
      <c r="R141" s="573" t="s">
        <v>205</v>
      </c>
      <c r="S141" s="573">
        <v>4</v>
      </c>
      <c r="T141" s="573" t="s">
        <v>482</v>
      </c>
      <c r="U141" s="573" t="s">
        <v>157</v>
      </c>
      <c r="V141" s="573">
        <v>106.3</v>
      </c>
      <c r="W141" s="573">
        <v>12.4</v>
      </c>
      <c r="X141" s="571">
        <v>2751</v>
      </c>
      <c r="Y141" s="579">
        <v>34</v>
      </c>
      <c r="Z141" s="579" t="s">
        <v>178</v>
      </c>
      <c r="AA141" s="579" t="s">
        <v>178</v>
      </c>
      <c r="AB141" s="584">
        <v>22345</v>
      </c>
      <c r="AC141" s="584" t="s">
        <v>164</v>
      </c>
      <c r="AD141" s="584">
        <v>22074.65</v>
      </c>
      <c r="AE141" s="586">
        <v>0.03</v>
      </c>
      <c r="AF141" s="661" t="str">
        <f t="shared" si="14"/>
        <v>2019-PAS-HND-CIVH-001-06</v>
      </c>
      <c r="AG141" s="661" t="str">
        <f>IF(AND($Y141&gt;=32,(AI141="I"),(Y141&lt;&gt;"~"),(COUNTIF($AN$1:$AN141,$AN141)=1)),"TRUE","FALSE")</f>
        <v>TRUE</v>
      </c>
      <c r="AH141" s="661" t="str">
        <f>IF(AND($Y141&gt;=22, (AI141&lt;&gt;"I"),(Y141&lt;&gt;"~"),(COUNTIF($AN$1:$AN141,$AN141)=1)),"TRUE","FALSE")</f>
        <v>FALSE</v>
      </c>
      <c r="AI141" s="661" t="str">
        <f t="shared" si="20"/>
        <v>I</v>
      </c>
      <c r="AJ141" s="662" t="str">
        <f t="shared" si="15"/>
        <v>CIVH-001</v>
      </c>
      <c r="AK141" s="662" t="str">
        <f t="shared" si="16"/>
        <v>PAS</v>
      </c>
      <c r="AL141" s="662" t="str">
        <f t="shared" si="17"/>
        <v>HND</v>
      </c>
      <c r="AM141" s="662" t="str">
        <f t="shared" si="18"/>
        <v>Civic Hatchback-LX (CVT)-FWD-5-~-~-1.5L-4-FK7H3KEW-~-106.3-12.4-Unleaded-Unleaded</v>
      </c>
      <c r="AN141" s="662" t="str">
        <f t="shared" si="19"/>
        <v>2019-PAS-HND-CIVH-001</v>
      </c>
    </row>
    <row r="142" spans="1:40" s="572" customFormat="1" ht="15">
      <c r="A142" s="570" t="s">
        <v>483</v>
      </c>
      <c r="B142" s="569" t="s">
        <v>480</v>
      </c>
      <c r="C142" s="569" t="s">
        <v>473</v>
      </c>
      <c r="D142" s="580">
        <v>14</v>
      </c>
      <c r="E142" s="569" t="s">
        <v>151</v>
      </c>
      <c r="F142" s="569" t="s">
        <v>152</v>
      </c>
      <c r="G142" s="569" t="s">
        <v>469</v>
      </c>
      <c r="H142" s="569">
        <v>2019</v>
      </c>
      <c r="I142" s="569" t="s">
        <v>481</v>
      </c>
      <c r="J142" s="569" t="s">
        <v>476</v>
      </c>
      <c r="K142" s="569" t="s">
        <v>156</v>
      </c>
      <c r="L142" s="569">
        <v>5</v>
      </c>
      <c r="M142" s="569">
        <v>0</v>
      </c>
      <c r="N142" s="569" t="s">
        <v>157</v>
      </c>
      <c r="O142" s="569">
        <v>2</v>
      </c>
      <c r="P142" s="569" t="s">
        <v>157</v>
      </c>
      <c r="Q142" s="568" t="s">
        <v>157</v>
      </c>
      <c r="R142" s="569" t="s">
        <v>205</v>
      </c>
      <c r="S142" s="569">
        <v>4</v>
      </c>
      <c r="T142" s="569" t="s">
        <v>482</v>
      </c>
      <c r="U142" s="569" t="s">
        <v>157</v>
      </c>
      <c r="V142" s="569">
        <v>106.3</v>
      </c>
      <c r="W142" s="569">
        <v>12.4</v>
      </c>
      <c r="X142" s="568">
        <v>2751</v>
      </c>
      <c r="Y142" s="581">
        <v>34</v>
      </c>
      <c r="Z142" s="581" t="s">
        <v>178</v>
      </c>
      <c r="AA142" s="581" t="s">
        <v>178</v>
      </c>
      <c r="AB142" s="585">
        <v>22345</v>
      </c>
      <c r="AC142" s="585" t="s">
        <v>164</v>
      </c>
      <c r="AD142" s="585">
        <v>21220</v>
      </c>
      <c r="AE142" s="587">
        <v>0.1</v>
      </c>
      <c r="AF142" s="661" t="str">
        <f t="shared" si="14"/>
        <v>2019-PAS-HND-CIVH-001-14</v>
      </c>
      <c r="AG142" s="661" t="str">
        <f>IF(AND($Y142&gt;=32,(AI142="I"),(Y142&lt;&gt;"~"),(COUNTIF($AN$1:$AN142,$AN142)=1)),"TRUE","FALSE")</f>
        <v>FALSE</v>
      </c>
      <c r="AH142" s="661" t="str">
        <f>IF(AND($Y142&gt;=22, (AI142&lt;&gt;"I"),(Y142&lt;&gt;"~"),(COUNTIF($AN$1:$AN142,$AN142)=1)),"TRUE","FALSE")</f>
        <v>FALSE</v>
      </c>
      <c r="AI142" s="661" t="str">
        <f t="shared" si="20"/>
        <v>I</v>
      </c>
      <c r="AJ142" s="662" t="str">
        <f t="shared" si="15"/>
        <v>CIVH-001</v>
      </c>
      <c r="AK142" s="662" t="str">
        <f t="shared" si="16"/>
        <v>PAS</v>
      </c>
      <c r="AL142" s="662" t="str">
        <f t="shared" si="17"/>
        <v>HND</v>
      </c>
      <c r="AM142" s="662" t="str">
        <f t="shared" si="18"/>
        <v>Civic Hatchback-LX (CVT)-FWD-5-~-~-1.5L-4-FK7H3KEW-~-106.3-12.4-Unleaded-Unleaded</v>
      </c>
      <c r="AN142" s="662" t="str">
        <f t="shared" si="19"/>
        <v>2019-PAS-HND-CIVH-001</v>
      </c>
    </row>
    <row r="143" spans="1:40" s="572" customFormat="1" ht="15">
      <c r="A143" s="570" t="s">
        <v>484</v>
      </c>
      <c r="B143" s="573" t="s">
        <v>485</v>
      </c>
      <c r="C143" s="573" t="s">
        <v>467</v>
      </c>
      <c r="D143" s="578" t="s">
        <v>468</v>
      </c>
      <c r="E143" s="573" t="s">
        <v>151</v>
      </c>
      <c r="F143" s="573" t="s">
        <v>152</v>
      </c>
      <c r="G143" s="573" t="s">
        <v>469</v>
      </c>
      <c r="H143" s="573">
        <v>2019</v>
      </c>
      <c r="I143" s="573" t="s">
        <v>486</v>
      </c>
      <c r="J143" s="573" t="s">
        <v>476</v>
      </c>
      <c r="K143" s="573" t="s">
        <v>156</v>
      </c>
      <c r="L143" s="573">
        <v>5</v>
      </c>
      <c r="M143" s="573">
        <v>0</v>
      </c>
      <c r="N143" s="573" t="s">
        <v>157</v>
      </c>
      <c r="O143" s="573">
        <v>2</v>
      </c>
      <c r="P143" s="573" t="s">
        <v>157</v>
      </c>
      <c r="Q143" s="571" t="s">
        <v>157</v>
      </c>
      <c r="R143" s="573" t="s">
        <v>352</v>
      </c>
      <c r="S143" s="573">
        <v>4</v>
      </c>
      <c r="T143" s="573" t="s">
        <v>487</v>
      </c>
      <c r="U143" s="573" t="s">
        <v>157</v>
      </c>
      <c r="V143" s="573">
        <v>106.3</v>
      </c>
      <c r="W143" s="573">
        <v>12.4</v>
      </c>
      <c r="X143" s="571">
        <v>2754</v>
      </c>
      <c r="Y143" s="579">
        <v>34</v>
      </c>
      <c r="Z143" s="579" t="s">
        <v>178</v>
      </c>
      <c r="AA143" s="579" t="s">
        <v>178</v>
      </c>
      <c r="AB143" s="584">
        <v>21145</v>
      </c>
      <c r="AC143" s="584" t="s">
        <v>164</v>
      </c>
      <c r="AD143" s="584">
        <v>20910.650000000001</v>
      </c>
      <c r="AE143" s="586">
        <v>0.03</v>
      </c>
      <c r="AF143" s="661" t="str">
        <f t="shared" si="14"/>
        <v>2019-PAS-HND-CIVS-001-06</v>
      </c>
      <c r="AG143" s="661" t="str">
        <f>IF(AND($Y143&gt;=32,(AI143="I"),(Y143&lt;&gt;"~"),(COUNTIF($AN$1:$AN143,$AN143)=1)),"TRUE","FALSE")</f>
        <v>TRUE</v>
      </c>
      <c r="AH143" s="661" t="str">
        <f>IF(AND($Y143&gt;=22, (AI143&lt;&gt;"I"),(Y143&lt;&gt;"~"),(COUNTIF($AN$1:$AN143,$AN143)=1)),"TRUE","FALSE")</f>
        <v>FALSE</v>
      </c>
      <c r="AI143" s="661" t="str">
        <f t="shared" si="20"/>
        <v>I</v>
      </c>
      <c r="AJ143" s="662" t="str">
        <f t="shared" si="15"/>
        <v>CIVS-001</v>
      </c>
      <c r="AK143" s="662" t="str">
        <f t="shared" si="16"/>
        <v>PAS</v>
      </c>
      <c r="AL143" s="662" t="str">
        <f t="shared" si="17"/>
        <v>HND</v>
      </c>
      <c r="AM143" s="662" t="str">
        <f t="shared" si="18"/>
        <v>Civic Sedan-LX (CVT)-FWD-5-~-~-2.0L-4-FC2F6KEW-~-106.3-12.4-Unleaded-Unleaded</v>
      </c>
      <c r="AN143" s="662" t="str">
        <f t="shared" si="19"/>
        <v>2019-PAS-HND-CIVS-001</v>
      </c>
    </row>
    <row r="144" spans="1:40" s="572" customFormat="1" ht="15">
      <c r="A144" s="570" t="s">
        <v>488</v>
      </c>
      <c r="B144" s="569" t="s">
        <v>485</v>
      </c>
      <c r="C144" s="569" t="s">
        <v>473</v>
      </c>
      <c r="D144" s="580">
        <v>14</v>
      </c>
      <c r="E144" s="569" t="s">
        <v>151</v>
      </c>
      <c r="F144" s="569" t="s">
        <v>152</v>
      </c>
      <c r="G144" s="569" t="s">
        <v>469</v>
      </c>
      <c r="H144" s="569">
        <v>2019</v>
      </c>
      <c r="I144" s="569" t="s">
        <v>486</v>
      </c>
      <c r="J144" s="569" t="s">
        <v>476</v>
      </c>
      <c r="K144" s="569" t="s">
        <v>156</v>
      </c>
      <c r="L144" s="569">
        <v>5</v>
      </c>
      <c r="M144" s="569">
        <v>0</v>
      </c>
      <c r="N144" s="569" t="s">
        <v>157</v>
      </c>
      <c r="O144" s="569">
        <v>2</v>
      </c>
      <c r="P144" s="569" t="s">
        <v>157</v>
      </c>
      <c r="Q144" s="568" t="s">
        <v>157</v>
      </c>
      <c r="R144" s="569" t="s">
        <v>352</v>
      </c>
      <c r="S144" s="569">
        <v>4</v>
      </c>
      <c r="T144" s="569" t="s">
        <v>487</v>
      </c>
      <c r="U144" s="569" t="s">
        <v>157</v>
      </c>
      <c r="V144" s="569">
        <v>106.3</v>
      </c>
      <c r="W144" s="569">
        <v>12.4</v>
      </c>
      <c r="X144" s="568">
        <v>2754</v>
      </c>
      <c r="Y144" s="581">
        <v>34</v>
      </c>
      <c r="Z144" s="581" t="s">
        <v>178</v>
      </c>
      <c r="AA144" s="581" t="s">
        <v>178</v>
      </c>
      <c r="AB144" s="585">
        <v>21145</v>
      </c>
      <c r="AC144" s="585" t="s">
        <v>164</v>
      </c>
      <c r="AD144" s="585">
        <v>20135</v>
      </c>
      <c r="AE144" s="587">
        <v>0.1</v>
      </c>
      <c r="AF144" s="661" t="str">
        <f t="shared" si="14"/>
        <v>2019-PAS-HND-CIVS-001-14</v>
      </c>
      <c r="AG144" s="661" t="str">
        <f>IF(AND($Y144&gt;=32,(AI144="I"),(Y144&lt;&gt;"~"),(COUNTIF($AN$1:$AN144,$AN144)=1)),"TRUE","FALSE")</f>
        <v>FALSE</v>
      </c>
      <c r="AH144" s="661" t="str">
        <f>IF(AND($Y144&gt;=22, (AI144&lt;&gt;"I"),(Y144&lt;&gt;"~"),(COUNTIF($AN$1:$AN144,$AN144)=1)),"TRUE","FALSE")</f>
        <v>FALSE</v>
      </c>
      <c r="AI144" s="661" t="str">
        <f t="shared" si="20"/>
        <v>I</v>
      </c>
      <c r="AJ144" s="662" t="str">
        <f t="shared" si="15"/>
        <v>CIVS-001</v>
      </c>
      <c r="AK144" s="662" t="str">
        <f t="shared" si="16"/>
        <v>PAS</v>
      </c>
      <c r="AL144" s="662" t="str">
        <f t="shared" si="17"/>
        <v>HND</v>
      </c>
      <c r="AM144" s="662" t="str">
        <f t="shared" si="18"/>
        <v>Civic Sedan-LX (CVT)-FWD-5-~-~-2.0L-4-FC2F6KEW-~-106.3-12.4-Unleaded-Unleaded</v>
      </c>
      <c r="AN144" s="662" t="str">
        <f t="shared" si="19"/>
        <v>2019-PAS-HND-CIVS-001</v>
      </c>
    </row>
    <row r="145" spans="1:40" s="572" customFormat="1" ht="15">
      <c r="A145" s="570" t="s">
        <v>489</v>
      </c>
      <c r="B145" s="573" t="s">
        <v>490</v>
      </c>
      <c r="C145" s="573" t="s">
        <v>467</v>
      </c>
      <c r="D145" s="578" t="s">
        <v>468</v>
      </c>
      <c r="E145" s="573" t="s">
        <v>151</v>
      </c>
      <c r="F145" s="573" t="s">
        <v>196</v>
      </c>
      <c r="G145" s="573" t="s">
        <v>469</v>
      </c>
      <c r="H145" s="573">
        <v>2018</v>
      </c>
      <c r="I145" s="573" t="s">
        <v>491</v>
      </c>
      <c r="J145" s="573" t="s">
        <v>492</v>
      </c>
      <c r="K145" s="573" t="s">
        <v>156</v>
      </c>
      <c r="L145" s="573">
        <v>5</v>
      </c>
      <c r="M145" s="573">
        <v>0</v>
      </c>
      <c r="N145" s="573" t="s">
        <v>157</v>
      </c>
      <c r="O145" s="573">
        <v>2</v>
      </c>
      <c r="P145" s="573" t="s">
        <v>157</v>
      </c>
      <c r="Q145" s="571" t="s">
        <v>157</v>
      </c>
      <c r="R145" s="573" t="s">
        <v>205</v>
      </c>
      <c r="S145" s="573">
        <v>4</v>
      </c>
      <c r="T145" s="573" t="s">
        <v>493</v>
      </c>
      <c r="U145" s="573" t="s">
        <v>157</v>
      </c>
      <c r="V145" s="573">
        <v>108.3</v>
      </c>
      <c r="W145" s="573">
        <v>7</v>
      </c>
      <c r="X145" s="571">
        <v>4052</v>
      </c>
      <c r="Y145" s="579">
        <v>110</v>
      </c>
      <c r="Z145" s="579" t="s">
        <v>163</v>
      </c>
      <c r="AA145" s="579" t="s">
        <v>178</v>
      </c>
      <c r="AB145" s="584">
        <v>34295</v>
      </c>
      <c r="AC145" s="584" t="s">
        <v>164</v>
      </c>
      <c r="AD145" s="584">
        <v>34199</v>
      </c>
      <c r="AE145" s="586">
        <v>0.03</v>
      </c>
      <c r="AF145" s="661" t="str">
        <f t="shared" si="14"/>
        <v>2018-PAS-HND-CLRT-001-06</v>
      </c>
      <c r="AG145" s="661" t="str">
        <f>IF(AND($Y145&gt;=32,(AI145="I"),(Y145&lt;&gt;"~"),(COUNTIF($AN$1:$AN145,$AN145)=1)),"TRUE","FALSE")</f>
        <v>TRUE</v>
      </c>
      <c r="AH145" s="661" t="str">
        <f>IF(AND($Y145&gt;=22, (AI145&lt;&gt;"I"),(Y145&lt;&gt;"~"),(COUNTIF($AN$1:$AN145,$AN145)=1)),"TRUE","FALSE")</f>
        <v>FALSE</v>
      </c>
      <c r="AI145" s="661" t="str">
        <f t="shared" si="20"/>
        <v>I</v>
      </c>
      <c r="AJ145" s="662" t="str">
        <f t="shared" si="15"/>
        <v>CLRT-001</v>
      </c>
      <c r="AK145" s="662" t="str">
        <f t="shared" si="16"/>
        <v>PAS</v>
      </c>
      <c r="AL145" s="662" t="str">
        <f t="shared" si="17"/>
        <v>HND</v>
      </c>
      <c r="AM145" s="662" t="str">
        <f t="shared" si="18"/>
        <v>Clarity Plug-In-Base-FWD-5-~-~-1.5L-4-ZC5F1JGW-~-108.3-7-Electric-Unleaded</v>
      </c>
      <c r="AN145" s="662" t="str">
        <f t="shared" si="19"/>
        <v>2018-PAS-HND-CLRT-001</v>
      </c>
    </row>
    <row r="146" spans="1:40" s="572" customFormat="1" ht="15">
      <c r="A146" s="570" t="s">
        <v>494</v>
      </c>
      <c r="B146" s="569" t="s">
        <v>490</v>
      </c>
      <c r="C146" s="569" t="s">
        <v>473</v>
      </c>
      <c r="D146" s="580">
        <v>14</v>
      </c>
      <c r="E146" s="569" t="s">
        <v>151</v>
      </c>
      <c r="F146" s="569" t="s">
        <v>196</v>
      </c>
      <c r="G146" s="569" t="s">
        <v>469</v>
      </c>
      <c r="H146" s="569">
        <v>2018</v>
      </c>
      <c r="I146" s="569" t="s">
        <v>491</v>
      </c>
      <c r="J146" s="569" t="s">
        <v>492</v>
      </c>
      <c r="K146" s="569" t="s">
        <v>156</v>
      </c>
      <c r="L146" s="569">
        <v>5</v>
      </c>
      <c r="M146" s="569">
        <v>0</v>
      </c>
      <c r="N146" s="569" t="s">
        <v>157</v>
      </c>
      <c r="O146" s="569">
        <v>2</v>
      </c>
      <c r="P146" s="569" t="s">
        <v>157</v>
      </c>
      <c r="Q146" s="568" t="s">
        <v>157</v>
      </c>
      <c r="R146" s="569" t="s">
        <v>205</v>
      </c>
      <c r="S146" s="569">
        <v>4</v>
      </c>
      <c r="T146" s="569" t="s">
        <v>493</v>
      </c>
      <c r="U146" s="569" t="s">
        <v>157</v>
      </c>
      <c r="V146" s="569">
        <v>108.3</v>
      </c>
      <c r="W146" s="569">
        <v>7</v>
      </c>
      <c r="X146" s="568">
        <v>4052</v>
      </c>
      <c r="Y146" s="581">
        <v>110</v>
      </c>
      <c r="Z146" s="581" t="s">
        <v>163</v>
      </c>
      <c r="AA146" s="581" t="s">
        <v>178</v>
      </c>
      <c r="AB146" s="585">
        <v>34295</v>
      </c>
      <c r="AC146" s="585" t="s">
        <v>164</v>
      </c>
      <c r="AD146" s="585">
        <v>33270</v>
      </c>
      <c r="AE146" s="587">
        <v>0.1</v>
      </c>
      <c r="AF146" s="661" t="str">
        <f t="shared" si="14"/>
        <v>2018-PAS-HND-CLRT-001-14</v>
      </c>
      <c r="AG146" s="661" t="str">
        <f>IF(AND($Y146&gt;=32,(AI146="I"),(Y146&lt;&gt;"~"),(COUNTIF($AN$1:$AN146,$AN146)=1)),"TRUE","FALSE")</f>
        <v>FALSE</v>
      </c>
      <c r="AH146" s="661" t="str">
        <f>IF(AND($Y146&gt;=22, (AI146&lt;&gt;"I"),(Y146&lt;&gt;"~"),(COUNTIF($AN$1:$AN146,$AN146)=1)),"TRUE","FALSE")</f>
        <v>FALSE</v>
      </c>
      <c r="AI146" s="661" t="str">
        <f t="shared" si="20"/>
        <v>I</v>
      </c>
      <c r="AJ146" s="662" t="str">
        <f t="shared" si="15"/>
        <v>CLRT-001</v>
      </c>
      <c r="AK146" s="662" t="str">
        <f t="shared" si="16"/>
        <v>PAS</v>
      </c>
      <c r="AL146" s="662" t="str">
        <f t="shared" si="17"/>
        <v>HND</v>
      </c>
      <c r="AM146" s="662" t="str">
        <f t="shared" si="18"/>
        <v>Clarity Plug-In-Base-FWD-5-~-~-1.5L-4-ZC5F1JGW-~-108.3-7-Electric-Unleaded</v>
      </c>
      <c r="AN146" s="662" t="str">
        <f t="shared" si="19"/>
        <v>2018-PAS-HND-CLRT-001</v>
      </c>
    </row>
    <row r="147" spans="1:40" s="572" customFormat="1" ht="15">
      <c r="A147" s="570" t="s">
        <v>495</v>
      </c>
      <c r="B147" s="573" t="s">
        <v>496</v>
      </c>
      <c r="C147" s="573" t="s">
        <v>467</v>
      </c>
      <c r="D147" s="578" t="s">
        <v>468</v>
      </c>
      <c r="E147" s="573" t="s">
        <v>151</v>
      </c>
      <c r="F147" s="573" t="s">
        <v>196</v>
      </c>
      <c r="G147" s="573" t="s">
        <v>469</v>
      </c>
      <c r="H147" s="573">
        <v>2018</v>
      </c>
      <c r="I147" s="573" t="s">
        <v>491</v>
      </c>
      <c r="J147" s="573" t="s">
        <v>497</v>
      </c>
      <c r="K147" s="573" t="s">
        <v>156</v>
      </c>
      <c r="L147" s="573">
        <v>5</v>
      </c>
      <c r="M147" s="573">
        <v>0</v>
      </c>
      <c r="N147" s="573" t="s">
        <v>157</v>
      </c>
      <c r="O147" s="573">
        <v>2</v>
      </c>
      <c r="P147" s="573" t="s">
        <v>157</v>
      </c>
      <c r="Q147" s="571" t="s">
        <v>157</v>
      </c>
      <c r="R147" s="573" t="s">
        <v>205</v>
      </c>
      <c r="S147" s="573">
        <v>4</v>
      </c>
      <c r="T147" s="573" t="s">
        <v>498</v>
      </c>
      <c r="U147" s="573" t="s">
        <v>157</v>
      </c>
      <c r="V147" s="573">
        <v>108.3</v>
      </c>
      <c r="W147" s="573">
        <v>7</v>
      </c>
      <c r="X147" s="571">
        <v>4057</v>
      </c>
      <c r="Y147" s="579">
        <v>110</v>
      </c>
      <c r="Z147" s="579" t="s">
        <v>163</v>
      </c>
      <c r="AA147" s="579" t="s">
        <v>178</v>
      </c>
      <c r="AB147" s="584">
        <v>37495</v>
      </c>
      <c r="AC147" s="584" t="s">
        <v>164</v>
      </c>
      <c r="AD147" s="584">
        <v>37399</v>
      </c>
      <c r="AE147" s="586">
        <v>0.03</v>
      </c>
      <c r="AF147" s="661" t="str">
        <f t="shared" si="14"/>
        <v>2018-PAS-HND-CLRT-002-06</v>
      </c>
      <c r="AG147" s="661" t="str">
        <f>IF(AND($Y147&gt;=32,(AI147="I"),(Y147&lt;&gt;"~"),(COUNTIF($AN$1:$AN147,$AN147)=1)),"TRUE","FALSE")</f>
        <v>TRUE</v>
      </c>
      <c r="AH147" s="661" t="str">
        <f>IF(AND($Y147&gt;=22, (AI147&lt;&gt;"I"),(Y147&lt;&gt;"~"),(COUNTIF($AN$1:$AN147,$AN147)=1)),"TRUE","FALSE")</f>
        <v>FALSE</v>
      </c>
      <c r="AI147" s="661" t="str">
        <f t="shared" si="20"/>
        <v>I</v>
      </c>
      <c r="AJ147" s="662" t="str">
        <f t="shared" si="15"/>
        <v>CLRT-002</v>
      </c>
      <c r="AK147" s="662" t="str">
        <f t="shared" si="16"/>
        <v>PAS</v>
      </c>
      <c r="AL147" s="662" t="str">
        <f t="shared" si="17"/>
        <v>HND</v>
      </c>
      <c r="AM147" s="662" t="str">
        <f t="shared" si="18"/>
        <v>Clarity Plug-In-Touring-FWD-5-~-~-1.5L-4-ZC5F3JGW-~-108.3-7-Electric-Unleaded</v>
      </c>
      <c r="AN147" s="662" t="str">
        <f t="shared" si="19"/>
        <v>2018-PAS-HND-CLRT-002</v>
      </c>
    </row>
    <row r="148" spans="1:40" s="572" customFormat="1" ht="15">
      <c r="A148" s="570" t="s">
        <v>499</v>
      </c>
      <c r="B148" s="569" t="s">
        <v>496</v>
      </c>
      <c r="C148" s="569" t="s">
        <v>473</v>
      </c>
      <c r="D148" s="580">
        <v>14</v>
      </c>
      <c r="E148" s="569" t="s">
        <v>151</v>
      </c>
      <c r="F148" s="569" t="s">
        <v>196</v>
      </c>
      <c r="G148" s="569" t="s">
        <v>469</v>
      </c>
      <c r="H148" s="569">
        <v>2018</v>
      </c>
      <c r="I148" s="569" t="s">
        <v>491</v>
      </c>
      <c r="J148" s="569" t="s">
        <v>497</v>
      </c>
      <c r="K148" s="569" t="s">
        <v>156</v>
      </c>
      <c r="L148" s="569">
        <v>5</v>
      </c>
      <c r="M148" s="569">
        <v>0</v>
      </c>
      <c r="N148" s="569" t="s">
        <v>157</v>
      </c>
      <c r="O148" s="569">
        <v>2</v>
      </c>
      <c r="P148" s="569" t="s">
        <v>157</v>
      </c>
      <c r="Q148" s="568" t="s">
        <v>157</v>
      </c>
      <c r="R148" s="569" t="s">
        <v>205</v>
      </c>
      <c r="S148" s="569">
        <v>4</v>
      </c>
      <c r="T148" s="569" t="s">
        <v>498</v>
      </c>
      <c r="U148" s="569" t="s">
        <v>157</v>
      </c>
      <c r="V148" s="569">
        <v>108.3</v>
      </c>
      <c r="W148" s="569">
        <v>7</v>
      </c>
      <c r="X148" s="568">
        <v>4057</v>
      </c>
      <c r="Y148" s="581">
        <v>110</v>
      </c>
      <c r="Z148" s="581" t="s">
        <v>163</v>
      </c>
      <c r="AA148" s="581" t="s">
        <v>178</v>
      </c>
      <c r="AB148" s="585">
        <v>37495</v>
      </c>
      <c r="AC148" s="585" t="s">
        <v>164</v>
      </c>
      <c r="AD148" s="585">
        <v>36330</v>
      </c>
      <c r="AE148" s="587">
        <v>0.1</v>
      </c>
      <c r="AF148" s="661" t="str">
        <f t="shared" si="14"/>
        <v>2018-PAS-HND-CLRT-002-14</v>
      </c>
      <c r="AG148" s="661" t="str">
        <f>IF(AND($Y148&gt;=32,(AI148="I"),(Y148&lt;&gt;"~"),(COUNTIF($AN$1:$AN148,$AN148)=1)),"TRUE","FALSE")</f>
        <v>FALSE</v>
      </c>
      <c r="AH148" s="661" t="str">
        <f>IF(AND($Y148&gt;=22, (AI148&lt;&gt;"I"),(Y148&lt;&gt;"~"),(COUNTIF($AN$1:$AN148,$AN148)=1)),"TRUE","FALSE")</f>
        <v>FALSE</v>
      </c>
      <c r="AI148" s="661" t="str">
        <f t="shared" si="20"/>
        <v>I</v>
      </c>
      <c r="AJ148" s="662" t="str">
        <f t="shared" si="15"/>
        <v>CLRT-002</v>
      </c>
      <c r="AK148" s="662" t="str">
        <f t="shared" si="16"/>
        <v>PAS</v>
      </c>
      <c r="AL148" s="662" t="str">
        <f t="shared" si="17"/>
        <v>HND</v>
      </c>
      <c r="AM148" s="662" t="str">
        <f t="shared" si="18"/>
        <v>Clarity Plug-In-Touring-FWD-5-~-~-1.5L-4-ZC5F3JGW-~-108.3-7-Electric-Unleaded</v>
      </c>
      <c r="AN148" s="662" t="str">
        <f t="shared" si="19"/>
        <v>2018-PAS-HND-CLRT-002</v>
      </c>
    </row>
    <row r="149" spans="1:40" s="572" customFormat="1" ht="15">
      <c r="A149" s="570" t="s">
        <v>500</v>
      </c>
      <c r="B149" s="573" t="s">
        <v>501</v>
      </c>
      <c r="C149" s="573" t="s">
        <v>467</v>
      </c>
      <c r="D149" s="578" t="s">
        <v>468</v>
      </c>
      <c r="E149" s="573" t="s">
        <v>151</v>
      </c>
      <c r="F149" s="573" t="s">
        <v>211</v>
      </c>
      <c r="G149" s="573" t="s">
        <v>469</v>
      </c>
      <c r="H149" s="573">
        <v>2019</v>
      </c>
      <c r="I149" s="573" t="s">
        <v>502</v>
      </c>
      <c r="J149" s="573" t="s">
        <v>503</v>
      </c>
      <c r="K149" s="573" t="s">
        <v>156</v>
      </c>
      <c r="L149" s="573">
        <v>5</v>
      </c>
      <c r="M149" s="573">
        <v>0</v>
      </c>
      <c r="N149" s="573" t="s">
        <v>157</v>
      </c>
      <c r="O149" s="573">
        <v>2</v>
      </c>
      <c r="P149" s="573" t="s">
        <v>157</v>
      </c>
      <c r="Q149" s="571" t="s">
        <v>157</v>
      </c>
      <c r="R149" s="573" t="s">
        <v>205</v>
      </c>
      <c r="S149" s="573">
        <v>4</v>
      </c>
      <c r="T149" s="573" t="s">
        <v>504</v>
      </c>
      <c r="U149" s="573" t="s">
        <v>157</v>
      </c>
      <c r="V149" s="573">
        <v>99.6</v>
      </c>
      <c r="W149" s="573">
        <v>10.6</v>
      </c>
      <c r="X149" s="571">
        <v>2568</v>
      </c>
      <c r="Y149" s="579">
        <v>36</v>
      </c>
      <c r="Z149" s="579" t="s">
        <v>178</v>
      </c>
      <c r="AA149" s="579" t="s">
        <v>178</v>
      </c>
      <c r="AB149" s="584">
        <v>17885</v>
      </c>
      <c r="AC149" s="584" t="s">
        <v>164</v>
      </c>
      <c r="AD149" s="584">
        <v>17809</v>
      </c>
      <c r="AE149" s="586">
        <v>0.03</v>
      </c>
      <c r="AF149" s="661" t="str">
        <f t="shared" si="14"/>
        <v>2019-PAS-HND-~FIT-001-06</v>
      </c>
      <c r="AG149" s="661" t="str">
        <f>IF(AND($Y149&gt;=32,(AI149="I"),(Y149&lt;&gt;"~"),(COUNTIF($AN$1:$AN149,$AN149)=1)),"TRUE","FALSE")</f>
        <v>TRUE</v>
      </c>
      <c r="AH149" s="661" t="str">
        <f>IF(AND($Y149&gt;=22, (AI149&lt;&gt;"I"),(Y149&lt;&gt;"~"),(COUNTIF($AN$1:$AN149,$AN149)=1)),"TRUE","FALSE")</f>
        <v>FALSE</v>
      </c>
      <c r="AI149" s="661" t="str">
        <f t="shared" si="20"/>
        <v>I</v>
      </c>
      <c r="AJ149" s="662" t="str">
        <f t="shared" si="15"/>
        <v>~FIT-001</v>
      </c>
      <c r="AK149" s="662" t="str">
        <f t="shared" si="16"/>
        <v>PAS</v>
      </c>
      <c r="AL149" s="662" t="str">
        <f t="shared" si="17"/>
        <v>HND</v>
      </c>
      <c r="AM149" s="662" t="str">
        <f t="shared" si="18"/>
        <v>FIT-LX CVT-FWD-5-~-~-1.5L-4-GK5H4KEW-~-99.6-10.6-Unleaded-Unleaded</v>
      </c>
      <c r="AN149" s="662" t="str">
        <f t="shared" si="19"/>
        <v>2019-PAS-HND-~FIT-001</v>
      </c>
    </row>
    <row r="150" spans="1:40" s="572" customFormat="1" ht="15">
      <c r="A150" s="570" t="s">
        <v>505</v>
      </c>
      <c r="B150" s="569" t="s">
        <v>501</v>
      </c>
      <c r="C150" s="569" t="s">
        <v>473</v>
      </c>
      <c r="D150" s="580">
        <v>14</v>
      </c>
      <c r="E150" s="569" t="s">
        <v>151</v>
      </c>
      <c r="F150" s="569" t="s">
        <v>211</v>
      </c>
      <c r="G150" s="569" t="s">
        <v>469</v>
      </c>
      <c r="H150" s="569">
        <v>2019</v>
      </c>
      <c r="I150" s="569" t="s">
        <v>502</v>
      </c>
      <c r="J150" s="569" t="s">
        <v>503</v>
      </c>
      <c r="K150" s="569" t="s">
        <v>156</v>
      </c>
      <c r="L150" s="569">
        <v>5</v>
      </c>
      <c r="M150" s="569">
        <v>0</v>
      </c>
      <c r="N150" s="569" t="s">
        <v>157</v>
      </c>
      <c r="O150" s="569">
        <v>2</v>
      </c>
      <c r="P150" s="569" t="s">
        <v>157</v>
      </c>
      <c r="Q150" s="568" t="s">
        <v>157</v>
      </c>
      <c r="R150" s="569" t="s">
        <v>205</v>
      </c>
      <c r="S150" s="569">
        <v>4</v>
      </c>
      <c r="T150" s="569" t="s">
        <v>504</v>
      </c>
      <c r="U150" s="569" t="s">
        <v>157</v>
      </c>
      <c r="V150" s="569">
        <v>99.6</v>
      </c>
      <c r="W150" s="569">
        <v>10.6</v>
      </c>
      <c r="X150" s="568">
        <v>2568</v>
      </c>
      <c r="Y150" s="581">
        <v>36</v>
      </c>
      <c r="Z150" s="581" t="s">
        <v>178</v>
      </c>
      <c r="AA150" s="581" t="s">
        <v>178</v>
      </c>
      <c r="AB150" s="585">
        <v>17885</v>
      </c>
      <c r="AC150" s="585" t="s">
        <v>164</v>
      </c>
      <c r="AD150" s="585">
        <v>17585</v>
      </c>
      <c r="AE150" s="587">
        <v>0.1</v>
      </c>
      <c r="AF150" s="661" t="str">
        <f t="shared" si="14"/>
        <v>2019-PAS-HND-~FIT-001-14</v>
      </c>
      <c r="AG150" s="661" t="str">
        <f>IF(AND($Y150&gt;=32,(AI150="I"),(Y150&lt;&gt;"~"),(COUNTIF($AN$1:$AN150,$AN150)=1)),"TRUE","FALSE")</f>
        <v>FALSE</v>
      </c>
      <c r="AH150" s="661" t="str">
        <f>IF(AND($Y150&gt;=22, (AI150&lt;&gt;"I"),(Y150&lt;&gt;"~"),(COUNTIF($AN$1:$AN150,$AN150)=1)),"TRUE","FALSE")</f>
        <v>FALSE</v>
      </c>
      <c r="AI150" s="661" t="str">
        <f t="shared" si="20"/>
        <v>I</v>
      </c>
      <c r="AJ150" s="662" t="str">
        <f t="shared" si="15"/>
        <v>~FIT-001</v>
      </c>
      <c r="AK150" s="662" t="str">
        <f t="shared" si="16"/>
        <v>PAS</v>
      </c>
      <c r="AL150" s="662" t="str">
        <f t="shared" si="17"/>
        <v>HND</v>
      </c>
      <c r="AM150" s="662" t="str">
        <f t="shared" si="18"/>
        <v>FIT-LX CVT-FWD-5-~-~-1.5L-4-GK5H4KEW-~-99.6-10.6-Unleaded-Unleaded</v>
      </c>
      <c r="AN150" s="662" t="str">
        <f t="shared" si="19"/>
        <v>2019-PAS-HND-~FIT-001</v>
      </c>
    </row>
    <row r="151" spans="1:40" s="572" customFormat="1" ht="15">
      <c r="A151" s="570" t="s">
        <v>506</v>
      </c>
      <c r="B151" s="573" t="s">
        <v>507</v>
      </c>
      <c r="C151" s="573" t="s">
        <v>467</v>
      </c>
      <c r="D151" s="578" t="s">
        <v>468</v>
      </c>
      <c r="E151" s="573" t="s">
        <v>151</v>
      </c>
      <c r="F151" s="573" t="s">
        <v>152</v>
      </c>
      <c r="G151" s="573" t="s">
        <v>469</v>
      </c>
      <c r="H151" s="573">
        <v>2019</v>
      </c>
      <c r="I151" s="573" t="s">
        <v>508</v>
      </c>
      <c r="J151" s="573" t="s">
        <v>509</v>
      </c>
      <c r="K151" s="573" t="s">
        <v>156</v>
      </c>
      <c r="L151" s="573">
        <v>5</v>
      </c>
      <c r="M151" s="573">
        <v>0</v>
      </c>
      <c r="N151" s="573" t="s">
        <v>157</v>
      </c>
      <c r="O151" s="573">
        <v>2</v>
      </c>
      <c r="P151" s="573" t="s">
        <v>157</v>
      </c>
      <c r="Q151" s="571" t="s">
        <v>157</v>
      </c>
      <c r="R151" s="573" t="s">
        <v>205</v>
      </c>
      <c r="S151" s="573">
        <v>4</v>
      </c>
      <c r="T151" s="573" t="s">
        <v>510</v>
      </c>
      <c r="U151" s="573" t="s">
        <v>157</v>
      </c>
      <c r="V151" s="573">
        <v>106.3</v>
      </c>
      <c r="W151" s="573">
        <v>10.6</v>
      </c>
      <c r="X151" s="571">
        <v>3000</v>
      </c>
      <c r="Y151" s="579">
        <v>52</v>
      </c>
      <c r="Z151" s="579" t="s">
        <v>178</v>
      </c>
      <c r="AA151" s="579" t="s">
        <v>163</v>
      </c>
      <c r="AB151" s="584">
        <v>24955</v>
      </c>
      <c r="AC151" s="584" t="s">
        <v>164</v>
      </c>
      <c r="AD151" s="584">
        <v>24606.35</v>
      </c>
      <c r="AE151" s="586">
        <v>0.03</v>
      </c>
      <c r="AF151" s="661" t="str">
        <f t="shared" si="14"/>
        <v>2019-PAS-HND-INSI-001-06</v>
      </c>
      <c r="AG151" s="661" t="str">
        <f>IF(AND($Y151&gt;=32,(AI151="I"),(Y151&lt;&gt;"~"),(COUNTIF($AN$1:$AN151,$AN151)=1)),"TRUE","FALSE")</f>
        <v>TRUE</v>
      </c>
      <c r="AH151" s="661" t="str">
        <f>IF(AND($Y151&gt;=22, (AI151&lt;&gt;"I"),(Y151&lt;&gt;"~"),(COUNTIF($AN$1:$AN151,$AN151)=1)),"TRUE","FALSE")</f>
        <v>FALSE</v>
      </c>
      <c r="AI151" s="661" t="str">
        <f t="shared" si="20"/>
        <v>I</v>
      </c>
      <c r="AJ151" s="662" t="str">
        <f t="shared" si="15"/>
        <v>INSI-001</v>
      </c>
      <c r="AK151" s="662" t="str">
        <f t="shared" si="16"/>
        <v>PAS</v>
      </c>
      <c r="AL151" s="662" t="str">
        <f t="shared" si="17"/>
        <v>HND</v>
      </c>
      <c r="AM151" s="662" t="str">
        <f t="shared" si="18"/>
        <v>Insight-EX Hybrid-FWD-5-~-~-1.5L-4-ZE4F5KEW-~-106.3-10.6-Unleaded-Electric</v>
      </c>
      <c r="AN151" s="662" t="str">
        <f t="shared" si="19"/>
        <v>2019-PAS-HND-INSI-001</v>
      </c>
    </row>
    <row r="152" spans="1:40" s="572" customFormat="1" ht="15">
      <c r="A152" s="570" t="s">
        <v>511</v>
      </c>
      <c r="B152" s="569" t="s">
        <v>507</v>
      </c>
      <c r="C152" s="569" t="s">
        <v>473</v>
      </c>
      <c r="D152" s="580">
        <v>14</v>
      </c>
      <c r="E152" s="569" t="s">
        <v>151</v>
      </c>
      <c r="F152" s="569" t="s">
        <v>152</v>
      </c>
      <c r="G152" s="569" t="s">
        <v>469</v>
      </c>
      <c r="H152" s="569">
        <v>2019</v>
      </c>
      <c r="I152" s="569" t="s">
        <v>508</v>
      </c>
      <c r="J152" s="569" t="s">
        <v>509</v>
      </c>
      <c r="K152" s="569" t="s">
        <v>156</v>
      </c>
      <c r="L152" s="569">
        <v>5</v>
      </c>
      <c r="M152" s="569">
        <v>0</v>
      </c>
      <c r="N152" s="569" t="s">
        <v>157</v>
      </c>
      <c r="O152" s="569">
        <v>2</v>
      </c>
      <c r="P152" s="569" t="s">
        <v>157</v>
      </c>
      <c r="Q152" s="568" t="s">
        <v>157</v>
      </c>
      <c r="R152" s="569" t="s">
        <v>205</v>
      </c>
      <c r="S152" s="569">
        <v>4</v>
      </c>
      <c r="T152" s="569" t="s">
        <v>510</v>
      </c>
      <c r="U152" s="569" t="s">
        <v>157</v>
      </c>
      <c r="V152" s="569">
        <v>106.3</v>
      </c>
      <c r="W152" s="569">
        <v>10.6</v>
      </c>
      <c r="X152" s="568">
        <v>3000</v>
      </c>
      <c r="Y152" s="581">
        <v>52</v>
      </c>
      <c r="Z152" s="581" t="s">
        <v>178</v>
      </c>
      <c r="AA152" s="581" t="s">
        <v>163</v>
      </c>
      <c r="AB152" s="585">
        <v>24955</v>
      </c>
      <c r="AC152" s="585" t="s">
        <v>164</v>
      </c>
      <c r="AD152" s="585">
        <v>23745</v>
      </c>
      <c r="AE152" s="587">
        <v>0.1</v>
      </c>
      <c r="AF152" s="661" t="str">
        <f t="shared" si="14"/>
        <v>2019-PAS-HND-INSI-001-14</v>
      </c>
      <c r="AG152" s="661" t="str">
        <f>IF(AND($Y152&gt;=32,(AI152="I"),(Y152&lt;&gt;"~"),(COUNTIF($AN$1:$AN152,$AN152)=1)),"TRUE","FALSE")</f>
        <v>FALSE</v>
      </c>
      <c r="AH152" s="661" t="str">
        <f>IF(AND($Y152&gt;=22, (AI152&lt;&gt;"I"),(Y152&lt;&gt;"~"),(COUNTIF($AN$1:$AN152,$AN152)=1)),"TRUE","FALSE")</f>
        <v>FALSE</v>
      </c>
      <c r="AI152" s="661" t="str">
        <f t="shared" si="20"/>
        <v>I</v>
      </c>
      <c r="AJ152" s="662" t="str">
        <f t="shared" si="15"/>
        <v>INSI-001</v>
      </c>
      <c r="AK152" s="662" t="str">
        <f t="shared" si="16"/>
        <v>PAS</v>
      </c>
      <c r="AL152" s="662" t="str">
        <f t="shared" si="17"/>
        <v>HND</v>
      </c>
      <c r="AM152" s="662" t="str">
        <f t="shared" si="18"/>
        <v>Insight-EX Hybrid-FWD-5-~-~-1.5L-4-ZE4F5KEW-~-106.3-10.6-Unleaded-Electric</v>
      </c>
      <c r="AN152" s="662" t="str">
        <f t="shared" si="19"/>
        <v>2019-PAS-HND-INSI-001</v>
      </c>
    </row>
    <row r="153" spans="1:40" s="572" customFormat="1" ht="15">
      <c r="A153" s="570" t="s">
        <v>512</v>
      </c>
      <c r="B153" s="573" t="s">
        <v>513</v>
      </c>
      <c r="C153" s="573" t="s">
        <v>467</v>
      </c>
      <c r="D153" s="578" t="s">
        <v>468</v>
      </c>
      <c r="E153" s="573" t="s">
        <v>151</v>
      </c>
      <c r="F153" s="573" t="s">
        <v>152</v>
      </c>
      <c r="G153" s="573" t="s">
        <v>469</v>
      </c>
      <c r="H153" s="573">
        <v>2019</v>
      </c>
      <c r="I153" s="573" t="s">
        <v>508</v>
      </c>
      <c r="J153" s="573" t="s">
        <v>514</v>
      </c>
      <c r="K153" s="573" t="s">
        <v>156</v>
      </c>
      <c r="L153" s="573">
        <v>5</v>
      </c>
      <c r="M153" s="573">
        <v>0</v>
      </c>
      <c r="N153" s="573" t="s">
        <v>157</v>
      </c>
      <c r="O153" s="573">
        <v>2</v>
      </c>
      <c r="P153" s="573" t="s">
        <v>157</v>
      </c>
      <c r="Q153" s="571" t="s">
        <v>157</v>
      </c>
      <c r="R153" s="573" t="s">
        <v>205</v>
      </c>
      <c r="S153" s="573">
        <v>4</v>
      </c>
      <c r="T153" s="573" t="s">
        <v>515</v>
      </c>
      <c r="U153" s="573" t="s">
        <v>157</v>
      </c>
      <c r="V153" s="573">
        <v>106.3</v>
      </c>
      <c r="W153" s="573">
        <v>10.6</v>
      </c>
      <c r="X153" s="571">
        <v>2987</v>
      </c>
      <c r="Y153" s="579">
        <v>52</v>
      </c>
      <c r="Z153" s="579" t="s">
        <v>178</v>
      </c>
      <c r="AA153" s="579" t="s">
        <v>163</v>
      </c>
      <c r="AB153" s="584">
        <v>23725</v>
      </c>
      <c r="AC153" s="584" t="s">
        <v>164</v>
      </c>
      <c r="AD153" s="584">
        <v>23413.25</v>
      </c>
      <c r="AE153" s="586">
        <v>0.03</v>
      </c>
      <c r="AF153" s="661" t="str">
        <f t="shared" si="14"/>
        <v>2019-PAS-HND-INSI-002-06</v>
      </c>
      <c r="AG153" s="661" t="str">
        <f>IF(AND($Y153&gt;=32,(AI153="I"),(Y153&lt;&gt;"~"),(COUNTIF($AN$1:$AN153,$AN153)=1)),"TRUE","FALSE")</f>
        <v>TRUE</v>
      </c>
      <c r="AH153" s="661" t="str">
        <f>IF(AND($Y153&gt;=22, (AI153&lt;&gt;"I"),(Y153&lt;&gt;"~"),(COUNTIF($AN$1:$AN153,$AN153)=1)),"TRUE","FALSE")</f>
        <v>FALSE</v>
      </c>
      <c r="AI153" s="661" t="str">
        <f t="shared" si="20"/>
        <v>I</v>
      </c>
      <c r="AJ153" s="662" t="str">
        <f t="shared" si="15"/>
        <v>INSI-002</v>
      </c>
      <c r="AK153" s="662" t="str">
        <f t="shared" si="16"/>
        <v>PAS</v>
      </c>
      <c r="AL153" s="662" t="str">
        <f t="shared" si="17"/>
        <v>HND</v>
      </c>
      <c r="AM153" s="662" t="str">
        <f t="shared" si="18"/>
        <v>Insight-LX Hybrid-FWD-5-~-~-1.5L-4-ZE4F1KEW-~-106.3-10.6-Unleaded-Electric</v>
      </c>
      <c r="AN153" s="662" t="str">
        <f t="shared" si="19"/>
        <v>2019-PAS-HND-INSI-002</v>
      </c>
    </row>
    <row r="154" spans="1:40" s="572" customFormat="1" ht="15">
      <c r="A154" s="570" t="s">
        <v>516</v>
      </c>
      <c r="B154" s="569" t="s">
        <v>513</v>
      </c>
      <c r="C154" s="569" t="s">
        <v>473</v>
      </c>
      <c r="D154" s="580">
        <v>14</v>
      </c>
      <c r="E154" s="569" t="s">
        <v>151</v>
      </c>
      <c r="F154" s="569" t="s">
        <v>152</v>
      </c>
      <c r="G154" s="569" t="s">
        <v>469</v>
      </c>
      <c r="H154" s="569">
        <v>2019</v>
      </c>
      <c r="I154" s="569" t="s">
        <v>508</v>
      </c>
      <c r="J154" s="569" t="s">
        <v>514</v>
      </c>
      <c r="K154" s="569" t="s">
        <v>156</v>
      </c>
      <c r="L154" s="569">
        <v>5</v>
      </c>
      <c r="M154" s="569">
        <v>0</v>
      </c>
      <c r="N154" s="569" t="s">
        <v>157</v>
      </c>
      <c r="O154" s="569">
        <v>2</v>
      </c>
      <c r="P154" s="569" t="s">
        <v>157</v>
      </c>
      <c r="Q154" s="568" t="s">
        <v>157</v>
      </c>
      <c r="R154" s="569" t="s">
        <v>205</v>
      </c>
      <c r="S154" s="569">
        <v>4</v>
      </c>
      <c r="T154" s="569" t="s">
        <v>515</v>
      </c>
      <c r="U154" s="569" t="s">
        <v>157</v>
      </c>
      <c r="V154" s="569">
        <v>106.3</v>
      </c>
      <c r="W154" s="569">
        <v>10.6</v>
      </c>
      <c r="X154" s="568">
        <v>2987</v>
      </c>
      <c r="Y154" s="581">
        <v>52</v>
      </c>
      <c r="Z154" s="581" t="s">
        <v>178</v>
      </c>
      <c r="AA154" s="581" t="s">
        <v>163</v>
      </c>
      <c r="AB154" s="585">
        <v>23725</v>
      </c>
      <c r="AC154" s="585" t="s">
        <v>164</v>
      </c>
      <c r="AD154" s="585">
        <v>22600</v>
      </c>
      <c r="AE154" s="587">
        <v>0.1</v>
      </c>
      <c r="AF154" s="661" t="str">
        <f t="shared" si="14"/>
        <v>2019-PAS-HND-INSI-002-14</v>
      </c>
      <c r="AG154" s="661" t="str">
        <f>IF(AND($Y154&gt;=32,(AI154="I"),(Y154&lt;&gt;"~"),(COUNTIF($AN$1:$AN154,$AN154)=1)),"TRUE","FALSE")</f>
        <v>FALSE</v>
      </c>
      <c r="AH154" s="661" t="str">
        <f>IF(AND($Y154&gt;=22, (AI154&lt;&gt;"I"),(Y154&lt;&gt;"~"),(COUNTIF($AN$1:$AN154,$AN154)=1)),"TRUE","FALSE")</f>
        <v>FALSE</v>
      </c>
      <c r="AI154" s="661" t="str">
        <f t="shared" si="20"/>
        <v>I</v>
      </c>
      <c r="AJ154" s="662" t="str">
        <f t="shared" si="15"/>
        <v>INSI-002</v>
      </c>
      <c r="AK154" s="662" t="str">
        <f t="shared" si="16"/>
        <v>PAS</v>
      </c>
      <c r="AL154" s="662" t="str">
        <f t="shared" si="17"/>
        <v>HND</v>
      </c>
      <c r="AM154" s="662" t="str">
        <f t="shared" si="18"/>
        <v>Insight-LX Hybrid-FWD-5-~-~-1.5L-4-ZE4F1KEW-~-106.3-10.6-Unleaded-Electric</v>
      </c>
      <c r="AN154" s="662" t="str">
        <f t="shared" si="19"/>
        <v>2019-PAS-HND-INSI-002</v>
      </c>
    </row>
    <row r="155" spans="1:40" s="572" customFormat="1" ht="15">
      <c r="A155" s="570" t="s">
        <v>517</v>
      </c>
      <c r="B155" s="573" t="s">
        <v>518</v>
      </c>
      <c r="C155" s="573" t="s">
        <v>166</v>
      </c>
      <c r="D155" s="578">
        <v>17</v>
      </c>
      <c r="E155" s="573" t="s">
        <v>151</v>
      </c>
      <c r="F155" s="573" t="s">
        <v>152</v>
      </c>
      <c r="G155" s="573" t="s">
        <v>519</v>
      </c>
      <c r="H155" s="573">
        <v>2019</v>
      </c>
      <c r="I155" s="573" t="s">
        <v>520</v>
      </c>
      <c r="J155" s="573" t="s">
        <v>521</v>
      </c>
      <c r="K155" s="573" t="s">
        <v>156</v>
      </c>
      <c r="L155" s="573">
        <v>5</v>
      </c>
      <c r="M155" s="573">
        <v>0</v>
      </c>
      <c r="N155" s="573" t="s">
        <v>157</v>
      </c>
      <c r="O155" s="573">
        <v>2</v>
      </c>
      <c r="P155" s="573" t="s">
        <v>157</v>
      </c>
      <c r="Q155" s="571" t="s">
        <v>157</v>
      </c>
      <c r="R155" s="573" t="s">
        <v>352</v>
      </c>
      <c r="S155" s="573">
        <v>4</v>
      </c>
      <c r="T155" s="573" t="s">
        <v>522</v>
      </c>
      <c r="U155" s="573" t="s">
        <v>523</v>
      </c>
      <c r="V155" s="573">
        <v>106.3</v>
      </c>
      <c r="W155" s="573">
        <v>14</v>
      </c>
      <c r="X155" s="571">
        <v>3880</v>
      </c>
      <c r="Y155" s="579">
        <v>33</v>
      </c>
      <c r="Z155" s="579" t="s">
        <v>178</v>
      </c>
      <c r="AA155" s="579" t="s">
        <v>178</v>
      </c>
      <c r="AB155" s="584">
        <v>18362</v>
      </c>
      <c r="AC155" s="584" t="s">
        <v>164</v>
      </c>
      <c r="AD155" s="584">
        <v>17992</v>
      </c>
      <c r="AE155" s="586">
        <v>4.4999999999999998E-2</v>
      </c>
      <c r="AF155" s="661" t="str">
        <f t="shared" si="14"/>
        <v>2019-PAS-HYD-ELNT-001-17</v>
      </c>
      <c r="AG155" s="661" t="str">
        <f>IF(AND($Y155&gt;=32,(AI155="I"),(Y155&lt;&gt;"~"),(COUNTIF($AN$1:$AN155,$AN155)=1)),"TRUE","FALSE")</f>
        <v>TRUE</v>
      </c>
      <c r="AH155" s="661" t="str">
        <f>IF(AND($Y155&gt;=22, (AI155&lt;&gt;"I"),(Y155&lt;&gt;"~"),(COUNTIF($AN$1:$AN155,$AN155)=1)),"TRUE","FALSE")</f>
        <v>FALSE</v>
      </c>
      <c r="AI155" s="661" t="str">
        <f t="shared" si="20"/>
        <v>I</v>
      </c>
      <c r="AJ155" s="662" t="str">
        <f t="shared" si="15"/>
        <v>ELNT-001</v>
      </c>
      <c r="AK155" s="662" t="str">
        <f t="shared" si="16"/>
        <v>PAS</v>
      </c>
      <c r="AL155" s="662" t="str">
        <f t="shared" si="17"/>
        <v>HYD</v>
      </c>
      <c r="AM155" s="662" t="str">
        <f t="shared" si="18"/>
        <v>Elantra-SE PZEV -FWD-5-~-~-2.0L-4-47412F4P-01-106.3-14-Unleaded-Unleaded</v>
      </c>
      <c r="AN155" s="662" t="str">
        <f t="shared" si="19"/>
        <v>2019-PAS-HYD-ELNT-001</v>
      </c>
    </row>
    <row r="156" spans="1:40" s="572" customFormat="1" ht="15">
      <c r="A156" s="570" t="s">
        <v>524</v>
      </c>
      <c r="B156" s="569" t="s">
        <v>525</v>
      </c>
      <c r="C156" s="569" t="s">
        <v>166</v>
      </c>
      <c r="D156" s="580">
        <v>17</v>
      </c>
      <c r="E156" s="569" t="s">
        <v>151</v>
      </c>
      <c r="F156" s="569" t="s">
        <v>196</v>
      </c>
      <c r="G156" s="569" t="s">
        <v>519</v>
      </c>
      <c r="H156" s="569">
        <v>2019</v>
      </c>
      <c r="I156" s="569" t="s">
        <v>526</v>
      </c>
      <c r="J156" s="569" t="s">
        <v>527</v>
      </c>
      <c r="K156" s="569" t="s">
        <v>156</v>
      </c>
      <c r="L156" s="569">
        <v>5</v>
      </c>
      <c r="M156" s="569">
        <v>0</v>
      </c>
      <c r="N156" s="569" t="s">
        <v>157</v>
      </c>
      <c r="O156" s="569">
        <v>2</v>
      </c>
      <c r="P156" s="569" t="s">
        <v>157</v>
      </c>
      <c r="Q156" s="568" t="s">
        <v>157</v>
      </c>
      <c r="R156" s="569" t="s">
        <v>274</v>
      </c>
      <c r="S156" s="569">
        <v>4</v>
      </c>
      <c r="T156" s="569" t="s">
        <v>528</v>
      </c>
      <c r="U156" s="569" t="s">
        <v>523</v>
      </c>
      <c r="V156" s="569">
        <v>110.4</v>
      </c>
      <c r="W156" s="569">
        <v>18.5</v>
      </c>
      <c r="X156" s="568">
        <v>3250</v>
      </c>
      <c r="Y156" s="581">
        <v>32</v>
      </c>
      <c r="Z156" s="581" t="s">
        <v>178</v>
      </c>
      <c r="AA156" s="581" t="s">
        <v>178</v>
      </c>
      <c r="AB156" s="585">
        <v>23975</v>
      </c>
      <c r="AC156" s="585" t="s">
        <v>164</v>
      </c>
      <c r="AD156" s="585">
        <v>23199.9</v>
      </c>
      <c r="AE156" s="587">
        <v>4.4999999999999998E-2</v>
      </c>
      <c r="AF156" s="661" t="str">
        <f t="shared" si="14"/>
        <v>2019-PAS-HYD-SNTA-001-17</v>
      </c>
      <c r="AG156" s="661" t="str">
        <f>IF(AND($Y156&gt;=32,(AI156="I"),(Y156&lt;&gt;"~"),(COUNTIF($AN$1:$AN156,$AN156)=1)),"TRUE","FALSE")</f>
        <v>TRUE</v>
      </c>
      <c r="AH156" s="661" t="str">
        <f>IF(AND($Y156&gt;=22, (AI156&lt;&gt;"I"),(Y156&lt;&gt;"~"),(COUNTIF($AN$1:$AN156,$AN156)=1)),"TRUE","FALSE")</f>
        <v>FALSE</v>
      </c>
      <c r="AI156" s="661" t="str">
        <f t="shared" si="20"/>
        <v>I</v>
      </c>
      <c r="AJ156" s="662" t="str">
        <f t="shared" si="15"/>
        <v>SNTA-001</v>
      </c>
      <c r="AK156" s="662" t="str">
        <f t="shared" si="16"/>
        <v>PAS</v>
      </c>
      <c r="AL156" s="662" t="str">
        <f t="shared" si="17"/>
        <v>HYD</v>
      </c>
      <c r="AM156" s="662" t="str">
        <f t="shared" si="18"/>
        <v>Sonata-Eco-FWD-5-~-~-1.6L-4-28492F4P-01-110.4-18.5-Unleaded-Unleaded</v>
      </c>
      <c r="AN156" s="662" t="str">
        <f t="shared" si="19"/>
        <v>2019-PAS-HYD-SNTA-001</v>
      </c>
    </row>
    <row r="157" spans="1:40" s="572" customFormat="1" ht="15">
      <c r="A157" s="570" t="s">
        <v>529</v>
      </c>
      <c r="B157" s="573" t="s">
        <v>530</v>
      </c>
      <c r="C157" s="573" t="s">
        <v>166</v>
      </c>
      <c r="D157" s="578">
        <v>17</v>
      </c>
      <c r="E157" s="573" t="s">
        <v>151</v>
      </c>
      <c r="F157" s="573" t="s">
        <v>196</v>
      </c>
      <c r="G157" s="573" t="s">
        <v>519</v>
      </c>
      <c r="H157" s="573">
        <v>2019</v>
      </c>
      <c r="I157" s="573" t="s">
        <v>526</v>
      </c>
      <c r="J157" s="573" t="s">
        <v>531</v>
      </c>
      <c r="K157" s="573" t="s">
        <v>156</v>
      </c>
      <c r="L157" s="573">
        <v>5</v>
      </c>
      <c r="M157" s="573">
        <v>0</v>
      </c>
      <c r="N157" s="573" t="s">
        <v>157</v>
      </c>
      <c r="O157" s="573">
        <v>2</v>
      </c>
      <c r="P157" s="573" t="s">
        <v>157</v>
      </c>
      <c r="Q157" s="571" t="s">
        <v>157</v>
      </c>
      <c r="R157" s="573" t="s">
        <v>352</v>
      </c>
      <c r="S157" s="573">
        <v>4</v>
      </c>
      <c r="T157" s="573" t="s">
        <v>532</v>
      </c>
      <c r="U157" s="573" t="s">
        <v>523</v>
      </c>
      <c r="V157" s="573">
        <v>110.4</v>
      </c>
      <c r="W157" s="573">
        <v>15.85</v>
      </c>
      <c r="X157" s="571">
        <v>3497</v>
      </c>
      <c r="Y157" s="579">
        <v>42</v>
      </c>
      <c r="Z157" s="579" t="s">
        <v>178</v>
      </c>
      <c r="AA157" s="579" t="s">
        <v>163</v>
      </c>
      <c r="AB157" s="584">
        <v>26705</v>
      </c>
      <c r="AC157" s="584" t="s">
        <v>164</v>
      </c>
      <c r="AD157" s="584">
        <v>21378.18</v>
      </c>
      <c r="AE157" s="586">
        <v>4.4999999999999998E-2</v>
      </c>
      <c r="AF157" s="661" t="str">
        <f t="shared" si="14"/>
        <v>2019-PAS-HYD-SNTA-002-17</v>
      </c>
      <c r="AG157" s="661" t="str">
        <f>IF(AND($Y157&gt;=32,(AI157="I"),(Y157&lt;&gt;"~"),(COUNTIF($AN$1:$AN157,$AN157)=1)),"TRUE","FALSE")</f>
        <v>TRUE</v>
      </c>
      <c r="AH157" s="661" t="str">
        <f>IF(AND($Y157&gt;=22, (AI157&lt;&gt;"I"),(Y157&lt;&gt;"~"),(COUNTIF($AN$1:$AN157,$AN157)=1)),"TRUE","FALSE")</f>
        <v>FALSE</v>
      </c>
      <c r="AI157" s="661" t="str">
        <f t="shared" si="20"/>
        <v>I</v>
      </c>
      <c r="AJ157" s="662" t="str">
        <f t="shared" si="15"/>
        <v>SNTA-002</v>
      </c>
      <c r="AK157" s="662" t="str">
        <f t="shared" si="16"/>
        <v>PAS</v>
      </c>
      <c r="AL157" s="662" t="str">
        <f t="shared" si="17"/>
        <v>HYD</v>
      </c>
      <c r="AM157" s="662" t="str">
        <f t="shared" si="18"/>
        <v>Sonata-Hybrid Base-FWD-5-~-~-2.0L-4-G1402F45-01-110.4-15.85-Unleaded-Electric</v>
      </c>
      <c r="AN157" s="662" t="str">
        <f t="shared" si="19"/>
        <v>2019-PAS-HYD-SNTA-002</v>
      </c>
    </row>
    <row r="158" spans="1:40" s="572" customFormat="1" ht="15">
      <c r="A158" s="570" t="s">
        <v>533</v>
      </c>
      <c r="B158" s="569" t="s">
        <v>534</v>
      </c>
      <c r="C158" s="569" t="s">
        <v>166</v>
      </c>
      <c r="D158" s="580">
        <v>17</v>
      </c>
      <c r="E158" s="569" t="s">
        <v>151</v>
      </c>
      <c r="F158" s="569" t="s">
        <v>196</v>
      </c>
      <c r="G158" s="569" t="s">
        <v>519</v>
      </c>
      <c r="H158" s="569">
        <v>2019</v>
      </c>
      <c r="I158" s="569" t="s">
        <v>526</v>
      </c>
      <c r="J158" s="569" t="s">
        <v>535</v>
      </c>
      <c r="K158" s="569" t="s">
        <v>156</v>
      </c>
      <c r="L158" s="569">
        <v>5</v>
      </c>
      <c r="M158" s="569">
        <v>0</v>
      </c>
      <c r="N158" s="569" t="s">
        <v>157</v>
      </c>
      <c r="O158" s="569">
        <v>2</v>
      </c>
      <c r="P158" s="569" t="s">
        <v>157</v>
      </c>
      <c r="Q158" s="568" t="s">
        <v>157</v>
      </c>
      <c r="R158" s="569" t="s">
        <v>352</v>
      </c>
      <c r="S158" s="569">
        <v>4</v>
      </c>
      <c r="T158" s="569" t="s">
        <v>536</v>
      </c>
      <c r="U158" s="569" t="s">
        <v>523</v>
      </c>
      <c r="V158" s="569">
        <v>110.4</v>
      </c>
      <c r="W158" s="569">
        <v>14.53</v>
      </c>
      <c r="X158" s="568">
        <v>3787</v>
      </c>
      <c r="Y158" s="581">
        <v>93</v>
      </c>
      <c r="Z158" s="581" t="s">
        <v>163</v>
      </c>
      <c r="AA158" s="581" t="s">
        <v>178</v>
      </c>
      <c r="AB158" s="585">
        <v>34405</v>
      </c>
      <c r="AC158" s="585" t="s">
        <v>164</v>
      </c>
      <c r="AD158" s="585">
        <v>34550.46</v>
      </c>
      <c r="AE158" s="587">
        <v>4.4999999999999998E-2</v>
      </c>
      <c r="AF158" s="661" t="str">
        <f t="shared" si="14"/>
        <v>2019-PAS-HYD-SNTA-003-17</v>
      </c>
      <c r="AG158" s="661" t="str">
        <f>IF(AND($Y158&gt;=32,(AI158="I"),(Y158&lt;&gt;"~"),(COUNTIF($AN$1:$AN158,$AN158)=1)),"TRUE","FALSE")</f>
        <v>TRUE</v>
      </c>
      <c r="AH158" s="661" t="str">
        <f>IF(AND($Y158&gt;=22, (AI158&lt;&gt;"I"),(Y158&lt;&gt;"~"),(COUNTIF($AN$1:$AN158,$AN158)=1)),"TRUE","FALSE")</f>
        <v>FALSE</v>
      </c>
      <c r="AI158" s="661" t="str">
        <f t="shared" si="20"/>
        <v>I</v>
      </c>
      <c r="AJ158" s="662" t="str">
        <f t="shared" si="15"/>
        <v>SNTA-003</v>
      </c>
      <c r="AK158" s="662" t="str">
        <f t="shared" si="16"/>
        <v>PAS</v>
      </c>
      <c r="AL158" s="662" t="str">
        <f t="shared" si="17"/>
        <v>HYD</v>
      </c>
      <c r="AM158" s="662" t="str">
        <f t="shared" si="18"/>
        <v>Sonata-Plug-in Base-FWD-5-~-~-2.0L-4-L0402F4P-01-110.4-14.53-Electric-Unleaded</v>
      </c>
      <c r="AN158" s="662" t="str">
        <f t="shared" si="19"/>
        <v>2019-PAS-HYD-SNTA-003</v>
      </c>
    </row>
    <row r="159" spans="1:40" s="572" customFormat="1" ht="15">
      <c r="A159" s="570" t="s">
        <v>537</v>
      </c>
      <c r="B159" s="573" t="s">
        <v>538</v>
      </c>
      <c r="C159" s="573" t="s">
        <v>166</v>
      </c>
      <c r="D159" s="578">
        <v>17</v>
      </c>
      <c r="E159" s="573" t="s">
        <v>151</v>
      </c>
      <c r="F159" s="573" t="s">
        <v>196</v>
      </c>
      <c r="G159" s="573" t="s">
        <v>519</v>
      </c>
      <c r="H159" s="573">
        <v>2019</v>
      </c>
      <c r="I159" s="573" t="s">
        <v>526</v>
      </c>
      <c r="J159" s="573" t="s">
        <v>330</v>
      </c>
      <c r="K159" s="573" t="s">
        <v>156</v>
      </c>
      <c r="L159" s="573">
        <v>5</v>
      </c>
      <c r="M159" s="573">
        <v>0</v>
      </c>
      <c r="N159" s="573" t="s">
        <v>157</v>
      </c>
      <c r="O159" s="573">
        <v>2</v>
      </c>
      <c r="P159" s="573" t="s">
        <v>157</v>
      </c>
      <c r="Q159" s="571" t="s">
        <v>157</v>
      </c>
      <c r="R159" s="573" t="s">
        <v>539</v>
      </c>
      <c r="S159" s="573">
        <v>4</v>
      </c>
      <c r="T159" s="573" t="s">
        <v>540</v>
      </c>
      <c r="U159" s="573" t="s">
        <v>523</v>
      </c>
      <c r="V159" s="573">
        <v>110.4</v>
      </c>
      <c r="W159" s="573">
        <v>18.5</v>
      </c>
      <c r="X159" s="571">
        <v>3252</v>
      </c>
      <c r="Y159" s="579">
        <v>29</v>
      </c>
      <c r="Z159" s="579" t="s">
        <v>178</v>
      </c>
      <c r="AA159" s="579" t="s">
        <v>178</v>
      </c>
      <c r="AB159" s="584">
        <v>23185</v>
      </c>
      <c r="AC159" s="584" t="s">
        <v>164</v>
      </c>
      <c r="AD159" s="584">
        <v>22536.9</v>
      </c>
      <c r="AE159" s="586">
        <v>4.4999999999999998E-2</v>
      </c>
      <c r="AF159" s="661" t="str">
        <f t="shared" si="14"/>
        <v>2019-PAS-HYD-SNTA-004-17</v>
      </c>
      <c r="AG159" s="661" t="str">
        <f>IF(AND($Y159&gt;=32,(AI159="I"),(Y159&lt;&gt;"~"),(COUNTIF($AN$1:$AN159,$AN159)=1)),"TRUE","FALSE")</f>
        <v>FALSE</v>
      </c>
      <c r="AH159" s="661" t="str">
        <f>IF(AND($Y159&gt;=22, (AI159&lt;&gt;"I"),(Y159&lt;&gt;"~"),(COUNTIF($AN$1:$AN159,$AN159)=1)),"TRUE","FALSE")</f>
        <v>FALSE</v>
      </c>
      <c r="AI159" s="661" t="str">
        <f t="shared" si="20"/>
        <v>I</v>
      </c>
      <c r="AJ159" s="662" t="str">
        <f t="shared" si="15"/>
        <v>SNTA-004</v>
      </c>
      <c r="AK159" s="662" t="str">
        <f t="shared" si="16"/>
        <v>PAS</v>
      </c>
      <c r="AL159" s="662" t="str">
        <f t="shared" si="17"/>
        <v>HYD</v>
      </c>
      <c r="AM159" s="662" t="str">
        <f t="shared" si="18"/>
        <v>Sonata-SE-FWD-5-~-~-2.4L-4-28402F45-01-110.4-18.5-Unleaded-Unleaded</v>
      </c>
      <c r="AN159" s="662" t="str">
        <f t="shared" si="19"/>
        <v>2019-PAS-HYD-SNTA-004</v>
      </c>
    </row>
    <row r="160" spans="1:40" s="572" customFormat="1" ht="15">
      <c r="A160" s="570" t="s">
        <v>541</v>
      </c>
      <c r="B160" s="569" t="s">
        <v>542</v>
      </c>
      <c r="C160" s="569" t="s">
        <v>543</v>
      </c>
      <c r="D160" s="580" t="s">
        <v>544</v>
      </c>
      <c r="E160" s="569" t="s">
        <v>151</v>
      </c>
      <c r="F160" s="569" t="s">
        <v>196</v>
      </c>
      <c r="G160" s="569" t="s">
        <v>545</v>
      </c>
      <c r="H160" s="569">
        <v>2019</v>
      </c>
      <c r="I160" s="569" t="s">
        <v>546</v>
      </c>
      <c r="J160" s="569" t="s">
        <v>547</v>
      </c>
      <c r="K160" s="569" t="s">
        <v>156</v>
      </c>
      <c r="L160" s="569">
        <v>5</v>
      </c>
      <c r="M160" s="569">
        <v>0</v>
      </c>
      <c r="N160" s="569" t="s">
        <v>157</v>
      </c>
      <c r="O160" s="569">
        <v>2</v>
      </c>
      <c r="P160" s="569" t="s">
        <v>157</v>
      </c>
      <c r="Q160" s="568" t="s">
        <v>157</v>
      </c>
      <c r="R160" s="569" t="s">
        <v>189</v>
      </c>
      <c r="S160" s="569">
        <v>4</v>
      </c>
      <c r="T160" s="569">
        <v>13119</v>
      </c>
      <c r="U160" s="569" t="s">
        <v>157</v>
      </c>
      <c r="V160" s="569">
        <v>109.3</v>
      </c>
      <c r="W160" s="569">
        <v>18</v>
      </c>
      <c r="X160" s="568">
        <v>3212</v>
      </c>
      <c r="Y160" s="581">
        <v>32</v>
      </c>
      <c r="Z160" s="581" t="s">
        <v>178</v>
      </c>
      <c r="AA160" s="581" t="s">
        <v>178</v>
      </c>
      <c r="AB160" s="585">
        <v>24645</v>
      </c>
      <c r="AC160" s="585" t="s">
        <v>164</v>
      </c>
      <c r="AD160" s="585">
        <v>20870</v>
      </c>
      <c r="AE160" s="587">
        <v>0.03</v>
      </c>
      <c r="AF160" s="661" t="str">
        <f t="shared" si="14"/>
        <v>2019-PAS-NIS-ALTM-002-07</v>
      </c>
      <c r="AG160" s="661" t="str">
        <f>IF(AND($Y160&gt;=32,(AI160="I"),(Y160&lt;&gt;"~"),(COUNTIF($AN$1:$AN160,$AN160)=1)),"TRUE","FALSE")</f>
        <v>TRUE</v>
      </c>
      <c r="AH160" s="661" t="str">
        <f>IF(AND($Y160&gt;=22, (AI160&lt;&gt;"I"),(Y160&lt;&gt;"~"),(COUNTIF($AN$1:$AN160,$AN160)=1)),"TRUE","FALSE")</f>
        <v>FALSE</v>
      </c>
      <c r="AI160" s="661" t="str">
        <f t="shared" si="20"/>
        <v>I</v>
      </c>
      <c r="AJ160" s="662" t="str">
        <f t="shared" si="15"/>
        <v>ALTM-002</v>
      </c>
      <c r="AK160" s="662" t="str">
        <f t="shared" si="16"/>
        <v>PAS</v>
      </c>
      <c r="AL160" s="662" t="str">
        <f t="shared" si="17"/>
        <v>NIS</v>
      </c>
      <c r="AM160" s="662" t="str">
        <f t="shared" si="18"/>
        <v>Altima-2.5S-FWD-5-~-~-2.5L-4-13119-~-109.3-18-Unleaded-Unleaded</v>
      </c>
      <c r="AN160" s="662" t="str">
        <f t="shared" si="19"/>
        <v>2019-PAS-NIS-ALTM-002</v>
      </c>
    </row>
    <row r="161" spans="1:40" s="572" customFormat="1" ht="15">
      <c r="A161" s="570" t="s">
        <v>548</v>
      </c>
      <c r="B161" s="573" t="s">
        <v>542</v>
      </c>
      <c r="C161" s="573" t="s">
        <v>549</v>
      </c>
      <c r="D161" s="578">
        <v>16</v>
      </c>
      <c r="E161" s="573" t="s">
        <v>151</v>
      </c>
      <c r="F161" s="573" t="s">
        <v>196</v>
      </c>
      <c r="G161" s="573" t="s">
        <v>545</v>
      </c>
      <c r="H161" s="573">
        <v>2019</v>
      </c>
      <c r="I161" s="573" t="s">
        <v>546</v>
      </c>
      <c r="J161" s="573" t="s">
        <v>547</v>
      </c>
      <c r="K161" s="573" t="s">
        <v>156</v>
      </c>
      <c r="L161" s="573">
        <v>5</v>
      </c>
      <c r="M161" s="573">
        <v>0</v>
      </c>
      <c r="N161" s="573" t="s">
        <v>157</v>
      </c>
      <c r="O161" s="573">
        <v>2</v>
      </c>
      <c r="P161" s="573" t="s">
        <v>157</v>
      </c>
      <c r="Q161" s="571" t="s">
        <v>157</v>
      </c>
      <c r="R161" s="573" t="s">
        <v>189</v>
      </c>
      <c r="S161" s="573">
        <v>4</v>
      </c>
      <c r="T161" s="573">
        <v>13119</v>
      </c>
      <c r="U161" s="573" t="s">
        <v>157</v>
      </c>
      <c r="V161" s="573">
        <v>109.3</v>
      </c>
      <c r="W161" s="573">
        <v>18</v>
      </c>
      <c r="X161" s="571">
        <v>3212</v>
      </c>
      <c r="Y161" s="579">
        <v>31</v>
      </c>
      <c r="Z161" s="579" t="s">
        <v>178</v>
      </c>
      <c r="AA161" s="579" t="s">
        <v>178</v>
      </c>
      <c r="AB161" s="584">
        <v>24645</v>
      </c>
      <c r="AC161" s="584" t="s">
        <v>164</v>
      </c>
      <c r="AD161" s="584">
        <v>20495</v>
      </c>
      <c r="AE161" s="586">
        <v>0.05</v>
      </c>
      <c r="AF161" s="661" t="str">
        <f t="shared" si="14"/>
        <v>2019-PAS-NIS-ALTM-002-16</v>
      </c>
      <c r="AG161" s="661" t="str">
        <f>IF(AND($Y161&gt;=32,(AI161="I"),(Y161&lt;&gt;"~"),(COUNTIF($AN$1:$AN161,$AN161)=1)),"TRUE","FALSE")</f>
        <v>FALSE</v>
      </c>
      <c r="AH161" s="661" t="str">
        <f>IF(AND($Y161&gt;=22, (AI161&lt;&gt;"I"),(Y161&lt;&gt;"~"),(COUNTIF($AN$1:$AN161,$AN161)=1)),"TRUE","FALSE")</f>
        <v>FALSE</v>
      </c>
      <c r="AI161" s="661" t="str">
        <f t="shared" si="20"/>
        <v>I</v>
      </c>
      <c r="AJ161" s="662" t="str">
        <f t="shared" si="15"/>
        <v>ALTM-002</v>
      </c>
      <c r="AK161" s="662" t="str">
        <f t="shared" si="16"/>
        <v>PAS</v>
      </c>
      <c r="AL161" s="662" t="str">
        <f t="shared" si="17"/>
        <v>NIS</v>
      </c>
      <c r="AM161" s="662" t="str">
        <f t="shared" si="18"/>
        <v>Altima-2.5S-FWD-5-~-~-2.5L-4-13119-~-109.3-18-Unleaded-Unleaded</v>
      </c>
      <c r="AN161" s="662" t="str">
        <f t="shared" si="19"/>
        <v>2019-PAS-NIS-ALTM-002</v>
      </c>
    </row>
    <row r="162" spans="1:40" s="572" customFormat="1" ht="15">
      <c r="A162" s="570" t="s">
        <v>550</v>
      </c>
      <c r="B162" s="569" t="s">
        <v>551</v>
      </c>
      <c r="C162" s="569" t="s">
        <v>549</v>
      </c>
      <c r="D162" s="580">
        <v>16</v>
      </c>
      <c r="E162" s="569" t="s">
        <v>151</v>
      </c>
      <c r="F162" s="569" t="s">
        <v>196</v>
      </c>
      <c r="G162" s="569" t="s">
        <v>545</v>
      </c>
      <c r="H162" s="569">
        <v>2019</v>
      </c>
      <c r="I162" s="569" t="s">
        <v>546</v>
      </c>
      <c r="J162" s="569" t="s">
        <v>552</v>
      </c>
      <c r="K162" s="569" t="s">
        <v>230</v>
      </c>
      <c r="L162" s="569">
        <v>5</v>
      </c>
      <c r="M162" s="569">
        <v>0</v>
      </c>
      <c r="N162" s="569" t="s">
        <v>157</v>
      </c>
      <c r="O162" s="569">
        <v>2</v>
      </c>
      <c r="P162" s="569" t="s">
        <v>157</v>
      </c>
      <c r="Q162" s="568" t="s">
        <v>157</v>
      </c>
      <c r="R162" s="569" t="s">
        <v>189</v>
      </c>
      <c r="S162" s="569">
        <v>4</v>
      </c>
      <c r="T162" s="569">
        <v>13019</v>
      </c>
      <c r="U162" s="569" t="s">
        <v>157</v>
      </c>
      <c r="V162" s="569">
        <v>111.2</v>
      </c>
      <c r="W162" s="569">
        <v>16</v>
      </c>
      <c r="X162" s="568">
        <v>3344</v>
      </c>
      <c r="Y162" s="581">
        <v>30</v>
      </c>
      <c r="Z162" s="581" t="s">
        <v>178</v>
      </c>
      <c r="AA162" s="581" t="s">
        <v>178</v>
      </c>
      <c r="AB162" s="585">
        <v>25995</v>
      </c>
      <c r="AC162" s="585" t="s">
        <v>164</v>
      </c>
      <c r="AD162" s="585">
        <v>21990</v>
      </c>
      <c r="AE162" s="587">
        <v>0.05</v>
      </c>
      <c r="AF162" s="661" t="str">
        <f t="shared" si="14"/>
        <v>2019-PAS-NIS-ALTM-004-16</v>
      </c>
      <c r="AG162" s="661" t="str">
        <f>IF(AND($Y162&gt;=32,(AI162="I"),(Y162&lt;&gt;"~"),(COUNTIF($AN$1:$AN162,$AN162)=1)),"TRUE","FALSE")</f>
        <v>FALSE</v>
      </c>
      <c r="AH162" s="661" t="str">
        <f>IF(AND($Y162&gt;=22, (AI162&lt;&gt;"I"),(Y162&lt;&gt;"~"),(COUNTIF($AN$1:$AN162,$AN162)=1)),"TRUE","FALSE")</f>
        <v>FALSE</v>
      </c>
      <c r="AI162" s="661" t="str">
        <f t="shared" si="20"/>
        <v>I</v>
      </c>
      <c r="AJ162" s="662" t="str">
        <f t="shared" si="15"/>
        <v>ALTM-004</v>
      </c>
      <c r="AK162" s="662" t="str">
        <f t="shared" si="16"/>
        <v>PAS</v>
      </c>
      <c r="AL162" s="662" t="str">
        <f t="shared" si="17"/>
        <v>NIS</v>
      </c>
      <c r="AM162" s="662" t="str">
        <f t="shared" si="18"/>
        <v>Altima-2.5S -AWD-5-~-~-2.5L-4-13019-~-111.2-16-Unleaded-Unleaded</v>
      </c>
      <c r="AN162" s="662" t="str">
        <f t="shared" si="19"/>
        <v>2019-PAS-NIS-ALTM-004</v>
      </c>
    </row>
    <row r="163" spans="1:40" s="572" customFormat="1" ht="15">
      <c r="A163" s="570" t="s">
        <v>553</v>
      </c>
      <c r="B163" s="573" t="s">
        <v>554</v>
      </c>
      <c r="C163" s="573" t="s">
        <v>543</v>
      </c>
      <c r="D163" s="578" t="s">
        <v>544</v>
      </c>
      <c r="E163" s="573" t="s">
        <v>151</v>
      </c>
      <c r="F163" s="573" t="s">
        <v>196</v>
      </c>
      <c r="G163" s="573" t="s">
        <v>545</v>
      </c>
      <c r="H163" s="573">
        <v>2019</v>
      </c>
      <c r="I163" s="573" t="s">
        <v>546</v>
      </c>
      <c r="J163" s="573" t="s">
        <v>552</v>
      </c>
      <c r="K163" s="573" t="s">
        <v>156</v>
      </c>
      <c r="L163" s="573">
        <v>5</v>
      </c>
      <c r="M163" s="573">
        <v>0</v>
      </c>
      <c r="N163" s="573" t="s">
        <v>157</v>
      </c>
      <c r="O163" s="573">
        <v>2</v>
      </c>
      <c r="P163" s="573" t="s">
        <v>157</v>
      </c>
      <c r="Q163" s="571" t="s">
        <v>157</v>
      </c>
      <c r="R163" s="573" t="s">
        <v>189</v>
      </c>
      <c r="S163" s="573">
        <v>4</v>
      </c>
      <c r="T163" s="573">
        <v>13119</v>
      </c>
      <c r="U163" s="573" t="s">
        <v>157</v>
      </c>
      <c r="V163" s="573">
        <v>109.3</v>
      </c>
      <c r="W163" s="573">
        <v>18</v>
      </c>
      <c r="X163" s="571">
        <v>3212</v>
      </c>
      <c r="Y163" s="579">
        <v>32</v>
      </c>
      <c r="Z163" s="579" t="s">
        <v>178</v>
      </c>
      <c r="AA163" s="579" t="s">
        <v>178</v>
      </c>
      <c r="AB163" s="584">
        <v>24645</v>
      </c>
      <c r="AC163" s="584" t="s">
        <v>164</v>
      </c>
      <c r="AD163" s="584">
        <v>20870</v>
      </c>
      <c r="AE163" s="586">
        <v>0.03</v>
      </c>
      <c r="AF163" s="661" t="str">
        <f t="shared" si="14"/>
        <v>2019-PAS-NIS-ALTM-001-07</v>
      </c>
      <c r="AG163" s="661" t="str">
        <f>IF(AND($Y163&gt;=32,(AI163="I"),(Y163&lt;&gt;"~"),(COUNTIF($AN$1:$AN163,$AN163)=1)),"TRUE","FALSE")</f>
        <v>TRUE</v>
      </c>
      <c r="AH163" s="661" t="str">
        <f>IF(AND($Y163&gt;=22, (AI163&lt;&gt;"I"),(Y163&lt;&gt;"~"),(COUNTIF($AN$1:$AN163,$AN163)=1)),"TRUE","FALSE")</f>
        <v>FALSE</v>
      </c>
      <c r="AI163" s="661" t="str">
        <f t="shared" si="20"/>
        <v>I</v>
      </c>
      <c r="AJ163" s="662" t="str">
        <f t="shared" si="15"/>
        <v>ALTM-001</v>
      </c>
      <c r="AK163" s="662" t="str">
        <f t="shared" si="16"/>
        <v>PAS</v>
      </c>
      <c r="AL163" s="662" t="str">
        <f t="shared" si="17"/>
        <v>NIS</v>
      </c>
      <c r="AM163" s="662" t="str">
        <f t="shared" si="18"/>
        <v>Altima-2.5S -FWD-5-~-~-2.5L-4-13119-~-109.3-18-Unleaded-Unleaded</v>
      </c>
      <c r="AN163" s="662" t="str">
        <f t="shared" si="19"/>
        <v>2019-PAS-NIS-ALTM-001</v>
      </c>
    </row>
    <row r="164" spans="1:40" s="572" customFormat="1" ht="15">
      <c r="A164" s="570" t="s">
        <v>555</v>
      </c>
      <c r="B164" s="569" t="s">
        <v>556</v>
      </c>
      <c r="C164" s="569" t="s">
        <v>543</v>
      </c>
      <c r="D164" s="580" t="s">
        <v>544</v>
      </c>
      <c r="E164" s="569" t="s">
        <v>151</v>
      </c>
      <c r="F164" s="569" t="s">
        <v>196</v>
      </c>
      <c r="G164" s="569" t="s">
        <v>545</v>
      </c>
      <c r="H164" s="569">
        <v>2019</v>
      </c>
      <c r="I164" s="569" t="s">
        <v>546</v>
      </c>
      <c r="J164" s="569" t="s">
        <v>557</v>
      </c>
      <c r="K164" s="569" t="s">
        <v>230</v>
      </c>
      <c r="L164" s="569">
        <v>5</v>
      </c>
      <c r="M164" s="569">
        <v>0</v>
      </c>
      <c r="N164" s="569" t="s">
        <v>157</v>
      </c>
      <c r="O164" s="569">
        <v>2</v>
      </c>
      <c r="P164" s="569" t="s">
        <v>157</v>
      </c>
      <c r="Q164" s="568" t="s">
        <v>157</v>
      </c>
      <c r="R164" s="569" t="s">
        <v>189</v>
      </c>
      <c r="S164" s="569">
        <v>4</v>
      </c>
      <c r="T164" s="569">
        <v>13419</v>
      </c>
      <c r="U164" s="569" t="s">
        <v>157</v>
      </c>
      <c r="V164" s="569">
        <v>109.3</v>
      </c>
      <c r="W164" s="569">
        <v>18</v>
      </c>
      <c r="X164" s="568">
        <v>3233</v>
      </c>
      <c r="Y164" s="581">
        <v>30</v>
      </c>
      <c r="Z164" s="581" t="s">
        <v>178</v>
      </c>
      <c r="AA164" s="581" t="s">
        <v>178</v>
      </c>
      <c r="AB164" s="585">
        <v>30175</v>
      </c>
      <c r="AC164" s="585" t="s">
        <v>164</v>
      </c>
      <c r="AD164" s="585">
        <v>26109</v>
      </c>
      <c r="AE164" s="587">
        <v>0.03</v>
      </c>
      <c r="AF164" s="661" t="str">
        <f t="shared" si="14"/>
        <v>2019-PAS-NIS-ALTM-005-07</v>
      </c>
      <c r="AG164" s="661" t="str">
        <f>IF(AND($Y164&gt;=32,(AI164="I"),(Y164&lt;&gt;"~"),(COUNTIF($AN$1:$AN164,$AN164)=1)),"TRUE","FALSE")</f>
        <v>FALSE</v>
      </c>
      <c r="AH164" s="661" t="str">
        <f>IF(AND($Y164&gt;=22, (AI164&lt;&gt;"I"),(Y164&lt;&gt;"~"),(COUNTIF($AN$1:$AN164,$AN164)=1)),"TRUE","FALSE")</f>
        <v>FALSE</v>
      </c>
      <c r="AI164" s="661" t="str">
        <f t="shared" si="20"/>
        <v>I</v>
      </c>
      <c r="AJ164" s="662" t="str">
        <f t="shared" si="15"/>
        <v>ALTM-005</v>
      </c>
      <c r="AK164" s="662" t="str">
        <f t="shared" si="16"/>
        <v>PAS</v>
      </c>
      <c r="AL164" s="662" t="str">
        <f t="shared" si="17"/>
        <v>NIS</v>
      </c>
      <c r="AM164" s="662" t="str">
        <f t="shared" si="18"/>
        <v>Altima-2.5SV-AWD-5-~-~-2.5L-4-13419-~-109.3-18-Unleaded-Unleaded</v>
      </c>
      <c r="AN164" s="662" t="str">
        <f t="shared" si="19"/>
        <v>2019-PAS-NIS-ALTM-005</v>
      </c>
    </row>
    <row r="165" spans="1:40" s="572" customFormat="1" ht="15">
      <c r="A165" s="570" t="s">
        <v>558</v>
      </c>
      <c r="B165" s="573" t="s">
        <v>559</v>
      </c>
      <c r="C165" s="573" t="s">
        <v>549</v>
      </c>
      <c r="D165" s="578">
        <v>16</v>
      </c>
      <c r="E165" s="573" t="s">
        <v>151</v>
      </c>
      <c r="F165" s="573" t="s">
        <v>196</v>
      </c>
      <c r="G165" s="573" t="s">
        <v>545</v>
      </c>
      <c r="H165" s="573">
        <v>2019</v>
      </c>
      <c r="I165" s="573" t="s">
        <v>546</v>
      </c>
      <c r="J165" s="573" t="s">
        <v>557</v>
      </c>
      <c r="K165" s="573" t="s">
        <v>230</v>
      </c>
      <c r="L165" s="573">
        <v>5</v>
      </c>
      <c r="M165" s="573">
        <v>0</v>
      </c>
      <c r="N165" s="573" t="s">
        <v>157</v>
      </c>
      <c r="O165" s="573">
        <v>2</v>
      </c>
      <c r="P165" s="573" t="s">
        <v>157</v>
      </c>
      <c r="Q165" s="571" t="s">
        <v>157</v>
      </c>
      <c r="R165" s="573" t="s">
        <v>560</v>
      </c>
      <c r="S165" s="573">
        <v>4</v>
      </c>
      <c r="T165" s="573">
        <v>13419</v>
      </c>
      <c r="U165" s="573" t="s">
        <v>157</v>
      </c>
      <c r="V165" s="573">
        <v>111.2</v>
      </c>
      <c r="W165" s="573">
        <v>16</v>
      </c>
      <c r="X165" s="571">
        <v>3344</v>
      </c>
      <c r="Y165" s="579">
        <v>30</v>
      </c>
      <c r="Z165" s="579" t="s">
        <v>178</v>
      </c>
      <c r="AA165" s="579" t="s">
        <v>178</v>
      </c>
      <c r="AB165" s="584">
        <v>30175</v>
      </c>
      <c r="AC165" s="584" t="s">
        <v>164</v>
      </c>
      <c r="AD165" s="584">
        <v>25990</v>
      </c>
      <c r="AE165" s="586">
        <v>0.05</v>
      </c>
      <c r="AF165" s="661" t="str">
        <f t="shared" si="14"/>
        <v>2019-PAS-NIS-ALTM-006-16</v>
      </c>
      <c r="AG165" s="661" t="str">
        <f>IF(AND($Y165&gt;=32,(AI165="I"),(Y165&lt;&gt;"~"),(COUNTIF($AN$1:$AN165,$AN165)=1)),"TRUE","FALSE")</f>
        <v>FALSE</v>
      </c>
      <c r="AH165" s="661" t="str">
        <f>IF(AND($Y165&gt;=22, (AI165&lt;&gt;"I"),(Y165&lt;&gt;"~"),(COUNTIF($AN$1:$AN165,$AN165)=1)),"TRUE","FALSE")</f>
        <v>FALSE</v>
      </c>
      <c r="AI165" s="661" t="str">
        <f t="shared" si="20"/>
        <v>I</v>
      </c>
      <c r="AJ165" s="662" t="str">
        <f t="shared" si="15"/>
        <v>ALTM-006</v>
      </c>
      <c r="AK165" s="662" t="str">
        <f t="shared" si="16"/>
        <v>PAS</v>
      </c>
      <c r="AL165" s="662" t="str">
        <f t="shared" si="17"/>
        <v>NIS</v>
      </c>
      <c r="AM165" s="662" t="str">
        <f t="shared" si="18"/>
        <v>Altima-2.5SV-AWD-5-~-~-2.5l-4-13419-~-111.2-16-Unleaded-Unleaded</v>
      </c>
      <c r="AN165" s="662" t="str">
        <f t="shared" si="19"/>
        <v>2019-PAS-NIS-ALTM-006</v>
      </c>
    </row>
    <row r="166" spans="1:40" s="572" customFormat="1" ht="15">
      <c r="A166" s="570" t="s">
        <v>561</v>
      </c>
      <c r="B166" s="569" t="s">
        <v>562</v>
      </c>
      <c r="C166" s="569" t="s">
        <v>543</v>
      </c>
      <c r="D166" s="580" t="s">
        <v>544</v>
      </c>
      <c r="E166" s="569" t="s">
        <v>151</v>
      </c>
      <c r="F166" s="569" t="s">
        <v>196</v>
      </c>
      <c r="G166" s="569" t="s">
        <v>545</v>
      </c>
      <c r="H166" s="569">
        <v>2019</v>
      </c>
      <c r="I166" s="569" t="s">
        <v>546</v>
      </c>
      <c r="J166" s="569" t="s">
        <v>557</v>
      </c>
      <c r="K166" s="569" t="s">
        <v>156</v>
      </c>
      <c r="L166" s="569">
        <v>5</v>
      </c>
      <c r="M166" s="569">
        <v>0</v>
      </c>
      <c r="N166" s="569" t="s">
        <v>157</v>
      </c>
      <c r="O166" s="569">
        <v>2</v>
      </c>
      <c r="P166" s="569" t="s">
        <v>157</v>
      </c>
      <c r="Q166" s="568" t="s">
        <v>157</v>
      </c>
      <c r="R166" s="569" t="s">
        <v>189</v>
      </c>
      <c r="S166" s="569">
        <v>4</v>
      </c>
      <c r="T166" s="569">
        <v>13519</v>
      </c>
      <c r="U166" s="569" t="s">
        <v>157</v>
      </c>
      <c r="V166" s="569">
        <v>109.3</v>
      </c>
      <c r="W166" s="569">
        <v>18</v>
      </c>
      <c r="X166" s="568">
        <v>3233</v>
      </c>
      <c r="Y166" s="581">
        <v>32</v>
      </c>
      <c r="Z166" s="581" t="s">
        <v>178</v>
      </c>
      <c r="AA166" s="581" t="s">
        <v>178</v>
      </c>
      <c r="AB166" s="585">
        <v>28825</v>
      </c>
      <c r="AC166" s="585" t="s">
        <v>164</v>
      </c>
      <c r="AD166" s="585">
        <v>24966.400000000001</v>
      </c>
      <c r="AE166" s="587">
        <v>0.03</v>
      </c>
      <c r="AF166" s="661" t="str">
        <f t="shared" si="14"/>
        <v>2019-PAS-NIS-ALTM-003-07</v>
      </c>
      <c r="AG166" s="661" t="str">
        <f>IF(AND($Y166&gt;=32,(AI166="I"),(Y166&lt;&gt;"~"),(COUNTIF($AN$1:$AN166,$AN166)=1)),"TRUE","FALSE")</f>
        <v>TRUE</v>
      </c>
      <c r="AH166" s="661" t="str">
        <f>IF(AND($Y166&gt;=22, (AI166&lt;&gt;"I"),(Y166&lt;&gt;"~"),(COUNTIF($AN$1:$AN166,$AN166)=1)),"TRUE","FALSE")</f>
        <v>FALSE</v>
      </c>
      <c r="AI166" s="661" t="str">
        <f t="shared" si="20"/>
        <v>I</v>
      </c>
      <c r="AJ166" s="662" t="str">
        <f t="shared" si="15"/>
        <v>ALTM-003</v>
      </c>
      <c r="AK166" s="662" t="str">
        <f t="shared" si="16"/>
        <v>PAS</v>
      </c>
      <c r="AL166" s="662" t="str">
        <f t="shared" si="17"/>
        <v>NIS</v>
      </c>
      <c r="AM166" s="662" t="str">
        <f t="shared" si="18"/>
        <v>Altima-2.5SV-FWD-5-~-~-2.5L-4-13519-~-109.3-18-Unleaded-Unleaded</v>
      </c>
      <c r="AN166" s="662" t="str">
        <f t="shared" si="19"/>
        <v>2019-PAS-NIS-ALTM-003</v>
      </c>
    </row>
    <row r="167" spans="1:40" s="572" customFormat="1" ht="15">
      <c r="A167" s="570" t="s">
        <v>563</v>
      </c>
      <c r="B167" s="573" t="s">
        <v>562</v>
      </c>
      <c r="C167" s="573" t="s">
        <v>549</v>
      </c>
      <c r="D167" s="578">
        <v>16</v>
      </c>
      <c r="E167" s="573" t="s">
        <v>151</v>
      </c>
      <c r="F167" s="573" t="s">
        <v>196</v>
      </c>
      <c r="G167" s="573" t="s">
        <v>545</v>
      </c>
      <c r="H167" s="573">
        <v>2019</v>
      </c>
      <c r="I167" s="573" t="s">
        <v>546</v>
      </c>
      <c r="J167" s="573" t="s">
        <v>557</v>
      </c>
      <c r="K167" s="573" t="s">
        <v>156</v>
      </c>
      <c r="L167" s="573">
        <v>5</v>
      </c>
      <c r="M167" s="573">
        <v>0</v>
      </c>
      <c r="N167" s="573" t="s">
        <v>157</v>
      </c>
      <c r="O167" s="573">
        <v>2</v>
      </c>
      <c r="P167" s="573" t="s">
        <v>157</v>
      </c>
      <c r="Q167" s="571" t="s">
        <v>157</v>
      </c>
      <c r="R167" s="573" t="s">
        <v>189</v>
      </c>
      <c r="S167" s="573">
        <v>4</v>
      </c>
      <c r="T167" s="573">
        <v>13519</v>
      </c>
      <c r="U167" s="573" t="s">
        <v>157</v>
      </c>
      <c r="V167" s="573">
        <v>109.3</v>
      </c>
      <c r="W167" s="573">
        <v>18</v>
      </c>
      <c r="X167" s="571">
        <v>3233</v>
      </c>
      <c r="Y167" s="579">
        <v>31</v>
      </c>
      <c r="Z167" s="579" t="s">
        <v>178</v>
      </c>
      <c r="AA167" s="579" t="s">
        <v>178</v>
      </c>
      <c r="AB167" s="584">
        <v>28825</v>
      </c>
      <c r="AC167" s="584" t="s">
        <v>164</v>
      </c>
      <c r="AD167" s="584">
        <v>24625</v>
      </c>
      <c r="AE167" s="586">
        <v>0.05</v>
      </c>
      <c r="AF167" s="661" t="str">
        <f t="shared" si="14"/>
        <v>2019-PAS-NIS-ALTM-003-16</v>
      </c>
      <c r="AG167" s="661" t="str">
        <f>IF(AND($Y167&gt;=32,(AI167="I"),(Y167&lt;&gt;"~"),(COUNTIF($AN$1:$AN167,$AN167)=1)),"TRUE","FALSE")</f>
        <v>FALSE</v>
      </c>
      <c r="AH167" s="661" t="str">
        <f>IF(AND($Y167&gt;=22, (AI167&lt;&gt;"I"),(Y167&lt;&gt;"~"),(COUNTIF($AN$1:$AN167,$AN167)=1)),"TRUE","FALSE")</f>
        <v>FALSE</v>
      </c>
      <c r="AI167" s="661" t="str">
        <f t="shared" si="20"/>
        <v>I</v>
      </c>
      <c r="AJ167" s="662" t="str">
        <f t="shared" si="15"/>
        <v>ALTM-003</v>
      </c>
      <c r="AK167" s="662" t="str">
        <f t="shared" si="16"/>
        <v>PAS</v>
      </c>
      <c r="AL167" s="662" t="str">
        <f t="shared" si="17"/>
        <v>NIS</v>
      </c>
      <c r="AM167" s="662" t="str">
        <f t="shared" si="18"/>
        <v>Altima-2.5SV-FWD-5-~-~-2.5L-4-13519-~-109.3-18-Unleaded-Unleaded</v>
      </c>
      <c r="AN167" s="662" t="str">
        <f t="shared" si="19"/>
        <v>2019-PAS-NIS-ALTM-003</v>
      </c>
    </row>
    <row r="168" spans="1:40" s="572" customFormat="1" ht="15">
      <c r="A168" s="570" t="s">
        <v>564</v>
      </c>
      <c r="B168" s="569" t="s">
        <v>565</v>
      </c>
      <c r="C168" s="569" t="s">
        <v>543</v>
      </c>
      <c r="D168" s="580" t="s">
        <v>544</v>
      </c>
      <c r="E168" s="569" t="s">
        <v>151</v>
      </c>
      <c r="F168" s="569" t="s">
        <v>152</v>
      </c>
      <c r="G168" s="569" t="s">
        <v>545</v>
      </c>
      <c r="H168" s="569">
        <v>2019</v>
      </c>
      <c r="I168" s="569" t="s">
        <v>566</v>
      </c>
      <c r="J168" s="569" t="s">
        <v>273</v>
      </c>
      <c r="K168" s="569" t="s">
        <v>156</v>
      </c>
      <c r="L168" s="569">
        <v>5</v>
      </c>
      <c r="M168" s="569">
        <v>0</v>
      </c>
      <c r="N168" s="569" t="s">
        <v>157</v>
      </c>
      <c r="O168" s="569">
        <v>2</v>
      </c>
      <c r="P168" s="569" t="s">
        <v>157</v>
      </c>
      <c r="Q168" s="568" t="s">
        <v>157</v>
      </c>
      <c r="R168" s="569" t="s">
        <v>567</v>
      </c>
      <c r="S168" s="569" t="s">
        <v>568</v>
      </c>
      <c r="T168" s="569">
        <v>17019</v>
      </c>
      <c r="U168" s="569" t="s">
        <v>157</v>
      </c>
      <c r="V168" s="569">
        <v>106.3</v>
      </c>
      <c r="W168" s="569" t="s">
        <v>569</v>
      </c>
      <c r="X168" s="568">
        <v>3433</v>
      </c>
      <c r="Y168" s="581">
        <v>112</v>
      </c>
      <c r="Z168" s="581" t="s">
        <v>163</v>
      </c>
      <c r="AA168" s="581" t="s">
        <v>163</v>
      </c>
      <c r="AB168" s="585">
        <v>30885</v>
      </c>
      <c r="AC168" s="585">
        <v>32475</v>
      </c>
      <c r="AD168" s="585">
        <v>28209</v>
      </c>
      <c r="AE168" s="587">
        <v>0.03</v>
      </c>
      <c r="AF168" s="661" t="str">
        <f t="shared" si="14"/>
        <v>2019-PAS-NIS-LEAF-002-07</v>
      </c>
      <c r="AG168" s="661" t="str">
        <f>IF(AND($Y168&gt;=32,(AI168="I"),(Y168&lt;&gt;"~"),(COUNTIF($AN$1:$AN168,$AN168)=1)),"TRUE","FALSE")</f>
        <v>TRUE</v>
      </c>
      <c r="AH168" s="661" t="str">
        <f>IF(AND($Y168&gt;=22, (AI168&lt;&gt;"I"),(Y168&lt;&gt;"~"),(COUNTIF($AN$1:$AN168,$AN168)=1)),"TRUE","FALSE")</f>
        <v>FALSE</v>
      </c>
      <c r="AI168" s="661" t="str">
        <f t="shared" si="20"/>
        <v>I</v>
      </c>
      <c r="AJ168" s="662" t="str">
        <f t="shared" si="15"/>
        <v>LEAF-002</v>
      </c>
      <c r="AK168" s="662" t="str">
        <f t="shared" si="16"/>
        <v>PAS</v>
      </c>
      <c r="AL168" s="662" t="str">
        <f t="shared" si="17"/>
        <v>NIS</v>
      </c>
      <c r="AM168" s="662" t="str">
        <f t="shared" si="18"/>
        <v>Leaf-S-FWD-5-~-~-110 kW Electric-40kWh w/QkChrg-17019-~-106.3-151 mi range-Electric-Electric</v>
      </c>
      <c r="AN168" s="662" t="str">
        <f t="shared" si="19"/>
        <v>2019-PAS-NIS-LEAF-002</v>
      </c>
    </row>
    <row r="169" spans="1:40" s="572" customFormat="1" ht="15">
      <c r="A169" s="570" t="s">
        <v>570</v>
      </c>
      <c r="B169" s="573" t="s">
        <v>571</v>
      </c>
      <c r="C169" s="573" t="s">
        <v>549</v>
      </c>
      <c r="D169" s="578">
        <v>16</v>
      </c>
      <c r="E169" s="573" t="s">
        <v>151</v>
      </c>
      <c r="F169" s="573" t="s">
        <v>152</v>
      </c>
      <c r="G169" s="573" t="s">
        <v>545</v>
      </c>
      <c r="H169" s="573">
        <v>2019</v>
      </c>
      <c r="I169" s="573" t="s">
        <v>566</v>
      </c>
      <c r="J169" s="573" t="s">
        <v>273</v>
      </c>
      <c r="K169" s="573" t="s">
        <v>156</v>
      </c>
      <c r="L169" s="573">
        <v>5</v>
      </c>
      <c r="M169" s="573">
        <v>0</v>
      </c>
      <c r="N169" s="573" t="s">
        <v>157</v>
      </c>
      <c r="O169" s="573">
        <v>2</v>
      </c>
      <c r="P169" s="573" t="s">
        <v>157</v>
      </c>
      <c r="Q169" s="571" t="s">
        <v>157</v>
      </c>
      <c r="R169" s="573" t="s">
        <v>567</v>
      </c>
      <c r="S169" s="573" t="s">
        <v>568</v>
      </c>
      <c r="T169" s="573">
        <v>17019</v>
      </c>
      <c r="U169" s="573" t="s">
        <v>157</v>
      </c>
      <c r="V169" s="573">
        <v>106.3</v>
      </c>
      <c r="W169" s="573" t="s">
        <v>569</v>
      </c>
      <c r="X169" s="571">
        <v>3433</v>
      </c>
      <c r="Y169" s="579">
        <v>112</v>
      </c>
      <c r="Z169" s="579" t="s">
        <v>163</v>
      </c>
      <c r="AA169" s="579" t="s">
        <v>163</v>
      </c>
      <c r="AB169" s="584">
        <v>30885</v>
      </c>
      <c r="AC169" s="584">
        <v>32475</v>
      </c>
      <c r="AD169" s="584">
        <v>26490</v>
      </c>
      <c r="AE169" s="586">
        <v>0.05</v>
      </c>
      <c r="AF169" s="661" t="str">
        <f t="shared" si="14"/>
        <v>2019-PAS-NIS-LEAF-001-16</v>
      </c>
      <c r="AG169" s="661" t="str">
        <f>IF(AND($Y169&gt;=32,(AI169="I"),(Y169&lt;&gt;"~"),(COUNTIF($AN$1:$AN169,$AN169)=1)),"TRUE","FALSE")</f>
        <v>TRUE</v>
      </c>
      <c r="AH169" s="661" t="str">
        <f>IF(AND($Y169&gt;=22, (AI169&lt;&gt;"I"),(Y169&lt;&gt;"~"),(COUNTIF($AN$1:$AN169,$AN169)=1)),"TRUE","FALSE")</f>
        <v>FALSE</v>
      </c>
      <c r="AI169" s="661" t="str">
        <f t="shared" si="20"/>
        <v>I</v>
      </c>
      <c r="AJ169" s="662" t="str">
        <f t="shared" si="15"/>
        <v>LEAF-001</v>
      </c>
      <c r="AK169" s="662" t="str">
        <f t="shared" si="16"/>
        <v>PAS</v>
      </c>
      <c r="AL169" s="662" t="str">
        <f t="shared" si="17"/>
        <v>NIS</v>
      </c>
      <c r="AM169" s="662" t="str">
        <f t="shared" si="18"/>
        <v>Leaf-S-FWD-5-~-~-110 kW Electric-40kWh w/QkChrg-17019-~-106.3-151 mi range-Electric-Electric</v>
      </c>
      <c r="AN169" s="662" t="str">
        <f t="shared" si="19"/>
        <v>2019-PAS-NIS-LEAF-001</v>
      </c>
    </row>
    <row r="170" spans="1:40" s="572" customFormat="1" ht="15">
      <c r="A170" s="570" t="s">
        <v>572</v>
      </c>
      <c r="B170" s="569" t="s">
        <v>573</v>
      </c>
      <c r="C170" s="569" t="s">
        <v>543</v>
      </c>
      <c r="D170" s="580" t="s">
        <v>544</v>
      </c>
      <c r="E170" s="569" t="s">
        <v>151</v>
      </c>
      <c r="F170" s="569" t="s">
        <v>152</v>
      </c>
      <c r="G170" s="569" t="s">
        <v>545</v>
      </c>
      <c r="H170" s="569">
        <v>2019</v>
      </c>
      <c r="I170" s="569" t="s">
        <v>566</v>
      </c>
      <c r="J170" s="569" t="s">
        <v>574</v>
      </c>
      <c r="K170" s="569" t="s">
        <v>156</v>
      </c>
      <c r="L170" s="569">
        <v>5</v>
      </c>
      <c r="M170" s="569">
        <v>0</v>
      </c>
      <c r="N170" s="569" t="s">
        <v>157</v>
      </c>
      <c r="O170" s="569">
        <v>2</v>
      </c>
      <c r="P170" s="569" t="s">
        <v>157</v>
      </c>
      <c r="Q170" s="568" t="s">
        <v>157</v>
      </c>
      <c r="R170" s="569" t="s">
        <v>567</v>
      </c>
      <c r="S170" s="569" t="s">
        <v>568</v>
      </c>
      <c r="T170" s="569">
        <v>17219</v>
      </c>
      <c r="U170" s="569" t="s">
        <v>157</v>
      </c>
      <c r="V170" s="569">
        <v>106.3</v>
      </c>
      <c r="W170" s="569" t="s">
        <v>569</v>
      </c>
      <c r="X170" s="568">
        <v>3468</v>
      </c>
      <c r="Y170" s="581">
        <v>112</v>
      </c>
      <c r="Z170" s="581" t="s">
        <v>163</v>
      </c>
      <c r="AA170" s="581" t="s">
        <v>163</v>
      </c>
      <c r="AB170" s="585">
        <v>37095</v>
      </c>
      <c r="AC170" s="585" t="s">
        <v>164</v>
      </c>
      <c r="AD170" s="585">
        <v>32771</v>
      </c>
      <c r="AE170" s="587">
        <v>0.03</v>
      </c>
      <c r="AF170" s="661" t="str">
        <f t="shared" si="14"/>
        <v>2019-PAS-NIS-LEAF-003-07</v>
      </c>
      <c r="AG170" s="661" t="str">
        <f>IF(AND($Y170&gt;=32,(AI170="I"),(Y170&lt;&gt;"~"),(COUNTIF($AN$1:$AN170,$AN170)=1)),"TRUE","FALSE")</f>
        <v>TRUE</v>
      </c>
      <c r="AH170" s="661" t="str">
        <f>IF(AND($Y170&gt;=22, (AI170&lt;&gt;"I"),(Y170&lt;&gt;"~"),(COUNTIF($AN$1:$AN170,$AN170)=1)),"TRUE","FALSE")</f>
        <v>FALSE</v>
      </c>
      <c r="AI170" s="661" t="str">
        <f t="shared" si="20"/>
        <v>I</v>
      </c>
      <c r="AJ170" s="662" t="str">
        <f t="shared" si="15"/>
        <v>LEAF-003</v>
      </c>
      <c r="AK170" s="662" t="str">
        <f t="shared" si="16"/>
        <v>PAS</v>
      </c>
      <c r="AL170" s="662" t="str">
        <f t="shared" si="17"/>
        <v>NIS</v>
      </c>
      <c r="AM170" s="662" t="str">
        <f t="shared" si="18"/>
        <v>Leaf-SL-FWD-5-~-~-110 kW Electric-40kWh w/QkChrg-17219-~-106.3-151 mi range-Electric-Electric</v>
      </c>
      <c r="AN170" s="662" t="str">
        <f t="shared" si="19"/>
        <v>2019-PAS-NIS-LEAF-003</v>
      </c>
    </row>
    <row r="171" spans="1:40" s="572" customFormat="1" ht="15">
      <c r="A171" s="570" t="s">
        <v>564</v>
      </c>
      <c r="B171" s="573" t="s">
        <v>565</v>
      </c>
      <c r="C171" s="573" t="s">
        <v>543</v>
      </c>
      <c r="D171" s="578" t="s">
        <v>544</v>
      </c>
      <c r="E171" s="573" t="s">
        <v>151</v>
      </c>
      <c r="F171" s="573" t="s">
        <v>152</v>
      </c>
      <c r="G171" s="573" t="s">
        <v>545</v>
      </c>
      <c r="H171" s="573">
        <v>2019</v>
      </c>
      <c r="I171" s="573" t="s">
        <v>566</v>
      </c>
      <c r="J171" s="573" t="s">
        <v>575</v>
      </c>
      <c r="K171" s="573" t="s">
        <v>156</v>
      </c>
      <c r="L171" s="573">
        <v>5</v>
      </c>
      <c r="M171" s="573">
        <v>0</v>
      </c>
      <c r="N171" s="573" t="s">
        <v>157</v>
      </c>
      <c r="O171" s="573">
        <v>2</v>
      </c>
      <c r="P171" s="573" t="s">
        <v>157</v>
      </c>
      <c r="Q171" s="571" t="s">
        <v>157</v>
      </c>
      <c r="R171" s="573" t="s">
        <v>567</v>
      </c>
      <c r="S171" s="573" t="s">
        <v>568</v>
      </c>
      <c r="T171" s="573">
        <v>17119</v>
      </c>
      <c r="U171" s="573" t="s">
        <v>157</v>
      </c>
      <c r="V171" s="573">
        <v>106.3</v>
      </c>
      <c r="W171" s="573" t="s">
        <v>569</v>
      </c>
      <c r="X171" s="571">
        <v>3468</v>
      </c>
      <c r="Y171" s="579">
        <v>112</v>
      </c>
      <c r="Z171" s="579" t="s">
        <v>163</v>
      </c>
      <c r="AA171" s="579" t="s">
        <v>163</v>
      </c>
      <c r="AB171" s="584">
        <v>33385</v>
      </c>
      <c r="AC171" s="584" t="s">
        <v>164</v>
      </c>
      <c r="AD171" s="584">
        <v>29269</v>
      </c>
      <c r="AE171" s="586">
        <v>0.03</v>
      </c>
      <c r="AF171" s="661" t="str">
        <f t="shared" si="14"/>
        <v>2019-PAS-NIS-LEAF-002-07</v>
      </c>
      <c r="AG171" s="661" t="str">
        <f>IF(AND($Y171&gt;=32,(AI171="I"),(Y171&lt;&gt;"~"),(COUNTIF($AN$1:$AN171,$AN171)=1)),"TRUE","FALSE")</f>
        <v>FALSE</v>
      </c>
      <c r="AH171" s="661" t="str">
        <f>IF(AND($Y171&gt;=22, (AI171&lt;&gt;"I"),(Y171&lt;&gt;"~"),(COUNTIF($AN$1:$AN171,$AN171)=1)),"TRUE","FALSE")</f>
        <v>FALSE</v>
      </c>
      <c r="AI171" s="661" t="str">
        <f t="shared" si="20"/>
        <v>I</v>
      </c>
      <c r="AJ171" s="662" t="str">
        <f t="shared" si="15"/>
        <v>LEAF-002</v>
      </c>
      <c r="AK171" s="662" t="str">
        <f t="shared" si="16"/>
        <v>PAS</v>
      </c>
      <c r="AL171" s="662" t="str">
        <f t="shared" si="17"/>
        <v>NIS</v>
      </c>
      <c r="AM171" s="662" t="str">
        <f t="shared" si="18"/>
        <v>Leaf-SV-FWD-5-~-~-110 kW Electric-40kWh w/QkChrg-17119-~-106.3-151 mi range-Electric-Electric</v>
      </c>
      <c r="AN171" s="662" t="str">
        <f t="shared" si="19"/>
        <v>2019-PAS-NIS-LEAF-002</v>
      </c>
    </row>
    <row r="172" spans="1:40" s="572" customFormat="1" ht="15">
      <c r="A172" s="570" t="s">
        <v>576</v>
      </c>
      <c r="B172" s="569" t="s">
        <v>565</v>
      </c>
      <c r="C172" s="569" t="s">
        <v>549</v>
      </c>
      <c r="D172" s="580">
        <v>16</v>
      </c>
      <c r="E172" s="569" t="s">
        <v>151</v>
      </c>
      <c r="F172" s="569" t="s">
        <v>152</v>
      </c>
      <c r="G172" s="569" t="s">
        <v>545</v>
      </c>
      <c r="H172" s="569">
        <v>2019</v>
      </c>
      <c r="I172" s="569" t="s">
        <v>566</v>
      </c>
      <c r="J172" s="569" t="s">
        <v>575</v>
      </c>
      <c r="K172" s="569" t="s">
        <v>156</v>
      </c>
      <c r="L172" s="569">
        <v>5</v>
      </c>
      <c r="M172" s="569">
        <v>0</v>
      </c>
      <c r="N172" s="569" t="s">
        <v>157</v>
      </c>
      <c r="O172" s="569">
        <v>2</v>
      </c>
      <c r="P172" s="569" t="s">
        <v>157</v>
      </c>
      <c r="Q172" s="568" t="s">
        <v>157</v>
      </c>
      <c r="R172" s="569" t="s">
        <v>567</v>
      </c>
      <c r="S172" s="569" t="s">
        <v>568</v>
      </c>
      <c r="T172" s="569">
        <v>17119</v>
      </c>
      <c r="U172" s="569" t="s">
        <v>157</v>
      </c>
      <c r="V172" s="569">
        <v>106.3</v>
      </c>
      <c r="W172" s="569" t="s">
        <v>569</v>
      </c>
      <c r="X172" s="568">
        <v>3468</v>
      </c>
      <c r="Y172" s="581">
        <v>112</v>
      </c>
      <c r="Z172" s="581" t="s">
        <v>163</v>
      </c>
      <c r="AA172" s="581" t="s">
        <v>163</v>
      </c>
      <c r="AB172" s="585">
        <v>33385</v>
      </c>
      <c r="AC172" s="585" t="s">
        <v>164</v>
      </c>
      <c r="AD172" s="585">
        <v>27990</v>
      </c>
      <c r="AE172" s="587">
        <v>0.05</v>
      </c>
      <c r="AF172" s="661" t="str">
        <f t="shared" si="14"/>
        <v>2019-PAS-NIS-LEAF-002-16</v>
      </c>
      <c r="AG172" s="661" t="str">
        <f>IF(AND($Y172&gt;=32,(AI172="I"),(Y172&lt;&gt;"~"),(COUNTIF($AN$1:$AN172,$AN172)=1)),"TRUE","FALSE")</f>
        <v>FALSE</v>
      </c>
      <c r="AH172" s="661" t="str">
        <f>IF(AND($Y172&gt;=22, (AI172&lt;&gt;"I"),(Y172&lt;&gt;"~"),(COUNTIF($AN$1:$AN172,$AN172)=1)),"TRUE","FALSE")</f>
        <v>FALSE</v>
      </c>
      <c r="AI172" s="661" t="str">
        <f t="shared" si="20"/>
        <v>I</v>
      </c>
      <c r="AJ172" s="662" t="str">
        <f t="shared" si="15"/>
        <v>LEAF-002</v>
      </c>
      <c r="AK172" s="662" t="str">
        <f t="shared" si="16"/>
        <v>PAS</v>
      </c>
      <c r="AL172" s="662" t="str">
        <f t="shared" si="17"/>
        <v>NIS</v>
      </c>
      <c r="AM172" s="662" t="str">
        <f t="shared" si="18"/>
        <v>Leaf-SV-FWD-5-~-~-110 kW Electric-40kWh w/QkChrg-17119-~-106.3-151 mi range-Electric-Electric</v>
      </c>
      <c r="AN172" s="662" t="str">
        <f t="shared" si="19"/>
        <v>2019-PAS-NIS-LEAF-002</v>
      </c>
    </row>
    <row r="173" spans="1:40" s="572" customFormat="1" ht="15">
      <c r="A173" s="570" t="s">
        <v>577</v>
      </c>
      <c r="B173" s="573" t="s">
        <v>578</v>
      </c>
      <c r="C173" s="573" t="s">
        <v>543</v>
      </c>
      <c r="D173" s="578" t="s">
        <v>544</v>
      </c>
      <c r="E173" s="573" t="s">
        <v>151</v>
      </c>
      <c r="F173" s="573" t="s">
        <v>152</v>
      </c>
      <c r="G173" s="573" t="s">
        <v>545</v>
      </c>
      <c r="H173" s="573">
        <v>2019</v>
      </c>
      <c r="I173" s="573" t="s">
        <v>579</v>
      </c>
      <c r="J173" s="573" t="s">
        <v>580</v>
      </c>
      <c r="K173" s="573" t="s">
        <v>156</v>
      </c>
      <c r="L173" s="573">
        <v>5</v>
      </c>
      <c r="M173" s="573">
        <v>0</v>
      </c>
      <c r="N173" s="573" t="s">
        <v>157</v>
      </c>
      <c r="O173" s="573">
        <v>2</v>
      </c>
      <c r="P173" s="573" t="s">
        <v>157</v>
      </c>
      <c r="Q173" s="571" t="s">
        <v>157</v>
      </c>
      <c r="R173" s="573" t="s">
        <v>199</v>
      </c>
      <c r="S173" s="573">
        <v>4</v>
      </c>
      <c r="T173" s="573">
        <v>12019</v>
      </c>
      <c r="U173" s="573" t="s">
        <v>157</v>
      </c>
      <c r="V173" s="573">
        <v>106.3</v>
      </c>
      <c r="W173" s="573">
        <v>13.2</v>
      </c>
      <c r="X173" s="571">
        <v>2859</v>
      </c>
      <c r="Y173" s="579">
        <v>32</v>
      </c>
      <c r="Z173" s="579" t="s">
        <v>178</v>
      </c>
      <c r="AA173" s="579" t="s">
        <v>178</v>
      </c>
      <c r="AB173" s="584">
        <v>19375</v>
      </c>
      <c r="AC173" s="584" t="s">
        <v>164</v>
      </c>
      <c r="AD173" s="584">
        <v>16889</v>
      </c>
      <c r="AE173" s="586">
        <v>0.03</v>
      </c>
      <c r="AF173" s="661" t="str">
        <f t="shared" si="14"/>
        <v>2019-PAS-NIS-SNTR-001-07</v>
      </c>
      <c r="AG173" s="661" t="str">
        <f>IF(AND($Y173&gt;=32,(AI173="I"),(Y173&lt;&gt;"~"),(COUNTIF($AN$1:$AN173,$AN173)=1)),"TRUE","FALSE")</f>
        <v>TRUE</v>
      </c>
      <c r="AH173" s="661" t="str">
        <f>IF(AND($Y173&gt;=22, (AI173&lt;&gt;"I"),(Y173&lt;&gt;"~"),(COUNTIF($AN$1:$AN173,$AN173)=1)),"TRUE","FALSE")</f>
        <v>FALSE</v>
      </c>
      <c r="AI173" s="661" t="str">
        <f t="shared" si="20"/>
        <v>I</v>
      </c>
      <c r="AJ173" s="662" t="str">
        <f t="shared" si="15"/>
        <v>SNTR-001</v>
      </c>
      <c r="AK173" s="662" t="str">
        <f t="shared" si="16"/>
        <v>PAS</v>
      </c>
      <c r="AL173" s="662" t="str">
        <f t="shared" si="17"/>
        <v>NIS</v>
      </c>
      <c r="AM173" s="662" t="str">
        <f t="shared" si="18"/>
        <v>Sentra-S (CVT)-FWD-5-~-~-1.8L-4-12019-~-106.3-13.2-Unleaded-Unleaded</v>
      </c>
      <c r="AN173" s="662" t="str">
        <f t="shared" si="19"/>
        <v>2019-PAS-NIS-SNTR-001</v>
      </c>
    </row>
    <row r="174" spans="1:40" s="572" customFormat="1" ht="15">
      <c r="A174" s="570" t="s">
        <v>581</v>
      </c>
      <c r="B174" s="569" t="s">
        <v>578</v>
      </c>
      <c r="C174" s="569" t="s">
        <v>549</v>
      </c>
      <c r="D174" s="580">
        <v>16</v>
      </c>
      <c r="E174" s="569" t="s">
        <v>151</v>
      </c>
      <c r="F174" s="569" t="s">
        <v>152</v>
      </c>
      <c r="G174" s="569" t="s">
        <v>545</v>
      </c>
      <c r="H174" s="569">
        <v>2019</v>
      </c>
      <c r="I174" s="569" t="s">
        <v>579</v>
      </c>
      <c r="J174" s="569" t="s">
        <v>580</v>
      </c>
      <c r="K174" s="569" t="s">
        <v>156</v>
      </c>
      <c r="L174" s="569">
        <v>5</v>
      </c>
      <c r="M174" s="569">
        <v>0</v>
      </c>
      <c r="N174" s="569" t="s">
        <v>157</v>
      </c>
      <c r="O174" s="569">
        <v>2</v>
      </c>
      <c r="P174" s="569" t="s">
        <v>157</v>
      </c>
      <c r="Q174" s="568" t="s">
        <v>157</v>
      </c>
      <c r="R174" s="569" t="s">
        <v>199</v>
      </c>
      <c r="S174" s="569">
        <v>4</v>
      </c>
      <c r="T174" s="569">
        <v>12019</v>
      </c>
      <c r="U174" s="569" t="s">
        <v>157</v>
      </c>
      <c r="V174" s="569">
        <v>106.3</v>
      </c>
      <c r="W174" s="569">
        <v>13.2</v>
      </c>
      <c r="X174" s="568">
        <v>2859</v>
      </c>
      <c r="Y174" s="581">
        <v>32</v>
      </c>
      <c r="Z174" s="581" t="s">
        <v>178</v>
      </c>
      <c r="AA174" s="581" t="s">
        <v>178</v>
      </c>
      <c r="AB174" s="585">
        <v>19375</v>
      </c>
      <c r="AC174" s="585" t="s">
        <v>164</v>
      </c>
      <c r="AD174" s="585">
        <v>15875</v>
      </c>
      <c r="AE174" s="587">
        <v>0.05</v>
      </c>
      <c r="AF174" s="661" t="str">
        <f t="shared" si="14"/>
        <v>2019-PAS-NIS-SNTR-001-16</v>
      </c>
      <c r="AG174" s="661" t="str">
        <f>IF(AND($Y174&gt;=32,(AI174="I"),(Y174&lt;&gt;"~"),(COUNTIF($AN$1:$AN174,$AN174)=1)),"TRUE","FALSE")</f>
        <v>FALSE</v>
      </c>
      <c r="AH174" s="661" t="str">
        <f>IF(AND($Y174&gt;=22, (AI174&lt;&gt;"I"),(Y174&lt;&gt;"~"),(COUNTIF($AN$1:$AN174,$AN174)=1)),"TRUE","FALSE")</f>
        <v>FALSE</v>
      </c>
      <c r="AI174" s="661" t="str">
        <f t="shared" si="20"/>
        <v>I</v>
      </c>
      <c r="AJ174" s="662" t="str">
        <f t="shared" si="15"/>
        <v>SNTR-001</v>
      </c>
      <c r="AK174" s="662" t="str">
        <f t="shared" si="16"/>
        <v>PAS</v>
      </c>
      <c r="AL174" s="662" t="str">
        <f t="shared" si="17"/>
        <v>NIS</v>
      </c>
      <c r="AM174" s="662" t="str">
        <f t="shared" si="18"/>
        <v>Sentra-S (CVT)-FWD-5-~-~-1.8L-4-12019-~-106.3-13.2-Unleaded-Unleaded</v>
      </c>
      <c r="AN174" s="662" t="str">
        <f t="shared" si="19"/>
        <v>2019-PAS-NIS-SNTR-001</v>
      </c>
    </row>
    <row r="175" spans="1:40" s="572" customFormat="1" ht="15">
      <c r="A175" s="570" t="s">
        <v>582</v>
      </c>
      <c r="B175" s="573" t="s">
        <v>583</v>
      </c>
      <c r="C175" s="573" t="s">
        <v>543</v>
      </c>
      <c r="D175" s="578" t="s">
        <v>544</v>
      </c>
      <c r="E175" s="573" t="s">
        <v>151</v>
      </c>
      <c r="F175" s="573" t="s">
        <v>211</v>
      </c>
      <c r="G175" s="573" t="s">
        <v>545</v>
      </c>
      <c r="H175" s="573">
        <v>2019</v>
      </c>
      <c r="I175" s="573" t="s">
        <v>584</v>
      </c>
      <c r="J175" s="573" t="s">
        <v>585</v>
      </c>
      <c r="K175" s="573" t="s">
        <v>156</v>
      </c>
      <c r="L175" s="573">
        <v>5</v>
      </c>
      <c r="M175" s="573">
        <v>0</v>
      </c>
      <c r="N175" s="573" t="s">
        <v>157</v>
      </c>
      <c r="O175" s="573">
        <v>2</v>
      </c>
      <c r="P175" s="573" t="s">
        <v>157</v>
      </c>
      <c r="Q175" s="571" t="s">
        <v>157</v>
      </c>
      <c r="R175" s="573" t="s">
        <v>274</v>
      </c>
      <c r="S175" s="573">
        <v>4</v>
      </c>
      <c r="T175" s="573">
        <v>10019</v>
      </c>
      <c r="U175" s="573" t="s">
        <v>157</v>
      </c>
      <c r="V175" s="573">
        <v>102.4</v>
      </c>
      <c r="W175" s="573">
        <v>10.8</v>
      </c>
      <c r="X175" s="571">
        <v>2475</v>
      </c>
      <c r="Y175" s="579">
        <v>34</v>
      </c>
      <c r="Z175" s="579" t="s">
        <v>178</v>
      </c>
      <c r="AA175" s="579" t="s">
        <v>178</v>
      </c>
      <c r="AB175" s="584">
        <v>15395</v>
      </c>
      <c r="AC175" s="584" t="s">
        <v>164</v>
      </c>
      <c r="AD175" s="584">
        <v>12999</v>
      </c>
      <c r="AE175" s="586">
        <v>0.03</v>
      </c>
      <c r="AF175" s="661" t="str">
        <f t="shared" si="14"/>
        <v>2019-PAS-NIS-VERS-001-07</v>
      </c>
      <c r="AG175" s="661" t="str">
        <f>IF(AND($Y175&gt;=32,(AI175="I"),(Y175&lt;&gt;"~"),(COUNTIF($AN$1:$AN175,$AN175)=1)),"TRUE","FALSE")</f>
        <v>TRUE</v>
      </c>
      <c r="AH175" s="661" t="str">
        <f>IF(AND($Y175&gt;=22, (AI175&lt;&gt;"I"),(Y175&lt;&gt;"~"),(COUNTIF($AN$1:$AN175,$AN175)=1)),"TRUE","FALSE")</f>
        <v>FALSE</v>
      </c>
      <c r="AI175" s="661" t="str">
        <f t="shared" si="20"/>
        <v>I</v>
      </c>
      <c r="AJ175" s="662" t="str">
        <f t="shared" si="15"/>
        <v>VERS-001</v>
      </c>
      <c r="AK175" s="662" t="str">
        <f t="shared" si="16"/>
        <v>PAS</v>
      </c>
      <c r="AL175" s="662" t="str">
        <f t="shared" si="17"/>
        <v>NIS</v>
      </c>
      <c r="AM175" s="662" t="str">
        <f t="shared" si="18"/>
        <v>Versa-S Plus (CVT)-FWD-5-~-~-1.6L-4-10019-~-102.4-10.8-Unleaded-Unleaded</v>
      </c>
      <c r="AN175" s="662" t="str">
        <f t="shared" si="19"/>
        <v>2019-PAS-NIS-VERS-001</v>
      </c>
    </row>
    <row r="176" spans="1:40" s="572" customFormat="1" ht="15">
      <c r="A176" s="570" t="s">
        <v>586</v>
      </c>
      <c r="B176" s="569" t="s">
        <v>583</v>
      </c>
      <c r="C176" s="569" t="s">
        <v>549</v>
      </c>
      <c r="D176" s="580">
        <v>16</v>
      </c>
      <c r="E176" s="569" t="s">
        <v>151</v>
      </c>
      <c r="F176" s="569" t="s">
        <v>211</v>
      </c>
      <c r="G176" s="569" t="s">
        <v>545</v>
      </c>
      <c r="H176" s="569">
        <v>2019</v>
      </c>
      <c r="I176" s="569" t="s">
        <v>584</v>
      </c>
      <c r="J176" s="569" t="s">
        <v>585</v>
      </c>
      <c r="K176" s="569" t="s">
        <v>156</v>
      </c>
      <c r="L176" s="569">
        <v>5</v>
      </c>
      <c r="M176" s="569">
        <v>0</v>
      </c>
      <c r="N176" s="569" t="s">
        <v>157</v>
      </c>
      <c r="O176" s="569">
        <v>2</v>
      </c>
      <c r="P176" s="569" t="s">
        <v>157</v>
      </c>
      <c r="Q176" s="568" t="s">
        <v>157</v>
      </c>
      <c r="R176" s="569" t="s">
        <v>274</v>
      </c>
      <c r="S176" s="569">
        <v>4</v>
      </c>
      <c r="T176" s="569">
        <v>11119</v>
      </c>
      <c r="U176" s="569" t="s">
        <v>157</v>
      </c>
      <c r="V176" s="569">
        <v>102.4</v>
      </c>
      <c r="W176" s="569">
        <v>10.8</v>
      </c>
      <c r="X176" s="568">
        <v>2475</v>
      </c>
      <c r="Y176" s="581">
        <v>34</v>
      </c>
      <c r="Z176" s="581" t="s">
        <v>178</v>
      </c>
      <c r="AA176" s="581" t="s">
        <v>178</v>
      </c>
      <c r="AB176" s="585">
        <v>15135</v>
      </c>
      <c r="AC176" s="585" t="s">
        <v>164</v>
      </c>
      <c r="AD176" s="585">
        <v>12200</v>
      </c>
      <c r="AE176" s="587">
        <v>0.05</v>
      </c>
      <c r="AF176" s="661" t="str">
        <f t="shared" si="14"/>
        <v>2019-PAS-NIS-VERS-001-16</v>
      </c>
      <c r="AG176" s="661" t="str">
        <f>IF(AND($Y176&gt;=32,(AI176="I"),(Y176&lt;&gt;"~"),(COUNTIF($AN$1:$AN176,$AN176)=1)),"TRUE","FALSE")</f>
        <v>FALSE</v>
      </c>
      <c r="AH176" s="661" t="str">
        <f>IF(AND($Y176&gt;=22, (AI176&lt;&gt;"I"),(Y176&lt;&gt;"~"),(COUNTIF($AN$1:$AN176,$AN176)=1)),"TRUE","FALSE")</f>
        <v>FALSE</v>
      </c>
      <c r="AI176" s="661" t="str">
        <f t="shared" si="20"/>
        <v>I</v>
      </c>
      <c r="AJ176" s="662" t="str">
        <f t="shared" si="15"/>
        <v>VERS-001</v>
      </c>
      <c r="AK176" s="662" t="str">
        <f t="shared" si="16"/>
        <v>PAS</v>
      </c>
      <c r="AL176" s="662" t="str">
        <f t="shared" si="17"/>
        <v>NIS</v>
      </c>
      <c r="AM176" s="662" t="str">
        <f t="shared" si="18"/>
        <v>Versa-S Plus (CVT)-FWD-5-~-~-1.6L-4-11119-~-102.4-10.8-Unleaded-Unleaded</v>
      </c>
      <c r="AN176" s="662" t="str">
        <f t="shared" si="19"/>
        <v>2019-PAS-NIS-VERS-001</v>
      </c>
    </row>
    <row r="177" spans="1:40" s="572" customFormat="1" ht="30">
      <c r="A177" s="570" t="s">
        <v>587</v>
      </c>
      <c r="B177" s="573" t="s">
        <v>588</v>
      </c>
      <c r="C177" s="573" t="s">
        <v>589</v>
      </c>
      <c r="D177" s="578">
        <v>10</v>
      </c>
      <c r="E177" s="573" t="s">
        <v>151</v>
      </c>
      <c r="F177" s="573" t="s">
        <v>211</v>
      </c>
      <c r="G177" s="573" t="s">
        <v>590</v>
      </c>
      <c r="H177" s="573">
        <v>2018</v>
      </c>
      <c r="I177" s="573" t="s">
        <v>591</v>
      </c>
      <c r="J177" s="573" t="s">
        <v>592</v>
      </c>
      <c r="K177" s="573" t="s">
        <v>236</v>
      </c>
      <c r="L177" s="573">
        <v>2</v>
      </c>
      <c r="M177" s="573">
        <v>0</v>
      </c>
      <c r="N177" s="573" t="s">
        <v>157</v>
      </c>
      <c r="O177" s="573">
        <v>1</v>
      </c>
      <c r="P177" s="573" t="s">
        <v>157</v>
      </c>
      <c r="Q177" s="571" t="s">
        <v>157</v>
      </c>
      <c r="R177" s="573" t="s">
        <v>163</v>
      </c>
      <c r="S177" s="573" t="s">
        <v>157</v>
      </c>
      <c r="T177" s="573" t="s">
        <v>593</v>
      </c>
      <c r="U177" s="573" t="s">
        <v>594</v>
      </c>
      <c r="V177" s="573">
        <v>73.5</v>
      </c>
      <c r="W177" s="573" t="s">
        <v>595</v>
      </c>
      <c r="X177" s="571">
        <v>2932</v>
      </c>
      <c r="Y177" s="579">
        <v>108</v>
      </c>
      <c r="Z177" s="579" t="s">
        <v>163</v>
      </c>
      <c r="AA177" s="579" t="s">
        <v>163</v>
      </c>
      <c r="AB177" s="584">
        <v>26140</v>
      </c>
      <c r="AC177" s="584" t="s">
        <v>164</v>
      </c>
      <c r="AD177" s="584">
        <v>24833</v>
      </c>
      <c r="AE177" s="586">
        <v>0.05</v>
      </c>
      <c r="AF177" s="661" t="str">
        <f t="shared" si="14"/>
        <v>2018-PAS-SMT-FR2C-001-10</v>
      </c>
      <c r="AG177" s="661" t="str">
        <f>IF(AND($Y177&gt;=32,(AI177="I"),(Y177&lt;&gt;"~"),(COUNTIF($AN$1:$AN177,$AN177)=1)),"TRUE","FALSE")</f>
        <v>TRUE</v>
      </c>
      <c r="AH177" s="661" t="str">
        <f>IF(AND($Y177&gt;=22, (AI177&lt;&gt;"I"),(Y177&lt;&gt;"~"),(COUNTIF($AN$1:$AN177,$AN177)=1)),"TRUE","FALSE")</f>
        <v>FALSE</v>
      </c>
      <c r="AI177" s="661" t="str">
        <f t="shared" si="20"/>
        <v>I</v>
      </c>
      <c r="AJ177" s="662" t="str">
        <f t="shared" si="15"/>
        <v>FR2C-001</v>
      </c>
      <c r="AK177" s="662" t="str">
        <f t="shared" si="16"/>
        <v>PAS</v>
      </c>
      <c r="AL177" s="662" t="str">
        <f t="shared" si="17"/>
        <v>SMT</v>
      </c>
      <c r="AM177" s="662" t="str">
        <f t="shared" si="18"/>
        <v>Fortwo Electric Drive Coupe-Passion-RWD-2-~-~-Electric-~-CE 453-P10-73.5-63 Miles City-Electric-Electric</v>
      </c>
      <c r="AN177" s="662" t="str">
        <f t="shared" si="19"/>
        <v>2018-PAS-SMT-FR2C-001</v>
      </c>
    </row>
    <row r="178" spans="1:40" s="572" customFormat="1" ht="30">
      <c r="A178" s="570" t="s">
        <v>596</v>
      </c>
      <c r="B178" s="569" t="s">
        <v>597</v>
      </c>
      <c r="C178" s="569" t="s">
        <v>589</v>
      </c>
      <c r="D178" s="580">
        <v>10</v>
      </c>
      <c r="E178" s="569" t="s">
        <v>151</v>
      </c>
      <c r="F178" s="569" t="s">
        <v>211</v>
      </c>
      <c r="G178" s="569" t="s">
        <v>590</v>
      </c>
      <c r="H178" s="569">
        <v>2018</v>
      </c>
      <c r="I178" s="569" t="s">
        <v>591</v>
      </c>
      <c r="J178" s="569" t="s">
        <v>598</v>
      </c>
      <c r="K178" s="569" t="s">
        <v>236</v>
      </c>
      <c r="L178" s="569">
        <v>2</v>
      </c>
      <c r="M178" s="569">
        <v>0</v>
      </c>
      <c r="N178" s="569" t="s">
        <v>157</v>
      </c>
      <c r="O178" s="569">
        <v>1</v>
      </c>
      <c r="P178" s="569" t="s">
        <v>157</v>
      </c>
      <c r="Q178" s="568" t="s">
        <v>157</v>
      </c>
      <c r="R178" s="569" t="s">
        <v>163</v>
      </c>
      <c r="S178" s="569" t="s">
        <v>157</v>
      </c>
      <c r="T178" s="569" t="s">
        <v>593</v>
      </c>
      <c r="U178" s="569" t="s">
        <v>599</v>
      </c>
      <c r="V178" s="569">
        <v>73.5</v>
      </c>
      <c r="W178" s="569" t="s">
        <v>595</v>
      </c>
      <c r="X178" s="568">
        <v>2932</v>
      </c>
      <c r="Y178" s="569">
        <v>108</v>
      </c>
      <c r="Z178" s="581" t="s">
        <v>163</v>
      </c>
      <c r="AA178" s="581" t="s">
        <v>163</v>
      </c>
      <c r="AB178" s="585">
        <v>27490</v>
      </c>
      <c r="AC178" s="585" t="s">
        <v>164</v>
      </c>
      <c r="AD178" s="585">
        <v>26115.5</v>
      </c>
      <c r="AE178" s="587">
        <v>0.05</v>
      </c>
      <c r="AF178" s="661" t="str">
        <f t="shared" si="14"/>
        <v>2018-PAS-SMT-FR2C-002-10</v>
      </c>
      <c r="AG178" s="661" t="str">
        <f>IF(AND($Y178&gt;=32,(AI178="I"),(Y178&lt;&gt;"~"),(COUNTIF($AN$1:$AN178,$AN178)=1)),"TRUE","FALSE")</f>
        <v>TRUE</v>
      </c>
      <c r="AH178" s="661" t="str">
        <f>IF(AND($Y178&gt;=22, (AI178&lt;&gt;"I"),(Y178&lt;&gt;"~"),(COUNTIF($AN$1:$AN178,$AN178)=1)),"TRUE","FALSE")</f>
        <v>FALSE</v>
      </c>
      <c r="AI178" s="661" t="str">
        <f t="shared" si="20"/>
        <v>I</v>
      </c>
      <c r="AJ178" s="662" t="str">
        <f t="shared" si="15"/>
        <v>FR2C-002</v>
      </c>
      <c r="AK178" s="662" t="str">
        <f t="shared" si="16"/>
        <v>PAS</v>
      </c>
      <c r="AL178" s="662" t="str">
        <f t="shared" si="17"/>
        <v>SMT</v>
      </c>
      <c r="AM178" s="662" t="str">
        <f t="shared" si="18"/>
        <v>Fortwo Electric Drive Coupe-Prime-RWD-2-~-~-Electric-~-CE 453-P11-73.5-63 Miles City-Electric-Electric</v>
      </c>
      <c r="AN178" s="662" t="str">
        <f t="shared" si="19"/>
        <v>2018-PAS-SMT-FR2C-002</v>
      </c>
    </row>
    <row r="179" spans="1:40" s="572" customFormat="1" ht="30">
      <c r="A179" s="570" t="s">
        <v>600</v>
      </c>
      <c r="B179" s="573" t="s">
        <v>601</v>
      </c>
      <c r="C179" s="573" t="s">
        <v>589</v>
      </c>
      <c r="D179" s="578">
        <v>10</v>
      </c>
      <c r="E179" s="573" t="s">
        <v>151</v>
      </c>
      <c r="F179" s="573" t="s">
        <v>211</v>
      </c>
      <c r="G179" s="573" t="s">
        <v>590</v>
      </c>
      <c r="H179" s="573">
        <v>2018</v>
      </c>
      <c r="I179" s="573" t="s">
        <v>591</v>
      </c>
      <c r="J179" s="573" t="s">
        <v>602</v>
      </c>
      <c r="K179" s="573" t="s">
        <v>236</v>
      </c>
      <c r="L179" s="573">
        <v>2</v>
      </c>
      <c r="M179" s="573">
        <v>0</v>
      </c>
      <c r="N179" s="573" t="s">
        <v>157</v>
      </c>
      <c r="O179" s="573">
        <v>1</v>
      </c>
      <c r="P179" s="573" t="s">
        <v>157</v>
      </c>
      <c r="Q179" s="571" t="s">
        <v>157</v>
      </c>
      <c r="R179" s="573" t="s">
        <v>163</v>
      </c>
      <c r="S179" s="573" t="s">
        <v>157</v>
      </c>
      <c r="T179" s="573" t="s">
        <v>593</v>
      </c>
      <c r="U179" s="573" t="s">
        <v>157</v>
      </c>
      <c r="V179" s="573">
        <v>73.5</v>
      </c>
      <c r="W179" s="573" t="s">
        <v>595</v>
      </c>
      <c r="X179" s="571">
        <v>2932</v>
      </c>
      <c r="Y179" s="573">
        <v>108</v>
      </c>
      <c r="Z179" s="579" t="s">
        <v>163</v>
      </c>
      <c r="AA179" s="579" t="s">
        <v>163</v>
      </c>
      <c r="AB179" s="584">
        <v>24650</v>
      </c>
      <c r="AC179" s="584" t="s">
        <v>164</v>
      </c>
      <c r="AD179" s="584">
        <v>23417.5</v>
      </c>
      <c r="AE179" s="586">
        <v>0.05</v>
      </c>
      <c r="AF179" s="661" t="str">
        <f t="shared" si="14"/>
        <v>2018-PAS-SMT-FR2C-003-10</v>
      </c>
      <c r="AG179" s="661" t="str">
        <f>IF(AND($Y179&gt;=32,(AI179="I"),(Y179&lt;&gt;"~"),(COUNTIF($AN$1:$AN179,$AN179)=1)),"TRUE","FALSE")</f>
        <v>TRUE</v>
      </c>
      <c r="AH179" s="661" t="str">
        <f>IF(AND($Y179&gt;=22, (AI179&lt;&gt;"I"),(Y179&lt;&gt;"~"),(COUNTIF($AN$1:$AN179,$AN179)=1)),"TRUE","FALSE")</f>
        <v>FALSE</v>
      </c>
      <c r="AI179" s="661" t="str">
        <f t="shared" si="20"/>
        <v>I</v>
      </c>
      <c r="AJ179" s="662" t="str">
        <f t="shared" si="15"/>
        <v>FR2C-003</v>
      </c>
      <c r="AK179" s="662" t="str">
        <f t="shared" si="16"/>
        <v>PAS</v>
      </c>
      <c r="AL179" s="662" t="str">
        <f t="shared" si="17"/>
        <v>SMT</v>
      </c>
      <c r="AM179" s="662" t="str">
        <f t="shared" si="18"/>
        <v>Fortwo Electric Drive Coupe-Pure-RWD-2-~-~-Electric-~-CE 453-~-73.5-63 Miles City-Electric-Electric</v>
      </c>
      <c r="AN179" s="662" t="str">
        <f t="shared" si="19"/>
        <v>2018-PAS-SMT-FR2C-003</v>
      </c>
    </row>
    <row r="180" spans="1:40" s="572" customFormat="1" ht="15">
      <c r="A180" s="570" t="s">
        <v>603</v>
      </c>
      <c r="B180" s="569" t="s">
        <v>604</v>
      </c>
      <c r="C180" s="569" t="s">
        <v>605</v>
      </c>
      <c r="D180" s="580">
        <v>12</v>
      </c>
      <c r="E180" s="569" t="s">
        <v>151</v>
      </c>
      <c r="F180" s="569" t="s">
        <v>196</v>
      </c>
      <c r="G180" s="569" t="s">
        <v>606</v>
      </c>
      <c r="H180" s="569">
        <v>2019</v>
      </c>
      <c r="I180" s="569" t="s">
        <v>607</v>
      </c>
      <c r="J180" s="569" t="s">
        <v>608</v>
      </c>
      <c r="K180" s="569" t="s">
        <v>156</v>
      </c>
      <c r="L180" s="569">
        <v>5</v>
      </c>
      <c r="M180" s="569">
        <v>0</v>
      </c>
      <c r="N180" s="569" t="s">
        <v>157</v>
      </c>
      <c r="O180" s="569">
        <v>2</v>
      </c>
      <c r="P180" s="569" t="s">
        <v>157</v>
      </c>
      <c r="Q180" s="568" t="s">
        <v>157</v>
      </c>
      <c r="R180" s="569" t="s">
        <v>189</v>
      </c>
      <c r="S180" s="569">
        <v>4</v>
      </c>
      <c r="T180" s="569">
        <v>2559</v>
      </c>
      <c r="U180" s="569" t="s">
        <v>609</v>
      </c>
      <c r="V180" s="569">
        <v>111.2</v>
      </c>
      <c r="W180" s="569">
        <v>13</v>
      </c>
      <c r="X180" s="568">
        <v>3472</v>
      </c>
      <c r="Y180" s="569">
        <v>52</v>
      </c>
      <c r="Z180" s="581" t="s">
        <v>178</v>
      </c>
      <c r="AA180" s="581" t="s">
        <v>163</v>
      </c>
      <c r="AB180" s="585">
        <v>29080</v>
      </c>
      <c r="AC180" s="585" t="s">
        <v>164</v>
      </c>
      <c r="AD180" s="585">
        <v>26850</v>
      </c>
      <c r="AE180" s="587">
        <v>0.05</v>
      </c>
      <c r="AF180" s="661" t="str">
        <f t="shared" si="14"/>
        <v>2019-PAS-TOY-CMRY-001-12</v>
      </c>
      <c r="AG180" s="661" t="str">
        <f>IF(AND($Y180&gt;=32,(AI180="I"),(Y180&lt;&gt;"~"),(COUNTIF($AN$1:$AN180,$AN180)=1)),"TRUE","FALSE")</f>
        <v>TRUE</v>
      </c>
      <c r="AH180" s="661" t="str">
        <f>IF(AND($Y180&gt;=22, (AI180&lt;&gt;"I"),(Y180&lt;&gt;"~"),(COUNTIF($AN$1:$AN180,$AN180)=1)),"TRUE","FALSE")</f>
        <v>FALSE</v>
      </c>
      <c r="AI180" s="661" t="str">
        <f t="shared" si="20"/>
        <v>I</v>
      </c>
      <c r="AJ180" s="662" t="str">
        <f t="shared" si="15"/>
        <v>CMRY-001</v>
      </c>
      <c r="AK180" s="662" t="str">
        <f t="shared" si="16"/>
        <v>PAS</v>
      </c>
      <c r="AL180" s="662" t="str">
        <f t="shared" si="17"/>
        <v>TOY</v>
      </c>
      <c r="AM180" s="662" t="str">
        <f t="shared" si="18"/>
        <v>Camry-Hybrid LE-FWD-5-~-~-2.5L-4-2559-NA-111.2-13-Unleaded-Electric</v>
      </c>
      <c r="AN180" s="662" t="str">
        <f t="shared" si="19"/>
        <v>2019-PAS-TOY-CMRY-001</v>
      </c>
    </row>
    <row r="181" spans="1:40" s="572" customFormat="1" ht="15">
      <c r="A181" s="570" t="s">
        <v>610</v>
      </c>
      <c r="B181" s="573" t="s">
        <v>611</v>
      </c>
      <c r="C181" s="573" t="s">
        <v>605</v>
      </c>
      <c r="D181" s="578">
        <v>12</v>
      </c>
      <c r="E181" s="573" t="s">
        <v>151</v>
      </c>
      <c r="F181" s="573" t="s">
        <v>196</v>
      </c>
      <c r="G181" s="573" t="s">
        <v>606</v>
      </c>
      <c r="H181" s="573">
        <v>2019</v>
      </c>
      <c r="I181" s="573" t="s">
        <v>607</v>
      </c>
      <c r="J181" s="573" t="s">
        <v>612</v>
      </c>
      <c r="K181" s="573" t="s">
        <v>156</v>
      </c>
      <c r="L181" s="573">
        <v>5</v>
      </c>
      <c r="M181" s="573">
        <v>0</v>
      </c>
      <c r="N181" s="573" t="s">
        <v>157</v>
      </c>
      <c r="O181" s="573">
        <v>2</v>
      </c>
      <c r="P181" s="573" t="s">
        <v>157</v>
      </c>
      <c r="Q181" s="571" t="s">
        <v>157</v>
      </c>
      <c r="R181" s="573" t="s">
        <v>189</v>
      </c>
      <c r="S181" s="573">
        <v>4</v>
      </c>
      <c r="T181" s="573">
        <v>2514</v>
      </c>
      <c r="U181" s="573" t="s">
        <v>609</v>
      </c>
      <c r="V181" s="573">
        <v>111.2</v>
      </c>
      <c r="W181" s="573">
        <v>14.5</v>
      </c>
      <c r="X181" s="571">
        <v>3241</v>
      </c>
      <c r="Y181" s="573">
        <v>34</v>
      </c>
      <c r="Z181" s="579" t="s">
        <v>178</v>
      </c>
      <c r="AA181" s="579" t="s">
        <v>178</v>
      </c>
      <c r="AB181" s="584">
        <v>24775</v>
      </c>
      <c r="AC181" s="584" t="s">
        <v>164</v>
      </c>
      <c r="AD181" s="584">
        <v>22650</v>
      </c>
      <c r="AE181" s="586">
        <v>0.05</v>
      </c>
      <c r="AF181" s="661" t="str">
        <f t="shared" si="14"/>
        <v>2019-PAS-TOY-CMRY-003-12</v>
      </c>
      <c r="AG181" s="661" t="str">
        <f>IF(AND($Y181&gt;=32,(AI181="I"),(Y181&lt;&gt;"~"),(COUNTIF($AN$1:$AN181,$AN181)=1)),"TRUE","FALSE")</f>
        <v>TRUE</v>
      </c>
      <c r="AH181" s="661" t="str">
        <f>IF(AND($Y181&gt;=22, (AI181&lt;&gt;"I"),(Y181&lt;&gt;"~"),(COUNTIF($AN$1:$AN181,$AN181)=1)),"TRUE","FALSE")</f>
        <v>FALSE</v>
      </c>
      <c r="AI181" s="661" t="str">
        <f t="shared" si="20"/>
        <v>I</v>
      </c>
      <c r="AJ181" s="662" t="str">
        <f t="shared" si="15"/>
        <v>CMRY-003</v>
      </c>
      <c r="AK181" s="662" t="str">
        <f t="shared" si="16"/>
        <v>PAS</v>
      </c>
      <c r="AL181" s="662" t="str">
        <f t="shared" si="17"/>
        <v>TOY</v>
      </c>
      <c r="AM181" s="662" t="str">
        <f t="shared" si="18"/>
        <v>Camry-L-FWD-5-~-~-2.5L-4-2514-NA-111.2-14.5-Unleaded-Unleaded</v>
      </c>
      <c r="AN181" s="662" t="str">
        <f t="shared" si="19"/>
        <v>2019-PAS-TOY-CMRY-003</v>
      </c>
    </row>
    <row r="182" spans="1:40" s="572" customFormat="1" ht="15">
      <c r="A182" s="570" t="s">
        <v>613</v>
      </c>
      <c r="B182" s="569" t="s">
        <v>614</v>
      </c>
      <c r="C182" s="569" t="s">
        <v>605</v>
      </c>
      <c r="D182" s="580">
        <v>12</v>
      </c>
      <c r="E182" s="569" t="s">
        <v>151</v>
      </c>
      <c r="F182" s="569" t="s">
        <v>196</v>
      </c>
      <c r="G182" s="569" t="s">
        <v>606</v>
      </c>
      <c r="H182" s="569">
        <v>2019</v>
      </c>
      <c r="I182" s="569" t="s">
        <v>607</v>
      </c>
      <c r="J182" s="569" t="s">
        <v>615</v>
      </c>
      <c r="K182" s="569" t="s">
        <v>156</v>
      </c>
      <c r="L182" s="569">
        <v>5</v>
      </c>
      <c r="M182" s="569">
        <v>0</v>
      </c>
      <c r="N182" s="569" t="s">
        <v>157</v>
      </c>
      <c r="O182" s="569">
        <v>2</v>
      </c>
      <c r="P182" s="569" t="s">
        <v>157</v>
      </c>
      <c r="Q182" s="568" t="s">
        <v>157</v>
      </c>
      <c r="R182" s="569" t="s">
        <v>189</v>
      </c>
      <c r="S182" s="569">
        <v>4</v>
      </c>
      <c r="T182" s="569">
        <v>2532</v>
      </c>
      <c r="U182" s="569" t="s">
        <v>609</v>
      </c>
      <c r="V182" s="569">
        <v>111.2</v>
      </c>
      <c r="W182" s="569">
        <v>16</v>
      </c>
      <c r="X182" s="568">
        <v>3296</v>
      </c>
      <c r="Y182" s="569">
        <v>32</v>
      </c>
      <c r="Z182" s="581" t="s">
        <v>178</v>
      </c>
      <c r="AA182" s="581" t="s">
        <v>178</v>
      </c>
      <c r="AB182" s="585">
        <v>25280</v>
      </c>
      <c r="AC182" s="585" t="s">
        <v>164</v>
      </c>
      <c r="AD182" s="585">
        <v>23150</v>
      </c>
      <c r="AE182" s="587">
        <v>0.05</v>
      </c>
      <c r="AF182" s="661" t="str">
        <f t="shared" si="14"/>
        <v>2019-PAS-TOY-CMRY-002-12</v>
      </c>
      <c r="AG182" s="661" t="str">
        <f>IF(AND($Y182&gt;=32,(AI182="I"),(Y182&lt;&gt;"~"),(COUNTIF($AN$1:$AN182,$AN182)=1)),"TRUE","FALSE")</f>
        <v>TRUE</v>
      </c>
      <c r="AH182" s="661" t="str">
        <f>IF(AND($Y182&gt;=22, (AI182&lt;&gt;"I"),(Y182&lt;&gt;"~"),(COUNTIF($AN$1:$AN182,$AN182)=1)),"TRUE","FALSE")</f>
        <v>FALSE</v>
      </c>
      <c r="AI182" s="661" t="str">
        <f t="shared" si="20"/>
        <v>I</v>
      </c>
      <c r="AJ182" s="662" t="str">
        <f t="shared" si="15"/>
        <v>CMRY-002</v>
      </c>
      <c r="AK182" s="662" t="str">
        <f t="shared" si="16"/>
        <v>PAS</v>
      </c>
      <c r="AL182" s="662" t="str">
        <f t="shared" si="17"/>
        <v>TOY</v>
      </c>
      <c r="AM182" s="662" t="str">
        <f t="shared" si="18"/>
        <v>Camry-LE-FWD-5-~-~-2.5L-4-2532-NA-111.2-16-Unleaded-Unleaded</v>
      </c>
      <c r="AN182" s="662" t="str">
        <f t="shared" si="19"/>
        <v>2019-PAS-TOY-CMRY-002</v>
      </c>
    </row>
    <row r="183" spans="1:40" s="572" customFormat="1" ht="15">
      <c r="A183" s="570" t="s">
        <v>616</v>
      </c>
      <c r="B183" s="573" t="s">
        <v>617</v>
      </c>
      <c r="C183" s="573" t="s">
        <v>605</v>
      </c>
      <c r="D183" s="578">
        <v>12</v>
      </c>
      <c r="E183" s="573" t="s">
        <v>151</v>
      </c>
      <c r="F183" s="573" t="s">
        <v>152</v>
      </c>
      <c r="G183" s="573" t="s">
        <v>606</v>
      </c>
      <c r="H183" s="573">
        <v>2019</v>
      </c>
      <c r="I183" s="573" t="s">
        <v>618</v>
      </c>
      <c r="J183" s="573" t="s">
        <v>612</v>
      </c>
      <c r="K183" s="573" t="s">
        <v>156</v>
      </c>
      <c r="L183" s="573">
        <v>5</v>
      </c>
      <c r="M183" s="573">
        <v>0</v>
      </c>
      <c r="N183" s="573" t="s">
        <v>157</v>
      </c>
      <c r="O183" s="573">
        <v>2</v>
      </c>
      <c r="P183" s="573" t="s">
        <v>157</v>
      </c>
      <c r="Q183" s="571" t="s">
        <v>157</v>
      </c>
      <c r="R183" s="573" t="s">
        <v>199</v>
      </c>
      <c r="S183" s="573">
        <v>4</v>
      </c>
      <c r="T183" s="573">
        <v>1832</v>
      </c>
      <c r="U183" s="573" t="s">
        <v>609</v>
      </c>
      <c r="V183" s="573">
        <v>106.3</v>
      </c>
      <c r="W183" s="573">
        <v>13.2</v>
      </c>
      <c r="X183" s="571">
        <v>2840</v>
      </c>
      <c r="Y183" s="573">
        <v>32</v>
      </c>
      <c r="Z183" s="579" t="s">
        <v>178</v>
      </c>
      <c r="AA183" s="579" t="s">
        <v>178</v>
      </c>
      <c r="AB183" s="584">
        <v>19620</v>
      </c>
      <c r="AC183" s="584" t="s">
        <v>164</v>
      </c>
      <c r="AD183" s="584">
        <v>18100</v>
      </c>
      <c r="AE183" s="586">
        <v>0.05</v>
      </c>
      <c r="AF183" s="661" t="str">
        <f t="shared" si="14"/>
        <v>2019-PAS-TOY-CRLA-003-12</v>
      </c>
      <c r="AG183" s="661" t="str">
        <f>IF(AND($Y183&gt;=32,(AI183="I"),(Y183&lt;&gt;"~"),(COUNTIF($AN$1:$AN183,$AN183)=1)),"TRUE","FALSE")</f>
        <v>TRUE</v>
      </c>
      <c r="AH183" s="661" t="str">
        <f>IF(AND($Y183&gt;=22, (AI183&lt;&gt;"I"),(Y183&lt;&gt;"~"),(COUNTIF($AN$1:$AN183,$AN183)=1)),"TRUE","FALSE")</f>
        <v>FALSE</v>
      </c>
      <c r="AI183" s="661" t="str">
        <f t="shared" si="20"/>
        <v>I</v>
      </c>
      <c r="AJ183" s="662" t="str">
        <f t="shared" si="15"/>
        <v>CRLA-003</v>
      </c>
      <c r="AK183" s="662" t="str">
        <f t="shared" si="16"/>
        <v>PAS</v>
      </c>
      <c r="AL183" s="662" t="str">
        <f t="shared" si="17"/>
        <v>TOY</v>
      </c>
      <c r="AM183" s="662" t="str">
        <f t="shared" si="18"/>
        <v>Corolla-L-FWD-5-~-~-1.8L-4-1832-NA-106.3-13.2-Unleaded-Unleaded</v>
      </c>
      <c r="AN183" s="662" t="str">
        <f t="shared" si="19"/>
        <v>2019-PAS-TOY-CRLA-003</v>
      </c>
    </row>
    <row r="184" spans="1:40" s="572" customFormat="1" ht="15">
      <c r="A184" s="570" t="s">
        <v>619</v>
      </c>
      <c r="B184" s="569" t="s">
        <v>620</v>
      </c>
      <c r="C184" s="569" t="s">
        <v>605</v>
      </c>
      <c r="D184" s="580">
        <v>12</v>
      </c>
      <c r="E184" s="569" t="s">
        <v>151</v>
      </c>
      <c r="F184" s="569" t="s">
        <v>152</v>
      </c>
      <c r="G184" s="569" t="s">
        <v>606</v>
      </c>
      <c r="H184" s="569">
        <v>2019</v>
      </c>
      <c r="I184" s="569" t="s">
        <v>618</v>
      </c>
      <c r="J184" s="569" t="s">
        <v>615</v>
      </c>
      <c r="K184" s="569" t="s">
        <v>156</v>
      </c>
      <c r="L184" s="569">
        <v>5</v>
      </c>
      <c r="M184" s="569">
        <v>0</v>
      </c>
      <c r="N184" s="569" t="s">
        <v>157</v>
      </c>
      <c r="O184" s="569">
        <v>2</v>
      </c>
      <c r="P184" s="569" t="s">
        <v>157</v>
      </c>
      <c r="Q184" s="568" t="s">
        <v>157</v>
      </c>
      <c r="R184" s="569" t="s">
        <v>199</v>
      </c>
      <c r="S184" s="569">
        <v>4</v>
      </c>
      <c r="T184" s="569">
        <v>1852</v>
      </c>
      <c r="U184" s="569" t="s">
        <v>609</v>
      </c>
      <c r="V184" s="569">
        <v>106.3</v>
      </c>
      <c r="W184" s="569">
        <v>13.2</v>
      </c>
      <c r="X184" s="568">
        <v>2870</v>
      </c>
      <c r="Y184" s="569">
        <v>32</v>
      </c>
      <c r="Z184" s="581" t="s">
        <v>178</v>
      </c>
      <c r="AA184" s="581" t="s">
        <v>178</v>
      </c>
      <c r="AB184" s="585">
        <v>20055</v>
      </c>
      <c r="AC184" s="585" t="s">
        <v>164</v>
      </c>
      <c r="AD184" s="585">
        <v>18250</v>
      </c>
      <c r="AE184" s="587">
        <v>0.05</v>
      </c>
      <c r="AF184" s="661" t="str">
        <f t="shared" si="14"/>
        <v>2019-PAS-TOY-CRLA-002-12</v>
      </c>
      <c r="AG184" s="661" t="str">
        <f>IF(AND($Y184&gt;=32,(AI184="I"),(Y184&lt;&gt;"~"),(COUNTIF($AN$1:$AN184,$AN184)=1)),"TRUE","FALSE")</f>
        <v>TRUE</v>
      </c>
      <c r="AH184" s="661" t="str">
        <f>IF(AND($Y184&gt;=22, (AI184&lt;&gt;"I"),(Y184&lt;&gt;"~"),(COUNTIF($AN$1:$AN184,$AN184)=1)),"TRUE","FALSE")</f>
        <v>FALSE</v>
      </c>
      <c r="AI184" s="661" t="str">
        <f t="shared" si="20"/>
        <v>I</v>
      </c>
      <c r="AJ184" s="662" t="str">
        <f t="shared" si="15"/>
        <v>CRLA-002</v>
      </c>
      <c r="AK184" s="662" t="str">
        <f t="shared" si="16"/>
        <v>PAS</v>
      </c>
      <c r="AL184" s="662" t="str">
        <f t="shared" si="17"/>
        <v>TOY</v>
      </c>
      <c r="AM184" s="662" t="str">
        <f t="shared" si="18"/>
        <v>Corolla-LE-FWD-5-~-~-1.8L-4-1852-NA-106.3-13.2-Unleaded-Unleaded</v>
      </c>
      <c r="AN184" s="662" t="str">
        <f t="shared" si="19"/>
        <v>2019-PAS-TOY-CRLA-002</v>
      </c>
    </row>
    <row r="185" spans="1:40" s="572" customFormat="1" ht="15">
      <c r="A185" s="570" t="s">
        <v>621</v>
      </c>
      <c r="B185" s="573" t="s">
        <v>622</v>
      </c>
      <c r="C185" s="573" t="s">
        <v>605</v>
      </c>
      <c r="D185" s="578">
        <v>12</v>
      </c>
      <c r="E185" s="573" t="s">
        <v>151</v>
      </c>
      <c r="F185" s="573" t="s">
        <v>152</v>
      </c>
      <c r="G185" s="573" t="s">
        <v>606</v>
      </c>
      <c r="H185" s="573">
        <v>2019</v>
      </c>
      <c r="I185" s="573" t="s">
        <v>618</v>
      </c>
      <c r="J185" s="573" t="s">
        <v>623</v>
      </c>
      <c r="K185" s="573" t="s">
        <v>156</v>
      </c>
      <c r="L185" s="573">
        <v>5</v>
      </c>
      <c r="M185" s="573">
        <v>0</v>
      </c>
      <c r="N185" s="573" t="s">
        <v>157</v>
      </c>
      <c r="O185" s="573">
        <v>2</v>
      </c>
      <c r="P185" s="573" t="s">
        <v>157</v>
      </c>
      <c r="Q185" s="571" t="s">
        <v>157</v>
      </c>
      <c r="R185" s="573" t="s">
        <v>199</v>
      </c>
      <c r="S185" s="573">
        <v>4</v>
      </c>
      <c r="T185" s="573">
        <v>1872</v>
      </c>
      <c r="U185" s="573" t="s">
        <v>609</v>
      </c>
      <c r="V185" s="573">
        <v>106.3</v>
      </c>
      <c r="W185" s="573">
        <v>13.2</v>
      </c>
      <c r="X185" s="571">
        <v>2850</v>
      </c>
      <c r="Y185" s="573">
        <v>34</v>
      </c>
      <c r="Z185" s="579" t="s">
        <v>178</v>
      </c>
      <c r="AA185" s="579" t="s">
        <v>178</v>
      </c>
      <c r="AB185" s="584">
        <v>20455</v>
      </c>
      <c r="AC185" s="584" t="s">
        <v>164</v>
      </c>
      <c r="AD185" s="584">
        <v>18750</v>
      </c>
      <c r="AE185" s="586">
        <v>0.05</v>
      </c>
      <c r="AF185" s="661" t="str">
        <f t="shared" si="14"/>
        <v>2019-PAS-TOY-CRLA-001-12</v>
      </c>
      <c r="AG185" s="661" t="str">
        <f>IF(AND($Y185&gt;=32,(AI185="I"),(Y185&lt;&gt;"~"),(COUNTIF($AN$1:$AN185,$AN185)=1)),"TRUE","FALSE")</f>
        <v>TRUE</v>
      </c>
      <c r="AH185" s="661" t="str">
        <f>IF(AND($Y185&gt;=22, (AI185&lt;&gt;"I"),(Y185&lt;&gt;"~"),(COUNTIF($AN$1:$AN185,$AN185)=1)),"TRUE","FALSE")</f>
        <v>FALSE</v>
      </c>
      <c r="AI185" s="661" t="str">
        <f t="shared" si="20"/>
        <v>I</v>
      </c>
      <c r="AJ185" s="662" t="str">
        <f t="shared" si="15"/>
        <v>CRLA-001</v>
      </c>
      <c r="AK185" s="662" t="str">
        <f t="shared" si="16"/>
        <v>PAS</v>
      </c>
      <c r="AL185" s="662" t="str">
        <f t="shared" si="17"/>
        <v>TOY</v>
      </c>
      <c r="AM185" s="662" t="str">
        <f t="shared" si="18"/>
        <v>Corolla-LE Eco-FWD-5-~-~-1.8L-4-1872-NA-106.3-13.2-Unleaded-Unleaded</v>
      </c>
      <c r="AN185" s="662" t="str">
        <f t="shared" si="19"/>
        <v>2019-PAS-TOY-CRLA-001</v>
      </c>
    </row>
    <row r="186" spans="1:40" s="572" customFormat="1" ht="15">
      <c r="A186" s="570" t="s">
        <v>624</v>
      </c>
      <c r="B186" s="569" t="s">
        <v>625</v>
      </c>
      <c r="C186" s="569" t="s">
        <v>605</v>
      </c>
      <c r="D186" s="580">
        <v>12</v>
      </c>
      <c r="E186" s="569" t="s">
        <v>151</v>
      </c>
      <c r="F186" s="569" t="s">
        <v>152</v>
      </c>
      <c r="G186" s="569" t="s">
        <v>606</v>
      </c>
      <c r="H186" s="569">
        <v>2019</v>
      </c>
      <c r="I186" s="569" t="s">
        <v>626</v>
      </c>
      <c r="J186" s="569" t="s">
        <v>627</v>
      </c>
      <c r="K186" s="569" t="s">
        <v>156</v>
      </c>
      <c r="L186" s="569">
        <v>5</v>
      </c>
      <c r="M186" s="569">
        <v>0</v>
      </c>
      <c r="N186" s="569" t="s">
        <v>157</v>
      </c>
      <c r="O186" s="569">
        <v>2</v>
      </c>
      <c r="P186" s="569" t="s">
        <v>157</v>
      </c>
      <c r="Q186" s="568" t="s">
        <v>157</v>
      </c>
      <c r="R186" s="569" t="s">
        <v>199</v>
      </c>
      <c r="S186" s="569">
        <v>4</v>
      </c>
      <c r="T186" s="569">
        <v>1221</v>
      </c>
      <c r="U186" s="569" t="s">
        <v>609</v>
      </c>
      <c r="V186" s="569">
        <v>106.3</v>
      </c>
      <c r="W186" s="569">
        <v>11.3</v>
      </c>
      <c r="X186" s="568">
        <v>3075</v>
      </c>
      <c r="Y186" s="569">
        <v>52</v>
      </c>
      <c r="Z186" s="581" t="s">
        <v>178</v>
      </c>
      <c r="AA186" s="581" t="s">
        <v>163</v>
      </c>
      <c r="AB186" s="585">
        <v>24700</v>
      </c>
      <c r="AC186" s="585" t="s">
        <v>164</v>
      </c>
      <c r="AD186" s="585">
        <v>23550</v>
      </c>
      <c r="AE186" s="587">
        <v>0.05</v>
      </c>
      <c r="AF186" s="661" t="str">
        <f t="shared" si="14"/>
        <v>2019-PAS-TOY-PRUS-001-12</v>
      </c>
      <c r="AG186" s="661" t="str">
        <f>IF(AND($Y186&gt;=32,(AI186="I"),(Y186&lt;&gt;"~"),(COUNTIF($AN$1:$AN186,$AN186)=1)),"TRUE","FALSE")</f>
        <v>TRUE</v>
      </c>
      <c r="AH186" s="661" t="str">
        <f>IF(AND($Y186&gt;=22, (AI186&lt;&gt;"I"),(Y186&lt;&gt;"~"),(COUNTIF($AN$1:$AN186,$AN186)=1)),"TRUE","FALSE")</f>
        <v>FALSE</v>
      </c>
      <c r="AI186" s="661" t="str">
        <f t="shared" si="20"/>
        <v>I</v>
      </c>
      <c r="AJ186" s="662" t="str">
        <f t="shared" si="15"/>
        <v>PRUS-001</v>
      </c>
      <c r="AK186" s="662" t="str">
        <f t="shared" si="16"/>
        <v>PAS</v>
      </c>
      <c r="AL186" s="662" t="str">
        <f t="shared" si="17"/>
        <v>TOY</v>
      </c>
      <c r="AM186" s="662" t="str">
        <f t="shared" si="18"/>
        <v>Prius-One-FWD-5-~-~-1.8L-4-1221-NA-106.3-11.3-Unleaded-Electric</v>
      </c>
      <c r="AN186" s="662" t="str">
        <f t="shared" si="19"/>
        <v>2019-PAS-TOY-PRUS-001</v>
      </c>
    </row>
    <row r="187" spans="1:40" s="572" customFormat="1" ht="15">
      <c r="A187" s="570" t="s">
        <v>628</v>
      </c>
      <c r="B187" s="573" t="s">
        <v>629</v>
      </c>
      <c r="C187" s="573" t="s">
        <v>605</v>
      </c>
      <c r="D187" s="578">
        <v>12</v>
      </c>
      <c r="E187" s="573" t="s">
        <v>151</v>
      </c>
      <c r="F187" s="573" t="s">
        <v>152</v>
      </c>
      <c r="G187" s="573" t="s">
        <v>606</v>
      </c>
      <c r="H187" s="573">
        <v>2019</v>
      </c>
      <c r="I187" s="573" t="s">
        <v>626</v>
      </c>
      <c r="J187" s="573" t="s">
        <v>630</v>
      </c>
      <c r="K187" s="573" t="s">
        <v>156</v>
      </c>
      <c r="L187" s="573">
        <v>5</v>
      </c>
      <c r="M187" s="573">
        <v>0</v>
      </c>
      <c r="N187" s="573" t="s">
        <v>157</v>
      </c>
      <c r="O187" s="573">
        <v>2</v>
      </c>
      <c r="P187" s="573" t="s">
        <v>157</v>
      </c>
      <c r="Q187" s="571" t="s">
        <v>157</v>
      </c>
      <c r="R187" s="573" t="s">
        <v>199</v>
      </c>
      <c r="S187" s="573">
        <v>4</v>
      </c>
      <c r="T187" s="573">
        <v>1223</v>
      </c>
      <c r="U187" s="573" t="s">
        <v>609</v>
      </c>
      <c r="V187" s="573">
        <v>106.3</v>
      </c>
      <c r="W187" s="573">
        <v>11.3</v>
      </c>
      <c r="X187" s="571">
        <v>3075</v>
      </c>
      <c r="Y187" s="573">
        <v>56</v>
      </c>
      <c r="Z187" s="579" t="s">
        <v>178</v>
      </c>
      <c r="AA187" s="579" t="s">
        <v>163</v>
      </c>
      <c r="AB187" s="584">
        <v>25910</v>
      </c>
      <c r="AC187" s="584" t="s">
        <v>164</v>
      </c>
      <c r="AD187" s="584">
        <v>24580</v>
      </c>
      <c r="AE187" s="586">
        <v>0.05</v>
      </c>
      <c r="AF187" s="661" t="str">
        <f t="shared" si="14"/>
        <v>2019-PAS-TOY-PRUS-002-12</v>
      </c>
      <c r="AG187" s="661" t="str">
        <f>IF(AND($Y187&gt;=32,(AI187="I"),(Y187&lt;&gt;"~"),(COUNTIF($AN$1:$AN187,$AN187)=1)),"TRUE","FALSE")</f>
        <v>TRUE</v>
      </c>
      <c r="AH187" s="661" t="str">
        <f>IF(AND($Y187&gt;=22, (AI187&lt;&gt;"I"),(Y187&lt;&gt;"~"),(COUNTIF($AN$1:$AN187,$AN187)=1)),"TRUE","FALSE")</f>
        <v>FALSE</v>
      </c>
      <c r="AI187" s="661" t="str">
        <f t="shared" si="20"/>
        <v>I</v>
      </c>
      <c r="AJ187" s="662" t="str">
        <f t="shared" si="15"/>
        <v>PRUS-002</v>
      </c>
      <c r="AK187" s="662" t="str">
        <f t="shared" si="16"/>
        <v>PAS</v>
      </c>
      <c r="AL187" s="662" t="str">
        <f t="shared" si="17"/>
        <v>TOY</v>
      </c>
      <c r="AM187" s="662" t="str">
        <f t="shared" si="18"/>
        <v>Prius-Two-FWD-5-~-~-1.8L-4-1223-NA-106.3-11.3-Unleaded-Electric</v>
      </c>
      <c r="AN187" s="662" t="str">
        <f t="shared" si="19"/>
        <v>2019-PAS-TOY-PRUS-002</v>
      </c>
    </row>
    <row r="188" spans="1:40" s="572" customFormat="1" ht="15">
      <c r="A188" s="570" t="s">
        <v>631</v>
      </c>
      <c r="B188" s="569" t="s">
        <v>632</v>
      </c>
      <c r="C188" s="569" t="s">
        <v>605</v>
      </c>
      <c r="D188" s="580">
        <v>12</v>
      </c>
      <c r="E188" s="569" t="s">
        <v>151</v>
      </c>
      <c r="F188" s="569" t="s">
        <v>152</v>
      </c>
      <c r="G188" s="569" t="s">
        <v>606</v>
      </c>
      <c r="H188" s="569">
        <v>2019</v>
      </c>
      <c r="I188" s="569" t="s">
        <v>633</v>
      </c>
      <c r="J188" s="569" t="s">
        <v>615</v>
      </c>
      <c r="K188" s="569" t="s">
        <v>156</v>
      </c>
      <c r="L188" s="569">
        <v>5</v>
      </c>
      <c r="M188" s="569">
        <v>0</v>
      </c>
      <c r="N188" s="569" t="s">
        <v>157</v>
      </c>
      <c r="O188" s="569">
        <v>2</v>
      </c>
      <c r="P188" s="569" t="s">
        <v>157</v>
      </c>
      <c r="Q188" s="568" t="s">
        <v>157</v>
      </c>
      <c r="R188" s="569" t="s">
        <v>205</v>
      </c>
      <c r="S188" s="569">
        <v>4</v>
      </c>
      <c r="T188" s="569">
        <v>1263</v>
      </c>
      <c r="U188" s="569" t="s">
        <v>609</v>
      </c>
      <c r="V188" s="569">
        <v>100.4</v>
      </c>
      <c r="W188" s="569">
        <v>9.5</v>
      </c>
      <c r="X188" s="568">
        <v>2530</v>
      </c>
      <c r="Y188" s="569">
        <v>46</v>
      </c>
      <c r="Z188" s="581" t="s">
        <v>178</v>
      </c>
      <c r="AA188" s="581" t="s">
        <v>163</v>
      </c>
      <c r="AB188" s="585">
        <v>27310</v>
      </c>
      <c r="AC188" s="585" t="s">
        <v>164</v>
      </c>
      <c r="AD188" s="585">
        <v>25800</v>
      </c>
      <c r="AE188" s="587">
        <v>0.05</v>
      </c>
      <c r="AF188" s="661" t="str">
        <f t="shared" si="14"/>
        <v>2019-PAS-TOY-PRUS-003-12</v>
      </c>
      <c r="AG188" s="661" t="str">
        <f>IF(AND($Y188&gt;=32,(AI188="I"),(Y188&lt;&gt;"~"),(COUNTIF($AN$1:$AN188,$AN188)=1)),"TRUE","FALSE")</f>
        <v>TRUE</v>
      </c>
      <c r="AH188" s="661" t="str">
        <f>IF(AND($Y188&gt;=22, (AI188&lt;&gt;"I"),(Y188&lt;&gt;"~"),(COUNTIF($AN$1:$AN188,$AN188)=1)),"TRUE","FALSE")</f>
        <v>FALSE</v>
      </c>
      <c r="AI188" s="661" t="str">
        <f t="shared" si="20"/>
        <v>I</v>
      </c>
      <c r="AJ188" s="662" t="str">
        <f t="shared" si="15"/>
        <v>PRUS-003</v>
      </c>
      <c r="AK188" s="662" t="str">
        <f t="shared" si="16"/>
        <v>PAS</v>
      </c>
      <c r="AL188" s="662" t="str">
        <f t="shared" si="17"/>
        <v>TOY</v>
      </c>
      <c r="AM188" s="662" t="str">
        <f t="shared" si="18"/>
        <v>Prius AWD-LE-FWD-5-~-~-1.5L-4-1263-NA-100.4-9.5-Unleaded-Electric</v>
      </c>
      <c r="AN188" s="662" t="str">
        <f t="shared" si="19"/>
        <v>2019-PAS-TOY-PRUS-003</v>
      </c>
    </row>
    <row r="189" spans="1:40" s="572" customFormat="1" ht="15">
      <c r="A189" s="570" t="s">
        <v>634</v>
      </c>
      <c r="B189" s="573" t="s">
        <v>635</v>
      </c>
      <c r="C189" s="573" t="s">
        <v>605</v>
      </c>
      <c r="D189" s="578">
        <v>12</v>
      </c>
      <c r="E189" s="573" t="s">
        <v>151</v>
      </c>
      <c r="F189" s="573" t="s">
        <v>152</v>
      </c>
      <c r="G189" s="573" t="s">
        <v>606</v>
      </c>
      <c r="H189" s="573">
        <v>2019</v>
      </c>
      <c r="I189" s="573" t="s">
        <v>636</v>
      </c>
      <c r="J189" s="573" t="s">
        <v>637</v>
      </c>
      <c r="K189" s="573" t="s">
        <v>156</v>
      </c>
      <c r="L189" s="573">
        <v>5</v>
      </c>
      <c r="M189" s="573">
        <v>0</v>
      </c>
      <c r="N189" s="573" t="s">
        <v>157</v>
      </c>
      <c r="O189" s="573">
        <v>2</v>
      </c>
      <c r="P189" s="573" t="s">
        <v>157</v>
      </c>
      <c r="Q189" s="571" t="s">
        <v>157</v>
      </c>
      <c r="R189" s="573" t="s">
        <v>199</v>
      </c>
      <c r="S189" s="573">
        <v>4</v>
      </c>
      <c r="T189" s="573">
        <v>1235</v>
      </c>
      <c r="U189" s="573" t="s">
        <v>609</v>
      </c>
      <c r="V189" s="573">
        <v>106.3</v>
      </c>
      <c r="W189" s="573">
        <v>11.3</v>
      </c>
      <c r="X189" s="571">
        <v>3365</v>
      </c>
      <c r="Y189" s="573">
        <v>95</v>
      </c>
      <c r="Z189" s="579" t="s">
        <v>163</v>
      </c>
      <c r="AA189" s="579" t="s">
        <v>178</v>
      </c>
      <c r="AB189" s="584">
        <v>28575</v>
      </c>
      <c r="AC189" s="584" t="s">
        <v>164</v>
      </c>
      <c r="AD189" s="584">
        <v>25850</v>
      </c>
      <c r="AE189" s="586">
        <v>0.05</v>
      </c>
      <c r="AF189" s="661" t="str">
        <f t="shared" si="14"/>
        <v>2019-PAS-TOY-PRSP-001-12</v>
      </c>
      <c r="AG189" s="661" t="str">
        <f>IF(AND($Y189&gt;=32,(AI189="I"),(Y189&lt;&gt;"~"),(COUNTIF($AN$1:$AN189,$AN189)=1)),"TRUE","FALSE")</f>
        <v>TRUE</v>
      </c>
      <c r="AH189" s="661" t="str">
        <f>IF(AND($Y189&gt;=22, (AI189&lt;&gt;"I"),(Y189&lt;&gt;"~"),(COUNTIF($AN$1:$AN189,$AN189)=1)),"TRUE","FALSE")</f>
        <v>FALSE</v>
      </c>
      <c r="AI189" s="661" t="str">
        <f t="shared" si="20"/>
        <v>I</v>
      </c>
      <c r="AJ189" s="662" t="str">
        <f t="shared" si="15"/>
        <v>PRSP-001</v>
      </c>
      <c r="AK189" s="662" t="str">
        <f t="shared" si="16"/>
        <v>PAS</v>
      </c>
      <c r="AL189" s="662" t="str">
        <f t="shared" si="17"/>
        <v>TOY</v>
      </c>
      <c r="AM189" s="662" t="str">
        <f t="shared" si="18"/>
        <v>Prius Prime Plug-in-Plug-in-FWD-5-~-~-1.8L-4-1235-NA-106.3-11.3-Electric-Unleaded</v>
      </c>
      <c r="AN189" s="662" t="str">
        <f t="shared" si="19"/>
        <v>2019-PAS-TOY-PRSP-001</v>
      </c>
    </row>
    <row r="190" spans="1:40" s="572" customFormat="1" ht="15">
      <c r="A190" s="570" t="s">
        <v>638</v>
      </c>
      <c r="B190" s="569" t="s">
        <v>639</v>
      </c>
      <c r="C190" s="569" t="s">
        <v>605</v>
      </c>
      <c r="D190" s="580">
        <v>12</v>
      </c>
      <c r="E190" s="569" t="s">
        <v>151</v>
      </c>
      <c r="F190" s="569" t="s">
        <v>211</v>
      </c>
      <c r="G190" s="569" t="s">
        <v>606</v>
      </c>
      <c r="H190" s="569">
        <v>2019</v>
      </c>
      <c r="I190" s="569" t="s">
        <v>640</v>
      </c>
      <c r="J190" s="569" t="s">
        <v>612</v>
      </c>
      <c r="K190" s="569" t="s">
        <v>156</v>
      </c>
      <c r="L190" s="569">
        <v>5</v>
      </c>
      <c r="M190" s="569">
        <v>0</v>
      </c>
      <c r="N190" s="569" t="s">
        <v>157</v>
      </c>
      <c r="O190" s="569">
        <v>2</v>
      </c>
      <c r="P190" s="569" t="s">
        <v>157</v>
      </c>
      <c r="Q190" s="568" t="s">
        <v>157</v>
      </c>
      <c r="R190" s="569" t="s">
        <v>205</v>
      </c>
      <c r="S190" s="569">
        <v>4</v>
      </c>
      <c r="T190" s="569">
        <v>6266</v>
      </c>
      <c r="U190" s="569" t="s">
        <v>609</v>
      </c>
      <c r="V190" s="569">
        <v>98.8</v>
      </c>
      <c r="W190" s="569">
        <v>11.1</v>
      </c>
      <c r="X190" s="568">
        <v>2335</v>
      </c>
      <c r="Y190" s="569">
        <v>32</v>
      </c>
      <c r="Z190" s="581" t="s">
        <v>178</v>
      </c>
      <c r="AA190" s="581" t="s">
        <v>178</v>
      </c>
      <c r="AB190" s="585">
        <v>17480</v>
      </c>
      <c r="AC190" s="585" t="s">
        <v>164</v>
      </c>
      <c r="AD190" s="585">
        <v>16850</v>
      </c>
      <c r="AE190" s="587">
        <v>0.05</v>
      </c>
      <c r="AF190" s="661" t="str">
        <f t="shared" si="14"/>
        <v>2019-PAS-TOY-YARS-001-12</v>
      </c>
      <c r="AG190" s="661" t="str">
        <f>IF(AND($Y190&gt;=32,(AI190="I"),(Y190&lt;&gt;"~"),(COUNTIF($AN$1:$AN190,$AN190)=1)),"TRUE","FALSE")</f>
        <v>TRUE</v>
      </c>
      <c r="AH190" s="661" t="str">
        <f>IF(AND($Y190&gt;=22, (AI190&lt;&gt;"I"),(Y190&lt;&gt;"~"),(COUNTIF($AN$1:$AN190,$AN190)=1)),"TRUE","FALSE")</f>
        <v>FALSE</v>
      </c>
      <c r="AI190" s="661" t="str">
        <f t="shared" si="20"/>
        <v>I</v>
      </c>
      <c r="AJ190" s="662" t="str">
        <f t="shared" si="15"/>
        <v>YARS-001</v>
      </c>
      <c r="AK190" s="662" t="str">
        <f t="shared" si="16"/>
        <v>PAS</v>
      </c>
      <c r="AL190" s="662" t="str">
        <f t="shared" si="17"/>
        <v>TOY</v>
      </c>
      <c r="AM190" s="662" t="str">
        <f t="shared" si="18"/>
        <v>Yaris-L-FWD-5-~-~-1.5L-4-6266-NA-98.8-11.1-Unleaded-Unleaded</v>
      </c>
      <c r="AN190" s="662" t="str">
        <f t="shared" si="19"/>
        <v>2019-PAS-TOY-YARS-001</v>
      </c>
    </row>
    <row r="191" spans="1:40" ht="15">
      <c r="A191" s="570" t="s">
        <v>641</v>
      </c>
      <c r="B191" s="573" t="s">
        <v>642</v>
      </c>
      <c r="C191" s="573" t="s">
        <v>226</v>
      </c>
      <c r="D191" s="578" t="s">
        <v>227</v>
      </c>
      <c r="E191" s="573" t="s">
        <v>643</v>
      </c>
      <c r="F191" s="573" t="s">
        <v>644</v>
      </c>
      <c r="G191" s="573" t="s">
        <v>248</v>
      </c>
      <c r="H191" s="573">
        <v>2019</v>
      </c>
      <c r="I191" s="573" t="s">
        <v>256</v>
      </c>
      <c r="J191" s="573" t="s">
        <v>645</v>
      </c>
      <c r="K191" s="573" t="s">
        <v>230</v>
      </c>
      <c r="L191" s="573">
        <v>5</v>
      </c>
      <c r="M191" s="573">
        <v>0</v>
      </c>
      <c r="N191" s="573" t="s">
        <v>157</v>
      </c>
      <c r="O191" s="573">
        <v>2</v>
      </c>
      <c r="P191" s="573" t="s">
        <v>157</v>
      </c>
      <c r="Q191" s="571" t="s">
        <v>157</v>
      </c>
      <c r="R191" s="573" t="s">
        <v>646</v>
      </c>
      <c r="S191" s="573">
        <v>8</v>
      </c>
      <c r="T191" s="573" t="s">
        <v>647</v>
      </c>
      <c r="U191" s="573" t="s">
        <v>648</v>
      </c>
      <c r="V191" s="573">
        <v>120.2</v>
      </c>
      <c r="W191" s="573">
        <v>18.5</v>
      </c>
      <c r="X191" s="571">
        <v>5500</v>
      </c>
      <c r="Y191" s="573">
        <v>19</v>
      </c>
      <c r="Z191" s="579" t="s">
        <v>178</v>
      </c>
      <c r="AA191" s="579" t="s">
        <v>178</v>
      </c>
      <c r="AB191" s="584">
        <v>38400</v>
      </c>
      <c r="AC191" s="584" t="s">
        <v>164</v>
      </c>
      <c r="AD191" s="584">
        <v>24964</v>
      </c>
      <c r="AE191" s="586">
        <v>6.25E-2</v>
      </c>
      <c r="AF191" s="661" t="str">
        <f t="shared" si="14"/>
        <v>2019-PPV-DOD-CHRG-002-04</v>
      </c>
      <c r="AG191" s="661" t="str">
        <f>IF(AND($Y191&gt;=32,(AI191="I"),(Y191&lt;&gt;"~"),(COUNTIF($AN$1:$AN191,$AN191)=1)),"TRUE","FALSE")</f>
        <v>FALSE</v>
      </c>
      <c r="AH191" s="661" t="str">
        <f>IF(AND($Y191&gt;=22, (AI191&lt;&gt;"I"),(Y191&lt;&gt;"~"),(COUNTIF($AN$1:$AN191,$AN191)=1)),"TRUE","FALSE")</f>
        <v>FALSE</v>
      </c>
      <c r="AI191" s="661" t="str">
        <f t="shared" si="20"/>
        <v>I</v>
      </c>
      <c r="AJ191" s="662" t="str">
        <f t="shared" si="15"/>
        <v>CHRG-002</v>
      </c>
      <c r="AK191" s="662" t="str">
        <f t="shared" si="16"/>
        <v>PPV</v>
      </c>
      <c r="AL191" s="662" t="str">
        <f t="shared" si="17"/>
        <v>DOD</v>
      </c>
      <c r="AM191" s="662" t="str">
        <f t="shared" si="18"/>
        <v>Charger-Pursuit-AWD-5-~-~-5.7L-8-LDEE48-29A-120.2-18.5-Unleaded-Unleaded</v>
      </c>
      <c r="AN191" s="662" t="str">
        <f t="shared" si="19"/>
        <v>2019-PPV-DOD-CHRG-002</v>
      </c>
    </row>
    <row r="192" spans="1:40" ht="15">
      <c r="A192" s="570" t="s">
        <v>649</v>
      </c>
      <c r="B192" s="569" t="s">
        <v>642</v>
      </c>
      <c r="C192" s="569" t="s">
        <v>240</v>
      </c>
      <c r="D192" s="580" t="s">
        <v>241</v>
      </c>
      <c r="E192" s="569" t="s">
        <v>643</v>
      </c>
      <c r="F192" s="569" t="s">
        <v>644</v>
      </c>
      <c r="G192" s="569" t="s">
        <v>248</v>
      </c>
      <c r="H192" s="569">
        <v>2019</v>
      </c>
      <c r="I192" s="569" t="s">
        <v>256</v>
      </c>
      <c r="J192" s="569" t="s">
        <v>645</v>
      </c>
      <c r="K192" s="569" t="s">
        <v>230</v>
      </c>
      <c r="L192" s="569">
        <v>5</v>
      </c>
      <c r="M192" s="569">
        <v>0</v>
      </c>
      <c r="N192" s="569" t="s">
        <v>157</v>
      </c>
      <c r="O192" s="569">
        <v>2</v>
      </c>
      <c r="P192" s="569" t="s">
        <v>157</v>
      </c>
      <c r="Q192" s="568" t="s">
        <v>157</v>
      </c>
      <c r="R192" s="569" t="s">
        <v>646</v>
      </c>
      <c r="S192" s="569">
        <v>8</v>
      </c>
      <c r="T192" s="569" t="s">
        <v>647</v>
      </c>
      <c r="U192" s="569" t="s">
        <v>648</v>
      </c>
      <c r="V192" s="569">
        <v>120.2</v>
      </c>
      <c r="W192" s="569">
        <v>18.5</v>
      </c>
      <c r="X192" s="568">
        <v>4485</v>
      </c>
      <c r="Y192" s="569">
        <v>18</v>
      </c>
      <c r="Z192" s="581" t="s">
        <v>178</v>
      </c>
      <c r="AA192" s="581" t="s">
        <v>178</v>
      </c>
      <c r="AB192" s="585">
        <v>38400</v>
      </c>
      <c r="AC192" s="585" t="s">
        <v>164</v>
      </c>
      <c r="AD192" s="585">
        <v>24669</v>
      </c>
      <c r="AE192" s="587">
        <v>0.05</v>
      </c>
      <c r="AF192" s="661" t="str">
        <f t="shared" si="14"/>
        <v>2019-PPV-DOD-CHRG-002-08</v>
      </c>
      <c r="AG192" s="661" t="str">
        <f>IF(AND($Y192&gt;=32,(AI192="I"),(Y192&lt;&gt;"~"),(COUNTIF($AN$1:$AN192,$AN192)=1)),"TRUE","FALSE")</f>
        <v>FALSE</v>
      </c>
      <c r="AH192" s="661" t="str">
        <f>IF(AND($Y192&gt;=22, (AI192&lt;&gt;"I"),(Y192&lt;&gt;"~"),(COUNTIF($AN$1:$AN192,$AN192)=1)),"TRUE","FALSE")</f>
        <v>FALSE</v>
      </c>
      <c r="AI192" s="661" t="str">
        <f t="shared" si="20"/>
        <v>I</v>
      </c>
      <c r="AJ192" s="662" t="str">
        <f t="shared" si="15"/>
        <v>CHRG-002</v>
      </c>
      <c r="AK192" s="662" t="str">
        <f t="shared" si="16"/>
        <v>PPV</v>
      </c>
      <c r="AL192" s="662" t="str">
        <f t="shared" si="17"/>
        <v>DOD</v>
      </c>
      <c r="AM192" s="662" t="str">
        <f t="shared" si="18"/>
        <v>Charger-Pursuit-AWD-5-~-~-5.7L-8-LDEE48-29A-120.2-18.5-Unleaded-Unleaded</v>
      </c>
      <c r="AN192" s="662" t="str">
        <f t="shared" si="19"/>
        <v>2019-PPV-DOD-CHRG-002</v>
      </c>
    </row>
    <row r="193" spans="1:40" ht="15">
      <c r="A193" s="570" t="s">
        <v>650</v>
      </c>
      <c r="B193" s="573" t="s">
        <v>651</v>
      </c>
      <c r="C193" s="573" t="s">
        <v>226</v>
      </c>
      <c r="D193" s="578" t="s">
        <v>227</v>
      </c>
      <c r="E193" s="573" t="s">
        <v>643</v>
      </c>
      <c r="F193" s="573" t="s">
        <v>644</v>
      </c>
      <c r="G193" s="573" t="s">
        <v>248</v>
      </c>
      <c r="H193" s="573">
        <v>2019</v>
      </c>
      <c r="I193" s="573" t="s">
        <v>256</v>
      </c>
      <c r="J193" s="573" t="s">
        <v>645</v>
      </c>
      <c r="K193" s="573" t="s">
        <v>236</v>
      </c>
      <c r="L193" s="573">
        <v>5</v>
      </c>
      <c r="M193" s="573">
        <v>0</v>
      </c>
      <c r="N193" s="573" t="s">
        <v>157</v>
      </c>
      <c r="O193" s="573">
        <v>2</v>
      </c>
      <c r="P193" s="573" t="s">
        <v>157</v>
      </c>
      <c r="Q193" s="571" t="s">
        <v>157</v>
      </c>
      <c r="R193" s="573" t="s">
        <v>231</v>
      </c>
      <c r="S193" s="573">
        <v>6</v>
      </c>
      <c r="T193" s="573" t="s">
        <v>652</v>
      </c>
      <c r="U193" s="573" t="s">
        <v>653</v>
      </c>
      <c r="V193" s="573">
        <v>120.2</v>
      </c>
      <c r="W193" s="573">
        <v>18.5</v>
      </c>
      <c r="X193" s="571">
        <v>5250</v>
      </c>
      <c r="Y193" s="573">
        <v>23</v>
      </c>
      <c r="Z193" s="579" t="s">
        <v>178</v>
      </c>
      <c r="AA193" s="579" t="s">
        <v>178</v>
      </c>
      <c r="AB193" s="584">
        <v>33670</v>
      </c>
      <c r="AC193" s="584" t="s">
        <v>164</v>
      </c>
      <c r="AD193" s="584">
        <v>22384</v>
      </c>
      <c r="AE193" s="586">
        <v>6.25E-2</v>
      </c>
      <c r="AF193" s="661" t="str">
        <f t="shared" si="14"/>
        <v>2019-PPV-DOD-CHRG-003-04</v>
      </c>
      <c r="AG193" s="661" t="str">
        <f>IF(AND($Y193&gt;=32,(AI193="I"),(Y193&lt;&gt;"~"),(COUNTIF($AN$1:$AN193,$AN193)=1)),"TRUE","FALSE")</f>
        <v>FALSE</v>
      </c>
      <c r="AH193" s="661" t="str">
        <f>IF(AND($Y193&gt;=22, (AI193&lt;&gt;"I"),(Y193&lt;&gt;"~"),(COUNTIF($AN$1:$AN193,$AN193)=1)),"TRUE","FALSE")</f>
        <v>FALSE</v>
      </c>
      <c r="AI193" s="661" t="str">
        <f t="shared" si="20"/>
        <v>I</v>
      </c>
      <c r="AJ193" s="662" t="str">
        <f t="shared" si="15"/>
        <v>CHRG-003</v>
      </c>
      <c r="AK193" s="662" t="str">
        <f t="shared" si="16"/>
        <v>PPV</v>
      </c>
      <c r="AL193" s="662" t="str">
        <f t="shared" si="17"/>
        <v>DOD</v>
      </c>
      <c r="AM193" s="662" t="str">
        <f t="shared" si="18"/>
        <v>Charger-Pursuit-RWD-5-~-~-3.6L-6-LDDE48-27A-120.2-18.5-Unleaded-Unleaded</v>
      </c>
      <c r="AN193" s="662" t="str">
        <f t="shared" si="19"/>
        <v>2019-PPV-DOD-CHRG-003</v>
      </c>
    </row>
    <row r="194" spans="1:40" ht="15">
      <c r="A194" s="570" t="s">
        <v>654</v>
      </c>
      <c r="B194" s="569" t="s">
        <v>655</v>
      </c>
      <c r="C194" s="569" t="s">
        <v>226</v>
      </c>
      <c r="D194" s="580" t="s">
        <v>227</v>
      </c>
      <c r="E194" s="569" t="s">
        <v>643</v>
      </c>
      <c r="F194" s="569" t="s">
        <v>644</v>
      </c>
      <c r="G194" s="569" t="s">
        <v>248</v>
      </c>
      <c r="H194" s="569">
        <v>2019</v>
      </c>
      <c r="I194" s="569" t="s">
        <v>256</v>
      </c>
      <c r="J194" s="569" t="s">
        <v>645</v>
      </c>
      <c r="K194" s="569" t="s">
        <v>236</v>
      </c>
      <c r="L194" s="569">
        <v>5</v>
      </c>
      <c r="M194" s="569">
        <v>0</v>
      </c>
      <c r="N194" s="569" t="s">
        <v>157</v>
      </c>
      <c r="O194" s="569">
        <v>2</v>
      </c>
      <c r="P194" s="569" t="s">
        <v>157</v>
      </c>
      <c r="Q194" s="568" t="s">
        <v>157</v>
      </c>
      <c r="R194" s="569" t="s">
        <v>646</v>
      </c>
      <c r="S194" s="569">
        <v>8</v>
      </c>
      <c r="T194" s="569" t="s">
        <v>652</v>
      </c>
      <c r="U194" s="569" t="s">
        <v>648</v>
      </c>
      <c r="V194" s="569">
        <v>120.2</v>
      </c>
      <c r="W194" s="569">
        <v>18.5</v>
      </c>
      <c r="X194" s="568">
        <v>5250</v>
      </c>
      <c r="Y194" s="569">
        <v>19</v>
      </c>
      <c r="Z194" s="581" t="s">
        <v>178</v>
      </c>
      <c r="AA194" s="581" t="s">
        <v>178</v>
      </c>
      <c r="AB194" s="585">
        <v>35900</v>
      </c>
      <c r="AC194" s="585" t="s">
        <v>164</v>
      </c>
      <c r="AD194" s="585">
        <v>23311</v>
      </c>
      <c r="AE194" s="587">
        <v>6.25E-2</v>
      </c>
      <c r="AF194" s="661" t="str">
        <f t="shared" si="14"/>
        <v>2019-PPV-DOD-CHRG-004-04</v>
      </c>
      <c r="AG194" s="661" t="str">
        <f>IF(AND($Y194&gt;=32,(AI194="I"),(Y194&lt;&gt;"~"),(COUNTIF($AN$1:$AN194,$AN194)=1)),"TRUE","FALSE")</f>
        <v>FALSE</v>
      </c>
      <c r="AH194" s="661" t="str">
        <f>IF(AND($Y194&gt;=22, (AI194&lt;&gt;"I"),(Y194&lt;&gt;"~"),(COUNTIF($AN$1:$AN194,$AN194)=1)),"TRUE","FALSE")</f>
        <v>FALSE</v>
      </c>
      <c r="AI194" s="661" t="str">
        <f t="shared" si="20"/>
        <v>I</v>
      </c>
      <c r="AJ194" s="662" t="str">
        <f t="shared" si="15"/>
        <v>CHRG-004</v>
      </c>
      <c r="AK194" s="662" t="str">
        <f t="shared" si="16"/>
        <v>PPV</v>
      </c>
      <c r="AL194" s="662" t="str">
        <f t="shared" si="17"/>
        <v>DOD</v>
      </c>
      <c r="AM194" s="662" t="str">
        <f t="shared" si="18"/>
        <v>Charger-Pursuit-RWD-5-~-~-5.7L-8-LDDE48-29A-120.2-18.5-Unleaded-Unleaded</v>
      </c>
      <c r="AN194" s="662" t="str">
        <f t="shared" si="19"/>
        <v>2019-PPV-DOD-CHRG-004</v>
      </c>
    </row>
    <row r="195" spans="1:40" ht="15">
      <c r="A195" s="570" t="s">
        <v>656</v>
      </c>
      <c r="B195" s="573" t="s">
        <v>651</v>
      </c>
      <c r="C195" s="573" t="s">
        <v>240</v>
      </c>
      <c r="D195" s="578" t="s">
        <v>241</v>
      </c>
      <c r="E195" s="573" t="s">
        <v>643</v>
      </c>
      <c r="F195" s="573" t="s">
        <v>644</v>
      </c>
      <c r="G195" s="573" t="s">
        <v>248</v>
      </c>
      <c r="H195" s="573">
        <v>2019</v>
      </c>
      <c r="I195" s="573" t="s">
        <v>256</v>
      </c>
      <c r="J195" s="573" t="s">
        <v>645</v>
      </c>
      <c r="K195" s="573" t="s">
        <v>236</v>
      </c>
      <c r="L195" s="573">
        <v>5</v>
      </c>
      <c r="M195" s="573">
        <v>0</v>
      </c>
      <c r="N195" s="573" t="s">
        <v>157</v>
      </c>
      <c r="O195" s="573">
        <v>2</v>
      </c>
      <c r="P195" s="573" t="s">
        <v>157</v>
      </c>
      <c r="Q195" s="571" t="s">
        <v>157</v>
      </c>
      <c r="R195" s="573" t="s">
        <v>231</v>
      </c>
      <c r="S195" s="573">
        <v>6</v>
      </c>
      <c r="T195" s="573" t="s">
        <v>652</v>
      </c>
      <c r="U195" s="573" t="s">
        <v>653</v>
      </c>
      <c r="V195" s="573">
        <v>120.2</v>
      </c>
      <c r="W195" s="573">
        <v>18.5</v>
      </c>
      <c r="X195" s="571">
        <v>4119</v>
      </c>
      <c r="Y195" s="573">
        <v>20</v>
      </c>
      <c r="Z195" s="579" t="s">
        <v>178</v>
      </c>
      <c r="AA195" s="579" t="s">
        <v>178</v>
      </c>
      <c r="AB195" s="584">
        <v>33670</v>
      </c>
      <c r="AC195" s="584" t="s">
        <v>164</v>
      </c>
      <c r="AD195" s="584">
        <v>22389</v>
      </c>
      <c r="AE195" s="586">
        <v>0.05</v>
      </c>
      <c r="AF195" s="661" t="str">
        <f t="shared" ref="AF195:AF231" si="21">A195</f>
        <v>2019-PPV-DOD-CHRG-003-08</v>
      </c>
      <c r="AG195" s="661" t="str">
        <f>IF(AND($Y195&gt;=32,(AI195="I"),(Y195&lt;&gt;"~"),(COUNTIF($AN$1:$AN195,$AN195)=1)),"TRUE","FALSE")</f>
        <v>FALSE</v>
      </c>
      <c r="AH195" s="661" t="str">
        <f>IF(AND($Y195&gt;=22, (AI195&lt;&gt;"I"),(Y195&lt;&gt;"~"),(COUNTIF($AN$1:$AN195,$AN195)=1)),"TRUE","FALSE")</f>
        <v>FALSE</v>
      </c>
      <c r="AI195" s="661" t="str">
        <f t="shared" si="20"/>
        <v>I</v>
      </c>
      <c r="AJ195" s="662" t="str">
        <f t="shared" ref="AJ195:AJ258" si="22">MID(A195,14,8)</f>
        <v>CHRG-003</v>
      </c>
      <c r="AK195" s="662" t="str">
        <f t="shared" ref="AK195:AK258" si="23">MID(A195,6,3)</f>
        <v>PPV</v>
      </c>
      <c r="AL195" s="662" t="str">
        <f t="shared" ref="AL195:AL258" si="24">MID(A195,10,3)</f>
        <v>DOD</v>
      </c>
      <c r="AM195" s="662" t="str">
        <f t="shared" si="18"/>
        <v>Charger-Pursuit-RWD-5-~-~-3.6L-6-LDDE48-27A-120.2-18.5-Unleaded-Unleaded</v>
      </c>
      <c r="AN195" s="662" t="str">
        <f t="shared" ref="AN195:AN258" si="25">LEFT(A195,21)</f>
        <v>2019-PPV-DOD-CHRG-003</v>
      </c>
    </row>
    <row r="196" spans="1:40" ht="15">
      <c r="A196" s="570" t="s">
        <v>657</v>
      </c>
      <c r="B196" s="569" t="s">
        <v>655</v>
      </c>
      <c r="C196" s="569" t="s">
        <v>240</v>
      </c>
      <c r="D196" s="580" t="s">
        <v>241</v>
      </c>
      <c r="E196" s="569" t="s">
        <v>643</v>
      </c>
      <c r="F196" s="569" t="s">
        <v>644</v>
      </c>
      <c r="G196" s="569" t="s">
        <v>248</v>
      </c>
      <c r="H196" s="569">
        <v>2019</v>
      </c>
      <c r="I196" s="569" t="s">
        <v>256</v>
      </c>
      <c r="J196" s="569" t="s">
        <v>645</v>
      </c>
      <c r="K196" s="569" t="s">
        <v>236</v>
      </c>
      <c r="L196" s="569">
        <v>5</v>
      </c>
      <c r="M196" s="569">
        <v>0</v>
      </c>
      <c r="N196" s="569" t="s">
        <v>157</v>
      </c>
      <c r="O196" s="569">
        <v>2</v>
      </c>
      <c r="P196" s="569" t="s">
        <v>157</v>
      </c>
      <c r="Q196" s="568" t="s">
        <v>157</v>
      </c>
      <c r="R196" s="569" t="s">
        <v>646</v>
      </c>
      <c r="S196" s="569">
        <v>8</v>
      </c>
      <c r="T196" s="569" t="s">
        <v>652</v>
      </c>
      <c r="U196" s="569" t="s">
        <v>648</v>
      </c>
      <c r="V196" s="569">
        <v>120.2</v>
      </c>
      <c r="W196" s="569">
        <v>18.5</v>
      </c>
      <c r="X196" s="568">
        <v>4119</v>
      </c>
      <c r="Y196" s="569">
        <v>18</v>
      </c>
      <c r="Z196" s="581" t="s">
        <v>178</v>
      </c>
      <c r="AA196" s="581" t="s">
        <v>178</v>
      </c>
      <c r="AB196" s="585">
        <v>35900</v>
      </c>
      <c r="AC196" s="585" t="s">
        <v>164</v>
      </c>
      <c r="AD196" s="585">
        <v>23359</v>
      </c>
      <c r="AE196" s="587">
        <v>0.05</v>
      </c>
      <c r="AF196" s="661" t="str">
        <f t="shared" si="21"/>
        <v>2019-PPV-DOD-CHRG-004-08</v>
      </c>
      <c r="AG196" s="661" t="str">
        <f>IF(AND($Y196&gt;=32,(AI196="I"),(Y196&lt;&gt;"~"),(COUNTIF($AN$1:$AN3478,$AN196)=1)),"TRUE","FALSE")</f>
        <v>FALSE</v>
      </c>
      <c r="AH196" s="661" t="str">
        <f>IF(AND($Y196&gt;=22, (AI196&lt;&gt;"I"),(Y196&lt;&gt;"~"),(COUNTIF($AN$1:$AN3478,$AN196)=1)),"TRUE","FALSE")</f>
        <v>FALSE</v>
      </c>
      <c r="AI196" s="661" t="str">
        <f t="shared" si="20"/>
        <v>I</v>
      </c>
      <c r="AJ196" s="662" t="str">
        <f t="shared" si="22"/>
        <v>CHRG-004</v>
      </c>
      <c r="AK196" s="662" t="str">
        <f t="shared" si="23"/>
        <v>PPV</v>
      </c>
      <c r="AL196" s="662" t="str">
        <f t="shared" si="24"/>
        <v>DOD</v>
      </c>
      <c r="AM196" s="662" t="str">
        <f t="shared" si="18"/>
        <v>Charger-Pursuit-RWD-5-~-~-5.7L-8-LDDE48-29A-120.2-18.5-Unleaded-Unleaded</v>
      </c>
      <c r="AN196" s="662" t="str">
        <f t="shared" si="25"/>
        <v>2019-PPV-DOD-CHRG-004</v>
      </c>
    </row>
    <row r="197" spans="1:40" ht="30">
      <c r="A197" s="570" t="s">
        <v>658</v>
      </c>
      <c r="B197" s="573" t="s">
        <v>659</v>
      </c>
      <c r="C197" s="569" t="s">
        <v>278</v>
      </c>
      <c r="D197" s="580">
        <v>15</v>
      </c>
      <c r="E197" s="569" t="s">
        <v>643</v>
      </c>
      <c r="F197" s="569" t="s">
        <v>660</v>
      </c>
      <c r="G197" s="569" t="s">
        <v>271</v>
      </c>
      <c r="H197" s="569">
        <v>2019</v>
      </c>
      <c r="I197" s="569" t="s">
        <v>350</v>
      </c>
      <c r="J197" s="569" t="s">
        <v>661</v>
      </c>
      <c r="K197" s="569" t="s">
        <v>156</v>
      </c>
      <c r="L197" s="569">
        <v>5</v>
      </c>
      <c r="M197" s="569">
        <v>0</v>
      </c>
      <c r="N197" s="569" t="s">
        <v>157</v>
      </c>
      <c r="O197" s="569">
        <v>2</v>
      </c>
      <c r="P197" s="569" t="s">
        <v>157</v>
      </c>
      <c r="Q197" s="568" t="s">
        <v>157</v>
      </c>
      <c r="R197" s="569" t="s">
        <v>352</v>
      </c>
      <c r="S197" s="569">
        <v>4</v>
      </c>
      <c r="T197" s="569" t="s">
        <v>662</v>
      </c>
      <c r="U197" s="569" t="s">
        <v>663</v>
      </c>
      <c r="V197" s="569">
        <v>112.2</v>
      </c>
      <c r="W197" s="569">
        <v>14</v>
      </c>
      <c r="X197" s="568">
        <v>3630</v>
      </c>
      <c r="Y197" s="569">
        <v>40</v>
      </c>
      <c r="Z197" s="581" t="s">
        <v>178</v>
      </c>
      <c r="AA197" s="581" t="s">
        <v>163</v>
      </c>
      <c r="AB197" s="585">
        <v>30930</v>
      </c>
      <c r="AC197" s="585" t="s">
        <v>164</v>
      </c>
      <c r="AD197" s="585">
        <v>28419</v>
      </c>
      <c r="AE197" s="587">
        <v>0.01</v>
      </c>
      <c r="AF197" s="661" t="str">
        <f t="shared" si="21"/>
        <v>2019-PPV-FRD-FUSN-003-15</v>
      </c>
      <c r="AG197" s="661" t="str">
        <f>IF(AND($Y197&gt;=32,(AI197="I"),(Y197&lt;&gt;"~"),(COUNTIF($AN$1:$AN197,$AN197)=1)),"TRUE","FALSE")</f>
        <v>TRUE</v>
      </c>
      <c r="AH197" s="661" t="str">
        <f>IF(AND($Y197&gt;=22, (AI197&lt;&gt;"I"),(Y197&lt;&gt;"~"),(COUNTIF($AN$1:$AN197,$AN197)=1)),"TRUE","FALSE")</f>
        <v>FALSE</v>
      </c>
      <c r="AI197" s="661" t="str">
        <f t="shared" si="20"/>
        <v>I</v>
      </c>
      <c r="AJ197" s="662" t="str">
        <f t="shared" si="22"/>
        <v>FUSN-003</v>
      </c>
      <c r="AK197" s="662" t="str">
        <f t="shared" si="23"/>
        <v>PPV</v>
      </c>
      <c r="AL197" s="662" t="str">
        <f t="shared" si="24"/>
        <v>FRD</v>
      </c>
      <c r="AM197" s="662" t="str">
        <f t="shared" si="18"/>
        <v>Fusion-Police Responder Hybrid Sedan-FWD-5-~-~-2.0L-4-P0A-430A-112.2-14-Unleaded-Electric</v>
      </c>
      <c r="AN197" s="662" t="str">
        <f t="shared" si="25"/>
        <v>2019-PPV-FRD-FUSN-003</v>
      </c>
    </row>
    <row r="198" spans="1:40" ht="30">
      <c r="A198" s="570" t="s">
        <v>664</v>
      </c>
      <c r="B198" s="569" t="s">
        <v>659</v>
      </c>
      <c r="C198" s="573" t="s">
        <v>287</v>
      </c>
      <c r="D198" s="578">
        <v>26</v>
      </c>
      <c r="E198" s="573" t="s">
        <v>643</v>
      </c>
      <c r="F198" s="573" t="s">
        <v>660</v>
      </c>
      <c r="G198" s="573" t="s">
        <v>271</v>
      </c>
      <c r="H198" s="573">
        <v>2019</v>
      </c>
      <c r="I198" s="573" t="s">
        <v>350</v>
      </c>
      <c r="J198" s="573" t="s">
        <v>661</v>
      </c>
      <c r="K198" s="573" t="s">
        <v>156</v>
      </c>
      <c r="L198" s="573">
        <v>5</v>
      </c>
      <c r="M198" s="573">
        <v>0</v>
      </c>
      <c r="N198" s="573" t="s">
        <v>157</v>
      </c>
      <c r="O198" s="573">
        <v>2</v>
      </c>
      <c r="P198" s="573" t="s">
        <v>157</v>
      </c>
      <c r="Q198" s="571" t="s">
        <v>157</v>
      </c>
      <c r="R198" s="573" t="s">
        <v>352</v>
      </c>
      <c r="S198" s="573">
        <v>4</v>
      </c>
      <c r="T198" s="573" t="s">
        <v>662</v>
      </c>
      <c r="U198" s="573" t="s">
        <v>663</v>
      </c>
      <c r="V198" s="573">
        <v>112.2</v>
      </c>
      <c r="W198" s="573">
        <v>14</v>
      </c>
      <c r="X198" s="571">
        <v>3630</v>
      </c>
      <c r="Y198" s="573">
        <v>40</v>
      </c>
      <c r="Z198" s="579" t="s">
        <v>198</v>
      </c>
      <c r="AA198" s="579" t="s">
        <v>163</v>
      </c>
      <c r="AB198" s="584">
        <v>30930</v>
      </c>
      <c r="AC198" s="584" t="s">
        <v>164</v>
      </c>
      <c r="AD198" s="584">
        <v>28904</v>
      </c>
      <c r="AE198" s="586">
        <v>0.05</v>
      </c>
      <c r="AF198" s="661" t="str">
        <f t="shared" si="21"/>
        <v>2019-PPV-FRD-FUSN-003-26</v>
      </c>
      <c r="AG198" s="661" t="str">
        <f>IF(AND($Y198&gt;=32,(AI198="I"),(Y198&lt;&gt;"~"),(COUNTIF($AN$1:$AN198,$AN198)=1)),"TRUE","FALSE")</f>
        <v>FALSE</v>
      </c>
      <c r="AH198" s="661" t="str">
        <f>IF(AND($Y198&gt;=22, (AI198&lt;&gt;"I"),(Y198&lt;&gt;"~"),(COUNTIF($AN$1:$AN198,$AN198)=1)),"TRUE","FALSE")</f>
        <v>FALSE</v>
      </c>
      <c r="AI198" s="661" t="str">
        <f t="shared" si="20"/>
        <v>I</v>
      </c>
      <c r="AJ198" s="662" t="str">
        <f t="shared" si="22"/>
        <v>FUSN-003</v>
      </c>
      <c r="AK198" s="662" t="str">
        <f t="shared" si="23"/>
        <v>PPV</v>
      </c>
      <c r="AL198" s="662" t="str">
        <f t="shared" si="24"/>
        <v>FRD</v>
      </c>
      <c r="AM198" s="662" t="str">
        <f t="shared" si="18"/>
        <v>Fusion-Police Responder Hybrid Sedan-FWD-5-~-~-2.0L-4-P0A-430A-112.2-14-Hybrid-Electric</v>
      </c>
      <c r="AN198" s="662" t="str">
        <f t="shared" si="25"/>
        <v>2019-PPV-FRD-FUSN-003</v>
      </c>
    </row>
    <row r="199" spans="1:40" ht="30">
      <c r="A199" s="570" t="s">
        <v>665</v>
      </c>
      <c r="B199" s="573" t="s">
        <v>659</v>
      </c>
      <c r="C199" s="569" t="s">
        <v>280</v>
      </c>
      <c r="D199" s="580">
        <v>27</v>
      </c>
      <c r="E199" s="569" t="s">
        <v>643</v>
      </c>
      <c r="F199" s="569" t="s">
        <v>660</v>
      </c>
      <c r="G199" s="569" t="s">
        <v>271</v>
      </c>
      <c r="H199" s="569">
        <v>2019</v>
      </c>
      <c r="I199" s="569" t="s">
        <v>350</v>
      </c>
      <c r="J199" s="569" t="s">
        <v>661</v>
      </c>
      <c r="K199" s="569" t="s">
        <v>156</v>
      </c>
      <c r="L199" s="569">
        <v>5</v>
      </c>
      <c r="M199" s="569">
        <v>0</v>
      </c>
      <c r="N199" s="569" t="s">
        <v>157</v>
      </c>
      <c r="O199" s="569">
        <v>2</v>
      </c>
      <c r="P199" s="569" t="s">
        <v>157</v>
      </c>
      <c r="Q199" s="568" t="s">
        <v>157</v>
      </c>
      <c r="R199" s="569" t="s">
        <v>352</v>
      </c>
      <c r="S199" s="569">
        <v>4</v>
      </c>
      <c r="T199" s="569" t="s">
        <v>662</v>
      </c>
      <c r="U199" s="569" t="s">
        <v>663</v>
      </c>
      <c r="V199" s="569">
        <v>112.2</v>
      </c>
      <c r="W199" s="569">
        <v>14</v>
      </c>
      <c r="X199" s="568">
        <v>3630</v>
      </c>
      <c r="Y199" s="569">
        <v>40</v>
      </c>
      <c r="Z199" s="581" t="s">
        <v>666</v>
      </c>
      <c r="AA199" s="581" t="s">
        <v>163</v>
      </c>
      <c r="AB199" s="585">
        <v>30930</v>
      </c>
      <c r="AC199" s="585" t="s">
        <v>164</v>
      </c>
      <c r="AD199" s="585">
        <v>28065</v>
      </c>
      <c r="AE199" s="587">
        <v>0.03</v>
      </c>
      <c r="AF199" s="661" t="str">
        <f t="shared" si="21"/>
        <v>2019-PPV-FRD-FUSN-003-27</v>
      </c>
      <c r="AG199" s="661" t="str">
        <f>IF(AND($Y199&gt;=32,(AI199="I"),(Y199&lt;&gt;"~"),(COUNTIF($AN$1:$AN199,$AN199)=1)),"TRUE","FALSE")</f>
        <v>FALSE</v>
      </c>
      <c r="AH199" s="661" t="str">
        <f>IF(AND($Y199&gt;=22, (AI199&lt;&gt;"I"),(Y199&lt;&gt;"~"),(COUNTIF($AN$1:$AN199,$AN199)=1)),"TRUE","FALSE")</f>
        <v>FALSE</v>
      </c>
      <c r="AI199" s="661" t="str">
        <f t="shared" si="20"/>
        <v>I</v>
      </c>
      <c r="AJ199" s="662" t="str">
        <f t="shared" si="22"/>
        <v>FUSN-003</v>
      </c>
      <c r="AK199" s="662" t="str">
        <f t="shared" si="23"/>
        <v>PPV</v>
      </c>
      <c r="AL199" s="662" t="str">
        <f t="shared" si="24"/>
        <v>FRD</v>
      </c>
      <c r="AM199" s="662" t="str">
        <f t="shared" si="18"/>
        <v>Fusion-Police Responder Hybrid Sedan-FWD-5-~-~-2.0L-4-P0A-430A-112.2-14-Unleaded -Electric</v>
      </c>
      <c r="AN199" s="662" t="str">
        <f t="shared" si="25"/>
        <v>2019-PPV-FRD-FUSN-003</v>
      </c>
    </row>
    <row r="200" spans="1:40" ht="30">
      <c r="A200" s="570" t="s">
        <v>667</v>
      </c>
      <c r="B200" s="569" t="s">
        <v>668</v>
      </c>
      <c r="C200" s="573" t="s">
        <v>287</v>
      </c>
      <c r="D200" s="578">
        <v>26</v>
      </c>
      <c r="E200" s="573" t="s">
        <v>643</v>
      </c>
      <c r="F200" s="573" t="s">
        <v>660</v>
      </c>
      <c r="G200" s="573" t="s">
        <v>271</v>
      </c>
      <c r="H200" s="573">
        <v>2019</v>
      </c>
      <c r="I200" s="573" t="s">
        <v>350</v>
      </c>
      <c r="J200" s="573" t="s">
        <v>669</v>
      </c>
      <c r="K200" s="573" t="s">
        <v>156</v>
      </c>
      <c r="L200" s="573">
        <v>5</v>
      </c>
      <c r="M200" s="573">
        <v>0</v>
      </c>
      <c r="N200" s="573" t="s">
        <v>157</v>
      </c>
      <c r="O200" s="573">
        <v>2</v>
      </c>
      <c r="P200" s="573" t="s">
        <v>157</v>
      </c>
      <c r="Q200" s="571" t="s">
        <v>157</v>
      </c>
      <c r="R200" s="573" t="s">
        <v>352</v>
      </c>
      <c r="S200" s="573">
        <v>4</v>
      </c>
      <c r="T200" s="573" t="s">
        <v>670</v>
      </c>
      <c r="U200" s="573" t="s">
        <v>671</v>
      </c>
      <c r="V200" s="573">
        <v>112.2</v>
      </c>
      <c r="W200" s="573">
        <v>14</v>
      </c>
      <c r="X200" s="571">
        <v>3630</v>
      </c>
      <c r="Y200" s="573">
        <v>40</v>
      </c>
      <c r="Z200" s="579" t="s">
        <v>198</v>
      </c>
      <c r="AA200" s="579" t="s">
        <v>163</v>
      </c>
      <c r="AB200" s="584">
        <v>36515</v>
      </c>
      <c r="AC200" s="584" t="s">
        <v>164</v>
      </c>
      <c r="AD200" s="584">
        <v>33132</v>
      </c>
      <c r="AE200" s="586">
        <v>0.05</v>
      </c>
      <c r="AF200" s="661" t="str">
        <f t="shared" si="21"/>
        <v>2019-PPV-FRD-FUSN-018-26</v>
      </c>
      <c r="AG200" s="661" t="str">
        <f>IF(AND($Y200&gt;=32,(AI200="I"),(Y200&lt;&gt;"~"),(COUNTIF($AN$1:$AN200,$AN200)=1)),"TRUE","FALSE")</f>
        <v>TRUE</v>
      </c>
      <c r="AH200" s="661" t="str">
        <f>IF(AND($Y200&gt;=22, (AI200&lt;&gt;"I"),(Y200&lt;&gt;"~"),(COUNTIF($AN$1:$AN200,$AN200)=1)),"TRUE","FALSE")</f>
        <v>FALSE</v>
      </c>
      <c r="AI200" s="661" t="str">
        <f t="shared" si="20"/>
        <v>I</v>
      </c>
      <c r="AJ200" s="662" t="str">
        <f t="shared" si="22"/>
        <v>FUSN-018</v>
      </c>
      <c r="AK200" s="662" t="str">
        <f t="shared" si="23"/>
        <v>PPV</v>
      </c>
      <c r="AL200" s="662" t="str">
        <f t="shared" si="24"/>
        <v>FRD</v>
      </c>
      <c r="AM200" s="662" t="str">
        <f t="shared" si="18"/>
        <v>Fusion-Special Service Hybrid Sedan-FWD-5-~-~-2.0L-4-P0W-910A-112.2-14-Hybrid-Electric</v>
      </c>
      <c r="AN200" s="662" t="str">
        <f t="shared" si="25"/>
        <v>2019-PPV-FRD-FUSN-018</v>
      </c>
    </row>
    <row r="201" spans="1:40" ht="15">
      <c r="A201" s="570" t="s">
        <v>672</v>
      </c>
      <c r="B201" s="573" t="s">
        <v>673</v>
      </c>
      <c r="C201" s="569" t="s">
        <v>269</v>
      </c>
      <c r="D201" s="580" t="s">
        <v>270</v>
      </c>
      <c r="E201" s="569" t="s">
        <v>643</v>
      </c>
      <c r="F201" s="569" t="s">
        <v>644</v>
      </c>
      <c r="G201" s="569" t="s">
        <v>271</v>
      </c>
      <c r="H201" s="569">
        <v>2019</v>
      </c>
      <c r="I201" s="569" t="s">
        <v>674</v>
      </c>
      <c r="J201" s="569" t="s">
        <v>675</v>
      </c>
      <c r="K201" s="569" t="s">
        <v>230</v>
      </c>
      <c r="L201" s="569">
        <v>5</v>
      </c>
      <c r="M201" s="569">
        <v>0</v>
      </c>
      <c r="N201" s="569" t="s">
        <v>157</v>
      </c>
      <c r="O201" s="569">
        <v>2</v>
      </c>
      <c r="P201" s="569" t="s">
        <v>157</v>
      </c>
      <c r="Q201" s="568" t="s">
        <v>157</v>
      </c>
      <c r="R201" s="569" t="s">
        <v>316</v>
      </c>
      <c r="S201" s="569">
        <v>6</v>
      </c>
      <c r="T201" s="569" t="s">
        <v>676</v>
      </c>
      <c r="U201" s="569" t="s">
        <v>677</v>
      </c>
      <c r="V201" s="569">
        <v>112.9</v>
      </c>
      <c r="W201" s="569">
        <v>19</v>
      </c>
      <c r="X201" s="568">
        <v>4775</v>
      </c>
      <c r="Y201" s="569">
        <v>19</v>
      </c>
      <c r="Z201" s="581" t="s">
        <v>666</v>
      </c>
      <c r="AA201" s="581" t="s">
        <v>178</v>
      </c>
      <c r="AB201" s="585">
        <v>33555</v>
      </c>
      <c r="AC201" s="585" t="s">
        <v>164</v>
      </c>
      <c r="AD201" s="585">
        <v>31244.104166666668</v>
      </c>
      <c r="AE201" s="587">
        <v>0.03</v>
      </c>
      <c r="AF201" s="661" t="str">
        <f t="shared" si="21"/>
        <v>2019-PPV-FRD-PISD-001-05</v>
      </c>
      <c r="AG201" s="661" t="str">
        <f>IF(AND($Y201&gt;=32,(AI201="I"),(Y201&lt;&gt;"~"),(COUNTIF($AN$1:$AN201,$AN201)=1)),"TRUE","FALSE")</f>
        <v>FALSE</v>
      </c>
      <c r="AH201" s="661" t="str">
        <f>IF(AND($Y201&gt;=22, (AI201&lt;&gt;"I"),(Y201&lt;&gt;"~"),(COUNTIF($AN$1:$AN201,$AN201)=1)),"TRUE","FALSE")</f>
        <v>FALSE</v>
      </c>
      <c r="AI201" s="661" t="str">
        <f t="shared" si="20"/>
        <v>I</v>
      </c>
      <c r="AJ201" s="662" t="str">
        <f t="shared" si="22"/>
        <v>PISD-001</v>
      </c>
      <c r="AK201" s="662" t="str">
        <f t="shared" si="23"/>
        <v>PPV</v>
      </c>
      <c r="AL201" s="662" t="str">
        <f t="shared" si="24"/>
        <v>FRD</v>
      </c>
      <c r="AM201" s="662" t="str">
        <f t="shared" si="18"/>
        <v>PI Sedan-Ecoboost-AWD-5-~-~-3.5L-6-P2M,99T-500A-112.9-19-Unleaded -Unleaded</v>
      </c>
      <c r="AN201" s="662" t="str">
        <f t="shared" si="25"/>
        <v>2019-PPV-FRD-PISD-001</v>
      </c>
    </row>
    <row r="202" spans="1:40" ht="15">
      <c r="A202" s="570" t="s">
        <v>678</v>
      </c>
      <c r="B202" s="569" t="s">
        <v>673</v>
      </c>
      <c r="C202" s="573" t="s">
        <v>280</v>
      </c>
      <c r="D202" s="578">
        <v>27</v>
      </c>
      <c r="E202" s="573" t="s">
        <v>643</v>
      </c>
      <c r="F202" s="573" t="s">
        <v>644</v>
      </c>
      <c r="G202" s="573" t="s">
        <v>271</v>
      </c>
      <c r="H202" s="573">
        <v>2019</v>
      </c>
      <c r="I202" s="573" t="s">
        <v>674</v>
      </c>
      <c r="J202" s="573" t="s">
        <v>675</v>
      </c>
      <c r="K202" s="573" t="s">
        <v>230</v>
      </c>
      <c r="L202" s="573">
        <v>5</v>
      </c>
      <c r="M202" s="573">
        <v>0</v>
      </c>
      <c r="N202" s="573" t="s">
        <v>157</v>
      </c>
      <c r="O202" s="573">
        <v>2</v>
      </c>
      <c r="P202" s="573" t="s">
        <v>157</v>
      </c>
      <c r="Q202" s="571" t="s">
        <v>157</v>
      </c>
      <c r="R202" s="573" t="s">
        <v>316</v>
      </c>
      <c r="S202" s="573">
        <v>6</v>
      </c>
      <c r="T202" s="573" t="s">
        <v>676</v>
      </c>
      <c r="U202" s="573" t="s">
        <v>677</v>
      </c>
      <c r="V202" s="573">
        <v>112.9</v>
      </c>
      <c r="W202" s="573">
        <v>19</v>
      </c>
      <c r="X202" s="571">
        <v>4775</v>
      </c>
      <c r="Y202" s="573">
        <v>19</v>
      </c>
      <c r="Z202" s="579" t="s">
        <v>666</v>
      </c>
      <c r="AA202" s="579" t="s">
        <v>178</v>
      </c>
      <c r="AB202" s="584">
        <v>33555</v>
      </c>
      <c r="AC202" s="584" t="s">
        <v>164</v>
      </c>
      <c r="AD202" s="584">
        <v>31244.104166666668</v>
      </c>
      <c r="AE202" s="586">
        <v>0.03</v>
      </c>
      <c r="AF202" s="661" t="str">
        <f t="shared" si="21"/>
        <v>2019-PPV-FRD-PISD-001-27</v>
      </c>
      <c r="AG202" s="661" t="str">
        <f>IF(AND($Y202&gt;=32,(AI202="I"),(Y202&lt;&gt;"~"),(COUNTIF($AN$1:$AN202,$AN202)=1)),"TRUE","FALSE")</f>
        <v>FALSE</v>
      </c>
      <c r="AH202" s="661" t="str">
        <f>IF(AND($Y202&gt;=22, (AI202&lt;&gt;"I"),(Y202&lt;&gt;"~"),(COUNTIF($AN$1:$AN202,$AN202)=1)),"TRUE","FALSE")</f>
        <v>FALSE</v>
      </c>
      <c r="AI202" s="661" t="str">
        <f t="shared" si="20"/>
        <v>I</v>
      </c>
      <c r="AJ202" s="662" t="str">
        <f t="shared" si="22"/>
        <v>PISD-001</v>
      </c>
      <c r="AK202" s="662" t="str">
        <f t="shared" si="23"/>
        <v>PPV</v>
      </c>
      <c r="AL202" s="662" t="str">
        <f t="shared" si="24"/>
        <v>FRD</v>
      </c>
      <c r="AM202" s="662" t="str">
        <f t="shared" si="18"/>
        <v>PI Sedan-Ecoboost-AWD-5-~-~-3.5L-6-P2M,99T-500A-112.9-19-Unleaded -Unleaded</v>
      </c>
      <c r="AN202" s="662" t="str">
        <f t="shared" si="25"/>
        <v>2019-PPV-FRD-PISD-001</v>
      </c>
    </row>
    <row r="203" spans="1:40" ht="15">
      <c r="A203" s="570" t="s">
        <v>679</v>
      </c>
      <c r="B203" s="573" t="s">
        <v>680</v>
      </c>
      <c r="C203" s="569" t="s">
        <v>269</v>
      </c>
      <c r="D203" s="580" t="s">
        <v>270</v>
      </c>
      <c r="E203" s="569" t="s">
        <v>643</v>
      </c>
      <c r="F203" s="569" t="s">
        <v>644</v>
      </c>
      <c r="G203" s="569" t="s">
        <v>271</v>
      </c>
      <c r="H203" s="569">
        <v>2019</v>
      </c>
      <c r="I203" s="569" t="s">
        <v>674</v>
      </c>
      <c r="J203" s="569" t="s">
        <v>681</v>
      </c>
      <c r="K203" s="569" t="s">
        <v>230</v>
      </c>
      <c r="L203" s="569">
        <v>5</v>
      </c>
      <c r="M203" s="569">
        <v>0</v>
      </c>
      <c r="N203" s="569" t="s">
        <v>157</v>
      </c>
      <c r="O203" s="569">
        <v>2</v>
      </c>
      <c r="P203" s="569" t="s">
        <v>157</v>
      </c>
      <c r="Q203" s="568" t="s">
        <v>157</v>
      </c>
      <c r="R203" s="569" t="s">
        <v>682</v>
      </c>
      <c r="S203" s="569">
        <v>6</v>
      </c>
      <c r="T203" s="569" t="s">
        <v>683</v>
      </c>
      <c r="U203" s="569" t="s">
        <v>677</v>
      </c>
      <c r="V203" s="569">
        <v>112.9</v>
      </c>
      <c r="W203" s="569">
        <v>19</v>
      </c>
      <c r="X203" s="568">
        <v>4311</v>
      </c>
      <c r="Y203" s="569">
        <v>21</v>
      </c>
      <c r="Z203" s="581" t="s">
        <v>666</v>
      </c>
      <c r="AA203" s="581" t="s">
        <v>178</v>
      </c>
      <c r="AB203" s="585">
        <v>30505</v>
      </c>
      <c r="AC203" s="585" t="s">
        <v>164</v>
      </c>
      <c r="AD203" s="585">
        <v>28439.770833333336</v>
      </c>
      <c r="AE203" s="587">
        <v>0.03</v>
      </c>
      <c r="AF203" s="661" t="str">
        <f t="shared" si="21"/>
        <v>2019-PPV-FRD-PISD-003-05</v>
      </c>
      <c r="AG203" s="661" t="str">
        <f>IF(AND($Y203&gt;=32,(AI203="I"),(Y203&lt;&gt;"~"),(COUNTIF($AN$1:$AN203,$AN203)=1)),"TRUE","FALSE")</f>
        <v>FALSE</v>
      </c>
      <c r="AH203" s="661" t="str">
        <f>IF(AND($Y203&gt;=22, (AI203&lt;&gt;"I"),(Y203&lt;&gt;"~"),(COUNTIF($AN$1:$AN203,$AN203)=1)),"TRUE","FALSE")</f>
        <v>FALSE</v>
      </c>
      <c r="AI203" s="661" t="str">
        <f t="shared" si="20"/>
        <v>I</v>
      </c>
      <c r="AJ203" s="662" t="str">
        <f t="shared" si="22"/>
        <v>PISD-003</v>
      </c>
      <c r="AK203" s="662" t="str">
        <f t="shared" si="23"/>
        <v>PPV</v>
      </c>
      <c r="AL203" s="662" t="str">
        <f t="shared" si="24"/>
        <v>FRD</v>
      </c>
      <c r="AM203" s="662" t="str">
        <f t="shared" si="18"/>
        <v>PI Sedan-Police Interceptor-AWD-5-~-~-3.7L-6-P2M,99K-500A-112.9-19-Unleaded -Unleaded</v>
      </c>
      <c r="AN203" s="662" t="str">
        <f t="shared" si="25"/>
        <v>2019-PPV-FRD-PISD-003</v>
      </c>
    </row>
    <row r="204" spans="1:40" ht="15">
      <c r="A204" s="570" t="s">
        <v>679</v>
      </c>
      <c r="B204" s="569" t="s">
        <v>680</v>
      </c>
      <c r="C204" s="573" t="s">
        <v>269</v>
      </c>
      <c r="D204" s="578" t="s">
        <v>270</v>
      </c>
      <c r="E204" s="573" t="s">
        <v>643</v>
      </c>
      <c r="F204" s="573" t="s">
        <v>644</v>
      </c>
      <c r="G204" s="573" t="s">
        <v>271</v>
      </c>
      <c r="H204" s="573">
        <v>2019</v>
      </c>
      <c r="I204" s="573" t="s">
        <v>674</v>
      </c>
      <c r="J204" s="573" t="s">
        <v>681</v>
      </c>
      <c r="K204" s="573" t="s">
        <v>230</v>
      </c>
      <c r="L204" s="573">
        <v>5</v>
      </c>
      <c r="M204" s="573">
        <v>0</v>
      </c>
      <c r="N204" s="573" t="s">
        <v>157</v>
      </c>
      <c r="O204" s="573">
        <v>2</v>
      </c>
      <c r="P204" s="573" t="s">
        <v>157</v>
      </c>
      <c r="Q204" s="571" t="s">
        <v>157</v>
      </c>
      <c r="R204" s="573" t="s">
        <v>682</v>
      </c>
      <c r="S204" s="573">
        <v>6</v>
      </c>
      <c r="T204" s="573" t="s">
        <v>683</v>
      </c>
      <c r="U204" s="573" t="s">
        <v>677</v>
      </c>
      <c r="V204" s="573">
        <v>112.9</v>
      </c>
      <c r="W204" s="573">
        <v>19</v>
      </c>
      <c r="X204" s="571">
        <v>4311</v>
      </c>
      <c r="Y204" s="573">
        <v>21</v>
      </c>
      <c r="Z204" s="579" t="s">
        <v>178</v>
      </c>
      <c r="AA204" s="579" t="s">
        <v>178</v>
      </c>
      <c r="AB204" s="584">
        <v>30505</v>
      </c>
      <c r="AC204" s="584" t="s">
        <v>164</v>
      </c>
      <c r="AD204" s="584">
        <v>28439.770833333336</v>
      </c>
      <c r="AE204" s="586">
        <v>0.03</v>
      </c>
      <c r="AF204" s="661" t="str">
        <f t="shared" si="21"/>
        <v>2019-PPV-FRD-PISD-003-05</v>
      </c>
      <c r="AG204" s="661" t="str">
        <f>IF(AND($Y204&gt;=32,(AI204="I"),(Y204&lt;&gt;"~"),(COUNTIF($AN$1:$AN204,$AN204)=1)),"TRUE","FALSE")</f>
        <v>FALSE</v>
      </c>
      <c r="AH204" s="661" t="str">
        <f>IF(AND($Y204&gt;=22, (AI204&lt;&gt;"I"),(Y204&lt;&gt;"~"),(COUNTIF($AN$1:$AN204,$AN204)=1)),"TRUE","FALSE")</f>
        <v>FALSE</v>
      </c>
      <c r="AI204" s="661" t="str">
        <f t="shared" si="20"/>
        <v>I</v>
      </c>
      <c r="AJ204" s="662" t="str">
        <f t="shared" si="22"/>
        <v>PISD-003</v>
      </c>
      <c r="AK204" s="662" t="str">
        <f t="shared" si="23"/>
        <v>PPV</v>
      </c>
      <c r="AL204" s="662" t="str">
        <f t="shared" si="24"/>
        <v>FRD</v>
      </c>
      <c r="AM204" s="662" t="str">
        <f t="shared" si="18"/>
        <v>PI Sedan-Police Interceptor-AWD-5-~-~-3.7L-6-P2M,99K-500A-112.9-19-Unleaded-Unleaded</v>
      </c>
      <c r="AN204" s="662" t="str">
        <f t="shared" si="25"/>
        <v>2019-PPV-FRD-PISD-003</v>
      </c>
    </row>
    <row r="205" spans="1:40" ht="15">
      <c r="A205" s="570" t="s">
        <v>684</v>
      </c>
      <c r="B205" s="573" t="s">
        <v>680</v>
      </c>
      <c r="C205" s="569" t="s">
        <v>287</v>
      </c>
      <c r="D205" s="580">
        <v>26</v>
      </c>
      <c r="E205" s="569" t="s">
        <v>643</v>
      </c>
      <c r="F205" s="569" t="s">
        <v>644</v>
      </c>
      <c r="G205" s="569" t="s">
        <v>271</v>
      </c>
      <c r="H205" s="569">
        <v>2019</v>
      </c>
      <c r="I205" s="569" t="s">
        <v>674</v>
      </c>
      <c r="J205" s="569" t="s">
        <v>681</v>
      </c>
      <c r="K205" s="569" t="s">
        <v>230</v>
      </c>
      <c r="L205" s="569">
        <v>5</v>
      </c>
      <c r="M205" s="569">
        <v>0</v>
      </c>
      <c r="N205" s="569" t="s">
        <v>157</v>
      </c>
      <c r="O205" s="569">
        <v>2</v>
      </c>
      <c r="P205" s="569" t="s">
        <v>157</v>
      </c>
      <c r="Q205" s="568" t="s">
        <v>157</v>
      </c>
      <c r="R205" s="569" t="s">
        <v>682</v>
      </c>
      <c r="S205" s="569">
        <v>6</v>
      </c>
      <c r="T205" s="569" t="s">
        <v>683</v>
      </c>
      <c r="U205" s="569" t="s">
        <v>677</v>
      </c>
      <c r="V205" s="569">
        <v>112.9</v>
      </c>
      <c r="W205" s="569">
        <v>19</v>
      </c>
      <c r="X205" s="568">
        <v>4311</v>
      </c>
      <c r="Y205" s="569">
        <v>21</v>
      </c>
      <c r="Z205" s="581" t="s">
        <v>178</v>
      </c>
      <c r="AA205" s="581" t="s">
        <v>178</v>
      </c>
      <c r="AB205" s="585">
        <v>30505</v>
      </c>
      <c r="AC205" s="585" t="s">
        <v>164</v>
      </c>
      <c r="AD205" s="585">
        <v>28940</v>
      </c>
      <c r="AE205" s="587">
        <v>0.05</v>
      </c>
      <c r="AF205" s="661" t="str">
        <f t="shared" si="21"/>
        <v>2019-PPV-FRD-PISD-003-26</v>
      </c>
      <c r="AG205" s="661" t="str">
        <f>IF(AND($Y205&gt;=32,(AI205="I"),(Y205&lt;&gt;"~"),(COUNTIF($AN$1:$AN205,$AN205)=1)),"TRUE","FALSE")</f>
        <v>FALSE</v>
      </c>
      <c r="AH205" s="661" t="str">
        <f>IF(AND($Y205&gt;=22, (AI205&lt;&gt;"I"),(Y205&lt;&gt;"~"),(COUNTIF($AN$1:$AN205,$AN205)=1)),"TRUE","FALSE")</f>
        <v>FALSE</v>
      </c>
      <c r="AI205" s="661" t="str">
        <f t="shared" si="20"/>
        <v>I</v>
      </c>
      <c r="AJ205" s="662" t="str">
        <f t="shared" si="22"/>
        <v>PISD-003</v>
      </c>
      <c r="AK205" s="662" t="str">
        <f t="shared" si="23"/>
        <v>PPV</v>
      </c>
      <c r="AL205" s="662" t="str">
        <f t="shared" si="24"/>
        <v>FRD</v>
      </c>
      <c r="AM205" s="662" t="str">
        <f t="shared" si="18"/>
        <v>PI Sedan-Police Interceptor-AWD-5-~-~-3.7L-6-P2M,99K-500A-112.9-19-Unleaded-Unleaded</v>
      </c>
      <c r="AN205" s="662" t="str">
        <f t="shared" si="25"/>
        <v>2019-PPV-FRD-PISD-003</v>
      </c>
    </row>
    <row r="206" spans="1:40" ht="15">
      <c r="A206" s="570" t="s">
        <v>685</v>
      </c>
      <c r="B206" s="569" t="s">
        <v>680</v>
      </c>
      <c r="C206" s="573" t="s">
        <v>280</v>
      </c>
      <c r="D206" s="578">
        <v>27</v>
      </c>
      <c r="E206" s="573" t="s">
        <v>643</v>
      </c>
      <c r="F206" s="573" t="s">
        <v>644</v>
      </c>
      <c r="G206" s="573" t="s">
        <v>271</v>
      </c>
      <c r="H206" s="573">
        <v>2019</v>
      </c>
      <c r="I206" s="573" t="s">
        <v>674</v>
      </c>
      <c r="J206" s="573" t="s">
        <v>681</v>
      </c>
      <c r="K206" s="573" t="s">
        <v>230</v>
      </c>
      <c r="L206" s="573">
        <v>5</v>
      </c>
      <c r="M206" s="573">
        <v>0</v>
      </c>
      <c r="N206" s="573" t="s">
        <v>157</v>
      </c>
      <c r="O206" s="573">
        <v>2</v>
      </c>
      <c r="P206" s="573" t="s">
        <v>157</v>
      </c>
      <c r="Q206" s="571" t="s">
        <v>157</v>
      </c>
      <c r="R206" s="573" t="s">
        <v>682</v>
      </c>
      <c r="S206" s="573">
        <v>6</v>
      </c>
      <c r="T206" s="573" t="s">
        <v>683</v>
      </c>
      <c r="U206" s="573" t="s">
        <v>677</v>
      </c>
      <c r="V206" s="573">
        <v>112.9</v>
      </c>
      <c r="W206" s="573">
        <v>19</v>
      </c>
      <c r="X206" s="571">
        <v>4311</v>
      </c>
      <c r="Y206" s="573">
        <v>21</v>
      </c>
      <c r="Z206" s="579" t="s">
        <v>666</v>
      </c>
      <c r="AA206" s="579" t="s">
        <v>178</v>
      </c>
      <c r="AB206" s="584">
        <v>30505</v>
      </c>
      <c r="AC206" s="584" t="s">
        <v>164</v>
      </c>
      <c r="AD206" s="584">
        <v>28439.770833333336</v>
      </c>
      <c r="AE206" s="586">
        <v>0.03</v>
      </c>
      <c r="AF206" s="661" t="str">
        <f t="shared" si="21"/>
        <v>2019-PPV-FRD-PISD-003-27</v>
      </c>
      <c r="AG206" s="661" t="str">
        <f>IF(AND($Y206&gt;=32,(AI206="I"),(Y206&lt;&gt;"~"),(COUNTIF($AN$1:$AN206,$AN206)=1)),"TRUE","FALSE")</f>
        <v>FALSE</v>
      </c>
      <c r="AH206" s="661" t="str">
        <f>IF(AND($Y206&gt;=22, (AI206&lt;&gt;"I"),(Y206&lt;&gt;"~"),(COUNTIF($AN$1:$AN206,$AN206)=1)),"TRUE","FALSE")</f>
        <v>FALSE</v>
      </c>
      <c r="AI206" s="661" t="str">
        <f t="shared" si="20"/>
        <v>I</v>
      </c>
      <c r="AJ206" s="662" t="str">
        <f t="shared" si="22"/>
        <v>PISD-003</v>
      </c>
      <c r="AK206" s="662" t="str">
        <f t="shared" si="23"/>
        <v>PPV</v>
      </c>
      <c r="AL206" s="662" t="str">
        <f t="shared" si="24"/>
        <v>FRD</v>
      </c>
      <c r="AM206" s="662" t="str">
        <f t="shared" si="18"/>
        <v>PI Sedan-Police Interceptor-AWD-5-~-~-3.7L-6-P2M,99K-500A-112.9-19-Unleaded -Unleaded</v>
      </c>
      <c r="AN206" s="662" t="str">
        <f t="shared" si="25"/>
        <v>2019-PPV-FRD-PISD-003</v>
      </c>
    </row>
    <row r="207" spans="1:40" ht="15">
      <c r="A207" s="570" t="s">
        <v>685</v>
      </c>
      <c r="B207" s="573" t="s">
        <v>680</v>
      </c>
      <c r="C207" s="569" t="s">
        <v>280</v>
      </c>
      <c r="D207" s="580">
        <v>27</v>
      </c>
      <c r="E207" s="569" t="s">
        <v>643</v>
      </c>
      <c r="F207" s="569" t="s">
        <v>644</v>
      </c>
      <c r="G207" s="569" t="s">
        <v>271</v>
      </c>
      <c r="H207" s="569">
        <v>2019</v>
      </c>
      <c r="I207" s="569" t="s">
        <v>674</v>
      </c>
      <c r="J207" s="569" t="s">
        <v>681</v>
      </c>
      <c r="K207" s="569" t="s">
        <v>230</v>
      </c>
      <c r="L207" s="569">
        <v>5</v>
      </c>
      <c r="M207" s="569">
        <v>0</v>
      </c>
      <c r="N207" s="569" t="s">
        <v>157</v>
      </c>
      <c r="O207" s="569">
        <v>2</v>
      </c>
      <c r="P207" s="569" t="s">
        <v>157</v>
      </c>
      <c r="Q207" s="568" t="s">
        <v>157</v>
      </c>
      <c r="R207" s="569" t="s">
        <v>682</v>
      </c>
      <c r="S207" s="569">
        <v>6</v>
      </c>
      <c r="T207" s="569" t="s">
        <v>683</v>
      </c>
      <c r="U207" s="569" t="s">
        <v>677</v>
      </c>
      <c r="V207" s="569">
        <v>112.9</v>
      </c>
      <c r="W207" s="569">
        <v>19</v>
      </c>
      <c r="X207" s="568">
        <v>4311</v>
      </c>
      <c r="Y207" s="569">
        <v>21</v>
      </c>
      <c r="Z207" s="581" t="s">
        <v>178</v>
      </c>
      <c r="AA207" s="581" t="s">
        <v>178</v>
      </c>
      <c r="AB207" s="585">
        <v>30505</v>
      </c>
      <c r="AC207" s="585" t="s">
        <v>164</v>
      </c>
      <c r="AD207" s="585">
        <v>28439.770833333336</v>
      </c>
      <c r="AE207" s="587">
        <v>0.03</v>
      </c>
      <c r="AF207" s="661" t="str">
        <f t="shared" si="21"/>
        <v>2019-PPV-FRD-PISD-003-27</v>
      </c>
      <c r="AG207" s="661" t="str">
        <f>IF(AND($Y207&gt;=32,(AI207="I"),(Y207&lt;&gt;"~"),(COUNTIF($AN$1:$AN207,$AN207)=1)),"TRUE","FALSE")</f>
        <v>FALSE</v>
      </c>
      <c r="AH207" s="661" t="str">
        <f>IF(AND($Y207&gt;=22, (AI207&lt;&gt;"I"),(Y207&lt;&gt;"~"),(COUNTIF($AN$1:$AN207,$AN207)=1)),"TRUE","FALSE")</f>
        <v>FALSE</v>
      </c>
      <c r="AI207" s="661" t="str">
        <f t="shared" si="20"/>
        <v>I</v>
      </c>
      <c r="AJ207" s="662" t="str">
        <f t="shared" si="22"/>
        <v>PISD-003</v>
      </c>
      <c r="AK207" s="662" t="str">
        <f t="shared" si="23"/>
        <v>PPV</v>
      </c>
      <c r="AL207" s="662" t="str">
        <f t="shared" si="24"/>
        <v>FRD</v>
      </c>
      <c r="AM207" s="662" t="str">
        <f t="shared" si="18"/>
        <v>PI Sedan-Police Interceptor-AWD-5-~-~-3.7L-6-P2M,99K-500A-112.9-19-Unleaded-Unleaded</v>
      </c>
      <c r="AN207" s="662" t="str">
        <f t="shared" si="25"/>
        <v>2019-PPV-FRD-PISD-003</v>
      </c>
    </row>
    <row r="208" spans="1:40" ht="15">
      <c r="A208" s="570" t="s">
        <v>686</v>
      </c>
      <c r="B208" s="569" t="s">
        <v>687</v>
      </c>
      <c r="C208" s="573" t="s">
        <v>269</v>
      </c>
      <c r="D208" s="578" t="s">
        <v>270</v>
      </c>
      <c r="E208" s="573" t="s">
        <v>643</v>
      </c>
      <c r="F208" s="573" t="s">
        <v>644</v>
      </c>
      <c r="G208" s="573" t="s">
        <v>271</v>
      </c>
      <c r="H208" s="573">
        <v>2019</v>
      </c>
      <c r="I208" s="573" t="s">
        <v>674</v>
      </c>
      <c r="J208" s="573" t="s">
        <v>681</v>
      </c>
      <c r="K208" s="573" t="s">
        <v>156</v>
      </c>
      <c r="L208" s="573">
        <v>5</v>
      </c>
      <c r="M208" s="573">
        <v>0</v>
      </c>
      <c r="N208" s="573" t="s">
        <v>157</v>
      </c>
      <c r="O208" s="573">
        <v>2</v>
      </c>
      <c r="P208" s="573" t="s">
        <v>157</v>
      </c>
      <c r="Q208" s="571" t="s">
        <v>157</v>
      </c>
      <c r="R208" s="573" t="s">
        <v>316</v>
      </c>
      <c r="S208" s="573">
        <v>6</v>
      </c>
      <c r="T208" s="573" t="s">
        <v>688</v>
      </c>
      <c r="U208" s="573" t="s">
        <v>677</v>
      </c>
      <c r="V208" s="573">
        <v>112.9</v>
      </c>
      <c r="W208" s="573">
        <v>19</v>
      </c>
      <c r="X208" s="571">
        <v>4212</v>
      </c>
      <c r="Y208" s="573">
        <v>21</v>
      </c>
      <c r="Z208" s="579" t="s">
        <v>666</v>
      </c>
      <c r="AA208" s="579" t="s">
        <v>178</v>
      </c>
      <c r="AB208" s="584">
        <v>29355</v>
      </c>
      <c r="AC208" s="584" t="s">
        <v>164</v>
      </c>
      <c r="AD208" s="584">
        <v>27388.729166666668</v>
      </c>
      <c r="AE208" s="586">
        <v>0.03</v>
      </c>
      <c r="AF208" s="661" t="str">
        <f t="shared" si="21"/>
        <v>2019-PPV-FRD-PISD-004-05</v>
      </c>
      <c r="AG208" s="661" t="str">
        <f>IF(AND($Y208&gt;=32,(AI208="I"),(Y208&lt;&gt;"~"),(COUNTIF($AN$1:$AN208,$AN208)=1)),"TRUE","FALSE")</f>
        <v>FALSE</v>
      </c>
      <c r="AH208" s="661" t="str">
        <f>IF(AND($Y208&gt;=22, (AI208&lt;&gt;"I"),(Y208&lt;&gt;"~"),(COUNTIF($AN$1:$AN208,$AN208)=1)),"TRUE","FALSE")</f>
        <v>FALSE</v>
      </c>
      <c r="AI208" s="661" t="str">
        <f t="shared" si="20"/>
        <v>I</v>
      </c>
      <c r="AJ208" s="662" t="str">
        <f t="shared" si="22"/>
        <v>PISD-004</v>
      </c>
      <c r="AK208" s="662" t="str">
        <f t="shared" si="23"/>
        <v>PPV</v>
      </c>
      <c r="AL208" s="662" t="str">
        <f t="shared" si="24"/>
        <v>FRD</v>
      </c>
      <c r="AM208" s="662" t="str">
        <f t="shared" si="18"/>
        <v>PI Sedan-Police Interceptor-FWD-5-~-~-3.5L-6-P2L,998-500A-112.9-19-Unleaded -Unleaded</v>
      </c>
      <c r="AN208" s="662" t="str">
        <f t="shared" si="25"/>
        <v>2019-PPV-FRD-PISD-004</v>
      </c>
    </row>
    <row r="209" spans="1:40" ht="15">
      <c r="A209" s="570" t="s">
        <v>686</v>
      </c>
      <c r="B209" s="573" t="s">
        <v>687</v>
      </c>
      <c r="C209" s="569" t="s">
        <v>269</v>
      </c>
      <c r="D209" s="580" t="s">
        <v>270</v>
      </c>
      <c r="E209" s="569" t="s">
        <v>643</v>
      </c>
      <c r="F209" s="569" t="s">
        <v>644</v>
      </c>
      <c r="G209" s="569" t="s">
        <v>271</v>
      </c>
      <c r="H209" s="569">
        <v>2019</v>
      </c>
      <c r="I209" s="569" t="s">
        <v>674</v>
      </c>
      <c r="J209" s="569" t="s">
        <v>681</v>
      </c>
      <c r="K209" s="569" t="s">
        <v>156</v>
      </c>
      <c r="L209" s="569">
        <v>5</v>
      </c>
      <c r="M209" s="569">
        <v>0</v>
      </c>
      <c r="N209" s="569" t="s">
        <v>157</v>
      </c>
      <c r="O209" s="569">
        <v>2</v>
      </c>
      <c r="P209" s="569" t="s">
        <v>157</v>
      </c>
      <c r="Q209" s="568" t="s">
        <v>157</v>
      </c>
      <c r="R209" s="569" t="s">
        <v>316</v>
      </c>
      <c r="S209" s="569">
        <v>6</v>
      </c>
      <c r="T209" s="569" t="s">
        <v>688</v>
      </c>
      <c r="U209" s="569" t="s">
        <v>677</v>
      </c>
      <c r="V209" s="569">
        <v>112.9</v>
      </c>
      <c r="W209" s="569">
        <v>19</v>
      </c>
      <c r="X209" s="568">
        <v>4212</v>
      </c>
      <c r="Y209" s="569">
        <v>21</v>
      </c>
      <c r="Z209" s="581" t="s">
        <v>178</v>
      </c>
      <c r="AA209" s="581" t="s">
        <v>178</v>
      </c>
      <c r="AB209" s="585">
        <v>29355</v>
      </c>
      <c r="AC209" s="585" t="s">
        <v>164</v>
      </c>
      <c r="AD209" s="585">
        <v>27388.729166666668</v>
      </c>
      <c r="AE209" s="587">
        <v>0.03</v>
      </c>
      <c r="AF209" s="661" t="str">
        <f t="shared" si="21"/>
        <v>2019-PPV-FRD-PISD-004-05</v>
      </c>
      <c r="AG209" s="661" t="str">
        <f>IF(AND($Y209&gt;=32,(AI209="I"),(Y209&lt;&gt;"~"),(COUNTIF($AN$1:$AN209,$AN209)=1)),"TRUE","FALSE")</f>
        <v>FALSE</v>
      </c>
      <c r="AH209" s="661" t="str">
        <f>IF(AND($Y209&gt;=22, (AI209&lt;&gt;"I"),(Y209&lt;&gt;"~"),(COUNTIF($AN$1:$AN209,$AN209)=1)),"TRUE","FALSE")</f>
        <v>FALSE</v>
      </c>
      <c r="AI209" s="661" t="str">
        <f t="shared" si="20"/>
        <v>I</v>
      </c>
      <c r="AJ209" s="662" t="str">
        <f t="shared" si="22"/>
        <v>PISD-004</v>
      </c>
      <c r="AK209" s="662" t="str">
        <f t="shared" si="23"/>
        <v>PPV</v>
      </c>
      <c r="AL209" s="662" t="str">
        <f t="shared" si="24"/>
        <v>FRD</v>
      </c>
      <c r="AM209" s="662" t="str">
        <f t="shared" si="18"/>
        <v>PI Sedan-Police Interceptor-FWD-5-~-~-3.5L-6-P2L,998-500A-112.9-19-Unleaded-Unleaded</v>
      </c>
      <c r="AN209" s="662" t="str">
        <f t="shared" si="25"/>
        <v>2019-PPV-FRD-PISD-004</v>
      </c>
    </row>
    <row r="210" spans="1:40" ht="15">
      <c r="A210" s="570" t="s">
        <v>689</v>
      </c>
      <c r="B210" s="569" t="s">
        <v>687</v>
      </c>
      <c r="C210" s="573" t="s">
        <v>287</v>
      </c>
      <c r="D210" s="578">
        <v>26</v>
      </c>
      <c r="E210" s="573" t="s">
        <v>643</v>
      </c>
      <c r="F210" s="573" t="s">
        <v>644</v>
      </c>
      <c r="G210" s="573" t="s">
        <v>271</v>
      </c>
      <c r="H210" s="573">
        <v>2019</v>
      </c>
      <c r="I210" s="573" t="s">
        <v>674</v>
      </c>
      <c r="J210" s="573" t="s">
        <v>681</v>
      </c>
      <c r="K210" s="573" t="s">
        <v>156</v>
      </c>
      <c r="L210" s="573">
        <v>5</v>
      </c>
      <c r="M210" s="573">
        <v>0</v>
      </c>
      <c r="N210" s="573" t="s">
        <v>157</v>
      </c>
      <c r="O210" s="573">
        <v>2</v>
      </c>
      <c r="P210" s="573" t="s">
        <v>157</v>
      </c>
      <c r="Q210" s="571" t="s">
        <v>157</v>
      </c>
      <c r="R210" s="573" t="s">
        <v>316</v>
      </c>
      <c r="S210" s="573">
        <v>6</v>
      </c>
      <c r="T210" s="573" t="s">
        <v>688</v>
      </c>
      <c r="U210" s="573" t="s">
        <v>677</v>
      </c>
      <c r="V210" s="573">
        <v>112.9</v>
      </c>
      <c r="W210" s="573">
        <v>19</v>
      </c>
      <c r="X210" s="571">
        <v>4212</v>
      </c>
      <c r="Y210" s="573">
        <v>21</v>
      </c>
      <c r="Z210" s="579" t="s">
        <v>178</v>
      </c>
      <c r="AA210" s="579" t="s">
        <v>178</v>
      </c>
      <c r="AB210" s="584">
        <v>29355</v>
      </c>
      <c r="AC210" s="584" t="s">
        <v>164</v>
      </c>
      <c r="AD210" s="584">
        <v>27858</v>
      </c>
      <c r="AE210" s="586">
        <v>0.05</v>
      </c>
      <c r="AF210" s="661" t="str">
        <f t="shared" si="21"/>
        <v>2019-PPV-FRD-PISD-004-26</v>
      </c>
      <c r="AG210" s="661" t="str">
        <f>IF(AND($Y210&gt;=32,(AI210="I"),(Y210&lt;&gt;"~"),(COUNTIF($AN$1:$AN210,$AN210)=1)),"TRUE","FALSE")</f>
        <v>FALSE</v>
      </c>
      <c r="AH210" s="661" t="str">
        <f>IF(AND($Y210&gt;=22, (AI210&lt;&gt;"I"),(Y210&lt;&gt;"~"),(COUNTIF($AN$1:$AN210,$AN210)=1)),"TRUE","FALSE")</f>
        <v>FALSE</v>
      </c>
      <c r="AI210" s="661" t="str">
        <f t="shared" si="20"/>
        <v>I</v>
      </c>
      <c r="AJ210" s="662" t="str">
        <f t="shared" si="22"/>
        <v>PISD-004</v>
      </c>
      <c r="AK210" s="662" t="str">
        <f t="shared" si="23"/>
        <v>PPV</v>
      </c>
      <c r="AL210" s="662" t="str">
        <f t="shared" si="24"/>
        <v>FRD</v>
      </c>
      <c r="AM210" s="662" t="str">
        <f t="shared" si="18"/>
        <v>PI Sedan-Police Interceptor-FWD-5-~-~-3.5L-6-P2L,998-500A-112.9-19-Unleaded-Unleaded</v>
      </c>
      <c r="AN210" s="662" t="str">
        <f t="shared" si="25"/>
        <v>2019-PPV-FRD-PISD-004</v>
      </c>
    </row>
    <row r="211" spans="1:40" ht="15">
      <c r="A211" s="570" t="s">
        <v>690</v>
      </c>
      <c r="B211" s="573" t="s">
        <v>687</v>
      </c>
      <c r="C211" s="569" t="s">
        <v>280</v>
      </c>
      <c r="D211" s="580">
        <v>27</v>
      </c>
      <c r="E211" s="569" t="s">
        <v>643</v>
      </c>
      <c r="F211" s="569" t="s">
        <v>644</v>
      </c>
      <c r="G211" s="569" t="s">
        <v>271</v>
      </c>
      <c r="H211" s="569">
        <v>2019</v>
      </c>
      <c r="I211" s="569" t="s">
        <v>674</v>
      </c>
      <c r="J211" s="569" t="s">
        <v>681</v>
      </c>
      <c r="K211" s="569" t="s">
        <v>156</v>
      </c>
      <c r="L211" s="569">
        <v>5</v>
      </c>
      <c r="M211" s="569">
        <v>0</v>
      </c>
      <c r="N211" s="569" t="s">
        <v>157</v>
      </c>
      <c r="O211" s="569">
        <v>2</v>
      </c>
      <c r="P211" s="569" t="s">
        <v>157</v>
      </c>
      <c r="Q211" s="568" t="s">
        <v>157</v>
      </c>
      <c r="R211" s="569" t="s">
        <v>316</v>
      </c>
      <c r="S211" s="569">
        <v>6</v>
      </c>
      <c r="T211" s="569" t="s">
        <v>688</v>
      </c>
      <c r="U211" s="569" t="s">
        <v>677</v>
      </c>
      <c r="V211" s="569">
        <v>112.9</v>
      </c>
      <c r="W211" s="569">
        <v>19</v>
      </c>
      <c r="X211" s="568">
        <v>4212</v>
      </c>
      <c r="Y211" s="569">
        <v>21</v>
      </c>
      <c r="Z211" s="581" t="s">
        <v>666</v>
      </c>
      <c r="AA211" s="581" t="s">
        <v>178</v>
      </c>
      <c r="AB211" s="585">
        <v>29355</v>
      </c>
      <c r="AC211" s="585" t="s">
        <v>164</v>
      </c>
      <c r="AD211" s="585">
        <v>27388.729166666668</v>
      </c>
      <c r="AE211" s="587">
        <v>0.03</v>
      </c>
      <c r="AF211" s="661" t="str">
        <f t="shared" si="21"/>
        <v>2019-PPV-FRD-PISD-004-27</v>
      </c>
      <c r="AG211" s="661" t="str">
        <f>IF(AND($Y211&gt;=32,(AI211="I"),(Y211&lt;&gt;"~"),(COUNTIF($AN$1:$AN211,$AN211)=1)),"TRUE","FALSE")</f>
        <v>FALSE</v>
      </c>
      <c r="AH211" s="661" t="str">
        <f>IF(AND($Y211&gt;=22, (AI211&lt;&gt;"I"),(Y211&lt;&gt;"~"),(COUNTIF($AN$1:$AN211,$AN211)=1)),"TRUE","FALSE")</f>
        <v>FALSE</v>
      </c>
      <c r="AI211" s="661" t="str">
        <f t="shared" si="20"/>
        <v>I</v>
      </c>
      <c r="AJ211" s="662" t="str">
        <f t="shared" si="22"/>
        <v>PISD-004</v>
      </c>
      <c r="AK211" s="662" t="str">
        <f t="shared" si="23"/>
        <v>PPV</v>
      </c>
      <c r="AL211" s="662" t="str">
        <f t="shared" si="24"/>
        <v>FRD</v>
      </c>
      <c r="AM211" s="662" t="str">
        <f t="shared" si="18"/>
        <v>PI Sedan-Police Interceptor-FWD-5-~-~-3.5L-6-P2L,998-500A-112.9-19-Unleaded -Unleaded</v>
      </c>
      <c r="AN211" s="662" t="str">
        <f t="shared" si="25"/>
        <v>2019-PPV-FRD-PISD-004</v>
      </c>
    </row>
    <row r="212" spans="1:40" ht="15">
      <c r="A212" s="570" t="s">
        <v>690</v>
      </c>
      <c r="B212" s="569" t="s">
        <v>687</v>
      </c>
      <c r="C212" s="573" t="s">
        <v>280</v>
      </c>
      <c r="D212" s="578">
        <v>27</v>
      </c>
      <c r="E212" s="573" t="s">
        <v>643</v>
      </c>
      <c r="F212" s="573" t="s">
        <v>644</v>
      </c>
      <c r="G212" s="573" t="s">
        <v>271</v>
      </c>
      <c r="H212" s="573">
        <v>2019</v>
      </c>
      <c r="I212" s="573" t="s">
        <v>674</v>
      </c>
      <c r="J212" s="573" t="s">
        <v>681</v>
      </c>
      <c r="K212" s="573" t="s">
        <v>156</v>
      </c>
      <c r="L212" s="573">
        <v>5</v>
      </c>
      <c r="M212" s="573">
        <v>0</v>
      </c>
      <c r="N212" s="573" t="s">
        <v>157</v>
      </c>
      <c r="O212" s="573">
        <v>2</v>
      </c>
      <c r="P212" s="573" t="s">
        <v>157</v>
      </c>
      <c r="Q212" s="571" t="s">
        <v>157</v>
      </c>
      <c r="R212" s="573" t="s">
        <v>316</v>
      </c>
      <c r="S212" s="573">
        <v>6</v>
      </c>
      <c r="T212" s="573" t="s">
        <v>688</v>
      </c>
      <c r="U212" s="573" t="s">
        <v>677</v>
      </c>
      <c r="V212" s="573">
        <v>112.9</v>
      </c>
      <c r="W212" s="573">
        <v>19</v>
      </c>
      <c r="X212" s="571">
        <v>4212</v>
      </c>
      <c r="Y212" s="573">
        <v>21</v>
      </c>
      <c r="Z212" s="579" t="s">
        <v>178</v>
      </c>
      <c r="AA212" s="579" t="s">
        <v>178</v>
      </c>
      <c r="AB212" s="584">
        <v>29355</v>
      </c>
      <c r="AC212" s="584" t="s">
        <v>164</v>
      </c>
      <c r="AD212" s="584">
        <v>27388.729166666668</v>
      </c>
      <c r="AE212" s="586">
        <v>0.03</v>
      </c>
      <c r="AF212" s="661" t="str">
        <f t="shared" si="21"/>
        <v>2019-PPV-FRD-PISD-004-27</v>
      </c>
      <c r="AG212" s="661" t="str">
        <f>IF(AND($Y212&gt;=32,(AI212="I"),(Y212&lt;&gt;"~"),(COUNTIF($AN$1:$AN3485,$AN212)=1)),"TRUE","FALSE")</f>
        <v>FALSE</v>
      </c>
      <c r="AH212" s="661" t="str">
        <f>IF(AND($Y212&gt;=22, (AI212&lt;&gt;"I"),(Y212&lt;&gt;"~"),(COUNTIF($AN$1:$AN3485,$AN212)=1)),"TRUE","FALSE")</f>
        <v>FALSE</v>
      </c>
      <c r="AI212" s="661" t="str">
        <f t="shared" si="20"/>
        <v>I</v>
      </c>
      <c r="AJ212" s="662" t="str">
        <f t="shared" si="22"/>
        <v>PISD-004</v>
      </c>
      <c r="AK212" s="662" t="str">
        <f t="shared" si="23"/>
        <v>PPV</v>
      </c>
      <c r="AL212" s="662" t="str">
        <f t="shared" si="24"/>
        <v>FRD</v>
      </c>
      <c r="AM212" s="662" t="str">
        <f t="shared" si="18"/>
        <v>PI Sedan-Police Interceptor-FWD-5-~-~-3.5L-6-P2L,998-500A-112.9-19-Unleaded-Unleaded</v>
      </c>
      <c r="AN212" s="662" t="str">
        <f t="shared" si="25"/>
        <v>2019-PPV-FRD-PISD-004</v>
      </c>
    </row>
    <row r="213" spans="1:40" ht="15">
      <c r="A213" s="570" t="s">
        <v>691</v>
      </c>
      <c r="B213" s="573" t="s">
        <v>692</v>
      </c>
      <c r="C213" s="569" t="s">
        <v>269</v>
      </c>
      <c r="D213" s="580" t="s">
        <v>270</v>
      </c>
      <c r="E213" s="569" t="s">
        <v>693</v>
      </c>
      <c r="F213" s="569" t="s">
        <v>694</v>
      </c>
      <c r="G213" s="569" t="s">
        <v>271</v>
      </c>
      <c r="H213" s="569">
        <v>2019</v>
      </c>
      <c r="I213" s="569" t="s">
        <v>350</v>
      </c>
      <c r="J213" s="569" t="s">
        <v>695</v>
      </c>
      <c r="K213" s="569" t="s">
        <v>156</v>
      </c>
      <c r="L213" s="569">
        <v>5</v>
      </c>
      <c r="M213" s="569">
        <v>0</v>
      </c>
      <c r="N213" s="569" t="s">
        <v>157</v>
      </c>
      <c r="O213" s="569">
        <v>2</v>
      </c>
      <c r="P213" s="569" t="s">
        <v>157</v>
      </c>
      <c r="Q213" s="568" t="s">
        <v>157</v>
      </c>
      <c r="R213" s="569" t="s">
        <v>352</v>
      </c>
      <c r="S213" s="569">
        <v>4</v>
      </c>
      <c r="T213" s="569" t="s">
        <v>670</v>
      </c>
      <c r="U213" s="569" t="s">
        <v>671</v>
      </c>
      <c r="V213" s="569">
        <v>112.2</v>
      </c>
      <c r="W213" s="569">
        <v>14</v>
      </c>
      <c r="X213" s="568">
        <v>3639</v>
      </c>
      <c r="Y213" s="569">
        <v>42</v>
      </c>
      <c r="Z213" s="581" t="s">
        <v>178</v>
      </c>
      <c r="AA213" s="581" t="s">
        <v>163</v>
      </c>
      <c r="AB213" s="585">
        <v>36515</v>
      </c>
      <c r="AC213" s="585" t="s">
        <v>164</v>
      </c>
      <c r="AD213" s="585">
        <v>32207.645833333336</v>
      </c>
      <c r="AE213" s="587">
        <v>0.03</v>
      </c>
      <c r="AF213" s="661" t="str">
        <f t="shared" si="21"/>
        <v>2019-SSV-FRD-FUSN-016-05</v>
      </c>
      <c r="AG213" s="661" t="str">
        <f>IF(AND($Y213&gt;=32,(AI213="I"),(Y213&lt;&gt;"~"),(COUNTIF($AN$1:$AN213,$AN213)=1)),"TRUE","FALSE")</f>
        <v>TRUE</v>
      </c>
      <c r="AH213" s="661" t="str">
        <f>IF(AND($Y213&gt;=22, (AI213&lt;&gt;"I"),(Y213&lt;&gt;"~"),(COUNTIF($AN$1:$AN213,$AN213)=1)),"TRUE","FALSE")</f>
        <v>FALSE</v>
      </c>
      <c r="AI213" s="661" t="str">
        <f t="shared" si="20"/>
        <v>I</v>
      </c>
      <c r="AJ213" s="662" t="str">
        <f t="shared" si="22"/>
        <v>FUSN-016</v>
      </c>
      <c r="AK213" s="662" t="str">
        <f t="shared" si="23"/>
        <v>SSV</v>
      </c>
      <c r="AL213" s="662" t="str">
        <f t="shared" si="24"/>
        <v>FRD</v>
      </c>
      <c r="AM213" s="662" t="str">
        <f t="shared" si="18"/>
        <v>Fusion-SSV Plug-In-FWD-5-~-~-2.0L-4-P0W-910A-112.2-14-Unleaded-Electric</v>
      </c>
      <c r="AN213" s="662" t="str">
        <f t="shared" si="25"/>
        <v>2019-SSV-FRD-FUSN-016</v>
      </c>
    </row>
    <row r="214" spans="1:40" ht="15">
      <c r="A214" s="570" t="s">
        <v>696</v>
      </c>
      <c r="B214" s="569" t="s">
        <v>692</v>
      </c>
      <c r="C214" s="573" t="s">
        <v>280</v>
      </c>
      <c r="D214" s="578">
        <v>27</v>
      </c>
      <c r="E214" s="573" t="s">
        <v>693</v>
      </c>
      <c r="F214" s="573" t="s">
        <v>694</v>
      </c>
      <c r="G214" s="573" t="s">
        <v>271</v>
      </c>
      <c r="H214" s="573">
        <v>2019</v>
      </c>
      <c r="I214" s="573" t="s">
        <v>350</v>
      </c>
      <c r="J214" s="573" t="s">
        <v>695</v>
      </c>
      <c r="K214" s="573" t="s">
        <v>156</v>
      </c>
      <c r="L214" s="573">
        <v>5</v>
      </c>
      <c r="M214" s="573">
        <v>0</v>
      </c>
      <c r="N214" s="573" t="s">
        <v>157</v>
      </c>
      <c r="O214" s="573">
        <v>2</v>
      </c>
      <c r="P214" s="573" t="s">
        <v>157</v>
      </c>
      <c r="Q214" s="571" t="s">
        <v>157</v>
      </c>
      <c r="R214" s="573" t="s">
        <v>352</v>
      </c>
      <c r="S214" s="573">
        <v>4</v>
      </c>
      <c r="T214" s="573" t="s">
        <v>670</v>
      </c>
      <c r="U214" s="573" t="s">
        <v>671</v>
      </c>
      <c r="V214" s="573">
        <v>112.2</v>
      </c>
      <c r="W214" s="573">
        <v>14</v>
      </c>
      <c r="X214" s="571">
        <v>3639</v>
      </c>
      <c r="Y214" s="573">
        <v>42</v>
      </c>
      <c r="Z214" s="579" t="s">
        <v>178</v>
      </c>
      <c r="AA214" s="579" t="s">
        <v>163</v>
      </c>
      <c r="AB214" s="584">
        <v>36515</v>
      </c>
      <c r="AC214" s="584" t="s">
        <v>164</v>
      </c>
      <c r="AD214" s="584">
        <v>32207.645833333336</v>
      </c>
      <c r="AE214" s="586">
        <v>0.03</v>
      </c>
      <c r="AF214" s="661" t="str">
        <f t="shared" si="21"/>
        <v>2019-SSV-FRD-FUSN-016-27</v>
      </c>
      <c r="AG214" s="661" t="str">
        <f>IF(AND($Y214&gt;=32,(AI214="I"),(Y214&lt;&gt;"~"),(COUNTIF($AN$1:$AN3473,$AN214)=1)),"TRUE","FALSE")</f>
        <v>FALSE</v>
      </c>
      <c r="AH214" s="661" t="str">
        <f>IF(AND($Y214&gt;=22, (AI214&lt;&gt;"I"),(Y214&lt;&gt;"~"),(COUNTIF($AN$1:$AN3473,$AN214)=1)),"TRUE","FALSE")</f>
        <v>FALSE</v>
      </c>
      <c r="AI214" s="661" t="str">
        <f t="shared" si="20"/>
        <v>I</v>
      </c>
      <c r="AJ214" s="662" t="str">
        <f t="shared" si="22"/>
        <v>FUSN-016</v>
      </c>
      <c r="AK214" s="662" t="str">
        <f t="shared" si="23"/>
        <v>SSV</v>
      </c>
      <c r="AL214" s="662" t="str">
        <f t="shared" si="24"/>
        <v>FRD</v>
      </c>
      <c r="AM214" s="662" t="str">
        <f t="shared" si="18"/>
        <v>Fusion-SSV Plug-In-FWD-5-~-~-2.0L-4-P0W-910A-112.2-14-Unleaded-Electric</v>
      </c>
      <c r="AN214" s="662" t="str">
        <f t="shared" si="25"/>
        <v>2019-SSV-FRD-FUSN-016</v>
      </c>
    </row>
    <row r="215" spans="1:40" s="572" customFormat="1" ht="15">
      <c r="A215" s="570" t="s">
        <v>697</v>
      </c>
      <c r="B215" s="573" t="s">
        <v>698</v>
      </c>
      <c r="C215" s="573" t="s">
        <v>169</v>
      </c>
      <c r="D215" s="578">
        <v>11</v>
      </c>
      <c r="E215" s="573" t="s">
        <v>699</v>
      </c>
      <c r="F215" s="573" t="s">
        <v>196</v>
      </c>
      <c r="G215" s="573" t="s">
        <v>153</v>
      </c>
      <c r="H215" s="573">
        <v>2019</v>
      </c>
      <c r="I215" s="573" t="s">
        <v>700</v>
      </c>
      <c r="J215" s="573" t="s">
        <v>161</v>
      </c>
      <c r="K215" s="573" t="s">
        <v>230</v>
      </c>
      <c r="L215" s="573">
        <v>5</v>
      </c>
      <c r="M215" s="573">
        <v>0</v>
      </c>
      <c r="N215" s="573" t="s">
        <v>157</v>
      </c>
      <c r="O215" s="573">
        <v>2</v>
      </c>
      <c r="P215" s="573" t="s">
        <v>157</v>
      </c>
      <c r="Q215" s="571" t="s">
        <v>157</v>
      </c>
      <c r="R215" s="573" t="s">
        <v>231</v>
      </c>
      <c r="S215" s="573">
        <v>6</v>
      </c>
      <c r="T215" s="573" t="s">
        <v>701</v>
      </c>
      <c r="U215" s="573" t="s">
        <v>161</v>
      </c>
      <c r="V215" s="573">
        <v>112.7</v>
      </c>
      <c r="W215" s="573">
        <v>21.7</v>
      </c>
      <c r="X215" s="571">
        <v>4210</v>
      </c>
      <c r="Y215" s="573">
        <v>21</v>
      </c>
      <c r="Z215" s="579" t="s">
        <v>178</v>
      </c>
      <c r="AA215" s="579" t="s">
        <v>178</v>
      </c>
      <c r="AB215" s="584">
        <v>37195</v>
      </c>
      <c r="AC215" s="584" t="s">
        <v>164</v>
      </c>
      <c r="AD215" s="584">
        <v>36479.15</v>
      </c>
      <c r="AE215" s="586">
        <v>0.05</v>
      </c>
      <c r="AF215" s="661" t="str">
        <f t="shared" si="21"/>
        <v>2019-SUV-CHV-BLZR-001-11</v>
      </c>
      <c r="AG215" s="661" t="str">
        <f>IF(AND($Y215&gt;=32,(AI215="I"),(Y215&lt;&gt;"~"),(COUNTIF($AN$1:$AN215,$AN215)=1)),"TRUE","FALSE")</f>
        <v>FALSE</v>
      </c>
      <c r="AH215" s="661" t="str">
        <f>IF(AND($Y215&gt;=22, (AI215&lt;&gt;"I"),(Y215&lt;&gt;"~"),(COUNTIF($AN$1:$AN215,$AN215)=1)),"TRUE","FALSE")</f>
        <v>FALSE</v>
      </c>
      <c r="AI215" s="661" t="str">
        <f t="shared" si="20"/>
        <v>II</v>
      </c>
      <c r="AJ215" s="662" t="str">
        <f t="shared" si="22"/>
        <v>BLZR-001</v>
      </c>
      <c r="AK215" s="662" t="str">
        <f t="shared" si="23"/>
        <v>SUV</v>
      </c>
      <c r="AL215" s="662" t="str">
        <f t="shared" si="24"/>
        <v>CHV</v>
      </c>
      <c r="AM215" s="662" t="str">
        <f t="shared" si="18"/>
        <v>Blazer-2LT-AWD-5-~-~-3.6L-6-1NR26-2LT-112.7-21.7-Unleaded-Unleaded</v>
      </c>
      <c r="AN215" s="662" t="str">
        <f t="shared" si="25"/>
        <v>2019-SUV-CHV-BLZR-001</v>
      </c>
    </row>
    <row r="216" spans="1:40" s="572" customFormat="1" ht="15">
      <c r="A216" s="570" t="s">
        <v>702</v>
      </c>
      <c r="B216" s="569" t="s">
        <v>703</v>
      </c>
      <c r="C216" s="569" t="s">
        <v>169</v>
      </c>
      <c r="D216" s="580">
        <v>11</v>
      </c>
      <c r="E216" s="569" t="s">
        <v>699</v>
      </c>
      <c r="F216" s="569" t="s">
        <v>196</v>
      </c>
      <c r="G216" s="569" t="s">
        <v>153</v>
      </c>
      <c r="H216" s="569">
        <v>2019</v>
      </c>
      <c r="I216" s="569" t="s">
        <v>700</v>
      </c>
      <c r="J216" s="569" t="s">
        <v>612</v>
      </c>
      <c r="K216" s="569" t="s">
        <v>156</v>
      </c>
      <c r="L216" s="569">
        <v>5</v>
      </c>
      <c r="M216" s="569">
        <v>0</v>
      </c>
      <c r="N216" s="569" t="s">
        <v>157</v>
      </c>
      <c r="O216" s="569">
        <v>2</v>
      </c>
      <c r="P216" s="569" t="s">
        <v>157</v>
      </c>
      <c r="Q216" s="568" t="s">
        <v>157</v>
      </c>
      <c r="R216" s="569" t="s">
        <v>189</v>
      </c>
      <c r="S216" s="569">
        <v>4</v>
      </c>
      <c r="T216" s="569" t="s">
        <v>704</v>
      </c>
      <c r="U216" s="569" t="s">
        <v>612</v>
      </c>
      <c r="V216" s="569">
        <v>112.7</v>
      </c>
      <c r="W216" s="569">
        <v>21.7</v>
      </c>
      <c r="X216" s="568">
        <v>3782</v>
      </c>
      <c r="Y216" s="569">
        <v>24</v>
      </c>
      <c r="Z216" s="581" t="s">
        <v>178</v>
      </c>
      <c r="AA216" s="581" t="s">
        <v>178</v>
      </c>
      <c r="AB216" s="585">
        <v>29995</v>
      </c>
      <c r="AC216" s="585" t="s">
        <v>164</v>
      </c>
      <c r="AD216" s="585">
        <v>29899</v>
      </c>
      <c r="AE216" s="587">
        <v>0.05</v>
      </c>
      <c r="AF216" s="661" t="str">
        <f t="shared" si="21"/>
        <v>2019-SUV-CHV-BLZR-002-11</v>
      </c>
      <c r="AG216" s="661" t="str">
        <f>IF(AND($Y216&gt;=32,(AI216="I"),(Y216&lt;&gt;"~"),(COUNTIF($AN$1:$AN216,$AN216)=1)),"TRUE","FALSE")</f>
        <v>FALSE</v>
      </c>
      <c r="AH216" s="661" t="str">
        <f>IF(AND($Y216&gt;=22, (AI216&lt;&gt;"I"),(Y216&lt;&gt;"~"),(COUNTIF($AN$1:$AN216,$AN216)=1)),"TRUE","FALSE")</f>
        <v>TRUE</v>
      </c>
      <c r="AI216" s="661" t="str">
        <f t="shared" si="20"/>
        <v>II</v>
      </c>
      <c r="AJ216" s="662" t="str">
        <f t="shared" si="22"/>
        <v>BLZR-002</v>
      </c>
      <c r="AK216" s="662" t="str">
        <f t="shared" si="23"/>
        <v>SUV</v>
      </c>
      <c r="AL216" s="662" t="str">
        <f t="shared" si="24"/>
        <v>CHV</v>
      </c>
      <c r="AM216" s="662" t="str">
        <f t="shared" si="18"/>
        <v>Blazer-L-FWD-5-~-~-2.5L-4-1NH26-L-112.7-21.7-Unleaded-Unleaded</v>
      </c>
      <c r="AN216" s="662" t="str">
        <f t="shared" si="25"/>
        <v>2019-SUV-CHV-BLZR-002</v>
      </c>
    </row>
    <row r="217" spans="1:40" s="572" customFormat="1" ht="15">
      <c r="A217" s="570" t="s">
        <v>705</v>
      </c>
      <c r="B217" s="573" t="s">
        <v>706</v>
      </c>
      <c r="C217" s="573" t="s">
        <v>169</v>
      </c>
      <c r="D217" s="578">
        <v>11</v>
      </c>
      <c r="E217" s="573" t="s">
        <v>699</v>
      </c>
      <c r="F217" s="573" t="s">
        <v>196</v>
      </c>
      <c r="G217" s="573" t="s">
        <v>153</v>
      </c>
      <c r="H217" s="573">
        <v>2019</v>
      </c>
      <c r="I217" s="573" t="s">
        <v>700</v>
      </c>
      <c r="J217" s="573" t="s">
        <v>155</v>
      </c>
      <c r="K217" s="573" t="s">
        <v>156</v>
      </c>
      <c r="L217" s="573">
        <v>5</v>
      </c>
      <c r="M217" s="573">
        <v>0</v>
      </c>
      <c r="N217" s="573" t="s">
        <v>157</v>
      </c>
      <c r="O217" s="573">
        <v>2</v>
      </c>
      <c r="P217" s="573" t="s">
        <v>157</v>
      </c>
      <c r="Q217" s="571" t="s">
        <v>157</v>
      </c>
      <c r="R217" s="573" t="s">
        <v>189</v>
      </c>
      <c r="S217" s="573">
        <v>4</v>
      </c>
      <c r="T217" s="573" t="s">
        <v>707</v>
      </c>
      <c r="U217" s="573" t="s">
        <v>155</v>
      </c>
      <c r="V217" s="573">
        <v>112.7</v>
      </c>
      <c r="W217" s="573">
        <v>21.7</v>
      </c>
      <c r="X217" s="571">
        <v>3782</v>
      </c>
      <c r="Y217" s="573">
        <v>24</v>
      </c>
      <c r="Z217" s="579" t="s">
        <v>178</v>
      </c>
      <c r="AA217" s="579" t="s">
        <v>178</v>
      </c>
      <c r="AB217" s="584">
        <v>33495</v>
      </c>
      <c r="AC217" s="584" t="s">
        <v>164</v>
      </c>
      <c r="AD217" s="584">
        <v>32890.15</v>
      </c>
      <c r="AE217" s="586">
        <v>0.05</v>
      </c>
      <c r="AF217" s="661" t="str">
        <f t="shared" si="21"/>
        <v>2019-SUV-CHV-BLZR-003-11</v>
      </c>
      <c r="AG217" s="661" t="str">
        <f>IF(AND($Y217&gt;=32,(AI217="I"),(Y217&lt;&gt;"~"),(COUNTIF($AN$1:$AN217,$AN217)=1)),"TRUE","FALSE")</f>
        <v>FALSE</v>
      </c>
      <c r="AH217" s="661" t="str">
        <f>IF(AND($Y217&gt;=22, (AI217&lt;&gt;"I"),(Y217&lt;&gt;"~"),(COUNTIF($AN$1:$AN217,$AN217)=1)),"TRUE","FALSE")</f>
        <v>TRUE</v>
      </c>
      <c r="AI217" s="661" t="str">
        <f t="shared" si="20"/>
        <v>II</v>
      </c>
      <c r="AJ217" s="662" t="str">
        <f t="shared" si="22"/>
        <v>BLZR-003</v>
      </c>
      <c r="AK217" s="662" t="str">
        <f t="shared" si="23"/>
        <v>SUV</v>
      </c>
      <c r="AL217" s="662" t="str">
        <f t="shared" si="24"/>
        <v>CHV</v>
      </c>
      <c r="AM217" s="662" t="str">
        <f t="shared" si="18"/>
        <v>Blazer-LT-FWD-5-~-~-2.5L-4-1NK26-LT-112.7-21.7-Unleaded-Unleaded</v>
      </c>
      <c r="AN217" s="662" t="str">
        <f t="shared" si="25"/>
        <v>2019-SUV-CHV-BLZR-003</v>
      </c>
    </row>
    <row r="218" spans="1:40" s="572" customFormat="1" ht="15">
      <c r="A218" s="570" t="s">
        <v>708</v>
      </c>
      <c r="B218" s="569" t="s">
        <v>709</v>
      </c>
      <c r="C218" s="569" t="s">
        <v>169</v>
      </c>
      <c r="D218" s="580">
        <v>11</v>
      </c>
      <c r="E218" s="569" t="s">
        <v>699</v>
      </c>
      <c r="F218" s="569" t="s">
        <v>196</v>
      </c>
      <c r="G218" s="569" t="s">
        <v>153</v>
      </c>
      <c r="H218" s="569">
        <v>2019</v>
      </c>
      <c r="I218" s="569" t="s">
        <v>700</v>
      </c>
      <c r="J218" s="569" t="s">
        <v>710</v>
      </c>
      <c r="K218" s="569" t="s">
        <v>230</v>
      </c>
      <c r="L218" s="569">
        <v>5</v>
      </c>
      <c r="M218" s="569">
        <v>0</v>
      </c>
      <c r="N218" s="569" t="s">
        <v>157</v>
      </c>
      <c r="O218" s="569">
        <v>2</v>
      </c>
      <c r="P218" s="569" t="s">
        <v>157</v>
      </c>
      <c r="Q218" s="568" t="s">
        <v>157</v>
      </c>
      <c r="R218" s="569" t="s">
        <v>231</v>
      </c>
      <c r="S218" s="569">
        <v>6</v>
      </c>
      <c r="T218" s="569" t="s">
        <v>711</v>
      </c>
      <c r="U218" s="569" t="s">
        <v>710</v>
      </c>
      <c r="V218" s="569">
        <v>112.7</v>
      </c>
      <c r="W218" s="569">
        <v>21.7</v>
      </c>
      <c r="X218" s="568">
        <v>4210</v>
      </c>
      <c r="Y218" s="569">
        <v>21</v>
      </c>
      <c r="Z218" s="581" t="s">
        <v>178</v>
      </c>
      <c r="AA218" s="581" t="s">
        <v>178</v>
      </c>
      <c r="AB218" s="585">
        <v>46795</v>
      </c>
      <c r="AC218" s="585" t="s">
        <v>164</v>
      </c>
      <c r="AD218" s="585">
        <v>45791.15</v>
      </c>
      <c r="AE218" s="587">
        <v>0.05</v>
      </c>
      <c r="AF218" s="661" t="str">
        <f t="shared" si="21"/>
        <v>2019-SUV-CHV-BLZR-004-11</v>
      </c>
      <c r="AG218" s="661" t="str">
        <f>IF(AND($Y218&gt;=32,(AI218="I"),(Y218&lt;&gt;"~"),(COUNTIF($AN$1:$AN218,$AN218)=1)),"TRUE","FALSE")</f>
        <v>FALSE</v>
      </c>
      <c r="AH218" s="661" t="str">
        <f>IF(AND($Y218&gt;=22, (AI218&lt;&gt;"I"),(Y218&lt;&gt;"~"),(COUNTIF($AN$1:$AN218,$AN218)=1)),"TRUE","FALSE")</f>
        <v>FALSE</v>
      </c>
      <c r="AI218" s="661" t="str">
        <f t="shared" si="20"/>
        <v>II</v>
      </c>
      <c r="AJ218" s="662" t="str">
        <f t="shared" si="22"/>
        <v>BLZR-004</v>
      </c>
      <c r="AK218" s="662" t="str">
        <f t="shared" si="23"/>
        <v>SUV</v>
      </c>
      <c r="AL218" s="662" t="str">
        <f t="shared" si="24"/>
        <v>CHV</v>
      </c>
      <c r="AM218" s="662" t="str">
        <f t="shared" si="18"/>
        <v>Blazer-Premier-AWD-5-~-~-3.6L-6-1NT26-Premier-112.7-21.7-Unleaded-Unleaded</v>
      </c>
      <c r="AN218" s="662" t="str">
        <f t="shared" si="25"/>
        <v>2019-SUV-CHV-BLZR-004</v>
      </c>
    </row>
    <row r="219" spans="1:40" s="572" customFormat="1" ht="15">
      <c r="A219" s="570" t="s">
        <v>712</v>
      </c>
      <c r="B219" s="573" t="s">
        <v>713</v>
      </c>
      <c r="C219" s="573" t="s">
        <v>169</v>
      </c>
      <c r="D219" s="578">
        <v>11</v>
      </c>
      <c r="E219" s="573" t="s">
        <v>699</v>
      </c>
      <c r="F219" s="573" t="s">
        <v>196</v>
      </c>
      <c r="G219" s="573" t="s">
        <v>153</v>
      </c>
      <c r="H219" s="573">
        <v>2019</v>
      </c>
      <c r="I219" s="573" t="s">
        <v>700</v>
      </c>
      <c r="J219" s="573" t="s">
        <v>710</v>
      </c>
      <c r="K219" s="573" t="s">
        <v>156</v>
      </c>
      <c r="L219" s="573">
        <v>5</v>
      </c>
      <c r="M219" s="573">
        <v>0</v>
      </c>
      <c r="N219" s="573" t="s">
        <v>157</v>
      </c>
      <c r="O219" s="573">
        <v>2</v>
      </c>
      <c r="P219" s="573" t="s">
        <v>157</v>
      </c>
      <c r="Q219" s="571" t="s">
        <v>157</v>
      </c>
      <c r="R219" s="573" t="s">
        <v>231</v>
      </c>
      <c r="S219" s="573">
        <v>6</v>
      </c>
      <c r="T219" s="573" t="s">
        <v>714</v>
      </c>
      <c r="U219" s="573" t="s">
        <v>710</v>
      </c>
      <c r="V219" s="573">
        <v>112.7</v>
      </c>
      <c r="W219" s="573">
        <v>21.7</v>
      </c>
      <c r="X219" s="571">
        <v>3782</v>
      </c>
      <c r="Y219" s="573">
        <v>24</v>
      </c>
      <c r="Z219" s="579" t="s">
        <v>178</v>
      </c>
      <c r="AA219" s="579" t="s">
        <v>178</v>
      </c>
      <c r="AB219" s="584">
        <v>43895</v>
      </c>
      <c r="AC219" s="584" t="s">
        <v>164</v>
      </c>
      <c r="AD219" s="584">
        <v>42978.15</v>
      </c>
      <c r="AE219" s="586">
        <v>0.05</v>
      </c>
      <c r="AF219" s="661" t="str">
        <f t="shared" si="21"/>
        <v>2019-SUV-CHV-BLZR-005-11</v>
      </c>
      <c r="AG219" s="661" t="str">
        <f>IF(AND($Y219&gt;=32,(AI219="I"),(Y219&lt;&gt;"~"),(COUNTIF($AN$1:$AN219,$AN219)=1)),"TRUE","FALSE")</f>
        <v>FALSE</v>
      </c>
      <c r="AH219" s="661" t="str">
        <f>IF(AND($Y219&gt;=22, (AI219&lt;&gt;"I"),(Y219&lt;&gt;"~"),(COUNTIF($AN$1:$AN219,$AN219)=1)),"TRUE","FALSE")</f>
        <v>TRUE</v>
      </c>
      <c r="AI219" s="661" t="str">
        <f t="shared" si="20"/>
        <v>II</v>
      </c>
      <c r="AJ219" s="662" t="str">
        <f t="shared" si="22"/>
        <v>BLZR-005</v>
      </c>
      <c r="AK219" s="662" t="str">
        <f t="shared" si="23"/>
        <v>SUV</v>
      </c>
      <c r="AL219" s="662" t="str">
        <f t="shared" si="24"/>
        <v>CHV</v>
      </c>
      <c r="AM219" s="662" t="str">
        <f t="shared" ref="AM219:AM282" si="26">CONCATENATE(I219,"-",J219,"-",K219,"-",L219,"-",P219,"-",Q219,"-",R219,"-",S219,"-",T219,"-",U219,"-",V219,"-",W219,"-",Z219,"-",AA219)</f>
        <v>Blazer-Premier-FWD-5-~-~-3.6L-6-1NM26-Premier-112.7-21.7-Unleaded-Unleaded</v>
      </c>
      <c r="AN219" s="662" t="str">
        <f t="shared" si="25"/>
        <v>2019-SUV-CHV-BLZR-005</v>
      </c>
    </row>
    <row r="220" spans="1:40" s="572" customFormat="1" ht="15">
      <c r="A220" s="570" t="s">
        <v>715</v>
      </c>
      <c r="B220" s="569" t="s">
        <v>716</v>
      </c>
      <c r="C220" s="569" t="s">
        <v>169</v>
      </c>
      <c r="D220" s="580">
        <v>11</v>
      </c>
      <c r="E220" s="569" t="s">
        <v>699</v>
      </c>
      <c r="F220" s="569" t="s">
        <v>196</v>
      </c>
      <c r="G220" s="569" t="s">
        <v>153</v>
      </c>
      <c r="H220" s="569">
        <v>2019</v>
      </c>
      <c r="I220" s="569" t="s">
        <v>700</v>
      </c>
      <c r="J220" s="569" t="s">
        <v>717</v>
      </c>
      <c r="K220" s="569" t="s">
        <v>230</v>
      </c>
      <c r="L220" s="569">
        <v>5</v>
      </c>
      <c r="M220" s="569">
        <v>0</v>
      </c>
      <c r="N220" s="569" t="s">
        <v>157</v>
      </c>
      <c r="O220" s="569">
        <v>2</v>
      </c>
      <c r="P220" s="569" t="s">
        <v>157</v>
      </c>
      <c r="Q220" s="568" t="s">
        <v>157</v>
      </c>
      <c r="R220" s="569" t="s">
        <v>231</v>
      </c>
      <c r="S220" s="569">
        <v>6</v>
      </c>
      <c r="T220" s="569" t="s">
        <v>718</v>
      </c>
      <c r="U220" s="569" t="s">
        <v>717</v>
      </c>
      <c r="V220" s="569">
        <v>112.7</v>
      </c>
      <c r="W220" s="569">
        <v>21.7</v>
      </c>
      <c r="X220" s="568">
        <v>4210</v>
      </c>
      <c r="Y220" s="569">
        <v>21</v>
      </c>
      <c r="Z220" s="581" t="s">
        <v>178</v>
      </c>
      <c r="AA220" s="581" t="s">
        <v>178</v>
      </c>
      <c r="AB220" s="585">
        <v>44695</v>
      </c>
      <c r="AC220" s="585" t="s">
        <v>164</v>
      </c>
      <c r="AD220" s="585">
        <v>43754.15</v>
      </c>
      <c r="AE220" s="587">
        <v>0.05</v>
      </c>
      <c r="AF220" s="661" t="str">
        <f t="shared" si="21"/>
        <v>2019-SUV-CHV-BLZR-006-11</v>
      </c>
      <c r="AG220" s="661" t="str">
        <f>IF(AND($Y220&gt;=32,(AI220="I"),(Y220&lt;&gt;"~"),(COUNTIF($AN$1:$AN220,$AN220)=1)),"TRUE","FALSE")</f>
        <v>FALSE</v>
      </c>
      <c r="AH220" s="661" t="str">
        <f>IF(AND($Y220&gt;=22, (AI220&lt;&gt;"I"),(Y220&lt;&gt;"~"),(COUNTIF($AN$1:$AN220,$AN220)=1)),"TRUE","FALSE")</f>
        <v>FALSE</v>
      </c>
      <c r="AI220" s="661" t="str">
        <f t="shared" ref="AI220:AI283" si="27">IF(OR((LEFT($E220,2)="01"),AND(LEFT($E220,2)="06",ISNUMBER(SEARCH("pas",$F220))),AND(LEFT($E220,2)="05",ISNUMBER(SEARCH("pas",$F220)))),"I",IF(AND((LEFT($E220,2)&lt;&gt;"01"),$X220&lt;=10000),"II",IF(AND((LEFT($E220,2)&lt;&gt;"01"),$X220&gt;10000),"N/A")))</f>
        <v>II</v>
      </c>
      <c r="AJ220" s="662" t="str">
        <f t="shared" si="22"/>
        <v>BLZR-006</v>
      </c>
      <c r="AK220" s="662" t="str">
        <f t="shared" si="23"/>
        <v>SUV</v>
      </c>
      <c r="AL220" s="662" t="str">
        <f t="shared" si="24"/>
        <v>CHV</v>
      </c>
      <c r="AM220" s="662" t="str">
        <f t="shared" si="26"/>
        <v>Blazer-RS-AWD-5-~-~-3.6L-6-1NS26-RS-112.7-21.7-Unleaded-Unleaded</v>
      </c>
      <c r="AN220" s="662" t="str">
        <f t="shared" si="25"/>
        <v>2019-SUV-CHV-BLZR-006</v>
      </c>
    </row>
    <row r="221" spans="1:40" s="572" customFormat="1" ht="15">
      <c r="A221" s="570" t="s">
        <v>719</v>
      </c>
      <c r="B221" s="573" t="s">
        <v>720</v>
      </c>
      <c r="C221" s="573" t="s">
        <v>169</v>
      </c>
      <c r="D221" s="578">
        <v>11</v>
      </c>
      <c r="E221" s="573" t="s">
        <v>699</v>
      </c>
      <c r="F221" s="573" t="s">
        <v>196</v>
      </c>
      <c r="G221" s="573" t="s">
        <v>153</v>
      </c>
      <c r="H221" s="573">
        <v>2019</v>
      </c>
      <c r="I221" s="573" t="s">
        <v>700</v>
      </c>
      <c r="J221" s="573" t="s">
        <v>717</v>
      </c>
      <c r="K221" s="573" t="s">
        <v>156</v>
      </c>
      <c r="L221" s="573">
        <v>5</v>
      </c>
      <c r="M221" s="573">
        <v>0</v>
      </c>
      <c r="N221" s="573" t="s">
        <v>157</v>
      </c>
      <c r="O221" s="573">
        <v>2</v>
      </c>
      <c r="P221" s="573" t="s">
        <v>157</v>
      </c>
      <c r="Q221" s="571" t="s">
        <v>157</v>
      </c>
      <c r="R221" s="573" t="s">
        <v>231</v>
      </c>
      <c r="S221" s="573">
        <v>6</v>
      </c>
      <c r="T221" s="573" t="s">
        <v>721</v>
      </c>
      <c r="U221" s="573" t="s">
        <v>717</v>
      </c>
      <c r="V221" s="573">
        <v>112.7</v>
      </c>
      <c r="W221" s="573">
        <v>21.7</v>
      </c>
      <c r="X221" s="571">
        <v>3782</v>
      </c>
      <c r="Y221" s="573">
        <v>24</v>
      </c>
      <c r="Z221" s="579" t="s">
        <v>178</v>
      </c>
      <c r="AA221" s="579" t="s">
        <v>178</v>
      </c>
      <c r="AB221" s="584">
        <v>41795</v>
      </c>
      <c r="AC221" s="584" t="s">
        <v>164</v>
      </c>
      <c r="AD221" s="584">
        <v>40941.15</v>
      </c>
      <c r="AE221" s="586">
        <v>0.05</v>
      </c>
      <c r="AF221" s="661" t="str">
        <f t="shared" si="21"/>
        <v>2019-SUV-CHV-BLZR-007-11</v>
      </c>
      <c r="AG221" s="661" t="str">
        <f>IF(AND($Y221&gt;=32,(AI221="I"),(Y221&lt;&gt;"~"),(COUNTIF($AN$1:$AN221,$AN221)=1)),"TRUE","FALSE")</f>
        <v>FALSE</v>
      </c>
      <c r="AH221" s="661" t="str">
        <f>IF(AND($Y221&gt;=22, (AI221&lt;&gt;"I"),(Y221&lt;&gt;"~"),(COUNTIF($AN$1:$AN221,$AN221)=1)),"TRUE","FALSE")</f>
        <v>TRUE</v>
      </c>
      <c r="AI221" s="661" t="str">
        <f t="shared" si="27"/>
        <v>II</v>
      </c>
      <c r="AJ221" s="662" t="str">
        <f t="shared" si="22"/>
        <v>BLZR-007</v>
      </c>
      <c r="AK221" s="662" t="str">
        <f t="shared" si="23"/>
        <v>SUV</v>
      </c>
      <c r="AL221" s="662" t="str">
        <f t="shared" si="24"/>
        <v>CHV</v>
      </c>
      <c r="AM221" s="662" t="str">
        <f t="shared" si="26"/>
        <v>Blazer-RS-FWD-5-~-~-3.6L-6-1NL26-RS-112.7-21.7-Unleaded-Unleaded</v>
      </c>
      <c r="AN221" s="662" t="str">
        <f t="shared" si="25"/>
        <v>2019-SUV-CHV-BLZR-007</v>
      </c>
    </row>
    <row r="222" spans="1:40" s="572" customFormat="1" ht="15">
      <c r="A222" s="570" t="s">
        <v>722</v>
      </c>
      <c r="B222" s="569" t="s">
        <v>723</v>
      </c>
      <c r="C222" s="569" t="s">
        <v>169</v>
      </c>
      <c r="D222" s="580">
        <v>11</v>
      </c>
      <c r="E222" s="569" t="s">
        <v>699</v>
      </c>
      <c r="F222" s="569" t="s">
        <v>152</v>
      </c>
      <c r="G222" s="569" t="s">
        <v>153</v>
      </c>
      <c r="H222" s="569">
        <v>2019</v>
      </c>
      <c r="I222" s="569" t="s">
        <v>724</v>
      </c>
      <c r="J222" s="569" t="s">
        <v>725</v>
      </c>
      <c r="K222" s="569" t="s">
        <v>230</v>
      </c>
      <c r="L222" s="569">
        <v>5</v>
      </c>
      <c r="M222" s="569">
        <v>0</v>
      </c>
      <c r="N222" s="569" t="s">
        <v>157</v>
      </c>
      <c r="O222" s="569">
        <v>2</v>
      </c>
      <c r="P222" s="569" t="s">
        <v>157</v>
      </c>
      <c r="Q222" s="568" t="s">
        <v>157</v>
      </c>
      <c r="R222" s="569" t="s">
        <v>726</v>
      </c>
      <c r="S222" s="569">
        <v>4</v>
      </c>
      <c r="T222" s="569" t="s">
        <v>727</v>
      </c>
      <c r="U222" s="569" t="s">
        <v>725</v>
      </c>
      <c r="V222" s="569">
        <v>107.3</v>
      </c>
      <c r="W222" s="569">
        <v>14.9</v>
      </c>
      <c r="X222" s="568">
        <v>4850</v>
      </c>
      <c r="Y222" s="569">
        <v>32</v>
      </c>
      <c r="Z222" s="581" t="s">
        <v>728</v>
      </c>
      <c r="AA222" s="581" t="s">
        <v>728</v>
      </c>
      <c r="AB222" s="585">
        <v>32395</v>
      </c>
      <c r="AC222" s="585" t="s">
        <v>164</v>
      </c>
      <c r="AD222" s="585">
        <v>26675.416666666668</v>
      </c>
      <c r="AE222" s="587">
        <v>0.05</v>
      </c>
      <c r="AF222" s="661" t="str">
        <f t="shared" si="21"/>
        <v>2019-SUV-CHV-EQNX-005-11</v>
      </c>
      <c r="AG222" s="661" t="str">
        <f>IF(AND($Y222&gt;=32,(AI222="I"),(Y222&lt;&gt;"~"),(COUNTIF($AN$1:$AN222,$AN222)=1)),"TRUE","FALSE")</f>
        <v>FALSE</v>
      </c>
      <c r="AH222" s="661" t="str">
        <f>IF(AND($Y222&gt;=22, (AI222&lt;&gt;"I"),(Y222&lt;&gt;"~"),(COUNTIF($AN$1:$AN222,$AN222)=1)),"TRUE","FALSE")</f>
        <v>TRUE</v>
      </c>
      <c r="AI222" s="661" t="str">
        <f t="shared" si="27"/>
        <v>II</v>
      </c>
      <c r="AJ222" s="662" t="str">
        <f t="shared" si="22"/>
        <v>EQNX-005</v>
      </c>
      <c r="AK222" s="662" t="str">
        <f t="shared" si="23"/>
        <v>SUV</v>
      </c>
      <c r="AL222" s="662" t="str">
        <f t="shared" si="24"/>
        <v>CHV</v>
      </c>
      <c r="AM222" s="662" t="str">
        <f t="shared" si="26"/>
        <v>Equinox-3LT-AWD-5-~-~-1.6L Turbo Diesel-4-1XY26-3LT-107.3-14.9-Diesel-Diesel</v>
      </c>
      <c r="AN222" s="662" t="str">
        <f t="shared" si="25"/>
        <v>2019-SUV-CHV-EQNX-005</v>
      </c>
    </row>
    <row r="223" spans="1:40" s="572" customFormat="1" ht="15">
      <c r="A223" s="570" t="s">
        <v>729</v>
      </c>
      <c r="B223" s="573" t="s">
        <v>730</v>
      </c>
      <c r="C223" s="573" t="s">
        <v>169</v>
      </c>
      <c r="D223" s="578">
        <v>11</v>
      </c>
      <c r="E223" s="573" t="s">
        <v>699</v>
      </c>
      <c r="F223" s="573" t="s">
        <v>152</v>
      </c>
      <c r="G223" s="573" t="s">
        <v>153</v>
      </c>
      <c r="H223" s="573">
        <v>2019</v>
      </c>
      <c r="I223" s="573" t="s">
        <v>724</v>
      </c>
      <c r="J223" s="573" t="s">
        <v>174</v>
      </c>
      <c r="K223" s="573" t="s">
        <v>230</v>
      </c>
      <c r="L223" s="573">
        <v>5</v>
      </c>
      <c r="M223" s="573">
        <v>0</v>
      </c>
      <c r="N223" s="573" t="s">
        <v>157</v>
      </c>
      <c r="O223" s="573">
        <v>2</v>
      </c>
      <c r="P223" s="573" t="s">
        <v>157</v>
      </c>
      <c r="Q223" s="571" t="s">
        <v>157</v>
      </c>
      <c r="R223" s="573" t="s">
        <v>205</v>
      </c>
      <c r="S223" s="573">
        <v>4</v>
      </c>
      <c r="T223" s="573" t="s">
        <v>731</v>
      </c>
      <c r="U223" s="573" t="s">
        <v>732</v>
      </c>
      <c r="V223" s="573">
        <v>107.3</v>
      </c>
      <c r="W223" s="573">
        <v>14.9</v>
      </c>
      <c r="X223" s="571">
        <v>4630</v>
      </c>
      <c r="Y223" s="573">
        <v>26</v>
      </c>
      <c r="Z223" s="579" t="s">
        <v>178</v>
      </c>
      <c r="AA223" s="579" t="s">
        <v>178</v>
      </c>
      <c r="AB223" s="584">
        <v>28695</v>
      </c>
      <c r="AC223" s="584" t="s">
        <v>164</v>
      </c>
      <c r="AD223" s="584">
        <v>23365.263157894737</v>
      </c>
      <c r="AE223" s="586">
        <v>0.05</v>
      </c>
      <c r="AF223" s="661" t="str">
        <f t="shared" si="21"/>
        <v>2019-SUV-CHV-EQNX-001-11</v>
      </c>
      <c r="AG223" s="661" t="str">
        <f>IF(AND($Y223&gt;=32,(AI223="I"),(Y223&lt;&gt;"~"),(COUNTIF($AN$1:$AN223,$AN223)=1)),"TRUE","FALSE")</f>
        <v>FALSE</v>
      </c>
      <c r="AH223" s="661" t="str">
        <f>IF(AND($Y223&gt;=22, (AI223&lt;&gt;"I"),(Y223&lt;&gt;"~"),(COUNTIF($AN$1:$AN223,$AN223)=1)),"TRUE","FALSE")</f>
        <v>TRUE</v>
      </c>
      <c r="AI223" s="661" t="str">
        <f t="shared" si="27"/>
        <v>II</v>
      </c>
      <c r="AJ223" s="662" t="str">
        <f t="shared" si="22"/>
        <v>EQNX-001</v>
      </c>
      <c r="AK223" s="662" t="str">
        <f t="shared" si="23"/>
        <v>SUV</v>
      </c>
      <c r="AL223" s="662" t="str">
        <f t="shared" si="24"/>
        <v>CHV</v>
      </c>
      <c r="AM223" s="662" t="str">
        <f t="shared" si="26"/>
        <v>Equinox-LS-AWD-5-~-~-1.5L-4-1XX26-1LS-107.3-14.9-Unleaded-Unleaded</v>
      </c>
      <c r="AN223" s="662" t="str">
        <f t="shared" si="25"/>
        <v>2019-SUV-CHV-EQNX-001</v>
      </c>
    </row>
    <row r="224" spans="1:40" s="572" customFormat="1" ht="15">
      <c r="A224" s="570" t="s">
        <v>733</v>
      </c>
      <c r="B224" s="569" t="s">
        <v>730</v>
      </c>
      <c r="C224" s="569" t="s">
        <v>150</v>
      </c>
      <c r="D224" s="580">
        <v>13</v>
      </c>
      <c r="E224" s="569" t="s">
        <v>699</v>
      </c>
      <c r="F224" s="569" t="s">
        <v>152</v>
      </c>
      <c r="G224" s="569" t="s">
        <v>153</v>
      </c>
      <c r="H224" s="569">
        <v>2019</v>
      </c>
      <c r="I224" s="569" t="s">
        <v>724</v>
      </c>
      <c r="J224" s="569" t="s">
        <v>174</v>
      </c>
      <c r="K224" s="569" t="s">
        <v>230</v>
      </c>
      <c r="L224" s="569">
        <v>5</v>
      </c>
      <c r="M224" s="569">
        <v>0</v>
      </c>
      <c r="N224" s="569" t="s">
        <v>157</v>
      </c>
      <c r="O224" s="569">
        <v>2</v>
      </c>
      <c r="P224" s="569" t="s">
        <v>157</v>
      </c>
      <c r="Q224" s="568" t="s">
        <v>157</v>
      </c>
      <c r="R224" s="569" t="s">
        <v>205</v>
      </c>
      <c r="S224" s="569">
        <v>4</v>
      </c>
      <c r="T224" s="569" t="s">
        <v>731</v>
      </c>
      <c r="U224" s="569" t="s">
        <v>732</v>
      </c>
      <c r="V224" s="569">
        <v>107.3</v>
      </c>
      <c r="W224" s="569">
        <v>14.9</v>
      </c>
      <c r="X224" s="568">
        <v>4630</v>
      </c>
      <c r="Y224" s="569">
        <v>26</v>
      </c>
      <c r="Z224" s="581" t="s">
        <v>178</v>
      </c>
      <c r="AA224" s="581" t="s">
        <v>178</v>
      </c>
      <c r="AB224" s="585">
        <v>28495</v>
      </c>
      <c r="AC224" s="585" t="s">
        <v>164</v>
      </c>
      <c r="AD224" s="585">
        <v>24374</v>
      </c>
      <c r="AE224" s="587">
        <v>0.03</v>
      </c>
      <c r="AF224" s="661" t="str">
        <f t="shared" si="21"/>
        <v>2019-SUV-CHV-EQNX-001-13</v>
      </c>
      <c r="AG224" s="661" t="str">
        <f>IF(AND($Y224&gt;=32,(AI224="I"),(Y224&lt;&gt;"~"),(COUNTIF($AN$1:$AN224,$AN224)=1)),"TRUE","FALSE")</f>
        <v>FALSE</v>
      </c>
      <c r="AH224" s="661" t="str">
        <f>IF(AND($Y224&gt;=22, (AI224&lt;&gt;"I"),(Y224&lt;&gt;"~"),(COUNTIF($AN$1:$AN224,$AN224)=1)),"TRUE","FALSE")</f>
        <v>FALSE</v>
      </c>
      <c r="AI224" s="661" t="str">
        <f t="shared" si="27"/>
        <v>II</v>
      </c>
      <c r="AJ224" s="662" t="str">
        <f t="shared" si="22"/>
        <v>EQNX-001</v>
      </c>
      <c r="AK224" s="662" t="str">
        <f t="shared" si="23"/>
        <v>SUV</v>
      </c>
      <c r="AL224" s="662" t="str">
        <f t="shared" si="24"/>
        <v>CHV</v>
      </c>
      <c r="AM224" s="662" t="str">
        <f t="shared" si="26"/>
        <v>Equinox-LS-AWD-5-~-~-1.5L-4-1XX26-1LS-107.3-14.9-Unleaded-Unleaded</v>
      </c>
      <c r="AN224" s="662" t="str">
        <f t="shared" si="25"/>
        <v>2019-SUV-CHV-EQNX-001</v>
      </c>
    </row>
    <row r="225" spans="1:40" s="572" customFormat="1" ht="15">
      <c r="A225" s="570" t="s">
        <v>734</v>
      </c>
      <c r="B225" s="573" t="s">
        <v>730</v>
      </c>
      <c r="C225" s="573" t="s">
        <v>166</v>
      </c>
      <c r="D225" s="578">
        <v>17</v>
      </c>
      <c r="E225" s="573" t="s">
        <v>699</v>
      </c>
      <c r="F225" s="573" t="s">
        <v>152</v>
      </c>
      <c r="G225" s="573" t="s">
        <v>153</v>
      </c>
      <c r="H225" s="573">
        <v>2019</v>
      </c>
      <c r="I225" s="573" t="s">
        <v>724</v>
      </c>
      <c r="J225" s="573" t="s">
        <v>174</v>
      </c>
      <c r="K225" s="573" t="s">
        <v>230</v>
      </c>
      <c r="L225" s="573">
        <v>5</v>
      </c>
      <c r="M225" s="573">
        <v>0</v>
      </c>
      <c r="N225" s="573" t="s">
        <v>157</v>
      </c>
      <c r="O225" s="573">
        <v>2</v>
      </c>
      <c r="P225" s="573" t="s">
        <v>157</v>
      </c>
      <c r="Q225" s="571" t="s">
        <v>157</v>
      </c>
      <c r="R225" s="573" t="s">
        <v>205</v>
      </c>
      <c r="S225" s="573">
        <v>4</v>
      </c>
      <c r="T225" s="573" t="s">
        <v>731</v>
      </c>
      <c r="U225" s="573" t="s">
        <v>732</v>
      </c>
      <c r="V225" s="573">
        <v>107.3</v>
      </c>
      <c r="W225" s="573">
        <v>14.9</v>
      </c>
      <c r="X225" s="571">
        <v>4630</v>
      </c>
      <c r="Y225" s="573">
        <v>26</v>
      </c>
      <c r="Z225" s="579" t="s">
        <v>178</v>
      </c>
      <c r="AA225" s="579" t="s">
        <v>178</v>
      </c>
      <c r="AB225" s="584">
        <v>28495</v>
      </c>
      <c r="AC225" s="584" t="s">
        <v>164</v>
      </c>
      <c r="AD225" s="584">
        <v>23269.33</v>
      </c>
      <c r="AE225" s="586">
        <v>7.1999999999999995E-2</v>
      </c>
      <c r="AF225" s="661" t="str">
        <f t="shared" si="21"/>
        <v>2019-SUV-CHV-EQNX-001-17</v>
      </c>
      <c r="AG225" s="661" t="str">
        <f>IF(AND($Y225&gt;=32,(AI225="I"),(Y225&lt;&gt;"~"),(COUNTIF($AN$1:$AN225,$AN225)=1)),"TRUE","FALSE")</f>
        <v>FALSE</v>
      </c>
      <c r="AH225" s="661" t="str">
        <f>IF(AND($Y225&gt;=22, (AI225&lt;&gt;"I"),(Y225&lt;&gt;"~"),(COUNTIF($AN$1:$AN225,$AN225)=1)),"TRUE","FALSE")</f>
        <v>FALSE</v>
      </c>
      <c r="AI225" s="661" t="str">
        <f t="shared" si="27"/>
        <v>II</v>
      </c>
      <c r="AJ225" s="662" t="str">
        <f t="shared" si="22"/>
        <v>EQNX-001</v>
      </c>
      <c r="AK225" s="662" t="str">
        <f t="shared" si="23"/>
        <v>SUV</v>
      </c>
      <c r="AL225" s="662" t="str">
        <f t="shared" si="24"/>
        <v>CHV</v>
      </c>
      <c r="AM225" s="662" t="str">
        <f t="shared" si="26"/>
        <v>Equinox-LS-AWD-5-~-~-1.5L-4-1XX26-1LS-107.3-14.9-Unleaded-Unleaded</v>
      </c>
      <c r="AN225" s="662" t="str">
        <f t="shared" si="25"/>
        <v>2019-SUV-CHV-EQNX-001</v>
      </c>
    </row>
    <row r="226" spans="1:40" s="572" customFormat="1" ht="15">
      <c r="A226" s="570" t="s">
        <v>735</v>
      </c>
      <c r="B226" s="569" t="s">
        <v>736</v>
      </c>
      <c r="C226" s="569" t="s">
        <v>169</v>
      </c>
      <c r="D226" s="580">
        <v>11</v>
      </c>
      <c r="E226" s="569" t="s">
        <v>699</v>
      </c>
      <c r="F226" s="569" t="s">
        <v>152</v>
      </c>
      <c r="G226" s="569" t="s">
        <v>153</v>
      </c>
      <c r="H226" s="569">
        <v>2019</v>
      </c>
      <c r="I226" s="569" t="s">
        <v>724</v>
      </c>
      <c r="J226" s="569" t="s">
        <v>174</v>
      </c>
      <c r="K226" s="569" t="s">
        <v>156</v>
      </c>
      <c r="L226" s="569">
        <v>5</v>
      </c>
      <c r="M226" s="569">
        <v>0</v>
      </c>
      <c r="N226" s="569" t="s">
        <v>157</v>
      </c>
      <c r="O226" s="569">
        <v>2</v>
      </c>
      <c r="P226" s="569" t="s">
        <v>157</v>
      </c>
      <c r="Q226" s="568" t="s">
        <v>157</v>
      </c>
      <c r="R226" s="569" t="s">
        <v>205</v>
      </c>
      <c r="S226" s="569">
        <v>4</v>
      </c>
      <c r="T226" s="569" t="s">
        <v>737</v>
      </c>
      <c r="U226" s="569" t="s">
        <v>732</v>
      </c>
      <c r="V226" s="569">
        <v>107.3</v>
      </c>
      <c r="W226" s="569">
        <v>14.9</v>
      </c>
      <c r="X226" s="568">
        <v>4464</v>
      </c>
      <c r="Y226" s="569">
        <v>28</v>
      </c>
      <c r="Z226" s="581" t="s">
        <v>178</v>
      </c>
      <c r="AA226" s="581" t="s">
        <v>178</v>
      </c>
      <c r="AB226" s="585">
        <v>26995</v>
      </c>
      <c r="AC226" s="585" t="s">
        <v>164</v>
      </c>
      <c r="AD226" s="585">
        <v>21715.36842105263</v>
      </c>
      <c r="AE226" s="587">
        <v>0.05</v>
      </c>
      <c r="AF226" s="661" t="str">
        <f t="shared" si="21"/>
        <v>2019-SUV-CHV-EQNX-002-11</v>
      </c>
      <c r="AG226" s="661" t="str">
        <f>IF(AND($Y226&gt;=32,(AI226="I"),(Y226&lt;&gt;"~"),(COUNTIF($AN$1:$AN226,$AN226)=1)),"TRUE","FALSE")</f>
        <v>FALSE</v>
      </c>
      <c r="AH226" s="661" t="str">
        <f>IF(AND($Y226&gt;=22, (AI226&lt;&gt;"I"),(Y226&lt;&gt;"~"),(COUNTIF($AN$1:$AN226,$AN226)=1)),"TRUE","FALSE")</f>
        <v>TRUE</v>
      </c>
      <c r="AI226" s="661" t="str">
        <f t="shared" si="27"/>
        <v>II</v>
      </c>
      <c r="AJ226" s="662" t="str">
        <f t="shared" si="22"/>
        <v>EQNX-002</v>
      </c>
      <c r="AK226" s="662" t="str">
        <f t="shared" si="23"/>
        <v>SUV</v>
      </c>
      <c r="AL226" s="662" t="str">
        <f t="shared" si="24"/>
        <v>CHV</v>
      </c>
      <c r="AM226" s="662" t="str">
        <f t="shared" si="26"/>
        <v>Equinox-LS-FWD-5-~-~-1.5L-4-1XP26-1LS-107.3-14.9-Unleaded-Unleaded</v>
      </c>
      <c r="AN226" s="662" t="str">
        <f t="shared" si="25"/>
        <v>2019-SUV-CHV-EQNX-002</v>
      </c>
    </row>
    <row r="227" spans="1:40" s="572" customFormat="1" ht="15">
      <c r="A227" s="570" t="s">
        <v>738</v>
      </c>
      <c r="B227" s="573" t="s">
        <v>736</v>
      </c>
      <c r="C227" s="573" t="s">
        <v>150</v>
      </c>
      <c r="D227" s="578">
        <v>13</v>
      </c>
      <c r="E227" s="573" t="s">
        <v>699</v>
      </c>
      <c r="F227" s="573" t="s">
        <v>152</v>
      </c>
      <c r="G227" s="573" t="s">
        <v>153</v>
      </c>
      <c r="H227" s="573">
        <v>2019</v>
      </c>
      <c r="I227" s="573" t="s">
        <v>724</v>
      </c>
      <c r="J227" s="573" t="s">
        <v>174</v>
      </c>
      <c r="K227" s="573" t="s">
        <v>156</v>
      </c>
      <c r="L227" s="573">
        <v>5</v>
      </c>
      <c r="M227" s="573">
        <v>0</v>
      </c>
      <c r="N227" s="573" t="s">
        <v>157</v>
      </c>
      <c r="O227" s="573">
        <v>2</v>
      </c>
      <c r="P227" s="573" t="s">
        <v>157</v>
      </c>
      <c r="Q227" s="571" t="s">
        <v>157</v>
      </c>
      <c r="R227" s="573" t="s">
        <v>205</v>
      </c>
      <c r="S227" s="573">
        <v>4</v>
      </c>
      <c r="T227" s="573" t="s">
        <v>737</v>
      </c>
      <c r="U227" s="573" t="s">
        <v>732</v>
      </c>
      <c r="V227" s="573">
        <v>107.3</v>
      </c>
      <c r="W227" s="573">
        <v>14.9</v>
      </c>
      <c r="X227" s="571">
        <v>4464</v>
      </c>
      <c r="Y227" s="573">
        <v>28</v>
      </c>
      <c r="Z227" s="579" t="s">
        <v>178</v>
      </c>
      <c r="AA227" s="579" t="s">
        <v>178</v>
      </c>
      <c r="AB227" s="584">
        <v>26795</v>
      </c>
      <c r="AC227" s="584" t="s">
        <v>164</v>
      </c>
      <c r="AD227" s="584">
        <v>22764</v>
      </c>
      <c r="AE227" s="586">
        <v>0.03</v>
      </c>
      <c r="AF227" s="661" t="str">
        <f t="shared" si="21"/>
        <v>2019-SUV-CHV-EQNX-002-13</v>
      </c>
      <c r="AG227" s="661" t="str">
        <f>IF(AND($Y227&gt;=32,(AI227="I"),(Y227&lt;&gt;"~"),(COUNTIF($AN$1:$AN227,$AN227)=1)),"TRUE","FALSE")</f>
        <v>FALSE</v>
      </c>
      <c r="AH227" s="661" t="str">
        <f>IF(AND($Y227&gt;=22, (AI227&lt;&gt;"I"),(Y227&lt;&gt;"~"),(COUNTIF($AN$1:$AN227,$AN227)=1)),"TRUE","FALSE")</f>
        <v>FALSE</v>
      </c>
      <c r="AI227" s="661" t="str">
        <f t="shared" si="27"/>
        <v>II</v>
      </c>
      <c r="AJ227" s="662" t="str">
        <f t="shared" si="22"/>
        <v>EQNX-002</v>
      </c>
      <c r="AK227" s="662" t="str">
        <f t="shared" si="23"/>
        <v>SUV</v>
      </c>
      <c r="AL227" s="662" t="str">
        <f t="shared" si="24"/>
        <v>CHV</v>
      </c>
      <c r="AM227" s="662" t="str">
        <f t="shared" si="26"/>
        <v>Equinox-LS-FWD-5-~-~-1.5L-4-1XP26-1LS-107.3-14.9-Unleaded-Unleaded</v>
      </c>
      <c r="AN227" s="662" t="str">
        <f t="shared" si="25"/>
        <v>2019-SUV-CHV-EQNX-002</v>
      </c>
    </row>
    <row r="228" spans="1:40" s="572" customFormat="1" ht="15">
      <c r="A228" s="570" t="s">
        <v>739</v>
      </c>
      <c r="B228" s="569" t="s">
        <v>736</v>
      </c>
      <c r="C228" s="569" t="s">
        <v>166</v>
      </c>
      <c r="D228" s="580">
        <v>17</v>
      </c>
      <c r="E228" s="569" t="s">
        <v>699</v>
      </c>
      <c r="F228" s="569" t="s">
        <v>152</v>
      </c>
      <c r="G228" s="569" t="s">
        <v>153</v>
      </c>
      <c r="H228" s="569">
        <v>2019</v>
      </c>
      <c r="I228" s="569" t="s">
        <v>724</v>
      </c>
      <c r="J228" s="569" t="s">
        <v>174</v>
      </c>
      <c r="K228" s="569" t="s">
        <v>156</v>
      </c>
      <c r="L228" s="569">
        <v>5</v>
      </c>
      <c r="M228" s="569">
        <v>0</v>
      </c>
      <c r="N228" s="569" t="s">
        <v>157</v>
      </c>
      <c r="O228" s="569">
        <v>2</v>
      </c>
      <c r="P228" s="569" t="s">
        <v>157</v>
      </c>
      <c r="Q228" s="568" t="s">
        <v>157</v>
      </c>
      <c r="R228" s="569" t="s">
        <v>205</v>
      </c>
      <c r="S228" s="569">
        <v>4</v>
      </c>
      <c r="T228" s="569" t="s">
        <v>737</v>
      </c>
      <c r="U228" s="569" t="s">
        <v>732</v>
      </c>
      <c r="V228" s="569">
        <v>107.3</v>
      </c>
      <c r="W228" s="569">
        <v>14.9</v>
      </c>
      <c r="X228" s="568">
        <v>4464</v>
      </c>
      <c r="Y228" s="569">
        <v>28</v>
      </c>
      <c r="Z228" s="581" t="s">
        <v>178</v>
      </c>
      <c r="AA228" s="581" t="s">
        <v>178</v>
      </c>
      <c r="AB228" s="585">
        <v>26795</v>
      </c>
      <c r="AC228" s="585" t="s">
        <v>164</v>
      </c>
      <c r="AD228" s="585">
        <v>21309.65</v>
      </c>
      <c r="AE228" s="587">
        <v>7.1999999999999995E-2</v>
      </c>
      <c r="AF228" s="661" t="str">
        <f t="shared" si="21"/>
        <v>2019-SUV-CHV-EQNX-002-17</v>
      </c>
      <c r="AG228" s="661" t="str">
        <f>IF(AND($Y228&gt;=32,(AI228="I"),(Y228&lt;&gt;"~"),(COUNTIF($AN$1:$AN228,$AN228)=1)),"TRUE","FALSE")</f>
        <v>FALSE</v>
      </c>
      <c r="AH228" s="661" t="str">
        <f>IF(AND($Y228&gt;=22, (AI228&lt;&gt;"I"),(Y228&lt;&gt;"~"),(COUNTIF($AN$1:$AN228,$AN228)=1)),"TRUE","FALSE")</f>
        <v>FALSE</v>
      </c>
      <c r="AI228" s="661" t="str">
        <f t="shared" si="27"/>
        <v>II</v>
      </c>
      <c r="AJ228" s="662" t="str">
        <f t="shared" si="22"/>
        <v>EQNX-002</v>
      </c>
      <c r="AK228" s="662" t="str">
        <f t="shared" si="23"/>
        <v>SUV</v>
      </c>
      <c r="AL228" s="662" t="str">
        <f t="shared" si="24"/>
        <v>CHV</v>
      </c>
      <c r="AM228" s="662" t="str">
        <f t="shared" si="26"/>
        <v>Equinox-LS-FWD-5-~-~-1.5L-4-1XP26-1LS-107.3-14.9-Unleaded-Unleaded</v>
      </c>
      <c r="AN228" s="662" t="str">
        <f t="shared" si="25"/>
        <v>2019-SUV-CHV-EQNX-002</v>
      </c>
    </row>
    <row r="229" spans="1:40" s="572" customFormat="1" ht="15">
      <c r="A229" s="570" t="s">
        <v>740</v>
      </c>
      <c r="B229" s="573" t="s">
        <v>741</v>
      </c>
      <c r="C229" s="573" t="s">
        <v>169</v>
      </c>
      <c r="D229" s="578">
        <v>11</v>
      </c>
      <c r="E229" s="573" t="s">
        <v>699</v>
      </c>
      <c r="F229" s="573" t="s">
        <v>152</v>
      </c>
      <c r="G229" s="573" t="s">
        <v>153</v>
      </c>
      <c r="H229" s="573">
        <v>2019</v>
      </c>
      <c r="I229" s="573" t="s">
        <v>724</v>
      </c>
      <c r="J229" s="573" t="s">
        <v>155</v>
      </c>
      <c r="K229" s="573" t="s">
        <v>230</v>
      </c>
      <c r="L229" s="573">
        <v>5</v>
      </c>
      <c r="M229" s="573">
        <v>0</v>
      </c>
      <c r="N229" s="573" t="s">
        <v>157</v>
      </c>
      <c r="O229" s="573">
        <v>2</v>
      </c>
      <c r="P229" s="573" t="s">
        <v>157</v>
      </c>
      <c r="Q229" s="571" t="s">
        <v>157</v>
      </c>
      <c r="R229" s="573" t="s">
        <v>205</v>
      </c>
      <c r="S229" s="573">
        <v>4</v>
      </c>
      <c r="T229" s="573" t="s">
        <v>727</v>
      </c>
      <c r="U229" s="573" t="s">
        <v>213</v>
      </c>
      <c r="V229" s="573">
        <v>107.3</v>
      </c>
      <c r="W229" s="573">
        <v>14.9</v>
      </c>
      <c r="X229" s="571">
        <v>4630</v>
      </c>
      <c r="Y229" s="573">
        <v>26</v>
      </c>
      <c r="Z229" s="579" t="s">
        <v>178</v>
      </c>
      <c r="AA229" s="579" t="s">
        <v>178</v>
      </c>
      <c r="AB229" s="584">
        <v>29995</v>
      </c>
      <c r="AC229" s="584" t="s">
        <v>164</v>
      </c>
      <c r="AD229" s="584">
        <v>24623.78947368421</v>
      </c>
      <c r="AE229" s="586">
        <v>0.05</v>
      </c>
      <c r="AF229" s="661" t="str">
        <f t="shared" si="21"/>
        <v>2019-SUV-CHV-EQNX-003-11</v>
      </c>
      <c r="AG229" s="661" t="str">
        <f>IF(AND($Y229&gt;=32,(AI229="I"),(Y229&lt;&gt;"~"),(COUNTIF($AN$1:$AN229,$AN229)=1)),"TRUE","FALSE")</f>
        <v>FALSE</v>
      </c>
      <c r="AH229" s="661" t="str">
        <f>IF(AND($Y229&gt;=22, (AI229&lt;&gt;"I"),(Y229&lt;&gt;"~"),(COUNTIF($AN$1:$AN229,$AN229)=1)),"TRUE","FALSE")</f>
        <v>TRUE</v>
      </c>
      <c r="AI229" s="661" t="str">
        <f t="shared" si="27"/>
        <v>II</v>
      </c>
      <c r="AJ229" s="662" t="str">
        <f t="shared" si="22"/>
        <v>EQNX-003</v>
      </c>
      <c r="AK229" s="662" t="str">
        <f t="shared" si="23"/>
        <v>SUV</v>
      </c>
      <c r="AL229" s="662" t="str">
        <f t="shared" si="24"/>
        <v>CHV</v>
      </c>
      <c r="AM229" s="662" t="str">
        <f t="shared" si="26"/>
        <v>Equinox-LT-AWD-5-~-~-1.5L-4-1XY26-1LT-107.3-14.9-Unleaded-Unleaded</v>
      </c>
      <c r="AN229" s="662" t="str">
        <f t="shared" si="25"/>
        <v>2019-SUV-CHV-EQNX-003</v>
      </c>
    </row>
    <row r="230" spans="1:40" s="572" customFormat="1" ht="15">
      <c r="A230" s="570" t="s">
        <v>742</v>
      </c>
      <c r="B230" s="569" t="s">
        <v>741</v>
      </c>
      <c r="C230" s="569" t="s">
        <v>166</v>
      </c>
      <c r="D230" s="580">
        <v>17</v>
      </c>
      <c r="E230" s="569" t="s">
        <v>699</v>
      </c>
      <c r="F230" s="569" t="s">
        <v>152</v>
      </c>
      <c r="G230" s="569" t="s">
        <v>153</v>
      </c>
      <c r="H230" s="569">
        <v>2019</v>
      </c>
      <c r="I230" s="569" t="s">
        <v>724</v>
      </c>
      <c r="J230" s="569" t="s">
        <v>155</v>
      </c>
      <c r="K230" s="569" t="s">
        <v>230</v>
      </c>
      <c r="L230" s="569">
        <v>5</v>
      </c>
      <c r="M230" s="569">
        <v>0</v>
      </c>
      <c r="N230" s="569" t="s">
        <v>157</v>
      </c>
      <c r="O230" s="569">
        <v>2</v>
      </c>
      <c r="P230" s="569" t="s">
        <v>157</v>
      </c>
      <c r="Q230" s="568" t="s">
        <v>157</v>
      </c>
      <c r="R230" s="569" t="s">
        <v>205</v>
      </c>
      <c r="S230" s="569">
        <v>4</v>
      </c>
      <c r="T230" s="569" t="s">
        <v>727</v>
      </c>
      <c r="U230" s="569" t="s">
        <v>213</v>
      </c>
      <c r="V230" s="569">
        <v>107.3</v>
      </c>
      <c r="W230" s="569">
        <v>14.9</v>
      </c>
      <c r="X230" s="568">
        <v>4630</v>
      </c>
      <c r="Y230" s="569">
        <v>26</v>
      </c>
      <c r="Z230" s="581" t="s">
        <v>178</v>
      </c>
      <c r="AA230" s="581" t="s">
        <v>178</v>
      </c>
      <c r="AB230" s="585">
        <v>29795</v>
      </c>
      <c r="AC230" s="585" t="s">
        <v>164</v>
      </c>
      <c r="AD230" s="585">
        <v>24501</v>
      </c>
      <c r="AE230" s="587">
        <v>7.1999999999999995E-2</v>
      </c>
      <c r="AF230" s="661" t="str">
        <f t="shared" si="21"/>
        <v>2019-SUV-CHV-EQNX-003-17</v>
      </c>
      <c r="AG230" s="661" t="str">
        <f>IF(AND($Y230&gt;=32,(AI230="I"),(Y230&lt;&gt;"~"),(COUNTIF($AN$1:$AN230,$AN230)=1)),"TRUE","FALSE")</f>
        <v>FALSE</v>
      </c>
      <c r="AH230" s="661" t="str">
        <f>IF(AND($Y230&gt;=22, (AI230&lt;&gt;"I"),(Y230&lt;&gt;"~"),(COUNTIF($AN$1:$AN230,$AN230)=1)),"TRUE","FALSE")</f>
        <v>FALSE</v>
      </c>
      <c r="AI230" s="661" t="str">
        <f t="shared" si="27"/>
        <v>II</v>
      </c>
      <c r="AJ230" s="662" t="str">
        <f t="shared" si="22"/>
        <v>EQNX-003</v>
      </c>
      <c r="AK230" s="662" t="str">
        <f t="shared" si="23"/>
        <v>SUV</v>
      </c>
      <c r="AL230" s="662" t="str">
        <f t="shared" si="24"/>
        <v>CHV</v>
      </c>
      <c r="AM230" s="662" t="str">
        <f t="shared" si="26"/>
        <v>Equinox-LT-AWD-5-~-~-1.5L-4-1XY26-1LT-107.3-14.9-Unleaded-Unleaded</v>
      </c>
      <c r="AN230" s="662" t="str">
        <f t="shared" si="25"/>
        <v>2019-SUV-CHV-EQNX-003</v>
      </c>
    </row>
    <row r="231" spans="1:40" s="572" customFormat="1" ht="15">
      <c r="A231" s="570" t="s">
        <v>743</v>
      </c>
      <c r="B231" s="573" t="s">
        <v>744</v>
      </c>
      <c r="C231" s="573" t="s">
        <v>169</v>
      </c>
      <c r="D231" s="578">
        <v>11</v>
      </c>
      <c r="E231" s="573" t="s">
        <v>699</v>
      </c>
      <c r="F231" s="573" t="s">
        <v>152</v>
      </c>
      <c r="G231" s="573" t="s">
        <v>153</v>
      </c>
      <c r="H231" s="573">
        <v>2019</v>
      </c>
      <c r="I231" s="573" t="s">
        <v>724</v>
      </c>
      <c r="J231" s="573" t="s">
        <v>155</v>
      </c>
      <c r="K231" s="573" t="s">
        <v>156</v>
      </c>
      <c r="L231" s="573">
        <v>5</v>
      </c>
      <c r="M231" s="573">
        <v>0</v>
      </c>
      <c r="N231" s="573" t="s">
        <v>157</v>
      </c>
      <c r="O231" s="573">
        <v>2</v>
      </c>
      <c r="P231" s="573" t="s">
        <v>157</v>
      </c>
      <c r="Q231" s="571" t="s">
        <v>157</v>
      </c>
      <c r="R231" s="573" t="s">
        <v>205</v>
      </c>
      <c r="S231" s="573">
        <v>4</v>
      </c>
      <c r="T231" s="573" t="s">
        <v>745</v>
      </c>
      <c r="U231" s="573" t="s">
        <v>213</v>
      </c>
      <c r="V231" s="573">
        <v>107.3</v>
      </c>
      <c r="W231" s="573">
        <v>14.9</v>
      </c>
      <c r="X231" s="571">
        <v>4464</v>
      </c>
      <c r="Y231" s="573">
        <v>28</v>
      </c>
      <c r="Z231" s="579" t="s">
        <v>178</v>
      </c>
      <c r="AA231" s="579" t="s">
        <v>178</v>
      </c>
      <c r="AB231" s="584">
        <v>28295</v>
      </c>
      <c r="AC231" s="584" t="s">
        <v>164</v>
      </c>
      <c r="AD231" s="584">
        <v>22977.05263157895</v>
      </c>
      <c r="AE231" s="586">
        <v>0.05</v>
      </c>
      <c r="AF231" s="661" t="str">
        <f t="shared" si="21"/>
        <v>2019-SUV-CHV-EQNX-004-11</v>
      </c>
      <c r="AG231" s="661" t="str">
        <f>IF(AND($Y231&gt;=32,(AI231="I"),(Y231&lt;&gt;"~"),(COUNTIF($AN$1:$AN231,$AN231)=1)),"TRUE","FALSE")</f>
        <v>FALSE</v>
      </c>
      <c r="AH231" s="661" t="str">
        <f>IF(AND($Y231&gt;=22, (AI231&lt;&gt;"I"),(Y231&lt;&gt;"~"),(COUNTIF($AN$1:$AN231,$AN231)=1)),"TRUE","FALSE")</f>
        <v>TRUE</v>
      </c>
      <c r="AI231" s="661" t="str">
        <f t="shared" si="27"/>
        <v>II</v>
      </c>
      <c r="AJ231" s="662" t="str">
        <f t="shared" si="22"/>
        <v>EQNX-004</v>
      </c>
      <c r="AK231" s="662" t="str">
        <f t="shared" si="23"/>
        <v>SUV</v>
      </c>
      <c r="AL231" s="662" t="str">
        <f t="shared" si="24"/>
        <v>CHV</v>
      </c>
      <c r="AM231" s="662" t="str">
        <f t="shared" si="26"/>
        <v>Equinox-LT-FWD-5-~-~-1.5L-4-1XR26-1LT-107.3-14.9-Unleaded-Unleaded</v>
      </c>
      <c r="AN231" s="662" t="str">
        <f t="shared" si="25"/>
        <v>2019-SUV-CHV-EQNX-004</v>
      </c>
    </row>
    <row r="232" spans="1:40" s="572" customFormat="1" ht="15">
      <c r="A232" s="570" t="s">
        <v>746</v>
      </c>
      <c r="B232" s="569" t="s">
        <v>744</v>
      </c>
      <c r="C232" s="569" t="s">
        <v>166</v>
      </c>
      <c r="D232" s="580">
        <v>17</v>
      </c>
      <c r="E232" s="569" t="s">
        <v>699</v>
      </c>
      <c r="F232" s="569" t="s">
        <v>152</v>
      </c>
      <c r="G232" s="569" t="s">
        <v>153</v>
      </c>
      <c r="H232" s="569">
        <v>2019</v>
      </c>
      <c r="I232" s="569" t="s">
        <v>724</v>
      </c>
      <c r="J232" s="569" t="s">
        <v>155</v>
      </c>
      <c r="K232" s="569" t="s">
        <v>156</v>
      </c>
      <c r="L232" s="569">
        <v>5</v>
      </c>
      <c r="M232" s="569">
        <v>0</v>
      </c>
      <c r="N232" s="569" t="s">
        <v>157</v>
      </c>
      <c r="O232" s="569">
        <v>2</v>
      </c>
      <c r="P232" s="569" t="s">
        <v>157</v>
      </c>
      <c r="Q232" s="568" t="s">
        <v>157</v>
      </c>
      <c r="R232" s="569" t="s">
        <v>205</v>
      </c>
      <c r="S232" s="569">
        <v>4</v>
      </c>
      <c r="T232" s="569" t="s">
        <v>745</v>
      </c>
      <c r="U232" s="569" t="s">
        <v>213</v>
      </c>
      <c r="V232" s="569">
        <v>107.3</v>
      </c>
      <c r="W232" s="569">
        <v>14.9</v>
      </c>
      <c r="X232" s="568">
        <v>4464</v>
      </c>
      <c r="Y232" s="569">
        <v>28</v>
      </c>
      <c r="Z232" s="581" t="s">
        <v>178</v>
      </c>
      <c r="AA232" s="581" t="s">
        <v>178</v>
      </c>
      <c r="AB232" s="585">
        <v>28095</v>
      </c>
      <c r="AC232" s="585" t="s">
        <v>164</v>
      </c>
      <c r="AD232" s="585">
        <v>23455</v>
      </c>
      <c r="AE232" s="587">
        <v>7.1999999999999995E-2</v>
      </c>
      <c r="AF232" s="661" t="s">
        <v>747</v>
      </c>
      <c r="AG232" s="661" t="str">
        <f>IF(AND($Y232&gt;=32,(AI232="I"),(Y232&lt;&gt;"~"),(COUNTIF($AN$1:$AN232,$AN232)=1)),"TRUE","FALSE")</f>
        <v>FALSE</v>
      </c>
      <c r="AH232" s="661" t="str">
        <f>IF(AND($Y232&gt;=22, (AI232&lt;&gt;"I"),(Y232&lt;&gt;"~"),(COUNTIF($AN$1:$AN232,$AN232)=1)),"TRUE","FALSE")</f>
        <v>FALSE</v>
      </c>
      <c r="AI232" s="661" t="str">
        <f t="shared" si="27"/>
        <v>II</v>
      </c>
      <c r="AJ232" s="662" t="str">
        <f t="shared" si="22"/>
        <v>EQNX-004</v>
      </c>
      <c r="AK232" s="662" t="str">
        <f t="shared" si="23"/>
        <v>SUV</v>
      </c>
      <c r="AL232" s="662" t="str">
        <f t="shared" si="24"/>
        <v>CHV</v>
      </c>
      <c r="AM232" s="662" t="str">
        <f t="shared" si="26"/>
        <v>Equinox-LT-FWD-5-~-~-1.5L-4-1XR26-1LT-107.3-14.9-Unleaded-Unleaded</v>
      </c>
      <c r="AN232" s="662" t="str">
        <f t="shared" si="25"/>
        <v>2019-SUV-CHV-EQNX-004</v>
      </c>
    </row>
    <row r="233" spans="1:40" s="572" customFormat="1" ht="15">
      <c r="A233" s="570" t="s">
        <v>748</v>
      </c>
      <c r="B233" s="573" t="s">
        <v>749</v>
      </c>
      <c r="C233" s="573" t="s">
        <v>169</v>
      </c>
      <c r="D233" s="578">
        <v>11</v>
      </c>
      <c r="E233" s="573" t="s">
        <v>699</v>
      </c>
      <c r="F233" s="573" t="s">
        <v>187</v>
      </c>
      <c r="G233" s="573" t="s">
        <v>153</v>
      </c>
      <c r="H233" s="573">
        <v>2019</v>
      </c>
      <c r="I233" s="573" t="s">
        <v>750</v>
      </c>
      <c r="J233" s="573" t="s">
        <v>751</v>
      </c>
      <c r="K233" s="573" t="s">
        <v>752</v>
      </c>
      <c r="L233" s="573">
        <v>8</v>
      </c>
      <c r="M233" s="573">
        <v>0</v>
      </c>
      <c r="N233" s="573" t="s">
        <v>157</v>
      </c>
      <c r="O233" s="573">
        <v>3</v>
      </c>
      <c r="P233" s="573" t="s">
        <v>157</v>
      </c>
      <c r="Q233" s="571">
        <v>5000</v>
      </c>
      <c r="R233" s="573" t="s">
        <v>753</v>
      </c>
      <c r="S233" s="573">
        <v>8</v>
      </c>
      <c r="T233" s="573" t="s">
        <v>754</v>
      </c>
      <c r="U233" s="573" t="s">
        <v>191</v>
      </c>
      <c r="V233" s="573">
        <v>130</v>
      </c>
      <c r="W233" s="573">
        <v>31</v>
      </c>
      <c r="X233" s="571">
        <v>7500</v>
      </c>
      <c r="Y233" s="573">
        <v>18</v>
      </c>
      <c r="Z233" s="579" t="s">
        <v>450</v>
      </c>
      <c r="AA233" s="579" t="s">
        <v>178</v>
      </c>
      <c r="AB233" s="584">
        <v>53795</v>
      </c>
      <c r="AC233" s="584" t="s">
        <v>164</v>
      </c>
      <c r="AD233" s="584">
        <v>42812.5</v>
      </c>
      <c r="AE233" s="586">
        <v>0.05</v>
      </c>
      <c r="AF233" s="661" t="s">
        <v>755</v>
      </c>
      <c r="AG233" s="661" t="str">
        <f>IF(AND($Y233&gt;=32,(AI233="I"),(Y233&lt;&gt;"~"),(COUNTIF($AN$1:$AN233,$AN233)=1)),"TRUE","FALSE")</f>
        <v>FALSE</v>
      </c>
      <c r="AH233" s="661" t="str">
        <f>IF(AND($Y233&gt;=22, (AI233&lt;&gt;"I"),(Y233&lt;&gt;"~"),(COUNTIF($AN$1:$AN233,$AN233)=1)),"TRUE","FALSE")</f>
        <v>FALSE</v>
      </c>
      <c r="AI233" s="661" t="str">
        <f t="shared" si="27"/>
        <v>II</v>
      </c>
      <c r="AJ233" s="662" t="str">
        <f t="shared" si="22"/>
        <v>SUBN-001</v>
      </c>
      <c r="AK233" s="662" t="str">
        <f t="shared" si="23"/>
        <v>SUV</v>
      </c>
      <c r="AL233" s="662" t="str">
        <f t="shared" si="24"/>
        <v>CHV</v>
      </c>
      <c r="AM233" s="662" t="str">
        <f t="shared" si="26"/>
        <v>Suburban-Commercial-4WD-8-~-5000-5.3L-8-CK15906-1FL-130-31-E85-Unleaded</v>
      </c>
      <c r="AN233" s="662" t="str">
        <f t="shared" si="25"/>
        <v>2019-SUV-CHV-SUBN-001</v>
      </c>
    </row>
    <row r="234" spans="1:40" s="572" customFormat="1" ht="15">
      <c r="A234" s="570" t="s">
        <v>756</v>
      </c>
      <c r="B234" s="569" t="s">
        <v>749</v>
      </c>
      <c r="C234" s="569" t="s">
        <v>150</v>
      </c>
      <c r="D234" s="580">
        <v>13</v>
      </c>
      <c r="E234" s="569" t="s">
        <v>699</v>
      </c>
      <c r="F234" s="569" t="s">
        <v>187</v>
      </c>
      <c r="G234" s="569" t="s">
        <v>153</v>
      </c>
      <c r="H234" s="569">
        <v>2019</v>
      </c>
      <c r="I234" s="569" t="s">
        <v>750</v>
      </c>
      <c r="J234" s="569" t="s">
        <v>751</v>
      </c>
      <c r="K234" s="569" t="s">
        <v>752</v>
      </c>
      <c r="L234" s="569">
        <v>8</v>
      </c>
      <c r="M234" s="569">
        <v>0</v>
      </c>
      <c r="N234" s="569" t="s">
        <v>157</v>
      </c>
      <c r="O234" s="569">
        <v>3</v>
      </c>
      <c r="P234" s="569" t="s">
        <v>157</v>
      </c>
      <c r="Q234" s="568">
        <v>5000</v>
      </c>
      <c r="R234" s="569" t="s">
        <v>753</v>
      </c>
      <c r="S234" s="569">
        <v>8</v>
      </c>
      <c r="T234" s="569" t="s">
        <v>754</v>
      </c>
      <c r="U234" s="569" t="s">
        <v>191</v>
      </c>
      <c r="V234" s="569">
        <v>130</v>
      </c>
      <c r="W234" s="569">
        <v>31</v>
      </c>
      <c r="X234" s="568">
        <v>7500</v>
      </c>
      <c r="Y234" s="569">
        <v>18</v>
      </c>
      <c r="Z234" s="581" t="s">
        <v>450</v>
      </c>
      <c r="AA234" s="581" t="s">
        <v>178</v>
      </c>
      <c r="AB234" s="585">
        <v>53795</v>
      </c>
      <c r="AC234" s="585" t="s">
        <v>164</v>
      </c>
      <c r="AD234" s="585">
        <v>44787</v>
      </c>
      <c r="AE234" s="587">
        <v>0.03</v>
      </c>
      <c r="AF234" s="661" t="s">
        <v>757</v>
      </c>
      <c r="AG234" s="661" t="str">
        <f>IF(AND($Y234&gt;=32,(AI234="I"),(Y234&lt;&gt;"~"),(COUNTIF($AN$1:$AN234,$AN234)=1)),"TRUE","FALSE")</f>
        <v>FALSE</v>
      </c>
      <c r="AH234" s="661" t="str">
        <f>IF(AND($Y234&gt;=22, (AI234&lt;&gt;"I"),(Y234&lt;&gt;"~"),(COUNTIF($AN$1:$AN234,$AN234)=1)),"TRUE","FALSE")</f>
        <v>FALSE</v>
      </c>
      <c r="AI234" s="661" t="str">
        <f t="shared" si="27"/>
        <v>II</v>
      </c>
      <c r="AJ234" s="662" t="str">
        <f t="shared" si="22"/>
        <v>SUBN-001</v>
      </c>
      <c r="AK234" s="662" t="str">
        <f t="shared" si="23"/>
        <v>SUV</v>
      </c>
      <c r="AL234" s="662" t="str">
        <f t="shared" si="24"/>
        <v>CHV</v>
      </c>
      <c r="AM234" s="662" t="str">
        <f t="shared" si="26"/>
        <v>Suburban-Commercial-4WD-8-~-5000-5.3L-8-CK15906-1FL-130-31-E85-Unleaded</v>
      </c>
      <c r="AN234" s="662" t="str">
        <f t="shared" si="25"/>
        <v>2019-SUV-CHV-SUBN-001</v>
      </c>
    </row>
    <row r="235" spans="1:40" s="572" customFormat="1" ht="15">
      <c r="A235" s="570" t="s">
        <v>758</v>
      </c>
      <c r="B235" s="573" t="s">
        <v>749</v>
      </c>
      <c r="C235" s="573" t="s">
        <v>166</v>
      </c>
      <c r="D235" s="578">
        <v>17</v>
      </c>
      <c r="E235" s="573" t="s">
        <v>699</v>
      </c>
      <c r="F235" s="573" t="s">
        <v>187</v>
      </c>
      <c r="G235" s="573" t="s">
        <v>153</v>
      </c>
      <c r="H235" s="573">
        <v>2019</v>
      </c>
      <c r="I235" s="573" t="s">
        <v>750</v>
      </c>
      <c r="J235" s="573" t="s">
        <v>751</v>
      </c>
      <c r="K235" s="573" t="s">
        <v>752</v>
      </c>
      <c r="L235" s="573">
        <v>8</v>
      </c>
      <c r="M235" s="573">
        <v>0</v>
      </c>
      <c r="N235" s="573" t="s">
        <v>157</v>
      </c>
      <c r="O235" s="573">
        <v>3</v>
      </c>
      <c r="P235" s="573" t="s">
        <v>157</v>
      </c>
      <c r="Q235" s="571">
        <v>5000</v>
      </c>
      <c r="R235" s="573" t="s">
        <v>753</v>
      </c>
      <c r="S235" s="573">
        <v>8</v>
      </c>
      <c r="T235" s="573" t="s">
        <v>754</v>
      </c>
      <c r="U235" s="573" t="s">
        <v>191</v>
      </c>
      <c r="V235" s="573">
        <v>130</v>
      </c>
      <c r="W235" s="573">
        <v>31</v>
      </c>
      <c r="X235" s="571">
        <v>7500</v>
      </c>
      <c r="Y235" s="573">
        <v>18</v>
      </c>
      <c r="Z235" s="579" t="s">
        <v>450</v>
      </c>
      <c r="AA235" s="579" t="s">
        <v>178</v>
      </c>
      <c r="AB235" s="584">
        <v>53795</v>
      </c>
      <c r="AC235" s="584" t="s">
        <v>164</v>
      </c>
      <c r="AD235" s="584">
        <v>43979.78</v>
      </c>
      <c r="AE235" s="586">
        <v>7.1999999999999995E-2</v>
      </c>
      <c r="AF235" s="661" t="s">
        <v>759</v>
      </c>
      <c r="AG235" s="661" t="str">
        <f>IF(AND($Y235&gt;=32,(AI235="I"),(Y235&lt;&gt;"~"),(COUNTIF($AN$1:$AN235,$AN235)=1)),"TRUE","FALSE")</f>
        <v>FALSE</v>
      </c>
      <c r="AH235" s="661" t="str">
        <f>IF(AND($Y235&gt;=22, (AI235&lt;&gt;"I"),(Y235&lt;&gt;"~"),(COUNTIF($AN$1:$AN235,$AN235)=1)),"TRUE","FALSE")</f>
        <v>FALSE</v>
      </c>
      <c r="AI235" s="661" t="str">
        <f t="shared" si="27"/>
        <v>II</v>
      </c>
      <c r="AJ235" s="662" t="str">
        <f t="shared" si="22"/>
        <v>SUBN-001</v>
      </c>
      <c r="AK235" s="662" t="str">
        <f t="shared" si="23"/>
        <v>SUV</v>
      </c>
      <c r="AL235" s="662" t="str">
        <f t="shared" si="24"/>
        <v>CHV</v>
      </c>
      <c r="AM235" s="662" t="str">
        <f t="shared" si="26"/>
        <v>Suburban-Commercial-4WD-8-~-5000-5.3L-8-CK15906-1FL-130-31-E85-Unleaded</v>
      </c>
      <c r="AN235" s="662" t="str">
        <f t="shared" si="25"/>
        <v>2019-SUV-CHV-SUBN-001</v>
      </c>
    </row>
    <row r="236" spans="1:40" s="572" customFormat="1" ht="15">
      <c r="A236" s="570" t="s">
        <v>760</v>
      </c>
      <c r="B236" s="569" t="s">
        <v>761</v>
      </c>
      <c r="C236" s="569" t="s">
        <v>169</v>
      </c>
      <c r="D236" s="580">
        <v>11</v>
      </c>
      <c r="E236" s="569" t="s">
        <v>699</v>
      </c>
      <c r="F236" s="569" t="s">
        <v>187</v>
      </c>
      <c r="G236" s="569" t="s">
        <v>153</v>
      </c>
      <c r="H236" s="569">
        <v>2019</v>
      </c>
      <c r="I236" s="569" t="s">
        <v>750</v>
      </c>
      <c r="J236" s="569" t="s">
        <v>751</v>
      </c>
      <c r="K236" s="569" t="s">
        <v>236</v>
      </c>
      <c r="L236" s="569">
        <v>8</v>
      </c>
      <c r="M236" s="569">
        <v>0</v>
      </c>
      <c r="N236" s="569" t="s">
        <v>157</v>
      </c>
      <c r="O236" s="569">
        <v>3</v>
      </c>
      <c r="P236" s="569" t="s">
        <v>157</v>
      </c>
      <c r="Q236" s="568">
        <v>5000</v>
      </c>
      <c r="R236" s="569" t="s">
        <v>753</v>
      </c>
      <c r="S236" s="569">
        <v>8</v>
      </c>
      <c r="T236" s="569" t="s">
        <v>762</v>
      </c>
      <c r="U236" s="569" t="s">
        <v>191</v>
      </c>
      <c r="V236" s="569">
        <v>130</v>
      </c>
      <c r="W236" s="569">
        <v>31</v>
      </c>
      <c r="X236" s="568">
        <v>7300</v>
      </c>
      <c r="Y236" s="569">
        <v>19</v>
      </c>
      <c r="Z236" s="581" t="s">
        <v>450</v>
      </c>
      <c r="AA236" s="581" t="s">
        <v>178</v>
      </c>
      <c r="AB236" s="585">
        <v>50795</v>
      </c>
      <c r="AC236" s="585" t="s">
        <v>164</v>
      </c>
      <c r="AD236" s="585">
        <v>39962.5</v>
      </c>
      <c r="AE236" s="587">
        <v>0.05</v>
      </c>
      <c r="AF236" s="661" t="s">
        <v>763</v>
      </c>
      <c r="AG236" s="661" t="str">
        <f>IF(AND($Y236&gt;=32,(AI236="I"),(Y236&lt;&gt;"~"),(COUNTIF($AN$1:$AN236,$AN236)=1)),"TRUE","FALSE")</f>
        <v>FALSE</v>
      </c>
      <c r="AH236" s="661" t="str">
        <f>IF(AND($Y236&gt;=22, (AI236&lt;&gt;"I"),(Y236&lt;&gt;"~"),(COUNTIF($AN$1:$AN236,$AN236)=1)),"TRUE","FALSE")</f>
        <v>FALSE</v>
      </c>
      <c r="AI236" s="661" t="str">
        <f t="shared" si="27"/>
        <v>II</v>
      </c>
      <c r="AJ236" s="662" t="str">
        <f t="shared" si="22"/>
        <v>SUBN-002</v>
      </c>
      <c r="AK236" s="662" t="str">
        <f t="shared" si="23"/>
        <v>SUV</v>
      </c>
      <c r="AL236" s="662" t="str">
        <f t="shared" si="24"/>
        <v>CHV</v>
      </c>
      <c r="AM236" s="662" t="str">
        <f t="shared" si="26"/>
        <v>Suburban-Commercial-RWD-8-~-5000-5.3L-8-CC15906-1FL-130-31-E85-Unleaded</v>
      </c>
      <c r="AN236" s="662" t="str">
        <f t="shared" si="25"/>
        <v>2019-SUV-CHV-SUBN-002</v>
      </c>
    </row>
    <row r="237" spans="1:40" s="572" customFormat="1" ht="15">
      <c r="A237" s="570" t="s">
        <v>764</v>
      </c>
      <c r="B237" s="573" t="s">
        <v>761</v>
      </c>
      <c r="C237" s="573" t="s">
        <v>166</v>
      </c>
      <c r="D237" s="578">
        <v>17</v>
      </c>
      <c r="E237" s="573" t="s">
        <v>699</v>
      </c>
      <c r="F237" s="573" t="s">
        <v>187</v>
      </c>
      <c r="G237" s="573" t="s">
        <v>153</v>
      </c>
      <c r="H237" s="573">
        <v>2019</v>
      </c>
      <c r="I237" s="573" t="s">
        <v>750</v>
      </c>
      <c r="J237" s="573" t="s">
        <v>751</v>
      </c>
      <c r="K237" s="573" t="s">
        <v>236</v>
      </c>
      <c r="L237" s="573">
        <v>8</v>
      </c>
      <c r="M237" s="573">
        <v>0</v>
      </c>
      <c r="N237" s="573" t="s">
        <v>157</v>
      </c>
      <c r="O237" s="573">
        <v>3</v>
      </c>
      <c r="P237" s="573" t="s">
        <v>157</v>
      </c>
      <c r="Q237" s="571">
        <v>5000</v>
      </c>
      <c r="R237" s="573" t="s">
        <v>753</v>
      </c>
      <c r="S237" s="573">
        <v>8</v>
      </c>
      <c r="T237" s="573" t="s">
        <v>762</v>
      </c>
      <c r="U237" s="573" t="s">
        <v>191</v>
      </c>
      <c r="V237" s="573">
        <v>130</v>
      </c>
      <c r="W237" s="573">
        <v>31</v>
      </c>
      <c r="X237" s="571">
        <v>7300</v>
      </c>
      <c r="Y237" s="573">
        <v>19</v>
      </c>
      <c r="Z237" s="579" t="s">
        <v>450</v>
      </c>
      <c r="AA237" s="579" t="s">
        <v>178</v>
      </c>
      <c r="AB237" s="584">
        <v>50795</v>
      </c>
      <c r="AC237" s="584" t="s">
        <v>164</v>
      </c>
      <c r="AD237" s="584">
        <v>41226.89</v>
      </c>
      <c r="AE237" s="586">
        <v>7.1999999999999995E-2</v>
      </c>
      <c r="AF237" s="661" t="s">
        <v>765</v>
      </c>
      <c r="AG237" s="661" t="str">
        <f>IF(AND($Y237&gt;=32,(AI237="I"),(Y237&lt;&gt;"~"),(COUNTIF($AN$1:$AN237,$AN237)=1)),"TRUE","FALSE")</f>
        <v>FALSE</v>
      </c>
      <c r="AH237" s="661" t="str">
        <f>IF(AND($Y237&gt;=22, (AI237&lt;&gt;"I"),(Y237&lt;&gt;"~"),(COUNTIF($AN$1:$AN237,$AN237)=1)),"TRUE","FALSE")</f>
        <v>FALSE</v>
      </c>
      <c r="AI237" s="661" t="str">
        <f t="shared" si="27"/>
        <v>II</v>
      </c>
      <c r="AJ237" s="662" t="str">
        <f t="shared" si="22"/>
        <v>SUBN-002</v>
      </c>
      <c r="AK237" s="662" t="str">
        <f t="shared" si="23"/>
        <v>SUV</v>
      </c>
      <c r="AL237" s="662" t="str">
        <f t="shared" si="24"/>
        <v>CHV</v>
      </c>
      <c r="AM237" s="662" t="str">
        <f t="shared" si="26"/>
        <v>Suburban-Commercial-RWD-8-~-5000-5.3L-8-CC15906-1FL-130-31-E85-Unleaded</v>
      </c>
      <c r="AN237" s="662" t="str">
        <f t="shared" si="25"/>
        <v>2019-SUV-CHV-SUBN-002</v>
      </c>
    </row>
    <row r="238" spans="1:40" s="572" customFormat="1" ht="15">
      <c r="A238" s="570" t="s">
        <v>766</v>
      </c>
      <c r="B238" s="569" t="s">
        <v>767</v>
      </c>
      <c r="C238" s="569" t="s">
        <v>169</v>
      </c>
      <c r="D238" s="580">
        <v>11</v>
      </c>
      <c r="E238" s="569" t="s">
        <v>699</v>
      </c>
      <c r="F238" s="569" t="s">
        <v>187</v>
      </c>
      <c r="G238" s="569" t="s">
        <v>153</v>
      </c>
      <c r="H238" s="569">
        <v>2019</v>
      </c>
      <c r="I238" s="569" t="s">
        <v>750</v>
      </c>
      <c r="J238" s="569" t="s">
        <v>174</v>
      </c>
      <c r="K238" s="569" t="s">
        <v>752</v>
      </c>
      <c r="L238" s="569">
        <v>8</v>
      </c>
      <c r="M238" s="569">
        <v>0</v>
      </c>
      <c r="N238" s="569" t="s">
        <v>157</v>
      </c>
      <c r="O238" s="569">
        <v>3</v>
      </c>
      <c r="P238" s="569" t="s">
        <v>157</v>
      </c>
      <c r="Q238" s="568">
        <v>5000</v>
      </c>
      <c r="R238" s="569" t="s">
        <v>753</v>
      </c>
      <c r="S238" s="569">
        <v>8</v>
      </c>
      <c r="T238" s="569" t="s">
        <v>754</v>
      </c>
      <c r="U238" s="569" t="s">
        <v>732</v>
      </c>
      <c r="V238" s="569">
        <v>130</v>
      </c>
      <c r="W238" s="569">
        <v>31</v>
      </c>
      <c r="X238" s="568">
        <v>7500</v>
      </c>
      <c r="Y238" s="569">
        <v>18</v>
      </c>
      <c r="Z238" s="581" t="s">
        <v>450</v>
      </c>
      <c r="AA238" s="581" t="s">
        <v>178</v>
      </c>
      <c r="AB238" s="585">
        <v>54895</v>
      </c>
      <c r="AC238" s="585" t="s">
        <v>164</v>
      </c>
      <c r="AD238" s="585">
        <v>43857.5</v>
      </c>
      <c r="AE238" s="587">
        <v>0.05</v>
      </c>
      <c r="AF238" s="661" t="s">
        <v>768</v>
      </c>
      <c r="AG238" s="661" t="str">
        <f>IF(AND($Y238&gt;=32,(AI238="I"),(Y238&lt;&gt;"~"),(COUNTIF($AN$1:$AN238,$AN238)=1)),"TRUE","FALSE")</f>
        <v>FALSE</v>
      </c>
      <c r="AH238" s="661" t="str">
        <f>IF(AND($Y238&gt;=22, (AI238&lt;&gt;"I"),(Y238&lt;&gt;"~"),(COUNTIF($AN$1:$AN238,$AN238)=1)),"TRUE","FALSE")</f>
        <v>FALSE</v>
      </c>
      <c r="AI238" s="661" t="str">
        <f t="shared" si="27"/>
        <v>II</v>
      </c>
      <c r="AJ238" s="662" t="str">
        <f t="shared" si="22"/>
        <v>SUBN-003</v>
      </c>
      <c r="AK238" s="662" t="str">
        <f t="shared" si="23"/>
        <v>SUV</v>
      </c>
      <c r="AL238" s="662" t="str">
        <f t="shared" si="24"/>
        <v>CHV</v>
      </c>
      <c r="AM238" s="662" t="str">
        <f t="shared" si="26"/>
        <v>Suburban-LS-4WD-8-~-5000-5.3L-8-CK15906-1LS-130-31-E85-Unleaded</v>
      </c>
      <c r="AN238" s="662" t="str">
        <f t="shared" si="25"/>
        <v>2019-SUV-CHV-SUBN-003</v>
      </c>
    </row>
    <row r="239" spans="1:40" s="572" customFormat="1" ht="15">
      <c r="A239" s="570" t="s">
        <v>769</v>
      </c>
      <c r="B239" s="573" t="s">
        <v>767</v>
      </c>
      <c r="C239" s="573" t="s">
        <v>150</v>
      </c>
      <c r="D239" s="578">
        <v>13</v>
      </c>
      <c r="E239" s="573" t="s">
        <v>699</v>
      </c>
      <c r="F239" s="573" t="s">
        <v>187</v>
      </c>
      <c r="G239" s="573" t="s">
        <v>153</v>
      </c>
      <c r="H239" s="573">
        <v>2019</v>
      </c>
      <c r="I239" s="573" t="s">
        <v>750</v>
      </c>
      <c r="J239" s="573" t="s">
        <v>174</v>
      </c>
      <c r="K239" s="573" t="s">
        <v>752</v>
      </c>
      <c r="L239" s="573">
        <v>8</v>
      </c>
      <c r="M239" s="573">
        <v>0</v>
      </c>
      <c r="N239" s="573" t="s">
        <v>157</v>
      </c>
      <c r="O239" s="573">
        <v>3</v>
      </c>
      <c r="P239" s="573" t="s">
        <v>157</v>
      </c>
      <c r="Q239" s="571">
        <v>5000</v>
      </c>
      <c r="R239" s="573" t="s">
        <v>753</v>
      </c>
      <c r="S239" s="573">
        <v>8</v>
      </c>
      <c r="T239" s="573" t="s">
        <v>754</v>
      </c>
      <c r="U239" s="573" t="s">
        <v>732</v>
      </c>
      <c r="V239" s="573">
        <v>130</v>
      </c>
      <c r="W239" s="573">
        <v>31</v>
      </c>
      <c r="X239" s="571">
        <v>7500</v>
      </c>
      <c r="Y239" s="573">
        <v>18</v>
      </c>
      <c r="Z239" s="579" t="s">
        <v>450</v>
      </c>
      <c r="AA239" s="579" t="s">
        <v>178</v>
      </c>
      <c r="AB239" s="584">
        <v>54895</v>
      </c>
      <c r="AC239" s="584" t="s">
        <v>164</v>
      </c>
      <c r="AD239" s="584">
        <v>47061</v>
      </c>
      <c r="AE239" s="586">
        <v>0.03</v>
      </c>
      <c r="AF239" s="661" t="s">
        <v>770</v>
      </c>
      <c r="AG239" s="661" t="str">
        <f>IF(AND($Y239&gt;=32,(AI239="I"),(Y239&lt;&gt;"~"),(COUNTIF($AN$1:$AN239,$AN239)=1)),"TRUE","FALSE")</f>
        <v>FALSE</v>
      </c>
      <c r="AH239" s="661" t="str">
        <f>IF(AND($Y239&gt;=22, (AI239&lt;&gt;"I"),(Y239&lt;&gt;"~"),(COUNTIF($AN$1:$AN239,$AN239)=1)),"TRUE","FALSE")</f>
        <v>FALSE</v>
      </c>
      <c r="AI239" s="661" t="str">
        <f t="shared" si="27"/>
        <v>II</v>
      </c>
      <c r="AJ239" s="662" t="str">
        <f t="shared" si="22"/>
        <v>SUBN-003</v>
      </c>
      <c r="AK239" s="662" t="str">
        <f t="shared" si="23"/>
        <v>SUV</v>
      </c>
      <c r="AL239" s="662" t="str">
        <f t="shared" si="24"/>
        <v>CHV</v>
      </c>
      <c r="AM239" s="662" t="str">
        <f t="shared" si="26"/>
        <v>Suburban-LS-4WD-8-~-5000-5.3L-8-CK15906-1LS-130-31-E85-Unleaded</v>
      </c>
      <c r="AN239" s="662" t="str">
        <f t="shared" si="25"/>
        <v>2019-SUV-CHV-SUBN-003</v>
      </c>
    </row>
    <row r="240" spans="1:40" s="572" customFormat="1" ht="15">
      <c r="A240" s="570" t="s">
        <v>771</v>
      </c>
      <c r="B240" s="569" t="s">
        <v>767</v>
      </c>
      <c r="C240" s="569" t="s">
        <v>166</v>
      </c>
      <c r="D240" s="580">
        <v>17</v>
      </c>
      <c r="E240" s="569" t="s">
        <v>699</v>
      </c>
      <c r="F240" s="569" t="s">
        <v>187</v>
      </c>
      <c r="G240" s="569" t="s">
        <v>153</v>
      </c>
      <c r="H240" s="569">
        <v>2019</v>
      </c>
      <c r="I240" s="569" t="s">
        <v>750</v>
      </c>
      <c r="J240" s="569" t="s">
        <v>174</v>
      </c>
      <c r="K240" s="569" t="s">
        <v>752</v>
      </c>
      <c r="L240" s="569">
        <v>8</v>
      </c>
      <c r="M240" s="569">
        <v>0</v>
      </c>
      <c r="N240" s="569" t="s">
        <v>157</v>
      </c>
      <c r="O240" s="569">
        <v>3</v>
      </c>
      <c r="P240" s="569" t="s">
        <v>157</v>
      </c>
      <c r="Q240" s="568">
        <v>5000</v>
      </c>
      <c r="R240" s="569" t="s">
        <v>753</v>
      </c>
      <c r="S240" s="569">
        <v>8</v>
      </c>
      <c r="T240" s="569" t="s">
        <v>754</v>
      </c>
      <c r="U240" s="569" t="s">
        <v>732</v>
      </c>
      <c r="V240" s="569">
        <v>130</v>
      </c>
      <c r="W240" s="569">
        <v>31</v>
      </c>
      <c r="X240" s="568">
        <v>7500</v>
      </c>
      <c r="Y240" s="569">
        <v>18</v>
      </c>
      <c r="Z240" s="581" t="s">
        <v>450</v>
      </c>
      <c r="AA240" s="581" t="s">
        <v>178</v>
      </c>
      <c r="AB240" s="585">
        <v>54895</v>
      </c>
      <c r="AC240" s="585" t="s">
        <v>164</v>
      </c>
      <c r="AD240" s="585">
        <v>44655</v>
      </c>
      <c r="AE240" s="587">
        <v>7.1999999999999995E-2</v>
      </c>
      <c r="AF240" s="661" t="s">
        <v>772</v>
      </c>
      <c r="AG240" s="661" t="str">
        <f>IF(AND($Y240&gt;=32,(AI240="I"),(Y240&lt;&gt;"~"),(COUNTIF($AN$1:$AN240,$AN240)=1)),"TRUE","FALSE")</f>
        <v>FALSE</v>
      </c>
      <c r="AH240" s="661" t="str">
        <f>IF(AND($Y240&gt;=22, (AI240&lt;&gt;"I"),(Y240&lt;&gt;"~"),(COUNTIF($AN$1:$AN240,$AN240)=1)),"TRUE","FALSE")</f>
        <v>FALSE</v>
      </c>
      <c r="AI240" s="661" t="str">
        <f t="shared" si="27"/>
        <v>II</v>
      </c>
      <c r="AJ240" s="662" t="str">
        <f t="shared" si="22"/>
        <v>SUBN-003</v>
      </c>
      <c r="AK240" s="662" t="str">
        <f t="shared" si="23"/>
        <v>SUV</v>
      </c>
      <c r="AL240" s="662" t="str">
        <f t="shared" si="24"/>
        <v>CHV</v>
      </c>
      <c r="AM240" s="662" t="str">
        <f t="shared" si="26"/>
        <v>Suburban-LS-4WD-8-~-5000-5.3L-8-CK15906-1LS-130-31-E85-Unleaded</v>
      </c>
      <c r="AN240" s="662" t="str">
        <f t="shared" si="25"/>
        <v>2019-SUV-CHV-SUBN-003</v>
      </c>
    </row>
    <row r="241" spans="1:40" s="572" customFormat="1" ht="15">
      <c r="A241" s="570" t="s">
        <v>773</v>
      </c>
      <c r="B241" s="573" t="s">
        <v>774</v>
      </c>
      <c r="C241" s="573" t="s">
        <v>169</v>
      </c>
      <c r="D241" s="578">
        <v>11</v>
      </c>
      <c r="E241" s="573" t="s">
        <v>699</v>
      </c>
      <c r="F241" s="573" t="s">
        <v>187</v>
      </c>
      <c r="G241" s="573" t="s">
        <v>153</v>
      </c>
      <c r="H241" s="573">
        <v>2019</v>
      </c>
      <c r="I241" s="573" t="s">
        <v>750</v>
      </c>
      <c r="J241" s="573" t="s">
        <v>174</v>
      </c>
      <c r="K241" s="573" t="s">
        <v>236</v>
      </c>
      <c r="L241" s="573">
        <v>8</v>
      </c>
      <c r="M241" s="573">
        <v>0</v>
      </c>
      <c r="N241" s="573" t="s">
        <v>157</v>
      </c>
      <c r="O241" s="573">
        <v>3</v>
      </c>
      <c r="P241" s="573" t="s">
        <v>157</v>
      </c>
      <c r="Q241" s="571">
        <v>5000</v>
      </c>
      <c r="R241" s="573" t="s">
        <v>753</v>
      </c>
      <c r="S241" s="573">
        <v>8</v>
      </c>
      <c r="T241" s="573" t="s">
        <v>762</v>
      </c>
      <c r="U241" s="573" t="s">
        <v>732</v>
      </c>
      <c r="V241" s="573">
        <v>130</v>
      </c>
      <c r="W241" s="573">
        <v>31</v>
      </c>
      <c r="X241" s="571">
        <v>7300</v>
      </c>
      <c r="Y241" s="573">
        <v>19</v>
      </c>
      <c r="Z241" s="579" t="s">
        <v>450</v>
      </c>
      <c r="AA241" s="579" t="s">
        <v>178</v>
      </c>
      <c r="AB241" s="584">
        <v>51895</v>
      </c>
      <c r="AC241" s="584" t="s">
        <v>164</v>
      </c>
      <c r="AD241" s="584">
        <v>41007.5</v>
      </c>
      <c r="AE241" s="586">
        <v>0.05</v>
      </c>
      <c r="AF241" s="661" t="s">
        <v>775</v>
      </c>
      <c r="AG241" s="661" t="str">
        <f>IF(AND($Y241&gt;=32,(AI241="I"),(Y241&lt;&gt;"~"),(COUNTIF($AN$1:$AN241,$AN241)=1)),"TRUE","FALSE")</f>
        <v>FALSE</v>
      </c>
      <c r="AH241" s="661" t="str">
        <f>IF(AND($Y241&gt;=22, (AI241&lt;&gt;"I"),(Y241&lt;&gt;"~"),(COUNTIF($AN$1:$AN241,$AN241)=1)),"TRUE","FALSE")</f>
        <v>FALSE</v>
      </c>
      <c r="AI241" s="661" t="str">
        <f t="shared" si="27"/>
        <v>II</v>
      </c>
      <c r="AJ241" s="662" t="str">
        <f t="shared" si="22"/>
        <v>SUBN-004</v>
      </c>
      <c r="AK241" s="662" t="str">
        <f t="shared" si="23"/>
        <v>SUV</v>
      </c>
      <c r="AL241" s="662" t="str">
        <f t="shared" si="24"/>
        <v>CHV</v>
      </c>
      <c r="AM241" s="662" t="str">
        <f t="shared" si="26"/>
        <v>Suburban-LS-RWD-8-~-5000-5.3L-8-CC15906-1LS-130-31-E85-Unleaded</v>
      </c>
      <c r="AN241" s="662" t="str">
        <f t="shared" si="25"/>
        <v>2019-SUV-CHV-SUBN-004</v>
      </c>
    </row>
    <row r="242" spans="1:40" s="572" customFormat="1" ht="15">
      <c r="A242" s="570" t="s">
        <v>776</v>
      </c>
      <c r="B242" s="569" t="s">
        <v>774</v>
      </c>
      <c r="C242" s="569" t="s">
        <v>150</v>
      </c>
      <c r="D242" s="580">
        <v>13</v>
      </c>
      <c r="E242" s="569" t="s">
        <v>699</v>
      </c>
      <c r="F242" s="569" t="s">
        <v>187</v>
      </c>
      <c r="G242" s="569" t="s">
        <v>153</v>
      </c>
      <c r="H242" s="569">
        <v>2019</v>
      </c>
      <c r="I242" s="569" t="s">
        <v>750</v>
      </c>
      <c r="J242" s="569" t="s">
        <v>174</v>
      </c>
      <c r="K242" s="569" t="s">
        <v>236</v>
      </c>
      <c r="L242" s="569">
        <v>8</v>
      </c>
      <c r="M242" s="569">
        <v>0</v>
      </c>
      <c r="N242" s="569" t="s">
        <v>157</v>
      </c>
      <c r="O242" s="569">
        <v>3</v>
      </c>
      <c r="P242" s="569" t="s">
        <v>157</v>
      </c>
      <c r="Q242" s="568">
        <v>5000</v>
      </c>
      <c r="R242" s="569" t="s">
        <v>753</v>
      </c>
      <c r="S242" s="569">
        <v>8</v>
      </c>
      <c r="T242" s="569" t="s">
        <v>762</v>
      </c>
      <c r="U242" s="569" t="s">
        <v>732</v>
      </c>
      <c r="V242" s="569">
        <v>130</v>
      </c>
      <c r="W242" s="569">
        <v>31</v>
      </c>
      <c r="X242" s="568">
        <v>7300</v>
      </c>
      <c r="Y242" s="569">
        <v>19</v>
      </c>
      <c r="Z242" s="581" t="s">
        <v>450</v>
      </c>
      <c r="AA242" s="581" t="s">
        <v>178</v>
      </c>
      <c r="AB242" s="585">
        <v>51895</v>
      </c>
      <c r="AC242" s="585" t="s">
        <v>164</v>
      </c>
      <c r="AD242" s="585">
        <v>40474</v>
      </c>
      <c r="AE242" s="587">
        <v>0.03</v>
      </c>
      <c r="AF242" s="661" t="s">
        <v>777</v>
      </c>
      <c r="AG242" s="661" t="str">
        <f>IF(AND($Y242&gt;=32,(AI242="I"),(Y242&lt;&gt;"~"),(COUNTIF($AN$1:$AN242,$AN242)=1)),"TRUE","FALSE")</f>
        <v>FALSE</v>
      </c>
      <c r="AH242" s="661" t="str">
        <f>IF(AND($Y242&gt;=22, (AI242&lt;&gt;"I"),(Y242&lt;&gt;"~"),(COUNTIF($AN$1:$AN242,$AN242)=1)),"TRUE","FALSE")</f>
        <v>FALSE</v>
      </c>
      <c r="AI242" s="661" t="str">
        <f t="shared" si="27"/>
        <v>II</v>
      </c>
      <c r="AJ242" s="662" t="str">
        <f t="shared" si="22"/>
        <v>SUBN-004</v>
      </c>
      <c r="AK242" s="662" t="str">
        <f t="shared" si="23"/>
        <v>SUV</v>
      </c>
      <c r="AL242" s="662" t="str">
        <f t="shared" si="24"/>
        <v>CHV</v>
      </c>
      <c r="AM242" s="662" t="str">
        <f t="shared" si="26"/>
        <v>Suburban-LS-RWD-8-~-5000-5.3L-8-CC15906-1LS-130-31-E85-Unleaded</v>
      </c>
      <c r="AN242" s="662" t="str">
        <f t="shared" si="25"/>
        <v>2019-SUV-CHV-SUBN-004</v>
      </c>
    </row>
    <row r="243" spans="1:40" s="572" customFormat="1" ht="15">
      <c r="A243" s="570" t="s">
        <v>778</v>
      </c>
      <c r="B243" s="573" t="s">
        <v>774</v>
      </c>
      <c r="C243" s="573" t="s">
        <v>166</v>
      </c>
      <c r="D243" s="578">
        <v>17</v>
      </c>
      <c r="E243" s="573" t="s">
        <v>699</v>
      </c>
      <c r="F243" s="573" t="s">
        <v>187</v>
      </c>
      <c r="G243" s="573" t="s">
        <v>153</v>
      </c>
      <c r="H243" s="573">
        <v>2019</v>
      </c>
      <c r="I243" s="573" t="s">
        <v>750</v>
      </c>
      <c r="J243" s="573" t="s">
        <v>174</v>
      </c>
      <c r="K243" s="573" t="s">
        <v>236</v>
      </c>
      <c r="L243" s="573">
        <v>8</v>
      </c>
      <c r="M243" s="573">
        <v>0</v>
      </c>
      <c r="N243" s="573" t="s">
        <v>157</v>
      </c>
      <c r="O243" s="573">
        <v>3</v>
      </c>
      <c r="P243" s="573" t="s">
        <v>157</v>
      </c>
      <c r="Q243" s="571">
        <v>5000</v>
      </c>
      <c r="R243" s="573" t="s">
        <v>753</v>
      </c>
      <c r="S243" s="573">
        <v>8</v>
      </c>
      <c r="T243" s="573" t="s">
        <v>762</v>
      </c>
      <c r="U243" s="573" t="s">
        <v>732</v>
      </c>
      <c r="V243" s="573">
        <v>130</v>
      </c>
      <c r="W243" s="573">
        <v>31</v>
      </c>
      <c r="X243" s="571">
        <v>7300</v>
      </c>
      <c r="Y243" s="573">
        <v>19</v>
      </c>
      <c r="Z243" s="579" t="s">
        <v>450</v>
      </c>
      <c r="AA243" s="579" t="s">
        <v>178</v>
      </c>
      <c r="AB243" s="584">
        <v>51895</v>
      </c>
      <c r="AC243" s="584" t="s">
        <v>164</v>
      </c>
      <c r="AD243" s="584">
        <v>41300</v>
      </c>
      <c r="AE243" s="586">
        <v>7.1999999999999995E-2</v>
      </c>
      <c r="AF243" s="661" t="s">
        <v>779</v>
      </c>
      <c r="AG243" s="661" t="str">
        <f>IF(AND($Y243&gt;=32,(AI243="I"),(Y243&lt;&gt;"~"),(COUNTIF($AN$1:$AN243,$AN243)=1)),"TRUE","FALSE")</f>
        <v>FALSE</v>
      </c>
      <c r="AH243" s="661" t="str">
        <f>IF(AND($Y243&gt;=22, (AI243&lt;&gt;"I"),(Y243&lt;&gt;"~"),(COUNTIF($AN$1:$AN243,$AN243)=1)),"TRUE","FALSE")</f>
        <v>FALSE</v>
      </c>
      <c r="AI243" s="661" t="str">
        <f t="shared" si="27"/>
        <v>II</v>
      </c>
      <c r="AJ243" s="662" t="str">
        <f t="shared" si="22"/>
        <v>SUBN-004</v>
      </c>
      <c r="AK243" s="662" t="str">
        <f t="shared" si="23"/>
        <v>SUV</v>
      </c>
      <c r="AL243" s="662" t="str">
        <f t="shared" si="24"/>
        <v>CHV</v>
      </c>
      <c r="AM243" s="662" t="str">
        <f t="shared" si="26"/>
        <v>Suburban-LS-RWD-8-~-5000-5.3L-8-CC15906-1LS-130-31-E85-Unleaded</v>
      </c>
      <c r="AN243" s="662" t="str">
        <f t="shared" si="25"/>
        <v>2019-SUV-CHV-SUBN-004</v>
      </c>
    </row>
    <row r="244" spans="1:40" s="572" customFormat="1" ht="15">
      <c r="A244" s="570" t="s">
        <v>780</v>
      </c>
      <c r="B244" s="569" t="s">
        <v>781</v>
      </c>
      <c r="C244" s="569" t="s">
        <v>169</v>
      </c>
      <c r="D244" s="580">
        <v>11</v>
      </c>
      <c r="E244" s="569" t="s">
        <v>699</v>
      </c>
      <c r="F244" s="569" t="s">
        <v>187</v>
      </c>
      <c r="G244" s="569" t="s">
        <v>153</v>
      </c>
      <c r="H244" s="569">
        <v>2019</v>
      </c>
      <c r="I244" s="569" t="s">
        <v>750</v>
      </c>
      <c r="J244" s="569" t="s">
        <v>155</v>
      </c>
      <c r="K244" s="569" t="s">
        <v>752</v>
      </c>
      <c r="L244" s="569">
        <v>8</v>
      </c>
      <c r="M244" s="569">
        <v>0</v>
      </c>
      <c r="N244" s="569" t="s">
        <v>157</v>
      </c>
      <c r="O244" s="569">
        <v>3</v>
      </c>
      <c r="P244" s="569" t="s">
        <v>157</v>
      </c>
      <c r="Q244" s="568">
        <v>5000</v>
      </c>
      <c r="R244" s="569" t="s">
        <v>753</v>
      </c>
      <c r="S244" s="569">
        <v>8</v>
      </c>
      <c r="T244" s="569" t="s">
        <v>754</v>
      </c>
      <c r="U244" s="569" t="s">
        <v>213</v>
      </c>
      <c r="V244" s="569">
        <v>130</v>
      </c>
      <c r="W244" s="569">
        <v>31</v>
      </c>
      <c r="X244" s="568">
        <v>7500</v>
      </c>
      <c r="Y244" s="569">
        <v>18</v>
      </c>
      <c r="Z244" s="581" t="s">
        <v>450</v>
      </c>
      <c r="AA244" s="581" t="s">
        <v>178</v>
      </c>
      <c r="AB244" s="585">
        <v>59895</v>
      </c>
      <c r="AC244" s="585" t="s">
        <v>164</v>
      </c>
      <c r="AD244" s="585">
        <v>48607.5</v>
      </c>
      <c r="AE244" s="587">
        <v>0.05</v>
      </c>
      <c r="AF244" s="661" t="s">
        <v>782</v>
      </c>
      <c r="AG244" s="661" t="str">
        <f>IF(AND($Y244&gt;=32,(AI244="I"),(Y244&lt;&gt;"~"),(COUNTIF($AN$1:$AN244,$AN244)=1)),"TRUE","FALSE")</f>
        <v>FALSE</v>
      </c>
      <c r="AH244" s="661" t="str">
        <f>IF(AND($Y244&gt;=22, (AI244&lt;&gt;"I"),(Y244&lt;&gt;"~"),(COUNTIF($AN$1:$AN244,$AN244)=1)),"TRUE","FALSE")</f>
        <v>FALSE</v>
      </c>
      <c r="AI244" s="661" t="str">
        <f t="shared" si="27"/>
        <v>II</v>
      </c>
      <c r="AJ244" s="662" t="str">
        <f t="shared" si="22"/>
        <v>SUBN-005</v>
      </c>
      <c r="AK244" s="662" t="str">
        <f t="shared" si="23"/>
        <v>SUV</v>
      </c>
      <c r="AL244" s="662" t="str">
        <f t="shared" si="24"/>
        <v>CHV</v>
      </c>
      <c r="AM244" s="662" t="str">
        <f t="shared" si="26"/>
        <v>Suburban-LT-4WD-8-~-5000-5.3L-8-CK15906-1LT-130-31-E85-Unleaded</v>
      </c>
      <c r="AN244" s="662" t="str">
        <f t="shared" si="25"/>
        <v>2019-SUV-CHV-SUBN-005</v>
      </c>
    </row>
    <row r="245" spans="1:40" s="572" customFormat="1" ht="15">
      <c r="A245" s="570" t="s">
        <v>783</v>
      </c>
      <c r="B245" s="573" t="s">
        <v>781</v>
      </c>
      <c r="C245" s="573" t="s">
        <v>150</v>
      </c>
      <c r="D245" s="578">
        <v>13</v>
      </c>
      <c r="E245" s="573" t="s">
        <v>699</v>
      </c>
      <c r="F245" s="573" t="s">
        <v>187</v>
      </c>
      <c r="G245" s="573" t="s">
        <v>153</v>
      </c>
      <c r="H245" s="573">
        <v>2019</v>
      </c>
      <c r="I245" s="573" t="s">
        <v>750</v>
      </c>
      <c r="J245" s="573" t="s">
        <v>155</v>
      </c>
      <c r="K245" s="573" t="s">
        <v>752</v>
      </c>
      <c r="L245" s="573">
        <v>8</v>
      </c>
      <c r="M245" s="573">
        <v>0</v>
      </c>
      <c r="N245" s="573" t="s">
        <v>157</v>
      </c>
      <c r="O245" s="573">
        <v>3</v>
      </c>
      <c r="P245" s="573" t="s">
        <v>157</v>
      </c>
      <c r="Q245" s="571">
        <v>5000</v>
      </c>
      <c r="R245" s="573" t="s">
        <v>753</v>
      </c>
      <c r="S245" s="573">
        <v>8</v>
      </c>
      <c r="T245" s="573" t="s">
        <v>754</v>
      </c>
      <c r="U245" s="573" t="s">
        <v>213</v>
      </c>
      <c r="V245" s="573">
        <v>130</v>
      </c>
      <c r="W245" s="573">
        <v>31</v>
      </c>
      <c r="X245" s="571">
        <v>7500</v>
      </c>
      <c r="Y245" s="573">
        <v>18</v>
      </c>
      <c r="Z245" s="579" t="s">
        <v>450</v>
      </c>
      <c r="AA245" s="579" t="s">
        <v>178</v>
      </c>
      <c r="AB245" s="584">
        <v>59895</v>
      </c>
      <c r="AC245" s="584" t="s">
        <v>164</v>
      </c>
      <c r="AD245" s="584">
        <v>50329</v>
      </c>
      <c r="AE245" s="586">
        <v>0.03</v>
      </c>
      <c r="AF245" s="661" t="s">
        <v>784</v>
      </c>
      <c r="AG245" s="661" t="str">
        <f>IF(AND($Y245&gt;=32,(AI245="I"),(Y245&lt;&gt;"~"),(COUNTIF($AN$1:$AN245,$AN245)=1)),"TRUE","FALSE")</f>
        <v>FALSE</v>
      </c>
      <c r="AH245" s="661" t="str">
        <f>IF(AND($Y245&gt;=22, (AI245&lt;&gt;"I"),(Y245&lt;&gt;"~"),(COUNTIF($AN$1:$AN245,$AN245)=1)),"TRUE","FALSE")</f>
        <v>FALSE</v>
      </c>
      <c r="AI245" s="661" t="str">
        <f t="shared" si="27"/>
        <v>II</v>
      </c>
      <c r="AJ245" s="662" t="str">
        <f t="shared" si="22"/>
        <v>SUBN-005</v>
      </c>
      <c r="AK245" s="662" t="str">
        <f t="shared" si="23"/>
        <v>SUV</v>
      </c>
      <c r="AL245" s="662" t="str">
        <f t="shared" si="24"/>
        <v>CHV</v>
      </c>
      <c r="AM245" s="662" t="str">
        <f t="shared" si="26"/>
        <v>Suburban-LT-4WD-8-~-5000-5.3L-8-CK15906-1LT-130-31-E85-Unleaded</v>
      </c>
      <c r="AN245" s="662" t="str">
        <f t="shared" si="25"/>
        <v>2019-SUV-CHV-SUBN-005</v>
      </c>
    </row>
    <row r="246" spans="1:40" s="572" customFormat="1" ht="15">
      <c r="A246" s="570" t="s">
        <v>785</v>
      </c>
      <c r="B246" s="569" t="s">
        <v>781</v>
      </c>
      <c r="C246" s="569" t="s">
        <v>166</v>
      </c>
      <c r="D246" s="580">
        <v>17</v>
      </c>
      <c r="E246" s="569" t="s">
        <v>699</v>
      </c>
      <c r="F246" s="569" t="s">
        <v>187</v>
      </c>
      <c r="G246" s="569" t="s">
        <v>153</v>
      </c>
      <c r="H246" s="569">
        <v>2019</v>
      </c>
      <c r="I246" s="569" t="s">
        <v>750</v>
      </c>
      <c r="J246" s="569" t="s">
        <v>155</v>
      </c>
      <c r="K246" s="569" t="s">
        <v>752</v>
      </c>
      <c r="L246" s="569">
        <v>8</v>
      </c>
      <c r="M246" s="569">
        <v>0</v>
      </c>
      <c r="N246" s="569" t="s">
        <v>157</v>
      </c>
      <c r="O246" s="569">
        <v>3</v>
      </c>
      <c r="P246" s="569" t="s">
        <v>157</v>
      </c>
      <c r="Q246" s="568">
        <v>5000</v>
      </c>
      <c r="R246" s="569" t="s">
        <v>753</v>
      </c>
      <c r="S246" s="569">
        <v>8</v>
      </c>
      <c r="T246" s="569" t="s">
        <v>754</v>
      </c>
      <c r="U246" s="569" t="s">
        <v>213</v>
      </c>
      <c r="V246" s="569">
        <v>130</v>
      </c>
      <c r="W246" s="569">
        <v>31</v>
      </c>
      <c r="X246" s="568">
        <v>7500</v>
      </c>
      <c r="Y246" s="569">
        <v>18</v>
      </c>
      <c r="Z246" s="581" t="s">
        <v>450</v>
      </c>
      <c r="AA246" s="581" t="s">
        <v>178</v>
      </c>
      <c r="AB246" s="585">
        <v>59895</v>
      </c>
      <c r="AC246" s="585" t="s">
        <v>164</v>
      </c>
      <c r="AD246" s="585">
        <v>49896.46</v>
      </c>
      <c r="AE246" s="587">
        <v>7.1999999999999995E-2</v>
      </c>
      <c r="AF246" s="661" t="s">
        <v>786</v>
      </c>
      <c r="AG246" s="661" t="str">
        <f>IF(AND($Y246&gt;=32,(AI246="I"),(Y246&lt;&gt;"~"),(COUNTIF($AN$1:$AN246,$AN246)=1)),"TRUE","FALSE")</f>
        <v>FALSE</v>
      </c>
      <c r="AH246" s="661" t="str">
        <f>IF(AND($Y246&gt;=22, (AI246&lt;&gt;"I"),(Y246&lt;&gt;"~"),(COUNTIF($AN$1:$AN246,$AN246)=1)),"TRUE","FALSE")</f>
        <v>FALSE</v>
      </c>
      <c r="AI246" s="661" t="str">
        <f t="shared" si="27"/>
        <v>II</v>
      </c>
      <c r="AJ246" s="662" t="str">
        <f t="shared" si="22"/>
        <v>SUBN-005</v>
      </c>
      <c r="AK246" s="662" t="str">
        <f t="shared" si="23"/>
        <v>SUV</v>
      </c>
      <c r="AL246" s="662" t="str">
        <f t="shared" si="24"/>
        <v>CHV</v>
      </c>
      <c r="AM246" s="662" t="str">
        <f t="shared" si="26"/>
        <v>Suburban-LT-4WD-8-~-5000-5.3L-8-CK15906-1LT-130-31-E85-Unleaded</v>
      </c>
      <c r="AN246" s="662" t="str">
        <f t="shared" si="25"/>
        <v>2019-SUV-CHV-SUBN-005</v>
      </c>
    </row>
    <row r="247" spans="1:40" s="572" customFormat="1" ht="15">
      <c r="A247" s="570" t="s">
        <v>787</v>
      </c>
      <c r="B247" s="573" t="s">
        <v>788</v>
      </c>
      <c r="C247" s="573" t="s">
        <v>169</v>
      </c>
      <c r="D247" s="578">
        <v>11</v>
      </c>
      <c r="E247" s="573" t="s">
        <v>699</v>
      </c>
      <c r="F247" s="573" t="s">
        <v>187</v>
      </c>
      <c r="G247" s="573" t="s">
        <v>153</v>
      </c>
      <c r="H247" s="573">
        <v>2019</v>
      </c>
      <c r="I247" s="573" t="s">
        <v>750</v>
      </c>
      <c r="J247" s="573" t="s">
        <v>155</v>
      </c>
      <c r="K247" s="573" t="s">
        <v>236</v>
      </c>
      <c r="L247" s="573">
        <v>8</v>
      </c>
      <c r="M247" s="573">
        <v>0</v>
      </c>
      <c r="N247" s="573" t="s">
        <v>157</v>
      </c>
      <c r="O247" s="573">
        <v>3</v>
      </c>
      <c r="P247" s="573" t="s">
        <v>157</v>
      </c>
      <c r="Q247" s="571">
        <v>5000</v>
      </c>
      <c r="R247" s="573" t="s">
        <v>753</v>
      </c>
      <c r="S247" s="573">
        <v>8</v>
      </c>
      <c r="T247" s="573" t="s">
        <v>762</v>
      </c>
      <c r="U247" s="573" t="s">
        <v>213</v>
      </c>
      <c r="V247" s="573">
        <v>130</v>
      </c>
      <c r="W247" s="573">
        <v>31</v>
      </c>
      <c r="X247" s="571">
        <v>7300</v>
      </c>
      <c r="Y247" s="573">
        <v>19</v>
      </c>
      <c r="Z247" s="579" t="s">
        <v>450</v>
      </c>
      <c r="AA247" s="579" t="s">
        <v>178</v>
      </c>
      <c r="AB247" s="584">
        <v>56895</v>
      </c>
      <c r="AC247" s="584" t="s">
        <v>164</v>
      </c>
      <c r="AD247" s="584">
        <v>45757.5</v>
      </c>
      <c r="AE247" s="586">
        <v>0.05</v>
      </c>
      <c r="AF247" s="661" t="s">
        <v>789</v>
      </c>
      <c r="AG247" s="661" t="str">
        <f>IF(AND($Y247&gt;=32,(AI247="I"),(Y247&lt;&gt;"~"),(COUNTIF($AN$1:$AN247,$AN247)=1)),"TRUE","FALSE")</f>
        <v>FALSE</v>
      </c>
      <c r="AH247" s="661" t="str">
        <f>IF(AND($Y247&gt;=22, (AI247&lt;&gt;"I"),(Y247&lt;&gt;"~"),(COUNTIF($AN$1:$AN247,$AN247)=1)),"TRUE","FALSE")</f>
        <v>FALSE</v>
      </c>
      <c r="AI247" s="661" t="str">
        <f t="shared" si="27"/>
        <v>II</v>
      </c>
      <c r="AJ247" s="662" t="str">
        <f t="shared" si="22"/>
        <v>SUBN-006</v>
      </c>
      <c r="AK247" s="662" t="str">
        <f t="shared" si="23"/>
        <v>SUV</v>
      </c>
      <c r="AL247" s="662" t="str">
        <f t="shared" si="24"/>
        <v>CHV</v>
      </c>
      <c r="AM247" s="662" t="str">
        <f t="shared" si="26"/>
        <v>Suburban-LT-RWD-8-~-5000-5.3L-8-CC15906-1LT-130-31-E85-Unleaded</v>
      </c>
      <c r="AN247" s="662" t="str">
        <f t="shared" si="25"/>
        <v>2019-SUV-CHV-SUBN-006</v>
      </c>
    </row>
    <row r="248" spans="1:40" s="572" customFormat="1" ht="15">
      <c r="A248" s="570" t="s">
        <v>790</v>
      </c>
      <c r="B248" s="569" t="s">
        <v>788</v>
      </c>
      <c r="C248" s="569" t="s">
        <v>150</v>
      </c>
      <c r="D248" s="580">
        <v>13</v>
      </c>
      <c r="E248" s="569" t="s">
        <v>699</v>
      </c>
      <c r="F248" s="569" t="s">
        <v>187</v>
      </c>
      <c r="G248" s="569" t="s">
        <v>153</v>
      </c>
      <c r="H248" s="569">
        <v>2019</v>
      </c>
      <c r="I248" s="569" t="s">
        <v>750</v>
      </c>
      <c r="J248" s="569" t="s">
        <v>155</v>
      </c>
      <c r="K248" s="569" t="s">
        <v>236</v>
      </c>
      <c r="L248" s="569">
        <v>8</v>
      </c>
      <c r="M248" s="569">
        <v>0</v>
      </c>
      <c r="N248" s="569" t="s">
        <v>157</v>
      </c>
      <c r="O248" s="569">
        <v>3</v>
      </c>
      <c r="P248" s="569" t="s">
        <v>157</v>
      </c>
      <c r="Q248" s="568">
        <v>5000</v>
      </c>
      <c r="R248" s="569" t="s">
        <v>753</v>
      </c>
      <c r="S248" s="569">
        <v>8</v>
      </c>
      <c r="T248" s="569" t="s">
        <v>762</v>
      </c>
      <c r="U248" s="569" t="s">
        <v>213</v>
      </c>
      <c r="V248" s="569">
        <v>130</v>
      </c>
      <c r="W248" s="569">
        <v>31</v>
      </c>
      <c r="X248" s="568">
        <v>7300</v>
      </c>
      <c r="Y248" s="569">
        <v>19</v>
      </c>
      <c r="Z248" s="581" t="s">
        <v>450</v>
      </c>
      <c r="AA248" s="581" t="s">
        <v>178</v>
      </c>
      <c r="AB248" s="585">
        <v>56895</v>
      </c>
      <c r="AC248" s="585" t="s">
        <v>164</v>
      </c>
      <c r="AD248" s="585">
        <v>47599</v>
      </c>
      <c r="AE248" s="587">
        <v>0.03</v>
      </c>
      <c r="AF248" s="661" t="s">
        <v>791</v>
      </c>
      <c r="AG248" s="661" t="str">
        <f>IF(AND($Y248&gt;=32,(AI248="I"),(Y248&lt;&gt;"~"),(COUNTIF($AN$1:$AN248,$AN248)=1)),"TRUE","FALSE")</f>
        <v>FALSE</v>
      </c>
      <c r="AH248" s="661" t="str">
        <f>IF(AND($Y248&gt;=22, (AI248&lt;&gt;"I"),(Y248&lt;&gt;"~"),(COUNTIF($AN$1:$AN248,$AN248)=1)),"TRUE","FALSE")</f>
        <v>FALSE</v>
      </c>
      <c r="AI248" s="661" t="str">
        <f t="shared" si="27"/>
        <v>II</v>
      </c>
      <c r="AJ248" s="662" t="str">
        <f t="shared" si="22"/>
        <v>SUBN-006</v>
      </c>
      <c r="AK248" s="662" t="str">
        <f t="shared" si="23"/>
        <v>SUV</v>
      </c>
      <c r="AL248" s="662" t="str">
        <f t="shared" si="24"/>
        <v>CHV</v>
      </c>
      <c r="AM248" s="662" t="str">
        <f t="shared" si="26"/>
        <v>Suburban-LT-RWD-8-~-5000-5.3L-8-CC15906-1LT-130-31-E85-Unleaded</v>
      </c>
      <c r="AN248" s="662" t="str">
        <f t="shared" si="25"/>
        <v>2019-SUV-CHV-SUBN-006</v>
      </c>
    </row>
    <row r="249" spans="1:40" s="572" customFormat="1" ht="15">
      <c r="A249" s="570" t="s">
        <v>792</v>
      </c>
      <c r="B249" s="573" t="s">
        <v>788</v>
      </c>
      <c r="C249" s="573" t="s">
        <v>166</v>
      </c>
      <c r="D249" s="578">
        <v>17</v>
      </c>
      <c r="E249" s="573" t="s">
        <v>699</v>
      </c>
      <c r="F249" s="573" t="s">
        <v>187</v>
      </c>
      <c r="G249" s="573" t="s">
        <v>153</v>
      </c>
      <c r="H249" s="573">
        <v>2019</v>
      </c>
      <c r="I249" s="573" t="s">
        <v>750</v>
      </c>
      <c r="J249" s="573" t="s">
        <v>155</v>
      </c>
      <c r="K249" s="573" t="s">
        <v>236</v>
      </c>
      <c r="L249" s="573">
        <v>8</v>
      </c>
      <c r="M249" s="573">
        <v>0</v>
      </c>
      <c r="N249" s="573" t="s">
        <v>157</v>
      </c>
      <c r="O249" s="573">
        <v>3</v>
      </c>
      <c r="P249" s="573" t="s">
        <v>157</v>
      </c>
      <c r="Q249" s="571">
        <v>5000</v>
      </c>
      <c r="R249" s="573" t="s">
        <v>753</v>
      </c>
      <c r="S249" s="573">
        <v>8</v>
      </c>
      <c r="T249" s="573" t="s">
        <v>762</v>
      </c>
      <c r="U249" s="573" t="s">
        <v>213</v>
      </c>
      <c r="V249" s="573">
        <v>130</v>
      </c>
      <c r="W249" s="573">
        <v>31</v>
      </c>
      <c r="X249" s="571">
        <v>7300</v>
      </c>
      <c r="Y249" s="573">
        <v>19</v>
      </c>
      <c r="Z249" s="579" t="s">
        <v>450</v>
      </c>
      <c r="AA249" s="579" t="s">
        <v>178</v>
      </c>
      <c r="AB249" s="584">
        <v>56895</v>
      </c>
      <c r="AC249" s="584" t="s">
        <v>164</v>
      </c>
      <c r="AD249" s="584">
        <v>46816.02</v>
      </c>
      <c r="AE249" s="586">
        <v>7.1999999999999995E-2</v>
      </c>
      <c r="AF249" s="661" t="s">
        <v>793</v>
      </c>
      <c r="AG249" s="661" t="str">
        <f>IF(AND($Y249&gt;=32,(AI249="I"),(Y249&lt;&gt;"~"),(COUNTIF($AN$1:$AN249,$AN249)=1)),"TRUE","FALSE")</f>
        <v>FALSE</v>
      </c>
      <c r="AH249" s="661" t="str">
        <f>IF(AND($Y249&gt;=22, (AI249&lt;&gt;"I"),(Y249&lt;&gt;"~"),(COUNTIF($AN$1:$AN249,$AN249)=1)),"TRUE","FALSE")</f>
        <v>FALSE</v>
      </c>
      <c r="AI249" s="661" t="str">
        <f t="shared" si="27"/>
        <v>II</v>
      </c>
      <c r="AJ249" s="662" t="str">
        <f t="shared" si="22"/>
        <v>SUBN-006</v>
      </c>
      <c r="AK249" s="662" t="str">
        <f t="shared" si="23"/>
        <v>SUV</v>
      </c>
      <c r="AL249" s="662" t="str">
        <f t="shared" si="24"/>
        <v>CHV</v>
      </c>
      <c r="AM249" s="662" t="str">
        <f t="shared" si="26"/>
        <v>Suburban-LT-RWD-8-~-5000-5.3L-8-CC15906-1LT-130-31-E85-Unleaded</v>
      </c>
      <c r="AN249" s="662" t="str">
        <f t="shared" si="25"/>
        <v>2019-SUV-CHV-SUBN-006</v>
      </c>
    </row>
    <row r="250" spans="1:40" s="572" customFormat="1" ht="15">
      <c r="A250" s="570" t="s">
        <v>794</v>
      </c>
      <c r="B250" s="569" t="s">
        <v>795</v>
      </c>
      <c r="C250" s="569" t="s">
        <v>169</v>
      </c>
      <c r="D250" s="580">
        <v>11</v>
      </c>
      <c r="E250" s="569" t="s">
        <v>699</v>
      </c>
      <c r="F250" s="569" t="s">
        <v>796</v>
      </c>
      <c r="G250" s="569" t="s">
        <v>153</v>
      </c>
      <c r="H250" s="569">
        <v>2019</v>
      </c>
      <c r="I250" s="569" t="s">
        <v>797</v>
      </c>
      <c r="J250" s="569" t="s">
        <v>174</v>
      </c>
      <c r="K250" s="569" t="s">
        <v>752</v>
      </c>
      <c r="L250" s="569">
        <v>8</v>
      </c>
      <c r="M250" s="569">
        <v>0</v>
      </c>
      <c r="N250" s="569" t="s">
        <v>157</v>
      </c>
      <c r="O250" s="569">
        <v>3</v>
      </c>
      <c r="P250" s="569" t="s">
        <v>157</v>
      </c>
      <c r="Q250" s="568">
        <v>6000</v>
      </c>
      <c r="R250" s="569" t="s">
        <v>798</v>
      </c>
      <c r="S250" s="569">
        <v>8</v>
      </c>
      <c r="T250" s="569" t="s">
        <v>799</v>
      </c>
      <c r="U250" s="569" t="s">
        <v>732</v>
      </c>
      <c r="V250" s="569">
        <v>130</v>
      </c>
      <c r="W250" s="569">
        <v>39</v>
      </c>
      <c r="X250" s="568">
        <v>11000</v>
      </c>
      <c r="Y250" s="569" t="s">
        <v>164</v>
      </c>
      <c r="Z250" s="581" t="s">
        <v>178</v>
      </c>
      <c r="AA250" s="581" t="s">
        <v>178</v>
      </c>
      <c r="AB250" s="585">
        <v>81895</v>
      </c>
      <c r="AC250" s="585" t="s">
        <v>164</v>
      </c>
      <c r="AD250" s="585">
        <v>70734.375</v>
      </c>
      <c r="AE250" s="587">
        <v>0.05</v>
      </c>
      <c r="AF250" s="661" t="s">
        <v>800</v>
      </c>
      <c r="AG250" s="661" t="str">
        <f>IF(AND($Y250&gt;=32,(AI250="I"),(Y250&lt;&gt;"~"),(COUNTIF($AN$1:$AN250,$AN250)=1)),"TRUE","FALSE")</f>
        <v>FALSE</v>
      </c>
      <c r="AH250" s="661" t="str">
        <f>IF(AND($Y250&gt;=22, (AI250&lt;&gt;"I"),(Y250&lt;&gt;"~"),(COUNTIF($AN$1:$AN250,$AN250)=1)),"TRUE","FALSE")</f>
        <v>TRUE</v>
      </c>
      <c r="AI250" s="661" t="str">
        <f t="shared" si="27"/>
        <v>N/A</v>
      </c>
      <c r="AJ250" s="662" t="str">
        <f t="shared" si="22"/>
        <v>SBN3-001</v>
      </c>
      <c r="AK250" s="662" t="str">
        <f t="shared" si="23"/>
        <v>SUV</v>
      </c>
      <c r="AL250" s="662" t="str">
        <f t="shared" si="24"/>
        <v>CHV</v>
      </c>
      <c r="AM250" s="662" t="str">
        <f t="shared" si="26"/>
        <v>Surburban 3500-LS-4WD-8-~-6000-6.0L-8-CK35906-1LS-130-39-Unleaded-Unleaded</v>
      </c>
      <c r="AN250" s="662" t="str">
        <f t="shared" si="25"/>
        <v>2019-SUV-CHV-SBN3-001</v>
      </c>
    </row>
    <row r="251" spans="1:40" s="572" customFormat="1" ht="15">
      <c r="A251" s="570" t="s">
        <v>801</v>
      </c>
      <c r="B251" s="573" t="s">
        <v>795</v>
      </c>
      <c r="C251" s="573" t="s">
        <v>166</v>
      </c>
      <c r="D251" s="578">
        <v>17</v>
      </c>
      <c r="E251" s="573" t="s">
        <v>699</v>
      </c>
      <c r="F251" s="573" t="s">
        <v>796</v>
      </c>
      <c r="G251" s="573" t="s">
        <v>153</v>
      </c>
      <c r="H251" s="573">
        <v>2019</v>
      </c>
      <c r="I251" s="573" t="s">
        <v>797</v>
      </c>
      <c r="J251" s="573" t="s">
        <v>174</v>
      </c>
      <c r="K251" s="573" t="s">
        <v>752</v>
      </c>
      <c r="L251" s="573">
        <v>8</v>
      </c>
      <c r="M251" s="573">
        <v>0</v>
      </c>
      <c r="N251" s="573" t="s">
        <v>157</v>
      </c>
      <c r="O251" s="573">
        <v>3</v>
      </c>
      <c r="P251" s="573" t="s">
        <v>157</v>
      </c>
      <c r="Q251" s="571">
        <v>6000</v>
      </c>
      <c r="R251" s="573" t="s">
        <v>798</v>
      </c>
      <c r="S251" s="573">
        <v>8</v>
      </c>
      <c r="T251" s="573" t="s">
        <v>799</v>
      </c>
      <c r="U251" s="573" t="s">
        <v>732</v>
      </c>
      <c r="V251" s="573">
        <v>130</v>
      </c>
      <c r="W251" s="573">
        <v>39</v>
      </c>
      <c r="X251" s="571">
        <v>11000</v>
      </c>
      <c r="Y251" s="569" t="s">
        <v>164</v>
      </c>
      <c r="Z251" s="579" t="s">
        <v>178</v>
      </c>
      <c r="AA251" s="579" t="s">
        <v>178</v>
      </c>
      <c r="AB251" s="584">
        <v>81895</v>
      </c>
      <c r="AC251" s="584" t="s">
        <v>164</v>
      </c>
      <c r="AD251" s="584">
        <v>77425</v>
      </c>
      <c r="AE251" s="586">
        <v>7.1999999999999995E-2</v>
      </c>
      <c r="AF251" s="661" t="s">
        <v>802</v>
      </c>
      <c r="AG251" s="661" t="str">
        <f>IF(AND($Y251&gt;=32,(AI251="I"),(Y251&lt;&gt;"~"),(COUNTIF($AN$1:$AN251,$AN251)=1)),"TRUE","FALSE")</f>
        <v>FALSE</v>
      </c>
      <c r="AH251" s="661" t="str">
        <f>IF(AND($Y251&gt;=22, (AI251&lt;&gt;"I"),(Y251&lt;&gt;"~"),(COUNTIF($AN$1:$AN251,$AN251)=1)),"TRUE","FALSE")</f>
        <v>FALSE</v>
      </c>
      <c r="AI251" s="661" t="str">
        <f t="shared" si="27"/>
        <v>N/A</v>
      </c>
      <c r="AJ251" s="662" t="str">
        <f t="shared" si="22"/>
        <v>SBN3-001</v>
      </c>
      <c r="AK251" s="662" t="str">
        <f t="shared" si="23"/>
        <v>SUV</v>
      </c>
      <c r="AL251" s="662" t="str">
        <f t="shared" si="24"/>
        <v>CHV</v>
      </c>
      <c r="AM251" s="662" t="str">
        <f t="shared" si="26"/>
        <v>Surburban 3500-LS-4WD-8-~-6000-6.0L-8-CK35906-1LS-130-39-Unleaded-Unleaded</v>
      </c>
      <c r="AN251" s="662" t="str">
        <f t="shared" si="25"/>
        <v>2019-SUV-CHV-SBN3-001</v>
      </c>
    </row>
    <row r="252" spans="1:40" s="572" customFormat="1" ht="15">
      <c r="A252" s="570" t="s">
        <v>803</v>
      </c>
      <c r="B252" s="569" t="s">
        <v>804</v>
      </c>
      <c r="C252" s="569" t="s">
        <v>169</v>
      </c>
      <c r="D252" s="580">
        <v>11</v>
      </c>
      <c r="E252" s="569" t="s">
        <v>699</v>
      </c>
      <c r="F252" s="569" t="s">
        <v>796</v>
      </c>
      <c r="G252" s="569" t="s">
        <v>153</v>
      </c>
      <c r="H252" s="569">
        <v>2019</v>
      </c>
      <c r="I252" s="569" t="s">
        <v>797</v>
      </c>
      <c r="J252" s="569" t="s">
        <v>155</v>
      </c>
      <c r="K252" s="569" t="s">
        <v>752</v>
      </c>
      <c r="L252" s="569">
        <v>8</v>
      </c>
      <c r="M252" s="569">
        <v>0</v>
      </c>
      <c r="N252" s="569" t="s">
        <v>157</v>
      </c>
      <c r="O252" s="569">
        <v>3</v>
      </c>
      <c r="P252" s="569" t="s">
        <v>157</v>
      </c>
      <c r="Q252" s="568">
        <v>6000</v>
      </c>
      <c r="R252" s="569" t="s">
        <v>798</v>
      </c>
      <c r="S252" s="569">
        <v>8</v>
      </c>
      <c r="T252" s="569" t="s">
        <v>799</v>
      </c>
      <c r="U252" s="569" t="s">
        <v>213</v>
      </c>
      <c r="V252" s="569">
        <v>130</v>
      </c>
      <c r="W252" s="569">
        <v>39</v>
      </c>
      <c r="X252" s="568">
        <v>11000</v>
      </c>
      <c r="Y252" s="569" t="s">
        <v>164</v>
      </c>
      <c r="Z252" s="581" t="s">
        <v>178</v>
      </c>
      <c r="AA252" s="581" t="s">
        <v>178</v>
      </c>
      <c r="AB252" s="585">
        <v>86995</v>
      </c>
      <c r="AC252" s="585" t="s">
        <v>164</v>
      </c>
      <c r="AD252" s="585">
        <v>75606.145833333328</v>
      </c>
      <c r="AE252" s="587">
        <v>0.05</v>
      </c>
      <c r="AF252" s="661" t="s">
        <v>805</v>
      </c>
      <c r="AG252" s="661" t="str">
        <f>IF(AND($Y252&gt;=32,(AI252="I"),(Y252&lt;&gt;"~"),(COUNTIF($AN$1:$AN252,$AN252)=1)),"TRUE","FALSE")</f>
        <v>FALSE</v>
      </c>
      <c r="AH252" s="661" t="str">
        <f>IF(AND($Y252&gt;=22, (AI252&lt;&gt;"I"),(Y252&lt;&gt;"~"),(COUNTIF($AN$1:$AN252,$AN252)=1)),"TRUE","FALSE")</f>
        <v>TRUE</v>
      </c>
      <c r="AI252" s="661" t="str">
        <f t="shared" si="27"/>
        <v>N/A</v>
      </c>
      <c r="AJ252" s="662" t="str">
        <f t="shared" si="22"/>
        <v>SBN3-002</v>
      </c>
      <c r="AK252" s="662" t="str">
        <f t="shared" si="23"/>
        <v>SUV</v>
      </c>
      <c r="AL252" s="662" t="str">
        <f t="shared" si="24"/>
        <v>CHV</v>
      </c>
      <c r="AM252" s="662" t="str">
        <f t="shared" si="26"/>
        <v>Surburban 3500-LT-4WD-8-~-6000-6.0L-8-CK35906-1LT-130-39-Unleaded-Unleaded</v>
      </c>
      <c r="AN252" s="662" t="str">
        <f t="shared" si="25"/>
        <v>2019-SUV-CHV-SBN3-002</v>
      </c>
    </row>
    <row r="253" spans="1:40" s="572" customFormat="1" ht="15">
      <c r="A253" s="570" t="s">
        <v>806</v>
      </c>
      <c r="B253" s="573" t="s">
        <v>804</v>
      </c>
      <c r="C253" s="573" t="s">
        <v>166</v>
      </c>
      <c r="D253" s="578">
        <v>17</v>
      </c>
      <c r="E253" s="573" t="s">
        <v>699</v>
      </c>
      <c r="F253" s="573" t="s">
        <v>796</v>
      </c>
      <c r="G253" s="573" t="s">
        <v>153</v>
      </c>
      <c r="H253" s="573">
        <v>2019</v>
      </c>
      <c r="I253" s="573" t="s">
        <v>797</v>
      </c>
      <c r="J253" s="573" t="s">
        <v>155</v>
      </c>
      <c r="K253" s="573" t="s">
        <v>752</v>
      </c>
      <c r="L253" s="573">
        <v>8</v>
      </c>
      <c r="M253" s="573">
        <v>0</v>
      </c>
      <c r="N253" s="573" t="s">
        <v>157</v>
      </c>
      <c r="O253" s="573">
        <v>3</v>
      </c>
      <c r="P253" s="573" t="s">
        <v>157</v>
      </c>
      <c r="Q253" s="571">
        <v>6000</v>
      </c>
      <c r="R253" s="573" t="s">
        <v>798</v>
      </c>
      <c r="S253" s="573">
        <v>8</v>
      </c>
      <c r="T253" s="573" t="s">
        <v>799</v>
      </c>
      <c r="U253" s="573" t="s">
        <v>213</v>
      </c>
      <c r="V253" s="573">
        <v>130</v>
      </c>
      <c r="W253" s="573">
        <v>39</v>
      </c>
      <c r="X253" s="571">
        <v>11000</v>
      </c>
      <c r="Y253" s="569" t="s">
        <v>164</v>
      </c>
      <c r="Z253" s="579" t="s">
        <v>178</v>
      </c>
      <c r="AA253" s="579" t="s">
        <v>178</v>
      </c>
      <c r="AB253" s="584">
        <v>86995</v>
      </c>
      <c r="AC253" s="584" t="s">
        <v>164</v>
      </c>
      <c r="AD253" s="584">
        <v>82100</v>
      </c>
      <c r="AE253" s="586">
        <v>7.1999999999999995E-2</v>
      </c>
      <c r="AF253" s="661" t="s">
        <v>807</v>
      </c>
      <c r="AG253" s="661" t="str">
        <f>IF(AND($Y253&gt;=32,(AI253="I"),(Y253&lt;&gt;"~"),(COUNTIF($AN$1:$AN253,$AN253)=1)),"TRUE","FALSE")</f>
        <v>FALSE</v>
      </c>
      <c r="AH253" s="661" t="str">
        <f>IF(AND($Y253&gt;=22, (AI253&lt;&gt;"I"),(Y253&lt;&gt;"~"),(COUNTIF($AN$1:$AN253,$AN253)=1)),"TRUE","FALSE")</f>
        <v>FALSE</v>
      </c>
      <c r="AI253" s="661" t="str">
        <f t="shared" si="27"/>
        <v>N/A</v>
      </c>
      <c r="AJ253" s="662" t="str">
        <f t="shared" si="22"/>
        <v>SBN3-002</v>
      </c>
      <c r="AK253" s="662" t="str">
        <f t="shared" si="23"/>
        <v>SUV</v>
      </c>
      <c r="AL253" s="662" t="str">
        <f t="shared" si="24"/>
        <v>CHV</v>
      </c>
      <c r="AM253" s="662" t="str">
        <f t="shared" si="26"/>
        <v>Surburban 3500-LT-4WD-8-~-6000-6.0L-8-CK35906-1LT-130-39-Unleaded-Unleaded</v>
      </c>
      <c r="AN253" s="662" t="str">
        <f t="shared" si="25"/>
        <v>2019-SUV-CHV-SBN3-002</v>
      </c>
    </row>
    <row r="254" spans="1:40" s="572" customFormat="1" ht="15">
      <c r="A254" s="570" t="s">
        <v>808</v>
      </c>
      <c r="B254" s="569" t="s">
        <v>809</v>
      </c>
      <c r="C254" s="569" t="s">
        <v>169</v>
      </c>
      <c r="D254" s="580">
        <v>11</v>
      </c>
      <c r="E254" s="569" t="s">
        <v>699</v>
      </c>
      <c r="F254" s="569" t="s">
        <v>187</v>
      </c>
      <c r="G254" s="569" t="s">
        <v>153</v>
      </c>
      <c r="H254" s="569">
        <v>2019</v>
      </c>
      <c r="I254" s="569" t="s">
        <v>810</v>
      </c>
      <c r="J254" s="569" t="s">
        <v>751</v>
      </c>
      <c r="K254" s="569" t="s">
        <v>752</v>
      </c>
      <c r="L254" s="569">
        <v>8</v>
      </c>
      <c r="M254" s="569">
        <v>0</v>
      </c>
      <c r="N254" s="569" t="s">
        <v>157</v>
      </c>
      <c r="O254" s="569">
        <v>3</v>
      </c>
      <c r="P254" s="569" t="s">
        <v>157</v>
      </c>
      <c r="Q254" s="568">
        <v>6400</v>
      </c>
      <c r="R254" s="569" t="s">
        <v>753</v>
      </c>
      <c r="S254" s="569">
        <v>8</v>
      </c>
      <c r="T254" s="569" t="s">
        <v>811</v>
      </c>
      <c r="U254" s="569" t="s">
        <v>191</v>
      </c>
      <c r="V254" s="569">
        <v>116</v>
      </c>
      <c r="W254" s="569">
        <v>26</v>
      </c>
      <c r="X254" s="568">
        <v>7300</v>
      </c>
      <c r="Y254" s="569">
        <v>18</v>
      </c>
      <c r="Z254" s="581" t="s">
        <v>450</v>
      </c>
      <c r="AA254" s="581" t="s">
        <v>178</v>
      </c>
      <c r="AB254" s="585">
        <v>50995</v>
      </c>
      <c r="AC254" s="585" t="s">
        <v>164</v>
      </c>
      <c r="AD254" s="585">
        <v>40167.083333333336</v>
      </c>
      <c r="AE254" s="587">
        <v>0.05</v>
      </c>
      <c r="AF254" s="661" t="s">
        <v>812</v>
      </c>
      <c r="AG254" s="661" t="str">
        <f>IF(AND($Y254&gt;=32,(AI254="I"),(Y254&lt;&gt;"~"),(COUNTIF($AN$1:$AN254,$AN254)=1)),"TRUE","FALSE")</f>
        <v>FALSE</v>
      </c>
      <c r="AH254" s="661" t="str">
        <f>IF(AND($Y254&gt;=22, (AI254&lt;&gt;"I"),(Y254&lt;&gt;"~"),(COUNTIF($AN$1:$AN254,$AN254)=1)),"TRUE","FALSE")</f>
        <v>FALSE</v>
      </c>
      <c r="AI254" s="661" t="str">
        <f t="shared" si="27"/>
        <v>II</v>
      </c>
      <c r="AJ254" s="662" t="str">
        <f t="shared" si="22"/>
        <v>TAHO-001</v>
      </c>
      <c r="AK254" s="662" t="str">
        <f t="shared" si="23"/>
        <v>SUV</v>
      </c>
      <c r="AL254" s="662" t="str">
        <f t="shared" si="24"/>
        <v>CHV</v>
      </c>
      <c r="AM254" s="662" t="str">
        <f t="shared" si="26"/>
        <v>Tahoe-Commercial-4WD-8-~-6400-5.3L-8-CK15706-1FL-116-26-E85-Unleaded</v>
      </c>
      <c r="AN254" s="662" t="str">
        <f t="shared" si="25"/>
        <v>2019-SUV-CHV-TAHO-001</v>
      </c>
    </row>
    <row r="255" spans="1:40" s="572" customFormat="1" ht="15">
      <c r="A255" s="570" t="s">
        <v>813</v>
      </c>
      <c r="B255" s="573" t="s">
        <v>809</v>
      </c>
      <c r="C255" s="573" t="s">
        <v>150</v>
      </c>
      <c r="D255" s="578">
        <v>13</v>
      </c>
      <c r="E255" s="573" t="s">
        <v>699</v>
      </c>
      <c r="F255" s="573" t="s">
        <v>187</v>
      </c>
      <c r="G255" s="573" t="s">
        <v>153</v>
      </c>
      <c r="H255" s="573">
        <v>2019</v>
      </c>
      <c r="I255" s="573" t="s">
        <v>810</v>
      </c>
      <c r="J255" s="573" t="s">
        <v>751</v>
      </c>
      <c r="K255" s="573" t="s">
        <v>752</v>
      </c>
      <c r="L255" s="573">
        <v>8</v>
      </c>
      <c r="M255" s="573">
        <v>0</v>
      </c>
      <c r="N255" s="573" t="s">
        <v>157</v>
      </c>
      <c r="O255" s="573">
        <v>3</v>
      </c>
      <c r="P255" s="573" t="s">
        <v>157</v>
      </c>
      <c r="Q255" s="571">
        <v>6400</v>
      </c>
      <c r="R255" s="573" t="s">
        <v>753</v>
      </c>
      <c r="S255" s="573">
        <v>8</v>
      </c>
      <c r="T255" s="573" t="s">
        <v>811</v>
      </c>
      <c r="U255" s="573" t="s">
        <v>191</v>
      </c>
      <c r="V255" s="573">
        <v>116</v>
      </c>
      <c r="W255" s="573">
        <v>26</v>
      </c>
      <c r="X255" s="571">
        <v>7300</v>
      </c>
      <c r="Y255" s="573">
        <v>18</v>
      </c>
      <c r="Z255" s="579" t="s">
        <v>450</v>
      </c>
      <c r="AA255" s="579" t="s">
        <v>178</v>
      </c>
      <c r="AB255" s="584">
        <v>50995</v>
      </c>
      <c r="AC255" s="584" t="s">
        <v>164</v>
      </c>
      <c r="AD255" s="584">
        <v>42194</v>
      </c>
      <c r="AE255" s="586">
        <v>0.03</v>
      </c>
      <c r="AF255" s="661" t="s">
        <v>814</v>
      </c>
      <c r="AG255" s="661" t="str">
        <f>IF(AND($Y255&gt;=32,(AI255="I"),(Y255&lt;&gt;"~"),(COUNTIF($AN$1:$AN255,$AN255)=1)),"TRUE","FALSE")</f>
        <v>FALSE</v>
      </c>
      <c r="AH255" s="661" t="str">
        <f>IF(AND($Y255&gt;=22, (AI255&lt;&gt;"I"),(Y255&lt;&gt;"~"),(COUNTIF($AN$1:$AN255,$AN255)=1)),"TRUE","FALSE")</f>
        <v>FALSE</v>
      </c>
      <c r="AI255" s="661" t="str">
        <f t="shared" si="27"/>
        <v>II</v>
      </c>
      <c r="AJ255" s="662" t="str">
        <f t="shared" si="22"/>
        <v>TAHO-001</v>
      </c>
      <c r="AK255" s="662" t="str">
        <f t="shared" si="23"/>
        <v>SUV</v>
      </c>
      <c r="AL255" s="662" t="str">
        <f t="shared" si="24"/>
        <v>CHV</v>
      </c>
      <c r="AM255" s="662" t="str">
        <f t="shared" si="26"/>
        <v>Tahoe-Commercial-4WD-8-~-6400-5.3L-8-CK15706-1FL-116-26-E85-Unleaded</v>
      </c>
      <c r="AN255" s="662" t="str">
        <f t="shared" si="25"/>
        <v>2019-SUV-CHV-TAHO-001</v>
      </c>
    </row>
    <row r="256" spans="1:40" s="572" customFormat="1" ht="15">
      <c r="A256" s="570" t="s">
        <v>815</v>
      </c>
      <c r="B256" s="569" t="s">
        <v>809</v>
      </c>
      <c r="C256" s="569" t="s">
        <v>166</v>
      </c>
      <c r="D256" s="580">
        <v>17</v>
      </c>
      <c r="E256" s="569" t="s">
        <v>699</v>
      </c>
      <c r="F256" s="569" t="s">
        <v>187</v>
      </c>
      <c r="G256" s="569" t="s">
        <v>153</v>
      </c>
      <c r="H256" s="569">
        <v>2019</v>
      </c>
      <c r="I256" s="569" t="s">
        <v>810</v>
      </c>
      <c r="J256" s="569" t="s">
        <v>751</v>
      </c>
      <c r="K256" s="569" t="s">
        <v>752</v>
      </c>
      <c r="L256" s="569">
        <v>8</v>
      </c>
      <c r="M256" s="569">
        <v>0</v>
      </c>
      <c r="N256" s="569" t="s">
        <v>157</v>
      </c>
      <c r="O256" s="569">
        <v>3</v>
      </c>
      <c r="P256" s="569" t="s">
        <v>157</v>
      </c>
      <c r="Q256" s="568">
        <v>6400</v>
      </c>
      <c r="R256" s="569" t="s">
        <v>753</v>
      </c>
      <c r="S256" s="569">
        <v>8</v>
      </c>
      <c r="T256" s="569" t="s">
        <v>811</v>
      </c>
      <c r="U256" s="569" t="s">
        <v>191</v>
      </c>
      <c r="V256" s="569">
        <v>116</v>
      </c>
      <c r="W256" s="569">
        <v>26</v>
      </c>
      <c r="X256" s="568">
        <v>7300</v>
      </c>
      <c r="Y256" s="569">
        <v>18</v>
      </c>
      <c r="Z256" s="581" t="s">
        <v>450</v>
      </c>
      <c r="AA256" s="581" t="s">
        <v>178</v>
      </c>
      <c r="AB256" s="585">
        <v>50995</v>
      </c>
      <c r="AC256" s="585" t="s">
        <v>164</v>
      </c>
      <c r="AD256" s="585">
        <v>41106.9</v>
      </c>
      <c r="AE256" s="587">
        <v>7.1999999999999995E-2</v>
      </c>
      <c r="AF256" s="661" t="s">
        <v>816</v>
      </c>
      <c r="AG256" s="661" t="str">
        <f>IF(AND($Y256&gt;=32,(AI256="I"),(Y256&lt;&gt;"~"),(COUNTIF($AN$1:$AN256,$AN256)=1)),"TRUE","FALSE")</f>
        <v>FALSE</v>
      </c>
      <c r="AH256" s="661" t="str">
        <f>IF(AND($Y256&gt;=22, (AI256&lt;&gt;"I"),(Y256&lt;&gt;"~"),(COUNTIF($AN$1:$AN256,$AN256)=1)),"TRUE","FALSE")</f>
        <v>FALSE</v>
      </c>
      <c r="AI256" s="661" t="str">
        <f t="shared" si="27"/>
        <v>II</v>
      </c>
      <c r="AJ256" s="662" t="str">
        <f t="shared" si="22"/>
        <v>TAHO-001</v>
      </c>
      <c r="AK256" s="662" t="str">
        <f t="shared" si="23"/>
        <v>SUV</v>
      </c>
      <c r="AL256" s="662" t="str">
        <f t="shared" si="24"/>
        <v>CHV</v>
      </c>
      <c r="AM256" s="662" t="str">
        <f t="shared" si="26"/>
        <v>Tahoe-Commercial-4WD-8-~-6400-5.3L-8-CK15706-1FL-116-26-E85-Unleaded</v>
      </c>
      <c r="AN256" s="662" t="str">
        <f t="shared" si="25"/>
        <v>2019-SUV-CHV-TAHO-001</v>
      </c>
    </row>
    <row r="257" spans="1:40" s="572" customFormat="1" ht="15">
      <c r="A257" s="570" t="s">
        <v>815</v>
      </c>
      <c r="B257" s="573" t="s">
        <v>809</v>
      </c>
      <c r="C257" s="573" t="s">
        <v>166</v>
      </c>
      <c r="D257" s="578">
        <v>17</v>
      </c>
      <c r="E257" s="573" t="s">
        <v>699</v>
      </c>
      <c r="F257" s="573" t="s">
        <v>187</v>
      </c>
      <c r="G257" s="573" t="s">
        <v>153</v>
      </c>
      <c r="H257" s="573">
        <v>2019</v>
      </c>
      <c r="I257" s="573" t="s">
        <v>810</v>
      </c>
      <c r="J257" s="573" t="s">
        <v>751</v>
      </c>
      <c r="K257" s="573" t="s">
        <v>752</v>
      </c>
      <c r="L257" s="573">
        <v>8</v>
      </c>
      <c r="M257" s="573">
        <v>0</v>
      </c>
      <c r="N257" s="573" t="s">
        <v>157</v>
      </c>
      <c r="O257" s="573">
        <v>3</v>
      </c>
      <c r="P257" s="573" t="s">
        <v>157</v>
      </c>
      <c r="Q257" s="571">
        <v>6400</v>
      </c>
      <c r="R257" s="573" t="s">
        <v>753</v>
      </c>
      <c r="S257" s="573">
        <v>8</v>
      </c>
      <c r="T257" s="573" t="s">
        <v>811</v>
      </c>
      <c r="U257" s="573" t="s">
        <v>191</v>
      </c>
      <c r="V257" s="573">
        <v>116</v>
      </c>
      <c r="W257" s="573">
        <v>26</v>
      </c>
      <c r="X257" s="571">
        <v>7300</v>
      </c>
      <c r="Y257" s="573">
        <v>18</v>
      </c>
      <c r="Z257" s="579" t="s">
        <v>450</v>
      </c>
      <c r="AA257" s="579" t="s">
        <v>178</v>
      </c>
      <c r="AB257" s="584">
        <v>50995</v>
      </c>
      <c r="AC257" s="584" t="s">
        <v>164</v>
      </c>
      <c r="AD257" s="584">
        <v>40855</v>
      </c>
      <c r="AE257" s="586">
        <v>7.1999999999999995E-2</v>
      </c>
      <c r="AF257" s="661" t="s">
        <v>817</v>
      </c>
      <c r="AG257" s="661" t="str">
        <f>IF(AND($Y257&gt;=32,(AI257="I"),(Y257&lt;&gt;"~"),(COUNTIF($AN$1:$AN257,$AN257)=1)),"TRUE","FALSE")</f>
        <v>FALSE</v>
      </c>
      <c r="AH257" s="661" t="str">
        <f>IF(AND($Y257&gt;=22, (AI257&lt;&gt;"I"),(Y257&lt;&gt;"~"),(COUNTIF($AN$1:$AN257,$AN257)=1)),"TRUE","FALSE")</f>
        <v>FALSE</v>
      </c>
      <c r="AI257" s="661" t="str">
        <f t="shared" si="27"/>
        <v>II</v>
      </c>
      <c r="AJ257" s="662" t="str">
        <f t="shared" si="22"/>
        <v>TAHO-001</v>
      </c>
      <c r="AK257" s="662" t="str">
        <f t="shared" si="23"/>
        <v>SUV</v>
      </c>
      <c r="AL257" s="662" t="str">
        <f t="shared" si="24"/>
        <v>CHV</v>
      </c>
      <c r="AM257" s="662" t="str">
        <f t="shared" si="26"/>
        <v>Tahoe-Commercial-4WD-8-~-6400-5.3L-8-CK15706-1FL-116-26-E85-Unleaded</v>
      </c>
      <c r="AN257" s="662" t="str">
        <f t="shared" si="25"/>
        <v>2019-SUV-CHV-TAHO-001</v>
      </c>
    </row>
    <row r="258" spans="1:40" s="572" customFormat="1" ht="15">
      <c r="A258" s="570" t="s">
        <v>818</v>
      </c>
      <c r="B258" s="569" t="s">
        <v>819</v>
      </c>
      <c r="C258" s="569" t="s">
        <v>169</v>
      </c>
      <c r="D258" s="580">
        <v>11</v>
      </c>
      <c r="E258" s="569" t="s">
        <v>699</v>
      </c>
      <c r="F258" s="569" t="s">
        <v>187</v>
      </c>
      <c r="G258" s="569" t="s">
        <v>153</v>
      </c>
      <c r="H258" s="569">
        <v>2019</v>
      </c>
      <c r="I258" s="569" t="s">
        <v>810</v>
      </c>
      <c r="J258" s="569" t="s">
        <v>751</v>
      </c>
      <c r="K258" s="569" t="s">
        <v>236</v>
      </c>
      <c r="L258" s="569">
        <v>8</v>
      </c>
      <c r="M258" s="569">
        <v>0</v>
      </c>
      <c r="N258" s="569" t="s">
        <v>157</v>
      </c>
      <c r="O258" s="569">
        <v>3</v>
      </c>
      <c r="P258" s="569" t="s">
        <v>157</v>
      </c>
      <c r="Q258" s="568">
        <v>5000</v>
      </c>
      <c r="R258" s="569" t="s">
        <v>753</v>
      </c>
      <c r="S258" s="569">
        <v>8</v>
      </c>
      <c r="T258" s="569" t="s">
        <v>820</v>
      </c>
      <c r="U258" s="569" t="s">
        <v>191</v>
      </c>
      <c r="V258" s="569">
        <v>116</v>
      </c>
      <c r="W258" s="569">
        <v>26</v>
      </c>
      <c r="X258" s="568">
        <v>7100</v>
      </c>
      <c r="Y258" s="569">
        <v>19</v>
      </c>
      <c r="Z258" s="581" t="s">
        <v>450</v>
      </c>
      <c r="AA258" s="581" t="s">
        <v>178</v>
      </c>
      <c r="AB258" s="585">
        <v>47995</v>
      </c>
      <c r="AC258" s="585" t="s">
        <v>164</v>
      </c>
      <c r="AD258" s="585">
        <v>37317.083333333336</v>
      </c>
      <c r="AE258" s="587">
        <v>0.05</v>
      </c>
      <c r="AF258" s="661" t="s">
        <v>821</v>
      </c>
      <c r="AG258" s="661" t="str">
        <f>IF(AND($Y258&gt;=32,(AI258="I"),(Y258&lt;&gt;"~"),(COUNTIF($AN$1:$AN258,$AN258)=1)),"TRUE","FALSE")</f>
        <v>FALSE</v>
      </c>
      <c r="AH258" s="661" t="str">
        <f>IF(AND($Y258&gt;=22, (AI258&lt;&gt;"I"),(Y258&lt;&gt;"~"),(COUNTIF($AN$1:$AN258,$AN258)=1)),"TRUE","FALSE")</f>
        <v>FALSE</v>
      </c>
      <c r="AI258" s="661" t="str">
        <f t="shared" si="27"/>
        <v>II</v>
      </c>
      <c r="AJ258" s="662" t="str">
        <f t="shared" si="22"/>
        <v>TAHO-002</v>
      </c>
      <c r="AK258" s="662" t="str">
        <f t="shared" si="23"/>
        <v>SUV</v>
      </c>
      <c r="AL258" s="662" t="str">
        <f t="shared" si="24"/>
        <v>CHV</v>
      </c>
      <c r="AM258" s="662" t="str">
        <f t="shared" si="26"/>
        <v>Tahoe-Commercial-RWD-8-~-5000-5.3L-8-CC15706-1FL-116-26-E85-Unleaded</v>
      </c>
      <c r="AN258" s="662" t="str">
        <f t="shared" si="25"/>
        <v>2019-SUV-CHV-TAHO-002</v>
      </c>
    </row>
    <row r="259" spans="1:40" s="572" customFormat="1" ht="15">
      <c r="A259" s="570" t="s">
        <v>822</v>
      </c>
      <c r="B259" s="573" t="s">
        <v>819</v>
      </c>
      <c r="C259" s="573" t="s">
        <v>166</v>
      </c>
      <c r="D259" s="578">
        <v>17</v>
      </c>
      <c r="E259" s="573" t="s">
        <v>699</v>
      </c>
      <c r="F259" s="573" t="s">
        <v>187</v>
      </c>
      <c r="G259" s="573" t="s">
        <v>153</v>
      </c>
      <c r="H259" s="573">
        <v>2019</v>
      </c>
      <c r="I259" s="573" t="s">
        <v>810</v>
      </c>
      <c r="J259" s="573" t="s">
        <v>751</v>
      </c>
      <c r="K259" s="573" t="s">
        <v>236</v>
      </c>
      <c r="L259" s="573">
        <v>8</v>
      </c>
      <c r="M259" s="573">
        <v>0</v>
      </c>
      <c r="N259" s="573" t="s">
        <v>157</v>
      </c>
      <c r="O259" s="573">
        <v>3</v>
      </c>
      <c r="P259" s="573" t="s">
        <v>157</v>
      </c>
      <c r="Q259" s="571">
        <v>5000</v>
      </c>
      <c r="R259" s="573" t="s">
        <v>753</v>
      </c>
      <c r="S259" s="573">
        <v>8</v>
      </c>
      <c r="T259" s="573" t="s">
        <v>820</v>
      </c>
      <c r="U259" s="573" t="s">
        <v>191</v>
      </c>
      <c r="V259" s="573">
        <v>116</v>
      </c>
      <c r="W259" s="573">
        <v>26</v>
      </c>
      <c r="X259" s="571">
        <v>7100</v>
      </c>
      <c r="Y259" s="573">
        <v>19</v>
      </c>
      <c r="Z259" s="579" t="s">
        <v>450</v>
      </c>
      <c r="AA259" s="579" t="s">
        <v>178</v>
      </c>
      <c r="AB259" s="584">
        <v>47995</v>
      </c>
      <c r="AC259" s="584" t="s">
        <v>164</v>
      </c>
      <c r="AD259" s="584">
        <v>38345.21</v>
      </c>
      <c r="AE259" s="586">
        <v>7.1999999999999995E-2</v>
      </c>
      <c r="AF259" s="661" t="s">
        <v>823</v>
      </c>
      <c r="AG259" s="661" t="str">
        <f>IF(AND($Y259&gt;=32,(AI259="I"),(Y259&lt;&gt;"~"),(COUNTIF($AN$1:$AN259,$AN259)=1)),"TRUE","FALSE")</f>
        <v>FALSE</v>
      </c>
      <c r="AH259" s="661" t="str">
        <f>IF(AND($Y259&gt;=22, (AI259&lt;&gt;"I"),(Y259&lt;&gt;"~"),(COUNTIF($AN$1:$AN259,$AN259)=1)),"TRUE","FALSE")</f>
        <v>FALSE</v>
      </c>
      <c r="AI259" s="661" t="str">
        <f t="shared" si="27"/>
        <v>II</v>
      </c>
      <c r="AJ259" s="662" t="str">
        <f t="shared" ref="AJ259:AJ322" si="28">MID(A259,14,8)</f>
        <v>TAHO-002</v>
      </c>
      <c r="AK259" s="662" t="str">
        <f t="shared" ref="AK259:AK322" si="29">MID(A259,6,3)</f>
        <v>SUV</v>
      </c>
      <c r="AL259" s="662" t="str">
        <f t="shared" ref="AL259:AL322" si="30">MID(A259,10,3)</f>
        <v>CHV</v>
      </c>
      <c r="AM259" s="662" t="str">
        <f t="shared" si="26"/>
        <v>Tahoe-Commercial-RWD-8-~-5000-5.3L-8-CC15706-1FL-116-26-E85-Unleaded</v>
      </c>
      <c r="AN259" s="662" t="str">
        <f t="shared" ref="AN259:AN322" si="31">LEFT(A259,21)</f>
        <v>2019-SUV-CHV-TAHO-002</v>
      </c>
    </row>
    <row r="260" spans="1:40" s="572" customFormat="1" ht="15">
      <c r="A260" s="570" t="s">
        <v>824</v>
      </c>
      <c r="B260" s="569" t="s">
        <v>825</v>
      </c>
      <c r="C260" s="569" t="s">
        <v>169</v>
      </c>
      <c r="D260" s="580">
        <v>11</v>
      </c>
      <c r="E260" s="569" t="s">
        <v>699</v>
      </c>
      <c r="F260" s="569" t="s">
        <v>187</v>
      </c>
      <c r="G260" s="569" t="s">
        <v>153</v>
      </c>
      <c r="H260" s="569">
        <v>2019</v>
      </c>
      <c r="I260" s="569" t="s">
        <v>810</v>
      </c>
      <c r="J260" s="569" t="s">
        <v>174</v>
      </c>
      <c r="K260" s="569" t="s">
        <v>752</v>
      </c>
      <c r="L260" s="569">
        <v>8</v>
      </c>
      <c r="M260" s="569">
        <v>0</v>
      </c>
      <c r="N260" s="569" t="s">
        <v>157</v>
      </c>
      <c r="O260" s="569">
        <v>3</v>
      </c>
      <c r="P260" s="569" t="s">
        <v>157</v>
      </c>
      <c r="Q260" s="568">
        <v>6400</v>
      </c>
      <c r="R260" s="569" t="s">
        <v>753</v>
      </c>
      <c r="S260" s="569">
        <v>8</v>
      </c>
      <c r="T260" s="569" t="s">
        <v>811</v>
      </c>
      <c r="U260" s="569" t="s">
        <v>732</v>
      </c>
      <c r="V260" s="569">
        <v>116</v>
      </c>
      <c r="W260" s="569">
        <v>26</v>
      </c>
      <c r="X260" s="568">
        <v>7300</v>
      </c>
      <c r="Y260" s="569">
        <v>18</v>
      </c>
      <c r="Z260" s="581" t="s">
        <v>450</v>
      </c>
      <c r="AA260" s="581" t="s">
        <v>178</v>
      </c>
      <c r="AB260" s="585">
        <v>52195</v>
      </c>
      <c r="AC260" s="585" t="s">
        <v>164</v>
      </c>
      <c r="AD260" s="585">
        <v>41307.083333333336</v>
      </c>
      <c r="AE260" s="587">
        <v>0.05</v>
      </c>
      <c r="AF260" s="661" t="s">
        <v>826</v>
      </c>
      <c r="AG260" s="661" t="str">
        <f>IF(AND($Y260&gt;=32,(AI260="I"),(Y260&lt;&gt;"~"),(COUNTIF($AN$1:$AN260,$AN260)=1)),"TRUE","FALSE")</f>
        <v>FALSE</v>
      </c>
      <c r="AH260" s="661" t="str">
        <f>IF(AND($Y260&gt;=22, (AI260&lt;&gt;"I"),(Y260&lt;&gt;"~"),(COUNTIF($AN$1:$AN260,$AN260)=1)),"TRUE","FALSE")</f>
        <v>FALSE</v>
      </c>
      <c r="AI260" s="661" t="str">
        <f t="shared" si="27"/>
        <v>II</v>
      </c>
      <c r="AJ260" s="662" t="str">
        <f t="shared" si="28"/>
        <v>TAHO-003</v>
      </c>
      <c r="AK260" s="662" t="str">
        <f t="shared" si="29"/>
        <v>SUV</v>
      </c>
      <c r="AL260" s="662" t="str">
        <f t="shared" si="30"/>
        <v>CHV</v>
      </c>
      <c r="AM260" s="662" t="str">
        <f t="shared" si="26"/>
        <v>Tahoe-LS-4WD-8-~-6400-5.3L-8-CK15706-1LS-116-26-E85-Unleaded</v>
      </c>
      <c r="AN260" s="662" t="str">
        <f t="shared" si="31"/>
        <v>2019-SUV-CHV-TAHO-003</v>
      </c>
    </row>
    <row r="261" spans="1:40" s="572" customFormat="1" ht="15">
      <c r="A261" s="570" t="s">
        <v>827</v>
      </c>
      <c r="B261" s="573" t="s">
        <v>825</v>
      </c>
      <c r="C261" s="573" t="s">
        <v>150</v>
      </c>
      <c r="D261" s="578">
        <v>13</v>
      </c>
      <c r="E261" s="573" t="s">
        <v>699</v>
      </c>
      <c r="F261" s="573" t="s">
        <v>187</v>
      </c>
      <c r="G261" s="573" t="s">
        <v>153</v>
      </c>
      <c r="H261" s="573">
        <v>2019</v>
      </c>
      <c r="I261" s="573" t="s">
        <v>810</v>
      </c>
      <c r="J261" s="573" t="s">
        <v>174</v>
      </c>
      <c r="K261" s="573" t="s">
        <v>752</v>
      </c>
      <c r="L261" s="573">
        <v>8</v>
      </c>
      <c r="M261" s="573">
        <v>0</v>
      </c>
      <c r="N261" s="573" t="s">
        <v>157</v>
      </c>
      <c r="O261" s="573">
        <v>3</v>
      </c>
      <c r="P261" s="573" t="s">
        <v>157</v>
      </c>
      <c r="Q261" s="571">
        <v>6400</v>
      </c>
      <c r="R261" s="573" t="s">
        <v>753</v>
      </c>
      <c r="S261" s="573">
        <v>8</v>
      </c>
      <c r="T261" s="573" t="s">
        <v>811</v>
      </c>
      <c r="U261" s="573" t="s">
        <v>732</v>
      </c>
      <c r="V261" s="573">
        <v>116</v>
      </c>
      <c r="W261" s="573">
        <v>26</v>
      </c>
      <c r="X261" s="571">
        <v>7300</v>
      </c>
      <c r="Y261" s="573">
        <v>18</v>
      </c>
      <c r="Z261" s="579" t="s">
        <v>450</v>
      </c>
      <c r="AA261" s="579" t="s">
        <v>178</v>
      </c>
      <c r="AB261" s="584">
        <v>52195</v>
      </c>
      <c r="AC261" s="584" t="s">
        <v>164</v>
      </c>
      <c r="AD261" s="584">
        <v>43204</v>
      </c>
      <c r="AE261" s="586">
        <v>0.03</v>
      </c>
      <c r="AF261" s="661" t="s">
        <v>828</v>
      </c>
      <c r="AG261" s="661" t="str">
        <f>IF(AND($Y261&gt;=32,(AI261="I"),(Y261&lt;&gt;"~"),(COUNTIF($AN$1:$AN261,$AN261)=1)),"TRUE","FALSE")</f>
        <v>FALSE</v>
      </c>
      <c r="AH261" s="661" t="str">
        <f>IF(AND($Y261&gt;=22, (AI261&lt;&gt;"I"),(Y261&lt;&gt;"~"),(COUNTIF($AN$1:$AN261,$AN261)=1)),"TRUE","FALSE")</f>
        <v>FALSE</v>
      </c>
      <c r="AI261" s="661" t="str">
        <f t="shared" si="27"/>
        <v>II</v>
      </c>
      <c r="AJ261" s="662" t="str">
        <f t="shared" si="28"/>
        <v>TAHO-003</v>
      </c>
      <c r="AK261" s="662" t="str">
        <f t="shared" si="29"/>
        <v>SUV</v>
      </c>
      <c r="AL261" s="662" t="str">
        <f t="shared" si="30"/>
        <v>CHV</v>
      </c>
      <c r="AM261" s="662" t="str">
        <f t="shared" si="26"/>
        <v>Tahoe-LS-4WD-8-~-6400-5.3L-8-CK15706-1LS-116-26-E85-Unleaded</v>
      </c>
      <c r="AN261" s="662" t="str">
        <f t="shared" si="31"/>
        <v>2019-SUV-CHV-TAHO-003</v>
      </c>
    </row>
    <row r="262" spans="1:40" s="572" customFormat="1" ht="15">
      <c r="A262" s="570" t="s">
        <v>829</v>
      </c>
      <c r="B262" s="569" t="s">
        <v>825</v>
      </c>
      <c r="C262" s="569" t="s">
        <v>166</v>
      </c>
      <c r="D262" s="580">
        <v>17</v>
      </c>
      <c r="E262" s="569" t="s">
        <v>699</v>
      </c>
      <c r="F262" s="569" t="s">
        <v>187</v>
      </c>
      <c r="G262" s="569" t="s">
        <v>153</v>
      </c>
      <c r="H262" s="569">
        <v>2019</v>
      </c>
      <c r="I262" s="569" t="s">
        <v>810</v>
      </c>
      <c r="J262" s="569" t="s">
        <v>174</v>
      </c>
      <c r="K262" s="569" t="s">
        <v>752</v>
      </c>
      <c r="L262" s="569">
        <v>8</v>
      </c>
      <c r="M262" s="569">
        <v>0</v>
      </c>
      <c r="N262" s="569" t="s">
        <v>157</v>
      </c>
      <c r="O262" s="569">
        <v>3</v>
      </c>
      <c r="P262" s="569" t="s">
        <v>157</v>
      </c>
      <c r="Q262" s="568">
        <v>6400</v>
      </c>
      <c r="R262" s="569" t="s">
        <v>753</v>
      </c>
      <c r="S262" s="569">
        <v>8</v>
      </c>
      <c r="T262" s="569" t="s">
        <v>811</v>
      </c>
      <c r="U262" s="569" t="s">
        <v>732</v>
      </c>
      <c r="V262" s="569">
        <v>116</v>
      </c>
      <c r="W262" s="569">
        <v>26</v>
      </c>
      <c r="X262" s="568">
        <v>7300</v>
      </c>
      <c r="Y262" s="569">
        <v>18</v>
      </c>
      <c r="Z262" s="581" t="s">
        <v>450</v>
      </c>
      <c r="AA262" s="581" t="s">
        <v>178</v>
      </c>
      <c r="AB262" s="585">
        <v>52195</v>
      </c>
      <c r="AC262" s="585" t="s">
        <v>164</v>
      </c>
      <c r="AD262" s="585">
        <v>40998</v>
      </c>
      <c r="AE262" s="587">
        <v>7.1999999999999995E-2</v>
      </c>
      <c r="AF262" s="661" t="s">
        <v>830</v>
      </c>
      <c r="AG262" s="661" t="str">
        <f>IF(AND($Y262&gt;=32,(AI262="I"),(Y262&lt;&gt;"~"),(COUNTIF($AN$1:$AN262,$AN262)=1)),"TRUE","FALSE")</f>
        <v>FALSE</v>
      </c>
      <c r="AH262" s="661" t="str">
        <f>IF(AND($Y262&gt;=22, (AI262&lt;&gt;"I"),(Y262&lt;&gt;"~"),(COUNTIF($AN$1:$AN262,$AN262)=1)),"TRUE","FALSE")</f>
        <v>FALSE</v>
      </c>
      <c r="AI262" s="661" t="str">
        <f t="shared" si="27"/>
        <v>II</v>
      </c>
      <c r="AJ262" s="662" t="str">
        <f t="shared" si="28"/>
        <v>TAHO-003</v>
      </c>
      <c r="AK262" s="662" t="str">
        <f t="shared" si="29"/>
        <v>SUV</v>
      </c>
      <c r="AL262" s="662" t="str">
        <f t="shared" si="30"/>
        <v>CHV</v>
      </c>
      <c r="AM262" s="662" t="str">
        <f t="shared" si="26"/>
        <v>Tahoe-LS-4WD-8-~-6400-5.3L-8-CK15706-1LS-116-26-E85-Unleaded</v>
      </c>
      <c r="AN262" s="662" t="str">
        <f t="shared" si="31"/>
        <v>2019-SUV-CHV-TAHO-003</v>
      </c>
    </row>
    <row r="263" spans="1:40" s="572" customFormat="1" ht="15">
      <c r="A263" s="570" t="s">
        <v>831</v>
      </c>
      <c r="B263" s="573" t="s">
        <v>832</v>
      </c>
      <c r="C263" s="573" t="s">
        <v>169</v>
      </c>
      <c r="D263" s="578">
        <v>11</v>
      </c>
      <c r="E263" s="573" t="s">
        <v>699</v>
      </c>
      <c r="F263" s="573" t="s">
        <v>187</v>
      </c>
      <c r="G263" s="573" t="s">
        <v>153</v>
      </c>
      <c r="H263" s="573">
        <v>2019</v>
      </c>
      <c r="I263" s="573" t="s">
        <v>810</v>
      </c>
      <c r="J263" s="573" t="s">
        <v>174</v>
      </c>
      <c r="K263" s="573" t="s">
        <v>236</v>
      </c>
      <c r="L263" s="573">
        <v>8</v>
      </c>
      <c r="M263" s="573">
        <v>0</v>
      </c>
      <c r="N263" s="573" t="s">
        <v>157</v>
      </c>
      <c r="O263" s="573">
        <v>3</v>
      </c>
      <c r="P263" s="573" t="s">
        <v>157</v>
      </c>
      <c r="Q263" s="571">
        <v>5000</v>
      </c>
      <c r="R263" s="573" t="s">
        <v>753</v>
      </c>
      <c r="S263" s="573">
        <v>8</v>
      </c>
      <c r="T263" s="573" t="s">
        <v>820</v>
      </c>
      <c r="U263" s="573" t="s">
        <v>732</v>
      </c>
      <c r="V263" s="573">
        <v>116</v>
      </c>
      <c r="W263" s="573">
        <v>26</v>
      </c>
      <c r="X263" s="571">
        <v>7100</v>
      </c>
      <c r="Y263" s="573">
        <v>19</v>
      </c>
      <c r="Z263" s="579" t="s">
        <v>450</v>
      </c>
      <c r="AA263" s="579" t="s">
        <v>178</v>
      </c>
      <c r="AB263" s="584">
        <v>49195</v>
      </c>
      <c r="AC263" s="584" t="s">
        <v>164</v>
      </c>
      <c r="AD263" s="584">
        <v>38457.083333333336</v>
      </c>
      <c r="AE263" s="586">
        <v>0.05</v>
      </c>
      <c r="AF263" s="661" t="s">
        <v>833</v>
      </c>
      <c r="AG263" s="661" t="str">
        <f>IF(AND($Y263&gt;=32,(AI263="I"),(Y263&lt;&gt;"~"),(COUNTIF($AN$1:$AN263,$AN263)=1)),"TRUE","FALSE")</f>
        <v>FALSE</v>
      </c>
      <c r="AH263" s="661" t="str">
        <f>IF(AND($Y263&gt;=22, (AI263&lt;&gt;"I"),(Y263&lt;&gt;"~"),(COUNTIF($AN$1:$AN263,$AN263)=1)),"TRUE","FALSE")</f>
        <v>FALSE</v>
      </c>
      <c r="AI263" s="661" t="str">
        <f t="shared" si="27"/>
        <v>II</v>
      </c>
      <c r="AJ263" s="662" t="str">
        <f t="shared" si="28"/>
        <v>TAHO-004</v>
      </c>
      <c r="AK263" s="662" t="str">
        <f t="shared" si="29"/>
        <v>SUV</v>
      </c>
      <c r="AL263" s="662" t="str">
        <f t="shared" si="30"/>
        <v>CHV</v>
      </c>
      <c r="AM263" s="662" t="str">
        <f t="shared" si="26"/>
        <v>Tahoe-LS-RWD-8-~-5000-5.3L-8-CC15706-1LS-116-26-E85-Unleaded</v>
      </c>
      <c r="AN263" s="662" t="str">
        <f t="shared" si="31"/>
        <v>2019-SUV-CHV-TAHO-004</v>
      </c>
    </row>
    <row r="264" spans="1:40" s="572" customFormat="1" ht="15">
      <c r="A264" s="570" t="s">
        <v>834</v>
      </c>
      <c r="B264" s="569" t="s">
        <v>832</v>
      </c>
      <c r="C264" s="569" t="s">
        <v>150</v>
      </c>
      <c r="D264" s="580">
        <v>13</v>
      </c>
      <c r="E264" s="569" t="s">
        <v>699</v>
      </c>
      <c r="F264" s="569" t="s">
        <v>187</v>
      </c>
      <c r="G264" s="569" t="s">
        <v>153</v>
      </c>
      <c r="H264" s="569">
        <v>2019</v>
      </c>
      <c r="I264" s="569" t="s">
        <v>810</v>
      </c>
      <c r="J264" s="569" t="s">
        <v>174</v>
      </c>
      <c r="K264" s="569" t="s">
        <v>236</v>
      </c>
      <c r="L264" s="569">
        <v>8</v>
      </c>
      <c r="M264" s="569">
        <v>0</v>
      </c>
      <c r="N264" s="569" t="s">
        <v>157</v>
      </c>
      <c r="O264" s="569">
        <v>3</v>
      </c>
      <c r="P264" s="569" t="s">
        <v>157</v>
      </c>
      <c r="Q264" s="568">
        <v>5000</v>
      </c>
      <c r="R264" s="569" t="s">
        <v>753</v>
      </c>
      <c r="S264" s="569">
        <v>8</v>
      </c>
      <c r="T264" s="569" t="s">
        <v>820</v>
      </c>
      <c r="U264" s="569" t="s">
        <v>732</v>
      </c>
      <c r="V264" s="569">
        <v>116</v>
      </c>
      <c r="W264" s="569">
        <v>26</v>
      </c>
      <c r="X264" s="568">
        <v>7100</v>
      </c>
      <c r="Y264" s="569">
        <v>19</v>
      </c>
      <c r="Z264" s="581" t="s">
        <v>450</v>
      </c>
      <c r="AA264" s="581" t="s">
        <v>178</v>
      </c>
      <c r="AB264" s="585">
        <v>49195</v>
      </c>
      <c r="AC264" s="585" t="s">
        <v>164</v>
      </c>
      <c r="AD264" s="585">
        <v>47872</v>
      </c>
      <c r="AE264" s="587">
        <v>0.03</v>
      </c>
      <c r="AF264" s="661" t="s">
        <v>835</v>
      </c>
      <c r="AG264" s="661" t="str">
        <f>IF(AND($Y264&gt;=32,(AI264="I"),(Y264&lt;&gt;"~"),(COUNTIF($AN$1:$AN264,$AN264)=1)),"TRUE","FALSE")</f>
        <v>FALSE</v>
      </c>
      <c r="AH264" s="661" t="str">
        <f>IF(AND($Y264&gt;=22, (AI264&lt;&gt;"I"),(Y264&lt;&gt;"~"),(COUNTIF($AN$1:$AN264,$AN264)=1)),"TRUE","FALSE")</f>
        <v>FALSE</v>
      </c>
      <c r="AI264" s="661" t="str">
        <f t="shared" si="27"/>
        <v>II</v>
      </c>
      <c r="AJ264" s="662" t="str">
        <f t="shared" si="28"/>
        <v>TAHO-004</v>
      </c>
      <c r="AK264" s="662" t="str">
        <f t="shared" si="29"/>
        <v>SUV</v>
      </c>
      <c r="AL264" s="662" t="str">
        <f t="shared" si="30"/>
        <v>CHV</v>
      </c>
      <c r="AM264" s="662" t="str">
        <f t="shared" si="26"/>
        <v>Tahoe-LS-RWD-8-~-5000-5.3L-8-CC15706-1LS-116-26-E85-Unleaded</v>
      </c>
      <c r="AN264" s="662" t="str">
        <f t="shared" si="31"/>
        <v>2019-SUV-CHV-TAHO-004</v>
      </c>
    </row>
    <row r="265" spans="1:40" s="572" customFormat="1" ht="15">
      <c r="A265" s="570" t="s">
        <v>836</v>
      </c>
      <c r="B265" s="573" t="s">
        <v>832</v>
      </c>
      <c r="C265" s="573" t="s">
        <v>166</v>
      </c>
      <c r="D265" s="578">
        <v>17</v>
      </c>
      <c r="E265" s="573" t="s">
        <v>699</v>
      </c>
      <c r="F265" s="573" t="s">
        <v>187</v>
      </c>
      <c r="G265" s="573" t="s">
        <v>153</v>
      </c>
      <c r="H265" s="573">
        <v>2019</v>
      </c>
      <c r="I265" s="573" t="s">
        <v>810</v>
      </c>
      <c r="J265" s="573" t="s">
        <v>174</v>
      </c>
      <c r="K265" s="573" t="s">
        <v>236</v>
      </c>
      <c r="L265" s="573">
        <v>8</v>
      </c>
      <c r="M265" s="573">
        <v>0</v>
      </c>
      <c r="N265" s="573" t="s">
        <v>157</v>
      </c>
      <c r="O265" s="573">
        <v>3</v>
      </c>
      <c r="P265" s="573" t="s">
        <v>157</v>
      </c>
      <c r="Q265" s="571">
        <v>5000</v>
      </c>
      <c r="R265" s="573" t="s">
        <v>753</v>
      </c>
      <c r="S265" s="573">
        <v>8</v>
      </c>
      <c r="T265" s="573" t="s">
        <v>820</v>
      </c>
      <c r="U265" s="573" t="s">
        <v>732</v>
      </c>
      <c r="V265" s="573">
        <v>116</v>
      </c>
      <c r="W265" s="573">
        <v>26</v>
      </c>
      <c r="X265" s="571">
        <v>7100</v>
      </c>
      <c r="Y265" s="573">
        <v>19</v>
      </c>
      <c r="Z265" s="579" t="s">
        <v>450</v>
      </c>
      <c r="AA265" s="579" t="s">
        <v>178</v>
      </c>
      <c r="AB265" s="584">
        <v>49195</v>
      </c>
      <c r="AC265" s="584" t="s">
        <v>164</v>
      </c>
      <c r="AD265" s="584">
        <v>38255</v>
      </c>
      <c r="AE265" s="586">
        <v>7.1999999999999995E-2</v>
      </c>
      <c r="AF265" s="661" t="s">
        <v>837</v>
      </c>
      <c r="AG265" s="661" t="str">
        <f>IF(AND($Y265&gt;=32,(AI265="I"),(Y265&lt;&gt;"~"),(COUNTIF($AN$1:$AN265,$AN265)=1)),"TRUE","FALSE")</f>
        <v>FALSE</v>
      </c>
      <c r="AH265" s="661" t="str">
        <f>IF(AND($Y265&gt;=22, (AI265&lt;&gt;"I"),(Y265&lt;&gt;"~"),(COUNTIF($AN$1:$AN265,$AN265)=1)),"TRUE","FALSE")</f>
        <v>FALSE</v>
      </c>
      <c r="AI265" s="661" t="str">
        <f t="shared" si="27"/>
        <v>II</v>
      </c>
      <c r="AJ265" s="662" t="str">
        <f t="shared" si="28"/>
        <v>TAHO-004</v>
      </c>
      <c r="AK265" s="662" t="str">
        <f t="shared" si="29"/>
        <v>SUV</v>
      </c>
      <c r="AL265" s="662" t="str">
        <f t="shared" si="30"/>
        <v>CHV</v>
      </c>
      <c r="AM265" s="662" t="str">
        <f t="shared" si="26"/>
        <v>Tahoe-LS-RWD-8-~-5000-5.3L-8-CC15706-1LS-116-26-E85-Unleaded</v>
      </c>
      <c r="AN265" s="662" t="str">
        <f t="shared" si="31"/>
        <v>2019-SUV-CHV-TAHO-004</v>
      </c>
    </row>
    <row r="266" spans="1:40" s="572" customFormat="1" ht="15">
      <c r="A266" s="570" t="s">
        <v>838</v>
      </c>
      <c r="B266" s="569" t="s">
        <v>839</v>
      </c>
      <c r="C266" s="569" t="s">
        <v>169</v>
      </c>
      <c r="D266" s="580">
        <v>11</v>
      </c>
      <c r="E266" s="569" t="s">
        <v>699</v>
      </c>
      <c r="F266" s="569" t="s">
        <v>187</v>
      </c>
      <c r="G266" s="569" t="s">
        <v>153</v>
      </c>
      <c r="H266" s="569">
        <v>2019</v>
      </c>
      <c r="I266" s="569" t="s">
        <v>810</v>
      </c>
      <c r="J266" s="569" t="s">
        <v>155</v>
      </c>
      <c r="K266" s="569" t="s">
        <v>752</v>
      </c>
      <c r="L266" s="569">
        <v>8</v>
      </c>
      <c r="M266" s="569">
        <v>0</v>
      </c>
      <c r="N266" s="569" t="s">
        <v>157</v>
      </c>
      <c r="O266" s="569">
        <v>3</v>
      </c>
      <c r="P266" s="569" t="s">
        <v>157</v>
      </c>
      <c r="Q266" s="568">
        <v>6400</v>
      </c>
      <c r="R266" s="569" t="s">
        <v>753</v>
      </c>
      <c r="S266" s="569">
        <v>8</v>
      </c>
      <c r="T266" s="569" t="s">
        <v>811</v>
      </c>
      <c r="U266" s="569" t="s">
        <v>213</v>
      </c>
      <c r="V266" s="569">
        <v>116</v>
      </c>
      <c r="W266" s="569">
        <v>26</v>
      </c>
      <c r="X266" s="568">
        <v>7300</v>
      </c>
      <c r="Y266" s="569">
        <v>18</v>
      </c>
      <c r="Z266" s="581" t="s">
        <v>450</v>
      </c>
      <c r="AA266" s="581" t="s">
        <v>178</v>
      </c>
      <c r="AB266" s="585">
        <v>57195</v>
      </c>
      <c r="AC266" s="585" t="s">
        <v>164</v>
      </c>
      <c r="AD266" s="585">
        <v>46057.083333333336</v>
      </c>
      <c r="AE266" s="587">
        <v>0.05</v>
      </c>
      <c r="AF266" s="661" t="s">
        <v>840</v>
      </c>
      <c r="AG266" s="661" t="str">
        <f>IF(AND($Y266&gt;=32,(AI266="I"),(Y266&lt;&gt;"~"),(COUNTIF($AN$1:$AN266,$AN266)=1)),"TRUE","FALSE")</f>
        <v>FALSE</v>
      </c>
      <c r="AH266" s="661" t="str">
        <f>IF(AND($Y266&gt;=22, (AI266&lt;&gt;"I"),(Y266&lt;&gt;"~"),(COUNTIF($AN$1:$AN266,$AN266)=1)),"TRUE","FALSE")</f>
        <v>FALSE</v>
      </c>
      <c r="AI266" s="661" t="str">
        <f t="shared" si="27"/>
        <v>II</v>
      </c>
      <c r="AJ266" s="662" t="str">
        <f t="shared" si="28"/>
        <v>TAHO-005</v>
      </c>
      <c r="AK266" s="662" t="str">
        <f t="shared" si="29"/>
        <v>SUV</v>
      </c>
      <c r="AL266" s="662" t="str">
        <f t="shared" si="30"/>
        <v>CHV</v>
      </c>
      <c r="AM266" s="662" t="str">
        <f t="shared" si="26"/>
        <v>Tahoe-LT-4WD-8-~-6400-5.3L-8-CK15706-1LT-116-26-E85-Unleaded</v>
      </c>
      <c r="AN266" s="662" t="str">
        <f t="shared" si="31"/>
        <v>2019-SUV-CHV-TAHO-005</v>
      </c>
    </row>
    <row r="267" spans="1:40" s="572" customFormat="1" ht="15">
      <c r="A267" s="570" t="s">
        <v>841</v>
      </c>
      <c r="B267" s="573" t="s">
        <v>839</v>
      </c>
      <c r="C267" s="573" t="s">
        <v>150</v>
      </c>
      <c r="D267" s="578">
        <v>13</v>
      </c>
      <c r="E267" s="573" t="s">
        <v>699</v>
      </c>
      <c r="F267" s="573" t="s">
        <v>187</v>
      </c>
      <c r="G267" s="573" t="s">
        <v>153</v>
      </c>
      <c r="H267" s="573">
        <v>2019</v>
      </c>
      <c r="I267" s="573" t="s">
        <v>810</v>
      </c>
      <c r="J267" s="573" t="s">
        <v>155</v>
      </c>
      <c r="K267" s="573" t="s">
        <v>752</v>
      </c>
      <c r="L267" s="573">
        <v>8</v>
      </c>
      <c r="M267" s="573">
        <v>0</v>
      </c>
      <c r="N267" s="573" t="s">
        <v>157</v>
      </c>
      <c r="O267" s="573">
        <v>3</v>
      </c>
      <c r="P267" s="573" t="s">
        <v>157</v>
      </c>
      <c r="Q267" s="571">
        <v>6400</v>
      </c>
      <c r="R267" s="573" t="s">
        <v>753</v>
      </c>
      <c r="S267" s="573">
        <v>8</v>
      </c>
      <c r="T267" s="573" t="s">
        <v>811</v>
      </c>
      <c r="U267" s="573" t="s">
        <v>213</v>
      </c>
      <c r="V267" s="573">
        <v>116</v>
      </c>
      <c r="W267" s="573">
        <v>26</v>
      </c>
      <c r="X267" s="571">
        <v>7300</v>
      </c>
      <c r="Y267" s="573">
        <v>18</v>
      </c>
      <c r="Z267" s="579" t="s">
        <v>450</v>
      </c>
      <c r="AA267" s="579" t="s">
        <v>178</v>
      </c>
      <c r="AB267" s="584">
        <v>57195</v>
      </c>
      <c r="AC267" s="584" t="s">
        <v>164</v>
      </c>
      <c r="AD267" s="584">
        <v>47872</v>
      </c>
      <c r="AE267" s="586">
        <v>0.03</v>
      </c>
      <c r="AF267" s="661" t="s">
        <v>842</v>
      </c>
      <c r="AG267" s="661" t="str">
        <f>IF(AND($Y267&gt;=32,(AI267="I"),(Y267&lt;&gt;"~"),(COUNTIF($AN$1:$AN267,$AN267)=1)),"TRUE","FALSE")</f>
        <v>FALSE</v>
      </c>
      <c r="AH267" s="661" t="str">
        <f>IF(AND($Y267&gt;=22, (AI267&lt;&gt;"I"),(Y267&lt;&gt;"~"),(COUNTIF($AN$1:$AN267,$AN267)=1)),"TRUE","FALSE")</f>
        <v>FALSE</v>
      </c>
      <c r="AI267" s="661" t="str">
        <f t="shared" si="27"/>
        <v>II</v>
      </c>
      <c r="AJ267" s="662" t="str">
        <f t="shared" si="28"/>
        <v>TAHO-005</v>
      </c>
      <c r="AK267" s="662" t="str">
        <f t="shared" si="29"/>
        <v>SUV</v>
      </c>
      <c r="AL267" s="662" t="str">
        <f t="shared" si="30"/>
        <v>CHV</v>
      </c>
      <c r="AM267" s="662" t="str">
        <f t="shared" si="26"/>
        <v>Tahoe-LT-4WD-8-~-6400-5.3L-8-CK15706-1LT-116-26-E85-Unleaded</v>
      </c>
      <c r="AN267" s="662" t="str">
        <f t="shared" si="31"/>
        <v>2019-SUV-CHV-TAHO-005</v>
      </c>
    </row>
    <row r="268" spans="1:40" s="572" customFormat="1" ht="15">
      <c r="A268" s="570" t="s">
        <v>843</v>
      </c>
      <c r="B268" s="569" t="s">
        <v>839</v>
      </c>
      <c r="C268" s="569" t="s">
        <v>166</v>
      </c>
      <c r="D268" s="580">
        <v>17</v>
      </c>
      <c r="E268" s="569" t="s">
        <v>699</v>
      </c>
      <c r="F268" s="569" t="s">
        <v>187</v>
      </c>
      <c r="G268" s="569" t="s">
        <v>153</v>
      </c>
      <c r="H268" s="569">
        <v>2019</v>
      </c>
      <c r="I268" s="569" t="s">
        <v>810</v>
      </c>
      <c r="J268" s="569" t="s">
        <v>155</v>
      </c>
      <c r="K268" s="569" t="s">
        <v>752</v>
      </c>
      <c r="L268" s="569">
        <v>8</v>
      </c>
      <c r="M268" s="569">
        <v>0</v>
      </c>
      <c r="N268" s="569" t="s">
        <v>157</v>
      </c>
      <c r="O268" s="569">
        <v>3</v>
      </c>
      <c r="P268" s="569" t="s">
        <v>157</v>
      </c>
      <c r="Q268" s="568">
        <v>6400</v>
      </c>
      <c r="R268" s="569" t="s">
        <v>753</v>
      </c>
      <c r="S268" s="569">
        <v>8</v>
      </c>
      <c r="T268" s="569" t="s">
        <v>811</v>
      </c>
      <c r="U268" s="569" t="s">
        <v>213</v>
      </c>
      <c r="V268" s="569">
        <v>116</v>
      </c>
      <c r="W268" s="569">
        <v>26</v>
      </c>
      <c r="X268" s="568">
        <v>7300</v>
      </c>
      <c r="Y268" s="569">
        <v>18</v>
      </c>
      <c r="Z268" s="581" t="s">
        <v>450</v>
      </c>
      <c r="AA268" s="581" t="s">
        <v>178</v>
      </c>
      <c r="AB268" s="585">
        <v>57195</v>
      </c>
      <c r="AC268" s="585" t="s">
        <v>164</v>
      </c>
      <c r="AD268" s="585">
        <v>47684.68</v>
      </c>
      <c r="AE268" s="587">
        <v>7.1999999999999995E-2</v>
      </c>
      <c r="AF268" s="661" t="s">
        <v>844</v>
      </c>
      <c r="AG268" s="661" t="str">
        <f>IF(AND($Y268&gt;=32,(AI268="I"),(Y268&lt;&gt;"~"),(COUNTIF($AN$1:$AN268,$AN268)=1)),"TRUE","FALSE")</f>
        <v>FALSE</v>
      </c>
      <c r="AH268" s="661" t="str">
        <f>IF(AND($Y268&gt;=22, (AI268&lt;&gt;"I"),(Y268&lt;&gt;"~"),(COUNTIF($AN$1:$AN268,$AN268)=1)),"TRUE","FALSE")</f>
        <v>FALSE</v>
      </c>
      <c r="AI268" s="661" t="str">
        <f t="shared" si="27"/>
        <v>II</v>
      </c>
      <c r="AJ268" s="662" t="str">
        <f t="shared" si="28"/>
        <v>TAHO-005</v>
      </c>
      <c r="AK268" s="662" t="str">
        <f t="shared" si="29"/>
        <v>SUV</v>
      </c>
      <c r="AL268" s="662" t="str">
        <f t="shared" si="30"/>
        <v>CHV</v>
      </c>
      <c r="AM268" s="662" t="str">
        <f t="shared" si="26"/>
        <v>Tahoe-LT-4WD-8-~-6400-5.3L-8-CK15706-1LT-116-26-E85-Unleaded</v>
      </c>
      <c r="AN268" s="662" t="str">
        <f t="shared" si="31"/>
        <v>2019-SUV-CHV-TAHO-005</v>
      </c>
    </row>
    <row r="269" spans="1:40" s="572" customFormat="1" ht="15">
      <c r="A269" s="570" t="s">
        <v>845</v>
      </c>
      <c r="B269" s="573" t="s">
        <v>846</v>
      </c>
      <c r="C269" s="573" t="s">
        <v>169</v>
      </c>
      <c r="D269" s="578">
        <v>11</v>
      </c>
      <c r="E269" s="573" t="s">
        <v>699</v>
      </c>
      <c r="F269" s="573" t="s">
        <v>187</v>
      </c>
      <c r="G269" s="573" t="s">
        <v>153</v>
      </c>
      <c r="H269" s="573">
        <v>2019</v>
      </c>
      <c r="I269" s="573" t="s">
        <v>810</v>
      </c>
      <c r="J269" s="573" t="s">
        <v>155</v>
      </c>
      <c r="K269" s="573" t="s">
        <v>236</v>
      </c>
      <c r="L269" s="573">
        <v>8</v>
      </c>
      <c r="M269" s="573">
        <v>0</v>
      </c>
      <c r="N269" s="573" t="s">
        <v>157</v>
      </c>
      <c r="O269" s="573">
        <v>3</v>
      </c>
      <c r="P269" s="573" t="s">
        <v>157</v>
      </c>
      <c r="Q269" s="571">
        <v>5000</v>
      </c>
      <c r="R269" s="573" t="s">
        <v>753</v>
      </c>
      <c r="S269" s="573">
        <v>8</v>
      </c>
      <c r="T269" s="573" t="s">
        <v>820</v>
      </c>
      <c r="U269" s="573" t="s">
        <v>213</v>
      </c>
      <c r="V269" s="573">
        <v>116</v>
      </c>
      <c r="W269" s="573">
        <v>26</v>
      </c>
      <c r="X269" s="571">
        <v>7100</v>
      </c>
      <c r="Y269" s="573">
        <v>19</v>
      </c>
      <c r="Z269" s="579" t="s">
        <v>450</v>
      </c>
      <c r="AA269" s="579" t="s">
        <v>178</v>
      </c>
      <c r="AB269" s="584">
        <v>54195</v>
      </c>
      <c r="AC269" s="584" t="s">
        <v>164</v>
      </c>
      <c r="AD269" s="584">
        <v>43207.083333333336</v>
      </c>
      <c r="AE269" s="586">
        <v>0.05</v>
      </c>
      <c r="AF269" s="661" t="s">
        <v>847</v>
      </c>
      <c r="AG269" s="661" t="str">
        <f>IF(AND($Y269&gt;=32,(AI269="I"),(Y269&lt;&gt;"~"),(COUNTIF($AN$1:$AN269,$AN269)=1)),"TRUE","FALSE")</f>
        <v>FALSE</v>
      </c>
      <c r="AH269" s="661" t="str">
        <f>IF(AND($Y269&gt;=22, (AI269&lt;&gt;"I"),(Y269&lt;&gt;"~"),(COUNTIF($AN$1:$AN269,$AN269)=1)),"TRUE","FALSE")</f>
        <v>FALSE</v>
      </c>
      <c r="AI269" s="661" t="str">
        <f t="shared" si="27"/>
        <v>II</v>
      </c>
      <c r="AJ269" s="662" t="str">
        <f t="shared" si="28"/>
        <v>TAHO-006</v>
      </c>
      <c r="AK269" s="662" t="str">
        <f t="shared" si="29"/>
        <v>SUV</v>
      </c>
      <c r="AL269" s="662" t="str">
        <f t="shared" si="30"/>
        <v>CHV</v>
      </c>
      <c r="AM269" s="662" t="str">
        <f t="shared" si="26"/>
        <v>Tahoe-LT-RWD-8-~-5000-5.3L-8-CC15706-1LT-116-26-E85-Unleaded</v>
      </c>
      <c r="AN269" s="662" t="str">
        <f t="shared" si="31"/>
        <v>2019-SUV-CHV-TAHO-006</v>
      </c>
    </row>
    <row r="270" spans="1:40" s="572" customFormat="1" ht="15">
      <c r="A270" s="570" t="s">
        <v>848</v>
      </c>
      <c r="B270" s="569" t="s">
        <v>846</v>
      </c>
      <c r="C270" s="569" t="s">
        <v>150</v>
      </c>
      <c r="D270" s="580">
        <v>13</v>
      </c>
      <c r="E270" s="569" t="s">
        <v>699</v>
      </c>
      <c r="F270" s="569" t="s">
        <v>187</v>
      </c>
      <c r="G270" s="569" t="s">
        <v>153</v>
      </c>
      <c r="H270" s="569">
        <v>2019</v>
      </c>
      <c r="I270" s="569" t="s">
        <v>810</v>
      </c>
      <c r="J270" s="569" t="s">
        <v>155</v>
      </c>
      <c r="K270" s="569" t="s">
        <v>236</v>
      </c>
      <c r="L270" s="569">
        <v>8</v>
      </c>
      <c r="M270" s="569">
        <v>0</v>
      </c>
      <c r="N270" s="569" t="s">
        <v>157</v>
      </c>
      <c r="O270" s="569">
        <v>3</v>
      </c>
      <c r="P270" s="569" t="s">
        <v>157</v>
      </c>
      <c r="Q270" s="568">
        <v>5000</v>
      </c>
      <c r="R270" s="569" t="s">
        <v>753</v>
      </c>
      <c r="S270" s="569">
        <v>8</v>
      </c>
      <c r="T270" s="569" t="s">
        <v>820</v>
      </c>
      <c r="U270" s="569" t="s">
        <v>213</v>
      </c>
      <c r="V270" s="569">
        <v>116</v>
      </c>
      <c r="W270" s="569">
        <v>26</v>
      </c>
      <c r="X270" s="568">
        <v>7100</v>
      </c>
      <c r="Y270" s="569">
        <v>19</v>
      </c>
      <c r="Z270" s="581" t="s">
        <v>450</v>
      </c>
      <c r="AA270" s="581" t="s">
        <v>178</v>
      </c>
      <c r="AB270" s="585">
        <v>54195</v>
      </c>
      <c r="AC270" s="585" t="s">
        <v>164</v>
      </c>
      <c r="AD270" s="585">
        <v>45142</v>
      </c>
      <c r="AE270" s="587">
        <v>0.03</v>
      </c>
      <c r="AF270" s="661" t="s">
        <v>849</v>
      </c>
      <c r="AG270" s="661" t="str">
        <f>IF(AND($Y270&gt;=32,(AI270="I"),(Y270&lt;&gt;"~"),(COUNTIF($AN$1:$AN270,$AN270)=1)),"TRUE","FALSE")</f>
        <v>FALSE</v>
      </c>
      <c r="AH270" s="661" t="str">
        <f>IF(AND($Y270&gt;=22, (AI270&lt;&gt;"I"),(Y270&lt;&gt;"~"),(COUNTIF($AN$1:$AN270,$AN270)=1)),"TRUE","FALSE")</f>
        <v>FALSE</v>
      </c>
      <c r="AI270" s="661" t="str">
        <f t="shared" si="27"/>
        <v>II</v>
      </c>
      <c r="AJ270" s="662" t="str">
        <f t="shared" si="28"/>
        <v>TAHO-006</v>
      </c>
      <c r="AK270" s="662" t="str">
        <f t="shared" si="29"/>
        <v>SUV</v>
      </c>
      <c r="AL270" s="662" t="str">
        <f t="shared" si="30"/>
        <v>CHV</v>
      </c>
      <c r="AM270" s="662" t="str">
        <f t="shared" si="26"/>
        <v>Tahoe-LT-RWD-8-~-5000-5.3L-8-CC15706-1LT-116-26-E85-Unleaded</v>
      </c>
      <c r="AN270" s="662" t="str">
        <f t="shared" si="31"/>
        <v>2019-SUV-CHV-TAHO-006</v>
      </c>
    </row>
    <row r="271" spans="1:40" s="572" customFormat="1" ht="15">
      <c r="A271" s="570" t="s">
        <v>850</v>
      </c>
      <c r="B271" s="573" t="s">
        <v>846</v>
      </c>
      <c r="C271" s="573" t="s">
        <v>166</v>
      </c>
      <c r="D271" s="578">
        <v>17</v>
      </c>
      <c r="E271" s="573" t="s">
        <v>699</v>
      </c>
      <c r="F271" s="573" t="s">
        <v>187</v>
      </c>
      <c r="G271" s="573" t="s">
        <v>153</v>
      </c>
      <c r="H271" s="573">
        <v>2019</v>
      </c>
      <c r="I271" s="573" t="s">
        <v>810</v>
      </c>
      <c r="J271" s="573" t="s">
        <v>155</v>
      </c>
      <c r="K271" s="573" t="s">
        <v>236</v>
      </c>
      <c r="L271" s="573">
        <v>8</v>
      </c>
      <c r="M271" s="573">
        <v>0</v>
      </c>
      <c r="N271" s="573" t="s">
        <v>157</v>
      </c>
      <c r="O271" s="573">
        <v>3</v>
      </c>
      <c r="P271" s="573" t="s">
        <v>157</v>
      </c>
      <c r="Q271" s="571">
        <v>5000</v>
      </c>
      <c r="R271" s="573" t="s">
        <v>753</v>
      </c>
      <c r="S271" s="573">
        <v>8</v>
      </c>
      <c r="T271" s="573" t="s">
        <v>820</v>
      </c>
      <c r="U271" s="573" t="s">
        <v>213</v>
      </c>
      <c r="V271" s="573">
        <v>116</v>
      </c>
      <c r="W271" s="573">
        <v>26</v>
      </c>
      <c r="X271" s="571">
        <v>7100</v>
      </c>
      <c r="Y271" s="573">
        <v>19</v>
      </c>
      <c r="Z271" s="579" t="s">
        <v>450</v>
      </c>
      <c r="AA271" s="579" t="s">
        <v>178</v>
      </c>
      <c r="AB271" s="584">
        <v>54195</v>
      </c>
      <c r="AC271" s="584" t="s">
        <v>164</v>
      </c>
      <c r="AD271" s="584">
        <v>42437</v>
      </c>
      <c r="AE271" s="586">
        <v>7.1999999999999995E-2</v>
      </c>
      <c r="AF271" s="661" t="s">
        <v>851</v>
      </c>
      <c r="AG271" s="661" t="str">
        <f>IF(AND($Y271&gt;=32,(AI271="I"),(Y271&lt;&gt;"~"),(COUNTIF($AN$1:$AN271,$AN271)=1)),"TRUE","FALSE")</f>
        <v>FALSE</v>
      </c>
      <c r="AH271" s="661" t="str">
        <f>IF(AND($Y271&gt;=22, (AI271&lt;&gt;"I"),(Y271&lt;&gt;"~"),(COUNTIF($AN$1:$AN271,$AN271)=1)),"TRUE","FALSE")</f>
        <v>FALSE</v>
      </c>
      <c r="AI271" s="661" t="str">
        <f t="shared" si="27"/>
        <v>II</v>
      </c>
      <c r="AJ271" s="662" t="str">
        <f t="shared" si="28"/>
        <v>TAHO-006</v>
      </c>
      <c r="AK271" s="662" t="str">
        <f t="shared" si="29"/>
        <v>SUV</v>
      </c>
      <c r="AL271" s="662" t="str">
        <f t="shared" si="30"/>
        <v>CHV</v>
      </c>
      <c r="AM271" s="662" t="str">
        <f t="shared" si="26"/>
        <v>Tahoe-LT-RWD-8-~-5000-5.3L-8-CC15706-1LT-116-26-E85-Unleaded</v>
      </c>
      <c r="AN271" s="662" t="str">
        <f t="shared" si="31"/>
        <v>2019-SUV-CHV-TAHO-006</v>
      </c>
    </row>
    <row r="272" spans="1:40" s="572" customFormat="1" ht="15">
      <c r="A272" s="570" t="s">
        <v>852</v>
      </c>
      <c r="B272" s="569" t="s">
        <v>853</v>
      </c>
      <c r="C272" s="569" t="s">
        <v>169</v>
      </c>
      <c r="D272" s="580">
        <v>11</v>
      </c>
      <c r="E272" s="569" t="s">
        <v>699</v>
      </c>
      <c r="F272" s="569" t="s">
        <v>196</v>
      </c>
      <c r="G272" s="569" t="s">
        <v>153</v>
      </c>
      <c r="H272" s="569">
        <v>2019</v>
      </c>
      <c r="I272" s="569" t="s">
        <v>854</v>
      </c>
      <c r="J272" s="569" t="s">
        <v>174</v>
      </c>
      <c r="K272" s="569" t="s">
        <v>230</v>
      </c>
      <c r="L272" s="569">
        <v>8</v>
      </c>
      <c r="M272" s="569">
        <v>0</v>
      </c>
      <c r="N272" s="569" t="s">
        <v>157</v>
      </c>
      <c r="O272" s="569">
        <v>3</v>
      </c>
      <c r="P272" s="569" t="s">
        <v>157</v>
      </c>
      <c r="Q272" s="568" t="s">
        <v>157</v>
      </c>
      <c r="R272" s="569" t="s">
        <v>231</v>
      </c>
      <c r="S272" s="569">
        <v>6</v>
      </c>
      <c r="T272" s="569" t="s">
        <v>855</v>
      </c>
      <c r="U272" s="569" t="s">
        <v>191</v>
      </c>
      <c r="V272" s="569">
        <v>120.9</v>
      </c>
      <c r="W272" s="569">
        <v>21.7</v>
      </c>
      <c r="X272" s="568">
        <v>6160</v>
      </c>
      <c r="Y272" s="569">
        <v>20</v>
      </c>
      <c r="Z272" s="581" t="s">
        <v>178</v>
      </c>
      <c r="AA272" s="581" t="s">
        <v>178</v>
      </c>
      <c r="AB272" s="585">
        <v>35995</v>
      </c>
      <c r="AC272" s="585" t="s">
        <v>164</v>
      </c>
      <c r="AD272" s="585">
        <v>28068.333333333332</v>
      </c>
      <c r="AE272" s="587">
        <v>0.05</v>
      </c>
      <c r="AF272" s="661" t="s">
        <v>856</v>
      </c>
      <c r="AG272" s="661" t="str">
        <f>IF(AND($Y272&gt;=32,(AI272="I"),(Y272&lt;&gt;"~"),(COUNTIF($AN$1:$AN272,$AN272)=1)),"TRUE","FALSE")</f>
        <v>FALSE</v>
      </c>
      <c r="AH272" s="661" t="str">
        <f>IF(AND($Y272&gt;=22, (AI272&lt;&gt;"I"),(Y272&lt;&gt;"~"),(COUNTIF($AN$1:$AN272,$AN272)=1)),"TRUE","FALSE")</f>
        <v>FALSE</v>
      </c>
      <c r="AI272" s="661" t="str">
        <f t="shared" si="27"/>
        <v>II</v>
      </c>
      <c r="AJ272" s="662" t="str">
        <f t="shared" si="28"/>
        <v>TRAV-001</v>
      </c>
      <c r="AK272" s="662" t="str">
        <f t="shared" si="29"/>
        <v>SUV</v>
      </c>
      <c r="AL272" s="662" t="str">
        <f t="shared" si="30"/>
        <v>CHV</v>
      </c>
      <c r="AM272" s="662" t="str">
        <f t="shared" si="26"/>
        <v>Traverse-LS-AWD-8-~-~-3.6L-6-1NV56-1FL-120.9-21.7-Unleaded-Unleaded</v>
      </c>
      <c r="AN272" s="662" t="str">
        <f t="shared" si="31"/>
        <v>2019-SUV-CHV-TRAV-001</v>
      </c>
    </row>
    <row r="273" spans="1:40" s="572" customFormat="1" ht="15">
      <c r="A273" s="570" t="s">
        <v>857</v>
      </c>
      <c r="B273" s="573" t="s">
        <v>858</v>
      </c>
      <c r="C273" s="573" t="s">
        <v>169</v>
      </c>
      <c r="D273" s="578">
        <v>11</v>
      </c>
      <c r="E273" s="573" t="s">
        <v>699</v>
      </c>
      <c r="F273" s="573" t="s">
        <v>196</v>
      </c>
      <c r="G273" s="573" t="s">
        <v>153</v>
      </c>
      <c r="H273" s="573">
        <v>2019</v>
      </c>
      <c r="I273" s="573" t="s">
        <v>854</v>
      </c>
      <c r="J273" s="573" t="s">
        <v>174</v>
      </c>
      <c r="K273" s="573" t="s">
        <v>230</v>
      </c>
      <c r="L273" s="573">
        <v>8</v>
      </c>
      <c r="M273" s="573">
        <v>0</v>
      </c>
      <c r="N273" s="573" t="s">
        <v>157</v>
      </c>
      <c r="O273" s="573">
        <v>3</v>
      </c>
      <c r="P273" s="573" t="s">
        <v>157</v>
      </c>
      <c r="Q273" s="571" t="s">
        <v>157</v>
      </c>
      <c r="R273" s="573" t="s">
        <v>231</v>
      </c>
      <c r="S273" s="573">
        <v>6</v>
      </c>
      <c r="T273" s="573" t="s">
        <v>855</v>
      </c>
      <c r="U273" s="573" t="s">
        <v>732</v>
      </c>
      <c r="V273" s="573">
        <v>120.9</v>
      </c>
      <c r="W273" s="573">
        <v>21.7</v>
      </c>
      <c r="X273" s="571">
        <v>6160</v>
      </c>
      <c r="Y273" s="573">
        <v>20</v>
      </c>
      <c r="Z273" s="579" t="s">
        <v>178</v>
      </c>
      <c r="AA273" s="579" t="s">
        <v>178</v>
      </c>
      <c r="AB273" s="584">
        <v>35995</v>
      </c>
      <c r="AC273" s="584" t="s">
        <v>164</v>
      </c>
      <c r="AD273" s="584">
        <v>28068.333333333332</v>
      </c>
      <c r="AE273" s="586">
        <v>0.05</v>
      </c>
      <c r="AF273" s="661" t="s">
        <v>859</v>
      </c>
      <c r="AG273" s="661" t="str">
        <f>IF(AND($Y273&gt;=32,(AI273="I"),(Y273&lt;&gt;"~"),(COUNTIF($AN$1:$AN273,$AN273)=1)),"TRUE","FALSE")</f>
        <v>FALSE</v>
      </c>
      <c r="AH273" s="661" t="str">
        <f>IF(AND($Y273&gt;=22, (AI273&lt;&gt;"I"),(Y273&lt;&gt;"~"),(COUNTIF($AN$1:$AN273,$AN273)=1)),"TRUE","FALSE")</f>
        <v>FALSE</v>
      </c>
      <c r="AI273" s="661" t="str">
        <f t="shared" si="27"/>
        <v>II</v>
      </c>
      <c r="AJ273" s="662" t="str">
        <f t="shared" si="28"/>
        <v>TRAV-002</v>
      </c>
      <c r="AK273" s="662" t="str">
        <f t="shared" si="29"/>
        <v>SUV</v>
      </c>
      <c r="AL273" s="662" t="str">
        <f t="shared" si="30"/>
        <v>CHV</v>
      </c>
      <c r="AM273" s="662" t="str">
        <f t="shared" si="26"/>
        <v>Traverse-LS-AWD-8-~-~-3.6L-6-1NV56-1LS-120.9-21.7-Unleaded-Unleaded</v>
      </c>
      <c r="AN273" s="662" t="str">
        <f t="shared" si="31"/>
        <v>2019-SUV-CHV-TRAV-002</v>
      </c>
    </row>
    <row r="274" spans="1:40" s="572" customFormat="1" ht="15">
      <c r="A274" s="570" t="s">
        <v>860</v>
      </c>
      <c r="B274" s="569" t="s">
        <v>853</v>
      </c>
      <c r="C274" s="569" t="s">
        <v>150</v>
      </c>
      <c r="D274" s="580">
        <v>13</v>
      </c>
      <c r="E274" s="569" t="s">
        <v>699</v>
      </c>
      <c r="F274" s="569" t="s">
        <v>196</v>
      </c>
      <c r="G274" s="569" t="s">
        <v>153</v>
      </c>
      <c r="H274" s="569">
        <v>2019</v>
      </c>
      <c r="I274" s="569" t="s">
        <v>854</v>
      </c>
      <c r="J274" s="569" t="s">
        <v>174</v>
      </c>
      <c r="K274" s="569" t="s">
        <v>230</v>
      </c>
      <c r="L274" s="569">
        <v>8</v>
      </c>
      <c r="M274" s="569">
        <v>0</v>
      </c>
      <c r="N274" s="569" t="s">
        <v>157</v>
      </c>
      <c r="O274" s="569">
        <v>3</v>
      </c>
      <c r="P274" s="569" t="s">
        <v>157</v>
      </c>
      <c r="Q274" s="568" t="s">
        <v>157</v>
      </c>
      <c r="R274" s="569" t="s">
        <v>231</v>
      </c>
      <c r="S274" s="569">
        <v>6</v>
      </c>
      <c r="T274" s="569" t="s">
        <v>855</v>
      </c>
      <c r="U274" s="569" t="s">
        <v>191</v>
      </c>
      <c r="V274" s="569">
        <v>120.9</v>
      </c>
      <c r="W274" s="569">
        <v>21.7</v>
      </c>
      <c r="X274" s="568">
        <v>6160</v>
      </c>
      <c r="Y274" s="569">
        <v>20</v>
      </c>
      <c r="Z274" s="581" t="s">
        <v>178</v>
      </c>
      <c r="AA274" s="581" t="s">
        <v>178</v>
      </c>
      <c r="AB274" s="585">
        <v>36695</v>
      </c>
      <c r="AC274" s="585" t="s">
        <v>164</v>
      </c>
      <c r="AD274" s="585">
        <v>30271</v>
      </c>
      <c r="AE274" s="587">
        <v>0.03</v>
      </c>
      <c r="AF274" s="661" t="s">
        <v>861</v>
      </c>
      <c r="AG274" s="661" t="str">
        <f>IF(AND($Y274&gt;=32,(AI274="I"),(Y274&lt;&gt;"~"),(COUNTIF($AN$1:$AN274,$AN274)=1)),"TRUE","FALSE")</f>
        <v>FALSE</v>
      </c>
      <c r="AH274" s="661" t="str">
        <f>IF(AND($Y274&gt;=22, (AI274&lt;&gt;"I"),(Y274&lt;&gt;"~"),(COUNTIF($AN$1:$AN274,$AN274)=1)),"TRUE","FALSE")</f>
        <v>FALSE</v>
      </c>
      <c r="AI274" s="661" t="str">
        <f t="shared" si="27"/>
        <v>II</v>
      </c>
      <c r="AJ274" s="662" t="str">
        <f t="shared" si="28"/>
        <v>TRAV-001</v>
      </c>
      <c r="AK274" s="662" t="str">
        <f t="shared" si="29"/>
        <v>SUV</v>
      </c>
      <c r="AL274" s="662" t="str">
        <f t="shared" si="30"/>
        <v>CHV</v>
      </c>
      <c r="AM274" s="662" t="str">
        <f t="shared" si="26"/>
        <v>Traverse-LS-AWD-8-~-~-3.6L-6-1NV56-1FL-120.9-21.7-Unleaded-Unleaded</v>
      </c>
      <c r="AN274" s="662" t="str">
        <f t="shared" si="31"/>
        <v>2019-SUV-CHV-TRAV-001</v>
      </c>
    </row>
    <row r="275" spans="1:40" s="572" customFormat="1" ht="15">
      <c r="A275" s="570" t="s">
        <v>862</v>
      </c>
      <c r="B275" s="573" t="s">
        <v>853</v>
      </c>
      <c r="C275" s="573" t="s">
        <v>166</v>
      </c>
      <c r="D275" s="578">
        <v>17</v>
      </c>
      <c r="E275" s="573" t="s">
        <v>699</v>
      </c>
      <c r="F275" s="573" t="s">
        <v>196</v>
      </c>
      <c r="G275" s="573" t="s">
        <v>153</v>
      </c>
      <c r="H275" s="573">
        <v>2019</v>
      </c>
      <c r="I275" s="573" t="s">
        <v>854</v>
      </c>
      <c r="J275" s="573" t="s">
        <v>174</v>
      </c>
      <c r="K275" s="573" t="s">
        <v>230</v>
      </c>
      <c r="L275" s="573">
        <v>8</v>
      </c>
      <c r="M275" s="573">
        <v>0</v>
      </c>
      <c r="N275" s="573" t="s">
        <v>157</v>
      </c>
      <c r="O275" s="573">
        <v>3</v>
      </c>
      <c r="P275" s="573" t="s">
        <v>157</v>
      </c>
      <c r="Q275" s="571" t="s">
        <v>157</v>
      </c>
      <c r="R275" s="573" t="s">
        <v>231</v>
      </c>
      <c r="S275" s="573">
        <v>6</v>
      </c>
      <c r="T275" s="573" t="s">
        <v>855</v>
      </c>
      <c r="U275" s="573" t="s">
        <v>191</v>
      </c>
      <c r="V275" s="573">
        <v>120.9</v>
      </c>
      <c r="W275" s="573">
        <v>21.7</v>
      </c>
      <c r="X275" s="571">
        <v>6160</v>
      </c>
      <c r="Y275" s="573">
        <v>20</v>
      </c>
      <c r="Z275" s="579" t="s">
        <v>178</v>
      </c>
      <c r="AA275" s="579" t="s">
        <v>178</v>
      </c>
      <c r="AB275" s="584">
        <v>35795</v>
      </c>
      <c r="AC275" s="584" t="s">
        <v>164</v>
      </c>
      <c r="AD275" s="584">
        <v>28335</v>
      </c>
      <c r="AE275" s="586">
        <v>7.1999999999999995E-2</v>
      </c>
      <c r="AF275" s="661" t="s">
        <v>863</v>
      </c>
      <c r="AG275" s="661" t="str">
        <f>IF(AND($Y275&gt;=32,(AI275="I"),(Y275&lt;&gt;"~"),(COUNTIF($AN$1:$AN275,$AN275)=1)),"TRUE","FALSE")</f>
        <v>FALSE</v>
      </c>
      <c r="AH275" s="661" t="str">
        <f>IF(AND($Y275&gt;=22, (AI275&lt;&gt;"I"),(Y275&lt;&gt;"~"),(COUNTIF($AN$1:$AN275,$AN275)=1)),"TRUE","FALSE")</f>
        <v>FALSE</v>
      </c>
      <c r="AI275" s="661" t="str">
        <f t="shared" si="27"/>
        <v>II</v>
      </c>
      <c r="AJ275" s="662" t="str">
        <f t="shared" si="28"/>
        <v>TRAV-001</v>
      </c>
      <c r="AK275" s="662" t="str">
        <f t="shared" si="29"/>
        <v>SUV</v>
      </c>
      <c r="AL275" s="662" t="str">
        <f t="shared" si="30"/>
        <v>CHV</v>
      </c>
      <c r="AM275" s="662" t="str">
        <f t="shared" si="26"/>
        <v>Traverse-LS-AWD-8-~-~-3.6L-6-1NV56-1FL-120.9-21.7-Unleaded-Unleaded</v>
      </c>
      <c r="AN275" s="662" t="str">
        <f t="shared" si="31"/>
        <v>2019-SUV-CHV-TRAV-001</v>
      </c>
    </row>
    <row r="276" spans="1:40" s="572" customFormat="1" ht="15">
      <c r="A276" s="570" t="s">
        <v>864</v>
      </c>
      <c r="B276" s="569" t="s">
        <v>858</v>
      </c>
      <c r="C276" s="569" t="s">
        <v>166</v>
      </c>
      <c r="D276" s="580">
        <v>17</v>
      </c>
      <c r="E276" s="569" t="s">
        <v>699</v>
      </c>
      <c r="F276" s="569" t="s">
        <v>196</v>
      </c>
      <c r="G276" s="569" t="s">
        <v>153</v>
      </c>
      <c r="H276" s="569">
        <v>2019</v>
      </c>
      <c r="I276" s="569" t="s">
        <v>854</v>
      </c>
      <c r="J276" s="569" t="s">
        <v>174</v>
      </c>
      <c r="K276" s="569" t="s">
        <v>230</v>
      </c>
      <c r="L276" s="569">
        <v>8</v>
      </c>
      <c r="M276" s="569">
        <v>0</v>
      </c>
      <c r="N276" s="569" t="s">
        <v>157</v>
      </c>
      <c r="O276" s="569">
        <v>3</v>
      </c>
      <c r="P276" s="569" t="s">
        <v>157</v>
      </c>
      <c r="Q276" s="568" t="s">
        <v>157</v>
      </c>
      <c r="R276" s="569" t="s">
        <v>231</v>
      </c>
      <c r="S276" s="569">
        <v>6</v>
      </c>
      <c r="T276" s="569" t="s">
        <v>855</v>
      </c>
      <c r="U276" s="569" t="s">
        <v>732</v>
      </c>
      <c r="V276" s="569">
        <v>120.9</v>
      </c>
      <c r="W276" s="569">
        <v>21.7</v>
      </c>
      <c r="X276" s="568">
        <v>6160</v>
      </c>
      <c r="Y276" s="569">
        <v>20</v>
      </c>
      <c r="Z276" s="581" t="s">
        <v>178</v>
      </c>
      <c r="AA276" s="581" t="s">
        <v>178</v>
      </c>
      <c r="AB276" s="585">
        <v>35795</v>
      </c>
      <c r="AC276" s="585" t="s">
        <v>164</v>
      </c>
      <c r="AD276" s="585">
        <v>27455</v>
      </c>
      <c r="AE276" s="587">
        <v>7.1999999999999995E-2</v>
      </c>
      <c r="AF276" s="661" t="s">
        <v>865</v>
      </c>
      <c r="AG276" s="661" t="str">
        <f>IF(AND($Y276&gt;=32,(AI276="I"),(Y276&lt;&gt;"~"),(COUNTIF($AN$1:$AN276,$AN276)=1)),"TRUE","FALSE")</f>
        <v>FALSE</v>
      </c>
      <c r="AH276" s="661" t="str">
        <f>IF(AND($Y276&gt;=22, (AI276&lt;&gt;"I"),(Y276&lt;&gt;"~"),(COUNTIF($AN$1:$AN276,$AN276)=1)),"TRUE","FALSE")</f>
        <v>FALSE</v>
      </c>
      <c r="AI276" s="661" t="str">
        <f t="shared" si="27"/>
        <v>II</v>
      </c>
      <c r="AJ276" s="662" t="str">
        <f t="shared" si="28"/>
        <v>TRAV-002</v>
      </c>
      <c r="AK276" s="662" t="str">
        <f t="shared" si="29"/>
        <v>SUV</v>
      </c>
      <c r="AL276" s="662" t="str">
        <f t="shared" si="30"/>
        <v>CHV</v>
      </c>
      <c r="AM276" s="662" t="str">
        <f t="shared" si="26"/>
        <v>Traverse-LS-AWD-8-~-~-3.6L-6-1NV56-1LS-120.9-21.7-Unleaded-Unleaded</v>
      </c>
      <c r="AN276" s="662" t="str">
        <f t="shared" si="31"/>
        <v>2019-SUV-CHV-TRAV-002</v>
      </c>
    </row>
    <row r="277" spans="1:40" s="572" customFormat="1" ht="15">
      <c r="A277" s="570" t="s">
        <v>866</v>
      </c>
      <c r="B277" s="573" t="s">
        <v>867</v>
      </c>
      <c r="C277" s="573" t="s">
        <v>169</v>
      </c>
      <c r="D277" s="578">
        <v>11</v>
      </c>
      <c r="E277" s="573" t="s">
        <v>699</v>
      </c>
      <c r="F277" s="573" t="s">
        <v>196</v>
      </c>
      <c r="G277" s="573" t="s">
        <v>153</v>
      </c>
      <c r="H277" s="573">
        <v>2019</v>
      </c>
      <c r="I277" s="573" t="s">
        <v>854</v>
      </c>
      <c r="J277" s="573" t="s">
        <v>174</v>
      </c>
      <c r="K277" s="573" t="s">
        <v>156</v>
      </c>
      <c r="L277" s="573">
        <v>8</v>
      </c>
      <c r="M277" s="573">
        <v>0</v>
      </c>
      <c r="N277" s="573" t="s">
        <v>157</v>
      </c>
      <c r="O277" s="573">
        <v>3</v>
      </c>
      <c r="P277" s="573" t="s">
        <v>157</v>
      </c>
      <c r="Q277" s="571" t="s">
        <v>157</v>
      </c>
      <c r="R277" s="573" t="s">
        <v>231</v>
      </c>
      <c r="S277" s="573">
        <v>6</v>
      </c>
      <c r="T277" s="573" t="s">
        <v>868</v>
      </c>
      <c r="U277" s="573" t="s">
        <v>732</v>
      </c>
      <c r="V277" s="573">
        <v>120.9</v>
      </c>
      <c r="W277" s="573">
        <v>21.7</v>
      </c>
      <c r="X277" s="571">
        <v>6160</v>
      </c>
      <c r="Y277" s="573">
        <v>21</v>
      </c>
      <c r="Z277" s="579" t="s">
        <v>178</v>
      </c>
      <c r="AA277" s="579" t="s">
        <v>178</v>
      </c>
      <c r="AB277" s="584">
        <v>33995</v>
      </c>
      <c r="AC277" s="584" t="s">
        <v>164</v>
      </c>
      <c r="AD277" s="584">
        <v>26147.5</v>
      </c>
      <c r="AE277" s="586">
        <v>0.05</v>
      </c>
      <c r="AF277" s="661" t="s">
        <v>869</v>
      </c>
      <c r="AG277" s="661" t="str">
        <f>IF(AND($Y277&gt;=32,(AI277="I"),(Y277&lt;&gt;"~"),(COUNTIF($AN$1:$AN277,$AN277)=1)),"TRUE","FALSE")</f>
        <v>FALSE</v>
      </c>
      <c r="AH277" s="661" t="str">
        <f>IF(AND($Y277&gt;=22, (AI277&lt;&gt;"I"),(Y277&lt;&gt;"~"),(COUNTIF($AN$1:$AN277,$AN277)=1)),"TRUE","FALSE")</f>
        <v>FALSE</v>
      </c>
      <c r="AI277" s="661" t="str">
        <f t="shared" si="27"/>
        <v>II</v>
      </c>
      <c r="AJ277" s="662" t="str">
        <f t="shared" si="28"/>
        <v>TRAV-003</v>
      </c>
      <c r="AK277" s="662" t="str">
        <f t="shared" si="29"/>
        <v>SUV</v>
      </c>
      <c r="AL277" s="662" t="str">
        <f t="shared" si="30"/>
        <v>CHV</v>
      </c>
      <c r="AM277" s="662" t="str">
        <f t="shared" si="26"/>
        <v>Traverse-LS-FWD-8-~-~-3.6L-6-1NB56-1LS-120.9-21.7-Unleaded-Unleaded</v>
      </c>
      <c r="AN277" s="662" t="str">
        <f t="shared" si="31"/>
        <v>2019-SUV-CHV-TRAV-003</v>
      </c>
    </row>
    <row r="278" spans="1:40" s="572" customFormat="1" ht="15">
      <c r="A278" s="570" t="s">
        <v>870</v>
      </c>
      <c r="B278" s="569" t="s">
        <v>867</v>
      </c>
      <c r="C278" s="569" t="s">
        <v>166</v>
      </c>
      <c r="D278" s="580">
        <v>17</v>
      </c>
      <c r="E278" s="569" t="s">
        <v>699</v>
      </c>
      <c r="F278" s="569" t="s">
        <v>196</v>
      </c>
      <c r="G278" s="569" t="s">
        <v>153</v>
      </c>
      <c r="H278" s="569">
        <v>2019</v>
      </c>
      <c r="I278" s="569" t="s">
        <v>854</v>
      </c>
      <c r="J278" s="569" t="s">
        <v>174</v>
      </c>
      <c r="K278" s="569" t="s">
        <v>156</v>
      </c>
      <c r="L278" s="569">
        <v>8</v>
      </c>
      <c r="M278" s="569">
        <v>0</v>
      </c>
      <c r="N278" s="569" t="s">
        <v>157</v>
      </c>
      <c r="O278" s="569">
        <v>3</v>
      </c>
      <c r="P278" s="569" t="s">
        <v>157</v>
      </c>
      <c r="Q278" s="568" t="s">
        <v>157</v>
      </c>
      <c r="R278" s="569" t="s">
        <v>231</v>
      </c>
      <c r="S278" s="569">
        <v>6</v>
      </c>
      <c r="T278" s="569" t="s">
        <v>868</v>
      </c>
      <c r="U278" s="569" t="s">
        <v>732</v>
      </c>
      <c r="V278" s="569">
        <v>120.9</v>
      </c>
      <c r="W278" s="569">
        <v>19.399999999999999</v>
      </c>
      <c r="X278" s="568">
        <v>6160</v>
      </c>
      <c r="Y278" s="569">
        <v>21</v>
      </c>
      <c r="Z278" s="581" t="s">
        <v>178</v>
      </c>
      <c r="AA278" s="581" t="s">
        <v>178</v>
      </c>
      <c r="AB278" s="585">
        <v>33795</v>
      </c>
      <c r="AC278" s="585" t="s">
        <v>164</v>
      </c>
      <c r="AD278" s="585">
        <v>25985</v>
      </c>
      <c r="AE278" s="587">
        <v>7.1999999999999995E-2</v>
      </c>
      <c r="AF278" s="661" t="s">
        <v>871</v>
      </c>
      <c r="AG278" s="661" t="str">
        <f>IF(AND($Y278&gt;=32,(AI278="I"),(Y278&lt;&gt;"~"),(COUNTIF($AN$1:$AN278,$AN278)=1)),"TRUE","FALSE")</f>
        <v>FALSE</v>
      </c>
      <c r="AH278" s="661" t="str">
        <f>IF(AND($Y278&gt;=22, (AI278&lt;&gt;"I"),(Y278&lt;&gt;"~"),(COUNTIF($AN$1:$AN278,$AN278)=1)),"TRUE","FALSE")</f>
        <v>FALSE</v>
      </c>
      <c r="AI278" s="661" t="str">
        <f t="shared" si="27"/>
        <v>II</v>
      </c>
      <c r="AJ278" s="662" t="str">
        <f t="shared" si="28"/>
        <v>TRAV-003</v>
      </c>
      <c r="AK278" s="662" t="str">
        <f t="shared" si="29"/>
        <v>SUV</v>
      </c>
      <c r="AL278" s="662" t="str">
        <f t="shared" si="30"/>
        <v>CHV</v>
      </c>
      <c r="AM278" s="662" t="str">
        <f t="shared" si="26"/>
        <v>Traverse-LS-FWD-8-~-~-3.6L-6-1NB56-1LS-120.9-19.4-Unleaded-Unleaded</v>
      </c>
      <c r="AN278" s="662" t="str">
        <f t="shared" si="31"/>
        <v>2019-SUV-CHV-TRAV-003</v>
      </c>
    </row>
    <row r="279" spans="1:40" s="572" customFormat="1" ht="15">
      <c r="A279" s="570" t="s">
        <v>872</v>
      </c>
      <c r="B279" s="573" t="s">
        <v>873</v>
      </c>
      <c r="C279" s="573" t="s">
        <v>169</v>
      </c>
      <c r="D279" s="578">
        <v>11</v>
      </c>
      <c r="E279" s="573" t="s">
        <v>699</v>
      </c>
      <c r="F279" s="573" t="s">
        <v>196</v>
      </c>
      <c r="G279" s="573" t="s">
        <v>153</v>
      </c>
      <c r="H279" s="573">
        <v>2019</v>
      </c>
      <c r="I279" s="573" t="s">
        <v>854</v>
      </c>
      <c r="J279" s="573" t="s">
        <v>155</v>
      </c>
      <c r="K279" s="573" t="s">
        <v>230</v>
      </c>
      <c r="L279" s="573">
        <v>8</v>
      </c>
      <c r="M279" s="573">
        <v>0</v>
      </c>
      <c r="N279" s="573" t="s">
        <v>157</v>
      </c>
      <c r="O279" s="573">
        <v>3</v>
      </c>
      <c r="P279" s="573" t="s">
        <v>157</v>
      </c>
      <c r="Q279" s="571" t="s">
        <v>157</v>
      </c>
      <c r="R279" s="573" t="s">
        <v>231</v>
      </c>
      <c r="S279" s="573">
        <v>6</v>
      </c>
      <c r="T279" s="573" t="s">
        <v>874</v>
      </c>
      <c r="U279" s="573" t="s">
        <v>213</v>
      </c>
      <c r="V279" s="573">
        <v>120.9</v>
      </c>
      <c r="W279" s="573">
        <v>21.7</v>
      </c>
      <c r="X279" s="571">
        <v>6160</v>
      </c>
      <c r="Y279" s="573">
        <v>20</v>
      </c>
      <c r="Z279" s="579" t="s">
        <v>178</v>
      </c>
      <c r="AA279" s="579" t="s">
        <v>178</v>
      </c>
      <c r="AB279" s="584">
        <v>40295</v>
      </c>
      <c r="AC279" s="584" t="s">
        <v>164</v>
      </c>
      <c r="AD279" s="584">
        <v>32198.124999999996</v>
      </c>
      <c r="AE279" s="586">
        <v>0.05</v>
      </c>
      <c r="AF279" s="661" t="s">
        <v>875</v>
      </c>
      <c r="AG279" s="661" t="str">
        <f>IF(AND($Y279&gt;=32,(AI279="I"),(Y279&lt;&gt;"~"),(COUNTIF($AN$1:$AN279,$AN279)=1)),"TRUE","FALSE")</f>
        <v>FALSE</v>
      </c>
      <c r="AH279" s="661" t="str">
        <f>IF(AND($Y279&gt;=22, (AI279&lt;&gt;"I"),(Y279&lt;&gt;"~"),(COUNTIF($AN$1:$AN279,$AN279)=1)),"TRUE","FALSE")</f>
        <v>FALSE</v>
      </c>
      <c r="AI279" s="661" t="str">
        <f t="shared" si="27"/>
        <v>II</v>
      </c>
      <c r="AJ279" s="662" t="str">
        <f t="shared" si="28"/>
        <v>TRAV-004</v>
      </c>
      <c r="AK279" s="662" t="str">
        <f t="shared" si="29"/>
        <v>SUV</v>
      </c>
      <c r="AL279" s="662" t="str">
        <f t="shared" si="30"/>
        <v>CHV</v>
      </c>
      <c r="AM279" s="662" t="str">
        <f t="shared" si="26"/>
        <v>Traverse-LT-AWD-8-~-~-3.6L-6-1NW56-1LT-120.9-21.7-Unleaded-Unleaded</v>
      </c>
      <c r="AN279" s="662" t="str">
        <f t="shared" si="31"/>
        <v>2019-SUV-CHV-TRAV-004</v>
      </c>
    </row>
    <row r="280" spans="1:40" s="572" customFormat="1" ht="15">
      <c r="A280" s="570" t="s">
        <v>876</v>
      </c>
      <c r="B280" s="569" t="s">
        <v>873</v>
      </c>
      <c r="C280" s="569" t="s">
        <v>166</v>
      </c>
      <c r="D280" s="580">
        <v>17</v>
      </c>
      <c r="E280" s="569" t="s">
        <v>699</v>
      </c>
      <c r="F280" s="569" t="s">
        <v>196</v>
      </c>
      <c r="G280" s="569" t="s">
        <v>153</v>
      </c>
      <c r="H280" s="569">
        <v>2019</v>
      </c>
      <c r="I280" s="569" t="s">
        <v>854</v>
      </c>
      <c r="J280" s="569" t="s">
        <v>155</v>
      </c>
      <c r="K280" s="569" t="s">
        <v>230</v>
      </c>
      <c r="L280" s="569">
        <v>8</v>
      </c>
      <c r="M280" s="569">
        <v>0</v>
      </c>
      <c r="N280" s="569" t="s">
        <v>157</v>
      </c>
      <c r="O280" s="569">
        <v>3</v>
      </c>
      <c r="P280" s="569" t="s">
        <v>157</v>
      </c>
      <c r="Q280" s="568" t="s">
        <v>157</v>
      </c>
      <c r="R280" s="569" t="s">
        <v>231</v>
      </c>
      <c r="S280" s="569">
        <v>6</v>
      </c>
      <c r="T280" s="569" t="s">
        <v>874</v>
      </c>
      <c r="U280" s="569" t="s">
        <v>213</v>
      </c>
      <c r="V280" s="569">
        <v>120.9</v>
      </c>
      <c r="W280" s="569">
        <v>21.7</v>
      </c>
      <c r="X280" s="568">
        <v>6160</v>
      </c>
      <c r="Y280" s="569">
        <v>20</v>
      </c>
      <c r="Z280" s="581" t="s">
        <v>178</v>
      </c>
      <c r="AA280" s="581" t="s">
        <v>178</v>
      </c>
      <c r="AB280" s="585">
        <v>40095</v>
      </c>
      <c r="AC280" s="585" t="s">
        <v>164</v>
      </c>
      <c r="AD280" s="585">
        <v>31455</v>
      </c>
      <c r="AE280" s="587">
        <v>7.1999999999999995E-2</v>
      </c>
      <c r="AF280" s="661" t="s">
        <v>877</v>
      </c>
      <c r="AG280" s="661" t="str">
        <f>IF(AND($Y280&gt;=32,(AI280="I"),(Y280&lt;&gt;"~"),(COUNTIF($AN$1:$AN280,$AN280)=1)),"TRUE","FALSE")</f>
        <v>FALSE</v>
      </c>
      <c r="AH280" s="661" t="str">
        <f>IF(AND($Y280&gt;=22, (AI280&lt;&gt;"I"),(Y280&lt;&gt;"~"),(COUNTIF($AN$1:$AN280,$AN280)=1)),"TRUE","FALSE")</f>
        <v>FALSE</v>
      </c>
      <c r="AI280" s="661" t="str">
        <f t="shared" si="27"/>
        <v>II</v>
      </c>
      <c r="AJ280" s="662" t="str">
        <f t="shared" si="28"/>
        <v>TRAV-004</v>
      </c>
      <c r="AK280" s="662" t="str">
        <f t="shared" si="29"/>
        <v>SUV</v>
      </c>
      <c r="AL280" s="662" t="str">
        <f t="shared" si="30"/>
        <v>CHV</v>
      </c>
      <c r="AM280" s="662" t="str">
        <f t="shared" si="26"/>
        <v>Traverse-LT-AWD-8-~-~-3.6L-6-1NW56-1LT-120.9-21.7-Unleaded-Unleaded</v>
      </c>
      <c r="AN280" s="662" t="str">
        <f t="shared" si="31"/>
        <v>2019-SUV-CHV-TRAV-004</v>
      </c>
    </row>
    <row r="281" spans="1:40" s="572" customFormat="1" ht="15">
      <c r="A281" s="570" t="s">
        <v>878</v>
      </c>
      <c r="B281" s="573" t="s">
        <v>879</v>
      </c>
      <c r="C281" s="573" t="s">
        <v>169</v>
      </c>
      <c r="D281" s="578">
        <v>11</v>
      </c>
      <c r="E281" s="573" t="s">
        <v>699</v>
      </c>
      <c r="F281" s="573" t="s">
        <v>211</v>
      </c>
      <c r="G281" s="573" t="s">
        <v>153</v>
      </c>
      <c r="H281" s="573">
        <v>2019</v>
      </c>
      <c r="I281" s="573" t="s">
        <v>880</v>
      </c>
      <c r="J281" s="573" t="s">
        <v>174</v>
      </c>
      <c r="K281" s="573" t="s">
        <v>230</v>
      </c>
      <c r="L281" s="573">
        <v>5</v>
      </c>
      <c r="M281" s="573">
        <v>0</v>
      </c>
      <c r="N281" s="573" t="s">
        <v>157</v>
      </c>
      <c r="O281" s="573">
        <v>2</v>
      </c>
      <c r="P281" s="573" t="s">
        <v>157</v>
      </c>
      <c r="Q281" s="571" t="s">
        <v>157</v>
      </c>
      <c r="R281" s="573" t="s">
        <v>175</v>
      </c>
      <c r="S281" s="573">
        <v>4</v>
      </c>
      <c r="T281" s="573" t="s">
        <v>881</v>
      </c>
      <c r="U281" s="573" t="s">
        <v>732</v>
      </c>
      <c r="V281" s="573">
        <v>100.6</v>
      </c>
      <c r="W281" s="573">
        <v>14</v>
      </c>
      <c r="X281" s="571">
        <v>3267</v>
      </c>
      <c r="Y281" s="573">
        <v>27</v>
      </c>
      <c r="Z281" s="579" t="s">
        <v>178</v>
      </c>
      <c r="AA281" s="579" t="s">
        <v>178</v>
      </c>
      <c r="AB281" s="584">
        <v>23795</v>
      </c>
      <c r="AC281" s="584" t="s">
        <v>164</v>
      </c>
      <c r="AD281" s="584">
        <v>21082.916666666664</v>
      </c>
      <c r="AE281" s="586">
        <v>0.05</v>
      </c>
      <c r="AF281" s="661" t="s">
        <v>882</v>
      </c>
      <c r="AG281" s="661" t="str">
        <f>IF(AND($Y281&gt;=32,(AI281="I"),(Y281&lt;&gt;"~"),(COUNTIF($AN$1:$AN281,$AN281)=1)),"TRUE","FALSE")</f>
        <v>FALSE</v>
      </c>
      <c r="AH281" s="661" t="str">
        <f>IF(AND($Y281&gt;=22, (AI281&lt;&gt;"I"),(Y281&lt;&gt;"~"),(COUNTIF($AN$1:$AN281,$AN281)=1)),"TRUE","FALSE")</f>
        <v>TRUE</v>
      </c>
      <c r="AI281" s="661" t="str">
        <f t="shared" si="27"/>
        <v>II</v>
      </c>
      <c r="AJ281" s="662" t="str">
        <f t="shared" si="28"/>
        <v>TRAX-001</v>
      </c>
      <c r="AK281" s="662" t="str">
        <f t="shared" si="29"/>
        <v>SUV</v>
      </c>
      <c r="AL281" s="662" t="str">
        <f t="shared" si="30"/>
        <v>CHV</v>
      </c>
      <c r="AM281" s="662" t="str">
        <f t="shared" si="26"/>
        <v>Trax-LS-AWD-5-~-~-1.4L-4-1JR76-1LS-100.6-14-Unleaded-Unleaded</v>
      </c>
      <c r="AN281" s="662" t="str">
        <f t="shared" si="31"/>
        <v>2019-SUV-CHV-TRAX-001</v>
      </c>
    </row>
    <row r="282" spans="1:40" s="572" customFormat="1" ht="15">
      <c r="A282" s="570" t="s">
        <v>883</v>
      </c>
      <c r="B282" s="569" t="s">
        <v>879</v>
      </c>
      <c r="C282" s="569" t="s">
        <v>150</v>
      </c>
      <c r="D282" s="580">
        <v>13</v>
      </c>
      <c r="E282" s="569" t="s">
        <v>699</v>
      </c>
      <c r="F282" s="569" t="s">
        <v>211</v>
      </c>
      <c r="G282" s="569" t="s">
        <v>153</v>
      </c>
      <c r="H282" s="569">
        <v>2019</v>
      </c>
      <c r="I282" s="569" t="s">
        <v>880</v>
      </c>
      <c r="J282" s="569" t="s">
        <v>174</v>
      </c>
      <c r="K282" s="569" t="s">
        <v>230</v>
      </c>
      <c r="L282" s="569">
        <v>5</v>
      </c>
      <c r="M282" s="569">
        <v>0</v>
      </c>
      <c r="N282" s="569" t="s">
        <v>157</v>
      </c>
      <c r="O282" s="569">
        <v>2</v>
      </c>
      <c r="P282" s="569" t="s">
        <v>157</v>
      </c>
      <c r="Q282" s="568" t="s">
        <v>157</v>
      </c>
      <c r="R282" s="569" t="s">
        <v>175</v>
      </c>
      <c r="S282" s="569">
        <v>4</v>
      </c>
      <c r="T282" s="569" t="s">
        <v>881</v>
      </c>
      <c r="U282" s="569" t="s">
        <v>732</v>
      </c>
      <c r="V282" s="569">
        <v>100.6</v>
      </c>
      <c r="W282" s="569">
        <v>14</v>
      </c>
      <c r="X282" s="568">
        <v>3267</v>
      </c>
      <c r="Y282" s="569">
        <v>27</v>
      </c>
      <c r="Z282" s="581" t="s">
        <v>178</v>
      </c>
      <c r="AA282" s="581" t="s">
        <v>178</v>
      </c>
      <c r="AB282" s="585">
        <v>23795</v>
      </c>
      <c r="AC282" s="585" t="s">
        <v>164</v>
      </c>
      <c r="AD282" s="585">
        <v>22620</v>
      </c>
      <c r="AE282" s="587">
        <v>0.03</v>
      </c>
      <c r="AF282" s="661" t="s">
        <v>884</v>
      </c>
      <c r="AG282" s="661" t="str">
        <f>IF(AND($Y282&gt;=32,(AI282="I"),(Y282&lt;&gt;"~"),(COUNTIF($AN$1:$AN282,$AN282)=1)),"TRUE","FALSE")</f>
        <v>FALSE</v>
      </c>
      <c r="AH282" s="661" t="str">
        <f>IF(AND($Y282&gt;=22, (AI282&lt;&gt;"I"),(Y282&lt;&gt;"~"),(COUNTIF($AN$1:$AN282,$AN282)=1)),"TRUE","FALSE")</f>
        <v>FALSE</v>
      </c>
      <c r="AI282" s="661" t="str">
        <f t="shared" si="27"/>
        <v>II</v>
      </c>
      <c r="AJ282" s="662" t="str">
        <f t="shared" si="28"/>
        <v>TRAX-001</v>
      </c>
      <c r="AK282" s="662" t="str">
        <f t="shared" si="29"/>
        <v>SUV</v>
      </c>
      <c r="AL282" s="662" t="str">
        <f t="shared" si="30"/>
        <v>CHV</v>
      </c>
      <c r="AM282" s="662" t="str">
        <f t="shared" si="26"/>
        <v>Trax-LS-AWD-5-~-~-1.4L-4-1JR76-1LS-100.6-14-Unleaded-Unleaded</v>
      </c>
      <c r="AN282" s="662" t="str">
        <f t="shared" si="31"/>
        <v>2019-SUV-CHV-TRAX-001</v>
      </c>
    </row>
    <row r="283" spans="1:40" s="572" customFormat="1" ht="15">
      <c r="A283" s="570" t="s">
        <v>885</v>
      </c>
      <c r="B283" s="573" t="s">
        <v>879</v>
      </c>
      <c r="C283" s="573" t="s">
        <v>166</v>
      </c>
      <c r="D283" s="578">
        <v>17</v>
      </c>
      <c r="E283" s="573" t="s">
        <v>699</v>
      </c>
      <c r="F283" s="573" t="s">
        <v>211</v>
      </c>
      <c r="G283" s="573" t="s">
        <v>153</v>
      </c>
      <c r="H283" s="573">
        <v>2019</v>
      </c>
      <c r="I283" s="573" t="s">
        <v>880</v>
      </c>
      <c r="J283" s="573" t="s">
        <v>174</v>
      </c>
      <c r="K283" s="573" t="s">
        <v>230</v>
      </c>
      <c r="L283" s="573">
        <v>5</v>
      </c>
      <c r="M283" s="573">
        <v>0</v>
      </c>
      <c r="N283" s="573" t="s">
        <v>157</v>
      </c>
      <c r="O283" s="573">
        <v>2</v>
      </c>
      <c r="P283" s="573" t="s">
        <v>157</v>
      </c>
      <c r="Q283" s="571" t="s">
        <v>157</v>
      </c>
      <c r="R283" s="573" t="s">
        <v>175</v>
      </c>
      <c r="S283" s="573">
        <v>4</v>
      </c>
      <c r="T283" s="573" t="s">
        <v>881</v>
      </c>
      <c r="U283" s="573" t="s">
        <v>732</v>
      </c>
      <c r="V283" s="573">
        <v>100.6</v>
      </c>
      <c r="W283" s="573">
        <v>14</v>
      </c>
      <c r="X283" s="571">
        <v>3267</v>
      </c>
      <c r="Y283" s="573">
        <v>27</v>
      </c>
      <c r="Z283" s="579" t="s">
        <v>178</v>
      </c>
      <c r="AA283" s="579" t="s">
        <v>178</v>
      </c>
      <c r="AB283" s="584">
        <v>23795</v>
      </c>
      <c r="AC283" s="584" t="s">
        <v>164</v>
      </c>
      <c r="AD283" s="584">
        <v>21855</v>
      </c>
      <c r="AE283" s="586">
        <v>7.1999999999999995E-2</v>
      </c>
      <c r="AF283" s="661" t="s">
        <v>886</v>
      </c>
      <c r="AG283" s="661" t="str">
        <f>IF(AND($Y283&gt;=32,(AI283="I"),(Y283&lt;&gt;"~"),(COUNTIF($AN$1:$AN283,$AN283)=1)),"TRUE","FALSE")</f>
        <v>FALSE</v>
      </c>
      <c r="AH283" s="661" t="str">
        <f>IF(AND($Y283&gt;=22, (AI283&lt;&gt;"I"),(Y283&lt;&gt;"~"),(COUNTIF($AN$1:$AN283,$AN283)=1)),"TRUE","FALSE")</f>
        <v>FALSE</v>
      </c>
      <c r="AI283" s="661" t="str">
        <f t="shared" si="27"/>
        <v>II</v>
      </c>
      <c r="AJ283" s="662" t="str">
        <f t="shared" si="28"/>
        <v>TRAX-001</v>
      </c>
      <c r="AK283" s="662" t="str">
        <f t="shared" si="29"/>
        <v>SUV</v>
      </c>
      <c r="AL283" s="662" t="str">
        <f t="shared" si="30"/>
        <v>CHV</v>
      </c>
      <c r="AM283" s="662" t="str">
        <f t="shared" ref="AM283:AM346" si="32">CONCATENATE(I283,"-",J283,"-",K283,"-",L283,"-",P283,"-",Q283,"-",R283,"-",S283,"-",T283,"-",U283,"-",V283,"-",W283,"-",Z283,"-",AA283)</f>
        <v>Trax-LS-AWD-5-~-~-1.4L-4-1JR76-1LS-100.6-14-Unleaded-Unleaded</v>
      </c>
      <c r="AN283" s="662" t="str">
        <f t="shared" si="31"/>
        <v>2019-SUV-CHV-TRAX-001</v>
      </c>
    </row>
    <row r="284" spans="1:40" s="572" customFormat="1" ht="15">
      <c r="A284" s="570" t="s">
        <v>887</v>
      </c>
      <c r="B284" s="569" t="s">
        <v>888</v>
      </c>
      <c r="C284" s="569" t="s">
        <v>169</v>
      </c>
      <c r="D284" s="580">
        <v>11</v>
      </c>
      <c r="E284" s="569" t="s">
        <v>699</v>
      </c>
      <c r="F284" s="569" t="s">
        <v>211</v>
      </c>
      <c r="G284" s="569" t="s">
        <v>153</v>
      </c>
      <c r="H284" s="569">
        <v>2019</v>
      </c>
      <c r="I284" s="569" t="s">
        <v>880</v>
      </c>
      <c r="J284" s="569" t="s">
        <v>174</v>
      </c>
      <c r="K284" s="569" t="s">
        <v>156</v>
      </c>
      <c r="L284" s="569">
        <v>5</v>
      </c>
      <c r="M284" s="569">
        <v>0</v>
      </c>
      <c r="N284" s="569" t="s">
        <v>157</v>
      </c>
      <c r="O284" s="569">
        <v>2</v>
      </c>
      <c r="P284" s="569" t="s">
        <v>157</v>
      </c>
      <c r="Q284" s="568" t="s">
        <v>157</v>
      </c>
      <c r="R284" s="569" t="s">
        <v>175</v>
      </c>
      <c r="S284" s="569">
        <v>4</v>
      </c>
      <c r="T284" s="569" t="s">
        <v>889</v>
      </c>
      <c r="U284" s="569" t="s">
        <v>732</v>
      </c>
      <c r="V284" s="569">
        <v>100.6</v>
      </c>
      <c r="W284" s="569">
        <v>14</v>
      </c>
      <c r="X284" s="568">
        <v>3201</v>
      </c>
      <c r="Y284" s="569">
        <v>28</v>
      </c>
      <c r="Z284" s="581" t="s">
        <v>178</v>
      </c>
      <c r="AA284" s="581" t="s">
        <v>178</v>
      </c>
      <c r="AB284" s="585">
        <v>22295</v>
      </c>
      <c r="AC284" s="585" t="s">
        <v>164</v>
      </c>
      <c r="AD284" s="585">
        <v>19626.666666666664</v>
      </c>
      <c r="AE284" s="587">
        <v>0.05</v>
      </c>
      <c r="AF284" s="661" t="s">
        <v>890</v>
      </c>
      <c r="AG284" s="661" t="str">
        <f>IF(AND($Y284&gt;=32,(AI284="I"),(Y284&lt;&gt;"~"),(COUNTIF($AN$1:$AN284,$AN284)=1)),"TRUE","FALSE")</f>
        <v>FALSE</v>
      </c>
      <c r="AH284" s="661" t="str">
        <f>IF(AND($Y284&gt;=22, (AI284&lt;&gt;"I"),(Y284&lt;&gt;"~"),(COUNTIF($AN$1:$AN284,$AN284)=1)),"TRUE","FALSE")</f>
        <v>TRUE</v>
      </c>
      <c r="AI284" s="661" t="str">
        <f t="shared" ref="AI284:AI347" si="33">IF(OR((LEFT($E284,2)="01"),AND(LEFT($E284,2)="06",ISNUMBER(SEARCH("pas",$F284))),AND(LEFT($E284,2)="05",ISNUMBER(SEARCH("pas",$F284)))),"I",IF(AND((LEFT($E284,2)&lt;&gt;"01"),$X284&lt;=10000),"II",IF(AND((LEFT($E284,2)&lt;&gt;"01"),$X284&gt;10000),"N/A")))</f>
        <v>II</v>
      </c>
      <c r="AJ284" s="662" t="str">
        <f t="shared" si="28"/>
        <v>TRAX-002</v>
      </c>
      <c r="AK284" s="662" t="str">
        <f t="shared" si="29"/>
        <v>SUV</v>
      </c>
      <c r="AL284" s="662" t="str">
        <f t="shared" si="30"/>
        <v>CHV</v>
      </c>
      <c r="AM284" s="662" t="str">
        <f t="shared" si="32"/>
        <v>Trax-LS-FWD-5-~-~-1.4L-4-1JU76-1LS-100.6-14-Unleaded-Unleaded</v>
      </c>
      <c r="AN284" s="662" t="str">
        <f t="shared" si="31"/>
        <v>2019-SUV-CHV-TRAX-002</v>
      </c>
    </row>
    <row r="285" spans="1:40" s="572" customFormat="1" ht="15">
      <c r="A285" s="570" t="s">
        <v>891</v>
      </c>
      <c r="B285" s="573" t="s">
        <v>888</v>
      </c>
      <c r="C285" s="573" t="s">
        <v>166</v>
      </c>
      <c r="D285" s="578">
        <v>17</v>
      </c>
      <c r="E285" s="573" t="s">
        <v>699</v>
      </c>
      <c r="F285" s="573" t="s">
        <v>211</v>
      </c>
      <c r="G285" s="573" t="s">
        <v>153</v>
      </c>
      <c r="H285" s="573">
        <v>2019</v>
      </c>
      <c r="I285" s="573" t="s">
        <v>880</v>
      </c>
      <c r="J285" s="573" t="s">
        <v>174</v>
      </c>
      <c r="K285" s="573" t="s">
        <v>156</v>
      </c>
      <c r="L285" s="573">
        <v>5</v>
      </c>
      <c r="M285" s="573">
        <v>0</v>
      </c>
      <c r="N285" s="573" t="s">
        <v>157</v>
      </c>
      <c r="O285" s="573">
        <v>2</v>
      </c>
      <c r="P285" s="573" t="s">
        <v>157</v>
      </c>
      <c r="Q285" s="571" t="s">
        <v>157</v>
      </c>
      <c r="R285" s="573" t="s">
        <v>175</v>
      </c>
      <c r="S285" s="573">
        <v>4</v>
      </c>
      <c r="T285" s="573" t="s">
        <v>889</v>
      </c>
      <c r="U285" s="573" t="s">
        <v>732</v>
      </c>
      <c r="V285" s="573">
        <v>100.6</v>
      </c>
      <c r="W285" s="573">
        <v>14</v>
      </c>
      <c r="X285" s="571">
        <v>3201</v>
      </c>
      <c r="Y285" s="573">
        <v>28</v>
      </c>
      <c r="Z285" s="579" t="s">
        <v>178</v>
      </c>
      <c r="AA285" s="579" t="s">
        <v>178</v>
      </c>
      <c r="AB285" s="584">
        <v>22295</v>
      </c>
      <c r="AC285" s="584" t="s">
        <v>164</v>
      </c>
      <c r="AD285" s="584">
        <v>21655</v>
      </c>
      <c r="AE285" s="586">
        <v>7.1999999999999995E-2</v>
      </c>
      <c r="AF285" s="661" t="s">
        <v>892</v>
      </c>
      <c r="AG285" s="661" t="str">
        <f>IF(AND($Y285&gt;=32,(AI285="I"),(Y285&lt;&gt;"~"),(COUNTIF($AN$1:$AN285,$AN285)=1)),"TRUE","FALSE")</f>
        <v>FALSE</v>
      </c>
      <c r="AH285" s="661" t="str">
        <f>IF(AND($Y285&gt;=22, (AI285&lt;&gt;"I"),(Y285&lt;&gt;"~"),(COUNTIF($AN$1:$AN285,$AN285)=1)),"TRUE","FALSE")</f>
        <v>FALSE</v>
      </c>
      <c r="AI285" s="661" t="str">
        <f t="shared" si="33"/>
        <v>II</v>
      </c>
      <c r="AJ285" s="662" t="str">
        <f t="shared" si="28"/>
        <v>TRAX-002</v>
      </c>
      <c r="AK285" s="662" t="str">
        <f t="shared" si="29"/>
        <v>SUV</v>
      </c>
      <c r="AL285" s="662" t="str">
        <f t="shared" si="30"/>
        <v>CHV</v>
      </c>
      <c r="AM285" s="662" t="str">
        <f t="shared" si="32"/>
        <v>Trax-LS-FWD-5-~-~-1.4L-4-1JU76-1LS-100.6-14-Unleaded-Unleaded</v>
      </c>
      <c r="AN285" s="662" t="str">
        <f t="shared" si="31"/>
        <v>2019-SUV-CHV-TRAX-002</v>
      </c>
    </row>
    <row r="286" spans="1:40" s="572" customFormat="1" ht="15">
      <c r="A286" s="570" t="s">
        <v>893</v>
      </c>
      <c r="B286" s="569" t="s">
        <v>894</v>
      </c>
      <c r="C286" s="569" t="s">
        <v>226</v>
      </c>
      <c r="D286" s="580" t="s">
        <v>227</v>
      </c>
      <c r="E286" s="569" t="s">
        <v>699</v>
      </c>
      <c r="F286" s="569" t="s">
        <v>196</v>
      </c>
      <c r="G286" s="569" t="s">
        <v>248</v>
      </c>
      <c r="H286" s="569">
        <v>2019</v>
      </c>
      <c r="I286" s="569" t="s">
        <v>895</v>
      </c>
      <c r="J286" s="569" t="s">
        <v>257</v>
      </c>
      <c r="K286" s="569" t="s">
        <v>230</v>
      </c>
      <c r="L286" s="569">
        <v>5</v>
      </c>
      <c r="M286" s="569">
        <v>0</v>
      </c>
      <c r="N286" s="569" t="s">
        <v>157</v>
      </c>
      <c r="O286" s="569">
        <v>2</v>
      </c>
      <c r="P286" s="569" t="s">
        <v>157</v>
      </c>
      <c r="Q286" s="568">
        <v>6000</v>
      </c>
      <c r="R286" s="569" t="s">
        <v>231</v>
      </c>
      <c r="S286" s="569">
        <v>6</v>
      </c>
      <c r="T286" s="569" t="s">
        <v>896</v>
      </c>
      <c r="U286" s="569" t="s">
        <v>897</v>
      </c>
      <c r="V286" s="569">
        <v>119.8</v>
      </c>
      <c r="W286" s="569">
        <v>24.6</v>
      </c>
      <c r="X286" s="568">
        <v>6500</v>
      </c>
      <c r="Y286" s="569">
        <v>21</v>
      </c>
      <c r="Z286" s="581" t="s">
        <v>178</v>
      </c>
      <c r="AA286" s="581" t="s">
        <v>178</v>
      </c>
      <c r="AB286" s="585">
        <v>38440</v>
      </c>
      <c r="AC286" s="585" t="s">
        <v>164</v>
      </c>
      <c r="AD286" s="585">
        <v>29943</v>
      </c>
      <c r="AE286" s="587">
        <v>6.25E-2</v>
      </c>
      <c r="AF286" s="661" t="s">
        <v>898</v>
      </c>
      <c r="AG286" s="661" t="str">
        <f>IF(AND($Y286&gt;=32,(AI286="I"),(Y286&lt;&gt;"~"),(COUNTIF($AN$1:$AN286,$AN286)=1)),"TRUE","FALSE")</f>
        <v>FALSE</v>
      </c>
      <c r="AH286" s="661" t="str">
        <f>IF(AND($Y286&gt;=22, (AI286&lt;&gt;"I"),(Y286&lt;&gt;"~"),(COUNTIF($AN$1:$AN286,$AN286)=1)),"TRUE","FALSE")</f>
        <v>FALSE</v>
      </c>
      <c r="AI286" s="661" t="str">
        <f t="shared" si="33"/>
        <v>II</v>
      </c>
      <c r="AJ286" s="662" t="str">
        <f t="shared" si="28"/>
        <v>DURG-008</v>
      </c>
      <c r="AK286" s="662" t="str">
        <f t="shared" si="29"/>
        <v>SUV</v>
      </c>
      <c r="AL286" s="662" t="str">
        <f t="shared" si="30"/>
        <v>DOD</v>
      </c>
      <c r="AM286" s="662" t="str">
        <f t="shared" si="32"/>
        <v>Durango-GT-AWD-5-~-6000-3.6L-6-WDEH75-2BD-119.8-24.6-Unleaded-Unleaded</v>
      </c>
      <c r="AN286" s="662" t="str">
        <f t="shared" si="31"/>
        <v>2019-SUV-DOD-DURG-008</v>
      </c>
    </row>
    <row r="287" spans="1:40" s="572" customFormat="1" ht="15">
      <c r="A287" s="570" t="s">
        <v>899</v>
      </c>
      <c r="B287" s="573" t="s">
        <v>900</v>
      </c>
      <c r="C287" s="573" t="s">
        <v>226</v>
      </c>
      <c r="D287" s="578" t="s">
        <v>227</v>
      </c>
      <c r="E287" s="573" t="s">
        <v>699</v>
      </c>
      <c r="F287" s="573" t="s">
        <v>196</v>
      </c>
      <c r="G287" s="573" t="s">
        <v>248</v>
      </c>
      <c r="H287" s="573">
        <v>2019</v>
      </c>
      <c r="I287" s="573" t="s">
        <v>895</v>
      </c>
      <c r="J287" s="573" t="s">
        <v>250</v>
      </c>
      <c r="K287" s="573" t="s">
        <v>230</v>
      </c>
      <c r="L287" s="573">
        <v>5</v>
      </c>
      <c r="M287" s="573">
        <v>0</v>
      </c>
      <c r="N287" s="573" t="s">
        <v>157</v>
      </c>
      <c r="O287" s="573">
        <v>2</v>
      </c>
      <c r="P287" s="573" t="s">
        <v>157</v>
      </c>
      <c r="Q287" s="571">
        <v>6000</v>
      </c>
      <c r="R287" s="573" t="s">
        <v>231</v>
      </c>
      <c r="S287" s="573">
        <v>6</v>
      </c>
      <c r="T287" s="573" t="s">
        <v>901</v>
      </c>
      <c r="U287" s="573" t="s">
        <v>902</v>
      </c>
      <c r="V287" s="573">
        <v>119.8</v>
      </c>
      <c r="W287" s="573">
        <v>24.6</v>
      </c>
      <c r="X287" s="571">
        <v>6500</v>
      </c>
      <c r="Y287" s="573">
        <v>21</v>
      </c>
      <c r="Z287" s="579" t="s">
        <v>178</v>
      </c>
      <c r="AA287" s="579" t="s">
        <v>178</v>
      </c>
      <c r="AB287" s="584">
        <v>33990</v>
      </c>
      <c r="AC287" s="584" t="s">
        <v>164</v>
      </c>
      <c r="AD287" s="584">
        <v>26602</v>
      </c>
      <c r="AE287" s="586">
        <v>6.25E-2</v>
      </c>
      <c r="AF287" s="661" t="s">
        <v>903</v>
      </c>
      <c r="AG287" s="661" t="str">
        <f>IF(AND($Y287&gt;=32,(AI287="I"),(Y287&lt;&gt;"~"),(COUNTIF($AN$1:$AN287,$AN287)=1)),"TRUE","FALSE")</f>
        <v>FALSE</v>
      </c>
      <c r="AH287" s="661" t="str">
        <f>IF(AND($Y287&gt;=22, (AI287&lt;&gt;"I"),(Y287&lt;&gt;"~"),(COUNTIF($AN$1:$AN287,$AN287)=1)),"TRUE","FALSE")</f>
        <v>FALSE</v>
      </c>
      <c r="AI287" s="661" t="str">
        <f t="shared" si="33"/>
        <v>II</v>
      </c>
      <c r="AJ287" s="662" t="str">
        <f t="shared" si="28"/>
        <v>DURG-005</v>
      </c>
      <c r="AK287" s="662" t="str">
        <f t="shared" si="29"/>
        <v>SUV</v>
      </c>
      <c r="AL287" s="662" t="str">
        <f t="shared" si="30"/>
        <v>DOD</v>
      </c>
      <c r="AM287" s="662" t="str">
        <f t="shared" si="32"/>
        <v>Durango-SXT-AWD-5-~-6000-3.6L-6-WDEL75-2BA-119.8-24.6-Unleaded-Unleaded</v>
      </c>
      <c r="AN287" s="662" t="str">
        <f t="shared" si="31"/>
        <v>2019-SUV-DOD-DURG-005</v>
      </c>
    </row>
    <row r="288" spans="1:40" s="572" customFormat="1" ht="15">
      <c r="A288" s="570" t="s">
        <v>904</v>
      </c>
      <c r="B288" s="569" t="s">
        <v>900</v>
      </c>
      <c r="C288" s="569" t="s">
        <v>240</v>
      </c>
      <c r="D288" s="580" t="s">
        <v>241</v>
      </c>
      <c r="E288" s="569" t="s">
        <v>699</v>
      </c>
      <c r="F288" s="569" t="s">
        <v>196</v>
      </c>
      <c r="G288" s="569" t="s">
        <v>248</v>
      </c>
      <c r="H288" s="569">
        <v>2019</v>
      </c>
      <c r="I288" s="569" t="s">
        <v>895</v>
      </c>
      <c r="J288" s="569" t="s">
        <v>250</v>
      </c>
      <c r="K288" s="569" t="s">
        <v>230</v>
      </c>
      <c r="L288" s="569">
        <v>5</v>
      </c>
      <c r="M288" s="569">
        <v>0</v>
      </c>
      <c r="N288" s="569" t="s">
        <v>157</v>
      </c>
      <c r="O288" s="569">
        <v>2</v>
      </c>
      <c r="P288" s="569" t="s">
        <v>157</v>
      </c>
      <c r="Q288" s="568">
        <v>6000</v>
      </c>
      <c r="R288" s="569" t="s">
        <v>231</v>
      </c>
      <c r="S288" s="569">
        <v>6</v>
      </c>
      <c r="T288" s="569" t="s">
        <v>901</v>
      </c>
      <c r="U288" s="569" t="s">
        <v>902</v>
      </c>
      <c r="V288" s="569">
        <v>119.8</v>
      </c>
      <c r="W288" s="569">
        <v>24.6</v>
      </c>
      <c r="X288" s="568">
        <v>6500</v>
      </c>
      <c r="Y288" s="569">
        <v>21</v>
      </c>
      <c r="Z288" s="581" t="s">
        <v>178</v>
      </c>
      <c r="AA288" s="581" t="s">
        <v>178</v>
      </c>
      <c r="AB288" s="585">
        <v>33990</v>
      </c>
      <c r="AC288" s="585" t="s">
        <v>164</v>
      </c>
      <c r="AD288" s="585">
        <v>26452.083333333336</v>
      </c>
      <c r="AE288" s="587">
        <v>0.05</v>
      </c>
      <c r="AF288" s="661" t="s">
        <v>905</v>
      </c>
      <c r="AG288" s="661" t="str">
        <f>IF(AND($Y288&gt;=32,(AI288="I"),(Y288&lt;&gt;"~"),(COUNTIF($AN$1:$AN288,$AN288)=1)),"TRUE","FALSE")</f>
        <v>FALSE</v>
      </c>
      <c r="AH288" s="661" t="str">
        <f>IF(AND($Y288&gt;=22, (AI288&lt;&gt;"I"),(Y288&lt;&gt;"~"),(COUNTIF($AN$1:$AN288,$AN288)=1)),"TRUE","FALSE")</f>
        <v>FALSE</v>
      </c>
      <c r="AI288" s="661" t="str">
        <f t="shared" si="33"/>
        <v>II</v>
      </c>
      <c r="AJ288" s="662" t="str">
        <f t="shared" si="28"/>
        <v>DURG-005</v>
      </c>
      <c r="AK288" s="662" t="str">
        <f t="shared" si="29"/>
        <v>SUV</v>
      </c>
      <c r="AL288" s="662" t="str">
        <f t="shared" si="30"/>
        <v>DOD</v>
      </c>
      <c r="AM288" s="662" t="str">
        <f t="shared" si="32"/>
        <v>Durango-SXT-AWD-5-~-6000-3.6L-6-WDEL75-2BA-119.8-24.6-Unleaded-Unleaded</v>
      </c>
      <c r="AN288" s="662" t="str">
        <f t="shared" si="31"/>
        <v>2019-SUV-DOD-DURG-005</v>
      </c>
    </row>
    <row r="289" spans="1:40" s="572" customFormat="1" ht="15">
      <c r="A289" s="570" t="s">
        <v>906</v>
      </c>
      <c r="B289" s="573" t="s">
        <v>907</v>
      </c>
      <c r="C289" s="573" t="s">
        <v>226</v>
      </c>
      <c r="D289" s="578" t="s">
        <v>227</v>
      </c>
      <c r="E289" s="573" t="s">
        <v>699</v>
      </c>
      <c r="F289" s="573" t="s">
        <v>196</v>
      </c>
      <c r="G289" s="573" t="s">
        <v>248</v>
      </c>
      <c r="H289" s="573">
        <v>2019</v>
      </c>
      <c r="I289" s="573" t="s">
        <v>895</v>
      </c>
      <c r="J289" s="573" t="s">
        <v>250</v>
      </c>
      <c r="K289" s="573" t="s">
        <v>236</v>
      </c>
      <c r="L289" s="573">
        <v>5</v>
      </c>
      <c r="M289" s="573">
        <v>0</v>
      </c>
      <c r="N289" s="573" t="s">
        <v>157</v>
      </c>
      <c r="O289" s="573">
        <v>2</v>
      </c>
      <c r="P289" s="573" t="s">
        <v>157</v>
      </c>
      <c r="Q289" s="571">
        <v>6000</v>
      </c>
      <c r="R289" s="573" t="s">
        <v>231</v>
      </c>
      <c r="S289" s="573">
        <v>6</v>
      </c>
      <c r="T289" s="573" t="s">
        <v>908</v>
      </c>
      <c r="U289" s="573" t="s">
        <v>902</v>
      </c>
      <c r="V289" s="573">
        <v>119.8</v>
      </c>
      <c r="W289" s="573">
        <v>24.6</v>
      </c>
      <c r="X289" s="571">
        <v>6500</v>
      </c>
      <c r="Y289" s="573">
        <v>21</v>
      </c>
      <c r="Z289" s="579" t="s">
        <v>178</v>
      </c>
      <c r="AA289" s="579" t="s">
        <v>178</v>
      </c>
      <c r="AB289" s="584">
        <v>31390</v>
      </c>
      <c r="AC289" s="584" t="s">
        <v>164</v>
      </c>
      <c r="AD289" s="584">
        <v>25728</v>
      </c>
      <c r="AE289" s="586">
        <v>6.25E-2</v>
      </c>
      <c r="AF289" s="661" t="s">
        <v>909</v>
      </c>
      <c r="AG289" s="661" t="str">
        <f>IF(AND($Y289&gt;=32,(AI289="I"),(Y289&lt;&gt;"~"),(COUNTIF($AN$1:$AN289,$AN289)=1)),"TRUE","FALSE")</f>
        <v>FALSE</v>
      </c>
      <c r="AH289" s="661" t="str">
        <f>IF(AND($Y289&gt;=22, (AI289&lt;&gt;"I"),(Y289&lt;&gt;"~"),(COUNTIF($AN$1:$AN289,$AN289)=1)),"TRUE","FALSE")</f>
        <v>FALSE</v>
      </c>
      <c r="AI289" s="661" t="str">
        <f t="shared" si="33"/>
        <v>II</v>
      </c>
      <c r="AJ289" s="662" t="str">
        <f t="shared" si="28"/>
        <v>DURG-006</v>
      </c>
      <c r="AK289" s="662" t="str">
        <f t="shared" si="29"/>
        <v>SUV</v>
      </c>
      <c r="AL289" s="662" t="str">
        <f t="shared" si="30"/>
        <v>DOD</v>
      </c>
      <c r="AM289" s="662" t="str">
        <f t="shared" si="32"/>
        <v>Durango-SXT-RWD-5-~-6000-3.6L-6-WDDL75-2BA-119.8-24.6-Unleaded-Unleaded</v>
      </c>
      <c r="AN289" s="662" t="str">
        <f t="shared" si="31"/>
        <v>2019-SUV-DOD-DURG-006</v>
      </c>
    </row>
    <row r="290" spans="1:40" s="572" customFormat="1" ht="15">
      <c r="A290" s="570" t="s">
        <v>910</v>
      </c>
      <c r="B290" s="569" t="s">
        <v>911</v>
      </c>
      <c r="C290" s="569" t="s">
        <v>226</v>
      </c>
      <c r="D290" s="580" t="s">
        <v>227</v>
      </c>
      <c r="E290" s="569" t="s">
        <v>699</v>
      </c>
      <c r="F290" s="569" t="s">
        <v>196</v>
      </c>
      <c r="G290" s="569" t="s">
        <v>248</v>
      </c>
      <c r="H290" s="569">
        <v>2019</v>
      </c>
      <c r="I290" s="569" t="s">
        <v>895</v>
      </c>
      <c r="J290" s="569" t="s">
        <v>250</v>
      </c>
      <c r="K290" s="569" t="s">
        <v>236</v>
      </c>
      <c r="L290" s="569">
        <v>7</v>
      </c>
      <c r="M290" s="569">
        <v>0</v>
      </c>
      <c r="N290" s="569" t="s">
        <v>157</v>
      </c>
      <c r="O290" s="569">
        <v>3</v>
      </c>
      <c r="P290" s="569" t="s">
        <v>157</v>
      </c>
      <c r="Q290" s="568">
        <v>6000</v>
      </c>
      <c r="R290" s="569" t="s">
        <v>231</v>
      </c>
      <c r="S290" s="569">
        <v>6</v>
      </c>
      <c r="T290" s="569" t="s">
        <v>908</v>
      </c>
      <c r="U290" s="569" t="s">
        <v>912</v>
      </c>
      <c r="V290" s="569">
        <v>119.8</v>
      </c>
      <c r="W290" s="569">
        <v>24.6</v>
      </c>
      <c r="X290" s="568">
        <v>6500</v>
      </c>
      <c r="Y290" s="569">
        <v>21</v>
      </c>
      <c r="Z290" s="581" t="s">
        <v>178</v>
      </c>
      <c r="AA290" s="581" t="s">
        <v>178</v>
      </c>
      <c r="AB290" s="585">
        <v>34885</v>
      </c>
      <c r="AC290" s="585" t="s">
        <v>164</v>
      </c>
      <c r="AD290" s="585">
        <v>28764</v>
      </c>
      <c r="AE290" s="587">
        <v>6.25E-2</v>
      </c>
      <c r="AF290" s="661" t="s">
        <v>913</v>
      </c>
      <c r="AG290" s="661" t="str">
        <f>IF(AND($Y290&gt;=32,(AI290="I"),(Y290&lt;&gt;"~"),(COUNTIF($AN$1:$AN290,$AN290)=1)),"TRUE","FALSE")</f>
        <v>FALSE</v>
      </c>
      <c r="AH290" s="661" t="str">
        <f>IF(AND($Y290&gt;=22, (AI290&lt;&gt;"I"),(Y290&lt;&gt;"~"),(COUNTIF($AN$1:$AN290,$AN290)=1)),"TRUE","FALSE")</f>
        <v>FALSE</v>
      </c>
      <c r="AI290" s="661" t="str">
        <f t="shared" si="33"/>
        <v>II</v>
      </c>
      <c r="AJ290" s="662" t="str">
        <f t="shared" si="28"/>
        <v>DURG-007</v>
      </c>
      <c r="AK290" s="662" t="str">
        <f t="shared" si="29"/>
        <v>SUV</v>
      </c>
      <c r="AL290" s="662" t="str">
        <f t="shared" si="30"/>
        <v>DOD</v>
      </c>
      <c r="AM290" s="662" t="str">
        <f t="shared" si="32"/>
        <v>Durango-SXT-RWD-7-~-6000-3.6L-6-WDDL75-2BB w/AMM-119.8-24.6-Unleaded-Unleaded</v>
      </c>
      <c r="AN290" s="662" t="str">
        <f t="shared" si="31"/>
        <v>2019-SUV-DOD-DURG-007</v>
      </c>
    </row>
    <row r="291" spans="1:40" s="572" customFormat="1" ht="15">
      <c r="A291" s="570" t="s">
        <v>914</v>
      </c>
      <c r="B291" s="573" t="s">
        <v>907</v>
      </c>
      <c r="C291" s="573" t="s">
        <v>240</v>
      </c>
      <c r="D291" s="578" t="s">
        <v>241</v>
      </c>
      <c r="E291" s="573" t="s">
        <v>699</v>
      </c>
      <c r="F291" s="573" t="s">
        <v>196</v>
      </c>
      <c r="G291" s="573" t="s">
        <v>248</v>
      </c>
      <c r="H291" s="573">
        <v>2019</v>
      </c>
      <c r="I291" s="573" t="s">
        <v>895</v>
      </c>
      <c r="J291" s="573" t="s">
        <v>250</v>
      </c>
      <c r="K291" s="573" t="s">
        <v>236</v>
      </c>
      <c r="L291" s="573">
        <v>5</v>
      </c>
      <c r="M291" s="573">
        <v>0</v>
      </c>
      <c r="N291" s="573" t="s">
        <v>157</v>
      </c>
      <c r="O291" s="573">
        <v>2</v>
      </c>
      <c r="P291" s="573" t="s">
        <v>157</v>
      </c>
      <c r="Q291" s="571">
        <v>6000</v>
      </c>
      <c r="R291" s="573" t="s">
        <v>231</v>
      </c>
      <c r="S291" s="573">
        <v>6</v>
      </c>
      <c r="T291" s="573" t="s">
        <v>908</v>
      </c>
      <c r="U291" s="573" t="s">
        <v>902</v>
      </c>
      <c r="V291" s="573">
        <v>119.8</v>
      </c>
      <c r="W291" s="573">
        <v>24.6</v>
      </c>
      <c r="X291" s="571">
        <v>6500</v>
      </c>
      <c r="Y291" s="573">
        <v>21</v>
      </c>
      <c r="Z291" s="579" t="s">
        <v>178</v>
      </c>
      <c r="AA291" s="579" t="s">
        <v>178</v>
      </c>
      <c r="AB291" s="584">
        <v>31390</v>
      </c>
      <c r="AC291" s="584" t="s">
        <v>164</v>
      </c>
      <c r="AD291" s="584">
        <v>25550</v>
      </c>
      <c r="AE291" s="586">
        <v>0.05</v>
      </c>
      <c r="AF291" s="661" t="s">
        <v>915</v>
      </c>
      <c r="AG291" s="661" t="str">
        <f>IF(AND($Y291&gt;=32,(AI291="I"),(Y291&lt;&gt;"~"),(COUNTIF($AN$1:$AN291,$AN291)=1)),"TRUE","FALSE")</f>
        <v>FALSE</v>
      </c>
      <c r="AH291" s="661" t="str">
        <f>IF(AND($Y291&gt;=22, (AI291&lt;&gt;"I"),(Y291&lt;&gt;"~"),(COUNTIF($AN$1:$AN291,$AN291)=1)),"TRUE","FALSE")</f>
        <v>FALSE</v>
      </c>
      <c r="AI291" s="661" t="str">
        <f t="shared" si="33"/>
        <v>II</v>
      </c>
      <c r="AJ291" s="662" t="str">
        <f t="shared" si="28"/>
        <v>DURG-006</v>
      </c>
      <c r="AK291" s="662" t="str">
        <f t="shared" si="29"/>
        <v>SUV</v>
      </c>
      <c r="AL291" s="662" t="str">
        <f t="shared" si="30"/>
        <v>DOD</v>
      </c>
      <c r="AM291" s="662" t="str">
        <f t="shared" si="32"/>
        <v>Durango-SXT-RWD-5-~-6000-3.6L-6-WDDL75-2BA-119.8-24.6-Unleaded-Unleaded</v>
      </c>
      <c r="AN291" s="662" t="str">
        <f t="shared" si="31"/>
        <v>2019-SUV-DOD-DURG-006</v>
      </c>
    </row>
    <row r="292" spans="1:40" s="572" customFormat="1" ht="15">
      <c r="A292" s="570" t="s">
        <v>916</v>
      </c>
      <c r="B292" s="569" t="s">
        <v>911</v>
      </c>
      <c r="C292" s="569" t="s">
        <v>240</v>
      </c>
      <c r="D292" s="580" t="s">
        <v>241</v>
      </c>
      <c r="E292" s="569" t="s">
        <v>699</v>
      </c>
      <c r="F292" s="569" t="s">
        <v>196</v>
      </c>
      <c r="G292" s="569" t="s">
        <v>248</v>
      </c>
      <c r="H292" s="569">
        <v>2019</v>
      </c>
      <c r="I292" s="569" t="s">
        <v>895</v>
      </c>
      <c r="J292" s="569" t="s">
        <v>250</v>
      </c>
      <c r="K292" s="569" t="s">
        <v>236</v>
      </c>
      <c r="L292" s="569">
        <v>7</v>
      </c>
      <c r="M292" s="569">
        <v>0</v>
      </c>
      <c r="N292" s="569" t="s">
        <v>157</v>
      </c>
      <c r="O292" s="569">
        <v>3</v>
      </c>
      <c r="P292" s="569" t="s">
        <v>157</v>
      </c>
      <c r="Q292" s="568">
        <v>6000</v>
      </c>
      <c r="R292" s="569" t="s">
        <v>231</v>
      </c>
      <c r="S292" s="569">
        <v>6</v>
      </c>
      <c r="T292" s="569" t="s">
        <v>908</v>
      </c>
      <c r="U292" s="569" t="s">
        <v>912</v>
      </c>
      <c r="V292" s="569">
        <v>119.8</v>
      </c>
      <c r="W292" s="569">
        <v>24.6</v>
      </c>
      <c r="X292" s="568">
        <v>6500</v>
      </c>
      <c r="Y292" s="569">
        <v>21</v>
      </c>
      <c r="Z292" s="581" t="s">
        <v>178</v>
      </c>
      <c r="AA292" s="581" t="s">
        <v>178</v>
      </c>
      <c r="AB292" s="585">
        <v>34885</v>
      </c>
      <c r="AC292" s="585" t="s">
        <v>164</v>
      </c>
      <c r="AD292" s="585">
        <v>28681.25</v>
      </c>
      <c r="AE292" s="587">
        <v>0.05</v>
      </c>
      <c r="AF292" s="661" t="s">
        <v>917</v>
      </c>
      <c r="AG292" s="661" t="str">
        <f>IF(AND($Y292&gt;=32,(AI292="I"),(Y292&lt;&gt;"~"),(COUNTIF($AN$1:$AN292,$AN292)=1)),"TRUE","FALSE")</f>
        <v>FALSE</v>
      </c>
      <c r="AH292" s="661" t="str">
        <f>IF(AND($Y292&gt;=22, (AI292&lt;&gt;"I"),(Y292&lt;&gt;"~"),(COUNTIF($AN$1:$AN292,$AN292)=1)),"TRUE","FALSE")</f>
        <v>FALSE</v>
      </c>
      <c r="AI292" s="661" t="str">
        <f t="shared" si="33"/>
        <v>II</v>
      </c>
      <c r="AJ292" s="662" t="str">
        <f t="shared" si="28"/>
        <v>DURG-007</v>
      </c>
      <c r="AK292" s="662" t="str">
        <f t="shared" si="29"/>
        <v>SUV</v>
      </c>
      <c r="AL292" s="662" t="str">
        <f t="shared" si="30"/>
        <v>DOD</v>
      </c>
      <c r="AM292" s="662" t="str">
        <f t="shared" si="32"/>
        <v>Durango-SXT-RWD-7-~-6000-3.6L-6-WDDL75-2BB w/AMM-119.8-24.6-Unleaded-Unleaded</v>
      </c>
      <c r="AN292" s="662" t="str">
        <f t="shared" si="31"/>
        <v>2019-SUV-DOD-DURG-007</v>
      </c>
    </row>
    <row r="293" spans="1:40" s="572" customFormat="1" ht="15">
      <c r="A293" s="570" t="s">
        <v>918</v>
      </c>
      <c r="B293" s="573" t="s">
        <v>919</v>
      </c>
      <c r="C293" s="573" t="s">
        <v>226</v>
      </c>
      <c r="D293" s="578" t="s">
        <v>227</v>
      </c>
      <c r="E293" s="573" t="s">
        <v>699</v>
      </c>
      <c r="F293" s="573" t="s">
        <v>196</v>
      </c>
      <c r="G293" s="573" t="s">
        <v>248</v>
      </c>
      <c r="H293" s="573">
        <v>2019</v>
      </c>
      <c r="I293" s="573" t="s">
        <v>920</v>
      </c>
      <c r="J293" s="573" t="s">
        <v>330</v>
      </c>
      <c r="K293" s="573" t="s">
        <v>230</v>
      </c>
      <c r="L293" s="573">
        <v>7</v>
      </c>
      <c r="M293" s="573">
        <v>0</v>
      </c>
      <c r="N293" s="573" t="s">
        <v>157</v>
      </c>
      <c r="O293" s="573">
        <v>3</v>
      </c>
      <c r="P293" s="573" t="s">
        <v>157</v>
      </c>
      <c r="Q293" s="571">
        <v>2500</v>
      </c>
      <c r="R293" s="573" t="s">
        <v>231</v>
      </c>
      <c r="S293" s="573">
        <v>6</v>
      </c>
      <c r="T293" s="573" t="s">
        <v>921</v>
      </c>
      <c r="U293" s="573" t="s">
        <v>922</v>
      </c>
      <c r="V293" s="573">
        <v>113.8</v>
      </c>
      <c r="W293" s="573">
        <v>20.5</v>
      </c>
      <c r="X293" s="571">
        <v>5600</v>
      </c>
      <c r="Y293" s="573">
        <v>19</v>
      </c>
      <c r="Z293" s="579" t="s">
        <v>178</v>
      </c>
      <c r="AA293" s="579" t="s">
        <v>178</v>
      </c>
      <c r="AB293" s="584">
        <v>29290</v>
      </c>
      <c r="AC293" s="584" t="s">
        <v>164</v>
      </c>
      <c r="AD293" s="584">
        <v>25071</v>
      </c>
      <c r="AE293" s="586">
        <v>6.25E-2</v>
      </c>
      <c r="AF293" s="661" t="s">
        <v>923</v>
      </c>
      <c r="AG293" s="661" t="str">
        <f>IF(AND($Y293&gt;=32,(AI293="I"),(Y293&lt;&gt;"~"),(COUNTIF($AN$1:$AN293,$AN293)=1)),"TRUE","FALSE")</f>
        <v>FALSE</v>
      </c>
      <c r="AH293" s="661" t="str">
        <f>IF(AND($Y293&gt;=22, (AI293&lt;&gt;"I"),(Y293&lt;&gt;"~"),(COUNTIF($AN$1:$AN293,$AN293)=1)),"TRUE","FALSE")</f>
        <v>FALSE</v>
      </c>
      <c r="AI293" s="661" t="str">
        <f t="shared" si="33"/>
        <v>II</v>
      </c>
      <c r="AJ293" s="662" t="str">
        <f t="shared" si="28"/>
        <v>JRNY-001</v>
      </c>
      <c r="AK293" s="662" t="str">
        <f t="shared" si="29"/>
        <v>SUV</v>
      </c>
      <c r="AL293" s="662" t="str">
        <f t="shared" si="30"/>
        <v>DOD</v>
      </c>
      <c r="AM293" s="662" t="str">
        <f t="shared" si="32"/>
        <v>Journey-SE-AWD-7-~-2500-3.6L-6-JCEE49-28A-113.8-20.5-Unleaded-Unleaded</v>
      </c>
      <c r="AN293" s="662" t="str">
        <f t="shared" si="31"/>
        <v>2019-SUV-DOD-JRNY-001</v>
      </c>
    </row>
    <row r="294" spans="1:40" s="572" customFormat="1" ht="15">
      <c r="A294" s="570" t="s">
        <v>924</v>
      </c>
      <c r="B294" s="569" t="s">
        <v>919</v>
      </c>
      <c r="C294" s="569" t="s">
        <v>240</v>
      </c>
      <c r="D294" s="580" t="s">
        <v>241</v>
      </c>
      <c r="E294" s="569" t="s">
        <v>699</v>
      </c>
      <c r="F294" s="569" t="s">
        <v>196</v>
      </c>
      <c r="G294" s="569" t="s">
        <v>248</v>
      </c>
      <c r="H294" s="569">
        <v>2019</v>
      </c>
      <c r="I294" s="569" t="s">
        <v>920</v>
      </c>
      <c r="J294" s="569" t="s">
        <v>330</v>
      </c>
      <c r="K294" s="569" t="s">
        <v>230</v>
      </c>
      <c r="L294" s="569">
        <v>7</v>
      </c>
      <c r="M294" s="569">
        <v>0</v>
      </c>
      <c r="N294" s="569" t="s">
        <v>157</v>
      </c>
      <c r="O294" s="569">
        <v>3</v>
      </c>
      <c r="P294" s="569" t="s">
        <v>157</v>
      </c>
      <c r="Q294" s="568">
        <v>1000</v>
      </c>
      <c r="R294" s="569" t="s">
        <v>231</v>
      </c>
      <c r="S294" s="569">
        <v>6</v>
      </c>
      <c r="T294" s="569" t="s">
        <v>921</v>
      </c>
      <c r="U294" s="569" t="s">
        <v>922</v>
      </c>
      <c r="V294" s="569">
        <v>113.8</v>
      </c>
      <c r="W294" s="569">
        <v>20.5</v>
      </c>
      <c r="X294" s="568">
        <v>5250</v>
      </c>
      <c r="Y294" s="569">
        <v>21</v>
      </c>
      <c r="Z294" s="581" t="s">
        <v>178</v>
      </c>
      <c r="AA294" s="581" t="s">
        <v>178</v>
      </c>
      <c r="AB294" s="585">
        <v>29290</v>
      </c>
      <c r="AC294" s="585" t="s">
        <v>164</v>
      </c>
      <c r="AD294" s="585">
        <v>24872.916666666668</v>
      </c>
      <c r="AE294" s="587">
        <v>0.05</v>
      </c>
      <c r="AF294" s="661" t="s">
        <v>925</v>
      </c>
      <c r="AG294" s="661" t="str">
        <f>IF(AND($Y294&gt;=32,(AI294="I"),(Y294&lt;&gt;"~"),(COUNTIF($AN$1:$AN294,$AN294)=1)),"TRUE","FALSE")</f>
        <v>FALSE</v>
      </c>
      <c r="AH294" s="661" t="str">
        <f>IF(AND($Y294&gt;=22, (AI294&lt;&gt;"I"),(Y294&lt;&gt;"~"),(COUNTIF($AN$1:$AN294,$AN294)=1)),"TRUE","FALSE")</f>
        <v>FALSE</v>
      </c>
      <c r="AI294" s="661" t="str">
        <f t="shared" si="33"/>
        <v>II</v>
      </c>
      <c r="AJ294" s="662" t="str">
        <f t="shared" si="28"/>
        <v>JRNY-001</v>
      </c>
      <c r="AK294" s="662" t="str">
        <f t="shared" si="29"/>
        <v>SUV</v>
      </c>
      <c r="AL294" s="662" t="str">
        <f t="shared" si="30"/>
        <v>DOD</v>
      </c>
      <c r="AM294" s="662" t="str">
        <f t="shared" si="32"/>
        <v>Journey-SE-AWD-7-~-1000-3.6L-6-JCEE49-28A-113.8-20.5-Unleaded-Unleaded</v>
      </c>
      <c r="AN294" s="662" t="str">
        <f t="shared" si="31"/>
        <v>2019-SUV-DOD-JRNY-001</v>
      </c>
    </row>
    <row r="295" spans="1:40" s="572" customFormat="1" ht="15">
      <c r="A295" s="570" t="s">
        <v>926</v>
      </c>
      <c r="B295" s="573" t="s">
        <v>927</v>
      </c>
      <c r="C295" s="573" t="s">
        <v>226</v>
      </c>
      <c r="D295" s="578" t="s">
        <v>227</v>
      </c>
      <c r="E295" s="573" t="s">
        <v>699</v>
      </c>
      <c r="F295" s="573" t="s">
        <v>196</v>
      </c>
      <c r="G295" s="573" t="s">
        <v>248</v>
      </c>
      <c r="H295" s="573">
        <v>2019</v>
      </c>
      <c r="I295" s="573" t="s">
        <v>920</v>
      </c>
      <c r="J295" s="573" t="s">
        <v>330</v>
      </c>
      <c r="K295" s="573" t="s">
        <v>156</v>
      </c>
      <c r="L295" s="573">
        <v>7</v>
      </c>
      <c r="M295" s="573">
        <v>0</v>
      </c>
      <c r="N295" s="573" t="s">
        <v>157</v>
      </c>
      <c r="O295" s="573">
        <v>3</v>
      </c>
      <c r="P295" s="573" t="s">
        <v>157</v>
      </c>
      <c r="Q295" s="571">
        <v>1000</v>
      </c>
      <c r="R295" s="573" t="s">
        <v>231</v>
      </c>
      <c r="S295" s="573">
        <v>6</v>
      </c>
      <c r="T295" s="573" t="s">
        <v>928</v>
      </c>
      <c r="U295" s="573" t="s">
        <v>922</v>
      </c>
      <c r="V295" s="573">
        <v>113.8</v>
      </c>
      <c r="W295" s="573">
        <v>20.5</v>
      </c>
      <c r="X295" s="571">
        <v>5250</v>
      </c>
      <c r="Y295" s="573">
        <v>19</v>
      </c>
      <c r="Z295" s="579" t="s">
        <v>178</v>
      </c>
      <c r="AA295" s="579" t="s">
        <v>178</v>
      </c>
      <c r="AB295" s="584">
        <v>26590</v>
      </c>
      <c r="AC295" s="584" t="s">
        <v>164</v>
      </c>
      <c r="AD295" s="584">
        <v>23022</v>
      </c>
      <c r="AE295" s="586">
        <v>6.25E-2</v>
      </c>
      <c r="AF295" s="661" t="s">
        <v>929</v>
      </c>
      <c r="AG295" s="661" t="str">
        <f>IF(AND($Y295&gt;=32,(AI295="I"),(Y295&lt;&gt;"~"),(COUNTIF($AN$1:$AN295,$AN295)=1)),"TRUE","FALSE")</f>
        <v>FALSE</v>
      </c>
      <c r="AH295" s="661" t="str">
        <f>IF(AND($Y295&gt;=22, (AI295&lt;&gt;"I"),(Y295&lt;&gt;"~"),(COUNTIF($AN$1:$AN295,$AN295)=1)),"TRUE","FALSE")</f>
        <v>FALSE</v>
      </c>
      <c r="AI295" s="661" t="str">
        <f t="shared" si="33"/>
        <v>II</v>
      </c>
      <c r="AJ295" s="662" t="str">
        <f t="shared" si="28"/>
        <v>JRNY-002</v>
      </c>
      <c r="AK295" s="662" t="str">
        <f t="shared" si="29"/>
        <v>SUV</v>
      </c>
      <c r="AL295" s="662" t="str">
        <f t="shared" si="30"/>
        <v>DOD</v>
      </c>
      <c r="AM295" s="662" t="str">
        <f t="shared" si="32"/>
        <v>Journey-SE-FWD-7-~-1000-3.6L-6-JCDE49-28A-113.8-20.5-Unleaded-Unleaded</v>
      </c>
      <c r="AN295" s="662" t="str">
        <f t="shared" si="31"/>
        <v>2019-SUV-DOD-JRNY-002</v>
      </c>
    </row>
    <row r="296" spans="1:40" s="572" customFormat="1" ht="15">
      <c r="A296" s="570" t="s">
        <v>930</v>
      </c>
      <c r="B296" s="569" t="s">
        <v>927</v>
      </c>
      <c r="C296" s="569" t="s">
        <v>240</v>
      </c>
      <c r="D296" s="580" t="s">
        <v>241</v>
      </c>
      <c r="E296" s="569" t="s">
        <v>699</v>
      </c>
      <c r="F296" s="569" t="s">
        <v>196</v>
      </c>
      <c r="G296" s="569" t="s">
        <v>248</v>
      </c>
      <c r="H296" s="569">
        <v>2019</v>
      </c>
      <c r="I296" s="569" t="s">
        <v>920</v>
      </c>
      <c r="J296" s="569" t="s">
        <v>330</v>
      </c>
      <c r="K296" s="569" t="s">
        <v>156</v>
      </c>
      <c r="L296" s="569">
        <v>7</v>
      </c>
      <c r="M296" s="569">
        <v>0</v>
      </c>
      <c r="N296" s="569" t="s">
        <v>157</v>
      </c>
      <c r="O296" s="569">
        <v>3</v>
      </c>
      <c r="P296" s="569" t="s">
        <v>157</v>
      </c>
      <c r="Q296" s="568">
        <v>1000</v>
      </c>
      <c r="R296" s="569" t="s">
        <v>231</v>
      </c>
      <c r="S296" s="569">
        <v>4</v>
      </c>
      <c r="T296" s="569" t="s">
        <v>928</v>
      </c>
      <c r="U296" s="569" t="s">
        <v>931</v>
      </c>
      <c r="V296" s="569">
        <v>113.8</v>
      </c>
      <c r="W296" s="569">
        <v>20.5</v>
      </c>
      <c r="X296" s="568">
        <v>5250</v>
      </c>
      <c r="Y296" s="569">
        <v>21</v>
      </c>
      <c r="Z296" s="581" t="s">
        <v>178</v>
      </c>
      <c r="AA296" s="581" t="s">
        <v>178</v>
      </c>
      <c r="AB296" s="585">
        <v>24890</v>
      </c>
      <c r="AC296" s="585" t="s">
        <v>164</v>
      </c>
      <c r="AD296" s="585">
        <v>21236.458333333336</v>
      </c>
      <c r="AE296" s="587">
        <v>0.05</v>
      </c>
      <c r="AF296" s="661" t="s">
        <v>932</v>
      </c>
      <c r="AG296" s="661" t="str">
        <f>IF(AND($Y296&gt;=32,(AI296="I"),(Y296&lt;&gt;"~"),(COUNTIF($AN$1:$AN296,$AN296)=1)),"TRUE","FALSE")</f>
        <v>FALSE</v>
      </c>
      <c r="AH296" s="661" t="str">
        <f>IF(AND($Y296&gt;=22, (AI296&lt;&gt;"I"),(Y296&lt;&gt;"~"),(COUNTIF($AN$1:$AN296,$AN296)=1)),"TRUE","FALSE")</f>
        <v>FALSE</v>
      </c>
      <c r="AI296" s="661" t="str">
        <f t="shared" si="33"/>
        <v>II</v>
      </c>
      <c r="AJ296" s="662" t="str">
        <f t="shared" si="28"/>
        <v>JRNY-002</v>
      </c>
      <c r="AK296" s="662" t="str">
        <f t="shared" si="29"/>
        <v>SUV</v>
      </c>
      <c r="AL296" s="662" t="str">
        <f t="shared" si="30"/>
        <v>DOD</v>
      </c>
      <c r="AM296" s="662" t="str">
        <f t="shared" si="32"/>
        <v>Journey-SE-FWD-7-~-1000-3.6L-4-JCDE49-22A-113.8-20.5-Unleaded-Unleaded</v>
      </c>
      <c r="AN296" s="662" t="str">
        <f t="shared" si="31"/>
        <v>2019-SUV-DOD-JRNY-002</v>
      </c>
    </row>
    <row r="297" spans="1:40" s="572" customFormat="1" ht="15">
      <c r="A297" s="570" t="s">
        <v>933</v>
      </c>
      <c r="B297" s="573" t="s">
        <v>934</v>
      </c>
      <c r="C297" s="573" t="s">
        <v>269</v>
      </c>
      <c r="D297" s="578" t="s">
        <v>270</v>
      </c>
      <c r="E297" s="573" t="s">
        <v>699</v>
      </c>
      <c r="F297" s="573" t="s">
        <v>211</v>
      </c>
      <c r="G297" s="573" t="s">
        <v>271</v>
      </c>
      <c r="H297" s="573">
        <v>2019</v>
      </c>
      <c r="I297" s="573" t="s">
        <v>935</v>
      </c>
      <c r="J297" s="573" t="s">
        <v>273</v>
      </c>
      <c r="K297" s="573" t="s">
        <v>752</v>
      </c>
      <c r="L297" s="573">
        <v>5</v>
      </c>
      <c r="M297" s="573">
        <v>0</v>
      </c>
      <c r="N297" s="573" t="s">
        <v>157</v>
      </c>
      <c r="O297" s="573">
        <v>2</v>
      </c>
      <c r="P297" s="573" t="s">
        <v>157</v>
      </c>
      <c r="Q297" s="571" t="s">
        <v>157</v>
      </c>
      <c r="R297" s="573" t="s">
        <v>352</v>
      </c>
      <c r="S297" s="573">
        <v>4</v>
      </c>
      <c r="T297" s="573" t="s">
        <v>936</v>
      </c>
      <c r="U297" s="573" t="s">
        <v>276</v>
      </c>
      <c r="V297" s="573">
        <v>99.2</v>
      </c>
      <c r="W297" s="573">
        <v>13.6</v>
      </c>
      <c r="X297" s="571">
        <v>4375</v>
      </c>
      <c r="Y297" s="573">
        <v>25</v>
      </c>
      <c r="Z297" s="579" t="s">
        <v>178</v>
      </c>
      <c r="AA297" s="579" t="s">
        <v>178</v>
      </c>
      <c r="AB297" s="584">
        <v>22585</v>
      </c>
      <c r="AC297" s="584" t="s">
        <v>164</v>
      </c>
      <c r="AD297" s="584">
        <v>20834.041666666668</v>
      </c>
      <c r="AE297" s="586">
        <v>0.03</v>
      </c>
      <c r="AF297" s="661" t="s">
        <v>937</v>
      </c>
      <c r="AG297" s="661" t="str">
        <f>IF(AND($Y297&gt;=32,(AI297="I"),(Y297&lt;&gt;"~"),(COUNTIF($AN$1:$AN297,$AN297)=1)),"TRUE","FALSE")</f>
        <v>FALSE</v>
      </c>
      <c r="AH297" s="661" t="str">
        <f>IF(AND($Y297&gt;=22, (AI297&lt;&gt;"I"),(Y297&lt;&gt;"~"),(COUNTIF($AN$1:$AN297,$AN297)=1)),"TRUE","FALSE")</f>
        <v>TRUE</v>
      </c>
      <c r="AI297" s="661" t="str">
        <f t="shared" si="33"/>
        <v>II</v>
      </c>
      <c r="AJ297" s="662" t="str">
        <f t="shared" si="28"/>
        <v>ESCT-008</v>
      </c>
      <c r="AK297" s="662" t="str">
        <f t="shared" si="29"/>
        <v>SUV</v>
      </c>
      <c r="AL297" s="662" t="str">
        <f t="shared" si="30"/>
        <v>FRD</v>
      </c>
      <c r="AM297" s="662" t="str">
        <f t="shared" si="32"/>
        <v>Ecosport-S-4WD-5-~-~-2.0L-4-S3F-100A-99.2-13.6-Unleaded-Unleaded</v>
      </c>
      <c r="AN297" s="662" t="str">
        <f t="shared" si="31"/>
        <v>2019-SUV-FRD-ESCT-008</v>
      </c>
    </row>
    <row r="298" spans="1:40" s="572" customFormat="1" ht="15">
      <c r="A298" s="570" t="s">
        <v>938</v>
      </c>
      <c r="B298" s="569" t="s">
        <v>934</v>
      </c>
      <c r="C298" s="569" t="s">
        <v>280</v>
      </c>
      <c r="D298" s="580">
        <v>27</v>
      </c>
      <c r="E298" s="569" t="s">
        <v>699</v>
      </c>
      <c r="F298" s="569" t="s">
        <v>211</v>
      </c>
      <c r="G298" s="569" t="s">
        <v>271</v>
      </c>
      <c r="H298" s="569">
        <v>2019</v>
      </c>
      <c r="I298" s="569" t="s">
        <v>935</v>
      </c>
      <c r="J298" s="569" t="s">
        <v>273</v>
      </c>
      <c r="K298" s="569" t="s">
        <v>752</v>
      </c>
      <c r="L298" s="569">
        <v>5</v>
      </c>
      <c r="M298" s="569">
        <v>0</v>
      </c>
      <c r="N298" s="569" t="s">
        <v>157</v>
      </c>
      <c r="O298" s="569">
        <v>2</v>
      </c>
      <c r="P298" s="569" t="s">
        <v>157</v>
      </c>
      <c r="Q298" s="568" t="s">
        <v>157</v>
      </c>
      <c r="R298" s="569" t="s">
        <v>352</v>
      </c>
      <c r="S298" s="569">
        <v>4</v>
      </c>
      <c r="T298" s="569" t="s">
        <v>936</v>
      </c>
      <c r="U298" s="569" t="s">
        <v>276</v>
      </c>
      <c r="V298" s="569">
        <v>99.2</v>
      </c>
      <c r="W298" s="569">
        <v>13.6</v>
      </c>
      <c r="X298" s="568">
        <v>4375</v>
      </c>
      <c r="Y298" s="569">
        <v>25</v>
      </c>
      <c r="Z298" s="581" t="s">
        <v>178</v>
      </c>
      <c r="AA298" s="581" t="s">
        <v>178</v>
      </c>
      <c r="AB298" s="585">
        <v>22585</v>
      </c>
      <c r="AC298" s="585" t="s">
        <v>164</v>
      </c>
      <c r="AD298" s="585">
        <v>20834.041666666668</v>
      </c>
      <c r="AE298" s="587">
        <v>0.03</v>
      </c>
      <c r="AF298" s="661" t="s">
        <v>939</v>
      </c>
      <c r="AG298" s="661" t="str">
        <f>IF(AND($Y298&gt;=32,(AI298="I"),(Y298&lt;&gt;"~"),(COUNTIF($AN$1:$AN298,$AN298)=1)),"TRUE","FALSE")</f>
        <v>FALSE</v>
      </c>
      <c r="AH298" s="661" t="str">
        <f>IF(AND($Y298&gt;=22, (AI298&lt;&gt;"I"),(Y298&lt;&gt;"~"),(COUNTIF($AN$1:$AN298,$AN298)=1)),"TRUE","FALSE")</f>
        <v>FALSE</v>
      </c>
      <c r="AI298" s="661" t="str">
        <f t="shared" si="33"/>
        <v>II</v>
      </c>
      <c r="AJ298" s="662" t="str">
        <f t="shared" si="28"/>
        <v>ESCT-008</v>
      </c>
      <c r="AK298" s="662" t="str">
        <f t="shared" si="29"/>
        <v>SUV</v>
      </c>
      <c r="AL298" s="662" t="str">
        <f t="shared" si="30"/>
        <v>FRD</v>
      </c>
      <c r="AM298" s="662" t="str">
        <f t="shared" si="32"/>
        <v>Ecosport-S-4WD-5-~-~-2.0L-4-S3F-100A-99.2-13.6-Unleaded-Unleaded</v>
      </c>
      <c r="AN298" s="662" t="str">
        <f t="shared" si="31"/>
        <v>2019-SUV-FRD-ESCT-008</v>
      </c>
    </row>
    <row r="299" spans="1:40" s="572" customFormat="1" ht="15">
      <c r="A299" s="570" t="s">
        <v>940</v>
      </c>
      <c r="B299" s="573" t="s">
        <v>941</v>
      </c>
      <c r="C299" s="573" t="s">
        <v>278</v>
      </c>
      <c r="D299" s="578">
        <v>15</v>
      </c>
      <c r="E299" s="573" t="s">
        <v>699</v>
      </c>
      <c r="F299" s="573" t="s">
        <v>211</v>
      </c>
      <c r="G299" s="573" t="s">
        <v>271</v>
      </c>
      <c r="H299" s="573">
        <v>2019</v>
      </c>
      <c r="I299" s="573" t="s">
        <v>935</v>
      </c>
      <c r="J299" s="573" t="s">
        <v>273</v>
      </c>
      <c r="K299" s="573" t="s">
        <v>230</v>
      </c>
      <c r="L299" s="573">
        <v>5</v>
      </c>
      <c r="M299" s="573">
        <v>0</v>
      </c>
      <c r="N299" s="573" t="s">
        <v>157</v>
      </c>
      <c r="O299" s="573">
        <v>2</v>
      </c>
      <c r="P299" s="573" t="s">
        <v>157</v>
      </c>
      <c r="Q299" s="571" t="s">
        <v>157</v>
      </c>
      <c r="R299" s="573" t="s">
        <v>352</v>
      </c>
      <c r="S299" s="573">
        <v>4</v>
      </c>
      <c r="T299" s="573" t="s">
        <v>942</v>
      </c>
      <c r="U299" s="573" t="s">
        <v>276</v>
      </c>
      <c r="V299" s="573">
        <v>99.2</v>
      </c>
      <c r="W299" s="573">
        <v>13.6</v>
      </c>
      <c r="X299" s="571">
        <v>4375</v>
      </c>
      <c r="Y299" s="573">
        <v>25</v>
      </c>
      <c r="Z299" s="579" t="s">
        <v>178</v>
      </c>
      <c r="AA299" s="579" t="s">
        <v>178</v>
      </c>
      <c r="AB299" s="584">
        <v>22585</v>
      </c>
      <c r="AC299" s="584" t="s">
        <v>164</v>
      </c>
      <c r="AD299" s="584">
        <v>21050</v>
      </c>
      <c r="AE299" s="586">
        <v>0.01</v>
      </c>
      <c r="AF299" s="661" t="s">
        <v>943</v>
      </c>
      <c r="AG299" s="661" t="str">
        <f>IF(AND($Y299&gt;=32,(AI299="I"),(Y299&lt;&gt;"~"),(COUNTIF($AN$1:$AN299,$AN299)=1)),"TRUE","FALSE")</f>
        <v>FALSE</v>
      </c>
      <c r="AH299" s="661" t="str">
        <f>IF(AND($Y299&gt;=22, (AI299&lt;&gt;"I"),(Y299&lt;&gt;"~"),(COUNTIF($AN$1:$AN299,$AN299)=1)),"TRUE","FALSE")</f>
        <v>TRUE</v>
      </c>
      <c r="AI299" s="661" t="str">
        <f t="shared" si="33"/>
        <v>II</v>
      </c>
      <c r="AJ299" s="662" t="str">
        <f t="shared" si="28"/>
        <v>ESCT-001</v>
      </c>
      <c r="AK299" s="662" t="str">
        <f t="shared" si="29"/>
        <v>SUV</v>
      </c>
      <c r="AL299" s="662" t="str">
        <f t="shared" si="30"/>
        <v>FRD</v>
      </c>
      <c r="AM299" s="662" t="str">
        <f t="shared" si="32"/>
        <v>Ecosport-S-AWD-5-~-~-2.0L-4-P1S-100A-99.2-13.6-Unleaded-Unleaded</v>
      </c>
      <c r="AN299" s="662" t="str">
        <f t="shared" si="31"/>
        <v>2019-SUV-FRD-ESCT-001</v>
      </c>
    </row>
    <row r="300" spans="1:40" s="572" customFormat="1" ht="15">
      <c r="A300" s="570" t="s">
        <v>944</v>
      </c>
      <c r="B300" s="569" t="s">
        <v>945</v>
      </c>
      <c r="C300" s="569" t="s">
        <v>287</v>
      </c>
      <c r="D300" s="580">
        <v>26</v>
      </c>
      <c r="E300" s="569" t="s">
        <v>699</v>
      </c>
      <c r="F300" s="569" t="s">
        <v>211</v>
      </c>
      <c r="G300" s="569" t="s">
        <v>271</v>
      </c>
      <c r="H300" s="569">
        <v>2019</v>
      </c>
      <c r="I300" s="569" t="s">
        <v>935</v>
      </c>
      <c r="J300" s="569" t="s">
        <v>273</v>
      </c>
      <c r="K300" s="569" t="s">
        <v>230</v>
      </c>
      <c r="L300" s="569">
        <v>5</v>
      </c>
      <c r="M300" s="569">
        <v>0</v>
      </c>
      <c r="N300" s="569" t="s">
        <v>157</v>
      </c>
      <c r="O300" s="569">
        <v>2</v>
      </c>
      <c r="P300" s="569" t="s">
        <v>157</v>
      </c>
      <c r="Q300" s="568" t="s">
        <v>157</v>
      </c>
      <c r="R300" s="569" t="s">
        <v>352</v>
      </c>
      <c r="S300" s="569">
        <v>4</v>
      </c>
      <c r="T300" s="569" t="s">
        <v>936</v>
      </c>
      <c r="U300" s="569" t="s">
        <v>276</v>
      </c>
      <c r="V300" s="569">
        <v>99.2</v>
      </c>
      <c r="W300" s="569">
        <v>13.6</v>
      </c>
      <c r="X300" s="568">
        <v>4375</v>
      </c>
      <c r="Y300" s="569">
        <v>25</v>
      </c>
      <c r="Z300" s="581" t="s">
        <v>178</v>
      </c>
      <c r="AA300" s="581" t="s">
        <v>178</v>
      </c>
      <c r="AB300" s="585">
        <v>22585</v>
      </c>
      <c r="AC300" s="585" t="s">
        <v>164</v>
      </c>
      <c r="AD300" s="585">
        <v>21567</v>
      </c>
      <c r="AE300" s="587">
        <v>0.05</v>
      </c>
      <c r="AF300" s="661" t="s">
        <v>946</v>
      </c>
      <c r="AG300" s="661" t="str">
        <f>IF(AND($Y300&gt;=32,(AI300="I"),(Y300&lt;&gt;"~"),(COUNTIF($AN$1:$AN300,$AN300)=1)),"TRUE","FALSE")</f>
        <v>FALSE</v>
      </c>
      <c r="AH300" s="661" t="str">
        <f>IF(AND($Y300&gt;=22, (AI300&lt;&gt;"I"),(Y300&lt;&gt;"~"),(COUNTIF($AN$1:$AN300,$AN300)=1)),"TRUE","FALSE")</f>
        <v>TRUE</v>
      </c>
      <c r="AI300" s="661" t="str">
        <f t="shared" si="33"/>
        <v>II</v>
      </c>
      <c r="AJ300" s="662" t="str">
        <f t="shared" si="28"/>
        <v>ESCT-009</v>
      </c>
      <c r="AK300" s="662" t="str">
        <f t="shared" si="29"/>
        <v>SUV</v>
      </c>
      <c r="AL300" s="662" t="str">
        <f t="shared" si="30"/>
        <v>FRD</v>
      </c>
      <c r="AM300" s="662" t="str">
        <f t="shared" si="32"/>
        <v>Ecosport-S-AWD-5-~-~-2.0L-4-S3F-100A-99.2-13.6-Unleaded-Unleaded</v>
      </c>
      <c r="AN300" s="662" t="str">
        <f t="shared" si="31"/>
        <v>2019-SUV-FRD-ESCT-009</v>
      </c>
    </row>
    <row r="301" spans="1:40" s="572" customFormat="1" ht="15">
      <c r="A301" s="570" t="s">
        <v>947</v>
      </c>
      <c r="B301" s="573" t="s">
        <v>948</v>
      </c>
      <c r="C301" s="573" t="s">
        <v>269</v>
      </c>
      <c r="D301" s="578" t="s">
        <v>270</v>
      </c>
      <c r="E301" s="573" t="s">
        <v>699</v>
      </c>
      <c r="F301" s="573" t="s">
        <v>211</v>
      </c>
      <c r="G301" s="573" t="s">
        <v>271</v>
      </c>
      <c r="H301" s="573">
        <v>2019</v>
      </c>
      <c r="I301" s="573" t="s">
        <v>935</v>
      </c>
      <c r="J301" s="573" t="s">
        <v>273</v>
      </c>
      <c r="K301" s="573" t="s">
        <v>156</v>
      </c>
      <c r="L301" s="573">
        <v>5</v>
      </c>
      <c r="M301" s="573">
        <v>0</v>
      </c>
      <c r="N301" s="573" t="s">
        <v>157</v>
      </c>
      <c r="O301" s="573">
        <v>2</v>
      </c>
      <c r="P301" s="573" t="s">
        <v>157</v>
      </c>
      <c r="Q301" s="571" t="s">
        <v>157</v>
      </c>
      <c r="R301" s="573" t="s">
        <v>949</v>
      </c>
      <c r="S301" s="573">
        <v>3</v>
      </c>
      <c r="T301" s="573" t="s">
        <v>950</v>
      </c>
      <c r="U301" s="573" t="s">
        <v>276</v>
      </c>
      <c r="V301" s="573">
        <v>99.2</v>
      </c>
      <c r="W301" s="573">
        <v>13.6</v>
      </c>
      <c r="X301" s="571">
        <v>4095</v>
      </c>
      <c r="Y301" s="573">
        <v>28</v>
      </c>
      <c r="Z301" s="579" t="s">
        <v>178</v>
      </c>
      <c r="AA301" s="579" t="s">
        <v>178</v>
      </c>
      <c r="AB301" s="584">
        <v>20990</v>
      </c>
      <c r="AC301" s="584" t="s">
        <v>164</v>
      </c>
      <c r="AD301" s="584">
        <v>19325.708333333336</v>
      </c>
      <c r="AE301" s="586">
        <v>0.03</v>
      </c>
      <c r="AF301" s="661" t="s">
        <v>951</v>
      </c>
      <c r="AG301" s="661" t="str">
        <f>IF(AND($Y301&gt;=32,(AI301="I"),(Y301&lt;&gt;"~"),(COUNTIF($AN$1:$AN301,$AN301)=1)),"TRUE","FALSE")</f>
        <v>FALSE</v>
      </c>
      <c r="AH301" s="661" t="str">
        <f>IF(AND($Y301&gt;=22, (AI301&lt;&gt;"I"),(Y301&lt;&gt;"~"),(COUNTIF($AN$1:$AN301,$AN301)=1)),"TRUE","FALSE")</f>
        <v>TRUE</v>
      </c>
      <c r="AI301" s="661" t="str">
        <f t="shared" si="33"/>
        <v>II</v>
      </c>
      <c r="AJ301" s="662" t="str">
        <f t="shared" si="28"/>
        <v>ESCT-015</v>
      </c>
      <c r="AK301" s="662" t="str">
        <f t="shared" si="29"/>
        <v>SUV</v>
      </c>
      <c r="AL301" s="662" t="str">
        <f t="shared" si="30"/>
        <v>FRD</v>
      </c>
      <c r="AM301" s="662" t="str">
        <f t="shared" si="32"/>
        <v>Ecosport-S-FWD-5-~-~-1.0L Ecoboost-3-S2F-100A-99.2-13.6-Unleaded-Unleaded</v>
      </c>
      <c r="AN301" s="662" t="str">
        <f t="shared" si="31"/>
        <v>2019-SUV-FRD-ESCT-015</v>
      </c>
    </row>
    <row r="302" spans="1:40" s="572" customFormat="1" ht="15">
      <c r="A302" s="570" t="s">
        <v>952</v>
      </c>
      <c r="B302" s="569" t="s">
        <v>953</v>
      </c>
      <c r="C302" s="569" t="s">
        <v>278</v>
      </c>
      <c r="D302" s="580">
        <v>15</v>
      </c>
      <c r="E302" s="569" t="s">
        <v>699</v>
      </c>
      <c r="F302" s="569" t="s">
        <v>211</v>
      </c>
      <c r="G302" s="569" t="s">
        <v>271</v>
      </c>
      <c r="H302" s="569">
        <v>2019</v>
      </c>
      <c r="I302" s="569" t="s">
        <v>935</v>
      </c>
      <c r="J302" s="569" t="s">
        <v>273</v>
      </c>
      <c r="K302" s="569" t="s">
        <v>156</v>
      </c>
      <c r="L302" s="569">
        <v>5</v>
      </c>
      <c r="M302" s="569">
        <v>0</v>
      </c>
      <c r="N302" s="569" t="s">
        <v>157</v>
      </c>
      <c r="O302" s="569">
        <v>2</v>
      </c>
      <c r="P302" s="569" t="s">
        <v>157</v>
      </c>
      <c r="Q302" s="568" t="s">
        <v>157</v>
      </c>
      <c r="R302" s="569" t="s">
        <v>949</v>
      </c>
      <c r="S302" s="569">
        <v>3</v>
      </c>
      <c r="T302" s="569" t="s">
        <v>954</v>
      </c>
      <c r="U302" s="569" t="s">
        <v>276</v>
      </c>
      <c r="V302" s="569">
        <v>99.2</v>
      </c>
      <c r="W302" s="569">
        <v>13.6</v>
      </c>
      <c r="X302" s="568">
        <v>4095</v>
      </c>
      <c r="Y302" s="569">
        <v>28</v>
      </c>
      <c r="Z302" s="581" t="s">
        <v>178</v>
      </c>
      <c r="AA302" s="581" t="s">
        <v>178</v>
      </c>
      <c r="AB302" s="585">
        <v>20990</v>
      </c>
      <c r="AC302" s="585" t="s">
        <v>164</v>
      </c>
      <c r="AD302" s="585">
        <v>19500</v>
      </c>
      <c r="AE302" s="587">
        <v>0.01</v>
      </c>
      <c r="AF302" s="661" t="s">
        <v>955</v>
      </c>
      <c r="AG302" s="661" t="str">
        <f>IF(AND($Y302&gt;=32,(AI302="I"),(Y302&lt;&gt;"~"),(COUNTIF($AN$1:$AN302,$AN302)=1)),"TRUE","FALSE")</f>
        <v>FALSE</v>
      </c>
      <c r="AH302" s="661" t="str">
        <f>IF(AND($Y302&gt;=22, (AI302&lt;&gt;"I"),(Y302&lt;&gt;"~"),(COUNTIF($AN$1:$AN302,$AN302)=1)),"TRUE","FALSE")</f>
        <v>TRUE</v>
      </c>
      <c r="AI302" s="661" t="str">
        <f t="shared" si="33"/>
        <v>II</v>
      </c>
      <c r="AJ302" s="662" t="str">
        <f t="shared" si="28"/>
        <v>ESCT-004</v>
      </c>
      <c r="AK302" s="662" t="str">
        <f t="shared" si="29"/>
        <v>SUV</v>
      </c>
      <c r="AL302" s="662" t="str">
        <f t="shared" si="30"/>
        <v>FRD</v>
      </c>
      <c r="AM302" s="662" t="str">
        <f t="shared" si="32"/>
        <v>Ecosport-S-FWD-5-~-~-1.0L Ecoboost-3-P1R-100A-99.2-13.6-Unleaded-Unleaded</v>
      </c>
      <c r="AN302" s="662" t="str">
        <f t="shared" si="31"/>
        <v>2019-SUV-FRD-ESCT-004</v>
      </c>
    </row>
    <row r="303" spans="1:40" s="572" customFormat="1" ht="15">
      <c r="A303" s="570" t="s">
        <v>956</v>
      </c>
      <c r="B303" s="573" t="s">
        <v>948</v>
      </c>
      <c r="C303" s="573" t="s">
        <v>287</v>
      </c>
      <c r="D303" s="578">
        <v>26</v>
      </c>
      <c r="E303" s="573" t="s">
        <v>699</v>
      </c>
      <c r="F303" s="573" t="s">
        <v>211</v>
      </c>
      <c r="G303" s="573" t="s">
        <v>271</v>
      </c>
      <c r="H303" s="573">
        <v>2019</v>
      </c>
      <c r="I303" s="573" t="s">
        <v>935</v>
      </c>
      <c r="J303" s="573" t="s">
        <v>273</v>
      </c>
      <c r="K303" s="573" t="s">
        <v>156</v>
      </c>
      <c r="L303" s="573">
        <v>5</v>
      </c>
      <c r="M303" s="573">
        <v>0</v>
      </c>
      <c r="N303" s="573" t="s">
        <v>157</v>
      </c>
      <c r="O303" s="573">
        <v>2</v>
      </c>
      <c r="P303" s="573" t="s">
        <v>157</v>
      </c>
      <c r="Q303" s="571" t="s">
        <v>157</v>
      </c>
      <c r="R303" s="573" t="s">
        <v>949</v>
      </c>
      <c r="S303" s="573">
        <v>3</v>
      </c>
      <c r="T303" s="573" t="s">
        <v>950</v>
      </c>
      <c r="U303" s="573" t="s">
        <v>276</v>
      </c>
      <c r="V303" s="573">
        <v>99.2</v>
      </c>
      <c r="W303" s="573">
        <v>13.6</v>
      </c>
      <c r="X303" s="571">
        <v>4095</v>
      </c>
      <c r="Y303" s="573">
        <v>28</v>
      </c>
      <c r="Z303" s="579" t="s">
        <v>178</v>
      </c>
      <c r="AA303" s="579" t="s">
        <v>178</v>
      </c>
      <c r="AB303" s="584">
        <v>20990</v>
      </c>
      <c r="AC303" s="584" t="s">
        <v>164</v>
      </c>
      <c r="AD303" s="584">
        <v>20012</v>
      </c>
      <c r="AE303" s="586">
        <v>0.05</v>
      </c>
      <c r="AF303" s="661" t="s">
        <v>957</v>
      </c>
      <c r="AG303" s="661" t="str">
        <f>IF(AND($Y303&gt;=32,(AI303="I"),(Y303&lt;&gt;"~"),(COUNTIF($AN$1:$AN303,$AN303)=1)),"TRUE","FALSE")</f>
        <v>FALSE</v>
      </c>
      <c r="AH303" s="661" t="str">
        <f>IF(AND($Y303&gt;=22, (AI303&lt;&gt;"I"),(Y303&lt;&gt;"~"),(COUNTIF($AN$1:$AN303,$AN303)=1)),"TRUE","FALSE")</f>
        <v>FALSE</v>
      </c>
      <c r="AI303" s="661" t="str">
        <f t="shared" si="33"/>
        <v>II</v>
      </c>
      <c r="AJ303" s="662" t="str">
        <f t="shared" si="28"/>
        <v>ESCT-015</v>
      </c>
      <c r="AK303" s="662" t="str">
        <f t="shared" si="29"/>
        <v>SUV</v>
      </c>
      <c r="AL303" s="662" t="str">
        <f t="shared" si="30"/>
        <v>FRD</v>
      </c>
      <c r="AM303" s="662" t="str">
        <f t="shared" si="32"/>
        <v>Ecosport-S-FWD-5-~-~-1.0L Ecoboost-3-S2F-100A-99.2-13.6-Unleaded-Unleaded</v>
      </c>
      <c r="AN303" s="662" t="str">
        <f t="shared" si="31"/>
        <v>2019-SUV-FRD-ESCT-015</v>
      </c>
    </row>
    <row r="304" spans="1:40" s="572" customFormat="1" ht="15">
      <c r="A304" s="570" t="s">
        <v>958</v>
      </c>
      <c r="B304" s="569" t="s">
        <v>948</v>
      </c>
      <c r="C304" s="569" t="s">
        <v>280</v>
      </c>
      <c r="D304" s="580">
        <v>27</v>
      </c>
      <c r="E304" s="569" t="s">
        <v>699</v>
      </c>
      <c r="F304" s="569" t="s">
        <v>211</v>
      </c>
      <c r="G304" s="569" t="s">
        <v>271</v>
      </c>
      <c r="H304" s="569">
        <v>2019</v>
      </c>
      <c r="I304" s="569" t="s">
        <v>935</v>
      </c>
      <c r="J304" s="569" t="s">
        <v>273</v>
      </c>
      <c r="K304" s="569" t="s">
        <v>156</v>
      </c>
      <c r="L304" s="569">
        <v>5</v>
      </c>
      <c r="M304" s="569">
        <v>0</v>
      </c>
      <c r="N304" s="569" t="s">
        <v>157</v>
      </c>
      <c r="O304" s="569">
        <v>2</v>
      </c>
      <c r="P304" s="569" t="s">
        <v>157</v>
      </c>
      <c r="Q304" s="568" t="s">
        <v>157</v>
      </c>
      <c r="R304" s="569" t="s">
        <v>949</v>
      </c>
      <c r="S304" s="569">
        <v>3</v>
      </c>
      <c r="T304" s="569" t="s">
        <v>950</v>
      </c>
      <c r="U304" s="569" t="s">
        <v>276</v>
      </c>
      <c r="V304" s="569">
        <v>99.2</v>
      </c>
      <c r="W304" s="569">
        <v>13.6</v>
      </c>
      <c r="X304" s="568">
        <v>4095</v>
      </c>
      <c r="Y304" s="569">
        <v>28</v>
      </c>
      <c r="Z304" s="581" t="s">
        <v>178</v>
      </c>
      <c r="AA304" s="581" t="s">
        <v>178</v>
      </c>
      <c r="AB304" s="585">
        <v>20990</v>
      </c>
      <c r="AC304" s="585" t="s">
        <v>164</v>
      </c>
      <c r="AD304" s="585">
        <v>19325.708333333336</v>
      </c>
      <c r="AE304" s="587">
        <v>0.03</v>
      </c>
      <c r="AF304" s="661" t="s">
        <v>959</v>
      </c>
      <c r="AG304" s="661" t="str">
        <f>IF(AND($Y304&gt;=32,(AI304="I"),(Y304&lt;&gt;"~"),(COUNTIF($AN$1:$AN304,$AN304)=1)),"TRUE","FALSE")</f>
        <v>FALSE</v>
      </c>
      <c r="AH304" s="661" t="str">
        <f>IF(AND($Y304&gt;=22, (AI304&lt;&gt;"I"),(Y304&lt;&gt;"~"),(COUNTIF($AN$1:$AN304,$AN304)=1)),"TRUE","FALSE")</f>
        <v>FALSE</v>
      </c>
      <c r="AI304" s="661" t="str">
        <f t="shared" si="33"/>
        <v>II</v>
      </c>
      <c r="AJ304" s="662" t="str">
        <f t="shared" si="28"/>
        <v>ESCT-015</v>
      </c>
      <c r="AK304" s="662" t="str">
        <f t="shared" si="29"/>
        <v>SUV</v>
      </c>
      <c r="AL304" s="662" t="str">
        <f t="shared" si="30"/>
        <v>FRD</v>
      </c>
      <c r="AM304" s="662" t="str">
        <f t="shared" si="32"/>
        <v>Ecosport-S-FWD-5-~-~-1.0L Ecoboost-3-S2F-100A-99.2-13.6-Unleaded-Unleaded</v>
      </c>
      <c r="AN304" s="662" t="str">
        <f t="shared" si="31"/>
        <v>2019-SUV-FRD-ESCT-015</v>
      </c>
    </row>
    <row r="305" spans="1:40" s="572" customFormat="1" ht="15">
      <c r="A305" s="570" t="s">
        <v>960</v>
      </c>
      <c r="B305" s="573" t="s">
        <v>961</v>
      </c>
      <c r="C305" s="573" t="s">
        <v>269</v>
      </c>
      <c r="D305" s="578" t="s">
        <v>270</v>
      </c>
      <c r="E305" s="573" t="s">
        <v>699</v>
      </c>
      <c r="F305" s="573" t="s">
        <v>211</v>
      </c>
      <c r="G305" s="573" t="s">
        <v>271</v>
      </c>
      <c r="H305" s="573">
        <v>2019</v>
      </c>
      <c r="I305" s="573" t="s">
        <v>935</v>
      </c>
      <c r="J305" s="573" t="s">
        <v>330</v>
      </c>
      <c r="K305" s="573" t="s">
        <v>752</v>
      </c>
      <c r="L305" s="573">
        <v>5</v>
      </c>
      <c r="M305" s="573">
        <v>0</v>
      </c>
      <c r="N305" s="573" t="s">
        <v>157</v>
      </c>
      <c r="O305" s="573">
        <v>2</v>
      </c>
      <c r="P305" s="573" t="s">
        <v>157</v>
      </c>
      <c r="Q305" s="571" t="s">
        <v>157</v>
      </c>
      <c r="R305" s="573" t="s">
        <v>352</v>
      </c>
      <c r="S305" s="573">
        <v>4</v>
      </c>
      <c r="T305" s="573" t="s">
        <v>962</v>
      </c>
      <c r="U305" s="573" t="s">
        <v>295</v>
      </c>
      <c r="V305" s="573">
        <v>99.2</v>
      </c>
      <c r="W305" s="573">
        <v>13.6</v>
      </c>
      <c r="X305" s="571">
        <v>4408</v>
      </c>
      <c r="Y305" s="573">
        <v>25</v>
      </c>
      <c r="Z305" s="579" t="s">
        <v>178</v>
      </c>
      <c r="AA305" s="579" t="s">
        <v>178</v>
      </c>
      <c r="AB305" s="584">
        <v>25645</v>
      </c>
      <c r="AC305" s="584" t="s">
        <v>164</v>
      </c>
      <c r="AD305" s="584">
        <v>23726.75</v>
      </c>
      <c r="AE305" s="586">
        <v>0.03</v>
      </c>
      <c r="AF305" s="661" t="s">
        <v>963</v>
      </c>
      <c r="AG305" s="661" t="str">
        <f>IF(AND($Y305&gt;=32,(AI305="I"),(Y305&lt;&gt;"~"),(COUNTIF($AN$1:$AN305,$AN305)=1)),"TRUE","FALSE")</f>
        <v>FALSE</v>
      </c>
      <c r="AH305" s="661" t="str">
        <f>IF(AND($Y305&gt;=22, (AI305&lt;&gt;"I"),(Y305&lt;&gt;"~"),(COUNTIF($AN$1:$AN305,$AN305)=1)),"TRUE","FALSE")</f>
        <v>TRUE</v>
      </c>
      <c r="AI305" s="661" t="str">
        <f t="shared" si="33"/>
        <v>II</v>
      </c>
      <c r="AJ305" s="662" t="str">
        <f t="shared" si="28"/>
        <v>ESCT-010</v>
      </c>
      <c r="AK305" s="662" t="str">
        <f t="shared" si="29"/>
        <v>SUV</v>
      </c>
      <c r="AL305" s="662" t="str">
        <f t="shared" si="30"/>
        <v>FRD</v>
      </c>
      <c r="AM305" s="662" t="str">
        <f t="shared" si="32"/>
        <v>Ecosport-SE-4WD-5-~-~-2.0L-4-S3G-200A-99.2-13.6-Unleaded-Unleaded</v>
      </c>
      <c r="AN305" s="662" t="str">
        <f t="shared" si="31"/>
        <v>2019-SUV-FRD-ESCT-010</v>
      </c>
    </row>
    <row r="306" spans="1:40" s="572" customFormat="1" ht="15">
      <c r="A306" s="570" t="s">
        <v>964</v>
      </c>
      <c r="B306" s="569" t="s">
        <v>961</v>
      </c>
      <c r="C306" s="569" t="s">
        <v>280</v>
      </c>
      <c r="D306" s="580">
        <v>27</v>
      </c>
      <c r="E306" s="569" t="s">
        <v>699</v>
      </c>
      <c r="F306" s="569" t="s">
        <v>211</v>
      </c>
      <c r="G306" s="569" t="s">
        <v>271</v>
      </c>
      <c r="H306" s="569">
        <v>2019</v>
      </c>
      <c r="I306" s="569" t="s">
        <v>935</v>
      </c>
      <c r="J306" s="569" t="s">
        <v>330</v>
      </c>
      <c r="K306" s="569" t="s">
        <v>752</v>
      </c>
      <c r="L306" s="569">
        <v>5</v>
      </c>
      <c r="M306" s="569">
        <v>0</v>
      </c>
      <c r="N306" s="569" t="s">
        <v>157</v>
      </c>
      <c r="O306" s="569">
        <v>2</v>
      </c>
      <c r="P306" s="569" t="s">
        <v>157</v>
      </c>
      <c r="Q306" s="568" t="s">
        <v>157</v>
      </c>
      <c r="R306" s="569" t="s">
        <v>352</v>
      </c>
      <c r="S306" s="569">
        <v>4</v>
      </c>
      <c r="T306" s="569" t="s">
        <v>962</v>
      </c>
      <c r="U306" s="569" t="s">
        <v>295</v>
      </c>
      <c r="V306" s="569">
        <v>99.2</v>
      </c>
      <c r="W306" s="569">
        <v>13.6</v>
      </c>
      <c r="X306" s="568">
        <v>4408</v>
      </c>
      <c r="Y306" s="569">
        <v>25</v>
      </c>
      <c r="Z306" s="581" t="s">
        <v>178</v>
      </c>
      <c r="AA306" s="581" t="s">
        <v>178</v>
      </c>
      <c r="AB306" s="585">
        <v>25645</v>
      </c>
      <c r="AC306" s="585" t="s">
        <v>164</v>
      </c>
      <c r="AD306" s="585">
        <v>23726.75</v>
      </c>
      <c r="AE306" s="587">
        <v>0.03</v>
      </c>
      <c r="AF306" s="661" t="s">
        <v>965</v>
      </c>
      <c r="AG306" s="661" t="str">
        <f>IF(AND($Y306&gt;=32,(AI306="I"),(Y306&lt;&gt;"~"),(COUNTIF($AN$1:$AN306,$AN306)=1)),"TRUE","FALSE")</f>
        <v>FALSE</v>
      </c>
      <c r="AH306" s="661" t="str">
        <f>IF(AND($Y306&gt;=22, (AI306&lt;&gt;"I"),(Y306&lt;&gt;"~"),(COUNTIF($AN$1:$AN306,$AN306)=1)),"TRUE","FALSE")</f>
        <v>FALSE</v>
      </c>
      <c r="AI306" s="661" t="str">
        <f t="shared" si="33"/>
        <v>II</v>
      </c>
      <c r="AJ306" s="662" t="str">
        <f t="shared" si="28"/>
        <v>ESCT-010</v>
      </c>
      <c r="AK306" s="662" t="str">
        <f t="shared" si="29"/>
        <v>SUV</v>
      </c>
      <c r="AL306" s="662" t="str">
        <f t="shared" si="30"/>
        <v>FRD</v>
      </c>
      <c r="AM306" s="662" t="str">
        <f t="shared" si="32"/>
        <v>Ecosport-SE-4WD-5-~-~-2.0L-4-S3G-200A-99.2-13.6-Unleaded-Unleaded</v>
      </c>
      <c r="AN306" s="662" t="str">
        <f t="shared" si="31"/>
        <v>2019-SUV-FRD-ESCT-010</v>
      </c>
    </row>
    <row r="307" spans="1:40" s="572" customFormat="1" ht="15">
      <c r="A307" s="570" t="s">
        <v>966</v>
      </c>
      <c r="B307" s="573" t="s">
        <v>967</v>
      </c>
      <c r="C307" s="573" t="s">
        <v>278</v>
      </c>
      <c r="D307" s="578">
        <v>15</v>
      </c>
      <c r="E307" s="573" t="s">
        <v>699</v>
      </c>
      <c r="F307" s="573" t="s">
        <v>211</v>
      </c>
      <c r="G307" s="573" t="s">
        <v>271</v>
      </c>
      <c r="H307" s="573">
        <v>2019</v>
      </c>
      <c r="I307" s="573" t="s">
        <v>935</v>
      </c>
      <c r="J307" s="573" t="s">
        <v>330</v>
      </c>
      <c r="K307" s="573" t="s">
        <v>230</v>
      </c>
      <c r="L307" s="573">
        <v>5</v>
      </c>
      <c r="M307" s="573">
        <v>0</v>
      </c>
      <c r="N307" s="573" t="s">
        <v>157</v>
      </c>
      <c r="O307" s="573">
        <v>2</v>
      </c>
      <c r="P307" s="573" t="s">
        <v>157</v>
      </c>
      <c r="Q307" s="571" t="s">
        <v>157</v>
      </c>
      <c r="R307" s="573" t="s">
        <v>352</v>
      </c>
      <c r="S307" s="573">
        <v>4</v>
      </c>
      <c r="T307" s="573" t="s">
        <v>968</v>
      </c>
      <c r="U307" s="573" t="s">
        <v>295</v>
      </c>
      <c r="V307" s="573">
        <v>99.2</v>
      </c>
      <c r="W307" s="573">
        <v>13.6</v>
      </c>
      <c r="X307" s="571">
        <v>4408</v>
      </c>
      <c r="Y307" s="573">
        <v>25</v>
      </c>
      <c r="Z307" s="579" t="s">
        <v>178</v>
      </c>
      <c r="AA307" s="579" t="s">
        <v>178</v>
      </c>
      <c r="AB307" s="584">
        <v>25645</v>
      </c>
      <c r="AC307" s="584" t="s">
        <v>164</v>
      </c>
      <c r="AD307" s="584">
        <v>23995</v>
      </c>
      <c r="AE307" s="586">
        <v>0.01</v>
      </c>
      <c r="AF307" s="661" t="s">
        <v>969</v>
      </c>
      <c r="AG307" s="661" t="str">
        <f>IF(AND($Y307&gt;=32,(AI307="I"),(Y307&lt;&gt;"~"),(COUNTIF($AN$1:$AN307,$AN307)=1)),"TRUE","FALSE")</f>
        <v>FALSE</v>
      </c>
      <c r="AH307" s="661" t="str">
        <f>IF(AND($Y307&gt;=22, (AI307&lt;&gt;"I"),(Y307&lt;&gt;"~"),(COUNTIF($AN$1:$AN307,$AN307)=1)),"TRUE","FALSE")</f>
        <v>TRUE</v>
      </c>
      <c r="AI307" s="661" t="str">
        <f t="shared" si="33"/>
        <v>II</v>
      </c>
      <c r="AJ307" s="662" t="str">
        <f t="shared" si="28"/>
        <v>ESCT-002</v>
      </c>
      <c r="AK307" s="662" t="str">
        <f t="shared" si="29"/>
        <v>SUV</v>
      </c>
      <c r="AL307" s="662" t="str">
        <f t="shared" si="30"/>
        <v>FRD</v>
      </c>
      <c r="AM307" s="662" t="str">
        <f t="shared" si="32"/>
        <v>Ecosport-SE-AWD-5-~-~-2.0L-4-P1U-200A-99.2-13.6-Unleaded-Unleaded</v>
      </c>
      <c r="AN307" s="662" t="str">
        <f t="shared" si="31"/>
        <v>2019-SUV-FRD-ESCT-002</v>
      </c>
    </row>
    <row r="308" spans="1:40" s="572" customFormat="1" ht="15">
      <c r="A308" s="570" t="s">
        <v>970</v>
      </c>
      <c r="B308" s="569" t="s">
        <v>971</v>
      </c>
      <c r="C308" s="569" t="s">
        <v>287</v>
      </c>
      <c r="D308" s="580">
        <v>26</v>
      </c>
      <c r="E308" s="569" t="s">
        <v>699</v>
      </c>
      <c r="F308" s="569" t="s">
        <v>211</v>
      </c>
      <c r="G308" s="569" t="s">
        <v>271</v>
      </c>
      <c r="H308" s="569">
        <v>2019</v>
      </c>
      <c r="I308" s="569" t="s">
        <v>935</v>
      </c>
      <c r="J308" s="569" t="s">
        <v>330</v>
      </c>
      <c r="K308" s="569" t="s">
        <v>230</v>
      </c>
      <c r="L308" s="569">
        <v>5</v>
      </c>
      <c r="M308" s="569">
        <v>0</v>
      </c>
      <c r="N308" s="569" t="s">
        <v>157</v>
      </c>
      <c r="O308" s="569">
        <v>2</v>
      </c>
      <c r="P308" s="569" t="s">
        <v>157</v>
      </c>
      <c r="Q308" s="568" t="s">
        <v>157</v>
      </c>
      <c r="R308" s="569" t="s">
        <v>352</v>
      </c>
      <c r="S308" s="569">
        <v>4</v>
      </c>
      <c r="T308" s="569" t="s">
        <v>962</v>
      </c>
      <c r="U308" s="569" t="s">
        <v>295</v>
      </c>
      <c r="V308" s="569">
        <v>99.2</v>
      </c>
      <c r="W308" s="569">
        <v>13.6</v>
      </c>
      <c r="X308" s="568">
        <v>4408</v>
      </c>
      <c r="Y308" s="569">
        <v>25</v>
      </c>
      <c r="Z308" s="581" t="s">
        <v>178</v>
      </c>
      <c r="AA308" s="581" t="s">
        <v>178</v>
      </c>
      <c r="AB308" s="585">
        <v>25645</v>
      </c>
      <c r="AC308" s="585" t="s">
        <v>164</v>
      </c>
      <c r="AD308" s="585">
        <v>24548</v>
      </c>
      <c r="AE308" s="587">
        <v>0.05</v>
      </c>
      <c r="AF308" s="661" t="s">
        <v>972</v>
      </c>
      <c r="AG308" s="661" t="str">
        <f>IF(AND($Y308&gt;=32,(AI308="I"),(Y308&lt;&gt;"~"),(COUNTIF($AN$1:$AN308,$AN308)=1)),"TRUE","FALSE")</f>
        <v>FALSE</v>
      </c>
      <c r="AH308" s="661" t="str">
        <f>IF(AND($Y308&gt;=22, (AI308&lt;&gt;"I"),(Y308&lt;&gt;"~"),(COUNTIF($AN$1:$AN308,$AN308)=1)),"TRUE","FALSE")</f>
        <v>TRUE</v>
      </c>
      <c r="AI308" s="661" t="str">
        <f t="shared" si="33"/>
        <v>II</v>
      </c>
      <c r="AJ308" s="662" t="str">
        <f t="shared" si="28"/>
        <v>ESCT-011</v>
      </c>
      <c r="AK308" s="662" t="str">
        <f t="shared" si="29"/>
        <v>SUV</v>
      </c>
      <c r="AL308" s="662" t="str">
        <f t="shared" si="30"/>
        <v>FRD</v>
      </c>
      <c r="AM308" s="662" t="str">
        <f t="shared" si="32"/>
        <v>Ecosport-SE-AWD-5-~-~-2.0L-4-S3G-200A-99.2-13.6-Unleaded-Unleaded</v>
      </c>
      <c r="AN308" s="662" t="str">
        <f t="shared" si="31"/>
        <v>2019-SUV-FRD-ESCT-011</v>
      </c>
    </row>
    <row r="309" spans="1:40" s="572" customFormat="1" ht="15">
      <c r="A309" s="570" t="s">
        <v>973</v>
      </c>
      <c r="B309" s="573" t="s">
        <v>974</v>
      </c>
      <c r="C309" s="573" t="s">
        <v>269</v>
      </c>
      <c r="D309" s="578" t="s">
        <v>270</v>
      </c>
      <c r="E309" s="573" t="s">
        <v>699</v>
      </c>
      <c r="F309" s="573" t="s">
        <v>211</v>
      </c>
      <c r="G309" s="573" t="s">
        <v>271</v>
      </c>
      <c r="H309" s="573">
        <v>2019</v>
      </c>
      <c r="I309" s="573" t="s">
        <v>935</v>
      </c>
      <c r="J309" s="573" t="s">
        <v>330</v>
      </c>
      <c r="K309" s="573" t="s">
        <v>156</v>
      </c>
      <c r="L309" s="573">
        <v>5</v>
      </c>
      <c r="M309" s="573">
        <v>0</v>
      </c>
      <c r="N309" s="573" t="s">
        <v>157</v>
      </c>
      <c r="O309" s="573">
        <v>2</v>
      </c>
      <c r="P309" s="573" t="s">
        <v>157</v>
      </c>
      <c r="Q309" s="571" t="s">
        <v>157</v>
      </c>
      <c r="R309" s="573" t="s">
        <v>949</v>
      </c>
      <c r="S309" s="573">
        <v>3</v>
      </c>
      <c r="T309" s="573" t="s">
        <v>975</v>
      </c>
      <c r="U309" s="573" t="s">
        <v>295</v>
      </c>
      <c r="V309" s="573">
        <v>99.2</v>
      </c>
      <c r="W309" s="573">
        <v>13.6</v>
      </c>
      <c r="X309" s="571">
        <v>4155</v>
      </c>
      <c r="Y309" s="573">
        <v>28</v>
      </c>
      <c r="Z309" s="579" t="s">
        <v>178</v>
      </c>
      <c r="AA309" s="579" t="s">
        <v>178</v>
      </c>
      <c r="AB309" s="584">
        <v>24145</v>
      </c>
      <c r="AC309" s="584" t="s">
        <v>164</v>
      </c>
      <c r="AD309" s="584">
        <v>22308</v>
      </c>
      <c r="AE309" s="586">
        <v>0.03</v>
      </c>
      <c r="AF309" s="661" t="s">
        <v>976</v>
      </c>
      <c r="AG309" s="661" t="str">
        <f>IF(AND($Y309&gt;=32,(AI309="I"),(Y309&lt;&gt;"~"),(COUNTIF($AN$1:$AN309,$AN309)=1)),"TRUE","FALSE")</f>
        <v>FALSE</v>
      </c>
      <c r="AH309" s="661" t="str">
        <f>IF(AND($Y309&gt;=22, (AI309&lt;&gt;"I"),(Y309&lt;&gt;"~"),(COUNTIF($AN$1:$AN309,$AN309)=1)),"TRUE","FALSE")</f>
        <v>TRUE</v>
      </c>
      <c r="AI309" s="661" t="str">
        <f t="shared" si="33"/>
        <v>II</v>
      </c>
      <c r="AJ309" s="662" t="str">
        <f t="shared" si="28"/>
        <v>ESCT-012</v>
      </c>
      <c r="AK309" s="662" t="str">
        <f t="shared" si="29"/>
        <v>SUV</v>
      </c>
      <c r="AL309" s="662" t="str">
        <f t="shared" si="30"/>
        <v>FRD</v>
      </c>
      <c r="AM309" s="662" t="str">
        <f t="shared" si="32"/>
        <v>Ecosport-SE-FWD-5-~-~-1.0L Ecoboost-3-S2G-200A-99.2-13.6-Unleaded-Unleaded</v>
      </c>
      <c r="AN309" s="662" t="str">
        <f t="shared" si="31"/>
        <v>2019-SUV-FRD-ESCT-012</v>
      </c>
    </row>
    <row r="310" spans="1:40" s="572" customFormat="1" ht="15">
      <c r="A310" s="570" t="s">
        <v>977</v>
      </c>
      <c r="B310" s="569" t="s">
        <v>978</v>
      </c>
      <c r="C310" s="569" t="s">
        <v>278</v>
      </c>
      <c r="D310" s="580">
        <v>15</v>
      </c>
      <c r="E310" s="569" t="s">
        <v>699</v>
      </c>
      <c r="F310" s="569" t="s">
        <v>211</v>
      </c>
      <c r="G310" s="569" t="s">
        <v>271</v>
      </c>
      <c r="H310" s="569">
        <v>2019</v>
      </c>
      <c r="I310" s="569" t="s">
        <v>935</v>
      </c>
      <c r="J310" s="569" t="s">
        <v>330</v>
      </c>
      <c r="K310" s="569" t="s">
        <v>156</v>
      </c>
      <c r="L310" s="569">
        <v>5</v>
      </c>
      <c r="M310" s="569">
        <v>0</v>
      </c>
      <c r="N310" s="569" t="s">
        <v>157</v>
      </c>
      <c r="O310" s="569">
        <v>2</v>
      </c>
      <c r="P310" s="569" t="s">
        <v>157</v>
      </c>
      <c r="Q310" s="568" t="s">
        <v>157</v>
      </c>
      <c r="R310" s="569" t="s">
        <v>949</v>
      </c>
      <c r="S310" s="569">
        <v>3</v>
      </c>
      <c r="T310" s="569" t="s">
        <v>979</v>
      </c>
      <c r="U310" s="569" t="s">
        <v>295</v>
      </c>
      <c r="V310" s="569">
        <v>99.2</v>
      </c>
      <c r="W310" s="569">
        <v>13.6</v>
      </c>
      <c r="X310" s="568">
        <v>4155</v>
      </c>
      <c r="Y310" s="569">
        <v>28</v>
      </c>
      <c r="Z310" s="581" t="s">
        <v>178</v>
      </c>
      <c r="AA310" s="581" t="s">
        <v>178</v>
      </c>
      <c r="AB310" s="585">
        <v>24145</v>
      </c>
      <c r="AC310" s="585" t="s">
        <v>164</v>
      </c>
      <c r="AD310" s="585">
        <v>22500</v>
      </c>
      <c r="AE310" s="587">
        <v>0.01</v>
      </c>
      <c r="AF310" s="661" t="s">
        <v>980</v>
      </c>
      <c r="AG310" s="661" t="str">
        <f>IF(AND($Y310&gt;=32,(AI310="I"),(Y310&lt;&gt;"~"),(COUNTIF($AN$1:$AN310,$AN310)=1)),"TRUE","FALSE")</f>
        <v>FALSE</v>
      </c>
      <c r="AH310" s="661" t="str">
        <f>IF(AND($Y310&gt;=22, (AI310&lt;&gt;"I"),(Y310&lt;&gt;"~"),(COUNTIF($AN$1:$AN310,$AN310)=1)),"TRUE","FALSE")</f>
        <v>TRUE</v>
      </c>
      <c r="AI310" s="661" t="str">
        <f t="shared" si="33"/>
        <v>II</v>
      </c>
      <c r="AJ310" s="662" t="str">
        <f t="shared" si="28"/>
        <v>ESCT-003</v>
      </c>
      <c r="AK310" s="662" t="str">
        <f t="shared" si="29"/>
        <v>SUV</v>
      </c>
      <c r="AL310" s="662" t="str">
        <f t="shared" si="30"/>
        <v>FRD</v>
      </c>
      <c r="AM310" s="662" t="str">
        <f t="shared" si="32"/>
        <v>Ecosport-SE-FWD-5-~-~-1.0L Ecoboost-3-P1T-200A-99.2-13.6-Unleaded-Unleaded</v>
      </c>
      <c r="AN310" s="662" t="str">
        <f t="shared" si="31"/>
        <v>2019-SUV-FRD-ESCT-003</v>
      </c>
    </row>
    <row r="311" spans="1:40" s="572" customFormat="1" ht="15">
      <c r="A311" s="570" t="s">
        <v>981</v>
      </c>
      <c r="B311" s="573" t="s">
        <v>974</v>
      </c>
      <c r="C311" s="573" t="s">
        <v>287</v>
      </c>
      <c r="D311" s="578">
        <v>26</v>
      </c>
      <c r="E311" s="573" t="s">
        <v>699</v>
      </c>
      <c r="F311" s="573" t="s">
        <v>211</v>
      </c>
      <c r="G311" s="573" t="s">
        <v>271</v>
      </c>
      <c r="H311" s="573">
        <v>2019</v>
      </c>
      <c r="I311" s="573" t="s">
        <v>935</v>
      </c>
      <c r="J311" s="573" t="s">
        <v>330</v>
      </c>
      <c r="K311" s="573" t="s">
        <v>156</v>
      </c>
      <c r="L311" s="573">
        <v>5</v>
      </c>
      <c r="M311" s="573">
        <v>0</v>
      </c>
      <c r="N311" s="573" t="s">
        <v>157</v>
      </c>
      <c r="O311" s="573">
        <v>2</v>
      </c>
      <c r="P311" s="573" t="s">
        <v>157</v>
      </c>
      <c r="Q311" s="571" t="s">
        <v>157</v>
      </c>
      <c r="R311" s="573" t="s">
        <v>949</v>
      </c>
      <c r="S311" s="573">
        <v>3</v>
      </c>
      <c r="T311" s="573" t="s">
        <v>975</v>
      </c>
      <c r="U311" s="573" t="s">
        <v>295</v>
      </c>
      <c r="V311" s="573">
        <v>99.2</v>
      </c>
      <c r="W311" s="573">
        <v>13.6</v>
      </c>
      <c r="X311" s="571">
        <v>4155</v>
      </c>
      <c r="Y311" s="573">
        <v>28</v>
      </c>
      <c r="Z311" s="579" t="s">
        <v>178</v>
      </c>
      <c r="AA311" s="579" t="s">
        <v>178</v>
      </c>
      <c r="AB311" s="584">
        <v>24145</v>
      </c>
      <c r="AC311" s="584" t="s">
        <v>164</v>
      </c>
      <c r="AD311" s="584">
        <v>23086</v>
      </c>
      <c r="AE311" s="586">
        <v>0.05</v>
      </c>
      <c r="AF311" s="661" t="s">
        <v>982</v>
      </c>
      <c r="AG311" s="661" t="str">
        <f>IF(AND($Y311&gt;=32,(AI311="I"),(Y311&lt;&gt;"~"),(COUNTIF($AN$1:$AN311,$AN311)=1)),"TRUE","FALSE")</f>
        <v>FALSE</v>
      </c>
      <c r="AH311" s="661" t="str">
        <f>IF(AND($Y311&gt;=22, (AI311&lt;&gt;"I"),(Y311&lt;&gt;"~"),(COUNTIF($AN$1:$AN311,$AN311)=1)),"TRUE","FALSE")</f>
        <v>FALSE</v>
      </c>
      <c r="AI311" s="661" t="str">
        <f t="shared" si="33"/>
        <v>II</v>
      </c>
      <c r="AJ311" s="662" t="str">
        <f t="shared" si="28"/>
        <v>ESCT-012</v>
      </c>
      <c r="AK311" s="662" t="str">
        <f t="shared" si="29"/>
        <v>SUV</v>
      </c>
      <c r="AL311" s="662" t="str">
        <f t="shared" si="30"/>
        <v>FRD</v>
      </c>
      <c r="AM311" s="662" t="str">
        <f t="shared" si="32"/>
        <v>Ecosport-SE-FWD-5-~-~-1.0L Ecoboost-3-S2G-200A-99.2-13.6-Unleaded-Unleaded</v>
      </c>
      <c r="AN311" s="662" t="str">
        <f t="shared" si="31"/>
        <v>2019-SUV-FRD-ESCT-012</v>
      </c>
    </row>
    <row r="312" spans="1:40" s="572" customFormat="1" ht="15">
      <c r="A312" s="570" t="s">
        <v>983</v>
      </c>
      <c r="B312" s="569" t="s">
        <v>974</v>
      </c>
      <c r="C312" s="569" t="s">
        <v>280</v>
      </c>
      <c r="D312" s="580">
        <v>27</v>
      </c>
      <c r="E312" s="569" t="s">
        <v>699</v>
      </c>
      <c r="F312" s="569" t="s">
        <v>211</v>
      </c>
      <c r="G312" s="569" t="s">
        <v>271</v>
      </c>
      <c r="H312" s="569">
        <v>2019</v>
      </c>
      <c r="I312" s="569" t="s">
        <v>935</v>
      </c>
      <c r="J312" s="569" t="s">
        <v>330</v>
      </c>
      <c r="K312" s="569" t="s">
        <v>156</v>
      </c>
      <c r="L312" s="569">
        <v>5</v>
      </c>
      <c r="M312" s="569">
        <v>0</v>
      </c>
      <c r="N312" s="569" t="s">
        <v>157</v>
      </c>
      <c r="O312" s="569">
        <v>2</v>
      </c>
      <c r="P312" s="569" t="s">
        <v>157</v>
      </c>
      <c r="Q312" s="568" t="s">
        <v>157</v>
      </c>
      <c r="R312" s="569" t="s">
        <v>949</v>
      </c>
      <c r="S312" s="569">
        <v>3</v>
      </c>
      <c r="T312" s="569" t="s">
        <v>975</v>
      </c>
      <c r="U312" s="569" t="s">
        <v>295</v>
      </c>
      <c r="V312" s="569">
        <v>99.2</v>
      </c>
      <c r="W312" s="569">
        <v>13.6</v>
      </c>
      <c r="X312" s="568">
        <v>4155</v>
      </c>
      <c r="Y312" s="569">
        <v>28</v>
      </c>
      <c r="Z312" s="581" t="s">
        <v>178</v>
      </c>
      <c r="AA312" s="581" t="s">
        <v>178</v>
      </c>
      <c r="AB312" s="585">
        <v>24145</v>
      </c>
      <c r="AC312" s="585" t="s">
        <v>164</v>
      </c>
      <c r="AD312" s="585">
        <v>22308</v>
      </c>
      <c r="AE312" s="587">
        <v>0.03</v>
      </c>
      <c r="AF312" s="661" t="s">
        <v>984</v>
      </c>
      <c r="AG312" s="661" t="str">
        <f>IF(AND($Y312&gt;=32,(AI312="I"),(Y312&lt;&gt;"~"),(COUNTIF($AN$1:$AN312,$AN312)=1)),"TRUE","FALSE")</f>
        <v>FALSE</v>
      </c>
      <c r="AH312" s="661" t="str">
        <f>IF(AND($Y312&gt;=22, (AI312&lt;&gt;"I"),(Y312&lt;&gt;"~"),(COUNTIF($AN$1:$AN312,$AN312)=1)),"TRUE","FALSE")</f>
        <v>FALSE</v>
      </c>
      <c r="AI312" s="661" t="str">
        <f t="shared" si="33"/>
        <v>II</v>
      </c>
      <c r="AJ312" s="662" t="str">
        <f t="shared" si="28"/>
        <v>ESCT-012</v>
      </c>
      <c r="AK312" s="662" t="str">
        <f t="shared" si="29"/>
        <v>SUV</v>
      </c>
      <c r="AL312" s="662" t="str">
        <f t="shared" si="30"/>
        <v>FRD</v>
      </c>
      <c r="AM312" s="662" t="str">
        <f t="shared" si="32"/>
        <v>Ecosport-SE-FWD-5-~-~-1.0L Ecoboost-3-S2G-200A-99.2-13.6-Unleaded-Unleaded</v>
      </c>
      <c r="AN312" s="662" t="str">
        <f t="shared" si="31"/>
        <v>2019-SUV-FRD-ESCT-012</v>
      </c>
    </row>
    <row r="313" spans="1:40" s="572" customFormat="1" ht="15">
      <c r="A313" s="570" t="s">
        <v>985</v>
      </c>
      <c r="B313" s="573" t="s">
        <v>986</v>
      </c>
      <c r="C313" s="573" t="s">
        <v>269</v>
      </c>
      <c r="D313" s="578" t="s">
        <v>270</v>
      </c>
      <c r="E313" s="573" t="s">
        <v>699</v>
      </c>
      <c r="F313" s="573" t="s">
        <v>211</v>
      </c>
      <c r="G313" s="573" t="s">
        <v>271</v>
      </c>
      <c r="H313" s="573">
        <v>2019</v>
      </c>
      <c r="I313" s="573" t="s">
        <v>935</v>
      </c>
      <c r="J313" s="573" t="s">
        <v>987</v>
      </c>
      <c r="K313" s="573" t="s">
        <v>752</v>
      </c>
      <c r="L313" s="573">
        <v>5</v>
      </c>
      <c r="M313" s="573">
        <v>0</v>
      </c>
      <c r="N313" s="573" t="s">
        <v>157</v>
      </c>
      <c r="O313" s="573">
        <v>2</v>
      </c>
      <c r="P313" s="573" t="s">
        <v>157</v>
      </c>
      <c r="Q313" s="571" t="s">
        <v>157</v>
      </c>
      <c r="R313" s="573" t="s">
        <v>352</v>
      </c>
      <c r="S313" s="573">
        <v>4</v>
      </c>
      <c r="T313" s="573" t="s">
        <v>988</v>
      </c>
      <c r="U313" s="573" t="s">
        <v>318</v>
      </c>
      <c r="V313" s="573">
        <v>99.2</v>
      </c>
      <c r="W313" s="573">
        <v>13.6</v>
      </c>
      <c r="X313" s="571">
        <v>4408</v>
      </c>
      <c r="Y313" s="573">
        <v>25</v>
      </c>
      <c r="Z313" s="579" t="s">
        <v>178</v>
      </c>
      <c r="AA313" s="579" t="s">
        <v>178</v>
      </c>
      <c r="AB313" s="584">
        <v>28270</v>
      </c>
      <c r="AC313" s="584" t="s">
        <v>164</v>
      </c>
      <c r="AD313" s="584">
        <v>26207.645833333336</v>
      </c>
      <c r="AE313" s="586">
        <v>0.03</v>
      </c>
      <c r="AF313" s="661" t="s">
        <v>989</v>
      </c>
      <c r="AG313" s="661" t="str">
        <f>IF(AND($Y313&gt;=32,(AI313="I"),(Y313&lt;&gt;"~"),(COUNTIF($AN$1:$AN313,$AN313)=1)),"TRUE","FALSE")</f>
        <v>FALSE</v>
      </c>
      <c r="AH313" s="661" t="str">
        <f>IF(AND($Y313&gt;=22, (AI313&lt;&gt;"I"),(Y313&lt;&gt;"~"),(COUNTIF($AN$1:$AN313,$AN313)=1)),"TRUE","FALSE")</f>
        <v>TRUE</v>
      </c>
      <c r="AI313" s="661" t="str">
        <f t="shared" si="33"/>
        <v>II</v>
      </c>
      <c r="AJ313" s="662" t="str">
        <f t="shared" si="28"/>
        <v>ESCT-013</v>
      </c>
      <c r="AK313" s="662" t="str">
        <f t="shared" si="29"/>
        <v>SUV</v>
      </c>
      <c r="AL313" s="662" t="str">
        <f t="shared" si="30"/>
        <v>FRD</v>
      </c>
      <c r="AM313" s="662" t="str">
        <f t="shared" si="32"/>
        <v>Ecosport-SES-4WD-5-~-~-2.0L-4-S3J-300A-99.2-13.6-Unleaded-Unleaded</v>
      </c>
      <c r="AN313" s="662" t="str">
        <f t="shared" si="31"/>
        <v>2019-SUV-FRD-ESCT-013</v>
      </c>
    </row>
    <row r="314" spans="1:40" s="572" customFormat="1" ht="15">
      <c r="A314" s="570" t="s">
        <v>990</v>
      </c>
      <c r="B314" s="569" t="s">
        <v>986</v>
      </c>
      <c r="C314" s="569" t="s">
        <v>280</v>
      </c>
      <c r="D314" s="580">
        <v>27</v>
      </c>
      <c r="E314" s="569" t="s">
        <v>699</v>
      </c>
      <c r="F314" s="569" t="s">
        <v>211</v>
      </c>
      <c r="G314" s="569" t="s">
        <v>271</v>
      </c>
      <c r="H314" s="569">
        <v>2019</v>
      </c>
      <c r="I314" s="569" t="s">
        <v>935</v>
      </c>
      <c r="J314" s="569" t="s">
        <v>987</v>
      </c>
      <c r="K314" s="569" t="s">
        <v>752</v>
      </c>
      <c r="L314" s="569">
        <v>5</v>
      </c>
      <c r="M314" s="569">
        <v>0</v>
      </c>
      <c r="N314" s="569" t="s">
        <v>157</v>
      </c>
      <c r="O314" s="569">
        <v>2</v>
      </c>
      <c r="P314" s="569" t="s">
        <v>157</v>
      </c>
      <c r="Q314" s="568" t="s">
        <v>157</v>
      </c>
      <c r="R314" s="569" t="s">
        <v>352</v>
      </c>
      <c r="S314" s="569">
        <v>4</v>
      </c>
      <c r="T314" s="569" t="s">
        <v>988</v>
      </c>
      <c r="U314" s="569" t="s">
        <v>318</v>
      </c>
      <c r="V314" s="569">
        <v>99.2</v>
      </c>
      <c r="W314" s="569">
        <v>13.6</v>
      </c>
      <c r="X314" s="568">
        <v>4408</v>
      </c>
      <c r="Y314" s="569">
        <v>25</v>
      </c>
      <c r="Z314" s="581" t="s">
        <v>178</v>
      </c>
      <c r="AA314" s="581" t="s">
        <v>178</v>
      </c>
      <c r="AB314" s="585">
        <v>28270</v>
      </c>
      <c r="AC314" s="585" t="s">
        <v>164</v>
      </c>
      <c r="AD314" s="585">
        <v>26207.645833333336</v>
      </c>
      <c r="AE314" s="587">
        <v>0.03</v>
      </c>
      <c r="AF314" s="661" t="s">
        <v>991</v>
      </c>
      <c r="AG314" s="661" t="str">
        <f>IF(AND($Y314&gt;=32,(AI314="I"),(Y314&lt;&gt;"~"),(COUNTIF($AN$1:$AN314,$AN314)=1)),"TRUE","FALSE")</f>
        <v>FALSE</v>
      </c>
      <c r="AH314" s="661" t="str">
        <f>IF(AND($Y314&gt;=22, (AI314&lt;&gt;"I"),(Y314&lt;&gt;"~"),(COUNTIF($AN$1:$AN314,$AN314)=1)),"TRUE","FALSE")</f>
        <v>FALSE</v>
      </c>
      <c r="AI314" s="661" t="str">
        <f t="shared" si="33"/>
        <v>II</v>
      </c>
      <c r="AJ314" s="662" t="str">
        <f t="shared" si="28"/>
        <v>ESCT-013</v>
      </c>
      <c r="AK314" s="662" t="str">
        <f t="shared" si="29"/>
        <v>SUV</v>
      </c>
      <c r="AL314" s="662" t="str">
        <f t="shared" si="30"/>
        <v>FRD</v>
      </c>
      <c r="AM314" s="662" t="str">
        <f t="shared" si="32"/>
        <v>Ecosport-SES-4WD-5-~-~-2.0L-4-S3J-300A-99.2-13.6-Unleaded-Unleaded</v>
      </c>
      <c r="AN314" s="662" t="str">
        <f t="shared" si="31"/>
        <v>2019-SUV-FRD-ESCT-013</v>
      </c>
    </row>
    <row r="315" spans="1:40" s="572" customFormat="1" ht="15">
      <c r="A315" s="570" t="s">
        <v>992</v>
      </c>
      <c r="B315" s="573" t="s">
        <v>993</v>
      </c>
      <c r="C315" s="573" t="s">
        <v>278</v>
      </c>
      <c r="D315" s="578">
        <v>15</v>
      </c>
      <c r="E315" s="573" t="s">
        <v>699</v>
      </c>
      <c r="F315" s="573" t="s">
        <v>211</v>
      </c>
      <c r="G315" s="573" t="s">
        <v>271</v>
      </c>
      <c r="H315" s="573">
        <v>2019</v>
      </c>
      <c r="I315" s="573" t="s">
        <v>935</v>
      </c>
      <c r="J315" s="573" t="s">
        <v>987</v>
      </c>
      <c r="K315" s="573" t="s">
        <v>230</v>
      </c>
      <c r="L315" s="573">
        <v>5</v>
      </c>
      <c r="M315" s="573">
        <v>0</v>
      </c>
      <c r="N315" s="573" t="s">
        <v>157</v>
      </c>
      <c r="O315" s="573">
        <v>2</v>
      </c>
      <c r="P315" s="573" t="s">
        <v>157</v>
      </c>
      <c r="Q315" s="571" t="s">
        <v>157</v>
      </c>
      <c r="R315" s="573" t="s">
        <v>352</v>
      </c>
      <c r="S315" s="573">
        <v>4</v>
      </c>
      <c r="T315" s="573" t="s">
        <v>994</v>
      </c>
      <c r="U315" s="573" t="s">
        <v>318</v>
      </c>
      <c r="V315" s="573">
        <v>99.2</v>
      </c>
      <c r="W315" s="573">
        <v>13.6</v>
      </c>
      <c r="X315" s="571">
        <v>4408</v>
      </c>
      <c r="Y315" s="573">
        <v>25</v>
      </c>
      <c r="Z315" s="579" t="s">
        <v>178</v>
      </c>
      <c r="AA315" s="579" t="s">
        <v>178</v>
      </c>
      <c r="AB315" s="584">
        <v>27275</v>
      </c>
      <c r="AC315" s="584" t="s">
        <v>164</v>
      </c>
      <c r="AD315" s="584">
        <v>26500</v>
      </c>
      <c r="AE315" s="586">
        <v>0.01</v>
      </c>
      <c r="AF315" s="661" t="s">
        <v>995</v>
      </c>
      <c r="AG315" s="661" t="str">
        <f>IF(AND($Y315&gt;=32,(AI315="I"),(Y315&lt;&gt;"~"),(COUNTIF($AN$1:$AN315,$AN315)=1)),"TRUE","FALSE")</f>
        <v>FALSE</v>
      </c>
      <c r="AH315" s="661" t="str">
        <f>IF(AND($Y315&gt;=22, (AI315&lt;&gt;"I"),(Y315&lt;&gt;"~"),(COUNTIF($AN$1:$AN315,$AN315)=1)),"TRUE","FALSE")</f>
        <v>TRUE</v>
      </c>
      <c r="AI315" s="661" t="str">
        <f t="shared" si="33"/>
        <v>II</v>
      </c>
      <c r="AJ315" s="662" t="str">
        <f t="shared" si="28"/>
        <v>ESCT-005</v>
      </c>
      <c r="AK315" s="662" t="str">
        <f t="shared" si="29"/>
        <v>SUV</v>
      </c>
      <c r="AL315" s="662" t="str">
        <f t="shared" si="30"/>
        <v>FRD</v>
      </c>
      <c r="AM315" s="662" t="str">
        <f t="shared" si="32"/>
        <v>Ecosport-SES-AWD-5-~-~-2.0L-4-P1C-300A-99.2-13.6-Unleaded-Unleaded</v>
      </c>
      <c r="AN315" s="662" t="str">
        <f t="shared" si="31"/>
        <v>2019-SUV-FRD-ESCT-005</v>
      </c>
    </row>
    <row r="316" spans="1:40" s="572" customFormat="1" ht="15">
      <c r="A316" s="570" t="s">
        <v>996</v>
      </c>
      <c r="B316" s="569" t="s">
        <v>997</v>
      </c>
      <c r="C316" s="569" t="s">
        <v>287</v>
      </c>
      <c r="D316" s="580">
        <v>26</v>
      </c>
      <c r="E316" s="569" t="s">
        <v>699</v>
      </c>
      <c r="F316" s="569" t="s">
        <v>211</v>
      </c>
      <c r="G316" s="569" t="s">
        <v>271</v>
      </c>
      <c r="H316" s="569">
        <v>2019</v>
      </c>
      <c r="I316" s="569" t="s">
        <v>935</v>
      </c>
      <c r="J316" s="569" t="s">
        <v>987</v>
      </c>
      <c r="K316" s="569" t="s">
        <v>230</v>
      </c>
      <c r="L316" s="569">
        <v>5</v>
      </c>
      <c r="M316" s="569">
        <v>0</v>
      </c>
      <c r="N316" s="569" t="s">
        <v>157</v>
      </c>
      <c r="O316" s="569">
        <v>2</v>
      </c>
      <c r="P316" s="569" t="s">
        <v>157</v>
      </c>
      <c r="Q316" s="568" t="s">
        <v>157</v>
      </c>
      <c r="R316" s="569" t="s">
        <v>352</v>
      </c>
      <c r="S316" s="569">
        <v>4</v>
      </c>
      <c r="T316" s="569" t="s">
        <v>988</v>
      </c>
      <c r="U316" s="569" t="s">
        <v>318</v>
      </c>
      <c r="V316" s="569">
        <v>99.2</v>
      </c>
      <c r="W316" s="569">
        <v>13.6</v>
      </c>
      <c r="X316" s="568">
        <v>4408</v>
      </c>
      <c r="Y316" s="569">
        <v>25</v>
      </c>
      <c r="Z316" s="581" t="s">
        <v>178</v>
      </c>
      <c r="AA316" s="581" t="s">
        <v>178</v>
      </c>
      <c r="AB316" s="585">
        <v>28270</v>
      </c>
      <c r="AC316" s="585" t="s">
        <v>164</v>
      </c>
      <c r="AD316" s="585">
        <v>27275</v>
      </c>
      <c r="AE316" s="587">
        <v>0.05</v>
      </c>
      <c r="AF316" s="661" t="s">
        <v>998</v>
      </c>
      <c r="AG316" s="661" t="str">
        <f>IF(AND($Y316&gt;=32,(AI316="I"),(Y316&lt;&gt;"~"),(COUNTIF($AN$1:$AN316,$AN316)=1)),"TRUE","FALSE")</f>
        <v>FALSE</v>
      </c>
      <c r="AH316" s="661" t="str">
        <f>IF(AND($Y316&gt;=22, (AI316&lt;&gt;"I"),(Y316&lt;&gt;"~"),(COUNTIF($AN$1:$AN316,$AN316)=1)),"TRUE","FALSE")</f>
        <v>TRUE</v>
      </c>
      <c r="AI316" s="661" t="str">
        <f t="shared" si="33"/>
        <v>II</v>
      </c>
      <c r="AJ316" s="662" t="str">
        <f t="shared" si="28"/>
        <v>ESCT-014</v>
      </c>
      <c r="AK316" s="662" t="str">
        <f t="shared" si="29"/>
        <v>SUV</v>
      </c>
      <c r="AL316" s="662" t="str">
        <f t="shared" si="30"/>
        <v>FRD</v>
      </c>
      <c r="AM316" s="662" t="str">
        <f t="shared" si="32"/>
        <v>Ecosport-SES-AWD-5-~-~-2.0L-4-S3J-300A-99.2-13.6-Unleaded-Unleaded</v>
      </c>
      <c r="AN316" s="662" t="str">
        <f t="shared" si="31"/>
        <v>2019-SUV-FRD-ESCT-014</v>
      </c>
    </row>
    <row r="317" spans="1:40" s="572" customFormat="1" ht="15">
      <c r="A317" s="570" t="s">
        <v>999</v>
      </c>
      <c r="B317" s="573" t="s">
        <v>1000</v>
      </c>
      <c r="C317" s="573" t="s">
        <v>269</v>
      </c>
      <c r="D317" s="578" t="s">
        <v>270</v>
      </c>
      <c r="E317" s="573" t="s">
        <v>699</v>
      </c>
      <c r="F317" s="573" t="s">
        <v>211</v>
      </c>
      <c r="G317" s="573" t="s">
        <v>271</v>
      </c>
      <c r="H317" s="573">
        <v>2019</v>
      </c>
      <c r="I317" s="573" t="s">
        <v>935</v>
      </c>
      <c r="J317" s="573" t="s">
        <v>418</v>
      </c>
      <c r="K317" s="573" t="s">
        <v>752</v>
      </c>
      <c r="L317" s="573">
        <v>5</v>
      </c>
      <c r="M317" s="573">
        <v>0</v>
      </c>
      <c r="N317" s="573" t="s">
        <v>157</v>
      </c>
      <c r="O317" s="573">
        <v>2</v>
      </c>
      <c r="P317" s="573" t="s">
        <v>157</v>
      </c>
      <c r="Q317" s="571" t="s">
        <v>157</v>
      </c>
      <c r="R317" s="573" t="s">
        <v>352</v>
      </c>
      <c r="S317" s="573">
        <v>4</v>
      </c>
      <c r="T317" s="573" t="s">
        <v>1001</v>
      </c>
      <c r="U317" s="573" t="s">
        <v>310</v>
      </c>
      <c r="V317" s="573">
        <v>99.2</v>
      </c>
      <c r="W317" s="573">
        <v>13.6</v>
      </c>
      <c r="X317" s="571">
        <v>4408</v>
      </c>
      <c r="Y317" s="573">
        <v>28</v>
      </c>
      <c r="Z317" s="579" t="s">
        <v>178</v>
      </c>
      <c r="AA317" s="579" t="s">
        <v>178</v>
      </c>
      <c r="AB317" s="584">
        <v>28605</v>
      </c>
      <c r="AC317" s="584" t="s">
        <v>164</v>
      </c>
      <c r="AD317" s="584">
        <v>26524.666666666668</v>
      </c>
      <c r="AE317" s="586">
        <v>0.03</v>
      </c>
      <c r="AF317" s="661" t="s">
        <v>1002</v>
      </c>
      <c r="AG317" s="661" t="str">
        <f>IF(AND($Y317&gt;=32,(AI317="I"),(Y317&lt;&gt;"~"),(COUNTIF($AN$1:$AN317,$AN317)=1)),"TRUE","FALSE")</f>
        <v>FALSE</v>
      </c>
      <c r="AH317" s="661" t="str">
        <f>IF(AND($Y317&gt;=22, (AI317&lt;&gt;"I"),(Y317&lt;&gt;"~"),(COUNTIF($AN$1:$AN317,$AN317)=1)),"TRUE","FALSE")</f>
        <v>TRUE</v>
      </c>
      <c r="AI317" s="661" t="str">
        <f t="shared" si="33"/>
        <v>II</v>
      </c>
      <c r="AJ317" s="662" t="str">
        <f t="shared" si="28"/>
        <v>ESCT-016</v>
      </c>
      <c r="AK317" s="662" t="str">
        <f t="shared" si="29"/>
        <v>SUV</v>
      </c>
      <c r="AL317" s="662" t="str">
        <f t="shared" si="30"/>
        <v>FRD</v>
      </c>
      <c r="AM317" s="662" t="str">
        <f t="shared" si="32"/>
        <v>Ecosport-Titanium-4WD-5-~-~-2.0L-4-S3K-400A-99.2-13.6-Unleaded-Unleaded</v>
      </c>
      <c r="AN317" s="662" t="str">
        <f t="shared" si="31"/>
        <v>2019-SUV-FRD-ESCT-016</v>
      </c>
    </row>
    <row r="318" spans="1:40" s="572" customFormat="1" ht="15">
      <c r="A318" s="570" t="s">
        <v>1003</v>
      </c>
      <c r="B318" s="569" t="s">
        <v>1000</v>
      </c>
      <c r="C318" s="569" t="s">
        <v>280</v>
      </c>
      <c r="D318" s="580">
        <v>27</v>
      </c>
      <c r="E318" s="569" t="s">
        <v>699</v>
      </c>
      <c r="F318" s="569" t="s">
        <v>211</v>
      </c>
      <c r="G318" s="569" t="s">
        <v>271</v>
      </c>
      <c r="H318" s="569">
        <v>2019</v>
      </c>
      <c r="I318" s="569" t="s">
        <v>935</v>
      </c>
      <c r="J318" s="569" t="s">
        <v>418</v>
      </c>
      <c r="K318" s="569" t="s">
        <v>752</v>
      </c>
      <c r="L318" s="569">
        <v>5</v>
      </c>
      <c r="M318" s="569">
        <v>0</v>
      </c>
      <c r="N318" s="569" t="s">
        <v>157</v>
      </c>
      <c r="O318" s="569">
        <v>2</v>
      </c>
      <c r="P318" s="569" t="s">
        <v>157</v>
      </c>
      <c r="Q318" s="568" t="s">
        <v>157</v>
      </c>
      <c r="R318" s="569" t="s">
        <v>352</v>
      </c>
      <c r="S318" s="569">
        <v>4</v>
      </c>
      <c r="T318" s="569" t="s">
        <v>1001</v>
      </c>
      <c r="U318" s="569" t="s">
        <v>310</v>
      </c>
      <c r="V318" s="569">
        <v>99.2</v>
      </c>
      <c r="W318" s="569">
        <v>13.6</v>
      </c>
      <c r="X318" s="568">
        <v>4408</v>
      </c>
      <c r="Y318" s="569">
        <v>28</v>
      </c>
      <c r="Z318" s="581" t="s">
        <v>178</v>
      </c>
      <c r="AA318" s="581" t="s">
        <v>178</v>
      </c>
      <c r="AB318" s="585">
        <v>28605</v>
      </c>
      <c r="AC318" s="585" t="s">
        <v>164</v>
      </c>
      <c r="AD318" s="585">
        <v>26524.666666666668</v>
      </c>
      <c r="AE318" s="587">
        <v>0.03</v>
      </c>
      <c r="AF318" s="661" t="s">
        <v>1004</v>
      </c>
      <c r="AG318" s="661" t="str">
        <f>IF(AND($Y318&gt;=32,(AI318="I"),(Y318&lt;&gt;"~"),(COUNTIF($AN$1:$AN318,$AN318)=1)),"TRUE","FALSE")</f>
        <v>FALSE</v>
      </c>
      <c r="AH318" s="661" t="str">
        <f>IF(AND($Y318&gt;=22, (AI318&lt;&gt;"I"),(Y318&lt;&gt;"~"),(COUNTIF($AN$1:$AN318,$AN318)=1)),"TRUE","FALSE")</f>
        <v>FALSE</v>
      </c>
      <c r="AI318" s="661" t="str">
        <f t="shared" si="33"/>
        <v>II</v>
      </c>
      <c r="AJ318" s="662" t="str">
        <f t="shared" si="28"/>
        <v>ESCT-016</v>
      </c>
      <c r="AK318" s="662" t="str">
        <f t="shared" si="29"/>
        <v>SUV</v>
      </c>
      <c r="AL318" s="662" t="str">
        <f t="shared" si="30"/>
        <v>FRD</v>
      </c>
      <c r="AM318" s="662" t="str">
        <f t="shared" si="32"/>
        <v>Ecosport-Titanium-4WD-5-~-~-2.0L-4-S3K-400A-99.2-13.6-Unleaded-Unleaded</v>
      </c>
      <c r="AN318" s="662" t="str">
        <f t="shared" si="31"/>
        <v>2019-SUV-FRD-ESCT-016</v>
      </c>
    </row>
    <row r="319" spans="1:40" s="572" customFormat="1" ht="15">
      <c r="A319" s="570" t="s">
        <v>1005</v>
      </c>
      <c r="B319" s="573" t="s">
        <v>1006</v>
      </c>
      <c r="C319" s="573" t="s">
        <v>278</v>
      </c>
      <c r="D319" s="578">
        <v>15</v>
      </c>
      <c r="E319" s="573" t="s">
        <v>699</v>
      </c>
      <c r="F319" s="573" t="s">
        <v>211</v>
      </c>
      <c r="G319" s="573" t="s">
        <v>271</v>
      </c>
      <c r="H319" s="573">
        <v>2019</v>
      </c>
      <c r="I319" s="573" t="s">
        <v>935</v>
      </c>
      <c r="J319" s="573" t="s">
        <v>418</v>
      </c>
      <c r="K319" s="573" t="s">
        <v>230</v>
      </c>
      <c r="L319" s="573">
        <v>5</v>
      </c>
      <c r="M319" s="573">
        <v>0</v>
      </c>
      <c r="N319" s="573" t="s">
        <v>157</v>
      </c>
      <c r="O319" s="573">
        <v>2</v>
      </c>
      <c r="P319" s="573" t="s">
        <v>157</v>
      </c>
      <c r="Q319" s="571" t="s">
        <v>157</v>
      </c>
      <c r="R319" s="573" t="s">
        <v>352</v>
      </c>
      <c r="S319" s="573">
        <v>4</v>
      </c>
      <c r="T319" s="573" t="s">
        <v>1007</v>
      </c>
      <c r="U319" s="573" t="s">
        <v>310</v>
      </c>
      <c r="V319" s="573">
        <v>99.2</v>
      </c>
      <c r="W319" s="573">
        <v>13.6</v>
      </c>
      <c r="X319" s="571">
        <v>4408</v>
      </c>
      <c r="Y319" s="573">
        <v>25</v>
      </c>
      <c r="Z319" s="579" t="s">
        <v>178</v>
      </c>
      <c r="AA319" s="579" t="s">
        <v>178</v>
      </c>
      <c r="AB319" s="584">
        <v>28605</v>
      </c>
      <c r="AC319" s="584" t="s">
        <v>164</v>
      </c>
      <c r="AD319" s="584">
        <v>26850</v>
      </c>
      <c r="AE319" s="586">
        <v>0.01</v>
      </c>
      <c r="AF319" s="661" t="s">
        <v>1008</v>
      </c>
      <c r="AG319" s="661" t="str">
        <f>IF(AND($Y319&gt;=32,(AI319="I"),(Y319&lt;&gt;"~"),(COUNTIF($AN$1:$AN319,$AN319)=1)),"TRUE","FALSE")</f>
        <v>FALSE</v>
      </c>
      <c r="AH319" s="661" t="str">
        <f>IF(AND($Y319&gt;=22, (AI319&lt;&gt;"I"),(Y319&lt;&gt;"~"),(COUNTIF($AN$1:$AN319,$AN319)=1)),"TRUE","FALSE")</f>
        <v>TRUE</v>
      </c>
      <c r="AI319" s="661" t="str">
        <f t="shared" si="33"/>
        <v>II</v>
      </c>
      <c r="AJ319" s="662" t="str">
        <f t="shared" si="28"/>
        <v>ESCT-006</v>
      </c>
      <c r="AK319" s="662" t="str">
        <f t="shared" si="29"/>
        <v>SUV</v>
      </c>
      <c r="AL319" s="662" t="str">
        <f t="shared" si="30"/>
        <v>FRD</v>
      </c>
      <c r="AM319" s="662" t="str">
        <f t="shared" si="32"/>
        <v>Ecosport-Titanium-AWD-5-~-~-2.0L-4-P1W-400A-99.2-13.6-Unleaded-Unleaded</v>
      </c>
      <c r="AN319" s="662" t="str">
        <f t="shared" si="31"/>
        <v>2019-SUV-FRD-ESCT-006</v>
      </c>
    </row>
    <row r="320" spans="1:40" s="572" customFormat="1" ht="15">
      <c r="A320" s="570" t="s">
        <v>1009</v>
      </c>
      <c r="B320" s="569" t="s">
        <v>1010</v>
      </c>
      <c r="C320" s="569" t="s">
        <v>287</v>
      </c>
      <c r="D320" s="580">
        <v>26</v>
      </c>
      <c r="E320" s="569" t="s">
        <v>699</v>
      </c>
      <c r="F320" s="569" t="s">
        <v>211</v>
      </c>
      <c r="G320" s="569" t="s">
        <v>271</v>
      </c>
      <c r="H320" s="569">
        <v>2019</v>
      </c>
      <c r="I320" s="569" t="s">
        <v>935</v>
      </c>
      <c r="J320" s="569" t="s">
        <v>418</v>
      </c>
      <c r="K320" s="569" t="s">
        <v>230</v>
      </c>
      <c r="L320" s="569">
        <v>5</v>
      </c>
      <c r="M320" s="569">
        <v>0</v>
      </c>
      <c r="N320" s="569" t="s">
        <v>157</v>
      </c>
      <c r="O320" s="569">
        <v>2</v>
      </c>
      <c r="P320" s="569" t="s">
        <v>157</v>
      </c>
      <c r="Q320" s="568" t="s">
        <v>157</v>
      </c>
      <c r="R320" s="569" t="s">
        <v>352</v>
      </c>
      <c r="S320" s="569">
        <v>4</v>
      </c>
      <c r="T320" s="569" t="s">
        <v>1001</v>
      </c>
      <c r="U320" s="569" t="s">
        <v>310</v>
      </c>
      <c r="V320" s="569">
        <v>99.2</v>
      </c>
      <c r="W320" s="569">
        <v>13.6</v>
      </c>
      <c r="X320" s="568">
        <v>4408</v>
      </c>
      <c r="Y320" s="569">
        <v>25</v>
      </c>
      <c r="Z320" s="581" t="s">
        <v>178</v>
      </c>
      <c r="AA320" s="581" t="s">
        <v>178</v>
      </c>
      <c r="AB320" s="585">
        <v>28605</v>
      </c>
      <c r="AC320" s="585" t="s">
        <v>164</v>
      </c>
      <c r="AD320" s="585">
        <v>27430</v>
      </c>
      <c r="AE320" s="587">
        <v>0.05</v>
      </c>
      <c r="AF320" s="661" t="s">
        <v>1011</v>
      </c>
      <c r="AG320" s="661" t="str">
        <f>IF(AND($Y320&gt;=32,(AI320="I"),(Y320&lt;&gt;"~"),(COUNTIF($AN$1:$AN320,$AN320)=1)),"TRUE","FALSE")</f>
        <v>FALSE</v>
      </c>
      <c r="AH320" s="661" t="str">
        <f>IF(AND($Y320&gt;=22, (AI320&lt;&gt;"I"),(Y320&lt;&gt;"~"),(COUNTIF($AN$1:$AN320,$AN320)=1)),"TRUE","FALSE")</f>
        <v>TRUE</v>
      </c>
      <c r="AI320" s="661" t="str">
        <f t="shared" si="33"/>
        <v>II</v>
      </c>
      <c r="AJ320" s="662" t="str">
        <f t="shared" si="28"/>
        <v>ESCT-017</v>
      </c>
      <c r="AK320" s="662" t="str">
        <f t="shared" si="29"/>
        <v>SUV</v>
      </c>
      <c r="AL320" s="662" t="str">
        <f t="shared" si="30"/>
        <v>FRD</v>
      </c>
      <c r="AM320" s="662" t="str">
        <f t="shared" si="32"/>
        <v>Ecosport-Titanium-AWD-5-~-~-2.0L-4-S3K-400A-99.2-13.6-Unleaded-Unleaded</v>
      </c>
      <c r="AN320" s="662" t="str">
        <f t="shared" si="31"/>
        <v>2019-SUV-FRD-ESCT-017</v>
      </c>
    </row>
    <row r="321" spans="1:40" s="572" customFormat="1" ht="15">
      <c r="A321" s="570" t="s">
        <v>1012</v>
      </c>
      <c r="B321" s="573" t="s">
        <v>1013</v>
      </c>
      <c r="C321" s="573" t="s">
        <v>269</v>
      </c>
      <c r="D321" s="578" t="s">
        <v>270</v>
      </c>
      <c r="E321" s="573" t="s">
        <v>699</v>
      </c>
      <c r="F321" s="573" t="s">
        <v>211</v>
      </c>
      <c r="G321" s="573" t="s">
        <v>271</v>
      </c>
      <c r="H321" s="573">
        <v>2019</v>
      </c>
      <c r="I321" s="573" t="s">
        <v>935</v>
      </c>
      <c r="J321" s="573" t="s">
        <v>418</v>
      </c>
      <c r="K321" s="573" t="s">
        <v>156</v>
      </c>
      <c r="L321" s="573">
        <v>5</v>
      </c>
      <c r="M321" s="573">
        <v>0</v>
      </c>
      <c r="N321" s="573" t="s">
        <v>157</v>
      </c>
      <c r="O321" s="573">
        <v>2</v>
      </c>
      <c r="P321" s="573" t="s">
        <v>157</v>
      </c>
      <c r="Q321" s="571" t="s">
        <v>157</v>
      </c>
      <c r="R321" s="573" t="s">
        <v>949</v>
      </c>
      <c r="S321" s="573">
        <v>3</v>
      </c>
      <c r="T321" s="573" t="s">
        <v>1014</v>
      </c>
      <c r="U321" s="573" t="s">
        <v>310</v>
      </c>
      <c r="V321" s="573">
        <v>99.2</v>
      </c>
      <c r="W321" s="573">
        <v>13.6</v>
      </c>
      <c r="X321" s="571">
        <v>4155</v>
      </c>
      <c r="Y321" s="573">
        <v>28</v>
      </c>
      <c r="Z321" s="579" t="s">
        <v>178</v>
      </c>
      <c r="AA321" s="579" t="s">
        <v>178</v>
      </c>
      <c r="AB321" s="584">
        <v>27155</v>
      </c>
      <c r="AC321" s="584" t="s">
        <v>164</v>
      </c>
      <c r="AD321" s="584">
        <v>25154.875</v>
      </c>
      <c r="AE321" s="586">
        <v>0.03</v>
      </c>
      <c r="AF321" s="661" t="s">
        <v>1015</v>
      </c>
      <c r="AG321" s="661" t="str">
        <f>IF(AND($Y321&gt;=32,(AI321="I"),(Y321&lt;&gt;"~"),(COUNTIF($AN$1:$AN321,$AN321)=1)),"TRUE","FALSE")</f>
        <v>FALSE</v>
      </c>
      <c r="AH321" s="661" t="str">
        <f>IF(AND($Y321&gt;=22, (AI321&lt;&gt;"I"),(Y321&lt;&gt;"~"),(COUNTIF($AN$1:$AN321,$AN321)=1)),"TRUE","FALSE")</f>
        <v>TRUE</v>
      </c>
      <c r="AI321" s="661" t="str">
        <f t="shared" si="33"/>
        <v>II</v>
      </c>
      <c r="AJ321" s="662" t="str">
        <f t="shared" si="28"/>
        <v>ESCT-018</v>
      </c>
      <c r="AK321" s="662" t="str">
        <f t="shared" si="29"/>
        <v>SUV</v>
      </c>
      <c r="AL321" s="662" t="str">
        <f t="shared" si="30"/>
        <v>FRD</v>
      </c>
      <c r="AM321" s="662" t="str">
        <f t="shared" si="32"/>
        <v>Ecosport-Titanium-FWD-5-~-~-1.0L Ecoboost-3-S2K-400A-99.2-13.6-Unleaded-Unleaded</v>
      </c>
      <c r="AN321" s="662" t="str">
        <f t="shared" si="31"/>
        <v>2019-SUV-FRD-ESCT-018</v>
      </c>
    </row>
    <row r="322" spans="1:40" s="572" customFormat="1" ht="15">
      <c r="A322" s="570" t="s">
        <v>1016</v>
      </c>
      <c r="B322" s="569" t="s">
        <v>1017</v>
      </c>
      <c r="C322" s="569" t="s">
        <v>278</v>
      </c>
      <c r="D322" s="580">
        <v>15</v>
      </c>
      <c r="E322" s="569" t="s">
        <v>699</v>
      </c>
      <c r="F322" s="569" t="s">
        <v>211</v>
      </c>
      <c r="G322" s="569" t="s">
        <v>271</v>
      </c>
      <c r="H322" s="569">
        <v>2019</v>
      </c>
      <c r="I322" s="569" t="s">
        <v>935</v>
      </c>
      <c r="J322" s="569" t="s">
        <v>418</v>
      </c>
      <c r="K322" s="569" t="s">
        <v>156</v>
      </c>
      <c r="L322" s="569">
        <v>5</v>
      </c>
      <c r="M322" s="569">
        <v>0</v>
      </c>
      <c r="N322" s="569" t="s">
        <v>157</v>
      </c>
      <c r="O322" s="569">
        <v>2</v>
      </c>
      <c r="P322" s="569" t="s">
        <v>157</v>
      </c>
      <c r="Q322" s="568" t="s">
        <v>157</v>
      </c>
      <c r="R322" s="569" t="s">
        <v>949</v>
      </c>
      <c r="S322" s="569">
        <v>3</v>
      </c>
      <c r="T322" s="569" t="s">
        <v>1018</v>
      </c>
      <c r="U322" s="569" t="s">
        <v>310</v>
      </c>
      <c r="V322" s="569">
        <v>99.2</v>
      </c>
      <c r="W322" s="569">
        <v>13.6</v>
      </c>
      <c r="X322" s="568">
        <v>4155</v>
      </c>
      <c r="Y322" s="569">
        <v>28</v>
      </c>
      <c r="Z322" s="581" t="s">
        <v>178</v>
      </c>
      <c r="AA322" s="581" t="s">
        <v>178</v>
      </c>
      <c r="AB322" s="585">
        <v>27155</v>
      </c>
      <c r="AC322" s="585" t="s">
        <v>164</v>
      </c>
      <c r="AD322" s="585">
        <v>25450</v>
      </c>
      <c r="AE322" s="587">
        <v>0.01</v>
      </c>
      <c r="AF322" s="661" t="s">
        <v>1019</v>
      </c>
      <c r="AG322" s="661" t="str">
        <f>IF(AND($Y322&gt;=32,(AI322="I"),(Y322&lt;&gt;"~"),(COUNTIF($AN$1:$AN322,$AN322)=1)),"TRUE","FALSE")</f>
        <v>FALSE</v>
      </c>
      <c r="AH322" s="661" t="str">
        <f>IF(AND($Y322&gt;=22, (AI322&lt;&gt;"I"),(Y322&lt;&gt;"~"),(COUNTIF($AN$1:$AN322,$AN322)=1)),"TRUE","FALSE")</f>
        <v>TRUE</v>
      </c>
      <c r="AI322" s="661" t="str">
        <f t="shared" si="33"/>
        <v>II</v>
      </c>
      <c r="AJ322" s="662" t="str">
        <f t="shared" si="28"/>
        <v>ESCT-007</v>
      </c>
      <c r="AK322" s="662" t="str">
        <f t="shared" si="29"/>
        <v>SUV</v>
      </c>
      <c r="AL322" s="662" t="str">
        <f t="shared" si="30"/>
        <v>FRD</v>
      </c>
      <c r="AM322" s="662" t="str">
        <f t="shared" si="32"/>
        <v>Ecosport-Titanium-FWD-5-~-~-1.0L Ecoboost-3-P1V-400A-99.2-13.6-Unleaded-Unleaded</v>
      </c>
      <c r="AN322" s="662" t="str">
        <f t="shared" si="31"/>
        <v>2019-SUV-FRD-ESCT-007</v>
      </c>
    </row>
    <row r="323" spans="1:40" s="572" customFormat="1" ht="15">
      <c r="A323" s="570" t="s">
        <v>1020</v>
      </c>
      <c r="B323" s="573" t="s">
        <v>1013</v>
      </c>
      <c r="C323" s="573" t="s">
        <v>287</v>
      </c>
      <c r="D323" s="578">
        <v>26</v>
      </c>
      <c r="E323" s="573" t="s">
        <v>699</v>
      </c>
      <c r="F323" s="573" t="s">
        <v>211</v>
      </c>
      <c r="G323" s="573" t="s">
        <v>271</v>
      </c>
      <c r="H323" s="573">
        <v>2019</v>
      </c>
      <c r="I323" s="573" t="s">
        <v>935</v>
      </c>
      <c r="J323" s="573" t="s">
        <v>418</v>
      </c>
      <c r="K323" s="573" t="s">
        <v>156</v>
      </c>
      <c r="L323" s="573">
        <v>5</v>
      </c>
      <c r="M323" s="573">
        <v>0</v>
      </c>
      <c r="N323" s="573" t="s">
        <v>157</v>
      </c>
      <c r="O323" s="573">
        <v>2</v>
      </c>
      <c r="P323" s="573" t="s">
        <v>157</v>
      </c>
      <c r="Q323" s="571" t="s">
        <v>157</v>
      </c>
      <c r="R323" s="573" t="s">
        <v>949</v>
      </c>
      <c r="S323" s="573">
        <v>3</v>
      </c>
      <c r="T323" s="573" t="s">
        <v>1014</v>
      </c>
      <c r="U323" s="573" t="s">
        <v>310</v>
      </c>
      <c r="V323" s="573">
        <v>99.2</v>
      </c>
      <c r="W323" s="573">
        <v>13.6</v>
      </c>
      <c r="X323" s="571">
        <v>4155</v>
      </c>
      <c r="Y323" s="573">
        <v>28</v>
      </c>
      <c r="Z323" s="579" t="s">
        <v>178</v>
      </c>
      <c r="AA323" s="579" t="s">
        <v>178</v>
      </c>
      <c r="AB323" s="584">
        <v>27155</v>
      </c>
      <c r="AC323" s="584" t="s">
        <v>164</v>
      </c>
      <c r="AD323" s="584">
        <v>26019</v>
      </c>
      <c r="AE323" s="586">
        <v>0.05</v>
      </c>
      <c r="AF323" s="661" t="s">
        <v>1021</v>
      </c>
      <c r="AG323" s="661" t="str">
        <f>IF(AND($Y323&gt;=32,(AI323="I"),(Y323&lt;&gt;"~"),(COUNTIF($AN$1:$AN323,$AN323)=1)),"TRUE","FALSE")</f>
        <v>FALSE</v>
      </c>
      <c r="AH323" s="661" t="str">
        <f>IF(AND($Y323&gt;=22, (AI323&lt;&gt;"I"),(Y323&lt;&gt;"~"),(COUNTIF($AN$1:$AN323,$AN323)=1)),"TRUE","FALSE")</f>
        <v>FALSE</v>
      </c>
      <c r="AI323" s="661" t="str">
        <f t="shared" si="33"/>
        <v>II</v>
      </c>
      <c r="AJ323" s="662" t="str">
        <f t="shared" ref="AJ323:AJ386" si="34">MID(A323,14,8)</f>
        <v>ESCT-018</v>
      </c>
      <c r="AK323" s="662" t="str">
        <f t="shared" ref="AK323:AK386" si="35">MID(A323,6,3)</f>
        <v>SUV</v>
      </c>
      <c r="AL323" s="662" t="str">
        <f t="shared" ref="AL323:AL386" si="36">MID(A323,10,3)</f>
        <v>FRD</v>
      </c>
      <c r="AM323" s="662" t="str">
        <f t="shared" si="32"/>
        <v>Ecosport-Titanium-FWD-5-~-~-1.0L Ecoboost-3-S2K-400A-99.2-13.6-Unleaded-Unleaded</v>
      </c>
      <c r="AN323" s="662" t="str">
        <f t="shared" ref="AN323:AN386" si="37">LEFT(A323,21)</f>
        <v>2019-SUV-FRD-ESCT-018</v>
      </c>
    </row>
    <row r="324" spans="1:40" s="572" customFormat="1" ht="15">
      <c r="A324" s="570" t="s">
        <v>1022</v>
      </c>
      <c r="B324" s="569" t="s">
        <v>1013</v>
      </c>
      <c r="C324" s="569" t="s">
        <v>280</v>
      </c>
      <c r="D324" s="580">
        <v>27</v>
      </c>
      <c r="E324" s="569" t="s">
        <v>699</v>
      </c>
      <c r="F324" s="569" t="s">
        <v>211</v>
      </c>
      <c r="G324" s="569" t="s">
        <v>271</v>
      </c>
      <c r="H324" s="569">
        <v>2019</v>
      </c>
      <c r="I324" s="569" t="s">
        <v>935</v>
      </c>
      <c r="J324" s="569" t="s">
        <v>418</v>
      </c>
      <c r="K324" s="569" t="s">
        <v>156</v>
      </c>
      <c r="L324" s="569">
        <v>5</v>
      </c>
      <c r="M324" s="569">
        <v>0</v>
      </c>
      <c r="N324" s="569" t="s">
        <v>157</v>
      </c>
      <c r="O324" s="569">
        <v>2</v>
      </c>
      <c r="P324" s="569" t="s">
        <v>157</v>
      </c>
      <c r="Q324" s="568" t="s">
        <v>157</v>
      </c>
      <c r="R324" s="569" t="s">
        <v>949</v>
      </c>
      <c r="S324" s="569">
        <v>3</v>
      </c>
      <c r="T324" s="569" t="s">
        <v>1014</v>
      </c>
      <c r="U324" s="569" t="s">
        <v>310</v>
      </c>
      <c r="V324" s="569">
        <v>99.2</v>
      </c>
      <c r="W324" s="569">
        <v>13.6</v>
      </c>
      <c r="X324" s="568">
        <v>4155</v>
      </c>
      <c r="Y324" s="569">
        <v>28</v>
      </c>
      <c r="Z324" s="581" t="s">
        <v>178</v>
      </c>
      <c r="AA324" s="581" t="s">
        <v>178</v>
      </c>
      <c r="AB324" s="585">
        <v>27155</v>
      </c>
      <c r="AC324" s="585" t="s">
        <v>164</v>
      </c>
      <c r="AD324" s="585">
        <v>25154.875</v>
      </c>
      <c r="AE324" s="587">
        <v>0.03</v>
      </c>
      <c r="AF324" s="661" t="s">
        <v>1023</v>
      </c>
      <c r="AG324" s="661" t="str">
        <f>IF(AND($Y324&gt;=32,(AI324="I"),(Y324&lt;&gt;"~"),(COUNTIF($AN$1:$AN324,$AN324)=1)),"TRUE","FALSE")</f>
        <v>FALSE</v>
      </c>
      <c r="AH324" s="661" t="str">
        <f>IF(AND($Y324&gt;=22, (AI324&lt;&gt;"I"),(Y324&lt;&gt;"~"),(COUNTIF($AN$1:$AN324,$AN324)=1)),"TRUE","FALSE")</f>
        <v>FALSE</v>
      </c>
      <c r="AI324" s="661" t="str">
        <f t="shared" si="33"/>
        <v>II</v>
      </c>
      <c r="AJ324" s="662" t="str">
        <f t="shared" si="34"/>
        <v>ESCT-018</v>
      </c>
      <c r="AK324" s="662" t="str">
        <f t="shared" si="35"/>
        <v>SUV</v>
      </c>
      <c r="AL324" s="662" t="str">
        <f t="shared" si="36"/>
        <v>FRD</v>
      </c>
      <c r="AM324" s="662" t="str">
        <f t="shared" si="32"/>
        <v>Ecosport-Titanium-FWD-5-~-~-1.0L Ecoboost-3-S2K-400A-99.2-13.6-Unleaded-Unleaded</v>
      </c>
      <c r="AN324" s="662" t="str">
        <f t="shared" si="37"/>
        <v>2019-SUV-FRD-ESCT-018</v>
      </c>
    </row>
    <row r="325" spans="1:40" s="572" customFormat="1" ht="15">
      <c r="A325" s="570" t="s">
        <v>1024</v>
      </c>
      <c r="B325" s="573" t="s">
        <v>1025</v>
      </c>
      <c r="C325" s="573" t="s">
        <v>269</v>
      </c>
      <c r="D325" s="578" t="s">
        <v>270</v>
      </c>
      <c r="E325" s="573" t="s">
        <v>699</v>
      </c>
      <c r="F325" s="573" t="s">
        <v>196</v>
      </c>
      <c r="G325" s="573" t="s">
        <v>271</v>
      </c>
      <c r="H325" s="573">
        <v>2019</v>
      </c>
      <c r="I325" s="573" t="s">
        <v>1026</v>
      </c>
      <c r="J325" s="573" t="s">
        <v>330</v>
      </c>
      <c r="K325" s="573" t="s">
        <v>230</v>
      </c>
      <c r="L325" s="573">
        <v>5</v>
      </c>
      <c r="M325" s="573">
        <v>0</v>
      </c>
      <c r="N325" s="573" t="s">
        <v>157</v>
      </c>
      <c r="O325" s="573">
        <v>2</v>
      </c>
      <c r="P325" s="573" t="s">
        <v>157</v>
      </c>
      <c r="Q325" s="571" t="s">
        <v>157</v>
      </c>
      <c r="R325" s="573" t="s">
        <v>1027</v>
      </c>
      <c r="S325" s="573">
        <v>4</v>
      </c>
      <c r="T325" s="573" t="s">
        <v>1028</v>
      </c>
      <c r="U325" s="573" t="s">
        <v>276</v>
      </c>
      <c r="V325" s="573">
        <v>112.2</v>
      </c>
      <c r="W325" s="573">
        <v>18</v>
      </c>
      <c r="X325" s="571">
        <v>5340</v>
      </c>
      <c r="Y325" s="573">
        <v>23</v>
      </c>
      <c r="Z325" s="579" t="s">
        <v>178</v>
      </c>
      <c r="AA325" s="579" t="s">
        <v>178</v>
      </c>
      <c r="AB325" s="584">
        <v>32985</v>
      </c>
      <c r="AC325" s="584" t="s">
        <v>164</v>
      </c>
      <c r="AD325" s="584">
        <v>29288.208333333336</v>
      </c>
      <c r="AE325" s="586">
        <v>0.03</v>
      </c>
      <c r="AF325" s="661" t="s">
        <v>1029</v>
      </c>
      <c r="AG325" s="661" t="str">
        <f>IF(AND($Y325&gt;=32,(AI325="I"),(Y325&lt;&gt;"~"),(COUNTIF($AN$1:$AN325,$AN325)=1)),"TRUE","FALSE")</f>
        <v>FALSE</v>
      </c>
      <c r="AH325" s="661" t="str">
        <f>IF(AND($Y325&gt;=22, (AI325&lt;&gt;"I"),(Y325&lt;&gt;"~"),(COUNTIF($AN$1:$AN325,$AN325)=1)),"TRUE","FALSE")</f>
        <v>TRUE</v>
      </c>
      <c r="AI325" s="661" t="str">
        <f t="shared" si="33"/>
        <v>II</v>
      </c>
      <c r="AJ325" s="662" t="str">
        <f t="shared" si="34"/>
        <v>EDGE-001</v>
      </c>
      <c r="AK325" s="662" t="str">
        <f t="shared" si="35"/>
        <v>SUV</v>
      </c>
      <c r="AL325" s="662" t="str">
        <f t="shared" si="36"/>
        <v>FRD</v>
      </c>
      <c r="AM325" s="662" t="str">
        <f t="shared" si="32"/>
        <v>Edge-SE-AWD-5-~-~-2.0L EcoBoost-4-K4G-100A-112.2-18-Unleaded-Unleaded</v>
      </c>
      <c r="AN325" s="662" t="str">
        <f t="shared" si="37"/>
        <v>2019-SUV-FRD-EDGE-001</v>
      </c>
    </row>
    <row r="326" spans="1:40" s="572" customFormat="1" ht="15">
      <c r="A326" s="570" t="s">
        <v>1030</v>
      </c>
      <c r="B326" s="569" t="s">
        <v>1025</v>
      </c>
      <c r="C326" s="569" t="s">
        <v>278</v>
      </c>
      <c r="D326" s="580">
        <v>15</v>
      </c>
      <c r="E326" s="569" t="s">
        <v>699</v>
      </c>
      <c r="F326" s="569" t="s">
        <v>196</v>
      </c>
      <c r="G326" s="569" t="s">
        <v>271</v>
      </c>
      <c r="H326" s="569">
        <v>2019</v>
      </c>
      <c r="I326" s="569" t="s">
        <v>1026</v>
      </c>
      <c r="J326" s="569" t="s">
        <v>330</v>
      </c>
      <c r="K326" s="569" t="s">
        <v>230</v>
      </c>
      <c r="L326" s="569">
        <v>5</v>
      </c>
      <c r="M326" s="569">
        <v>0</v>
      </c>
      <c r="N326" s="569" t="s">
        <v>157</v>
      </c>
      <c r="O326" s="569">
        <v>2</v>
      </c>
      <c r="P326" s="569" t="s">
        <v>157</v>
      </c>
      <c r="Q326" s="568" t="s">
        <v>157</v>
      </c>
      <c r="R326" s="569" t="s">
        <v>1027</v>
      </c>
      <c r="S326" s="569">
        <v>4</v>
      </c>
      <c r="T326" s="569" t="s">
        <v>1028</v>
      </c>
      <c r="U326" s="569" t="s">
        <v>276</v>
      </c>
      <c r="V326" s="569">
        <v>112.2</v>
      </c>
      <c r="W326" s="569">
        <v>18</v>
      </c>
      <c r="X326" s="568">
        <v>5340</v>
      </c>
      <c r="Y326" s="569">
        <v>23</v>
      </c>
      <c r="Z326" s="581" t="s">
        <v>178</v>
      </c>
      <c r="AA326" s="581" t="s">
        <v>178</v>
      </c>
      <c r="AB326" s="585">
        <v>32985</v>
      </c>
      <c r="AC326" s="585" t="s">
        <v>164</v>
      </c>
      <c r="AD326" s="585">
        <v>29750</v>
      </c>
      <c r="AE326" s="587">
        <v>0.01</v>
      </c>
      <c r="AF326" s="661" t="s">
        <v>1031</v>
      </c>
      <c r="AG326" s="661" t="str">
        <f>IF(AND($Y326&gt;=32,(AI326="I"),(Y326&lt;&gt;"~"),(COUNTIF($AN$1:$AN326,$AN326)=1)),"TRUE","FALSE")</f>
        <v>FALSE</v>
      </c>
      <c r="AH326" s="661" t="str">
        <f>IF(AND($Y326&gt;=22, (AI326&lt;&gt;"I"),(Y326&lt;&gt;"~"),(COUNTIF($AN$1:$AN326,$AN326)=1)),"TRUE","FALSE")</f>
        <v>FALSE</v>
      </c>
      <c r="AI326" s="661" t="str">
        <f t="shared" si="33"/>
        <v>II</v>
      </c>
      <c r="AJ326" s="662" t="str">
        <f t="shared" si="34"/>
        <v>EDGE-001</v>
      </c>
      <c r="AK326" s="662" t="str">
        <f t="shared" si="35"/>
        <v>SUV</v>
      </c>
      <c r="AL326" s="662" t="str">
        <f t="shared" si="36"/>
        <v>FRD</v>
      </c>
      <c r="AM326" s="662" t="str">
        <f t="shared" si="32"/>
        <v>Edge-SE-AWD-5-~-~-2.0L EcoBoost-4-K4G-100A-112.2-18-Unleaded-Unleaded</v>
      </c>
      <c r="AN326" s="662" t="str">
        <f t="shared" si="37"/>
        <v>2019-SUV-FRD-EDGE-001</v>
      </c>
    </row>
    <row r="327" spans="1:40" s="572" customFormat="1" ht="15">
      <c r="A327" s="570" t="s">
        <v>1032</v>
      </c>
      <c r="B327" s="573" t="s">
        <v>1025</v>
      </c>
      <c r="C327" s="573" t="s">
        <v>287</v>
      </c>
      <c r="D327" s="578">
        <v>26</v>
      </c>
      <c r="E327" s="573" t="s">
        <v>699</v>
      </c>
      <c r="F327" s="573" t="s">
        <v>196</v>
      </c>
      <c r="G327" s="573" t="s">
        <v>271</v>
      </c>
      <c r="H327" s="573">
        <v>2019</v>
      </c>
      <c r="I327" s="573" t="s">
        <v>1026</v>
      </c>
      <c r="J327" s="573" t="s">
        <v>330</v>
      </c>
      <c r="K327" s="573" t="s">
        <v>230</v>
      </c>
      <c r="L327" s="573">
        <v>5</v>
      </c>
      <c r="M327" s="573">
        <v>0</v>
      </c>
      <c r="N327" s="573" t="s">
        <v>157</v>
      </c>
      <c r="O327" s="573">
        <v>2</v>
      </c>
      <c r="P327" s="573" t="s">
        <v>157</v>
      </c>
      <c r="Q327" s="571" t="s">
        <v>157</v>
      </c>
      <c r="R327" s="573" t="s">
        <v>1027</v>
      </c>
      <c r="S327" s="573">
        <v>4</v>
      </c>
      <c r="T327" s="573" t="s">
        <v>1028</v>
      </c>
      <c r="U327" s="573" t="s">
        <v>276</v>
      </c>
      <c r="V327" s="573">
        <v>112.2</v>
      </c>
      <c r="W327" s="573">
        <v>18</v>
      </c>
      <c r="X327" s="571">
        <v>5340</v>
      </c>
      <c r="Y327" s="573">
        <v>23</v>
      </c>
      <c r="Z327" s="579" t="s">
        <v>178</v>
      </c>
      <c r="AA327" s="579" t="s">
        <v>178</v>
      </c>
      <c r="AB327" s="584">
        <v>32985</v>
      </c>
      <c r="AC327" s="584" t="s">
        <v>164</v>
      </c>
      <c r="AD327" s="584">
        <v>30280</v>
      </c>
      <c r="AE327" s="586">
        <v>0.05</v>
      </c>
      <c r="AF327" s="661" t="s">
        <v>1033</v>
      </c>
      <c r="AG327" s="661" t="str">
        <f>IF(AND($Y327&gt;=32,(AI327="I"),(Y327&lt;&gt;"~"),(COUNTIF($AN$1:$AN327,$AN327)=1)),"TRUE","FALSE")</f>
        <v>FALSE</v>
      </c>
      <c r="AH327" s="661" t="str">
        <f>IF(AND($Y327&gt;=22, (AI327&lt;&gt;"I"),(Y327&lt;&gt;"~"),(COUNTIF($AN$1:$AN327,$AN327)=1)),"TRUE","FALSE")</f>
        <v>FALSE</v>
      </c>
      <c r="AI327" s="661" t="str">
        <f t="shared" si="33"/>
        <v>II</v>
      </c>
      <c r="AJ327" s="662" t="str">
        <f t="shared" si="34"/>
        <v>EDGE-001</v>
      </c>
      <c r="AK327" s="662" t="str">
        <f t="shared" si="35"/>
        <v>SUV</v>
      </c>
      <c r="AL327" s="662" t="str">
        <f t="shared" si="36"/>
        <v>FRD</v>
      </c>
      <c r="AM327" s="662" t="str">
        <f t="shared" si="32"/>
        <v>Edge-SE-AWD-5-~-~-2.0L EcoBoost-4-K4G-100A-112.2-18-Unleaded-Unleaded</v>
      </c>
      <c r="AN327" s="662" t="str">
        <f t="shared" si="37"/>
        <v>2019-SUV-FRD-EDGE-001</v>
      </c>
    </row>
    <row r="328" spans="1:40" s="572" customFormat="1" ht="15">
      <c r="A328" s="570" t="s">
        <v>1034</v>
      </c>
      <c r="B328" s="569" t="s">
        <v>1025</v>
      </c>
      <c r="C328" s="569" t="s">
        <v>280</v>
      </c>
      <c r="D328" s="580">
        <v>27</v>
      </c>
      <c r="E328" s="569" t="s">
        <v>699</v>
      </c>
      <c r="F328" s="569" t="s">
        <v>196</v>
      </c>
      <c r="G328" s="569" t="s">
        <v>271</v>
      </c>
      <c r="H328" s="569">
        <v>2019</v>
      </c>
      <c r="I328" s="569" t="s">
        <v>1026</v>
      </c>
      <c r="J328" s="569" t="s">
        <v>330</v>
      </c>
      <c r="K328" s="569" t="s">
        <v>230</v>
      </c>
      <c r="L328" s="569">
        <v>5</v>
      </c>
      <c r="M328" s="569">
        <v>0</v>
      </c>
      <c r="N328" s="569" t="s">
        <v>157</v>
      </c>
      <c r="O328" s="569">
        <v>2</v>
      </c>
      <c r="P328" s="569" t="s">
        <v>157</v>
      </c>
      <c r="Q328" s="568" t="s">
        <v>157</v>
      </c>
      <c r="R328" s="569" t="s">
        <v>1027</v>
      </c>
      <c r="S328" s="569">
        <v>4</v>
      </c>
      <c r="T328" s="569" t="s">
        <v>1028</v>
      </c>
      <c r="U328" s="569" t="s">
        <v>276</v>
      </c>
      <c r="V328" s="569">
        <v>112.2</v>
      </c>
      <c r="W328" s="569">
        <v>18</v>
      </c>
      <c r="X328" s="568">
        <v>5340</v>
      </c>
      <c r="Y328" s="569">
        <v>23</v>
      </c>
      <c r="Z328" s="581" t="s">
        <v>178</v>
      </c>
      <c r="AA328" s="581" t="s">
        <v>178</v>
      </c>
      <c r="AB328" s="585">
        <v>32985</v>
      </c>
      <c r="AC328" s="585" t="s">
        <v>164</v>
      </c>
      <c r="AD328" s="585">
        <v>29288.208333333336</v>
      </c>
      <c r="AE328" s="587">
        <v>0.03</v>
      </c>
      <c r="AF328" s="661" t="str">
        <f t="shared" ref="AF328:AF391" si="38">A328</f>
        <v>2019-SUV-FRD-EDGE-001-27</v>
      </c>
      <c r="AG328" s="661" t="str">
        <f>IF(AND($Y328&gt;=32,(AI328="I"),(Y328&lt;&gt;"~"),(COUNTIF($AN$1:$AN328,$AN328)=1)),"TRUE","FALSE")</f>
        <v>FALSE</v>
      </c>
      <c r="AH328" s="661" t="str">
        <f>IF(AND($Y328&gt;=22, (AI328&lt;&gt;"I"),(Y328&lt;&gt;"~"),(COUNTIF($AN$1:$AN328,$AN328)=1)),"TRUE","FALSE")</f>
        <v>FALSE</v>
      </c>
      <c r="AI328" s="661" t="str">
        <f t="shared" si="33"/>
        <v>II</v>
      </c>
      <c r="AJ328" s="662" t="str">
        <f t="shared" si="34"/>
        <v>EDGE-001</v>
      </c>
      <c r="AK328" s="662" t="str">
        <f t="shared" si="35"/>
        <v>SUV</v>
      </c>
      <c r="AL328" s="662" t="str">
        <f t="shared" si="36"/>
        <v>FRD</v>
      </c>
      <c r="AM328" s="662" t="str">
        <f t="shared" si="32"/>
        <v>Edge-SE-AWD-5-~-~-2.0L EcoBoost-4-K4G-100A-112.2-18-Unleaded-Unleaded</v>
      </c>
      <c r="AN328" s="662" t="str">
        <f t="shared" si="37"/>
        <v>2019-SUV-FRD-EDGE-001</v>
      </c>
    </row>
    <row r="329" spans="1:40" s="572" customFormat="1" ht="15">
      <c r="A329" s="570" t="s">
        <v>1035</v>
      </c>
      <c r="B329" s="573" t="s">
        <v>1036</v>
      </c>
      <c r="C329" s="573" t="s">
        <v>269</v>
      </c>
      <c r="D329" s="578" t="s">
        <v>270</v>
      </c>
      <c r="E329" s="573" t="s">
        <v>699</v>
      </c>
      <c r="F329" s="573" t="s">
        <v>196</v>
      </c>
      <c r="G329" s="573" t="s">
        <v>271</v>
      </c>
      <c r="H329" s="573">
        <v>2019</v>
      </c>
      <c r="I329" s="573" t="s">
        <v>1026</v>
      </c>
      <c r="J329" s="573" t="s">
        <v>330</v>
      </c>
      <c r="K329" s="573" t="s">
        <v>156</v>
      </c>
      <c r="L329" s="573">
        <v>5</v>
      </c>
      <c r="M329" s="573">
        <v>0</v>
      </c>
      <c r="N329" s="573" t="s">
        <v>157</v>
      </c>
      <c r="O329" s="573">
        <v>2</v>
      </c>
      <c r="P329" s="573" t="s">
        <v>157</v>
      </c>
      <c r="Q329" s="571" t="s">
        <v>157</v>
      </c>
      <c r="R329" s="573" t="s">
        <v>1027</v>
      </c>
      <c r="S329" s="573">
        <v>4</v>
      </c>
      <c r="T329" s="573" t="s">
        <v>1037</v>
      </c>
      <c r="U329" s="573" t="s">
        <v>276</v>
      </c>
      <c r="V329" s="573">
        <v>112.2</v>
      </c>
      <c r="W329" s="573">
        <v>18</v>
      </c>
      <c r="X329" s="571">
        <v>5320</v>
      </c>
      <c r="Y329" s="573">
        <v>24</v>
      </c>
      <c r="Z329" s="579" t="s">
        <v>178</v>
      </c>
      <c r="AA329" s="579" t="s">
        <v>178</v>
      </c>
      <c r="AB329" s="584">
        <v>30990</v>
      </c>
      <c r="AC329" s="584" t="s">
        <v>164</v>
      </c>
      <c r="AD329" s="584">
        <v>27423.625</v>
      </c>
      <c r="AE329" s="586">
        <v>0.03</v>
      </c>
      <c r="AF329" s="661" t="str">
        <f t="shared" si="38"/>
        <v>2019-SUV-FRD-EDGE-002-05</v>
      </c>
      <c r="AG329" s="661" t="str">
        <f>IF(AND($Y329&gt;=32,(AI329="I"),(Y329&lt;&gt;"~"),(COUNTIF($AN$1:$AN329,$AN329)=1)),"TRUE","FALSE")</f>
        <v>FALSE</v>
      </c>
      <c r="AH329" s="661" t="str">
        <f>IF(AND($Y329&gt;=22, (AI329&lt;&gt;"I"),(Y329&lt;&gt;"~"),(COUNTIF($AN$1:$AN329,$AN329)=1)),"TRUE","FALSE")</f>
        <v>TRUE</v>
      </c>
      <c r="AI329" s="661" t="str">
        <f t="shared" si="33"/>
        <v>II</v>
      </c>
      <c r="AJ329" s="662" t="str">
        <f t="shared" si="34"/>
        <v>EDGE-002</v>
      </c>
      <c r="AK329" s="662" t="str">
        <f t="shared" si="35"/>
        <v>SUV</v>
      </c>
      <c r="AL329" s="662" t="str">
        <f t="shared" si="36"/>
        <v>FRD</v>
      </c>
      <c r="AM329" s="662" t="str">
        <f t="shared" si="32"/>
        <v>Edge-SE-FWD-5-~-~-2.0L EcoBoost-4-K3G-100A-112.2-18-Unleaded-Unleaded</v>
      </c>
      <c r="AN329" s="662" t="str">
        <f t="shared" si="37"/>
        <v>2019-SUV-FRD-EDGE-002</v>
      </c>
    </row>
    <row r="330" spans="1:40" s="572" customFormat="1" ht="15">
      <c r="A330" s="570" t="s">
        <v>1038</v>
      </c>
      <c r="B330" s="569" t="s">
        <v>1036</v>
      </c>
      <c r="C330" s="569" t="s">
        <v>278</v>
      </c>
      <c r="D330" s="580">
        <v>15</v>
      </c>
      <c r="E330" s="569" t="s">
        <v>699</v>
      </c>
      <c r="F330" s="569" t="s">
        <v>196</v>
      </c>
      <c r="G330" s="569" t="s">
        <v>271</v>
      </c>
      <c r="H330" s="569">
        <v>2019</v>
      </c>
      <c r="I330" s="569" t="s">
        <v>1026</v>
      </c>
      <c r="J330" s="569" t="s">
        <v>330</v>
      </c>
      <c r="K330" s="569" t="s">
        <v>156</v>
      </c>
      <c r="L330" s="569">
        <v>5</v>
      </c>
      <c r="M330" s="569">
        <v>0</v>
      </c>
      <c r="N330" s="569" t="s">
        <v>157</v>
      </c>
      <c r="O330" s="569">
        <v>2</v>
      </c>
      <c r="P330" s="569" t="s">
        <v>157</v>
      </c>
      <c r="Q330" s="568" t="s">
        <v>157</v>
      </c>
      <c r="R330" s="569" t="s">
        <v>1027</v>
      </c>
      <c r="S330" s="569">
        <v>4</v>
      </c>
      <c r="T330" s="569" t="s">
        <v>1037</v>
      </c>
      <c r="U330" s="569" t="s">
        <v>276</v>
      </c>
      <c r="V330" s="569">
        <v>112.2</v>
      </c>
      <c r="W330" s="569">
        <v>18</v>
      </c>
      <c r="X330" s="568">
        <v>5320</v>
      </c>
      <c r="Y330" s="569">
        <v>24</v>
      </c>
      <c r="Z330" s="581" t="s">
        <v>178</v>
      </c>
      <c r="AA330" s="581" t="s">
        <v>178</v>
      </c>
      <c r="AB330" s="585">
        <v>30990</v>
      </c>
      <c r="AC330" s="585" t="s">
        <v>164</v>
      </c>
      <c r="AD330" s="585">
        <v>27750</v>
      </c>
      <c r="AE330" s="587">
        <v>0.01</v>
      </c>
      <c r="AF330" s="661" t="str">
        <f t="shared" si="38"/>
        <v>2019-SUV-FRD-EDGE-002-15</v>
      </c>
      <c r="AG330" s="661" t="str">
        <f>IF(AND($Y330&gt;=32,(AI330="I"),(Y330&lt;&gt;"~"),(COUNTIF($AN$1:$AN330,$AN330)=1)),"TRUE","FALSE")</f>
        <v>FALSE</v>
      </c>
      <c r="AH330" s="661" t="str">
        <f>IF(AND($Y330&gt;=22, (AI330&lt;&gt;"I"),(Y330&lt;&gt;"~"),(COUNTIF($AN$1:$AN330,$AN330)=1)),"TRUE","FALSE")</f>
        <v>FALSE</v>
      </c>
      <c r="AI330" s="661" t="str">
        <f t="shared" si="33"/>
        <v>II</v>
      </c>
      <c r="AJ330" s="662" t="str">
        <f t="shared" si="34"/>
        <v>EDGE-002</v>
      </c>
      <c r="AK330" s="662" t="str">
        <f t="shared" si="35"/>
        <v>SUV</v>
      </c>
      <c r="AL330" s="662" t="str">
        <f t="shared" si="36"/>
        <v>FRD</v>
      </c>
      <c r="AM330" s="662" t="str">
        <f t="shared" si="32"/>
        <v>Edge-SE-FWD-5-~-~-2.0L EcoBoost-4-K3G-100A-112.2-18-Unleaded-Unleaded</v>
      </c>
      <c r="AN330" s="662" t="str">
        <f t="shared" si="37"/>
        <v>2019-SUV-FRD-EDGE-002</v>
      </c>
    </row>
    <row r="331" spans="1:40" s="572" customFormat="1" ht="15">
      <c r="A331" s="570" t="s">
        <v>1039</v>
      </c>
      <c r="B331" s="573" t="s">
        <v>1036</v>
      </c>
      <c r="C331" s="573" t="s">
        <v>287</v>
      </c>
      <c r="D331" s="578">
        <v>26</v>
      </c>
      <c r="E331" s="573" t="s">
        <v>699</v>
      </c>
      <c r="F331" s="573" t="s">
        <v>196</v>
      </c>
      <c r="G331" s="573" t="s">
        <v>271</v>
      </c>
      <c r="H331" s="573">
        <v>2019</v>
      </c>
      <c r="I331" s="573" t="s">
        <v>1026</v>
      </c>
      <c r="J331" s="573" t="s">
        <v>330</v>
      </c>
      <c r="K331" s="573" t="s">
        <v>156</v>
      </c>
      <c r="L331" s="573">
        <v>5</v>
      </c>
      <c r="M331" s="573">
        <v>0</v>
      </c>
      <c r="N331" s="573" t="s">
        <v>157</v>
      </c>
      <c r="O331" s="573">
        <v>2</v>
      </c>
      <c r="P331" s="573" t="s">
        <v>157</v>
      </c>
      <c r="Q331" s="571" t="s">
        <v>157</v>
      </c>
      <c r="R331" s="573" t="s">
        <v>1027</v>
      </c>
      <c r="S331" s="573">
        <v>4</v>
      </c>
      <c r="T331" s="573" t="s">
        <v>1037</v>
      </c>
      <c r="U331" s="573" t="s">
        <v>276</v>
      </c>
      <c r="V331" s="573">
        <v>112.2</v>
      </c>
      <c r="W331" s="573">
        <v>18</v>
      </c>
      <c r="X331" s="571">
        <v>5320</v>
      </c>
      <c r="Y331" s="573">
        <v>24</v>
      </c>
      <c r="Z331" s="579" t="s">
        <v>178</v>
      </c>
      <c r="AA331" s="579" t="s">
        <v>178</v>
      </c>
      <c r="AB331" s="584">
        <v>30990</v>
      </c>
      <c r="AC331" s="584" t="s">
        <v>164</v>
      </c>
      <c r="AD331" s="584">
        <v>28358</v>
      </c>
      <c r="AE331" s="586">
        <v>0.05</v>
      </c>
      <c r="AF331" s="661" t="str">
        <f t="shared" si="38"/>
        <v>2019-SUV-FRD-EDGE-002-26</v>
      </c>
      <c r="AG331" s="661" t="str">
        <f>IF(AND($Y331&gt;=32,(AI331="I"),(Y331&lt;&gt;"~"),(COUNTIF($AN$1:$AN331,$AN331)=1)),"TRUE","FALSE")</f>
        <v>FALSE</v>
      </c>
      <c r="AH331" s="661" t="str">
        <f>IF(AND($Y331&gt;=22, (AI331&lt;&gt;"I"),(Y331&lt;&gt;"~"),(COUNTIF($AN$1:$AN331,$AN331)=1)),"TRUE","FALSE")</f>
        <v>FALSE</v>
      </c>
      <c r="AI331" s="661" t="str">
        <f t="shared" si="33"/>
        <v>II</v>
      </c>
      <c r="AJ331" s="662" t="str">
        <f t="shared" si="34"/>
        <v>EDGE-002</v>
      </c>
      <c r="AK331" s="662" t="str">
        <f t="shared" si="35"/>
        <v>SUV</v>
      </c>
      <c r="AL331" s="662" t="str">
        <f t="shared" si="36"/>
        <v>FRD</v>
      </c>
      <c r="AM331" s="662" t="str">
        <f t="shared" si="32"/>
        <v>Edge-SE-FWD-5-~-~-2.0L EcoBoost-4-K3G-100A-112.2-18-Unleaded-Unleaded</v>
      </c>
      <c r="AN331" s="662" t="str">
        <f t="shared" si="37"/>
        <v>2019-SUV-FRD-EDGE-002</v>
      </c>
    </row>
    <row r="332" spans="1:40" s="572" customFormat="1" ht="15">
      <c r="A332" s="570" t="s">
        <v>1040</v>
      </c>
      <c r="B332" s="569" t="s">
        <v>1036</v>
      </c>
      <c r="C332" s="569" t="s">
        <v>280</v>
      </c>
      <c r="D332" s="580">
        <v>27</v>
      </c>
      <c r="E332" s="569" t="s">
        <v>699</v>
      </c>
      <c r="F332" s="569" t="s">
        <v>196</v>
      </c>
      <c r="G332" s="569" t="s">
        <v>271</v>
      </c>
      <c r="H332" s="569">
        <v>2019</v>
      </c>
      <c r="I332" s="569" t="s">
        <v>1026</v>
      </c>
      <c r="J332" s="569" t="s">
        <v>330</v>
      </c>
      <c r="K332" s="569" t="s">
        <v>156</v>
      </c>
      <c r="L332" s="569">
        <v>5</v>
      </c>
      <c r="M332" s="569">
        <v>0</v>
      </c>
      <c r="N332" s="569" t="s">
        <v>157</v>
      </c>
      <c r="O332" s="569">
        <v>2</v>
      </c>
      <c r="P332" s="569" t="s">
        <v>157</v>
      </c>
      <c r="Q332" s="568" t="s">
        <v>157</v>
      </c>
      <c r="R332" s="569" t="s">
        <v>1027</v>
      </c>
      <c r="S332" s="569">
        <v>4</v>
      </c>
      <c r="T332" s="569" t="s">
        <v>1037</v>
      </c>
      <c r="U332" s="569" t="s">
        <v>276</v>
      </c>
      <c r="V332" s="569">
        <v>112.2</v>
      </c>
      <c r="W332" s="569">
        <v>18</v>
      </c>
      <c r="X332" s="568">
        <v>5320</v>
      </c>
      <c r="Y332" s="569">
        <v>24</v>
      </c>
      <c r="Z332" s="581" t="s">
        <v>178</v>
      </c>
      <c r="AA332" s="581" t="s">
        <v>178</v>
      </c>
      <c r="AB332" s="585">
        <v>30990</v>
      </c>
      <c r="AC332" s="585" t="s">
        <v>164</v>
      </c>
      <c r="AD332" s="585">
        <v>27423.625</v>
      </c>
      <c r="AE332" s="587">
        <v>0.03</v>
      </c>
      <c r="AF332" s="661" t="str">
        <f t="shared" si="38"/>
        <v>2019-SUV-FRD-EDGE-002-27</v>
      </c>
      <c r="AG332" s="661" t="str">
        <f>IF(AND($Y332&gt;=32,(AI332="I"),(Y332&lt;&gt;"~"),(COUNTIF($AN$1:$AN332,$AN332)=1)),"TRUE","FALSE")</f>
        <v>FALSE</v>
      </c>
      <c r="AH332" s="661" t="str">
        <f>IF(AND($Y332&gt;=22, (AI332&lt;&gt;"I"),(Y332&lt;&gt;"~"),(COUNTIF($AN$1:$AN332,$AN332)=1)),"TRUE","FALSE")</f>
        <v>FALSE</v>
      </c>
      <c r="AI332" s="661" t="str">
        <f t="shared" si="33"/>
        <v>II</v>
      </c>
      <c r="AJ332" s="662" t="str">
        <f t="shared" si="34"/>
        <v>EDGE-002</v>
      </c>
      <c r="AK332" s="662" t="str">
        <f t="shared" si="35"/>
        <v>SUV</v>
      </c>
      <c r="AL332" s="662" t="str">
        <f t="shared" si="36"/>
        <v>FRD</v>
      </c>
      <c r="AM332" s="662" t="str">
        <f t="shared" si="32"/>
        <v>Edge-SE-FWD-5-~-~-2.0L EcoBoost-4-K3G-100A-112.2-18-Unleaded-Unleaded</v>
      </c>
      <c r="AN332" s="662" t="str">
        <f t="shared" si="37"/>
        <v>2019-SUV-FRD-EDGE-002</v>
      </c>
    </row>
    <row r="333" spans="1:40" s="572" customFormat="1" ht="15">
      <c r="A333" s="570" t="s">
        <v>1041</v>
      </c>
      <c r="B333" s="573" t="s">
        <v>1042</v>
      </c>
      <c r="C333" s="573" t="s">
        <v>269</v>
      </c>
      <c r="D333" s="578" t="s">
        <v>270</v>
      </c>
      <c r="E333" s="573" t="s">
        <v>699</v>
      </c>
      <c r="F333" s="573" t="s">
        <v>196</v>
      </c>
      <c r="G333" s="573" t="s">
        <v>271</v>
      </c>
      <c r="H333" s="573">
        <v>2019</v>
      </c>
      <c r="I333" s="573" t="s">
        <v>1026</v>
      </c>
      <c r="J333" s="573" t="s">
        <v>337</v>
      </c>
      <c r="K333" s="573" t="s">
        <v>230</v>
      </c>
      <c r="L333" s="573">
        <v>5</v>
      </c>
      <c r="M333" s="573">
        <v>0</v>
      </c>
      <c r="N333" s="573" t="s">
        <v>157</v>
      </c>
      <c r="O333" s="573">
        <v>2</v>
      </c>
      <c r="P333" s="573" t="s">
        <v>157</v>
      </c>
      <c r="Q333" s="571" t="s">
        <v>157</v>
      </c>
      <c r="R333" s="573" t="s">
        <v>1043</v>
      </c>
      <c r="S333" s="573">
        <v>4</v>
      </c>
      <c r="T333" s="573" t="s">
        <v>1044</v>
      </c>
      <c r="U333" s="573" t="s">
        <v>295</v>
      </c>
      <c r="V333" s="573">
        <v>112.2</v>
      </c>
      <c r="W333" s="573">
        <v>18</v>
      </c>
      <c r="X333" s="571">
        <v>5340</v>
      </c>
      <c r="Y333" s="573">
        <v>23</v>
      </c>
      <c r="Z333" s="579" t="s">
        <v>178</v>
      </c>
      <c r="AA333" s="579" t="s">
        <v>178</v>
      </c>
      <c r="AB333" s="584">
        <v>36080</v>
      </c>
      <c r="AC333" s="584" t="s">
        <v>164</v>
      </c>
      <c r="AD333" s="584">
        <v>31820.145833333336</v>
      </c>
      <c r="AE333" s="586">
        <v>0.03</v>
      </c>
      <c r="AF333" s="661" t="str">
        <f t="shared" si="38"/>
        <v>2019-SUV-FRD-EDGE-003-05</v>
      </c>
      <c r="AG333" s="661" t="str">
        <f>IF(AND($Y333&gt;=32,(AI333="I"),(Y333&lt;&gt;"~"),(COUNTIF($AN$1:$AN333,$AN333)=1)),"TRUE","FALSE")</f>
        <v>FALSE</v>
      </c>
      <c r="AH333" s="661" t="str">
        <f>IF(AND($Y333&gt;=22, (AI333&lt;&gt;"I"),(Y333&lt;&gt;"~"),(COUNTIF($AN$1:$AN333,$AN333)=1)),"TRUE","FALSE")</f>
        <v>TRUE</v>
      </c>
      <c r="AI333" s="661" t="str">
        <f t="shared" si="33"/>
        <v>II</v>
      </c>
      <c r="AJ333" s="662" t="str">
        <f t="shared" si="34"/>
        <v>EDGE-003</v>
      </c>
      <c r="AK333" s="662" t="str">
        <f t="shared" si="35"/>
        <v>SUV</v>
      </c>
      <c r="AL333" s="662" t="str">
        <f t="shared" si="36"/>
        <v>FRD</v>
      </c>
      <c r="AM333" s="662" t="str">
        <f t="shared" si="32"/>
        <v>Edge-SEL-AWD-5-~-~-2.0L Ecoboost-4-K4J-200A-112.2-18-Unleaded-Unleaded</v>
      </c>
      <c r="AN333" s="662" t="str">
        <f t="shared" si="37"/>
        <v>2019-SUV-FRD-EDGE-003</v>
      </c>
    </row>
    <row r="334" spans="1:40" s="572" customFormat="1" ht="15">
      <c r="A334" s="570" t="s">
        <v>1045</v>
      </c>
      <c r="B334" s="569" t="s">
        <v>1042</v>
      </c>
      <c r="C334" s="569" t="s">
        <v>278</v>
      </c>
      <c r="D334" s="580">
        <v>15</v>
      </c>
      <c r="E334" s="569" t="s">
        <v>699</v>
      </c>
      <c r="F334" s="569" t="s">
        <v>196</v>
      </c>
      <c r="G334" s="569" t="s">
        <v>271</v>
      </c>
      <c r="H334" s="569">
        <v>2019</v>
      </c>
      <c r="I334" s="569" t="s">
        <v>1026</v>
      </c>
      <c r="J334" s="569" t="s">
        <v>337</v>
      </c>
      <c r="K334" s="569" t="s">
        <v>230</v>
      </c>
      <c r="L334" s="569">
        <v>5</v>
      </c>
      <c r="M334" s="569">
        <v>0</v>
      </c>
      <c r="N334" s="569" t="s">
        <v>157</v>
      </c>
      <c r="O334" s="569">
        <v>2</v>
      </c>
      <c r="P334" s="569" t="s">
        <v>157</v>
      </c>
      <c r="Q334" s="568" t="s">
        <v>157</v>
      </c>
      <c r="R334" s="569" t="s">
        <v>1043</v>
      </c>
      <c r="S334" s="569">
        <v>4</v>
      </c>
      <c r="T334" s="569" t="s">
        <v>1044</v>
      </c>
      <c r="U334" s="569" t="s">
        <v>295</v>
      </c>
      <c r="V334" s="569">
        <v>112.2</v>
      </c>
      <c r="W334" s="569">
        <v>18</v>
      </c>
      <c r="X334" s="568">
        <v>5340</v>
      </c>
      <c r="Y334" s="569">
        <v>23</v>
      </c>
      <c r="Z334" s="581" t="s">
        <v>178</v>
      </c>
      <c r="AA334" s="581" t="s">
        <v>178</v>
      </c>
      <c r="AB334" s="585">
        <v>36080</v>
      </c>
      <c r="AC334" s="585" t="s">
        <v>164</v>
      </c>
      <c r="AD334" s="585">
        <v>32250</v>
      </c>
      <c r="AE334" s="587">
        <v>0.01</v>
      </c>
      <c r="AF334" s="661" t="str">
        <f t="shared" si="38"/>
        <v>2019-SUV-FRD-EDGE-003-15</v>
      </c>
      <c r="AG334" s="661" t="str">
        <f>IF(AND($Y334&gt;=32,(AI334="I"),(Y334&lt;&gt;"~"),(COUNTIF($AN$1:$AN334,$AN334)=1)),"TRUE","FALSE")</f>
        <v>FALSE</v>
      </c>
      <c r="AH334" s="661" t="str">
        <f>IF(AND($Y334&gt;=22, (AI334&lt;&gt;"I"),(Y334&lt;&gt;"~"),(COUNTIF($AN$1:$AN334,$AN334)=1)),"TRUE","FALSE")</f>
        <v>FALSE</v>
      </c>
      <c r="AI334" s="661" t="str">
        <f t="shared" si="33"/>
        <v>II</v>
      </c>
      <c r="AJ334" s="662" t="str">
        <f t="shared" si="34"/>
        <v>EDGE-003</v>
      </c>
      <c r="AK334" s="662" t="str">
        <f t="shared" si="35"/>
        <v>SUV</v>
      </c>
      <c r="AL334" s="662" t="str">
        <f t="shared" si="36"/>
        <v>FRD</v>
      </c>
      <c r="AM334" s="662" t="str">
        <f t="shared" si="32"/>
        <v>Edge-SEL-AWD-5-~-~-2.0L Ecoboost-4-K4J-200A-112.2-18-Unleaded-Unleaded</v>
      </c>
      <c r="AN334" s="662" t="str">
        <f t="shared" si="37"/>
        <v>2019-SUV-FRD-EDGE-003</v>
      </c>
    </row>
    <row r="335" spans="1:40" s="572" customFormat="1" ht="15">
      <c r="A335" s="570" t="s">
        <v>1046</v>
      </c>
      <c r="B335" s="573" t="s">
        <v>1042</v>
      </c>
      <c r="C335" s="573" t="s">
        <v>287</v>
      </c>
      <c r="D335" s="578">
        <v>26</v>
      </c>
      <c r="E335" s="573" t="s">
        <v>699</v>
      </c>
      <c r="F335" s="573" t="s">
        <v>196</v>
      </c>
      <c r="G335" s="573" t="s">
        <v>271</v>
      </c>
      <c r="H335" s="573">
        <v>2019</v>
      </c>
      <c r="I335" s="573" t="s">
        <v>1026</v>
      </c>
      <c r="J335" s="573" t="s">
        <v>337</v>
      </c>
      <c r="K335" s="573" t="s">
        <v>230</v>
      </c>
      <c r="L335" s="573">
        <v>5</v>
      </c>
      <c r="M335" s="573">
        <v>0</v>
      </c>
      <c r="N335" s="573" t="s">
        <v>157</v>
      </c>
      <c r="O335" s="573">
        <v>2</v>
      </c>
      <c r="P335" s="573" t="s">
        <v>157</v>
      </c>
      <c r="Q335" s="571" t="s">
        <v>157</v>
      </c>
      <c r="R335" s="573" t="s">
        <v>1043</v>
      </c>
      <c r="S335" s="573">
        <v>4</v>
      </c>
      <c r="T335" s="573" t="s">
        <v>1044</v>
      </c>
      <c r="U335" s="573" t="s">
        <v>295</v>
      </c>
      <c r="V335" s="573">
        <v>112.2</v>
      </c>
      <c r="W335" s="573">
        <v>18</v>
      </c>
      <c r="X335" s="571">
        <v>5340</v>
      </c>
      <c r="Y335" s="573">
        <v>23</v>
      </c>
      <c r="Z335" s="579" t="s">
        <v>178</v>
      </c>
      <c r="AA335" s="579" t="s">
        <v>178</v>
      </c>
      <c r="AB335" s="584">
        <v>36080</v>
      </c>
      <c r="AC335" s="584" t="s">
        <v>164</v>
      </c>
      <c r="AD335" s="584">
        <v>32775</v>
      </c>
      <c r="AE335" s="586">
        <v>0.05</v>
      </c>
      <c r="AF335" s="661" t="str">
        <f t="shared" si="38"/>
        <v>2019-SUV-FRD-EDGE-003-26</v>
      </c>
      <c r="AG335" s="661" t="str">
        <f>IF(AND($Y335&gt;=32,(AI335="I"),(Y335&lt;&gt;"~"),(COUNTIF($AN$1:$AN335,$AN335)=1)),"TRUE","FALSE")</f>
        <v>FALSE</v>
      </c>
      <c r="AH335" s="661" t="str">
        <f>IF(AND($Y335&gt;=22, (AI335&lt;&gt;"I"),(Y335&lt;&gt;"~"),(COUNTIF($AN$1:$AN335,$AN335)=1)),"TRUE","FALSE")</f>
        <v>FALSE</v>
      </c>
      <c r="AI335" s="661" t="str">
        <f t="shared" si="33"/>
        <v>II</v>
      </c>
      <c r="AJ335" s="662" t="str">
        <f t="shared" si="34"/>
        <v>EDGE-003</v>
      </c>
      <c r="AK335" s="662" t="str">
        <f t="shared" si="35"/>
        <v>SUV</v>
      </c>
      <c r="AL335" s="662" t="str">
        <f t="shared" si="36"/>
        <v>FRD</v>
      </c>
      <c r="AM335" s="662" t="str">
        <f t="shared" si="32"/>
        <v>Edge-SEL-AWD-5-~-~-2.0L Ecoboost-4-K4J-200A-112.2-18-Unleaded-Unleaded</v>
      </c>
      <c r="AN335" s="662" t="str">
        <f t="shared" si="37"/>
        <v>2019-SUV-FRD-EDGE-003</v>
      </c>
    </row>
    <row r="336" spans="1:40" s="572" customFormat="1" ht="15">
      <c r="A336" s="570" t="s">
        <v>1047</v>
      </c>
      <c r="B336" s="569" t="s">
        <v>1042</v>
      </c>
      <c r="C336" s="569" t="s">
        <v>280</v>
      </c>
      <c r="D336" s="580">
        <v>27</v>
      </c>
      <c r="E336" s="569" t="s">
        <v>699</v>
      </c>
      <c r="F336" s="569" t="s">
        <v>196</v>
      </c>
      <c r="G336" s="569" t="s">
        <v>271</v>
      </c>
      <c r="H336" s="569">
        <v>2019</v>
      </c>
      <c r="I336" s="569" t="s">
        <v>1026</v>
      </c>
      <c r="J336" s="569" t="s">
        <v>337</v>
      </c>
      <c r="K336" s="569" t="s">
        <v>230</v>
      </c>
      <c r="L336" s="569">
        <v>5</v>
      </c>
      <c r="M336" s="569">
        <v>0</v>
      </c>
      <c r="N336" s="569" t="s">
        <v>157</v>
      </c>
      <c r="O336" s="569">
        <v>2</v>
      </c>
      <c r="P336" s="569" t="s">
        <v>157</v>
      </c>
      <c r="Q336" s="568" t="s">
        <v>157</v>
      </c>
      <c r="R336" s="569" t="s">
        <v>1043</v>
      </c>
      <c r="S336" s="569">
        <v>4</v>
      </c>
      <c r="T336" s="569" t="s">
        <v>1044</v>
      </c>
      <c r="U336" s="569" t="s">
        <v>295</v>
      </c>
      <c r="V336" s="569">
        <v>112.2</v>
      </c>
      <c r="W336" s="569">
        <v>18</v>
      </c>
      <c r="X336" s="568">
        <v>5340</v>
      </c>
      <c r="Y336" s="569">
        <v>23</v>
      </c>
      <c r="Z336" s="581" t="s">
        <v>178</v>
      </c>
      <c r="AA336" s="581" t="s">
        <v>178</v>
      </c>
      <c r="AB336" s="585">
        <v>36080</v>
      </c>
      <c r="AC336" s="585" t="s">
        <v>164</v>
      </c>
      <c r="AD336" s="585">
        <v>31820.145833333336</v>
      </c>
      <c r="AE336" s="587">
        <v>0.03</v>
      </c>
      <c r="AF336" s="661" t="str">
        <f t="shared" si="38"/>
        <v>2019-SUV-FRD-EDGE-003-27</v>
      </c>
      <c r="AG336" s="661" t="str">
        <f>IF(AND($Y336&gt;=32,(AI336="I"),(Y336&lt;&gt;"~"),(COUNTIF($AN$1:$AN336,$AN336)=1)),"TRUE","FALSE")</f>
        <v>FALSE</v>
      </c>
      <c r="AH336" s="661" t="str">
        <f>IF(AND($Y336&gt;=22, (AI336&lt;&gt;"I"),(Y336&lt;&gt;"~"),(COUNTIF($AN$1:$AN336,$AN336)=1)),"TRUE","FALSE")</f>
        <v>FALSE</v>
      </c>
      <c r="AI336" s="661" t="str">
        <f t="shared" si="33"/>
        <v>II</v>
      </c>
      <c r="AJ336" s="662" t="str">
        <f t="shared" si="34"/>
        <v>EDGE-003</v>
      </c>
      <c r="AK336" s="662" t="str">
        <f t="shared" si="35"/>
        <v>SUV</v>
      </c>
      <c r="AL336" s="662" t="str">
        <f t="shared" si="36"/>
        <v>FRD</v>
      </c>
      <c r="AM336" s="662" t="str">
        <f t="shared" si="32"/>
        <v>Edge-SEL-AWD-5-~-~-2.0L Ecoboost-4-K4J-200A-112.2-18-Unleaded-Unleaded</v>
      </c>
      <c r="AN336" s="662" t="str">
        <f t="shared" si="37"/>
        <v>2019-SUV-FRD-EDGE-003</v>
      </c>
    </row>
    <row r="337" spans="1:40" s="572" customFormat="1" ht="15">
      <c r="A337" s="570" t="s">
        <v>1048</v>
      </c>
      <c r="B337" s="573" t="s">
        <v>1049</v>
      </c>
      <c r="C337" s="573" t="s">
        <v>269</v>
      </c>
      <c r="D337" s="578" t="s">
        <v>270</v>
      </c>
      <c r="E337" s="573" t="s">
        <v>699</v>
      </c>
      <c r="F337" s="573" t="s">
        <v>196</v>
      </c>
      <c r="G337" s="573" t="s">
        <v>271</v>
      </c>
      <c r="H337" s="573">
        <v>2019</v>
      </c>
      <c r="I337" s="573" t="s">
        <v>1026</v>
      </c>
      <c r="J337" s="573" t="s">
        <v>337</v>
      </c>
      <c r="K337" s="573" t="s">
        <v>156</v>
      </c>
      <c r="L337" s="573">
        <v>5</v>
      </c>
      <c r="M337" s="573">
        <v>0</v>
      </c>
      <c r="N337" s="573" t="s">
        <v>157</v>
      </c>
      <c r="O337" s="573">
        <v>2</v>
      </c>
      <c r="P337" s="573" t="s">
        <v>157</v>
      </c>
      <c r="Q337" s="571" t="s">
        <v>157</v>
      </c>
      <c r="R337" s="573" t="s">
        <v>1043</v>
      </c>
      <c r="S337" s="573">
        <v>4</v>
      </c>
      <c r="T337" s="573" t="s">
        <v>1050</v>
      </c>
      <c r="U337" s="573" t="s">
        <v>295</v>
      </c>
      <c r="V337" s="573">
        <v>112.2</v>
      </c>
      <c r="W337" s="573">
        <v>18</v>
      </c>
      <c r="X337" s="571">
        <v>5320</v>
      </c>
      <c r="Y337" s="573">
        <v>24</v>
      </c>
      <c r="Z337" s="579" t="s">
        <v>178</v>
      </c>
      <c r="AA337" s="579" t="s">
        <v>178</v>
      </c>
      <c r="AB337" s="584">
        <v>34085</v>
      </c>
      <c r="AC337" s="584" t="s">
        <v>164</v>
      </c>
      <c r="AD337" s="584">
        <v>29975.354166666668</v>
      </c>
      <c r="AE337" s="586">
        <v>0.03</v>
      </c>
      <c r="AF337" s="661" t="str">
        <f t="shared" si="38"/>
        <v>2019-SUV-FRD-EDGE-004-05</v>
      </c>
      <c r="AG337" s="661" t="str">
        <f>IF(AND($Y337&gt;=32,(AI337="I"),(Y337&lt;&gt;"~"),(COUNTIF($AN$1:$AN337,$AN337)=1)),"TRUE","FALSE")</f>
        <v>FALSE</v>
      </c>
      <c r="AH337" s="661" t="str">
        <f>IF(AND($Y337&gt;=22, (AI337&lt;&gt;"I"),(Y337&lt;&gt;"~"),(COUNTIF($AN$1:$AN337,$AN337)=1)),"TRUE","FALSE")</f>
        <v>TRUE</v>
      </c>
      <c r="AI337" s="661" t="str">
        <f t="shared" si="33"/>
        <v>II</v>
      </c>
      <c r="AJ337" s="662" t="str">
        <f t="shared" si="34"/>
        <v>EDGE-004</v>
      </c>
      <c r="AK337" s="662" t="str">
        <f t="shared" si="35"/>
        <v>SUV</v>
      </c>
      <c r="AL337" s="662" t="str">
        <f t="shared" si="36"/>
        <v>FRD</v>
      </c>
      <c r="AM337" s="662" t="str">
        <f t="shared" si="32"/>
        <v>Edge-SEL-FWD-5-~-~-2.0L Ecoboost-4-K3J-200A-112.2-18-Unleaded-Unleaded</v>
      </c>
      <c r="AN337" s="662" t="str">
        <f t="shared" si="37"/>
        <v>2019-SUV-FRD-EDGE-004</v>
      </c>
    </row>
    <row r="338" spans="1:40" s="572" customFormat="1" ht="15">
      <c r="A338" s="570" t="s">
        <v>1051</v>
      </c>
      <c r="B338" s="569" t="s">
        <v>1049</v>
      </c>
      <c r="C338" s="569" t="s">
        <v>278</v>
      </c>
      <c r="D338" s="580">
        <v>15</v>
      </c>
      <c r="E338" s="569" t="s">
        <v>699</v>
      </c>
      <c r="F338" s="569" t="s">
        <v>196</v>
      </c>
      <c r="G338" s="569" t="s">
        <v>271</v>
      </c>
      <c r="H338" s="569">
        <v>2019</v>
      </c>
      <c r="I338" s="569" t="s">
        <v>1026</v>
      </c>
      <c r="J338" s="569" t="s">
        <v>337</v>
      </c>
      <c r="K338" s="569" t="s">
        <v>156</v>
      </c>
      <c r="L338" s="569">
        <v>5</v>
      </c>
      <c r="M338" s="569">
        <v>0</v>
      </c>
      <c r="N338" s="569" t="s">
        <v>157</v>
      </c>
      <c r="O338" s="569">
        <v>2</v>
      </c>
      <c r="P338" s="569" t="s">
        <v>157</v>
      </c>
      <c r="Q338" s="568" t="s">
        <v>157</v>
      </c>
      <c r="R338" s="569" t="s">
        <v>1043</v>
      </c>
      <c r="S338" s="569">
        <v>4</v>
      </c>
      <c r="T338" s="569" t="s">
        <v>1050</v>
      </c>
      <c r="U338" s="569" t="s">
        <v>295</v>
      </c>
      <c r="V338" s="569">
        <v>112.2</v>
      </c>
      <c r="W338" s="569">
        <v>18</v>
      </c>
      <c r="X338" s="568">
        <v>5320</v>
      </c>
      <c r="Y338" s="569">
        <v>24</v>
      </c>
      <c r="Z338" s="581" t="s">
        <v>178</v>
      </c>
      <c r="AA338" s="581" t="s">
        <v>178</v>
      </c>
      <c r="AB338" s="585">
        <v>34085</v>
      </c>
      <c r="AC338" s="585" t="s">
        <v>164</v>
      </c>
      <c r="AD338" s="585">
        <v>30350</v>
      </c>
      <c r="AE338" s="587">
        <v>0.01</v>
      </c>
      <c r="AF338" s="661" t="str">
        <f t="shared" si="38"/>
        <v>2019-SUV-FRD-EDGE-004-15</v>
      </c>
      <c r="AG338" s="661" t="str">
        <f>IF(AND($Y338&gt;=32,(AI338="I"),(Y338&lt;&gt;"~"),(COUNTIF($AN$1:$AN338,$AN338)=1)),"TRUE","FALSE")</f>
        <v>FALSE</v>
      </c>
      <c r="AH338" s="661" t="str">
        <f>IF(AND($Y338&gt;=22, (AI338&lt;&gt;"I"),(Y338&lt;&gt;"~"),(COUNTIF($AN$1:$AN338,$AN338)=1)),"TRUE","FALSE")</f>
        <v>FALSE</v>
      </c>
      <c r="AI338" s="661" t="str">
        <f t="shared" si="33"/>
        <v>II</v>
      </c>
      <c r="AJ338" s="662" t="str">
        <f t="shared" si="34"/>
        <v>EDGE-004</v>
      </c>
      <c r="AK338" s="662" t="str">
        <f t="shared" si="35"/>
        <v>SUV</v>
      </c>
      <c r="AL338" s="662" t="str">
        <f t="shared" si="36"/>
        <v>FRD</v>
      </c>
      <c r="AM338" s="662" t="str">
        <f t="shared" si="32"/>
        <v>Edge-SEL-FWD-5-~-~-2.0L Ecoboost-4-K3J-200A-112.2-18-Unleaded-Unleaded</v>
      </c>
      <c r="AN338" s="662" t="str">
        <f t="shared" si="37"/>
        <v>2019-SUV-FRD-EDGE-004</v>
      </c>
    </row>
    <row r="339" spans="1:40" s="572" customFormat="1" ht="15">
      <c r="A339" s="570" t="s">
        <v>1052</v>
      </c>
      <c r="B339" s="573" t="s">
        <v>1049</v>
      </c>
      <c r="C339" s="573" t="s">
        <v>287</v>
      </c>
      <c r="D339" s="578">
        <v>26</v>
      </c>
      <c r="E339" s="573" t="s">
        <v>699</v>
      </c>
      <c r="F339" s="573" t="s">
        <v>196</v>
      </c>
      <c r="G339" s="573" t="s">
        <v>271</v>
      </c>
      <c r="H339" s="573">
        <v>2019</v>
      </c>
      <c r="I339" s="573" t="s">
        <v>1026</v>
      </c>
      <c r="J339" s="573" t="s">
        <v>337</v>
      </c>
      <c r="K339" s="573" t="s">
        <v>156</v>
      </c>
      <c r="L339" s="573">
        <v>5</v>
      </c>
      <c r="M339" s="573">
        <v>0</v>
      </c>
      <c r="N339" s="573" t="s">
        <v>157</v>
      </c>
      <c r="O339" s="573">
        <v>2</v>
      </c>
      <c r="P339" s="573" t="s">
        <v>157</v>
      </c>
      <c r="Q339" s="571" t="s">
        <v>157</v>
      </c>
      <c r="R339" s="573" t="s">
        <v>1043</v>
      </c>
      <c r="S339" s="573">
        <v>4</v>
      </c>
      <c r="T339" s="573" t="s">
        <v>1050</v>
      </c>
      <c r="U339" s="573" t="s">
        <v>295</v>
      </c>
      <c r="V339" s="573">
        <v>112.2</v>
      </c>
      <c r="W339" s="573">
        <v>18</v>
      </c>
      <c r="X339" s="571">
        <v>5320</v>
      </c>
      <c r="Y339" s="573">
        <v>24</v>
      </c>
      <c r="Z339" s="579" t="s">
        <v>178</v>
      </c>
      <c r="AA339" s="579" t="s">
        <v>178</v>
      </c>
      <c r="AB339" s="584">
        <v>34085</v>
      </c>
      <c r="AC339" s="584" t="s">
        <v>164</v>
      </c>
      <c r="AD339" s="584">
        <v>30873</v>
      </c>
      <c r="AE339" s="586">
        <v>0.05</v>
      </c>
      <c r="AF339" s="661" t="str">
        <f t="shared" si="38"/>
        <v>2019-SUV-FRD-EDGE-004-26</v>
      </c>
      <c r="AG339" s="661" t="str">
        <f>IF(AND($Y339&gt;=32,(AI339="I"),(Y339&lt;&gt;"~"),(COUNTIF($AN$1:$AN339,$AN339)=1)),"TRUE","FALSE")</f>
        <v>FALSE</v>
      </c>
      <c r="AH339" s="661" t="str">
        <f>IF(AND($Y339&gt;=22, (AI339&lt;&gt;"I"),(Y339&lt;&gt;"~"),(COUNTIF($AN$1:$AN339,$AN339)=1)),"TRUE","FALSE")</f>
        <v>FALSE</v>
      </c>
      <c r="AI339" s="661" t="str">
        <f t="shared" si="33"/>
        <v>II</v>
      </c>
      <c r="AJ339" s="662" t="str">
        <f t="shared" si="34"/>
        <v>EDGE-004</v>
      </c>
      <c r="AK339" s="662" t="str">
        <f t="shared" si="35"/>
        <v>SUV</v>
      </c>
      <c r="AL339" s="662" t="str">
        <f t="shared" si="36"/>
        <v>FRD</v>
      </c>
      <c r="AM339" s="662" t="str">
        <f t="shared" si="32"/>
        <v>Edge-SEL-FWD-5-~-~-2.0L Ecoboost-4-K3J-200A-112.2-18-Unleaded-Unleaded</v>
      </c>
      <c r="AN339" s="662" t="str">
        <f t="shared" si="37"/>
        <v>2019-SUV-FRD-EDGE-004</v>
      </c>
    </row>
    <row r="340" spans="1:40" s="572" customFormat="1" ht="15">
      <c r="A340" s="570" t="s">
        <v>1053</v>
      </c>
      <c r="B340" s="569" t="s">
        <v>1049</v>
      </c>
      <c r="C340" s="569" t="s">
        <v>280</v>
      </c>
      <c r="D340" s="580">
        <v>27</v>
      </c>
      <c r="E340" s="569" t="s">
        <v>699</v>
      </c>
      <c r="F340" s="569" t="s">
        <v>196</v>
      </c>
      <c r="G340" s="569" t="s">
        <v>271</v>
      </c>
      <c r="H340" s="569">
        <v>2019</v>
      </c>
      <c r="I340" s="569" t="s">
        <v>1026</v>
      </c>
      <c r="J340" s="569" t="s">
        <v>337</v>
      </c>
      <c r="K340" s="569" t="s">
        <v>156</v>
      </c>
      <c r="L340" s="569">
        <v>5</v>
      </c>
      <c r="M340" s="569">
        <v>0</v>
      </c>
      <c r="N340" s="569" t="s">
        <v>157</v>
      </c>
      <c r="O340" s="569">
        <v>2</v>
      </c>
      <c r="P340" s="569" t="s">
        <v>157</v>
      </c>
      <c r="Q340" s="568" t="s">
        <v>157</v>
      </c>
      <c r="R340" s="569" t="s">
        <v>1043</v>
      </c>
      <c r="S340" s="569">
        <v>4</v>
      </c>
      <c r="T340" s="569" t="s">
        <v>1050</v>
      </c>
      <c r="U340" s="569" t="s">
        <v>295</v>
      </c>
      <c r="V340" s="569">
        <v>112.2</v>
      </c>
      <c r="W340" s="569">
        <v>18</v>
      </c>
      <c r="X340" s="568">
        <v>5320</v>
      </c>
      <c r="Y340" s="569">
        <v>24</v>
      </c>
      <c r="Z340" s="581" t="s">
        <v>178</v>
      </c>
      <c r="AA340" s="581" t="s">
        <v>178</v>
      </c>
      <c r="AB340" s="585">
        <v>34085</v>
      </c>
      <c r="AC340" s="585" t="s">
        <v>164</v>
      </c>
      <c r="AD340" s="585">
        <v>29975.354166666668</v>
      </c>
      <c r="AE340" s="587">
        <v>0.03</v>
      </c>
      <c r="AF340" s="661" t="str">
        <f t="shared" si="38"/>
        <v>2019-SUV-FRD-EDGE-004-27</v>
      </c>
      <c r="AG340" s="661" t="str">
        <f>IF(AND($Y340&gt;=32,(AI340="I"),(Y340&lt;&gt;"~"),(COUNTIF($AN$1:$AN340,$AN340)=1)),"TRUE","FALSE")</f>
        <v>FALSE</v>
      </c>
      <c r="AH340" s="661" t="str">
        <f>IF(AND($Y340&gt;=22, (AI340&lt;&gt;"I"),(Y340&lt;&gt;"~"),(COUNTIF($AN$1:$AN340,$AN340)=1)),"TRUE","FALSE")</f>
        <v>FALSE</v>
      </c>
      <c r="AI340" s="661" t="str">
        <f t="shared" si="33"/>
        <v>II</v>
      </c>
      <c r="AJ340" s="662" t="str">
        <f t="shared" si="34"/>
        <v>EDGE-004</v>
      </c>
      <c r="AK340" s="662" t="str">
        <f t="shared" si="35"/>
        <v>SUV</v>
      </c>
      <c r="AL340" s="662" t="str">
        <f t="shared" si="36"/>
        <v>FRD</v>
      </c>
      <c r="AM340" s="662" t="str">
        <f t="shared" si="32"/>
        <v>Edge-SEL-FWD-5-~-~-2.0L Ecoboost-4-K3J-200A-112.2-18-Unleaded-Unleaded</v>
      </c>
      <c r="AN340" s="662" t="str">
        <f t="shared" si="37"/>
        <v>2019-SUV-FRD-EDGE-004</v>
      </c>
    </row>
    <row r="341" spans="1:40" s="572" customFormat="1" ht="15">
      <c r="A341" s="570" t="s">
        <v>1054</v>
      </c>
      <c r="B341" s="573" t="s">
        <v>1055</v>
      </c>
      <c r="C341" s="573" t="s">
        <v>278</v>
      </c>
      <c r="D341" s="578">
        <v>15</v>
      </c>
      <c r="E341" s="573" t="s">
        <v>699</v>
      </c>
      <c r="F341" s="573" t="s">
        <v>196</v>
      </c>
      <c r="G341" s="573" t="s">
        <v>271</v>
      </c>
      <c r="H341" s="573">
        <v>2019</v>
      </c>
      <c r="I341" s="573" t="s">
        <v>1026</v>
      </c>
      <c r="J341" s="573" t="s">
        <v>409</v>
      </c>
      <c r="K341" s="573" t="s">
        <v>230</v>
      </c>
      <c r="L341" s="573">
        <v>5</v>
      </c>
      <c r="M341" s="573">
        <v>0</v>
      </c>
      <c r="N341" s="573" t="s">
        <v>157</v>
      </c>
      <c r="O341" s="573">
        <v>2</v>
      </c>
      <c r="P341" s="573" t="s">
        <v>157</v>
      </c>
      <c r="Q341" s="571" t="s">
        <v>157</v>
      </c>
      <c r="R341" s="573" t="s">
        <v>1043</v>
      </c>
      <c r="S341" s="573">
        <v>4</v>
      </c>
      <c r="T341" s="573" t="s">
        <v>1056</v>
      </c>
      <c r="U341" s="573" t="s">
        <v>310</v>
      </c>
      <c r="V341" s="573">
        <v>112.2</v>
      </c>
      <c r="W341" s="573">
        <v>18</v>
      </c>
      <c r="X341" s="571">
        <v>5340</v>
      </c>
      <c r="Y341" s="573">
        <v>23</v>
      </c>
      <c r="Z341" s="579" t="s">
        <v>178</v>
      </c>
      <c r="AA341" s="579" t="s">
        <v>178</v>
      </c>
      <c r="AB341" s="584">
        <v>43350</v>
      </c>
      <c r="AC341" s="584" t="s">
        <v>164</v>
      </c>
      <c r="AD341" s="584">
        <v>39150</v>
      </c>
      <c r="AE341" s="586">
        <v>0.01</v>
      </c>
      <c r="AF341" s="661" t="str">
        <f t="shared" si="38"/>
        <v>2019-SUV-FRD-EDGE-005-15</v>
      </c>
      <c r="AG341" s="661" t="str">
        <f>IF(AND($Y341&gt;=32,(AI341="I"),(Y341&lt;&gt;"~"),(COUNTIF($AN$1:$AN341,$AN341)=1)),"TRUE","FALSE")</f>
        <v>FALSE</v>
      </c>
      <c r="AH341" s="661" t="str">
        <f>IF(AND($Y341&gt;=22, (AI341&lt;&gt;"I"),(Y341&lt;&gt;"~"),(COUNTIF($AN$1:$AN341,$AN341)=1)),"TRUE","FALSE")</f>
        <v>TRUE</v>
      </c>
      <c r="AI341" s="661" t="str">
        <f t="shared" si="33"/>
        <v>II</v>
      </c>
      <c r="AJ341" s="662" t="str">
        <f t="shared" si="34"/>
        <v>EDGE-005</v>
      </c>
      <c r="AK341" s="662" t="str">
        <f t="shared" si="35"/>
        <v>SUV</v>
      </c>
      <c r="AL341" s="662" t="str">
        <f t="shared" si="36"/>
        <v>FRD</v>
      </c>
      <c r="AM341" s="662" t="str">
        <f t="shared" si="32"/>
        <v>Edge-Sport-AWD-5-~-~-2.0L Ecoboost-4-K4A-400A-112.2-18-Unleaded-Unleaded</v>
      </c>
      <c r="AN341" s="662" t="str">
        <f t="shared" si="37"/>
        <v>2019-SUV-FRD-EDGE-005</v>
      </c>
    </row>
    <row r="342" spans="1:40" s="572" customFormat="1" ht="15">
      <c r="A342" s="570" t="s">
        <v>1057</v>
      </c>
      <c r="B342" s="569" t="s">
        <v>1058</v>
      </c>
      <c r="C342" s="569" t="s">
        <v>287</v>
      </c>
      <c r="D342" s="580">
        <v>26</v>
      </c>
      <c r="E342" s="569" t="s">
        <v>699</v>
      </c>
      <c r="F342" s="569" t="s">
        <v>196</v>
      </c>
      <c r="G342" s="569" t="s">
        <v>271</v>
      </c>
      <c r="H342" s="569">
        <v>2019</v>
      </c>
      <c r="I342" s="569" t="s">
        <v>1026</v>
      </c>
      <c r="J342" s="569" t="s">
        <v>409</v>
      </c>
      <c r="K342" s="569" t="s">
        <v>230</v>
      </c>
      <c r="L342" s="569">
        <v>5</v>
      </c>
      <c r="M342" s="569">
        <v>0</v>
      </c>
      <c r="N342" s="569" t="s">
        <v>157</v>
      </c>
      <c r="O342" s="569">
        <v>2</v>
      </c>
      <c r="P342" s="569" t="s">
        <v>157</v>
      </c>
      <c r="Q342" s="568" t="s">
        <v>157</v>
      </c>
      <c r="R342" s="569" t="s">
        <v>410</v>
      </c>
      <c r="S342" s="569">
        <v>4</v>
      </c>
      <c r="T342" s="569" t="s">
        <v>1056</v>
      </c>
      <c r="U342" s="569" t="s">
        <v>310</v>
      </c>
      <c r="V342" s="569">
        <v>112.2</v>
      </c>
      <c r="W342" s="569">
        <v>18</v>
      </c>
      <c r="X342" s="568">
        <v>5340</v>
      </c>
      <c r="Y342" s="569">
        <v>23</v>
      </c>
      <c r="Z342" s="581" t="s">
        <v>178</v>
      </c>
      <c r="AA342" s="581" t="s">
        <v>178</v>
      </c>
      <c r="AB342" s="585">
        <v>43850</v>
      </c>
      <c r="AC342" s="585" t="s">
        <v>164</v>
      </c>
      <c r="AD342" s="585">
        <v>39779</v>
      </c>
      <c r="AE342" s="587">
        <v>0.05</v>
      </c>
      <c r="AF342" s="661" t="str">
        <f t="shared" si="38"/>
        <v>2019-SUV-FRD-EDGE-008-26</v>
      </c>
      <c r="AG342" s="661" t="str">
        <f>IF(AND($Y342&gt;=32,(AI342="I"),(Y342&lt;&gt;"~"),(COUNTIF($AN$1:$AN342,$AN342)=1)),"TRUE","FALSE")</f>
        <v>FALSE</v>
      </c>
      <c r="AH342" s="661" t="str">
        <f>IF(AND($Y342&gt;=22, (AI342&lt;&gt;"I"),(Y342&lt;&gt;"~"),(COUNTIF($AN$1:$AN342,$AN342)=1)),"TRUE","FALSE")</f>
        <v>TRUE</v>
      </c>
      <c r="AI342" s="661" t="str">
        <f t="shared" si="33"/>
        <v>II</v>
      </c>
      <c r="AJ342" s="662" t="str">
        <f t="shared" si="34"/>
        <v>EDGE-008</v>
      </c>
      <c r="AK342" s="662" t="str">
        <f t="shared" si="35"/>
        <v>SUV</v>
      </c>
      <c r="AL342" s="662" t="str">
        <f t="shared" si="36"/>
        <v>FRD</v>
      </c>
      <c r="AM342" s="662" t="str">
        <f t="shared" si="32"/>
        <v>Edge-Sport-AWD-5-~-~-2.7L Ecoboost-4-K4A-400A-112.2-18-Unleaded-Unleaded</v>
      </c>
      <c r="AN342" s="662" t="str">
        <f t="shared" si="37"/>
        <v>2019-SUV-FRD-EDGE-008</v>
      </c>
    </row>
    <row r="343" spans="1:40" s="572" customFormat="1" ht="15">
      <c r="A343" s="570" t="s">
        <v>1059</v>
      </c>
      <c r="B343" s="573" t="s">
        <v>1058</v>
      </c>
      <c r="C343" s="573" t="s">
        <v>269</v>
      </c>
      <c r="D343" s="578" t="s">
        <v>270</v>
      </c>
      <c r="E343" s="573" t="s">
        <v>699</v>
      </c>
      <c r="F343" s="573" t="s">
        <v>196</v>
      </c>
      <c r="G343" s="573" t="s">
        <v>271</v>
      </c>
      <c r="H343" s="573">
        <v>2019</v>
      </c>
      <c r="I343" s="573" t="s">
        <v>1026</v>
      </c>
      <c r="J343" s="573" t="s">
        <v>1060</v>
      </c>
      <c r="K343" s="573" t="s">
        <v>230</v>
      </c>
      <c r="L343" s="573">
        <v>5</v>
      </c>
      <c r="M343" s="573">
        <v>0</v>
      </c>
      <c r="N343" s="573" t="s">
        <v>157</v>
      </c>
      <c r="O343" s="573">
        <v>2</v>
      </c>
      <c r="P343" s="573" t="s">
        <v>157</v>
      </c>
      <c r="Q343" s="571" t="s">
        <v>157</v>
      </c>
      <c r="R343" s="573" t="s">
        <v>410</v>
      </c>
      <c r="S343" s="573">
        <v>4</v>
      </c>
      <c r="T343" s="573" t="s">
        <v>1056</v>
      </c>
      <c r="U343" s="573" t="s">
        <v>310</v>
      </c>
      <c r="V343" s="573">
        <v>112.2</v>
      </c>
      <c r="W343" s="573">
        <v>18</v>
      </c>
      <c r="X343" s="571">
        <v>5340</v>
      </c>
      <c r="Y343" s="573">
        <v>21</v>
      </c>
      <c r="Z343" s="579" t="s">
        <v>178</v>
      </c>
      <c r="AA343" s="579" t="s">
        <v>178</v>
      </c>
      <c r="AB343" s="584">
        <v>43350</v>
      </c>
      <c r="AC343" s="584" t="s">
        <v>164</v>
      </c>
      <c r="AD343" s="584">
        <v>38540.291666666672</v>
      </c>
      <c r="AE343" s="586">
        <v>0.03</v>
      </c>
      <c r="AF343" s="661" t="str">
        <f t="shared" si="38"/>
        <v>2019-SUV-FRD-EDGE-008-05</v>
      </c>
      <c r="AG343" s="661" t="str">
        <f>IF(AND($Y343&gt;=32,(AI343="I"),(Y343&lt;&gt;"~"),(COUNTIF($AN$1:$AN343,$AN343)=1)),"TRUE","FALSE")</f>
        <v>FALSE</v>
      </c>
      <c r="AH343" s="661" t="str">
        <f>IF(AND($Y343&gt;=22, (AI343&lt;&gt;"I"),(Y343&lt;&gt;"~"),(COUNTIF($AN$1:$AN343,$AN343)=1)),"TRUE","FALSE")</f>
        <v>FALSE</v>
      </c>
      <c r="AI343" s="661" t="str">
        <f t="shared" si="33"/>
        <v>II</v>
      </c>
      <c r="AJ343" s="662" t="str">
        <f t="shared" si="34"/>
        <v>EDGE-008</v>
      </c>
      <c r="AK343" s="662" t="str">
        <f t="shared" si="35"/>
        <v>SUV</v>
      </c>
      <c r="AL343" s="662" t="str">
        <f t="shared" si="36"/>
        <v>FRD</v>
      </c>
      <c r="AM343" s="662" t="str">
        <f t="shared" si="32"/>
        <v>Edge-ST-AWD-5-~-~-2.7L Ecoboost-4-K4A-400A-112.2-18-Unleaded-Unleaded</v>
      </c>
      <c r="AN343" s="662" t="str">
        <f t="shared" si="37"/>
        <v>2019-SUV-FRD-EDGE-008</v>
      </c>
    </row>
    <row r="344" spans="1:40" s="572" customFormat="1" ht="15">
      <c r="A344" s="570" t="s">
        <v>1061</v>
      </c>
      <c r="B344" s="569" t="s">
        <v>1058</v>
      </c>
      <c r="C344" s="569" t="s">
        <v>280</v>
      </c>
      <c r="D344" s="580">
        <v>27</v>
      </c>
      <c r="E344" s="569" t="s">
        <v>699</v>
      </c>
      <c r="F344" s="569" t="s">
        <v>196</v>
      </c>
      <c r="G344" s="569" t="s">
        <v>271</v>
      </c>
      <c r="H344" s="569">
        <v>2019</v>
      </c>
      <c r="I344" s="569" t="s">
        <v>1026</v>
      </c>
      <c r="J344" s="569" t="s">
        <v>1060</v>
      </c>
      <c r="K344" s="569" t="s">
        <v>230</v>
      </c>
      <c r="L344" s="569">
        <v>5</v>
      </c>
      <c r="M344" s="569">
        <v>0</v>
      </c>
      <c r="N344" s="569" t="s">
        <v>157</v>
      </c>
      <c r="O344" s="569">
        <v>2</v>
      </c>
      <c r="P344" s="569" t="s">
        <v>157</v>
      </c>
      <c r="Q344" s="568" t="s">
        <v>157</v>
      </c>
      <c r="R344" s="569" t="s">
        <v>410</v>
      </c>
      <c r="S344" s="569">
        <v>4</v>
      </c>
      <c r="T344" s="569" t="s">
        <v>1056</v>
      </c>
      <c r="U344" s="569" t="s">
        <v>310</v>
      </c>
      <c r="V344" s="569">
        <v>112.2</v>
      </c>
      <c r="W344" s="569">
        <v>18</v>
      </c>
      <c r="X344" s="568">
        <v>5340</v>
      </c>
      <c r="Y344" s="569">
        <v>21</v>
      </c>
      <c r="Z344" s="581" t="s">
        <v>178</v>
      </c>
      <c r="AA344" s="581" t="s">
        <v>178</v>
      </c>
      <c r="AB344" s="585">
        <v>43350</v>
      </c>
      <c r="AC344" s="585" t="s">
        <v>164</v>
      </c>
      <c r="AD344" s="585">
        <v>38540.291666666672</v>
      </c>
      <c r="AE344" s="587">
        <v>0.03</v>
      </c>
      <c r="AF344" s="661" t="str">
        <f t="shared" si="38"/>
        <v>2019-SUV-FRD-EDGE-008-27</v>
      </c>
      <c r="AG344" s="661" t="str">
        <f>IF(AND($Y344&gt;=32,(AI344="I"),(Y344&lt;&gt;"~"),(COUNTIF($AN$1:$AN344,$AN344)=1)),"TRUE","FALSE")</f>
        <v>FALSE</v>
      </c>
      <c r="AH344" s="661" t="str">
        <f>IF(AND($Y344&gt;=22, (AI344&lt;&gt;"I"),(Y344&lt;&gt;"~"),(COUNTIF($AN$1:$AN344,$AN344)=1)),"TRUE","FALSE")</f>
        <v>FALSE</v>
      </c>
      <c r="AI344" s="661" t="str">
        <f t="shared" si="33"/>
        <v>II</v>
      </c>
      <c r="AJ344" s="662" t="str">
        <f t="shared" si="34"/>
        <v>EDGE-008</v>
      </c>
      <c r="AK344" s="662" t="str">
        <f t="shared" si="35"/>
        <v>SUV</v>
      </c>
      <c r="AL344" s="662" t="str">
        <f t="shared" si="36"/>
        <v>FRD</v>
      </c>
      <c r="AM344" s="662" t="str">
        <f t="shared" si="32"/>
        <v>Edge-ST-AWD-5-~-~-2.7L Ecoboost-4-K4A-400A-112.2-18-Unleaded-Unleaded</v>
      </c>
      <c r="AN344" s="662" t="str">
        <f t="shared" si="37"/>
        <v>2019-SUV-FRD-EDGE-008</v>
      </c>
    </row>
    <row r="345" spans="1:40" s="572" customFormat="1" ht="15">
      <c r="A345" s="570" t="s">
        <v>1062</v>
      </c>
      <c r="B345" s="573" t="s">
        <v>1063</v>
      </c>
      <c r="C345" s="573" t="s">
        <v>269</v>
      </c>
      <c r="D345" s="578" t="s">
        <v>270</v>
      </c>
      <c r="E345" s="573" t="s">
        <v>699</v>
      </c>
      <c r="F345" s="573" t="s">
        <v>196</v>
      </c>
      <c r="G345" s="573" t="s">
        <v>271</v>
      </c>
      <c r="H345" s="573">
        <v>2019</v>
      </c>
      <c r="I345" s="573" t="s">
        <v>1026</v>
      </c>
      <c r="J345" s="573" t="s">
        <v>418</v>
      </c>
      <c r="K345" s="573" t="s">
        <v>230</v>
      </c>
      <c r="L345" s="573">
        <v>5</v>
      </c>
      <c r="M345" s="573">
        <v>0</v>
      </c>
      <c r="N345" s="573" t="s">
        <v>157</v>
      </c>
      <c r="O345" s="573">
        <v>2</v>
      </c>
      <c r="P345" s="573" t="s">
        <v>157</v>
      </c>
      <c r="Q345" s="571" t="s">
        <v>157</v>
      </c>
      <c r="R345" s="573" t="s">
        <v>1043</v>
      </c>
      <c r="S345" s="573">
        <v>4</v>
      </c>
      <c r="T345" s="573" t="s">
        <v>1064</v>
      </c>
      <c r="U345" s="573" t="s">
        <v>318</v>
      </c>
      <c r="V345" s="573">
        <v>112.2</v>
      </c>
      <c r="W345" s="573">
        <v>18</v>
      </c>
      <c r="X345" s="571">
        <v>5340</v>
      </c>
      <c r="Y345" s="573">
        <v>23</v>
      </c>
      <c r="Z345" s="579" t="s">
        <v>178</v>
      </c>
      <c r="AA345" s="579" t="s">
        <v>178</v>
      </c>
      <c r="AB345" s="584">
        <v>41540</v>
      </c>
      <c r="AC345" s="584" t="s">
        <v>164</v>
      </c>
      <c r="AD345" s="584">
        <v>36867.375</v>
      </c>
      <c r="AE345" s="586">
        <v>0.03</v>
      </c>
      <c r="AF345" s="661" t="str">
        <f t="shared" si="38"/>
        <v>2019-SUV-FRD-EDGE-006-05</v>
      </c>
      <c r="AG345" s="661" t="str">
        <f>IF(AND($Y345&gt;=32,(AI345="I"),(Y345&lt;&gt;"~"),(COUNTIF($AN$1:$AN345,$AN345)=1)),"TRUE","FALSE")</f>
        <v>FALSE</v>
      </c>
      <c r="AH345" s="661" t="str">
        <f>IF(AND($Y345&gt;=22, (AI345&lt;&gt;"I"),(Y345&lt;&gt;"~"),(COUNTIF($AN$1:$AN345,$AN345)=1)),"TRUE","FALSE")</f>
        <v>TRUE</v>
      </c>
      <c r="AI345" s="661" t="str">
        <f t="shared" si="33"/>
        <v>II</v>
      </c>
      <c r="AJ345" s="662" t="str">
        <f t="shared" si="34"/>
        <v>EDGE-006</v>
      </c>
      <c r="AK345" s="662" t="str">
        <f t="shared" si="35"/>
        <v>SUV</v>
      </c>
      <c r="AL345" s="662" t="str">
        <f t="shared" si="36"/>
        <v>FRD</v>
      </c>
      <c r="AM345" s="662" t="str">
        <f t="shared" si="32"/>
        <v>Edge-Titanium-AWD-5-~-~-2.0L Ecoboost-4-K4K-300A-112.2-18-Unleaded-Unleaded</v>
      </c>
      <c r="AN345" s="662" t="str">
        <f t="shared" si="37"/>
        <v>2019-SUV-FRD-EDGE-006</v>
      </c>
    </row>
    <row r="346" spans="1:40" s="572" customFormat="1" ht="15">
      <c r="A346" s="570" t="s">
        <v>1065</v>
      </c>
      <c r="B346" s="569" t="s">
        <v>1063</v>
      </c>
      <c r="C346" s="569" t="s">
        <v>278</v>
      </c>
      <c r="D346" s="580">
        <v>15</v>
      </c>
      <c r="E346" s="569" t="s">
        <v>699</v>
      </c>
      <c r="F346" s="569" t="s">
        <v>196</v>
      </c>
      <c r="G346" s="569" t="s">
        <v>271</v>
      </c>
      <c r="H346" s="569">
        <v>2019</v>
      </c>
      <c r="I346" s="569" t="s">
        <v>1026</v>
      </c>
      <c r="J346" s="569" t="s">
        <v>418</v>
      </c>
      <c r="K346" s="569" t="s">
        <v>230</v>
      </c>
      <c r="L346" s="569">
        <v>5</v>
      </c>
      <c r="M346" s="569">
        <v>0</v>
      </c>
      <c r="N346" s="569" t="s">
        <v>157</v>
      </c>
      <c r="O346" s="569">
        <v>2</v>
      </c>
      <c r="P346" s="569" t="s">
        <v>157</v>
      </c>
      <c r="Q346" s="568" t="s">
        <v>157</v>
      </c>
      <c r="R346" s="569" t="s">
        <v>1043</v>
      </c>
      <c r="S346" s="569">
        <v>4</v>
      </c>
      <c r="T346" s="569" t="s">
        <v>1064</v>
      </c>
      <c r="U346" s="569" t="s">
        <v>318</v>
      </c>
      <c r="V346" s="569">
        <v>112.2</v>
      </c>
      <c r="W346" s="569">
        <v>18</v>
      </c>
      <c r="X346" s="568">
        <v>5340</v>
      </c>
      <c r="Y346" s="569">
        <v>23</v>
      </c>
      <c r="Z346" s="581" t="s">
        <v>178</v>
      </c>
      <c r="AA346" s="581" t="s">
        <v>178</v>
      </c>
      <c r="AB346" s="585">
        <v>41540</v>
      </c>
      <c r="AC346" s="585" t="s">
        <v>164</v>
      </c>
      <c r="AD346" s="585">
        <v>37400</v>
      </c>
      <c r="AE346" s="587">
        <v>0.01</v>
      </c>
      <c r="AF346" s="661" t="str">
        <f t="shared" si="38"/>
        <v>2019-SUV-FRD-EDGE-006-15</v>
      </c>
      <c r="AG346" s="661" t="str">
        <f>IF(AND($Y346&gt;=32,(AI346="I"),(Y346&lt;&gt;"~"),(COUNTIF($AN$1:$AN346,$AN346)=1)),"TRUE","FALSE")</f>
        <v>FALSE</v>
      </c>
      <c r="AH346" s="661" t="str">
        <f>IF(AND($Y346&gt;=22, (AI346&lt;&gt;"I"),(Y346&lt;&gt;"~"),(COUNTIF($AN$1:$AN346,$AN346)=1)),"TRUE","FALSE")</f>
        <v>FALSE</v>
      </c>
      <c r="AI346" s="661" t="str">
        <f t="shared" si="33"/>
        <v>II</v>
      </c>
      <c r="AJ346" s="662" t="str">
        <f t="shared" si="34"/>
        <v>EDGE-006</v>
      </c>
      <c r="AK346" s="662" t="str">
        <f t="shared" si="35"/>
        <v>SUV</v>
      </c>
      <c r="AL346" s="662" t="str">
        <f t="shared" si="36"/>
        <v>FRD</v>
      </c>
      <c r="AM346" s="662" t="str">
        <f t="shared" si="32"/>
        <v>Edge-Titanium-AWD-5-~-~-2.0L Ecoboost-4-K4K-300A-112.2-18-Unleaded-Unleaded</v>
      </c>
      <c r="AN346" s="662" t="str">
        <f t="shared" si="37"/>
        <v>2019-SUV-FRD-EDGE-006</v>
      </c>
    </row>
    <row r="347" spans="1:40" s="572" customFormat="1" ht="15">
      <c r="A347" s="570" t="s">
        <v>1066</v>
      </c>
      <c r="B347" s="573" t="s">
        <v>1063</v>
      </c>
      <c r="C347" s="573" t="s">
        <v>287</v>
      </c>
      <c r="D347" s="578">
        <v>26</v>
      </c>
      <c r="E347" s="573" t="s">
        <v>699</v>
      </c>
      <c r="F347" s="573" t="s">
        <v>196</v>
      </c>
      <c r="G347" s="573" t="s">
        <v>271</v>
      </c>
      <c r="H347" s="573">
        <v>2019</v>
      </c>
      <c r="I347" s="573" t="s">
        <v>1026</v>
      </c>
      <c r="J347" s="573" t="s">
        <v>418</v>
      </c>
      <c r="K347" s="573" t="s">
        <v>230</v>
      </c>
      <c r="L347" s="573">
        <v>5</v>
      </c>
      <c r="M347" s="573">
        <v>0</v>
      </c>
      <c r="N347" s="573" t="s">
        <v>157</v>
      </c>
      <c r="O347" s="573">
        <v>2</v>
      </c>
      <c r="P347" s="573" t="s">
        <v>157</v>
      </c>
      <c r="Q347" s="571" t="s">
        <v>157</v>
      </c>
      <c r="R347" s="573" t="s">
        <v>1043</v>
      </c>
      <c r="S347" s="573">
        <v>4</v>
      </c>
      <c r="T347" s="573" t="s">
        <v>1064</v>
      </c>
      <c r="U347" s="573" t="s">
        <v>318</v>
      </c>
      <c r="V347" s="573">
        <v>112.2</v>
      </c>
      <c r="W347" s="573">
        <v>18</v>
      </c>
      <c r="X347" s="571">
        <v>5340</v>
      </c>
      <c r="Y347" s="573">
        <v>23</v>
      </c>
      <c r="Z347" s="579" t="s">
        <v>178</v>
      </c>
      <c r="AA347" s="579" t="s">
        <v>178</v>
      </c>
      <c r="AB347" s="584">
        <v>41540</v>
      </c>
      <c r="AC347" s="584" t="s">
        <v>164</v>
      </c>
      <c r="AD347" s="584">
        <v>38089</v>
      </c>
      <c r="AE347" s="586">
        <v>0.05</v>
      </c>
      <c r="AF347" s="661" t="str">
        <f t="shared" si="38"/>
        <v>2019-SUV-FRD-EDGE-006-26</v>
      </c>
      <c r="AG347" s="661" t="str">
        <f>IF(AND($Y347&gt;=32,(AI347="I"),(Y347&lt;&gt;"~"),(COUNTIF($AN$1:$AN347,$AN347)=1)),"TRUE","FALSE")</f>
        <v>FALSE</v>
      </c>
      <c r="AH347" s="661" t="str">
        <f>IF(AND($Y347&gt;=22, (AI347&lt;&gt;"I"),(Y347&lt;&gt;"~"),(COUNTIF($AN$1:$AN347,$AN347)=1)),"TRUE","FALSE")</f>
        <v>FALSE</v>
      </c>
      <c r="AI347" s="661" t="str">
        <f t="shared" si="33"/>
        <v>II</v>
      </c>
      <c r="AJ347" s="662" t="str">
        <f t="shared" si="34"/>
        <v>EDGE-006</v>
      </c>
      <c r="AK347" s="662" t="str">
        <f t="shared" si="35"/>
        <v>SUV</v>
      </c>
      <c r="AL347" s="662" t="str">
        <f t="shared" si="36"/>
        <v>FRD</v>
      </c>
      <c r="AM347" s="662" t="str">
        <f t="shared" ref="AM347:AM410" si="39">CONCATENATE(I347,"-",J347,"-",K347,"-",L347,"-",P347,"-",Q347,"-",R347,"-",S347,"-",T347,"-",U347,"-",V347,"-",W347,"-",Z347,"-",AA347)</f>
        <v>Edge-Titanium-AWD-5-~-~-2.0L Ecoboost-4-K4K-300A-112.2-18-Unleaded-Unleaded</v>
      </c>
      <c r="AN347" s="662" t="str">
        <f t="shared" si="37"/>
        <v>2019-SUV-FRD-EDGE-006</v>
      </c>
    </row>
    <row r="348" spans="1:40" s="572" customFormat="1" ht="15">
      <c r="A348" s="570" t="s">
        <v>1067</v>
      </c>
      <c r="B348" s="569" t="s">
        <v>1063</v>
      </c>
      <c r="C348" s="569" t="s">
        <v>280</v>
      </c>
      <c r="D348" s="580">
        <v>27</v>
      </c>
      <c r="E348" s="569" t="s">
        <v>699</v>
      </c>
      <c r="F348" s="569" t="s">
        <v>196</v>
      </c>
      <c r="G348" s="569" t="s">
        <v>271</v>
      </c>
      <c r="H348" s="569">
        <v>2019</v>
      </c>
      <c r="I348" s="569" t="s">
        <v>1026</v>
      </c>
      <c r="J348" s="569" t="s">
        <v>418</v>
      </c>
      <c r="K348" s="569" t="s">
        <v>230</v>
      </c>
      <c r="L348" s="569">
        <v>5</v>
      </c>
      <c r="M348" s="569">
        <v>0</v>
      </c>
      <c r="N348" s="569" t="s">
        <v>157</v>
      </c>
      <c r="O348" s="569">
        <v>2</v>
      </c>
      <c r="P348" s="569" t="s">
        <v>157</v>
      </c>
      <c r="Q348" s="568" t="s">
        <v>157</v>
      </c>
      <c r="R348" s="569" t="s">
        <v>1043</v>
      </c>
      <c r="S348" s="569">
        <v>4</v>
      </c>
      <c r="T348" s="569" t="s">
        <v>1064</v>
      </c>
      <c r="U348" s="569" t="s">
        <v>318</v>
      </c>
      <c r="V348" s="569">
        <v>112.2</v>
      </c>
      <c r="W348" s="569">
        <v>18</v>
      </c>
      <c r="X348" s="568">
        <v>5340</v>
      </c>
      <c r="Y348" s="569">
        <v>23</v>
      </c>
      <c r="Z348" s="581" t="s">
        <v>178</v>
      </c>
      <c r="AA348" s="581" t="s">
        <v>178</v>
      </c>
      <c r="AB348" s="585">
        <v>41540</v>
      </c>
      <c r="AC348" s="585" t="s">
        <v>164</v>
      </c>
      <c r="AD348" s="585">
        <v>36867.375</v>
      </c>
      <c r="AE348" s="587">
        <v>0.03</v>
      </c>
      <c r="AF348" s="661" t="str">
        <f t="shared" si="38"/>
        <v>2019-SUV-FRD-EDGE-006-27</v>
      </c>
      <c r="AG348" s="661" t="str">
        <f>IF(AND($Y348&gt;=32,(AI348="I"),(Y348&lt;&gt;"~"),(COUNTIF($AN$1:$AN348,$AN348)=1)),"TRUE","FALSE")</f>
        <v>FALSE</v>
      </c>
      <c r="AH348" s="661" t="str">
        <f>IF(AND($Y348&gt;=22, (AI348&lt;&gt;"I"),(Y348&lt;&gt;"~"),(COUNTIF($AN$1:$AN348,$AN348)=1)),"TRUE","FALSE")</f>
        <v>FALSE</v>
      </c>
      <c r="AI348" s="661" t="str">
        <f t="shared" ref="AI348:AI411" si="40">IF(OR((LEFT($E348,2)="01"),AND(LEFT($E348,2)="06",ISNUMBER(SEARCH("pas",$F348))),AND(LEFT($E348,2)="05",ISNUMBER(SEARCH("pas",$F348)))),"I",IF(AND((LEFT($E348,2)&lt;&gt;"01"),$X348&lt;=10000),"II",IF(AND((LEFT($E348,2)&lt;&gt;"01"),$X348&gt;10000),"N/A")))</f>
        <v>II</v>
      </c>
      <c r="AJ348" s="662" t="str">
        <f t="shared" si="34"/>
        <v>EDGE-006</v>
      </c>
      <c r="AK348" s="662" t="str">
        <f t="shared" si="35"/>
        <v>SUV</v>
      </c>
      <c r="AL348" s="662" t="str">
        <f t="shared" si="36"/>
        <v>FRD</v>
      </c>
      <c r="AM348" s="662" t="str">
        <f t="shared" si="39"/>
        <v>Edge-Titanium-AWD-5-~-~-2.0L Ecoboost-4-K4K-300A-112.2-18-Unleaded-Unleaded</v>
      </c>
      <c r="AN348" s="662" t="str">
        <f t="shared" si="37"/>
        <v>2019-SUV-FRD-EDGE-006</v>
      </c>
    </row>
    <row r="349" spans="1:40" s="572" customFormat="1" ht="15">
      <c r="A349" s="570" t="s">
        <v>1068</v>
      </c>
      <c r="B349" s="573" t="s">
        <v>1069</v>
      </c>
      <c r="C349" s="573" t="s">
        <v>269</v>
      </c>
      <c r="D349" s="578" t="s">
        <v>270</v>
      </c>
      <c r="E349" s="573" t="s">
        <v>699</v>
      </c>
      <c r="F349" s="573" t="s">
        <v>196</v>
      </c>
      <c r="G349" s="573" t="s">
        <v>271</v>
      </c>
      <c r="H349" s="573">
        <v>2019</v>
      </c>
      <c r="I349" s="573" t="s">
        <v>1026</v>
      </c>
      <c r="J349" s="573" t="s">
        <v>418</v>
      </c>
      <c r="K349" s="573" t="s">
        <v>156</v>
      </c>
      <c r="L349" s="573">
        <v>5</v>
      </c>
      <c r="M349" s="573">
        <v>0</v>
      </c>
      <c r="N349" s="573" t="s">
        <v>157</v>
      </c>
      <c r="O349" s="573">
        <v>2</v>
      </c>
      <c r="P349" s="573" t="s">
        <v>157</v>
      </c>
      <c r="Q349" s="571" t="s">
        <v>157</v>
      </c>
      <c r="R349" s="573" t="s">
        <v>1043</v>
      </c>
      <c r="S349" s="573">
        <v>4</v>
      </c>
      <c r="T349" s="573" t="s">
        <v>1070</v>
      </c>
      <c r="U349" s="573" t="s">
        <v>318</v>
      </c>
      <c r="V349" s="573">
        <v>112.2</v>
      </c>
      <c r="W349" s="573">
        <v>18</v>
      </c>
      <c r="X349" s="571">
        <v>5320</v>
      </c>
      <c r="Y349" s="573">
        <v>24</v>
      </c>
      <c r="Z349" s="579" t="s">
        <v>178</v>
      </c>
      <c r="AA349" s="579" t="s">
        <v>178</v>
      </c>
      <c r="AB349" s="584">
        <v>39545</v>
      </c>
      <c r="AC349" s="584" t="s">
        <v>164</v>
      </c>
      <c r="AD349" s="584">
        <v>35023.625</v>
      </c>
      <c r="AE349" s="586">
        <v>0.03</v>
      </c>
      <c r="AF349" s="661" t="str">
        <f t="shared" si="38"/>
        <v>2019-SUV-FRD-EDGE-007-05</v>
      </c>
      <c r="AG349" s="661" t="str">
        <f>IF(AND($Y349&gt;=32,(AI349="I"),(Y349&lt;&gt;"~"),(COUNTIF($AN$1:$AN349,$AN349)=1)),"TRUE","FALSE")</f>
        <v>FALSE</v>
      </c>
      <c r="AH349" s="661" t="str">
        <f>IF(AND($Y349&gt;=22, (AI349&lt;&gt;"I"),(Y349&lt;&gt;"~"),(COUNTIF($AN$1:$AN349,$AN349)=1)),"TRUE","FALSE")</f>
        <v>TRUE</v>
      </c>
      <c r="AI349" s="661" t="str">
        <f t="shared" si="40"/>
        <v>II</v>
      </c>
      <c r="AJ349" s="662" t="str">
        <f t="shared" si="34"/>
        <v>EDGE-007</v>
      </c>
      <c r="AK349" s="662" t="str">
        <f t="shared" si="35"/>
        <v>SUV</v>
      </c>
      <c r="AL349" s="662" t="str">
        <f t="shared" si="36"/>
        <v>FRD</v>
      </c>
      <c r="AM349" s="662" t="str">
        <f t="shared" si="39"/>
        <v>Edge-Titanium-FWD-5-~-~-2.0L Ecoboost-4-K3K-300A-112.2-18-Unleaded-Unleaded</v>
      </c>
      <c r="AN349" s="662" t="str">
        <f t="shared" si="37"/>
        <v>2019-SUV-FRD-EDGE-007</v>
      </c>
    </row>
    <row r="350" spans="1:40" s="572" customFormat="1" ht="15">
      <c r="A350" s="570" t="s">
        <v>1071</v>
      </c>
      <c r="B350" s="569" t="s">
        <v>1069</v>
      </c>
      <c r="C350" s="569" t="s">
        <v>278</v>
      </c>
      <c r="D350" s="580">
        <v>15</v>
      </c>
      <c r="E350" s="569" t="s">
        <v>699</v>
      </c>
      <c r="F350" s="569" t="s">
        <v>196</v>
      </c>
      <c r="G350" s="569" t="s">
        <v>271</v>
      </c>
      <c r="H350" s="569">
        <v>2019</v>
      </c>
      <c r="I350" s="569" t="s">
        <v>1026</v>
      </c>
      <c r="J350" s="569" t="s">
        <v>418</v>
      </c>
      <c r="K350" s="569" t="s">
        <v>156</v>
      </c>
      <c r="L350" s="569">
        <v>5</v>
      </c>
      <c r="M350" s="569">
        <v>0</v>
      </c>
      <c r="N350" s="569" t="s">
        <v>157</v>
      </c>
      <c r="O350" s="569">
        <v>2</v>
      </c>
      <c r="P350" s="569" t="s">
        <v>157</v>
      </c>
      <c r="Q350" s="568" t="s">
        <v>157</v>
      </c>
      <c r="R350" s="569" t="s">
        <v>1043</v>
      </c>
      <c r="S350" s="569">
        <v>4</v>
      </c>
      <c r="T350" s="569" t="s">
        <v>1070</v>
      </c>
      <c r="U350" s="569" t="s">
        <v>318</v>
      </c>
      <c r="V350" s="569">
        <v>112.2</v>
      </c>
      <c r="W350" s="569">
        <v>18</v>
      </c>
      <c r="X350" s="568">
        <v>5320</v>
      </c>
      <c r="Y350" s="569">
        <v>24</v>
      </c>
      <c r="Z350" s="581" t="s">
        <v>178</v>
      </c>
      <c r="AA350" s="581" t="s">
        <v>178</v>
      </c>
      <c r="AB350" s="585">
        <v>39545</v>
      </c>
      <c r="AC350" s="585" t="s">
        <v>164</v>
      </c>
      <c r="AD350" s="585">
        <v>35550</v>
      </c>
      <c r="AE350" s="587">
        <v>0.01</v>
      </c>
      <c r="AF350" s="661" t="str">
        <f t="shared" si="38"/>
        <v>2019-SUV-FRD-EDGE-007-15</v>
      </c>
      <c r="AG350" s="661" t="str">
        <f>IF(AND($Y350&gt;=32,(AI350="I"),(Y350&lt;&gt;"~"),(COUNTIF($AN$1:$AN350,$AN350)=1)),"TRUE","FALSE")</f>
        <v>FALSE</v>
      </c>
      <c r="AH350" s="661" t="str">
        <f>IF(AND($Y350&gt;=22, (AI350&lt;&gt;"I"),(Y350&lt;&gt;"~"),(COUNTIF($AN$1:$AN350,$AN350)=1)),"TRUE","FALSE")</f>
        <v>FALSE</v>
      </c>
      <c r="AI350" s="661" t="str">
        <f t="shared" si="40"/>
        <v>II</v>
      </c>
      <c r="AJ350" s="662" t="str">
        <f t="shared" si="34"/>
        <v>EDGE-007</v>
      </c>
      <c r="AK350" s="662" t="str">
        <f t="shared" si="35"/>
        <v>SUV</v>
      </c>
      <c r="AL350" s="662" t="str">
        <f t="shared" si="36"/>
        <v>FRD</v>
      </c>
      <c r="AM350" s="662" t="str">
        <f t="shared" si="39"/>
        <v>Edge-Titanium-FWD-5-~-~-2.0L Ecoboost-4-K3K-300A-112.2-18-Unleaded-Unleaded</v>
      </c>
      <c r="AN350" s="662" t="str">
        <f t="shared" si="37"/>
        <v>2019-SUV-FRD-EDGE-007</v>
      </c>
    </row>
    <row r="351" spans="1:40" s="572" customFormat="1" ht="15">
      <c r="A351" s="570" t="s">
        <v>1072</v>
      </c>
      <c r="B351" s="573" t="s">
        <v>1069</v>
      </c>
      <c r="C351" s="573" t="s">
        <v>287</v>
      </c>
      <c r="D351" s="578">
        <v>26</v>
      </c>
      <c r="E351" s="573" t="s">
        <v>699</v>
      </c>
      <c r="F351" s="573" t="s">
        <v>196</v>
      </c>
      <c r="G351" s="573" t="s">
        <v>271</v>
      </c>
      <c r="H351" s="573">
        <v>2019</v>
      </c>
      <c r="I351" s="573" t="s">
        <v>1026</v>
      </c>
      <c r="J351" s="573" t="s">
        <v>418</v>
      </c>
      <c r="K351" s="573" t="s">
        <v>156</v>
      </c>
      <c r="L351" s="573">
        <v>5</v>
      </c>
      <c r="M351" s="573">
        <v>0</v>
      </c>
      <c r="N351" s="573" t="s">
        <v>157</v>
      </c>
      <c r="O351" s="573">
        <v>2</v>
      </c>
      <c r="P351" s="573" t="s">
        <v>157</v>
      </c>
      <c r="Q351" s="571" t="s">
        <v>157</v>
      </c>
      <c r="R351" s="573" t="s">
        <v>1043</v>
      </c>
      <c r="S351" s="573">
        <v>4</v>
      </c>
      <c r="T351" s="573" t="s">
        <v>1070</v>
      </c>
      <c r="U351" s="573" t="s">
        <v>318</v>
      </c>
      <c r="V351" s="573">
        <v>112.2</v>
      </c>
      <c r="W351" s="573">
        <v>18</v>
      </c>
      <c r="X351" s="571">
        <v>5320</v>
      </c>
      <c r="Y351" s="573">
        <v>24</v>
      </c>
      <c r="Z351" s="579" t="s">
        <v>178</v>
      </c>
      <c r="AA351" s="579" t="s">
        <v>178</v>
      </c>
      <c r="AB351" s="584">
        <v>39545</v>
      </c>
      <c r="AC351" s="584" t="s">
        <v>164</v>
      </c>
      <c r="AD351" s="584">
        <v>36191</v>
      </c>
      <c r="AE351" s="586">
        <v>0.05</v>
      </c>
      <c r="AF351" s="661" t="str">
        <f t="shared" si="38"/>
        <v>2019-SUV-FRD-EDGE-007-26</v>
      </c>
      <c r="AG351" s="661" t="str">
        <f>IF(AND($Y351&gt;=32,(AI351="I"),(Y351&lt;&gt;"~"),(COUNTIF($AN$1:$AN351,$AN351)=1)),"TRUE","FALSE")</f>
        <v>FALSE</v>
      </c>
      <c r="AH351" s="661" t="str">
        <f>IF(AND($Y351&gt;=22, (AI351&lt;&gt;"I"),(Y351&lt;&gt;"~"),(COUNTIF($AN$1:$AN351,$AN351)=1)),"TRUE","FALSE")</f>
        <v>FALSE</v>
      </c>
      <c r="AI351" s="661" t="str">
        <f t="shared" si="40"/>
        <v>II</v>
      </c>
      <c r="AJ351" s="662" t="str">
        <f t="shared" si="34"/>
        <v>EDGE-007</v>
      </c>
      <c r="AK351" s="662" t="str">
        <f t="shared" si="35"/>
        <v>SUV</v>
      </c>
      <c r="AL351" s="662" t="str">
        <f t="shared" si="36"/>
        <v>FRD</v>
      </c>
      <c r="AM351" s="662" t="str">
        <f t="shared" si="39"/>
        <v>Edge-Titanium-FWD-5-~-~-2.0L Ecoboost-4-K3K-300A-112.2-18-Unleaded-Unleaded</v>
      </c>
      <c r="AN351" s="662" t="str">
        <f t="shared" si="37"/>
        <v>2019-SUV-FRD-EDGE-007</v>
      </c>
    </row>
    <row r="352" spans="1:40" s="572" customFormat="1" ht="15">
      <c r="A352" s="570" t="s">
        <v>1073</v>
      </c>
      <c r="B352" s="569" t="s">
        <v>1069</v>
      </c>
      <c r="C352" s="569" t="s">
        <v>280</v>
      </c>
      <c r="D352" s="580">
        <v>27</v>
      </c>
      <c r="E352" s="569" t="s">
        <v>699</v>
      </c>
      <c r="F352" s="569" t="s">
        <v>196</v>
      </c>
      <c r="G352" s="569" t="s">
        <v>271</v>
      </c>
      <c r="H352" s="569">
        <v>2019</v>
      </c>
      <c r="I352" s="569" t="s">
        <v>1026</v>
      </c>
      <c r="J352" s="569" t="s">
        <v>418</v>
      </c>
      <c r="K352" s="569" t="s">
        <v>156</v>
      </c>
      <c r="L352" s="569">
        <v>5</v>
      </c>
      <c r="M352" s="569">
        <v>0</v>
      </c>
      <c r="N352" s="569" t="s">
        <v>157</v>
      </c>
      <c r="O352" s="569">
        <v>2</v>
      </c>
      <c r="P352" s="569" t="s">
        <v>157</v>
      </c>
      <c r="Q352" s="568" t="s">
        <v>157</v>
      </c>
      <c r="R352" s="569" t="s">
        <v>1043</v>
      </c>
      <c r="S352" s="569">
        <v>4</v>
      </c>
      <c r="T352" s="569" t="s">
        <v>1070</v>
      </c>
      <c r="U352" s="569" t="s">
        <v>318</v>
      </c>
      <c r="V352" s="569">
        <v>112.2</v>
      </c>
      <c r="W352" s="569">
        <v>18</v>
      </c>
      <c r="X352" s="568">
        <v>5320</v>
      </c>
      <c r="Y352" s="569">
        <v>24</v>
      </c>
      <c r="Z352" s="581" t="s">
        <v>178</v>
      </c>
      <c r="AA352" s="581" t="s">
        <v>178</v>
      </c>
      <c r="AB352" s="585">
        <v>39545</v>
      </c>
      <c r="AC352" s="585" t="s">
        <v>164</v>
      </c>
      <c r="AD352" s="585">
        <v>35023.625</v>
      </c>
      <c r="AE352" s="587">
        <v>0.03</v>
      </c>
      <c r="AF352" s="661" t="str">
        <f t="shared" si="38"/>
        <v>2019-SUV-FRD-EDGE-007-27</v>
      </c>
      <c r="AG352" s="661" t="str">
        <f>IF(AND($Y352&gt;=32,(AI352="I"),(Y352&lt;&gt;"~"),(COUNTIF($AN$1:$AN352,$AN352)=1)),"TRUE","FALSE")</f>
        <v>FALSE</v>
      </c>
      <c r="AH352" s="661" t="str">
        <f>IF(AND($Y352&gt;=22, (AI352&lt;&gt;"I"),(Y352&lt;&gt;"~"),(COUNTIF($AN$1:$AN352,$AN352)=1)),"TRUE","FALSE")</f>
        <v>FALSE</v>
      </c>
      <c r="AI352" s="661" t="str">
        <f t="shared" si="40"/>
        <v>II</v>
      </c>
      <c r="AJ352" s="662" t="str">
        <f t="shared" si="34"/>
        <v>EDGE-007</v>
      </c>
      <c r="AK352" s="662" t="str">
        <f t="shared" si="35"/>
        <v>SUV</v>
      </c>
      <c r="AL352" s="662" t="str">
        <f t="shared" si="36"/>
        <v>FRD</v>
      </c>
      <c r="AM352" s="662" t="str">
        <f t="shared" si="39"/>
        <v>Edge-Titanium-FWD-5-~-~-2.0L Ecoboost-4-K3K-300A-112.2-18-Unleaded-Unleaded</v>
      </c>
      <c r="AN352" s="662" t="str">
        <f t="shared" si="37"/>
        <v>2019-SUV-FRD-EDGE-007</v>
      </c>
    </row>
    <row r="353" spans="1:40" s="572" customFormat="1" ht="15">
      <c r="A353" s="570" t="s">
        <v>1074</v>
      </c>
      <c r="B353" s="573" t="s">
        <v>1075</v>
      </c>
      <c r="C353" s="573" t="s">
        <v>269</v>
      </c>
      <c r="D353" s="578" t="s">
        <v>270</v>
      </c>
      <c r="E353" s="573" t="s">
        <v>699</v>
      </c>
      <c r="F353" s="573" t="s">
        <v>152</v>
      </c>
      <c r="G353" s="573" t="s">
        <v>271</v>
      </c>
      <c r="H353" s="573">
        <v>2019</v>
      </c>
      <c r="I353" s="573" t="s">
        <v>1076</v>
      </c>
      <c r="J353" s="573" t="s">
        <v>273</v>
      </c>
      <c r="K353" s="573" t="s">
        <v>156</v>
      </c>
      <c r="L353" s="573">
        <v>5</v>
      </c>
      <c r="M353" s="573">
        <v>0</v>
      </c>
      <c r="N353" s="573" t="s">
        <v>157</v>
      </c>
      <c r="O353" s="573">
        <v>2</v>
      </c>
      <c r="P353" s="573" t="s">
        <v>157</v>
      </c>
      <c r="Q353" s="571" t="s">
        <v>157</v>
      </c>
      <c r="R353" s="573" t="s">
        <v>189</v>
      </c>
      <c r="S353" s="573">
        <v>4</v>
      </c>
      <c r="T353" s="573" t="s">
        <v>1077</v>
      </c>
      <c r="U353" s="573" t="s">
        <v>276</v>
      </c>
      <c r="V353" s="573">
        <v>105.9</v>
      </c>
      <c r="W353" s="573">
        <v>15.7</v>
      </c>
      <c r="X353" s="571">
        <v>4620</v>
      </c>
      <c r="Y353" s="573">
        <v>24</v>
      </c>
      <c r="Z353" s="579" t="s">
        <v>178</v>
      </c>
      <c r="AA353" s="579" t="s">
        <v>178</v>
      </c>
      <c r="AB353" s="584">
        <v>25100</v>
      </c>
      <c r="AC353" s="584" t="s">
        <v>164</v>
      </c>
      <c r="AD353" s="584">
        <v>19835.083333333336</v>
      </c>
      <c r="AE353" s="586">
        <v>0.03</v>
      </c>
      <c r="AF353" s="661" t="str">
        <f t="shared" si="38"/>
        <v>2019-SUV-FRD-ESCP-004-05</v>
      </c>
      <c r="AG353" s="661" t="str">
        <f>IF(AND($Y353&gt;=32,(AI353="I"),(Y353&lt;&gt;"~"),(COUNTIF($AN$1:$AN353,$AN353)=1)),"TRUE","FALSE")</f>
        <v>FALSE</v>
      </c>
      <c r="AH353" s="661" t="str">
        <f>IF(AND($Y353&gt;=22, (AI353&lt;&gt;"I"),(Y353&lt;&gt;"~"),(COUNTIF($AN$1:$AN353,$AN353)=1)),"TRUE","FALSE")</f>
        <v>TRUE</v>
      </c>
      <c r="AI353" s="661" t="str">
        <f t="shared" si="40"/>
        <v>II</v>
      </c>
      <c r="AJ353" s="662" t="str">
        <f t="shared" si="34"/>
        <v>ESCP-004</v>
      </c>
      <c r="AK353" s="662" t="str">
        <f t="shared" si="35"/>
        <v>SUV</v>
      </c>
      <c r="AL353" s="662" t="str">
        <f t="shared" si="36"/>
        <v>FRD</v>
      </c>
      <c r="AM353" s="662" t="str">
        <f t="shared" si="39"/>
        <v>Escape-S-FWD-5-~-~-2.5L-4-U0F-100A-105.9-15.7-Unleaded-Unleaded</v>
      </c>
      <c r="AN353" s="662" t="str">
        <f t="shared" si="37"/>
        <v>2019-SUV-FRD-ESCP-004</v>
      </c>
    </row>
    <row r="354" spans="1:40" s="572" customFormat="1" ht="15">
      <c r="A354" s="570" t="s">
        <v>1078</v>
      </c>
      <c r="B354" s="569" t="s">
        <v>1075</v>
      </c>
      <c r="C354" s="569" t="s">
        <v>278</v>
      </c>
      <c r="D354" s="580">
        <v>15</v>
      </c>
      <c r="E354" s="569" t="s">
        <v>699</v>
      </c>
      <c r="F354" s="569" t="s">
        <v>152</v>
      </c>
      <c r="G354" s="569" t="s">
        <v>271</v>
      </c>
      <c r="H354" s="569">
        <v>2019</v>
      </c>
      <c r="I354" s="569" t="s">
        <v>1076</v>
      </c>
      <c r="J354" s="569" t="s">
        <v>273</v>
      </c>
      <c r="K354" s="569" t="s">
        <v>156</v>
      </c>
      <c r="L354" s="569">
        <v>5</v>
      </c>
      <c r="M354" s="569">
        <v>0</v>
      </c>
      <c r="N354" s="569" t="s">
        <v>157</v>
      </c>
      <c r="O354" s="569">
        <v>2</v>
      </c>
      <c r="P354" s="569" t="s">
        <v>157</v>
      </c>
      <c r="Q354" s="568" t="s">
        <v>157</v>
      </c>
      <c r="R354" s="569" t="s">
        <v>189</v>
      </c>
      <c r="S354" s="569">
        <v>4</v>
      </c>
      <c r="T354" s="569" t="s">
        <v>1077</v>
      </c>
      <c r="U354" s="569" t="s">
        <v>276</v>
      </c>
      <c r="V354" s="569">
        <v>105.9</v>
      </c>
      <c r="W354" s="569">
        <v>15.7</v>
      </c>
      <c r="X354" s="568">
        <v>4620</v>
      </c>
      <c r="Y354" s="569">
        <v>24</v>
      </c>
      <c r="Z354" s="581" t="s">
        <v>178</v>
      </c>
      <c r="AA354" s="581" t="s">
        <v>178</v>
      </c>
      <c r="AB354" s="585">
        <v>25100</v>
      </c>
      <c r="AC354" s="585" t="s">
        <v>164</v>
      </c>
      <c r="AD354" s="585">
        <v>19995</v>
      </c>
      <c r="AE354" s="587">
        <v>0.01</v>
      </c>
      <c r="AF354" s="661" t="str">
        <f t="shared" si="38"/>
        <v>2019-SUV-FRD-ESCP-004-15</v>
      </c>
      <c r="AG354" s="661" t="str">
        <f>IF(AND($Y354&gt;=32,(AI354="I"),(Y354&lt;&gt;"~"),(COUNTIF($AN$1:$AN354,$AN354)=1)),"TRUE","FALSE")</f>
        <v>FALSE</v>
      </c>
      <c r="AH354" s="661" t="str">
        <f>IF(AND($Y354&gt;=22, (AI354&lt;&gt;"I"),(Y354&lt;&gt;"~"),(COUNTIF($AN$1:$AN354,$AN354)=1)),"TRUE","FALSE")</f>
        <v>FALSE</v>
      </c>
      <c r="AI354" s="661" t="str">
        <f t="shared" si="40"/>
        <v>II</v>
      </c>
      <c r="AJ354" s="662" t="str">
        <f t="shared" si="34"/>
        <v>ESCP-004</v>
      </c>
      <c r="AK354" s="662" t="str">
        <f t="shared" si="35"/>
        <v>SUV</v>
      </c>
      <c r="AL354" s="662" t="str">
        <f t="shared" si="36"/>
        <v>FRD</v>
      </c>
      <c r="AM354" s="662" t="str">
        <f t="shared" si="39"/>
        <v>Escape-S-FWD-5-~-~-2.5L-4-U0F-100A-105.9-15.7-Unleaded-Unleaded</v>
      </c>
      <c r="AN354" s="662" t="str">
        <f t="shared" si="37"/>
        <v>2019-SUV-FRD-ESCP-004</v>
      </c>
    </row>
    <row r="355" spans="1:40" s="572" customFormat="1" ht="15">
      <c r="A355" s="570" t="s">
        <v>1079</v>
      </c>
      <c r="B355" s="573" t="s">
        <v>1075</v>
      </c>
      <c r="C355" s="573" t="s">
        <v>287</v>
      </c>
      <c r="D355" s="578">
        <v>26</v>
      </c>
      <c r="E355" s="573" t="s">
        <v>699</v>
      </c>
      <c r="F355" s="573" t="s">
        <v>152</v>
      </c>
      <c r="G355" s="573" t="s">
        <v>271</v>
      </c>
      <c r="H355" s="573">
        <v>2019</v>
      </c>
      <c r="I355" s="573" t="s">
        <v>1076</v>
      </c>
      <c r="J355" s="573" t="s">
        <v>273</v>
      </c>
      <c r="K355" s="573" t="s">
        <v>156</v>
      </c>
      <c r="L355" s="573">
        <v>5</v>
      </c>
      <c r="M355" s="573">
        <v>0</v>
      </c>
      <c r="N355" s="573" t="s">
        <v>157</v>
      </c>
      <c r="O355" s="573">
        <v>2</v>
      </c>
      <c r="P355" s="573" t="s">
        <v>157</v>
      </c>
      <c r="Q355" s="571" t="s">
        <v>157</v>
      </c>
      <c r="R355" s="573" t="s">
        <v>189</v>
      </c>
      <c r="S355" s="573">
        <v>4</v>
      </c>
      <c r="T355" s="573" t="s">
        <v>1077</v>
      </c>
      <c r="U355" s="573" t="s">
        <v>276</v>
      </c>
      <c r="V355" s="573">
        <v>105.9</v>
      </c>
      <c r="W355" s="573">
        <v>15.7</v>
      </c>
      <c r="X355" s="571">
        <v>4620</v>
      </c>
      <c r="Y355" s="573">
        <v>24</v>
      </c>
      <c r="Z355" s="579" t="s">
        <v>178</v>
      </c>
      <c r="AA355" s="579" t="s">
        <v>178</v>
      </c>
      <c r="AB355" s="584">
        <v>25100</v>
      </c>
      <c r="AC355" s="584" t="s">
        <v>164</v>
      </c>
      <c r="AD355" s="584">
        <v>20729</v>
      </c>
      <c r="AE355" s="586">
        <v>0.05</v>
      </c>
      <c r="AF355" s="661" t="str">
        <f t="shared" si="38"/>
        <v>2019-SUV-FRD-ESCP-004-26</v>
      </c>
      <c r="AG355" s="661" t="str">
        <f>IF(AND($Y355&gt;=32,(AI355="I"),(Y355&lt;&gt;"~"),(COUNTIF($AN$1:$AN355,$AN355)=1)),"TRUE","FALSE")</f>
        <v>FALSE</v>
      </c>
      <c r="AH355" s="661" t="str">
        <f>IF(AND($Y355&gt;=22, (AI355&lt;&gt;"I"),(Y355&lt;&gt;"~"),(COUNTIF($AN$1:$AN355,$AN355)=1)),"TRUE","FALSE")</f>
        <v>FALSE</v>
      </c>
      <c r="AI355" s="661" t="str">
        <f t="shared" si="40"/>
        <v>II</v>
      </c>
      <c r="AJ355" s="662" t="str">
        <f t="shared" si="34"/>
        <v>ESCP-004</v>
      </c>
      <c r="AK355" s="662" t="str">
        <f t="shared" si="35"/>
        <v>SUV</v>
      </c>
      <c r="AL355" s="662" t="str">
        <f t="shared" si="36"/>
        <v>FRD</v>
      </c>
      <c r="AM355" s="662" t="str">
        <f t="shared" si="39"/>
        <v>Escape-S-FWD-5-~-~-2.5L-4-U0F-100A-105.9-15.7-Unleaded-Unleaded</v>
      </c>
      <c r="AN355" s="662" t="str">
        <f t="shared" si="37"/>
        <v>2019-SUV-FRD-ESCP-004</v>
      </c>
    </row>
    <row r="356" spans="1:40" s="572" customFormat="1" ht="15">
      <c r="A356" s="570" t="s">
        <v>1080</v>
      </c>
      <c r="B356" s="569" t="s">
        <v>1075</v>
      </c>
      <c r="C356" s="569" t="s">
        <v>280</v>
      </c>
      <c r="D356" s="580">
        <v>27</v>
      </c>
      <c r="E356" s="569" t="s">
        <v>699</v>
      </c>
      <c r="F356" s="569" t="s">
        <v>152</v>
      </c>
      <c r="G356" s="569" t="s">
        <v>271</v>
      </c>
      <c r="H356" s="569">
        <v>2019</v>
      </c>
      <c r="I356" s="569" t="s">
        <v>1076</v>
      </c>
      <c r="J356" s="569" t="s">
        <v>273</v>
      </c>
      <c r="K356" s="569" t="s">
        <v>156</v>
      </c>
      <c r="L356" s="569">
        <v>5</v>
      </c>
      <c r="M356" s="569">
        <v>0</v>
      </c>
      <c r="N356" s="569" t="s">
        <v>157</v>
      </c>
      <c r="O356" s="569">
        <v>2</v>
      </c>
      <c r="P356" s="569" t="s">
        <v>157</v>
      </c>
      <c r="Q356" s="568" t="s">
        <v>157</v>
      </c>
      <c r="R356" s="569" t="s">
        <v>189</v>
      </c>
      <c r="S356" s="569">
        <v>4</v>
      </c>
      <c r="T356" s="569" t="s">
        <v>1077</v>
      </c>
      <c r="U356" s="569" t="s">
        <v>276</v>
      </c>
      <c r="V356" s="569">
        <v>105.9</v>
      </c>
      <c r="W356" s="569">
        <v>15.7</v>
      </c>
      <c r="X356" s="568">
        <v>4620</v>
      </c>
      <c r="Y356" s="569">
        <v>24</v>
      </c>
      <c r="Z356" s="581" t="s">
        <v>178</v>
      </c>
      <c r="AA356" s="581" t="s">
        <v>178</v>
      </c>
      <c r="AB356" s="585">
        <v>25100</v>
      </c>
      <c r="AC356" s="585" t="s">
        <v>164</v>
      </c>
      <c r="AD356" s="585">
        <v>19835.083333333336</v>
      </c>
      <c r="AE356" s="587">
        <v>0.03</v>
      </c>
      <c r="AF356" s="661" t="str">
        <f t="shared" si="38"/>
        <v>2019-SUV-FRD-ESCP-004-27</v>
      </c>
      <c r="AG356" s="661" t="str">
        <f>IF(AND($Y356&gt;=32,(AI356="I"),(Y356&lt;&gt;"~"),(COUNTIF($AN$1:$AN356,$AN356)=1)),"TRUE","FALSE")</f>
        <v>FALSE</v>
      </c>
      <c r="AH356" s="661" t="str">
        <f>IF(AND($Y356&gt;=22, (AI356&lt;&gt;"I"),(Y356&lt;&gt;"~"),(COUNTIF($AN$1:$AN356,$AN356)=1)),"TRUE","FALSE")</f>
        <v>FALSE</v>
      </c>
      <c r="AI356" s="661" t="str">
        <f t="shared" si="40"/>
        <v>II</v>
      </c>
      <c r="AJ356" s="662" t="str">
        <f t="shared" si="34"/>
        <v>ESCP-004</v>
      </c>
      <c r="AK356" s="662" t="str">
        <f t="shared" si="35"/>
        <v>SUV</v>
      </c>
      <c r="AL356" s="662" t="str">
        <f t="shared" si="36"/>
        <v>FRD</v>
      </c>
      <c r="AM356" s="662" t="str">
        <f t="shared" si="39"/>
        <v>Escape-S-FWD-5-~-~-2.5L-4-U0F-100A-105.9-15.7-Unleaded-Unleaded</v>
      </c>
      <c r="AN356" s="662" t="str">
        <f t="shared" si="37"/>
        <v>2019-SUV-FRD-ESCP-004</v>
      </c>
    </row>
    <row r="357" spans="1:40" s="572" customFormat="1" ht="15">
      <c r="A357" s="570" t="s">
        <v>1081</v>
      </c>
      <c r="B357" s="573" t="s">
        <v>1082</v>
      </c>
      <c r="C357" s="573" t="s">
        <v>269</v>
      </c>
      <c r="D357" s="578" t="s">
        <v>270</v>
      </c>
      <c r="E357" s="573" t="s">
        <v>699</v>
      </c>
      <c r="F357" s="573" t="s">
        <v>152</v>
      </c>
      <c r="G357" s="573" t="s">
        <v>271</v>
      </c>
      <c r="H357" s="573">
        <v>2019</v>
      </c>
      <c r="I357" s="573" t="s">
        <v>1076</v>
      </c>
      <c r="J357" s="573" t="s">
        <v>330</v>
      </c>
      <c r="K357" s="573" t="s">
        <v>752</v>
      </c>
      <c r="L357" s="573">
        <v>5</v>
      </c>
      <c r="M357" s="573">
        <v>0</v>
      </c>
      <c r="N357" s="573" t="s">
        <v>157</v>
      </c>
      <c r="O357" s="573">
        <v>2</v>
      </c>
      <c r="P357" s="573" t="s">
        <v>157</v>
      </c>
      <c r="Q357" s="571" t="s">
        <v>157</v>
      </c>
      <c r="R357" s="573" t="s">
        <v>205</v>
      </c>
      <c r="S357" s="573">
        <v>4</v>
      </c>
      <c r="T357" s="573" t="s">
        <v>1083</v>
      </c>
      <c r="U357" s="573" t="s">
        <v>295</v>
      </c>
      <c r="V357" s="573">
        <v>105.9</v>
      </c>
      <c r="W357" s="573">
        <v>15.7</v>
      </c>
      <c r="X357" s="571">
        <v>4840</v>
      </c>
      <c r="Y357" s="573">
        <v>24</v>
      </c>
      <c r="Z357" s="579" t="s">
        <v>178</v>
      </c>
      <c r="AA357" s="579" t="s">
        <v>178</v>
      </c>
      <c r="AB357" s="584">
        <v>28995</v>
      </c>
      <c r="AC357" s="584" t="s">
        <v>164</v>
      </c>
      <c r="AD357" s="584">
        <v>23185.083333333336</v>
      </c>
      <c r="AE357" s="586">
        <v>0.03</v>
      </c>
      <c r="AF357" s="661" t="str">
        <f t="shared" si="38"/>
        <v>2019-SUV-FRD-ESCP-001-05</v>
      </c>
      <c r="AG357" s="661" t="str">
        <f>IF(AND($Y357&gt;=32,(AI357="I"),(Y357&lt;&gt;"~"),(COUNTIF($AN$1:$AN357,$AN357)=1)),"TRUE","FALSE")</f>
        <v>FALSE</v>
      </c>
      <c r="AH357" s="661" t="str">
        <f>IF(AND($Y357&gt;=22, (AI357&lt;&gt;"I"),(Y357&lt;&gt;"~"),(COUNTIF($AN$1:$AN357,$AN357)=1)),"TRUE","FALSE")</f>
        <v>TRUE</v>
      </c>
      <c r="AI357" s="661" t="str">
        <f t="shared" si="40"/>
        <v>II</v>
      </c>
      <c r="AJ357" s="662" t="str">
        <f t="shared" si="34"/>
        <v>ESCP-001</v>
      </c>
      <c r="AK357" s="662" t="str">
        <f t="shared" si="35"/>
        <v>SUV</v>
      </c>
      <c r="AL357" s="662" t="str">
        <f t="shared" si="36"/>
        <v>FRD</v>
      </c>
      <c r="AM357" s="662" t="str">
        <f t="shared" si="39"/>
        <v>Escape-SE-4WD-5-~-~-1.5L-4-U9G-200A-105.9-15.7-Unleaded-Unleaded</v>
      </c>
      <c r="AN357" s="662" t="str">
        <f t="shared" si="37"/>
        <v>2019-SUV-FRD-ESCP-001</v>
      </c>
    </row>
    <row r="358" spans="1:40" s="572" customFormat="1" ht="15">
      <c r="A358" s="570" t="s">
        <v>1084</v>
      </c>
      <c r="B358" s="569" t="s">
        <v>1082</v>
      </c>
      <c r="C358" s="569" t="s">
        <v>278</v>
      </c>
      <c r="D358" s="580">
        <v>15</v>
      </c>
      <c r="E358" s="569" t="s">
        <v>699</v>
      </c>
      <c r="F358" s="569" t="s">
        <v>152</v>
      </c>
      <c r="G358" s="569" t="s">
        <v>271</v>
      </c>
      <c r="H358" s="569">
        <v>2019</v>
      </c>
      <c r="I358" s="569" t="s">
        <v>1076</v>
      </c>
      <c r="J358" s="569" t="s">
        <v>330</v>
      </c>
      <c r="K358" s="569" t="s">
        <v>752</v>
      </c>
      <c r="L358" s="569">
        <v>5</v>
      </c>
      <c r="M358" s="569">
        <v>0</v>
      </c>
      <c r="N358" s="569" t="s">
        <v>157</v>
      </c>
      <c r="O358" s="569">
        <v>2</v>
      </c>
      <c r="P358" s="569" t="s">
        <v>157</v>
      </c>
      <c r="Q358" s="568" t="s">
        <v>157</v>
      </c>
      <c r="R358" s="569" t="s">
        <v>205</v>
      </c>
      <c r="S358" s="569">
        <v>4</v>
      </c>
      <c r="T358" s="569" t="s">
        <v>1083</v>
      </c>
      <c r="U358" s="569" t="s">
        <v>295</v>
      </c>
      <c r="V358" s="569">
        <v>105.9</v>
      </c>
      <c r="W358" s="569">
        <v>15.7</v>
      </c>
      <c r="X358" s="568">
        <v>4840</v>
      </c>
      <c r="Y358" s="569">
        <v>24</v>
      </c>
      <c r="Z358" s="581" t="s">
        <v>178</v>
      </c>
      <c r="AA358" s="581" t="s">
        <v>178</v>
      </c>
      <c r="AB358" s="585">
        <v>28995</v>
      </c>
      <c r="AC358" s="585" t="s">
        <v>164</v>
      </c>
      <c r="AD358" s="585">
        <v>23995</v>
      </c>
      <c r="AE358" s="587">
        <v>0.01</v>
      </c>
      <c r="AF358" s="661" t="str">
        <f t="shared" si="38"/>
        <v>2019-SUV-FRD-ESCP-001-15</v>
      </c>
      <c r="AG358" s="661" t="str">
        <f>IF(AND($Y358&gt;=32,(AI358="I"),(Y358&lt;&gt;"~"),(COUNTIF($AN$1:$AN358,$AN358)=1)),"TRUE","FALSE")</f>
        <v>FALSE</v>
      </c>
      <c r="AH358" s="661" t="str">
        <f>IF(AND($Y358&gt;=22, (AI358&lt;&gt;"I"),(Y358&lt;&gt;"~"),(COUNTIF($AN$1:$AN358,$AN358)=1)),"TRUE","FALSE")</f>
        <v>FALSE</v>
      </c>
      <c r="AI358" s="661" t="str">
        <f t="shared" si="40"/>
        <v>II</v>
      </c>
      <c r="AJ358" s="662" t="str">
        <f t="shared" si="34"/>
        <v>ESCP-001</v>
      </c>
      <c r="AK358" s="662" t="str">
        <f t="shared" si="35"/>
        <v>SUV</v>
      </c>
      <c r="AL358" s="662" t="str">
        <f t="shared" si="36"/>
        <v>FRD</v>
      </c>
      <c r="AM358" s="662" t="str">
        <f t="shared" si="39"/>
        <v>Escape-SE-4WD-5-~-~-1.5L-4-U9G-200A-105.9-15.7-Unleaded-Unleaded</v>
      </c>
      <c r="AN358" s="662" t="str">
        <f t="shared" si="37"/>
        <v>2019-SUV-FRD-ESCP-001</v>
      </c>
    </row>
    <row r="359" spans="1:40" s="572" customFormat="1" ht="15">
      <c r="A359" s="570" t="s">
        <v>1085</v>
      </c>
      <c r="B359" s="573" t="s">
        <v>1082</v>
      </c>
      <c r="C359" s="573" t="s">
        <v>287</v>
      </c>
      <c r="D359" s="578">
        <v>26</v>
      </c>
      <c r="E359" s="573" t="s">
        <v>699</v>
      </c>
      <c r="F359" s="573" t="s">
        <v>152</v>
      </c>
      <c r="G359" s="573" t="s">
        <v>271</v>
      </c>
      <c r="H359" s="573">
        <v>2019</v>
      </c>
      <c r="I359" s="573" t="s">
        <v>1076</v>
      </c>
      <c r="J359" s="573" t="s">
        <v>330</v>
      </c>
      <c r="K359" s="573" t="s">
        <v>752</v>
      </c>
      <c r="L359" s="573">
        <v>5</v>
      </c>
      <c r="M359" s="573">
        <v>0</v>
      </c>
      <c r="N359" s="573" t="s">
        <v>157</v>
      </c>
      <c r="O359" s="573">
        <v>2</v>
      </c>
      <c r="P359" s="573" t="s">
        <v>157</v>
      </c>
      <c r="Q359" s="571" t="s">
        <v>157</v>
      </c>
      <c r="R359" s="573" t="s">
        <v>205</v>
      </c>
      <c r="S359" s="573">
        <v>4</v>
      </c>
      <c r="T359" s="573" t="s">
        <v>1083</v>
      </c>
      <c r="U359" s="573" t="s">
        <v>295</v>
      </c>
      <c r="V359" s="573">
        <v>105.9</v>
      </c>
      <c r="W359" s="573">
        <v>15.7</v>
      </c>
      <c r="X359" s="571">
        <v>4840</v>
      </c>
      <c r="Y359" s="573">
        <v>24</v>
      </c>
      <c r="Z359" s="579" t="s">
        <v>178</v>
      </c>
      <c r="AA359" s="579" t="s">
        <v>178</v>
      </c>
      <c r="AB359" s="584">
        <v>28995</v>
      </c>
      <c r="AC359" s="584" t="s">
        <v>164</v>
      </c>
      <c r="AD359" s="584">
        <v>24215</v>
      </c>
      <c r="AE359" s="586">
        <v>0.05</v>
      </c>
      <c r="AF359" s="661" t="str">
        <f t="shared" si="38"/>
        <v>2019-SUV-FRD-ESCP-001-26</v>
      </c>
      <c r="AG359" s="661" t="str">
        <f>IF(AND($Y359&gt;=32,(AI359="I"),(Y359&lt;&gt;"~"),(COUNTIF($AN$1:$AN359,$AN359)=1)),"TRUE","FALSE")</f>
        <v>FALSE</v>
      </c>
      <c r="AH359" s="661" t="str">
        <f>IF(AND($Y359&gt;=22, (AI359&lt;&gt;"I"),(Y359&lt;&gt;"~"),(COUNTIF($AN$1:$AN359,$AN359)=1)),"TRUE","FALSE")</f>
        <v>FALSE</v>
      </c>
      <c r="AI359" s="661" t="str">
        <f t="shared" si="40"/>
        <v>II</v>
      </c>
      <c r="AJ359" s="662" t="str">
        <f t="shared" si="34"/>
        <v>ESCP-001</v>
      </c>
      <c r="AK359" s="662" t="str">
        <f t="shared" si="35"/>
        <v>SUV</v>
      </c>
      <c r="AL359" s="662" t="str">
        <f t="shared" si="36"/>
        <v>FRD</v>
      </c>
      <c r="AM359" s="662" t="str">
        <f t="shared" si="39"/>
        <v>Escape-SE-4WD-5-~-~-1.5L-4-U9G-200A-105.9-15.7-Unleaded-Unleaded</v>
      </c>
      <c r="AN359" s="662" t="str">
        <f t="shared" si="37"/>
        <v>2019-SUV-FRD-ESCP-001</v>
      </c>
    </row>
    <row r="360" spans="1:40" s="572" customFormat="1" ht="15">
      <c r="A360" s="570" t="s">
        <v>1086</v>
      </c>
      <c r="B360" s="569" t="s">
        <v>1082</v>
      </c>
      <c r="C360" s="569" t="s">
        <v>280</v>
      </c>
      <c r="D360" s="580">
        <v>27</v>
      </c>
      <c r="E360" s="569" t="s">
        <v>699</v>
      </c>
      <c r="F360" s="569" t="s">
        <v>152</v>
      </c>
      <c r="G360" s="569" t="s">
        <v>271</v>
      </c>
      <c r="H360" s="569">
        <v>2019</v>
      </c>
      <c r="I360" s="569" t="s">
        <v>1076</v>
      </c>
      <c r="J360" s="569" t="s">
        <v>330</v>
      </c>
      <c r="K360" s="569" t="s">
        <v>752</v>
      </c>
      <c r="L360" s="569">
        <v>5</v>
      </c>
      <c r="M360" s="569">
        <v>0</v>
      </c>
      <c r="N360" s="569" t="s">
        <v>157</v>
      </c>
      <c r="O360" s="569">
        <v>2</v>
      </c>
      <c r="P360" s="569" t="s">
        <v>157</v>
      </c>
      <c r="Q360" s="568" t="s">
        <v>157</v>
      </c>
      <c r="R360" s="569" t="s">
        <v>205</v>
      </c>
      <c r="S360" s="569">
        <v>4</v>
      </c>
      <c r="T360" s="569" t="s">
        <v>1083</v>
      </c>
      <c r="U360" s="569" t="s">
        <v>295</v>
      </c>
      <c r="V360" s="569">
        <v>105.9</v>
      </c>
      <c r="W360" s="569">
        <v>15.7</v>
      </c>
      <c r="X360" s="568">
        <v>4840</v>
      </c>
      <c r="Y360" s="569">
        <v>24</v>
      </c>
      <c r="Z360" s="581" t="s">
        <v>178</v>
      </c>
      <c r="AA360" s="581" t="s">
        <v>178</v>
      </c>
      <c r="AB360" s="585">
        <v>28995</v>
      </c>
      <c r="AC360" s="585" t="s">
        <v>164</v>
      </c>
      <c r="AD360" s="585">
        <v>23185.083333333336</v>
      </c>
      <c r="AE360" s="587">
        <v>0.03</v>
      </c>
      <c r="AF360" s="661" t="str">
        <f t="shared" si="38"/>
        <v>2019-SUV-FRD-ESCP-001-27</v>
      </c>
      <c r="AG360" s="661" t="str">
        <f>IF(AND($Y360&gt;=32,(AI360="I"),(Y360&lt;&gt;"~"),(COUNTIF($AN$1:$AN360,$AN360)=1)),"TRUE","FALSE")</f>
        <v>FALSE</v>
      </c>
      <c r="AH360" s="661" t="str">
        <f>IF(AND($Y360&gt;=22, (AI360&lt;&gt;"I"),(Y360&lt;&gt;"~"),(COUNTIF($AN$1:$AN360,$AN360)=1)),"TRUE","FALSE")</f>
        <v>FALSE</v>
      </c>
      <c r="AI360" s="661" t="str">
        <f t="shared" si="40"/>
        <v>II</v>
      </c>
      <c r="AJ360" s="662" t="str">
        <f t="shared" si="34"/>
        <v>ESCP-001</v>
      </c>
      <c r="AK360" s="662" t="str">
        <f t="shared" si="35"/>
        <v>SUV</v>
      </c>
      <c r="AL360" s="662" t="str">
        <f t="shared" si="36"/>
        <v>FRD</v>
      </c>
      <c r="AM360" s="662" t="str">
        <f t="shared" si="39"/>
        <v>Escape-SE-4WD-5-~-~-1.5L-4-U9G-200A-105.9-15.7-Unleaded-Unleaded</v>
      </c>
      <c r="AN360" s="662" t="str">
        <f t="shared" si="37"/>
        <v>2019-SUV-FRD-ESCP-001</v>
      </c>
    </row>
    <row r="361" spans="1:40" s="572" customFormat="1" ht="15">
      <c r="A361" s="570" t="s">
        <v>1087</v>
      </c>
      <c r="B361" s="573" t="s">
        <v>1088</v>
      </c>
      <c r="C361" s="573" t="s">
        <v>269</v>
      </c>
      <c r="D361" s="578" t="s">
        <v>270</v>
      </c>
      <c r="E361" s="573" t="s">
        <v>699</v>
      </c>
      <c r="F361" s="573" t="s">
        <v>152</v>
      </c>
      <c r="G361" s="573" t="s">
        <v>271</v>
      </c>
      <c r="H361" s="573">
        <v>2019</v>
      </c>
      <c r="I361" s="573" t="s">
        <v>1076</v>
      </c>
      <c r="J361" s="573" t="s">
        <v>330</v>
      </c>
      <c r="K361" s="573" t="s">
        <v>156</v>
      </c>
      <c r="L361" s="573">
        <v>5</v>
      </c>
      <c r="M361" s="573">
        <v>0</v>
      </c>
      <c r="N361" s="573" t="s">
        <v>157</v>
      </c>
      <c r="O361" s="573">
        <v>2</v>
      </c>
      <c r="P361" s="573" t="s">
        <v>157</v>
      </c>
      <c r="Q361" s="571" t="s">
        <v>157</v>
      </c>
      <c r="R361" s="573" t="s">
        <v>205</v>
      </c>
      <c r="S361" s="573">
        <v>4</v>
      </c>
      <c r="T361" s="573" t="s">
        <v>1089</v>
      </c>
      <c r="U361" s="573" t="s">
        <v>295</v>
      </c>
      <c r="V361" s="573">
        <v>105.9</v>
      </c>
      <c r="W361" s="573">
        <v>15.7</v>
      </c>
      <c r="X361" s="571">
        <v>4520</v>
      </c>
      <c r="Y361" s="573">
        <v>26</v>
      </c>
      <c r="Z361" s="579" t="s">
        <v>178</v>
      </c>
      <c r="AA361" s="579" t="s">
        <v>178</v>
      </c>
      <c r="AB361" s="584">
        <v>27495</v>
      </c>
      <c r="AC361" s="584" t="s">
        <v>164</v>
      </c>
      <c r="AD361" s="584">
        <v>23673.625</v>
      </c>
      <c r="AE361" s="586">
        <v>0.03</v>
      </c>
      <c r="AF361" s="661" t="str">
        <f t="shared" si="38"/>
        <v>2019-SUV-FRD-ESCP-002-05</v>
      </c>
      <c r="AG361" s="661" t="str">
        <f>IF(AND($Y361&gt;=32,(AI361="I"),(Y361&lt;&gt;"~"),(COUNTIF($AN$1:$AN361,$AN361)=1)),"TRUE","FALSE")</f>
        <v>FALSE</v>
      </c>
      <c r="AH361" s="661" t="str">
        <f>IF(AND($Y361&gt;=22, (AI361&lt;&gt;"I"),(Y361&lt;&gt;"~"),(COUNTIF($AN$1:$AN361,$AN361)=1)),"TRUE","FALSE")</f>
        <v>TRUE</v>
      </c>
      <c r="AI361" s="661" t="str">
        <f t="shared" si="40"/>
        <v>II</v>
      </c>
      <c r="AJ361" s="662" t="str">
        <f t="shared" si="34"/>
        <v>ESCP-002</v>
      </c>
      <c r="AK361" s="662" t="str">
        <f t="shared" si="35"/>
        <v>SUV</v>
      </c>
      <c r="AL361" s="662" t="str">
        <f t="shared" si="36"/>
        <v>FRD</v>
      </c>
      <c r="AM361" s="662" t="str">
        <f t="shared" si="39"/>
        <v>Escape-SE-FWD-5-~-~-1.5L-4-U0G-200A-105.9-15.7-Unleaded-Unleaded</v>
      </c>
      <c r="AN361" s="662" t="str">
        <f t="shared" si="37"/>
        <v>2019-SUV-FRD-ESCP-002</v>
      </c>
    </row>
    <row r="362" spans="1:40" s="572" customFormat="1" ht="15">
      <c r="A362" s="570" t="s">
        <v>1090</v>
      </c>
      <c r="B362" s="569" t="s">
        <v>1088</v>
      </c>
      <c r="C362" s="569" t="s">
        <v>278</v>
      </c>
      <c r="D362" s="580">
        <v>15</v>
      </c>
      <c r="E362" s="569" t="s">
        <v>699</v>
      </c>
      <c r="F362" s="569" t="s">
        <v>152</v>
      </c>
      <c r="G362" s="569" t="s">
        <v>271</v>
      </c>
      <c r="H362" s="569">
        <v>2019</v>
      </c>
      <c r="I362" s="569" t="s">
        <v>1076</v>
      </c>
      <c r="J362" s="569" t="s">
        <v>330</v>
      </c>
      <c r="K362" s="569" t="s">
        <v>156</v>
      </c>
      <c r="L362" s="569">
        <v>5</v>
      </c>
      <c r="M362" s="569">
        <v>0</v>
      </c>
      <c r="N362" s="569" t="s">
        <v>157</v>
      </c>
      <c r="O362" s="569">
        <v>2</v>
      </c>
      <c r="P362" s="569" t="s">
        <v>157</v>
      </c>
      <c r="Q362" s="568" t="s">
        <v>157</v>
      </c>
      <c r="R362" s="569" t="s">
        <v>205</v>
      </c>
      <c r="S362" s="569">
        <v>4</v>
      </c>
      <c r="T362" s="569" t="s">
        <v>1089</v>
      </c>
      <c r="U362" s="569" t="s">
        <v>295</v>
      </c>
      <c r="V362" s="569">
        <v>105.9</v>
      </c>
      <c r="W362" s="569">
        <v>15.7</v>
      </c>
      <c r="X362" s="568">
        <v>4520</v>
      </c>
      <c r="Y362" s="569">
        <v>26</v>
      </c>
      <c r="Z362" s="581" t="s">
        <v>178</v>
      </c>
      <c r="AA362" s="581" t="s">
        <v>178</v>
      </c>
      <c r="AB362" s="585">
        <v>27495</v>
      </c>
      <c r="AC362" s="585" t="s">
        <v>164</v>
      </c>
      <c r="AD362" s="585">
        <v>23950</v>
      </c>
      <c r="AE362" s="587">
        <v>0.01</v>
      </c>
      <c r="AF362" s="661" t="str">
        <f t="shared" si="38"/>
        <v>2019-SUV-FRD-ESCP-002-15</v>
      </c>
      <c r="AG362" s="661" t="str">
        <f>IF(AND($Y362&gt;=32,(AI362="I"),(Y362&lt;&gt;"~"),(COUNTIF($AN$1:$AN362,$AN362)=1)),"TRUE","FALSE")</f>
        <v>FALSE</v>
      </c>
      <c r="AH362" s="661" t="str">
        <f>IF(AND($Y362&gt;=22, (AI362&lt;&gt;"I"),(Y362&lt;&gt;"~"),(COUNTIF($AN$1:$AN362,$AN362)=1)),"TRUE","FALSE")</f>
        <v>FALSE</v>
      </c>
      <c r="AI362" s="661" t="str">
        <f t="shared" si="40"/>
        <v>II</v>
      </c>
      <c r="AJ362" s="662" t="str">
        <f t="shared" si="34"/>
        <v>ESCP-002</v>
      </c>
      <c r="AK362" s="662" t="str">
        <f t="shared" si="35"/>
        <v>SUV</v>
      </c>
      <c r="AL362" s="662" t="str">
        <f t="shared" si="36"/>
        <v>FRD</v>
      </c>
      <c r="AM362" s="662" t="str">
        <f t="shared" si="39"/>
        <v>Escape-SE-FWD-5-~-~-1.5L-4-U0G-200A-105.9-15.7-Unleaded-Unleaded</v>
      </c>
      <c r="AN362" s="662" t="str">
        <f t="shared" si="37"/>
        <v>2019-SUV-FRD-ESCP-002</v>
      </c>
    </row>
    <row r="363" spans="1:40" s="572" customFormat="1" ht="15">
      <c r="A363" s="570" t="s">
        <v>1091</v>
      </c>
      <c r="B363" s="573" t="s">
        <v>1088</v>
      </c>
      <c r="C363" s="573" t="s">
        <v>287</v>
      </c>
      <c r="D363" s="578">
        <v>26</v>
      </c>
      <c r="E363" s="573" t="s">
        <v>699</v>
      </c>
      <c r="F363" s="573" t="s">
        <v>152</v>
      </c>
      <c r="G363" s="573" t="s">
        <v>271</v>
      </c>
      <c r="H363" s="573">
        <v>2019</v>
      </c>
      <c r="I363" s="573" t="s">
        <v>1076</v>
      </c>
      <c r="J363" s="573" t="s">
        <v>330</v>
      </c>
      <c r="K363" s="573" t="s">
        <v>156</v>
      </c>
      <c r="L363" s="573">
        <v>5</v>
      </c>
      <c r="M363" s="573">
        <v>0</v>
      </c>
      <c r="N363" s="573" t="s">
        <v>157</v>
      </c>
      <c r="O363" s="573">
        <v>2</v>
      </c>
      <c r="P363" s="573" t="s">
        <v>157</v>
      </c>
      <c r="Q363" s="571" t="s">
        <v>157</v>
      </c>
      <c r="R363" s="573" t="s">
        <v>205</v>
      </c>
      <c r="S363" s="573">
        <v>4</v>
      </c>
      <c r="T363" s="573" t="s">
        <v>1089</v>
      </c>
      <c r="U363" s="573" t="s">
        <v>295</v>
      </c>
      <c r="V363" s="573">
        <v>105.9</v>
      </c>
      <c r="W363" s="573">
        <v>15.7</v>
      </c>
      <c r="X363" s="571">
        <v>4520</v>
      </c>
      <c r="Y363" s="573">
        <v>26</v>
      </c>
      <c r="Z363" s="579" t="s">
        <v>178</v>
      </c>
      <c r="AA363" s="579" t="s">
        <v>178</v>
      </c>
      <c r="AB363" s="584">
        <v>27495</v>
      </c>
      <c r="AC363" s="584" t="s">
        <v>164</v>
      </c>
      <c r="AD363" s="584">
        <v>24723</v>
      </c>
      <c r="AE363" s="586">
        <v>0.05</v>
      </c>
      <c r="AF363" s="661" t="str">
        <f t="shared" si="38"/>
        <v>2019-SUV-FRD-ESCP-002-26</v>
      </c>
      <c r="AG363" s="661" t="str">
        <f>IF(AND($Y363&gt;=32,(AI363="I"),(Y363&lt;&gt;"~"),(COUNTIF($AN$1:$AN363,$AN363)=1)),"TRUE","FALSE")</f>
        <v>FALSE</v>
      </c>
      <c r="AH363" s="661" t="str">
        <f>IF(AND($Y363&gt;=22, (AI363&lt;&gt;"I"),(Y363&lt;&gt;"~"),(COUNTIF($AN$1:$AN363,$AN363)=1)),"TRUE","FALSE")</f>
        <v>FALSE</v>
      </c>
      <c r="AI363" s="661" t="str">
        <f t="shared" si="40"/>
        <v>II</v>
      </c>
      <c r="AJ363" s="662" t="str">
        <f t="shared" si="34"/>
        <v>ESCP-002</v>
      </c>
      <c r="AK363" s="662" t="str">
        <f t="shared" si="35"/>
        <v>SUV</v>
      </c>
      <c r="AL363" s="662" t="str">
        <f t="shared" si="36"/>
        <v>FRD</v>
      </c>
      <c r="AM363" s="662" t="str">
        <f t="shared" si="39"/>
        <v>Escape-SE-FWD-5-~-~-1.5L-4-U0G-200A-105.9-15.7-Unleaded-Unleaded</v>
      </c>
      <c r="AN363" s="662" t="str">
        <f t="shared" si="37"/>
        <v>2019-SUV-FRD-ESCP-002</v>
      </c>
    </row>
    <row r="364" spans="1:40" s="572" customFormat="1" ht="15">
      <c r="A364" s="570" t="s">
        <v>1092</v>
      </c>
      <c r="B364" s="569" t="s">
        <v>1088</v>
      </c>
      <c r="C364" s="569" t="s">
        <v>280</v>
      </c>
      <c r="D364" s="580">
        <v>27</v>
      </c>
      <c r="E364" s="569" t="s">
        <v>699</v>
      </c>
      <c r="F364" s="569" t="s">
        <v>152</v>
      </c>
      <c r="G364" s="569" t="s">
        <v>271</v>
      </c>
      <c r="H364" s="569">
        <v>2019</v>
      </c>
      <c r="I364" s="569" t="s">
        <v>1076</v>
      </c>
      <c r="J364" s="569" t="s">
        <v>330</v>
      </c>
      <c r="K364" s="569" t="s">
        <v>156</v>
      </c>
      <c r="L364" s="569">
        <v>5</v>
      </c>
      <c r="M364" s="569">
        <v>0</v>
      </c>
      <c r="N364" s="569" t="s">
        <v>157</v>
      </c>
      <c r="O364" s="569">
        <v>2</v>
      </c>
      <c r="P364" s="569" t="s">
        <v>157</v>
      </c>
      <c r="Q364" s="568" t="s">
        <v>157</v>
      </c>
      <c r="R364" s="569" t="s">
        <v>205</v>
      </c>
      <c r="S364" s="569">
        <v>4</v>
      </c>
      <c r="T364" s="569" t="s">
        <v>1089</v>
      </c>
      <c r="U364" s="569" t="s">
        <v>295</v>
      </c>
      <c r="V364" s="569">
        <v>105.9</v>
      </c>
      <c r="W364" s="569">
        <v>15.7</v>
      </c>
      <c r="X364" s="568">
        <v>4520</v>
      </c>
      <c r="Y364" s="569">
        <v>26</v>
      </c>
      <c r="Z364" s="581" t="s">
        <v>178</v>
      </c>
      <c r="AA364" s="581" t="s">
        <v>178</v>
      </c>
      <c r="AB364" s="585">
        <v>27495</v>
      </c>
      <c r="AC364" s="585" t="s">
        <v>164</v>
      </c>
      <c r="AD364" s="585">
        <v>23673.625</v>
      </c>
      <c r="AE364" s="587">
        <v>0.03</v>
      </c>
      <c r="AF364" s="661" t="str">
        <f t="shared" si="38"/>
        <v>2019-SUV-FRD-ESCP-002-27</v>
      </c>
      <c r="AG364" s="661" t="str">
        <f>IF(AND($Y364&gt;=32,(AI364="I"),(Y364&lt;&gt;"~"),(COUNTIF($AN$1:$AN364,$AN364)=1)),"TRUE","FALSE")</f>
        <v>FALSE</v>
      </c>
      <c r="AH364" s="661" t="str">
        <f>IF(AND($Y364&gt;=22, (AI364&lt;&gt;"I"),(Y364&lt;&gt;"~"),(COUNTIF($AN$1:$AN364,$AN364)=1)),"TRUE","FALSE")</f>
        <v>FALSE</v>
      </c>
      <c r="AI364" s="661" t="str">
        <f t="shared" si="40"/>
        <v>II</v>
      </c>
      <c r="AJ364" s="662" t="str">
        <f t="shared" si="34"/>
        <v>ESCP-002</v>
      </c>
      <c r="AK364" s="662" t="str">
        <f t="shared" si="35"/>
        <v>SUV</v>
      </c>
      <c r="AL364" s="662" t="str">
        <f t="shared" si="36"/>
        <v>FRD</v>
      </c>
      <c r="AM364" s="662" t="str">
        <f t="shared" si="39"/>
        <v>Escape-SE-FWD-5-~-~-1.5L-4-U0G-200A-105.9-15.7-Unleaded-Unleaded</v>
      </c>
      <c r="AN364" s="662" t="str">
        <f t="shared" si="37"/>
        <v>2019-SUV-FRD-ESCP-002</v>
      </c>
    </row>
    <row r="365" spans="1:40" s="572" customFormat="1" ht="15">
      <c r="A365" s="570" t="s">
        <v>1093</v>
      </c>
      <c r="B365" s="573" t="s">
        <v>1094</v>
      </c>
      <c r="C365" s="573" t="s">
        <v>269</v>
      </c>
      <c r="D365" s="578" t="s">
        <v>270</v>
      </c>
      <c r="E365" s="573" t="s">
        <v>699</v>
      </c>
      <c r="F365" s="573" t="s">
        <v>152</v>
      </c>
      <c r="G365" s="573" t="s">
        <v>271</v>
      </c>
      <c r="H365" s="573">
        <v>2019</v>
      </c>
      <c r="I365" s="573" t="s">
        <v>1076</v>
      </c>
      <c r="J365" s="573" t="s">
        <v>337</v>
      </c>
      <c r="K365" s="573" t="s">
        <v>752</v>
      </c>
      <c r="L365" s="573">
        <v>5</v>
      </c>
      <c r="M365" s="573">
        <v>0</v>
      </c>
      <c r="N365" s="573" t="s">
        <v>157</v>
      </c>
      <c r="O365" s="573">
        <v>2</v>
      </c>
      <c r="P365" s="573" t="s">
        <v>157</v>
      </c>
      <c r="Q365" s="571" t="s">
        <v>157</v>
      </c>
      <c r="R365" s="573" t="s">
        <v>205</v>
      </c>
      <c r="S365" s="573">
        <v>4</v>
      </c>
      <c r="T365" s="573" t="s">
        <v>1095</v>
      </c>
      <c r="U365" s="573" t="s">
        <v>318</v>
      </c>
      <c r="V365" s="573">
        <v>105.9</v>
      </c>
      <c r="W365" s="573">
        <v>15.7</v>
      </c>
      <c r="X365" s="571">
        <v>4840</v>
      </c>
      <c r="Y365" s="573">
        <v>24</v>
      </c>
      <c r="Z365" s="579" t="s">
        <v>178</v>
      </c>
      <c r="AA365" s="579" t="s">
        <v>178</v>
      </c>
      <c r="AB365" s="584">
        <v>30940</v>
      </c>
      <c r="AC365" s="584" t="s">
        <v>164</v>
      </c>
      <c r="AD365" s="584">
        <v>26858.6875</v>
      </c>
      <c r="AE365" s="586">
        <v>0.03</v>
      </c>
      <c r="AF365" s="661" t="str">
        <f t="shared" si="38"/>
        <v>2019-SUV-FRD-ESCP-003-05</v>
      </c>
      <c r="AG365" s="661" t="str">
        <f>IF(AND($Y365&gt;=32,(AI365="I"),(Y365&lt;&gt;"~"),(COUNTIF($AN$1:$AN365,$AN365)=1)),"TRUE","FALSE")</f>
        <v>FALSE</v>
      </c>
      <c r="AH365" s="661" t="str">
        <f>IF(AND($Y365&gt;=22, (AI365&lt;&gt;"I"),(Y365&lt;&gt;"~"),(COUNTIF($AN$1:$AN365,$AN365)=1)),"TRUE","FALSE")</f>
        <v>TRUE</v>
      </c>
      <c r="AI365" s="661" t="str">
        <f t="shared" si="40"/>
        <v>II</v>
      </c>
      <c r="AJ365" s="662" t="str">
        <f t="shared" si="34"/>
        <v>ESCP-003</v>
      </c>
      <c r="AK365" s="662" t="str">
        <f t="shared" si="35"/>
        <v>SUV</v>
      </c>
      <c r="AL365" s="662" t="str">
        <f t="shared" si="36"/>
        <v>FRD</v>
      </c>
      <c r="AM365" s="662" t="str">
        <f t="shared" si="39"/>
        <v>Escape-SEL-4WD-5-~-~-1.5L-4-U9H-300A-105.9-15.7-Unleaded-Unleaded</v>
      </c>
      <c r="AN365" s="662" t="str">
        <f t="shared" si="37"/>
        <v>2019-SUV-FRD-ESCP-003</v>
      </c>
    </row>
    <row r="366" spans="1:40" s="572" customFormat="1" ht="15">
      <c r="A366" s="570" t="s">
        <v>1096</v>
      </c>
      <c r="B366" s="569" t="s">
        <v>1097</v>
      </c>
      <c r="C366" s="569" t="s">
        <v>269</v>
      </c>
      <c r="D366" s="580" t="s">
        <v>270</v>
      </c>
      <c r="E366" s="569" t="s">
        <v>699</v>
      </c>
      <c r="F366" s="569" t="s">
        <v>152</v>
      </c>
      <c r="G366" s="569" t="s">
        <v>271</v>
      </c>
      <c r="H366" s="569">
        <v>2019</v>
      </c>
      <c r="I366" s="569" t="s">
        <v>1076</v>
      </c>
      <c r="J366" s="569" t="s">
        <v>337</v>
      </c>
      <c r="K366" s="569" t="s">
        <v>752</v>
      </c>
      <c r="L366" s="569">
        <v>5</v>
      </c>
      <c r="M366" s="569">
        <v>0</v>
      </c>
      <c r="N366" s="569" t="s">
        <v>157</v>
      </c>
      <c r="O366" s="569">
        <v>2</v>
      </c>
      <c r="P366" s="569" t="s">
        <v>157</v>
      </c>
      <c r="Q366" s="568" t="s">
        <v>157</v>
      </c>
      <c r="R366" s="569" t="s">
        <v>352</v>
      </c>
      <c r="S366" s="569">
        <v>4</v>
      </c>
      <c r="T366" s="569" t="s">
        <v>1095</v>
      </c>
      <c r="U366" s="569" t="s">
        <v>318</v>
      </c>
      <c r="V366" s="569">
        <v>105.9</v>
      </c>
      <c r="W366" s="569">
        <v>15.7</v>
      </c>
      <c r="X366" s="568">
        <v>4840</v>
      </c>
      <c r="Y366" s="569">
        <v>23</v>
      </c>
      <c r="Z366" s="581" t="s">
        <v>178</v>
      </c>
      <c r="AA366" s="581" t="s">
        <v>178</v>
      </c>
      <c r="AB366" s="585">
        <v>32435</v>
      </c>
      <c r="AC366" s="585" t="s">
        <v>164</v>
      </c>
      <c r="AD366" s="585">
        <v>28232.645833333336</v>
      </c>
      <c r="AE366" s="587">
        <v>0.03</v>
      </c>
      <c r="AF366" s="661" t="str">
        <f t="shared" si="38"/>
        <v>2019-SUV-FRD-ESCP-009-05</v>
      </c>
      <c r="AG366" s="661" t="str">
        <f>IF(AND($Y366&gt;=32,(AI366="I"),(Y366&lt;&gt;"~"),(COUNTIF($AN$1:$AN366,$AN366)=1)),"TRUE","FALSE")</f>
        <v>FALSE</v>
      </c>
      <c r="AH366" s="661" t="str">
        <f>IF(AND($Y366&gt;=22, (AI366&lt;&gt;"I"),(Y366&lt;&gt;"~"),(COUNTIF($AN$1:$AN366,$AN366)=1)),"TRUE","FALSE")</f>
        <v>TRUE</v>
      </c>
      <c r="AI366" s="661" t="str">
        <f t="shared" si="40"/>
        <v>II</v>
      </c>
      <c r="AJ366" s="662" t="str">
        <f t="shared" si="34"/>
        <v>ESCP-009</v>
      </c>
      <c r="AK366" s="662" t="str">
        <f t="shared" si="35"/>
        <v>SUV</v>
      </c>
      <c r="AL366" s="662" t="str">
        <f t="shared" si="36"/>
        <v>FRD</v>
      </c>
      <c r="AM366" s="662" t="str">
        <f t="shared" si="39"/>
        <v>Escape-SEL-4WD-5-~-~-2.0L-4-U9H-300A-105.9-15.7-Unleaded-Unleaded</v>
      </c>
      <c r="AN366" s="662" t="str">
        <f t="shared" si="37"/>
        <v>2019-SUV-FRD-ESCP-009</v>
      </c>
    </row>
    <row r="367" spans="1:40" s="572" customFormat="1" ht="15">
      <c r="A367" s="570" t="s">
        <v>1098</v>
      </c>
      <c r="B367" s="573" t="s">
        <v>1094</v>
      </c>
      <c r="C367" s="573" t="s">
        <v>278</v>
      </c>
      <c r="D367" s="578">
        <v>15</v>
      </c>
      <c r="E367" s="573" t="s">
        <v>699</v>
      </c>
      <c r="F367" s="573" t="s">
        <v>152</v>
      </c>
      <c r="G367" s="573" t="s">
        <v>271</v>
      </c>
      <c r="H367" s="573">
        <v>2019</v>
      </c>
      <c r="I367" s="573" t="s">
        <v>1076</v>
      </c>
      <c r="J367" s="573" t="s">
        <v>337</v>
      </c>
      <c r="K367" s="573" t="s">
        <v>752</v>
      </c>
      <c r="L367" s="573">
        <v>5</v>
      </c>
      <c r="M367" s="573">
        <v>0</v>
      </c>
      <c r="N367" s="573" t="s">
        <v>157</v>
      </c>
      <c r="O367" s="573">
        <v>2</v>
      </c>
      <c r="P367" s="573" t="s">
        <v>157</v>
      </c>
      <c r="Q367" s="571" t="s">
        <v>157</v>
      </c>
      <c r="R367" s="573" t="s">
        <v>205</v>
      </c>
      <c r="S367" s="573">
        <v>4</v>
      </c>
      <c r="T367" s="573" t="s">
        <v>1095</v>
      </c>
      <c r="U367" s="573" t="s">
        <v>318</v>
      </c>
      <c r="V367" s="573">
        <v>105.9</v>
      </c>
      <c r="W367" s="573">
        <v>15.7</v>
      </c>
      <c r="X367" s="571">
        <v>4840</v>
      </c>
      <c r="Y367" s="573">
        <v>24</v>
      </c>
      <c r="Z367" s="579" t="s">
        <v>178</v>
      </c>
      <c r="AA367" s="579" t="s">
        <v>178</v>
      </c>
      <c r="AB367" s="584">
        <v>30940</v>
      </c>
      <c r="AC367" s="584" t="s">
        <v>164</v>
      </c>
      <c r="AD367" s="584">
        <v>27250</v>
      </c>
      <c r="AE367" s="586">
        <v>0.01</v>
      </c>
      <c r="AF367" s="661" t="str">
        <f t="shared" si="38"/>
        <v>2019-SUV-FRD-ESCP-003-15</v>
      </c>
      <c r="AG367" s="661" t="str">
        <f>IF(AND($Y367&gt;=32,(AI367="I"),(Y367&lt;&gt;"~"),(COUNTIF($AN$1:$AN367,$AN367)=1)),"TRUE","FALSE")</f>
        <v>FALSE</v>
      </c>
      <c r="AH367" s="661" t="str">
        <f>IF(AND($Y367&gt;=22, (AI367&lt;&gt;"I"),(Y367&lt;&gt;"~"),(COUNTIF($AN$1:$AN367,$AN367)=1)),"TRUE","FALSE")</f>
        <v>FALSE</v>
      </c>
      <c r="AI367" s="661" t="str">
        <f t="shared" si="40"/>
        <v>II</v>
      </c>
      <c r="AJ367" s="662" t="str">
        <f t="shared" si="34"/>
        <v>ESCP-003</v>
      </c>
      <c r="AK367" s="662" t="str">
        <f t="shared" si="35"/>
        <v>SUV</v>
      </c>
      <c r="AL367" s="662" t="str">
        <f t="shared" si="36"/>
        <v>FRD</v>
      </c>
      <c r="AM367" s="662" t="str">
        <f t="shared" si="39"/>
        <v>Escape-SEL-4WD-5-~-~-1.5L-4-U9H-300A-105.9-15.7-Unleaded-Unleaded</v>
      </c>
      <c r="AN367" s="662" t="str">
        <f t="shared" si="37"/>
        <v>2019-SUV-FRD-ESCP-003</v>
      </c>
    </row>
    <row r="368" spans="1:40" s="572" customFormat="1" ht="15">
      <c r="A368" s="570" t="s">
        <v>1099</v>
      </c>
      <c r="B368" s="569" t="s">
        <v>1094</v>
      </c>
      <c r="C368" s="569" t="s">
        <v>287</v>
      </c>
      <c r="D368" s="580">
        <v>26</v>
      </c>
      <c r="E368" s="569" t="s">
        <v>699</v>
      </c>
      <c r="F368" s="569" t="s">
        <v>152</v>
      </c>
      <c r="G368" s="569" t="s">
        <v>271</v>
      </c>
      <c r="H368" s="569">
        <v>2019</v>
      </c>
      <c r="I368" s="569" t="s">
        <v>1076</v>
      </c>
      <c r="J368" s="569" t="s">
        <v>337</v>
      </c>
      <c r="K368" s="569" t="s">
        <v>752</v>
      </c>
      <c r="L368" s="569">
        <v>5</v>
      </c>
      <c r="M368" s="569">
        <v>0</v>
      </c>
      <c r="N368" s="569" t="s">
        <v>157</v>
      </c>
      <c r="O368" s="569">
        <v>2</v>
      </c>
      <c r="P368" s="569" t="s">
        <v>157</v>
      </c>
      <c r="Q368" s="568" t="s">
        <v>157</v>
      </c>
      <c r="R368" s="569" t="s">
        <v>205</v>
      </c>
      <c r="S368" s="569">
        <v>4</v>
      </c>
      <c r="T368" s="569" t="s">
        <v>1095</v>
      </c>
      <c r="U368" s="569" t="s">
        <v>318</v>
      </c>
      <c r="V368" s="569">
        <v>105.9</v>
      </c>
      <c r="W368" s="569">
        <v>15.7</v>
      </c>
      <c r="X368" s="568">
        <v>4840</v>
      </c>
      <c r="Y368" s="569">
        <v>24</v>
      </c>
      <c r="Z368" s="581" t="s">
        <v>178</v>
      </c>
      <c r="AA368" s="581" t="s">
        <v>178</v>
      </c>
      <c r="AB368" s="585">
        <v>30940</v>
      </c>
      <c r="AC368" s="585" t="s">
        <v>164</v>
      </c>
      <c r="AD368" s="585">
        <v>28035</v>
      </c>
      <c r="AE368" s="587">
        <v>0.05</v>
      </c>
      <c r="AF368" s="661" t="str">
        <f t="shared" si="38"/>
        <v>2019-SUV-FRD-ESCP-003-26</v>
      </c>
      <c r="AG368" s="661" t="str">
        <f>IF(AND($Y368&gt;=32,(AI368="I"),(Y368&lt;&gt;"~"),(COUNTIF($AN$1:$AN368,$AN368)=1)),"TRUE","FALSE")</f>
        <v>FALSE</v>
      </c>
      <c r="AH368" s="661" t="str">
        <f>IF(AND($Y368&gt;=22, (AI368&lt;&gt;"I"),(Y368&lt;&gt;"~"),(COUNTIF($AN$1:$AN368,$AN368)=1)),"TRUE","FALSE")</f>
        <v>FALSE</v>
      </c>
      <c r="AI368" s="661" t="str">
        <f t="shared" si="40"/>
        <v>II</v>
      </c>
      <c r="AJ368" s="662" t="str">
        <f t="shared" si="34"/>
        <v>ESCP-003</v>
      </c>
      <c r="AK368" s="662" t="str">
        <f t="shared" si="35"/>
        <v>SUV</v>
      </c>
      <c r="AL368" s="662" t="str">
        <f t="shared" si="36"/>
        <v>FRD</v>
      </c>
      <c r="AM368" s="662" t="str">
        <f t="shared" si="39"/>
        <v>Escape-SEL-4WD-5-~-~-1.5L-4-U9H-300A-105.9-15.7-Unleaded-Unleaded</v>
      </c>
      <c r="AN368" s="662" t="str">
        <f t="shared" si="37"/>
        <v>2019-SUV-FRD-ESCP-003</v>
      </c>
    </row>
    <row r="369" spans="1:40" s="572" customFormat="1" ht="15">
      <c r="A369" s="570" t="s">
        <v>1100</v>
      </c>
      <c r="B369" s="573" t="s">
        <v>1094</v>
      </c>
      <c r="C369" s="573" t="s">
        <v>280</v>
      </c>
      <c r="D369" s="578">
        <v>27</v>
      </c>
      <c r="E369" s="573" t="s">
        <v>699</v>
      </c>
      <c r="F369" s="573" t="s">
        <v>152</v>
      </c>
      <c r="G369" s="573" t="s">
        <v>271</v>
      </c>
      <c r="H369" s="573">
        <v>2019</v>
      </c>
      <c r="I369" s="573" t="s">
        <v>1076</v>
      </c>
      <c r="J369" s="573" t="s">
        <v>337</v>
      </c>
      <c r="K369" s="573" t="s">
        <v>752</v>
      </c>
      <c r="L369" s="573">
        <v>5</v>
      </c>
      <c r="M369" s="573">
        <v>0</v>
      </c>
      <c r="N369" s="573" t="s">
        <v>157</v>
      </c>
      <c r="O369" s="573">
        <v>2</v>
      </c>
      <c r="P369" s="573" t="s">
        <v>157</v>
      </c>
      <c r="Q369" s="571" t="s">
        <v>157</v>
      </c>
      <c r="R369" s="573" t="s">
        <v>205</v>
      </c>
      <c r="S369" s="573">
        <v>4</v>
      </c>
      <c r="T369" s="573" t="s">
        <v>1095</v>
      </c>
      <c r="U369" s="573" t="s">
        <v>318</v>
      </c>
      <c r="V369" s="573">
        <v>105.9</v>
      </c>
      <c r="W369" s="573">
        <v>15.7</v>
      </c>
      <c r="X369" s="571">
        <v>4840</v>
      </c>
      <c r="Y369" s="573">
        <v>24</v>
      </c>
      <c r="Z369" s="579" t="s">
        <v>178</v>
      </c>
      <c r="AA369" s="579" t="s">
        <v>178</v>
      </c>
      <c r="AB369" s="584">
        <v>30940</v>
      </c>
      <c r="AC369" s="584" t="s">
        <v>164</v>
      </c>
      <c r="AD369" s="584">
        <v>26858.6875</v>
      </c>
      <c r="AE369" s="586">
        <v>0.03</v>
      </c>
      <c r="AF369" s="661" t="str">
        <f t="shared" si="38"/>
        <v>2019-SUV-FRD-ESCP-003-27</v>
      </c>
      <c r="AG369" s="661" t="str">
        <f>IF(AND($Y369&gt;=32,(AI369="I"),(Y369&lt;&gt;"~"),(COUNTIF($AN$1:$AN369,$AN369)=1)),"TRUE","FALSE")</f>
        <v>FALSE</v>
      </c>
      <c r="AH369" s="661" t="str">
        <f>IF(AND($Y369&gt;=22, (AI369&lt;&gt;"I"),(Y369&lt;&gt;"~"),(COUNTIF($AN$1:$AN369,$AN369)=1)),"TRUE","FALSE")</f>
        <v>FALSE</v>
      </c>
      <c r="AI369" s="661" t="str">
        <f t="shared" si="40"/>
        <v>II</v>
      </c>
      <c r="AJ369" s="662" t="str">
        <f t="shared" si="34"/>
        <v>ESCP-003</v>
      </c>
      <c r="AK369" s="662" t="str">
        <f t="shared" si="35"/>
        <v>SUV</v>
      </c>
      <c r="AL369" s="662" t="str">
        <f t="shared" si="36"/>
        <v>FRD</v>
      </c>
      <c r="AM369" s="662" t="str">
        <f t="shared" si="39"/>
        <v>Escape-SEL-4WD-5-~-~-1.5L-4-U9H-300A-105.9-15.7-Unleaded-Unleaded</v>
      </c>
      <c r="AN369" s="662" t="str">
        <f t="shared" si="37"/>
        <v>2019-SUV-FRD-ESCP-003</v>
      </c>
    </row>
    <row r="370" spans="1:40" s="572" customFormat="1" ht="15">
      <c r="A370" s="570" t="s">
        <v>1101</v>
      </c>
      <c r="B370" s="569" t="s">
        <v>1097</v>
      </c>
      <c r="C370" s="569" t="s">
        <v>280</v>
      </c>
      <c r="D370" s="580">
        <v>27</v>
      </c>
      <c r="E370" s="569" t="s">
        <v>699</v>
      </c>
      <c r="F370" s="569" t="s">
        <v>152</v>
      </c>
      <c r="G370" s="569" t="s">
        <v>271</v>
      </c>
      <c r="H370" s="569">
        <v>2019</v>
      </c>
      <c r="I370" s="569" t="s">
        <v>1076</v>
      </c>
      <c r="J370" s="569" t="s">
        <v>337</v>
      </c>
      <c r="K370" s="569" t="s">
        <v>752</v>
      </c>
      <c r="L370" s="569">
        <v>5</v>
      </c>
      <c r="M370" s="569">
        <v>0</v>
      </c>
      <c r="N370" s="569" t="s">
        <v>157</v>
      </c>
      <c r="O370" s="569">
        <v>2</v>
      </c>
      <c r="P370" s="569" t="s">
        <v>157</v>
      </c>
      <c r="Q370" s="568" t="s">
        <v>157</v>
      </c>
      <c r="R370" s="569" t="s">
        <v>352</v>
      </c>
      <c r="S370" s="569">
        <v>4</v>
      </c>
      <c r="T370" s="569" t="s">
        <v>1095</v>
      </c>
      <c r="U370" s="569" t="s">
        <v>318</v>
      </c>
      <c r="V370" s="569">
        <v>105.9</v>
      </c>
      <c r="W370" s="569">
        <v>15.7</v>
      </c>
      <c r="X370" s="568">
        <v>4840</v>
      </c>
      <c r="Y370" s="569">
        <v>23</v>
      </c>
      <c r="Z370" s="581" t="s">
        <v>178</v>
      </c>
      <c r="AA370" s="581" t="s">
        <v>178</v>
      </c>
      <c r="AB370" s="585">
        <v>32435</v>
      </c>
      <c r="AC370" s="585" t="s">
        <v>164</v>
      </c>
      <c r="AD370" s="585">
        <v>28232.645833333336</v>
      </c>
      <c r="AE370" s="587">
        <v>0.03</v>
      </c>
      <c r="AF370" s="661" t="str">
        <f t="shared" si="38"/>
        <v>2019-SUV-FRD-ESCP-009-27</v>
      </c>
      <c r="AG370" s="661" t="str">
        <f>IF(AND($Y370&gt;=32,(AI370="I"),(Y370&lt;&gt;"~"),(COUNTIF($AN$1:$AN370,$AN370)=1)),"TRUE","FALSE")</f>
        <v>FALSE</v>
      </c>
      <c r="AH370" s="661" t="str">
        <f>IF(AND($Y370&gt;=22, (AI370&lt;&gt;"I"),(Y370&lt;&gt;"~"),(COUNTIF($AN$1:$AN370,$AN370)=1)),"TRUE","FALSE")</f>
        <v>FALSE</v>
      </c>
      <c r="AI370" s="661" t="str">
        <f t="shared" si="40"/>
        <v>II</v>
      </c>
      <c r="AJ370" s="662" t="str">
        <f t="shared" si="34"/>
        <v>ESCP-009</v>
      </c>
      <c r="AK370" s="662" t="str">
        <f t="shared" si="35"/>
        <v>SUV</v>
      </c>
      <c r="AL370" s="662" t="str">
        <f t="shared" si="36"/>
        <v>FRD</v>
      </c>
      <c r="AM370" s="662" t="str">
        <f t="shared" si="39"/>
        <v>Escape-SEL-4WD-5-~-~-2.0L-4-U9H-300A-105.9-15.7-Unleaded-Unleaded</v>
      </c>
      <c r="AN370" s="662" t="str">
        <f t="shared" si="37"/>
        <v>2019-SUV-FRD-ESCP-009</v>
      </c>
    </row>
    <row r="371" spans="1:40" s="572" customFormat="1" ht="15">
      <c r="A371" s="570" t="s">
        <v>1102</v>
      </c>
      <c r="B371" s="573" t="s">
        <v>1103</v>
      </c>
      <c r="C371" s="573" t="s">
        <v>287</v>
      </c>
      <c r="D371" s="578">
        <v>26</v>
      </c>
      <c r="E371" s="573" t="s">
        <v>699</v>
      </c>
      <c r="F371" s="573" t="s">
        <v>152</v>
      </c>
      <c r="G371" s="573" t="s">
        <v>271</v>
      </c>
      <c r="H371" s="573">
        <v>2019</v>
      </c>
      <c r="I371" s="573" t="s">
        <v>1076</v>
      </c>
      <c r="J371" s="573" t="s">
        <v>337</v>
      </c>
      <c r="K371" s="573" t="s">
        <v>156</v>
      </c>
      <c r="L371" s="573">
        <v>5</v>
      </c>
      <c r="M371" s="573">
        <v>0</v>
      </c>
      <c r="N371" s="573" t="s">
        <v>157</v>
      </c>
      <c r="O371" s="573">
        <v>2</v>
      </c>
      <c r="P371" s="573" t="s">
        <v>157</v>
      </c>
      <c r="Q371" s="571" t="s">
        <v>157</v>
      </c>
      <c r="R371" s="573" t="s">
        <v>205</v>
      </c>
      <c r="S371" s="573">
        <v>4</v>
      </c>
      <c r="T371" s="573" t="s">
        <v>1104</v>
      </c>
      <c r="U371" s="573" t="s">
        <v>318</v>
      </c>
      <c r="V371" s="573">
        <v>105.9</v>
      </c>
      <c r="W371" s="573">
        <v>15.7</v>
      </c>
      <c r="X371" s="571">
        <v>4620</v>
      </c>
      <c r="Y371" s="573">
        <v>26</v>
      </c>
      <c r="Z371" s="579" t="s">
        <v>178</v>
      </c>
      <c r="AA371" s="579" t="s">
        <v>178</v>
      </c>
      <c r="AB371" s="584">
        <v>29440</v>
      </c>
      <c r="AC371" s="584" t="s">
        <v>164</v>
      </c>
      <c r="AD371" s="584">
        <v>26592</v>
      </c>
      <c r="AE371" s="586">
        <v>0.05</v>
      </c>
      <c r="AF371" s="661" t="str">
        <f t="shared" si="38"/>
        <v>2019-SUV-FRD-ESCP-010-26</v>
      </c>
      <c r="AG371" s="661" t="str">
        <f>IF(AND($Y371&gt;=32,(AI371="I"),(Y371&lt;&gt;"~"),(COUNTIF($AN$1:$AN371,$AN371)=1)),"TRUE","FALSE")</f>
        <v>FALSE</v>
      </c>
      <c r="AH371" s="661" t="str">
        <f>IF(AND($Y371&gt;=22, (AI371&lt;&gt;"I"),(Y371&lt;&gt;"~"),(COUNTIF($AN$1:$AN371,$AN371)=1)),"TRUE","FALSE")</f>
        <v>TRUE</v>
      </c>
      <c r="AI371" s="661" t="str">
        <f t="shared" si="40"/>
        <v>II</v>
      </c>
      <c r="AJ371" s="662" t="str">
        <f t="shared" si="34"/>
        <v>ESCP-010</v>
      </c>
      <c r="AK371" s="662" t="str">
        <f t="shared" si="35"/>
        <v>SUV</v>
      </c>
      <c r="AL371" s="662" t="str">
        <f t="shared" si="36"/>
        <v>FRD</v>
      </c>
      <c r="AM371" s="662" t="str">
        <f t="shared" si="39"/>
        <v>Escape-SEL-FWD-5-~-~-1.5L-4-U0H-300A-105.9-15.7-Unleaded-Unleaded</v>
      </c>
      <c r="AN371" s="662" t="str">
        <f t="shared" si="37"/>
        <v>2019-SUV-FRD-ESCP-010</v>
      </c>
    </row>
    <row r="372" spans="1:40" s="572" customFormat="1" ht="15">
      <c r="A372" s="570" t="s">
        <v>1105</v>
      </c>
      <c r="B372" s="569" t="s">
        <v>1106</v>
      </c>
      <c r="C372" s="569" t="s">
        <v>269</v>
      </c>
      <c r="D372" s="580" t="s">
        <v>270</v>
      </c>
      <c r="E372" s="569" t="s">
        <v>699</v>
      </c>
      <c r="F372" s="569" t="s">
        <v>152</v>
      </c>
      <c r="G372" s="569" t="s">
        <v>271</v>
      </c>
      <c r="H372" s="569">
        <v>2019</v>
      </c>
      <c r="I372" s="569" t="s">
        <v>1076</v>
      </c>
      <c r="J372" s="569" t="s">
        <v>418</v>
      </c>
      <c r="K372" s="569" t="s">
        <v>752</v>
      </c>
      <c r="L372" s="569">
        <v>5</v>
      </c>
      <c r="M372" s="569">
        <v>0</v>
      </c>
      <c r="N372" s="569" t="s">
        <v>157</v>
      </c>
      <c r="O372" s="569">
        <v>2</v>
      </c>
      <c r="P372" s="569" t="s">
        <v>157</v>
      </c>
      <c r="Q372" s="568" t="s">
        <v>157</v>
      </c>
      <c r="R372" s="569" t="s">
        <v>1027</v>
      </c>
      <c r="S372" s="569">
        <v>4</v>
      </c>
      <c r="T372" s="569" t="s">
        <v>1107</v>
      </c>
      <c r="U372" s="569" t="s">
        <v>310</v>
      </c>
      <c r="V372" s="569">
        <v>105.9</v>
      </c>
      <c r="W372" s="569">
        <v>15.7</v>
      </c>
      <c r="X372" s="568">
        <v>4840</v>
      </c>
      <c r="Y372" s="569">
        <v>23</v>
      </c>
      <c r="Z372" s="581" t="s">
        <v>178</v>
      </c>
      <c r="AA372" s="581" t="s">
        <v>178</v>
      </c>
      <c r="AB372" s="585">
        <v>35115</v>
      </c>
      <c r="AC372" s="585" t="s">
        <v>164</v>
      </c>
      <c r="AD372" s="585">
        <v>30718.416666666668</v>
      </c>
      <c r="AE372" s="587">
        <v>0.03</v>
      </c>
      <c r="AF372" s="661" t="str">
        <f t="shared" si="38"/>
        <v>2019-SUV-FRD-ESCP-012-05</v>
      </c>
      <c r="AG372" s="661" t="str">
        <f>IF(AND($Y372&gt;=32,(AI372="I"),(Y372&lt;&gt;"~"),(COUNTIF($AN$1:$AN372,$AN372)=1)),"TRUE","FALSE")</f>
        <v>FALSE</v>
      </c>
      <c r="AH372" s="661" t="str">
        <f>IF(AND($Y372&gt;=22, (AI372&lt;&gt;"I"),(Y372&lt;&gt;"~"),(COUNTIF($AN$1:$AN372,$AN372)=1)),"TRUE","FALSE")</f>
        <v>TRUE</v>
      </c>
      <c r="AI372" s="661" t="str">
        <f t="shared" si="40"/>
        <v>II</v>
      </c>
      <c r="AJ372" s="662" t="str">
        <f t="shared" si="34"/>
        <v>ESCP-012</v>
      </c>
      <c r="AK372" s="662" t="str">
        <f t="shared" si="35"/>
        <v>SUV</v>
      </c>
      <c r="AL372" s="662" t="str">
        <f t="shared" si="36"/>
        <v>FRD</v>
      </c>
      <c r="AM372" s="662" t="str">
        <f t="shared" si="39"/>
        <v>Escape-Titanium-4WD-5-~-~-2.0L EcoBoost-4-U9J-400A-105.9-15.7-Unleaded-Unleaded</v>
      </c>
      <c r="AN372" s="662" t="str">
        <f t="shared" si="37"/>
        <v>2019-SUV-FRD-ESCP-012</v>
      </c>
    </row>
    <row r="373" spans="1:40" s="572" customFormat="1" ht="15">
      <c r="A373" s="570" t="s">
        <v>1108</v>
      </c>
      <c r="B373" s="573" t="s">
        <v>1109</v>
      </c>
      <c r="C373" s="573" t="s">
        <v>278</v>
      </c>
      <c r="D373" s="578">
        <v>15</v>
      </c>
      <c r="E373" s="573" t="s">
        <v>699</v>
      </c>
      <c r="F373" s="573" t="s">
        <v>152</v>
      </c>
      <c r="G373" s="573" t="s">
        <v>271</v>
      </c>
      <c r="H373" s="573">
        <v>2019</v>
      </c>
      <c r="I373" s="573" t="s">
        <v>1076</v>
      </c>
      <c r="J373" s="573" t="s">
        <v>418</v>
      </c>
      <c r="K373" s="573" t="s">
        <v>752</v>
      </c>
      <c r="L373" s="573">
        <v>5</v>
      </c>
      <c r="M373" s="573">
        <v>0</v>
      </c>
      <c r="N373" s="573" t="s">
        <v>157</v>
      </c>
      <c r="O373" s="573">
        <v>2</v>
      </c>
      <c r="P373" s="573" t="s">
        <v>157</v>
      </c>
      <c r="Q373" s="571" t="s">
        <v>157</v>
      </c>
      <c r="R373" s="573" t="s">
        <v>189</v>
      </c>
      <c r="S373" s="573">
        <v>4</v>
      </c>
      <c r="T373" s="573" t="s">
        <v>1107</v>
      </c>
      <c r="U373" s="573" t="s">
        <v>310</v>
      </c>
      <c r="V373" s="573">
        <v>105.9</v>
      </c>
      <c r="W373" s="573">
        <v>15.7</v>
      </c>
      <c r="X373" s="571">
        <v>4840</v>
      </c>
      <c r="Y373" s="573">
        <v>24</v>
      </c>
      <c r="Z373" s="579" t="s">
        <v>178</v>
      </c>
      <c r="AA373" s="579" t="s">
        <v>178</v>
      </c>
      <c r="AB373" s="584">
        <v>35115</v>
      </c>
      <c r="AC373" s="584" t="s">
        <v>164</v>
      </c>
      <c r="AD373" s="584">
        <v>31150</v>
      </c>
      <c r="AE373" s="586">
        <v>0.01</v>
      </c>
      <c r="AF373" s="661" t="str">
        <f t="shared" si="38"/>
        <v>2019-SUV-FRD-ESCP-007-15</v>
      </c>
      <c r="AG373" s="661" t="str">
        <f>IF(AND($Y373&gt;=32,(AI373="I"),(Y373&lt;&gt;"~"),(COUNTIF($AN$1:$AN373,$AN373)=1)),"TRUE","FALSE")</f>
        <v>FALSE</v>
      </c>
      <c r="AH373" s="661" t="str">
        <f>IF(AND($Y373&gt;=22, (AI373&lt;&gt;"I"),(Y373&lt;&gt;"~"),(COUNTIF($AN$1:$AN373,$AN373)=1)),"TRUE","FALSE")</f>
        <v>TRUE</v>
      </c>
      <c r="AI373" s="661" t="str">
        <f t="shared" si="40"/>
        <v>II</v>
      </c>
      <c r="AJ373" s="662" t="str">
        <f t="shared" si="34"/>
        <v>ESCP-007</v>
      </c>
      <c r="AK373" s="662" t="str">
        <f t="shared" si="35"/>
        <v>SUV</v>
      </c>
      <c r="AL373" s="662" t="str">
        <f t="shared" si="36"/>
        <v>FRD</v>
      </c>
      <c r="AM373" s="662" t="str">
        <f t="shared" si="39"/>
        <v>Escape-Titanium-4WD-5-~-~-2.5L-4-U9J-400A-105.9-15.7-Unleaded-Unleaded</v>
      </c>
      <c r="AN373" s="662" t="str">
        <f t="shared" si="37"/>
        <v>2019-SUV-FRD-ESCP-007</v>
      </c>
    </row>
    <row r="374" spans="1:40" s="572" customFormat="1" ht="15">
      <c r="A374" s="570" t="s">
        <v>1110</v>
      </c>
      <c r="B374" s="569" t="s">
        <v>1111</v>
      </c>
      <c r="C374" s="569" t="s">
        <v>287</v>
      </c>
      <c r="D374" s="580">
        <v>26</v>
      </c>
      <c r="E374" s="569" t="s">
        <v>699</v>
      </c>
      <c r="F374" s="569" t="s">
        <v>152</v>
      </c>
      <c r="G374" s="569" t="s">
        <v>271</v>
      </c>
      <c r="H374" s="569">
        <v>2019</v>
      </c>
      <c r="I374" s="569" t="s">
        <v>1076</v>
      </c>
      <c r="J374" s="569" t="s">
        <v>418</v>
      </c>
      <c r="K374" s="569" t="s">
        <v>752</v>
      </c>
      <c r="L374" s="569">
        <v>5</v>
      </c>
      <c r="M374" s="569">
        <v>0</v>
      </c>
      <c r="N374" s="569" t="s">
        <v>157</v>
      </c>
      <c r="O374" s="569">
        <v>2</v>
      </c>
      <c r="P374" s="569" t="s">
        <v>157</v>
      </c>
      <c r="Q374" s="568" t="s">
        <v>157</v>
      </c>
      <c r="R374" s="569" t="s">
        <v>205</v>
      </c>
      <c r="S374" s="569">
        <v>4</v>
      </c>
      <c r="T374" s="569" t="s">
        <v>1107</v>
      </c>
      <c r="U374" s="569" t="s">
        <v>310</v>
      </c>
      <c r="V374" s="569">
        <v>105.9</v>
      </c>
      <c r="W374" s="569">
        <v>15.7</v>
      </c>
      <c r="X374" s="568">
        <v>4840</v>
      </c>
      <c r="Y374" s="569">
        <v>24</v>
      </c>
      <c r="Z374" s="581" t="s">
        <v>178</v>
      </c>
      <c r="AA374" s="581" t="s">
        <v>178</v>
      </c>
      <c r="AB374" s="585">
        <v>35115</v>
      </c>
      <c r="AC374" s="585" t="s">
        <v>164</v>
      </c>
      <c r="AD374" s="585">
        <v>32052</v>
      </c>
      <c r="AE374" s="587">
        <v>0.05</v>
      </c>
      <c r="AF374" s="661" t="str">
        <f t="shared" si="38"/>
        <v>2019-SUV-FRD-ESCP-011-26</v>
      </c>
      <c r="AG374" s="661" t="str">
        <f>IF(AND($Y374&gt;=32,(AI374="I"),(Y374&lt;&gt;"~"),(COUNTIF($AN$1:$AN374,$AN374)=1)),"TRUE","FALSE")</f>
        <v>FALSE</v>
      </c>
      <c r="AH374" s="661" t="str">
        <f>IF(AND($Y374&gt;=22, (AI374&lt;&gt;"I"),(Y374&lt;&gt;"~"),(COUNTIF($AN$1:$AN374,$AN374)=1)),"TRUE","FALSE")</f>
        <v>TRUE</v>
      </c>
      <c r="AI374" s="661" t="str">
        <f t="shared" si="40"/>
        <v>II</v>
      </c>
      <c r="AJ374" s="662" t="str">
        <f t="shared" si="34"/>
        <v>ESCP-011</v>
      </c>
      <c r="AK374" s="662" t="str">
        <f t="shared" si="35"/>
        <v>SUV</v>
      </c>
      <c r="AL374" s="662" t="str">
        <f t="shared" si="36"/>
        <v>FRD</v>
      </c>
      <c r="AM374" s="662" t="str">
        <f t="shared" si="39"/>
        <v>Escape-Titanium-4WD-5-~-~-1.5L-4-U9J-400A-105.9-15.7-Unleaded-Unleaded</v>
      </c>
      <c r="AN374" s="662" t="str">
        <f t="shared" si="37"/>
        <v>2019-SUV-FRD-ESCP-011</v>
      </c>
    </row>
    <row r="375" spans="1:40" s="572" customFormat="1" ht="15">
      <c r="A375" s="570" t="s">
        <v>1112</v>
      </c>
      <c r="B375" s="573" t="s">
        <v>1106</v>
      </c>
      <c r="C375" s="573" t="s">
        <v>280</v>
      </c>
      <c r="D375" s="578">
        <v>27</v>
      </c>
      <c r="E375" s="573" t="s">
        <v>699</v>
      </c>
      <c r="F375" s="573" t="s">
        <v>152</v>
      </c>
      <c r="G375" s="573" t="s">
        <v>271</v>
      </c>
      <c r="H375" s="573">
        <v>2019</v>
      </c>
      <c r="I375" s="573" t="s">
        <v>1076</v>
      </c>
      <c r="J375" s="573" t="s">
        <v>418</v>
      </c>
      <c r="K375" s="573" t="s">
        <v>752</v>
      </c>
      <c r="L375" s="573">
        <v>5</v>
      </c>
      <c r="M375" s="573">
        <v>0</v>
      </c>
      <c r="N375" s="573" t="s">
        <v>157</v>
      </c>
      <c r="O375" s="573">
        <v>2</v>
      </c>
      <c r="P375" s="573" t="s">
        <v>157</v>
      </c>
      <c r="Q375" s="571" t="s">
        <v>157</v>
      </c>
      <c r="R375" s="573" t="s">
        <v>1027</v>
      </c>
      <c r="S375" s="573">
        <v>4</v>
      </c>
      <c r="T375" s="573" t="s">
        <v>1107</v>
      </c>
      <c r="U375" s="573" t="s">
        <v>310</v>
      </c>
      <c r="V375" s="573">
        <v>105.9</v>
      </c>
      <c r="W375" s="573">
        <v>15.7</v>
      </c>
      <c r="X375" s="571">
        <v>4840</v>
      </c>
      <c r="Y375" s="573">
        <v>23</v>
      </c>
      <c r="Z375" s="579" t="s">
        <v>178</v>
      </c>
      <c r="AA375" s="579" t="s">
        <v>178</v>
      </c>
      <c r="AB375" s="584">
        <v>35115</v>
      </c>
      <c r="AC375" s="584" t="s">
        <v>164</v>
      </c>
      <c r="AD375" s="584">
        <v>30718.416666666668</v>
      </c>
      <c r="AE375" s="586">
        <v>0.03</v>
      </c>
      <c r="AF375" s="661" t="str">
        <f t="shared" si="38"/>
        <v>2019-SUV-FRD-ESCP-012-27</v>
      </c>
      <c r="AG375" s="661" t="str">
        <f>IF(AND($Y375&gt;=32,(AI375="I"),(Y375&lt;&gt;"~"),(COUNTIF($AN$1:$AN375,$AN375)=1)),"TRUE","FALSE")</f>
        <v>FALSE</v>
      </c>
      <c r="AH375" s="661" t="str">
        <f>IF(AND($Y375&gt;=22, (AI375&lt;&gt;"I"),(Y375&lt;&gt;"~"),(COUNTIF($AN$1:$AN375,$AN375)=1)),"TRUE","FALSE")</f>
        <v>FALSE</v>
      </c>
      <c r="AI375" s="661" t="str">
        <f t="shared" si="40"/>
        <v>II</v>
      </c>
      <c r="AJ375" s="662" t="str">
        <f t="shared" si="34"/>
        <v>ESCP-012</v>
      </c>
      <c r="AK375" s="662" t="str">
        <f t="shared" si="35"/>
        <v>SUV</v>
      </c>
      <c r="AL375" s="662" t="str">
        <f t="shared" si="36"/>
        <v>FRD</v>
      </c>
      <c r="AM375" s="662" t="str">
        <f t="shared" si="39"/>
        <v>Escape-Titanium-4WD-5-~-~-2.0L EcoBoost-4-U9J-400A-105.9-15.7-Unleaded-Unleaded</v>
      </c>
      <c r="AN375" s="662" t="str">
        <f t="shared" si="37"/>
        <v>2019-SUV-FRD-ESCP-012</v>
      </c>
    </row>
    <row r="376" spans="1:40" s="572" customFormat="1" ht="15">
      <c r="A376" s="570" t="s">
        <v>1113</v>
      </c>
      <c r="B376" s="569" t="s">
        <v>1114</v>
      </c>
      <c r="C376" s="569" t="s">
        <v>269</v>
      </c>
      <c r="D376" s="580" t="s">
        <v>270</v>
      </c>
      <c r="E376" s="569" t="s">
        <v>699</v>
      </c>
      <c r="F376" s="569" t="s">
        <v>152</v>
      </c>
      <c r="G376" s="569" t="s">
        <v>271</v>
      </c>
      <c r="H376" s="569">
        <v>2019</v>
      </c>
      <c r="I376" s="569" t="s">
        <v>1076</v>
      </c>
      <c r="J376" s="569" t="s">
        <v>418</v>
      </c>
      <c r="K376" s="569" t="s">
        <v>156</v>
      </c>
      <c r="L376" s="569">
        <v>5</v>
      </c>
      <c r="M376" s="569">
        <v>0</v>
      </c>
      <c r="N376" s="569" t="s">
        <v>157</v>
      </c>
      <c r="O376" s="569">
        <v>2</v>
      </c>
      <c r="P376" s="569" t="s">
        <v>157</v>
      </c>
      <c r="Q376" s="568" t="s">
        <v>157</v>
      </c>
      <c r="R376" s="569" t="s">
        <v>1027</v>
      </c>
      <c r="S376" s="569">
        <v>4</v>
      </c>
      <c r="T376" s="569" t="s">
        <v>1115</v>
      </c>
      <c r="U376" s="569" t="s">
        <v>310</v>
      </c>
      <c r="V376" s="569">
        <v>105.9</v>
      </c>
      <c r="W376" s="569">
        <v>15.7</v>
      </c>
      <c r="X376" s="568">
        <v>4620</v>
      </c>
      <c r="Y376" s="569">
        <v>25</v>
      </c>
      <c r="Z376" s="581" t="s">
        <v>178</v>
      </c>
      <c r="AA376" s="581" t="s">
        <v>178</v>
      </c>
      <c r="AB376" s="585">
        <v>33615</v>
      </c>
      <c r="AC376" s="585" t="s">
        <v>164</v>
      </c>
      <c r="AD376" s="585">
        <v>29330.916666666668</v>
      </c>
      <c r="AE376" s="587">
        <v>0.03</v>
      </c>
      <c r="AF376" s="661" t="str">
        <f t="shared" si="38"/>
        <v>2019-SUV-FRD-ESCP-014-05</v>
      </c>
      <c r="AG376" s="661" t="str">
        <f>IF(AND($Y376&gt;=32,(AI376="I"),(Y376&lt;&gt;"~"),(COUNTIF($AN$1:$AN376,$AN376)=1)),"TRUE","FALSE")</f>
        <v>FALSE</v>
      </c>
      <c r="AH376" s="661" t="str">
        <f>IF(AND($Y376&gt;=22, (AI376&lt;&gt;"I"),(Y376&lt;&gt;"~"),(COUNTIF($AN$1:$AN376,$AN376)=1)),"TRUE","FALSE")</f>
        <v>TRUE</v>
      </c>
      <c r="AI376" s="661" t="str">
        <f t="shared" si="40"/>
        <v>II</v>
      </c>
      <c r="AJ376" s="662" t="str">
        <f t="shared" si="34"/>
        <v>ESCP-014</v>
      </c>
      <c r="AK376" s="662" t="str">
        <f t="shared" si="35"/>
        <v>SUV</v>
      </c>
      <c r="AL376" s="662" t="str">
        <f t="shared" si="36"/>
        <v>FRD</v>
      </c>
      <c r="AM376" s="662" t="str">
        <f t="shared" si="39"/>
        <v>Escape-Titanium-FWD-5-~-~-2.0L EcoBoost-4-U0J-400A-105.9-15.7-Unleaded-Unleaded</v>
      </c>
      <c r="AN376" s="662" t="str">
        <f t="shared" si="37"/>
        <v>2019-SUV-FRD-ESCP-014</v>
      </c>
    </row>
    <row r="377" spans="1:40" s="572" customFormat="1" ht="15">
      <c r="A377" s="570" t="s">
        <v>1116</v>
      </c>
      <c r="B377" s="573" t="s">
        <v>1117</v>
      </c>
      <c r="C377" s="573" t="s">
        <v>278</v>
      </c>
      <c r="D377" s="578">
        <v>15</v>
      </c>
      <c r="E377" s="573" t="s">
        <v>699</v>
      </c>
      <c r="F377" s="573" t="s">
        <v>152</v>
      </c>
      <c r="G377" s="573" t="s">
        <v>271</v>
      </c>
      <c r="H377" s="573">
        <v>2019</v>
      </c>
      <c r="I377" s="573" t="s">
        <v>1076</v>
      </c>
      <c r="J377" s="573" t="s">
        <v>418</v>
      </c>
      <c r="K377" s="573" t="s">
        <v>156</v>
      </c>
      <c r="L377" s="573">
        <v>5</v>
      </c>
      <c r="M377" s="573">
        <v>0</v>
      </c>
      <c r="N377" s="573" t="s">
        <v>157</v>
      </c>
      <c r="O377" s="573">
        <v>2</v>
      </c>
      <c r="P377" s="573" t="s">
        <v>157</v>
      </c>
      <c r="Q377" s="571" t="s">
        <v>157</v>
      </c>
      <c r="R377" s="573" t="s">
        <v>189</v>
      </c>
      <c r="S377" s="573">
        <v>4</v>
      </c>
      <c r="T377" s="573" t="s">
        <v>1115</v>
      </c>
      <c r="U377" s="573" t="s">
        <v>310</v>
      </c>
      <c r="V377" s="573">
        <v>105.9</v>
      </c>
      <c r="W377" s="573">
        <v>15.7</v>
      </c>
      <c r="X377" s="571">
        <v>4620</v>
      </c>
      <c r="Y377" s="573">
        <v>26</v>
      </c>
      <c r="Z377" s="579" t="s">
        <v>178</v>
      </c>
      <c r="AA377" s="579" t="s">
        <v>178</v>
      </c>
      <c r="AB377" s="584">
        <v>33615</v>
      </c>
      <c r="AC377" s="584" t="s">
        <v>164</v>
      </c>
      <c r="AD377" s="584">
        <v>29750</v>
      </c>
      <c r="AE377" s="586">
        <v>0.01</v>
      </c>
      <c r="AF377" s="661" t="str">
        <f t="shared" si="38"/>
        <v>2019-SUV-FRD-ESCP-008-15</v>
      </c>
      <c r="AG377" s="661" t="str">
        <f>IF(AND($Y377&gt;=32,(AI377="I"),(Y377&lt;&gt;"~"),(COUNTIF($AN$1:$AN377,$AN377)=1)),"TRUE","FALSE")</f>
        <v>FALSE</v>
      </c>
      <c r="AH377" s="661" t="str">
        <f>IF(AND($Y377&gt;=22, (AI377&lt;&gt;"I"),(Y377&lt;&gt;"~"),(COUNTIF($AN$1:$AN377,$AN377)=1)),"TRUE","FALSE")</f>
        <v>TRUE</v>
      </c>
      <c r="AI377" s="661" t="str">
        <f t="shared" si="40"/>
        <v>II</v>
      </c>
      <c r="AJ377" s="662" t="str">
        <f t="shared" si="34"/>
        <v>ESCP-008</v>
      </c>
      <c r="AK377" s="662" t="str">
        <f t="shared" si="35"/>
        <v>SUV</v>
      </c>
      <c r="AL377" s="662" t="str">
        <f t="shared" si="36"/>
        <v>FRD</v>
      </c>
      <c r="AM377" s="662" t="str">
        <f t="shared" si="39"/>
        <v>Escape-Titanium-FWD-5-~-~-2.5L-4-U0J-400A-105.9-15.7-Unleaded-Unleaded</v>
      </c>
      <c r="AN377" s="662" t="str">
        <f t="shared" si="37"/>
        <v>2019-SUV-FRD-ESCP-008</v>
      </c>
    </row>
    <row r="378" spans="1:40" s="572" customFormat="1" ht="15">
      <c r="A378" s="570" t="s">
        <v>1118</v>
      </c>
      <c r="B378" s="569" t="s">
        <v>1119</v>
      </c>
      <c r="C378" s="569" t="s">
        <v>287</v>
      </c>
      <c r="D378" s="580">
        <v>26</v>
      </c>
      <c r="E378" s="569" t="s">
        <v>699</v>
      </c>
      <c r="F378" s="569" t="s">
        <v>152</v>
      </c>
      <c r="G378" s="569" t="s">
        <v>271</v>
      </c>
      <c r="H378" s="569">
        <v>2019</v>
      </c>
      <c r="I378" s="569" t="s">
        <v>1076</v>
      </c>
      <c r="J378" s="569" t="s">
        <v>418</v>
      </c>
      <c r="K378" s="569" t="s">
        <v>156</v>
      </c>
      <c r="L378" s="569">
        <v>5</v>
      </c>
      <c r="M378" s="569">
        <v>0</v>
      </c>
      <c r="N378" s="569" t="s">
        <v>157</v>
      </c>
      <c r="O378" s="569">
        <v>2</v>
      </c>
      <c r="P378" s="569" t="s">
        <v>157</v>
      </c>
      <c r="Q378" s="568" t="s">
        <v>157</v>
      </c>
      <c r="R378" s="569" t="s">
        <v>205</v>
      </c>
      <c r="S378" s="569">
        <v>4</v>
      </c>
      <c r="T378" s="569" t="s">
        <v>1115</v>
      </c>
      <c r="U378" s="569" t="s">
        <v>310</v>
      </c>
      <c r="V378" s="569">
        <v>105.9</v>
      </c>
      <c r="W378" s="569">
        <v>15.7</v>
      </c>
      <c r="X378" s="568">
        <v>4620</v>
      </c>
      <c r="Y378" s="569">
        <v>26</v>
      </c>
      <c r="Z378" s="581" t="s">
        <v>178</v>
      </c>
      <c r="AA378" s="581" t="s">
        <v>178</v>
      </c>
      <c r="AB378" s="585">
        <v>33615</v>
      </c>
      <c r="AC378" s="585" t="s">
        <v>164</v>
      </c>
      <c r="AD378" s="585">
        <v>30608</v>
      </c>
      <c r="AE378" s="587">
        <v>0.05</v>
      </c>
      <c r="AF378" s="661" t="str">
        <f t="shared" si="38"/>
        <v>2019-SUV-FRD-ESCP-013-26</v>
      </c>
      <c r="AG378" s="661" t="str">
        <f>IF(AND($Y378&gt;=32,(AI378="I"),(Y378&lt;&gt;"~"),(COUNTIF($AN$1:$AN378,$AN378)=1)),"TRUE","FALSE")</f>
        <v>FALSE</v>
      </c>
      <c r="AH378" s="661" t="str">
        <f>IF(AND($Y378&gt;=22, (AI378&lt;&gt;"I"),(Y378&lt;&gt;"~"),(COUNTIF($AN$1:$AN378,$AN378)=1)),"TRUE","FALSE")</f>
        <v>TRUE</v>
      </c>
      <c r="AI378" s="661" t="str">
        <f t="shared" si="40"/>
        <v>II</v>
      </c>
      <c r="AJ378" s="662" t="str">
        <f t="shared" si="34"/>
        <v>ESCP-013</v>
      </c>
      <c r="AK378" s="662" t="str">
        <f t="shared" si="35"/>
        <v>SUV</v>
      </c>
      <c r="AL378" s="662" t="str">
        <f t="shared" si="36"/>
        <v>FRD</v>
      </c>
      <c r="AM378" s="662" t="str">
        <f t="shared" si="39"/>
        <v>Escape-Titanium-FWD-5-~-~-1.5L-4-U0J-400A-105.9-15.7-Unleaded-Unleaded</v>
      </c>
      <c r="AN378" s="662" t="str">
        <f t="shared" si="37"/>
        <v>2019-SUV-FRD-ESCP-013</v>
      </c>
    </row>
    <row r="379" spans="1:40" s="572" customFormat="1" ht="15">
      <c r="A379" s="570" t="s">
        <v>1120</v>
      </c>
      <c r="B379" s="573" t="s">
        <v>1114</v>
      </c>
      <c r="C379" s="573" t="s">
        <v>280</v>
      </c>
      <c r="D379" s="578">
        <v>27</v>
      </c>
      <c r="E379" s="573" t="s">
        <v>699</v>
      </c>
      <c r="F379" s="573" t="s">
        <v>152</v>
      </c>
      <c r="G379" s="573" t="s">
        <v>271</v>
      </c>
      <c r="H379" s="573">
        <v>2019</v>
      </c>
      <c r="I379" s="573" t="s">
        <v>1076</v>
      </c>
      <c r="J379" s="573" t="s">
        <v>418</v>
      </c>
      <c r="K379" s="573" t="s">
        <v>156</v>
      </c>
      <c r="L379" s="573">
        <v>5</v>
      </c>
      <c r="M379" s="573">
        <v>0</v>
      </c>
      <c r="N379" s="573" t="s">
        <v>157</v>
      </c>
      <c r="O379" s="573">
        <v>2</v>
      </c>
      <c r="P379" s="573" t="s">
        <v>157</v>
      </c>
      <c r="Q379" s="571" t="s">
        <v>157</v>
      </c>
      <c r="R379" s="573" t="s">
        <v>1027</v>
      </c>
      <c r="S379" s="573">
        <v>4</v>
      </c>
      <c r="T379" s="573" t="s">
        <v>1115</v>
      </c>
      <c r="U379" s="573" t="s">
        <v>310</v>
      </c>
      <c r="V379" s="573">
        <v>105.9</v>
      </c>
      <c r="W379" s="573">
        <v>15.7</v>
      </c>
      <c r="X379" s="571">
        <v>4620</v>
      </c>
      <c r="Y379" s="573">
        <v>25</v>
      </c>
      <c r="Z379" s="579" t="s">
        <v>178</v>
      </c>
      <c r="AA379" s="579" t="s">
        <v>178</v>
      </c>
      <c r="AB379" s="584">
        <v>33615</v>
      </c>
      <c r="AC379" s="584" t="s">
        <v>164</v>
      </c>
      <c r="AD379" s="584">
        <v>29330.916666666668</v>
      </c>
      <c r="AE379" s="586">
        <v>0.03</v>
      </c>
      <c r="AF379" s="661" t="str">
        <f t="shared" si="38"/>
        <v>2019-SUV-FRD-ESCP-014-27</v>
      </c>
      <c r="AG379" s="661" t="str">
        <f>IF(AND($Y379&gt;=32,(AI379="I"),(Y379&lt;&gt;"~"),(COUNTIF($AN$1:$AN379,$AN379)=1)),"TRUE","FALSE")</f>
        <v>FALSE</v>
      </c>
      <c r="AH379" s="661" t="str">
        <f>IF(AND($Y379&gt;=22, (AI379&lt;&gt;"I"),(Y379&lt;&gt;"~"),(COUNTIF($AN$1:$AN379,$AN379)=1)),"TRUE","FALSE")</f>
        <v>FALSE</v>
      </c>
      <c r="AI379" s="661" t="str">
        <f t="shared" si="40"/>
        <v>II</v>
      </c>
      <c r="AJ379" s="662" t="str">
        <f t="shared" si="34"/>
        <v>ESCP-014</v>
      </c>
      <c r="AK379" s="662" t="str">
        <f t="shared" si="35"/>
        <v>SUV</v>
      </c>
      <c r="AL379" s="662" t="str">
        <f t="shared" si="36"/>
        <v>FRD</v>
      </c>
      <c r="AM379" s="662" t="str">
        <f t="shared" si="39"/>
        <v>Escape-Titanium-FWD-5-~-~-2.0L EcoBoost-4-U0J-400A-105.9-15.7-Unleaded-Unleaded</v>
      </c>
      <c r="AN379" s="662" t="str">
        <f t="shared" si="37"/>
        <v>2019-SUV-FRD-ESCP-014</v>
      </c>
    </row>
    <row r="380" spans="1:40" s="572" customFormat="1" ht="15">
      <c r="A380" s="570" t="s">
        <v>1121</v>
      </c>
      <c r="B380" s="569" t="s">
        <v>1122</v>
      </c>
      <c r="C380" s="569" t="s">
        <v>269</v>
      </c>
      <c r="D380" s="580" t="s">
        <v>270</v>
      </c>
      <c r="E380" s="569" t="s">
        <v>699</v>
      </c>
      <c r="F380" s="569" t="s">
        <v>187</v>
      </c>
      <c r="G380" s="569" t="s">
        <v>271</v>
      </c>
      <c r="H380" s="569">
        <v>2019</v>
      </c>
      <c r="I380" s="569" t="s">
        <v>1123</v>
      </c>
      <c r="J380" s="569" t="s">
        <v>315</v>
      </c>
      <c r="K380" s="569" t="s">
        <v>752</v>
      </c>
      <c r="L380" s="569">
        <v>8</v>
      </c>
      <c r="M380" s="569">
        <v>0</v>
      </c>
      <c r="N380" s="569" t="s">
        <v>157</v>
      </c>
      <c r="O380" s="569">
        <v>3</v>
      </c>
      <c r="P380" s="569" t="s">
        <v>157</v>
      </c>
      <c r="Q380" s="568" t="s">
        <v>157</v>
      </c>
      <c r="R380" s="569" t="s">
        <v>316</v>
      </c>
      <c r="S380" s="569">
        <v>6</v>
      </c>
      <c r="T380" s="569" t="s">
        <v>1124</v>
      </c>
      <c r="U380" s="569" t="s">
        <v>318</v>
      </c>
      <c r="V380" s="569">
        <v>122.5</v>
      </c>
      <c r="W380" s="569">
        <v>23.3</v>
      </c>
      <c r="X380" s="568">
        <v>7450</v>
      </c>
      <c r="Y380" s="569">
        <v>19</v>
      </c>
      <c r="Z380" s="581" t="s">
        <v>178</v>
      </c>
      <c r="AA380" s="581" t="s">
        <v>178</v>
      </c>
      <c r="AB380" s="585">
        <v>67435</v>
      </c>
      <c r="AC380" s="585" t="s">
        <v>164</v>
      </c>
      <c r="AD380" s="585">
        <v>57095.5</v>
      </c>
      <c r="AE380" s="587">
        <v>0.03</v>
      </c>
      <c r="AF380" s="661" t="str">
        <f t="shared" si="38"/>
        <v>2019-SUV-FRD-EXPD-005-05</v>
      </c>
      <c r="AG380" s="661" t="str">
        <f>IF(AND($Y380&gt;=32,(AI380="I"),(Y380&lt;&gt;"~"),(COUNTIF($AN$1:$AN380,$AN380)=1)),"TRUE","FALSE")</f>
        <v>FALSE</v>
      </c>
      <c r="AH380" s="661" t="str">
        <f>IF(AND($Y380&gt;=22, (AI380&lt;&gt;"I"),(Y380&lt;&gt;"~"),(COUNTIF($AN$1:$AN380,$AN380)=1)),"TRUE","FALSE")</f>
        <v>FALSE</v>
      </c>
      <c r="AI380" s="661" t="str">
        <f t="shared" si="40"/>
        <v>II</v>
      </c>
      <c r="AJ380" s="662" t="str">
        <f t="shared" si="34"/>
        <v>EXPD-005</v>
      </c>
      <c r="AK380" s="662" t="str">
        <f t="shared" si="35"/>
        <v>SUV</v>
      </c>
      <c r="AL380" s="662" t="str">
        <f t="shared" si="36"/>
        <v>FRD</v>
      </c>
      <c r="AM380" s="662" t="str">
        <f t="shared" si="39"/>
        <v>Expedition-Limited-4WD-8-~-~-3.5L-6-U2A-300A-122.5-23.3-Unleaded-Unleaded</v>
      </c>
      <c r="AN380" s="662" t="str">
        <f t="shared" si="37"/>
        <v>2019-SUV-FRD-EXPD-005</v>
      </c>
    </row>
    <row r="381" spans="1:40" s="572" customFormat="1" ht="15">
      <c r="A381" s="570" t="s">
        <v>1125</v>
      </c>
      <c r="B381" s="573" t="s">
        <v>1122</v>
      </c>
      <c r="C381" s="573" t="s">
        <v>278</v>
      </c>
      <c r="D381" s="578">
        <v>15</v>
      </c>
      <c r="E381" s="573" t="s">
        <v>699</v>
      </c>
      <c r="F381" s="573" t="s">
        <v>187</v>
      </c>
      <c r="G381" s="573" t="s">
        <v>271</v>
      </c>
      <c r="H381" s="573">
        <v>2019</v>
      </c>
      <c r="I381" s="573" t="s">
        <v>1123</v>
      </c>
      <c r="J381" s="573" t="s">
        <v>315</v>
      </c>
      <c r="K381" s="573" t="s">
        <v>752</v>
      </c>
      <c r="L381" s="573">
        <v>8</v>
      </c>
      <c r="M381" s="573">
        <v>0</v>
      </c>
      <c r="N381" s="573" t="s">
        <v>157</v>
      </c>
      <c r="O381" s="573">
        <v>3</v>
      </c>
      <c r="P381" s="573" t="s">
        <v>157</v>
      </c>
      <c r="Q381" s="571" t="s">
        <v>157</v>
      </c>
      <c r="R381" s="573" t="s">
        <v>316</v>
      </c>
      <c r="S381" s="573">
        <v>6</v>
      </c>
      <c r="T381" s="573" t="s">
        <v>1124</v>
      </c>
      <c r="U381" s="573" t="s">
        <v>318</v>
      </c>
      <c r="V381" s="573">
        <v>122.5</v>
      </c>
      <c r="W381" s="573">
        <v>23.3</v>
      </c>
      <c r="X381" s="571">
        <v>7450</v>
      </c>
      <c r="Y381" s="573">
        <v>19</v>
      </c>
      <c r="Z381" s="579" t="s">
        <v>178</v>
      </c>
      <c r="AA381" s="579" t="s">
        <v>178</v>
      </c>
      <c r="AB381" s="584">
        <v>67435</v>
      </c>
      <c r="AC381" s="584" t="s">
        <v>164</v>
      </c>
      <c r="AD381" s="584">
        <v>58100</v>
      </c>
      <c r="AE381" s="586">
        <v>0.01</v>
      </c>
      <c r="AF381" s="661" t="str">
        <f t="shared" si="38"/>
        <v>2019-SUV-FRD-EXPD-005-15</v>
      </c>
      <c r="AG381" s="661" t="str">
        <f>IF(AND($Y381&gt;=32,(AI381="I"),(Y381&lt;&gt;"~"),(COUNTIF($AN$1:$AN381,$AN381)=1)),"TRUE","FALSE")</f>
        <v>FALSE</v>
      </c>
      <c r="AH381" s="661" t="str">
        <f>IF(AND($Y381&gt;=22, (AI381&lt;&gt;"I"),(Y381&lt;&gt;"~"),(COUNTIF($AN$1:$AN381,$AN381)=1)),"TRUE","FALSE")</f>
        <v>FALSE</v>
      </c>
      <c r="AI381" s="661" t="str">
        <f t="shared" si="40"/>
        <v>II</v>
      </c>
      <c r="AJ381" s="662" t="str">
        <f t="shared" si="34"/>
        <v>EXPD-005</v>
      </c>
      <c r="AK381" s="662" t="str">
        <f t="shared" si="35"/>
        <v>SUV</v>
      </c>
      <c r="AL381" s="662" t="str">
        <f t="shared" si="36"/>
        <v>FRD</v>
      </c>
      <c r="AM381" s="662" t="str">
        <f t="shared" si="39"/>
        <v>Expedition-Limited-4WD-8-~-~-3.5L-6-U2A-300A-122.5-23.3-Unleaded-Unleaded</v>
      </c>
      <c r="AN381" s="662" t="str">
        <f t="shared" si="37"/>
        <v>2019-SUV-FRD-EXPD-005</v>
      </c>
    </row>
    <row r="382" spans="1:40" s="572" customFormat="1" ht="15">
      <c r="A382" s="570" t="s">
        <v>1126</v>
      </c>
      <c r="B382" s="569" t="s">
        <v>1122</v>
      </c>
      <c r="C382" s="569" t="s">
        <v>287</v>
      </c>
      <c r="D382" s="580">
        <v>26</v>
      </c>
      <c r="E382" s="569" t="s">
        <v>699</v>
      </c>
      <c r="F382" s="569" t="s">
        <v>187</v>
      </c>
      <c r="G382" s="569" t="s">
        <v>271</v>
      </c>
      <c r="H382" s="569">
        <v>2019</v>
      </c>
      <c r="I382" s="569" t="s">
        <v>1123</v>
      </c>
      <c r="J382" s="569" t="s">
        <v>315</v>
      </c>
      <c r="K382" s="569" t="s">
        <v>752</v>
      </c>
      <c r="L382" s="569">
        <v>8</v>
      </c>
      <c r="M382" s="569">
        <v>0</v>
      </c>
      <c r="N382" s="569" t="s">
        <v>157</v>
      </c>
      <c r="O382" s="569">
        <v>3</v>
      </c>
      <c r="P382" s="569" t="s">
        <v>157</v>
      </c>
      <c r="Q382" s="568" t="s">
        <v>157</v>
      </c>
      <c r="R382" s="569" t="s">
        <v>316</v>
      </c>
      <c r="S382" s="569">
        <v>6</v>
      </c>
      <c r="T382" s="569" t="s">
        <v>1124</v>
      </c>
      <c r="U382" s="569" t="s">
        <v>318</v>
      </c>
      <c r="V382" s="569">
        <v>122.5</v>
      </c>
      <c r="W382" s="569">
        <v>23.3</v>
      </c>
      <c r="X382" s="568">
        <v>7450</v>
      </c>
      <c r="Y382" s="569">
        <v>19</v>
      </c>
      <c r="Z382" s="581" t="s">
        <v>178</v>
      </c>
      <c r="AA382" s="581" t="s">
        <v>178</v>
      </c>
      <c r="AB382" s="585">
        <v>67335</v>
      </c>
      <c r="AC382" s="585" t="s">
        <v>164</v>
      </c>
      <c r="AD382" s="585">
        <v>58825</v>
      </c>
      <c r="AE382" s="587">
        <v>0.05</v>
      </c>
      <c r="AF382" s="661" t="str">
        <f t="shared" si="38"/>
        <v>2019-SUV-FRD-EXPD-005-26</v>
      </c>
      <c r="AG382" s="661" t="str">
        <f>IF(AND($Y382&gt;=32,(AI382="I"),(Y382&lt;&gt;"~"),(COUNTIF($AN$1:$AN382,$AN382)=1)),"TRUE","FALSE")</f>
        <v>FALSE</v>
      </c>
      <c r="AH382" s="661" t="str">
        <f>IF(AND($Y382&gt;=22, (AI382&lt;&gt;"I"),(Y382&lt;&gt;"~"),(COUNTIF($AN$1:$AN382,$AN382)=1)),"TRUE","FALSE")</f>
        <v>FALSE</v>
      </c>
      <c r="AI382" s="661" t="str">
        <f t="shared" si="40"/>
        <v>II</v>
      </c>
      <c r="AJ382" s="662" t="str">
        <f t="shared" si="34"/>
        <v>EXPD-005</v>
      </c>
      <c r="AK382" s="662" t="str">
        <f t="shared" si="35"/>
        <v>SUV</v>
      </c>
      <c r="AL382" s="662" t="str">
        <f t="shared" si="36"/>
        <v>FRD</v>
      </c>
      <c r="AM382" s="662" t="str">
        <f t="shared" si="39"/>
        <v>Expedition-Limited-4WD-8-~-~-3.5L-6-U2A-300A-122.5-23.3-Unleaded-Unleaded</v>
      </c>
      <c r="AN382" s="662" t="str">
        <f t="shared" si="37"/>
        <v>2019-SUV-FRD-EXPD-005</v>
      </c>
    </row>
    <row r="383" spans="1:40" s="572" customFormat="1" ht="15">
      <c r="A383" s="570" t="s">
        <v>1127</v>
      </c>
      <c r="B383" s="573" t="s">
        <v>1122</v>
      </c>
      <c r="C383" s="573" t="s">
        <v>280</v>
      </c>
      <c r="D383" s="578">
        <v>27</v>
      </c>
      <c r="E383" s="573" t="s">
        <v>699</v>
      </c>
      <c r="F383" s="573" t="s">
        <v>187</v>
      </c>
      <c r="G383" s="573" t="s">
        <v>271</v>
      </c>
      <c r="H383" s="573">
        <v>2019</v>
      </c>
      <c r="I383" s="573" t="s">
        <v>1123</v>
      </c>
      <c r="J383" s="573" t="s">
        <v>315</v>
      </c>
      <c r="K383" s="573" t="s">
        <v>752</v>
      </c>
      <c r="L383" s="573">
        <v>8</v>
      </c>
      <c r="M383" s="573">
        <v>0</v>
      </c>
      <c r="N383" s="573" t="s">
        <v>157</v>
      </c>
      <c r="O383" s="573">
        <v>3</v>
      </c>
      <c r="P383" s="573" t="s">
        <v>157</v>
      </c>
      <c r="Q383" s="571" t="s">
        <v>157</v>
      </c>
      <c r="R383" s="573" t="s">
        <v>316</v>
      </c>
      <c r="S383" s="573">
        <v>6</v>
      </c>
      <c r="T383" s="573" t="s">
        <v>1124</v>
      </c>
      <c r="U383" s="573" t="s">
        <v>318</v>
      </c>
      <c r="V383" s="573">
        <v>122.5</v>
      </c>
      <c r="W383" s="573">
        <v>23.3</v>
      </c>
      <c r="X383" s="571">
        <v>7450</v>
      </c>
      <c r="Y383" s="573">
        <v>19</v>
      </c>
      <c r="Z383" s="579" t="s">
        <v>178</v>
      </c>
      <c r="AA383" s="579" t="s">
        <v>178</v>
      </c>
      <c r="AB383" s="584">
        <v>67435</v>
      </c>
      <c r="AC383" s="584" t="s">
        <v>164</v>
      </c>
      <c r="AD383" s="584">
        <v>57095.5</v>
      </c>
      <c r="AE383" s="586">
        <v>0.03</v>
      </c>
      <c r="AF383" s="661" t="str">
        <f t="shared" si="38"/>
        <v>2019-SUV-FRD-EXPD-005-27</v>
      </c>
      <c r="AG383" s="661" t="str">
        <f>IF(AND($Y383&gt;=32,(AI383="I"),(Y383&lt;&gt;"~"),(COUNTIF($AN$1:$AN383,$AN383)=1)),"TRUE","FALSE")</f>
        <v>FALSE</v>
      </c>
      <c r="AH383" s="661" t="str">
        <f>IF(AND($Y383&gt;=22, (AI383&lt;&gt;"I"),(Y383&lt;&gt;"~"),(COUNTIF($AN$1:$AN383,$AN383)=1)),"TRUE","FALSE")</f>
        <v>FALSE</v>
      </c>
      <c r="AI383" s="661" t="str">
        <f t="shared" si="40"/>
        <v>II</v>
      </c>
      <c r="AJ383" s="662" t="str">
        <f t="shared" si="34"/>
        <v>EXPD-005</v>
      </c>
      <c r="AK383" s="662" t="str">
        <f t="shared" si="35"/>
        <v>SUV</v>
      </c>
      <c r="AL383" s="662" t="str">
        <f t="shared" si="36"/>
        <v>FRD</v>
      </c>
      <c r="AM383" s="662" t="str">
        <f t="shared" si="39"/>
        <v>Expedition-Limited-4WD-8-~-~-3.5L-6-U2A-300A-122.5-23.3-Unleaded-Unleaded</v>
      </c>
      <c r="AN383" s="662" t="str">
        <f t="shared" si="37"/>
        <v>2019-SUV-FRD-EXPD-005</v>
      </c>
    </row>
    <row r="384" spans="1:40" s="572" customFormat="1" ht="15">
      <c r="A384" s="570" t="s">
        <v>1128</v>
      </c>
      <c r="B384" s="569" t="s">
        <v>1129</v>
      </c>
      <c r="C384" s="569" t="s">
        <v>269</v>
      </c>
      <c r="D384" s="580" t="s">
        <v>270</v>
      </c>
      <c r="E384" s="569" t="s">
        <v>699</v>
      </c>
      <c r="F384" s="569" t="s">
        <v>187</v>
      </c>
      <c r="G384" s="569" t="s">
        <v>271</v>
      </c>
      <c r="H384" s="569">
        <v>2019</v>
      </c>
      <c r="I384" s="569" t="s">
        <v>1123</v>
      </c>
      <c r="J384" s="569" t="s">
        <v>315</v>
      </c>
      <c r="K384" s="569" t="s">
        <v>236</v>
      </c>
      <c r="L384" s="569">
        <v>8</v>
      </c>
      <c r="M384" s="569">
        <v>0</v>
      </c>
      <c r="N384" s="569" t="s">
        <v>157</v>
      </c>
      <c r="O384" s="569">
        <v>3</v>
      </c>
      <c r="P384" s="569" t="s">
        <v>157</v>
      </c>
      <c r="Q384" s="568" t="s">
        <v>157</v>
      </c>
      <c r="R384" s="569" t="s">
        <v>316</v>
      </c>
      <c r="S384" s="569">
        <v>6</v>
      </c>
      <c r="T384" s="569" t="s">
        <v>1130</v>
      </c>
      <c r="U384" s="569" t="s">
        <v>318</v>
      </c>
      <c r="V384" s="569">
        <v>122.5</v>
      </c>
      <c r="W384" s="569">
        <v>23.3</v>
      </c>
      <c r="X384" s="568">
        <v>7200</v>
      </c>
      <c r="Y384" s="569">
        <v>20</v>
      </c>
      <c r="Z384" s="581" t="s">
        <v>178</v>
      </c>
      <c r="AA384" s="581" t="s">
        <v>178</v>
      </c>
      <c r="AB384" s="585">
        <v>64310</v>
      </c>
      <c r="AC384" s="585" t="s">
        <v>164</v>
      </c>
      <c r="AD384" s="585">
        <v>54207.666666666672</v>
      </c>
      <c r="AE384" s="587">
        <v>0.03</v>
      </c>
      <c r="AF384" s="661" t="str">
        <f t="shared" si="38"/>
        <v>2019-SUV-FRD-EXPD-006-05</v>
      </c>
      <c r="AG384" s="661" t="str">
        <f>IF(AND($Y384&gt;=32,(AI384="I"),(Y384&lt;&gt;"~"),(COUNTIF($AN$1:$AN384,$AN384)=1)),"TRUE","FALSE")</f>
        <v>FALSE</v>
      </c>
      <c r="AH384" s="661" t="str">
        <f>IF(AND($Y384&gt;=22, (AI384&lt;&gt;"I"),(Y384&lt;&gt;"~"),(COUNTIF($AN$1:$AN384,$AN384)=1)),"TRUE","FALSE")</f>
        <v>FALSE</v>
      </c>
      <c r="AI384" s="661" t="str">
        <f t="shared" si="40"/>
        <v>II</v>
      </c>
      <c r="AJ384" s="662" t="str">
        <f t="shared" si="34"/>
        <v>EXPD-006</v>
      </c>
      <c r="AK384" s="662" t="str">
        <f t="shared" si="35"/>
        <v>SUV</v>
      </c>
      <c r="AL384" s="662" t="str">
        <f t="shared" si="36"/>
        <v>FRD</v>
      </c>
      <c r="AM384" s="662" t="str">
        <f t="shared" si="39"/>
        <v>Expedition-Limited-RWD-8-~-~-3.5L-6-U1K-300A-122.5-23.3-Unleaded-Unleaded</v>
      </c>
      <c r="AN384" s="662" t="str">
        <f t="shared" si="37"/>
        <v>2019-SUV-FRD-EXPD-006</v>
      </c>
    </row>
    <row r="385" spans="1:40" s="572" customFormat="1" ht="15">
      <c r="A385" s="570" t="s">
        <v>1131</v>
      </c>
      <c r="B385" s="573" t="s">
        <v>1129</v>
      </c>
      <c r="C385" s="573" t="s">
        <v>278</v>
      </c>
      <c r="D385" s="578">
        <v>15</v>
      </c>
      <c r="E385" s="573" t="s">
        <v>699</v>
      </c>
      <c r="F385" s="573" t="s">
        <v>187</v>
      </c>
      <c r="G385" s="573" t="s">
        <v>271</v>
      </c>
      <c r="H385" s="573">
        <v>2019</v>
      </c>
      <c r="I385" s="573" t="s">
        <v>1123</v>
      </c>
      <c r="J385" s="573" t="s">
        <v>315</v>
      </c>
      <c r="K385" s="573" t="s">
        <v>236</v>
      </c>
      <c r="L385" s="573">
        <v>8</v>
      </c>
      <c r="M385" s="573">
        <v>0</v>
      </c>
      <c r="N385" s="573" t="s">
        <v>157</v>
      </c>
      <c r="O385" s="573">
        <v>3</v>
      </c>
      <c r="P385" s="573" t="s">
        <v>157</v>
      </c>
      <c r="Q385" s="571" t="s">
        <v>157</v>
      </c>
      <c r="R385" s="573" t="s">
        <v>316</v>
      </c>
      <c r="S385" s="573">
        <v>6</v>
      </c>
      <c r="T385" s="573" t="s">
        <v>1130</v>
      </c>
      <c r="U385" s="573" t="s">
        <v>318</v>
      </c>
      <c r="V385" s="573">
        <v>122.5</v>
      </c>
      <c r="W385" s="573">
        <v>23.3</v>
      </c>
      <c r="X385" s="571">
        <v>7200</v>
      </c>
      <c r="Y385" s="573">
        <v>20</v>
      </c>
      <c r="Z385" s="579" t="s">
        <v>178</v>
      </c>
      <c r="AA385" s="579" t="s">
        <v>178</v>
      </c>
      <c r="AB385" s="584">
        <v>64310</v>
      </c>
      <c r="AC385" s="584" t="s">
        <v>164</v>
      </c>
      <c r="AD385" s="584">
        <v>55100</v>
      </c>
      <c r="AE385" s="586">
        <v>0.01</v>
      </c>
      <c r="AF385" s="661" t="str">
        <f t="shared" si="38"/>
        <v>2019-SUV-FRD-EXPD-006-15</v>
      </c>
      <c r="AG385" s="661" t="str">
        <f>IF(AND($Y385&gt;=32,(AI385="I"),(Y385&lt;&gt;"~"),(COUNTIF($AN$1:$AN385,$AN385)=1)),"TRUE","FALSE")</f>
        <v>FALSE</v>
      </c>
      <c r="AH385" s="661" t="str">
        <f>IF(AND($Y385&gt;=22, (AI385&lt;&gt;"I"),(Y385&lt;&gt;"~"),(COUNTIF($AN$1:$AN385,$AN385)=1)),"TRUE","FALSE")</f>
        <v>FALSE</v>
      </c>
      <c r="AI385" s="661" t="str">
        <f t="shared" si="40"/>
        <v>II</v>
      </c>
      <c r="AJ385" s="662" t="str">
        <f t="shared" si="34"/>
        <v>EXPD-006</v>
      </c>
      <c r="AK385" s="662" t="str">
        <f t="shared" si="35"/>
        <v>SUV</v>
      </c>
      <c r="AL385" s="662" t="str">
        <f t="shared" si="36"/>
        <v>FRD</v>
      </c>
      <c r="AM385" s="662" t="str">
        <f t="shared" si="39"/>
        <v>Expedition-Limited-RWD-8-~-~-3.5L-6-U1K-300A-122.5-23.3-Unleaded-Unleaded</v>
      </c>
      <c r="AN385" s="662" t="str">
        <f t="shared" si="37"/>
        <v>2019-SUV-FRD-EXPD-006</v>
      </c>
    </row>
    <row r="386" spans="1:40" s="572" customFormat="1" ht="15">
      <c r="A386" s="570" t="s">
        <v>1132</v>
      </c>
      <c r="B386" s="569" t="s">
        <v>1129</v>
      </c>
      <c r="C386" s="569" t="s">
        <v>287</v>
      </c>
      <c r="D386" s="580">
        <v>26</v>
      </c>
      <c r="E386" s="569" t="s">
        <v>699</v>
      </c>
      <c r="F386" s="569" t="s">
        <v>187</v>
      </c>
      <c r="G386" s="569" t="s">
        <v>271</v>
      </c>
      <c r="H386" s="569">
        <v>2019</v>
      </c>
      <c r="I386" s="569" t="s">
        <v>1123</v>
      </c>
      <c r="J386" s="569" t="s">
        <v>315</v>
      </c>
      <c r="K386" s="569" t="s">
        <v>236</v>
      </c>
      <c r="L386" s="569">
        <v>8</v>
      </c>
      <c r="M386" s="569">
        <v>0</v>
      </c>
      <c r="N386" s="569" t="s">
        <v>157</v>
      </c>
      <c r="O386" s="569">
        <v>3</v>
      </c>
      <c r="P386" s="569" t="s">
        <v>157</v>
      </c>
      <c r="Q386" s="568" t="s">
        <v>157</v>
      </c>
      <c r="R386" s="569" t="s">
        <v>316</v>
      </c>
      <c r="S386" s="569">
        <v>6</v>
      </c>
      <c r="T386" s="569" t="s">
        <v>1130</v>
      </c>
      <c r="U386" s="569" t="s">
        <v>318</v>
      </c>
      <c r="V386" s="569">
        <v>122.5</v>
      </c>
      <c r="W386" s="569">
        <v>23.3</v>
      </c>
      <c r="X386" s="568">
        <v>7200</v>
      </c>
      <c r="Y386" s="569">
        <v>20</v>
      </c>
      <c r="Z386" s="581" t="s">
        <v>178</v>
      </c>
      <c r="AA386" s="581" t="s">
        <v>178</v>
      </c>
      <c r="AB386" s="585">
        <v>64310</v>
      </c>
      <c r="AC386" s="585" t="s">
        <v>164</v>
      </c>
      <c r="AD386" s="585">
        <v>55848</v>
      </c>
      <c r="AE386" s="587">
        <v>0.05</v>
      </c>
      <c r="AF386" s="661" t="str">
        <f t="shared" si="38"/>
        <v>2019-SUV-FRD-EXPD-006-26</v>
      </c>
      <c r="AG386" s="661" t="str">
        <f>IF(AND($Y386&gt;=32,(AI386="I"),(Y386&lt;&gt;"~"),(COUNTIF($AN$1:$AN386,$AN386)=1)),"TRUE","FALSE")</f>
        <v>FALSE</v>
      </c>
      <c r="AH386" s="661" t="str">
        <f>IF(AND($Y386&gt;=22, (AI386&lt;&gt;"I"),(Y386&lt;&gt;"~"),(COUNTIF($AN$1:$AN386,$AN386)=1)),"TRUE","FALSE")</f>
        <v>FALSE</v>
      </c>
      <c r="AI386" s="661" t="str">
        <f t="shared" si="40"/>
        <v>II</v>
      </c>
      <c r="AJ386" s="662" t="str">
        <f t="shared" si="34"/>
        <v>EXPD-006</v>
      </c>
      <c r="AK386" s="662" t="str">
        <f t="shared" si="35"/>
        <v>SUV</v>
      </c>
      <c r="AL386" s="662" t="str">
        <f t="shared" si="36"/>
        <v>FRD</v>
      </c>
      <c r="AM386" s="662" t="str">
        <f t="shared" si="39"/>
        <v>Expedition-Limited-RWD-8-~-~-3.5L-6-U1K-300A-122.5-23.3-Unleaded-Unleaded</v>
      </c>
      <c r="AN386" s="662" t="str">
        <f t="shared" si="37"/>
        <v>2019-SUV-FRD-EXPD-006</v>
      </c>
    </row>
    <row r="387" spans="1:40" s="572" customFormat="1" ht="15">
      <c r="A387" s="570" t="s">
        <v>1133</v>
      </c>
      <c r="B387" s="573" t="s">
        <v>1129</v>
      </c>
      <c r="C387" s="573" t="s">
        <v>280</v>
      </c>
      <c r="D387" s="578">
        <v>27</v>
      </c>
      <c r="E387" s="573" t="s">
        <v>699</v>
      </c>
      <c r="F387" s="573" t="s">
        <v>187</v>
      </c>
      <c r="G387" s="573" t="s">
        <v>271</v>
      </c>
      <c r="H387" s="573">
        <v>2019</v>
      </c>
      <c r="I387" s="573" t="s">
        <v>1123</v>
      </c>
      <c r="J387" s="573" t="s">
        <v>315</v>
      </c>
      <c r="K387" s="573" t="s">
        <v>236</v>
      </c>
      <c r="L387" s="573">
        <v>8</v>
      </c>
      <c r="M387" s="573">
        <v>0</v>
      </c>
      <c r="N387" s="573" t="s">
        <v>157</v>
      </c>
      <c r="O387" s="573">
        <v>3</v>
      </c>
      <c r="P387" s="573" t="s">
        <v>157</v>
      </c>
      <c r="Q387" s="571" t="s">
        <v>157</v>
      </c>
      <c r="R387" s="573" t="s">
        <v>316</v>
      </c>
      <c r="S387" s="573">
        <v>6</v>
      </c>
      <c r="T387" s="573" t="s">
        <v>1130</v>
      </c>
      <c r="U387" s="573" t="s">
        <v>318</v>
      </c>
      <c r="V387" s="573">
        <v>122.5</v>
      </c>
      <c r="W387" s="573">
        <v>23.3</v>
      </c>
      <c r="X387" s="571">
        <v>7200</v>
      </c>
      <c r="Y387" s="573">
        <v>20</v>
      </c>
      <c r="Z387" s="579" t="s">
        <v>178</v>
      </c>
      <c r="AA387" s="579" t="s">
        <v>178</v>
      </c>
      <c r="AB387" s="584">
        <v>64310</v>
      </c>
      <c r="AC387" s="584" t="s">
        <v>164</v>
      </c>
      <c r="AD387" s="584">
        <v>54207.666666666672</v>
      </c>
      <c r="AE387" s="586">
        <v>0.03</v>
      </c>
      <c r="AF387" s="661" t="str">
        <f t="shared" si="38"/>
        <v>2019-SUV-FRD-EXPD-006-27</v>
      </c>
      <c r="AG387" s="661" t="str">
        <f>IF(AND($Y387&gt;=32,(AI387="I"),(Y387&lt;&gt;"~"),(COUNTIF($AN$1:$AN387,$AN387)=1)),"TRUE","FALSE")</f>
        <v>FALSE</v>
      </c>
      <c r="AH387" s="661" t="str">
        <f>IF(AND($Y387&gt;=22, (AI387&lt;&gt;"I"),(Y387&lt;&gt;"~"),(COUNTIF($AN$1:$AN387,$AN387)=1)),"TRUE","FALSE")</f>
        <v>FALSE</v>
      </c>
      <c r="AI387" s="661" t="str">
        <f t="shared" si="40"/>
        <v>II</v>
      </c>
      <c r="AJ387" s="662" t="str">
        <f t="shared" ref="AJ387:AJ450" si="41">MID(A387,14,8)</f>
        <v>EXPD-006</v>
      </c>
      <c r="AK387" s="662" t="str">
        <f t="shared" ref="AK387:AK450" si="42">MID(A387,6,3)</f>
        <v>SUV</v>
      </c>
      <c r="AL387" s="662" t="str">
        <f t="shared" ref="AL387:AL450" si="43">MID(A387,10,3)</f>
        <v>FRD</v>
      </c>
      <c r="AM387" s="662" t="str">
        <f t="shared" si="39"/>
        <v>Expedition-Limited-RWD-8-~-~-3.5L-6-U1K-300A-122.5-23.3-Unleaded-Unleaded</v>
      </c>
      <c r="AN387" s="662" t="str">
        <f t="shared" ref="AN387:AN450" si="44">LEFT(A387,21)</f>
        <v>2019-SUV-FRD-EXPD-006</v>
      </c>
    </row>
    <row r="388" spans="1:40" s="572" customFormat="1" ht="15">
      <c r="A388" s="570" t="s">
        <v>1134</v>
      </c>
      <c r="B388" s="569" t="s">
        <v>1135</v>
      </c>
      <c r="C388" s="569" t="s">
        <v>269</v>
      </c>
      <c r="D388" s="580" t="s">
        <v>270</v>
      </c>
      <c r="E388" s="569" t="s">
        <v>699</v>
      </c>
      <c r="F388" s="569" t="s">
        <v>187</v>
      </c>
      <c r="G388" s="569" t="s">
        <v>271</v>
      </c>
      <c r="H388" s="569">
        <v>2019</v>
      </c>
      <c r="I388" s="569" t="s">
        <v>1123</v>
      </c>
      <c r="J388" s="569" t="s">
        <v>1136</v>
      </c>
      <c r="K388" s="569" t="s">
        <v>752</v>
      </c>
      <c r="L388" s="569">
        <v>8</v>
      </c>
      <c r="M388" s="569">
        <v>0</v>
      </c>
      <c r="N388" s="569" t="s">
        <v>157</v>
      </c>
      <c r="O388" s="569">
        <v>3</v>
      </c>
      <c r="P388" s="569" t="s">
        <v>157</v>
      </c>
      <c r="Q388" s="568" t="s">
        <v>157</v>
      </c>
      <c r="R388" s="569" t="s">
        <v>316</v>
      </c>
      <c r="S388" s="569">
        <v>6</v>
      </c>
      <c r="T388" s="569" t="s">
        <v>1137</v>
      </c>
      <c r="U388" s="569" t="s">
        <v>318</v>
      </c>
      <c r="V388" s="569">
        <v>132</v>
      </c>
      <c r="W388" s="569">
        <v>28.3</v>
      </c>
      <c r="X388" s="568">
        <v>7550</v>
      </c>
      <c r="Y388" s="569">
        <v>18</v>
      </c>
      <c r="Z388" s="581" t="s">
        <v>178</v>
      </c>
      <c r="AA388" s="581" t="s">
        <v>178</v>
      </c>
      <c r="AB388" s="585">
        <v>70120</v>
      </c>
      <c r="AC388" s="585" t="s">
        <v>164</v>
      </c>
      <c r="AD388" s="585">
        <v>59578.5</v>
      </c>
      <c r="AE388" s="587">
        <v>0.03</v>
      </c>
      <c r="AF388" s="661" t="str">
        <f t="shared" si="38"/>
        <v>2019-SUV-FRD-EXPD-013-05</v>
      </c>
      <c r="AG388" s="661" t="str">
        <f>IF(AND($Y388&gt;=32,(AI388="I"),(Y388&lt;&gt;"~"),(COUNTIF($AN$1:$AN388,$AN388)=1)),"TRUE","FALSE")</f>
        <v>FALSE</v>
      </c>
      <c r="AH388" s="661" t="str">
        <f>IF(AND($Y388&gt;=22, (AI388&lt;&gt;"I"),(Y388&lt;&gt;"~"),(COUNTIF($AN$1:$AN388,$AN388)=1)),"TRUE","FALSE")</f>
        <v>FALSE</v>
      </c>
      <c r="AI388" s="661" t="str">
        <f t="shared" si="40"/>
        <v>II</v>
      </c>
      <c r="AJ388" s="662" t="str">
        <f t="shared" si="41"/>
        <v>EXPD-013</v>
      </c>
      <c r="AK388" s="662" t="str">
        <f t="shared" si="42"/>
        <v>SUV</v>
      </c>
      <c r="AL388" s="662" t="str">
        <f t="shared" si="43"/>
        <v>FRD</v>
      </c>
      <c r="AM388" s="662" t="str">
        <f t="shared" si="39"/>
        <v>Expedition-MAX Limited-4WD-8-~-~-3.5L-6-K2A-300A-132-28.3-Unleaded-Unleaded</v>
      </c>
      <c r="AN388" s="662" t="str">
        <f t="shared" si="44"/>
        <v>2019-SUV-FRD-EXPD-013</v>
      </c>
    </row>
    <row r="389" spans="1:40" s="572" customFormat="1" ht="15">
      <c r="A389" s="570" t="s">
        <v>1138</v>
      </c>
      <c r="B389" s="573" t="s">
        <v>1135</v>
      </c>
      <c r="C389" s="573" t="s">
        <v>278</v>
      </c>
      <c r="D389" s="578">
        <v>15</v>
      </c>
      <c r="E389" s="573" t="s">
        <v>699</v>
      </c>
      <c r="F389" s="573" t="s">
        <v>187</v>
      </c>
      <c r="G389" s="573" t="s">
        <v>271</v>
      </c>
      <c r="H389" s="573">
        <v>2019</v>
      </c>
      <c r="I389" s="573" t="s">
        <v>1123</v>
      </c>
      <c r="J389" s="573" t="s">
        <v>1136</v>
      </c>
      <c r="K389" s="573" t="s">
        <v>752</v>
      </c>
      <c r="L389" s="573">
        <v>8</v>
      </c>
      <c r="M389" s="573">
        <v>0</v>
      </c>
      <c r="N389" s="573" t="s">
        <v>157</v>
      </c>
      <c r="O389" s="573">
        <v>3</v>
      </c>
      <c r="P389" s="573" t="s">
        <v>157</v>
      </c>
      <c r="Q389" s="571" t="s">
        <v>157</v>
      </c>
      <c r="R389" s="573" t="s">
        <v>316</v>
      </c>
      <c r="S389" s="573">
        <v>6</v>
      </c>
      <c r="T389" s="573" t="s">
        <v>1137</v>
      </c>
      <c r="U389" s="573" t="s">
        <v>318</v>
      </c>
      <c r="V389" s="573">
        <v>132</v>
      </c>
      <c r="W389" s="573">
        <v>28.3</v>
      </c>
      <c r="X389" s="571">
        <v>9300</v>
      </c>
      <c r="Y389" s="573">
        <v>19</v>
      </c>
      <c r="Z389" s="579" t="s">
        <v>178</v>
      </c>
      <c r="AA389" s="579" t="s">
        <v>178</v>
      </c>
      <c r="AB389" s="584">
        <v>70120</v>
      </c>
      <c r="AC389" s="584" t="s">
        <v>164</v>
      </c>
      <c r="AD389" s="584">
        <v>60650</v>
      </c>
      <c r="AE389" s="586">
        <v>0.01</v>
      </c>
      <c r="AF389" s="661" t="str">
        <f t="shared" si="38"/>
        <v>2019-SUV-FRD-EXPD-013-15</v>
      </c>
      <c r="AG389" s="661" t="str">
        <f>IF(AND($Y389&gt;=32,(AI389="I"),(Y389&lt;&gt;"~"),(COUNTIF($AN$1:$AN389,$AN389)=1)),"TRUE","FALSE")</f>
        <v>FALSE</v>
      </c>
      <c r="AH389" s="661" t="str">
        <f>IF(AND($Y389&gt;=22, (AI389&lt;&gt;"I"),(Y389&lt;&gt;"~"),(COUNTIF($AN$1:$AN389,$AN389)=1)),"TRUE","FALSE")</f>
        <v>FALSE</v>
      </c>
      <c r="AI389" s="661" t="str">
        <f t="shared" si="40"/>
        <v>II</v>
      </c>
      <c r="AJ389" s="662" t="str">
        <f t="shared" si="41"/>
        <v>EXPD-013</v>
      </c>
      <c r="AK389" s="662" t="str">
        <f t="shared" si="42"/>
        <v>SUV</v>
      </c>
      <c r="AL389" s="662" t="str">
        <f t="shared" si="43"/>
        <v>FRD</v>
      </c>
      <c r="AM389" s="662" t="str">
        <f t="shared" si="39"/>
        <v>Expedition-MAX Limited-4WD-8-~-~-3.5L-6-K2A-300A-132-28.3-Unleaded-Unleaded</v>
      </c>
      <c r="AN389" s="662" t="str">
        <f t="shared" si="44"/>
        <v>2019-SUV-FRD-EXPD-013</v>
      </c>
    </row>
    <row r="390" spans="1:40" s="572" customFormat="1" ht="15">
      <c r="A390" s="570" t="s">
        <v>1139</v>
      </c>
      <c r="B390" s="569" t="s">
        <v>1135</v>
      </c>
      <c r="C390" s="569" t="s">
        <v>287</v>
      </c>
      <c r="D390" s="580">
        <v>26</v>
      </c>
      <c r="E390" s="569" t="s">
        <v>699</v>
      </c>
      <c r="F390" s="569" t="s">
        <v>187</v>
      </c>
      <c r="G390" s="569" t="s">
        <v>271</v>
      </c>
      <c r="H390" s="569">
        <v>2019</v>
      </c>
      <c r="I390" s="569" t="s">
        <v>1123</v>
      </c>
      <c r="J390" s="569" t="s">
        <v>1136</v>
      </c>
      <c r="K390" s="569" t="s">
        <v>752</v>
      </c>
      <c r="L390" s="569">
        <v>8</v>
      </c>
      <c r="M390" s="569">
        <v>0</v>
      </c>
      <c r="N390" s="569" t="s">
        <v>157</v>
      </c>
      <c r="O390" s="569">
        <v>3</v>
      </c>
      <c r="P390" s="569" t="s">
        <v>157</v>
      </c>
      <c r="Q390" s="568" t="s">
        <v>157</v>
      </c>
      <c r="R390" s="569" t="s">
        <v>316</v>
      </c>
      <c r="S390" s="569">
        <v>6</v>
      </c>
      <c r="T390" s="569" t="s">
        <v>1137</v>
      </c>
      <c r="U390" s="569" t="s">
        <v>318</v>
      </c>
      <c r="V390" s="569">
        <v>132</v>
      </c>
      <c r="W390" s="569">
        <v>28.3</v>
      </c>
      <c r="X390" s="568">
        <v>7550</v>
      </c>
      <c r="Y390" s="569">
        <v>19</v>
      </c>
      <c r="Z390" s="581" t="s">
        <v>178</v>
      </c>
      <c r="AA390" s="581" t="s">
        <v>178</v>
      </c>
      <c r="AB390" s="585">
        <v>70120</v>
      </c>
      <c r="AC390" s="585" t="s">
        <v>164</v>
      </c>
      <c r="AD390" s="585">
        <v>61384</v>
      </c>
      <c r="AE390" s="587">
        <v>0.05</v>
      </c>
      <c r="AF390" s="661" t="str">
        <f t="shared" si="38"/>
        <v>2019-SUV-FRD-EXPD-013-26</v>
      </c>
      <c r="AG390" s="661" t="str">
        <f>IF(AND($Y390&gt;=32,(AI390="I"),(Y390&lt;&gt;"~"),(COUNTIF($AN$1:$AN390,$AN390)=1)),"TRUE","FALSE")</f>
        <v>FALSE</v>
      </c>
      <c r="AH390" s="661" t="str">
        <f>IF(AND($Y390&gt;=22, (AI390&lt;&gt;"I"),(Y390&lt;&gt;"~"),(COUNTIF($AN$1:$AN390,$AN390)=1)),"TRUE","FALSE")</f>
        <v>FALSE</v>
      </c>
      <c r="AI390" s="661" t="str">
        <f t="shared" si="40"/>
        <v>II</v>
      </c>
      <c r="AJ390" s="662" t="str">
        <f t="shared" si="41"/>
        <v>EXPD-013</v>
      </c>
      <c r="AK390" s="662" t="str">
        <f t="shared" si="42"/>
        <v>SUV</v>
      </c>
      <c r="AL390" s="662" t="str">
        <f t="shared" si="43"/>
        <v>FRD</v>
      </c>
      <c r="AM390" s="662" t="str">
        <f t="shared" si="39"/>
        <v>Expedition-MAX Limited-4WD-8-~-~-3.5L-6-K2A-300A-132-28.3-Unleaded-Unleaded</v>
      </c>
      <c r="AN390" s="662" t="str">
        <f t="shared" si="44"/>
        <v>2019-SUV-FRD-EXPD-013</v>
      </c>
    </row>
    <row r="391" spans="1:40" s="572" customFormat="1" ht="15">
      <c r="A391" s="570" t="s">
        <v>1140</v>
      </c>
      <c r="B391" s="573" t="s">
        <v>1135</v>
      </c>
      <c r="C391" s="573" t="s">
        <v>280</v>
      </c>
      <c r="D391" s="578">
        <v>27</v>
      </c>
      <c r="E391" s="573" t="s">
        <v>699</v>
      </c>
      <c r="F391" s="573" t="s">
        <v>187</v>
      </c>
      <c r="G391" s="573" t="s">
        <v>271</v>
      </c>
      <c r="H391" s="573">
        <v>2019</v>
      </c>
      <c r="I391" s="573" t="s">
        <v>1123</v>
      </c>
      <c r="J391" s="573" t="s">
        <v>1136</v>
      </c>
      <c r="K391" s="573" t="s">
        <v>752</v>
      </c>
      <c r="L391" s="573">
        <v>8</v>
      </c>
      <c r="M391" s="573">
        <v>0</v>
      </c>
      <c r="N391" s="573" t="s">
        <v>157</v>
      </c>
      <c r="O391" s="573">
        <v>3</v>
      </c>
      <c r="P391" s="573" t="s">
        <v>157</v>
      </c>
      <c r="Q391" s="571" t="s">
        <v>157</v>
      </c>
      <c r="R391" s="573" t="s">
        <v>316</v>
      </c>
      <c r="S391" s="573">
        <v>6</v>
      </c>
      <c r="T391" s="573" t="s">
        <v>1137</v>
      </c>
      <c r="U391" s="573" t="s">
        <v>318</v>
      </c>
      <c r="V391" s="573">
        <v>132</v>
      </c>
      <c r="W391" s="573">
        <v>28.3</v>
      </c>
      <c r="X391" s="571">
        <v>7550</v>
      </c>
      <c r="Y391" s="573">
        <v>18</v>
      </c>
      <c r="Z391" s="579" t="s">
        <v>178</v>
      </c>
      <c r="AA391" s="579" t="s">
        <v>178</v>
      </c>
      <c r="AB391" s="584">
        <v>70120</v>
      </c>
      <c r="AC391" s="584" t="s">
        <v>164</v>
      </c>
      <c r="AD391" s="584">
        <v>59578.5</v>
      </c>
      <c r="AE391" s="586">
        <v>0.03</v>
      </c>
      <c r="AF391" s="661" t="str">
        <f t="shared" si="38"/>
        <v>2019-SUV-FRD-EXPD-013-27</v>
      </c>
      <c r="AG391" s="661" t="str">
        <f>IF(AND($Y391&gt;=32,(AI391="I"),(Y391&lt;&gt;"~"),(COUNTIF($AN$1:$AN391,$AN391)=1)),"TRUE","FALSE")</f>
        <v>FALSE</v>
      </c>
      <c r="AH391" s="661" t="str">
        <f>IF(AND($Y391&gt;=22, (AI391&lt;&gt;"I"),(Y391&lt;&gt;"~"),(COUNTIF($AN$1:$AN391,$AN391)=1)),"TRUE","FALSE")</f>
        <v>FALSE</v>
      </c>
      <c r="AI391" s="661" t="str">
        <f t="shared" si="40"/>
        <v>II</v>
      </c>
      <c r="AJ391" s="662" t="str">
        <f t="shared" si="41"/>
        <v>EXPD-013</v>
      </c>
      <c r="AK391" s="662" t="str">
        <f t="shared" si="42"/>
        <v>SUV</v>
      </c>
      <c r="AL391" s="662" t="str">
        <f t="shared" si="43"/>
        <v>FRD</v>
      </c>
      <c r="AM391" s="662" t="str">
        <f t="shared" si="39"/>
        <v>Expedition-MAX Limited-4WD-8-~-~-3.5L-6-K2A-300A-132-28.3-Unleaded-Unleaded</v>
      </c>
      <c r="AN391" s="662" t="str">
        <f t="shared" si="44"/>
        <v>2019-SUV-FRD-EXPD-013</v>
      </c>
    </row>
    <row r="392" spans="1:40" s="572" customFormat="1" ht="15">
      <c r="A392" s="570" t="s">
        <v>1141</v>
      </c>
      <c r="B392" s="569" t="s">
        <v>1142</v>
      </c>
      <c r="C392" s="569" t="s">
        <v>269</v>
      </c>
      <c r="D392" s="580" t="s">
        <v>270</v>
      </c>
      <c r="E392" s="569" t="s">
        <v>699</v>
      </c>
      <c r="F392" s="569" t="s">
        <v>187</v>
      </c>
      <c r="G392" s="569" t="s">
        <v>271</v>
      </c>
      <c r="H392" s="569">
        <v>2019</v>
      </c>
      <c r="I392" s="569" t="s">
        <v>1123</v>
      </c>
      <c r="J392" s="569" t="s">
        <v>1136</v>
      </c>
      <c r="K392" s="569" t="s">
        <v>236</v>
      </c>
      <c r="L392" s="569">
        <v>8</v>
      </c>
      <c r="M392" s="569">
        <v>0</v>
      </c>
      <c r="N392" s="569" t="s">
        <v>157</v>
      </c>
      <c r="O392" s="569">
        <v>3</v>
      </c>
      <c r="P392" s="569" t="s">
        <v>157</v>
      </c>
      <c r="Q392" s="568" t="s">
        <v>157</v>
      </c>
      <c r="R392" s="569" t="s">
        <v>316</v>
      </c>
      <c r="S392" s="569">
        <v>6</v>
      </c>
      <c r="T392" s="569" t="s">
        <v>1143</v>
      </c>
      <c r="U392" s="569" t="s">
        <v>318</v>
      </c>
      <c r="V392" s="569">
        <v>132</v>
      </c>
      <c r="W392" s="569">
        <v>28.3</v>
      </c>
      <c r="X392" s="568">
        <v>7300</v>
      </c>
      <c r="Y392" s="569">
        <v>19</v>
      </c>
      <c r="Z392" s="581" t="s">
        <v>178</v>
      </c>
      <c r="AA392" s="581" t="s">
        <v>178</v>
      </c>
      <c r="AB392" s="585">
        <v>67000</v>
      </c>
      <c r="AC392" s="585" t="s">
        <v>164</v>
      </c>
      <c r="AD392" s="585">
        <v>56694.125</v>
      </c>
      <c r="AE392" s="587">
        <v>0.03</v>
      </c>
      <c r="AF392" s="661" t="str">
        <f t="shared" ref="AF392:AF455" si="45">A392</f>
        <v>2019-SUV-FRD-EXPD-014-05</v>
      </c>
      <c r="AG392" s="661" t="str">
        <f>IF(AND($Y392&gt;=32,(AI392="I"),(Y392&lt;&gt;"~"),(COUNTIF($AN$1:$AN392,$AN392)=1)),"TRUE","FALSE")</f>
        <v>FALSE</v>
      </c>
      <c r="AH392" s="661" t="str">
        <f>IF(AND($Y392&gt;=22, (AI392&lt;&gt;"I"),(Y392&lt;&gt;"~"),(COUNTIF($AN$1:$AN392,$AN392)=1)),"TRUE","FALSE")</f>
        <v>FALSE</v>
      </c>
      <c r="AI392" s="661" t="str">
        <f t="shared" si="40"/>
        <v>II</v>
      </c>
      <c r="AJ392" s="662" t="str">
        <f t="shared" si="41"/>
        <v>EXPD-014</v>
      </c>
      <c r="AK392" s="662" t="str">
        <f t="shared" si="42"/>
        <v>SUV</v>
      </c>
      <c r="AL392" s="662" t="str">
        <f t="shared" si="43"/>
        <v>FRD</v>
      </c>
      <c r="AM392" s="662" t="str">
        <f t="shared" si="39"/>
        <v>Expedition-MAX Limited-RWD-8-~-~-3.5L-6-K1K-300A-132-28.3-Unleaded-Unleaded</v>
      </c>
      <c r="AN392" s="662" t="str">
        <f t="shared" si="44"/>
        <v>2019-SUV-FRD-EXPD-014</v>
      </c>
    </row>
    <row r="393" spans="1:40" s="572" customFormat="1" ht="15">
      <c r="A393" s="570" t="s">
        <v>1144</v>
      </c>
      <c r="B393" s="573" t="s">
        <v>1142</v>
      </c>
      <c r="C393" s="573" t="s">
        <v>278</v>
      </c>
      <c r="D393" s="578">
        <v>15</v>
      </c>
      <c r="E393" s="573" t="s">
        <v>699</v>
      </c>
      <c r="F393" s="573" t="s">
        <v>187</v>
      </c>
      <c r="G393" s="573" t="s">
        <v>271</v>
      </c>
      <c r="H393" s="573">
        <v>2019</v>
      </c>
      <c r="I393" s="573" t="s">
        <v>1123</v>
      </c>
      <c r="J393" s="573" t="s">
        <v>1136</v>
      </c>
      <c r="K393" s="573" t="s">
        <v>236</v>
      </c>
      <c r="L393" s="573">
        <v>8</v>
      </c>
      <c r="M393" s="573">
        <v>0</v>
      </c>
      <c r="N393" s="573" t="s">
        <v>157</v>
      </c>
      <c r="O393" s="573">
        <v>3</v>
      </c>
      <c r="P393" s="573" t="s">
        <v>157</v>
      </c>
      <c r="Q393" s="571" t="s">
        <v>157</v>
      </c>
      <c r="R393" s="573" t="s">
        <v>316</v>
      </c>
      <c r="S393" s="573">
        <v>6</v>
      </c>
      <c r="T393" s="573" t="s">
        <v>1143</v>
      </c>
      <c r="U393" s="573" t="s">
        <v>318</v>
      </c>
      <c r="V393" s="573">
        <v>132</v>
      </c>
      <c r="W393" s="573">
        <v>28.3</v>
      </c>
      <c r="X393" s="571">
        <v>9300</v>
      </c>
      <c r="Y393" s="573">
        <v>20</v>
      </c>
      <c r="Z393" s="579" t="s">
        <v>178</v>
      </c>
      <c r="AA393" s="579" t="s">
        <v>178</v>
      </c>
      <c r="AB393" s="584">
        <v>67000</v>
      </c>
      <c r="AC393" s="584" t="s">
        <v>164</v>
      </c>
      <c r="AD393" s="584">
        <v>57675</v>
      </c>
      <c r="AE393" s="586">
        <v>0.01</v>
      </c>
      <c r="AF393" s="661" t="str">
        <f t="shared" si="45"/>
        <v>2019-SUV-FRD-EXPD-014-15</v>
      </c>
      <c r="AG393" s="661" t="str">
        <f>IF(AND($Y393&gt;=32,(AI393="I"),(Y393&lt;&gt;"~"),(COUNTIF($AN$1:$AN393,$AN393)=1)),"TRUE","FALSE")</f>
        <v>FALSE</v>
      </c>
      <c r="AH393" s="661" t="str">
        <f>IF(AND($Y393&gt;=22, (AI393&lt;&gt;"I"),(Y393&lt;&gt;"~"),(COUNTIF($AN$1:$AN393,$AN393)=1)),"TRUE","FALSE")</f>
        <v>FALSE</v>
      </c>
      <c r="AI393" s="661" t="str">
        <f t="shared" si="40"/>
        <v>II</v>
      </c>
      <c r="AJ393" s="662" t="str">
        <f t="shared" si="41"/>
        <v>EXPD-014</v>
      </c>
      <c r="AK393" s="662" t="str">
        <f t="shared" si="42"/>
        <v>SUV</v>
      </c>
      <c r="AL393" s="662" t="str">
        <f t="shared" si="43"/>
        <v>FRD</v>
      </c>
      <c r="AM393" s="662" t="str">
        <f t="shared" si="39"/>
        <v>Expedition-MAX Limited-RWD-8-~-~-3.5L-6-K1K-300A-132-28.3-Unleaded-Unleaded</v>
      </c>
      <c r="AN393" s="662" t="str">
        <f t="shared" si="44"/>
        <v>2019-SUV-FRD-EXPD-014</v>
      </c>
    </row>
    <row r="394" spans="1:40" s="572" customFormat="1" ht="15">
      <c r="A394" s="570" t="s">
        <v>1145</v>
      </c>
      <c r="B394" s="569" t="s">
        <v>1142</v>
      </c>
      <c r="C394" s="569" t="s">
        <v>287</v>
      </c>
      <c r="D394" s="580">
        <v>26</v>
      </c>
      <c r="E394" s="569" t="s">
        <v>699</v>
      </c>
      <c r="F394" s="569" t="s">
        <v>187</v>
      </c>
      <c r="G394" s="569" t="s">
        <v>271</v>
      </c>
      <c r="H394" s="569">
        <v>2019</v>
      </c>
      <c r="I394" s="569" t="s">
        <v>1123</v>
      </c>
      <c r="J394" s="569" t="s">
        <v>1136</v>
      </c>
      <c r="K394" s="569" t="s">
        <v>236</v>
      </c>
      <c r="L394" s="569">
        <v>8</v>
      </c>
      <c r="M394" s="569">
        <v>0</v>
      </c>
      <c r="N394" s="569" t="s">
        <v>157</v>
      </c>
      <c r="O394" s="569">
        <v>3</v>
      </c>
      <c r="P394" s="569" t="s">
        <v>157</v>
      </c>
      <c r="Q394" s="568" t="s">
        <v>157</v>
      </c>
      <c r="R394" s="569" t="s">
        <v>316</v>
      </c>
      <c r="S394" s="569">
        <v>6</v>
      </c>
      <c r="T394" s="569" t="s">
        <v>1143</v>
      </c>
      <c r="U394" s="569" t="s">
        <v>318</v>
      </c>
      <c r="V394" s="569">
        <v>132</v>
      </c>
      <c r="W394" s="569">
        <v>28.3</v>
      </c>
      <c r="X394" s="568">
        <v>7550</v>
      </c>
      <c r="Y394" s="569">
        <v>20</v>
      </c>
      <c r="Z394" s="581" t="s">
        <v>178</v>
      </c>
      <c r="AA394" s="581" t="s">
        <v>178</v>
      </c>
      <c r="AB394" s="585">
        <v>66900</v>
      </c>
      <c r="AC394" s="585" t="s">
        <v>164</v>
      </c>
      <c r="AD394" s="585">
        <v>58411</v>
      </c>
      <c r="AE394" s="587">
        <v>0.05</v>
      </c>
      <c r="AF394" s="661" t="str">
        <f t="shared" si="45"/>
        <v>2019-SUV-FRD-EXPD-014-26</v>
      </c>
      <c r="AG394" s="661" t="str">
        <f>IF(AND($Y394&gt;=32,(AI394="I"),(Y394&lt;&gt;"~"),(COUNTIF($AN$1:$AN394,$AN394)=1)),"TRUE","FALSE")</f>
        <v>FALSE</v>
      </c>
      <c r="AH394" s="661" t="str">
        <f>IF(AND($Y394&gt;=22, (AI394&lt;&gt;"I"),(Y394&lt;&gt;"~"),(COUNTIF($AN$1:$AN394,$AN394)=1)),"TRUE","FALSE")</f>
        <v>FALSE</v>
      </c>
      <c r="AI394" s="661" t="str">
        <f t="shared" si="40"/>
        <v>II</v>
      </c>
      <c r="AJ394" s="662" t="str">
        <f t="shared" si="41"/>
        <v>EXPD-014</v>
      </c>
      <c r="AK394" s="662" t="str">
        <f t="shared" si="42"/>
        <v>SUV</v>
      </c>
      <c r="AL394" s="662" t="str">
        <f t="shared" si="43"/>
        <v>FRD</v>
      </c>
      <c r="AM394" s="662" t="str">
        <f t="shared" si="39"/>
        <v>Expedition-MAX Limited-RWD-8-~-~-3.5L-6-K1K-300A-132-28.3-Unleaded-Unleaded</v>
      </c>
      <c r="AN394" s="662" t="str">
        <f t="shared" si="44"/>
        <v>2019-SUV-FRD-EXPD-014</v>
      </c>
    </row>
    <row r="395" spans="1:40" s="572" customFormat="1" ht="15">
      <c r="A395" s="570" t="s">
        <v>1146</v>
      </c>
      <c r="B395" s="573" t="s">
        <v>1142</v>
      </c>
      <c r="C395" s="573" t="s">
        <v>280</v>
      </c>
      <c r="D395" s="578">
        <v>27</v>
      </c>
      <c r="E395" s="573" t="s">
        <v>699</v>
      </c>
      <c r="F395" s="573" t="s">
        <v>187</v>
      </c>
      <c r="G395" s="573" t="s">
        <v>271</v>
      </c>
      <c r="H395" s="573">
        <v>2019</v>
      </c>
      <c r="I395" s="573" t="s">
        <v>1123</v>
      </c>
      <c r="J395" s="573" t="s">
        <v>1136</v>
      </c>
      <c r="K395" s="573" t="s">
        <v>236</v>
      </c>
      <c r="L395" s="573">
        <v>8</v>
      </c>
      <c r="M395" s="573">
        <v>0</v>
      </c>
      <c r="N395" s="573" t="s">
        <v>157</v>
      </c>
      <c r="O395" s="573">
        <v>3</v>
      </c>
      <c r="P395" s="573" t="s">
        <v>157</v>
      </c>
      <c r="Q395" s="571" t="s">
        <v>157</v>
      </c>
      <c r="R395" s="573" t="s">
        <v>316</v>
      </c>
      <c r="S395" s="573">
        <v>6</v>
      </c>
      <c r="T395" s="573" t="s">
        <v>1143</v>
      </c>
      <c r="U395" s="573" t="s">
        <v>318</v>
      </c>
      <c r="V395" s="573">
        <v>132</v>
      </c>
      <c r="W395" s="573">
        <v>28.3</v>
      </c>
      <c r="X395" s="571">
        <v>7300</v>
      </c>
      <c r="Y395" s="573">
        <v>19</v>
      </c>
      <c r="Z395" s="579" t="s">
        <v>178</v>
      </c>
      <c r="AA395" s="579" t="s">
        <v>178</v>
      </c>
      <c r="AB395" s="584">
        <v>67000</v>
      </c>
      <c r="AC395" s="584" t="s">
        <v>164</v>
      </c>
      <c r="AD395" s="584">
        <v>56694.125</v>
      </c>
      <c r="AE395" s="586">
        <v>0.03</v>
      </c>
      <c r="AF395" s="661" t="str">
        <f t="shared" si="45"/>
        <v>2019-SUV-FRD-EXPD-014-27</v>
      </c>
      <c r="AG395" s="661" t="str">
        <f>IF(AND($Y395&gt;=32,(AI395="I"),(Y395&lt;&gt;"~"),(COUNTIF($AN$1:$AN395,$AN395)=1)),"TRUE","FALSE")</f>
        <v>FALSE</v>
      </c>
      <c r="AH395" s="661" t="str">
        <f>IF(AND($Y395&gt;=22, (AI395&lt;&gt;"I"),(Y395&lt;&gt;"~"),(COUNTIF($AN$1:$AN395,$AN395)=1)),"TRUE","FALSE")</f>
        <v>FALSE</v>
      </c>
      <c r="AI395" s="661" t="str">
        <f t="shared" si="40"/>
        <v>II</v>
      </c>
      <c r="AJ395" s="662" t="str">
        <f t="shared" si="41"/>
        <v>EXPD-014</v>
      </c>
      <c r="AK395" s="662" t="str">
        <f t="shared" si="42"/>
        <v>SUV</v>
      </c>
      <c r="AL395" s="662" t="str">
        <f t="shared" si="43"/>
        <v>FRD</v>
      </c>
      <c r="AM395" s="662" t="str">
        <f t="shared" si="39"/>
        <v>Expedition-MAX Limited-RWD-8-~-~-3.5L-6-K1K-300A-132-28.3-Unleaded-Unleaded</v>
      </c>
      <c r="AN395" s="662" t="str">
        <f t="shared" si="44"/>
        <v>2019-SUV-FRD-EXPD-014</v>
      </c>
    </row>
    <row r="396" spans="1:40" s="572" customFormat="1" ht="15">
      <c r="A396" s="570" t="s">
        <v>1147</v>
      </c>
      <c r="B396" s="569" t="s">
        <v>1148</v>
      </c>
      <c r="C396" s="569" t="s">
        <v>269</v>
      </c>
      <c r="D396" s="580" t="s">
        <v>270</v>
      </c>
      <c r="E396" s="569" t="s">
        <v>699</v>
      </c>
      <c r="F396" s="569" t="s">
        <v>187</v>
      </c>
      <c r="G396" s="569" t="s">
        <v>271</v>
      </c>
      <c r="H396" s="569">
        <v>2019</v>
      </c>
      <c r="I396" s="569" t="s">
        <v>1123</v>
      </c>
      <c r="J396" s="569" t="s">
        <v>1149</v>
      </c>
      <c r="K396" s="569" t="s">
        <v>752</v>
      </c>
      <c r="L396" s="569">
        <v>8</v>
      </c>
      <c r="M396" s="569">
        <v>0</v>
      </c>
      <c r="N396" s="569" t="s">
        <v>157</v>
      </c>
      <c r="O396" s="569">
        <v>3</v>
      </c>
      <c r="P396" s="569" t="s">
        <v>157</v>
      </c>
      <c r="Q396" s="568" t="s">
        <v>157</v>
      </c>
      <c r="R396" s="569" t="s">
        <v>316</v>
      </c>
      <c r="S396" s="569">
        <v>6</v>
      </c>
      <c r="T396" s="569" t="s">
        <v>1150</v>
      </c>
      <c r="U396" s="569" t="s">
        <v>366</v>
      </c>
      <c r="V396" s="569">
        <v>132</v>
      </c>
      <c r="W396" s="569">
        <v>28.3</v>
      </c>
      <c r="X396" s="568">
        <v>7550</v>
      </c>
      <c r="Y396" s="569">
        <v>18</v>
      </c>
      <c r="Z396" s="581" t="s">
        <v>178</v>
      </c>
      <c r="AA396" s="581" t="s">
        <v>178</v>
      </c>
      <c r="AB396" s="585">
        <v>80495</v>
      </c>
      <c r="AC396" s="585" t="s">
        <v>164</v>
      </c>
      <c r="AD396" s="585">
        <v>68889</v>
      </c>
      <c r="AE396" s="587">
        <v>0.03</v>
      </c>
      <c r="AF396" s="661" t="str">
        <f t="shared" si="45"/>
        <v>2019-SUV-FRD-EXPD-015-05</v>
      </c>
      <c r="AG396" s="661" t="str">
        <f>IF(AND($Y396&gt;=32,(AI396="I"),(Y396&lt;&gt;"~"),(COUNTIF($AN$1:$AN396,$AN396)=1)),"TRUE","FALSE")</f>
        <v>FALSE</v>
      </c>
      <c r="AH396" s="661" t="str">
        <f>IF(AND($Y396&gt;=22, (AI396&lt;&gt;"I"),(Y396&lt;&gt;"~"),(COUNTIF($AN$1:$AN396,$AN396)=1)),"TRUE","FALSE")</f>
        <v>FALSE</v>
      </c>
      <c r="AI396" s="661" t="str">
        <f t="shared" si="40"/>
        <v>II</v>
      </c>
      <c r="AJ396" s="662" t="str">
        <f t="shared" si="41"/>
        <v>EXPD-015</v>
      </c>
      <c r="AK396" s="662" t="str">
        <f t="shared" si="42"/>
        <v>SUV</v>
      </c>
      <c r="AL396" s="662" t="str">
        <f t="shared" si="43"/>
        <v>FRD</v>
      </c>
      <c r="AM396" s="662" t="str">
        <f t="shared" si="39"/>
        <v>Expedition-MAX Platinum-4WD-8-~-~-3.5L-6-K1M-600A-132-28.3-Unleaded-Unleaded</v>
      </c>
      <c r="AN396" s="662" t="str">
        <f t="shared" si="44"/>
        <v>2019-SUV-FRD-EXPD-015</v>
      </c>
    </row>
    <row r="397" spans="1:40" s="572" customFormat="1" ht="15">
      <c r="A397" s="570" t="s">
        <v>1151</v>
      </c>
      <c r="B397" s="573" t="s">
        <v>1148</v>
      </c>
      <c r="C397" s="573" t="s">
        <v>278</v>
      </c>
      <c r="D397" s="578">
        <v>15</v>
      </c>
      <c r="E397" s="573" t="s">
        <v>699</v>
      </c>
      <c r="F397" s="573" t="s">
        <v>187</v>
      </c>
      <c r="G397" s="573" t="s">
        <v>271</v>
      </c>
      <c r="H397" s="573">
        <v>2019</v>
      </c>
      <c r="I397" s="573" t="s">
        <v>1123</v>
      </c>
      <c r="J397" s="573" t="s">
        <v>1149</v>
      </c>
      <c r="K397" s="573" t="s">
        <v>752</v>
      </c>
      <c r="L397" s="573">
        <v>8</v>
      </c>
      <c r="M397" s="573">
        <v>0</v>
      </c>
      <c r="N397" s="573" t="s">
        <v>157</v>
      </c>
      <c r="O397" s="573">
        <v>3</v>
      </c>
      <c r="P397" s="573" t="s">
        <v>157</v>
      </c>
      <c r="Q397" s="571" t="s">
        <v>157</v>
      </c>
      <c r="R397" s="573" t="s">
        <v>316</v>
      </c>
      <c r="S397" s="573">
        <v>6</v>
      </c>
      <c r="T397" s="573" t="s">
        <v>1150</v>
      </c>
      <c r="U397" s="573" t="s">
        <v>366</v>
      </c>
      <c r="V397" s="573">
        <v>132</v>
      </c>
      <c r="W397" s="573">
        <v>28.3</v>
      </c>
      <c r="X397" s="571">
        <v>9300</v>
      </c>
      <c r="Y397" s="573">
        <v>19</v>
      </c>
      <c r="Z397" s="579" t="s">
        <v>178</v>
      </c>
      <c r="AA397" s="579" t="s">
        <v>178</v>
      </c>
      <c r="AB397" s="584">
        <v>80495</v>
      </c>
      <c r="AC397" s="584" t="s">
        <v>164</v>
      </c>
      <c r="AD397" s="584">
        <v>70450</v>
      </c>
      <c r="AE397" s="586">
        <v>0.01</v>
      </c>
      <c r="AF397" s="661" t="str">
        <f t="shared" si="45"/>
        <v>2019-SUV-FRD-EXPD-015-15</v>
      </c>
      <c r="AG397" s="661" t="str">
        <f>IF(AND($Y397&gt;=32,(AI397="I"),(Y397&lt;&gt;"~"),(COUNTIF($AN$1:$AN397,$AN397)=1)),"TRUE","FALSE")</f>
        <v>FALSE</v>
      </c>
      <c r="AH397" s="661" t="str">
        <f>IF(AND($Y397&gt;=22, (AI397&lt;&gt;"I"),(Y397&lt;&gt;"~"),(COUNTIF($AN$1:$AN397,$AN397)=1)),"TRUE","FALSE")</f>
        <v>FALSE</v>
      </c>
      <c r="AI397" s="661" t="str">
        <f t="shared" si="40"/>
        <v>II</v>
      </c>
      <c r="AJ397" s="662" t="str">
        <f t="shared" si="41"/>
        <v>EXPD-015</v>
      </c>
      <c r="AK397" s="662" t="str">
        <f t="shared" si="42"/>
        <v>SUV</v>
      </c>
      <c r="AL397" s="662" t="str">
        <f t="shared" si="43"/>
        <v>FRD</v>
      </c>
      <c r="AM397" s="662" t="str">
        <f t="shared" si="39"/>
        <v>Expedition-MAX Platinum-4WD-8-~-~-3.5L-6-K1M-600A-132-28.3-Unleaded-Unleaded</v>
      </c>
      <c r="AN397" s="662" t="str">
        <f t="shared" si="44"/>
        <v>2019-SUV-FRD-EXPD-015</v>
      </c>
    </row>
    <row r="398" spans="1:40" s="572" customFormat="1" ht="15">
      <c r="A398" s="570" t="s">
        <v>1152</v>
      </c>
      <c r="B398" s="569" t="s">
        <v>1148</v>
      </c>
      <c r="C398" s="569" t="s">
        <v>287</v>
      </c>
      <c r="D398" s="580">
        <v>26</v>
      </c>
      <c r="E398" s="569" t="s">
        <v>699</v>
      </c>
      <c r="F398" s="569" t="s">
        <v>187</v>
      </c>
      <c r="G398" s="569" t="s">
        <v>271</v>
      </c>
      <c r="H398" s="569">
        <v>2019</v>
      </c>
      <c r="I398" s="569" t="s">
        <v>1123</v>
      </c>
      <c r="J398" s="569" t="s">
        <v>1149</v>
      </c>
      <c r="K398" s="569" t="s">
        <v>752</v>
      </c>
      <c r="L398" s="569">
        <v>8</v>
      </c>
      <c r="M398" s="569">
        <v>0</v>
      </c>
      <c r="N398" s="569" t="s">
        <v>157</v>
      </c>
      <c r="O398" s="569">
        <v>3</v>
      </c>
      <c r="P398" s="569" t="s">
        <v>157</v>
      </c>
      <c r="Q398" s="568" t="s">
        <v>157</v>
      </c>
      <c r="R398" s="569" t="s">
        <v>316</v>
      </c>
      <c r="S398" s="569">
        <v>6</v>
      </c>
      <c r="T398" s="569" t="s">
        <v>1150</v>
      </c>
      <c r="U398" s="569" t="s">
        <v>366</v>
      </c>
      <c r="V398" s="569">
        <v>132</v>
      </c>
      <c r="W398" s="569">
        <v>28.3</v>
      </c>
      <c r="X398" s="568">
        <v>7550</v>
      </c>
      <c r="Y398" s="569">
        <v>19</v>
      </c>
      <c r="Z398" s="581" t="s">
        <v>178</v>
      </c>
      <c r="AA398" s="581" t="s">
        <v>178</v>
      </c>
      <c r="AB398" s="585">
        <v>80395</v>
      </c>
      <c r="AC398" s="585" t="s">
        <v>164</v>
      </c>
      <c r="AD398" s="585">
        <v>71269</v>
      </c>
      <c r="AE398" s="587">
        <v>0.05</v>
      </c>
      <c r="AF398" s="661" t="str">
        <f t="shared" si="45"/>
        <v>2019-SUV-FRD-EXPD-015-26</v>
      </c>
      <c r="AG398" s="661" t="str">
        <f>IF(AND($Y398&gt;=32,(AI398="I"),(Y398&lt;&gt;"~"),(COUNTIF($AN$1:$AN398,$AN398)=1)),"TRUE","FALSE")</f>
        <v>FALSE</v>
      </c>
      <c r="AH398" s="661" t="str">
        <f>IF(AND($Y398&gt;=22, (AI398&lt;&gt;"I"),(Y398&lt;&gt;"~"),(COUNTIF($AN$1:$AN398,$AN398)=1)),"TRUE","FALSE")</f>
        <v>FALSE</v>
      </c>
      <c r="AI398" s="661" t="str">
        <f t="shared" si="40"/>
        <v>II</v>
      </c>
      <c r="AJ398" s="662" t="str">
        <f t="shared" si="41"/>
        <v>EXPD-015</v>
      </c>
      <c r="AK398" s="662" t="str">
        <f t="shared" si="42"/>
        <v>SUV</v>
      </c>
      <c r="AL398" s="662" t="str">
        <f t="shared" si="43"/>
        <v>FRD</v>
      </c>
      <c r="AM398" s="662" t="str">
        <f t="shared" si="39"/>
        <v>Expedition-MAX Platinum-4WD-8-~-~-3.5L-6-K1M-600A-132-28.3-Unleaded-Unleaded</v>
      </c>
      <c r="AN398" s="662" t="str">
        <f t="shared" si="44"/>
        <v>2019-SUV-FRD-EXPD-015</v>
      </c>
    </row>
    <row r="399" spans="1:40" s="572" customFormat="1" ht="15">
      <c r="A399" s="570" t="s">
        <v>1153</v>
      </c>
      <c r="B399" s="573" t="s">
        <v>1148</v>
      </c>
      <c r="C399" s="573" t="s">
        <v>280</v>
      </c>
      <c r="D399" s="578">
        <v>27</v>
      </c>
      <c r="E399" s="573" t="s">
        <v>699</v>
      </c>
      <c r="F399" s="573" t="s">
        <v>187</v>
      </c>
      <c r="G399" s="573" t="s">
        <v>271</v>
      </c>
      <c r="H399" s="573">
        <v>2019</v>
      </c>
      <c r="I399" s="573" t="s">
        <v>1123</v>
      </c>
      <c r="J399" s="573" t="s">
        <v>1149</v>
      </c>
      <c r="K399" s="573" t="s">
        <v>752</v>
      </c>
      <c r="L399" s="573">
        <v>8</v>
      </c>
      <c r="M399" s="573">
        <v>0</v>
      </c>
      <c r="N399" s="573" t="s">
        <v>157</v>
      </c>
      <c r="O399" s="573">
        <v>3</v>
      </c>
      <c r="P399" s="573" t="s">
        <v>157</v>
      </c>
      <c r="Q399" s="571" t="s">
        <v>157</v>
      </c>
      <c r="R399" s="573" t="s">
        <v>316</v>
      </c>
      <c r="S399" s="573">
        <v>6</v>
      </c>
      <c r="T399" s="573" t="s">
        <v>1150</v>
      </c>
      <c r="U399" s="573" t="s">
        <v>366</v>
      </c>
      <c r="V399" s="573">
        <v>132</v>
      </c>
      <c r="W399" s="573">
        <v>28.3</v>
      </c>
      <c r="X399" s="571">
        <v>7550</v>
      </c>
      <c r="Y399" s="573">
        <v>18</v>
      </c>
      <c r="Z399" s="579" t="s">
        <v>178</v>
      </c>
      <c r="AA399" s="579" t="s">
        <v>178</v>
      </c>
      <c r="AB399" s="584">
        <v>80495</v>
      </c>
      <c r="AC399" s="584" t="s">
        <v>164</v>
      </c>
      <c r="AD399" s="584">
        <v>68889</v>
      </c>
      <c r="AE399" s="586">
        <v>0.03</v>
      </c>
      <c r="AF399" s="661" t="str">
        <f t="shared" si="45"/>
        <v>2019-SUV-FRD-EXPD-015-27</v>
      </c>
      <c r="AG399" s="661" t="str">
        <f>IF(AND($Y399&gt;=32,(AI399="I"),(Y399&lt;&gt;"~"),(COUNTIF($AN$1:$AN399,$AN399)=1)),"TRUE","FALSE")</f>
        <v>FALSE</v>
      </c>
      <c r="AH399" s="661" t="str">
        <f>IF(AND($Y399&gt;=22, (AI399&lt;&gt;"I"),(Y399&lt;&gt;"~"),(COUNTIF($AN$1:$AN399,$AN399)=1)),"TRUE","FALSE")</f>
        <v>FALSE</v>
      </c>
      <c r="AI399" s="661" t="str">
        <f t="shared" si="40"/>
        <v>II</v>
      </c>
      <c r="AJ399" s="662" t="str">
        <f t="shared" si="41"/>
        <v>EXPD-015</v>
      </c>
      <c r="AK399" s="662" t="str">
        <f t="shared" si="42"/>
        <v>SUV</v>
      </c>
      <c r="AL399" s="662" t="str">
        <f t="shared" si="43"/>
        <v>FRD</v>
      </c>
      <c r="AM399" s="662" t="str">
        <f t="shared" si="39"/>
        <v>Expedition-MAX Platinum-4WD-8-~-~-3.5L-6-K1M-600A-132-28.3-Unleaded-Unleaded</v>
      </c>
      <c r="AN399" s="662" t="str">
        <f t="shared" si="44"/>
        <v>2019-SUV-FRD-EXPD-015</v>
      </c>
    </row>
    <row r="400" spans="1:40" s="572" customFormat="1" ht="15">
      <c r="A400" s="570" t="s">
        <v>1154</v>
      </c>
      <c r="B400" s="569" t="s">
        <v>1155</v>
      </c>
      <c r="C400" s="569" t="s">
        <v>269</v>
      </c>
      <c r="D400" s="580" t="s">
        <v>270</v>
      </c>
      <c r="E400" s="569" t="s">
        <v>699</v>
      </c>
      <c r="F400" s="569" t="s">
        <v>187</v>
      </c>
      <c r="G400" s="569" t="s">
        <v>271</v>
      </c>
      <c r="H400" s="569">
        <v>2019</v>
      </c>
      <c r="I400" s="569" t="s">
        <v>1123</v>
      </c>
      <c r="J400" s="569" t="s">
        <v>1149</v>
      </c>
      <c r="K400" s="569" t="s">
        <v>236</v>
      </c>
      <c r="L400" s="569">
        <v>8</v>
      </c>
      <c r="M400" s="569">
        <v>0</v>
      </c>
      <c r="N400" s="569" t="s">
        <v>157</v>
      </c>
      <c r="O400" s="569">
        <v>3</v>
      </c>
      <c r="P400" s="569" t="s">
        <v>157</v>
      </c>
      <c r="Q400" s="568" t="s">
        <v>157</v>
      </c>
      <c r="R400" s="569" t="s">
        <v>316</v>
      </c>
      <c r="S400" s="569">
        <v>6</v>
      </c>
      <c r="T400" s="569" t="s">
        <v>1156</v>
      </c>
      <c r="U400" s="569" t="s">
        <v>366</v>
      </c>
      <c r="V400" s="569">
        <v>132</v>
      </c>
      <c r="W400" s="569">
        <v>28.3</v>
      </c>
      <c r="X400" s="568">
        <v>7300</v>
      </c>
      <c r="Y400" s="569">
        <v>19</v>
      </c>
      <c r="Z400" s="581" t="s">
        <v>178</v>
      </c>
      <c r="AA400" s="581" t="s">
        <v>178</v>
      </c>
      <c r="AB400" s="585">
        <v>77355</v>
      </c>
      <c r="AC400" s="585" t="s">
        <v>164</v>
      </c>
      <c r="AD400" s="585">
        <v>65999</v>
      </c>
      <c r="AE400" s="587">
        <v>0.03</v>
      </c>
      <c r="AF400" s="661" t="str">
        <f t="shared" si="45"/>
        <v>2019-SUV-FRD-EXPD-016-05</v>
      </c>
      <c r="AG400" s="661" t="str">
        <f>IF(AND($Y400&gt;=32,(AI400="I"),(Y400&lt;&gt;"~"),(COUNTIF($AN$1:$AN400,$AN400)=1)),"TRUE","FALSE")</f>
        <v>FALSE</v>
      </c>
      <c r="AH400" s="661" t="str">
        <f>IF(AND($Y400&gt;=22, (AI400&lt;&gt;"I"),(Y400&lt;&gt;"~"),(COUNTIF($AN$1:$AN400,$AN400)=1)),"TRUE","FALSE")</f>
        <v>FALSE</v>
      </c>
      <c r="AI400" s="661" t="str">
        <f t="shared" si="40"/>
        <v>II</v>
      </c>
      <c r="AJ400" s="662" t="str">
        <f t="shared" si="41"/>
        <v>EXPD-016</v>
      </c>
      <c r="AK400" s="662" t="str">
        <f t="shared" si="42"/>
        <v>SUV</v>
      </c>
      <c r="AL400" s="662" t="str">
        <f t="shared" si="43"/>
        <v>FRD</v>
      </c>
      <c r="AM400" s="662" t="str">
        <f t="shared" si="39"/>
        <v>Expedition-MAX Platinum-RWD-8-~-~-3.5L-6-K1L-600A-132-28.3-Unleaded-Unleaded</v>
      </c>
      <c r="AN400" s="662" t="str">
        <f t="shared" si="44"/>
        <v>2019-SUV-FRD-EXPD-016</v>
      </c>
    </row>
    <row r="401" spans="1:40" s="572" customFormat="1" ht="15">
      <c r="A401" s="570" t="s">
        <v>1157</v>
      </c>
      <c r="B401" s="573" t="s">
        <v>1155</v>
      </c>
      <c r="C401" s="573" t="s">
        <v>278</v>
      </c>
      <c r="D401" s="578">
        <v>15</v>
      </c>
      <c r="E401" s="573" t="s">
        <v>699</v>
      </c>
      <c r="F401" s="573" t="s">
        <v>187</v>
      </c>
      <c r="G401" s="573" t="s">
        <v>271</v>
      </c>
      <c r="H401" s="573">
        <v>2019</v>
      </c>
      <c r="I401" s="573" t="s">
        <v>1123</v>
      </c>
      <c r="J401" s="573" t="s">
        <v>1149</v>
      </c>
      <c r="K401" s="573" t="s">
        <v>236</v>
      </c>
      <c r="L401" s="573">
        <v>8</v>
      </c>
      <c r="M401" s="573">
        <v>0</v>
      </c>
      <c r="N401" s="573" t="s">
        <v>157</v>
      </c>
      <c r="O401" s="573">
        <v>3</v>
      </c>
      <c r="P401" s="573" t="s">
        <v>157</v>
      </c>
      <c r="Q401" s="571" t="s">
        <v>157</v>
      </c>
      <c r="R401" s="573" t="s">
        <v>316</v>
      </c>
      <c r="S401" s="573">
        <v>6</v>
      </c>
      <c r="T401" s="573" t="s">
        <v>1156</v>
      </c>
      <c r="U401" s="573" t="s">
        <v>366</v>
      </c>
      <c r="V401" s="573">
        <v>132</v>
      </c>
      <c r="W401" s="573">
        <v>28.3</v>
      </c>
      <c r="X401" s="571">
        <v>9300</v>
      </c>
      <c r="Y401" s="573">
        <v>20</v>
      </c>
      <c r="Z401" s="579" t="s">
        <v>178</v>
      </c>
      <c r="AA401" s="579" t="s">
        <v>178</v>
      </c>
      <c r="AB401" s="584">
        <v>77355</v>
      </c>
      <c r="AC401" s="584" t="s">
        <v>164</v>
      </c>
      <c r="AD401" s="584">
        <v>67500</v>
      </c>
      <c r="AE401" s="586">
        <v>0.01</v>
      </c>
      <c r="AF401" s="661" t="str">
        <f t="shared" si="45"/>
        <v>2019-SUV-FRD-EXPD-016-15</v>
      </c>
      <c r="AG401" s="661" t="str">
        <f>IF(AND($Y401&gt;=32,(AI401="I"),(Y401&lt;&gt;"~"),(COUNTIF($AN$1:$AN401,$AN401)=1)),"TRUE","FALSE")</f>
        <v>FALSE</v>
      </c>
      <c r="AH401" s="661" t="str">
        <f>IF(AND($Y401&gt;=22, (AI401&lt;&gt;"I"),(Y401&lt;&gt;"~"),(COUNTIF($AN$1:$AN401,$AN401)=1)),"TRUE","FALSE")</f>
        <v>FALSE</v>
      </c>
      <c r="AI401" s="661" t="str">
        <f t="shared" si="40"/>
        <v>II</v>
      </c>
      <c r="AJ401" s="662" t="str">
        <f t="shared" si="41"/>
        <v>EXPD-016</v>
      </c>
      <c r="AK401" s="662" t="str">
        <f t="shared" si="42"/>
        <v>SUV</v>
      </c>
      <c r="AL401" s="662" t="str">
        <f t="shared" si="43"/>
        <v>FRD</v>
      </c>
      <c r="AM401" s="662" t="str">
        <f t="shared" si="39"/>
        <v>Expedition-MAX Platinum-RWD-8-~-~-3.5L-6-K1L-600A-132-28.3-Unleaded-Unleaded</v>
      </c>
      <c r="AN401" s="662" t="str">
        <f t="shared" si="44"/>
        <v>2019-SUV-FRD-EXPD-016</v>
      </c>
    </row>
    <row r="402" spans="1:40" s="572" customFormat="1" ht="15">
      <c r="A402" s="570" t="s">
        <v>1158</v>
      </c>
      <c r="B402" s="569" t="s">
        <v>1155</v>
      </c>
      <c r="C402" s="569" t="s">
        <v>287</v>
      </c>
      <c r="D402" s="580">
        <v>26</v>
      </c>
      <c r="E402" s="569" t="s">
        <v>699</v>
      </c>
      <c r="F402" s="569" t="s">
        <v>187</v>
      </c>
      <c r="G402" s="569" t="s">
        <v>271</v>
      </c>
      <c r="H402" s="569">
        <v>2019</v>
      </c>
      <c r="I402" s="569" t="s">
        <v>1123</v>
      </c>
      <c r="J402" s="569" t="s">
        <v>1149</v>
      </c>
      <c r="K402" s="569" t="s">
        <v>236</v>
      </c>
      <c r="L402" s="569">
        <v>8</v>
      </c>
      <c r="M402" s="569">
        <v>0</v>
      </c>
      <c r="N402" s="569" t="s">
        <v>157</v>
      </c>
      <c r="O402" s="569">
        <v>3</v>
      </c>
      <c r="P402" s="569" t="s">
        <v>157</v>
      </c>
      <c r="Q402" s="568" t="s">
        <v>157</v>
      </c>
      <c r="R402" s="569" t="s">
        <v>316</v>
      </c>
      <c r="S402" s="569">
        <v>6</v>
      </c>
      <c r="T402" s="569" t="s">
        <v>1156</v>
      </c>
      <c r="U402" s="569" t="s">
        <v>366</v>
      </c>
      <c r="V402" s="569">
        <v>132</v>
      </c>
      <c r="W402" s="569">
        <v>28.3</v>
      </c>
      <c r="X402" s="568">
        <v>7550</v>
      </c>
      <c r="Y402" s="569">
        <v>20</v>
      </c>
      <c r="Z402" s="581" t="s">
        <v>178</v>
      </c>
      <c r="AA402" s="581" t="s">
        <v>178</v>
      </c>
      <c r="AB402" s="585">
        <v>77255</v>
      </c>
      <c r="AC402" s="585" t="s">
        <v>164</v>
      </c>
      <c r="AD402" s="585">
        <v>68278</v>
      </c>
      <c r="AE402" s="587">
        <v>0.05</v>
      </c>
      <c r="AF402" s="661" t="str">
        <f t="shared" si="45"/>
        <v>2019-SUV-FRD-EXPD-016-26</v>
      </c>
      <c r="AG402" s="661" t="str">
        <f>IF(AND($Y402&gt;=32,(AI402="I"),(Y402&lt;&gt;"~"),(COUNTIF($AN$1:$AN402,$AN402)=1)),"TRUE","FALSE")</f>
        <v>FALSE</v>
      </c>
      <c r="AH402" s="661" t="str">
        <f>IF(AND($Y402&gt;=22, (AI402&lt;&gt;"I"),(Y402&lt;&gt;"~"),(COUNTIF($AN$1:$AN402,$AN402)=1)),"TRUE","FALSE")</f>
        <v>FALSE</v>
      </c>
      <c r="AI402" s="661" t="str">
        <f t="shared" si="40"/>
        <v>II</v>
      </c>
      <c r="AJ402" s="662" t="str">
        <f t="shared" si="41"/>
        <v>EXPD-016</v>
      </c>
      <c r="AK402" s="662" t="str">
        <f t="shared" si="42"/>
        <v>SUV</v>
      </c>
      <c r="AL402" s="662" t="str">
        <f t="shared" si="43"/>
        <v>FRD</v>
      </c>
      <c r="AM402" s="662" t="str">
        <f t="shared" si="39"/>
        <v>Expedition-MAX Platinum-RWD-8-~-~-3.5L-6-K1L-600A-132-28.3-Unleaded-Unleaded</v>
      </c>
      <c r="AN402" s="662" t="str">
        <f t="shared" si="44"/>
        <v>2019-SUV-FRD-EXPD-016</v>
      </c>
    </row>
    <row r="403" spans="1:40" s="572" customFormat="1" ht="15">
      <c r="A403" s="570" t="s">
        <v>1159</v>
      </c>
      <c r="B403" s="573" t="s">
        <v>1155</v>
      </c>
      <c r="C403" s="573" t="s">
        <v>280</v>
      </c>
      <c r="D403" s="578">
        <v>27</v>
      </c>
      <c r="E403" s="573" t="s">
        <v>699</v>
      </c>
      <c r="F403" s="573" t="s">
        <v>187</v>
      </c>
      <c r="G403" s="573" t="s">
        <v>271</v>
      </c>
      <c r="H403" s="573">
        <v>2019</v>
      </c>
      <c r="I403" s="573" t="s">
        <v>1123</v>
      </c>
      <c r="J403" s="573" t="s">
        <v>1149</v>
      </c>
      <c r="K403" s="573" t="s">
        <v>236</v>
      </c>
      <c r="L403" s="573">
        <v>8</v>
      </c>
      <c r="M403" s="573">
        <v>0</v>
      </c>
      <c r="N403" s="573" t="s">
        <v>157</v>
      </c>
      <c r="O403" s="573">
        <v>3</v>
      </c>
      <c r="P403" s="573" t="s">
        <v>157</v>
      </c>
      <c r="Q403" s="571" t="s">
        <v>157</v>
      </c>
      <c r="R403" s="573" t="s">
        <v>316</v>
      </c>
      <c r="S403" s="573">
        <v>6</v>
      </c>
      <c r="T403" s="573" t="s">
        <v>1156</v>
      </c>
      <c r="U403" s="573" t="s">
        <v>366</v>
      </c>
      <c r="V403" s="573">
        <v>132</v>
      </c>
      <c r="W403" s="573">
        <v>28.3</v>
      </c>
      <c r="X403" s="571">
        <v>7300</v>
      </c>
      <c r="Y403" s="573">
        <v>19</v>
      </c>
      <c r="Z403" s="579" t="s">
        <v>178</v>
      </c>
      <c r="AA403" s="579" t="s">
        <v>178</v>
      </c>
      <c r="AB403" s="584">
        <v>77355</v>
      </c>
      <c r="AC403" s="584" t="s">
        <v>164</v>
      </c>
      <c r="AD403" s="584">
        <v>65999</v>
      </c>
      <c r="AE403" s="586">
        <v>0.03</v>
      </c>
      <c r="AF403" s="661" t="str">
        <f t="shared" si="45"/>
        <v>2019-SUV-FRD-EXPD-016-27</v>
      </c>
      <c r="AG403" s="661" t="str">
        <f>IF(AND($Y403&gt;=32,(AI403="I"),(Y403&lt;&gt;"~"),(COUNTIF($AN$1:$AN403,$AN403)=1)),"TRUE","FALSE")</f>
        <v>FALSE</v>
      </c>
      <c r="AH403" s="661" t="str">
        <f>IF(AND($Y403&gt;=22, (AI403&lt;&gt;"I"),(Y403&lt;&gt;"~"),(COUNTIF($AN$1:$AN403,$AN403)=1)),"TRUE","FALSE")</f>
        <v>FALSE</v>
      </c>
      <c r="AI403" s="661" t="str">
        <f t="shared" si="40"/>
        <v>II</v>
      </c>
      <c r="AJ403" s="662" t="str">
        <f t="shared" si="41"/>
        <v>EXPD-016</v>
      </c>
      <c r="AK403" s="662" t="str">
        <f t="shared" si="42"/>
        <v>SUV</v>
      </c>
      <c r="AL403" s="662" t="str">
        <f t="shared" si="43"/>
        <v>FRD</v>
      </c>
      <c r="AM403" s="662" t="str">
        <f t="shared" si="39"/>
        <v>Expedition-MAX Platinum-RWD-8-~-~-3.5L-6-K1L-600A-132-28.3-Unleaded-Unleaded</v>
      </c>
      <c r="AN403" s="662" t="str">
        <f t="shared" si="44"/>
        <v>2019-SUV-FRD-EXPD-016</v>
      </c>
    </row>
    <row r="404" spans="1:40" s="572" customFormat="1" ht="15">
      <c r="A404" s="570" t="s">
        <v>1160</v>
      </c>
      <c r="B404" s="569" t="s">
        <v>1161</v>
      </c>
      <c r="C404" s="569" t="s">
        <v>269</v>
      </c>
      <c r="D404" s="580" t="s">
        <v>270</v>
      </c>
      <c r="E404" s="569" t="s">
        <v>699</v>
      </c>
      <c r="F404" s="569" t="s">
        <v>187</v>
      </c>
      <c r="G404" s="569" t="s">
        <v>271</v>
      </c>
      <c r="H404" s="569">
        <v>2019</v>
      </c>
      <c r="I404" s="569" t="s">
        <v>1123</v>
      </c>
      <c r="J404" s="569" t="s">
        <v>1162</v>
      </c>
      <c r="K404" s="569" t="s">
        <v>752</v>
      </c>
      <c r="L404" s="569">
        <v>5</v>
      </c>
      <c r="M404" s="569">
        <v>0</v>
      </c>
      <c r="N404" s="569" t="s">
        <v>157</v>
      </c>
      <c r="O404" s="569">
        <v>2</v>
      </c>
      <c r="P404" s="569" t="s">
        <v>157</v>
      </c>
      <c r="Q404" s="568" t="s">
        <v>157</v>
      </c>
      <c r="R404" s="569" t="s">
        <v>316</v>
      </c>
      <c r="S404" s="569">
        <v>6</v>
      </c>
      <c r="T404" s="569" t="s">
        <v>1163</v>
      </c>
      <c r="U404" s="569" t="s">
        <v>276</v>
      </c>
      <c r="V404" s="569">
        <v>132</v>
      </c>
      <c r="W404" s="569">
        <v>28.3</v>
      </c>
      <c r="X404" s="568">
        <v>7550</v>
      </c>
      <c r="Y404" s="569">
        <v>18</v>
      </c>
      <c r="Z404" s="581" t="s">
        <v>178</v>
      </c>
      <c r="AA404" s="581" t="s">
        <v>178</v>
      </c>
      <c r="AB404" s="585">
        <v>56530</v>
      </c>
      <c r="AC404" s="585" t="s">
        <v>164</v>
      </c>
      <c r="AD404" s="585">
        <v>43473.291666666672</v>
      </c>
      <c r="AE404" s="587">
        <v>0.03</v>
      </c>
      <c r="AF404" s="661" t="str">
        <f t="shared" si="45"/>
        <v>2019-SUV-FRD-EXPD-009-05</v>
      </c>
      <c r="AG404" s="661" t="str">
        <f>IF(AND($Y404&gt;=32,(AI404="I"),(Y404&lt;&gt;"~"),(COUNTIF($AN$1:$AN404,$AN404)=1)),"TRUE","FALSE")</f>
        <v>FALSE</v>
      </c>
      <c r="AH404" s="661" t="str">
        <f>IF(AND($Y404&gt;=22, (AI404&lt;&gt;"I"),(Y404&lt;&gt;"~"),(COUNTIF($AN$1:$AN404,$AN404)=1)),"TRUE","FALSE")</f>
        <v>FALSE</v>
      </c>
      <c r="AI404" s="661" t="str">
        <f t="shared" si="40"/>
        <v>II</v>
      </c>
      <c r="AJ404" s="662" t="str">
        <f t="shared" si="41"/>
        <v>EXPD-009</v>
      </c>
      <c r="AK404" s="662" t="str">
        <f t="shared" si="42"/>
        <v>SUV</v>
      </c>
      <c r="AL404" s="662" t="str">
        <f t="shared" si="43"/>
        <v>FRD</v>
      </c>
      <c r="AM404" s="662" t="str">
        <f t="shared" si="39"/>
        <v>Expedition-MAX XL-4WD-5-~-~-3.5L-6-K1G-100A-132-28.3-Unleaded-Unleaded</v>
      </c>
      <c r="AN404" s="662" t="str">
        <f t="shared" si="44"/>
        <v>2019-SUV-FRD-EXPD-009</v>
      </c>
    </row>
    <row r="405" spans="1:40" s="572" customFormat="1" ht="15">
      <c r="A405" s="570" t="s">
        <v>1164</v>
      </c>
      <c r="B405" s="573" t="s">
        <v>1161</v>
      </c>
      <c r="C405" s="573" t="s">
        <v>278</v>
      </c>
      <c r="D405" s="578">
        <v>15</v>
      </c>
      <c r="E405" s="573" t="s">
        <v>699</v>
      </c>
      <c r="F405" s="573" t="s">
        <v>187</v>
      </c>
      <c r="G405" s="573" t="s">
        <v>271</v>
      </c>
      <c r="H405" s="573">
        <v>2019</v>
      </c>
      <c r="I405" s="573" t="s">
        <v>1123</v>
      </c>
      <c r="J405" s="573" t="s">
        <v>1162</v>
      </c>
      <c r="K405" s="573" t="s">
        <v>752</v>
      </c>
      <c r="L405" s="573">
        <v>5</v>
      </c>
      <c r="M405" s="573">
        <v>0</v>
      </c>
      <c r="N405" s="573" t="s">
        <v>157</v>
      </c>
      <c r="O405" s="573">
        <v>2</v>
      </c>
      <c r="P405" s="573" t="s">
        <v>157</v>
      </c>
      <c r="Q405" s="571" t="s">
        <v>157</v>
      </c>
      <c r="R405" s="573" t="s">
        <v>316</v>
      </c>
      <c r="S405" s="573">
        <v>6</v>
      </c>
      <c r="T405" s="573" t="s">
        <v>1163</v>
      </c>
      <c r="U405" s="573" t="s">
        <v>276</v>
      </c>
      <c r="V405" s="573">
        <v>132</v>
      </c>
      <c r="W405" s="573">
        <v>28.3</v>
      </c>
      <c r="X405" s="571">
        <v>9300</v>
      </c>
      <c r="Y405" s="573">
        <v>19</v>
      </c>
      <c r="Z405" s="579" t="s">
        <v>178</v>
      </c>
      <c r="AA405" s="579" t="s">
        <v>178</v>
      </c>
      <c r="AB405" s="584">
        <v>56530</v>
      </c>
      <c r="AC405" s="584" t="s">
        <v>164</v>
      </c>
      <c r="AD405" s="584">
        <v>44200</v>
      </c>
      <c r="AE405" s="586">
        <v>0.01</v>
      </c>
      <c r="AF405" s="661" t="str">
        <f t="shared" si="45"/>
        <v>2019-SUV-FRD-EXPD-009-15</v>
      </c>
      <c r="AG405" s="661" t="str">
        <f>IF(AND($Y405&gt;=32,(AI405="I"),(Y405&lt;&gt;"~"),(COUNTIF($AN$1:$AN405,$AN405)=1)),"TRUE","FALSE")</f>
        <v>FALSE</v>
      </c>
      <c r="AH405" s="661" t="str">
        <f>IF(AND($Y405&gt;=22, (AI405&lt;&gt;"I"),(Y405&lt;&gt;"~"),(COUNTIF($AN$1:$AN405,$AN405)=1)),"TRUE","FALSE")</f>
        <v>FALSE</v>
      </c>
      <c r="AI405" s="661" t="str">
        <f t="shared" si="40"/>
        <v>II</v>
      </c>
      <c r="AJ405" s="662" t="str">
        <f t="shared" si="41"/>
        <v>EXPD-009</v>
      </c>
      <c r="AK405" s="662" t="str">
        <f t="shared" si="42"/>
        <v>SUV</v>
      </c>
      <c r="AL405" s="662" t="str">
        <f t="shared" si="43"/>
        <v>FRD</v>
      </c>
      <c r="AM405" s="662" t="str">
        <f t="shared" si="39"/>
        <v>Expedition-MAX XL-4WD-5-~-~-3.5L-6-K1G-100A-132-28.3-Unleaded-Unleaded</v>
      </c>
      <c r="AN405" s="662" t="str">
        <f t="shared" si="44"/>
        <v>2019-SUV-FRD-EXPD-009</v>
      </c>
    </row>
    <row r="406" spans="1:40" s="572" customFormat="1" ht="15">
      <c r="A406" s="570" t="s">
        <v>1165</v>
      </c>
      <c r="B406" s="569" t="s">
        <v>1161</v>
      </c>
      <c r="C406" s="569" t="s">
        <v>287</v>
      </c>
      <c r="D406" s="580">
        <v>26</v>
      </c>
      <c r="E406" s="569" t="s">
        <v>699</v>
      </c>
      <c r="F406" s="569" t="s">
        <v>187</v>
      </c>
      <c r="G406" s="569" t="s">
        <v>271</v>
      </c>
      <c r="H406" s="569">
        <v>2019</v>
      </c>
      <c r="I406" s="569" t="s">
        <v>1123</v>
      </c>
      <c r="J406" s="569" t="s">
        <v>1162</v>
      </c>
      <c r="K406" s="569" t="s">
        <v>752</v>
      </c>
      <c r="L406" s="569">
        <v>5</v>
      </c>
      <c r="M406" s="569">
        <v>0</v>
      </c>
      <c r="N406" s="569" t="s">
        <v>157</v>
      </c>
      <c r="O406" s="569">
        <v>2</v>
      </c>
      <c r="P406" s="569" t="s">
        <v>157</v>
      </c>
      <c r="Q406" s="568" t="s">
        <v>157</v>
      </c>
      <c r="R406" s="569" t="s">
        <v>316</v>
      </c>
      <c r="S406" s="569">
        <v>6</v>
      </c>
      <c r="T406" s="569" t="s">
        <v>1163</v>
      </c>
      <c r="U406" s="569" t="s">
        <v>276</v>
      </c>
      <c r="V406" s="569">
        <v>132</v>
      </c>
      <c r="W406" s="569">
        <v>28.3</v>
      </c>
      <c r="X406" s="568">
        <v>7550</v>
      </c>
      <c r="Y406" s="569">
        <v>19</v>
      </c>
      <c r="Z406" s="581" t="s">
        <v>178</v>
      </c>
      <c r="AA406" s="581" t="s">
        <v>178</v>
      </c>
      <c r="AB406" s="585">
        <v>56430</v>
      </c>
      <c r="AC406" s="585" t="s">
        <v>164</v>
      </c>
      <c r="AD406" s="585">
        <v>44785</v>
      </c>
      <c r="AE406" s="587">
        <v>0.05</v>
      </c>
      <c r="AF406" s="661" t="str">
        <f t="shared" si="45"/>
        <v>2019-SUV-FRD-EXPD-009-26</v>
      </c>
      <c r="AG406" s="661" t="str">
        <f>IF(AND($Y406&gt;=32,(AI406="I"),(Y406&lt;&gt;"~"),(COUNTIF($AN$1:$AN406,$AN406)=1)),"TRUE","FALSE")</f>
        <v>FALSE</v>
      </c>
      <c r="AH406" s="661" t="str">
        <f>IF(AND($Y406&gt;=22, (AI406&lt;&gt;"I"),(Y406&lt;&gt;"~"),(COUNTIF($AN$1:$AN406,$AN406)=1)),"TRUE","FALSE")</f>
        <v>FALSE</v>
      </c>
      <c r="AI406" s="661" t="str">
        <f t="shared" si="40"/>
        <v>II</v>
      </c>
      <c r="AJ406" s="662" t="str">
        <f t="shared" si="41"/>
        <v>EXPD-009</v>
      </c>
      <c r="AK406" s="662" t="str">
        <f t="shared" si="42"/>
        <v>SUV</v>
      </c>
      <c r="AL406" s="662" t="str">
        <f t="shared" si="43"/>
        <v>FRD</v>
      </c>
      <c r="AM406" s="662" t="str">
        <f t="shared" si="39"/>
        <v>Expedition-MAX XL-4WD-5-~-~-3.5L-6-K1G-100A-132-28.3-Unleaded-Unleaded</v>
      </c>
      <c r="AN406" s="662" t="str">
        <f t="shared" si="44"/>
        <v>2019-SUV-FRD-EXPD-009</v>
      </c>
    </row>
    <row r="407" spans="1:40" s="572" customFormat="1" ht="15">
      <c r="A407" s="570" t="s">
        <v>1166</v>
      </c>
      <c r="B407" s="573" t="s">
        <v>1161</v>
      </c>
      <c r="C407" s="573" t="s">
        <v>280</v>
      </c>
      <c r="D407" s="578">
        <v>27</v>
      </c>
      <c r="E407" s="573" t="s">
        <v>699</v>
      </c>
      <c r="F407" s="573" t="s">
        <v>187</v>
      </c>
      <c r="G407" s="573" t="s">
        <v>271</v>
      </c>
      <c r="H407" s="573">
        <v>2019</v>
      </c>
      <c r="I407" s="573" t="s">
        <v>1123</v>
      </c>
      <c r="J407" s="573" t="s">
        <v>1162</v>
      </c>
      <c r="K407" s="573" t="s">
        <v>752</v>
      </c>
      <c r="L407" s="573">
        <v>5</v>
      </c>
      <c r="M407" s="573">
        <v>0</v>
      </c>
      <c r="N407" s="573" t="s">
        <v>157</v>
      </c>
      <c r="O407" s="573">
        <v>2</v>
      </c>
      <c r="P407" s="573" t="s">
        <v>157</v>
      </c>
      <c r="Q407" s="571" t="s">
        <v>157</v>
      </c>
      <c r="R407" s="573" t="s">
        <v>316</v>
      </c>
      <c r="S407" s="573">
        <v>6</v>
      </c>
      <c r="T407" s="573" t="s">
        <v>1163</v>
      </c>
      <c r="U407" s="573" t="s">
        <v>276</v>
      </c>
      <c r="V407" s="573">
        <v>132</v>
      </c>
      <c r="W407" s="573">
        <v>28.3</v>
      </c>
      <c r="X407" s="571">
        <v>7550</v>
      </c>
      <c r="Y407" s="573">
        <v>18</v>
      </c>
      <c r="Z407" s="579" t="s">
        <v>178</v>
      </c>
      <c r="AA407" s="579" t="s">
        <v>178</v>
      </c>
      <c r="AB407" s="584">
        <v>56530</v>
      </c>
      <c r="AC407" s="584" t="s">
        <v>164</v>
      </c>
      <c r="AD407" s="584">
        <v>43473.291666666672</v>
      </c>
      <c r="AE407" s="586">
        <v>0.03</v>
      </c>
      <c r="AF407" s="661" t="str">
        <f t="shared" si="45"/>
        <v>2019-SUV-FRD-EXPD-009-27</v>
      </c>
      <c r="AG407" s="661" t="str">
        <f>IF(AND($Y407&gt;=32,(AI407="I"),(Y407&lt;&gt;"~"),(COUNTIF($AN$1:$AN407,$AN407)=1)),"TRUE","FALSE")</f>
        <v>FALSE</v>
      </c>
      <c r="AH407" s="661" t="str">
        <f>IF(AND($Y407&gt;=22, (AI407&lt;&gt;"I"),(Y407&lt;&gt;"~"),(COUNTIF($AN$1:$AN407,$AN407)=1)),"TRUE","FALSE")</f>
        <v>FALSE</v>
      </c>
      <c r="AI407" s="661" t="str">
        <f t="shared" si="40"/>
        <v>II</v>
      </c>
      <c r="AJ407" s="662" t="str">
        <f t="shared" si="41"/>
        <v>EXPD-009</v>
      </c>
      <c r="AK407" s="662" t="str">
        <f t="shared" si="42"/>
        <v>SUV</v>
      </c>
      <c r="AL407" s="662" t="str">
        <f t="shared" si="43"/>
        <v>FRD</v>
      </c>
      <c r="AM407" s="662" t="str">
        <f t="shared" si="39"/>
        <v>Expedition-MAX XL-4WD-5-~-~-3.5L-6-K1G-100A-132-28.3-Unleaded-Unleaded</v>
      </c>
      <c r="AN407" s="662" t="str">
        <f t="shared" si="44"/>
        <v>2019-SUV-FRD-EXPD-009</v>
      </c>
    </row>
    <row r="408" spans="1:40" s="572" customFormat="1" ht="15">
      <c r="A408" s="570" t="s">
        <v>1167</v>
      </c>
      <c r="B408" s="569" t="s">
        <v>1168</v>
      </c>
      <c r="C408" s="569" t="s">
        <v>269</v>
      </c>
      <c r="D408" s="580" t="s">
        <v>270</v>
      </c>
      <c r="E408" s="569" t="s">
        <v>699</v>
      </c>
      <c r="F408" s="569" t="s">
        <v>187</v>
      </c>
      <c r="G408" s="569" t="s">
        <v>271</v>
      </c>
      <c r="H408" s="569">
        <v>2019</v>
      </c>
      <c r="I408" s="569" t="s">
        <v>1123</v>
      </c>
      <c r="J408" s="569" t="s">
        <v>1162</v>
      </c>
      <c r="K408" s="569" t="s">
        <v>236</v>
      </c>
      <c r="L408" s="569">
        <v>5</v>
      </c>
      <c r="M408" s="569">
        <v>0</v>
      </c>
      <c r="N408" s="569" t="s">
        <v>157</v>
      </c>
      <c r="O408" s="569">
        <v>2</v>
      </c>
      <c r="P408" s="569" t="s">
        <v>157</v>
      </c>
      <c r="Q408" s="568" t="s">
        <v>157</v>
      </c>
      <c r="R408" s="569" t="s">
        <v>316</v>
      </c>
      <c r="S408" s="569">
        <v>6</v>
      </c>
      <c r="T408" s="569" t="s">
        <v>1169</v>
      </c>
      <c r="U408" s="569" t="s">
        <v>276</v>
      </c>
      <c r="V408" s="569">
        <v>132</v>
      </c>
      <c r="W408" s="569">
        <v>28.3</v>
      </c>
      <c r="X408" s="568">
        <v>7300</v>
      </c>
      <c r="Y408" s="569">
        <v>20</v>
      </c>
      <c r="Z408" s="581" t="s">
        <v>178</v>
      </c>
      <c r="AA408" s="581" t="s">
        <v>178</v>
      </c>
      <c r="AB408" s="585">
        <v>53520</v>
      </c>
      <c r="AC408" s="585" t="s">
        <v>164</v>
      </c>
      <c r="AD408" s="585">
        <v>40690.291666666672</v>
      </c>
      <c r="AE408" s="587">
        <v>0.03</v>
      </c>
      <c r="AF408" s="661" t="str">
        <f t="shared" si="45"/>
        <v>2019-SUV-FRD-EXPD-010-05</v>
      </c>
      <c r="AG408" s="661" t="str">
        <f>IF(AND($Y408&gt;=32,(AI408="I"),(Y408&lt;&gt;"~"),(COUNTIF($AN$1:$AN408,$AN408)=1)),"TRUE","FALSE")</f>
        <v>FALSE</v>
      </c>
      <c r="AH408" s="661" t="str">
        <f>IF(AND($Y408&gt;=22, (AI408&lt;&gt;"I"),(Y408&lt;&gt;"~"),(COUNTIF($AN$1:$AN408,$AN408)=1)),"TRUE","FALSE")</f>
        <v>FALSE</v>
      </c>
      <c r="AI408" s="661" t="str">
        <f t="shared" si="40"/>
        <v>II</v>
      </c>
      <c r="AJ408" s="662" t="str">
        <f t="shared" si="41"/>
        <v>EXPD-010</v>
      </c>
      <c r="AK408" s="662" t="str">
        <f t="shared" si="42"/>
        <v>SUV</v>
      </c>
      <c r="AL408" s="662" t="str">
        <f t="shared" si="43"/>
        <v>FRD</v>
      </c>
      <c r="AM408" s="662" t="str">
        <f t="shared" si="39"/>
        <v>Expedition-MAX XL-RWD-5-~-~-3.5L-6-K1F-100A-132-28.3-Unleaded-Unleaded</v>
      </c>
      <c r="AN408" s="662" t="str">
        <f t="shared" si="44"/>
        <v>2019-SUV-FRD-EXPD-010</v>
      </c>
    </row>
    <row r="409" spans="1:40" s="572" customFormat="1" ht="15">
      <c r="A409" s="570" t="s">
        <v>1170</v>
      </c>
      <c r="B409" s="573" t="s">
        <v>1168</v>
      </c>
      <c r="C409" s="573" t="s">
        <v>278</v>
      </c>
      <c r="D409" s="578">
        <v>15</v>
      </c>
      <c r="E409" s="573" t="s">
        <v>699</v>
      </c>
      <c r="F409" s="573" t="s">
        <v>187</v>
      </c>
      <c r="G409" s="573" t="s">
        <v>271</v>
      </c>
      <c r="H409" s="573">
        <v>2019</v>
      </c>
      <c r="I409" s="573" t="s">
        <v>1123</v>
      </c>
      <c r="J409" s="573" t="s">
        <v>1162</v>
      </c>
      <c r="K409" s="573" t="s">
        <v>236</v>
      </c>
      <c r="L409" s="573">
        <v>5</v>
      </c>
      <c r="M409" s="573">
        <v>0</v>
      </c>
      <c r="N409" s="573" t="s">
        <v>157</v>
      </c>
      <c r="O409" s="573">
        <v>2</v>
      </c>
      <c r="P409" s="573" t="s">
        <v>157</v>
      </c>
      <c r="Q409" s="571" t="s">
        <v>157</v>
      </c>
      <c r="R409" s="573" t="s">
        <v>316</v>
      </c>
      <c r="S409" s="573">
        <v>6</v>
      </c>
      <c r="T409" s="573" t="s">
        <v>1169</v>
      </c>
      <c r="U409" s="573" t="s">
        <v>276</v>
      </c>
      <c r="V409" s="573">
        <v>132</v>
      </c>
      <c r="W409" s="573">
        <v>28.3</v>
      </c>
      <c r="X409" s="571">
        <v>9300</v>
      </c>
      <c r="Y409" s="573">
        <v>20</v>
      </c>
      <c r="Z409" s="579" t="s">
        <v>178</v>
      </c>
      <c r="AA409" s="579" t="s">
        <v>178</v>
      </c>
      <c r="AB409" s="584">
        <v>53520</v>
      </c>
      <c r="AC409" s="584" t="s">
        <v>164</v>
      </c>
      <c r="AD409" s="584">
        <v>41350</v>
      </c>
      <c r="AE409" s="586">
        <v>0.01</v>
      </c>
      <c r="AF409" s="661" t="str">
        <f t="shared" si="45"/>
        <v>2019-SUV-FRD-EXPD-010-15</v>
      </c>
      <c r="AG409" s="661" t="str">
        <f>IF(AND($Y409&gt;=32,(AI409="I"),(Y409&lt;&gt;"~"),(COUNTIF($AN$1:$AN409,$AN409)=1)),"TRUE","FALSE")</f>
        <v>FALSE</v>
      </c>
      <c r="AH409" s="661" t="str">
        <f>IF(AND($Y409&gt;=22, (AI409&lt;&gt;"I"),(Y409&lt;&gt;"~"),(COUNTIF($AN$1:$AN409,$AN409)=1)),"TRUE","FALSE")</f>
        <v>FALSE</v>
      </c>
      <c r="AI409" s="661" t="str">
        <f t="shared" si="40"/>
        <v>II</v>
      </c>
      <c r="AJ409" s="662" t="str">
        <f t="shared" si="41"/>
        <v>EXPD-010</v>
      </c>
      <c r="AK409" s="662" t="str">
        <f t="shared" si="42"/>
        <v>SUV</v>
      </c>
      <c r="AL409" s="662" t="str">
        <f t="shared" si="43"/>
        <v>FRD</v>
      </c>
      <c r="AM409" s="662" t="str">
        <f t="shared" si="39"/>
        <v>Expedition-MAX XL-RWD-5-~-~-3.5L-6-K1F-100A-132-28.3-Unleaded-Unleaded</v>
      </c>
      <c r="AN409" s="662" t="str">
        <f t="shared" si="44"/>
        <v>2019-SUV-FRD-EXPD-010</v>
      </c>
    </row>
    <row r="410" spans="1:40" s="572" customFormat="1" ht="15">
      <c r="A410" s="570" t="s">
        <v>1171</v>
      </c>
      <c r="B410" s="569" t="s">
        <v>1168</v>
      </c>
      <c r="C410" s="569" t="s">
        <v>287</v>
      </c>
      <c r="D410" s="580">
        <v>26</v>
      </c>
      <c r="E410" s="569" t="s">
        <v>699</v>
      </c>
      <c r="F410" s="569" t="s">
        <v>187</v>
      </c>
      <c r="G410" s="569" t="s">
        <v>271</v>
      </c>
      <c r="H410" s="569">
        <v>2019</v>
      </c>
      <c r="I410" s="569" t="s">
        <v>1123</v>
      </c>
      <c r="J410" s="569" t="s">
        <v>1162</v>
      </c>
      <c r="K410" s="569" t="s">
        <v>236</v>
      </c>
      <c r="L410" s="569">
        <v>5</v>
      </c>
      <c r="M410" s="569">
        <v>0</v>
      </c>
      <c r="N410" s="569" t="s">
        <v>157</v>
      </c>
      <c r="O410" s="569">
        <v>2</v>
      </c>
      <c r="P410" s="569" t="s">
        <v>157</v>
      </c>
      <c r="Q410" s="568" t="s">
        <v>157</v>
      </c>
      <c r="R410" s="569" t="s">
        <v>316</v>
      </c>
      <c r="S410" s="569">
        <v>6</v>
      </c>
      <c r="T410" s="569" t="s">
        <v>1169</v>
      </c>
      <c r="U410" s="569" t="s">
        <v>276</v>
      </c>
      <c r="V410" s="569">
        <v>132</v>
      </c>
      <c r="W410" s="569">
        <v>28.3</v>
      </c>
      <c r="X410" s="568">
        <v>7550</v>
      </c>
      <c r="Y410" s="569">
        <v>20</v>
      </c>
      <c r="Z410" s="581" t="s">
        <v>178</v>
      </c>
      <c r="AA410" s="581" t="s">
        <v>178</v>
      </c>
      <c r="AB410" s="585">
        <v>53420</v>
      </c>
      <c r="AC410" s="585" t="s">
        <v>164</v>
      </c>
      <c r="AD410" s="585">
        <v>41917</v>
      </c>
      <c r="AE410" s="587">
        <v>0.05</v>
      </c>
      <c r="AF410" s="661" t="str">
        <f t="shared" si="45"/>
        <v>2019-SUV-FRD-EXPD-010-26</v>
      </c>
      <c r="AG410" s="661" t="str">
        <f>IF(AND($Y410&gt;=32,(AI410="I"),(Y410&lt;&gt;"~"),(COUNTIF($AN$1:$AN410,$AN410)=1)),"TRUE","FALSE")</f>
        <v>FALSE</v>
      </c>
      <c r="AH410" s="661" t="str">
        <f>IF(AND($Y410&gt;=22, (AI410&lt;&gt;"I"),(Y410&lt;&gt;"~"),(COUNTIF($AN$1:$AN410,$AN410)=1)),"TRUE","FALSE")</f>
        <v>FALSE</v>
      </c>
      <c r="AI410" s="661" t="str">
        <f t="shared" si="40"/>
        <v>II</v>
      </c>
      <c r="AJ410" s="662" t="str">
        <f t="shared" si="41"/>
        <v>EXPD-010</v>
      </c>
      <c r="AK410" s="662" t="str">
        <f t="shared" si="42"/>
        <v>SUV</v>
      </c>
      <c r="AL410" s="662" t="str">
        <f t="shared" si="43"/>
        <v>FRD</v>
      </c>
      <c r="AM410" s="662" t="str">
        <f t="shared" si="39"/>
        <v>Expedition-MAX XL-RWD-5-~-~-3.5L-6-K1F-100A-132-28.3-Unleaded-Unleaded</v>
      </c>
      <c r="AN410" s="662" t="str">
        <f t="shared" si="44"/>
        <v>2019-SUV-FRD-EXPD-010</v>
      </c>
    </row>
    <row r="411" spans="1:40" s="572" customFormat="1" ht="15">
      <c r="A411" s="570" t="s">
        <v>1172</v>
      </c>
      <c r="B411" s="573" t="s">
        <v>1168</v>
      </c>
      <c r="C411" s="573" t="s">
        <v>280</v>
      </c>
      <c r="D411" s="578">
        <v>27</v>
      </c>
      <c r="E411" s="573" t="s">
        <v>699</v>
      </c>
      <c r="F411" s="573" t="s">
        <v>187</v>
      </c>
      <c r="G411" s="573" t="s">
        <v>271</v>
      </c>
      <c r="H411" s="573">
        <v>2019</v>
      </c>
      <c r="I411" s="573" t="s">
        <v>1123</v>
      </c>
      <c r="J411" s="573" t="s">
        <v>1162</v>
      </c>
      <c r="K411" s="573" t="s">
        <v>236</v>
      </c>
      <c r="L411" s="573">
        <v>5</v>
      </c>
      <c r="M411" s="573">
        <v>0</v>
      </c>
      <c r="N411" s="573" t="s">
        <v>157</v>
      </c>
      <c r="O411" s="573">
        <v>2</v>
      </c>
      <c r="P411" s="573" t="s">
        <v>157</v>
      </c>
      <c r="Q411" s="571" t="s">
        <v>157</v>
      </c>
      <c r="R411" s="573" t="s">
        <v>316</v>
      </c>
      <c r="S411" s="573">
        <v>6</v>
      </c>
      <c r="T411" s="573" t="s">
        <v>1169</v>
      </c>
      <c r="U411" s="573" t="s">
        <v>276</v>
      </c>
      <c r="V411" s="573">
        <v>132</v>
      </c>
      <c r="W411" s="573">
        <v>28.3</v>
      </c>
      <c r="X411" s="571">
        <v>7300</v>
      </c>
      <c r="Y411" s="573">
        <v>20</v>
      </c>
      <c r="Z411" s="579" t="s">
        <v>178</v>
      </c>
      <c r="AA411" s="579" t="s">
        <v>178</v>
      </c>
      <c r="AB411" s="584">
        <v>53520</v>
      </c>
      <c r="AC411" s="584" t="s">
        <v>164</v>
      </c>
      <c r="AD411" s="584">
        <v>40690.291666666672</v>
      </c>
      <c r="AE411" s="586">
        <v>0.03</v>
      </c>
      <c r="AF411" s="661" t="str">
        <f t="shared" si="45"/>
        <v>2019-SUV-FRD-EXPD-010-27</v>
      </c>
      <c r="AG411" s="661" t="str">
        <f>IF(AND($Y411&gt;=32,(AI411="I"),(Y411&lt;&gt;"~"),(COUNTIF($AN$1:$AN411,$AN411)=1)),"TRUE","FALSE")</f>
        <v>FALSE</v>
      </c>
      <c r="AH411" s="661" t="str">
        <f>IF(AND($Y411&gt;=22, (AI411&lt;&gt;"I"),(Y411&lt;&gt;"~"),(COUNTIF($AN$1:$AN411,$AN411)=1)),"TRUE","FALSE")</f>
        <v>FALSE</v>
      </c>
      <c r="AI411" s="661" t="str">
        <f t="shared" si="40"/>
        <v>II</v>
      </c>
      <c r="AJ411" s="662" t="str">
        <f t="shared" si="41"/>
        <v>EXPD-010</v>
      </c>
      <c r="AK411" s="662" t="str">
        <f t="shared" si="42"/>
        <v>SUV</v>
      </c>
      <c r="AL411" s="662" t="str">
        <f t="shared" si="43"/>
        <v>FRD</v>
      </c>
      <c r="AM411" s="662" t="str">
        <f t="shared" ref="AM411:AM474" si="46">CONCATENATE(I411,"-",J411,"-",K411,"-",L411,"-",P411,"-",Q411,"-",R411,"-",S411,"-",T411,"-",U411,"-",V411,"-",W411,"-",Z411,"-",AA411)</f>
        <v>Expedition-MAX XL-RWD-5-~-~-3.5L-6-K1F-100A-132-28.3-Unleaded-Unleaded</v>
      </c>
      <c r="AN411" s="662" t="str">
        <f t="shared" si="44"/>
        <v>2019-SUV-FRD-EXPD-010</v>
      </c>
    </row>
    <row r="412" spans="1:40" s="572" customFormat="1" ht="15">
      <c r="A412" s="570" t="s">
        <v>1173</v>
      </c>
      <c r="B412" s="569" t="s">
        <v>1174</v>
      </c>
      <c r="C412" s="569" t="s">
        <v>269</v>
      </c>
      <c r="D412" s="580" t="s">
        <v>270</v>
      </c>
      <c r="E412" s="569" t="s">
        <v>699</v>
      </c>
      <c r="F412" s="569" t="s">
        <v>187</v>
      </c>
      <c r="G412" s="569" t="s">
        <v>271</v>
      </c>
      <c r="H412" s="569">
        <v>2019</v>
      </c>
      <c r="I412" s="569" t="s">
        <v>1123</v>
      </c>
      <c r="J412" s="569" t="s">
        <v>1175</v>
      </c>
      <c r="K412" s="569" t="s">
        <v>752</v>
      </c>
      <c r="L412" s="569">
        <v>8</v>
      </c>
      <c r="M412" s="569">
        <v>0</v>
      </c>
      <c r="N412" s="569" t="s">
        <v>157</v>
      </c>
      <c r="O412" s="569">
        <v>3</v>
      </c>
      <c r="P412" s="569" t="s">
        <v>157</v>
      </c>
      <c r="Q412" s="568" t="s">
        <v>157</v>
      </c>
      <c r="R412" s="569" t="s">
        <v>316</v>
      </c>
      <c r="S412" s="569">
        <v>6</v>
      </c>
      <c r="T412" s="569" t="s">
        <v>1176</v>
      </c>
      <c r="U412" s="569" t="s">
        <v>295</v>
      </c>
      <c r="V412" s="569">
        <v>132</v>
      </c>
      <c r="W412" s="569">
        <v>28.3</v>
      </c>
      <c r="X412" s="568">
        <v>7550</v>
      </c>
      <c r="Y412" s="569">
        <v>18</v>
      </c>
      <c r="Z412" s="581" t="s">
        <v>178</v>
      </c>
      <c r="AA412" s="581" t="s">
        <v>178</v>
      </c>
      <c r="AB412" s="585">
        <v>59120</v>
      </c>
      <c r="AC412" s="585" t="s">
        <v>164</v>
      </c>
      <c r="AD412" s="585">
        <v>49409.75</v>
      </c>
      <c r="AE412" s="587">
        <v>0.03</v>
      </c>
      <c r="AF412" s="661" t="str">
        <f t="shared" si="45"/>
        <v>2019-SUV-FRD-EXPD-011-05</v>
      </c>
      <c r="AG412" s="661" t="str">
        <f>IF(AND($Y412&gt;=32,(AI412="I"),(Y412&lt;&gt;"~"),(COUNTIF($AN$1:$AN412,$AN412)=1)),"TRUE","FALSE")</f>
        <v>FALSE</v>
      </c>
      <c r="AH412" s="661" t="str">
        <f>IF(AND($Y412&gt;=22, (AI412&lt;&gt;"I"),(Y412&lt;&gt;"~"),(COUNTIF($AN$1:$AN412,$AN412)=1)),"TRUE","FALSE")</f>
        <v>FALSE</v>
      </c>
      <c r="AI412" s="661" t="str">
        <f t="shared" ref="AI412:AI475" si="47">IF(OR((LEFT($E412,2)="01"),AND(LEFT($E412,2)="06",ISNUMBER(SEARCH("pas",$F412))),AND(LEFT($E412,2)="05",ISNUMBER(SEARCH("pas",$F412)))),"I",IF(AND((LEFT($E412,2)&lt;&gt;"01"),$X412&lt;=10000),"II",IF(AND((LEFT($E412,2)&lt;&gt;"01"),$X412&gt;10000),"N/A")))</f>
        <v>II</v>
      </c>
      <c r="AJ412" s="662" t="str">
        <f t="shared" si="41"/>
        <v>EXPD-011</v>
      </c>
      <c r="AK412" s="662" t="str">
        <f t="shared" si="42"/>
        <v>SUV</v>
      </c>
      <c r="AL412" s="662" t="str">
        <f t="shared" si="43"/>
        <v>FRD</v>
      </c>
      <c r="AM412" s="662" t="str">
        <f t="shared" si="46"/>
        <v>Expedition-MAX XLT-4WD-8-~-~-3.5L-6-K1J-200A-132-28.3-Unleaded-Unleaded</v>
      </c>
      <c r="AN412" s="662" t="str">
        <f t="shared" si="44"/>
        <v>2019-SUV-FRD-EXPD-011</v>
      </c>
    </row>
    <row r="413" spans="1:40" s="572" customFormat="1" ht="15">
      <c r="A413" s="570" t="s">
        <v>1177</v>
      </c>
      <c r="B413" s="573" t="s">
        <v>1174</v>
      </c>
      <c r="C413" s="573" t="s">
        <v>278</v>
      </c>
      <c r="D413" s="578">
        <v>15</v>
      </c>
      <c r="E413" s="573" t="s">
        <v>699</v>
      </c>
      <c r="F413" s="573" t="s">
        <v>187</v>
      </c>
      <c r="G413" s="573" t="s">
        <v>271</v>
      </c>
      <c r="H413" s="573">
        <v>2019</v>
      </c>
      <c r="I413" s="573" t="s">
        <v>1123</v>
      </c>
      <c r="J413" s="573" t="s">
        <v>1175</v>
      </c>
      <c r="K413" s="573" t="s">
        <v>752</v>
      </c>
      <c r="L413" s="573">
        <v>8</v>
      </c>
      <c r="M413" s="573">
        <v>0</v>
      </c>
      <c r="N413" s="573" t="s">
        <v>157</v>
      </c>
      <c r="O413" s="573">
        <v>3</v>
      </c>
      <c r="P413" s="573" t="s">
        <v>157</v>
      </c>
      <c r="Q413" s="571" t="s">
        <v>157</v>
      </c>
      <c r="R413" s="573" t="s">
        <v>316</v>
      </c>
      <c r="S413" s="573">
        <v>6</v>
      </c>
      <c r="T413" s="573" t="s">
        <v>1176</v>
      </c>
      <c r="U413" s="573" t="s">
        <v>295</v>
      </c>
      <c r="V413" s="573">
        <v>132</v>
      </c>
      <c r="W413" s="573">
        <v>28.3</v>
      </c>
      <c r="X413" s="571">
        <v>9300</v>
      </c>
      <c r="Y413" s="573">
        <v>19</v>
      </c>
      <c r="Z413" s="579" t="s">
        <v>178</v>
      </c>
      <c r="AA413" s="579" t="s">
        <v>178</v>
      </c>
      <c r="AB413" s="584">
        <v>59120</v>
      </c>
      <c r="AC413" s="584" t="s">
        <v>164</v>
      </c>
      <c r="AD413" s="584">
        <v>50250</v>
      </c>
      <c r="AE413" s="586">
        <v>0.01</v>
      </c>
      <c r="AF413" s="661" t="str">
        <f t="shared" si="45"/>
        <v>2019-SUV-FRD-EXPD-011-15</v>
      </c>
      <c r="AG413" s="661" t="str">
        <f>IF(AND($Y413&gt;=32,(AI413="I"),(Y413&lt;&gt;"~"),(COUNTIF($AN$1:$AN413,$AN413)=1)),"TRUE","FALSE")</f>
        <v>FALSE</v>
      </c>
      <c r="AH413" s="661" t="str">
        <f>IF(AND($Y413&gt;=22, (AI413&lt;&gt;"I"),(Y413&lt;&gt;"~"),(COUNTIF($AN$1:$AN413,$AN413)=1)),"TRUE","FALSE")</f>
        <v>FALSE</v>
      </c>
      <c r="AI413" s="661" t="str">
        <f t="shared" si="47"/>
        <v>II</v>
      </c>
      <c r="AJ413" s="662" t="str">
        <f t="shared" si="41"/>
        <v>EXPD-011</v>
      </c>
      <c r="AK413" s="662" t="str">
        <f t="shared" si="42"/>
        <v>SUV</v>
      </c>
      <c r="AL413" s="662" t="str">
        <f t="shared" si="43"/>
        <v>FRD</v>
      </c>
      <c r="AM413" s="662" t="str">
        <f t="shared" si="46"/>
        <v>Expedition-MAX XLT-4WD-8-~-~-3.5L-6-K1J-200A-132-28.3-Unleaded-Unleaded</v>
      </c>
      <c r="AN413" s="662" t="str">
        <f t="shared" si="44"/>
        <v>2019-SUV-FRD-EXPD-011</v>
      </c>
    </row>
    <row r="414" spans="1:40" s="572" customFormat="1" ht="15">
      <c r="A414" s="570" t="s">
        <v>1178</v>
      </c>
      <c r="B414" s="569" t="s">
        <v>1174</v>
      </c>
      <c r="C414" s="569" t="s">
        <v>287</v>
      </c>
      <c r="D414" s="580">
        <v>26</v>
      </c>
      <c r="E414" s="569" t="s">
        <v>699</v>
      </c>
      <c r="F414" s="569" t="s">
        <v>187</v>
      </c>
      <c r="G414" s="569" t="s">
        <v>271</v>
      </c>
      <c r="H414" s="569">
        <v>2019</v>
      </c>
      <c r="I414" s="569" t="s">
        <v>1123</v>
      </c>
      <c r="J414" s="569" t="s">
        <v>1175</v>
      </c>
      <c r="K414" s="569" t="s">
        <v>752</v>
      </c>
      <c r="L414" s="569">
        <v>8</v>
      </c>
      <c r="M414" s="569">
        <v>0</v>
      </c>
      <c r="N414" s="569" t="s">
        <v>157</v>
      </c>
      <c r="O414" s="569">
        <v>3</v>
      </c>
      <c r="P414" s="569" t="s">
        <v>157</v>
      </c>
      <c r="Q414" s="568" t="s">
        <v>157</v>
      </c>
      <c r="R414" s="569" t="s">
        <v>316</v>
      </c>
      <c r="S414" s="569">
        <v>6</v>
      </c>
      <c r="T414" s="569" t="s">
        <v>1176</v>
      </c>
      <c r="U414" s="569" t="s">
        <v>295</v>
      </c>
      <c r="V414" s="569">
        <v>132</v>
      </c>
      <c r="W414" s="569">
        <v>28.3</v>
      </c>
      <c r="X414" s="568">
        <v>7550</v>
      </c>
      <c r="Y414" s="569">
        <v>19</v>
      </c>
      <c r="Z414" s="581" t="s">
        <v>178</v>
      </c>
      <c r="AA414" s="581" t="s">
        <v>178</v>
      </c>
      <c r="AB414" s="585">
        <v>59020</v>
      </c>
      <c r="AC414" s="585" t="s">
        <v>164</v>
      </c>
      <c r="AD414" s="585">
        <v>50903</v>
      </c>
      <c r="AE414" s="587">
        <v>0.05</v>
      </c>
      <c r="AF414" s="661" t="str">
        <f t="shared" si="45"/>
        <v>2019-SUV-FRD-EXPD-011-26</v>
      </c>
      <c r="AG414" s="661" t="str">
        <f>IF(AND($Y414&gt;=32,(AI414="I"),(Y414&lt;&gt;"~"),(COUNTIF($AN$1:$AN414,$AN414)=1)),"TRUE","FALSE")</f>
        <v>FALSE</v>
      </c>
      <c r="AH414" s="661" t="str">
        <f>IF(AND($Y414&gt;=22, (AI414&lt;&gt;"I"),(Y414&lt;&gt;"~"),(COUNTIF($AN$1:$AN414,$AN414)=1)),"TRUE","FALSE")</f>
        <v>FALSE</v>
      </c>
      <c r="AI414" s="661" t="str">
        <f t="shared" si="47"/>
        <v>II</v>
      </c>
      <c r="AJ414" s="662" t="str">
        <f t="shared" si="41"/>
        <v>EXPD-011</v>
      </c>
      <c r="AK414" s="662" t="str">
        <f t="shared" si="42"/>
        <v>SUV</v>
      </c>
      <c r="AL414" s="662" t="str">
        <f t="shared" si="43"/>
        <v>FRD</v>
      </c>
      <c r="AM414" s="662" t="str">
        <f t="shared" si="46"/>
        <v>Expedition-MAX XLT-4WD-8-~-~-3.5L-6-K1J-200A-132-28.3-Unleaded-Unleaded</v>
      </c>
      <c r="AN414" s="662" t="str">
        <f t="shared" si="44"/>
        <v>2019-SUV-FRD-EXPD-011</v>
      </c>
    </row>
    <row r="415" spans="1:40" s="572" customFormat="1" ht="15">
      <c r="A415" s="570" t="s">
        <v>1179</v>
      </c>
      <c r="B415" s="573" t="s">
        <v>1174</v>
      </c>
      <c r="C415" s="573" t="s">
        <v>280</v>
      </c>
      <c r="D415" s="578">
        <v>27</v>
      </c>
      <c r="E415" s="573" t="s">
        <v>699</v>
      </c>
      <c r="F415" s="573" t="s">
        <v>187</v>
      </c>
      <c r="G415" s="573" t="s">
        <v>271</v>
      </c>
      <c r="H415" s="573">
        <v>2019</v>
      </c>
      <c r="I415" s="573" t="s">
        <v>1123</v>
      </c>
      <c r="J415" s="573" t="s">
        <v>1175</v>
      </c>
      <c r="K415" s="573" t="s">
        <v>752</v>
      </c>
      <c r="L415" s="573">
        <v>8</v>
      </c>
      <c r="M415" s="573">
        <v>0</v>
      </c>
      <c r="N415" s="573" t="s">
        <v>157</v>
      </c>
      <c r="O415" s="573">
        <v>3</v>
      </c>
      <c r="P415" s="573" t="s">
        <v>157</v>
      </c>
      <c r="Q415" s="571" t="s">
        <v>157</v>
      </c>
      <c r="R415" s="573" t="s">
        <v>316</v>
      </c>
      <c r="S415" s="573">
        <v>6</v>
      </c>
      <c r="T415" s="573" t="s">
        <v>1176</v>
      </c>
      <c r="U415" s="573" t="s">
        <v>295</v>
      </c>
      <c r="V415" s="573">
        <v>132</v>
      </c>
      <c r="W415" s="573">
        <v>28.3</v>
      </c>
      <c r="X415" s="571">
        <v>7550</v>
      </c>
      <c r="Y415" s="573">
        <v>18</v>
      </c>
      <c r="Z415" s="579" t="s">
        <v>178</v>
      </c>
      <c r="AA415" s="579" t="s">
        <v>178</v>
      </c>
      <c r="AB415" s="584">
        <v>59120</v>
      </c>
      <c r="AC415" s="584" t="s">
        <v>164</v>
      </c>
      <c r="AD415" s="584">
        <v>49409.75</v>
      </c>
      <c r="AE415" s="586">
        <v>0.03</v>
      </c>
      <c r="AF415" s="661" t="str">
        <f t="shared" si="45"/>
        <v>2019-SUV-FRD-EXPD-011-27</v>
      </c>
      <c r="AG415" s="661" t="str">
        <f>IF(AND($Y415&gt;=32,(AI415="I"),(Y415&lt;&gt;"~"),(COUNTIF($AN$1:$AN415,$AN415)=1)),"TRUE","FALSE")</f>
        <v>FALSE</v>
      </c>
      <c r="AH415" s="661" t="str">
        <f>IF(AND($Y415&gt;=22, (AI415&lt;&gt;"I"),(Y415&lt;&gt;"~"),(COUNTIF($AN$1:$AN415,$AN415)=1)),"TRUE","FALSE")</f>
        <v>FALSE</v>
      </c>
      <c r="AI415" s="661" t="str">
        <f t="shared" si="47"/>
        <v>II</v>
      </c>
      <c r="AJ415" s="662" t="str">
        <f t="shared" si="41"/>
        <v>EXPD-011</v>
      </c>
      <c r="AK415" s="662" t="str">
        <f t="shared" si="42"/>
        <v>SUV</v>
      </c>
      <c r="AL415" s="662" t="str">
        <f t="shared" si="43"/>
        <v>FRD</v>
      </c>
      <c r="AM415" s="662" t="str">
        <f t="shared" si="46"/>
        <v>Expedition-MAX XLT-4WD-8-~-~-3.5L-6-K1J-200A-132-28.3-Unleaded-Unleaded</v>
      </c>
      <c r="AN415" s="662" t="str">
        <f t="shared" si="44"/>
        <v>2019-SUV-FRD-EXPD-011</v>
      </c>
    </row>
    <row r="416" spans="1:40" s="572" customFormat="1" ht="15">
      <c r="A416" s="570" t="s">
        <v>1180</v>
      </c>
      <c r="B416" s="569" t="s">
        <v>1181</v>
      </c>
      <c r="C416" s="569" t="s">
        <v>269</v>
      </c>
      <c r="D416" s="580" t="s">
        <v>270</v>
      </c>
      <c r="E416" s="569" t="s">
        <v>699</v>
      </c>
      <c r="F416" s="569" t="s">
        <v>187</v>
      </c>
      <c r="G416" s="569" t="s">
        <v>271</v>
      </c>
      <c r="H416" s="569">
        <v>2019</v>
      </c>
      <c r="I416" s="569" t="s">
        <v>1123</v>
      </c>
      <c r="J416" s="569" t="s">
        <v>1175</v>
      </c>
      <c r="K416" s="569" t="s">
        <v>236</v>
      </c>
      <c r="L416" s="569">
        <v>8</v>
      </c>
      <c r="M416" s="569">
        <v>0</v>
      </c>
      <c r="N416" s="569" t="s">
        <v>157</v>
      </c>
      <c r="O416" s="569">
        <v>3</v>
      </c>
      <c r="P416" s="569" t="s">
        <v>157</v>
      </c>
      <c r="Q416" s="568" t="s">
        <v>157</v>
      </c>
      <c r="R416" s="569" t="s">
        <v>316</v>
      </c>
      <c r="S416" s="569">
        <v>6</v>
      </c>
      <c r="T416" s="569" t="s">
        <v>1182</v>
      </c>
      <c r="U416" s="569" t="s">
        <v>295</v>
      </c>
      <c r="V416" s="569">
        <v>132</v>
      </c>
      <c r="W416" s="569">
        <v>28.3</v>
      </c>
      <c r="X416" s="568">
        <v>7300</v>
      </c>
      <c r="Y416" s="569">
        <v>19</v>
      </c>
      <c r="Z416" s="581" t="s">
        <v>178</v>
      </c>
      <c r="AA416" s="581" t="s">
        <v>178</v>
      </c>
      <c r="AB416" s="585">
        <v>56110</v>
      </c>
      <c r="AC416" s="585" t="s">
        <v>164</v>
      </c>
      <c r="AD416" s="585">
        <v>46627.458333333336</v>
      </c>
      <c r="AE416" s="587">
        <v>0.03</v>
      </c>
      <c r="AF416" s="661" t="str">
        <f t="shared" si="45"/>
        <v>2019-SUV-FRD-EXPD-012-05</v>
      </c>
      <c r="AG416" s="661" t="str">
        <f>IF(AND($Y416&gt;=32,(AI416="I"),(Y416&lt;&gt;"~"),(COUNTIF($AN$1:$AN416,$AN416)=1)),"TRUE","FALSE")</f>
        <v>FALSE</v>
      </c>
      <c r="AH416" s="661" t="str">
        <f>IF(AND($Y416&gt;=22, (AI416&lt;&gt;"I"),(Y416&lt;&gt;"~"),(COUNTIF($AN$1:$AN416,$AN416)=1)),"TRUE","FALSE")</f>
        <v>FALSE</v>
      </c>
      <c r="AI416" s="661" t="str">
        <f t="shared" si="47"/>
        <v>II</v>
      </c>
      <c r="AJ416" s="662" t="str">
        <f t="shared" si="41"/>
        <v>EXPD-012</v>
      </c>
      <c r="AK416" s="662" t="str">
        <f t="shared" si="42"/>
        <v>SUV</v>
      </c>
      <c r="AL416" s="662" t="str">
        <f t="shared" si="43"/>
        <v>FRD</v>
      </c>
      <c r="AM416" s="662" t="str">
        <f t="shared" si="46"/>
        <v>Expedition-MAX XLT-RWD-8-~-~-3.5L-6-K1H-200A-132-28.3-Unleaded-Unleaded</v>
      </c>
      <c r="AN416" s="662" t="str">
        <f t="shared" si="44"/>
        <v>2019-SUV-FRD-EXPD-012</v>
      </c>
    </row>
    <row r="417" spans="1:40" s="572" customFormat="1" ht="15">
      <c r="A417" s="570" t="s">
        <v>1183</v>
      </c>
      <c r="B417" s="573" t="s">
        <v>1181</v>
      </c>
      <c r="C417" s="573" t="s">
        <v>278</v>
      </c>
      <c r="D417" s="578">
        <v>15</v>
      </c>
      <c r="E417" s="573" t="s">
        <v>699</v>
      </c>
      <c r="F417" s="573" t="s">
        <v>187</v>
      </c>
      <c r="G417" s="573" t="s">
        <v>271</v>
      </c>
      <c r="H417" s="573">
        <v>2019</v>
      </c>
      <c r="I417" s="573" t="s">
        <v>1123</v>
      </c>
      <c r="J417" s="573" t="s">
        <v>1175</v>
      </c>
      <c r="K417" s="573" t="s">
        <v>236</v>
      </c>
      <c r="L417" s="573">
        <v>8</v>
      </c>
      <c r="M417" s="573">
        <v>0</v>
      </c>
      <c r="N417" s="573" t="s">
        <v>157</v>
      </c>
      <c r="O417" s="573">
        <v>3</v>
      </c>
      <c r="P417" s="573" t="s">
        <v>157</v>
      </c>
      <c r="Q417" s="571" t="s">
        <v>157</v>
      </c>
      <c r="R417" s="573" t="s">
        <v>316</v>
      </c>
      <c r="S417" s="573">
        <v>6</v>
      </c>
      <c r="T417" s="573" t="s">
        <v>1182</v>
      </c>
      <c r="U417" s="573" t="s">
        <v>295</v>
      </c>
      <c r="V417" s="573">
        <v>132</v>
      </c>
      <c r="W417" s="573">
        <v>28.3</v>
      </c>
      <c r="X417" s="571">
        <v>9300</v>
      </c>
      <c r="Y417" s="573">
        <v>20</v>
      </c>
      <c r="Z417" s="579" t="s">
        <v>178</v>
      </c>
      <c r="AA417" s="579" t="s">
        <v>178</v>
      </c>
      <c r="AB417" s="584">
        <v>56110</v>
      </c>
      <c r="AC417" s="584" t="s">
        <v>164</v>
      </c>
      <c r="AD417" s="584">
        <v>43800</v>
      </c>
      <c r="AE417" s="586">
        <v>0.01</v>
      </c>
      <c r="AF417" s="661" t="str">
        <f t="shared" si="45"/>
        <v>2019-SUV-FRD-EXPD-012-15</v>
      </c>
      <c r="AG417" s="661" t="str">
        <f>IF(AND($Y417&gt;=32,(AI417="I"),(Y417&lt;&gt;"~"),(COUNTIF($AN$1:$AN417,$AN417)=1)),"TRUE","FALSE")</f>
        <v>FALSE</v>
      </c>
      <c r="AH417" s="661" t="str">
        <f>IF(AND($Y417&gt;=22, (AI417&lt;&gt;"I"),(Y417&lt;&gt;"~"),(COUNTIF($AN$1:$AN417,$AN417)=1)),"TRUE","FALSE")</f>
        <v>FALSE</v>
      </c>
      <c r="AI417" s="661" t="str">
        <f t="shared" si="47"/>
        <v>II</v>
      </c>
      <c r="AJ417" s="662" t="str">
        <f t="shared" si="41"/>
        <v>EXPD-012</v>
      </c>
      <c r="AK417" s="662" t="str">
        <f t="shared" si="42"/>
        <v>SUV</v>
      </c>
      <c r="AL417" s="662" t="str">
        <f t="shared" si="43"/>
        <v>FRD</v>
      </c>
      <c r="AM417" s="662" t="str">
        <f t="shared" si="46"/>
        <v>Expedition-MAX XLT-RWD-8-~-~-3.5L-6-K1H-200A-132-28.3-Unleaded-Unleaded</v>
      </c>
      <c r="AN417" s="662" t="str">
        <f t="shared" si="44"/>
        <v>2019-SUV-FRD-EXPD-012</v>
      </c>
    </row>
    <row r="418" spans="1:40" s="572" customFormat="1" ht="15">
      <c r="A418" s="570" t="s">
        <v>1184</v>
      </c>
      <c r="B418" s="569" t="s">
        <v>1181</v>
      </c>
      <c r="C418" s="569" t="s">
        <v>287</v>
      </c>
      <c r="D418" s="580">
        <v>26</v>
      </c>
      <c r="E418" s="569" t="s">
        <v>699</v>
      </c>
      <c r="F418" s="569" t="s">
        <v>187</v>
      </c>
      <c r="G418" s="569" t="s">
        <v>271</v>
      </c>
      <c r="H418" s="569">
        <v>2019</v>
      </c>
      <c r="I418" s="569" t="s">
        <v>1123</v>
      </c>
      <c r="J418" s="569" t="s">
        <v>1175</v>
      </c>
      <c r="K418" s="569" t="s">
        <v>236</v>
      </c>
      <c r="L418" s="569">
        <v>8</v>
      </c>
      <c r="M418" s="569">
        <v>0</v>
      </c>
      <c r="N418" s="569" t="s">
        <v>157</v>
      </c>
      <c r="O418" s="569">
        <v>3</v>
      </c>
      <c r="P418" s="569" t="s">
        <v>157</v>
      </c>
      <c r="Q418" s="568" t="s">
        <v>157</v>
      </c>
      <c r="R418" s="569" t="s">
        <v>316</v>
      </c>
      <c r="S418" s="569">
        <v>6</v>
      </c>
      <c r="T418" s="569" t="s">
        <v>1182</v>
      </c>
      <c r="U418" s="569" t="s">
        <v>295</v>
      </c>
      <c r="V418" s="569">
        <v>132</v>
      </c>
      <c r="W418" s="569">
        <v>28.3</v>
      </c>
      <c r="X418" s="568">
        <v>7550</v>
      </c>
      <c r="Y418" s="569">
        <v>20</v>
      </c>
      <c r="Z418" s="581" t="s">
        <v>178</v>
      </c>
      <c r="AA418" s="581" t="s">
        <v>178</v>
      </c>
      <c r="AB418" s="585">
        <v>56010</v>
      </c>
      <c r="AC418" s="585" t="s">
        <v>164</v>
      </c>
      <c r="AD418" s="585">
        <v>48035</v>
      </c>
      <c r="AE418" s="587">
        <v>0.05</v>
      </c>
      <c r="AF418" s="661" t="str">
        <f t="shared" si="45"/>
        <v>2019-SUV-FRD-EXPD-012-26</v>
      </c>
      <c r="AG418" s="661" t="str">
        <f>IF(AND($Y418&gt;=32,(AI418="I"),(Y418&lt;&gt;"~"),(COUNTIF($AN$1:$AN418,$AN418)=1)),"TRUE","FALSE")</f>
        <v>FALSE</v>
      </c>
      <c r="AH418" s="661" t="str">
        <f>IF(AND($Y418&gt;=22, (AI418&lt;&gt;"I"),(Y418&lt;&gt;"~"),(COUNTIF($AN$1:$AN418,$AN418)=1)),"TRUE","FALSE")</f>
        <v>FALSE</v>
      </c>
      <c r="AI418" s="661" t="str">
        <f t="shared" si="47"/>
        <v>II</v>
      </c>
      <c r="AJ418" s="662" t="str">
        <f t="shared" si="41"/>
        <v>EXPD-012</v>
      </c>
      <c r="AK418" s="662" t="str">
        <f t="shared" si="42"/>
        <v>SUV</v>
      </c>
      <c r="AL418" s="662" t="str">
        <f t="shared" si="43"/>
        <v>FRD</v>
      </c>
      <c r="AM418" s="662" t="str">
        <f t="shared" si="46"/>
        <v>Expedition-MAX XLT-RWD-8-~-~-3.5L-6-K1H-200A-132-28.3-Unleaded-Unleaded</v>
      </c>
      <c r="AN418" s="662" t="str">
        <f t="shared" si="44"/>
        <v>2019-SUV-FRD-EXPD-012</v>
      </c>
    </row>
    <row r="419" spans="1:40" s="572" customFormat="1" ht="15">
      <c r="A419" s="570" t="s">
        <v>1185</v>
      </c>
      <c r="B419" s="573" t="s">
        <v>1181</v>
      </c>
      <c r="C419" s="573" t="s">
        <v>280</v>
      </c>
      <c r="D419" s="578">
        <v>27</v>
      </c>
      <c r="E419" s="573" t="s">
        <v>699</v>
      </c>
      <c r="F419" s="573" t="s">
        <v>187</v>
      </c>
      <c r="G419" s="573" t="s">
        <v>271</v>
      </c>
      <c r="H419" s="573">
        <v>2019</v>
      </c>
      <c r="I419" s="573" t="s">
        <v>1123</v>
      </c>
      <c r="J419" s="573" t="s">
        <v>1175</v>
      </c>
      <c r="K419" s="573" t="s">
        <v>236</v>
      </c>
      <c r="L419" s="573">
        <v>8</v>
      </c>
      <c r="M419" s="573">
        <v>0</v>
      </c>
      <c r="N419" s="573" t="s">
        <v>157</v>
      </c>
      <c r="O419" s="573">
        <v>3</v>
      </c>
      <c r="P419" s="573" t="s">
        <v>157</v>
      </c>
      <c r="Q419" s="571" t="s">
        <v>157</v>
      </c>
      <c r="R419" s="573" t="s">
        <v>316</v>
      </c>
      <c r="S419" s="573">
        <v>6</v>
      </c>
      <c r="T419" s="573" t="s">
        <v>1182</v>
      </c>
      <c r="U419" s="573" t="s">
        <v>295</v>
      </c>
      <c r="V419" s="573">
        <v>132</v>
      </c>
      <c r="W419" s="573">
        <v>28.3</v>
      </c>
      <c r="X419" s="571">
        <v>7300</v>
      </c>
      <c r="Y419" s="573">
        <v>19</v>
      </c>
      <c r="Z419" s="579" t="s">
        <v>178</v>
      </c>
      <c r="AA419" s="579" t="s">
        <v>178</v>
      </c>
      <c r="AB419" s="584">
        <v>56110</v>
      </c>
      <c r="AC419" s="584" t="s">
        <v>164</v>
      </c>
      <c r="AD419" s="584">
        <v>46627.458333333336</v>
      </c>
      <c r="AE419" s="586">
        <v>0.03</v>
      </c>
      <c r="AF419" s="661" t="str">
        <f t="shared" si="45"/>
        <v>2019-SUV-FRD-EXPD-012-27</v>
      </c>
      <c r="AG419" s="661" t="str">
        <f>IF(AND($Y419&gt;=32,(AI419="I"),(Y419&lt;&gt;"~"),(COUNTIF($AN$1:$AN419,$AN419)=1)),"TRUE","FALSE")</f>
        <v>FALSE</v>
      </c>
      <c r="AH419" s="661" t="str">
        <f>IF(AND($Y419&gt;=22, (AI419&lt;&gt;"I"),(Y419&lt;&gt;"~"),(COUNTIF($AN$1:$AN419,$AN419)=1)),"TRUE","FALSE")</f>
        <v>FALSE</v>
      </c>
      <c r="AI419" s="661" t="str">
        <f t="shared" si="47"/>
        <v>II</v>
      </c>
      <c r="AJ419" s="662" t="str">
        <f t="shared" si="41"/>
        <v>EXPD-012</v>
      </c>
      <c r="AK419" s="662" t="str">
        <f t="shared" si="42"/>
        <v>SUV</v>
      </c>
      <c r="AL419" s="662" t="str">
        <f t="shared" si="43"/>
        <v>FRD</v>
      </c>
      <c r="AM419" s="662" t="str">
        <f t="shared" si="46"/>
        <v>Expedition-MAX XLT-RWD-8-~-~-3.5L-6-K1H-200A-132-28.3-Unleaded-Unleaded</v>
      </c>
      <c r="AN419" s="662" t="str">
        <f t="shared" si="44"/>
        <v>2019-SUV-FRD-EXPD-012</v>
      </c>
    </row>
    <row r="420" spans="1:40" s="572" customFormat="1" ht="15">
      <c r="A420" s="570" t="s">
        <v>1186</v>
      </c>
      <c r="B420" s="569" t="s">
        <v>1187</v>
      </c>
      <c r="C420" s="569" t="s">
        <v>269</v>
      </c>
      <c r="D420" s="580" t="s">
        <v>270</v>
      </c>
      <c r="E420" s="569" t="s">
        <v>699</v>
      </c>
      <c r="F420" s="569" t="s">
        <v>187</v>
      </c>
      <c r="G420" s="569" t="s">
        <v>271</v>
      </c>
      <c r="H420" s="569">
        <v>2019</v>
      </c>
      <c r="I420" s="569" t="s">
        <v>1123</v>
      </c>
      <c r="J420" s="569" t="s">
        <v>1188</v>
      </c>
      <c r="K420" s="569" t="s">
        <v>752</v>
      </c>
      <c r="L420" s="569">
        <v>8</v>
      </c>
      <c r="M420" s="569">
        <v>0</v>
      </c>
      <c r="N420" s="569" t="s">
        <v>157</v>
      </c>
      <c r="O420" s="569">
        <v>3</v>
      </c>
      <c r="P420" s="569" t="s">
        <v>157</v>
      </c>
      <c r="Q420" s="568" t="s">
        <v>157</v>
      </c>
      <c r="R420" s="569" t="s">
        <v>316</v>
      </c>
      <c r="S420" s="569">
        <v>6</v>
      </c>
      <c r="T420" s="569" t="s">
        <v>1189</v>
      </c>
      <c r="U420" s="569" t="s">
        <v>366</v>
      </c>
      <c r="V420" s="569">
        <v>122.5</v>
      </c>
      <c r="W420" s="569">
        <v>23.3</v>
      </c>
      <c r="X420" s="568">
        <v>7450</v>
      </c>
      <c r="Y420" s="569">
        <v>19</v>
      </c>
      <c r="Z420" s="581" t="s">
        <v>178</v>
      </c>
      <c r="AA420" s="581" t="s">
        <v>178</v>
      </c>
      <c r="AB420" s="585">
        <v>77810</v>
      </c>
      <c r="AC420" s="585" t="s">
        <v>164</v>
      </c>
      <c r="AD420" s="585">
        <v>66469</v>
      </c>
      <c r="AE420" s="587">
        <v>0.03</v>
      </c>
      <c r="AF420" s="661" t="str">
        <f t="shared" si="45"/>
        <v>2019-SUV-FRD-EXPD-007-05</v>
      </c>
      <c r="AG420" s="661" t="str">
        <f>IF(AND($Y420&gt;=32,(AI420="I"),(Y420&lt;&gt;"~"),(COUNTIF($AN$1:$AN420,$AN420)=1)),"TRUE","FALSE")</f>
        <v>FALSE</v>
      </c>
      <c r="AH420" s="661" t="str">
        <f>IF(AND($Y420&gt;=22, (AI420&lt;&gt;"I"),(Y420&lt;&gt;"~"),(COUNTIF($AN$1:$AN420,$AN420)=1)),"TRUE","FALSE")</f>
        <v>FALSE</v>
      </c>
      <c r="AI420" s="661" t="str">
        <f t="shared" si="47"/>
        <v>II</v>
      </c>
      <c r="AJ420" s="662" t="str">
        <f t="shared" si="41"/>
        <v>EXPD-007</v>
      </c>
      <c r="AK420" s="662" t="str">
        <f t="shared" si="42"/>
        <v>SUV</v>
      </c>
      <c r="AL420" s="662" t="str">
        <f t="shared" si="43"/>
        <v>FRD</v>
      </c>
      <c r="AM420" s="662" t="str">
        <f t="shared" si="46"/>
        <v>Expedition-Platinum-4WD-8-~-~-3.5L-6-U1M-600A-122.5-23.3-Unleaded-Unleaded</v>
      </c>
      <c r="AN420" s="662" t="str">
        <f t="shared" si="44"/>
        <v>2019-SUV-FRD-EXPD-007</v>
      </c>
    </row>
    <row r="421" spans="1:40" s="572" customFormat="1" ht="15">
      <c r="A421" s="570" t="s">
        <v>1190</v>
      </c>
      <c r="B421" s="573" t="s">
        <v>1187</v>
      </c>
      <c r="C421" s="573" t="s">
        <v>278</v>
      </c>
      <c r="D421" s="578">
        <v>15</v>
      </c>
      <c r="E421" s="573" t="s">
        <v>699</v>
      </c>
      <c r="F421" s="573" t="s">
        <v>187</v>
      </c>
      <c r="G421" s="573" t="s">
        <v>271</v>
      </c>
      <c r="H421" s="573">
        <v>2019</v>
      </c>
      <c r="I421" s="573" t="s">
        <v>1123</v>
      </c>
      <c r="J421" s="573" t="s">
        <v>1188</v>
      </c>
      <c r="K421" s="573" t="s">
        <v>752</v>
      </c>
      <c r="L421" s="573">
        <v>8</v>
      </c>
      <c r="M421" s="573">
        <v>0</v>
      </c>
      <c r="N421" s="573" t="s">
        <v>157</v>
      </c>
      <c r="O421" s="573">
        <v>3</v>
      </c>
      <c r="P421" s="573" t="s">
        <v>157</v>
      </c>
      <c r="Q421" s="571" t="s">
        <v>157</v>
      </c>
      <c r="R421" s="573" t="s">
        <v>316</v>
      </c>
      <c r="S421" s="573">
        <v>6</v>
      </c>
      <c r="T421" s="573" t="s">
        <v>1189</v>
      </c>
      <c r="U421" s="573" t="s">
        <v>366</v>
      </c>
      <c r="V421" s="573">
        <v>122.5</v>
      </c>
      <c r="W421" s="573">
        <v>23.3</v>
      </c>
      <c r="X421" s="571">
        <v>7450</v>
      </c>
      <c r="Y421" s="573">
        <v>19</v>
      </c>
      <c r="Z421" s="579" t="s">
        <v>178</v>
      </c>
      <c r="AA421" s="579" t="s">
        <v>178</v>
      </c>
      <c r="AB421" s="584">
        <v>77810</v>
      </c>
      <c r="AC421" s="584" t="s">
        <v>164</v>
      </c>
      <c r="AD421" s="584">
        <v>67900</v>
      </c>
      <c r="AE421" s="586">
        <v>0.01</v>
      </c>
      <c r="AF421" s="661" t="str">
        <f t="shared" si="45"/>
        <v>2019-SUV-FRD-EXPD-007-15</v>
      </c>
      <c r="AG421" s="661" t="str">
        <f>IF(AND($Y421&gt;=32,(AI421="I"),(Y421&lt;&gt;"~"),(COUNTIF($AN$1:$AN421,$AN421)=1)),"TRUE","FALSE")</f>
        <v>FALSE</v>
      </c>
      <c r="AH421" s="661" t="str">
        <f>IF(AND($Y421&gt;=22, (AI421&lt;&gt;"I"),(Y421&lt;&gt;"~"),(COUNTIF($AN$1:$AN421,$AN421)=1)),"TRUE","FALSE")</f>
        <v>FALSE</v>
      </c>
      <c r="AI421" s="661" t="str">
        <f t="shared" si="47"/>
        <v>II</v>
      </c>
      <c r="AJ421" s="662" t="str">
        <f t="shared" si="41"/>
        <v>EXPD-007</v>
      </c>
      <c r="AK421" s="662" t="str">
        <f t="shared" si="42"/>
        <v>SUV</v>
      </c>
      <c r="AL421" s="662" t="str">
        <f t="shared" si="43"/>
        <v>FRD</v>
      </c>
      <c r="AM421" s="662" t="str">
        <f t="shared" si="46"/>
        <v>Expedition-Platinum-4WD-8-~-~-3.5L-6-U1M-600A-122.5-23.3-Unleaded-Unleaded</v>
      </c>
      <c r="AN421" s="662" t="str">
        <f t="shared" si="44"/>
        <v>2019-SUV-FRD-EXPD-007</v>
      </c>
    </row>
    <row r="422" spans="1:40" s="572" customFormat="1" ht="15">
      <c r="A422" s="570" t="s">
        <v>1191</v>
      </c>
      <c r="B422" s="569" t="s">
        <v>1187</v>
      </c>
      <c r="C422" s="569" t="s">
        <v>287</v>
      </c>
      <c r="D422" s="580">
        <v>26</v>
      </c>
      <c r="E422" s="569" t="s">
        <v>699</v>
      </c>
      <c r="F422" s="569" t="s">
        <v>187</v>
      </c>
      <c r="G422" s="569" t="s">
        <v>271</v>
      </c>
      <c r="H422" s="569">
        <v>2019</v>
      </c>
      <c r="I422" s="569" t="s">
        <v>1123</v>
      </c>
      <c r="J422" s="569" t="s">
        <v>1188</v>
      </c>
      <c r="K422" s="569" t="s">
        <v>752</v>
      </c>
      <c r="L422" s="569">
        <v>8</v>
      </c>
      <c r="M422" s="569">
        <v>0</v>
      </c>
      <c r="N422" s="569" t="s">
        <v>157</v>
      </c>
      <c r="O422" s="569">
        <v>3</v>
      </c>
      <c r="P422" s="569" t="s">
        <v>157</v>
      </c>
      <c r="Q422" s="568" t="s">
        <v>157</v>
      </c>
      <c r="R422" s="569" t="s">
        <v>316</v>
      </c>
      <c r="S422" s="569">
        <v>6</v>
      </c>
      <c r="T422" s="569" t="s">
        <v>1189</v>
      </c>
      <c r="U422" s="569" t="s">
        <v>366</v>
      </c>
      <c r="V422" s="569">
        <v>122.5</v>
      </c>
      <c r="W422" s="569">
        <v>23.3</v>
      </c>
      <c r="X422" s="568">
        <v>7450</v>
      </c>
      <c r="Y422" s="569">
        <v>19</v>
      </c>
      <c r="Z422" s="581" t="s">
        <v>178</v>
      </c>
      <c r="AA422" s="581" t="s">
        <v>178</v>
      </c>
      <c r="AB422" s="585">
        <v>77810</v>
      </c>
      <c r="AC422" s="585" t="s">
        <v>164</v>
      </c>
      <c r="AD422" s="585">
        <v>68710</v>
      </c>
      <c r="AE422" s="587">
        <v>0.05</v>
      </c>
      <c r="AF422" s="661" t="str">
        <f t="shared" si="45"/>
        <v>2019-SUV-FRD-EXPD-007-26</v>
      </c>
      <c r="AG422" s="661" t="str">
        <f>IF(AND($Y422&gt;=32,(AI422="I"),(Y422&lt;&gt;"~"),(COUNTIF($AN$1:$AN422,$AN422)=1)),"TRUE","FALSE")</f>
        <v>FALSE</v>
      </c>
      <c r="AH422" s="661" t="str">
        <f>IF(AND($Y422&gt;=22, (AI422&lt;&gt;"I"),(Y422&lt;&gt;"~"),(COUNTIF($AN$1:$AN422,$AN422)=1)),"TRUE","FALSE")</f>
        <v>FALSE</v>
      </c>
      <c r="AI422" s="661" t="str">
        <f t="shared" si="47"/>
        <v>II</v>
      </c>
      <c r="AJ422" s="662" t="str">
        <f t="shared" si="41"/>
        <v>EXPD-007</v>
      </c>
      <c r="AK422" s="662" t="str">
        <f t="shared" si="42"/>
        <v>SUV</v>
      </c>
      <c r="AL422" s="662" t="str">
        <f t="shared" si="43"/>
        <v>FRD</v>
      </c>
      <c r="AM422" s="662" t="str">
        <f t="shared" si="46"/>
        <v>Expedition-Platinum-4WD-8-~-~-3.5L-6-U1M-600A-122.5-23.3-Unleaded-Unleaded</v>
      </c>
      <c r="AN422" s="662" t="str">
        <f t="shared" si="44"/>
        <v>2019-SUV-FRD-EXPD-007</v>
      </c>
    </row>
    <row r="423" spans="1:40" s="572" customFormat="1" ht="15">
      <c r="A423" s="570" t="s">
        <v>1192</v>
      </c>
      <c r="B423" s="573" t="s">
        <v>1187</v>
      </c>
      <c r="C423" s="573" t="s">
        <v>280</v>
      </c>
      <c r="D423" s="578">
        <v>27</v>
      </c>
      <c r="E423" s="573" t="s">
        <v>699</v>
      </c>
      <c r="F423" s="573" t="s">
        <v>187</v>
      </c>
      <c r="G423" s="573" t="s">
        <v>271</v>
      </c>
      <c r="H423" s="573">
        <v>2019</v>
      </c>
      <c r="I423" s="573" t="s">
        <v>1123</v>
      </c>
      <c r="J423" s="573" t="s">
        <v>1188</v>
      </c>
      <c r="K423" s="573" t="s">
        <v>752</v>
      </c>
      <c r="L423" s="573">
        <v>8</v>
      </c>
      <c r="M423" s="573">
        <v>0</v>
      </c>
      <c r="N423" s="573" t="s">
        <v>157</v>
      </c>
      <c r="O423" s="573">
        <v>3</v>
      </c>
      <c r="P423" s="573" t="s">
        <v>157</v>
      </c>
      <c r="Q423" s="571" t="s">
        <v>157</v>
      </c>
      <c r="R423" s="573" t="s">
        <v>316</v>
      </c>
      <c r="S423" s="573">
        <v>6</v>
      </c>
      <c r="T423" s="573" t="s">
        <v>1189</v>
      </c>
      <c r="U423" s="573" t="s">
        <v>366</v>
      </c>
      <c r="V423" s="573">
        <v>122.5</v>
      </c>
      <c r="W423" s="573">
        <v>23.3</v>
      </c>
      <c r="X423" s="571">
        <v>7450</v>
      </c>
      <c r="Y423" s="573">
        <v>19</v>
      </c>
      <c r="Z423" s="579" t="s">
        <v>178</v>
      </c>
      <c r="AA423" s="579" t="s">
        <v>178</v>
      </c>
      <c r="AB423" s="584">
        <v>77810</v>
      </c>
      <c r="AC423" s="584" t="s">
        <v>164</v>
      </c>
      <c r="AD423" s="584">
        <v>66469</v>
      </c>
      <c r="AE423" s="586">
        <v>0.03</v>
      </c>
      <c r="AF423" s="661" t="str">
        <f t="shared" si="45"/>
        <v>2019-SUV-FRD-EXPD-007-27</v>
      </c>
      <c r="AG423" s="661" t="str">
        <f>IF(AND($Y423&gt;=32,(AI423="I"),(Y423&lt;&gt;"~"),(COUNTIF($AN$1:$AN423,$AN423)=1)),"TRUE","FALSE")</f>
        <v>FALSE</v>
      </c>
      <c r="AH423" s="661" t="str">
        <f>IF(AND($Y423&gt;=22, (AI423&lt;&gt;"I"),(Y423&lt;&gt;"~"),(COUNTIF($AN$1:$AN423,$AN423)=1)),"TRUE","FALSE")</f>
        <v>FALSE</v>
      </c>
      <c r="AI423" s="661" t="str">
        <f t="shared" si="47"/>
        <v>II</v>
      </c>
      <c r="AJ423" s="662" t="str">
        <f t="shared" si="41"/>
        <v>EXPD-007</v>
      </c>
      <c r="AK423" s="662" t="str">
        <f t="shared" si="42"/>
        <v>SUV</v>
      </c>
      <c r="AL423" s="662" t="str">
        <f t="shared" si="43"/>
        <v>FRD</v>
      </c>
      <c r="AM423" s="662" t="str">
        <f t="shared" si="46"/>
        <v>Expedition-Platinum-4WD-8-~-~-3.5L-6-U1M-600A-122.5-23.3-Unleaded-Unleaded</v>
      </c>
      <c r="AN423" s="662" t="str">
        <f t="shared" si="44"/>
        <v>2019-SUV-FRD-EXPD-007</v>
      </c>
    </row>
    <row r="424" spans="1:40" s="572" customFormat="1" ht="15">
      <c r="A424" s="570" t="s">
        <v>1193</v>
      </c>
      <c r="B424" s="569" t="s">
        <v>1194</v>
      </c>
      <c r="C424" s="569" t="s">
        <v>269</v>
      </c>
      <c r="D424" s="580" t="s">
        <v>270</v>
      </c>
      <c r="E424" s="569" t="s">
        <v>699</v>
      </c>
      <c r="F424" s="569" t="s">
        <v>187</v>
      </c>
      <c r="G424" s="569" t="s">
        <v>271</v>
      </c>
      <c r="H424" s="569">
        <v>2019</v>
      </c>
      <c r="I424" s="569" t="s">
        <v>1123</v>
      </c>
      <c r="J424" s="569" t="s">
        <v>1188</v>
      </c>
      <c r="K424" s="569" t="s">
        <v>236</v>
      </c>
      <c r="L424" s="569">
        <v>8</v>
      </c>
      <c r="M424" s="569">
        <v>0</v>
      </c>
      <c r="N424" s="569" t="s">
        <v>157</v>
      </c>
      <c r="O424" s="569">
        <v>3</v>
      </c>
      <c r="P424" s="569" t="s">
        <v>157</v>
      </c>
      <c r="Q424" s="568" t="s">
        <v>157</v>
      </c>
      <c r="R424" s="569" t="s">
        <v>316</v>
      </c>
      <c r="S424" s="569">
        <v>6</v>
      </c>
      <c r="T424" s="569" t="s">
        <v>1195</v>
      </c>
      <c r="U424" s="569" t="s">
        <v>366</v>
      </c>
      <c r="V424" s="569">
        <v>122.5</v>
      </c>
      <c r="W424" s="569">
        <v>23.3</v>
      </c>
      <c r="X424" s="568">
        <v>7200</v>
      </c>
      <c r="Y424" s="569">
        <v>20</v>
      </c>
      <c r="Z424" s="581" t="s">
        <v>178</v>
      </c>
      <c r="AA424" s="581" t="s">
        <v>178</v>
      </c>
      <c r="AB424" s="585">
        <v>74660</v>
      </c>
      <c r="AC424" s="585" t="s">
        <v>164</v>
      </c>
      <c r="AD424" s="585">
        <v>63569</v>
      </c>
      <c r="AE424" s="587">
        <v>0.03</v>
      </c>
      <c r="AF424" s="661" t="str">
        <f t="shared" si="45"/>
        <v>2019-SUV-FRD-EXPD-008-05</v>
      </c>
      <c r="AG424" s="661" t="str">
        <f>IF(AND($Y424&gt;=32,(AI424="I"),(Y424&lt;&gt;"~"),(COUNTIF($AN$1:$AN424,$AN424)=1)),"TRUE","FALSE")</f>
        <v>FALSE</v>
      </c>
      <c r="AH424" s="661" t="str">
        <f>IF(AND($Y424&gt;=22, (AI424&lt;&gt;"I"),(Y424&lt;&gt;"~"),(COUNTIF($AN$1:$AN424,$AN424)=1)),"TRUE","FALSE")</f>
        <v>FALSE</v>
      </c>
      <c r="AI424" s="661" t="str">
        <f t="shared" si="47"/>
        <v>II</v>
      </c>
      <c r="AJ424" s="662" t="str">
        <f t="shared" si="41"/>
        <v>EXPD-008</v>
      </c>
      <c r="AK424" s="662" t="str">
        <f t="shared" si="42"/>
        <v>SUV</v>
      </c>
      <c r="AL424" s="662" t="str">
        <f t="shared" si="43"/>
        <v>FRD</v>
      </c>
      <c r="AM424" s="662" t="str">
        <f t="shared" si="46"/>
        <v>Expedition-Platinum-RWD-8-~-~-3.5L-6-U1L-600A-122.5-23.3-Unleaded-Unleaded</v>
      </c>
      <c r="AN424" s="662" t="str">
        <f t="shared" si="44"/>
        <v>2019-SUV-FRD-EXPD-008</v>
      </c>
    </row>
    <row r="425" spans="1:40" s="572" customFormat="1" ht="15">
      <c r="A425" s="570" t="s">
        <v>1196</v>
      </c>
      <c r="B425" s="573" t="s">
        <v>1194</v>
      </c>
      <c r="C425" s="573" t="s">
        <v>278</v>
      </c>
      <c r="D425" s="578">
        <v>15</v>
      </c>
      <c r="E425" s="573" t="s">
        <v>699</v>
      </c>
      <c r="F425" s="573" t="s">
        <v>187</v>
      </c>
      <c r="G425" s="573" t="s">
        <v>271</v>
      </c>
      <c r="H425" s="573">
        <v>2019</v>
      </c>
      <c r="I425" s="573" t="s">
        <v>1123</v>
      </c>
      <c r="J425" s="573" t="s">
        <v>1188</v>
      </c>
      <c r="K425" s="573" t="s">
        <v>236</v>
      </c>
      <c r="L425" s="573">
        <v>8</v>
      </c>
      <c r="M425" s="573">
        <v>0</v>
      </c>
      <c r="N425" s="573" t="s">
        <v>157</v>
      </c>
      <c r="O425" s="573">
        <v>3</v>
      </c>
      <c r="P425" s="573" t="s">
        <v>157</v>
      </c>
      <c r="Q425" s="571" t="s">
        <v>157</v>
      </c>
      <c r="R425" s="573" t="s">
        <v>316</v>
      </c>
      <c r="S425" s="573">
        <v>6</v>
      </c>
      <c r="T425" s="573" t="s">
        <v>1195</v>
      </c>
      <c r="U425" s="573" t="s">
        <v>366</v>
      </c>
      <c r="V425" s="573">
        <v>122.5</v>
      </c>
      <c r="W425" s="573">
        <v>23.3</v>
      </c>
      <c r="X425" s="571">
        <v>7200</v>
      </c>
      <c r="Y425" s="573">
        <v>20</v>
      </c>
      <c r="Z425" s="579" t="s">
        <v>178</v>
      </c>
      <c r="AA425" s="579" t="s">
        <v>178</v>
      </c>
      <c r="AB425" s="584">
        <v>74660</v>
      </c>
      <c r="AC425" s="584" t="s">
        <v>164</v>
      </c>
      <c r="AD425" s="584">
        <v>64995</v>
      </c>
      <c r="AE425" s="586">
        <v>0.01</v>
      </c>
      <c r="AF425" s="661" t="str">
        <f t="shared" si="45"/>
        <v>2019-SUV-FRD-EXPD-008-15</v>
      </c>
      <c r="AG425" s="661" t="str">
        <f>IF(AND($Y425&gt;=32,(AI425="I"),(Y425&lt;&gt;"~"),(COUNTIF($AN$1:$AN425,$AN425)=1)),"TRUE","FALSE")</f>
        <v>FALSE</v>
      </c>
      <c r="AH425" s="661" t="str">
        <f>IF(AND($Y425&gt;=22, (AI425&lt;&gt;"I"),(Y425&lt;&gt;"~"),(COUNTIF($AN$1:$AN425,$AN425)=1)),"TRUE","FALSE")</f>
        <v>FALSE</v>
      </c>
      <c r="AI425" s="661" t="str">
        <f t="shared" si="47"/>
        <v>II</v>
      </c>
      <c r="AJ425" s="662" t="str">
        <f t="shared" si="41"/>
        <v>EXPD-008</v>
      </c>
      <c r="AK425" s="662" t="str">
        <f t="shared" si="42"/>
        <v>SUV</v>
      </c>
      <c r="AL425" s="662" t="str">
        <f t="shared" si="43"/>
        <v>FRD</v>
      </c>
      <c r="AM425" s="662" t="str">
        <f t="shared" si="46"/>
        <v>Expedition-Platinum-RWD-8-~-~-3.5L-6-U1L-600A-122.5-23.3-Unleaded-Unleaded</v>
      </c>
      <c r="AN425" s="662" t="str">
        <f t="shared" si="44"/>
        <v>2019-SUV-FRD-EXPD-008</v>
      </c>
    </row>
    <row r="426" spans="1:40" s="572" customFormat="1" ht="15">
      <c r="A426" s="570" t="s">
        <v>1197</v>
      </c>
      <c r="B426" s="569" t="s">
        <v>1194</v>
      </c>
      <c r="C426" s="569" t="s">
        <v>287</v>
      </c>
      <c r="D426" s="580">
        <v>26</v>
      </c>
      <c r="E426" s="569" t="s">
        <v>699</v>
      </c>
      <c r="F426" s="569" t="s">
        <v>187</v>
      </c>
      <c r="G426" s="569" t="s">
        <v>271</v>
      </c>
      <c r="H426" s="569">
        <v>2019</v>
      </c>
      <c r="I426" s="569" t="s">
        <v>1123</v>
      </c>
      <c r="J426" s="569" t="s">
        <v>1188</v>
      </c>
      <c r="K426" s="569" t="s">
        <v>236</v>
      </c>
      <c r="L426" s="569">
        <v>8</v>
      </c>
      <c r="M426" s="569">
        <v>0</v>
      </c>
      <c r="N426" s="569" t="s">
        <v>157</v>
      </c>
      <c r="O426" s="569">
        <v>3</v>
      </c>
      <c r="P426" s="569" t="s">
        <v>157</v>
      </c>
      <c r="Q426" s="568" t="s">
        <v>157</v>
      </c>
      <c r="R426" s="569" t="s">
        <v>316</v>
      </c>
      <c r="S426" s="569">
        <v>6</v>
      </c>
      <c r="T426" s="569" t="s">
        <v>1195</v>
      </c>
      <c r="U426" s="569" t="s">
        <v>366</v>
      </c>
      <c r="V426" s="569">
        <v>122.5</v>
      </c>
      <c r="W426" s="569">
        <v>23.3</v>
      </c>
      <c r="X426" s="568">
        <v>7200</v>
      </c>
      <c r="Y426" s="569">
        <v>20</v>
      </c>
      <c r="Z426" s="581" t="s">
        <v>178</v>
      </c>
      <c r="AA426" s="581" t="s">
        <v>178</v>
      </c>
      <c r="AB426" s="585">
        <v>74660</v>
      </c>
      <c r="AC426" s="585" t="s">
        <v>164</v>
      </c>
      <c r="AD426" s="585">
        <v>65710</v>
      </c>
      <c r="AE426" s="587">
        <v>0.05</v>
      </c>
      <c r="AF426" s="661" t="str">
        <f t="shared" si="45"/>
        <v>2019-SUV-FRD-EXPD-008-26</v>
      </c>
      <c r="AG426" s="661" t="str">
        <f>IF(AND($Y426&gt;=32,(AI426="I"),(Y426&lt;&gt;"~"),(COUNTIF($AN$1:$AN426,$AN426)=1)),"TRUE","FALSE")</f>
        <v>FALSE</v>
      </c>
      <c r="AH426" s="661" t="str">
        <f>IF(AND($Y426&gt;=22, (AI426&lt;&gt;"I"),(Y426&lt;&gt;"~"),(COUNTIF($AN$1:$AN426,$AN426)=1)),"TRUE","FALSE")</f>
        <v>FALSE</v>
      </c>
      <c r="AI426" s="661" t="str">
        <f t="shared" si="47"/>
        <v>II</v>
      </c>
      <c r="AJ426" s="662" t="str">
        <f t="shared" si="41"/>
        <v>EXPD-008</v>
      </c>
      <c r="AK426" s="662" t="str">
        <f t="shared" si="42"/>
        <v>SUV</v>
      </c>
      <c r="AL426" s="662" t="str">
        <f t="shared" si="43"/>
        <v>FRD</v>
      </c>
      <c r="AM426" s="662" t="str">
        <f t="shared" si="46"/>
        <v>Expedition-Platinum-RWD-8-~-~-3.5L-6-U1L-600A-122.5-23.3-Unleaded-Unleaded</v>
      </c>
      <c r="AN426" s="662" t="str">
        <f t="shared" si="44"/>
        <v>2019-SUV-FRD-EXPD-008</v>
      </c>
    </row>
    <row r="427" spans="1:40" s="572" customFormat="1" ht="15">
      <c r="A427" s="570" t="s">
        <v>1198</v>
      </c>
      <c r="B427" s="573" t="s">
        <v>1194</v>
      </c>
      <c r="C427" s="573" t="s">
        <v>280</v>
      </c>
      <c r="D427" s="578">
        <v>27</v>
      </c>
      <c r="E427" s="573" t="s">
        <v>699</v>
      </c>
      <c r="F427" s="573" t="s">
        <v>187</v>
      </c>
      <c r="G427" s="573" t="s">
        <v>271</v>
      </c>
      <c r="H427" s="573">
        <v>2019</v>
      </c>
      <c r="I427" s="573" t="s">
        <v>1123</v>
      </c>
      <c r="J427" s="573" t="s">
        <v>1188</v>
      </c>
      <c r="K427" s="573" t="s">
        <v>236</v>
      </c>
      <c r="L427" s="573">
        <v>8</v>
      </c>
      <c r="M427" s="573">
        <v>0</v>
      </c>
      <c r="N427" s="573" t="s">
        <v>157</v>
      </c>
      <c r="O427" s="573">
        <v>3</v>
      </c>
      <c r="P427" s="573" t="s">
        <v>157</v>
      </c>
      <c r="Q427" s="571" t="s">
        <v>157</v>
      </c>
      <c r="R427" s="573" t="s">
        <v>316</v>
      </c>
      <c r="S427" s="573">
        <v>6</v>
      </c>
      <c r="T427" s="573" t="s">
        <v>1195</v>
      </c>
      <c r="U427" s="573" t="s">
        <v>366</v>
      </c>
      <c r="V427" s="573">
        <v>122.5</v>
      </c>
      <c r="W427" s="573">
        <v>23.3</v>
      </c>
      <c r="X427" s="571">
        <v>7200</v>
      </c>
      <c r="Y427" s="573">
        <v>20</v>
      </c>
      <c r="Z427" s="579" t="s">
        <v>178</v>
      </c>
      <c r="AA427" s="579" t="s">
        <v>178</v>
      </c>
      <c r="AB427" s="584">
        <v>74660</v>
      </c>
      <c r="AC427" s="584" t="s">
        <v>164</v>
      </c>
      <c r="AD427" s="584">
        <v>63569</v>
      </c>
      <c r="AE427" s="586">
        <v>0.03</v>
      </c>
      <c r="AF427" s="661" t="str">
        <f t="shared" si="45"/>
        <v>2019-SUV-FRD-EXPD-008-27</v>
      </c>
      <c r="AG427" s="661" t="str">
        <f>IF(AND($Y427&gt;=32,(AI427="I"),(Y427&lt;&gt;"~"),(COUNTIF($AN$1:$AN427,$AN427)=1)),"TRUE","FALSE")</f>
        <v>FALSE</v>
      </c>
      <c r="AH427" s="661" t="str">
        <f>IF(AND($Y427&gt;=22, (AI427&lt;&gt;"I"),(Y427&lt;&gt;"~"),(COUNTIF($AN$1:$AN427,$AN427)=1)),"TRUE","FALSE")</f>
        <v>FALSE</v>
      </c>
      <c r="AI427" s="661" t="str">
        <f t="shared" si="47"/>
        <v>II</v>
      </c>
      <c r="AJ427" s="662" t="str">
        <f t="shared" si="41"/>
        <v>EXPD-008</v>
      </c>
      <c r="AK427" s="662" t="str">
        <f t="shared" si="42"/>
        <v>SUV</v>
      </c>
      <c r="AL427" s="662" t="str">
        <f t="shared" si="43"/>
        <v>FRD</v>
      </c>
      <c r="AM427" s="662" t="str">
        <f t="shared" si="46"/>
        <v>Expedition-Platinum-RWD-8-~-~-3.5L-6-U1L-600A-122.5-23.3-Unleaded-Unleaded</v>
      </c>
      <c r="AN427" s="662" t="str">
        <f t="shared" si="44"/>
        <v>2019-SUV-FRD-EXPD-008</v>
      </c>
    </row>
    <row r="428" spans="1:40" s="572" customFormat="1" ht="15">
      <c r="A428" s="570" t="s">
        <v>1199</v>
      </c>
      <c r="B428" s="569" t="s">
        <v>1200</v>
      </c>
      <c r="C428" s="569" t="s">
        <v>269</v>
      </c>
      <c r="D428" s="580" t="s">
        <v>270</v>
      </c>
      <c r="E428" s="569" t="s">
        <v>699</v>
      </c>
      <c r="F428" s="569" t="s">
        <v>187</v>
      </c>
      <c r="G428" s="569" t="s">
        <v>271</v>
      </c>
      <c r="H428" s="569">
        <v>2019</v>
      </c>
      <c r="I428" s="569" t="s">
        <v>1123</v>
      </c>
      <c r="J428" s="569" t="s">
        <v>1201</v>
      </c>
      <c r="K428" s="569" t="s">
        <v>752</v>
      </c>
      <c r="L428" s="569">
        <v>5</v>
      </c>
      <c r="M428" s="569">
        <v>0</v>
      </c>
      <c r="N428" s="569" t="s">
        <v>157</v>
      </c>
      <c r="O428" s="569">
        <v>2</v>
      </c>
      <c r="P428" s="569" t="s">
        <v>157</v>
      </c>
      <c r="Q428" s="568" t="s">
        <v>157</v>
      </c>
      <c r="R428" s="569" t="s">
        <v>316</v>
      </c>
      <c r="S428" s="569">
        <v>6</v>
      </c>
      <c r="T428" s="569" t="s">
        <v>1202</v>
      </c>
      <c r="U428" s="569" t="s">
        <v>276</v>
      </c>
      <c r="V428" s="569">
        <v>122.5</v>
      </c>
      <c r="W428" s="569">
        <v>23.3</v>
      </c>
      <c r="X428" s="568">
        <v>7450</v>
      </c>
      <c r="Y428" s="569">
        <v>19</v>
      </c>
      <c r="Z428" s="581" t="s">
        <v>178</v>
      </c>
      <c r="AA428" s="581" t="s">
        <v>178</v>
      </c>
      <c r="AB428" s="585">
        <v>52825</v>
      </c>
      <c r="AC428" s="585" t="s">
        <v>164</v>
      </c>
      <c r="AD428" s="585">
        <v>40047.583333333336</v>
      </c>
      <c r="AE428" s="587">
        <v>0.03</v>
      </c>
      <c r="AF428" s="661" t="str">
        <f t="shared" si="45"/>
        <v>2019-SUV-FRD-EXPD-001-05</v>
      </c>
      <c r="AG428" s="661" t="str">
        <f>IF(AND($Y428&gt;=32,(AI428="I"),(Y428&lt;&gt;"~"),(COUNTIF($AN$1:$AN428,$AN428)=1)),"TRUE","FALSE")</f>
        <v>FALSE</v>
      </c>
      <c r="AH428" s="661" t="str">
        <f>IF(AND($Y428&gt;=22, (AI428&lt;&gt;"I"),(Y428&lt;&gt;"~"),(COUNTIF($AN$1:$AN428,$AN428)=1)),"TRUE","FALSE")</f>
        <v>FALSE</v>
      </c>
      <c r="AI428" s="661" t="str">
        <f t="shared" si="47"/>
        <v>II</v>
      </c>
      <c r="AJ428" s="662" t="str">
        <f t="shared" si="41"/>
        <v>EXPD-001</v>
      </c>
      <c r="AK428" s="662" t="str">
        <f t="shared" si="42"/>
        <v>SUV</v>
      </c>
      <c r="AL428" s="662" t="str">
        <f t="shared" si="43"/>
        <v>FRD</v>
      </c>
      <c r="AM428" s="662" t="str">
        <f t="shared" si="46"/>
        <v>Expedition-XL-4WD-5-~-~-3.5L-6-U1G-100A-122.5-23.3-Unleaded-Unleaded</v>
      </c>
      <c r="AN428" s="662" t="str">
        <f t="shared" si="44"/>
        <v>2019-SUV-FRD-EXPD-001</v>
      </c>
    </row>
    <row r="429" spans="1:40" s="572" customFormat="1" ht="15">
      <c r="A429" s="570" t="s">
        <v>1203</v>
      </c>
      <c r="B429" s="573" t="s">
        <v>1200</v>
      </c>
      <c r="C429" s="573" t="s">
        <v>278</v>
      </c>
      <c r="D429" s="578">
        <v>15</v>
      </c>
      <c r="E429" s="573" t="s">
        <v>699</v>
      </c>
      <c r="F429" s="573" t="s">
        <v>187</v>
      </c>
      <c r="G429" s="573" t="s">
        <v>271</v>
      </c>
      <c r="H429" s="573">
        <v>2019</v>
      </c>
      <c r="I429" s="573" t="s">
        <v>1123</v>
      </c>
      <c r="J429" s="573" t="s">
        <v>1201</v>
      </c>
      <c r="K429" s="573" t="s">
        <v>752</v>
      </c>
      <c r="L429" s="573">
        <v>5</v>
      </c>
      <c r="M429" s="573">
        <v>0</v>
      </c>
      <c r="N429" s="573" t="s">
        <v>157</v>
      </c>
      <c r="O429" s="573">
        <v>2</v>
      </c>
      <c r="P429" s="573" t="s">
        <v>157</v>
      </c>
      <c r="Q429" s="571" t="s">
        <v>157</v>
      </c>
      <c r="R429" s="573" t="s">
        <v>316</v>
      </c>
      <c r="S429" s="573">
        <v>6</v>
      </c>
      <c r="T429" s="573" t="s">
        <v>1202</v>
      </c>
      <c r="U429" s="573" t="s">
        <v>276</v>
      </c>
      <c r="V429" s="573">
        <v>122.5</v>
      </c>
      <c r="W429" s="573">
        <v>23.3</v>
      </c>
      <c r="X429" s="571">
        <v>7450</v>
      </c>
      <c r="Y429" s="573">
        <v>19</v>
      </c>
      <c r="Z429" s="579" t="s">
        <v>178</v>
      </c>
      <c r="AA429" s="579" t="s">
        <v>178</v>
      </c>
      <c r="AB429" s="584">
        <v>52825</v>
      </c>
      <c r="AC429" s="584" t="s">
        <v>164</v>
      </c>
      <c r="AD429" s="584">
        <v>40750</v>
      </c>
      <c r="AE429" s="586">
        <v>0.01</v>
      </c>
      <c r="AF429" s="661" t="str">
        <f t="shared" si="45"/>
        <v>2019-SUV-FRD-EXPD-001-15</v>
      </c>
      <c r="AG429" s="661" t="str">
        <f>IF(AND($Y429&gt;=32,(AI429="I"),(Y429&lt;&gt;"~"),(COUNTIF($AN$1:$AN429,$AN429)=1)),"TRUE","FALSE")</f>
        <v>FALSE</v>
      </c>
      <c r="AH429" s="661" t="str">
        <f>IF(AND($Y429&gt;=22, (AI429&lt;&gt;"I"),(Y429&lt;&gt;"~"),(COUNTIF($AN$1:$AN429,$AN429)=1)),"TRUE","FALSE")</f>
        <v>FALSE</v>
      </c>
      <c r="AI429" s="661" t="str">
        <f t="shared" si="47"/>
        <v>II</v>
      </c>
      <c r="AJ429" s="662" t="str">
        <f t="shared" si="41"/>
        <v>EXPD-001</v>
      </c>
      <c r="AK429" s="662" t="str">
        <f t="shared" si="42"/>
        <v>SUV</v>
      </c>
      <c r="AL429" s="662" t="str">
        <f t="shared" si="43"/>
        <v>FRD</v>
      </c>
      <c r="AM429" s="662" t="str">
        <f t="shared" si="46"/>
        <v>Expedition-XL-4WD-5-~-~-3.5L-6-U1G-100A-122.5-23.3-Unleaded-Unleaded</v>
      </c>
      <c r="AN429" s="662" t="str">
        <f t="shared" si="44"/>
        <v>2019-SUV-FRD-EXPD-001</v>
      </c>
    </row>
    <row r="430" spans="1:40" s="572" customFormat="1" ht="15">
      <c r="A430" s="570" t="s">
        <v>1204</v>
      </c>
      <c r="B430" s="569" t="s">
        <v>1200</v>
      </c>
      <c r="C430" s="569" t="s">
        <v>287</v>
      </c>
      <c r="D430" s="580">
        <v>26</v>
      </c>
      <c r="E430" s="569" t="s">
        <v>699</v>
      </c>
      <c r="F430" s="569" t="s">
        <v>187</v>
      </c>
      <c r="G430" s="569" t="s">
        <v>271</v>
      </c>
      <c r="H430" s="569">
        <v>2019</v>
      </c>
      <c r="I430" s="569" t="s">
        <v>1123</v>
      </c>
      <c r="J430" s="569" t="s">
        <v>1201</v>
      </c>
      <c r="K430" s="569" t="s">
        <v>752</v>
      </c>
      <c r="L430" s="569">
        <v>5</v>
      </c>
      <c r="M430" s="569">
        <v>0</v>
      </c>
      <c r="N430" s="569" t="s">
        <v>157</v>
      </c>
      <c r="O430" s="569">
        <v>2</v>
      </c>
      <c r="P430" s="569" t="s">
        <v>157</v>
      </c>
      <c r="Q430" s="568" t="s">
        <v>157</v>
      </c>
      <c r="R430" s="569" t="s">
        <v>316</v>
      </c>
      <c r="S430" s="569">
        <v>6</v>
      </c>
      <c r="T430" s="569" t="s">
        <v>1202</v>
      </c>
      <c r="U430" s="569" t="s">
        <v>276</v>
      </c>
      <c r="V430" s="569">
        <v>122.5</v>
      </c>
      <c r="W430" s="569">
        <v>23.3</v>
      </c>
      <c r="X430" s="568">
        <v>7450</v>
      </c>
      <c r="Y430" s="569">
        <v>19</v>
      </c>
      <c r="Z430" s="581" t="s">
        <v>178</v>
      </c>
      <c r="AA430" s="581" t="s">
        <v>178</v>
      </c>
      <c r="AB430" s="585">
        <v>52825</v>
      </c>
      <c r="AC430" s="585" t="s">
        <v>164</v>
      </c>
      <c r="AD430" s="585">
        <v>41255</v>
      </c>
      <c r="AE430" s="587">
        <v>0.05</v>
      </c>
      <c r="AF430" s="661" t="str">
        <f t="shared" si="45"/>
        <v>2019-SUV-FRD-EXPD-001-26</v>
      </c>
      <c r="AG430" s="661" t="str">
        <f>IF(AND($Y430&gt;=32,(AI430="I"),(Y430&lt;&gt;"~"),(COUNTIF($AN$1:$AN430,$AN430)=1)),"TRUE","FALSE")</f>
        <v>FALSE</v>
      </c>
      <c r="AH430" s="661" t="str">
        <f>IF(AND($Y430&gt;=22, (AI430&lt;&gt;"I"),(Y430&lt;&gt;"~"),(COUNTIF($AN$1:$AN430,$AN430)=1)),"TRUE","FALSE")</f>
        <v>FALSE</v>
      </c>
      <c r="AI430" s="661" t="str">
        <f t="shared" si="47"/>
        <v>II</v>
      </c>
      <c r="AJ430" s="662" t="str">
        <f t="shared" si="41"/>
        <v>EXPD-001</v>
      </c>
      <c r="AK430" s="662" t="str">
        <f t="shared" si="42"/>
        <v>SUV</v>
      </c>
      <c r="AL430" s="662" t="str">
        <f t="shared" si="43"/>
        <v>FRD</v>
      </c>
      <c r="AM430" s="662" t="str">
        <f t="shared" si="46"/>
        <v>Expedition-XL-4WD-5-~-~-3.5L-6-U1G-100A-122.5-23.3-Unleaded-Unleaded</v>
      </c>
      <c r="AN430" s="662" t="str">
        <f t="shared" si="44"/>
        <v>2019-SUV-FRD-EXPD-001</v>
      </c>
    </row>
    <row r="431" spans="1:40" s="572" customFormat="1" ht="15">
      <c r="A431" s="570" t="s">
        <v>1205</v>
      </c>
      <c r="B431" s="573" t="s">
        <v>1200</v>
      </c>
      <c r="C431" s="573" t="s">
        <v>280</v>
      </c>
      <c r="D431" s="578">
        <v>27</v>
      </c>
      <c r="E431" s="573" t="s">
        <v>699</v>
      </c>
      <c r="F431" s="573" t="s">
        <v>187</v>
      </c>
      <c r="G431" s="573" t="s">
        <v>271</v>
      </c>
      <c r="H431" s="573">
        <v>2019</v>
      </c>
      <c r="I431" s="573" t="s">
        <v>1123</v>
      </c>
      <c r="J431" s="573" t="s">
        <v>1201</v>
      </c>
      <c r="K431" s="573" t="s">
        <v>752</v>
      </c>
      <c r="L431" s="573">
        <v>5</v>
      </c>
      <c r="M431" s="573">
        <v>0</v>
      </c>
      <c r="N431" s="573" t="s">
        <v>157</v>
      </c>
      <c r="O431" s="573">
        <v>2</v>
      </c>
      <c r="P431" s="573" t="s">
        <v>157</v>
      </c>
      <c r="Q431" s="571" t="s">
        <v>157</v>
      </c>
      <c r="R431" s="573" t="s">
        <v>316</v>
      </c>
      <c r="S431" s="573">
        <v>6</v>
      </c>
      <c r="T431" s="573" t="s">
        <v>1202</v>
      </c>
      <c r="U431" s="573" t="s">
        <v>276</v>
      </c>
      <c r="V431" s="573">
        <v>122.5</v>
      </c>
      <c r="W431" s="573">
        <v>23.3</v>
      </c>
      <c r="X431" s="571">
        <v>7450</v>
      </c>
      <c r="Y431" s="573">
        <v>19</v>
      </c>
      <c r="Z431" s="579" t="s">
        <v>178</v>
      </c>
      <c r="AA431" s="579" t="s">
        <v>178</v>
      </c>
      <c r="AB431" s="584">
        <v>52825</v>
      </c>
      <c r="AC431" s="584" t="s">
        <v>164</v>
      </c>
      <c r="AD431" s="584">
        <v>40047.583333333336</v>
      </c>
      <c r="AE431" s="586">
        <v>0.03</v>
      </c>
      <c r="AF431" s="661" t="str">
        <f t="shared" si="45"/>
        <v>2019-SUV-FRD-EXPD-001-27</v>
      </c>
      <c r="AG431" s="661" t="str">
        <f>IF(AND($Y431&gt;=32,(AI431="I"),(Y431&lt;&gt;"~"),(COUNTIF($AN$1:$AN431,$AN431)=1)),"TRUE","FALSE")</f>
        <v>FALSE</v>
      </c>
      <c r="AH431" s="661" t="str">
        <f>IF(AND($Y431&gt;=22, (AI431&lt;&gt;"I"),(Y431&lt;&gt;"~"),(COUNTIF($AN$1:$AN431,$AN431)=1)),"TRUE","FALSE")</f>
        <v>FALSE</v>
      </c>
      <c r="AI431" s="661" t="str">
        <f t="shared" si="47"/>
        <v>II</v>
      </c>
      <c r="AJ431" s="662" t="str">
        <f t="shared" si="41"/>
        <v>EXPD-001</v>
      </c>
      <c r="AK431" s="662" t="str">
        <f t="shared" si="42"/>
        <v>SUV</v>
      </c>
      <c r="AL431" s="662" t="str">
        <f t="shared" si="43"/>
        <v>FRD</v>
      </c>
      <c r="AM431" s="662" t="str">
        <f t="shared" si="46"/>
        <v>Expedition-XL-4WD-5-~-~-3.5L-6-U1G-100A-122.5-23.3-Unleaded-Unleaded</v>
      </c>
      <c r="AN431" s="662" t="str">
        <f t="shared" si="44"/>
        <v>2019-SUV-FRD-EXPD-001</v>
      </c>
    </row>
    <row r="432" spans="1:40" s="572" customFormat="1" ht="15">
      <c r="A432" s="570" t="s">
        <v>1206</v>
      </c>
      <c r="B432" s="569" t="s">
        <v>1207</v>
      </c>
      <c r="C432" s="569" t="s">
        <v>269</v>
      </c>
      <c r="D432" s="580" t="s">
        <v>270</v>
      </c>
      <c r="E432" s="569" t="s">
        <v>699</v>
      </c>
      <c r="F432" s="569" t="s">
        <v>187</v>
      </c>
      <c r="G432" s="569" t="s">
        <v>271</v>
      </c>
      <c r="H432" s="569">
        <v>2019</v>
      </c>
      <c r="I432" s="569" t="s">
        <v>1123</v>
      </c>
      <c r="J432" s="569" t="s">
        <v>1201</v>
      </c>
      <c r="K432" s="569" t="s">
        <v>236</v>
      </c>
      <c r="L432" s="569">
        <v>5</v>
      </c>
      <c r="M432" s="569">
        <v>0</v>
      </c>
      <c r="N432" s="569" t="s">
        <v>157</v>
      </c>
      <c r="O432" s="569">
        <v>2</v>
      </c>
      <c r="P432" s="569" t="s">
        <v>157</v>
      </c>
      <c r="Q432" s="568" t="s">
        <v>157</v>
      </c>
      <c r="R432" s="569" t="s">
        <v>316</v>
      </c>
      <c r="S432" s="569">
        <v>6</v>
      </c>
      <c r="T432" s="569" t="s">
        <v>1208</v>
      </c>
      <c r="U432" s="569" t="s">
        <v>276</v>
      </c>
      <c r="V432" s="569">
        <v>122.5</v>
      </c>
      <c r="W432" s="569">
        <v>23.3</v>
      </c>
      <c r="X432" s="568">
        <v>7200</v>
      </c>
      <c r="Y432" s="569">
        <v>20</v>
      </c>
      <c r="Z432" s="581" t="s">
        <v>178</v>
      </c>
      <c r="AA432" s="581" t="s">
        <v>178</v>
      </c>
      <c r="AB432" s="585">
        <v>49825</v>
      </c>
      <c r="AC432" s="585" t="s">
        <v>164</v>
      </c>
      <c r="AD432" s="585">
        <v>37273.625</v>
      </c>
      <c r="AE432" s="587">
        <v>0.03</v>
      </c>
      <c r="AF432" s="661" t="str">
        <f t="shared" si="45"/>
        <v>2019-SUV-FRD-EXPD-002-05</v>
      </c>
      <c r="AG432" s="661" t="str">
        <f>IF(AND($Y432&gt;=32,(AI432="I"),(Y432&lt;&gt;"~"),(COUNTIF($AN$1:$AN432,$AN432)=1)),"TRUE","FALSE")</f>
        <v>FALSE</v>
      </c>
      <c r="AH432" s="661" t="str">
        <f>IF(AND($Y432&gt;=22, (AI432&lt;&gt;"I"),(Y432&lt;&gt;"~"),(COUNTIF($AN$1:$AN432,$AN432)=1)),"TRUE","FALSE")</f>
        <v>FALSE</v>
      </c>
      <c r="AI432" s="661" t="str">
        <f t="shared" si="47"/>
        <v>II</v>
      </c>
      <c r="AJ432" s="662" t="str">
        <f t="shared" si="41"/>
        <v>EXPD-002</v>
      </c>
      <c r="AK432" s="662" t="str">
        <f t="shared" si="42"/>
        <v>SUV</v>
      </c>
      <c r="AL432" s="662" t="str">
        <f t="shared" si="43"/>
        <v>FRD</v>
      </c>
      <c r="AM432" s="662" t="str">
        <f t="shared" si="46"/>
        <v>Expedition-XL-RWD-5-~-~-3.5L-6-U1F-100A-122.5-23.3-Unleaded-Unleaded</v>
      </c>
      <c r="AN432" s="662" t="str">
        <f t="shared" si="44"/>
        <v>2019-SUV-FRD-EXPD-002</v>
      </c>
    </row>
    <row r="433" spans="1:40" s="572" customFormat="1" ht="15">
      <c r="A433" s="570" t="s">
        <v>1209</v>
      </c>
      <c r="B433" s="573" t="s">
        <v>1207</v>
      </c>
      <c r="C433" s="573" t="s">
        <v>278</v>
      </c>
      <c r="D433" s="578">
        <v>15</v>
      </c>
      <c r="E433" s="573" t="s">
        <v>699</v>
      </c>
      <c r="F433" s="573" t="s">
        <v>187</v>
      </c>
      <c r="G433" s="573" t="s">
        <v>271</v>
      </c>
      <c r="H433" s="573">
        <v>2019</v>
      </c>
      <c r="I433" s="573" t="s">
        <v>1123</v>
      </c>
      <c r="J433" s="573" t="s">
        <v>1201</v>
      </c>
      <c r="K433" s="573" t="s">
        <v>236</v>
      </c>
      <c r="L433" s="573">
        <v>5</v>
      </c>
      <c r="M433" s="573">
        <v>0</v>
      </c>
      <c r="N433" s="573" t="s">
        <v>157</v>
      </c>
      <c r="O433" s="573">
        <v>2</v>
      </c>
      <c r="P433" s="573" t="s">
        <v>157</v>
      </c>
      <c r="Q433" s="571" t="s">
        <v>157</v>
      </c>
      <c r="R433" s="573" t="s">
        <v>316</v>
      </c>
      <c r="S433" s="573">
        <v>6</v>
      </c>
      <c r="T433" s="573" t="s">
        <v>1208</v>
      </c>
      <c r="U433" s="573" t="s">
        <v>276</v>
      </c>
      <c r="V433" s="573">
        <v>122.5</v>
      </c>
      <c r="W433" s="573">
        <v>23.3</v>
      </c>
      <c r="X433" s="571">
        <v>7200</v>
      </c>
      <c r="Y433" s="573">
        <v>20</v>
      </c>
      <c r="Z433" s="579" t="s">
        <v>178</v>
      </c>
      <c r="AA433" s="579" t="s">
        <v>178</v>
      </c>
      <c r="AB433" s="584">
        <v>49825</v>
      </c>
      <c r="AC433" s="584" t="s">
        <v>164</v>
      </c>
      <c r="AD433" s="584">
        <v>37850</v>
      </c>
      <c r="AE433" s="586">
        <v>0.01</v>
      </c>
      <c r="AF433" s="661" t="str">
        <f t="shared" si="45"/>
        <v>2019-SUV-FRD-EXPD-002-15</v>
      </c>
      <c r="AG433" s="661" t="str">
        <f>IF(AND($Y433&gt;=32,(AI433="I"),(Y433&lt;&gt;"~"),(COUNTIF($AN$1:$AN433,$AN433)=1)),"TRUE","FALSE")</f>
        <v>FALSE</v>
      </c>
      <c r="AH433" s="661" t="str">
        <f>IF(AND($Y433&gt;=22, (AI433&lt;&gt;"I"),(Y433&lt;&gt;"~"),(COUNTIF($AN$1:$AN433,$AN433)=1)),"TRUE","FALSE")</f>
        <v>FALSE</v>
      </c>
      <c r="AI433" s="661" t="str">
        <f t="shared" si="47"/>
        <v>II</v>
      </c>
      <c r="AJ433" s="662" t="str">
        <f t="shared" si="41"/>
        <v>EXPD-002</v>
      </c>
      <c r="AK433" s="662" t="str">
        <f t="shared" si="42"/>
        <v>SUV</v>
      </c>
      <c r="AL433" s="662" t="str">
        <f t="shared" si="43"/>
        <v>FRD</v>
      </c>
      <c r="AM433" s="662" t="str">
        <f t="shared" si="46"/>
        <v>Expedition-XL-RWD-5-~-~-3.5L-6-U1F-100A-122.5-23.3-Unleaded-Unleaded</v>
      </c>
      <c r="AN433" s="662" t="str">
        <f t="shared" si="44"/>
        <v>2019-SUV-FRD-EXPD-002</v>
      </c>
    </row>
    <row r="434" spans="1:40" s="572" customFormat="1" ht="15">
      <c r="A434" s="570" t="s">
        <v>1210</v>
      </c>
      <c r="B434" s="569" t="s">
        <v>1207</v>
      </c>
      <c r="C434" s="569" t="s">
        <v>287</v>
      </c>
      <c r="D434" s="580">
        <v>26</v>
      </c>
      <c r="E434" s="569" t="s">
        <v>699</v>
      </c>
      <c r="F434" s="569" t="s">
        <v>187</v>
      </c>
      <c r="G434" s="569" t="s">
        <v>271</v>
      </c>
      <c r="H434" s="569">
        <v>2019</v>
      </c>
      <c r="I434" s="569" t="s">
        <v>1123</v>
      </c>
      <c r="J434" s="569" t="s">
        <v>1201</v>
      </c>
      <c r="K434" s="569" t="s">
        <v>236</v>
      </c>
      <c r="L434" s="569">
        <v>5</v>
      </c>
      <c r="M434" s="569">
        <v>0</v>
      </c>
      <c r="N434" s="569" t="s">
        <v>157</v>
      </c>
      <c r="O434" s="569">
        <v>2</v>
      </c>
      <c r="P434" s="569" t="s">
        <v>157</v>
      </c>
      <c r="Q434" s="568" t="s">
        <v>157</v>
      </c>
      <c r="R434" s="569" t="s">
        <v>316</v>
      </c>
      <c r="S434" s="569">
        <v>6</v>
      </c>
      <c r="T434" s="569" t="s">
        <v>1208</v>
      </c>
      <c r="U434" s="569" t="s">
        <v>276</v>
      </c>
      <c r="V434" s="569">
        <v>122.5</v>
      </c>
      <c r="W434" s="569">
        <v>23.3</v>
      </c>
      <c r="X434" s="568">
        <v>7200</v>
      </c>
      <c r="Y434" s="569">
        <v>20</v>
      </c>
      <c r="Z434" s="581" t="s">
        <v>178</v>
      </c>
      <c r="AA434" s="581" t="s">
        <v>178</v>
      </c>
      <c r="AB434" s="585">
        <v>49825</v>
      </c>
      <c r="AC434" s="585" t="s">
        <v>164</v>
      </c>
      <c r="AD434" s="585">
        <v>38396</v>
      </c>
      <c r="AE434" s="587">
        <v>0.05</v>
      </c>
      <c r="AF434" s="661" t="str">
        <f t="shared" si="45"/>
        <v>2019-SUV-FRD-EXPD-002-26</v>
      </c>
      <c r="AG434" s="661" t="str">
        <f>IF(AND($Y434&gt;=32,(AI434="I"),(Y434&lt;&gt;"~"),(COUNTIF($AN$1:$AN434,$AN434)=1)),"TRUE","FALSE")</f>
        <v>FALSE</v>
      </c>
      <c r="AH434" s="661" t="str">
        <f>IF(AND($Y434&gt;=22, (AI434&lt;&gt;"I"),(Y434&lt;&gt;"~"),(COUNTIF($AN$1:$AN434,$AN434)=1)),"TRUE","FALSE")</f>
        <v>FALSE</v>
      </c>
      <c r="AI434" s="661" t="str">
        <f t="shared" si="47"/>
        <v>II</v>
      </c>
      <c r="AJ434" s="662" t="str">
        <f t="shared" si="41"/>
        <v>EXPD-002</v>
      </c>
      <c r="AK434" s="662" t="str">
        <f t="shared" si="42"/>
        <v>SUV</v>
      </c>
      <c r="AL434" s="662" t="str">
        <f t="shared" si="43"/>
        <v>FRD</v>
      </c>
      <c r="AM434" s="662" t="str">
        <f t="shared" si="46"/>
        <v>Expedition-XL-RWD-5-~-~-3.5L-6-U1F-100A-122.5-23.3-Unleaded-Unleaded</v>
      </c>
      <c r="AN434" s="662" t="str">
        <f t="shared" si="44"/>
        <v>2019-SUV-FRD-EXPD-002</v>
      </c>
    </row>
    <row r="435" spans="1:40" s="572" customFormat="1" ht="15">
      <c r="A435" s="570" t="s">
        <v>1211</v>
      </c>
      <c r="B435" s="573" t="s">
        <v>1207</v>
      </c>
      <c r="C435" s="573" t="s">
        <v>280</v>
      </c>
      <c r="D435" s="578">
        <v>27</v>
      </c>
      <c r="E435" s="573" t="s">
        <v>699</v>
      </c>
      <c r="F435" s="573" t="s">
        <v>187</v>
      </c>
      <c r="G435" s="573" t="s">
        <v>271</v>
      </c>
      <c r="H435" s="573">
        <v>2019</v>
      </c>
      <c r="I435" s="573" t="s">
        <v>1123</v>
      </c>
      <c r="J435" s="573" t="s">
        <v>1201</v>
      </c>
      <c r="K435" s="573" t="s">
        <v>236</v>
      </c>
      <c r="L435" s="573">
        <v>5</v>
      </c>
      <c r="M435" s="573">
        <v>0</v>
      </c>
      <c r="N435" s="573" t="s">
        <v>157</v>
      </c>
      <c r="O435" s="573">
        <v>2</v>
      </c>
      <c r="P435" s="573" t="s">
        <v>157</v>
      </c>
      <c r="Q435" s="571" t="s">
        <v>157</v>
      </c>
      <c r="R435" s="573" t="s">
        <v>316</v>
      </c>
      <c r="S435" s="573">
        <v>6</v>
      </c>
      <c r="T435" s="573" t="s">
        <v>1208</v>
      </c>
      <c r="U435" s="573" t="s">
        <v>276</v>
      </c>
      <c r="V435" s="573">
        <v>122.5</v>
      </c>
      <c r="W435" s="573">
        <v>23.3</v>
      </c>
      <c r="X435" s="571">
        <v>7200</v>
      </c>
      <c r="Y435" s="573">
        <v>20</v>
      </c>
      <c r="Z435" s="579" t="s">
        <v>178</v>
      </c>
      <c r="AA435" s="579" t="s">
        <v>178</v>
      </c>
      <c r="AB435" s="584">
        <v>49825</v>
      </c>
      <c r="AC435" s="584" t="s">
        <v>164</v>
      </c>
      <c r="AD435" s="584">
        <v>37273.625</v>
      </c>
      <c r="AE435" s="586">
        <v>0.03</v>
      </c>
      <c r="AF435" s="661" t="str">
        <f t="shared" si="45"/>
        <v>2019-SUV-FRD-EXPD-002-27</v>
      </c>
      <c r="AG435" s="661" t="str">
        <f>IF(AND($Y435&gt;=32,(AI435="I"),(Y435&lt;&gt;"~"),(COUNTIF($AN$1:$AN435,$AN435)=1)),"TRUE","FALSE")</f>
        <v>FALSE</v>
      </c>
      <c r="AH435" s="661" t="str">
        <f>IF(AND($Y435&gt;=22, (AI435&lt;&gt;"I"),(Y435&lt;&gt;"~"),(COUNTIF($AN$1:$AN435,$AN435)=1)),"TRUE","FALSE")</f>
        <v>FALSE</v>
      </c>
      <c r="AI435" s="661" t="str">
        <f t="shared" si="47"/>
        <v>II</v>
      </c>
      <c r="AJ435" s="662" t="str">
        <f t="shared" si="41"/>
        <v>EXPD-002</v>
      </c>
      <c r="AK435" s="662" t="str">
        <f t="shared" si="42"/>
        <v>SUV</v>
      </c>
      <c r="AL435" s="662" t="str">
        <f t="shared" si="43"/>
        <v>FRD</v>
      </c>
      <c r="AM435" s="662" t="str">
        <f t="shared" si="46"/>
        <v>Expedition-XL-RWD-5-~-~-3.5L-6-U1F-100A-122.5-23.3-Unleaded-Unleaded</v>
      </c>
      <c r="AN435" s="662" t="str">
        <f t="shared" si="44"/>
        <v>2019-SUV-FRD-EXPD-002</v>
      </c>
    </row>
    <row r="436" spans="1:40" s="572" customFormat="1" ht="15">
      <c r="A436" s="570" t="s">
        <v>1212</v>
      </c>
      <c r="B436" s="569" t="s">
        <v>1213</v>
      </c>
      <c r="C436" s="569" t="s">
        <v>269</v>
      </c>
      <c r="D436" s="580" t="s">
        <v>270</v>
      </c>
      <c r="E436" s="569" t="s">
        <v>699</v>
      </c>
      <c r="F436" s="569" t="s">
        <v>187</v>
      </c>
      <c r="G436" s="569" t="s">
        <v>271</v>
      </c>
      <c r="H436" s="569">
        <v>2019</v>
      </c>
      <c r="I436" s="569" t="s">
        <v>1123</v>
      </c>
      <c r="J436" s="569" t="s">
        <v>1214</v>
      </c>
      <c r="K436" s="569" t="s">
        <v>752</v>
      </c>
      <c r="L436" s="569">
        <v>8</v>
      </c>
      <c r="M436" s="569">
        <v>0</v>
      </c>
      <c r="N436" s="569" t="s">
        <v>157</v>
      </c>
      <c r="O436" s="569">
        <v>3</v>
      </c>
      <c r="P436" s="569" t="s">
        <v>157</v>
      </c>
      <c r="Q436" s="568" t="s">
        <v>157</v>
      </c>
      <c r="R436" s="569" t="s">
        <v>316</v>
      </c>
      <c r="S436" s="569">
        <v>6</v>
      </c>
      <c r="T436" s="569" t="s">
        <v>1215</v>
      </c>
      <c r="U436" s="569" t="s">
        <v>295</v>
      </c>
      <c r="V436" s="569">
        <v>122.5</v>
      </c>
      <c r="W436" s="569">
        <v>23.3</v>
      </c>
      <c r="X436" s="568">
        <v>7450</v>
      </c>
      <c r="Y436" s="569">
        <v>19</v>
      </c>
      <c r="Z436" s="581" t="s">
        <v>178</v>
      </c>
      <c r="AA436" s="581" t="s">
        <v>178</v>
      </c>
      <c r="AB436" s="585">
        <v>56435</v>
      </c>
      <c r="AC436" s="585" t="s">
        <v>164</v>
      </c>
      <c r="AD436" s="585">
        <v>46926.75</v>
      </c>
      <c r="AE436" s="587">
        <v>0.03</v>
      </c>
      <c r="AF436" s="661" t="str">
        <f t="shared" si="45"/>
        <v>2019-SUV-FRD-EXPD-003-05</v>
      </c>
      <c r="AG436" s="661" t="str">
        <f>IF(AND($Y436&gt;=32,(AI436="I"),(Y436&lt;&gt;"~"),(COUNTIF($AN$1:$AN436,$AN436)=1)),"TRUE","FALSE")</f>
        <v>FALSE</v>
      </c>
      <c r="AH436" s="661" t="str">
        <f>IF(AND($Y436&gt;=22, (AI436&lt;&gt;"I"),(Y436&lt;&gt;"~"),(COUNTIF($AN$1:$AN436,$AN436)=1)),"TRUE","FALSE")</f>
        <v>FALSE</v>
      </c>
      <c r="AI436" s="661" t="str">
        <f t="shared" si="47"/>
        <v>II</v>
      </c>
      <c r="AJ436" s="662" t="str">
        <f t="shared" si="41"/>
        <v>EXPD-003</v>
      </c>
      <c r="AK436" s="662" t="str">
        <f t="shared" si="42"/>
        <v>SUV</v>
      </c>
      <c r="AL436" s="662" t="str">
        <f t="shared" si="43"/>
        <v>FRD</v>
      </c>
      <c r="AM436" s="662" t="str">
        <f t="shared" si="46"/>
        <v>Expedition-XLT-4WD-8-~-~-3.5L-6-U1J-200A-122.5-23.3-Unleaded-Unleaded</v>
      </c>
      <c r="AN436" s="662" t="str">
        <f t="shared" si="44"/>
        <v>2019-SUV-FRD-EXPD-003</v>
      </c>
    </row>
    <row r="437" spans="1:40" s="572" customFormat="1" ht="15">
      <c r="A437" s="570" t="s">
        <v>1216</v>
      </c>
      <c r="B437" s="573" t="s">
        <v>1213</v>
      </c>
      <c r="C437" s="573" t="s">
        <v>278</v>
      </c>
      <c r="D437" s="578">
        <v>15</v>
      </c>
      <c r="E437" s="573" t="s">
        <v>699</v>
      </c>
      <c r="F437" s="573" t="s">
        <v>187</v>
      </c>
      <c r="G437" s="573" t="s">
        <v>271</v>
      </c>
      <c r="H437" s="573">
        <v>2019</v>
      </c>
      <c r="I437" s="573" t="s">
        <v>1123</v>
      </c>
      <c r="J437" s="573" t="s">
        <v>1214</v>
      </c>
      <c r="K437" s="573" t="s">
        <v>752</v>
      </c>
      <c r="L437" s="573">
        <v>8</v>
      </c>
      <c r="M437" s="573">
        <v>0</v>
      </c>
      <c r="N437" s="573" t="s">
        <v>157</v>
      </c>
      <c r="O437" s="573">
        <v>3</v>
      </c>
      <c r="P437" s="573" t="s">
        <v>157</v>
      </c>
      <c r="Q437" s="571" t="s">
        <v>157</v>
      </c>
      <c r="R437" s="573" t="s">
        <v>316</v>
      </c>
      <c r="S437" s="573">
        <v>6</v>
      </c>
      <c r="T437" s="573" t="s">
        <v>1215</v>
      </c>
      <c r="U437" s="573" t="s">
        <v>295</v>
      </c>
      <c r="V437" s="573">
        <v>122.5</v>
      </c>
      <c r="W437" s="573">
        <v>23.3</v>
      </c>
      <c r="X437" s="571">
        <v>7450</v>
      </c>
      <c r="Y437" s="573">
        <v>19</v>
      </c>
      <c r="Z437" s="579" t="s">
        <v>178</v>
      </c>
      <c r="AA437" s="579" t="s">
        <v>178</v>
      </c>
      <c r="AB437" s="584">
        <v>56435</v>
      </c>
      <c r="AC437" s="584" t="s">
        <v>164</v>
      </c>
      <c r="AD437" s="584">
        <v>47750</v>
      </c>
      <c r="AE437" s="586">
        <v>0.01</v>
      </c>
      <c r="AF437" s="661" t="str">
        <f t="shared" si="45"/>
        <v>2019-SUV-FRD-EXPD-003-15</v>
      </c>
      <c r="AG437" s="661" t="str">
        <f>IF(AND($Y437&gt;=32,(AI437="I"),(Y437&lt;&gt;"~"),(COUNTIF($AN$1:$AN437,$AN437)=1)),"TRUE","FALSE")</f>
        <v>FALSE</v>
      </c>
      <c r="AH437" s="661" t="str">
        <f>IF(AND($Y437&gt;=22, (AI437&lt;&gt;"I"),(Y437&lt;&gt;"~"),(COUNTIF($AN$1:$AN437,$AN437)=1)),"TRUE","FALSE")</f>
        <v>FALSE</v>
      </c>
      <c r="AI437" s="661" t="str">
        <f t="shared" si="47"/>
        <v>II</v>
      </c>
      <c r="AJ437" s="662" t="str">
        <f t="shared" si="41"/>
        <v>EXPD-003</v>
      </c>
      <c r="AK437" s="662" t="str">
        <f t="shared" si="42"/>
        <v>SUV</v>
      </c>
      <c r="AL437" s="662" t="str">
        <f t="shared" si="43"/>
        <v>FRD</v>
      </c>
      <c r="AM437" s="662" t="str">
        <f t="shared" si="46"/>
        <v>Expedition-XLT-4WD-8-~-~-3.5L-6-U1J-200A-122.5-23.3-Unleaded-Unleaded</v>
      </c>
      <c r="AN437" s="662" t="str">
        <f t="shared" si="44"/>
        <v>2019-SUV-FRD-EXPD-003</v>
      </c>
    </row>
    <row r="438" spans="1:40" s="572" customFormat="1" ht="15">
      <c r="A438" s="570" t="s">
        <v>1217</v>
      </c>
      <c r="B438" s="569" t="s">
        <v>1213</v>
      </c>
      <c r="C438" s="569" t="s">
        <v>287</v>
      </c>
      <c r="D438" s="580">
        <v>26</v>
      </c>
      <c r="E438" s="569" t="s">
        <v>699</v>
      </c>
      <c r="F438" s="569" t="s">
        <v>187</v>
      </c>
      <c r="G438" s="569" t="s">
        <v>271</v>
      </c>
      <c r="H438" s="569">
        <v>2019</v>
      </c>
      <c r="I438" s="569" t="s">
        <v>1123</v>
      </c>
      <c r="J438" s="569" t="s">
        <v>1214</v>
      </c>
      <c r="K438" s="569" t="s">
        <v>752</v>
      </c>
      <c r="L438" s="569">
        <v>8</v>
      </c>
      <c r="M438" s="569">
        <v>0</v>
      </c>
      <c r="N438" s="569" t="s">
        <v>157</v>
      </c>
      <c r="O438" s="569">
        <v>3</v>
      </c>
      <c r="P438" s="569" t="s">
        <v>157</v>
      </c>
      <c r="Q438" s="568" t="s">
        <v>157</v>
      </c>
      <c r="R438" s="569" t="s">
        <v>316</v>
      </c>
      <c r="S438" s="569">
        <v>6</v>
      </c>
      <c r="T438" s="569" t="s">
        <v>1215</v>
      </c>
      <c r="U438" s="569" t="s">
        <v>295</v>
      </c>
      <c r="V438" s="569">
        <v>122.5</v>
      </c>
      <c r="W438" s="569">
        <v>23.3</v>
      </c>
      <c r="X438" s="568">
        <v>7450</v>
      </c>
      <c r="Y438" s="569">
        <v>19</v>
      </c>
      <c r="Z438" s="581" t="s">
        <v>178</v>
      </c>
      <c r="AA438" s="581" t="s">
        <v>178</v>
      </c>
      <c r="AB438" s="585">
        <v>56435</v>
      </c>
      <c r="AC438" s="585" t="s">
        <v>164</v>
      </c>
      <c r="AD438" s="585">
        <v>50903</v>
      </c>
      <c r="AE438" s="587">
        <v>0.05</v>
      </c>
      <c r="AF438" s="661" t="str">
        <f t="shared" si="45"/>
        <v>2019-SUV-FRD-EXPD-003-26</v>
      </c>
      <c r="AG438" s="661" t="str">
        <f>IF(AND($Y438&gt;=32,(AI438="I"),(Y438&lt;&gt;"~"),(COUNTIF($AN$1:$AN438,$AN438)=1)),"TRUE","FALSE")</f>
        <v>FALSE</v>
      </c>
      <c r="AH438" s="661" t="str">
        <f>IF(AND($Y438&gt;=22, (AI438&lt;&gt;"I"),(Y438&lt;&gt;"~"),(COUNTIF($AN$1:$AN438,$AN438)=1)),"TRUE","FALSE")</f>
        <v>FALSE</v>
      </c>
      <c r="AI438" s="661" t="str">
        <f t="shared" si="47"/>
        <v>II</v>
      </c>
      <c r="AJ438" s="662" t="str">
        <f t="shared" si="41"/>
        <v>EXPD-003</v>
      </c>
      <c r="AK438" s="662" t="str">
        <f t="shared" si="42"/>
        <v>SUV</v>
      </c>
      <c r="AL438" s="662" t="str">
        <f t="shared" si="43"/>
        <v>FRD</v>
      </c>
      <c r="AM438" s="662" t="str">
        <f t="shared" si="46"/>
        <v>Expedition-XLT-4WD-8-~-~-3.5L-6-U1J-200A-122.5-23.3-Unleaded-Unleaded</v>
      </c>
      <c r="AN438" s="662" t="str">
        <f t="shared" si="44"/>
        <v>2019-SUV-FRD-EXPD-003</v>
      </c>
    </row>
    <row r="439" spans="1:40" s="572" customFormat="1" ht="15">
      <c r="A439" s="570" t="s">
        <v>1218</v>
      </c>
      <c r="B439" s="573" t="s">
        <v>1213</v>
      </c>
      <c r="C439" s="573" t="s">
        <v>280</v>
      </c>
      <c r="D439" s="578">
        <v>27</v>
      </c>
      <c r="E439" s="573" t="s">
        <v>699</v>
      </c>
      <c r="F439" s="573" t="s">
        <v>187</v>
      </c>
      <c r="G439" s="573" t="s">
        <v>271</v>
      </c>
      <c r="H439" s="573">
        <v>2019</v>
      </c>
      <c r="I439" s="573" t="s">
        <v>1123</v>
      </c>
      <c r="J439" s="573" t="s">
        <v>1214</v>
      </c>
      <c r="K439" s="573" t="s">
        <v>752</v>
      </c>
      <c r="L439" s="573">
        <v>8</v>
      </c>
      <c r="M439" s="573">
        <v>0</v>
      </c>
      <c r="N439" s="573" t="s">
        <v>157</v>
      </c>
      <c r="O439" s="573">
        <v>3</v>
      </c>
      <c r="P439" s="573" t="s">
        <v>157</v>
      </c>
      <c r="Q439" s="571" t="s">
        <v>157</v>
      </c>
      <c r="R439" s="573" t="s">
        <v>316</v>
      </c>
      <c r="S439" s="573">
        <v>6</v>
      </c>
      <c r="T439" s="573" t="s">
        <v>1215</v>
      </c>
      <c r="U439" s="573" t="s">
        <v>295</v>
      </c>
      <c r="V439" s="573">
        <v>122.5</v>
      </c>
      <c r="W439" s="573">
        <v>23.3</v>
      </c>
      <c r="X439" s="571">
        <v>7450</v>
      </c>
      <c r="Y439" s="573">
        <v>19</v>
      </c>
      <c r="Z439" s="579" t="s">
        <v>178</v>
      </c>
      <c r="AA439" s="579" t="s">
        <v>178</v>
      </c>
      <c r="AB439" s="584">
        <v>56435</v>
      </c>
      <c r="AC439" s="584" t="s">
        <v>164</v>
      </c>
      <c r="AD439" s="584">
        <v>46926.75</v>
      </c>
      <c r="AE439" s="586">
        <v>0.03</v>
      </c>
      <c r="AF439" s="661" t="str">
        <f t="shared" si="45"/>
        <v>2019-SUV-FRD-EXPD-003-27</v>
      </c>
      <c r="AG439" s="661" t="str">
        <f>IF(AND($Y439&gt;=32,(AI439="I"),(Y439&lt;&gt;"~"),(COUNTIF($AN$1:$AN439,$AN439)=1)),"TRUE","FALSE")</f>
        <v>FALSE</v>
      </c>
      <c r="AH439" s="661" t="str">
        <f>IF(AND($Y439&gt;=22, (AI439&lt;&gt;"I"),(Y439&lt;&gt;"~"),(COUNTIF($AN$1:$AN439,$AN439)=1)),"TRUE","FALSE")</f>
        <v>FALSE</v>
      </c>
      <c r="AI439" s="661" t="str">
        <f t="shared" si="47"/>
        <v>II</v>
      </c>
      <c r="AJ439" s="662" t="str">
        <f t="shared" si="41"/>
        <v>EXPD-003</v>
      </c>
      <c r="AK439" s="662" t="str">
        <f t="shared" si="42"/>
        <v>SUV</v>
      </c>
      <c r="AL439" s="662" t="str">
        <f t="shared" si="43"/>
        <v>FRD</v>
      </c>
      <c r="AM439" s="662" t="str">
        <f t="shared" si="46"/>
        <v>Expedition-XLT-4WD-8-~-~-3.5L-6-U1J-200A-122.5-23.3-Unleaded-Unleaded</v>
      </c>
      <c r="AN439" s="662" t="str">
        <f t="shared" si="44"/>
        <v>2019-SUV-FRD-EXPD-003</v>
      </c>
    </row>
    <row r="440" spans="1:40" s="572" customFormat="1" ht="15">
      <c r="A440" s="570" t="s">
        <v>1219</v>
      </c>
      <c r="B440" s="569" t="s">
        <v>1220</v>
      </c>
      <c r="C440" s="569" t="s">
        <v>269</v>
      </c>
      <c r="D440" s="580" t="s">
        <v>270</v>
      </c>
      <c r="E440" s="569" t="s">
        <v>699</v>
      </c>
      <c r="F440" s="569" t="s">
        <v>187</v>
      </c>
      <c r="G440" s="569" t="s">
        <v>271</v>
      </c>
      <c r="H440" s="569">
        <v>2019</v>
      </c>
      <c r="I440" s="569" t="s">
        <v>1123</v>
      </c>
      <c r="J440" s="569" t="s">
        <v>1214</v>
      </c>
      <c r="K440" s="569" t="s">
        <v>236</v>
      </c>
      <c r="L440" s="569">
        <v>8</v>
      </c>
      <c r="M440" s="569">
        <v>0</v>
      </c>
      <c r="N440" s="569" t="s">
        <v>157</v>
      </c>
      <c r="O440" s="569">
        <v>3</v>
      </c>
      <c r="P440" s="569" t="s">
        <v>157</v>
      </c>
      <c r="Q440" s="568" t="s">
        <v>157</v>
      </c>
      <c r="R440" s="569" t="s">
        <v>316</v>
      </c>
      <c r="S440" s="569">
        <v>6</v>
      </c>
      <c r="T440" s="569" t="s">
        <v>1221</v>
      </c>
      <c r="U440" s="569" t="s">
        <v>295</v>
      </c>
      <c r="V440" s="569">
        <v>122.5</v>
      </c>
      <c r="W440" s="569">
        <v>23.3</v>
      </c>
      <c r="X440" s="568">
        <v>7200</v>
      </c>
      <c r="Y440" s="569">
        <v>20</v>
      </c>
      <c r="Z440" s="581" t="s">
        <v>178</v>
      </c>
      <c r="AA440" s="581" t="s">
        <v>178</v>
      </c>
      <c r="AB440" s="585">
        <v>53425</v>
      </c>
      <c r="AC440" s="585" t="s">
        <v>164</v>
      </c>
      <c r="AD440" s="585">
        <v>44144.125</v>
      </c>
      <c r="AE440" s="587">
        <v>0.03</v>
      </c>
      <c r="AF440" s="661" t="str">
        <f t="shared" si="45"/>
        <v>2019-SUV-FRD-EXPD-004-05</v>
      </c>
      <c r="AG440" s="661" t="str">
        <f>IF(AND($Y440&gt;=32,(AI440="I"),(Y440&lt;&gt;"~"),(COUNTIF($AN$1:$AN440,$AN440)=1)),"TRUE","FALSE")</f>
        <v>FALSE</v>
      </c>
      <c r="AH440" s="661" t="str">
        <f>IF(AND($Y440&gt;=22, (AI440&lt;&gt;"I"),(Y440&lt;&gt;"~"),(COUNTIF($AN$1:$AN440,$AN440)=1)),"TRUE","FALSE")</f>
        <v>FALSE</v>
      </c>
      <c r="AI440" s="661" t="str">
        <f t="shared" si="47"/>
        <v>II</v>
      </c>
      <c r="AJ440" s="662" t="str">
        <f t="shared" si="41"/>
        <v>EXPD-004</v>
      </c>
      <c r="AK440" s="662" t="str">
        <f t="shared" si="42"/>
        <v>SUV</v>
      </c>
      <c r="AL440" s="662" t="str">
        <f t="shared" si="43"/>
        <v>FRD</v>
      </c>
      <c r="AM440" s="662" t="str">
        <f t="shared" si="46"/>
        <v>Expedition-XLT-RWD-8-~-~-3.5L-6-U1H-200A-122.5-23.3-Unleaded-Unleaded</v>
      </c>
      <c r="AN440" s="662" t="str">
        <f t="shared" si="44"/>
        <v>2019-SUV-FRD-EXPD-004</v>
      </c>
    </row>
    <row r="441" spans="1:40" s="572" customFormat="1" ht="15">
      <c r="A441" s="570" t="s">
        <v>1222</v>
      </c>
      <c r="B441" s="573" t="s">
        <v>1220</v>
      </c>
      <c r="C441" s="573" t="s">
        <v>278</v>
      </c>
      <c r="D441" s="578">
        <v>15</v>
      </c>
      <c r="E441" s="573" t="s">
        <v>699</v>
      </c>
      <c r="F441" s="573" t="s">
        <v>187</v>
      </c>
      <c r="G441" s="573" t="s">
        <v>271</v>
      </c>
      <c r="H441" s="573">
        <v>2019</v>
      </c>
      <c r="I441" s="573" t="s">
        <v>1123</v>
      </c>
      <c r="J441" s="573" t="s">
        <v>1214</v>
      </c>
      <c r="K441" s="573" t="s">
        <v>236</v>
      </c>
      <c r="L441" s="573">
        <v>8</v>
      </c>
      <c r="M441" s="573">
        <v>0</v>
      </c>
      <c r="N441" s="573" t="s">
        <v>157</v>
      </c>
      <c r="O441" s="573">
        <v>3</v>
      </c>
      <c r="P441" s="573" t="s">
        <v>157</v>
      </c>
      <c r="Q441" s="571" t="s">
        <v>157</v>
      </c>
      <c r="R441" s="573" t="s">
        <v>316</v>
      </c>
      <c r="S441" s="573">
        <v>6</v>
      </c>
      <c r="T441" s="573" t="s">
        <v>1221</v>
      </c>
      <c r="U441" s="573" t="s">
        <v>295</v>
      </c>
      <c r="V441" s="573">
        <v>122.5</v>
      </c>
      <c r="W441" s="573">
        <v>23.3</v>
      </c>
      <c r="X441" s="571">
        <v>7200</v>
      </c>
      <c r="Y441" s="573">
        <v>20</v>
      </c>
      <c r="Z441" s="579" t="s">
        <v>178</v>
      </c>
      <c r="AA441" s="579" t="s">
        <v>178</v>
      </c>
      <c r="AB441" s="584">
        <v>53425</v>
      </c>
      <c r="AC441" s="584" t="s">
        <v>164</v>
      </c>
      <c r="AD441" s="584">
        <v>44850</v>
      </c>
      <c r="AE441" s="586">
        <v>0.01</v>
      </c>
      <c r="AF441" s="661" t="str">
        <f t="shared" si="45"/>
        <v>2019-SUV-FRD-EXPD-004-15</v>
      </c>
      <c r="AG441" s="661" t="str">
        <f>IF(AND($Y441&gt;=32,(AI441="I"),(Y441&lt;&gt;"~"),(COUNTIF($AN$1:$AN441,$AN441)=1)),"TRUE","FALSE")</f>
        <v>FALSE</v>
      </c>
      <c r="AH441" s="661" t="str">
        <f>IF(AND($Y441&gt;=22, (AI441&lt;&gt;"I"),(Y441&lt;&gt;"~"),(COUNTIF($AN$1:$AN441,$AN441)=1)),"TRUE","FALSE")</f>
        <v>FALSE</v>
      </c>
      <c r="AI441" s="661" t="str">
        <f t="shared" si="47"/>
        <v>II</v>
      </c>
      <c r="AJ441" s="662" t="str">
        <f t="shared" si="41"/>
        <v>EXPD-004</v>
      </c>
      <c r="AK441" s="662" t="str">
        <f t="shared" si="42"/>
        <v>SUV</v>
      </c>
      <c r="AL441" s="662" t="str">
        <f t="shared" si="43"/>
        <v>FRD</v>
      </c>
      <c r="AM441" s="662" t="str">
        <f t="shared" si="46"/>
        <v>Expedition-XLT-RWD-8-~-~-3.5L-6-U1H-200A-122.5-23.3-Unleaded-Unleaded</v>
      </c>
      <c r="AN441" s="662" t="str">
        <f t="shared" si="44"/>
        <v>2019-SUV-FRD-EXPD-004</v>
      </c>
    </row>
    <row r="442" spans="1:40" s="572" customFormat="1" ht="15">
      <c r="A442" s="570" t="s">
        <v>1223</v>
      </c>
      <c r="B442" s="569" t="s">
        <v>1220</v>
      </c>
      <c r="C442" s="569" t="s">
        <v>287</v>
      </c>
      <c r="D442" s="580">
        <v>26</v>
      </c>
      <c r="E442" s="569" t="s">
        <v>699</v>
      </c>
      <c r="F442" s="569" t="s">
        <v>187</v>
      </c>
      <c r="G442" s="569" t="s">
        <v>271</v>
      </c>
      <c r="H442" s="569">
        <v>2019</v>
      </c>
      <c r="I442" s="569" t="s">
        <v>1123</v>
      </c>
      <c r="J442" s="569" t="s">
        <v>1214</v>
      </c>
      <c r="K442" s="569" t="s">
        <v>236</v>
      </c>
      <c r="L442" s="569">
        <v>8</v>
      </c>
      <c r="M442" s="569">
        <v>0</v>
      </c>
      <c r="N442" s="569" t="s">
        <v>157</v>
      </c>
      <c r="O442" s="569">
        <v>3</v>
      </c>
      <c r="P442" s="569" t="s">
        <v>157</v>
      </c>
      <c r="Q442" s="568" t="s">
        <v>157</v>
      </c>
      <c r="R442" s="569" t="s">
        <v>316</v>
      </c>
      <c r="S442" s="569">
        <v>6</v>
      </c>
      <c r="T442" s="569" t="s">
        <v>1221</v>
      </c>
      <c r="U442" s="569" t="s">
        <v>295</v>
      </c>
      <c r="V442" s="569">
        <v>122.5</v>
      </c>
      <c r="W442" s="569">
        <v>23.3</v>
      </c>
      <c r="X442" s="568">
        <v>7200</v>
      </c>
      <c r="Y442" s="569">
        <v>20</v>
      </c>
      <c r="Z442" s="581" t="s">
        <v>178</v>
      </c>
      <c r="AA442" s="581" t="s">
        <v>178</v>
      </c>
      <c r="AB442" s="585">
        <v>53425</v>
      </c>
      <c r="AC442" s="585" t="s">
        <v>164</v>
      </c>
      <c r="AD442" s="585">
        <v>48035</v>
      </c>
      <c r="AE442" s="587">
        <v>0.05</v>
      </c>
      <c r="AF442" s="661" t="str">
        <f t="shared" si="45"/>
        <v>2019-SUV-FRD-EXPD-004-26</v>
      </c>
      <c r="AG442" s="661" t="str">
        <f>IF(AND($Y442&gt;=32,(AI442="I"),(Y442&lt;&gt;"~"),(COUNTIF($AN$1:$AN442,$AN442)=1)),"TRUE","FALSE")</f>
        <v>FALSE</v>
      </c>
      <c r="AH442" s="661" t="str">
        <f>IF(AND($Y442&gt;=22, (AI442&lt;&gt;"I"),(Y442&lt;&gt;"~"),(COUNTIF($AN$1:$AN442,$AN442)=1)),"TRUE","FALSE")</f>
        <v>FALSE</v>
      </c>
      <c r="AI442" s="661" t="str">
        <f t="shared" si="47"/>
        <v>II</v>
      </c>
      <c r="AJ442" s="662" t="str">
        <f t="shared" si="41"/>
        <v>EXPD-004</v>
      </c>
      <c r="AK442" s="662" t="str">
        <f t="shared" si="42"/>
        <v>SUV</v>
      </c>
      <c r="AL442" s="662" t="str">
        <f t="shared" si="43"/>
        <v>FRD</v>
      </c>
      <c r="AM442" s="662" t="str">
        <f t="shared" si="46"/>
        <v>Expedition-XLT-RWD-8-~-~-3.5L-6-U1H-200A-122.5-23.3-Unleaded-Unleaded</v>
      </c>
      <c r="AN442" s="662" t="str">
        <f t="shared" si="44"/>
        <v>2019-SUV-FRD-EXPD-004</v>
      </c>
    </row>
    <row r="443" spans="1:40" s="572" customFormat="1" ht="15">
      <c r="A443" s="570" t="s">
        <v>1224</v>
      </c>
      <c r="B443" s="573" t="s">
        <v>1220</v>
      </c>
      <c r="C443" s="573" t="s">
        <v>280</v>
      </c>
      <c r="D443" s="578">
        <v>27</v>
      </c>
      <c r="E443" s="573" t="s">
        <v>699</v>
      </c>
      <c r="F443" s="573" t="s">
        <v>187</v>
      </c>
      <c r="G443" s="573" t="s">
        <v>271</v>
      </c>
      <c r="H443" s="573">
        <v>2019</v>
      </c>
      <c r="I443" s="573" t="s">
        <v>1123</v>
      </c>
      <c r="J443" s="573" t="s">
        <v>1214</v>
      </c>
      <c r="K443" s="573" t="s">
        <v>236</v>
      </c>
      <c r="L443" s="573">
        <v>8</v>
      </c>
      <c r="M443" s="573">
        <v>0</v>
      </c>
      <c r="N443" s="573" t="s">
        <v>157</v>
      </c>
      <c r="O443" s="573">
        <v>3</v>
      </c>
      <c r="P443" s="573" t="s">
        <v>157</v>
      </c>
      <c r="Q443" s="571" t="s">
        <v>157</v>
      </c>
      <c r="R443" s="573" t="s">
        <v>316</v>
      </c>
      <c r="S443" s="573">
        <v>6</v>
      </c>
      <c r="T443" s="573" t="s">
        <v>1221</v>
      </c>
      <c r="U443" s="573" t="s">
        <v>295</v>
      </c>
      <c r="V443" s="573">
        <v>122.5</v>
      </c>
      <c r="W443" s="573">
        <v>23.3</v>
      </c>
      <c r="X443" s="571">
        <v>7200</v>
      </c>
      <c r="Y443" s="573">
        <v>20</v>
      </c>
      <c r="Z443" s="579" t="s">
        <v>178</v>
      </c>
      <c r="AA443" s="579" t="s">
        <v>178</v>
      </c>
      <c r="AB443" s="584">
        <v>53425</v>
      </c>
      <c r="AC443" s="584" t="s">
        <v>164</v>
      </c>
      <c r="AD443" s="584">
        <v>44144.125</v>
      </c>
      <c r="AE443" s="586">
        <v>0.03</v>
      </c>
      <c r="AF443" s="661" t="str">
        <f t="shared" si="45"/>
        <v>2019-SUV-FRD-EXPD-004-27</v>
      </c>
      <c r="AG443" s="661" t="str">
        <f>IF(AND($Y443&gt;=32,(AI443="I"),(Y443&lt;&gt;"~"),(COUNTIF($AN$1:$AN443,$AN443)=1)),"TRUE","FALSE")</f>
        <v>FALSE</v>
      </c>
      <c r="AH443" s="661" t="str">
        <f>IF(AND($Y443&gt;=22, (AI443&lt;&gt;"I"),(Y443&lt;&gt;"~"),(COUNTIF($AN$1:$AN443,$AN443)=1)),"TRUE","FALSE")</f>
        <v>FALSE</v>
      </c>
      <c r="AI443" s="661" t="str">
        <f t="shared" si="47"/>
        <v>II</v>
      </c>
      <c r="AJ443" s="662" t="str">
        <f t="shared" si="41"/>
        <v>EXPD-004</v>
      </c>
      <c r="AK443" s="662" t="str">
        <f t="shared" si="42"/>
        <v>SUV</v>
      </c>
      <c r="AL443" s="662" t="str">
        <f t="shared" si="43"/>
        <v>FRD</v>
      </c>
      <c r="AM443" s="662" t="str">
        <f t="shared" si="46"/>
        <v>Expedition-XLT-RWD-8-~-~-3.5L-6-U1H-200A-122.5-23.3-Unleaded-Unleaded</v>
      </c>
      <c r="AN443" s="662" t="str">
        <f t="shared" si="44"/>
        <v>2019-SUV-FRD-EXPD-004</v>
      </c>
    </row>
    <row r="444" spans="1:40" s="572" customFormat="1" ht="15">
      <c r="A444" s="570" t="s">
        <v>1225</v>
      </c>
      <c r="B444" s="569" t="s">
        <v>1226</v>
      </c>
      <c r="C444" s="569" t="s">
        <v>269</v>
      </c>
      <c r="D444" s="580" t="s">
        <v>270</v>
      </c>
      <c r="E444" s="569" t="s">
        <v>699</v>
      </c>
      <c r="F444" s="569" t="s">
        <v>196</v>
      </c>
      <c r="G444" s="569" t="s">
        <v>271</v>
      </c>
      <c r="H444" s="569">
        <v>2019</v>
      </c>
      <c r="I444" s="569" t="s">
        <v>1227</v>
      </c>
      <c r="J444" s="569" t="s">
        <v>492</v>
      </c>
      <c r="K444" s="569" t="s">
        <v>752</v>
      </c>
      <c r="L444" s="569">
        <v>7</v>
      </c>
      <c r="M444" s="569">
        <v>0</v>
      </c>
      <c r="N444" s="569" t="s">
        <v>157</v>
      </c>
      <c r="O444" s="569">
        <v>3</v>
      </c>
      <c r="P444" s="569" t="s">
        <v>157</v>
      </c>
      <c r="Q444" s="568" t="s">
        <v>157</v>
      </c>
      <c r="R444" s="569" t="s">
        <v>1228</v>
      </c>
      <c r="S444" s="569">
        <v>6</v>
      </c>
      <c r="T444" s="569" t="s">
        <v>1229</v>
      </c>
      <c r="U444" s="569" t="s">
        <v>276</v>
      </c>
      <c r="V444" s="569">
        <v>112.8</v>
      </c>
      <c r="W444" s="569">
        <v>18.600000000000001</v>
      </c>
      <c r="X444" s="568">
        <v>6160</v>
      </c>
      <c r="Y444" s="569">
        <v>18</v>
      </c>
      <c r="Z444" s="581" t="s">
        <v>178</v>
      </c>
      <c r="AA444" s="581" t="s">
        <v>178</v>
      </c>
      <c r="AB444" s="585">
        <v>35510</v>
      </c>
      <c r="AC444" s="585" t="s">
        <v>164</v>
      </c>
      <c r="AD444" s="585">
        <v>30712.854166666668</v>
      </c>
      <c r="AE444" s="587">
        <v>0.03</v>
      </c>
      <c r="AF444" s="661" t="str">
        <f t="shared" si="45"/>
        <v>2019-SUV-FRD-EXPL-001-05</v>
      </c>
      <c r="AG444" s="661" t="str">
        <f>IF(AND($Y444&gt;=32,(AI444="I"),(Y444&lt;&gt;"~"),(COUNTIF($AN$1:$AN444,$AN444)=1)),"TRUE","FALSE")</f>
        <v>FALSE</v>
      </c>
      <c r="AH444" s="661" t="str">
        <f>IF(AND($Y444&gt;=22, (AI444&lt;&gt;"I"),(Y444&lt;&gt;"~"),(COUNTIF($AN$1:$AN444,$AN444)=1)),"TRUE","FALSE")</f>
        <v>FALSE</v>
      </c>
      <c r="AI444" s="661" t="str">
        <f t="shared" si="47"/>
        <v>II</v>
      </c>
      <c r="AJ444" s="662" t="str">
        <f t="shared" si="41"/>
        <v>EXPL-001</v>
      </c>
      <c r="AK444" s="662" t="str">
        <f t="shared" si="42"/>
        <v>SUV</v>
      </c>
      <c r="AL444" s="662" t="str">
        <f t="shared" si="43"/>
        <v>FRD</v>
      </c>
      <c r="AM444" s="662" t="str">
        <f t="shared" si="46"/>
        <v>Explorer-Base-4WD-7-~-~-3.5L STD-6-K8B-100A-112.8-18.6-Unleaded-Unleaded</v>
      </c>
      <c r="AN444" s="662" t="str">
        <f t="shared" si="44"/>
        <v>2019-SUV-FRD-EXPL-001</v>
      </c>
    </row>
    <row r="445" spans="1:40" s="572" customFormat="1" ht="15">
      <c r="A445" s="570" t="s">
        <v>1230</v>
      </c>
      <c r="B445" s="573" t="s">
        <v>1226</v>
      </c>
      <c r="C445" s="573" t="s">
        <v>278</v>
      </c>
      <c r="D445" s="578">
        <v>15</v>
      </c>
      <c r="E445" s="573" t="s">
        <v>699</v>
      </c>
      <c r="F445" s="573" t="s">
        <v>196</v>
      </c>
      <c r="G445" s="573" t="s">
        <v>271</v>
      </c>
      <c r="H445" s="573">
        <v>2019</v>
      </c>
      <c r="I445" s="573" t="s">
        <v>1227</v>
      </c>
      <c r="J445" s="573" t="s">
        <v>492</v>
      </c>
      <c r="K445" s="573" t="s">
        <v>752</v>
      </c>
      <c r="L445" s="573">
        <v>7</v>
      </c>
      <c r="M445" s="573">
        <v>0</v>
      </c>
      <c r="N445" s="573" t="s">
        <v>157</v>
      </c>
      <c r="O445" s="573">
        <v>3</v>
      </c>
      <c r="P445" s="573" t="s">
        <v>157</v>
      </c>
      <c r="Q445" s="571" t="s">
        <v>157</v>
      </c>
      <c r="R445" s="573" t="s">
        <v>1228</v>
      </c>
      <c r="S445" s="573">
        <v>6</v>
      </c>
      <c r="T445" s="573" t="s">
        <v>1229</v>
      </c>
      <c r="U445" s="573" t="s">
        <v>276</v>
      </c>
      <c r="V445" s="573">
        <v>112.8</v>
      </c>
      <c r="W445" s="573">
        <v>18.600000000000001</v>
      </c>
      <c r="X445" s="571">
        <v>6160</v>
      </c>
      <c r="Y445" s="573">
        <v>19</v>
      </c>
      <c r="Z445" s="579" t="s">
        <v>450</v>
      </c>
      <c r="AA445" s="579" t="s">
        <v>178</v>
      </c>
      <c r="AB445" s="584">
        <v>38010</v>
      </c>
      <c r="AC445" s="584" t="s">
        <v>164</v>
      </c>
      <c r="AD445" s="584">
        <v>31100</v>
      </c>
      <c r="AE445" s="586">
        <v>0.01</v>
      </c>
      <c r="AF445" s="661" t="str">
        <f t="shared" si="45"/>
        <v>2019-SUV-FRD-EXPL-001-15</v>
      </c>
      <c r="AG445" s="661" t="str">
        <f>IF(AND($Y445&gt;=32,(AI445="I"),(Y445&lt;&gt;"~"),(COUNTIF($AN$1:$AN445,$AN445)=1)),"TRUE","FALSE")</f>
        <v>FALSE</v>
      </c>
      <c r="AH445" s="661" t="str">
        <f>IF(AND($Y445&gt;=22, (AI445&lt;&gt;"I"),(Y445&lt;&gt;"~"),(COUNTIF($AN$1:$AN445,$AN445)=1)),"TRUE","FALSE")</f>
        <v>FALSE</v>
      </c>
      <c r="AI445" s="661" t="str">
        <f t="shared" si="47"/>
        <v>II</v>
      </c>
      <c r="AJ445" s="662" t="str">
        <f t="shared" si="41"/>
        <v>EXPL-001</v>
      </c>
      <c r="AK445" s="662" t="str">
        <f t="shared" si="42"/>
        <v>SUV</v>
      </c>
      <c r="AL445" s="662" t="str">
        <f t="shared" si="43"/>
        <v>FRD</v>
      </c>
      <c r="AM445" s="662" t="str">
        <f t="shared" si="46"/>
        <v>Explorer-Base-4WD-7-~-~-3.5L STD-6-K8B-100A-112.8-18.6-E85-Unleaded</v>
      </c>
      <c r="AN445" s="662" t="str">
        <f t="shared" si="44"/>
        <v>2019-SUV-FRD-EXPL-001</v>
      </c>
    </row>
    <row r="446" spans="1:40" s="572" customFormat="1" ht="15">
      <c r="A446" s="570" t="s">
        <v>1231</v>
      </c>
      <c r="B446" s="569" t="s">
        <v>1226</v>
      </c>
      <c r="C446" s="569" t="s">
        <v>287</v>
      </c>
      <c r="D446" s="580">
        <v>26</v>
      </c>
      <c r="E446" s="569" t="s">
        <v>699</v>
      </c>
      <c r="F446" s="569" t="s">
        <v>196</v>
      </c>
      <c r="G446" s="569" t="s">
        <v>271</v>
      </c>
      <c r="H446" s="569">
        <v>2019</v>
      </c>
      <c r="I446" s="569" t="s">
        <v>1227</v>
      </c>
      <c r="J446" s="569" t="s">
        <v>492</v>
      </c>
      <c r="K446" s="569" t="s">
        <v>752</v>
      </c>
      <c r="L446" s="569">
        <v>7</v>
      </c>
      <c r="M446" s="569">
        <v>0</v>
      </c>
      <c r="N446" s="569" t="s">
        <v>157</v>
      </c>
      <c r="O446" s="569">
        <v>3</v>
      </c>
      <c r="P446" s="569" t="s">
        <v>157</v>
      </c>
      <c r="Q446" s="568" t="s">
        <v>157</v>
      </c>
      <c r="R446" s="569" t="s">
        <v>1228</v>
      </c>
      <c r="S446" s="569">
        <v>6</v>
      </c>
      <c r="T446" s="569" t="s">
        <v>1229</v>
      </c>
      <c r="U446" s="569" t="s">
        <v>276</v>
      </c>
      <c r="V446" s="569">
        <v>112.8</v>
      </c>
      <c r="W446" s="569">
        <v>18.600000000000001</v>
      </c>
      <c r="X446" s="568">
        <v>6160</v>
      </c>
      <c r="Y446" s="569">
        <v>19</v>
      </c>
      <c r="Z446" s="581" t="s">
        <v>450</v>
      </c>
      <c r="AA446" s="581" t="s">
        <v>178</v>
      </c>
      <c r="AB446" s="585">
        <v>35510</v>
      </c>
      <c r="AC446" s="585" t="s">
        <v>164</v>
      </c>
      <c r="AD446" s="585">
        <v>29063</v>
      </c>
      <c r="AE446" s="587">
        <v>0.05</v>
      </c>
      <c r="AF446" s="661" t="str">
        <f t="shared" si="45"/>
        <v>2019-SUV-FRD-EXPL-001-26</v>
      </c>
      <c r="AG446" s="661" t="str">
        <f>IF(AND($Y446&gt;=32,(AI446="I"),(Y446&lt;&gt;"~"),(COUNTIF($AN$1:$AN446,$AN446)=1)),"TRUE","FALSE")</f>
        <v>FALSE</v>
      </c>
      <c r="AH446" s="661" t="str">
        <f>IF(AND($Y446&gt;=22, (AI446&lt;&gt;"I"),(Y446&lt;&gt;"~"),(COUNTIF($AN$1:$AN446,$AN446)=1)),"TRUE","FALSE")</f>
        <v>FALSE</v>
      </c>
      <c r="AI446" s="661" t="str">
        <f t="shared" si="47"/>
        <v>II</v>
      </c>
      <c r="AJ446" s="662" t="str">
        <f t="shared" si="41"/>
        <v>EXPL-001</v>
      </c>
      <c r="AK446" s="662" t="str">
        <f t="shared" si="42"/>
        <v>SUV</v>
      </c>
      <c r="AL446" s="662" t="str">
        <f t="shared" si="43"/>
        <v>FRD</v>
      </c>
      <c r="AM446" s="662" t="str">
        <f t="shared" si="46"/>
        <v>Explorer-Base-4WD-7-~-~-3.5L STD-6-K8B-100A-112.8-18.6-E85-Unleaded</v>
      </c>
      <c r="AN446" s="662" t="str">
        <f t="shared" si="44"/>
        <v>2019-SUV-FRD-EXPL-001</v>
      </c>
    </row>
    <row r="447" spans="1:40" s="572" customFormat="1" ht="15">
      <c r="A447" s="570" t="s">
        <v>1232</v>
      </c>
      <c r="B447" s="573" t="s">
        <v>1226</v>
      </c>
      <c r="C447" s="573" t="s">
        <v>280</v>
      </c>
      <c r="D447" s="578">
        <v>27</v>
      </c>
      <c r="E447" s="573" t="s">
        <v>699</v>
      </c>
      <c r="F447" s="573" t="s">
        <v>196</v>
      </c>
      <c r="G447" s="573" t="s">
        <v>271</v>
      </c>
      <c r="H447" s="573">
        <v>2019</v>
      </c>
      <c r="I447" s="573" t="s">
        <v>1227</v>
      </c>
      <c r="J447" s="573" t="s">
        <v>492</v>
      </c>
      <c r="K447" s="573" t="s">
        <v>752</v>
      </c>
      <c r="L447" s="573">
        <v>7</v>
      </c>
      <c r="M447" s="573">
        <v>0</v>
      </c>
      <c r="N447" s="573" t="s">
        <v>157</v>
      </c>
      <c r="O447" s="573">
        <v>3</v>
      </c>
      <c r="P447" s="573" t="s">
        <v>157</v>
      </c>
      <c r="Q447" s="571" t="s">
        <v>157</v>
      </c>
      <c r="R447" s="573" t="s">
        <v>1228</v>
      </c>
      <c r="S447" s="573">
        <v>6</v>
      </c>
      <c r="T447" s="573" t="s">
        <v>1229</v>
      </c>
      <c r="U447" s="573" t="s">
        <v>276</v>
      </c>
      <c r="V447" s="573">
        <v>112.8</v>
      </c>
      <c r="W447" s="573">
        <v>18.600000000000001</v>
      </c>
      <c r="X447" s="571">
        <v>6160</v>
      </c>
      <c r="Y447" s="573">
        <v>18</v>
      </c>
      <c r="Z447" s="579" t="s">
        <v>178</v>
      </c>
      <c r="AA447" s="579" t="s">
        <v>178</v>
      </c>
      <c r="AB447" s="584">
        <v>35510</v>
      </c>
      <c r="AC447" s="584" t="s">
        <v>164</v>
      </c>
      <c r="AD447" s="584">
        <v>30712.854166666668</v>
      </c>
      <c r="AE447" s="586">
        <v>0.03</v>
      </c>
      <c r="AF447" s="661" t="str">
        <f t="shared" si="45"/>
        <v>2019-SUV-FRD-EXPL-001-27</v>
      </c>
      <c r="AG447" s="661" t="str">
        <f>IF(AND($Y447&gt;=32,(AI447="I"),(Y447&lt;&gt;"~"),(COUNTIF($AN$1:$AN447,$AN447)=1)),"TRUE","FALSE")</f>
        <v>FALSE</v>
      </c>
      <c r="AH447" s="661" t="str">
        <f>IF(AND($Y447&gt;=22, (AI447&lt;&gt;"I"),(Y447&lt;&gt;"~"),(COUNTIF($AN$1:$AN447,$AN447)=1)),"TRUE","FALSE")</f>
        <v>FALSE</v>
      </c>
      <c r="AI447" s="661" t="str">
        <f t="shared" si="47"/>
        <v>II</v>
      </c>
      <c r="AJ447" s="662" t="str">
        <f t="shared" si="41"/>
        <v>EXPL-001</v>
      </c>
      <c r="AK447" s="662" t="str">
        <f t="shared" si="42"/>
        <v>SUV</v>
      </c>
      <c r="AL447" s="662" t="str">
        <f t="shared" si="43"/>
        <v>FRD</v>
      </c>
      <c r="AM447" s="662" t="str">
        <f t="shared" si="46"/>
        <v>Explorer-Base-4WD-7-~-~-3.5L STD-6-K8B-100A-112.8-18.6-Unleaded-Unleaded</v>
      </c>
      <c r="AN447" s="662" t="str">
        <f t="shared" si="44"/>
        <v>2019-SUV-FRD-EXPL-001</v>
      </c>
    </row>
    <row r="448" spans="1:40" s="572" customFormat="1" ht="15">
      <c r="A448" s="570" t="s">
        <v>1233</v>
      </c>
      <c r="B448" s="569" t="s">
        <v>1234</v>
      </c>
      <c r="C448" s="569" t="s">
        <v>269</v>
      </c>
      <c r="D448" s="580" t="s">
        <v>270</v>
      </c>
      <c r="E448" s="569" t="s">
        <v>699</v>
      </c>
      <c r="F448" s="569" t="s">
        <v>196</v>
      </c>
      <c r="G448" s="569" t="s">
        <v>271</v>
      </c>
      <c r="H448" s="569">
        <v>2019</v>
      </c>
      <c r="I448" s="569" t="s">
        <v>1227</v>
      </c>
      <c r="J448" s="569" t="s">
        <v>492</v>
      </c>
      <c r="K448" s="569" t="s">
        <v>156</v>
      </c>
      <c r="L448" s="569">
        <v>7</v>
      </c>
      <c r="M448" s="569">
        <v>0</v>
      </c>
      <c r="N448" s="569" t="s">
        <v>157</v>
      </c>
      <c r="O448" s="569">
        <v>3</v>
      </c>
      <c r="P448" s="569" t="s">
        <v>157</v>
      </c>
      <c r="Q448" s="568" t="s">
        <v>157</v>
      </c>
      <c r="R448" s="569" t="s">
        <v>1235</v>
      </c>
      <c r="S448" s="569">
        <v>6</v>
      </c>
      <c r="T448" s="569" t="s">
        <v>1236</v>
      </c>
      <c r="U448" s="569" t="s">
        <v>276</v>
      </c>
      <c r="V448" s="569">
        <v>112.8</v>
      </c>
      <c r="W448" s="569">
        <v>18.600000000000001</v>
      </c>
      <c r="X448" s="568">
        <v>6160</v>
      </c>
      <c r="Y448" s="569">
        <v>22</v>
      </c>
      <c r="Z448" s="581" t="s">
        <v>178</v>
      </c>
      <c r="AA448" s="581" t="s">
        <v>178</v>
      </c>
      <c r="AB448" s="585">
        <v>34255</v>
      </c>
      <c r="AC448" s="585" t="s">
        <v>164</v>
      </c>
      <c r="AD448" s="585">
        <v>29525.354166666668</v>
      </c>
      <c r="AE448" s="587">
        <v>0.03</v>
      </c>
      <c r="AF448" s="661" t="str">
        <f t="shared" si="45"/>
        <v>2019-SUV-FRD-EXPL-002-05</v>
      </c>
      <c r="AG448" s="661" t="str">
        <f>IF(AND($Y448&gt;=32,(AI448="I"),(Y448&lt;&gt;"~"),(COUNTIF($AN$1:$AN448,$AN448)=1)),"TRUE","FALSE")</f>
        <v>FALSE</v>
      </c>
      <c r="AH448" s="661" t="str">
        <f>IF(AND($Y448&gt;=22, (AI448&lt;&gt;"I"),(Y448&lt;&gt;"~"),(COUNTIF($AN$1:$AN448,$AN448)=1)),"TRUE","FALSE")</f>
        <v>TRUE</v>
      </c>
      <c r="AI448" s="661" t="str">
        <f t="shared" si="47"/>
        <v>II</v>
      </c>
      <c r="AJ448" s="662" t="str">
        <f t="shared" si="41"/>
        <v>EXPL-002</v>
      </c>
      <c r="AK448" s="662" t="str">
        <f t="shared" si="42"/>
        <v>SUV</v>
      </c>
      <c r="AL448" s="662" t="str">
        <f t="shared" si="43"/>
        <v>FRD</v>
      </c>
      <c r="AM448" s="662" t="str">
        <f t="shared" si="46"/>
        <v>Explorer-Base-FWD-7-~-~-2.3L-6-K7B-100A-112.8-18.6-Unleaded-Unleaded</v>
      </c>
      <c r="AN448" s="662" t="str">
        <f t="shared" si="44"/>
        <v>2019-SUV-FRD-EXPL-002</v>
      </c>
    </row>
    <row r="449" spans="1:40" s="572" customFormat="1" ht="15">
      <c r="A449" s="570" t="s">
        <v>1237</v>
      </c>
      <c r="B449" s="573" t="s">
        <v>1238</v>
      </c>
      <c r="C449" s="573" t="s">
        <v>269</v>
      </c>
      <c r="D449" s="578" t="s">
        <v>270</v>
      </c>
      <c r="E449" s="573" t="s">
        <v>699</v>
      </c>
      <c r="F449" s="573" t="s">
        <v>196</v>
      </c>
      <c r="G449" s="573" t="s">
        <v>271</v>
      </c>
      <c r="H449" s="573">
        <v>2019</v>
      </c>
      <c r="I449" s="573" t="s">
        <v>1227</v>
      </c>
      <c r="J449" s="573" t="s">
        <v>492</v>
      </c>
      <c r="K449" s="573" t="s">
        <v>156</v>
      </c>
      <c r="L449" s="573">
        <v>7</v>
      </c>
      <c r="M449" s="573">
        <v>0</v>
      </c>
      <c r="N449" s="573" t="s">
        <v>157</v>
      </c>
      <c r="O449" s="573">
        <v>3</v>
      </c>
      <c r="P449" s="573" t="s">
        <v>157</v>
      </c>
      <c r="Q449" s="571" t="s">
        <v>157</v>
      </c>
      <c r="R449" s="573" t="s">
        <v>316</v>
      </c>
      <c r="S449" s="573">
        <v>6</v>
      </c>
      <c r="T449" s="573" t="s">
        <v>1236</v>
      </c>
      <c r="U449" s="573" t="s">
        <v>276</v>
      </c>
      <c r="V449" s="573">
        <v>112.8</v>
      </c>
      <c r="W449" s="573">
        <v>18.600000000000001</v>
      </c>
      <c r="X449" s="571">
        <v>6160</v>
      </c>
      <c r="Y449" s="573">
        <v>20</v>
      </c>
      <c r="Z449" s="579" t="s">
        <v>178</v>
      </c>
      <c r="AA449" s="579" t="s">
        <v>178</v>
      </c>
      <c r="AB449" s="584">
        <v>33360</v>
      </c>
      <c r="AC449" s="584" t="s">
        <v>164</v>
      </c>
      <c r="AD449" s="584">
        <v>28703.479166666668</v>
      </c>
      <c r="AE449" s="586">
        <v>0.03</v>
      </c>
      <c r="AF449" s="661" t="str">
        <f t="shared" si="45"/>
        <v>2019-SUV-FRD-EXPL-009-05</v>
      </c>
      <c r="AG449" s="661" t="str">
        <f>IF(AND($Y449&gt;=32,(AI449="I"),(Y449&lt;&gt;"~"),(COUNTIF($AN$1:$AN449,$AN449)=1)),"TRUE","FALSE")</f>
        <v>FALSE</v>
      </c>
      <c r="AH449" s="661" t="str">
        <f>IF(AND($Y449&gt;=22, (AI449&lt;&gt;"I"),(Y449&lt;&gt;"~"),(COUNTIF($AN$1:$AN449,$AN449)=1)),"TRUE","FALSE")</f>
        <v>FALSE</v>
      </c>
      <c r="AI449" s="661" t="str">
        <f t="shared" si="47"/>
        <v>II</v>
      </c>
      <c r="AJ449" s="662" t="str">
        <f t="shared" si="41"/>
        <v>EXPL-009</v>
      </c>
      <c r="AK449" s="662" t="str">
        <f t="shared" si="42"/>
        <v>SUV</v>
      </c>
      <c r="AL449" s="662" t="str">
        <f t="shared" si="43"/>
        <v>FRD</v>
      </c>
      <c r="AM449" s="662" t="str">
        <f t="shared" si="46"/>
        <v>Explorer-Base-FWD-7-~-~-3.5L-6-K7B-100A-112.8-18.6-Unleaded-Unleaded</v>
      </c>
      <c r="AN449" s="662" t="str">
        <f t="shared" si="44"/>
        <v>2019-SUV-FRD-EXPL-009</v>
      </c>
    </row>
    <row r="450" spans="1:40" s="572" customFormat="1" ht="15">
      <c r="A450" s="570" t="s">
        <v>1239</v>
      </c>
      <c r="B450" s="569" t="s">
        <v>1234</v>
      </c>
      <c r="C450" s="569" t="s">
        <v>278</v>
      </c>
      <c r="D450" s="580">
        <v>15</v>
      </c>
      <c r="E450" s="569" t="s">
        <v>699</v>
      </c>
      <c r="F450" s="569" t="s">
        <v>196</v>
      </c>
      <c r="G450" s="569" t="s">
        <v>271</v>
      </c>
      <c r="H450" s="569">
        <v>2019</v>
      </c>
      <c r="I450" s="569" t="s">
        <v>1227</v>
      </c>
      <c r="J450" s="569" t="s">
        <v>492</v>
      </c>
      <c r="K450" s="569" t="s">
        <v>156</v>
      </c>
      <c r="L450" s="569">
        <v>7</v>
      </c>
      <c r="M450" s="569">
        <v>0</v>
      </c>
      <c r="N450" s="569" t="s">
        <v>157</v>
      </c>
      <c r="O450" s="569">
        <v>3</v>
      </c>
      <c r="P450" s="569" t="s">
        <v>157</v>
      </c>
      <c r="Q450" s="568" t="s">
        <v>157</v>
      </c>
      <c r="R450" s="569" t="s">
        <v>1235</v>
      </c>
      <c r="S450" s="569">
        <v>4</v>
      </c>
      <c r="T450" s="569" t="s">
        <v>1236</v>
      </c>
      <c r="U450" s="569" t="s">
        <v>276</v>
      </c>
      <c r="V450" s="569">
        <v>112.8</v>
      </c>
      <c r="W450" s="569">
        <v>18.600000000000001</v>
      </c>
      <c r="X450" s="568">
        <v>6160</v>
      </c>
      <c r="Y450" s="569">
        <v>22</v>
      </c>
      <c r="Z450" s="581" t="s">
        <v>178</v>
      </c>
      <c r="AA450" s="581" t="s">
        <v>178</v>
      </c>
      <c r="AB450" s="585">
        <v>36755</v>
      </c>
      <c r="AC450" s="585" t="s">
        <v>164</v>
      </c>
      <c r="AD450" s="585">
        <v>29995</v>
      </c>
      <c r="AE450" s="587">
        <v>0.01</v>
      </c>
      <c r="AF450" s="661" t="str">
        <f t="shared" si="45"/>
        <v>2019-SUV-FRD-EXPL-002-15</v>
      </c>
      <c r="AG450" s="661" t="str">
        <f>IF(AND($Y450&gt;=32,(AI450="I"),(Y450&lt;&gt;"~"),(COUNTIF($AN$1:$AN450,$AN450)=1)),"TRUE","FALSE")</f>
        <v>FALSE</v>
      </c>
      <c r="AH450" s="661" t="str">
        <f>IF(AND($Y450&gt;=22, (AI450&lt;&gt;"I"),(Y450&lt;&gt;"~"),(COUNTIF($AN$1:$AN450,$AN450)=1)),"TRUE","FALSE")</f>
        <v>FALSE</v>
      </c>
      <c r="AI450" s="661" t="str">
        <f t="shared" si="47"/>
        <v>II</v>
      </c>
      <c r="AJ450" s="662" t="str">
        <f t="shared" si="41"/>
        <v>EXPL-002</v>
      </c>
      <c r="AK450" s="662" t="str">
        <f t="shared" si="42"/>
        <v>SUV</v>
      </c>
      <c r="AL450" s="662" t="str">
        <f t="shared" si="43"/>
        <v>FRD</v>
      </c>
      <c r="AM450" s="662" t="str">
        <f t="shared" si="46"/>
        <v>Explorer-Base-FWD-7-~-~-2.3L-4-K7B-100A-112.8-18.6-Unleaded-Unleaded</v>
      </c>
      <c r="AN450" s="662" t="str">
        <f t="shared" si="44"/>
        <v>2019-SUV-FRD-EXPL-002</v>
      </c>
    </row>
    <row r="451" spans="1:40" s="572" customFormat="1" ht="15">
      <c r="A451" s="570" t="s">
        <v>1240</v>
      </c>
      <c r="B451" s="573" t="s">
        <v>1238</v>
      </c>
      <c r="C451" s="573" t="s">
        <v>287</v>
      </c>
      <c r="D451" s="578">
        <v>26</v>
      </c>
      <c r="E451" s="573" t="s">
        <v>699</v>
      </c>
      <c r="F451" s="573" t="s">
        <v>196</v>
      </c>
      <c r="G451" s="573" t="s">
        <v>271</v>
      </c>
      <c r="H451" s="573">
        <v>2019</v>
      </c>
      <c r="I451" s="573" t="s">
        <v>1227</v>
      </c>
      <c r="J451" s="573" t="s">
        <v>492</v>
      </c>
      <c r="K451" s="573" t="s">
        <v>156</v>
      </c>
      <c r="L451" s="573">
        <v>7</v>
      </c>
      <c r="M451" s="573">
        <v>0</v>
      </c>
      <c r="N451" s="573" t="s">
        <v>157</v>
      </c>
      <c r="O451" s="573">
        <v>3</v>
      </c>
      <c r="P451" s="573" t="s">
        <v>157</v>
      </c>
      <c r="Q451" s="571" t="s">
        <v>157</v>
      </c>
      <c r="R451" s="573" t="s">
        <v>1228</v>
      </c>
      <c r="S451" s="573">
        <v>4</v>
      </c>
      <c r="T451" s="573" t="s">
        <v>1236</v>
      </c>
      <c r="U451" s="573" t="s">
        <v>276</v>
      </c>
      <c r="V451" s="573">
        <v>112.8</v>
      </c>
      <c r="W451" s="573">
        <v>18.600000000000001</v>
      </c>
      <c r="X451" s="571">
        <v>6160</v>
      </c>
      <c r="Y451" s="573">
        <v>22</v>
      </c>
      <c r="Z451" s="579" t="s">
        <v>178</v>
      </c>
      <c r="AA451" s="579" t="s">
        <v>178</v>
      </c>
      <c r="AB451" s="584">
        <v>33360</v>
      </c>
      <c r="AC451" s="584" t="s">
        <v>164</v>
      </c>
      <c r="AD451" s="584">
        <v>26993</v>
      </c>
      <c r="AE451" s="586">
        <v>0.05</v>
      </c>
      <c r="AF451" s="661" t="str">
        <f t="shared" si="45"/>
        <v>2019-SUV-FRD-EXPL-009-26</v>
      </c>
      <c r="AG451" s="661" t="str">
        <f>IF(AND($Y451&gt;=32,(AI451="I"),(Y451&lt;&gt;"~"),(COUNTIF($AN$1:$AN451,$AN451)=1)),"TRUE","FALSE")</f>
        <v>FALSE</v>
      </c>
      <c r="AH451" s="661" t="str">
        <f>IF(AND($Y451&gt;=22, (AI451&lt;&gt;"I"),(Y451&lt;&gt;"~"),(COUNTIF($AN$1:$AN451,$AN451)=1)),"TRUE","FALSE")</f>
        <v>FALSE</v>
      </c>
      <c r="AI451" s="661" t="str">
        <f t="shared" si="47"/>
        <v>II</v>
      </c>
      <c r="AJ451" s="662" t="str">
        <f t="shared" ref="AJ451:AJ514" si="48">MID(A451,14,8)</f>
        <v>EXPL-009</v>
      </c>
      <c r="AK451" s="662" t="str">
        <f t="shared" ref="AK451:AK514" si="49">MID(A451,6,3)</f>
        <v>SUV</v>
      </c>
      <c r="AL451" s="662" t="str">
        <f t="shared" ref="AL451:AL514" si="50">MID(A451,10,3)</f>
        <v>FRD</v>
      </c>
      <c r="AM451" s="662" t="str">
        <f t="shared" si="46"/>
        <v>Explorer-Base-FWD-7-~-~-3.5L STD-4-K7B-100A-112.8-18.6-Unleaded-Unleaded</v>
      </c>
      <c r="AN451" s="662" t="str">
        <f t="shared" ref="AN451:AN514" si="51">LEFT(A451,21)</f>
        <v>2019-SUV-FRD-EXPL-009</v>
      </c>
    </row>
    <row r="452" spans="1:40" s="572" customFormat="1" ht="15">
      <c r="A452" s="570" t="s">
        <v>1241</v>
      </c>
      <c r="B452" s="569" t="s">
        <v>1234</v>
      </c>
      <c r="C452" s="569" t="s">
        <v>280</v>
      </c>
      <c r="D452" s="580">
        <v>27</v>
      </c>
      <c r="E452" s="569" t="s">
        <v>699</v>
      </c>
      <c r="F452" s="569" t="s">
        <v>196</v>
      </c>
      <c r="G452" s="569" t="s">
        <v>271</v>
      </c>
      <c r="H452" s="569">
        <v>2019</v>
      </c>
      <c r="I452" s="569" t="s">
        <v>1227</v>
      </c>
      <c r="J452" s="569" t="s">
        <v>492</v>
      </c>
      <c r="K452" s="569" t="s">
        <v>156</v>
      </c>
      <c r="L452" s="569">
        <v>7</v>
      </c>
      <c r="M452" s="569">
        <v>0</v>
      </c>
      <c r="N452" s="569" t="s">
        <v>157</v>
      </c>
      <c r="O452" s="569">
        <v>3</v>
      </c>
      <c r="P452" s="569" t="s">
        <v>157</v>
      </c>
      <c r="Q452" s="568" t="s">
        <v>157</v>
      </c>
      <c r="R452" s="569" t="s">
        <v>1235</v>
      </c>
      <c r="S452" s="569">
        <v>6</v>
      </c>
      <c r="T452" s="569" t="s">
        <v>1236</v>
      </c>
      <c r="U452" s="569" t="s">
        <v>276</v>
      </c>
      <c r="V452" s="569">
        <v>112.8</v>
      </c>
      <c r="W452" s="569">
        <v>18.600000000000001</v>
      </c>
      <c r="X452" s="568">
        <v>6160</v>
      </c>
      <c r="Y452" s="569">
        <v>22</v>
      </c>
      <c r="Z452" s="581" t="s">
        <v>178</v>
      </c>
      <c r="AA452" s="581" t="s">
        <v>178</v>
      </c>
      <c r="AB452" s="585">
        <v>34255</v>
      </c>
      <c r="AC452" s="585" t="s">
        <v>164</v>
      </c>
      <c r="AD452" s="585">
        <v>29525.354166666668</v>
      </c>
      <c r="AE452" s="587">
        <v>0.03</v>
      </c>
      <c r="AF452" s="661" t="str">
        <f t="shared" si="45"/>
        <v>2019-SUV-FRD-EXPL-002-27</v>
      </c>
      <c r="AG452" s="661" t="str">
        <f>IF(AND($Y452&gt;=32,(AI452="I"),(Y452&lt;&gt;"~"),(COUNTIF($AN$1:$AN452,$AN452)=1)),"TRUE","FALSE")</f>
        <v>FALSE</v>
      </c>
      <c r="AH452" s="661" t="str">
        <f>IF(AND($Y452&gt;=22, (AI452&lt;&gt;"I"),(Y452&lt;&gt;"~"),(COUNTIF($AN$1:$AN452,$AN452)=1)),"TRUE","FALSE")</f>
        <v>FALSE</v>
      </c>
      <c r="AI452" s="661" t="str">
        <f t="shared" si="47"/>
        <v>II</v>
      </c>
      <c r="AJ452" s="662" t="str">
        <f t="shared" si="48"/>
        <v>EXPL-002</v>
      </c>
      <c r="AK452" s="662" t="str">
        <f t="shared" si="49"/>
        <v>SUV</v>
      </c>
      <c r="AL452" s="662" t="str">
        <f t="shared" si="50"/>
        <v>FRD</v>
      </c>
      <c r="AM452" s="662" t="str">
        <f t="shared" si="46"/>
        <v>Explorer-Base-FWD-7-~-~-2.3L-6-K7B-100A-112.8-18.6-Unleaded-Unleaded</v>
      </c>
      <c r="AN452" s="662" t="str">
        <f t="shared" si="51"/>
        <v>2019-SUV-FRD-EXPL-002</v>
      </c>
    </row>
    <row r="453" spans="1:40" s="572" customFormat="1" ht="15">
      <c r="A453" s="570" t="s">
        <v>1242</v>
      </c>
      <c r="B453" s="573" t="s">
        <v>1238</v>
      </c>
      <c r="C453" s="573" t="s">
        <v>280</v>
      </c>
      <c r="D453" s="578">
        <v>27</v>
      </c>
      <c r="E453" s="573" t="s">
        <v>699</v>
      </c>
      <c r="F453" s="573" t="s">
        <v>196</v>
      </c>
      <c r="G453" s="573" t="s">
        <v>271</v>
      </c>
      <c r="H453" s="573">
        <v>2019</v>
      </c>
      <c r="I453" s="573" t="s">
        <v>1227</v>
      </c>
      <c r="J453" s="573" t="s">
        <v>492</v>
      </c>
      <c r="K453" s="573" t="s">
        <v>156</v>
      </c>
      <c r="L453" s="573">
        <v>7</v>
      </c>
      <c r="M453" s="573">
        <v>0</v>
      </c>
      <c r="N453" s="573" t="s">
        <v>157</v>
      </c>
      <c r="O453" s="573">
        <v>3</v>
      </c>
      <c r="P453" s="573" t="s">
        <v>157</v>
      </c>
      <c r="Q453" s="571" t="s">
        <v>157</v>
      </c>
      <c r="R453" s="573" t="s">
        <v>316</v>
      </c>
      <c r="S453" s="573">
        <v>6</v>
      </c>
      <c r="T453" s="573" t="s">
        <v>1236</v>
      </c>
      <c r="U453" s="573" t="s">
        <v>276</v>
      </c>
      <c r="V453" s="573">
        <v>112.8</v>
      </c>
      <c r="W453" s="573">
        <v>18.600000000000001</v>
      </c>
      <c r="X453" s="571">
        <v>6160</v>
      </c>
      <c r="Y453" s="573">
        <v>20</v>
      </c>
      <c r="Z453" s="579" t="s">
        <v>178</v>
      </c>
      <c r="AA453" s="579" t="s">
        <v>178</v>
      </c>
      <c r="AB453" s="584">
        <v>33360</v>
      </c>
      <c r="AC453" s="584" t="s">
        <v>164</v>
      </c>
      <c r="AD453" s="584">
        <v>28703.479166666668</v>
      </c>
      <c r="AE453" s="586">
        <v>0.03</v>
      </c>
      <c r="AF453" s="661" t="str">
        <f t="shared" si="45"/>
        <v>2019-SUV-FRD-EXPL-009-27</v>
      </c>
      <c r="AG453" s="661" t="str">
        <f>IF(AND($Y453&gt;=32,(AI453="I"),(Y453&lt;&gt;"~"),(COUNTIF($AN$1:$AN453,$AN453)=1)),"TRUE","FALSE")</f>
        <v>FALSE</v>
      </c>
      <c r="AH453" s="661" t="str">
        <f>IF(AND($Y453&gt;=22, (AI453&lt;&gt;"I"),(Y453&lt;&gt;"~"),(COUNTIF($AN$1:$AN453,$AN453)=1)),"TRUE","FALSE")</f>
        <v>FALSE</v>
      </c>
      <c r="AI453" s="661" t="str">
        <f t="shared" si="47"/>
        <v>II</v>
      </c>
      <c r="AJ453" s="662" t="str">
        <f t="shared" si="48"/>
        <v>EXPL-009</v>
      </c>
      <c r="AK453" s="662" t="str">
        <f t="shared" si="49"/>
        <v>SUV</v>
      </c>
      <c r="AL453" s="662" t="str">
        <f t="shared" si="50"/>
        <v>FRD</v>
      </c>
      <c r="AM453" s="662" t="str">
        <f t="shared" si="46"/>
        <v>Explorer-Base-FWD-7-~-~-3.5L-6-K7B-100A-112.8-18.6-Unleaded-Unleaded</v>
      </c>
      <c r="AN453" s="662" t="str">
        <f t="shared" si="51"/>
        <v>2019-SUV-FRD-EXPL-009</v>
      </c>
    </row>
    <row r="454" spans="1:40" s="572" customFormat="1" ht="15">
      <c r="A454" s="570" t="s">
        <v>1243</v>
      </c>
      <c r="B454" s="569" t="s">
        <v>1244</v>
      </c>
      <c r="C454" s="569" t="s">
        <v>269</v>
      </c>
      <c r="D454" s="580" t="s">
        <v>270</v>
      </c>
      <c r="E454" s="569" t="s">
        <v>699</v>
      </c>
      <c r="F454" s="569" t="s">
        <v>196</v>
      </c>
      <c r="G454" s="569" t="s">
        <v>271</v>
      </c>
      <c r="H454" s="569">
        <v>2019</v>
      </c>
      <c r="I454" s="569" t="s">
        <v>1227</v>
      </c>
      <c r="J454" s="569" t="s">
        <v>315</v>
      </c>
      <c r="K454" s="569" t="s">
        <v>752</v>
      </c>
      <c r="L454" s="569">
        <v>7</v>
      </c>
      <c r="M454" s="569">
        <v>0</v>
      </c>
      <c r="N454" s="569" t="s">
        <v>157</v>
      </c>
      <c r="O454" s="569">
        <v>3</v>
      </c>
      <c r="P454" s="569" t="s">
        <v>157</v>
      </c>
      <c r="Q454" s="568" t="s">
        <v>157</v>
      </c>
      <c r="R454" s="569" t="s">
        <v>1245</v>
      </c>
      <c r="S454" s="569">
        <v>6</v>
      </c>
      <c r="T454" s="569" t="s">
        <v>1246</v>
      </c>
      <c r="U454" s="569" t="s">
        <v>318</v>
      </c>
      <c r="V454" s="569">
        <v>112.8</v>
      </c>
      <c r="W454" s="569">
        <v>18.600000000000001</v>
      </c>
      <c r="X454" s="568">
        <v>6160</v>
      </c>
      <c r="Y454" s="569">
        <v>21</v>
      </c>
      <c r="Z454" s="581" t="s">
        <v>178</v>
      </c>
      <c r="AA454" s="581" t="s">
        <v>178</v>
      </c>
      <c r="AB454" s="585">
        <v>45910</v>
      </c>
      <c r="AC454" s="585" t="s">
        <v>164</v>
      </c>
      <c r="AD454" s="585">
        <v>45593.0625</v>
      </c>
      <c r="AE454" s="587">
        <v>0.03</v>
      </c>
      <c r="AF454" s="661" t="str">
        <f t="shared" si="45"/>
        <v>2019-SUV-FRD-EXPL-010-05</v>
      </c>
      <c r="AG454" s="661" t="str">
        <f>IF(AND($Y454&gt;=32,(AI454="I"),(Y454&lt;&gt;"~"),(COUNTIF($AN$1:$AN454,$AN454)=1)),"TRUE","FALSE")</f>
        <v>FALSE</v>
      </c>
      <c r="AH454" s="661" t="str">
        <f>IF(AND($Y454&gt;=22, (AI454&lt;&gt;"I"),(Y454&lt;&gt;"~"),(COUNTIF($AN$1:$AN454,$AN454)=1)),"TRUE","FALSE")</f>
        <v>FALSE</v>
      </c>
      <c r="AI454" s="661" t="str">
        <f t="shared" si="47"/>
        <v>II</v>
      </c>
      <c r="AJ454" s="662" t="str">
        <f t="shared" si="48"/>
        <v>EXPL-010</v>
      </c>
      <c r="AK454" s="662" t="str">
        <f t="shared" si="49"/>
        <v>SUV</v>
      </c>
      <c r="AL454" s="662" t="str">
        <f t="shared" si="50"/>
        <v>FRD</v>
      </c>
      <c r="AM454" s="662" t="str">
        <f t="shared" si="46"/>
        <v>Explorer-Limited-4WD-7-~-~-2.3L Ecoboost-6-K8F-300A-112.8-18.6-Unleaded-Unleaded</v>
      </c>
      <c r="AN454" s="662" t="str">
        <f t="shared" si="51"/>
        <v>2019-SUV-FRD-EXPL-010</v>
      </c>
    </row>
    <row r="455" spans="1:40" s="572" customFormat="1" ht="15">
      <c r="A455" s="570" t="s">
        <v>1247</v>
      </c>
      <c r="B455" s="573" t="s">
        <v>1244</v>
      </c>
      <c r="C455" s="573" t="s">
        <v>278</v>
      </c>
      <c r="D455" s="578">
        <v>15</v>
      </c>
      <c r="E455" s="573" t="s">
        <v>699</v>
      </c>
      <c r="F455" s="573" t="s">
        <v>196</v>
      </c>
      <c r="G455" s="573" t="s">
        <v>271</v>
      </c>
      <c r="H455" s="573">
        <v>2019</v>
      </c>
      <c r="I455" s="573" t="s">
        <v>1227</v>
      </c>
      <c r="J455" s="573" t="s">
        <v>315</v>
      </c>
      <c r="K455" s="573" t="s">
        <v>752</v>
      </c>
      <c r="L455" s="573">
        <v>7</v>
      </c>
      <c r="M455" s="573">
        <v>0</v>
      </c>
      <c r="N455" s="573" t="s">
        <v>157</v>
      </c>
      <c r="O455" s="573">
        <v>3</v>
      </c>
      <c r="P455" s="573" t="s">
        <v>157</v>
      </c>
      <c r="Q455" s="571" t="s">
        <v>157</v>
      </c>
      <c r="R455" s="573" t="s">
        <v>1235</v>
      </c>
      <c r="S455" s="573">
        <v>6</v>
      </c>
      <c r="T455" s="573" t="s">
        <v>1246</v>
      </c>
      <c r="U455" s="573" t="s">
        <v>318</v>
      </c>
      <c r="V455" s="573">
        <v>112.8</v>
      </c>
      <c r="W455" s="573">
        <v>18.600000000000001</v>
      </c>
      <c r="X455" s="571">
        <v>6160</v>
      </c>
      <c r="Y455" s="573">
        <v>19</v>
      </c>
      <c r="Z455" s="579" t="s">
        <v>178</v>
      </c>
      <c r="AA455" s="579" t="s">
        <v>178</v>
      </c>
      <c r="AB455" s="584">
        <v>48410</v>
      </c>
      <c r="AC455" s="584" t="s">
        <v>164</v>
      </c>
      <c r="AD455" s="584">
        <v>43750</v>
      </c>
      <c r="AE455" s="586">
        <v>0.01</v>
      </c>
      <c r="AF455" s="661" t="str">
        <f t="shared" si="45"/>
        <v>2019-SUV-FRD-EXPL-010-15</v>
      </c>
      <c r="AG455" s="661" t="str">
        <f>IF(AND($Y455&gt;=32,(AI455="I"),(Y455&lt;&gt;"~"),(COUNTIF($AN$1:$AN455,$AN455)=1)),"TRUE","FALSE")</f>
        <v>FALSE</v>
      </c>
      <c r="AH455" s="661" t="str">
        <f>IF(AND($Y455&gt;=22, (AI455&lt;&gt;"I"),(Y455&lt;&gt;"~"),(COUNTIF($AN$1:$AN455,$AN455)=1)),"TRUE","FALSE")</f>
        <v>FALSE</v>
      </c>
      <c r="AI455" s="661" t="str">
        <f t="shared" si="47"/>
        <v>II</v>
      </c>
      <c r="AJ455" s="662" t="str">
        <f t="shared" si="48"/>
        <v>EXPL-010</v>
      </c>
      <c r="AK455" s="662" t="str">
        <f t="shared" si="49"/>
        <v>SUV</v>
      </c>
      <c r="AL455" s="662" t="str">
        <f t="shared" si="50"/>
        <v>FRD</v>
      </c>
      <c r="AM455" s="662" t="str">
        <f t="shared" si="46"/>
        <v>Explorer-Limited-4WD-7-~-~-2.3L-6-K8F-300A-112.8-18.6-Unleaded-Unleaded</v>
      </c>
      <c r="AN455" s="662" t="str">
        <f t="shared" si="51"/>
        <v>2019-SUV-FRD-EXPL-010</v>
      </c>
    </row>
    <row r="456" spans="1:40" s="572" customFormat="1" ht="15">
      <c r="A456" s="570" t="s">
        <v>1248</v>
      </c>
      <c r="B456" s="569" t="s">
        <v>1249</v>
      </c>
      <c r="C456" s="569" t="s">
        <v>287</v>
      </c>
      <c r="D456" s="580">
        <v>26</v>
      </c>
      <c r="E456" s="569" t="s">
        <v>699</v>
      </c>
      <c r="F456" s="569" t="s">
        <v>196</v>
      </c>
      <c r="G456" s="569" t="s">
        <v>271</v>
      </c>
      <c r="H456" s="569">
        <v>2019</v>
      </c>
      <c r="I456" s="569" t="s">
        <v>1227</v>
      </c>
      <c r="J456" s="569" t="s">
        <v>315</v>
      </c>
      <c r="K456" s="569" t="s">
        <v>752</v>
      </c>
      <c r="L456" s="569">
        <v>7</v>
      </c>
      <c r="M456" s="569">
        <v>0</v>
      </c>
      <c r="N456" s="569" t="s">
        <v>157</v>
      </c>
      <c r="O456" s="569">
        <v>3</v>
      </c>
      <c r="P456" s="569" t="s">
        <v>157</v>
      </c>
      <c r="Q456" s="568" t="s">
        <v>157</v>
      </c>
      <c r="R456" s="569" t="s">
        <v>1228</v>
      </c>
      <c r="S456" s="569">
        <v>6</v>
      </c>
      <c r="T456" s="569" t="s">
        <v>1246</v>
      </c>
      <c r="U456" s="569" t="s">
        <v>318</v>
      </c>
      <c r="V456" s="569">
        <v>112.8</v>
      </c>
      <c r="W456" s="569">
        <v>18.600000000000001</v>
      </c>
      <c r="X456" s="568">
        <v>6160</v>
      </c>
      <c r="Y456" s="569">
        <v>19</v>
      </c>
      <c r="Z456" s="581" t="s">
        <v>178</v>
      </c>
      <c r="AA456" s="581" t="s">
        <v>178</v>
      </c>
      <c r="AB456" s="585">
        <v>45910</v>
      </c>
      <c r="AC456" s="585" t="s">
        <v>164</v>
      </c>
      <c r="AD456" s="585">
        <v>44399</v>
      </c>
      <c r="AE456" s="587">
        <v>0.05</v>
      </c>
      <c r="AF456" s="661" t="str">
        <f t="shared" ref="AF456:AF519" si="52">A456</f>
        <v>2019-SUV-FRD-EXPL-005-26</v>
      </c>
      <c r="AG456" s="661" t="str">
        <f>IF(AND($Y456&gt;=32,(AI456="I"),(Y456&lt;&gt;"~"),(COUNTIF($AN$1:$AN456,$AN456)=1)),"TRUE","FALSE")</f>
        <v>FALSE</v>
      </c>
      <c r="AH456" s="661" t="str">
        <f>IF(AND($Y456&gt;=22, (AI456&lt;&gt;"I"),(Y456&lt;&gt;"~"),(COUNTIF($AN$1:$AN456,$AN456)=1)),"TRUE","FALSE")</f>
        <v>FALSE</v>
      </c>
      <c r="AI456" s="661" t="str">
        <f t="shared" si="47"/>
        <v>II</v>
      </c>
      <c r="AJ456" s="662" t="str">
        <f t="shared" si="48"/>
        <v>EXPL-005</v>
      </c>
      <c r="AK456" s="662" t="str">
        <f t="shared" si="49"/>
        <v>SUV</v>
      </c>
      <c r="AL456" s="662" t="str">
        <f t="shared" si="50"/>
        <v>FRD</v>
      </c>
      <c r="AM456" s="662" t="str">
        <f t="shared" si="46"/>
        <v>Explorer-Limited-4WD-7-~-~-3.5L STD-6-K8F-300A-112.8-18.6-Unleaded-Unleaded</v>
      </c>
      <c r="AN456" s="662" t="str">
        <f t="shared" si="51"/>
        <v>2019-SUV-FRD-EXPL-005</v>
      </c>
    </row>
    <row r="457" spans="1:40" s="572" customFormat="1" ht="15">
      <c r="A457" s="570" t="s">
        <v>1250</v>
      </c>
      <c r="B457" s="573" t="s">
        <v>1244</v>
      </c>
      <c r="C457" s="573" t="s">
        <v>280</v>
      </c>
      <c r="D457" s="578">
        <v>27</v>
      </c>
      <c r="E457" s="573" t="s">
        <v>699</v>
      </c>
      <c r="F457" s="573" t="s">
        <v>196</v>
      </c>
      <c r="G457" s="573" t="s">
        <v>271</v>
      </c>
      <c r="H457" s="573">
        <v>2019</v>
      </c>
      <c r="I457" s="573" t="s">
        <v>1227</v>
      </c>
      <c r="J457" s="573" t="s">
        <v>315</v>
      </c>
      <c r="K457" s="573" t="s">
        <v>752</v>
      </c>
      <c r="L457" s="573">
        <v>7</v>
      </c>
      <c r="M457" s="573">
        <v>0</v>
      </c>
      <c r="N457" s="573" t="s">
        <v>157</v>
      </c>
      <c r="O457" s="573">
        <v>3</v>
      </c>
      <c r="P457" s="573" t="s">
        <v>157</v>
      </c>
      <c r="Q457" s="571" t="s">
        <v>157</v>
      </c>
      <c r="R457" s="573" t="s">
        <v>1245</v>
      </c>
      <c r="S457" s="573">
        <v>6</v>
      </c>
      <c r="T457" s="573" t="s">
        <v>1246</v>
      </c>
      <c r="U457" s="573" t="s">
        <v>318</v>
      </c>
      <c r="V457" s="573">
        <v>112.8</v>
      </c>
      <c r="W457" s="573">
        <v>18.600000000000001</v>
      </c>
      <c r="X457" s="571">
        <v>6160</v>
      </c>
      <c r="Y457" s="573">
        <v>21</v>
      </c>
      <c r="Z457" s="579" t="s">
        <v>178</v>
      </c>
      <c r="AA457" s="579" t="s">
        <v>178</v>
      </c>
      <c r="AB457" s="584">
        <v>45910</v>
      </c>
      <c r="AC457" s="584" t="s">
        <v>164</v>
      </c>
      <c r="AD457" s="584">
        <v>45593.0625</v>
      </c>
      <c r="AE457" s="586">
        <v>0.03</v>
      </c>
      <c r="AF457" s="661" t="str">
        <f t="shared" si="52"/>
        <v>2019-SUV-FRD-EXPL-010-27</v>
      </c>
      <c r="AG457" s="661" t="str">
        <f>IF(AND($Y457&gt;=32,(AI457="I"),(Y457&lt;&gt;"~"),(COUNTIF($AN$1:$AN457,$AN457)=1)),"TRUE","FALSE")</f>
        <v>FALSE</v>
      </c>
      <c r="AH457" s="661" t="str">
        <f>IF(AND($Y457&gt;=22, (AI457&lt;&gt;"I"),(Y457&lt;&gt;"~"),(COUNTIF($AN$1:$AN457,$AN457)=1)),"TRUE","FALSE")</f>
        <v>FALSE</v>
      </c>
      <c r="AI457" s="661" t="str">
        <f t="shared" si="47"/>
        <v>II</v>
      </c>
      <c r="AJ457" s="662" t="str">
        <f t="shared" si="48"/>
        <v>EXPL-010</v>
      </c>
      <c r="AK457" s="662" t="str">
        <f t="shared" si="49"/>
        <v>SUV</v>
      </c>
      <c r="AL457" s="662" t="str">
        <f t="shared" si="50"/>
        <v>FRD</v>
      </c>
      <c r="AM457" s="662" t="str">
        <f t="shared" si="46"/>
        <v>Explorer-Limited-4WD-7-~-~-2.3L Ecoboost-6-K8F-300A-112.8-18.6-Unleaded-Unleaded</v>
      </c>
      <c r="AN457" s="662" t="str">
        <f t="shared" si="51"/>
        <v>2019-SUV-FRD-EXPL-010</v>
      </c>
    </row>
    <row r="458" spans="1:40" s="572" customFormat="1" ht="15">
      <c r="A458" s="570" t="s">
        <v>1251</v>
      </c>
      <c r="B458" s="569" t="s">
        <v>1252</v>
      </c>
      <c r="C458" s="569" t="s">
        <v>269</v>
      </c>
      <c r="D458" s="580" t="s">
        <v>270</v>
      </c>
      <c r="E458" s="569" t="s">
        <v>699</v>
      </c>
      <c r="F458" s="569" t="s">
        <v>196</v>
      </c>
      <c r="G458" s="569" t="s">
        <v>271</v>
      </c>
      <c r="H458" s="569">
        <v>2019</v>
      </c>
      <c r="I458" s="569" t="s">
        <v>1227</v>
      </c>
      <c r="J458" s="569" t="s">
        <v>315</v>
      </c>
      <c r="K458" s="569" t="s">
        <v>156</v>
      </c>
      <c r="L458" s="569">
        <v>7</v>
      </c>
      <c r="M458" s="569">
        <v>0</v>
      </c>
      <c r="N458" s="569" t="s">
        <v>157</v>
      </c>
      <c r="O458" s="569">
        <v>3</v>
      </c>
      <c r="P458" s="569" t="s">
        <v>157</v>
      </c>
      <c r="Q458" s="568" t="s">
        <v>157</v>
      </c>
      <c r="R458" s="569" t="s">
        <v>1245</v>
      </c>
      <c r="S458" s="569">
        <v>6</v>
      </c>
      <c r="T458" s="569" t="s">
        <v>1253</v>
      </c>
      <c r="U458" s="569" t="s">
        <v>318</v>
      </c>
      <c r="V458" s="569">
        <v>112.8</v>
      </c>
      <c r="W458" s="569">
        <v>18.600000000000001</v>
      </c>
      <c r="X458" s="568">
        <v>6160</v>
      </c>
      <c r="Y458" s="569">
        <v>22</v>
      </c>
      <c r="Z458" s="581" t="s">
        <v>178</v>
      </c>
      <c r="AA458" s="581" t="s">
        <v>178</v>
      </c>
      <c r="AB458" s="585">
        <v>43760</v>
      </c>
      <c r="AC458" s="585" t="s">
        <v>164</v>
      </c>
      <c r="AD458" s="585">
        <v>43605.5625</v>
      </c>
      <c r="AE458" s="587">
        <v>0.03</v>
      </c>
      <c r="AF458" s="661" t="str">
        <f t="shared" si="52"/>
        <v>2019-SUV-FRD-EXPL-006-05</v>
      </c>
      <c r="AG458" s="661" t="str">
        <f>IF(AND($Y458&gt;=32,(AI458="I"),(Y458&lt;&gt;"~"),(COUNTIF($AN$1:$AN458,$AN458)=1)),"TRUE","FALSE")</f>
        <v>FALSE</v>
      </c>
      <c r="AH458" s="661" t="str">
        <f>IF(AND($Y458&gt;=22, (AI458&lt;&gt;"I"),(Y458&lt;&gt;"~"),(COUNTIF($AN$1:$AN458,$AN458)=1)),"TRUE","FALSE")</f>
        <v>TRUE</v>
      </c>
      <c r="AI458" s="661" t="str">
        <f t="shared" si="47"/>
        <v>II</v>
      </c>
      <c r="AJ458" s="662" t="str">
        <f t="shared" si="48"/>
        <v>EXPL-006</v>
      </c>
      <c r="AK458" s="662" t="str">
        <f t="shared" si="49"/>
        <v>SUV</v>
      </c>
      <c r="AL458" s="662" t="str">
        <f t="shared" si="50"/>
        <v>FRD</v>
      </c>
      <c r="AM458" s="662" t="str">
        <f t="shared" si="46"/>
        <v>Explorer-Limited-FWD-7-~-~-2.3L Ecoboost-6-K7F-300A-112.8-18.6-Unleaded-Unleaded</v>
      </c>
      <c r="AN458" s="662" t="str">
        <f t="shared" si="51"/>
        <v>2019-SUV-FRD-EXPL-006</v>
      </c>
    </row>
    <row r="459" spans="1:40" s="572" customFormat="1" ht="15">
      <c r="A459" s="570" t="s">
        <v>1254</v>
      </c>
      <c r="B459" s="573" t="s">
        <v>1252</v>
      </c>
      <c r="C459" s="573" t="s">
        <v>278</v>
      </c>
      <c r="D459" s="578">
        <v>15</v>
      </c>
      <c r="E459" s="573" t="s">
        <v>699</v>
      </c>
      <c r="F459" s="573" t="s">
        <v>196</v>
      </c>
      <c r="G459" s="573" t="s">
        <v>271</v>
      </c>
      <c r="H459" s="573">
        <v>2019</v>
      </c>
      <c r="I459" s="573" t="s">
        <v>1227</v>
      </c>
      <c r="J459" s="573" t="s">
        <v>315</v>
      </c>
      <c r="K459" s="573" t="s">
        <v>156</v>
      </c>
      <c r="L459" s="573">
        <v>7</v>
      </c>
      <c r="M459" s="573">
        <v>0</v>
      </c>
      <c r="N459" s="573" t="s">
        <v>157</v>
      </c>
      <c r="O459" s="573">
        <v>3</v>
      </c>
      <c r="P459" s="573" t="s">
        <v>157</v>
      </c>
      <c r="Q459" s="571" t="s">
        <v>157</v>
      </c>
      <c r="R459" s="573" t="s">
        <v>1235</v>
      </c>
      <c r="S459" s="573">
        <v>4</v>
      </c>
      <c r="T459" s="573" t="s">
        <v>1253</v>
      </c>
      <c r="U459" s="573" t="s">
        <v>318</v>
      </c>
      <c r="V459" s="573">
        <v>112.8</v>
      </c>
      <c r="W459" s="573">
        <v>18.600000000000001</v>
      </c>
      <c r="X459" s="571">
        <v>6160</v>
      </c>
      <c r="Y459" s="573">
        <v>22</v>
      </c>
      <c r="Z459" s="579" t="s">
        <v>178</v>
      </c>
      <c r="AA459" s="579" t="s">
        <v>178</v>
      </c>
      <c r="AB459" s="584">
        <v>46260</v>
      </c>
      <c r="AC459" s="584" t="s">
        <v>164</v>
      </c>
      <c r="AD459" s="584">
        <v>41750</v>
      </c>
      <c r="AE459" s="586">
        <v>0.01</v>
      </c>
      <c r="AF459" s="661" t="str">
        <f t="shared" si="52"/>
        <v>2019-SUV-FRD-EXPL-006-15</v>
      </c>
      <c r="AG459" s="661" t="str">
        <f>IF(AND($Y459&gt;=32,(AI459="I"),(Y459&lt;&gt;"~"),(COUNTIF($AN$1:$AN459,$AN459)=1)),"TRUE","FALSE")</f>
        <v>FALSE</v>
      </c>
      <c r="AH459" s="661" t="str">
        <f>IF(AND($Y459&gt;=22, (AI459&lt;&gt;"I"),(Y459&lt;&gt;"~"),(COUNTIF($AN$1:$AN459,$AN459)=1)),"TRUE","FALSE")</f>
        <v>FALSE</v>
      </c>
      <c r="AI459" s="661" t="str">
        <f t="shared" si="47"/>
        <v>II</v>
      </c>
      <c r="AJ459" s="662" t="str">
        <f t="shared" si="48"/>
        <v>EXPL-006</v>
      </c>
      <c r="AK459" s="662" t="str">
        <f t="shared" si="49"/>
        <v>SUV</v>
      </c>
      <c r="AL459" s="662" t="str">
        <f t="shared" si="50"/>
        <v>FRD</v>
      </c>
      <c r="AM459" s="662" t="str">
        <f t="shared" si="46"/>
        <v>Explorer-Limited-FWD-7-~-~-2.3L-4-K7F-300A-112.8-18.6-Unleaded-Unleaded</v>
      </c>
      <c r="AN459" s="662" t="str">
        <f t="shared" si="51"/>
        <v>2019-SUV-FRD-EXPL-006</v>
      </c>
    </row>
    <row r="460" spans="1:40" s="572" customFormat="1" ht="15">
      <c r="A460" s="570" t="s">
        <v>1255</v>
      </c>
      <c r="B460" s="569" t="s">
        <v>1252</v>
      </c>
      <c r="C460" s="569" t="s">
        <v>287</v>
      </c>
      <c r="D460" s="580">
        <v>26</v>
      </c>
      <c r="E460" s="569" t="s">
        <v>699</v>
      </c>
      <c r="F460" s="569" t="s">
        <v>196</v>
      </c>
      <c r="G460" s="569" t="s">
        <v>271</v>
      </c>
      <c r="H460" s="569">
        <v>2019</v>
      </c>
      <c r="I460" s="569" t="s">
        <v>1227</v>
      </c>
      <c r="J460" s="569" t="s">
        <v>315</v>
      </c>
      <c r="K460" s="569" t="s">
        <v>156</v>
      </c>
      <c r="L460" s="569">
        <v>7</v>
      </c>
      <c r="M460" s="569">
        <v>0</v>
      </c>
      <c r="N460" s="569" t="s">
        <v>157</v>
      </c>
      <c r="O460" s="569">
        <v>3</v>
      </c>
      <c r="P460" s="569" t="s">
        <v>157</v>
      </c>
      <c r="Q460" s="568" t="s">
        <v>157</v>
      </c>
      <c r="R460" s="569" t="s">
        <v>1228</v>
      </c>
      <c r="S460" s="569">
        <v>4</v>
      </c>
      <c r="T460" s="569" t="s">
        <v>1253</v>
      </c>
      <c r="U460" s="569" t="s">
        <v>318</v>
      </c>
      <c r="V460" s="569">
        <v>112.8</v>
      </c>
      <c r="W460" s="569">
        <v>18.600000000000001</v>
      </c>
      <c r="X460" s="568">
        <v>6160</v>
      </c>
      <c r="Y460" s="569">
        <v>22</v>
      </c>
      <c r="Z460" s="581" t="s">
        <v>178</v>
      </c>
      <c r="AA460" s="581" t="s">
        <v>178</v>
      </c>
      <c r="AB460" s="585">
        <v>43760</v>
      </c>
      <c r="AC460" s="585" t="s">
        <v>164</v>
      </c>
      <c r="AD460" s="585">
        <v>42352</v>
      </c>
      <c r="AE460" s="587">
        <v>0.05</v>
      </c>
      <c r="AF460" s="661" t="str">
        <f t="shared" si="52"/>
        <v>2019-SUV-FRD-EXPL-006-26</v>
      </c>
      <c r="AG460" s="661" t="str">
        <f>IF(AND($Y460&gt;=32,(AI460="I"),(Y460&lt;&gt;"~"),(COUNTIF($AN$1:$AN460,$AN460)=1)),"TRUE","FALSE")</f>
        <v>FALSE</v>
      </c>
      <c r="AH460" s="661" t="str">
        <f>IF(AND($Y460&gt;=22, (AI460&lt;&gt;"I"),(Y460&lt;&gt;"~"),(COUNTIF($AN$1:$AN460,$AN460)=1)),"TRUE","FALSE")</f>
        <v>FALSE</v>
      </c>
      <c r="AI460" s="661" t="str">
        <f t="shared" si="47"/>
        <v>II</v>
      </c>
      <c r="AJ460" s="662" t="str">
        <f t="shared" si="48"/>
        <v>EXPL-006</v>
      </c>
      <c r="AK460" s="662" t="str">
        <f t="shared" si="49"/>
        <v>SUV</v>
      </c>
      <c r="AL460" s="662" t="str">
        <f t="shared" si="50"/>
        <v>FRD</v>
      </c>
      <c r="AM460" s="662" t="str">
        <f t="shared" si="46"/>
        <v>Explorer-Limited-FWD-7-~-~-3.5L STD-4-K7F-300A-112.8-18.6-Unleaded-Unleaded</v>
      </c>
      <c r="AN460" s="662" t="str">
        <f t="shared" si="51"/>
        <v>2019-SUV-FRD-EXPL-006</v>
      </c>
    </row>
    <row r="461" spans="1:40" s="572" customFormat="1" ht="15">
      <c r="A461" s="570" t="s">
        <v>1256</v>
      </c>
      <c r="B461" s="573" t="s">
        <v>1252</v>
      </c>
      <c r="C461" s="573" t="s">
        <v>280</v>
      </c>
      <c r="D461" s="578">
        <v>27</v>
      </c>
      <c r="E461" s="573" t="s">
        <v>699</v>
      </c>
      <c r="F461" s="573" t="s">
        <v>196</v>
      </c>
      <c r="G461" s="573" t="s">
        <v>271</v>
      </c>
      <c r="H461" s="573">
        <v>2019</v>
      </c>
      <c r="I461" s="573" t="s">
        <v>1227</v>
      </c>
      <c r="J461" s="573" t="s">
        <v>315</v>
      </c>
      <c r="K461" s="573" t="s">
        <v>156</v>
      </c>
      <c r="L461" s="573">
        <v>7</v>
      </c>
      <c r="M461" s="573">
        <v>0</v>
      </c>
      <c r="N461" s="573" t="s">
        <v>157</v>
      </c>
      <c r="O461" s="573">
        <v>3</v>
      </c>
      <c r="P461" s="573" t="s">
        <v>157</v>
      </c>
      <c r="Q461" s="571" t="s">
        <v>157</v>
      </c>
      <c r="R461" s="573" t="s">
        <v>1245</v>
      </c>
      <c r="S461" s="573">
        <v>6</v>
      </c>
      <c r="T461" s="573" t="s">
        <v>1253</v>
      </c>
      <c r="U461" s="573" t="s">
        <v>318</v>
      </c>
      <c r="V461" s="573">
        <v>112.8</v>
      </c>
      <c r="W461" s="573">
        <v>18.600000000000001</v>
      </c>
      <c r="X461" s="571">
        <v>6160</v>
      </c>
      <c r="Y461" s="573">
        <v>22</v>
      </c>
      <c r="Z461" s="579" t="s">
        <v>178</v>
      </c>
      <c r="AA461" s="579" t="s">
        <v>178</v>
      </c>
      <c r="AB461" s="584">
        <v>43760</v>
      </c>
      <c r="AC461" s="584" t="s">
        <v>164</v>
      </c>
      <c r="AD461" s="584">
        <v>43605.5625</v>
      </c>
      <c r="AE461" s="586">
        <v>0.03</v>
      </c>
      <c r="AF461" s="661" t="str">
        <f t="shared" si="52"/>
        <v>2019-SUV-FRD-EXPL-006-27</v>
      </c>
      <c r="AG461" s="661" t="str">
        <f>IF(AND($Y461&gt;=32,(AI461="I"),(Y461&lt;&gt;"~"),(COUNTIF($AN$1:$AN461,$AN461)=1)),"TRUE","FALSE")</f>
        <v>FALSE</v>
      </c>
      <c r="AH461" s="661" t="str">
        <f>IF(AND($Y461&gt;=22, (AI461&lt;&gt;"I"),(Y461&lt;&gt;"~"),(COUNTIF($AN$1:$AN461,$AN461)=1)),"TRUE","FALSE")</f>
        <v>FALSE</v>
      </c>
      <c r="AI461" s="661" t="str">
        <f t="shared" si="47"/>
        <v>II</v>
      </c>
      <c r="AJ461" s="662" t="str">
        <f t="shared" si="48"/>
        <v>EXPL-006</v>
      </c>
      <c r="AK461" s="662" t="str">
        <f t="shared" si="49"/>
        <v>SUV</v>
      </c>
      <c r="AL461" s="662" t="str">
        <f t="shared" si="50"/>
        <v>FRD</v>
      </c>
      <c r="AM461" s="662" t="str">
        <f t="shared" si="46"/>
        <v>Explorer-Limited-FWD-7-~-~-2.3L Ecoboost-6-K7F-300A-112.8-18.6-Unleaded-Unleaded</v>
      </c>
      <c r="AN461" s="662" t="str">
        <f t="shared" si="51"/>
        <v>2019-SUV-FRD-EXPL-006</v>
      </c>
    </row>
    <row r="462" spans="1:40" s="572" customFormat="1" ht="15">
      <c r="A462" s="570" t="s">
        <v>1257</v>
      </c>
      <c r="B462" s="569" t="s">
        <v>1258</v>
      </c>
      <c r="C462" s="569" t="s">
        <v>269</v>
      </c>
      <c r="D462" s="580" t="s">
        <v>270</v>
      </c>
      <c r="E462" s="569" t="s">
        <v>699</v>
      </c>
      <c r="F462" s="569" t="s">
        <v>196</v>
      </c>
      <c r="G462" s="569" t="s">
        <v>271</v>
      </c>
      <c r="H462" s="569">
        <v>2019</v>
      </c>
      <c r="I462" s="569" t="s">
        <v>1227</v>
      </c>
      <c r="J462" s="569" t="s">
        <v>1188</v>
      </c>
      <c r="K462" s="569" t="s">
        <v>752</v>
      </c>
      <c r="L462" s="569">
        <v>7</v>
      </c>
      <c r="M462" s="569">
        <v>0</v>
      </c>
      <c r="N462" s="569" t="s">
        <v>157</v>
      </c>
      <c r="O462" s="569">
        <v>3</v>
      </c>
      <c r="P462" s="569" t="s">
        <v>157</v>
      </c>
      <c r="Q462" s="568" t="s">
        <v>157</v>
      </c>
      <c r="R462" s="569" t="s">
        <v>1259</v>
      </c>
      <c r="S462" s="569">
        <v>6</v>
      </c>
      <c r="T462" s="569" t="s">
        <v>1260</v>
      </c>
      <c r="U462" s="569" t="s">
        <v>366</v>
      </c>
      <c r="V462" s="569">
        <v>112.8</v>
      </c>
      <c r="W462" s="569">
        <v>18.600000000000001</v>
      </c>
      <c r="X462" s="568">
        <v>6160</v>
      </c>
      <c r="Y462" s="569">
        <v>18</v>
      </c>
      <c r="Z462" s="581" t="s">
        <v>178</v>
      </c>
      <c r="AA462" s="581" t="s">
        <v>178</v>
      </c>
      <c r="AB462" s="585">
        <v>55160</v>
      </c>
      <c r="AC462" s="585" t="s">
        <v>164</v>
      </c>
      <c r="AD462" s="585">
        <v>54144.104166666664</v>
      </c>
      <c r="AE462" s="587">
        <v>0.03</v>
      </c>
      <c r="AF462" s="661" t="str">
        <f t="shared" si="52"/>
        <v>2019-SUV-FRD-EXPL-007-05</v>
      </c>
      <c r="AG462" s="661" t="str">
        <f>IF(AND($Y462&gt;=32,(AI462="I"),(Y462&lt;&gt;"~"),(COUNTIF($AN$1:$AN462,$AN462)=1)),"TRUE","FALSE")</f>
        <v>FALSE</v>
      </c>
      <c r="AH462" s="661" t="str">
        <f>IF(AND($Y462&gt;=22, (AI462&lt;&gt;"I"),(Y462&lt;&gt;"~"),(COUNTIF($AN$1:$AN462,$AN462)=1)),"TRUE","FALSE")</f>
        <v>FALSE</v>
      </c>
      <c r="AI462" s="661" t="str">
        <f t="shared" si="47"/>
        <v>II</v>
      </c>
      <c r="AJ462" s="662" t="str">
        <f t="shared" si="48"/>
        <v>EXPL-007</v>
      </c>
      <c r="AK462" s="662" t="str">
        <f t="shared" si="49"/>
        <v>SUV</v>
      </c>
      <c r="AL462" s="662" t="str">
        <f t="shared" si="50"/>
        <v>FRD</v>
      </c>
      <c r="AM462" s="662" t="str">
        <f t="shared" si="46"/>
        <v>Explorer-Platinum-4WD-7-~-~-3.5L EcoBoost-6-K8H-600A-112.8-18.6-Unleaded-Unleaded</v>
      </c>
      <c r="AN462" s="662" t="str">
        <f t="shared" si="51"/>
        <v>2019-SUV-FRD-EXPL-007</v>
      </c>
    </row>
    <row r="463" spans="1:40" s="572" customFormat="1" ht="15">
      <c r="A463" s="570" t="s">
        <v>1261</v>
      </c>
      <c r="B463" s="573" t="s">
        <v>1258</v>
      </c>
      <c r="C463" s="573" t="s">
        <v>278</v>
      </c>
      <c r="D463" s="578">
        <v>15</v>
      </c>
      <c r="E463" s="573" t="s">
        <v>699</v>
      </c>
      <c r="F463" s="573" t="s">
        <v>196</v>
      </c>
      <c r="G463" s="573" t="s">
        <v>271</v>
      </c>
      <c r="H463" s="573">
        <v>2019</v>
      </c>
      <c r="I463" s="573" t="s">
        <v>1227</v>
      </c>
      <c r="J463" s="573" t="s">
        <v>1188</v>
      </c>
      <c r="K463" s="573" t="s">
        <v>752</v>
      </c>
      <c r="L463" s="573">
        <v>7</v>
      </c>
      <c r="M463" s="573">
        <v>0</v>
      </c>
      <c r="N463" s="573" t="s">
        <v>157</v>
      </c>
      <c r="O463" s="573">
        <v>3</v>
      </c>
      <c r="P463" s="573" t="s">
        <v>157</v>
      </c>
      <c r="Q463" s="571" t="s">
        <v>157</v>
      </c>
      <c r="R463" s="573" t="s">
        <v>1228</v>
      </c>
      <c r="S463" s="573">
        <v>6</v>
      </c>
      <c r="T463" s="573" t="s">
        <v>1260</v>
      </c>
      <c r="U463" s="573" t="s">
        <v>366</v>
      </c>
      <c r="V463" s="573">
        <v>112.8</v>
      </c>
      <c r="W463" s="573">
        <v>18.600000000000001</v>
      </c>
      <c r="X463" s="571">
        <v>6160</v>
      </c>
      <c r="Y463" s="573">
        <v>19</v>
      </c>
      <c r="Z463" s="579" t="s">
        <v>450</v>
      </c>
      <c r="AA463" s="579" t="s">
        <v>178</v>
      </c>
      <c r="AB463" s="584">
        <v>57660</v>
      </c>
      <c r="AC463" s="584" t="s">
        <v>164</v>
      </c>
      <c r="AD463" s="584">
        <v>52500</v>
      </c>
      <c r="AE463" s="586">
        <v>0.01</v>
      </c>
      <c r="AF463" s="661" t="str">
        <f t="shared" si="52"/>
        <v>2019-SUV-FRD-EXPL-007-15</v>
      </c>
      <c r="AG463" s="661" t="str">
        <f>IF(AND($Y463&gt;=32,(AI463="I"),(Y463&lt;&gt;"~"),(COUNTIF($AN$1:$AN463,$AN463)=1)),"TRUE","FALSE")</f>
        <v>FALSE</v>
      </c>
      <c r="AH463" s="661" t="str">
        <f>IF(AND($Y463&gt;=22, (AI463&lt;&gt;"I"),(Y463&lt;&gt;"~"),(COUNTIF($AN$1:$AN463,$AN463)=1)),"TRUE","FALSE")</f>
        <v>FALSE</v>
      </c>
      <c r="AI463" s="661" t="str">
        <f t="shared" si="47"/>
        <v>II</v>
      </c>
      <c r="AJ463" s="662" t="str">
        <f t="shared" si="48"/>
        <v>EXPL-007</v>
      </c>
      <c r="AK463" s="662" t="str">
        <f t="shared" si="49"/>
        <v>SUV</v>
      </c>
      <c r="AL463" s="662" t="str">
        <f t="shared" si="50"/>
        <v>FRD</v>
      </c>
      <c r="AM463" s="662" t="str">
        <f t="shared" si="46"/>
        <v>Explorer-Platinum-4WD-7-~-~-3.5L STD-6-K8H-600A-112.8-18.6-E85-Unleaded</v>
      </c>
      <c r="AN463" s="662" t="str">
        <f t="shared" si="51"/>
        <v>2019-SUV-FRD-EXPL-007</v>
      </c>
    </row>
    <row r="464" spans="1:40" s="572" customFormat="1" ht="15">
      <c r="A464" s="570" t="s">
        <v>1262</v>
      </c>
      <c r="B464" s="569" t="s">
        <v>1258</v>
      </c>
      <c r="C464" s="569" t="s">
        <v>287</v>
      </c>
      <c r="D464" s="580">
        <v>26</v>
      </c>
      <c r="E464" s="569" t="s">
        <v>699</v>
      </c>
      <c r="F464" s="569" t="s">
        <v>196</v>
      </c>
      <c r="G464" s="569" t="s">
        <v>271</v>
      </c>
      <c r="H464" s="569">
        <v>2019</v>
      </c>
      <c r="I464" s="569" t="s">
        <v>1227</v>
      </c>
      <c r="J464" s="569" t="s">
        <v>1188</v>
      </c>
      <c r="K464" s="569" t="s">
        <v>752</v>
      </c>
      <c r="L464" s="569">
        <v>7</v>
      </c>
      <c r="M464" s="569">
        <v>0</v>
      </c>
      <c r="N464" s="569" t="s">
        <v>157</v>
      </c>
      <c r="O464" s="569">
        <v>3</v>
      </c>
      <c r="P464" s="569" t="s">
        <v>157</v>
      </c>
      <c r="Q464" s="568" t="s">
        <v>157</v>
      </c>
      <c r="R464" s="569" t="s">
        <v>1263</v>
      </c>
      <c r="S464" s="569">
        <v>6</v>
      </c>
      <c r="T464" s="569" t="s">
        <v>1260</v>
      </c>
      <c r="U464" s="569" t="s">
        <v>366</v>
      </c>
      <c r="V464" s="569">
        <v>112.8</v>
      </c>
      <c r="W464" s="569">
        <v>18.600000000000001</v>
      </c>
      <c r="X464" s="568">
        <v>6160</v>
      </c>
      <c r="Y464" s="569">
        <v>19</v>
      </c>
      <c r="Z464" s="581" t="s">
        <v>450</v>
      </c>
      <c r="AA464" s="581" t="s">
        <v>178</v>
      </c>
      <c r="AB464" s="585">
        <v>55160</v>
      </c>
      <c r="AC464" s="585" t="s">
        <v>164</v>
      </c>
      <c r="AD464" s="585">
        <v>53213</v>
      </c>
      <c r="AE464" s="587">
        <v>0.05</v>
      </c>
      <c r="AF464" s="661" t="str">
        <f t="shared" si="52"/>
        <v>2019-SUV-FRD-EXPL-007-26</v>
      </c>
      <c r="AG464" s="661" t="str">
        <f>IF(AND($Y464&gt;=32,(AI464="I"),(Y464&lt;&gt;"~"),(COUNTIF($AN$1:$AN464,$AN464)=1)),"TRUE","FALSE")</f>
        <v>FALSE</v>
      </c>
      <c r="AH464" s="661" t="str">
        <f>IF(AND($Y464&gt;=22, (AI464&lt;&gt;"I"),(Y464&lt;&gt;"~"),(COUNTIF($AN$1:$AN464,$AN464)=1)),"TRUE","FALSE")</f>
        <v>FALSE</v>
      </c>
      <c r="AI464" s="661" t="str">
        <f t="shared" si="47"/>
        <v>II</v>
      </c>
      <c r="AJ464" s="662" t="str">
        <f t="shared" si="48"/>
        <v>EXPL-007</v>
      </c>
      <c r="AK464" s="662" t="str">
        <f t="shared" si="49"/>
        <v>SUV</v>
      </c>
      <c r="AL464" s="662" t="str">
        <f t="shared" si="50"/>
        <v>FRD</v>
      </c>
      <c r="AM464" s="662" t="str">
        <f t="shared" si="46"/>
        <v>Explorer-Platinum-4WD-7-~-~-3.5L Ecoboost-6-K8H-600A-112.8-18.6-E85-Unleaded</v>
      </c>
      <c r="AN464" s="662" t="str">
        <f t="shared" si="51"/>
        <v>2019-SUV-FRD-EXPL-007</v>
      </c>
    </row>
    <row r="465" spans="1:40" s="572" customFormat="1" ht="15">
      <c r="A465" s="570" t="s">
        <v>1264</v>
      </c>
      <c r="B465" s="573" t="s">
        <v>1258</v>
      </c>
      <c r="C465" s="573" t="s">
        <v>280</v>
      </c>
      <c r="D465" s="578">
        <v>27</v>
      </c>
      <c r="E465" s="573" t="s">
        <v>699</v>
      </c>
      <c r="F465" s="573" t="s">
        <v>196</v>
      </c>
      <c r="G465" s="573" t="s">
        <v>271</v>
      </c>
      <c r="H465" s="573">
        <v>2019</v>
      </c>
      <c r="I465" s="573" t="s">
        <v>1227</v>
      </c>
      <c r="J465" s="573" t="s">
        <v>1188</v>
      </c>
      <c r="K465" s="573" t="s">
        <v>752</v>
      </c>
      <c r="L465" s="573">
        <v>7</v>
      </c>
      <c r="M465" s="573">
        <v>0</v>
      </c>
      <c r="N465" s="573" t="s">
        <v>157</v>
      </c>
      <c r="O465" s="573">
        <v>3</v>
      </c>
      <c r="P465" s="573" t="s">
        <v>157</v>
      </c>
      <c r="Q465" s="571" t="s">
        <v>157</v>
      </c>
      <c r="R465" s="573" t="s">
        <v>1259</v>
      </c>
      <c r="S465" s="573">
        <v>6</v>
      </c>
      <c r="T465" s="573" t="s">
        <v>1260</v>
      </c>
      <c r="U465" s="573" t="s">
        <v>366</v>
      </c>
      <c r="V465" s="573">
        <v>112.8</v>
      </c>
      <c r="W465" s="573">
        <v>18.600000000000001</v>
      </c>
      <c r="X465" s="571">
        <v>6160</v>
      </c>
      <c r="Y465" s="573">
        <v>18</v>
      </c>
      <c r="Z465" s="579" t="s">
        <v>178</v>
      </c>
      <c r="AA465" s="579" t="s">
        <v>178</v>
      </c>
      <c r="AB465" s="584">
        <v>55160</v>
      </c>
      <c r="AC465" s="584" t="s">
        <v>164</v>
      </c>
      <c r="AD465" s="584">
        <v>54144.104166666664</v>
      </c>
      <c r="AE465" s="586">
        <v>0.03</v>
      </c>
      <c r="AF465" s="661" t="str">
        <f t="shared" si="52"/>
        <v>2019-SUV-FRD-EXPL-007-27</v>
      </c>
      <c r="AG465" s="661" t="str">
        <f>IF(AND($Y465&gt;=32,(AI465="I"),(Y465&lt;&gt;"~"),(COUNTIF($AN$1:$AN465,$AN465)=1)),"TRUE","FALSE")</f>
        <v>FALSE</v>
      </c>
      <c r="AH465" s="661" t="str">
        <f>IF(AND($Y465&gt;=22, (AI465&lt;&gt;"I"),(Y465&lt;&gt;"~"),(COUNTIF($AN$1:$AN465,$AN465)=1)),"TRUE","FALSE")</f>
        <v>FALSE</v>
      </c>
      <c r="AI465" s="661" t="str">
        <f t="shared" si="47"/>
        <v>II</v>
      </c>
      <c r="AJ465" s="662" t="str">
        <f t="shared" si="48"/>
        <v>EXPL-007</v>
      </c>
      <c r="AK465" s="662" t="str">
        <f t="shared" si="49"/>
        <v>SUV</v>
      </c>
      <c r="AL465" s="662" t="str">
        <f t="shared" si="50"/>
        <v>FRD</v>
      </c>
      <c r="AM465" s="662" t="str">
        <f t="shared" si="46"/>
        <v>Explorer-Platinum-4WD-7-~-~-3.5L EcoBoost-6-K8H-600A-112.8-18.6-Unleaded-Unleaded</v>
      </c>
      <c r="AN465" s="662" t="str">
        <f t="shared" si="51"/>
        <v>2019-SUV-FRD-EXPL-007</v>
      </c>
    </row>
    <row r="466" spans="1:40" s="572" customFormat="1" ht="15">
      <c r="A466" s="570" t="s">
        <v>1265</v>
      </c>
      <c r="B466" s="569" t="s">
        <v>1266</v>
      </c>
      <c r="C466" s="569" t="s">
        <v>269</v>
      </c>
      <c r="D466" s="580" t="s">
        <v>270</v>
      </c>
      <c r="E466" s="569" t="s">
        <v>699</v>
      </c>
      <c r="F466" s="569" t="s">
        <v>196</v>
      </c>
      <c r="G466" s="569" t="s">
        <v>271</v>
      </c>
      <c r="H466" s="569">
        <v>2019</v>
      </c>
      <c r="I466" s="569" t="s">
        <v>1227</v>
      </c>
      <c r="J466" s="569" t="s">
        <v>409</v>
      </c>
      <c r="K466" s="569" t="s">
        <v>752</v>
      </c>
      <c r="L466" s="569">
        <v>7</v>
      </c>
      <c r="M466" s="569">
        <v>0</v>
      </c>
      <c r="N466" s="569" t="s">
        <v>157</v>
      </c>
      <c r="O466" s="569">
        <v>3</v>
      </c>
      <c r="P466" s="569" t="s">
        <v>157</v>
      </c>
      <c r="Q466" s="568" t="s">
        <v>157</v>
      </c>
      <c r="R466" s="569" t="s">
        <v>1259</v>
      </c>
      <c r="S466" s="569">
        <v>6</v>
      </c>
      <c r="T466" s="569" t="s">
        <v>1267</v>
      </c>
      <c r="U466" s="569" t="s">
        <v>310</v>
      </c>
      <c r="V466" s="569">
        <v>112.8</v>
      </c>
      <c r="W466" s="569">
        <v>18.600000000000001</v>
      </c>
      <c r="X466" s="568">
        <v>6160</v>
      </c>
      <c r="Y466" s="569">
        <v>18</v>
      </c>
      <c r="Z466" s="581" t="s">
        <v>178</v>
      </c>
      <c r="AA466" s="581" t="s">
        <v>178</v>
      </c>
      <c r="AB466" s="585">
        <v>47620</v>
      </c>
      <c r="AC466" s="585" t="s">
        <v>164</v>
      </c>
      <c r="AD466" s="585">
        <v>47174.3125</v>
      </c>
      <c r="AE466" s="587">
        <v>0.03</v>
      </c>
      <c r="AF466" s="661" t="str">
        <f t="shared" si="52"/>
        <v>2019-SUV-FRD-EXPL-008-05</v>
      </c>
      <c r="AG466" s="661" t="str">
        <f>IF(AND($Y466&gt;=32,(AI466="I"),(Y466&lt;&gt;"~"),(COUNTIF($AN$1:$AN466,$AN466)=1)),"TRUE","FALSE")</f>
        <v>FALSE</v>
      </c>
      <c r="AH466" s="661" t="str">
        <f>IF(AND($Y466&gt;=22, (AI466&lt;&gt;"I"),(Y466&lt;&gt;"~"),(COUNTIF($AN$1:$AN466,$AN466)=1)),"TRUE","FALSE")</f>
        <v>FALSE</v>
      </c>
      <c r="AI466" s="661" t="str">
        <f t="shared" si="47"/>
        <v>II</v>
      </c>
      <c r="AJ466" s="662" t="str">
        <f t="shared" si="48"/>
        <v>EXPL-008</v>
      </c>
      <c r="AK466" s="662" t="str">
        <f t="shared" si="49"/>
        <v>SUV</v>
      </c>
      <c r="AL466" s="662" t="str">
        <f t="shared" si="50"/>
        <v>FRD</v>
      </c>
      <c r="AM466" s="662" t="str">
        <f t="shared" si="46"/>
        <v>Explorer-Sport-4WD-7-~-~-3.5L EcoBoost-6-K8G-400A-112.8-18.6-Unleaded-Unleaded</v>
      </c>
      <c r="AN466" s="662" t="str">
        <f t="shared" si="51"/>
        <v>2019-SUV-FRD-EXPL-008</v>
      </c>
    </row>
    <row r="467" spans="1:40" s="572" customFormat="1" ht="15">
      <c r="A467" s="570" t="s">
        <v>1268</v>
      </c>
      <c r="B467" s="573" t="s">
        <v>1266</v>
      </c>
      <c r="C467" s="573" t="s">
        <v>278</v>
      </c>
      <c r="D467" s="578">
        <v>15</v>
      </c>
      <c r="E467" s="573" t="s">
        <v>699</v>
      </c>
      <c r="F467" s="573" t="s">
        <v>196</v>
      </c>
      <c r="G467" s="573" t="s">
        <v>271</v>
      </c>
      <c r="H467" s="573">
        <v>2019</v>
      </c>
      <c r="I467" s="573" t="s">
        <v>1227</v>
      </c>
      <c r="J467" s="573" t="s">
        <v>409</v>
      </c>
      <c r="K467" s="573" t="s">
        <v>752</v>
      </c>
      <c r="L467" s="573">
        <v>7</v>
      </c>
      <c r="M467" s="573">
        <v>0</v>
      </c>
      <c r="N467" s="573" t="s">
        <v>157</v>
      </c>
      <c r="O467" s="573">
        <v>3</v>
      </c>
      <c r="P467" s="573" t="s">
        <v>157</v>
      </c>
      <c r="Q467" s="571" t="s">
        <v>157</v>
      </c>
      <c r="R467" s="573" t="s">
        <v>1228</v>
      </c>
      <c r="S467" s="573">
        <v>6</v>
      </c>
      <c r="T467" s="573" t="s">
        <v>1267</v>
      </c>
      <c r="U467" s="573" t="s">
        <v>310</v>
      </c>
      <c r="V467" s="573">
        <v>112.8</v>
      </c>
      <c r="W467" s="573">
        <v>18.600000000000001</v>
      </c>
      <c r="X467" s="571">
        <v>6160</v>
      </c>
      <c r="Y467" s="573">
        <v>19</v>
      </c>
      <c r="Z467" s="579" t="s">
        <v>450</v>
      </c>
      <c r="AA467" s="579" t="s">
        <v>178</v>
      </c>
      <c r="AB467" s="584">
        <v>50120</v>
      </c>
      <c r="AC467" s="584" t="s">
        <v>164</v>
      </c>
      <c r="AD467" s="584">
        <v>45400</v>
      </c>
      <c r="AE467" s="586">
        <v>0.01</v>
      </c>
      <c r="AF467" s="661" t="str">
        <f t="shared" si="52"/>
        <v>2019-SUV-FRD-EXPL-008-15</v>
      </c>
      <c r="AG467" s="661" t="str">
        <f>IF(AND($Y467&gt;=32,(AI467="I"),(Y467&lt;&gt;"~"),(COUNTIF($AN$1:$AN467,$AN467)=1)),"TRUE","FALSE")</f>
        <v>FALSE</v>
      </c>
      <c r="AH467" s="661" t="str">
        <f>IF(AND($Y467&gt;=22, (AI467&lt;&gt;"I"),(Y467&lt;&gt;"~"),(COUNTIF($AN$1:$AN467,$AN467)=1)),"TRUE","FALSE")</f>
        <v>FALSE</v>
      </c>
      <c r="AI467" s="661" t="str">
        <f t="shared" si="47"/>
        <v>II</v>
      </c>
      <c r="AJ467" s="662" t="str">
        <f t="shared" si="48"/>
        <v>EXPL-008</v>
      </c>
      <c r="AK467" s="662" t="str">
        <f t="shared" si="49"/>
        <v>SUV</v>
      </c>
      <c r="AL467" s="662" t="str">
        <f t="shared" si="50"/>
        <v>FRD</v>
      </c>
      <c r="AM467" s="662" t="str">
        <f t="shared" si="46"/>
        <v>Explorer-Sport-4WD-7-~-~-3.5L STD-6-K8G-400A-112.8-18.6-E85-Unleaded</v>
      </c>
      <c r="AN467" s="662" t="str">
        <f t="shared" si="51"/>
        <v>2019-SUV-FRD-EXPL-008</v>
      </c>
    </row>
    <row r="468" spans="1:40" s="572" customFormat="1" ht="15">
      <c r="A468" s="570" t="s">
        <v>1269</v>
      </c>
      <c r="B468" s="569" t="s">
        <v>1266</v>
      </c>
      <c r="C468" s="569" t="s">
        <v>287</v>
      </c>
      <c r="D468" s="580">
        <v>26</v>
      </c>
      <c r="E468" s="569" t="s">
        <v>699</v>
      </c>
      <c r="F468" s="569" t="s">
        <v>196</v>
      </c>
      <c r="G468" s="569" t="s">
        <v>271</v>
      </c>
      <c r="H468" s="569">
        <v>2019</v>
      </c>
      <c r="I468" s="569" t="s">
        <v>1227</v>
      </c>
      <c r="J468" s="569" t="s">
        <v>409</v>
      </c>
      <c r="K468" s="569" t="s">
        <v>752</v>
      </c>
      <c r="L468" s="569">
        <v>7</v>
      </c>
      <c r="M468" s="569">
        <v>0</v>
      </c>
      <c r="N468" s="569" t="s">
        <v>157</v>
      </c>
      <c r="O468" s="569">
        <v>3</v>
      </c>
      <c r="P468" s="569" t="s">
        <v>157</v>
      </c>
      <c r="Q468" s="568" t="s">
        <v>157</v>
      </c>
      <c r="R468" s="569" t="s">
        <v>1263</v>
      </c>
      <c r="S468" s="569">
        <v>6</v>
      </c>
      <c r="T468" s="569" t="s">
        <v>1267</v>
      </c>
      <c r="U468" s="569" t="s">
        <v>310</v>
      </c>
      <c r="V468" s="569">
        <v>112.8</v>
      </c>
      <c r="W468" s="569">
        <v>18.600000000000001</v>
      </c>
      <c r="X468" s="568">
        <v>6160</v>
      </c>
      <c r="Y468" s="569">
        <v>19</v>
      </c>
      <c r="Z468" s="581" t="s">
        <v>450</v>
      </c>
      <c r="AA468" s="581" t="s">
        <v>178</v>
      </c>
      <c r="AB468" s="585">
        <v>47620</v>
      </c>
      <c r="AC468" s="585" t="s">
        <v>164</v>
      </c>
      <c r="AD468" s="585">
        <v>46029</v>
      </c>
      <c r="AE468" s="587">
        <v>0.05</v>
      </c>
      <c r="AF468" s="661" t="str">
        <f t="shared" si="52"/>
        <v>2019-SUV-FRD-EXPL-008-26</v>
      </c>
      <c r="AG468" s="661" t="str">
        <f>IF(AND($Y468&gt;=32,(AI468="I"),(Y468&lt;&gt;"~"),(COUNTIF($AN$1:$AN468,$AN468)=1)),"TRUE","FALSE")</f>
        <v>FALSE</v>
      </c>
      <c r="AH468" s="661" t="str">
        <f>IF(AND($Y468&gt;=22, (AI468&lt;&gt;"I"),(Y468&lt;&gt;"~"),(COUNTIF($AN$1:$AN468,$AN468)=1)),"TRUE","FALSE")</f>
        <v>FALSE</v>
      </c>
      <c r="AI468" s="661" t="str">
        <f t="shared" si="47"/>
        <v>II</v>
      </c>
      <c r="AJ468" s="662" t="str">
        <f t="shared" si="48"/>
        <v>EXPL-008</v>
      </c>
      <c r="AK468" s="662" t="str">
        <f t="shared" si="49"/>
        <v>SUV</v>
      </c>
      <c r="AL468" s="662" t="str">
        <f t="shared" si="50"/>
        <v>FRD</v>
      </c>
      <c r="AM468" s="662" t="str">
        <f t="shared" si="46"/>
        <v>Explorer-Sport-4WD-7-~-~-3.5L Ecoboost-6-K8G-400A-112.8-18.6-E85-Unleaded</v>
      </c>
      <c r="AN468" s="662" t="str">
        <f t="shared" si="51"/>
        <v>2019-SUV-FRD-EXPL-008</v>
      </c>
    </row>
    <row r="469" spans="1:40" s="572" customFormat="1" ht="15">
      <c r="A469" s="570" t="s">
        <v>1270</v>
      </c>
      <c r="B469" s="573" t="s">
        <v>1266</v>
      </c>
      <c r="C469" s="573" t="s">
        <v>280</v>
      </c>
      <c r="D469" s="578">
        <v>27</v>
      </c>
      <c r="E469" s="573" t="s">
        <v>699</v>
      </c>
      <c r="F469" s="573" t="s">
        <v>196</v>
      </c>
      <c r="G469" s="573" t="s">
        <v>271</v>
      </c>
      <c r="H469" s="573">
        <v>2019</v>
      </c>
      <c r="I469" s="573" t="s">
        <v>1227</v>
      </c>
      <c r="J469" s="573" t="s">
        <v>409</v>
      </c>
      <c r="K469" s="573" t="s">
        <v>752</v>
      </c>
      <c r="L469" s="573">
        <v>7</v>
      </c>
      <c r="M469" s="573">
        <v>0</v>
      </c>
      <c r="N469" s="573" t="s">
        <v>157</v>
      </c>
      <c r="O469" s="573">
        <v>3</v>
      </c>
      <c r="P469" s="573" t="s">
        <v>157</v>
      </c>
      <c r="Q469" s="571" t="s">
        <v>157</v>
      </c>
      <c r="R469" s="573" t="s">
        <v>1259</v>
      </c>
      <c r="S469" s="573">
        <v>6</v>
      </c>
      <c r="T469" s="573" t="s">
        <v>1267</v>
      </c>
      <c r="U469" s="573" t="s">
        <v>310</v>
      </c>
      <c r="V469" s="573">
        <v>112.8</v>
      </c>
      <c r="W469" s="573">
        <v>18.600000000000001</v>
      </c>
      <c r="X469" s="571">
        <v>6160</v>
      </c>
      <c r="Y469" s="573">
        <v>18</v>
      </c>
      <c r="Z469" s="579" t="s">
        <v>178</v>
      </c>
      <c r="AA469" s="579" t="s">
        <v>178</v>
      </c>
      <c r="AB469" s="584">
        <v>47620</v>
      </c>
      <c r="AC469" s="584" t="s">
        <v>164</v>
      </c>
      <c r="AD469" s="584">
        <v>47174.3125</v>
      </c>
      <c r="AE469" s="586">
        <v>0.03</v>
      </c>
      <c r="AF469" s="661" t="str">
        <f t="shared" si="52"/>
        <v>2019-SUV-FRD-EXPL-008-27</v>
      </c>
      <c r="AG469" s="661" t="str">
        <f>IF(AND($Y469&gt;=32,(AI469="I"),(Y469&lt;&gt;"~"),(COUNTIF($AN$1:$AN469,$AN469)=1)),"TRUE","FALSE")</f>
        <v>FALSE</v>
      </c>
      <c r="AH469" s="661" t="str">
        <f>IF(AND($Y469&gt;=22, (AI469&lt;&gt;"I"),(Y469&lt;&gt;"~"),(COUNTIF($AN$1:$AN469,$AN469)=1)),"TRUE","FALSE")</f>
        <v>FALSE</v>
      </c>
      <c r="AI469" s="661" t="str">
        <f t="shared" si="47"/>
        <v>II</v>
      </c>
      <c r="AJ469" s="662" t="str">
        <f t="shared" si="48"/>
        <v>EXPL-008</v>
      </c>
      <c r="AK469" s="662" t="str">
        <f t="shared" si="49"/>
        <v>SUV</v>
      </c>
      <c r="AL469" s="662" t="str">
        <f t="shared" si="50"/>
        <v>FRD</v>
      </c>
      <c r="AM469" s="662" t="str">
        <f t="shared" si="46"/>
        <v>Explorer-Sport-4WD-7-~-~-3.5L EcoBoost-6-K8G-400A-112.8-18.6-Unleaded-Unleaded</v>
      </c>
      <c r="AN469" s="662" t="str">
        <f t="shared" si="51"/>
        <v>2019-SUV-FRD-EXPL-008</v>
      </c>
    </row>
    <row r="470" spans="1:40" s="572" customFormat="1" ht="15">
      <c r="A470" s="570" t="s">
        <v>1271</v>
      </c>
      <c r="B470" s="569" t="s">
        <v>1272</v>
      </c>
      <c r="C470" s="569" t="s">
        <v>269</v>
      </c>
      <c r="D470" s="580" t="s">
        <v>270</v>
      </c>
      <c r="E470" s="569" t="s">
        <v>699</v>
      </c>
      <c r="F470" s="569" t="s">
        <v>196</v>
      </c>
      <c r="G470" s="569" t="s">
        <v>271</v>
      </c>
      <c r="H470" s="569">
        <v>2019</v>
      </c>
      <c r="I470" s="569" t="s">
        <v>1227</v>
      </c>
      <c r="J470" s="569" t="s">
        <v>1214</v>
      </c>
      <c r="K470" s="569" t="s">
        <v>752</v>
      </c>
      <c r="L470" s="569">
        <v>7</v>
      </c>
      <c r="M470" s="569">
        <v>0</v>
      </c>
      <c r="N470" s="569" t="s">
        <v>157</v>
      </c>
      <c r="O470" s="569">
        <v>3</v>
      </c>
      <c r="P470" s="569" t="s">
        <v>157</v>
      </c>
      <c r="Q470" s="568" t="s">
        <v>157</v>
      </c>
      <c r="R470" s="569" t="s">
        <v>1228</v>
      </c>
      <c r="S470" s="569">
        <v>6</v>
      </c>
      <c r="T470" s="569" t="s">
        <v>1273</v>
      </c>
      <c r="U470" s="569" t="s">
        <v>295</v>
      </c>
      <c r="V470" s="569">
        <v>112.8</v>
      </c>
      <c r="W470" s="569">
        <v>18.600000000000001</v>
      </c>
      <c r="X470" s="568">
        <v>6160</v>
      </c>
      <c r="Y470" s="569">
        <v>18</v>
      </c>
      <c r="Z470" s="581" t="s">
        <v>450</v>
      </c>
      <c r="AA470" s="581" t="s">
        <v>178</v>
      </c>
      <c r="AB470" s="585">
        <v>37545</v>
      </c>
      <c r="AC470" s="585" t="s">
        <v>164</v>
      </c>
      <c r="AD470" s="585">
        <v>34526.395833333328</v>
      </c>
      <c r="AE470" s="587">
        <v>0.03</v>
      </c>
      <c r="AF470" s="661" t="str">
        <f t="shared" si="52"/>
        <v>2019-SUV-FRD-EXPL-003-05</v>
      </c>
      <c r="AG470" s="661" t="str">
        <f>IF(AND($Y470&gt;=32,(AI470="I"),(Y470&lt;&gt;"~"),(COUNTIF($AN$1:$AN470,$AN470)=1)),"TRUE","FALSE")</f>
        <v>FALSE</v>
      </c>
      <c r="AH470" s="661" t="str">
        <f>IF(AND($Y470&gt;=22, (AI470&lt;&gt;"I"),(Y470&lt;&gt;"~"),(COUNTIF($AN$1:$AN470,$AN470)=1)),"TRUE","FALSE")</f>
        <v>FALSE</v>
      </c>
      <c r="AI470" s="661" t="str">
        <f t="shared" si="47"/>
        <v>II</v>
      </c>
      <c r="AJ470" s="662" t="str">
        <f t="shared" si="48"/>
        <v>EXPL-003</v>
      </c>
      <c r="AK470" s="662" t="str">
        <f t="shared" si="49"/>
        <v>SUV</v>
      </c>
      <c r="AL470" s="662" t="str">
        <f t="shared" si="50"/>
        <v>FRD</v>
      </c>
      <c r="AM470" s="662" t="str">
        <f t="shared" si="46"/>
        <v>Explorer-XLT-4WD-7-~-~-3.5L STD-6-K8D-200A-112.8-18.6-E85-Unleaded</v>
      </c>
      <c r="AN470" s="662" t="str">
        <f t="shared" si="51"/>
        <v>2019-SUV-FRD-EXPL-003</v>
      </c>
    </row>
    <row r="471" spans="1:40" s="572" customFormat="1" ht="15">
      <c r="A471" s="570" t="s">
        <v>1274</v>
      </c>
      <c r="B471" s="573" t="s">
        <v>1272</v>
      </c>
      <c r="C471" s="573" t="s">
        <v>278</v>
      </c>
      <c r="D471" s="578">
        <v>15</v>
      </c>
      <c r="E471" s="573" t="s">
        <v>699</v>
      </c>
      <c r="F471" s="573" t="s">
        <v>196</v>
      </c>
      <c r="G471" s="573" t="s">
        <v>271</v>
      </c>
      <c r="H471" s="573">
        <v>2019</v>
      </c>
      <c r="I471" s="573" t="s">
        <v>1227</v>
      </c>
      <c r="J471" s="573" t="s">
        <v>1214</v>
      </c>
      <c r="K471" s="573" t="s">
        <v>752</v>
      </c>
      <c r="L471" s="573">
        <v>7</v>
      </c>
      <c r="M471" s="573">
        <v>0</v>
      </c>
      <c r="N471" s="573" t="s">
        <v>157</v>
      </c>
      <c r="O471" s="573">
        <v>3</v>
      </c>
      <c r="P471" s="573" t="s">
        <v>157</v>
      </c>
      <c r="Q471" s="571" t="s">
        <v>157</v>
      </c>
      <c r="R471" s="573" t="s">
        <v>1228</v>
      </c>
      <c r="S471" s="573">
        <v>6</v>
      </c>
      <c r="T471" s="573" t="s">
        <v>1273</v>
      </c>
      <c r="U471" s="573" t="s">
        <v>295</v>
      </c>
      <c r="V471" s="573">
        <v>112.8</v>
      </c>
      <c r="W471" s="573">
        <v>18.600000000000001</v>
      </c>
      <c r="X471" s="571">
        <v>6160</v>
      </c>
      <c r="Y471" s="573">
        <v>19</v>
      </c>
      <c r="Z471" s="579" t="s">
        <v>450</v>
      </c>
      <c r="AA471" s="579" t="s">
        <v>178</v>
      </c>
      <c r="AB471" s="584">
        <v>40045</v>
      </c>
      <c r="AC471" s="584" t="s">
        <v>164</v>
      </c>
      <c r="AD471" s="584">
        <v>34995</v>
      </c>
      <c r="AE471" s="586">
        <v>0.01</v>
      </c>
      <c r="AF471" s="661" t="str">
        <f t="shared" si="52"/>
        <v>2019-SUV-FRD-EXPL-003-15</v>
      </c>
      <c r="AG471" s="661" t="str">
        <f>IF(AND($Y471&gt;=32,(AI471="I"),(Y471&lt;&gt;"~"),(COUNTIF($AN$1:$AN471,$AN471)=1)),"TRUE","FALSE")</f>
        <v>FALSE</v>
      </c>
      <c r="AH471" s="661" t="str">
        <f>IF(AND($Y471&gt;=22, (AI471&lt;&gt;"I"),(Y471&lt;&gt;"~"),(COUNTIF($AN$1:$AN471,$AN471)=1)),"TRUE","FALSE")</f>
        <v>FALSE</v>
      </c>
      <c r="AI471" s="661" t="str">
        <f t="shared" si="47"/>
        <v>II</v>
      </c>
      <c r="AJ471" s="662" t="str">
        <f t="shared" si="48"/>
        <v>EXPL-003</v>
      </c>
      <c r="AK471" s="662" t="str">
        <f t="shared" si="49"/>
        <v>SUV</v>
      </c>
      <c r="AL471" s="662" t="str">
        <f t="shared" si="50"/>
        <v>FRD</v>
      </c>
      <c r="AM471" s="662" t="str">
        <f t="shared" si="46"/>
        <v>Explorer-XLT-4WD-7-~-~-3.5L STD-6-K8D-200A-112.8-18.6-E85-Unleaded</v>
      </c>
      <c r="AN471" s="662" t="str">
        <f t="shared" si="51"/>
        <v>2019-SUV-FRD-EXPL-003</v>
      </c>
    </row>
    <row r="472" spans="1:40" s="572" customFormat="1" ht="15">
      <c r="A472" s="570" t="s">
        <v>1275</v>
      </c>
      <c r="B472" s="569" t="s">
        <v>1272</v>
      </c>
      <c r="C472" s="569" t="s">
        <v>287</v>
      </c>
      <c r="D472" s="580">
        <v>26</v>
      </c>
      <c r="E472" s="569" t="s">
        <v>699</v>
      </c>
      <c r="F472" s="569" t="s">
        <v>196</v>
      </c>
      <c r="G472" s="569" t="s">
        <v>271</v>
      </c>
      <c r="H472" s="569">
        <v>2019</v>
      </c>
      <c r="I472" s="569" t="s">
        <v>1227</v>
      </c>
      <c r="J472" s="569" t="s">
        <v>1214</v>
      </c>
      <c r="K472" s="569" t="s">
        <v>752</v>
      </c>
      <c r="L472" s="569">
        <v>7</v>
      </c>
      <c r="M472" s="569">
        <v>0</v>
      </c>
      <c r="N472" s="569" t="s">
        <v>157</v>
      </c>
      <c r="O472" s="569">
        <v>3</v>
      </c>
      <c r="P472" s="569" t="s">
        <v>157</v>
      </c>
      <c r="Q472" s="568" t="s">
        <v>157</v>
      </c>
      <c r="R472" s="569" t="s">
        <v>1228</v>
      </c>
      <c r="S472" s="569">
        <v>6</v>
      </c>
      <c r="T472" s="569" t="s">
        <v>1273</v>
      </c>
      <c r="U472" s="569" t="s">
        <v>295</v>
      </c>
      <c r="V472" s="569">
        <v>112.8</v>
      </c>
      <c r="W472" s="569">
        <v>18.600000000000001</v>
      </c>
      <c r="X472" s="568">
        <v>6160</v>
      </c>
      <c r="Y472" s="569">
        <v>19</v>
      </c>
      <c r="Z472" s="581" t="s">
        <v>450</v>
      </c>
      <c r="AA472" s="581" t="s">
        <v>178</v>
      </c>
      <c r="AB472" s="585">
        <v>37545</v>
      </c>
      <c r="AC472" s="585" t="s">
        <v>164</v>
      </c>
      <c r="AD472" s="585">
        <v>32995</v>
      </c>
      <c r="AE472" s="587">
        <v>0.05</v>
      </c>
      <c r="AF472" s="661" t="str">
        <f t="shared" si="52"/>
        <v>2019-SUV-FRD-EXPL-003-26</v>
      </c>
      <c r="AG472" s="661" t="str">
        <f>IF(AND($Y472&gt;=32,(AI472="I"),(Y472&lt;&gt;"~"),(COUNTIF($AN$1:$AN472,$AN472)=1)),"TRUE","FALSE")</f>
        <v>FALSE</v>
      </c>
      <c r="AH472" s="661" t="str">
        <f>IF(AND($Y472&gt;=22, (AI472&lt;&gt;"I"),(Y472&lt;&gt;"~"),(COUNTIF($AN$1:$AN472,$AN472)=1)),"TRUE","FALSE")</f>
        <v>FALSE</v>
      </c>
      <c r="AI472" s="661" t="str">
        <f t="shared" si="47"/>
        <v>II</v>
      </c>
      <c r="AJ472" s="662" t="str">
        <f t="shared" si="48"/>
        <v>EXPL-003</v>
      </c>
      <c r="AK472" s="662" t="str">
        <f t="shared" si="49"/>
        <v>SUV</v>
      </c>
      <c r="AL472" s="662" t="str">
        <f t="shared" si="50"/>
        <v>FRD</v>
      </c>
      <c r="AM472" s="662" t="str">
        <f t="shared" si="46"/>
        <v>Explorer-XLT-4WD-7-~-~-3.5L STD-6-K8D-200A-112.8-18.6-E85-Unleaded</v>
      </c>
      <c r="AN472" s="662" t="str">
        <f t="shared" si="51"/>
        <v>2019-SUV-FRD-EXPL-003</v>
      </c>
    </row>
    <row r="473" spans="1:40" s="572" customFormat="1" ht="15">
      <c r="A473" s="570" t="s">
        <v>1276</v>
      </c>
      <c r="B473" s="573" t="s">
        <v>1272</v>
      </c>
      <c r="C473" s="573" t="s">
        <v>280</v>
      </c>
      <c r="D473" s="578">
        <v>27</v>
      </c>
      <c r="E473" s="573" t="s">
        <v>699</v>
      </c>
      <c r="F473" s="573" t="s">
        <v>196</v>
      </c>
      <c r="G473" s="573" t="s">
        <v>271</v>
      </c>
      <c r="H473" s="573">
        <v>2019</v>
      </c>
      <c r="I473" s="573" t="s">
        <v>1227</v>
      </c>
      <c r="J473" s="573" t="s">
        <v>1214</v>
      </c>
      <c r="K473" s="573" t="s">
        <v>752</v>
      </c>
      <c r="L473" s="573">
        <v>7</v>
      </c>
      <c r="M473" s="573">
        <v>0</v>
      </c>
      <c r="N473" s="573" t="s">
        <v>157</v>
      </c>
      <c r="O473" s="573">
        <v>3</v>
      </c>
      <c r="P473" s="573" t="s">
        <v>157</v>
      </c>
      <c r="Q473" s="571" t="s">
        <v>157</v>
      </c>
      <c r="R473" s="573" t="s">
        <v>1228</v>
      </c>
      <c r="S473" s="573">
        <v>6</v>
      </c>
      <c r="T473" s="573" t="s">
        <v>1273</v>
      </c>
      <c r="U473" s="573" t="s">
        <v>295</v>
      </c>
      <c r="V473" s="573">
        <v>112.8</v>
      </c>
      <c r="W473" s="573">
        <v>18.600000000000001</v>
      </c>
      <c r="X473" s="571">
        <v>6160</v>
      </c>
      <c r="Y473" s="573">
        <v>18</v>
      </c>
      <c r="Z473" s="579" t="s">
        <v>450</v>
      </c>
      <c r="AA473" s="579" t="s">
        <v>178</v>
      </c>
      <c r="AB473" s="584">
        <v>37545</v>
      </c>
      <c r="AC473" s="584" t="s">
        <v>164</v>
      </c>
      <c r="AD473" s="584">
        <v>34526.395833333328</v>
      </c>
      <c r="AE473" s="586">
        <v>0.03</v>
      </c>
      <c r="AF473" s="661" t="str">
        <f t="shared" si="52"/>
        <v>2019-SUV-FRD-EXPL-003-27</v>
      </c>
      <c r="AG473" s="661" t="str">
        <f>IF(AND($Y473&gt;=32,(AI473="I"),(Y473&lt;&gt;"~"),(COUNTIF($AN$1:$AN473,$AN473)=1)),"TRUE","FALSE")</f>
        <v>FALSE</v>
      </c>
      <c r="AH473" s="661" t="str">
        <f>IF(AND($Y473&gt;=22, (AI473&lt;&gt;"I"),(Y473&lt;&gt;"~"),(COUNTIF($AN$1:$AN473,$AN473)=1)),"TRUE","FALSE")</f>
        <v>FALSE</v>
      </c>
      <c r="AI473" s="661" t="str">
        <f t="shared" si="47"/>
        <v>II</v>
      </c>
      <c r="AJ473" s="662" t="str">
        <f t="shared" si="48"/>
        <v>EXPL-003</v>
      </c>
      <c r="AK473" s="662" t="str">
        <f t="shared" si="49"/>
        <v>SUV</v>
      </c>
      <c r="AL473" s="662" t="str">
        <f t="shared" si="50"/>
        <v>FRD</v>
      </c>
      <c r="AM473" s="662" t="str">
        <f t="shared" si="46"/>
        <v>Explorer-XLT-4WD-7-~-~-3.5L STD-6-K8D-200A-112.8-18.6-E85-Unleaded</v>
      </c>
      <c r="AN473" s="662" t="str">
        <f t="shared" si="51"/>
        <v>2019-SUV-FRD-EXPL-003</v>
      </c>
    </row>
    <row r="474" spans="1:40" s="572" customFormat="1" ht="15">
      <c r="A474" s="570" t="s">
        <v>1277</v>
      </c>
      <c r="B474" s="569" t="s">
        <v>1278</v>
      </c>
      <c r="C474" s="569" t="s">
        <v>269</v>
      </c>
      <c r="D474" s="580" t="s">
        <v>270</v>
      </c>
      <c r="E474" s="569" t="s">
        <v>699</v>
      </c>
      <c r="F474" s="569" t="s">
        <v>196</v>
      </c>
      <c r="G474" s="569" t="s">
        <v>271</v>
      </c>
      <c r="H474" s="569">
        <v>2019</v>
      </c>
      <c r="I474" s="569" t="s">
        <v>1227</v>
      </c>
      <c r="J474" s="569" t="s">
        <v>1214</v>
      </c>
      <c r="K474" s="569" t="s">
        <v>156</v>
      </c>
      <c r="L474" s="569">
        <v>7</v>
      </c>
      <c r="M474" s="569">
        <v>0</v>
      </c>
      <c r="N474" s="569" t="s">
        <v>157</v>
      </c>
      <c r="O474" s="569">
        <v>3</v>
      </c>
      <c r="P474" s="569" t="s">
        <v>157</v>
      </c>
      <c r="Q474" s="568" t="s">
        <v>157</v>
      </c>
      <c r="R474" s="569" t="s">
        <v>1235</v>
      </c>
      <c r="S474" s="569">
        <v>6</v>
      </c>
      <c r="T474" s="569" t="s">
        <v>1279</v>
      </c>
      <c r="U474" s="569" t="s">
        <v>295</v>
      </c>
      <c r="V474" s="569">
        <v>112.8</v>
      </c>
      <c r="W474" s="569">
        <v>18.600000000000001</v>
      </c>
      <c r="X474" s="568">
        <v>6160</v>
      </c>
      <c r="Y474" s="569">
        <v>22</v>
      </c>
      <c r="Z474" s="581" t="s">
        <v>178</v>
      </c>
      <c r="AA474" s="581" t="s">
        <v>178</v>
      </c>
      <c r="AB474" s="585">
        <v>36290</v>
      </c>
      <c r="AC474" s="585" t="s">
        <v>164</v>
      </c>
      <c r="AD474" s="585">
        <v>33360.770833333336</v>
      </c>
      <c r="AE474" s="587">
        <v>0.03</v>
      </c>
      <c r="AF474" s="661" t="str">
        <f t="shared" si="52"/>
        <v>2019-SUV-FRD-EXPL-004-05</v>
      </c>
      <c r="AG474" s="661" t="str">
        <f>IF(AND($Y474&gt;=32,(AI474="I"),(Y474&lt;&gt;"~"),(COUNTIF($AN$1:$AN474,$AN474)=1)),"TRUE","FALSE")</f>
        <v>FALSE</v>
      </c>
      <c r="AH474" s="661" t="str">
        <f>IF(AND($Y474&gt;=22, (AI474&lt;&gt;"I"),(Y474&lt;&gt;"~"),(COUNTIF($AN$1:$AN474,$AN474)=1)),"TRUE","FALSE")</f>
        <v>TRUE</v>
      </c>
      <c r="AI474" s="661" t="str">
        <f t="shared" si="47"/>
        <v>II</v>
      </c>
      <c r="AJ474" s="662" t="str">
        <f t="shared" si="48"/>
        <v>EXPL-004</v>
      </c>
      <c r="AK474" s="662" t="str">
        <f t="shared" si="49"/>
        <v>SUV</v>
      </c>
      <c r="AL474" s="662" t="str">
        <f t="shared" si="50"/>
        <v>FRD</v>
      </c>
      <c r="AM474" s="662" t="str">
        <f t="shared" si="46"/>
        <v>Explorer-XLT-FWD-7-~-~-2.3L-6-K7D-200A-112.8-18.6-Unleaded-Unleaded</v>
      </c>
      <c r="AN474" s="662" t="str">
        <f t="shared" si="51"/>
        <v>2019-SUV-FRD-EXPL-004</v>
      </c>
    </row>
    <row r="475" spans="1:40" s="572" customFormat="1" ht="15">
      <c r="A475" s="570" t="s">
        <v>1280</v>
      </c>
      <c r="B475" s="573" t="s">
        <v>1281</v>
      </c>
      <c r="C475" s="573" t="s">
        <v>269</v>
      </c>
      <c r="D475" s="578" t="s">
        <v>270</v>
      </c>
      <c r="E475" s="573" t="s">
        <v>699</v>
      </c>
      <c r="F475" s="573" t="s">
        <v>196</v>
      </c>
      <c r="G475" s="573" t="s">
        <v>271</v>
      </c>
      <c r="H475" s="573">
        <v>2019</v>
      </c>
      <c r="I475" s="573" t="s">
        <v>1227</v>
      </c>
      <c r="J475" s="573" t="s">
        <v>1214</v>
      </c>
      <c r="K475" s="573" t="s">
        <v>156</v>
      </c>
      <c r="L475" s="573">
        <v>7</v>
      </c>
      <c r="M475" s="573">
        <v>0</v>
      </c>
      <c r="N475" s="573" t="s">
        <v>157</v>
      </c>
      <c r="O475" s="573">
        <v>3</v>
      </c>
      <c r="P475" s="573" t="s">
        <v>157</v>
      </c>
      <c r="Q475" s="571" t="s">
        <v>157</v>
      </c>
      <c r="R475" s="573" t="s">
        <v>316</v>
      </c>
      <c r="S475" s="573">
        <v>6</v>
      </c>
      <c r="T475" s="573" t="s">
        <v>1279</v>
      </c>
      <c r="U475" s="573" t="s">
        <v>295</v>
      </c>
      <c r="V475" s="573">
        <v>112.8</v>
      </c>
      <c r="W475" s="573">
        <v>18.600000000000001</v>
      </c>
      <c r="X475" s="571">
        <v>6160</v>
      </c>
      <c r="Y475" s="573">
        <v>20</v>
      </c>
      <c r="Z475" s="579" t="s">
        <v>178</v>
      </c>
      <c r="AA475" s="579" t="s">
        <v>178</v>
      </c>
      <c r="AB475" s="584">
        <v>35395</v>
      </c>
      <c r="AC475" s="584" t="s">
        <v>164</v>
      </c>
      <c r="AD475" s="584">
        <v>32538.895833333336</v>
      </c>
      <c r="AE475" s="586">
        <v>0.03</v>
      </c>
      <c r="AF475" s="661" t="str">
        <f t="shared" si="52"/>
        <v>2019-SUV-FRD-EXPL-011-05</v>
      </c>
      <c r="AG475" s="661" t="str">
        <f>IF(AND($Y475&gt;=32,(AI475="I"),(Y475&lt;&gt;"~"),(COUNTIF($AN$1:$AN475,$AN475)=1)),"TRUE","FALSE")</f>
        <v>FALSE</v>
      </c>
      <c r="AH475" s="661" t="str">
        <f>IF(AND($Y475&gt;=22, (AI475&lt;&gt;"I"),(Y475&lt;&gt;"~"),(COUNTIF($AN$1:$AN475,$AN475)=1)),"TRUE","FALSE")</f>
        <v>FALSE</v>
      </c>
      <c r="AI475" s="661" t="str">
        <f t="shared" si="47"/>
        <v>II</v>
      </c>
      <c r="AJ475" s="662" t="str">
        <f t="shared" si="48"/>
        <v>EXPL-011</v>
      </c>
      <c r="AK475" s="662" t="str">
        <f t="shared" si="49"/>
        <v>SUV</v>
      </c>
      <c r="AL475" s="662" t="str">
        <f t="shared" si="50"/>
        <v>FRD</v>
      </c>
      <c r="AM475" s="662" t="str">
        <f t="shared" ref="AM475:AM538" si="53">CONCATENATE(I475,"-",J475,"-",K475,"-",L475,"-",P475,"-",Q475,"-",R475,"-",S475,"-",T475,"-",U475,"-",V475,"-",W475,"-",Z475,"-",AA475)</f>
        <v>Explorer-XLT-FWD-7-~-~-3.5L-6-K7D-200A-112.8-18.6-Unleaded-Unleaded</v>
      </c>
      <c r="AN475" s="662" t="str">
        <f t="shared" si="51"/>
        <v>2019-SUV-FRD-EXPL-011</v>
      </c>
    </row>
    <row r="476" spans="1:40" s="572" customFormat="1" ht="15">
      <c r="A476" s="570" t="s">
        <v>1282</v>
      </c>
      <c r="B476" s="569" t="s">
        <v>1278</v>
      </c>
      <c r="C476" s="569" t="s">
        <v>278</v>
      </c>
      <c r="D476" s="580">
        <v>15</v>
      </c>
      <c r="E476" s="569" t="s">
        <v>699</v>
      </c>
      <c r="F476" s="569" t="s">
        <v>196</v>
      </c>
      <c r="G476" s="569" t="s">
        <v>271</v>
      </c>
      <c r="H476" s="569">
        <v>2019</v>
      </c>
      <c r="I476" s="569" t="s">
        <v>1227</v>
      </c>
      <c r="J476" s="569" t="s">
        <v>1214</v>
      </c>
      <c r="K476" s="569" t="s">
        <v>156</v>
      </c>
      <c r="L476" s="569">
        <v>7</v>
      </c>
      <c r="M476" s="569">
        <v>0</v>
      </c>
      <c r="N476" s="569" t="s">
        <v>157</v>
      </c>
      <c r="O476" s="569">
        <v>3</v>
      </c>
      <c r="P476" s="569" t="s">
        <v>157</v>
      </c>
      <c r="Q476" s="568" t="s">
        <v>157</v>
      </c>
      <c r="R476" s="569" t="s">
        <v>1235</v>
      </c>
      <c r="S476" s="569">
        <v>4</v>
      </c>
      <c r="T476" s="569" t="s">
        <v>1279</v>
      </c>
      <c r="U476" s="569" t="s">
        <v>295</v>
      </c>
      <c r="V476" s="569">
        <v>112.8</v>
      </c>
      <c r="W476" s="569">
        <v>18.600000000000001</v>
      </c>
      <c r="X476" s="568">
        <v>6160</v>
      </c>
      <c r="Y476" s="569">
        <v>22</v>
      </c>
      <c r="Z476" s="581" t="s">
        <v>178</v>
      </c>
      <c r="AA476" s="581" t="s">
        <v>178</v>
      </c>
      <c r="AB476" s="585">
        <v>38790</v>
      </c>
      <c r="AC476" s="585" t="s">
        <v>164</v>
      </c>
      <c r="AD476" s="585">
        <v>33995</v>
      </c>
      <c r="AE476" s="587">
        <v>0.01</v>
      </c>
      <c r="AF476" s="661" t="str">
        <f t="shared" si="52"/>
        <v>2019-SUV-FRD-EXPL-004-15</v>
      </c>
      <c r="AG476" s="661" t="str">
        <f>IF(AND($Y476&gt;=32,(AI476="I"),(Y476&lt;&gt;"~"),(COUNTIF($AN$1:$AN476,$AN476)=1)),"TRUE","FALSE")</f>
        <v>FALSE</v>
      </c>
      <c r="AH476" s="661" t="str">
        <f>IF(AND($Y476&gt;=22, (AI476&lt;&gt;"I"),(Y476&lt;&gt;"~"),(COUNTIF($AN$1:$AN476,$AN476)=1)),"TRUE","FALSE")</f>
        <v>FALSE</v>
      </c>
      <c r="AI476" s="661" t="str">
        <f t="shared" ref="AI476:AI539" si="54">IF(OR((LEFT($E476,2)="01"),AND(LEFT($E476,2)="06",ISNUMBER(SEARCH("pas",$F476))),AND(LEFT($E476,2)="05",ISNUMBER(SEARCH("pas",$F476)))),"I",IF(AND((LEFT($E476,2)&lt;&gt;"01"),$X476&lt;=10000),"II",IF(AND((LEFT($E476,2)&lt;&gt;"01"),$X476&gt;10000),"N/A")))</f>
        <v>II</v>
      </c>
      <c r="AJ476" s="662" t="str">
        <f t="shared" si="48"/>
        <v>EXPL-004</v>
      </c>
      <c r="AK476" s="662" t="str">
        <f t="shared" si="49"/>
        <v>SUV</v>
      </c>
      <c r="AL476" s="662" t="str">
        <f t="shared" si="50"/>
        <v>FRD</v>
      </c>
      <c r="AM476" s="662" t="str">
        <f t="shared" si="53"/>
        <v>Explorer-XLT-FWD-7-~-~-2.3L-4-K7D-200A-112.8-18.6-Unleaded-Unleaded</v>
      </c>
      <c r="AN476" s="662" t="str">
        <f t="shared" si="51"/>
        <v>2019-SUV-FRD-EXPL-004</v>
      </c>
    </row>
    <row r="477" spans="1:40" s="572" customFormat="1" ht="15">
      <c r="A477" s="570" t="s">
        <v>1283</v>
      </c>
      <c r="B477" s="573" t="s">
        <v>1281</v>
      </c>
      <c r="C477" s="573" t="s">
        <v>287</v>
      </c>
      <c r="D477" s="578">
        <v>26</v>
      </c>
      <c r="E477" s="573" t="s">
        <v>699</v>
      </c>
      <c r="F477" s="573" t="s">
        <v>196</v>
      </c>
      <c r="G477" s="573" t="s">
        <v>271</v>
      </c>
      <c r="H477" s="573">
        <v>2019</v>
      </c>
      <c r="I477" s="573" t="s">
        <v>1227</v>
      </c>
      <c r="J477" s="573" t="s">
        <v>1214</v>
      </c>
      <c r="K477" s="573" t="s">
        <v>156</v>
      </c>
      <c r="L477" s="573">
        <v>7</v>
      </c>
      <c r="M477" s="573">
        <v>0</v>
      </c>
      <c r="N477" s="573" t="s">
        <v>157</v>
      </c>
      <c r="O477" s="573">
        <v>3</v>
      </c>
      <c r="P477" s="573" t="s">
        <v>157</v>
      </c>
      <c r="Q477" s="571" t="s">
        <v>157</v>
      </c>
      <c r="R477" s="573" t="s">
        <v>1228</v>
      </c>
      <c r="S477" s="573">
        <v>4</v>
      </c>
      <c r="T477" s="573" t="s">
        <v>1279</v>
      </c>
      <c r="U477" s="573" t="s">
        <v>295</v>
      </c>
      <c r="V477" s="573">
        <v>112.8</v>
      </c>
      <c r="W477" s="573">
        <v>18.600000000000001</v>
      </c>
      <c r="X477" s="571">
        <v>6160</v>
      </c>
      <c r="Y477" s="573">
        <v>22</v>
      </c>
      <c r="Z477" s="579" t="s">
        <v>178</v>
      </c>
      <c r="AA477" s="579" t="s">
        <v>178</v>
      </c>
      <c r="AB477" s="584">
        <v>35395</v>
      </c>
      <c r="AC477" s="584" t="s">
        <v>164</v>
      </c>
      <c r="AD477" s="584">
        <v>30946</v>
      </c>
      <c r="AE477" s="586">
        <v>0.05</v>
      </c>
      <c r="AF477" s="661" t="str">
        <f t="shared" si="52"/>
        <v>2019-SUV-FRD-EXPL-011-26</v>
      </c>
      <c r="AG477" s="661" t="str">
        <f>IF(AND($Y477&gt;=32,(AI477="I"),(Y477&lt;&gt;"~"),(COUNTIF($AN$1:$AN477,$AN477)=1)),"TRUE","FALSE")</f>
        <v>FALSE</v>
      </c>
      <c r="AH477" s="661" t="str">
        <f>IF(AND($Y477&gt;=22, (AI477&lt;&gt;"I"),(Y477&lt;&gt;"~"),(COUNTIF($AN$1:$AN477,$AN477)=1)),"TRUE","FALSE")</f>
        <v>FALSE</v>
      </c>
      <c r="AI477" s="661" t="str">
        <f t="shared" si="54"/>
        <v>II</v>
      </c>
      <c r="AJ477" s="662" t="str">
        <f t="shared" si="48"/>
        <v>EXPL-011</v>
      </c>
      <c r="AK477" s="662" t="str">
        <f t="shared" si="49"/>
        <v>SUV</v>
      </c>
      <c r="AL477" s="662" t="str">
        <f t="shared" si="50"/>
        <v>FRD</v>
      </c>
      <c r="AM477" s="662" t="str">
        <f t="shared" si="53"/>
        <v>Explorer-XLT-FWD-7-~-~-3.5L STD-4-K7D-200A-112.8-18.6-Unleaded-Unleaded</v>
      </c>
      <c r="AN477" s="662" t="str">
        <f t="shared" si="51"/>
        <v>2019-SUV-FRD-EXPL-011</v>
      </c>
    </row>
    <row r="478" spans="1:40" s="572" customFormat="1" ht="15">
      <c r="A478" s="570" t="s">
        <v>1284</v>
      </c>
      <c r="B478" s="569" t="s">
        <v>1278</v>
      </c>
      <c r="C478" s="569" t="s">
        <v>280</v>
      </c>
      <c r="D478" s="580">
        <v>27</v>
      </c>
      <c r="E478" s="569" t="s">
        <v>699</v>
      </c>
      <c r="F478" s="569" t="s">
        <v>196</v>
      </c>
      <c r="G478" s="569" t="s">
        <v>271</v>
      </c>
      <c r="H478" s="569">
        <v>2019</v>
      </c>
      <c r="I478" s="569" t="s">
        <v>1227</v>
      </c>
      <c r="J478" s="569" t="s">
        <v>1214</v>
      </c>
      <c r="K478" s="569" t="s">
        <v>156</v>
      </c>
      <c r="L478" s="569">
        <v>7</v>
      </c>
      <c r="M478" s="569">
        <v>0</v>
      </c>
      <c r="N478" s="569" t="s">
        <v>157</v>
      </c>
      <c r="O478" s="569">
        <v>3</v>
      </c>
      <c r="P478" s="569" t="s">
        <v>157</v>
      </c>
      <c r="Q478" s="568" t="s">
        <v>157</v>
      </c>
      <c r="R478" s="569" t="s">
        <v>1235</v>
      </c>
      <c r="S478" s="569">
        <v>6</v>
      </c>
      <c r="T478" s="569" t="s">
        <v>1279</v>
      </c>
      <c r="U478" s="569" t="s">
        <v>295</v>
      </c>
      <c r="V478" s="569">
        <v>112.8</v>
      </c>
      <c r="W478" s="569">
        <v>18.600000000000001</v>
      </c>
      <c r="X478" s="568">
        <v>6160</v>
      </c>
      <c r="Y478" s="569">
        <v>22</v>
      </c>
      <c r="Z478" s="581" t="s">
        <v>178</v>
      </c>
      <c r="AA478" s="581" t="s">
        <v>178</v>
      </c>
      <c r="AB478" s="585">
        <v>36290</v>
      </c>
      <c r="AC478" s="585" t="s">
        <v>164</v>
      </c>
      <c r="AD478" s="585">
        <v>33360.770833333336</v>
      </c>
      <c r="AE478" s="587">
        <v>0.03</v>
      </c>
      <c r="AF478" s="661" t="str">
        <f t="shared" si="52"/>
        <v>2019-SUV-FRD-EXPL-004-27</v>
      </c>
      <c r="AG478" s="661" t="str">
        <f>IF(AND($Y478&gt;=32,(AI478="I"),(Y478&lt;&gt;"~"),(COUNTIF($AN$1:$AN478,$AN478)=1)),"TRUE","FALSE")</f>
        <v>FALSE</v>
      </c>
      <c r="AH478" s="661" t="str">
        <f>IF(AND($Y478&gt;=22, (AI478&lt;&gt;"I"),(Y478&lt;&gt;"~"),(COUNTIF($AN$1:$AN478,$AN478)=1)),"TRUE","FALSE")</f>
        <v>FALSE</v>
      </c>
      <c r="AI478" s="661" t="str">
        <f t="shared" si="54"/>
        <v>II</v>
      </c>
      <c r="AJ478" s="662" t="str">
        <f t="shared" si="48"/>
        <v>EXPL-004</v>
      </c>
      <c r="AK478" s="662" t="str">
        <f t="shared" si="49"/>
        <v>SUV</v>
      </c>
      <c r="AL478" s="662" t="str">
        <f t="shared" si="50"/>
        <v>FRD</v>
      </c>
      <c r="AM478" s="662" t="str">
        <f t="shared" si="53"/>
        <v>Explorer-XLT-FWD-7-~-~-2.3L-6-K7D-200A-112.8-18.6-Unleaded-Unleaded</v>
      </c>
      <c r="AN478" s="662" t="str">
        <f t="shared" si="51"/>
        <v>2019-SUV-FRD-EXPL-004</v>
      </c>
    </row>
    <row r="479" spans="1:40" s="572" customFormat="1" ht="15">
      <c r="A479" s="570" t="s">
        <v>1285</v>
      </c>
      <c r="B479" s="573" t="s">
        <v>1281</v>
      </c>
      <c r="C479" s="573" t="s">
        <v>280</v>
      </c>
      <c r="D479" s="578">
        <v>27</v>
      </c>
      <c r="E479" s="573" t="s">
        <v>699</v>
      </c>
      <c r="F479" s="573" t="s">
        <v>196</v>
      </c>
      <c r="G479" s="573" t="s">
        <v>271</v>
      </c>
      <c r="H479" s="573">
        <v>2019</v>
      </c>
      <c r="I479" s="573" t="s">
        <v>1227</v>
      </c>
      <c r="J479" s="573" t="s">
        <v>1214</v>
      </c>
      <c r="K479" s="573" t="s">
        <v>156</v>
      </c>
      <c r="L479" s="573">
        <v>7</v>
      </c>
      <c r="M479" s="573">
        <v>0</v>
      </c>
      <c r="N479" s="573" t="s">
        <v>157</v>
      </c>
      <c r="O479" s="573">
        <v>3</v>
      </c>
      <c r="P479" s="573" t="s">
        <v>157</v>
      </c>
      <c r="Q479" s="571" t="s">
        <v>157</v>
      </c>
      <c r="R479" s="573" t="s">
        <v>316</v>
      </c>
      <c r="S479" s="573">
        <v>6</v>
      </c>
      <c r="T479" s="573" t="s">
        <v>1279</v>
      </c>
      <c r="U479" s="573" t="s">
        <v>295</v>
      </c>
      <c r="V479" s="573">
        <v>112.8</v>
      </c>
      <c r="W479" s="573">
        <v>18.600000000000001</v>
      </c>
      <c r="X479" s="571">
        <v>6160</v>
      </c>
      <c r="Y479" s="573">
        <v>20</v>
      </c>
      <c r="Z479" s="579" t="s">
        <v>178</v>
      </c>
      <c r="AA479" s="579" t="s">
        <v>178</v>
      </c>
      <c r="AB479" s="584">
        <v>35395</v>
      </c>
      <c r="AC479" s="584" t="s">
        <v>164</v>
      </c>
      <c r="AD479" s="584">
        <v>32538.895833333336</v>
      </c>
      <c r="AE479" s="586">
        <v>0.03</v>
      </c>
      <c r="AF479" s="661" t="str">
        <f t="shared" si="52"/>
        <v>2019-SUV-FRD-EXPL-011-27</v>
      </c>
      <c r="AG479" s="661" t="str">
        <f>IF(AND($Y479&gt;=32,(AI479="I"),(Y479&lt;&gt;"~"),(COUNTIF($AN$1:$AN479,$AN479)=1)),"TRUE","FALSE")</f>
        <v>FALSE</v>
      </c>
      <c r="AH479" s="661" t="str">
        <f>IF(AND($Y479&gt;=22, (AI479&lt;&gt;"I"),(Y479&lt;&gt;"~"),(COUNTIF($AN$1:$AN479,$AN479)=1)),"TRUE","FALSE")</f>
        <v>FALSE</v>
      </c>
      <c r="AI479" s="661" t="str">
        <f t="shared" si="54"/>
        <v>II</v>
      </c>
      <c r="AJ479" s="662" t="str">
        <f t="shared" si="48"/>
        <v>EXPL-011</v>
      </c>
      <c r="AK479" s="662" t="str">
        <f t="shared" si="49"/>
        <v>SUV</v>
      </c>
      <c r="AL479" s="662" t="str">
        <f t="shared" si="50"/>
        <v>FRD</v>
      </c>
      <c r="AM479" s="662" t="str">
        <f t="shared" si="53"/>
        <v>Explorer-XLT-FWD-7-~-~-3.5L-6-K7D-200A-112.8-18.6-Unleaded-Unleaded</v>
      </c>
      <c r="AN479" s="662" t="str">
        <f t="shared" si="51"/>
        <v>2019-SUV-FRD-EXPL-011</v>
      </c>
    </row>
    <row r="480" spans="1:40" s="572" customFormat="1" ht="15">
      <c r="A480" s="570" t="s">
        <v>1286</v>
      </c>
      <c r="B480" s="569" t="s">
        <v>1287</v>
      </c>
      <c r="C480" s="569" t="s">
        <v>467</v>
      </c>
      <c r="D480" s="580" t="s">
        <v>468</v>
      </c>
      <c r="E480" s="569" t="s">
        <v>699</v>
      </c>
      <c r="F480" s="569" t="s">
        <v>152</v>
      </c>
      <c r="G480" s="569" t="s">
        <v>469</v>
      </c>
      <c r="H480" s="569">
        <v>2019</v>
      </c>
      <c r="I480" s="569" t="s">
        <v>1288</v>
      </c>
      <c r="J480" s="569" t="s">
        <v>1289</v>
      </c>
      <c r="K480" s="569" t="s">
        <v>230</v>
      </c>
      <c r="L480" s="569">
        <v>5</v>
      </c>
      <c r="M480" s="569">
        <v>0</v>
      </c>
      <c r="N480" s="569" t="s">
        <v>157</v>
      </c>
      <c r="O480" s="569">
        <v>2</v>
      </c>
      <c r="P480" s="569" t="s">
        <v>157</v>
      </c>
      <c r="Q480" s="568" t="s">
        <v>157</v>
      </c>
      <c r="R480" s="569" t="s">
        <v>205</v>
      </c>
      <c r="S480" s="569">
        <v>4</v>
      </c>
      <c r="T480" s="569" t="s">
        <v>1290</v>
      </c>
      <c r="U480" s="569" t="s">
        <v>157</v>
      </c>
      <c r="V480" s="569">
        <v>104.7</v>
      </c>
      <c r="W480" s="569">
        <v>14</v>
      </c>
      <c r="X480" s="568">
        <v>3479</v>
      </c>
      <c r="Y480" s="569">
        <v>29</v>
      </c>
      <c r="Z480" s="581" t="s">
        <v>178</v>
      </c>
      <c r="AA480" s="581" t="s">
        <v>178</v>
      </c>
      <c r="AB480" s="585">
        <v>29645</v>
      </c>
      <c r="AC480" s="585" t="s">
        <v>164</v>
      </c>
      <c r="AD480" s="585">
        <v>29452.1</v>
      </c>
      <c r="AE480" s="587">
        <v>0.03</v>
      </c>
      <c r="AF480" s="661" t="str">
        <f t="shared" si="52"/>
        <v>2019-SUV-HND-~CRV-004-06</v>
      </c>
      <c r="AG480" s="661" t="str">
        <f>IF(AND($Y480&gt;=32,(AI480="I"),(Y480&lt;&gt;"~"),(COUNTIF($AN$1:$AN480,$AN480)=1)),"TRUE","FALSE")</f>
        <v>FALSE</v>
      </c>
      <c r="AH480" s="661" t="str">
        <f>IF(AND($Y480&gt;=22, (AI480&lt;&gt;"I"),(Y480&lt;&gt;"~"),(COUNTIF($AN$1:$AN480,$AN480)=1)),"TRUE","FALSE")</f>
        <v>TRUE</v>
      </c>
      <c r="AI480" s="661" t="str">
        <f t="shared" si="54"/>
        <v>II</v>
      </c>
      <c r="AJ480" s="662" t="str">
        <f t="shared" si="48"/>
        <v>~CRV-004</v>
      </c>
      <c r="AK480" s="662" t="str">
        <f t="shared" si="49"/>
        <v>SUV</v>
      </c>
      <c r="AL480" s="662" t="str">
        <f t="shared" si="50"/>
        <v>HND</v>
      </c>
      <c r="AM480" s="662" t="str">
        <f t="shared" si="53"/>
        <v>CR-V-EX-AWD-5-~-~-1.5L-4-RW2H5KJW-~-104.7-14-Unleaded-Unleaded</v>
      </c>
      <c r="AN480" s="662" t="str">
        <f t="shared" si="51"/>
        <v>2019-SUV-HND-~CRV-004</v>
      </c>
    </row>
    <row r="481" spans="1:40" s="572" customFormat="1" ht="15">
      <c r="A481" s="570" t="s">
        <v>1291</v>
      </c>
      <c r="B481" s="573" t="s">
        <v>1292</v>
      </c>
      <c r="C481" s="573" t="s">
        <v>467</v>
      </c>
      <c r="D481" s="578" t="s">
        <v>468</v>
      </c>
      <c r="E481" s="573" t="s">
        <v>699</v>
      </c>
      <c r="F481" s="573" t="s">
        <v>152</v>
      </c>
      <c r="G481" s="573" t="s">
        <v>469</v>
      </c>
      <c r="H481" s="573">
        <v>2019</v>
      </c>
      <c r="I481" s="573" t="s">
        <v>1288</v>
      </c>
      <c r="J481" s="573" t="s">
        <v>1289</v>
      </c>
      <c r="K481" s="573" t="s">
        <v>156</v>
      </c>
      <c r="L481" s="573">
        <v>5</v>
      </c>
      <c r="M481" s="573">
        <v>0</v>
      </c>
      <c r="N481" s="573" t="s">
        <v>157</v>
      </c>
      <c r="O481" s="573">
        <v>2</v>
      </c>
      <c r="P481" s="573" t="s">
        <v>157</v>
      </c>
      <c r="Q481" s="571" t="s">
        <v>157</v>
      </c>
      <c r="R481" s="573" t="s">
        <v>205</v>
      </c>
      <c r="S481" s="573">
        <v>4</v>
      </c>
      <c r="T481" s="573" t="s">
        <v>1293</v>
      </c>
      <c r="U481" s="573" t="s">
        <v>157</v>
      </c>
      <c r="V481" s="573">
        <v>104.7</v>
      </c>
      <c r="W481" s="573">
        <v>14</v>
      </c>
      <c r="X481" s="571">
        <v>3358</v>
      </c>
      <c r="Y481" s="573">
        <v>30</v>
      </c>
      <c r="Z481" s="579" t="s">
        <v>178</v>
      </c>
      <c r="AA481" s="579" t="s">
        <v>178</v>
      </c>
      <c r="AB481" s="584">
        <v>28245</v>
      </c>
      <c r="AC481" s="584" t="s">
        <v>164</v>
      </c>
      <c r="AD481" s="584">
        <v>27797.65</v>
      </c>
      <c r="AE481" s="586">
        <v>0.03</v>
      </c>
      <c r="AF481" s="661" t="str">
        <f t="shared" si="52"/>
        <v>2019-SUV-HND-~CRV-005-06</v>
      </c>
      <c r="AG481" s="661" t="str">
        <f>IF(AND($Y481&gt;=32,(AI481="I"),(Y481&lt;&gt;"~"),(COUNTIF($AN$1:$AN481,$AN481)=1)),"TRUE","FALSE")</f>
        <v>FALSE</v>
      </c>
      <c r="AH481" s="661" t="str">
        <f>IF(AND($Y481&gt;=22, (AI481&lt;&gt;"I"),(Y481&lt;&gt;"~"),(COUNTIF($AN$1:$AN481,$AN481)=1)),"TRUE","FALSE")</f>
        <v>TRUE</v>
      </c>
      <c r="AI481" s="661" t="str">
        <f t="shared" si="54"/>
        <v>II</v>
      </c>
      <c r="AJ481" s="662" t="str">
        <f t="shared" si="48"/>
        <v>~CRV-005</v>
      </c>
      <c r="AK481" s="662" t="str">
        <f t="shared" si="49"/>
        <v>SUV</v>
      </c>
      <c r="AL481" s="662" t="str">
        <f t="shared" si="50"/>
        <v>HND</v>
      </c>
      <c r="AM481" s="662" t="str">
        <f t="shared" si="53"/>
        <v>CR-V-EX-FWD-5-~-~-1.5L-4-RW1H5KJW-~-104.7-14-Unleaded-Unleaded</v>
      </c>
      <c r="AN481" s="662" t="str">
        <f t="shared" si="51"/>
        <v>2019-SUV-HND-~CRV-005</v>
      </c>
    </row>
    <row r="482" spans="1:40" s="572" customFormat="1" ht="15">
      <c r="A482" s="570" t="s">
        <v>1294</v>
      </c>
      <c r="B482" s="569" t="s">
        <v>1295</v>
      </c>
      <c r="C482" s="569" t="s">
        <v>467</v>
      </c>
      <c r="D482" s="580" t="s">
        <v>468</v>
      </c>
      <c r="E482" s="569" t="s">
        <v>699</v>
      </c>
      <c r="F482" s="569" t="s">
        <v>152</v>
      </c>
      <c r="G482" s="569" t="s">
        <v>469</v>
      </c>
      <c r="H482" s="569">
        <v>2019</v>
      </c>
      <c r="I482" s="569" t="s">
        <v>1288</v>
      </c>
      <c r="J482" s="569" t="s">
        <v>503</v>
      </c>
      <c r="K482" s="569" t="s">
        <v>230</v>
      </c>
      <c r="L482" s="569">
        <v>5</v>
      </c>
      <c r="M482" s="569">
        <v>0</v>
      </c>
      <c r="N482" s="569" t="s">
        <v>157</v>
      </c>
      <c r="O482" s="569">
        <v>2</v>
      </c>
      <c r="P482" s="569" t="s">
        <v>157</v>
      </c>
      <c r="Q482" s="568" t="s">
        <v>157</v>
      </c>
      <c r="R482" s="569" t="s">
        <v>539</v>
      </c>
      <c r="S482" s="569">
        <v>4</v>
      </c>
      <c r="T482" s="569" t="s">
        <v>1296</v>
      </c>
      <c r="U482" s="569" t="s">
        <v>157</v>
      </c>
      <c r="V482" s="569">
        <v>104.7</v>
      </c>
      <c r="W482" s="569">
        <v>14</v>
      </c>
      <c r="X482" s="568">
        <v>3421</v>
      </c>
      <c r="Y482" s="569">
        <v>27</v>
      </c>
      <c r="Z482" s="581" t="s">
        <v>178</v>
      </c>
      <c r="AA482" s="581" t="s">
        <v>178</v>
      </c>
      <c r="AB482" s="585">
        <v>26745</v>
      </c>
      <c r="AC482" s="585" t="s">
        <v>164</v>
      </c>
      <c r="AD482" s="585">
        <v>26610.1</v>
      </c>
      <c r="AE482" s="587">
        <v>0.03</v>
      </c>
      <c r="AF482" s="661" t="str">
        <f t="shared" si="52"/>
        <v>2019-SUV-HND-~CRV-002-06</v>
      </c>
      <c r="AG482" s="661" t="str">
        <f>IF(AND($Y482&gt;=32,(AI482="I"),(Y482&lt;&gt;"~"),(COUNTIF($AN$1:$AN482,$AN482)=1)),"TRUE","FALSE")</f>
        <v>FALSE</v>
      </c>
      <c r="AH482" s="661" t="str">
        <f>IF(AND($Y482&gt;=22, (AI482&lt;&gt;"I"),(Y482&lt;&gt;"~"),(COUNTIF($AN$1:$AN482,$AN482)=1)),"TRUE","FALSE")</f>
        <v>TRUE</v>
      </c>
      <c r="AI482" s="661" t="str">
        <f t="shared" si="54"/>
        <v>II</v>
      </c>
      <c r="AJ482" s="662" t="str">
        <f t="shared" si="48"/>
        <v>~CRV-002</v>
      </c>
      <c r="AK482" s="662" t="str">
        <f t="shared" si="49"/>
        <v>SUV</v>
      </c>
      <c r="AL482" s="662" t="str">
        <f t="shared" si="50"/>
        <v>HND</v>
      </c>
      <c r="AM482" s="662" t="str">
        <f t="shared" si="53"/>
        <v>CR-V-LX CVT-AWD-5-~-~-2.4L-4-RW6H3KEW-~-104.7-14-Unleaded-Unleaded</v>
      </c>
      <c r="AN482" s="662" t="str">
        <f t="shared" si="51"/>
        <v>2019-SUV-HND-~CRV-002</v>
      </c>
    </row>
    <row r="483" spans="1:40" s="572" customFormat="1" ht="15">
      <c r="A483" s="570" t="s">
        <v>1297</v>
      </c>
      <c r="B483" s="573" t="s">
        <v>1298</v>
      </c>
      <c r="C483" s="573" t="s">
        <v>473</v>
      </c>
      <c r="D483" s="578">
        <v>14</v>
      </c>
      <c r="E483" s="573" t="s">
        <v>699</v>
      </c>
      <c r="F483" s="573" t="s">
        <v>152</v>
      </c>
      <c r="G483" s="573" t="s">
        <v>469</v>
      </c>
      <c r="H483" s="573">
        <v>2019</v>
      </c>
      <c r="I483" s="573" t="s">
        <v>1288</v>
      </c>
      <c r="J483" s="573" t="s">
        <v>503</v>
      </c>
      <c r="K483" s="573" t="s">
        <v>230</v>
      </c>
      <c r="L483" s="573">
        <v>5</v>
      </c>
      <c r="M483" s="573">
        <v>0</v>
      </c>
      <c r="N483" s="573" t="s">
        <v>157</v>
      </c>
      <c r="O483" s="573">
        <v>2</v>
      </c>
      <c r="P483" s="573" t="s">
        <v>157</v>
      </c>
      <c r="Q483" s="571" t="s">
        <v>157</v>
      </c>
      <c r="R483" s="573" t="s">
        <v>539</v>
      </c>
      <c r="S483" s="573">
        <v>4</v>
      </c>
      <c r="T483" s="573" t="s">
        <v>1296</v>
      </c>
      <c r="U483" s="573" t="s">
        <v>157</v>
      </c>
      <c r="V483" s="573">
        <v>104.7</v>
      </c>
      <c r="W483" s="573">
        <v>14</v>
      </c>
      <c r="X483" s="571">
        <v>3421</v>
      </c>
      <c r="Y483" s="573">
        <v>27</v>
      </c>
      <c r="Z483" s="579" t="s">
        <v>178</v>
      </c>
      <c r="AA483" s="579" t="s">
        <v>178</v>
      </c>
      <c r="AB483" s="584">
        <v>26745</v>
      </c>
      <c r="AC483" s="584" t="s">
        <v>164</v>
      </c>
      <c r="AD483" s="584">
        <v>25575</v>
      </c>
      <c r="AE483" s="586">
        <v>0.1</v>
      </c>
      <c r="AF483" s="661" t="str">
        <f t="shared" si="52"/>
        <v>2019-SUV-HND-~CRV-001-14</v>
      </c>
      <c r="AG483" s="661" t="str">
        <f>IF(AND($Y483&gt;=32,(AI483="I"),(Y483&lt;&gt;"~"),(COUNTIF($AN$1:$AN483,$AN483)=1)),"TRUE","FALSE")</f>
        <v>FALSE</v>
      </c>
      <c r="AH483" s="661" t="str">
        <f>IF(AND($Y483&gt;=22, (AI483&lt;&gt;"I"),(Y483&lt;&gt;"~"),(COUNTIF($AN$1:$AN483,$AN483)=1)),"TRUE","FALSE")</f>
        <v>TRUE</v>
      </c>
      <c r="AI483" s="661" t="str">
        <f t="shared" si="54"/>
        <v>II</v>
      </c>
      <c r="AJ483" s="662" t="str">
        <f t="shared" si="48"/>
        <v>~CRV-001</v>
      </c>
      <c r="AK483" s="662" t="str">
        <f t="shared" si="49"/>
        <v>SUV</v>
      </c>
      <c r="AL483" s="662" t="str">
        <f t="shared" si="50"/>
        <v>HND</v>
      </c>
      <c r="AM483" s="662" t="str">
        <f t="shared" si="53"/>
        <v>CR-V-LX CVT-AWD-5-~-~-2.4L-4-RW6H3KEW-~-104.7-14-Unleaded-Unleaded</v>
      </c>
      <c r="AN483" s="662" t="str">
        <f t="shared" si="51"/>
        <v>2019-SUV-HND-~CRV-001</v>
      </c>
    </row>
    <row r="484" spans="1:40" s="572" customFormat="1" ht="15">
      <c r="A484" s="570" t="s">
        <v>1299</v>
      </c>
      <c r="B484" s="569" t="s">
        <v>1300</v>
      </c>
      <c r="C484" s="569" t="s">
        <v>467</v>
      </c>
      <c r="D484" s="580" t="s">
        <v>468</v>
      </c>
      <c r="E484" s="569" t="s">
        <v>699</v>
      </c>
      <c r="F484" s="569" t="s">
        <v>152</v>
      </c>
      <c r="G484" s="569" t="s">
        <v>469</v>
      </c>
      <c r="H484" s="569">
        <v>2019</v>
      </c>
      <c r="I484" s="569" t="s">
        <v>1288</v>
      </c>
      <c r="J484" s="569" t="s">
        <v>503</v>
      </c>
      <c r="K484" s="569" t="s">
        <v>156</v>
      </c>
      <c r="L484" s="569">
        <v>5</v>
      </c>
      <c r="M484" s="569">
        <v>0</v>
      </c>
      <c r="N484" s="569" t="s">
        <v>157</v>
      </c>
      <c r="O484" s="569">
        <v>2</v>
      </c>
      <c r="P484" s="569" t="s">
        <v>157</v>
      </c>
      <c r="Q484" s="568" t="s">
        <v>157</v>
      </c>
      <c r="R484" s="569" t="s">
        <v>539</v>
      </c>
      <c r="S484" s="569">
        <v>4</v>
      </c>
      <c r="T484" s="569" t="s">
        <v>1301</v>
      </c>
      <c r="U484" s="569" t="s">
        <v>157</v>
      </c>
      <c r="V484" s="569">
        <v>104.7</v>
      </c>
      <c r="W484" s="569">
        <v>14</v>
      </c>
      <c r="X484" s="568">
        <v>3358</v>
      </c>
      <c r="Y484" s="569">
        <v>28</v>
      </c>
      <c r="Z484" s="581" t="s">
        <v>178</v>
      </c>
      <c r="AA484" s="581" t="s">
        <v>178</v>
      </c>
      <c r="AB484" s="585">
        <v>25345</v>
      </c>
      <c r="AC484" s="585" t="s">
        <v>164</v>
      </c>
      <c r="AD484" s="585">
        <v>25299</v>
      </c>
      <c r="AE484" s="587">
        <v>0.03</v>
      </c>
      <c r="AF484" s="661" t="str">
        <f t="shared" si="52"/>
        <v>2019-SUV-HND-~CRV-003-06</v>
      </c>
      <c r="AG484" s="661" t="str">
        <f>IF(AND($Y484&gt;=32,(AI484="I"),(Y484&lt;&gt;"~"),(COUNTIF($AN$1:$AN484,$AN484)=1)),"TRUE","FALSE")</f>
        <v>FALSE</v>
      </c>
      <c r="AH484" s="661" t="str">
        <f>IF(AND($Y484&gt;=22, (AI484&lt;&gt;"I"),(Y484&lt;&gt;"~"),(COUNTIF($AN$1:$AN484,$AN484)=1)),"TRUE","FALSE")</f>
        <v>TRUE</v>
      </c>
      <c r="AI484" s="661" t="str">
        <f t="shared" si="54"/>
        <v>II</v>
      </c>
      <c r="AJ484" s="662" t="str">
        <f t="shared" si="48"/>
        <v>~CRV-003</v>
      </c>
      <c r="AK484" s="662" t="str">
        <f t="shared" si="49"/>
        <v>SUV</v>
      </c>
      <c r="AL484" s="662" t="str">
        <f t="shared" si="50"/>
        <v>HND</v>
      </c>
      <c r="AM484" s="662" t="str">
        <f t="shared" si="53"/>
        <v>CR-V-LX CVT-FWD-5-~-~-2.4L-4-RW5H3KEW-~-104.7-14-Unleaded-Unleaded</v>
      </c>
      <c r="AN484" s="662" t="str">
        <f t="shared" si="51"/>
        <v>2019-SUV-HND-~CRV-003</v>
      </c>
    </row>
    <row r="485" spans="1:40" s="572" customFormat="1" ht="15">
      <c r="A485" s="570" t="s">
        <v>1302</v>
      </c>
      <c r="B485" s="573" t="s">
        <v>1303</v>
      </c>
      <c r="C485" s="573" t="s">
        <v>467</v>
      </c>
      <c r="D485" s="578" t="s">
        <v>468</v>
      </c>
      <c r="E485" s="573" t="s">
        <v>699</v>
      </c>
      <c r="F485" s="573" t="s">
        <v>211</v>
      </c>
      <c r="G485" s="573" t="s">
        <v>469</v>
      </c>
      <c r="H485" s="573">
        <v>2019</v>
      </c>
      <c r="I485" s="573" t="s">
        <v>1304</v>
      </c>
      <c r="J485" s="573" t="s">
        <v>503</v>
      </c>
      <c r="K485" s="573" t="s">
        <v>230</v>
      </c>
      <c r="L485" s="573">
        <v>5</v>
      </c>
      <c r="M485" s="573">
        <v>0</v>
      </c>
      <c r="N485" s="573" t="s">
        <v>157</v>
      </c>
      <c r="O485" s="573">
        <v>2</v>
      </c>
      <c r="P485" s="573" t="s">
        <v>157</v>
      </c>
      <c r="Q485" s="571" t="s">
        <v>157</v>
      </c>
      <c r="R485" s="573" t="s">
        <v>199</v>
      </c>
      <c r="S485" s="573">
        <v>4</v>
      </c>
      <c r="T485" s="573" t="s">
        <v>1305</v>
      </c>
      <c r="U485" s="573" t="s">
        <v>157</v>
      </c>
      <c r="V485" s="573">
        <v>102.8</v>
      </c>
      <c r="W485" s="573">
        <v>13.2</v>
      </c>
      <c r="X485" s="571">
        <v>3062</v>
      </c>
      <c r="Y485" s="573">
        <v>29</v>
      </c>
      <c r="Z485" s="579" t="s">
        <v>178</v>
      </c>
      <c r="AA485" s="579" t="s">
        <v>178</v>
      </c>
      <c r="AB485" s="584">
        <v>22915</v>
      </c>
      <c r="AC485" s="584" t="s">
        <v>164</v>
      </c>
      <c r="AD485" s="584">
        <v>22899</v>
      </c>
      <c r="AE485" s="586">
        <v>0.03</v>
      </c>
      <c r="AF485" s="661" t="str">
        <f t="shared" si="52"/>
        <v>2019-SUV-HND-~HRV-001-06</v>
      </c>
      <c r="AG485" s="661" t="str">
        <f>IF(AND($Y485&gt;=32,(AI485="I"),(Y485&lt;&gt;"~"),(COUNTIF($AN$1:$AN485,$AN485)=1)),"TRUE","FALSE")</f>
        <v>FALSE</v>
      </c>
      <c r="AH485" s="661" t="str">
        <f>IF(AND($Y485&gt;=22, (AI485&lt;&gt;"I"),(Y485&lt;&gt;"~"),(COUNTIF($AN$1:$AN485,$AN485)=1)),"TRUE","FALSE")</f>
        <v>TRUE</v>
      </c>
      <c r="AI485" s="661" t="str">
        <f t="shared" si="54"/>
        <v>II</v>
      </c>
      <c r="AJ485" s="662" t="str">
        <f t="shared" si="48"/>
        <v>~HRV-001</v>
      </c>
      <c r="AK485" s="662" t="str">
        <f t="shared" si="49"/>
        <v>SUV</v>
      </c>
      <c r="AL485" s="662" t="str">
        <f t="shared" si="50"/>
        <v>HND</v>
      </c>
      <c r="AM485" s="662" t="str">
        <f t="shared" si="53"/>
        <v>HR-V-LX CVT-AWD-5-~-~-1.8L-4-RU6H3KEW-~-102.8-13.2-Unleaded-Unleaded</v>
      </c>
      <c r="AN485" s="662" t="str">
        <f t="shared" si="51"/>
        <v>2019-SUV-HND-~HRV-001</v>
      </c>
    </row>
    <row r="486" spans="1:40" s="572" customFormat="1" ht="15">
      <c r="A486" s="570" t="s">
        <v>1306</v>
      </c>
      <c r="B486" s="569" t="s">
        <v>1303</v>
      </c>
      <c r="C486" s="569" t="s">
        <v>473</v>
      </c>
      <c r="D486" s="580">
        <v>14</v>
      </c>
      <c r="E486" s="569" t="s">
        <v>699</v>
      </c>
      <c r="F486" s="569" t="s">
        <v>211</v>
      </c>
      <c r="G486" s="569" t="s">
        <v>469</v>
      </c>
      <c r="H486" s="569">
        <v>2019</v>
      </c>
      <c r="I486" s="569" t="s">
        <v>1304</v>
      </c>
      <c r="J486" s="569" t="s">
        <v>503</v>
      </c>
      <c r="K486" s="569" t="s">
        <v>230</v>
      </c>
      <c r="L486" s="569">
        <v>5</v>
      </c>
      <c r="M486" s="569">
        <v>0</v>
      </c>
      <c r="N486" s="569" t="s">
        <v>157</v>
      </c>
      <c r="O486" s="569">
        <v>2</v>
      </c>
      <c r="P486" s="569" t="s">
        <v>157</v>
      </c>
      <c r="Q486" s="568" t="s">
        <v>157</v>
      </c>
      <c r="R486" s="569" t="s">
        <v>199</v>
      </c>
      <c r="S486" s="569">
        <v>4</v>
      </c>
      <c r="T486" s="569" t="s">
        <v>1305</v>
      </c>
      <c r="U486" s="569" t="s">
        <v>157</v>
      </c>
      <c r="V486" s="569">
        <v>102.8</v>
      </c>
      <c r="W486" s="569">
        <v>13.2</v>
      </c>
      <c r="X486" s="568">
        <v>3062</v>
      </c>
      <c r="Y486" s="569">
        <v>29</v>
      </c>
      <c r="Z486" s="581" t="s">
        <v>178</v>
      </c>
      <c r="AA486" s="581" t="s">
        <v>178</v>
      </c>
      <c r="AB486" s="585">
        <v>22915</v>
      </c>
      <c r="AC486" s="585" t="s">
        <v>164</v>
      </c>
      <c r="AD486" s="585">
        <v>22615</v>
      </c>
      <c r="AE486" s="587">
        <v>0.1</v>
      </c>
      <c r="AF486" s="661" t="str">
        <f t="shared" si="52"/>
        <v>2019-SUV-HND-~HRV-001-14</v>
      </c>
      <c r="AG486" s="661" t="str">
        <f>IF(AND($Y486&gt;=32,(AI486="I"),(Y486&lt;&gt;"~"),(COUNTIF($AN$1:$AN486,$AN486)=1)),"TRUE","FALSE")</f>
        <v>FALSE</v>
      </c>
      <c r="AH486" s="661" t="str">
        <f>IF(AND($Y486&gt;=22, (AI486&lt;&gt;"I"),(Y486&lt;&gt;"~"),(COUNTIF($AN$1:$AN486,$AN486)=1)),"TRUE","FALSE")</f>
        <v>FALSE</v>
      </c>
      <c r="AI486" s="661" t="str">
        <f t="shared" si="54"/>
        <v>II</v>
      </c>
      <c r="AJ486" s="662" t="str">
        <f t="shared" si="48"/>
        <v>~HRV-001</v>
      </c>
      <c r="AK486" s="662" t="str">
        <f t="shared" si="49"/>
        <v>SUV</v>
      </c>
      <c r="AL486" s="662" t="str">
        <f t="shared" si="50"/>
        <v>HND</v>
      </c>
      <c r="AM486" s="662" t="str">
        <f t="shared" si="53"/>
        <v>HR-V-LX CVT-AWD-5-~-~-1.8L-4-RU6H3KEW-~-102.8-13.2-Unleaded-Unleaded</v>
      </c>
      <c r="AN486" s="662" t="str">
        <f t="shared" si="51"/>
        <v>2019-SUV-HND-~HRV-001</v>
      </c>
    </row>
    <row r="487" spans="1:40" s="572" customFormat="1" ht="15">
      <c r="A487" s="570" t="s">
        <v>1307</v>
      </c>
      <c r="B487" s="573" t="s">
        <v>1308</v>
      </c>
      <c r="C487" s="573" t="s">
        <v>467</v>
      </c>
      <c r="D487" s="578" t="s">
        <v>468</v>
      </c>
      <c r="E487" s="573" t="s">
        <v>699</v>
      </c>
      <c r="F487" s="573" t="s">
        <v>211</v>
      </c>
      <c r="G487" s="573" t="s">
        <v>469</v>
      </c>
      <c r="H487" s="573">
        <v>2019</v>
      </c>
      <c r="I487" s="573" t="s">
        <v>1304</v>
      </c>
      <c r="J487" s="573" t="s">
        <v>503</v>
      </c>
      <c r="K487" s="573" t="s">
        <v>156</v>
      </c>
      <c r="L487" s="573">
        <v>5</v>
      </c>
      <c r="M487" s="573">
        <v>0</v>
      </c>
      <c r="N487" s="573" t="s">
        <v>157</v>
      </c>
      <c r="O487" s="573">
        <v>2</v>
      </c>
      <c r="P487" s="573" t="s">
        <v>157</v>
      </c>
      <c r="Q487" s="571" t="s">
        <v>157</v>
      </c>
      <c r="R487" s="573" t="s">
        <v>199</v>
      </c>
      <c r="S487" s="573">
        <v>4</v>
      </c>
      <c r="T487" s="573" t="s">
        <v>1309</v>
      </c>
      <c r="U487" s="573" t="s">
        <v>157</v>
      </c>
      <c r="V487" s="573">
        <v>102.8</v>
      </c>
      <c r="W487" s="573">
        <v>13.2</v>
      </c>
      <c r="X487" s="571">
        <v>2933</v>
      </c>
      <c r="Y487" s="573">
        <v>31</v>
      </c>
      <c r="Z487" s="579" t="s">
        <v>178</v>
      </c>
      <c r="AA487" s="579" t="s">
        <v>178</v>
      </c>
      <c r="AB487" s="584">
        <v>21515</v>
      </c>
      <c r="AC487" s="584" t="s">
        <v>164</v>
      </c>
      <c r="AD487" s="584">
        <v>21399</v>
      </c>
      <c r="AE487" s="586">
        <v>0.03</v>
      </c>
      <c r="AF487" s="661" t="str">
        <f t="shared" si="52"/>
        <v>2019-SUV-HND-~HRV-002-06</v>
      </c>
      <c r="AG487" s="661" t="str">
        <f>IF(AND($Y487&gt;=32,(AI487="I"),(Y487&lt;&gt;"~"),(COUNTIF($AN$1:$AN487,$AN487)=1)),"TRUE","FALSE")</f>
        <v>FALSE</v>
      </c>
      <c r="AH487" s="661" t="str">
        <f>IF(AND($Y487&gt;=22, (AI487&lt;&gt;"I"),(Y487&lt;&gt;"~"),(COUNTIF($AN$1:$AN487,$AN487)=1)),"TRUE","FALSE")</f>
        <v>TRUE</v>
      </c>
      <c r="AI487" s="661" t="str">
        <f t="shared" si="54"/>
        <v>II</v>
      </c>
      <c r="AJ487" s="662" t="str">
        <f t="shared" si="48"/>
        <v>~HRV-002</v>
      </c>
      <c r="AK487" s="662" t="str">
        <f t="shared" si="49"/>
        <v>SUV</v>
      </c>
      <c r="AL487" s="662" t="str">
        <f t="shared" si="50"/>
        <v>HND</v>
      </c>
      <c r="AM487" s="662" t="str">
        <f t="shared" si="53"/>
        <v>HR-V-LX CVT-FWD-5-~-~-1.8L-4-RU5H3KEW-~-102.8-13.2-Unleaded-Unleaded</v>
      </c>
      <c r="AN487" s="662" t="str">
        <f t="shared" si="51"/>
        <v>2019-SUV-HND-~HRV-002</v>
      </c>
    </row>
    <row r="488" spans="1:40" s="572" customFormat="1" ht="15">
      <c r="A488" s="570" t="s">
        <v>1310</v>
      </c>
      <c r="B488" s="569" t="s">
        <v>1311</v>
      </c>
      <c r="C488" s="569" t="s">
        <v>467</v>
      </c>
      <c r="D488" s="580" t="s">
        <v>468</v>
      </c>
      <c r="E488" s="569" t="s">
        <v>699</v>
      </c>
      <c r="F488" s="569" t="s">
        <v>196</v>
      </c>
      <c r="G488" s="569" t="s">
        <v>469</v>
      </c>
      <c r="H488" s="569">
        <v>2019</v>
      </c>
      <c r="I488" s="569" t="s">
        <v>1312</v>
      </c>
      <c r="J488" s="569" t="s">
        <v>1313</v>
      </c>
      <c r="K488" s="569" t="s">
        <v>230</v>
      </c>
      <c r="L488" s="569">
        <v>8</v>
      </c>
      <c r="M488" s="569">
        <v>0</v>
      </c>
      <c r="N488" s="569" t="s">
        <v>157</v>
      </c>
      <c r="O488" s="569">
        <v>3</v>
      </c>
      <c r="P488" s="569" t="s">
        <v>157</v>
      </c>
      <c r="Q488" s="568" t="s">
        <v>157</v>
      </c>
      <c r="R488" s="569" t="s">
        <v>316</v>
      </c>
      <c r="S488" s="569">
        <v>6</v>
      </c>
      <c r="T488" s="569" t="s">
        <v>1314</v>
      </c>
      <c r="U488" s="569" t="s">
        <v>157</v>
      </c>
      <c r="V488" s="569">
        <v>111</v>
      </c>
      <c r="W488" s="569">
        <v>19.5</v>
      </c>
      <c r="X488" s="568">
        <v>5842</v>
      </c>
      <c r="Y488" s="569">
        <v>21</v>
      </c>
      <c r="Z488" s="581" t="s">
        <v>178</v>
      </c>
      <c r="AA488" s="581" t="s">
        <v>178</v>
      </c>
      <c r="AB488" s="585">
        <v>34345</v>
      </c>
      <c r="AC488" s="585" t="s">
        <v>164</v>
      </c>
      <c r="AD488" s="585">
        <v>33009</v>
      </c>
      <c r="AE488" s="587">
        <v>0.03</v>
      </c>
      <c r="AF488" s="661" t="str">
        <f t="shared" si="52"/>
        <v>2019-SUV-HND-PILT-001-06</v>
      </c>
      <c r="AG488" s="661" t="str">
        <f>IF(AND($Y488&gt;=32,(AI488="I"),(Y488&lt;&gt;"~"),(COUNTIF($AN$1:$AN488,$AN488)=1)),"TRUE","FALSE")</f>
        <v>FALSE</v>
      </c>
      <c r="AH488" s="661" t="str">
        <f>IF(AND($Y488&gt;=22, (AI488&lt;&gt;"I"),(Y488&lt;&gt;"~"),(COUNTIF($AN$1:$AN488,$AN488)=1)),"TRUE","FALSE")</f>
        <v>FALSE</v>
      </c>
      <c r="AI488" s="661" t="str">
        <f t="shared" si="54"/>
        <v>II</v>
      </c>
      <c r="AJ488" s="662" t="str">
        <f t="shared" si="48"/>
        <v>PILT-001</v>
      </c>
      <c r="AK488" s="662" t="str">
        <f t="shared" si="49"/>
        <v>SUV</v>
      </c>
      <c r="AL488" s="662" t="str">
        <f t="shared" si="50"/>
        <v>HND</v>
      </c>
      <c r="AM488" s="662" t="str">
        <f t="shared" si="53"/>
        <v>Pilot-LX-AWD-8-~-~-3.5L-6-YF6H1KEW-~-111-19.5-Unleaded-Unleaded</v>
      </c>
      <c r="AN488" s="662" t="str">
        <f t="shared" si="51"/>
        <v>2019-SUV-HND-PILT-001</v>
      </c>
    </row>
    <row r="489" spans="1:40" s="572" customFormat="1" ht="15">
      <c r="A489" s="570" t="s">
        <v>1315</v>
      </c>
      <c r="B489" s="573" t="s">
        <v>1311</v>
      </c>
      <c r="C489" s="573" t="s">
        <v>473</v>
      </c>
      <c r="D489" s="578">
        <v>14</v>
      </c>
      <c r="E489" s="573" t="s">
        <v>699</v>
      </c>
      <c r="F489" s="573" t="s">
        <v>196</v>
      </c>
      <c r="G489" s="573" t="s">
        <v>469</v>
      </c>
      <c r="H489" s="573">
        <v>2019</v>
      </c>
      <c r="I489" s="573" t="s">
        <v>1312</v>
      </c>
      <c r="J489" s="573" t="s">
        <v>1313</v>
      </c>
      <c r="K489" s="573" t="s">
        <v>230</v>
      </c>
      <c r="L489" s="573">
        <v>8</v>
      </c>
      <c r="M489" s="573">
        <v>0</v>
      </c>
      <c r="N489" s="573" t="s">
        <v>157</v>
      </c>
      <c r="O489" s="573">
        <v>3</v>
      </c>
      <c r="P489" s="573" t="s">
        <v>157</v>
      </c>
      <c r="Q489" s="571" t="s">
        <v>157</v>
      </c>
      <c r="R489" s="573" t="s">
        <v>316</v>
      </c>
      <c r="S489" s="573">
        <v>6</v>
      </c>
      <c r="T489" s="573" t="s">
        <v>1314</v>
      </c>
      <c r="U489" s="573" t="s">
        <v>157</v>
      </c>
      <c r="V489" s="573">
        <v>111</v>
      </c>
      <c r="W489" s="573">
        <v>19.5</v>
      </c>
      <c r="X489" s="571">
        <v>5842</v>
      </c>
      <c r="Y489" s="573">
        <v>21</v>
      </c>
      <c r="Z489" s="579" t="s">
        <v>178</v>
      </c>
      <c r="AA489" s="579" t="s">
        <v>178</v>
      </c>
      <c r="AB489" s="584">
        <v>34345</v>
      </c>
      <c r="AC489" s="584" t="s">
        <v>164</v>
      </c>
      <c r="AD489" s="584">
        <v>32050</v>
      </c>
      <c r="AE489" s="586">
        <v>0.1</v>
      </c>
      <c r="AF489" s="661" t="str">
        <f t="shared" si="52"/>
        <v>2019-SUV-HND-PILT-001-14</v>
      </c>
      <c r="AG489" s="661" t="str">
        <f>IF(AND($Y489&gt;=32,(AI489="I"),(Y489&lt;&gt;"~"),(COUNTIF($AN$1:$AN489,$AN489)=1)),"TRUE","FALSE")</f>
        <v>FALSE</v>
      </c>
      <c r="AH489" s="661" t="str">
        <f>IF(AND($Y489&gt;=22, (AI489&lt;&gt;"I"),(Y489&lt;&gt;"~"),(COUNTIF($AN$1:$AN489,$AN489)=1)),"TRUE","FALSE")</f>
        <v>FALSE</v>
      </c>
      <c r="AI489" s="661" t="str">
        <f t="shared" si="54"/>
        <v>II</v>
      </c>
      <c r="AJ489" s="662" t="str">
        <f t="shared" si="48"/>
        <v>PILT-001</v>
      </c>
      <c r="AK489" s="662" t="str">
        <f t="shared" si="49"/>
        <v>SUV</v>
      </c>
      <c r="AL489" s="662" t="str">
        <f t="shared" si="50"/>
        <v>HND</v>
      </c>
      <c r="AM489" s="662" t="str">
        <f t="shared" si="53"/>
        <v>Pilot-LX-AWD-8-~-~-3.5L-6-YF6H1KEW-~-111-19.5-Unleaded-Unleaded</v>
      </c>
      <c r="AN489" s="662" t="str">
        <f t="shared" si="51"/>
        <v>2019-SUV-HND-PILT-001</v>
      </c>
    </row>
    <row r="490" spans="1:40" s="572" customFormat="1" ht="15">
      <c r="A490" s="570" t="s">
        <v>1316</v>
      </c>
      <c r="B490" s="569" t="s">
        <v>1317</v>
      </c>
      <c r="C490" s="569" t="s">
        <v>467</v>
      </c>
      <c r="D490" s="580" t="s">
        <v>468</v>
      </c>
      <c r="E490" s="569" t="s">
        <v>699</v>
      </c>
      <c r="F490" s="569" t="s">
        <v>196</v>
      </c>
      <c r="G490" s="569" t="s">
        <v>469</v>
      </c>
      <c r="H490" s="569">
        <v>2019</v>
      </c>
      <c r="I490" s="569" t="s">
        <v>1312</v>
      </c>
      <c r="J490" s="569" t="s">
        <v>1313</v>
      </c>
      <c r="K490" s="569" t="s">
        <v>156</v>
      </c>
      <c r="L490" s="569">
        <v>8</v>
      </c>
      <c r="M490" s="569">
        <v>0</v>
      </c>
      <c r="N490" s="569" t="s">
        <v>157</v>
      </c>
      <c r="O490" s="569">
        <v>3</v>
      </c>
      <c r="P490" s="569" t="s">
        <v>157</v>
      </c>
      <c r="Q490" s="568" t="s">
        <v>157</v>
      </c>
      <c r="R490" s="569" t="s">
        <v>316</v>
      </c>
      <c r="S490" s="569">
        <v>6</v>
      </c>
      <c r="T490" s="569" t="s">
        <v>1318</v>
      </c>
      <c r="U490" s="569" t="s">
        <v>157</v>
      </c>
      <c r="V490" s="569">
        <v>111</v>
      </c>
      <c r="W490" s="569">
        <v>19.5</v>
      </c>
      <c r="X490" s="568">
        <v>5545</v>
      </c>
      <c r="Y490" s="569">
        <v>22</v>
      </c>
      <c r="Z490" s="581" t="s">
        <v>178</v>
      </c>
      <c r="AA490" s="581" t="s">
        <v>178</v>
      </c>
      <c r="AB490" s="585">
        <v>32445</v>
      </c>
      <c r="AC490" s="585" t="s">
        <v>164</v>
      </c>
      <c r="AD490" s="585">
        <v>31449</v>
      </c>
      <c r="AE490" s="587">
        <v>0.03</v>
      </c>
      <c r="AF490" s="661" t="str">
        <f t="shared" si="52"/>
        <v>2019-SUV-HND-PILT-002-06</v>
      </c>
      <c r="AG490" s="661" t="str">
        <f>IF(AND($Y490&gt;=32,(AI490="I"),(Y490&lt;&gt;"~"),(COUNTIF($AN$1:$AN490,$AN490)=1)),"TRUE","FALSE")</f>
        <v>FALSE</v>
      </c>
      <c r="AH490" s="661" t="str">
        <f>IF(AND($Y490&gt;=22, (AI490&lt;&gt;"I"),(Y490&lt;&gt;"~"),(COUNTIF($AN$1:$AN490,$AN490)=1)),"TRUE","FALSE")</f>
        <v>TRUE</v>
      </c>
      <c r="AI490" s="661" t="str">
        <f t="shared" si="54"/>
        <v>II</v>
      </c>
      <c r="AJ490" s="662" t="str">
        <f t="shared" si="48"/>
        <v>PILT-002</v>
      </c>
      <c r="AK490" s="662" t="str">
        <f t="shared" si="49"/>
        <v>SUV</v>
      </c>
      <c r="AL490" s="662" t="str">
        <f t="shared" si="50"/>
        <v>HND</v>
      </c>
      <c r="AM490" s="662" t="str">
        <f t="shared" si="53"/>
        <v>Pilot-LX-FWD-8-~-~-3.5L-6-YF5H1KEW-~-111-19.5-Unleaded-Unleaded</v>
      </c>
      <c r="AN490" s="662" t="str">
        <f t="shared" si="51"/>
        <v>2019-SUV-HND-PILT-002</v>
      </c>
    </row>
    <row r="491" spans="1:40" s="572" customFormat="1" ht="15">
      <c r="A491" s="570" t="s">
        <v>1319</v>
      </c>
      <c r="B491" s="573" t="s">
        <v>1320</v>
      </c>
      <c r="C491" s="573" t="s">
        <v>166</v>
      </c>
      <c r="D491" s="578">
        <v>17</v>
      </c>
      <c r="E491" s="573" t="s">
        <v>699</v>
      </c>
      <c r="F491" s="573" t="s">
        <v>152</v>
      </c>
      <c r="G491" s="573" t="s">
        <v>519</v>
      </c>
      <c r="H491" s="573">
        <v>2019</v>
      </c>
      <c r="I491" s="573" t="s">
        <v>1321</v>
      </c>
      <c r="J491" s="573" t="s">
        <v>330</v>
      </c>
      <c r="K491" s="573" t="s">
        <v>230</v>
      </c>
      <c r="L491" s="573">
        <v>7</v>
      </c>
      <c r="M491" s="573">
        <v>0</v>
      </c>
      <c r="N491" s="573" t="s">
        <v>157</v>
      </c>
      <c r="O491" s="573">
        <v>3</v>
      </c>
      <c r="P491" s="573" t="s">
        <v>157</v>
      </c>
      <c r="Q491" s="571">
        <v>5000</v>
      </c>
      <c r="R491" s="573" t="s">
        <v>1322</v>
      </c>
      <c r="S491" s="573">
        <v>6</v>
      </c>
      <c r="T491" s="573" t="s">
        <v>1323</v>
      </c>
      <c r="U491" s="573" t="s">
        <v>523</v>
      </c>
      <c r="V491" s="573">
        <v>110.2</v>
      </c>
      <c r="W491" s="573">
        <v>18.8</v>
      </c>
      <c r="X491" s="571">
        <v>5622</v>
      </c>
      <c r="Y491" s="573">
        <v>20</v>
      </c>
      <c r="Z491" s="579" t="s">
        <v>178</v>
      </c>
      <c r="AA491" s="579" t="s">
        <v>178</v>
      </c>
      <c r="AB491" s="584">
        <v>33698.699999999997</v>
      </c>
      <c r="AC491" s="584" t="s">
        <v>164</v>
      </c>
      <c r="AD491" s="584">
        <v>33580</v>
      </c>
      <c r="AE491" s="586">
        <v>4.4999999999999998E-2</v>
      </c>
      <c r="AF491" s="661" t="str">
        <f t="shared" si="52"/>
        <v>2019-SUV-HYD-SNTF-001-17</v>
      </c>
      <c r="AG491" s="661" t="str">
        <f>IF(AND($Y491&gt;=32,(AI491="I"),(Y491&lt;&gt;"~"),(COUNTIF($AN$1:$AN491,$AN491)=1)),"TRUE","FALSE")</f>
        <v>FALSE</v>
      </c>
      <c r="AH491" s="661" t="str">
        <f>IF(AND($Y491&gt;=22, (AI491&lt;&gt;"I"),(Y491&lt;&gt;"~"),(COUNTIF($AN$1:$AN491,$AN491)=1)),"TRUE","FALSE")</f>
        <v>FALSE</v>
      </c>
      <c r="AI491" s="661" t="str">
        <f t="shared" si="54"/>
        <v>II</v>
      </c>
      <c r="AJ491" s="662" t="str">
        <f t="shared" si="48"/>
        <v>SNTF-001</v>
      </c>
      <c r="AK491" s="662" t="str">
        <f t="shared" si="49"/>
        <v>SUV</v>
      </c>
      <c r="AL491" s="662" t="str">
        <f t="shared" si="50"/>
        <v>HYD</v>
      </c>
      <c r="AM491" s="662" t="str">
        <f t="shared" si="53"/>
        <v>Santa Fe-SE-AWD-7-~-5000-3.3L-6-J0412A65-01-110.2-18.8-Unleaded-Unleaded</v>
      </c>
      <c r="AN491" s="662" t="str">
        <f t="shared" si="51"/>
        <v>2019-SUV-HYD-SNTF-001</v>
      </c>
    </row>
    <row r="492" spans="1:40" s="572" customFormat="1" ht="15">
      <c r="A492" s="570" t="s">
        <v>1324</v>
      </c>
      <c r="B492" s="569" t="s">
        <v>1325</v>
      </c>
      <c r="C492" s="569" t="s">
        <v>166</v>
      </c>
      <c r="D492" s="580">
        <v>17</v>
      </c>
      <c r="E492" s="569" t="s">
        <v>699</v>
      </c>
      <c r="F492" s="569" t="s">
        <v>152</v>
      </c>
      <c r="G492" s="569" t="s">
        <v>519</v>
      </c>
      <c r="H492" s="569">
        <v>2019</v>
      </c>
      <c r="I492" s="569" t="s">
        <v>1321</v>
      </c>
      <c r="J492" s="569" t="s">
        <v>330</v>
      </c>
      <c r="K492" s="569" t="s">
        <v>156</v>
      </c>
      <c r="L492" s="569">
        <v>7</v>
      </c>
      <c r="M492" s="569">
        <v>0</v>
      </c>
      <c r="N492" s="569" t="s">
        <v>157</v>
      </c>
      <c r="O492" s="569">
        <v>3</v>
      </c>
      <c r="P492" s="569" t="s">
        <v>157</v>
      </c>
      <c r="Q492" s="568">
        <v>5000</v>
      </c>
      <c r="R492" s="569" t="s">
        <v>1322</v>
      </c>
      <c r="S492" s="569">
        <v>6</v>
      </c>
      <c r="T492" s="569" t="s">
        <v>1326</v>
      </c>
      <c r="U492" s="569" t="s">
        <v>523</v>
      </c>
      <c r="V492" s="569">
        <v>110.2</v>
      </c>
      <c r="W492" s="569">
        <v>18.8</v>
      </c>
      <c r="X492" s="568">
        <v>5512</v>
      </c>
      <c r="Y492" s="569">
        <v>21</v>
      </c>
      <c r="Z492" s="581" t="s">
        <v>178</v>
      </c>
      <c r="AA492" s="581" t="s">
        <v>178</v>
      </c>
      <c r="AB492" s="585">
        <v>31913</v>
      </c>
      <c r="AC492" s="585" t="s">
        <v>164</v>
      </c>
      <c r="AD492" s="585">
        <v>31830</v>
      </c>
      <c r="AE492" s="587">
        <v>4.4999999999999998E-2</v>
      </c>
      <c r="AF492" s="661" t="str">
        <f t="shared" si="52"/>
        <v>2019-SUV-HYD-SNTF-002-17</v>
      </c>
      <c r="AG492" s="661" t="str">
        <f>IF(AND($Y492&gt;=32,(AI492="I"),(Y492&lt;&gt;"~"),(COUNTIF($AN$1:$AN492,$AN492)=1)),"TRUE","FALSE")</f>
        <v>FALSE</v>
      </c>
      <c r="AH492" s="661" t="str">
        <f>IF(AND($Y492&gt;=22, (AI492&lt;&gt;"I"),(Y492&lt;&gt;"~"),(COUNTIF($AN$1:$AN492,$AN492)=1)),"TRUE","FALSE")</f>
        <v>FALSE</v>
      </c>
      <c r="AI492" s="661" t="str">
        <f t="shared" si="54"/>
        <v>II</v>
      </c>
      <c r="AJ492" s="662" t="str">
        <f t="shared" si="48"/>
        <v>SNTF-002</v>
      </c>
      <c r="AK492" s="662" t="str">
        <f t="shared" si="49"/>
        <v>SUV</v>
      </c>
      <c r="AL492" s="662" t="str">
        <f t="shared" si="50"/>
        <v>HYD</v>
      </c>
      <c r="AM492" s="662" t="str">
        <f t="shared" si="53"/>
        <v>Santa Fe-SE-FWD-7-~-5000-3.3L-6-J0412F65-01-110.2-18.8-Unleaded-Unleaded</v>
      </c>
      <c r="AN492" s="662" t="str">
        <f t="shared" si="51"/>
        <v>2019-SUV-HYD-SNTF-002</v>
      </c>
    </row>
    <row r="493" spans="1:40" s="572" customFormat="1" ht="15">
      <c r="A493" s="570" t="s">
        <v>1327</v>
      </c>
      <c r="B493" s="573" t="s">
        <v>1328</v>
      </c>
      <c r="C493" s="573" t="s">
        <v>166</v>
      </c>
      <c r="D493" s="578">
        <v>17</v>
      </c>
      <c r="E493" s="573" t="s">
        <v>699</v>
      </c>
      <c r="F493" s="573" t="s">
        <v>211</v>
      </c>
      <c r="G493" s="573" t="s">
        <v>519</v>
      </c>
      <c r="H493" s="573">
        <v>2019</v>
      </c>
      <c r="I493" s="573" t="s">
        <v>1329</v>
      </c>
      <c r="J493" s="573" t="s">
        <v>330</v>
      </c>
      <c r="K493" s="573" t="s">
        <v>230</v>
      </c>
      <c r="L493" s="573">
        <v>5</v>
      </c>
      <c r="M493" s="573">
        <v>0</v>
      </c>
      <c r="N493" s="573" t="s">
        <v>157</v>
      </c>
      <c r="O493" s="573">
        <v>2</v>
      </c>
      <c r="P493" s="573" t="s">
        <v>157</v>
      </c>
      <c r="Q493" s="571">
        <v>1000</v>
      </c>
      <c r="R493" s="573" t="s">
        <v>352</v>
      </c>
      <c r="S493" s="573">
        <v>4</v>
      </c>
      <c r="T493" s="573" t="s">
        <v>1330</v>
      </c>
      <c r="U493" s="573" t="s">
        <v>523</v>
      </c>
      <c r="V493" s="573">
        <v>105.1</v>
      </c>
      <c r="W493" s="573">
        <v>16.399999999999999</v>
      </c>
      <c r="X493" s="571">
        <v>4740</v>
      </c>
      <c r="Y493" s="573">
        <v>23</v>
      </c>
      <c r="Z493" s="579" t="s">
        <v>178</v>
      </c>
      <c r="AA493" s="579" t="s">
        <v>178</v>
      </c>
      <c r="AB493" s="584">
        <v>25645</v>
      </c>
      <c r="AC493" s="584" t="s">
        <v>164</v>
      </c>
      <c r="AD493" s="584">
        <v>25089.75</v>
      </c>
      <c r="AE493" s="586">
        <v>4.4999999999999998E-2</v>
      </c>
      <c r="AF493" s="661" t="str">
        <f t="shared" si="52"/>
        <v>2019-SUV-HYD-TUCS-001-17</v>
      </c>
      <c r="AG493" s="661" t="str">
        <f>IF(AND($Y493&gt;=32,(AI493="I"),(Y493&lt;&gt;"~"),(COUNTIF($AN$1:$AN493,$AN493)=1)),"TRUE","FALSE")</f>
        <v>FALSE</v>
      </c>
      <c r="AH493" s="661" t="str">
        <f>IF(AND($Y493&gt;=22, (AI493&lt;&gt;"I"),(Y493&lt;&gt;"~"),(COUNTIF($AN$1:$AN493,$AN493)=1)),"TRUE","FALSE")</f>
        <v>TRUE</v>
      </c>
      <c r="AI493" s="661" t="str">
        <f t="shared" si="54"/>
        <v>II</v>
      </c>
      <c r="AJ493" s="662" t="str">
        <f t="shared" si="48"/>
        <v>TUCS-001</v>
      </c>
      <c r="AK493" s="662" t="str">
        <f t="shared" si="49"/>
        <v>SUV</v>
      </c>
      <c r="AL493" s="662" t="str">
        <f t="shared" si="50"/>
        <v>HYD</v>
      </c>
      <c r="AM493" s="662" t="str">
        <f t="shared" si="53"/>
        <v>Tucson-SE-AWD-5-~-1000-2.0L-4-84412A45-01-105.1-16.4-Unleaded-Unleaded</v>
      </c>
      <c r="AN493" s="662" t="str">
        <f t="shared" si="51"/>
        <v>2019-SUV-HYD-TUCS-001</v>
      </c>
    </row>
    <row r="494" spans="1:40" s="572" customFormat="1" ht="15">
      <c r="A494" s="570" t="s">
        <v>1331</v>
      </c>
      <c r="B494" s="569" t="s">
        <v>1332</v>
      </c>
      <c r="C494" s="569" t="s">
        <v>166</v>
      </c>
      <c r="D494" s="580">
        <v>17</v>
      </c>
      <c r="E494" s="569" t="s">
        <v>699</v>
      </c>
      <c r="F494" s="569" t="s">
        <v>211</v>
      </c>
      <c r="G494" s="569" t="s">
        <v>519</v>
      </c>
      <c r="H494" s="569">
        <v>2019</v>
      </c>
      <c r="I494" s="569" t="s">
        <v>1329</v>
      </c>
      <c r="J494" s="569" t="s">
        <v>330</v>
      </c>
      <c r="K494" s="569" t="s">
        <v>156</v>
      </c>
      <c r="L494" s="569">
        <v>5</v>
      </c>
      <c r="M494" s="569">
        <v>0</v>
      </c>
      <c r="N494" s="569" t="s">
        <v>157</v>
      </c>
      <c r="O494" s="569">
        <v>2</v>
      </c>
      <c r="P494" s="569" t="s">
        <v>157</v>
      </c>
      <c r="Q494" s="568">
        <v>1000</v>
      </c>
      <c r="R494" s="569" t="s">
        <v>352</v>
      </c>
      <c r="S494" s="569">
        <v>4</v>
      </c>
      <c r="T494" s="569" t="s">
        <v>1333</v>
      </c>
      <c r="U494" s="569" t="s">
        <v>523</v>
      </c>
      <c r="V494" s="569">
        <v>105.1</v>
      </c>
      <c r="W494" s="569">
        <v>16.399999999999999</v>
      </c>
      <c r="X494" s="568">
        <v>4586</v>
      </c>
      <c r="Y494" s="569">
        <v>26</v>
      </c>
      <c r="Z494" s="581" t="s">
        <v>178</v>
      </c>
      <c r="AA494" s="581" t="s">
        <v>178</v>
      </c>
      <c r="AB494" s="585">
        <v>24245</v>
      </c>
      <c r="AC494" s="585" t="s">
        <v>164</v>
      </c>
      <c r="AD494" s="585">
        <v>23619.75</v>
      </c>
      <c r="AE494" s="587">
        <v>4.4999999999999998E-2</v>
      </c>
      <c r="AF494" s="661" t="str">
        <f t="shared" si="52"/>
        <v>2019-SUV-HYD-TUCS-002-17</v>
      </c>
      <c r="AG494" s="661" t="str">
        <f>IF(AND($Y494&gt;=32,(AI494="I"),(Y494&lt;&gt;"~"),(COUNTIF($AN$1:$AN494,$AN494)=1)),"TRUE","FALSE")</f>
        <v>FALSE</v>
      </c>
      <c r="AH494" s="661" t="str">
        <f>IF(AND($Y494&gt;=22, (AI494&lt;&gt;"I"),(Y494&lt;&gt;"~"),(COUNTIF($AN$1:$AN494,$AN494)=1)),"TRUE","FALSE")</f>
        <v>TRUE</v>
      </c>
      <c r="AI494" s="661" t="str">
        <f t="shared" si="54"/>
        <v>II</v>
      </c>
      <c r="AJ494" s="662" t="str">
        <f t="shared" si="48"/>
        <v>TUCS-002</v>
      </c>
      <c r="AK494" s="662" t="str">
        <f t="shared" si="49"/>
        <v>SUV</v>
      </c>
      <c r="AL494" s="662" t="str">
        <f t="shared" si="50"/>
        <v>HYD</v>
      </c>
      <c r="AM494" s="662" t="str">
        <f t="shared" si="53"/>
        <v>Tucson-SE-FWD-5-~-1000-2.0L-4-84412F45-01-105.1-16.4-Unleaded-Unleaded</v>
      </c>
      <c r="AN494" s="662" t="str">
        <f t="shared" si="51"/>
        <v>2019-SUV-HYD-TUCS-002</v>
      </c>
    </row>
    <row r="495" spans="1:40" s="572" customFormat="1" ht="15">
      <c r="A495" s="570" t="s">
        <v>1334</v>
      </c>
      <c r="B495" s="573" t="s">
        <v>1335</v>
      </c>
      <c r="C495" s="573" t="s">
        <v>226</v>
      </c>
      <c r="D495" s="578" t="s">
        <v>227</v>
      </c>
      <c r="E495" s="573" t="s">
        <v>699</v>
      </c>
      <c r="F495" s="573" t="s">
        <v>152</v>
      </c>
      <c r="G495" s="573" t="s">
        <v>1336</v>
      </c>
      <c r="H495" s="573">
        <v>2019</v>
      </c>
      <c r="I495" s="573" t="s">
        <v>1337</v>
      </c>
      <c r="J495" s="573" t="s">
        <v>1338</v>
      </c>
      <c r="K495" s="573" t="s">
        <v>752</v>
      </c>
      <c r="L495" s="573">
        <v>5</v>
      </c>
      <c r="M495" s="573">
        <v>0</v>
      </c>
      <c r="N495" s="573" t="s">
        <v>157</v>
      </c>
      <c r="O495" s="573">
        <v>2</v>
      </c>
      <c r="P495" s="573" t="s">
        <v>157</v>
      </c>
      <c r="Q495" s="571">
        <v>2000</v>
      </c>
      <c r="R495" s="573" t="s">
        <v>539</v>
      </c>
      <c r="S495" s="573">
        <v>4</v>
      </c>
      <c r="T495" s="573" t="s">
        <v>1339</v>
      </c>
      <c r="U495" s="573" t="s">
        <v>1340</v>
      </c>
      <c r="V495" s="573">
        <v>106.3</v>
      </c>
      <c r="W495" s="573">
        <v>15.8</v>
      </c>
      <c r="X495" s="571">
        <v>5500</v>
      </c>
      <c r="Y495" s="573">
        <v>23</v>
      </c>
      <c r="Z495" s="579" t="s">
        <v>178</v>
      </c>
      <c r="AA495" s="579" t="s">
        <v>178</v>
      </c>
      <c r="AB495" s="584">
        <v>27385</v>
      </c>
      <c r="AC495" s="584" t="s">
        <v>164</v>
      </c>
      <c r="AD495" s="584">
        <v>22884</v>
      </c>
      <c r="AE495" s="586">
        <v>6.25E-2</v>
      </c>
      <c r="AF495" s="661" t="str">
        <f t="shared" si="52"/>
        <v>2019-SUV-JEP-CHER-001-04</v>
      </c>
      <c r="AG495" s="661" t="str">
        <f>IF(AND($Y495&gt;=32,(AI495="I"),(Y495&lt;&gt;"~"),(COUNTIF($AN$1:$AN495,$AN495)=1)),"TRUE","FALSE")</f>
        <v>FALSE</v>
      </c>
      <c r="AH495" s="661" t="str">
        <f>IF(AND($Y495&gt;=22, (AI495&lt;&gt;"I"),(Y495&lt;&gt;"~"),(COUNTIF($AN$1:$AN495,$AN495)=1)),"TRUE","FALSE")</f>
        <v>TRUE</v>
      </c>
      <c r="AI495" s="661" t="str">
        <f t="shared" si="54"/>
        <v>II</v>
      </c>
      <c r="AJ495" s="662" t="str">
        <f t="shared" si="48"/>
        <v>CHER-001</v>
      </c>
      <c r="AK495" s="662" t="str">
        <f t="shared" si="49"/>
        <v>SUV</v>
      </c>
      <c r="AL495" s="662" t="str">
        <f t="shared" si="50"/>
        <v>JEP</v>
      </c>
      <c r="AM495" s="662" t="str">
        <f t="shared" si="53"/>
        <v>Cherokee-Latitude-4WD-5-~-2000-2.4L-4-KLJM74-2BJ-106.3-15.8-Unleaded-Unleaded</v>
      </c>
      <c r="AN495" s="662" t="str">
        <f t="shared" si="51"/>
        <v>2019-SUV-JEP-CHER-001</v>
      </c>
    </row>
    <row r="496" spans="1:40" s="572" customFormat="1" ht="15">
      <c r="A496" s="570" t="s">
        <v>1341</v>
      </c>
      <c r="B496" s="569" t="s">
        <v>1335</v>
      </c>
      <c r="C496" s="569" t="s">
        <v>240</v>
      </c>
      <c r="D496" s="580" t="s">
        <v>241</v>
      </c>
      <c r="E496" s="569" t="s">
        <v>699</v>
      </c>
      <c r="F496" s="569" t="s">
        <v>152</v>
      </c>
      <c r="G496" s="569" t="s">
        <v>1336</v>
      </c>
      <c r="H496" s="569">
        <v>2019</v>
      </c>
      <c r="I496" s="569" t="s">
        <v>1337</v>
      </c>
      <c r="J496" s="569" t="s">
        <v>1338</v>
      </c>
      <c r="K496" s="569" t="s">
        <v>752</v>
      </c>
      <c r="L496" s="569">
        <v>5</v>
      </c>
      <c r="M496" s="569">
        <v>0</v>
      </c>
      <c r="N496" s="569" t="s">
        <v>157</v>
      </c>
      <c r="O496" s="569">
        <v>2</v>
      </c>
      <c r="P496" s="569" t="s">
        <v>157</v>
      </c>
      <c r="Q496" s="568">
        <v>2000</v>
      </c>
      <c r="R496" s="569" t="s">
        <v>539</v>
      </c>
      <c r="S496" s="569">
        <v>4</v>
      </c>
      <c r="T496" s="569" t="s">
        <v>1339</v>
      </c>
      <c r="U496" s="569" t="s">
        <v>1340</v>
      </c>
      <c r="V496" s="569">
        <v>106.3</v>
      </c>
      <c r="W496" s="569">
        <v>15.8</v>
      </c>
      <c r="X496" s="568">
        <v>5500</v>
      </c>
      <c r="Y496" s="569">
        <v>24</v>
      </c>
      <c r="Z496" s="581" t="s">
        <v>178</v>
      </c>
      <c r="AA496" s="581" t="s">
        <v>178</v>
      </c>
      <c r="AB496" s="585">
        <v>27385</v>
      </c>
      <c r="AC496" s="585" t="s">
        <v>164</v>
      </c>
      <c r="AD496" s="585">
        <v>22789</v>
      </c>
      <c r="AE496" s="587">
        <v>0.05</v>
      </c>
      <c r="AF496" s="661" t="str">
        <f t="shared" si="52"/>
        <v>2019-SUV-JEP-CHER-001-08</v>
      </c>
      <c r="AG496" s="661" t="str">
        <f>IF(AND($Y496&gt;=32,(AI496="I"),(Y496&lt;&gt;"~"),(COUNTIF($AN$1:$AN496,$AN496)=1)),"TRUE","FALSE")</f>
        <v>FALSE</v>
      </c>
      <c r="AH496" s="661" t="str">
        <f>IF(AND($Y496&gt;=22, (AI496&lt;&gt;"I"),(Y496&lt;&gt;"~"),(COUNTIF($AN$1:$AN496,$AN496)=1)),"TRUE","FALSE")</f>
        <v>FALSE</v>
      </c>
      <c r="AI496" s="661" t="str">
        <f t="shared" si="54"/>
        <v>II</v>
      </c>
      <c r="AJ496" s="662" t="str">
        <f t="shared" si="48"/>
        <v>CHER-001</v>
      </c>
      <c r="AK496" s="662" t="str">
        <f t="shared" si="49"/>
        <v>SUV</v>
      </c>
      <c r="AL496" s="662" t="str">
        <f t="shared" si="50"/>
        <v>JEP</v>
      </c>
      <c r="AM496" s="662" t="str">
        <f t="shared" si="53"/>
        <v>Cherokee-Latitude-4WD-5-~-2000-2.4L-4-KLJM74-2BJ-106.3-15.8-Unleaded-Unleaded</v>
      </c>
      <c r="AN496" s="662" t="str">
        <f t="shared" si="51"/>
        <v>2019-SUV-JEP-CHER-001</v>
      </c>
    </row>
    <row r="497" spans="1:40" s="572" customFormat="1" ht="15">
      <c r="A497" s="570" t="s">
        <v>1342</v>
      </c>
      <c r="B497" s="573" t="s">
        <v>1343</v>
      </c>
      <c r="C497" s="573" t="s">
        <v>226</v>
      </c>
      <c r="D497" s="578" t="s">
        <v>227</v>
      </c>
      <c r="E497" s="573" t="s">
        <v>699</v>
      </c>
      <c r="F497" s="573" t="s">
        <v>152</v>
      </c>
      <c r="G497" s="573" t="s">
        <v>1336</v>
      </c>
      <c r="H497" s="573">
        <v>2019</v>
      </c>
      <c r="I497" s="573" t="s">
        <v>1337</v>
      </c>
      <c r="J497" s="573" t="s">
        <v>1338</v>
      </c>
      <c r="K497" s="573" t="s">
        <v>156</v>
      </c>
      <c r="L497" s="573">
        <v>5</v>
      </c>
      <c r="M497" s="573">
        <v>0</v>
      </c>
      <c r="N497" s="573" t="s">
        <v>157</v>
      </c>
      <c r="O497" s="573">
        <v>2</v>
      </c>
      <c r="P497" s="573" t="s">
        <v>157</v>
      </c>
      <c r="Q497" s="571">
        <v>2000</v>
      </c>
      <c r="R497" s="573" t="s">
        <v>539</v>
      </c>
      <c r="S497" s="573">
        <v>4</v>
      </c>
      <c r="T497" s="573" t="s">
        <v>1344</v>
      </c>
      <c r="U497" s="573" t="s">
        <v>1340</v>
      </c>
      <c r="V497" s="573">
        <v>106.3</v>
      </c>
      <c r="W497" s="573">
        <v>15.8</v>
      </c>
      <c r="X497" s="571">
        <v>5050</v>
      </c>
      <c r="Y497" s="573">
        <v>25</v>
      </c>
      <c r="Z497" s="579" t="s">
        <v>178</v>
      </c>
      <c r="AA497" s="579" t="s">
        <v>178</v>
      </c>
      <c r="AB497" s="584">
        <v>25885</v>
      </c>
      <c r="AC497" s="584" t="s">
        <v>164</v>
      </c>
      <c r="AD497" s="584">
        <v>21505</v>
      </c>
      <c r="AE497" s="586">
        <v>6.25E-2</v>
      </c>
      <c r="AF497" s="661" t="str">
        <f t="shared" si="52"/>
        <v>2019-SUV-JEP-CHER-002-04</v>
      </c>
      <c r="AG497" s="661" t="str">
        <f>IF(AND($Y497&gt;=32,(AI497="I"),(Y497&lt;&gt;"~"),(COUNTIF($AN$1:$AN497,$AN497)=1)),"TRUE","FALSE")</f>
        <v>FALSE</v>
      </c>
      <c r="AH497" s="661" t="str">
        <f>IF(AND($Y497&gt;=22, (AI497&lt;&gt;"I"),(Y497&lt;&gt;"~"),(COUNTIF($AN$1:$AN497,$AN497)=1)),"TRUE","FALSE")</f>
        <v>TRUE</v>
      </c>
      <c r="AI497" s="661" t="str">
        <f t="shared" si="54"/>
        <v>II</v>
      </c>
      <c r="AJ497" s="662" t="str">
        <f t="shared" si="48"/>
        <v>CHER-002</v>
      </c>
      <c r="AK497" s="662" t="str">
        <f t="shared" si="49"/>
        <v>SUV</v>
      </c>
      <c r="AL497" s="662" t="str">
        <f t="shared" si="50"/>
        <v>JEP</v>
      </c>
      <c r="AM497" s="662" t="str">
        <f t="shared" si="53"/>
        <v>Cherokee-Latitude-FWD-5-~-2000-2.4L-4-KLTM74-2BJ-106.3-15.8-Unleaded-Unleaded</v>
      </c>
      <c r="AN497" s="662" t="str">
        <f t="shared" si="51"/>
        <v>2019-SUV-JEP-CHER-002</v>
      </c>
    </row>
    <row r="498" spans="1:40" s="572" customFormat="1" ht="15">
      <c r="A498" s="570" t="s">
        <v>1345</v>
      </c>
      <c r="B498" s="569" t="s">
        <v>1343</v>
      </c>
      <c r="C498" s="569" t="s">
        <v>240</v>
      </c>
      <c r="D498" s="580" t="s">
        <v>241</v>
      </c>
      <c r="E498" s="569" t="s">
        <v>699</v>
      </c>
      <c r="F498" s="569" t="s">
        <v>152</v>
      </c>
      <c r="G498" s="569" t="s">
        <v>1336</v>
      </c>
      <c r="H498" s="569">
        <v>2019</v>
      </c>
      <c r="I498" s="569" t="s">
        <v>1337</v>
      </c>
      <c r="J498" s="569" t="s">
        <v>1338</v>
      </c>
      <c r="K498" s="569" t="s">
        <v>156</v>
      </c>
      <c r="L498" s="569">
        <v>5</v>
      </c>
      <c r="M498" s="569">
        <v>0</v>
      </c>
      <c r="N498" s="569" t="s">
        <v>157</v>
      </c>
      <c r="O498" s="569">
        <v>2</v>
      </c>
      <c r="P498" s="569" t="s">
        <v>157</v>
      </c>
      <c r="Q498" s="568">
        <v>2000</v>
      </c>
      <c r="R498" s="569" t="s">
        <v>539</v>
      </c>
      <c r="S498" s="569">
        <v>4</v>
      </c>
      <c r="T498" s="569" t="s">
        <v>1344</v>
      </c>
      <c r="U498" s="569" t="s">
        <v>1340</v>
      </c>
      <c r="V498" s="569">
        <v>106.3</v>
      </c>
      <c r="W498" s="569">
        <v>15.8</v>
      </c>
      <c r="X498" s="568">
        <v>5050</v>
      </c>
      <c r="Y498" s="569">
        <v>25</v>
      </c>
      <c r="Z498" s="581" t="s">
        <v>178</v>
      </c>
      <c r="AA498" s="581" t="s">
        <v>178</v>
      </c>
      <c r="AB498" s="585">
        <v>25885</v>
      </c>
      <c r="AC498" s="585" t="s">
        <v>164</v>
      </c>
      <c r="AD498" s="585">
        <v>21389</v>
      </c>
      <c r="AE498" s="587">
        <v>0.05</v>
      </c>
      <c r="AF498" s="661" t="str">
        <f t="shared" si="52"/>
        <v>2019-SUV-JEP-CHER-002-08</v>
      </c>
      <c r="AG498" s="661" t="str">
        <f>IF(AND($Y498&gt;=32,(AI498="I"),(Y498&lt;&gt;"~"),(COUNTIF($AN$1:$AN498,$AN498)=1)),"TRUE","FALSE")</f>
        <v>FALSE</v>
      </c>
      <c r="AH498" s="661" t="str">
        <f>IF(AND($Y498&gt;=22, (AI498&lt;&gt;"I"),(Y498&lt;&gt;"~"),(COUNTIF($AN$1:$AN498,$AN498)=1)),"TRUE","FALSE")</f>
        <v>FALSE</v>
      </c>
      <c r="AI498" s="661" t="str">
        <f t="shared" si="54"/>
        <v>II</v>
      </c>
      <c r="AJ498" s="662" t="str">
        <f t="shared" si="48"/>
        <v>CHER-002</v>
      </c>
      <c r="AK498" s="662" t="str">
        <f t="shared" si="49"/>
        <v>SUV</v>
      </c>
      <c r="AL498" s="662" t="str">
        <f t="shared" si="50"/>
        <v>JEP</v>
      </c>
      <c r="AM498" s="662" t="str">
        <f t="shared" si="53"/>
        <v>Cherokee-Latitude-FWD-5-~-2000-2.4L-4-KLTM74-2BJ-106.3-15.8-Unleaded-Unleaded</v>
      </c>
      <c r="AN498" s="662" t="str">
        <f t="shared" si="51"/>
        <v>2019-SUV-JEP-CHER-002</v>
      </c>
    </row>
    <row r="499" spans="1:40" s="572" customFormat="1" ht="15">
      <c r="A499" s="570" t="s">
        <v>1346</v>
      </c>
      <c r="B499" s="573" t="s">
        <v>1347</v>
      </c>
      <c r="C499" s="573" t="s">
        <v>226</v>
      </c>
      <c r="D499" s="578" t="s">
        <v>227</v>
      </c>
      <c r="E499" s="573" t="s">
        <v>699</v>
      </c>
      <c r="F499" s="573" t="s">
        <v>211</v>
      </c>
      <c r="G499" s="573" t="s">
        <v>1336</v>
      </c>
      <c r="H499" s="573">
        <v>2019</v>
      </c>
      <c r="I499" s="573" t="s">
        <v>1348</v>
      </c>
      <c r="J499" s="573" t="s">
        <v>1338</v>
      </c>
      <c r="K499" s="573" t="s">
        <v>752</v>
      </c>
      <c r="L499" s="573">
        <v>5</v>
      </c>
      <c r="M499" s="573">
        <v>0</v>
      </c>
      <c r="N499" s="573" t="s">
        <v>157</v>
      </c>
      <c r="O499" s="573">
        <v>2</v>
      </c>
      <c r="P499" s="573" t="s">
        <v>157</v>
      </c>
      <c r="Q499" s="571">
        <v>1000</v>
      </c>
      <c r="R499" s="573" t="s">
        <v>539</v>
      </c>
      <c r="S499" s="573">
        <v>4</v>
      </c>
      <c r="T499" s="573" t="s">
        <v>1349</v>
      </c>
      <c r="U499" s="573" t="s">
        <v>1350</v>
      </c>
      <c r="V499" s="573">
        <v>103.8</v>
      </c>
      <c r="W499" s="573">
        <v>13.5</v>
      </c>
      <c r="X499" s="571">
        <v>4600</v>
      </c>
      <c r="Y499" s="573">
        <v>25</v>
      </c>
      <c r="Z499" s="579" t="s">
        <v>178</v>
      </c>
      <c r="AA499" s="579" t="s">
        <v>178</v>
      </c>
      <c r="AB499" s="584">
        <v>27590</v>
      </c>
      <c r="AC499" s="584" t="s">
        <v>164</v>
      </c>
      <c r="AD499" s="584">
        <v>22994</v>
      </c>
      <c r="AE499" s="586">
        <v>6.25E-2</v>
      </c>
      <c r="AF499" s="661" t="str">
        <f t="shared" si="52"/>
        <v>2019-SUV-JEP-COMP-001-04</v>
      </c>
      <c r="AG499" s="661" t="str">
        <f>IF(AND($Y499&gt;=32,(AI499="I"),(Y499&lt;&gt;"~"),(COUNTIF($AN$1:$AN499,$AN499)=1)),"TRUE","FALSE")</f>
        <v>FALSE</v>
      </c>
      <c r="AH499" s="661" t="str">
        <f>IF(AND($Y499&gt;=22, (AI499&lt;&gt;"I"),(Y499&lt;&gt;"~"),(COUNTIF($AN$1:$AN499,$AN499)=1)),"TRUE","FALSE")</f>
        <v>TRUE</v>
      </c>
      <c r="AI499" s="661" t="str">
        <f t="shared" si="54"/>
        <v>II</v>
      </c>
      <c r="AJ499" s="662" t="str">
        <f t="shared" si="48"/>
        <v>COMP-001</v>
      </c>
      <c r="AK499" s="662" t="str">
        <f t="shared" si="49"/>
        <v>SUV</v>
      </c>
      <c r="AL499" s="662" t="str">
        <f t="shared" si="50"/>
        <v>JEP</v>
      </c>
      <c r="AM499" s="662" t="str">
        <f t="shared" si="53"/>
        <v>Compass-Latitude-4WD-5-~-1000-2.4L-4-MPJM74-27J-103.8-13.5-Unleaded-Unleaded</v>
      </c>
      <c r="AN499" s="662" t="str">
        <f t="shared" si="51"/>
        <v>2019-SUV-JEP-COMP-001</v>
      </c>
    </row>
    <row r="500" spans="1:40" s="572" customFormat="1" ht="15">
      <c r="A500" s="570" t="s">
        <v>1351</v>
      </c>
      <c r="B500" s="569" t="s">
        <v>1347</v>
      </c>
      <c r="C500" s="569" t="s">
        <v>240</v>
      </c>
      <c r="D500" s="580" t="s">
        <v>241</v>
      </c>
      <c r="E500" s="569" t="s">
        <v>699</v>
      </c>
      <c r="F500" s="569" t="s">
        <v>211</v>
      </c>
      <c r="G500" s="569" t="s">
        <v>1336</v>
      </c>
      <c r="H500" s="569">
        <v>2019</v>
      </c>
      <c r="I500" s="569" t="s">
        <v>1348</v>
      </c>
      <c r="J500" s="569" t="s">
        <v>1338</v>
      </c>
      <c r="K500" s="569" t="s">
        <v>752</v>
      </c>
      <c r="L500" s="569">
        <v>5</v>
      </c>
      <c r="M500" s="569">
        <v>0</v>
      </c>
      <c r="N500" s="569" t="s">
        <v>157</v>
      </c>
      <c r="O500" s="569">
        <v>2</v>
      </c>
      <c r="P500" s="569" t="s">
        <v>157</v>
      </c>
      <c r="Q500" s="568">
        <v>1000</v>
      </c>
      <c r="R500" s="569" t="s">
        <v>539</v>
      </c>
      <c r="S500" s="569">
        <v>4</v>
      </c>
      <c r="T500" s="569" t="s">
        <v>1349</v>
      </c>
      <c r="U500" s="569" t="s">
        <v>1350</v>
      </c>
      <c r="V500" s="569">
        <v>103.8</v>
      </c>
      <c r="W500" s="569">
        <v>13.5</v>
      </c>
      <c r="X500" s="568">
        <v>4600</v>
      </c>
      <c r="Y500" s="569">
        <v>25</v>
      </c>
      <c r="Z500" s="581" t="s">
        <v>178</v>
      </c>
      <c r="AA500" s="581" t="s">
        <v>178</v>
      </c>
      <c r="AB500" s="585">
        <v>27590</v>
      </c>
      <c r="AC500" s="585" t="s">
        <v>164</v>
      </c>
      <c r="AD500" s="585">
        <v>22779</v>
      </c>
      <c r="AE500" s="587">
        <v>0.05</v>
      </c>
      <c r="AF500" s="661" t="str">
        <f t="shared" si="52"/>
        <v>2019-SUV-JEP-COMP-001-08</v>
      </c>
      <c r="AG500" s="661" t="str">
        <f>IF(AND($Y500&gt;=32,(AI500="I"),(Y500&lt;&gt;"~"),(COUNTIF($AN$1:$AN500,$AN500)=1)),"TRUE","FALSE")</f>
        <v>FALSE</v>
      </c>
      <c r="AH500" s="661" t="str">
        <f>IF(AND($Y500&gt;=22, (AI500&lt;&gt;"I"),(Y500&lt;&gt;"~"),(COUNTIF($AN$1:$AN500,$AN500)=1)),"TRUE","FALSE")</f>
        <v>FALSE</v>
      </c>
      <c r="AI500" s="661" t="str">
        <f t="shared" si="54"/>
        <v>II</v>
      </c>
      <c r="AJ500" s="662" t="str">
        <f t="shared" si="48"/>
        <v>COMP-001</v>
      </c>
      <c r="AK500" s="662" t="str">
        <f t="shared" si="49"/>
        <v>SUV</v>
      </c>
      <c r="AL500" s="662" t="str">
        <f t="shared" si="50"/>
        <v>JEP</v>
      </c>
      <c r="AM500" s="662" t="str">
        <f t="shared" si="53"/>
        <v>Compass-Latitude-4WD-5-~-1000-2.4L-4-MPJM74-27J-103.8-13.5-Unleaded-Unleaded</v>
      </c>
      <c r="AN500" s="662" t="str">
        <f t="shared" si="51"/>
        <v>2019-SUV-JEP-COMP-001</v>
      </c>
    </row>
    <row r="501" spans="1:40" s="572" customFormat="1" ht="15">
      <c r="A501" s="570" t="s">
        <v>1352</v>
      </c>
      <c r="B501" s="573" t="s">
        <v>1353</v>
      </c>
      <c r="C501" s="573" t="s">
        <v>226</v>
      </c>
      <c r="D501" s="578" t="s">
        <v>227</v>
      </c>
      <c r="E501" s="573" t="s">
        <v>699</v>
      </c>
      <c r="F501" s="573" t="s">
        <v>211</v>
      </c>
      <c r="G501" s="573" t="s">
        <v>1336</v>
      </c>
      <c r="H501" s="573">
        <v>2019</v>
      </c>
      <c r="I501" s="573" t="s">
        <v>1348</v>
      </c>
      <c r="J501" s="573" t="s">
        <v>1338</v>
      </c>
      <c r="K501" s="573" t="s">
        <v>156</v>
      </c>
      <c r="L501" s="573">
        <v>5</v>
      </c>
      <c r="M501" s="573">
        <v>0</v>
      </c>
      <c r="N501" s="573" t="s">
        <v>157</v>
      </c>
      <c r="O501" s="573">
        <v>2</v>
      </c>
      <c r="P501" s="573" t="s">
        <v>157</v>
      </c>
      <c r="Q501" s="571">
        <v>1000</v>
      </c>
      <c r="R501" s="573" t="s">
        <v>539</v>
      </c>
      <c r="S501" s="573">
        <v>4</v>
      </c>
      <c r="T501" s="573" t="s">
        <v>1354</v>
      </c>
      <c r="U501" s="573" t="s">
        <v>1355</v>
      </c>
      <c r="V501" s="573">
        <v>103.8</v>
      </c>
      <c r="W501" s="573">
        <v>13.5</v>
      </c>
      <c r="X501" s="571">
        <v>4600</v>
      </c>
      <c r="Y501" s="573">
        <v>25</v>
      </c>
      <c r="Z501" s="579" t="s">
        <v>178</v>
      </c>
      <c r="AA501" s="579" t="s">
        <v>178</v>
      </c>
      <c r="AB501" s="584">
        <v>26090</v>
      </c>
      <c r="AC501" s="584" t="s">
        <v>164</v>
      </c>
      <c r="AD501" s="584">
        <v>21660</v>
      </c>
      <c r="AE501" s="586">
        <v>6.25E-2</v>
      </c>
      <c r="AF501" s="661" t="str">
        <f t="shared" si="52"/>
        <v>2019-SUV-JEP-COMP-002-04</v>
      </c>
      <c r="AG501" s="661" t="str">
        <f>IF(AND($Y501&gt;=32,(AI501="I"),(Y501&lt;&gt;"~"),(COUNTIF($AN$1:$AN501,$AN501)=1)),"TRUE","FALSE")</f>
        <v>FALSE</v>
      </c>
      <c r="AH501" s="661" t="str">
        <f>IF(AND($Y501&gt;=22, (AI501&lt;&gt;"I"),(Y501&lt;&gt;"~"),(COUNTIF($AN$1:$AN501,$AN501)=1)),"TRUE","FALSE")</f>
        <v>TRUE</v>
      </c>
      <c r="AI501" s="661" t="str">
        <f t="shared" si="54"/>
        <v>II</v>
      </c>
      <c r="AJ501" s="662" t="str">
        <f t="shared" si="48"/>
        <v>COMP-002</v>
      </c>
      <c r="AK501" s="662" t="str">
        <f t="shared" si="49"/>
        <v>SUV</v>
      </c>
      <c r="AL501" s="662" t="str">
        <f t="shared" si="50"/>
        <v>JEP</v>
      </c>
      <c r="AM501" s="662" t="str">
        <f t="shared" si="53"/>
        <v>Compass-Latitude-FWD-5-~-1000-2.4L-4-MPTM74-28J-103.8-13.5-Unleaded-Unleaded</v>
      </c>
      <c r="AN501" s="662" t="str">
        <f t="shared" si="51"/>
        <v>2019-SUV-JEP-COMP-002</v>
      </c>
    </row>
    <row r="502" spans="1:40" s="572" customFormat="1" ht="15">
      <c r="A502" s="570" t="s">
        <v>1356</v>
      </c>
      <c r="B502" s="569" t="s">
        <v>1353</v>
      </c>
      <c r="C502" s="569" t="s">
        <v>240</v>
      </c>
      <c r="D502" s="580" t="s">
        <v>241</v>
      </c>
      <c r="E502" s="569" t="s">
        <v>699</v>
      </c>
      <c r="F502" s="569" t="s">
        <v>211</v>
      </c>
      <c r="G502" s="569" t="s">
        <v>1336</v>
      </c>
      <c r="H502" s="569">
        <v>2019</v>
      </c>
      <c r="I502" s="569" t="s">
        <v>1348</v>
      </c>
      <c r="J502" s="569" t="s">
        <v>1338</v>
      </c>
      <c r="K502" s="569" t="s">
        <v>156</v>
      </c>
      <c r="L502" s="569">
        <v>5</v>
      </c>
      <c r="M502" s="569">
        <v>0</v>
      </c>
      <c r="N502" s="569" t="s">
        <v>157</v>
      </c>
      <c r="O502" s="569">
        <v>2</v>
      </c>
      <c r="P502" s="569" t="s">
        <v>157</v>
      </c>
      <c r="Q502" s="568">
        <v>1000</v>
      </c>
      <c r="R502" s="569" t="s">
        <v>539</v>
      </c>
      <c r="S502" s="569">
        <v>4</v>
      </c>
      <c r="T502" s="569" t="s">
        <v>1354</v>
      </c>
      <c r="U502" s="569" t="s">
        <v>1355</v>
      </c>
      <c r="V502" s="569">
        <v>103.8</v>
      </c>
      <c r="W502" s="569">
        <v>13.5</v>
      </c>
      <c r="X502" s="568">
        <v>4600</v>
      </c>
      <c r="Y502" s="569">
        <v>25</v>
      </c>
      <c r="Z502" s="581" t="s">
        <v>178</v>
      </c>
      <c r="AA502" s="581" t="s">
        <v>178</v>
      </c>
      <c r="AB502" s="585">
        <v>26090</v>
      </c>
      <c r="AC502" s="585" t="s">
        <v>164</v>
      </c>
      <c r="AD502" s="585">
        <v>21499</v>
      </c>
      <c r="AE502" s="587">
        <v>0.05</v>
      </c>
      <c r="AF502" s="661" t="str">
        <f t="shared" si="52"/>
        <v>2019-SUV-JEP-COMP-002-08</v>
      </c>
      <c r="AG502" s="661" t="str">
        <f>IF(AND($Y502&gt;=32,(AI502="I"),(Y502&lt;&gt;"~"),(COUNTIF($AN$1:$AN502,$AN502)=1)),"TRUE","FALSE")</f>
        <v>FALSE</v>
      </c>
      <c r="AH502" s="661" t="str">
        <f>IF(AND($Y502&gt;=22, (AI502&lt;&gt;"I"),(Y502&lt;&gt;"~"),(COUNTIF($AN$1:$AN502,$AN502)=1)),"TRUE","FALSE")</f>
        <v>FALSE</v>
      </c>
      <c r="AI502" s="661" t="str">
        <f t="shared" si="54"/>
        <v>II</v>
      </c>
      <c r="AJ502" s="662" t="str">
        <f t="shared" si="48"/>
        <v>COMP-002</v>
      </c>
      <c r="AK502" s="662" t="str">
        <f t="shared" si="49"/>
        <v>SUV</v>
      </c>
      <c r="AL502" s="662" t="str">
        <f t="shared" si="50"/>
        <v>JEP</v>
      </c>
      <c r="AM502" s="662" t="str">
        <f t="shared" si="53"/>
        <v>Compass-Latitude-FWD-5-~-1000-2.4L-4-MPTM74-28J-103.8-13.5-Unleaded-Unleaded</v>
      </c>
      <c r="AN502" s="662" t="str">
        <f t="shared" si="51"/>
        <v>2019-SUV-JEP-COMP-002</v>
      </c>
    </row>
    <row r="503" spans="1:40" s="572" customFormat="1" ht="15">
      <c r="A503" s="570" t="s">
        <v>1357</v>
      </c>
      <c r="B503" s="573" t="s">
        <v>1358</v>
      </c>
      <c r="C503" s="573" t="s">
        <v>226</v>
      </c>
      <c r="D503" s="578" t="s">
        <v>227</v>
      </c>
      <c r="E503" s="573" t="s">
        <v>699</v>
      </c>
      <c r="F503" s="573" t="s">
        <v>211</v>
      </c>
      <c r="G503" s="573" t="s">
        <v>1336</v>
      </c>
      <c r="H503" s="573">
        <v>2019</v>
      </c>
      <c r="I503" s="573" t="s">
        <v>1348</v>
      </c>
      <c r="J503" s="573" t="s">
        <v>409</v>
      </c>
      <c r="K503" s="573" t="s">
        <v>752</v>
      </c>
      <c r="L503" s="573">
        <v>5</v>
      </c>
      <c r="M503" s="573">
        <v>0</v>
      </c>
      <c r="N503" s="573" t="s">
        <v>157</v>
      </c>
      <c r="O503" s="573">
        <v>2</v>
      </c>
      <c r="P503" s="573" t="s">
        <v>157</v>
      </c>
      <c r="Q503" s="571">
        <v>1000</v>
      </c>
      <c r="R503" s="573" t="s">
        <v>539</v>
      </c>
      <c r="S503" s="573">
        <v>4</v>
      </c>
      <c r="T503" s="573" t="s">
        <v>1359</v>
      </c>
      <c r="U503" s="573" t="s">
        <v>653</v>
      </c>
      <c r="V503" s="573">
        <v>103.8</v>
      </c>
      <c r="W503" s="573">
        <v>13.5</v>
      </c>
      <c r="X503" s="571">
        <v>4600</v>
      </c>
      <c r="Y503" s="573">
        <v>25</v>
      </c>
      <c r="Z503" s="579" t="s">
        <v>178</v>
      </c>
      <c r="AA503" s="579" t="s">
        <v>178</v>
      </c>
      <c r="AB503" s="584">
        <v>25790</v>
      </c>
      <c r="AC503" s="584" t="s">
        <v>164</v>
      </c>
      <c r="AD503" s="584">
        <v>21472</v>
      </c>
      <c r="AE503" s="586">
        <v>6.25E-2</v>
      </c>
      <c r="AF503" s="661" t="str">
        <f t="shared" si="52"/>
        <v>2019-SUV-JEP-COMP-003-04</v>
      </c>
      <c r="AG503" s="661" t="str">
        <f>IF(AND($Y503&gt;=32,(AI503="I"),(Y503&lt;&gt;"~"),(COUNTIF($AN$1:$AN503,$AN503)=1)),"TRUE","FALSE")</f>
        <v>FALSE</v>
      </c>
      <c r="AH503" s="661" t="str">
        <f>IF(AND($Y503&gt;=22, (AI503&lt;&gt;"I"),(Y503&lt;&gt;"~"),(COUNTIF($AN$1:$AN503,$AN503)=1)),"TRUE","FALSE")</f>
        <v>TRUE</v>
      </c>
      <c r="AI503" s="661" t="str">
        <f t="shared" si="54"/>
        <v>II</v>
      </c>
      <c r="AJ503" s="662" t="str">
        <f t="shared" si="48"/>
        <v>COMP-003</v>
      </c>
      <c r="AK503" s="662" t="str">
        <f t="shared" si="49"/>
        <v>SUV</v>
      </c>
      <c r="AL503" s="662" t="str">
        <f t="shared" si="50"/>
        <v>JEP</v>
      </c>
      <c r="AM503" s="662" t="str">
        <f t="shared" si="53"/>
        <v>Compass-Sport-4WD-5-~-1000-2.4L-4-MPJL74-27A-103.8-13.5-Unleaded-Unleaded</v>
      </c>
      <c r="AN503" s="662" t="str">
        <f t="shared" si="51"/>
        <v>2019-SUV-JEP-COMP-003</v>
      </c>
    </row>
    <row r="504" spans="1:40" s="572" customFormat="1" ht="15">
      <c r="A504" s="570" t="s">
        <v>1360</v>
      </c>
      <c r="B504" s="569" t="s">
        <v>1358</v>
      </c>
      <c r="C504" s="569" t="s">
        <v>240</v>
      </c>
      <c r="D504" s="580" t="s">
        <v>241</v>
      </c>
      <c r="E504" s="569" t="s">
        <v>699</v>
      </c>
      <c r="F504" s="569" t="s">
        <v>211</v>
      </c>
      <c r="G504" s="569" t="s">
        <v>1336</v>
      </c>
      <c r="H504" s="569">
        <v>2019</v>
      </c>
      <c r="I504" s="569" t="s">
        <v>1348</v>
      </c>
      <c r="J504" s="569" t="s">
        <v>409</v>
      </c>
      <c r="K504" s="569" t="s">
        <v>752</v>
      </c>
      <c r="L504" s="569">
        <v>5</v>
      </c>
      <c r="M504" s="569">
        <v>0</v>
      </c>
      <c r="N504" s="569" t="s">
        <v>157</v>
      </c>
      <c r="O504" s="569">
        <v>2</v>
      </c>
      <c r="P504" s="569" t="s">
        <v>157</v>
      </c>
      <c r="Q504" s="568">
        <v>1000</v>
      </c>
      <c r="R504" s="569" t="s">
        <v>539</v>
      </c>
      <c r="S504" s="569">
        <v>4</v>
      </c>
      <c r="T504" s="569" t="s">
        <v>1359</v>
      </c>
      <c r="U504" s="569" t="s">
        <v>653</v>
      </c>
      <c r="V504" s="569">
        <v>103.8</v>
      </c>
      <c r="W504" s="569">
        <v>13.5</v>
      </c>
      <c r="X504" s="568">
        <v>4600</v>
      </c>
      <c r="Y504" s="569">
        <v>25</v>
      </c>
      <c r="Z504" s="581" t="s">
        <v>178</v>
      </c>
      <c r="AA504" s="581" t="s">
        <v>178</v>
      </c>
      <c r="AB504" s="585">
        <v>25790</v>
      </c>
      <c r="AC504" s="585" t="s">
        <v>164</v>
      </c>
      <c r="AD504" s="585">
        <v>21249</v>
      </c>
      <c r="AE504" s="587">
        <v>0.05</v>
      </c>
      <c r="AF504" s="661" t="str">
        <f t="shared" si="52"/>
        <v>2019-SUV-JEP-COMP-003-08</v>
      </c>
      <c r="AG504" s="661" t="str">
        <f>IF(AND($Y504&gt;=32,(AI504="I"),(Y504&lt;&gt;"~"),(COUNTIF($AN$1:$AN504,$AN504)=1)),"TRUE","FALSE")</f>
        <v>FALSE</v>
      </c>
      <c r="AH504" s="661" t="str">
        <f>IF(AND($Y504&gt;=22, (AI504&lt;&gt;"I"),(Y504&lt;&gt;"~"),(COUNTIF($AN$1:$AN504,$AN504)=1)),"TRUE","FALSE")</f>
        <v>FALSE</v>
      </c>
      <c r="AI504" s="661" t="str">
        <f t="shared" si="54"/>
        <v>II</v>
      </c>
      <c r="AJ504" s="662" t="str">
        <f t="shared" si="48"/>
        <v>COMP-003</v>
      </c>
      <c r="AK504" s="662" t="str">
        <f t="shared" si="49"/>
        <v>SUV</v>
      </c>
      <c r="AL504" s="662" t="str">
        <f t="shared" si="50"/>
        <v>JEP</v>
      </c>
      <c r="AM504" s="662" t="str">
        <f t="shared" si="53"/>
        <v>Compass-Sport-4WD-5-~-1000-2.4L-4-MPJL74-27A-103.8-13.5-Unleaded-Unleaded</v>
      </c>
      <c r="AN504" s="662" t="str">
        <f t="shared" si="51"/>
        <v>2019-SUV-JEP-COMP-003</v>
      </c>
    </row>
    <row r="505" spans="1:40" s="572" customFormat="1" ht="15">
      <c r="A505" s="570" t="s">
        <v>1361</v>
      </c>
      <c r="B505" s="573" t="s">
        <v>1362</v>
      </c>
      <c r="C505" s="573" t="s">
        <v>226</v>
      </c>
      <c r="D505" s="578" t="s">
        <v>227</v>
      </c>
      <c r="E505" s="573" t="s">
        <v>699</v>
      </c>
      <c r="F505" s="573" t="s">
        <v>211</v>
      </c>
      <c r="G505" s="573" t="s">
        <v>1336</v>
      </c>
      <c r="H505" s="573">
        <v>2019</v>
      </c>
      <c r="I505" s="573" t="s">
        <v>1348</v>
      </c>
      <c r="J505" s="573" t="s">
        <v>409</v>
      </c>
      <c r="K505" s="573" t="s">
        <v>156</v>
      </c>
      <c r="L505" s="573">
        <v>5</v>
      </c>
      <c r="M505" s="573">
        <v>0</v>
      </c>
      <c r="N505" s="573" t="s">
        <v>157</v>
      </c>
      <c r="O505" s="573">
        <v>2</v>
      </c>
      <c r="P505" s="573" t="s">
        <v>157</v>
      </c>
      <c r="Q505" s="571">
        <v>1000</v>
      </c>
      <c r="R505" s="573" t="s">
        <v>539</v>
      </c>
      <c r="S505" s="573">
        <v>4</v>
      </c>
      <c r="T505" s="573" t="s">
        <v>1363</v>
      </c>
      <c r="U505" s="573" t="s">
        <v>922</v>
      </c>
      <c r="V505" s="573">
        <v>103.8</v>
      </c>
      <c r="W505" s="573">
        <v>13.5</v>
      </c>
      <c r="X505" s="571">
        <v>4600</v>
      </c>
      <c r="Y505" s="573">
        <v>26</v>
      </c>
      <c r="Z505" s="579" t="s">
        <v>178</v>
      </c>
      <c r="AA505" s="579" t="s">
        <v>178</v>
      </c>
      <c r="AB505" s="584">
        <v>24290</v>
      </c>
      <c r="AC505" s="584" t="s">
        <v>164</v>
      </c>
      <c r="AD505" s="584">
        <v>20101</v>
      </c>
      <c r="AE505" s="586">
        <v>6.25E-2</v>
      </c>
      <c r="AF505" s="661" t="str">
        <f t="shared" si="52"/>
        <v>2019-SUV-JEP-COMP-004-04</v>
      </c>
      <c r="AG505" s="661" t="str">
        <f>IF(AND($Y505&gt;=32,(AI505="I"),(Y505&lt;&gt;"~"),(COUNTIF($AN$1:$AN505,$AN505)=1)),"TRUE","FALSE")</f>
        <v>FALSE</v>
      </c>
      <c r="AH505" s="661" t="str">
        <f>IF(AND($Y505&gt;=22, (AI505&lt;&gt;"I"),(Y505&lt;&gt;"~"),(COUNTIF($AN$1:$AN505,$AN505)=1)),"TRUE","FALSE")</f>
        <v>TRUE</v>
      </c>
      <c r="AI505" s="661" t="str">
        <f t="shared" si="54"/>
        <v>II</v>
      </c>
      <c r="AJ505" s="662" t="str">
        <f t="shared" si="48"/>
        <v>COMP-004</v>
      </c>
      <c r="AK505" s="662" t="str">
        <f t="shared" si="49"/>
        <v>SUV</v>
      </c>
      <c r="AL505" s="662" t="str">
        <f t="shared" si="50"/>
        <v>JEP</v>
      </c>
      <c r="AM505" s="662" t="str">
        <f t="shared" si="53"/>
        <v>Compass-Sport-FWD-5-~-1000-2.4L-4-MPTL74-28A-103.8-13.5-Unleaded-Unleaded</v>
      </c>
      <c r="AN505" s="662" t="str">
        <f t="shared" si="51"/>
        <v>2019-SUV-JEP-COMP-004</v>
      </c>
    </row>
    <row r="506" spans="1:40" s="572" customFormat="1" ht="15">
      <c r="A506" s="570" t="s">
        <v>1364</v>
      </c>
      <c r="B506" s="569" t="s">
        <v>1362</v>
      </c>
      <c r="C506" s="569" t="s">
        <v>240</v>
      </c>
      <c r="D506" s="580" t="s">
        <v>241</v>
      </c>
      <c r="E506" s="569" t="s">
        <v>699</v>
      </c>
      <c r="F506" s="569" t="s">
        <v>211</v>
      </c>
      <c r="G506" s="569" t="s">
        <v>1336</v>
      </c>
      <c r="H506" s="569">
        <v>2019</v>
      </c>
      <c r="I506" s="569" t="s">
        <v>1348</v>
      </c>
      <c r="J506" s="569" t="s">
        <v>409</v>
      </c>
      <c r="K506" s="569" t="s">
        <v>156</v>
      </c>
      <c r="L506" s="569">
        <v>5</v>
      </c>
      <c r="M506" s="569">
        <v>0</v>
      </c>
      <c r="N506" s="569" t="s">
        <v>157</v>
      </c>
      <c r="O506" s="569">
        <v>2</v>
      </c>
      <c r="P506" s="569" t="s">
        <v>157</v>
      </c>
      <c r="Q506" s="568">
        <v>1000</v>
      </c>
      <c r="R506" s="569" t="s">
        <v>539</v>
      </c>
      <c r="S506" s="569">
        <v>4</v>
      </c>
      <c r="T506" s="569" t="s">
        <v>1363</v>
      </c>
      <c r="U506" s="569" t="s">
        <v>922</v>
      </c>
      <c r="V506" s="569">
        <v>103.8</v>
      </c>
      <c r="W506" s="569">
        <v>13.5</v>
      </c>
      <c r="X506" s="568">
        <v>4600</v>
      </c>
      <c r="Y506" s="569">
        <v>26</v>
      </c>
      <c r="Z506" s="581" t="s">
        <v>178</v>
      </c>
      <c r="AA506" s="581" t="s">
        <v>178</v>
      </c>
      <c r="AB506" s="585">
        <v>24290</v>
      </c>
      <c r="AC506" s="585" t="s">
        <v>164</v>
      </c>
      <c r="AD506" s="585">
        <v>19839</v>
      </c>
      <c r="AE506" s="587">
        <v>0.05</v>
      </c>
      <c r="AF506" s="661" t="str">
        <f t="shared" si="52"/>
        <v>2019-SUV-JEP-COMP-004-08</v>
      </c>
      <c r="AG506" s="661" t="str">
        <f>IF(AND($Y506&gt;=32,(AI506="I"),(Y506&lt;&gt;"~"),(COUNTIF($AN$1:$AN506,$AN506)=1)),"TRUE","FALSE")</f>
        <v>FALSE</v>
      </c>
      <c r="AH506" s="661" t="str">
        <f>IF(AND($Y506&gt;=22, (AI506&lt;&gt;"I"),(Y506&lt;&gt;"~"),(COUNTIF($AN$1:$AN506,$AN506)=1)),"TRUE","FALSE")</f>
        <v>FALSE</v>
      </c>
      <c r="AI506" s="661" t="str">
        <f t="shared" si="54"/>
        <v>II</v>
      </c>
      <c r="AJ506" s="662" t="str">
        <f t="shared" si="48"/>
        <v>COMP-004</v>
      </c>
      <c r="AK506" s="662" t="str">
        <f t="shared" si="49"/>
        <v>SUV</v>
      </c>
      <c r="AL506" s="662" t="str">
        <f t="shared" si="50"/>
        <v>JEP</v>
      </c>
      <c r="AM506" s="662" t="str">
        <f t="shared" si="53"/>
        <v>Compass-Sport-FWD-5-~-1000-2.4L-4-MPTL74-28A-103.8-13.5-Unleaded-Unleaded</v>
      </c>
      <c r="AN506" s="662" t="str">
        <f t="shared" si="51"/>
        <v>2019-SUV-JEP-COMP-004</v>
      </c>
    </row>
    <row r="507" spans="1:40" s="572" customFormat="1" ht="15">
      <c r="A507" s="570" t="s">
        <v>1365</v>
      </c>
      <c r="B507" s="573" t="s">
        <v>1366</v>
      </c>
      <c r="C507" s="573" t="s">
        <v>226</v>
      </c>
      <c r="D507" s="578" t="s">
        <v>227</v>
      </c>
      <c r="E507" s="573" t="s">
        <v>699</v>
      </c>
      <c r="F507" s="573" t="s">
        <v>196</v>
      </c>
      <c r="G507" s="573" t="s">
        <v>1336</v>
      </c>
      <c r="H507" s="573">
        <v>2019</v>
      </c>
      <c r="I507" s="573" t="s">
        <v>1367</v>
      </c>
      <c r="J507" s="573" t="s">
        <v>1368</v>
      </c>
      <c r="K507" s="573" t="s">
        <v>752</v>
      </c>
      <c r="L507" s="573">
        <v>5</v>
      </c>
      <c r="M507" s="573">
        <v>0</v>
      </c>
      <c r="N507" s="573" t="s">
        <v>157</v>
      </c>
      <c r="O507" s="573">
        <v>2</v>
      </c>
      <c r="P507" s="573" t="s">
        <v>157</v>
      </c>
      <c r="Q507" s="571">
        <v>3500</v>
      </c>
      <c r="R507" s="573" t="s">
        <v>231</v>
      </c>
      <c r="S507" s="573">
        <v>6</v>
      </c>
      <c r="T507" s="573" t="s">
        <v>1369</v>
      </c>
      <c r="U507" s="573" t="s">
        <v>902</v>
      </c>
      <c r="V507" s="573">
        <v>114.8</v>
      </c>
      <c r="W507" s="573">
        <v>24.6</v>
      </c>
      <c r="X507" s="571">
        <v>6500</v>
      </c>
      <c r="Y507" s="573">
        <v>21</v>
      </c>
      <c r="Z507" s="579" t="s">
        <v>178</v>
      </c>
      <c r="AA507" s="579" t="s">
        <v>178</v>
      </c>
      <c r="AB507" s="584">
        <v>35190</v>
      </c>
      <c r="AC507" s="584" t="s">
        <v>164</v>
      </c>
      <c r="AD507" s="584">
        <v>27693</v>
      </c>
      <c r="AE507" s="586">
        <v>6.25E-2</v>
      </c>
      <c r="AF507" s="661" t="str">
        <f t="shared" si="52"/>
        <v>2019-SUV-JEP-GRCH-001-04</v>
      </c>
      <c r="AG507" s="661" t="str">
        <f>IF(AND($Y507&gt;=32,(AI507="I"),(Y507&lt;&gt;"~"),(COUNTIF($AN$1:$AN507,$AN507)=1)),"TRUE","FALSE")</f>
        <v>FALSE</v>
      </c>
      <c r="AH507" s="661" t="str">
        <f>IF(AND($Y507&gt;=22, (AI507&lt;&gt;"I"),(Y507&lt;&gt;"~"),(COUNTIF($AN$1:$AN507,$AN507)=1)),"TRUE","FALSE")</f>
        <v>FALSE</v>
      </c>
      <c r="AI507" s="661" t="str">
        <f t="shared" si="54"/>
        <v>II</v>
      </c>
      <c r="AJ507" s="662" t="str">
        <f t="shared" si="48"/>
        <v>GRCH-001</v>
      </c>
      <c r="AK507" s="662" t="str">
        <f t="shared" si="49"/>
        <v>SUV</v>
      </c>
      <c r="AL507" s="662" t="str">
        <f t="shared" si="50"/>
        <v>JEP</v>
      </c>
      <c r="AM507" s="662" t="str">
        <f t="shared" si="53"/>
        <v>Grand Cherokee-Laredo-4WD-5-~-3500-3.6L-6-WKJH74-2BA-114.8-24.6-Unleaded-Unleaded</v>
      </c>
      <c r="AN507" s="662" t="str">
        <f t="shared" si="51"/>
        <v>2019-SUV-JEP-GRCH-001</v>
      </c>
    </row>
    <row r="508" spans="1:40" s="572" customFormat="1" ht="15">
      <c r="A508" s="570" t="s">
        <v>1370</v>
      </c>
      <c r="B508" s="569" t="s">
        <v>1371</v>
      </c>
      <c r="C508" s="569" t="s">
        <v>226</v>
      </c>
      <c r="D508" s="580" t="s">
        <v>227</v>
      </c>
      <c r="E508" s="569" t="s">
        <v>699</v>
      </c>
      <c r="F508" s="569" t="s">
        <v>196</v>
      </c>
      <c r="G508" s="569" t="s">
        <v>1336</v>
      </c>
      <c r="H508" s="569">
        <v>2019</v>
      </c>
      <c r="I508" s="569" t="s">
        <v>1367</v>
      </c>
      <c r="J508" s="569" t="s">
        <v>1368</v>
      </c>
      <c r="K508" s="569" t="s">
        <v>752</v>
      </c>
      <c r="L508" s="569">
        <v>5</v>
      </c>
      <c r="M508" s="569">
        <v>0</v>
      </c>
      <c r="N508" s="569" t="s">
        <v>157</v>
      </c>
      <c r="O508" s="569">
        <v>2</v>
      </c>
      <c r="P508" s="569" t="s">
        <v>157</v>
      </c>
      <c r="Q508" s="568">
        <v>3500</v>
      </c>
      <c r="R508" s="569" t="s">
        <v>231</v>
      </c>
      <c r="S508" s="569">
        <v>6</v>
      </c>
      <c r="T508" s="569" t="s">
        <v>1369</v>
      </c>
      <c r="U508" s="569" t="s">
        <v>1372</v>
      </c>
      <c r="V508" s="569">
        <v>114.8</v>
      </c>
      <c r="W508" s="569">
        <v>24.6</v>
      </c>
      <c r="X508" s="568">
        <v>6500</v>
      </c>
      <c r="Y508" s="569">
        <v>21</v>
      </c>
      <c r="Z508" s="581" t="s">
        <v>178</v>
      </c>
      <c r="AA508" s="581" t="s">
        <v>178</v>
      </c>
      <c r="AB508" s="585">
        <v>36740</v>
      </c>
      <c r="AC508" s="585" t="s">
        <v>164</v>
      </c>
      <c r="AD508" s="585">
        <v>28422</v>
      </c>
      <c r="AE508" s="587">
        <v>6.25E-2</v>
      </c>
      <c r="AF508" s="661" t="str">
        <f t="shared" si="52"/>
        <v>2019-SUV-JEP-GRCH-002-04</v>
      </c>
      <c r="AG508" s="661" t="str">
        <f>IF(AND($Y508&gt;=32,(AI508="I"),(Y508&lt;&gt;"~"),(COUNTIF($AN$1:$AN508,$AN508)=1)),"TRUE","FALSE")</f>
        <v>FALSE</v>
      </c>
      <c r="AH508" s="661" t="str">
        <f>IF(AND($Y508&gt;=22, (AI508&lt;&gt;"I"),(Y508&lt;&gt;"~"),(COUNTIF($AN$1:$AN508,$AN508)=1)),"TRUE","FALSE")</f>
        <v>FALSE</v>
      </c>
      <c r="AI508" s="661" t="str">
        <f t="shared" si="54"/>
        <v>II</v>
      </c>
      <c r="AJ508" s="662" t="str">
        <f t="shared" si="48"/>
        <v>GRCH-002</v>
      </c>
      <c r="AK508" s="662" t="str">
        <f t="shared" si="49"/>
        <v>SUV</v>
      </c>
      <c r="AL508" s="662" t="str">
        <f t="shared" si="50"/>
        <v>JEP</v>
      </c>
      <c r="AM508" s="662" t="str">
        <f t="shared" si="53"/>
        <v>Grand Cherokee-Laredo-4WD-5-~-3500-3.6L-6-WKJH74-2BE-114.8-24.6-Unleaded-Unleaded</v>
      </c>
      <c r="AN508" s="662" t="str">
        <f t="shared" si="51"/>
        <v>2019-SUV-JEP-GRCH-002</v>
      </c>
    </row>
    <row r="509" spans="1:40" s="572" customFormat="1" ht="15">
      <c r="A509" s="570" t="s">
        <v>1373</v>
      </c>
      <c r="B509" s="573" t="s">
        <v>1366</v>
      </c>
      <c r="C509" s="573" t="s">
        <v>240</v>
      </c>
      <c r="D509" s="578" t="s">
        <v>241</v>
      </c>
      <c r="E509" s="573" t="s">
        <v>699</v>
      </c>
      <c r="F509" s="573" t="s">
        <v>196</v>
      </c>
      <c r="G509" s="573" t="s">
        <v>1336</v>
      </c>
      <c r="H509" s="573">
        <v>2019</v>
      </c>
      <c r="I509" s="573" t="s">
        <v>1367</v>
      </c>
      <c r="J509" s="573" t="s">
        <v>1368</v>
      </c>
      <c r="K509" s="573" t="s">
        <v>752</v>
      </c>
      <c r="L509" s="573">
        <v>5</v>
      </c>
      <c r="M509" s="573">
        <v>0</v>
      </c>
      <c r="N509" s="573" t="s">
        <v>157</v>
      </c>
      <c r="O509" s="573">
        <v>2</v>
      </c>
      <c r="P509" s="573" t="s">
        <v>157</v>
      </c>
      <c r="Q509" s="571">
        <v>3500</v>
      </c>
      <c r="R509" s="573" t="s">
        <v>231</v>
      </c>
      <c r="S509" s="573">
        <v>6</v>
      </c>
      <c r="T509" s="573" t="s">
        <v>1369</v>
      </c>
      <c r="U509" s="573" t="s">
        <v>902</v>
      </c>
      <c r="V509" s="573">
        <v>114.8</v>
      </c>
      <c r="W509" s="573">
        <v>24.6</v>
      </c>
      <c r="X509" s="571">
        <v>6500</v>
      </c>
      <c r="Y509" s="573">
        <v>21</v>
      </c>
      <c r="Z509" s="579" t="s">
        <v>178</v>
      </c>
      <c r="AA509" s="579" t="s">
        <v>178</v>
      </c>
      <c r="AB509" s="584">
        <v>35190</v>
      </c>
      <c r="AC509" s="584" t="s">
        <v>164</v>
      </c>
      <c r="AD509" s="584">
        <v>27577.083333333336</v>
      </c>
      <c r="AE509" s="586">
        <v>0.05</v>
      </c>
      <c r="AF509" s="661" t="str">
        <f t="shared" si="52"/>
        <v>2019-SUV-JEP-GRCH-001-08</v>
      </c>
      <c r="AG509" s="661" t="str">
        <f>IF(AND($Y509&gt;=32,(AI509="I"),(Y509&lt;&gt;"~"),(COUNTIF($AN$1:$AN509,$AN509)=1)),"TRUE","FALSE")</f>
        <v>FALSE</v>
      </c>
      <c r="AH509" s="661" t="str">
        <f>IF(AND($Y509&gt;=22, (AI509&lt;&gt;"I"),(Y509&lt;&gt;"~"),(COUNTIF($AN$1:$AN509,$AN509)=1)),"TRUE","FALSE")</f>
        <v>FALSE</v>
      </c>
      <c r="AI509" s="661" t="str">
        <f t="shared" si="54"/>
        <v>II</v>
      </c>
      <c r="AJ509" s="662" t="str">
        <f t="shared" si="48"/>
        <v>GRCH-001</v>
      </c>
      <c r="AK509" s="662" t="str">
        <f t="shared" si="49"/>
        <v>SUV</v>
      </c>
      <c r="AL509" s="662" t="str">
        <f t="shared" si="50"/>
        <v>JEP</v>
      </c>
      <c r="AM509" s="662" t="str">
        <f t="shared" si="53"/>
        <v>Grand Cherokee-Laredo-4WD-5-~-3500-3.6L-6-WKJH74-2BA-114.8-24.6-Unleaded-Unleaded</v>
      </c>
      <c r="AN509" s="662" t="str">
        <f t="shared" si="51"/>
        <v>2019-SUV-JEP-GRCH-001</v>
      </c>
    </row>
    <row r="510" spans="1:40" s="572" customFormat="1" ht="15">
      <c r="A510" s="570" t="s">
        <v>1374</v>
      </c>
      <c r="B510" s="569" t="s">
        <v>1375</v>
      </c>
      <c r="C510" s="569" t="s">
        <v>226</v>
      </c>
      <c r="D510" s="580" t="s">
        <v>227</v>
      </c>
      <c r="E510" s="569" t="s">
        <v>699</v>
      </c>
      <c r="F510" s="569" t="s">
        <v>196</v>
      </c>
      <c r="G510" s="569" t="s">
        <v>1336</v>
      </c>
      <c r="H510" s="569">
        <v>2019</v>
      </c>
      <c r="I510" s="569" t="s">
        <v>1367</v>
      </c>
      <c r="J510" s="569" t="s">
        <v>1368</v>
      </c>
      <c r="K510" s="569" t="s">
        <v>236</v>
      </c>
      <c r="L510" s="569">
        <v>5</v>
      </c>
      <c r="M510" s="569">
        <v>0</v>
      </c>
      <c r="N510" s="569" t="s">
        <v>157</v>
      </c>
      <c r="O510" s="569">
        <v>2</v>
      </c>
      <c r="P510" s="569" t="s">
        <v>157</v>
      </c>
      <c r="Q510" s="568">
        <v>3500</v>
      </c>
      <c r="R510" s="569" t="s">
        <v>231</v>
      </c>
      <c r="S510" s="569">
        <v>6</v>
      </c>
      <c r="T510" s="569" t="s">
        <v>1376</v>
      </c>
      <c r="U510" s="569" t="s">
        <v>902</v>
      </c>
      <c r="V510" s="569">
        <v>114.8</v>
      </c>
      <c r="W510" s="569">
        <v>24.6</v>
      </c>
      <c r="X510" s="568">
        <v>6500</v>
      </c>
      <c r="Y510" s="569">
        <v>21</v>
      </c>
      <c r="Z510" s="581" t="s">
        <v>178</v>
      </c>
      <c r="AA510" s="581" t="s">
        <v>178</v>
      </c>
      <c r="AB510" s="585">
        <v>32890</v>
      </c>
      <c r="AC510" s="585" t="s">
        <v>164</v>
      </c>
      <c r="AD510" s="585">
        <v>25580</v>
      </c>
      <c r="AE510" s="587">
        <v>6.25E-2</v>
      </c>
      <c r="AF510" s="661" t="str">
        <f t="shared" si="52"/>
        <v>2019-SUV-JEP-GRCH-003-04</v>
      </c>
      <c r="AG510" s="661" t="str">
        <f>IF(AND($Y510&gt;=32,(AI510="I"),(Y510&lt;&gt;"~"),(COUNTIF($AN$1:$AN510,$AN510)=1)),"TRUE","FALSE")</f>
        <v>FALSE</v>
      </c>
      <c r="AH510" s="661" t="str">
        <f>IF(AND($Y510&gt;=22, (AI510&lt;&gt;"I"),(Y510&lt;&gt;"~"),(COUNTIF($AN$1:$AN510,$AN510)=1)),"TRUE","FALSE")</f>
        <v>FALSE</v>
      </c>
      <c r="AI510" s="661" t="str">
        <f t="shared" si="54"/>
        <v>II</v>
      </c>
      <c r="AJ510" s="662" t="str">
        <f t="shared" si="48"/>
        <v>GRCH-003</v>
      </c>
      <c r="AK510" s="662" t="str">
        <f t="shared" si="49"/>
        <v>SUV</v>
      </c>
      <c r="AL510" s="662" t="str">
        <f t="shared" si="50"/>
        <v>JEP</v>
      </c>
      <c r="AM510" s="662" t="str">
        <f t="shared" si="53"/>
        <v>Grand Cherokee-Laredo-RWD-5-~-3500-3.6L-6-WKTH74-2BA-114.8-24.6-Unleaded-Unleaded</v>
      </c>
      <c r="AN510" s="662" t="str">
        <f t="shared" si="51"/>
        <v>2019-SUV-JEP-GRCH-003</v>
      </c>
    </row>
    <row r="511" spans="1:40" s="572" customFormat="1" ht="15">
      <c r="A511" s="570" t="s">
        <v>1377</v>
      </c>
      <c r="B511" s="573" t="s">
        <v>1378</v>
      </c>
      <c r="C511" s="573" t="s">
        <v>226</v>
      </c>
      <c r="D511" s="578" t="s">
        <v>227</v>
      </c>
      <c r="E511" s="573" t="s">
        <v>699</v>
      </c>
      <c r="F511" s="573" t="s">
        <v>196</v>
      </c>
      <c r="G511" s="573" t="s">
        <v>1336</v>
      </c>
      <c r="H511" s="573">
        <v>2019</v>
      </c>
      <c r="I511" s="573" t="s">
        <v>1367</v>
      </c>
      <c r="J511" s="573" t="s">
        <v>1368</v>
      </c>
      <c r="K511" s="573" t="s">
        <v>236</v>
      </c>
      <c r="L511" s="573">
        <v>5</v>
      </c>
      <c r="M511" s="573">
        <v>0</v>
      </c>
      <c r="N511" s="573" t="s">
        <v>157</v>
      </c>
      <c r="O511" s="573">
        <v>2</v>
      </c>
      <c r="P511" s="573" t="s">
        <v>157</v>
      </c>
      <c r="Q511" s="571">
        <v>3500</v>
      </c>
      <c r="R511" s="573" t="s">
        <v>231</v>
      </c>
      <c r="S511" s="573">
        <v>6</v>
      </c>
      <c r="T511" s="573" t="s">
        <v>1376</v>
      </c>
      <c r="U511" s="573" t="s">
        <v>1372</v>
      </c>
      <c r="V511" s="573">
        <v>114.8</v>
      </c>
      <c r="W511" s="573">
        <v>24.6</v>
      </c>
      <c r="X511" s="571">
        <v>6500</v>
      </c>
      <c r="Y511" s="573">
        <v>21</v>
      </c>
      <c r="Z511" s="579" t="s">
        <v>178</v>
      </c>
      <c r="AA511" s="579" t="s">
        <v>178</v>
      </c>
      <c r="AB511" s="584">
        <v>34740</v>
      </c>
      <c r="AC511" s="584" t="s">
        <v>164</v>
      </c>
      <c r="AD511" s="584">
        <v>26625</v>
      </c>
      <c r="AE511" s="586">
        <v>6.25E-2</v>
      </c>
      <c r="AF511" s="661" t="str">
        <f t="shared" si="52"/>
        <v>2019-SUV-JEP-GRCH-004-04</v>
      </c>
      <c r="AG511" s="661" t="str">
        <f>IF(AND($Y511&gt;=32,(AI511="I"),(Y511&lt;&gt;"~"),(COUNTIF($AN$1:$AN511,$AN511)=1)),"TRUE","FALSE")</f>
        <v>FALSE</v>
      </c>
      <c r="AH511" s="661" t="str">
        <f>IF(AND($Y511&gt;=22, (AI511&lt;&gt;"I"),(Y511&lt;&gt;"~"),(COUNTIF($AN$1:$AN511,$AN511)=1)),"TRUE","FALSE")</f>
        <v>FALSE</v>
      </c>
      <c r="AI511" s="661" t="str">
        <f t="shared" si="54"/>
        <v>II</v>
      </c>
      <c r="AJ511" s="662" t="str">
        <f t="shared" si="48"/>
        <v>GRCH-004</v>
      </c>
      <c r="AK511" s="662" t="str">
        <f t="shared" si="49"/>
        <v>SUV</v>
      </c>
      <c r="AL511" s="662" t="str">
        <f t="shared" si="50"/>
        <v>JEP</v>
      </c>
      <c r="AM511" s="662" t="str">
        <f t="shared" si="53"/>
        <v>Grand Cherokee-Laredo-RWD-5-~-3500-3.6L-6-WKTH74-2BE-114.8-24.6-Unleaded-Unleaded</v>
      </c>
      <c r="AN511" s="662" t="str">
        <f t="shared" si="51"/>
        <v>2019-SUV-JEP-GRCH-004</v>
      </c>
    </row>
    <row r="512" spans="1:40" s="572" customFormat="1" ht="15">
      <c r="A512" s="570" t="s">
        <v>1379</v>
      </c>
      <c r="B512" s="569" t="s">
        <v>1375</v>
      </c>
      <c r="C512" s="569" t="s">
        <v>240</v>
      </c>
      <c r="D512" s="580" t="s">
        <v>241</v>
      </c>
      <c r="E512" s="569" t="s">
        <v>699</v>
      </c>
      <c r="F512" s="569" t="s">
        <v>196</v>
      </c>
      <c r="G512" s="569" t="s">
        <v>1336</v>
      </c>
      <c r="H512" s="569">
        <v>2019</v>
      </c>
      <c r="I512" s="569" t="s">
        <v>1367</v>
      </c>
      <c r="J512" s="569" t="s">
        <v>1368</v>
      </c>
      <c r="K512" s="569" t="s">
        <v>236</v>
      </c>
      <c r="L512" s="569">
        <v>5</v>
      </c>
      <c r="M512" s="569">
        <v>0</v>
      </c>
      <c r="N512" s="569" t="s">
        <v>157</v>
      </c>
      <c r="O512" s="569">
        <v>2</v>
      </c>
      <c r="P512" s="569" t="s">
        <v>157</v>
      </c>
      <c r="Q512" s="568">
        <v>3500</v>
      </c>
      <c r="R512" s="569" t="s">
        <v>231</v>
      </c>
      <c r="S512" s="569">
        <v>6</v>
      </c>
      <c r="T512" s="569" t="s">
        <v>1376</v>
      </c>
      <c r="U512" s="569" t="s">
        <v>902</v>
      </c>
      <c r="V512" s="569">
        <v>114.8</v>
      </c>
      <c r="W512" s="569">
        <v>24.6</v>
      </c>
      <c r="X512" s="568">
        <v>6500</v>
      </c>
      <c r="Y512" s="569">
        <v>21</v>
      </c>
      <c r="Z512" s="581" t="s">
        <v>178</v>
      </c>
      <c r="AA512" s="581" t="s">
        <v>178</v>
      </c>
      <c r="AB512" s="585">
        <v>32890</v>
      </c>
      <c r="AC512" s="585" t="s">
        <v>164</v>
      </c>
      <c r="AD512" s="585">
        <v>25397.916666666668</v>
      </c>
      <c r="AE512" s="587">
        <v>0.05</v>
      </c>
      <c r="AF512" s="661" t="str">
        <f t="shared" si="52"/>
        <v>2019-SUV-JEP-GRCH-003-08</v>
      </c>
      <c r="AG512" s="661" t="str">
        <f>IF(AND($Y512&gt;=32,(AI512="I"),(Y512&lt;&gt;"~"),(COUNTIF($AN$1:$AN512,$AN512)=1)),"TRUE","FALSE")</f>
        <v>FALSE</v>
      </c>
      <c r="AH512" s="661" t="str">
        <f>IF(AND($Y512&gt;=22, (AI512&lt;&gt;"I"),(Y512&lt;&gt;"~"),(COUNTIF($AN$1:$AN512,$AN512)=1)),"TRUE","FALSE")</f>
        <v>FALSE</v>
      </c>
      <c r="AI512" s="661" t="str">
        <f t="shared" si="54"/>
        <v>II</v>
      </c>
      <c r="AJ512" s="662" t="str">
        <f t="shared" si="48"/>
        <v>GRCH-003</v>
      </c>
      <c r="AK512" s="662" t="str">
        <f t="shared" si="49"/>
        <v>SUV</v>
      </c>
      <c r="AL512" s="662" t="str">
        <f t="shared" si="50"/>
        <v>JEP</v>
      </c>
      <c r="AM512" s="662" t="str">
        <f t="shared" si="53"/>
        <v>Grand Cherokee-Laredo-RWD-5-~-3500-3.6L-6-WKTH74-2BA-114.8-24.6-Unleaded-Unleaded</v>
      </c>
      <c r="AN512" s="662" t="str">
        <f t="shared" si="51"/>
        <v>2019-SUV-JEP-GRCH-003</v>
      </c>
    </row>
    <row r="513" spans="1:40" s="572" customFormat="1" ht="15">
      <c r="A513" s="570" t="s">
        <v>1380</v>
      </c>
      <c r="B513" s="573" t="s">
        <v>1381</v>
      </c>
      <c r="C513" s="573" t="s">
        <v>240</v>
      </c>
      <c r="D513" s="578" t="s">
        <v>241</v>
      </c>
      <c r="E513" s="573" t="s">
        <v>699</v>
      </c>
      <c r="F513" s="573" t="s">
        <v>196</v>
      </c>
      <c r="G513" s="573" t="s">
        <v>1336</v>
      </c>
      <c r="H513" s="573">
        <v>2019</v>
      </c>
      <c r="I513" s="573" t="s">
        <v>1367</v>
      </c>
      <c r="J513" s="573" t="s">
        <v>1382</v>
      </c>
      <c r="K513" s="573" t="s">
        <v>752</v>
      </c>
      <c r="L513" s="573">
        <v>5</v>
      </c>
      <c r="M513" s="573">
        <v>0</v>
      </c>
      <c r="N513" s="573" t="s">
        <v>157</v>
      </c>
      <c r="O513" s="573">
        <v>2</v>
      </c>
      <c r="P513" s="573" t="s">
        <v>157</v>
      </c>
      <c r="Q513" s="571">
        <v>3500</v>
      </c>
      <c r="R513" s="573" t="s">
        <v>231</v>
      </c>
      <c r="S513" s="573">
        <v>6</v>
      </c>
      <c r="T513" s="573" t="s">
        <v>1369</v>
      </c>
      <c r="U513" s="573" t="s">
        <v>1372</v>
      </c>
      <c r="V513" s="573">
        <v>114.8</v>
      </c>
      <c r="W513" s="573">
        <v>24.6</v>
      </c>
      <c r="X513" s="571">
        <v>6500</v>
      </c>
      <c r="Y513" s="573">
        <v>21</v>
      </c>
      <c r="Z513" s="579" t="s">
        <v>178</v>
      </c>
      <c r="AA513" s="579" t="s">
        <v>178</v>
      </c>
      <c r="AB513" s="584">
        <v>36740</v>
      </c>
      <c r="AC513" s="584" t="s">
        <v>164</v>
      </c>
      <c r="AD513" s="584">
        <v>28329.166666666668</v>
      </c>
      <c r="AE513" s="586">
        <v>0.05</v>
      </c>
      <c r="AF513" s="661" t="str">
        <f t="shared" si="52"/>
        <v>2019-SUV-JEP-GRCH-006-08</v>
      </c>
      <c r="AG513" s="661" t="str">
        <f>IF(AND($Y513&gt;=32,(AI513="I"),(Y513&lt;&gt;"~"),(COUNTIF($AN$1:$AN513,$AN513)=1)),"TRUE","FALSE")</f>
        <v>FALSE</v>
      </c>
      <c r="AH513" s="661" t="str">
        <f>IF(AND($Y513&gt;=22, (AI513&lt;&gt;"I"),(Y513&lt;&gt;"~"),(COUNTIF($AN$1:$AN513,$AN513)=1)),"TRUE","FALSE")</f>
        <v>FALSE</v>
      </c>
      <c r="AI513" s="661" t="str">
        <f t="shared" si="54"/>
        <v>II</v>
      </c>
      <c r="AJ513" s="662" t="str">
        <f t="shared" si="48"/>
        <v>GRCH-006</v>
      </c>
      <c r="AK513" s="662" t="str">
        <f t="shared" si="49"/>
        <v>SUV</v>
      </c>
      <c r="AL513" s="662" t="str">
        <f t="shared" si="50"/>
        <v>JEP</v>
      </c>
      <c r="AM513" s="662" t="str">
        <f t="shared" si="53"/>
        <v>Grand Cherokee-Laredo E-4WD-5-~-3500-3.6L-6-WKJH74-2BE-114.8-24.6-Unleaded-Unleaded</v>
      </c>
      <c r="AN513" s="662" t="str">
        <f t="shared" si="51"/>
        <v>2019-SUV-JEP-GRCH-006</v>
      </c>
    </row>
    <row r="514" spans="1:40" s="572" customFormat="1" ht="15">
      <c r="A514" s="570" t="s">
        <v>1383</v>
      </c>
      <c r="B514" s="569" t="s">
        <v>1384</v>
      </c>
      <c r="C514" s="569" t="s">
        <v>240</v>
      </c>
      <c r="D514" s="580" t="s">
        <v>241</v>
      </c>
      <c r="E514" s="569" t="s">
        <v>699</v>
      </c>
      <c r="F514" s="569" t="s">
        <v>196</v>
      </c>
      <c r="G514" s="569" t="s">
        <v>1336</v>
      </c>
      <c r="H514" s="569">
        <v>2019</v>
      </c>
      <c r="I514" s="569" t="s">
        <v>1367</v>
      </c>
      <c r="J514" s="569" t="s">
        <v>1382</v>
      </c>
      <c r="K514" s="569" t="s">
        <v>236</v>
      </c>
      <c r="L514" s="569">
        <v>5</v>
      </c>
      <c r="M514" s="569">
        <v>0</v>
      </c>
      <c r="N514" s="569" t="s">
        <v>157</v>
      </c>
      <c r="O514" s="569">
        <v>2</v>
      </c>
      <c r="P514" s="569" t="s">
        <v>157</v>
      </c>
      <c r="Q514" s="568">
        <v>3500</v>
      </c>
      <c r="R514" s="569" t="s">
        <v>231</v>
      </c>
      <c r="S514" s="569">
        <v>6</v>
      </c>
      <c r="T514" s="569" t="s">
        <v>1376</v>
      </c>
      <c r="U514" s="569" t="s">
        <v>1372</v>
      </c>
      <c r="V514" s="569">
        <v>114.8</v>
      </c>
      <c r="W514" s="569">
        <v>24.6</v>
      </c>
      <c r="X514" s="568">
        <v>6500</v>
      </c>
      <c r="Y514" s="569">
        <v>21</v>
      </c>
      <c r="Z514" s="581" t="s">
        <v>178</v>
      </c>
      <c r="AA514" s="581" t="s">
        <v>178</v>
      </c>
      <c r="AB514" s="585">
        <v>34740</v>
      </c>
      <c r="AC514" s="585" t="s">
        <v>164</v>
      </c>
      <c r="AD514" s="585">
        <v>26475</v>
      </c>
      <c r="AE514" s="587">
        <v>0.05</v>
      </c>
      <c r="AF514" s="661" t="str">
        <f t="shared" si="52"/>
        <v>2019-SUV-JEP-GRCH-007-08</v>
      </c>
      <c r="AG514" s="661" t="str">
        <f>IF(AND($Y514&gt;=32,(AI514="I"),(Y514&lt;&gt;"~"),(COUNTIF($AN$1:$AN514,$AN514)=1)),"TRUE","FALSE")</f>
        <v>FALSE</v>
      </c>
      <c r="AH514" s="661" t="str">
        <f>IF(AND($Y514&gt;=22, (AI514&lt;&gt;"I"),(Y514&lt;&gt;"~"),(COUNTIF($AN$1:$AN514,$AN514)=1)),"TRUE","FALSE")</f>
        <v>FALSE</v>
      </c>
      <c r="AI514" s="661" t="str">
        <f t="shared" si="54"/>
        <v>II</v>
      </c>
      <c r="AJ514" s="662" t="str">
        <f t="shared" si="48"/>
        <v>GRCH-007</v>
      </c>
      <c r="AK514" s="662" t="str">
        <f t="shared" si="49"/>
        <v>SUV</v>
      </c>
      <c r="AL514" s="662" t="str">
        <f t="shared" si="50"/>
        <v>JEP</v>
      </c>
      <c r="AM514" s="662" t="str">
        <f t="shared" si="53"/>
        <v>Grand Cherokee-Laredo E-RWD-5-~-3500-3.6L-6-WKTH74-2BE-114.8-24.6-Unleaded-Unleaded</v>
      </c>
      <c r="AN514" s="662" t="str">
        <f t="shared" si="51"/>
        <v>2019-SUV-JEP-GRCH-007</v>
      </c>
    </row>
    <row r="515" spans="1:40" s="572" customFormat="1" ht="15">
      <c r="A515" s="570" t="s">
        <v>1385</v>
      </c>
      <c r="B515" s="573" t="s">
        <v>1386</v>
      </c>
      <c r="C515" s="573" t="s">
        <v>226</v>
      </c>
      <c r="D515" s="578" t="s">
        <v>227</v>
      </c>
      <c r="E515" s="573" t="s">
        <v>699</v>
      </c>
      <c r="F515" s="573" t="s">
        <v>196</v>
      </c>
      <c r="G515" s="573" t="s">
        <v>1336</v>
      </c>
      <c r="H515" s="573">
        <v>2019</v>
      </c>
      <c r="I515" s="573" t="s">
        <v>1367</v>
      </c>
      <c r="J515" s="573" t="s">
        <v>315</v>
      </c>
      <c r="K515" s="573" t="s">
        <v>752</v>
      </c>
      <c r="L515" s="573">
        <v>5</v>
      </c>
      <c r="M515" s="573">
        <v>0</v>
      </c>
      <c r="N515" s="573" t="s">
        <v>157</v>
      </c>
      <c r="O515" s="573">
        <v>2</v>
      </c>
      <c r="P515" s="573" t="s">
        <v>157</v>
      </c>
      <c r="Q515" s="571">
        <v>3500</v>
      </c>
      <c r="R515" s="573" t="s">
        <v>231</v>
      </c>
      <c r="S515" s="573">
        <v>6</v>
      </c>
      <c r="T515" s="573" t="s">
        <v>1387</v>
      </c>
      <c r="U515" s="573" t="s">
        <v>1388</v>
      </c>
      <c r="V515" s="573">
        <v>114.8</v>
      </c>
      <c r="W515" s="573">
        <v>24.6</v>
      </c>
      <c r="X515" s="571">
        <v>6500</v>
      </c>
      <c r="Y515" s="573">
        <v>21</v>
      </c>
      <c r="Z515" s="579" t="s">
        <v>178</v>
      </c>
      <c r="AA515" s="579" t="s">
        <v>178</v>
      </c>
      <c r="AB515" s="584">
        <v>42140</v>
      </c>
      <c r="AC515" s="584" t="s">
        <v>164</v>
      </c>
      <c r="AD515" s="584">
        <v>33275</v>
      </c>
      <c r="AE515" s="586">
        <v>6.25E-2</v>
      </c>
      <c r="AF515" s="661" t="str">
        <f t="shared" si="52"/>
        <v>2019-SUV-JEP-GRCH-005-04</v>
      </c>
      <c r="AG515" s="661" t="str">
        <f>IF(AND($Y515&gt;=32,(AI515="I"),(Y515&lt;&gt;"~"),(COUNTIF($AN$1:$AN515,$AN515)=1)),"TRUE","FALSE")</f>
        <v>FALSE</v>
      </c>
      <c r="AH515" s="661" t="str">
        <f>IF(AND($Y515&gt;=22, (AI515&lt;&gt;"I"),(Y515&lt;&gt;"~"),(COUNTIF($AN$1:$AN515,$AN515)=1)),"TRUE","FALSE")</f>
        <v>FALSE</v>
      </c>
      <c r="AI515" s="661" t="str">
        <f t="shared" si="54"/>
        <v>II</v>
      </c>
      <c r="AJ515" s="662" t="str">
        <f t="shared" ref="AJ515:AJ578" si="55">MID(A515,14,8)</f>
        <v>GRCH-005</v>
      </c>
      <c r="AK515" s="662" t="str">
        <f t="shared" ref="AK515:AK578" si="56">MID(A515,6,3)</f>
        <v>SUV</v>
      </c>
      <c r="AL515" s="662" t="str">
        <f t="shared" ref="AL515:AL578" si="57">MID(A515,10,3)</f>
        <v>JEP</v>
      </c>
      <c r="AM515" s="662" t="str">
        <f t="shared" si="53"/>
        <v>Grand Cherokee-Limited-4WD-5-~-3500-3.6L-6-WKJP74-2BH-114.8-24.6-Unleaded-Unleaded</v>
      </c>
      <c r="AN515" s="662" t="str">
        <f t="shared" ref="AN515:AN578" si="58">LEFT(A515,21)</f>
        <v>2019-SUV-JEP-GRCH-005</v>
      </c>
    </row>
    <row r="516" spans="1:40" s="572" customFormat="1" ht="15">
      <c r="A516" s="570" t="s">
        <v>1389</v>
      </c>
      <c r="B516" s="569" t="s">
        <v>1386</v>
      </c>
      <c r="C516" s="569" t="s">
        <v>240</v>
      </c>
      <c r="D516" s="580" t="s">
        <v>241</v>
      </c>
      <c r="E516" s="569" t="s">
        <v>699</v>
      </c>
      <c r="F516" s="569" t="s">
        <v>196</v>
      </c>
      <c r="G516" s="569" t="s">
        <v>1336</v>
      </c>
      <c r="H516" s="569">
        <v>2019</v>
      </c>
      <c r="I516" s="569" t="s">
        <v>1367</v>
      </c>
      <c r="J516" s="569" t="s">
        <v>315</v>
      </c>
      <c r="K516" s="569" t="s">
        <v>752</v>
      </c>
      <c r="L516" s="569">
        <v>5</v>
      </c>
      <c r="M516" s="569">
        <v>0</v>
      </c>
      <c r="N516" s="569" t="s">
        <v>157</v>
      </c>
      <c r="O516" s="569">
        <v>2</v>
      </c>
      <c r="P516" s="569" t="s">
        <v>157</v>
      </c>
      <c r="Q516" s="568">
        <v>3500</v>
      </c>
      <c r="R516" s="569" t="s">
        <v>231</v>
      </c>
      <c r="S516" s="569">
        <v>6</v>
      </c>
      <c r="T516" s="569" t="s">
        <v>1387</v>
      </c>
      <c r="U516" s="569" t="s">
        <v>1388</v>
      </c>
      <c r="V516" s="569">
        <v>114.8</v>
      </c>
      <c r="W516" s="569">
        <v>24.6</v>
      </c>
      <c r="X516" s="568">
        <v>6500</v>
      </c>
      <c r="Y516" s="569">
        <v>21</v>
      </c>
      <c r="Z516" s="581" t="s">
        <v>178</v>
      </c>
      <c r="AA516" s="581" t="s">
        <v>178</v>
      </c>
      <c r="AB516" s="585">
        <v>42140</v>
      </c>
      <c r="AC516" s="585" t="s">
        <v>164</v>
      </c>
      <c r="AD516" s="585">
        <v>33334.375</v>
      </c>
      <c r="AE516" s="587">
        <v>0.05</v>
      </c>
      <c r="AF516" s="661" t="str">
        <f t="shared" si="52"/>
        <v>2019-SUV-JEP-GRCH-005-08</v>
      </c>
      <c r="AG516" s="661" t="str">
        <f>IF(AND($Y516&gt;=32,(AI516="I"),(Y516&lt;&gt;"~"),(COUNTIF($AN$1:$AN516,$AN516)=1)),"TRUE","FALSE")</f>
        <v>FALSE</v>
      </c>
      <c r="AH516" s="661" t="str">
        <f>IF(AND($Y516&gt;=22, (AI516&lt;&gt;"I"),(Y516&lt;&gt;"~"),(COUNTIF($AN$1:$AN516,$AN516)=1)),"TRUE","FALSE")</f>
        <v>FALSE</v>
      </c>
      <c r="AI516" s="661" t="str">
        <f t="shared" si="54"/>
        <v>II</v>
      </c>
      <c r="AJ516" s="662" t="str">
        <f t="shared" si="55"/>
        <v>GRCH-005</v>
      </c>
      <c r="AK516" s="662" t="str">
        <f t="shared" si="56"/>
        <v>SUV</v>
      </c>
      <c r="AL516" s="662" t="str">
        <f t="shared" si="57"/>
        <v>JEP</v>
      </c>
      <c r="AM516" s="662" t="str">
        <f t="shared" si="53"/>
        <v>Grand Cherokee-Limited-4WD-5-~-3500-3.6L-6-WKJP74-2BH-114.8-24.6-Unleaded-Unleaded</v>
      </c>
      <c r="AN516" s="662" t="str">
        <f t="shared" si="58"/>
        <v>2019-SUV-JEP-GRCH-005</v>
      </c>
    </row>
    <row r="517" spans="1:40" s="572" customFormat="1" ht="15">
      <c r="A517" s="570" t="s">
        <v>1390</v>
      </c>
      <c r="B517" s="573" t="s">
        <v>1391</v>
      </c>
      <c r="C517" s="573" t="s">
        <v>226</v>
      </c>
      <c r="D517" s="578" t="s">
        <v>227</v>
      </c>
      <c r="E517" s="573" t="s">
        <v>699</v>
      </c>
      <c r="F517" s="573" t="s">
        <v>211</v>
      </c>
      <c r="G517" s="573" t="s">
        <v>1336</v>
      </c>
      <c r="H517" s="573">
        <v>2019</v>
      </c>
      <c r="I517" s="573" t="s">
        <v>1392</v>
      </c>
      <c r="J517" s="573" t="s">
        <v>1338</v>
      </c>
      <c r="K517" s="573" t="s">
        <v>752</v>
      </c>
      <c r="L517" s="573">
        <v>5</v>
      </c>
      <c r="M517" s="573">
        <v>0</v>
      </c>
      <c r="N517" s="573" t="s">
        <v>157</v>
      </c>
      <c r="O517" s="573">
        <v>2</v>
      </c>
      <c r="P517" s="573" t="s">
        <v>157</v>
      </c>
      <c r="Q517" s="571">
        <v>2000</v>
      </c>
      <c r="R517" s="573" t="s">
        <v>539</v>
      </c>
      <c r="S517" s="573">
        <v>4</v>
      </c>
      <c r="T517" s="573" t="s">
        <v>1393</v>
      </c>
      <c r="U517" s="573" t="s">
        <v>1394</v>
      </c>
      <c r="V517" s="573">
        <v>101.2</v>
      </c>
      <c r="W517" s="573">
        <v>12.7</v>
      </c>
      <c r="X517" s="571">
        <v>4586</v>
      </c>
      <c r="Y517" s="573">
        <v>24</v>
      </c>
      <c r="Z517" s="579" t="s">
        <v>178</v>
      </c>
      <c r="AA517" s="579" t="s">
        <v>178</v>
      </c>
      <c r="AB517" s="584">
        <v>26620</v>
      </c>
      <c r="AC517" s="584" t="s">
        <v>164</v>
      </c>
      <c r="AD517" s="584">
        <v>21863</v>
      </c>
      <c r="AE517" s="586">
        <v>6.25E-2</v>
      </c>
      <c r="AF517" s="661" t="str">
        <f t="shared" si="52"/>
        <v>2019-SUV-JEP-RNGD-001-04</v>
      </c>
      <c r="AG517" s="661" t="str">
        <f>IF(AND($Y517&gt;=32,(AI517="I"),(Y517&lt;&gt;"~"),(COUNTIF($AN$1:$AN517,$AN517)=1)),"TRUE","FALSE")</f>
        <v>FALSE</v>
      </c>
      <c r="AH517" s="661" t="str">
        <f>IF(AND($Y517&gt;=22, (AI517&lt;&gt;"I"),(Y517&lt;&gt;"~"),(COUNTIF($AN$1:$AN517,$AN517)=1)),"TRUE","FALSE")</f>
        <v>TRUE</v>
      </c>
      <c r="AI517" s="661" t="str">
        <f t="shared" si="54"/>
        <v>II</v>
      </c>
      <c r="AJ517" s="662" t="str">
        <f t="shared" si="55"/>
        <v>RNGD-001</v>
      </c>
      <c r="AK517" s="662" t="str">
        <f t="shared" si="56"/>
        <v>SUV</v>
      </c>
      <c r="AL517" s="662" t="str">
        <f t="shared" si="57"/>
        <v>JEP</v>
      </c>
      <c r="AM517" s="662" t="str">
        <f t="shared" si="53"/>
        <v>Renegade-Latitude-4WD-5-~-2000-2.4L-4-BVJM74-2XB-101.2-12.7-Unleaded-Unleaded</v>
      </c>
      <c r="AN517" s="662" t="str">
        <f t="shared" si="58"/>
        <v>2019-SUV-JEP-RNGD-001</v>
      </c>
    </row>
    <row r="518" spans="1:40" s="572" customFormat="1" ht="15">
      <c r="A518" s="570" t="s">
        <v>1395</v>
      </c>
      <c r="B518" s="569" t="s">
        <v>1391</v>
      </c>
      <c r="C518" s="569" t="s">
        <v>240</v>
      </c>
      <c r="D518" s="580" t="s">
        <v>241</v>
      </c>
      <c r="E518" s="569" t="s">
        <v>699</v>
      </c>
      <c r="F518" s="569" t="s">
        <v>211</v>
      </c>
      <c r="G518" s="569" t="s">
        <v>1336</v>
      </c>
      <c r="H518" s="569">
        <v>2019</v>
      </c>
      <c r="I518" s="569" t="s">
        <v>1392</v>
      </c>
      <c r="J518" s="569" t="s">
        <v>1338</v>
      </c>
      <c r="K518" s="569" t="s">
        <v>752</v>
      </c>
      <c r="L518" s="569">
        <v>5</v>
      </c>
      <c r="M518" s="569">
        <v>0</v>
      </c>
      <c r="N518" s="569" t="s">
        <v>157</v>
      </c>
      <c r="O518" s="569">
        <v>2</v>
      </c>
      <c r="P518" s="569" t="s">
        <v>157</v>
      </c>
      <c r="Q518" s="568" t="s">
        <v>157</v>
      </c>
      <c r="R518" s="569" t="s">
        <v>539</v>
      </c>
      <c r="S518" s="569">
        <v>4</v>
      </c>
      <c r="T518" s="569" t="s">
        <v>1393</v>
      </c>
      <c r="U518" s="569" t="s">
        <v>1394</v>
      </c>
      <c r="V518" s="569">
        <v>101.2</v>
      </c>
      <c r="W518" s="569">
        <v>12.7</v>
      </c>
      <c r="X518" s="568">
        <v>4586</v>
      </c>
      <c r="Y518" s="569">
        <v>24</v>
      </c>
      <c r="Z518" s="581" t="s">
        <v>178</v>
      </c>
      <c r="AA518" s="581" t="s">
        <v>178</v>
      </c>
      <c r="AB518" s="585">
        <v>26620</v>
      </c>
      <c r="AC518" s="585" t="s">
        <v>164</v>
      </c>
      <c r="AD518" s="585">
        <v>22359</v>
      </c>
      <c r="AE518" s="587">
        <v>0.05</v>
      </c>
      <c r="AF518" s="661" t="str">
        <f t="shared" si="52"/>
        <v>2019-SUV-JEP-RNGD-001-08</v>
      </c>
      <c r="AG518" s="661" t="str">
        <f>IF(AND($Y518&gt;=32,(AI518="I"),(Y518&lt;&gt;"~"),(COUNTIF($AN$1:$AN518,$AN518)=1)),"TRUE","FALSE")</f>
        <v>FALSE</v>
      </c>
      <c r="AH518" s="661" t="str">
        <f>IF(AND($Y518&gt;=22, (AI518&lt;&gt;"I"),(Y518&lt;&gt;"~"),(COUNTIF($AN$1:$AN518,$AN518)=1)),"TRUE","FALSE")</f>
        <v>FALSE</v>
      </c>
      <c r="AI518" s="661" t="str">
        <f t="shared" si="54"/>
        <v>II</v>
      </c>
      <c r="AJ518" s="662" t="str">
        <f t="shared" si="55"/>
        <v>RNGD-001</v>
      </c>
      <c r="AK518" s="662" t="str">
        <f t="shared" si="56"/>
        <v>SUV</v>
      </c>
      <c r="AL518" s="662" t="str">
        <f t="shared" si="57"/>
        <v>JEP</v>
      </c>
      <c r="AM518" s="662" t="str">
        <f t="shared" si="53"/>
        <v>Renegade-Latitude-4WD-5-~-~-2.4L-4-BVJM74-2XB-101.2-12.7-Unleaded-Unleaded</v>
      </c>
      <c r="AN518" s="662" t="str">
        <f t="shared" si="58"/>
        <v>2019-SUV-JEP-RNGD-001</v>
      </c>
    </row>
    <row r="519" spans="1:40" s="572" customFormat="1" ht="15">
      <c r="A519" s="570" t="s">
        <v>1396</v>
      </c>
      <c r="B519" s="573" t="s">
        <v>1397</v>
      </c>
      <c r="C519" s="573" t="s">
        <v>226</v>
      </c>
      <c r="D519" s="578" t="s">
        <v>227</v>
      </c>
      <c r="E519" s="573" t="s">
        <v>699</v>
      </c>
      <c r="F519" s="573" t="s">
        <v>211</v>
      </c>
      <c r="G519" s="573" t="s">
        <v>1336</v>
      </c>
      <c r="H519" s="573">
        <v>2019</v>
      </c>
      <c r="I519" s="573" t="s">
        <v>1392</v>
      </c>
      <c r="J519" s="573" t="s">
        <v>409</v>
      </c>
      <c r="K519" s="573" t="s">
        <v>752</v>
      </c>
      <c r="L519" s="573">
        <v>5</v>
      </c>
      <c r="M519" s="573">
        <v>0</v>
      </c>
      <c r="N519" s="573" t="s">
        <v>157</v>
      </c>
      <c r="O519" s="573">
        <v>2</v>
      </c>
      <c r="P519" s="573" t="s">
        <v>157</v>
      </c>
      <c r="Q519" s="571">
        <v>2000</v>
      </c>
      <c r="R519" s="573" t="s">
        <v>539</v>
      </c>
      <c r="S519" s="573">
        <v>4</v>
      </c>
      <c r="T519" s="573" t="s">
        <v>1398</v>
      </c>
      <c r="U519" s="573" t="s">
        <v>1399</v>
      </c>
      <c r="V519" s="573">
        <v>101.2</v>
      </c>
      <c r="W519" s="573">
        <v>12.7</v>
      </c>
      <c r="X519" s="571">
        <v>4586</v>
      </c>
      <c r="Y519" s="573">
        <v>24</v>
      </c>
      <c r="Z519" s="579" t="s">
        <v>178</v>
      </c>
      <c r="AA519" s="579" t="s">
        <v>178</v>
      </c>
      <c r="AB519" s="584">
        <v>24770</v>
      </c>
      <c r="AC519" s="584" t="s">
        <v>164</v>
      </c>
      <c r="AD519" s="584">
        <v>19949</v>
      </c>
      <c r="AE519" s="586">
        <v>6.25E-2</v>
      </c>
      <c r="AF519" s="661" t="str">
        <f t="shared" si="52"/>
        <v>2019-SUV-JEP-RNGD-003-04</v>
      </c>
      <c r="AG519" s="661" t="str">
        <f>IF(AND($Y519&gt;=32,(AI519="I"),(Y519&lt;&gt;"~"),(COUNTIF($AN$1:$AN519,$AN519)=1)),"TRUE","FALSE")</f>
        <v>FALSE</v>
      </c>
      <c r="AH519" s="661" t="str">
        <f>IF(AND($Y519&gt;=22, (AI519&lt;&gt;"I"),(Y519&lt;&gt;"~"),(COUNTIF($AN$1:$AN519,$AN519)=1)),"TRUE","FALSE")</f>
        <v>TRUE</v>
      </c>
      <c r="AI519" s="661" t="str">
        <f t="shared" si="54"/>
        <v>II</v>
      </c>
      <c r="AJ519" s="662" t="str">
        <f t="shared" si="55"/>
        <v>RNGD-003</v>
      </c>
      <c r="AK519" s="662" t="str">
        <f t="shared" si="56"/>
        <v>SUV</v>
      </c>
      <c r="AL519" s="662" t="str">
        <f t="shared" si="57"/>
        <v>JEP</v>
      </c>
      <c r="AM519" s="662" t="str">
        <f t="shared" si="53"/>
        <v>Renegade-Sport-4WD-5-~-2000-2.4L-4-BVJL74-2XA-101.2-12.7-Unleaded-Unleaded</v>
      </c>
      <c r="AN519" s="662" t="str">
        <f t="shared" si="58"/>
        <v>2019-SUV-JEP-RNGD-003</v>
      </c>
    </row>
    <row r="520" spans="1:40" s="572" customFormat="1" ht="15">
      <c r="A520" s="570" t="s">
        <v>1400</v>
      </c>
      <c r="B520" s="569" t="s">
        <v>1401</v>
      </c>
      <c r="C520" s="569" t="s">
        <v>240</v>
      </c>
      <c r="D520" s="580" t="s">
        <v>241</v>
      </c>
      <c r="E520" s="569" t="s">
        <v>699</v>
      </c>
      <c r="F520" s="569" t="s">
        <v>211</v>
      </c>
      <c r="G520" s="569" t="s">
        <v>1336</v>
      </c>
      <c r="H520" s="569">
        <v>2019</v>
      </c>
      <c r="I520" s="569" t="s">
        <v>1392</v>
      </c>
      <c r="J520" s="569" t="s">
        <v>409</v>
      </c>
      <c r="K520" s="569" t="s">
        <v>752</v>
      </c>
      <c r="L520" s="569">
        <v>5</v>
      </c>
      <c r="M520" s="569">
        <v>0</v>
      </c>
      <c r="N520" s="569" t="s">
        <v>157</v>
      </c>
      <c r="O520" s="569">
        <v>2</v>
      </c>
      <c r="P520" s="569" t="s">
        <v>157</v>
      </c>
      <c r="Q520" s="568" t="s">
        <v>157</v>
      </c>
      <c r="R520" s="569" t="s">
        <v>539</v>
      </c>
      <c r="S520" s="569">
        <v>4</v>
      </c>
      <c r="T520" s="569" t="s">
        <v>1402</v>
      </c>
      <c r="U520" s="569" t="s">
        <v>1403</v>
      </c>
      <c r="V520" s="569">
        <v>101.2</v>
      </c>
      <c r="W520" s="569">
        <v>12.7</v>
      </c>
      <c r="X520" s="568">
        <v>4586</v>
      </c>
      <c r="Y520" s="569">
        <v>24</v>
      </c>
      <c r="Z520" s="581" t="s">
        <v>178</v>
      </c>
      <c r="AA520" s="581" t="s">
        <v>178</v>
      </c>
      <c r="AB520" s="585">
        <v>24770</v>
      </c>
      <c r="AC520" s="585" t="s">
        <v>164</v>
      </c>
      <c r="AD520" s="585">
        <v>20329</v>
      </c>
      <c r="AE520" s="587">
        <v>0.05</v>
      </c>
      <c r="AF520" s="661" t="str">
        <f t="shared" ref="AF520:AF583" si="59">A520</f>
        <v>2019-SUV-JEP-RNGD-002-08</v>
      </c>
      <c r="AG520" s="661" t="str">
        <f>IF(AND($Y520&gt;=32,(AI520="I"),(Y520&lt;&gt;"~"),(COUNTIF($AN$1:$AN520,$AN520)=1)),"TRUE","FALSE")</f>
        <v>FALSE</v>
      </c>
      <c r="AH520" s="661" t="str">
        <f>IF(AND($Y520&gt;=22, (AI520&lt;&gt;"I"),(Y520&lt;&gt;"~"),(COUNTIF($AN$1:$AN520,$AN520)=1)),"TRUE","FALSE")</f>
        <v>TRUE</v>
      </c>
      <c r="AI520" s="661" t="str">
        <f t="shared" si="54"/>
        <v>II</v>
      </c>
      <c r="AJ520" s="662" t="str">
        <f t="shared" si="55"/>
        <v>RNGD-002</v>
      </c>
      <c r="AK520" s="662" t="str">
        <f t="shared" si="56"/>
        <v>SUV</v>
      </c>
      <c r="AL520" s="662" t="str">
        <f t="shared" si="57"/>
        <v>JEP</v>
      </c>
      <c r="AM520" s="662" t="str">
        <f t="shared" si="53"/>
        <v>Renegade-Sport-4WD-5-~-~-2.4L-4-BUJL74-2EA-101.2-12.7-Unleaded-Unleaded</v>
      </c>
      <c r="AN520" s="662" t="str">
        <f t="shared" si="58"/>
        <v>2019-SUV-JEP-RNGD-002</v>
      </c>
    </row>
    <row r="521" spans="1:40" s="572" customFormat="1" ht="15">
      <c r="A521" s="570" t="s">
        <v>1404</v>
      </c>
      <c r="B521" s="573" t="s">
        <v>1405</v>
      </c>
      <c r="C521" s="573" t="s">
        <v>240</v>
      </c>
      <c r="D521" s="578" t="s">
        <v>241</v>
      </c>
      <c r="E521" s="573" t="s">
        <v>699</v>
      </c>
      <c r="F521" s="573" t="s">
        <v>211</v>
      </c>
      <c r="G521" s="573" t="s">
        <v>1336</v>
      </c>
      <c r="H521" s="573">
        <v>2019</v>
      </c>
      <c r="I521" s="573" t="s">
        <v>1406</v>
      </c>
      <c r="J521" s="573" t="s">
        <v>1407</v>
      </c>
      <c r="K521" s="573" t="s">
        <v>752</v>
      </c>
      <c r="L521" s="573">
        <v>4</v>
      </c>
      <c r="M521" s="573">
        <v>0</v>
      </c>
      <c r="N521" s="573" t="s">
        <v>157</v>
      </c>
      <c r="O521" s="573">
        <v>2</v>
      </c>
      <c r="P521" s="573" t="s">
        <v>157</v>
      </c>
      <c r="Q521" s="571">
        <v>2000</v>
      </c>
      <c r="R521" s="573" t="s">
        <v>231</v>
      </c>
      <c r="S521" s="573">
        <v>6</v>
      </c>
      <c r="T521" s="573" t="s">
        <v>1408</v>
      </c>
      <c r="U521" s="573" t="s">
        <v>1409</v>
      </c>
      <c r="V521" s="573">
        <v>96.8</v>
      </c>
      <c r="W521" s="573">
        <v>17.5</v>
      </c>
      <c r="X521" s="571">
        <v>5100</v>
      </c>
      <c r="Y521" s="573">
        <v>20</v>
      </c>
      <c r="Z521" s="579" t="s">
        <v>178</v>
      </c>
      <c r="AA521" s="579" t="s">
        <v>178</v>
      </c>
      <c r="AB521" s="584">
        <v>41390</v>
      </c>
      <c r="AC521" s="584" t="s">
        <v>164</v>
      </c>
      <c r="AD521" s="584">
        <v>38040.625</v>
      </c>
      <c r="AE521" s="586">
        <v>0.05</v>
      </c>
      <c r="AF521" s="661" t="str">
        <f t="shared" si="59"/>
        <v>2019-SUV-JEP-WGLR-001-08</v>
      </c>
      <c r="AG521" s="661" t="str">
        <f>IF(AND($Y521&gt;=32,(AI521="I"),(Y521&lt;&gt;"~"),(COUNTIF($AN$1:$AN521,$AN521)=1)),"TRUE","FALSE")</f>
        <v>FALSE</v>
      </c>
      <c r="AH521" s="661" t="str">
        <f>IF(AND($Y521&gt;=22, (AI521&lt;&gt;"I"),(Y521&lt;&gt;"~"),(COUNTIF($AN$1:$AN521,$AN521)=1)),"TRUE","FALSE")</f>
        <v>FALSE</v>
      </c>
      <c r="AI521" s="661" t="str">
        <f t="shared" si="54"/>
        <v>II</v>
      </c>
      <c r="AJ521" s="662" t="str">
        <f t="shared" si="55"/>
        <v>WGLR-001</v>
      </c>
      <c r="AK521" s="662" t="str">
        <f t="shared" si="56"/>
        <v>SUV</v>
      </c>
      <c r="AL521" s="662" t="str">
        <f t="shared" si="57"/>
        <v>JEP</v>
      </c>
      <c r="AM521" s="662" t="str">
        <f t="shared" si="53"/>
        <v>Wrangler -Rubicon-4WD-4-~-2000-3.6L-6-JLJS72-24R-96.8-17.5-Unleaded-Unleaded</v>
      </c>
      <c r="AN521" s="662" t="str">
        <f t="shared" si="58"/>
        <v>2019-SUV-JEP-WGLR-001</v>
      </c>
    </row>
    <row r="522" spans="1:40" s="572" customFormat="1" ht="30">
      <c r="A522" s="570" t="s">
        <v>1410</v>
      </c>
      <c r="B522" s="569" t="s">
        <v>1411</v>
      </c>
      <c r="C522" s="569" t="s">
        <v>240</v>
      </c>
      <c r="D522" s="580" t="s">
        <v>241</v>
      </c>
      <c r="E522" s="569" t="s">
        <v>699</v>
      </c>
      <c r="F522" s="569" t="s">
        <v>211</v>
      </c>
      <c r="G522" s="569" t="s">
        <v>1336</v>
      </c>
      <c r="H522" s="569">
        <v>2019</v>
      </c>
      <c r="I522" s="569" t="s">
        <v>1406</v>
      </c>
      <c r="J522" s="569" t="s">
        <v>1412</v>
      </c>
      <c r="K522" s="569" t="s">
        <v>752</v>
      </c>
      <c r="L522" s="569">
        <v>4</v>
      </c>
      <c r="M522" s="569">
        <v>0</v>
      </c>
      <c r="N522" s="569" t="s">
        <v>157</v>
      </c>
      <c r="O522" s="569">
        <v>2</v>
      </c>
      <c r="P522" s="569" t="s">
        <v>157</v>
      </c>
      <c r="Q522" s="568">
        <v>2000</v>
      </c>
      <c r="R522" s="569" t="s">
        <v>231</v>
      </c>
      <c r="S522" s="569">
        <v>6</v>
      </c>
      <c r="T522" s="569" t="s">
        <v>1413</v>
      </c>
      <c r="U522" s="569" t="s">
        <v>1414</v>
      </c>
      <c r="V522" s="569">
        <v>96.8</v>
      </c>
      <c r="W522" s="569">
        <v>17.5</v>
      </c>
      <c r="X522" s="568">
        <v>5100</v>
      </c>
      <c r="Y522" s="569">
        <v>20</v>
      </c>
      <c r="Z522" s="581" t="s">
        <v>178</v>
      </c>
      <c r="AA522" s="581" t="s">
        <v>178</v>
      </c>
      <c r="AB522" s="585">
        <v>32685</v>
      </c>
      <c r="AC522" s="585" t="s">
        <v>164</v>
      </c>
      <c r="AD522" s="585">
        <v>30825</v>
      </c>
      <c r="AE522" s="587">
        <v>0.05</v>
      </c>
      <c r="AF522" s="661" t="str">
        <f t="shared" si="59"/>
        <v>2019-SUV-JEP-WGLR-004-08</v>
      </c>
      <c r="AG522" s="661" t="str">
        <f>IF(AND($Y522&gt;=32,(AI522="I"),(Y522&lt;&gt;"~"),(COUNTIF($AN$1:$AN522,$AN522)=1)),"TRUE","FALSE")</f>
        <v>FALSE</v>
      </c>
      <c r="AH522" s="661" t="str">
        <f>IF(AND($Y522&gt;=22, (AI522&lt;&gt;"I"),(Y522&lt;&gt;"~"),(COUNTIF($AN$1:$AN522,$AN522)=1)),"TRUE","FALSE")</f>
        <v>FALSE</v>
      </c>
      <c r="AI522" s="661" t="str">
        <f t="shared" si="54"/>
        <v>II</v>
      </c>
      <c r="AJ522" s="662" t="str">
        <f t="shared" si="55"/>
        <v>WGLR-004</v>
      </c>
      <c r="AK522" s="662" t="str">
        <f t="shared" si="56"/>
        <v>SUV</v>
      </c>
      <c r="AL522" s="662" t="str">
        <f t="shared" si="57"/>
        <v>JEP</v>
      </c>
      <c r="AM522" s="662" t="str">
        <f t="shared" si="53"/>
        <v>Wrangler -Sport (Air Conidtioning)-4WD-4-~-2000-3.6L-6-JLJL72-24G-96.8-17.5-Unleaded-Unleaded</v>
      </c>
      <c r="AN522" s="662" t="str">
        <f t="shared" si="58"/>
        <v>2019-SUV-JEP-WGLR-004</v>
      </c>
    </row>
    <row r="523" spans="1:40" s="572" customFormat="1" ht="15">
      <c r="A523" s="570" t="s">
        <v>1415</v>
      </c>
      <c r="B523" s="573" t="s">
        <v>1405</v>
      </c>
      <c r="C523" s="573" t="s">
        <v>226</v>
      </c>
      <c r="D523" s="578" t="s">
        <v>227</v>
      </c>
      <c r="E523" s="573" t="s">
        <v>699</v>
      </c>
      <c r="F523" s="573" t="s">
        <v>211</v>
      </c>
      <c r="G523" s="573" t="s">
        <v>1336</v>
      </c>
      <c r="H523" s="573">
        <v>2019</v>
      </c>
      <c r="I523" s="573" t="s">
        <v>1416</v>
      </c>
      <c r="J523" s="573" t="s">
        <v>1407</v>
      </c>
      <c r="K523" s="573" t="s">
        <v>752</v>
      </c>
      <c r="L523" s="573">
        <v>4</v>
      </c>
      <c r="M523" s="573">
        <v>0</v>
      </c>
      <c r="N523" s="573" t="s">
        <v>157</v>
      </c>
      <c r="O523" s="573">
        <v>2</v>
      </c>
      <c r="P523" s="573" t="s">
        <v>157</v>
      </c>
      <c r="Q523" s="571">
        <v>2000</v>
      </c>
      <c r="R523" s="573" t="s">
        <v>231</v>
      </c>
      <c r="S523" s="573">
        <v>6</v>
      </c>
      <c r="T523" s="573" t="s">
        <v>1408</v>
      </c>
      <c r="U523" s="573" t="s">
        <v>1409</v>
      </c>
      <c r="V523" s="573">
        <v>95.4</v>
      </c>
      <c r="W523" s="573">
        <v>18.600000000000001</v>
      </c>
      <c r="X523" s="571">
        <v>5100</v>
      </c>
      <c r="Y523" s="573">
        <v>18</v>
      </c>
      <c r="Z523" s="579" t="s">
        <v>178</v>
      </c>
      <c r="AA523" s="579" t="s">
        <v>178</v>
      </c>
      <c r="AB523" s="584">
        <v>41390</v>
      </c>
      <c r="AC523" s="584" t="s">
        <v>164</v>
      </c>
      <c r="AD523" s="584">
        <v>37839</v>
      </c>
      <c r="AE523" s="586">
        <v>6.25E-2</v>
      </c>
      <c r="AF523" s="661" t="str">
        <f t="shared" si="59"/>
        <v>2019-SUV-JEP-WGLR-001-04</v>
      </c>
      <c r="AG523" s="661" t="str">
        <f>IF(AND($Y523&gt;=32,(AI523="I"),(Y523&lt;&gt;"~"),(COUNTIF($AN$1:$AN523,$AN523)=1)),"TRUE","FALSE")</f>
        <v>FALSE</v>
      </c>
      <c r="AH523" s="661" t="str">
        <f>IF(AND($Y523&gt;=22, (AI523&lt;&gt;"I"),(Y523&lt;&gt;"~"),(COUNTIF($AN$1:$AN523,$AN523)=1)),"TRUE","FALSE")</f>
        <v>FALSE</v>
      </c>
      <c r="AI523" s="661" t="str">
        <f t="shared" si="54"/>
        <v>II</v>
      </c>
      <c r="AJ523" s="662" t="str">
        <f t="shared" si="55"/>
        <v>WGLR-001</v>
      </c>
      <c r="AK523" s="662" t="str">
        <f t="shared" si="56"/>
        <v>SUV</v>
      </c>
      <c r="AL523" s="662" t="str">
        <f t="shared" si="57"/>
        <v>JEP</v>
      </c>
      <c r="AM523" s="662" t="str">
        <f t="shared" si="53"/>
        <v>Wrangler JL-Rubicon-4WD-4-~-2000-3.6L-6-JLJS72-24R-95.4-18.6-Unleaded-Unleaded</v>
      </c>
      <c r="AN523" s="662" t="str">
        <f t="shared" si="58"/>
        <v>2019-SUV-JEP-WGLR-001</v>
      </c>
    </row>
    <row r="524" spans="1:40" s="572" customFormat="1" ht="15">
      <c r="A524" s="570" t="s">
        <v>1417</v>
      </c>
      <c r="B524" s="569" t="s">
        <v>1418</v>
      </c>
      <c r="C524" s="569" t="s">
        <v>226</v>
      </c>
      <c r="D524" s="580" t="s">
        <v>227</v>
      </c>
      <c r="E524" s="569" t="s">
        <v>699</v>
      </c>
      <c r="F524" s="569" t="s">
        <v>211</v>
      </c>
      <c r="G524" s="569" t="s">
        <v>1336</v>
      </c>
      <c r="H524" s="569">
        <v>2019</v>
      </c>
      <c r="I524" s="569" t="s">
        <v>1416</v>
      </c>
      <c r="J524" s="569" t="s">
        <v>409</v>
      </c>
      <c r="K524" s="569" t="s">
        <v>752</v>
      </c>
      <c r="L524" s="569">
        <v>4</v>
      </c>
      <c r="M524" s="569">
        <v>0</v>
      </c>
      <c r="N524" s="569" t="s">
        <v>157</v>
      </c>
      <c r="O524" s="569">
        <v>2</v>
      </c>
      <c r="P524" s="569" t="s">
        <v>157</v>
      </c>
      <c r="Q524" s="568">
        <v>2000</v>
      </c>
      <c r="R524" s="569" t="s">
        <v>231</v>
      </c>
      <c r="S524" s="569">
        <v>6</v>
      </c>
      <c r="T524" s="569" t="s">
        <v>1413</v>
      </c>
      <c r="U524" s="569" t="s">
        <v>1419</v>
      </c>
      <c r="V524" s="569">
        <v>95.4</v>
      </c>
      <c r="W524" s="569">
        <v>18.600000000000001</v>
      </c>
      <c r="X524" s="568">
        <v>5000</v>
      </c>
      <c r="Y524" s="569">
        <v>18</v>
      </c>
      <c r="Z524" s="581" t="s">
        <v>178</v>
      </c>
      <c r="AA524" s="581" t="s">
        <v>178</v>
      </c>
      <c r="AB524" s="585">
        <v>31390</v>
      </c>
      <c r="AC524" s="585" t="s">
        <v>164</v>
      </c>
      <c r="AD524" s="585">
        <v>29717</v>
      </c>
      <c r="AE524" s="587">
        <v>6.25E-2</v>
      </c>
      <c r="AF524" s="661" t="str">
        <f t="shared" si="59"/>
        <v>2019-SUV-JEP-WGLR-003-04</v>
      </c>
      <c r="AG524" s="661" t="str">
        <f>IF(AND($Y524&gt;=32,(AI524="I"),(Y524&lt;&gt;"~"),(COUNTIF($AN$1:$AN524,$AN524)=1)),"TRUE","FALSE")</f>
        <v>FALSE</v>
      </c>
      <c r="AH524" s="661" t="str">
        <f>IF(AND($Y524&gt;=22, (AI524&lt;&gt;"I"),(Y524&lt;&gt;"~"),(COUNTIF($AN$1:$AN524,$AN524)=1)),"TRUE","FALSE")</f>
        <v>FALSE</v>
      </c>
      <c r="AI524" s="661" t="str">
        <f t="shared" si="54"/>
        <v>II</v>
      </c>
      <c r="AJ524" s="662" t="str">
        <f t="shared" si="55"/>
        <v>WGLR-003</v>
      </c>
      <c r="AK524" s="662" t="str">
        <f t="shared" si="56"/>
        <v>SUV</v>
      </c>
      <c r="AL524" s="662" t="str">
        <f t="shared" si="57"/>
        <v>JEP</v>
      </c>
      <c r="AM524" s="662" t="str">
        <f t="shared" si="53"/>
        <v>Wrangler JL-Sport-4WD-4-~-2000-3.6L-6-JLJL72-24B-95.4-18.6-Unleaded-Unleaded</v>
      </c>
      <c r="AN524" s="662" t="str">
        <f t="shared" si="58"/>
        <v>2019-SUV-JEP-WGLR-003</v>
      </c>
    </row>
    <row r="525" spans="1:40" s="572" customFormat="1" ht="30">
      <c r="A525" s="570" t="s">
        <v>1420</v>
      </c>
      <c r="B525" s="573" t="s">
        <v>1421</v>
      </c>
      <c r="C525" s="573" t="s">
        <v>226</v>
      </c>
      <c r="D525" s="578" t="s">
        <v>227</v>
      </c>
      <c r="E525" s="573" t="s">
        <v>699</v>
      </c>
      <c r="F525" s="573" t="s">
        <v>152</v>
      </c>
      <c r="G525" s="573" t="s">
        <v>1336</v>
      </c>
      <c r="H525" s="573">
        <v>2019</v>
      </c>
      <c r="I525" s="573" t="s">
        <v>1422</v>
      </c>
      <c r="J525" s="573" t="s">
        <v>1407</v>
      </c>
      <c r="K525" s="573" t="s">
        <v>752</v>
      </c>
      <c r="L525" s="573">
        <v>5</v>
      </c>
      <c r="M525" s="573">
        <v>0</v>
      </c>
      <c r="N525" s="573" t="s">
        <v>157</v>
      </c>
      <c r="O525" s="573">
        <v>2</v>
      </c>
      <c r="P525" s="573" t="s">
        <v>157</v>
      </c>
      <c r="Q525" s="571">
        <v>2000</v>
      </c>
      <c r="R525" s="573" t="s">
        <v>231</v>
      </c>
      <c r="S525" s="573">
        <v>6</v>
      </c>
      <c r="T525" s="573" t="s">
        <v>1423</v>
      </c>
      <c r="U525" s="573" t="s">
        <v>1409</v>
      </c>
      <c r="V525" s="573">
        <v>116</v>
      </c>
      <c r="W525" s="573">
        <v>22.5</v>
      </c>
      <c r="X525" s="571">
        <v>5700</v>
      </c>
      <c r="Y525" s="573">
        <v>18</v>
      </c>
      <c r="Z525" s="579" t="s">
        <v>178</v>
      </c>
      <c r="AA525" s="579" t="s">
        <v>178</v>
      </c>
      <c r="AB525" s="584">
        <v>44890</v>
      </c>
      <c r="AC525" s="584" t="s">
        <v>164</v>
      </c>
      <c r="AD525" s="584">
        <v>40949</v>
      </c>
      <c r="AE525" s="586">
        <v>6.25E-2</v>
      </c>
      <c r="AF525" s="661" t="str">
        <f t="shared" si="59"/>
        <v>2019-SUV-JEP-WLRU-001-04</v>
      </c>
      <c r="AG525" s="661" t="str">
        <f>IF(AND($Y525&gt;=32,(AI525="I"),(Y525&lt;&gt;"~"),(COUNTIF($AN$1:$AN525,$AN525)=1)),"TRUE","FALSE")</f>
        <v>FALSE</v>
      </c>
      <c r="AH525" s="661" t="str">
        <f>IF(AND($Y525&gt;=22, (AI525&lt;&gt;"I"),(Y525&lt;&gt;"~"),(COUNTIF($AN$1:$AN525,$AN525)=1)),"TRUE","FALSE")</f>
        <v>FALSE</v>
      </c>
      <c r="AI525" s="661" t="str">
        <f t="shared" si="54"/>
        <v>II</v>
      </c>
      <c r="AJ525" s="662" t="str">
        <f t="shared" si="55"/>
        <v>WLRU-001</v>
      </c>
      <c r="AK525" s="662" t="str">
        <f t="shared" si="56"/>
        <v>SUV</v>
      </c>
      <c r="AL525" s="662" t="str">
        <f t="shared" si="57"/>
        <v>JEP</v>
      </c>
      <c r="AM525" s="662" t="str">
        <f t="shared" si="53"/>
        <v>Wrangler JL Unlimited (4DR)-Rubicon-4WD-5-~-2000-3.6L-6-JLJS74-24R-116-22.5-Unleaded-Unleaded</v>
      </c>
      <c r="AN525" s="662" t="str">
        <f t="shared" si="58"/>
        <v>2019-SUV-JEP-WLRU-001</v>
      </c>
    </row>
    <row r="526" spans="1:40" s="572" customFormat="1" ht="30">
      <c r="A526" s="570" t="s">
        <v>1424</v>
      </c>
      <c r="B526" s="569" t="s">
        <v>1425</v>
      </c>
      <c r="C526" s="569" t="s">
        <v>226</v>
      </c>
      <c r="D526" s="580" t="s">
        <v>227</v>
      </c>
      <c r="E526" s="569" t="s">
        <v>699</v>
      </c>
      <c r="F526" s="569" t="s">
        <v>152</v>
      </c>
      <c r="G526" s="569" t="s">
        <v>1336</v>
      </c>
      <c r="H526" s="569">
        <v>2019</v>
      </c>
      <c r="I526" s="569" t="s">
        <v>1422</v>
      </c>
      <c r="J526" s="569" t="s">
        <v>1426</v>
      </c>
      <c r="K526" s="569" t="s">
        <v>752</v>
      </c>
      <c r="L526" s="569">
        <v>5</v>
      </c>
      <c r="M526" s="569">
        <v>0</v>
      </c>
      <c r="N526" s="569" t="s">
        <v>157</v>
      </c>
      <c r="O526" s="569">
        <v>2</v>
      </c>
      <c r="P526" s="569" t="s">
        <v>157</v>
      </c>
      <c r="Q526" s="568">
        <v>2000</v>
      </c>
      <c r="R526" s="569" t="s">
        <v>231</v>
      </c>
      <c r="S526" s="569">
        <v>6</v>
      </c>
      <c r="T526" s="569" t="s">
        <v>1427</v>
      </c>
      <c r="U526" s="569" t="s">
        <v>1414</v>
      </c>
      <c r="V526" s="569">
        <v>116</v>
      </c>
      <c r="W526" s="569">
        <v>22.5</v>
      </c>
      <c r="X526" s="568">
        <v>5500</v>
      </c>
      <c r="Y526" s="569">
        <v>18</v>
      </c>
      <c r="Z526" s="581" t="s">
        <v>178</v>
      </c>
      <c r="AA526" s="581" t="s">
        <v>178</v>
      </c>
      <c r="AB526" s="585">
        <v>41740</v>
      </c>
      <c r="AC526" s="585" t="s">
        <v>164</v>
      </c>
      <c r="AD526" s="585">
        <v>38151</v>
      </c>
      <c r="AE526" s="587">
        <v>6.25E-2</v>
      </c>
      <c r="AF526" s="661" t="str">
        <f t="shared" si="59"/>
        <v>2019-SUV-JEP-WLRU-002-04</v>
      </c>
      <c r="AG526" s="661" t="str">
        <f>IF(AND($Y526&gt;=32,(AI526="I"),(Y526&lt;&gt;"~"),(COUNTIF($AN$1:$AN526,$AN526)=1)),"TRUE","FALSE")</f>
        <v>FALSE</v>
      </c>
      <c r="AH526" s="661" t="str">
        <f>IF(AND($Y526&gt;=22, (AI526&lt;&gt;"I"),(Y526&lt;&gt;"~"),(COUNTIF($AN$1:$AN526,$AN526)=1)),"TRUE","FALSE")</f>
        <v>FALSE</v>
      </c>
      <c r="AI526" s="661" t="str">
        <f t="shared" si="54"/>
        <v>II</v>
      </c>
      <c r="AJ526" s="662" t="str">
        <f t="shared" si="55"/>
        <v>WLRU-002</v>
      </c>
      <c r="AK526" s="662" t="str">
        <f t="shared" si="56"/>
        <v>SUV</v>
      </c>
      <c r="AL526" s="662" t="str">
        <f t="shared" si="57"/>
        <v>JEP</v>
      </c>
      <c r="AM526" s="662" t="str">
        <f t="shared" si="53"/>
        <v>Wrangler JL Unlimited (4DR)-Sahara -4WD-5-~-2000-3.6L-6-JLJP74-24G-116-22.5-Unleaded-Unleaded</v>
      </c>
      <c r="AN526" s="662" t="str">
        <f t="shared" si="58"/>
        <v>2019-SUV-JEP-WLRU-002</v>
      </c>
    </row>
    <row r="527" spans="1:40" s="572" customFormat="1" ht="30">
      <c r="A527" s="570" t="s">
        <v>1428</v>
      </c>
      <c r="B527" s="573" t="s">
        <v>1429</v>
      </c>
      <c r="C527" s="573" t="s">
        <v>226</v>
      </c>
      <c r="D527" s="578" t="s">
        <v>227</v>
      </c>
      <c r="E527" s="573" t="s">
        <v>699</v>
      </c>
      <c r="F527" s="573" t="s">
        <v>152</v>
      </c>
      <c r="G527" s="573" t="s">
        <v>1336</v>
      </c>
      <c r="H527" s="573">
        <v>2019</v>
      </c>
      <c r="I527" s="573" t="s">
        <v>1422</v>
      </c>
      <c r="J527" s="573" t="s">
        <v>1430</v>
      </c>
      <c r="K527" s="573" t="s">
        <v>752</v>
      </c>
      <c r="L527" s="573">
        <v>5</v>
      </c>
      <c r="M527" s="573">
        <v>0</v>
      </c>
      <c r="N527" s="573" t="s">
        <v>157</v>
      </c>
      <c r="O527" s="573">
        <v>2</v>
      </c>
      <c r="P527" s="573" t="s">
        <v>157</v>
      </c>
      <c r="Q527" s="571">
        <v>2000</v>
      </c>
      <c r="R527" s="573" t="s">
        <v>231</v>
      </c>
      <c r="S527" s="573">
        <v>6</v>
      </c>
      <c r="T527" s="573" t="s">
        <v>1431</v>
      </c>
      <c r="U527" s="573" t="s">
        <v>1419</v>
      </c>
      <c r="V527" s="573">
        <v>116</v>
      </c>
      <c r="W527" s="573">
        <v>22.5</v>
      </c>
      <c r="X527" s="571">
        <v>5400</v>
      </c>
      <c r="Y527" s="573">
        <v>18</v>
      </c>
      <c r="Z527" s="579" t="s">
        <v>178</v>
      </c>
      <c r="AA527" s="579" t="s">
        <v>178</v>
      </c>
      <c r="AB527" s="584">
        <v>34890</v>
      </c>
      <c r="AC527" s="584" t="s">
        <v>164</v>
      </c>
      <c r="AD527" s="584">
        <v>32723</v>
      </c>
      <c r="AE527" s="586">
        <v>6.25E-2</v>
      </c>
      <c r="AF527" s="661" t="str">
        <f t="shared" si="59"/>
        <v>2019-SUV-JEP-WLRU-004-04</v>
      </c>
      <c r="AG527" s="661" t="str">
        <f>IF(AND($Y527&gt;=32,(AI527="I"),(Y527&lt;&gt;"~"),(COUNTIF($AN$1:$AN527,$AN527)=1)),"TRUE","FALSE")</f>
        <v>FALSE</v>
      </c>
      <c r="AH527" s="661" t="str">
        <f>IF(AND($Y527&gt;=22, (AI527&lt;&gt;"I"),(Y527&lt;&gt;"~"),(COUNTIF($AN$1:$AN527,$AN527)=1)),"TRUE","FALSE")</f>
        <v>FALSE</v>
      </c>
      <c r="AI527" s="661" t="str">
        <f t="shared" si="54"/>
        <v>II</v>
      </c>
      <c r="AJ527" s="662" t="str">
        <f t="shared" si="55"/>
        <v>WLRU-004</v>
      </c>
      <c r="AK527" s="662" t="str">
        <f t="shared" si="56"/>
        <v>SUV</v>
      </c>
      <c r="AL527" s="662" t="str">
        <f t="shared" si="57"/>
        <v>JEP</v>
      </c>
      <c r="AM527" s="662" t="str">
        <f t="shared" si="53"/>
        <v>Wrangler JL Unlimited (4DR)-Sport -4WD-5-~-2000-3.6L-6-JLJL74-24B-116-22.5-Unleaded-Unleaded</v>
      </c>
      <c r="AN527" s="662" t="str">
        <f t="shared" si="58"/>
        <v>2019-SUV-JEP-WLRU-004</v>
      </c>
    </row>
    <row r="528" spans="1:40" s="572" customFormat="1" ht="30">
      <c r="A528" s="570" t="s">
        <v>1432</v>
      </c>
      <c r="B528" s="569" t="s">
        <v>1421</v>
      </c>
      <c r="C528" s="569" t="s">
        <v>240</v>
      </c>
      <c r="D528" s="580" t="s">
        <v>241</v>
      </c>
      <c r="E528" s="569" t="s">
        <v>699</v>
      </c>
      <c r="F528" s="569" t="s">
        <v>152</v>
      </c>
      <c r="G528" s="569" t="s">
        <v>1336</v>
      </c>
      <c r="H528" s="569">
        <v>2019</v>
      </c>
      <c r="I528" s="569" t="s">
        <v>1433</v>
      </c>
      <c r="J528" s="569" t="s">
        <v>1407</v>
      </c>
      <c r="K528" s="569" t="s">
        <v>752</v>
      </c>
      <c r="L528" s="569">
        <v>5</v>
      </c>
      <c r="M528" s="569">
        <v>0</v>
      </c>
      <c r="N528" s="569" t="s">
        <v>157</v>
      </c>
      <c r="O528" s="569">
        <v>2</v>
      </c>
      <c r="P528" s="569" t="s">
        <v>157</v>
      </c>
      <c r="Q528" s="568">
        <v>3500</v>
      </c>
      <c r="R528" s="569" t="s">
        <v>231</v>
      </c>
      <c r="S528" s="569">
        <v>6</v>
      </c>
      <c r="T528" s="569" t="s">
        <v>1423</v>
      </c>
      <c r="U528" s="569" t="s">
        <v>1409</v>
      </c>
      <c r="V528" s="569">
        <v>118.4</v>
      </c>
      <c r="W528" s="569">
        <v>21.5</v>
      </c>
      <c r="X528" s="568">
        <v>5800</v>
      </c>
      <c r="Y528" s="569">
        <v>20</v>
      </c>
      <c r="Z528" s="581" t="s">
        <v>178</v>
      </c>
      <c r="AA528" s="581" t="s">
        <v>178</v>
      </c>
      <c r="AB528" s="585">
        <v>44890</v>
      </c>
      <c r="AC528" s="585" t="s">
        <v>164</v>
      </c>
      <c r="AD528" s="585">
        <v>41248.958333333336</v>
      </c>
      <c r="AE528" s="587">
        <v>0.05</v>
      </c>
      <c r="AF528" s="661" t="str">
        <f t="shared" si="59"/>
        <v>2019-SUV-JEP-WLRU-001-08</v>
      </c>
      <c r="AG528" s="661" t="str">
        <f>IF(AND($Y528&gt;=32,(AI528="I"),(Y528&lt;&gt;"~"),(COUNTIF($AN$1:$AN528,$AN528)=1)),"TRUE","FALSE")</f>
        <v>FALSE</v>
      </c>
      <c r="AH528" s="661" t="str">
        <f>IF(AND($Y528&gt;=22, (AI528&lt;&gt;"I"),(Y528&lt;&gt;"~"),(COUNTIF($AN$1:$AN528,$AN528)=1)),"TRUE","FALSE")</f>
        <v>FALSE</v>
      </c>
      <c r="AI528" s="661" t="str">
        <f t="shared" si="54"/>
        <v>II</v>
      </c>
      <c r="AJ528" s="662" t="str">
        <f t="shared" si="55"/>
        <v>WLRU-001</v>
      </c>
      <c r="AK528" s="662" t="str">
        <f t="shared" si="56"/>
        <v>SUV</v>
      </c>
      <c r="AL528" s="662" t="str">
        <f t="shared" si="57"/>
        <v>JEP</v>
      </c>
      <c r="AM528" s="662" t="str">
        <f t="shared" si="53"/>
        <v>Wrangler Unlimited (4DR)-Rubicon-4WD-5-~-3500-3.6L-6-JLJS74-24R-118.4-21.5-Unleaded-Unleaded</v>
      </c>
      <c r="AN528" s="662" t="str">
        <f t="shared" si="58"/>
        <v>2019-SUV-JEP-WLRU-001</v>
      </c>
    </row>
    <row r="529" spans="1:40" s="572" customFormat="1" ht="30">
      <c r="A529" s="570" t="s">
        <v>1434</v>
      </c>
      <c r="B529" s="573" t="s">
        <v>1425</v>
      </c>
      <c r="C529" s="573" t="s">
        <v>240</v>
      </c>
      <c r="D529" s="578" t="s">
        <v>241</v>
      </c>
      <c r="E529" s="573" t="s">
        <v>699</v>
      </c>
      <c r="F529" s="573" t="s">
        <v>152</v>
      </c>
      <c r="G529" s="573" t="s">
        <v>1336</v>
      </c>
      <c r="H529" s="573">
        <v>2019</v>
      </c>
      <c r="I529" s="573" t="s">
        <v>1433</v>
      </c>
      <c r="J529" s="573" t="s">
        <v>1426</v>
      </c>
      <c r="K529" s="573" t="s">
        <v>752</v>
      </c>
      <c r="L529" s="573">
        <v>5</v>
      </c>
      <c r="M529" s="573">
        <v>0</v>
      </c>
      <c r="N529" s="573" t="s">
        <v>157</v>
      </c>
      <c r="O529" s="573">
        <v>2</v>
      </c>
      <c r="P529" s="573" t="s">
        <v>157</v>
      </c>
      <c r="Q529" s="571">
        <v>3500</v>
      </c>
      <c r="R529" s="573" t="s">
        <v>231</v>
      </c>
      <c r="S529" s="573">
        <v>6</v>
      </c>
      <c r="T529" s="573" t="s">
        <v>1427</v>
      </c>
      <c r="U529" s="573" t="s">
        <v>1414</v>
      </c>
      <c r="V529" s="573">
        <v>118.4</v>
      </c>
      <c r="W529" s="573">
        <v>21.5</v>
      </c>
      <c r="X529" s="571">
        <v>5800</v>
      </c>
      <c r="Y529" s="573">
        <v>20</v>
      </c>
      <c r="Z529" s="579" t="s">
        <v>178</v>
      </c>
      <c r="AA529" s="579" t="s">
        <v>178</v>
      </c>
      <c r="AB529" s="584">
        <v>41740</v>
      </c>
      <c r="AC529" s="584" t="s">
        <v>164</v>
      </c>
      <c r="AD529" s="584">
        <v>38362.5</v>
      </c>
      <c r="AE529" s="586">
        <v>0.05</v>
      </c>
      <c r="AF529" s="661" t="str">
        <f t="shared" si="59"/>
        <v>2019-SUV-JEP-WLRU-002-08</v>
      </c>
      <c r="AG529" s="661" t="str">
        <f>IF(AND($Y529&gt;=32,(AI529="I"),(Y529&lt;&gt;"~"),(COUNTIF($AN$1:$AN529,$AN529)=1)),"TRUE","FALSE")</f>
        <v>FALSE</v>
      </c>
      <c r="AH529" s="661" t="str">
        <f>IF(AND($Y529&gt;=22, (AI529&lt;&gt;"I"),(Y529&lt;&gt;"~"),(COUNTIF($AN$1:$AN529,$AN529)=1)),"TRUE","FALSE")</f>
        <v>FALSE</v>
      </c>
      <c r="AI529" s="661" t="str">
        <f t="shared" si="54"/>
        <v>II</v>
      </c>
      <c r="AJ529" s="662" t="str">
        <f t="shared" si="55"/>
        <v>WLRU-002</v>
      </c>
      <c r="AK529" s="662" t="str">
        <f t="shared" si="56"/>
        <v>SUV</v>
      </c>
      <c r="AL529" s="662" t="str">
        <f t="shared" si="57"/>
        <v>JEP</v>
      </c>
      <c r="AM529" s="662" t="str">
        <f t="shared" si="53"/>
        <v>Wrangler Unlimited (4DR)-Sahara -4WD-5-~-3500-3.6L-6-JLJP74-24G-118.4-21.5-Unleaded-Unleaded</v>
      </c>
      <c r="AN529" s="662" t="str">
        <f t="shared" si="58"/>
        <v>2019-SUV-JEP-WLRU-002</v>
      </c>
    </row>
    <row r="530" spans="1:40" s="572" customFormat="1" ht="30">
      <c r="A530" s="570" t="s">
        <v>1435</v>
      </c>
      <c r="B530" s="569" t="s">
        <v>1429</v>
      </c>
      <c r="C530" s="569" t="s">
        <v>240</v>
      </c>
      <c r="D530" s="580" t="s">
        <v>241</v>
      </c>
      <c r="E530" s="569" t="s">
        <v>699</v>
      </c>
      <c r="F530" s="569" t="s">
        <v>152</v>
      </c>
      <c r="G530" s="569" t="s">
        <v>1336</v>
      </c>
      <c r="H530" s="569">
        <v>2019</v>
      </c>
      <c r="I530" s="569" t="s">
        <v>1433</v>
      </c>
      <c r="J530" s="569" t="s">
        <v>1430</v>
      </c>
      <c r="K530" s="569" t="s">
        <v>752</v>
      </c>
      <c r="L530" s="569">
        <v>5</v>
      </c>
      <c r="M530" s="569">
        <v>0</v>
      </c>
      <c r="N530" s="569" t="s">
        <v>157</v>
      </c>
      <c r="O530" s="569">
        <v>2</v>
      </c>
      <c r="P530" s="569" t="s">
        <v>157</v>
      </c>
      <c r="Q530" s="568">
        <v>3500</v>
      </c>
      <c r="R530" s="569" t="s">
        <v>231</v>
      </c>
      <c r="S530" s="569">
        <v>6</v>
      </c>
      <c r="T530" s="569" t="s">
        <v>1431</v>
      </c>
      <c r="U530" s="569" t="s">
        <v>1436</v>
      </c>
      <c r="V530" s="569">
        <v>118.4</v>
      </c>
      <c r="W530" s="569">
        <v>21.5</v>
      </c>
      <c r="X530" s="568">
        <v>5800</v>
      </c>
      <c r="Y530" s="569">
        <v>20</v>
      </c>
      <c r="Z530" s="581" t="s">
        <v>178</v>
      </c>
      <c r="AA530" s="581" t="s">
        <v>178</v>
      </c>
      <c r="AB530" s="585">
        <v>34890</v>
      </c>
      <c r="AC530" s="585" t="s">
        <v>164</v>
      </c>
      <c r="AD530" s="585">
        <v>32737.5</v>
      </c>
      <c r="AE530" s="587">
        <v>0.05</v>
      </c>
      <c r="AF530" s="661" t="str">
        <f t="shared" si="59"/>
        <v>2019-SUV-JEP-WLRU-004-08</v>
      </c>
      <c r="AG530" s="661" t="str">
        <f>IF(AND($Y530&gt;=32,(AI530="I"),(Y530&lt;&gt;"~"),(COUNTIF($AN$1:$AN530,$AN530)=1)),"TRUE","FALSE")</f>
        <v>FALSE</v>
      </c>
      <c r="AH530" s="661" t="str">
        <f>IF(AND($Y530&gt;=22, (AI530&lt;&gt;"I"),(Y530&lt;&gt;"~"),(COUNTIF($AN$1:$AN530,$AN530)=1)),"TRUE","FALSE")</f>
        <v>FALSE</v>
      </c>
      <c r="AI530" s="661" t="str">
        <f t="shared" si="54"/>
        <v>II</v>
      </c>
      <c r="AJ530" s="662" t="str">
        <f t="shared" si="55"/>
        <v>WLRU-004</v>
      </c>
      <c r="AK530" s="662" t="str">
        <f t="shared" si="56"/>
        <v>SUV</v>
      </c>
      <c r="AL530" s="662" t="str">
        <f t="shared" si="57"/>
        <v>JEP</v>
      </c>
      <c r="AM530" s="662" t="str">
        <f t="shared" si="53"/>
        <v>Wrangler Unlimited (4DR)-Sport -4WD-5-~-3500-3.6L-6-JLJL74-24U-118.4-21.5-Unleaded-Unleaded</v>
      </c>
      <c r="AN530" s="662" t="str">
        <f t="shared" si="58"/>
        <v>2019-SUV-JEP-WLRU-004</v>
      </c>
    </row>
    <row r="531" spans="1:40" s="572" customFormat="1" ht="15">
      <c r="A531" s="570" t="s">
        <v>1437</v>
      </c>
      <c r="B531" s="573" t="s">
        <v>1438</v>
      </c>
      <c r="C531" s="573" t="s">
        <v>543</v>
      </c>
      <c r="D531" s="578" t="s">
        <v>544</v>
      </c>
      <c r="E531" s="573" t="s">
        <v>699</v>
      </c>
      <c r="F531" s="573" t="s">
        <v>211</v>
      </c>
      <c r="G531" s="573" t="s">
        <v>545</v>
      </c>
      <c r="H531" s="573">
        <v>2019</v>
      </c>
      <c r="I531" s="573" t="s">
        <v>1439</v>
      </c>
      <c r="J531" s="573" t="s">
        <v>273</v>
      </c>
      <c r="K531" s="573" t="s">
        <v>156</v>
      </c>
      <c r="L531" s="573">
        <v>5</v>
      </c>
      <c r="M531" s="573">
        <v>0</v>
      </c>
      <c r="N531" s="573" t="s">
        <v>157</v>
      </c>
      <c r="O531" s="573">
        <v>2</v>
      </c>
      <c r="P531" s="573" t="s">
        <v>157</v>
      </c>
      <c r="Q531" s="571" t="s">
        <v>157</v>
      </c>
      <c r="R531" s="573" t="s">
        <v>274</v>
      </c>
      <c r="S531" s="573">
        <v>4</v>
      </c>
      <c r="T531" s="573">
        <v>21019</v>
      </c>
      <c r="U531" s="573" t="s">
        <v>157</v>
      </c>
      <c r="V531" s="573">
        <v>103.1</v>
      </c>
      <c r="W531" s="573">
        <v>10.8</v>
      </c>
      <c r="X531" s="571">
        <v>3583</v>
      </c>
      <c r="Y531" s="573">
        <v>33</v>
      </c>
      <c r="Z531" s="579" t="s">
        <v>178</v>
      </c>
      <c r="AA531" s="579" t="s">
        <v>178</v>
      </c>
      <c r="AB531" s="584">
        <v>19585</v>
      </c>
      <c r="AC531" s="584" t="s">
        <v>164</v>
      </c>
      <c r="AD531" s="584">
        <v>17549</v>
      </c>
      <c r="AE531" s="586">
        <v>0.03</v>
      </c>
      <c r="AF531" s="661" t="str">
        <f t="shared" si="59"/>
        <v>2019-SUV-NIS-KIKS-001-07</v>
      </c>
      <c r="AG531" s="661" t="str">
        <f>IF(AND($Y531&gt;=32,(AI531="I"),(Y531&lt;&gt;"~"),(COUNTIF($AN$1:$AN531,$AN531)=1)),"TRUE","FALSE")</f>
        <v>FALSE</v>
      </c>
      <c r="AH531" s="661" t="str">
        <f>IF(AND($Y531&gt;=22, (AI531&lt;&gt;"I"),(Y531&lt;&gt;"~"),(COUNTIF($AN$1:$AN531,$AN531)=1)),"TRUE","FALSE")</f>
        <v>TRUE</v>
      </c>
      <c r="AI531" s="661" t="str">
        <f t="shared" si="54"/>
        <v>II</v>
      </c>
      <c r="AJ531" s="662" t="str">
        <f t="shared" si="55"/>
        <v>KIKS-001</v>
      </c>
      <c r="AK531" s="662" t="str">
        <f t="shared" si="56"/>
        <v>SUV</v>
      </c>
      <c r="AL531" s="662" t="str">
        <f t="shared" si="57"/>
        <v>NIS</v>
      </c>
      <c r="AM531" s="662" t="str">
        <f t="shared" si="53"/>
        <v>Kicks-S-FWD-5-~-~-1.6L-4-21019-~-103.1-10.8-Unleaded-Unleaded</v>
      </c>
      <c r="AN531" s="662" t="str">
        <f t="shared" si="58"/>
        <v>2019-SUV-NIS-KIKS-001</v>
      </c>
    </row>
    <row r="532" spans="1:40" s="572" customFormat="1" ht="15">
      <c r="A532" s="570" t="s">
        <v>1440</v>
      </c>
      <c r="B532" s="569" t="s">
        <v>1441</v>
      </c>
      <c r="C532" s="569" t="s">
        <v>549</v>
      </c>
      <c r="D532" s="580">
        <v>16</v>
      </c>
      <c r="E532" s="569" t="s">
        <v>699</v>
      </c>
      <c r="F532" s="569" t="s">
        <v>211</v>
      </c>
      <c r="G532" s="569" t="s">
        <v>545</v>
      </c>
      <c r="H532" s="569">
        <v>2019</v>
      </c>
      <c r="I532" s="569" t="s">
        <v>1439</v>
      </c>
      <c r="J532" s="569" t="s">
        <v>273</v>
      </c>
      <c r="K532" s="569" t="s">
        <v>156</v>
      </c>
      <c r="L532" s="569">
        <v>5</v>
      </c>
      <c r="M532" s="569">
        <v>0</v>
      </c>
      <c r="N532" s="569" t="s">
        <v>157</v>
      </c>
      <c r="O532" s="569">
        <v>2</v>
      </c>
      <c r="P532" s="569" t="s">
        <v>157</v>
      </c>
      <c r="Q532" s="568" t="s">
        <v>157</v>
      </c>
      <c r="R532" s="569" t="s">
        <v>352</v>
      </c>
      <c r="S532" s="569">
        <v>4</v>
      </c>
      <c r="T532" s="569">
        <v>21019</v>
      </c>
      <c r="U532" s="569" t="s">
        <v>157</v>
      </c>
      <c r="V532" s="569">
        <v>103.1</v>
      </c>
      <c r="W532" s="569">
        <v>10.9</v>
      </c>
      <c r="X532" s="568">
        <v>2639</v>
      </c>
      <c r="Y532" s="569">
        <v>33</v>
      </c>
      <c r="Z532" s="581" t="s">
        <v>178</v>
      </c>
      <c r="AA532" s="581" t="s">
        <v>178</v>
      </c>
      <c r="AB532" s="585">
        <v>19585</v>
      </c>
      <c r="AC532" s="585" t="s">
        <v>164</v>
      </c>
      <c r="AD532" s="585">
        <v>16490</v>
      </c>
      <c r="AE532" s="587">
        <v>0.05</v>
      </c>
      <c r="AF532" s="661" t="str">
        <f t="shared" si="59"/>
        <v>2019-SUV-NIS-KIKS-002-16</v>
      </c>
      <c r="AG532" s="661" t="str">
        <f>IF(AND($Y532&gt;=32,(AI532="I"),(Y532&lt;&gt;"~"),(COUNTIF($AN$1:$AN532,$AN532)=1)),"TRUE","FALSE")</f>
        <v>FALSE</v>
      </c>
      <c r="AH532" s="661" t="str">
        <f>IF(AND($Y532&gt;=22, (AI532&lt;&gt;"I"),(Y532&lt;&gt;"~"),(COUNTIF($AN$1:$AN532,$AN532)=1)),"TRUE","FALSE")</f>
        <v>TRUE</v>
      </c>
      <c r="AI532" s="661" t="str">
        <f t="shared" si="54"/>
        <v>II</v>
      </c>
      <c r="AJ532" s="662" t="str">
        <f t="shared" si="55"/>
        <v>KIKS-002</v>
      </c>
      <c r="AK532" s="662" t="str">
        <f t="shared" si="56"/>
        <v>SUV</v>
      </c>
      <c r="AL532" s="662" t="str">
        <f t="shared" si="57"/>
        <v>NIS</v>
      </c>
      <c r="AM532" s="662" t="str">
        <f t="shared" si="53"/>
        <v>Kicks-S-FWD-5-~-~-2.0L-4-21019-~-103.1-10.9-Unleaded-Unleaded</v>
      </c>
      <c r="AN532" s="662" t="str">
        <f t="shared" si="58"/>
        <v>2019-SUV-NIS-KIKS-002</v>
      </c>
    </row>
    <row r="533" spans="1:40" s="572" customFormat="1" ht="15">
      <c r="A533" s="570" t="s">
        <v>1442</v>
      </c>
      <c r="B533" s="573" t="s">
        <v>1443</v>
      </c>
      <c r="C533" s="573" t="s">
        <v>543</v>
      </c>
      <c r="D533" s="578" t="s">
        <v>544</v>
      </c>
      <c r="E533" s="573" t="s">
        <v>699</v>
      </c>
      <c r="F533" s="573" t="s">
        <v>211</v>
      </c>
      <c r="G533" s="573" t="s">
        <v>545</v>
      </c>
      <c r="H533" s="573">
        <v>2019</v>
      </c>
      <c r="I533" s="573" t="s">
        <v>1439</v>
      </c>
      <c r="J533" s="573" t="s">
        <v>575</v>
      </c>
      <c r="K533" s="573" t="s">
        <v>156</v>
      </c>
      <c r="L533" s="573">
        <v>5</v>
      </c>
      <c r="M533" s="573">
        <v>0</v>
      </c>
      <c r="N533" s="573" t="s">
        <v>157</v>
      </c>
      <c r="O533" s="573">
        <v>2</v>
      </c>
      <c r="P533" s="573" t="s">
        <v>157</v>
      </c>
      <c r="Q533" s="571" t="s">
        <v>157</v>
      </c>
      <c r="R533" s="573" t="s">
        <v>274</v>
      </c>
      <c r="S533" s="573">
        <v>4</v>
      </c>
      <c r="T533" s="573">
        <v>21119</v>
      </c>
      <c r="U533" s="573" t="s">
        <v>157</v>
      </c>
      <c r="V533" s="573">
        <v>103.1</v>
      </c>
      <c r="W533" s="573">
        <v>10.8</v>
      </c>
      <c r="X533" s="571">
        <v>3583</v>
      </c>
      <c r="Y533" s="573">
        <v>33</v>
      </c>
      <c r="Z533" s="579" t="s">
        <v>178</v>
      </c>
      <c r="AA533" s="579" t="s">
        <v>178</v>
      </c>
      <c r="AB533" s="584">
        <v>21295</v>
      </c>
      <c r="AC533" s="584" t="s">
        <v>164</v>
      </c>
      <c r="AD533" s="584">
        <v>19209</v>
      </c>
      <c r="AE533" s="586">
        <v>0.03</v>
      </c>
      <c r="AF533" s="661" t="str">
        <f t="shared" si="59"/>
        <v>2019-SUV-NIS-KIKS-003-07</v>
      </c>
      <c r="AG533" s="661" t="str">
        <f>IF(AND($Y533&gt;=32,(AI533="I"),(Y533&lt;&gt;"~"),(COUNTIF($AN$1:$AN533,$AN533)=1)),"TRUE","FALSE")</f>
        <v>FALSE</v>
      </c>
      <c r="AH533" s="661" t="str">
        <f>IF(AND($Y533&gt;=22, (AI533&lt;&gt;"I"),(Y533&lt;&gt;"~"),(COUNTIF($AN$1:$AN533,$AN533)=1)),"TRUE","FALSE")</f>
        <v>TRUE</v>
      </c>
      <c r="AI533" s="661" t="str">
        <f t="shared" si="54"/>
        <v>II</v>
      </c>
      <c r="AJ533" s="662" t="str">
        <f t="shared" si="55"/>
        <v>KIKS-003</v>
      </c>
      <c r="AK533" s="662" t="str">
        <f t="shared" si="56"/>
        <v>SUV</v>
      </c>
      <c r="AL533" s="662" t="str">
        <f t="shared" si="57"/>
        <v>NIS</v>
      </c>
      <c r="AM533" s="662" t="str">
        <f t="shared" si="53"/>
        <v>Kicks-SV-FWD-5-~-~-1.6L-4-21119-~-103.1-10.8-Unleaded-Unleaded</v>
      </c>
      <c r="AN533" s="662" t="str">
        <f t="shared" si="58"/>
        <v>2019-SUV-NIS-KIKS-003</v>
      </c>
    </row>
    <row r="534" spans="1:40" s="572" customFormat="1" ht="15">
      <c r="A534" s="570" t="s">
        <v>1444</v>
      </c>
      <c r="B534" s="569" t="s">
        <v>1445</v>
      </c>
      <c r="C534" s="569" t="s">
        <v>549</v>
      </c>
      <c r="D534" s="580">
        <v>16</v>
      </c>
      <c r="E534" s="569" t="s">
        <v>699</v>
      </c>
      <c r="F534" s="569" t="s">
        <v>211</v>
      </c>
      <c r="G534" s="569" t="s">
        <v>545</v>
      </c>
      <c r="H534" s="569">
        <v>2019</v>
      </c>
      <c r="I534" s="569" t="s">
        <v>1439</v>
      </c>
      <c r="J534" s="569" t="s">
        <v>575</v>
      </c>
      <c r="K534" s="569" t="s">
        <v>156</v>
      </c>
      <c r="L534" s="569">
        <v>5</v>
      </c>
      <c r="M534" s="569">
        <v>0</v>
      </c>
      <c r="N534" s="569" t="s">
        <v>157</v>
      </c>
      <c r="O534" s="569">
        <v>2</v>
      </c>
      <c r="P534" s="569" t="s">
        <v>157</v>
      </c>
      <c r="Q534" s="568" t="s">
        <v>157</v>
      </c>
      <c r="R534" s="569" t="s">
        <v>352</v>
      </c>
      <c r="S534" s="569">
        <v>4</v>
      </c>
      <c r="T534" s="569">
        <v>21119</v>
      </c>
      <c r="U534" s="569" t="s">
        <v>157</v>
      </c>
      <c r="V534" s="569">
        <v>103.1</v>
      </c>
      <c r="W534" s="569">
        <v>10.9</v>
      </c>
      <c r="X534" s="568">
        <v>2654</v>
      </c>
      <c r="Y534" s="569">
        <v>33</v>
      </c>
      <c r="Z534" s="581" t="s">
        <v>178</v>
      </c>
      <c r="AA534" s="581" t="s">
        <v>178</v>
      </c>
      <c r="AB534" s="585">
        <v>21295</v>
      </c>
      <c r="AC534" s="585" t="s">
        <v>164</v>
      </c>
      <c r="AD534" s="585">
        <v>17990</v>
      </c>
      <c r="AE534" s="587">
        <v>0.05</v>
      </c>
      <c r="AF534" s="661" t="str">
        <f t="shared" si="59"/>
        <v>2019-SUV-NIS-KIKS-004-16</v>
      </c>
      <c r="AG534" s="661" t="str">
        <f>IF(AND($Y534&gt;=32,(AI534="I"),(Y534&lt;&gt;"~"),(COUNTIF($AN$1:$AN534,$AN534)=1)),"TRUE","FALSE")</f>
        <v>FALSE</v>
      </c>
      <c r="AH534" s="661" t="str">
        <f>IF(AND($Y534&gt;=22, (AI534&lt;&gt;"I"),(Y534&lt;&gt;"~"),(COUNTIF($AN$1:$AN534,$AN534)=1)),"TRUE","FALSE")</f>
        <v>TRUE</v>
      </c>
      <c r="AI534" s="661" t="str">
        <f t="shared" si="54"/>
        <v>II</v>
      </c>
      <c r="AJ534" s="662" t="str">
        <f t="shared" si="55"/>
        <v>KIKS-004</v>
      </c>
      <c r="AK534" s="662" t="str">
        <f t="shared" si="56"/>
        <v>SUV</v>
      </c>
      <c r="AL534" s="662" t="str">
        <f t="shared" si="57"/>
        <v>NIS</v>
      </c>
      <c r="AM534" s="662" t="str">
        <f t="shared" si="53"/>
        <v>Kicks-SV-FWD-5-~-~-2.0L-4-21119-~-103.1-10.9-Unleaded-Unleaded</v>
      </c>
      <c r="AN534" s="662" t="str">
        <f t="shared" si="58"/>
        <v>2019-SUV-NIS-KIKS-004</v>
      </c>
    </row>
    <row r="535" spans="1:40" s="572" customFormat="1" ht="15">
      <c r="A535" s="570" t="s">
        <v>1446</v>
      </c>
      <c r="B535" s="573" t="s">
        <v>1447</v>
      </c>
      <c r="C535" s="573" t="s">
        <v>549</v>
      </c>
      <c r="D535" s="578">
        <v>16</v>
      </c>
      <c r="E535" s="573" t="s">
        <v>699</v>
      </c>
      <c r="F535" s="573" t="s">
        <v>196</v>
      </c>
      <c r="G535" s="573" t="s">
        <v>545</v>
      </c>
      <c r="H535" s="573">
        <v>2019</v>
      </c>
      <c r="I535" s="573" t="s">
        <v>1448</v>
      </c>
      <c r="J535" s="573" t="s">
        <v>273</v>
      </c>
      <c r="K535" s="573" t="s">
        <v>752</v>
      </c>
      <c r="L535" s="573">
        <v>5</v>
      </c>
      <c r="M535" s="573">
        <v>0</v>
      </c>
      <c r="N535" s="573" t="s">
        <v>157</v>
      </c>
      <c r="O535" s="573">
        <v>2</v>
      </c>
      <c r="P535" s="573" t="s">
        <v>157</v>
      </c>
      <c r="Q535" s="571">
        <v>1500</v>
      </c>
      <c r="R535" s="573" t="s">
        <v>316</v>
      </c>
      <c r="S535" s="573">
        <v>6</v>
      </c>
      <c r="T535" s="573">
        <v>23019</v>
      </c>
      <c r="U535" s="573" t="s">
        <v>157</v>
      </c>
      <c r="V535" s="573">
        <v>111.2</v>
      </c>
      <c r="W535" s="573">
        <v>19</v>
      </c>
      <c r="X535" s="571">
        <v>3913</v>
      </c>
      <c r="Y535" s="573">
        <v>24</v>
      </c>
      <c r="Z535" s="579" t="s">
        <v>178</v>
      </c>
      <c r="AA535" s="579" t="s">
        <v>178</v>
      </c>
      <c r="AB535" s="584">
        <v>32900</v>
      </c>
      <c r="AC535" s="584" t="s">
        <v>164</v>
      </c>
      <c r="AD535" s="584">
        <v>26990</v>
      </c>
      <c r="AE535" s="586">
        <v>0.05</v>
      </c>
      <c r="AF535" s="661" t="str">
        <f t="shared" si="59"/>
        <v>2019-SUV-NIS-MRNO-001-16</v>
      </c>
      <c r="AG535" s="661" t="str">
        <f>IF(AND($Y535&gt;=32,(AI535="I"),(Y535&lt;&gt;"~"),(COUNTIF($AN$1:$AN535,$AN535)=1)),"TRUE","FALSE")</f>
        <v>FALSE</v>
      </c>
      <c r="AH535" s="661" t="str">
        <f>IF(AND($Y535&gt;=22, (AI535&lt;&gt;"I"),(Y535&lt;&gt;"~"),(COUNTIF($AN$1:$AN535,$AN535)=1)),"TRUE","FALSE")</f>
        <v>TRUE</v>
      </c>
      <c r="AI535" s="661" t="str">
        <f t="shared" si="54"/>
        <v>II</v>
      </c>
      <c r="AJ535" s="662" t="str">
        <f t="shared" si="55"/>
        <v>MRNO-001</v>
      </c>
      <c r="AK535" s="662" t="str">
        <f t="shared" si="56"/>
        <v>SUV</v>
      </c>
      <c r="AL535" s="662" t="str">
        <f t="shared" si="57"/>
        <v>NIS</v>
      </c>
      <c r="AM535" s="662" t="str">
        <f t="shared" si="53"/>
        <v>Murano-S-4WD-5-~-1500-3.5L-6-23019-~-111.2-19-Unleaded-Unleaded</v>
      </c>
      <c r="AN535" s="662" t="str">
        <f t="shared" si="58"/>
        <v>2019-SUV-NIS-MRNO-001</v>
      </c>
    </row>
    <row r="536" spans="1:40" s="572" customFormat="1" ht="15">
      <c r="A536" s="570" t="s">
        <v>1449</v>
      </c>
      <c r="B536" s="569" t="s">
        <v>1450</v>
      </c>
      <c r="C536" s="569" t="s">
        <v>549</v>
      </c>
      <c r="D536" s="580">
        <v>16</v>
      </c>
      <c r="E536" s="569" t="s">
        <v>699</v>
      </c>
      <c r="F536" s="569" t="s">
        <v>196</v>
      </c>
      <c r="G536" s="569" t="s">
        <v>545</v>
      </c>
      <c r="H536" s="569">
        <v>2019</v>
      </c>
      <c r="I536" s="569" t="s">
        <v>1448</v>
      </c>
      <c r="J536" s="569" t="s">
        <v>575</v>
      </c>
      <c r="K536" s="569" t="s">
        <v>752</v>
      </c>
      <c r="L536" s="569">
        <v>5</v>
      </c>
      <c r="M536" s="569">
        <v>0</v>
      </c>
      <c r="N536" s="569" t="s">
        <v>157</v>
      </c>
      <c r="O536" s="569">
        <v>2</v>
      </c>
      <c r="P536" s="569" t="s">
        <v>157</v>
      </c>
      <c r="Q536" s="568">
        <v>1500</v>
      </c>
      <c r="R536" s="569" t="s">
        <v>316</v>
      </c>
      <c r="S536" s="569">
        <v>6</v>
      </c>
      <c r="T536" s="569">
        <v>23219</v>
      </c>
      <c r="U536" s="569" t="s">
        <v>157</v>
      </c>
      <c r="V536" s="569">
        <v>111.2</v>
      </c>
      <c r="W536" s="569">
        <v>19</v>
      </c>
      <c r="X536" s="568">
        <v>3913</v>
      </c>
      <c r="Y536" s="569">
        <v>24</v>
      </c>
      <c r="Z536" s="581" t="s">
        <v>178</v>
      </c>
      <c r="AA536" s="581" t="s">
        <v>178</v>
      </c>
      <c r="AB536" s="585">
        <v>36200</v>
      </c>
      <c r="AC536" s="585" t="s">
        <v>164</v>
      </c>
      <c r="AD536" s="585">
        <v>29990</v>
      </c>
      <c r="AE536" s="587">
        <v>0.05</v>
      </c>
      <c r="AF536" s="661" t="str">
        <f t="shared" si="59"/>
        <v>2019-SUV-NIS-MRNO-002-16</v>
      </c>
      <c r="AG536" s="661" t="str">
        <f>IF(AND($Y536&gt;=32,(AI536="I"),(Y536&lt;&gt;"~"),(COUNTIF($AN$1:$AN536,$AN536)=1)),"TRUE","FALSE")</f>
        <v>FALSE</v>
      </c>
      <c r="AH536" s="661" t="str">
        <f>IF(AND($Y536&gt;=22, (AI536&lt;&gt;"I"),(Y536&lt;&gt;"~"),(COUNTIF($AN$1:$AN536,$AN536)=1)),"TRUE","FALSE")</f>
        <v>TRUE</v>
      </c>
      <c r="AI536" s="661" t="str">
        <f t="shared" si="54"/>
        <v>II</v>
      </c>
      <c r="AJ536" s="662" t="str">
        <f t="shared" si="55"/>
        <v>MRNO-002</v>
      </c>
      <c r="AK536" s="662" t="str">
        <f t="shared" si="56"/>
        <v>SUV</v>
      </c>
      <c r="AL536" s="662" t="str">
        <f t="shared" si="57"/>
        <v>NIS</v>
      </c>
      <c r="AM536" s="662" t="str">
        <f t="shared" si="53"/>
        <v>Murano-SV-4WD-5-~-1500-3.5L-6-23219-~-111.2-19-Unleaded-Unleaded</v>
      </c>
      <c r="AN536" s="662" t="str">
        <f t="shared" si="58"/>
        <v>2019-SUV-NIS-MRNO-002</v>
      </c>
    </row>
    <row r="537" spans="1:40" s="572" customFormat="1" ht="15">
      <c r="A537" s="570" t="s">
        <v>1451</v>
      </c>
      <c r="B537" s="573" t="s">
        <v>1452</v>
      </c>
      <c r="C537" s="573" t="s">
        <v>543</v>
      </c>
      <c r="D537" s="578" t="s">
        <v>544</v>
      </c>
      <c r="E537" s="573" t="s">
        <v>699</v>
      </c>
      <c r="F537" s="573" t="s">
        <v>196</v>
      </c>
      <c r="G537" s="573" t="s">
        <v>545</v>
      </c>
      <c r="H537" s="573">
        <v>2019</v>
      </c>
      <c r="I537" s="573" t="s">
        <v>1453</v>
      </c>
      <c r="J537" s="573" t="s">
        <v>273</v>
      </c>
      <c r="K537" s="573" t="s">
        <v>752</v>
      </c>
      <c r="L537" s="573">
        <v>7</v>
      </c>
      <c r="M537" s="573">
        <v>0</v>
      </c>
      <c r="N537" s="573" t="s">
        <v>157</v>
      </c>
      <c r="O537" s="573">
        <v>3</v>
      </c>
      <c r="P537" s="573" t="s">
        <v>157</v>
      </c>
      <c r="Q537" s="571"/>
      <c r="R537" s="573" t="s">
        <v>316</v>
      </c>
      <c r="S537" s="573">
        <v>6</v>
      </c>
      <c r="T537" s="573">
        <v>25019</v>
      </c>
      <c r="U537" s="573" t="s">
        <v>157</v>
      </c>
      <c r="V537" s="573">
        <v>114.2</v>
      </c>
      <c r="W537" s="573">
        <v>19.5</v>
      </c>
      <c r="X537" s="571">
        <v>5986</v>
      </c>
      <c r="Y537" s="573">
        <v>22</v>
      </c>
      <c r="Z537" s="579" t="s">
        <v>178</v>
      </c>
      <c r="AA537" s="579" t="s">
        <v>178</v>
      </c>
      <c r="AB537" s="584">
        <v>33965</v>
      </c>
      <c r="AC537" s="584" t="s">
        <v>164</v>
      </c>
      <c r="AD537" s="584">
        <v>27389</v>
      </c>
      <c r="AE537" s="586">
        <v>0.03</v>
      </c>
      <c r="AF537" s="661" t="str">
        <f t="shared" si="59"/>
        <v>2019-SUV-NIS-PFDR-001-07</v>
      </c>
      <c r="AG537" s="661" t="str">
        <f>IF(AND($Y537&gt;=32,(AI537="I"),(Y537&lt;&gt;"~"),(COUNTIF($AN$1:$AN537,$AN537)=1)),"TRUE","FALSE")</f>
        <v>FALSE</v>
      </c>
      <c r="AH537" s="661" t="str">
        <f>IF(AND($Y537&gt;=22, (AI537&lt;&gt;"I"),(Y537&lt;&gt;"~"),(COUNTIF($AN$1:$AN537,$AN537)=1)),"TRUE","FALSE")</f>
        <v>TRUE</v>
      </c>
      <c r="AI537" s="661" t="str">
        <f t="shared" si="54"/>
        <v>II</v>
      </c>
      <c r="AJ537" s="662" t="str">
        <f t="shared" si="55"/>
        <v>PFDR-001</v>
      </c>
      <c r="AK537" s="662" t="str">
        <f t="shared" si="56"/>
        <v>SUV</v>
      </c>
      <c r="AL537" s="662" t="str">
        <f t="shared" si="57"/>
        <v>NIS</v>
      </c>
      <c r="AM537" s="662" t="str">
        <f t="shared" si="53"/>
        <v>Pathfinder-S-4WD-7-~--3.5L-6-25019-~-114.2-19.5-Unleaded-Unleaded</v>
      </c>
      <c r="AN537" s="662" t="str">
        <f t="shared" si="58"/>
        <v>2019-SUV-NIS-PFDR-001</v>
      </c>
    </row>
    <row r="538" spans="1:40" s="572" customFormat="1" ht="15">
      <c r="A538" s="570" t="s">
        <v>1454</v>
      </c>
      <c r="B538" s="569" t="s">
        <v>1455</v>
      </c>
      <c r="C538" s="569" t="s">
        <v>543</v>
      </c>
      <c r="D538" s="580" t="s">
        <v>544</v>
      </c>
      <c r="E538" s="569" t="s">
        <v>699</v>
      </c>
      <c r="F538" s="569" t="s">
        <v>196</v>
      </c>
      <c r="G538" s="569" t="s">
        <v>545</v>
      </c>
      <c r="H538" s="569">
        <v>2019</v>
      </c>
      <c r="I538" s="569" t="s">
        <v>1453</v>
      </c>
      <c r="J538" s="569" t="s">
        <v>273</v>
      </c>
      <c r="K538" s="569" t="s">
        <v>752</v>
      </c>
      <c r="L538" s="569">
        <v>7</v>
      </c>
      <c r="M538" s="569">
        <v>0</v>
      </c>
      <c r="N538" s="569" t="s">
        <v>157</v>
      </c>
      <c r="O538" s="569">
        <v>3</v>
      </c>
      <c r="P538" s="569" t="s">
        <v>157</v>
      </c>
      <c r="Q538" s="568">
        <v>6000</v>
      </c>
      <c r="R538" s="569" t="s">
        <v>316</v>
      </c>
      <c r="S538" s="569">
        <v>6</v>
      </c>
      <c r="T538" s="569">
        <v>25019</v>
      </c>
      <c r="U538" s="569" t="s">
        <v>157</v>
      </c>
      <c r="V538" s="569">
        <v>114.2</v>
      </c>
      <c r="W538" s="569">
        <v>19.5</v>
      </c>
      <c r="X538" s="568">
        <v>5986</v>
      </c>
      <c r="Y538" s="569">
        <v>22</v>
      </c>
      <c r="Z538" s="581" t="s">
        <v>178</v>
      </c>
      <c r="AA538" s="581" t="s">
        <v>178</v>
      </c>
      <c r="AB538" s="585">
        <v>33965</v>
      </c>
      <c r="AC538" s="585" t="s">
        <v>164</v>
      </c>
      <c r="AD538" s="585">
        <v>27389</v>
      </c>
      <c r="AE538" s="587">
        <v>0.03</v>
      </c>
      <c r="AF538" s="661" t="str">
        <f t="shared" si="59"/>
        <v>2019-SUV-NIS-PFDR-002-07</v>
      </c>
      <c r="AG538" s="661" t="str">
        <f>IF(AND($Y538&gt;=32,(AI538="I"),(Y538&lt;&gt;"~"),(COUNTIF($AN$1:$AN538,$AN538)=1)),"TRUE","FALSE")</f>
        <v>FALSE</v>
      </c>
      <c r="AH538" s="661" t="str">
        <f>IF(AND($Y538&gt;=22, (AI538&lt;&gt;"I"),(Y538&lt;&gt;"~"),(COUNTIF($AN$1:$AN538,$AN538)=1)),"TRUE","FALSE")</f>
        <v>TRUE</v>
      </c>
      <c r="AI538" s="661" t="str">
        <f t="shared" si="54"/>
        <v>II</v>
      </c>
      <c r="AJ538" s="662" t="str">
        <f t="shared" si="55"/>
        <v>PFDR-002</v>
      </c>
      <c r="AK538" s="662" t="str">
        <f t="shared" si="56"/>
        <v>SUV</v>
      </c>
      <c r="AL538" s="662" t="str">
        <f t="shared" si="57"/>
        <v>NIS</v>
      </c>
      <c r="AM538" s="662" t="str">
        <f t="shared" si="53"/>
        <v>Pathfinder-S-4WD-7-~-6000-3.5L-6-25019-~-114.2-19.5-Unleaded-Unleaded</v>
      </c>
      <c r="AN538" s="662" t="str">
        <f t="shared" si="58"/>
        <v>2019-SUV-NIS-PFDR-002</v>
      </c>
    </row>
    <row r="539" spans="1:40" s="572" customFormat="1" ht="15">
      <c r="A539" s="570" t="s">
        <v>1456</v>
      </c>
      <c r="B539" s="573" t="s">
        <v>1455</v>
      </c>
      <c r="C539" s="573" t="s">
        <v>549</v>
      </c>
      <c r="D539" s="578">
        <v>16</v>
      </c>
      <c r="E539" s="573" t="s">
        <v>699</v>
      </c>
      <c r="F539" s="573" t="s">
        <v>196</v>
      </c>
      <c r="G539" s="573" t="s">
        <v>545</v>
      </c>
      <c r="H539" s="573">
        <v>2019</v>
      </c>
      <c r="I539" s="573" t="s">
        <v>1453</v>
      </c>
      <c r="J539" s="573" t="s">
        <v>273</v>
      </c>
      <c r="K539" s="573" t="s">
        <v>752</v>
      </c>
      <c r="L539" s="573">
        <v>7</v>
      </c>
      <c r="M539" s="573">
        <v>0</v>
      </c>
      <c r="N539" s="573" t="s">
        <v>157</v>
      </c>
      <c r="O539" s="573">
        <v>3</v>
      </c>
      <c r="P539" s="573" t="s">
        <v>157</v>
      </c>
      <c r="Q539" s="571">
        <v>6000</v>
      </c>
      <c r="R539" s="573" t="s">
        <v>316</v>
      </c>
      <c r="S539" s="573">
        <v>6</v>
      </c>
      <c r="T539" s="573">
        <v>25019</v>
      </c>
      <c r="U539" s="573" t="s">
        <v>157</v>
      </c>
      <c r="V539" s="573">
        <v>114.2</v>
      </c>
      <c r="W539" s="573">
        <v>19.5</v>
      </c>
      <c r="X539" s="571">
        <v>5986</v>
      </c>
      <c r="Y539" s="573">
        <v>22</v>
      </c>
      <c r="Z539" s="579" t="s">
        <v>178</v>
      </c>
      <c r="AA539" s="579" t="s">
        <v>178</v>
      </c>
      <c r="AB539" s="584">
        <v>33915</v>
      </c>
      <c r="AC539" s="584" t="s">
        <v>164</v>
      </c>
      <c r="AD539" s="584">
        <v>26950</v>
      </c>
      <c r="AE539" s="586">
        <v>0.05</v>
      </c>
      <c r="AF539" s="661" t="str">
        <f t="shared" si="59"/>
        <v>2019-SUV-NIS-PFDR-002-16</v>
      </c>
      <c r="AG539" s="661" t="str">
        <f>IF(AND($Y539&gt;=32,(AI539="I"),(Y539&lt;&gt;"~"),(COUNTIF($AN$1:$AN539,$AN539)=1)),"TRUE","FALSE")</f>
        <v>FALSE</v>
      </c>
      <c r="AH539" s="661" t="str">
        <f>IF(AND($Y539&gt;=22, (AI539&lt;&gt;"I"),(Y539&lt;&gt;"~"),(COUNTIF($AN$1:$AN539,$AN539)=1)),"TRUE","FALSE")</f>
        <v>FALSE</v>
      </c>
      <c r="AI539" s="661" t="str">
        <f t="shared" si="54"/>
        <v>II</v>
      </c>
      <c r="AJ539" s="662" t="str">
        <f t="shared" si="55"/>
        <v>PFDR-002</v>
      </c>
      <c r="AK539" s="662" t="str">
        <f t="shared" si="56"/>
        <v>SUV</v>
      </c>
      <c r="AL539" s="662" t="str">
        <f t="shared" si="57"/>
        <v>NIS</v>
      </c>
      <c r="AM539" s="662" t="str">
        <f t="shared" ref="AM539:AM602" si="60">CONCATENATE(I539,"-",J539,"-",K539,"-",L539,"-",P539,"-",Q539,"-",R539,"-",S539,"-",T539,"-",U539,"-",V539,"-",W539,"-",Z539,"-",AA539)</f>
        <v>Pathfinder-S-4WD-7-~-6000-3.5L-6-25019-~-114.2-19.5-Unleaded-Unleaded</v>
      </c>
      <c r="AN539" s="662" t="str">
        <f t="shared" si="58"/>
        <v>2019-SUV-NIS-PFDR-002</v>
      </c>
    </row>
    <row r="540" spans="1:40" s="572" customFormat="1" ht="15">
      <c r="A540" s="570" t="s">
        <v>1457</v>
      </c>
      <c r="B540" s="569" t="s">
        <v>1458</v>
      </c>
      <c r="C540" s="569" t="s">
        <v>543</v>
      </c>
      <c r="D540" s="580" t="s">
        <v>544</v>
      </c>
      <c r="E540" s="569" t="s">
        <v>699</v>
      </c>
      <c r="F540" s="569" t="s">
        <v>196</v>
      </c>
      <c r="G540" s="569" t="s">
        <v>545</v>
      </c>
      <c r="H540" s="569">
        <v>2019</v>
      </c>
      <c r="I540" s="569" t="s">
        <v>1453</v>
      </c>
      <c r="J540" s="569" t="s">
        <v>273</v>
      </c>
      <c r="K540" s="569" t="s">
        <v>156</v>
      </c>
      <c r="L540" s="569">
        <v>7</v>
      </c>
      <c r="M540" s="569">
        <v>0</v>
      </c>
      <c r="N540" s="569" t="s">
        <v>157</v>
      </c>
      <c r="O540" s="569">
        <v>3</v>
      </c>
      <c r="P540" s="569" t="s">
        <v>157</v>
      </c>
      <c r="Q540" s="568" t="s">
        <v>157</v>
      </c>
      <c r="R540" s="569" t="s">
        <v>316</v>
      </c>
      <c r="S540" s="569">
        <v>6</v>
      </c>
      <c r="T540" s="569">
        <v>25119</v>
      </c>
      <c r="U540" s="569" t="s">
        <v>157</v>
      </c>
      <c r="V540" s="569">
        <v>114.2</v>
      </c>
      <c r="W540" s="569">
        <v>19.5</v>
      </c>
      <c r="X540" s="568">
        <v>5986</v>
      </c>
      <c r="Y540" s="569">
        <v>23</v>
      </c>
      <c r="Z540" s="581" t="s">
        <v>178</v>
      </c>
      <c r="AA540" s="581" t="s">
        <v>178</v>
      </c>
      <c r="AB540" s="585">
        <v>32275</v>
      </c>
      <c r="AC540" s="585" t="s">
        <v>164</v>
      </c>
      <c r="AD540" s="585">
        <v>25799</v>
      </c>
      <c r="AE540" s="587">
        <v>0.03</v>
      </c>
      <c r="AF540" s="661" t="str">
        <f t="shared" si="59"/>
        <v>2019-SUV-NIS-PFDR-003-07</v>
      </c>
      <c r="AG540" s="661" t="str">
        <f>IF(AND($Y540&gt;=32,(AI540="I"),(Y540&lt;&gt;"~"),(COUNTIF($AN$1:$AN540,$AN540)=1)),"TRUE","FALSE")</f>
        <v>FALSE</v>
      </c>
      <c r="AH540" s="661" t="str">
        <f>IF(AND($Y540&gt;=22, (AI540&lt;&gt;"I"),(Y540&lt;&gt;"~"),(COUNTIF($AN$1:$AN540,$AN540)=1)),"TRUE","FALSE")</f>
        <v>TRUE</v>
      </c>
      <c r="AI540" s="661" t="str">
        <f t="shared" ref="AI540:AI603" si="61">IF(OR((LEFT($E540,2)="01"),AND(LEFT($E540,2)="06",ISNUMBER(SEARCH("pas",$F540))),AND(LEFT($E540,2)="05",ISNUMBER(SEARCH("pas",$F540)))),"I",IF(AND((LEFT($E540,2)&lt;&gt;"01"),$X540&lt;=10000),"II",IF(AND((LEFT($E540,2)&lt;&gt;"01"),$X540&gt;10000),"N/A")))</f>
        <v>II</v>
      </c>
      <c r="AJ540" s="662" t="str">
        <f t="shared" si="55"/>
        <v>PFDR-003</v>
      </c>
      <c r="AK540" s="662" t="str">
        <f t="shared" si="56"/>
        <v>SUV</v>
      </c>
      <c r="AL540" s="662" t="str">
        <f t="shared" si="57"/>
        <v>NIS</v>
      </c>
      <c r="AM540" s="662" t="str">
        <f t="shared" si="60"/>
        <v>Pathfinder-S-FWD-7-~-~-3.5L-6-25119-~-114.2-19.5-Unleaded-Unleaded</v>
      </c>
      <c r="AN540" s="662" t="str">
        <f t="shared" si="58"/>
        <v>2019-SUV-NIS-PFDR-003</v>
      </c>
    </row>
    <row r="541" spans="1:40" s="572" customFormat="1" ht="15">
      <c r="A541" s="570" t="s">
        <v>1459</v>
      </c>
      <c r="B541" s="573" t="s">
        <v>1460</v>
      </c>
      <c r="C541" s="573" t="s">
        <v>549</v>
      </c>
      <c r="D541" s="578">
        <v>16</v>
      </c>
      <c r="E541" s="573" t="s">
        <v>699</v>
      </c>
      <c r="F541" s="573" t="s">
        <v>196</v>
      </c>
      <c r="G541" s="573" t="s">
        <v>545</v>
      </c>
      <c r="H541" s="573">
        <v>2019</v>
      </c>
      <c r="I541" s="573" t="s">
        <v>1453</v>
      </c>
      <c r="J541" s="573" t="s">
        <v>575</v>
      </c>
      <c r="K541" s="573" t="s">
        <v>752</v>
      </c>
      <c r="L541" s="573">
        <v>7</v>
      </c>
      <c r="M541" s="573">
        <v>0</v>
      </c>
      <c r="N541" s="573" t="s">
        <v>157</v>
      </c>
      <c r="O541" s="573">
        <v>3</v>
      </c>
      <c r="P541" s="573" t="s">
        <v>157</v>
      </c>
      <c r="Q541" s="571">
        <v>6000</v>
      </c>
      <c r="R541" s="573" t="s">
        <v>316</v>
      </c>
      <c r="S541" s="573">
        <v>6</v>
      </c>
      <c r="T541" s="573">
        <v>25219</v>
      </c>
      <c r="U541" s="573" t="s">
        <v>157</v>
      </c>
      <c r="V541" s="573">
        <v>114.2</v>
      </c>
      <c r="W541" s="573">
        <v>19.5</v>
      </c>
      <c r="X541" s="571">
        <v>5986</v>
      </c>
      <c r="Y541" s="573">
        <v>22</v>
      </c>
      <c r="Z541" s="579" t="s">
        <v>178</v>
      </c>
      <c r="AA541" s="579" t="s">
        <v>178</v>
      </c>
      <c r="AB541" s="584">
        <v>36995</v>
      </c>
      <c r="AC541" s="584" t="s">
        <v>164</v>
      </c>
      <c r="AD541" s="584">
        <v>29990</v>
      </c>
      <c r="AE541" s="586">
        <v>0.05</v>
      </c>
      <c r="AF541" s="661" t="str">
        <f t="shared" si="59"/>
        <v>2019-SUV-NIS-PFDR-004-16</v>
      </c>
      <c r="AG541" s="661" t="str">
        <f>IF(AND($Y541&gt;=32,(AI541="I"),(Y541&lt;&gt;"~"),(COUNTIF($AN$1:$AN541,$AN541)=1)),"TRUE","FALSE")</f>
        <v>FALSE</v>
      </c>
      <c r="AH541" s="661" t="str">
        <f>IF(AND($Y541&gt;=22, (AI541&lt;&gt;"I"),(Y541&lt;&gt;"~"),(COUNTIF($AN$1:$AN541,$AN541)=1)),"TRUE","FALSE")</f>
        <v>TRUE</v>
      </c>
      <c r="AI541" s="661" t="str">
        <f t="shared" si="61"/>
        <v>II</v>
      </c>
      <c r="AJ541" s="662" t="str">
        <f t="shared" si="55"/>
        <v>PFDR-004</v>
      </c>
      <c r="AK541" s="662" t="str">
        <f t="shared" si="56"/>
        <v>SUV</v>
      </c>
      <c r="AL541" s="662" t="str">
        <f t="shared" si="57"/>
        <v>NIS</v>
      </c>
      <c r="AM541" s="662" t="str">
        <f t="shared" si="60"/>
        <v>Pathfinder-SV-4WD-7-~-6000-3.5L-6-25219-~-114.2-19.5-Unleaded-Unleaded</v>
      </c>
      <c r="AN541" s="662" t="str">
        <f t="shared" si="58"/>
        <v>2019-SUV-NIS-PFDR-004</v>
      </c>
    </row>
    <row r="542" spans="1:40" s="572" customFormat="1" ht="15">
      <c r="A542" s="570" t="s">
        <v>1461</v>
      </c>
      <c r="B542" s="569" t="s">
        <v>1462</v>
      </c>
      <c r="C542" s="569" t="s">
        <v>543</v>
      </c>
      <c r="D542" s="580" t="s">
        <v>544</v>
      </c>
      <c r="E542" s="569" t="s">
        <v>699</v>
      </c>
      <c r="F542" s="569" t="s">
        <v>152</v>
      </c>
      <c r="G542" s="569" t="s">
        <v>545</v>
      </c>
      <c r="H542" s="569">
        <v>2019</v>
      </c>
      <c r="I542" s="569" t="s">
        <v>1463</v>
      </c>
      <c r="J542" s="569" t="s">
        <v>273</v>
      </c>
      <c r="K542" s="569" t="s">
        <v>230</v>
      </c>
      <c r="L542" s="569">
        <v>5</v>
      </c>
      <c r="M542" s="569">
        <v>0</v>
      </c>
      <c r="N542" s="569" t="s">
        <v>157</v>
      </c>
      <c r="O542" s="569">
        <v>2</v>
      </c>
      <c r="P542" s="569" t="s">
        <v>157</v>
      </c>
      <c r="Q542" s="568" t="s">
        <v>157</v>
      </c>
      <c r="R542" s="569" t="s">
        <v>189</v>
      </c>
      <c r="S542" s="569">
        <v>4</v>
      </c>
      <c r="T542" s="569">
        <v>22019</v>
      </c>
      <c r="U542" s="569" t="s">
        <v>157</v>
      </c>
      <c r="V542" s="569">
        <v>106.5</v>
      </c>
      <c r="W542" s="569">
        <v>14.5</v>
      </c>
      <c r="X542" s="568">
        <v>4678</v>
      </c>
      <c r="Y542" s="569">
        <v>28</v>
      </c>
      <c r="Z542" s="581" t="s">
        <v>178</v>
      </c>
      <c r="AA542" s="581" t="s">
        <v>178</v>
      </c>
      <c r="AB542" s="585">
        <v>27195</v>
      </c>
      <c r="AC542" s="585" t="s">
        <v>164</v>
      </c>
      <c r="AD542" s="585">
        <v>22433.5</v>
      </c>
      <c r="AE542" s="587">
        <v>0.03</v>
      </c>
      <c r="AF542" s="661" t="str">
        <f t="shared" si="59"/>
        <v>2019-SUV-NIS-ROGE-001-07</v>
      </c>
      <c r="AG542" s="661" t="str">
        <f>IF(AND($Y542&gt;=32,(AI542="I"),(Y542&lt;&gt;"~"),(COUNTIF($AN$1:$AN542,$AN542)=1)),"TRUE","FALSE")</f>
        <v>FALSE</v>
      </c>
      <c r="AH542" s="661" t="str">
        <f>IF(AND($Y542&gt;=22, (AI542&lt;&gt;"I"),(Y542&lt;&gt;"~"),(COUNTIF($AN$1:$AN542,$AN542)=1)),"TRUE","FALSE")</f>
        <v>TRUE</v>
      </c>
      <c r="AI542" s="661" t="str">
        <f t="shared" si="61"/>
        <v>II</v>
      </c>
      <c r="AJ542" s="662" t="str">
        <f t="shared" si="55"/>
        <v>ROGE-001</v>
      </c>
      <c r="AK542" s="662" t="str">
        <f t="shared" si="56"/>
        <v>SUV</v>
      </c>
      <c r="AL542" s="662" t="str">
        <f t="shared" si="57"/>
        <v>NIS</v>
      </c>
      <c r="AM542" s="662" t="str">
        <f t="shared" si="60"/>
        <v>Rogue-S-AWD-5-~-~-2.5L-4-22019-~-106.5-14.5-Unleaded-Unleaded</v>
      </c>
      <c r="AN542" s="662" t="str">
        <f t="shared" si="58"/>
        <v>2019-SUV-NIS-ROGE-001</v>
      </c>
    </row>
    <row r="543" spans="1:40" s="572" customFormat="1" ht="15">
      <c r="A543" s="570" t="s">
        <v>1464</v>
      </c>
      <c r="B543" s="573" t="s">
        <v>1462</v>
      </c>
      <c r="C543" s="573" t="s">
        <v>549</v>
      </c>
      <c r="D543" s="578">
        <v>16</v>
      </c>
      <c r="E543" s="573" t="s">
        <v>699</v>
      </c>
      <c r="F543" s="573" t="s">
        <v>152</v>
      </c>
      <c r="G543" s="573" t="s">
        <v>545</v>
      </c>
      <c r="H543" s="573">
        <v>2019</v>
      </c>
      <c r="I543" s="573" t="s">
        <v>1463</v>
      </c>
      <c r="J543" s="573" t="s">
        <v>273</v>
      </c>
      <c r="K543" s="573" t="s">
        <v>230</v>
      </c>
      <c r="L543" s="573">
        <v>5</v>
      </c>
      <c r="M543" s="573">
        <v>0</v>
      </c>
      <c r="N543" s="573" t="s">
        <v>157</v>
      </c>
      <c r="O543" s="573">
        <v>2</v>
      </c>
      <c r="P543" s="573" t="s">
        <v>157</v>
      </c>
      <c r="Q543" s="571">
        <v>1102</v>
      </c>
      <c r="R543" s="573" t="s">
        <v>189</v>
      </c>
      <c r="S543" s="573">
        <v>4</v>
      </c>
      <c r="T543" s="573">
        <v>22019</v>
      </c>
      <c r="U543" s="573" t="s">
        <v>157</v>
      </c>
      <c r="V543" s="573">
        <v>106.5</v>
      </c>
      <c r="W543" s="573">
        <v>14.5</v>
      </c>
      <c r="X543" s="571">
        <v>4678</v>
      </c>
      <c r="Y543" s="573">
        <v>28</v>
      </c>
      <c r="Z543" s="579" t="s">
        <v>178</v>
      </c>
      <c r="AA543" s="579" t="s">
        <v>178</v>
      </c>
      <c r="AB543" s="584">
        <v>27195</v>
      </c>
      <c r="AC543" s="584" t="s">
        <v>164</v>
      </c>
      <c r="AD543" s="584">
        <v>21490</v>
      </c>
      <c r="AE543" s="586">
        <v>0.05</v>
      </c>
      <c r="AF543" s="661" t="str">
        <f t="shared" si="59"/>
        <v>2019-SUV-NIS-ROGE-001-16</v>
      </c>
      <c r="AG543" s="661" t="str">
        <f>IF(AND($Y543&gt;=32,(AI543="I"),(Y543&lt;&gt;"~"),(COUNTIF($AN$1:$AN543,$AN543)=1)),"TRUE","FALSE")</f>
        <v>FALSE</v>
      </c>
      <c r="AH543" s="661" t="str">
        <f>IF(AND($Y543&gt;=22, (AI543&lt;&gt;"I"),(Y543&lt;&gt;"~"),(COUNTIF($AN$1:$AN543,$AN543)=1)),"TRUE","FALSE")</f>
        <v>FALSE</v>
      </c>
      <c r="AI543" s="661" t="str">
        <f t="shared" si="61"/>
        <v>II</v>
      </c>
      <c r="AJ543" s="662" t="str">
        <f t="shared" si="55"/>
        <v>ROGE-001</v>
      </c>
      <c r="AK543" s="662" t="str">
        <f t="shared" si="56"/>
        <v>SUV</v>
      </c>
      <c r="AL543" s="662" t="str">
        <f t="shared" si="57"/>
        <v>NIS</v>
      </c>
      <c r="AM543" s="662" t="str">
        <f t="shared" si="60"/>
        <v>Rogue-S-AWD-5-~-1102-2.5L-4-22019-~-106.5-14.5-Unleaded-Unleaded</v>
      </c>
      <c r="AN543" s="662" t="str">
        <f t="shared" si="58"/>
        <v>2019-SUV-NIS-ROGE-001</v>
      </c>
    </row>
    <row r="544" spans="1:40" s="572" customFormat="1" ht="15">
      <c r="A544" s="570" t="s">
        <v>1465</v>
      </c>
      <c r="B544" s="569" t="s">
        <v>1466</v>
      </c>
      <c r="C544" s="569" t="s">
        <v>543</v>
      </c>
      <c r="D544" s="580" t="s">
        <v>544</v>
      </c>
      <c r="E544" s="569" t="s">
        <v>699</v>
      </c>
      <c r="F544" s="569" t="s">
        <v>152</v>
      </c>
      <c r="G544" s="569" t="s">
        <v>545</v>
      </c>
      <c r="H544" s="569">
        <v>2019</v>
      </c>
      <c r="I544" s="569" t="s">
        <v>1463</v>
      </c>
      <c r="J544" s="569" t="s">
        <v>273</v>
      </c>
      <c r="K544" s="569" t="s">
        <v>156</v>
      </c>
      <c r="L544" s="569">
        <v>5</v>
      </c>
      <c r="M544" s="569">
        <v>0</v>
      </c>
      <c r="N544" s="569" t="s">
        <v>157</v>
      </c>
      <c r="O544" s="569">
        <v>2</v>
      </c>
      <c r="P544" s="569" t="s">
        <v>157</v>
      </c>
      <c r="Q544" s="568" t="s">
        <v>157</v>
      </c>
      <c r="R544" s="569" t="s">
        <v>189</v>
      </c>
      <c r="S544" s="569">
        <v>4</v>
      </c>
      <c r="T544" s="569">
        <v>22119</v>
      </c>
      <c r="U544" s="569" t="s">
        <v>157</v>
      </c>
      <c r="V544" s="569">
        <v>106.5</v>
      </c>
      <c r="W544" s="569">
        <v>14.5</v>
      </c>
      <c r="X544" s="568">
        <v>4489</v>
      </c>
      <c r="Y544" s="569">
        <v>29</v>
      </c>
      <c r="Z544" s="581" t="s">
        <v>178</v>
      </c>
      <c r="AA544" s="581" t="s">
        <v>178</v>
      </c>
      <c r="AB544" s="585">
        <v>25845</v>
      </c>
      <c r="AC544" s="585" t="s">
        <v>164</v>
      </c>
      <c r="AD544" s="585">
        <v>21097</v>
      </c>
      <c r="AE544" s="587">
        <v>0.03</v>
      </c>
      <c r="AF544" s="661" t="str">
        <f t="shared" si="59"/>
        <v>2019-SUV-NIS-ROGE-002-07</v>
      </c>
      <c r="AG544" s="661" t="str">
        <f>IF(AND($Y544&gt;=32,(AI544="I"),(Y544&lt;&gt;"~"),(COUNTIF($AN$1:$AN544,$AN544)=1)),"TRUE","FALSE")</f>
        <v>FALSE</v>
      </c>
      <c r="AH544" s="661" t="str">
        <f>IF(AND($Y544&gt;=22, (AI544&lt;&gt;"I"),(Y544&lt;&gt;"~"),(COUNTIF($AN$1:$AN544,$AN544)=1)),"TRUE","FALSE")</f>
        <v>TRUE</v>
      </c>
      <c r="AI544" s="661" t="str">
        <f t="shared" si="61"/>
        <v>II</v>
      </c>
      <c r="AJ544" s="662" t="str">
        <f t="shared" si="55"/>
        <v>ROGE-002</v>
      </c>
      <c r="AK544" s="662" t="str">
        <f t="shared" si="56"/>
        <v>SUV</v>
      </c>
      <c r="AL544" s="662" t="str">
        <f t="shared" si="57"/>
        <v>NIS</v>
      </c>
      <c r="AM544" s="662" t="str">
        <f t="shared" si="60"/>
        <v>Rogue-S-FWD-5-~-~-2.5L-4-22119-~-106.5-14.5-Unleaded-Unleaded</v>
      </c>
      <c r="AN544" s="662" t="str">
        <f t="shared" si="58"/>
        <v>2019-SUV-NIS-ROGE-002</v>
      </c>
    </row>
    <row r="545" spans="1:40" s="572" customFormat="1" ht="15">
      <c r="A545" s="570" t="s">
        <v>1467</v>
      </c>
      <c r="B545" s="573" t="s">
        <v>1468</v>
      </c>
      <c r="C545" s="573" t="s">
        <v>543</v>
      </c>
      <c r="D545" s="578" t="s">
        <v>544</v>
      </c>
      <c r="E545" s="573" t="s">
        <v>699</v>
      </c>
      <c r="F545" s="573" t="s">
        <v>152</v>
      </c>
      <c r="G545" s="573" t="s">
        <v>545</v>
      </c>
      <c r="H545" s="573">
        <v>2019</v>
      </c>
      <c r="I545" s="573" t="s">
        <v>1463</v>
      </c>
      <c r="J545" s="573" t="s">
        <v>1469</v>
      </c>
      <c r="K545" s="573" t="s">
        <v>230</v>
      </c>
      <c r="L545" s="573">
        <v>5</v>
      </c>
      <c r="M545" s="573">
        <v>0</v>
      </c>
      <c r="N545" s="573" t="s">
        <v>157</v>
      </c>
      <c r="O545" s="573">
        <v>2</v>
      </c>
      <c r="P545" s="573">
        <v>2</v>
      </c>
      <c r="Q545" s="571" t="s">
        <v>157</v>
      </c>
      <c r="R545" s="573" t="s">
        <v>352</v>
      </c>
      <c r="S545" s="573">
        <v>4</v>
      </c>
      <c r="T545" s="573">
        <v>22819</v>
      </c>
      <c r="U545" s="573" t="s">
        <v>157</v>
      </c>
      <c r="V545" s="573">
        <v>106.5</v>
      </c>
      <c r="W545" s="573">
        <v>14.5</v>
      </c>
      <c r="X545" s="571">
        <v>4720</v>
      </c>
      <c r="Y545" s="573">
        <v>33</v>
      </c>
      <c r="Z545" s="579" t="s">
        <v>178</v>
      </c>
      <c r="AA545" s="579" t="s">
        <v>163</v>
      </c>
      <c r="AB545" s="584">
        <v>33935</v>
      </c>
      <c r="AC545" s="584" t="s">
        <v>164</v>
      </c>
      <c r="AD545" s="584">
        <v>33899</v>
      </c>
      <c r="AE545" s="586">
        <v>0.03</v>
      </c>
      <c r="AF545" s="661" t="str">
        <f t="shared" si="59"/>
        <v>2019-SUV-NIS-ROGE-003-07</v>
      </c>
      <c r="AG545" s="661" t="str">
        <f>IF(AND($Y545&gt;=32,(AI545="I"),(Y545&lt;&gt;"~"),(COUNTIF($AN$1:$AN545,$AN545)=1)),"TRUE","FALSE")</f>
        <v>FALSE</v>
      </c>
      <c r="AH545" s="661" t="str">
        <f>IF(AND($Y545&gt;=22, (AI545&lt;&gt;"I"),(Y545&lt;&gt;"~"),(COUNTIF($AN$1:$AN545,$AN545)=1)),"TRUE","FALSE")</f>
        <v>TRUE</v>
      </c>
      <c r="AI545" s="661" t="str">
        <f t="shared" si="61"/>
        <v>II</v>
      </c>
      <c r="AJ545" s="662" t="str">
        <f t="shared" si="55"/>
        <v>ROGE-003</v>
      </c>
      <c r="AK545" s="662" t="str">
        <f t="shared" si="56"/>
        <v>SUV</v>
      </c>
      <c r="AL545" s="662" t="str">
        <f t="shared" si="57"/>
        <v>NIS</v>
      </c>
      <c r="AM545" s="662" t="str">
        <f t="shared" si="60"/>
        <v>Rogue-SL Hybrid-AWD-5-2-~-2.0L-4-22819-~-106.5-14.5-Unleaded-Electric</v>
      </c>
      <c r="AN545" s="662" t="str">
        <f t="shared" si="58"/>
        <v>2019-SUV-NIS-ROGE-003</v>
      </c>
    </row>
    <row r="546" spans="1:40" s="572" customFormat="1" ht="15">
      <c r="A546" s="570" t="s">
        <v>1470</v>
      </c>
      <c r="B546" s="569" t="s">
        <v>1471</v>
      </c>
      <c r="C546" s="569" t="s">
        <v>543</v>
      </c>
      <c r="D546" s="580" t="s">
        <v>544</v>
      </c>
      <c r="E546" s="569" t="s">
        <v>699</v>
      </c>
      <c r="F546" s="569" t="s">
        <v>152</v>
      </c>
      <c r="G546" s="569" t="s">
        <v>545</v>
      </c>
      <c r="H546" s="569">
        <v>2019</v>
      </c>
      <c r="I546" s="569" t="s">
        <v>1463</v>
      </c>
      <c r="J546" s="569" t="s">
        <v>1469</v>
      </c>
      <c r="K546" s="569" t="s">
        <v>156</v>
      </c>
      <c r="L546" s="569">
        <v>5</v>
      </c>
      <c r="M546" s="569">
        <v>0</v>
      </c>
      <c r="N546" s="569" t="s">
        <v>157</v>
      </c>
      <c r="O546" s="569">
        <v>2</v>
      </c>
      <c r="P546" s="569">
        <v>2</v>
      </c>
      <c r="Q546" s="568" t="s">
        <v>157</v>
      </c>
      <c r="R546" s="569" t="s">
        <v>352</v>
      </c>
      <c r="S546" s="569">
        <v>4</v>
      </c>
      <c r="T546" s="569">
        <v>22919</v>
      </c>
      <c r="U546" s="569" t="s">
        <v>157</v>
      </c>
      <c r="V546" s="569">
        <v>106.5</v>
      </c>
      <c r="W546" s="569">
        <v>14.5</v>
      </c>
      <c r="X546" s="568">
        <v>4720</v>
      </c>
      <c r="Y546" s="569">
        <v>34</v>
      </c>
      <c r="Z546" s="581" t="s">
        <v>178</v>
      </c>
      <c r="AA546" s="581" t="s">
        <v>163</v>
      </c>
      <c r="AB546" s="585">
        <v>32585</v>
      </c>
      <c r="AC546" s="585" t="s">
        <v>164</v>
      </c>
      <c r="AD546" s="585">
        <v>32479</v>
      </c>
      <c r="AE546" s="587">
        <v>0.03</v>
      </c>
      <c r="AF546" s="661" t="str">
        <f t="shared" si="59"/>
        <v>2019-SUV-NIS-ROGE-004-07</v>
      </c>
      <c r="AG546" s="661" t="str">
        <f>IF(AND($Y546&gt;=32,(AI546="I"),(Y546&lt;&gt;"~"),(COUNTIF($AN$1:$AN546,$AN546)=1)),"TRUE","FALSE")</f>
        <v>FALSE</v>
      </c>
      <c r="AH546" s="661" t="str">
        <f>IF(AND($Y546&gt;=22, (AI546&lt;&gt;"I"),(Y546&lt;&gt;"~"),(COUNTIF($AN$1:$AN546,$AN546)=1)),"TRUE","FALSE")</f>
        <v>TRUE</v>
      </c>
      <c r="AI546" s="661" t="str">
        <f t="shared" si="61"/>
        <v>II</v>
      </c>
      <c r="AJ546" s="662" t="str">
        <f t="shared" si="55"/>
        <v>ROGE-004</v>
      </c>
      <c r="AK546" s="662" t="str">
        <f t="shared" si="56"/>
        <v>SUV</v>
      </c>
      <c r="AL546" s="662" t="str">
        <f t="shared" si="57"/>
        <v>NIS</v>
      </c>
      <c r="AM546" s="662" t="str">
        <f t="shared" si="60"/>
        <v>Rogue-SL Hybrid-FWD-5-2-~-2.0L-4-22919-~-106.5-14.5-Unleaded-Electric</v>
      </c>
      <c r="AN546" s="662" t="str">
        <f t="shared" si="58"/>
        <v>2019-SUV-NIS-ROGE-004</v>
      </c>
    </row>
    <row r="547" spans="1:40" s="572" customFormat="1" ht="15">
      <c r="A547" s="570" t="s">
        <v>1472</v>
      </c>
      <c r="B547" s="573" t="s">
        <v>1473</v>
      </c>
      <c r="C547" s="573" t="s">
        <v>543</v>
      </c>
      <c r="D547" s="578" t="s">
        <v>544</v>
      </c>
      <c r="E547" s="573" t="s">
        <v>699</v>
      </c>
      <c r="F547" s="573" t="s">
        <v>152</v>
      </c>
      <c r="G547" s="573" t="s">
        <v>545</v>
      </c>
      <c r="H547" s="573">
        <v>2019</v>
      </c>
      <c r="I547" s="573" t="s">
        <v>1463</v>
      </c>
      <c r="J547" s="573" t="s">
        <v>575</v>
      </c>
      <c r="K547" s="573" t="s">
        <v>230</v>
      </c>
      <c r="L547" s="573">
        <v>5</v>
      </c>
      <c r="M547" s="573">
        <v>0</v>
      </c>
      <c r="N547" s="573" t="s">
        <v>157</v>
      </c>
      <c r="O547" s="573">
        <v>2</v>
      </c>
      <c r="P547" s="573" t="s">
        <v>157</v>
      </c>
      <c r="Q547" s="571" t="s">
        <v>157</v>
      </c>
      <c r="R547" s="573" t="s">
        <v>189</v>
      </c>
      <c r="S547" s="573">
        <v>4</v>
      </c>
      <c r="T547" s="573">
        <v>22219</v>
      </c>
      <c r="U547" s="573" t="s">
        <v>157</v>
      </c>
      <c r="V547" s="573">
        <v>106.5</v>
      </c>
      <c r="W547" s="573">
        <v>14.5</v>
      </c>
      <c r="X547" s="571">
        <v>4720</v>
      </c>
      <c r="Y547" s="573">
        <v>27</v>
      </c>
      <c r="Z547" s="579" t="s">
        <v>178</v>
      </c>
      <c r="AA547" s="579" t="s">
        <v>178</v>
      </c>
      <c r="AB547" s="584">
        <v>28615</v>
      </c>
      <c r="AC547" s="584" t="s">
        <v>164</v>
      </c>
      <c r="AD547" s="584">
        <v>23839.3</v>
      </c>
      <c r="AE547" s="586">
        <v>0.03</v>
      </c>
      <c r="AF547" s="661" t="str">
        <f t="shared" si="59"/>
        <v>2019-SUV-NIS-ROGE-007-07</v>
      </c>
      <c r="AG547" s="661" t="str">
        <f>IF(AND($Y547&gt;=32,(AI547="I"),(Y547&lt;&gt;"~"),(COUNTIF($AN$1:$AN547,$AN547)=1)),"TRUE","FALSE")</f>
        <v>FALSE</v>
      </c>
      <c r="AH547" s="661" t="str">
        <f>IF(AND($Y547&gt;=22, (AI547&lt;&gt;"I"),(Y547&lt;&gt;"~"),(COUNTIF($AN$1:$AN547,$AN547)=1)),"TRUE","FALSE")</f>
        <v>TRUE</v>
      </c>
      <c r="AI547" s="661" t="str">
        <f t="shared" si="61"/>
        <v>II</v>
      </c>
      <c r="AJ547" s="662" t="str">
        <f t="shared" si="55"/>
        <v>ROGE-007</v>
      </c>
      <c r="AK547" s="662" t="str">
        <f t="shared" si="56"/>
        <v>SUV</v>
      </c>
      <c r="AL547" s="662" t="str">
        <f t="shared" si="57"/>
        <v>NIS</v>
      </c>
      <c r="AM547" s="662" t="str">
        <f t="shared" si="60"/>
        <v>Rogue-SV-AWD-5-~-~-2.5L-4-22219-~-106.5-14.5-Unleaded-Unleaded</v>
      </c>
      <c r="AN547" s="662" t="str">
        <f t="shared" si="58"/>
        <v>2019-SUV-NIS-ROGE-007</v>
      </c>
    </row>
    <row r="548" spans="1:40" s="572" customFormat="1" ht="15">
      <c r="A548" s="570" t="s">
        <v>1474</v>
      </c>
      <c r="B548" s="569" t="s">
        <v>1475</v>
      </c>
      <c r="C548" s="569" t="s">
        <v>543</v>
      </c>
      <c r="D548" s="580" t="s">
        <v>544</v>
      </c>
      <c r="E548" s="569" t="s">
        <v>699</v>
      </c>
      <c r="F548" s="569" t="s">
        <v>152</v>
      </c>
      <c r="G548" s="569" t="s">
        <v>545</v>
      </c>
      <c r="H548" s="569">
        <v>2019</v>
      </c>
      <c r="I548" s="569" t="s">
        <v>1463</v>
      </c>
      <c r="J548" s="569" t="s">
        <v>575</v>
      </c>
      <c r="K548" s="569" t="s">
        <v>156</v>
      </c>
      <c r="L548" s="569">
        <v>5</v>
      </c>
      <c r="M548" s="569">
        <v>0</v>
      </c>
      <c r="N548" s="569" t="s">
        <v>157</v>
      </c>
      <c r="O548" s="569">
        <v>2</v>
      </c>
      <c r="P548" s="569" t="s">
        <v>157</v>
      </c>
      <c r="Q548" s="568" t="s">
        <v>157</v>
      </c>
      <c r="R548" s="569" t="s">
        <v>189</v>
      </c>
      <c r="S548" s="569">
        <v>4</v>
      </c>
      <c r="T548" s="569">
        <v>22319</v>
      </c>
      <c r="U548" s="569" t="s">
        <v>157</v>
      </c>
      <c r="V548" s="569">
        <v>106.5</v>
      </c>
      <c r="W548" s="569">
        <v>14.5</v>
      </c>
      <c r="X548" s="568">
        <v>4720</v>
      </c>
      <c r="Y548" s="569">
        <v>29</v>
      </c>
      <c r="Z548" s="581" t="s">
        <v>178</v>
      </c>
      <c r="AA548" s="581" t="s">
        <v>178</v>
      </c>
      <c r="AB548" s="585">
        <v>27265</v>
      </c>
      <c r="AC548" s="585" t="s">
        <v>164</v>
      </c>
      <c r="AD548" s="585">
        <v>22502.799999999999</v>
      </c>
      <c r="AE548" s="587">
        <v>0.03</v>
      </c>
      <c r="AF548" s="661" t="str">
        <f t="shared" si="59"/>
        <v>2019-SUV-NIS-ROGE-008-07</v>
      </c>
      <c r="AG548" s="661" t="str">
        <f>IF(AND($Y548&gt;=32,(AI548="I"),(Y548&lt;&gt;"~"),(COUNTIF($AN$1:$AN548,$AN548)=1)),"TRUE","FALSE")</f>
        <v>FALSE</v>
      </c>
      <c r="AH548" s="661" t="str">
        <f>IF(AND($Y548&gt;=22, (AI548&lt;&gt;"I"),(Y548&lt;&gt;"~"),(COUNTIF($AN$1:$AN548,$AN548)=1)),"TRUE","FALSE")</f>
        <v>TRUE</v>
      </c>
      <c r="AI548" s="661" t="str">
        <f t="shared" si="61"/>
        <v>II</v>
      </c>
      <c r="AJ548" s="662" t="str">
        <f t="shared" si="55"/>
        <v>ROGE-008</v>
      </c>
      <c r="AK548" s="662" t="str">
        <f t="shared" si="56"/>
        <v>SUV</v>
      </c>
      <c r="AL548" s="662" t="str">
        <f t="shared" si="57"/>
        <v>NIS</v>
      </c>
      <c r="AM548" s="662" t="str">
        <f t="shared" si="60"/>
        <v>Rogue-SV-FWD-5-~-~-2.5L-4-22319-~-106.5-14.5-Unleaded-Unleaded</v>
      </c>
      <c r="AN548" s="662" t="str">
        <f t="shared" si="58"/>
        <v>2019-SUV-NIS-ROGE-008</v>
      </c>
    </row>
    <row r="549" spans="1:40" s="572" customFormat="1" ht="15">
      <c r="A549" s="570" t="s">
        <v>1476</v>
      </c>
      <c r="B549" s="573" t="s">
        <v>1477</v>
      </c>
      <c r="C549" s="573" t="s">
        <v>543</v>
      </c>
      <c r="D549" s="578" t="s">
        <v>544</v>
      </c>
      <c r="E549" s="573" t="s">
        <v>699</v>
      </c>
      <c r="F549" s="573" t="s">
        <v>152</v>
      </c>
      <c r="G549" s="573" t="s">
        <v>545</v>
      </c>
      <c r="H549" s="573">
        <v>2019</v>
      </c>
      <c r="I549" s="573" t="s">
        <v>1463</v>
      </c>
      <c r="J549" s="573" t="s">
        <v>1478</v>
      </c>
      <c r="K549" s="573" t="s">
        <v>230</v>
      </c>
      <c r="L549" s="573">
        <v>5</v>
      </c>
      <c r="M549" s="573">
        <v>0</v>
      </c>
      <c r="N549" s="573" t="s">
        <v>157</v>
      </c>
      <c r="O549" s="573">
        <v>2</v>
      </c>
      <c r="P549" s="573">
        <v>2</v>
      </c>
      <c r="Q549" s="571" t="s">
        <v>157</v>
      </c>
      <c r="R549" s="573" t="s">
        <v>352</v>
      </c>
      <c r="S549" s="573">
        <v>4</v>
      </c>
      <c r="T549" s="573">
        <v>22619</v>
      </c>
      <c r="U549" s="573" t="s">
        <v>157</v>
      </c>
      <c r="V549" s="573">
        <v>106.5</v>
      </c>
      <c r="W549" s="573">
        <v>14.5</v>
      </c>
      <c r="X549" s="571">
        <v>4720</v>
      </c>
      <c r="Y549" s="573">
        <v>33</v>
      </c>
      <c r="Z549" s="579" t="s">
        <v>178</v>
      </c>
      <c r="AA549" s="579" t="s">
        <v>163</v>
      </c>
      <c r="AB549" s="584">
        <v>29995</v>
      </c>
      <c r="AC549" s="584" t="s">
        <v>164</v>
      </c>
      <c r="AD549" s="584">
        <v>29949</v>
      </c>
      <c r="AE549" s="586">
        <v>0.03</v>
      </c>
      <c r="AF549" s="661" t="str">
        <f t="shared" si="59"/>
        <v>2019-SUV-NIS-ROGE-005-07</v>
      </c>
      <c r="AG549" s="661" t="str">
        <f>IF(AND($Y549&gt;=32,(AI549="I"),(Y549&lt;&gt;"~"),(COUNTIF($AN$1:$AN549,$AN549)=1)),"TRUE","FALSE")</f>
        <v>FALSE</v>
      </c>
      <c r="AH549" s="661" t="str">
        <f>IF(AND($Y549&gt;=22, (AI549&lt;&gt;"I"),(Y549&lt;&gt;"~"),(COUNTIF($AN$1:$AN549,$AN549)=1)),"TRUE","FALSE")</f>
        <v>TRUE</v>
      </c>
      <c r="AI549" s="661" t="str">
        <f t="shared" si="61"/>
        <v>II</v>
      </c>
      <c r="AJ549" s="662" t="str">
        <f t="shared" si="55"/>
        <v>ROGE-005</v>
      </c>
      <c r="AK549" s="662" t="str">
        <f t="shared" si="56"/>
        <v>SUV</v>
      </c>
      <c r="AL549" s="662" t="str">
        <f t="shared" si="57"/>
        <v>NIS</v>
      </c>
      <c r="AM549" s="662" t="str">
        <f t="shared" si="60"/>
        <v>Rogue-SV Hybrid-AWD-5-2-~-2.0L-4-22619-~-106.5-14.5-Unleaded-Electric</v>
      </c>
      <c r="AN549" s="662" t="str">
        <f t="shared" si="58"/>
        <v>2019-SUV-NIS-ROGE-005</v>
      </c>
    </row>
    <row r="550" spans="1:40" s="572" customFormat="1" ht="15">
      <c r="A550" s="570" t="s">
        <v>1479</v>
      </c>
      <c r="B550" s="569" t="s">
        <v>1480</v>
      </c>
      <c r="C550" s="569" t="s">
        <v>543</v>
      </c>
      <c r="D550" s="580" t="s">
        <v>544</v>
      </c>
      <c r="E550" s="569" t="s">
        <v>699</v>
      </c>
      <c r="F550" s="569" t="s">
        <v>152</v>
      </c>
      <c r="G550" s="569" t="s">
        <v>545</v>
      </c>
      <c r="H550" s="569">
        <v>2019</v>
      </c>
      <c r="I550" s="569" t="s">
        <v>1463</v>
      </c>
      <c r="J550" s="569" t="s">
        <v>1478</v>
      </c>
      <c r="K550" s="569" t="s">
        <v>156</v>
      </c>
      <c r="L550" s="569">
        <v>5</v>
      </c>
      <c r="M550" s="569">
        <v>0</v>
      </c>
      <c r="N550" s="569" t="s">
        <v>157</v>
      </c>
      <c r="O550" s="569">
        <v>2</v>
      </c>
      <c r="P550" s="569">
        <v>2</v>
      </c>
      <c r="Q550" s="568" t="s">
        <v>157</v>
      </c>
      <c r="R550" s="569" t="s">
        <v>352</v>
      </c>
      <c r="S550" s="569">
        <v>4</v>
      </c>
      <c r="T550" s="569">
        <v>22719</v>
      </c>
      <c r="U550" s="569" t="s">
        <v>157</v>
      </c>
      <c r="V550" s="569">
        <v>106.5</v>
      </c>
      <c r="W550" s="569">
        <v>14.5</v>
      </c>
      <c r="X550" s="568">
        <v>4720</v>
      </c>
      <c r="Y550" s="569">
        <v>34</v>
      </c>
      <c r="Z550" s="581" t="s">
        <v>178</v>
      </c>
      <c r="AA550" s="581" t="s">
        <v>163</v>
      </c>
      <c r="AB550" s="585">
        <v>28645</v>
      </c>
      <c r="AC550" s="585" t="s">
        <v>164</v>
      </c>
      <c r="AD550" s="585">
        <v>28599</v>
      </c>
      <c r="AE550" s="587">
        <v>0.03</v>
      </c>
      <c r="AF550" s="661" t="str">
        <f t="shared" si="59"/>
        <v>2019-SUV-NIS-ROGE-006-07</v>
      </c>
      <c r="AG550" s="661" t="str">
        <f>IF(AND($Y550&gt;=32,(AI550="I"),(Y550&lt;&gt;"~"),(COUNTIF($AN$1:$AN550,$AN550)=1)),"TRUE","FALSE")</f>
        <v>FALSE</v>
      </c>
      <c r="AH550" s="661" t="str">
        <f>IF(AND($Y550&gt;=22, (AI550&lt;&gt;"I"),(Y550&lt;&gt;"~"),(COUNTIF($AN$1:$AN550,$AN550)=1)),"TRUE","FALSE")</f>
        <v>TRUE</v>
      </c>
      <c r="AI550" s="661" t="str">
        <f t="shared" si="61"/>
        <v>II</v>
      </c>
      <c r="AJ550" s="662" t="str">
        <f t="shared" si="55"/>
        <v>ROGE-006</v>
      </c>
      <c r="AK550" s="662" t="str">
        <f t="shared" si="56"/>
        <v>SUV</v>
      </c>
      <c r="AL550" s="662" t="str">
        <f t="shared" si="57"/>
        <v>NIS</v>
      </c>
      <c r="AM550" s="662" t="str">
        <f t="shared" si="60"/>
        <v>Rogue-SV Hybrid-FWD-5-2-~-2.0L-4-22719-~-106.5-14.5-Unleaded-Electric</v>
      </c>
      <c r="AN550" s="662" t="str">
        <f t="shared" si="58"/>
        <v>2019-SUV-NIS-ROGE-006</v>
      </c>
    </row>
    <row r="551" spans="1:40" s="572" customFormat="1" ht="15">
      <c r="A551" s="570" t="s">
        <v>1481</v>
      </c>
      <c r="B551" s="573" t="s">
        <v>1482</v>
      </c>
      <c r="C551" s="573" t="s">
        <v>543</v>
      </c>
      <c r="D551" s="578" t="s">
        <v>544</v>
      </c>
      <c r="E551" s="573" t="s">
        <v>699</v>
      </c>
      <c r="F551" s="573" t="s">
        <v>152</v>
      </c>
      <c r="G551" s="573" t="s">
        <v>545</v>
      </c>
      <c r="H551" s="573">
        <v>2019</v>
      </c>
      <c r="I551" s="573" t="s">
        <v>1483</v>
      </c>
      <c r="J551" s="573" t="s">
        <v>273</v>
      </c>
      <c r="K551" s="573" t="s">
        <v>230</v>
      </c>
      <c r="L551" s="573">
        <v>5</v>
      </c>
      <c r="M551" s="573">
        <v>0</v>
      </c>
      <c r="N551" s="573" t="s">
        <v>157</v>
      </c>
      <c r="O551" s="573">
        <v>2</v>
      </c>
      <c r="P551" s="573" t="s">
        <v>157</v>
      </c>
      <c r="Q551" s="571" t="s">
        <v>157</v>
      </c>
      <c r="R551" s="573" t="s">
        <v>352</v>
      </c>
      <c r="S551" s="573">
        <v>4</v>
      </c>
      <c r="T551" s="573">
        <v>27019</v>
      </c>
      <c r="U551" s="573" t="s">
        <v>157</v>
      </c>
      <c r="V551" s="573">
        <v>104.2</v>
      </c>
      <c r="W551" s="573">
        <v>14.5</v>
      </c>
      <c r="X551" s="571">
        <v>3349</v>
      </c>
      <c r="Y551" s="573">
        <v>27</v>
      </c>
      <c r="Z551" s="579" t="s">
        <v>178</v>
      </c>
      <c r="AA551" s="579" t="s">
        <v>178</v>
      </c>
      <c r="AB551" s="584">
        <v>24635</v>
      </c>
      <c r="AC551" s="584" t="s">
        <v>164</v>
      </c>
      <c r="AD551" s="584">
        <v>21049.1</v>
      </c>
      <c r="AE551" s="586">
        <v>0.03</v>
      </c>
      <c r="AF551" s="661" t="str">
        <f t="shared" si="59"/>
        <v>2019-SUV-NIS-ROGS-001-07</v>
      </c>
      <c r="AG551" s="661" t="str">
        <f>IF(AND($Y551&gt;=32,(AI551="I"),(Y551&lt;&gt;"~"),(COUNTIF($AN$1:$AN551,$AN551)=1)),"TRUE","FALSE")</f>
        <v>FALSE</v>
      </c>
      <c r="AH551" s="661" t="str">
        <f>IF(AND($Y551&gt;=22, (AI551&lt;&gt;"I"),(Y551&lt;&gt;"~"),(COUNTIF($AN$1:$AN551,$AN551)=1)),"TRUE","FALSE")</f>
        <v>TRUE</v>
      </c>
      <c r="AI551" s="661" t="str">
        <f t="shared" si="61"/>
        <v>II</v>
      </c>
      <c r="AJ551" s="662" t="str">
        <f t="shared" si="55"/>
        <v>ROGS-001</v>
      </c>
      <c r="AK551" s="662" t="str">
        <f t="shared" si="56"/>
        <v>SUV</v>
      </c>
      <c r="AL551" s="662" t="str">
        <f t="shared" si="57"/>
        <v>NIS</v>
      </c>
      <c r="AM551" s="662" t="str">
        <f t="shared" si="60"/>
        <v>Rogue Sport-S-AWD-5-~-~-2.0L-4-27019-~-104.2-14.5-Unleaded-Unleaded</v>
      </c>
      <c r="AN551" s="662" t="str">
        <f t="shared" si="58"/>
        <v>2019-SUV-NIS-ROGS-001</v>
      </c>
    </row>
    <row r="552" spans="1:40" s="572" customFormat="1" ht="15">
      <c r="A552" s="570" t="s">
        <v>1484</v>
      </c>
      <c r="B552" s="569" t="s">
        <v>1482</v>
      </c>
      <c r="C552" s="569" t="s">
        <v>549</v>
      </c>
      <c r="D552" s="580">
        <v>16</v>
      </c>
      <c r="E552" s="569" t="s">
        <v>699</v>
      </c>
      <c r="F552" s="569" t="s">
        <v>152</v>
      </c>
      <c r="G552" s="569" t="s">
        <v>545</v>
      </c>
      <c r="H552" s="569">
        <v>2019</v>
      </c>
      <c r="I552" s="569" t="s">
        <v>1483</v>
      </c>
      <c r="J552" s="569" t="s">
        <v>273</v>
      </c>
      <c r="K552" s="569" t="s">
        <v>230</v>
      </c>
      <c r="L552" s="569">
        <v>5</v>
      </c>
      <c r="M552" s="569">
        <v>0</v>
      </c>
      <c r="N552" s="569" t="s">
        <v>157</v>
      </c>
      <c r="O552" s="569">
        <v>2</v>
      </c>
      <c r="P552" s="569" t="s">
        <v>157</v>
      </c>
      <c r="Q552" s="568" t="s">
        <v>157</v>
      </c>
      <c r="R552" s="569" t="s">
        <v>352</v>
      </c>
      <c r="S552" s="569">
        <v>4</v>
      </c>
      <c r="T552" s="569">
        <v>27019</v>
      </c>
      <c r="U552" s="569" t="s">
        <v>157</v>
      </c>
      <c r="V552" s="569">
        <v>104.2</v>
      </c>
      <c r="W552" s="569">
        <v>14.5</v>
      </c>
      <c r="X552" s="568">
        <v>3349</v>
      </c>
      <c r="Y552" s="569">
        <v>27</v>
      </c>
      <c r="Z552" s="581" t="s">
        <v>178</v>
      </c>
      <c r="AA552" s="581" t="s">
        <v>178</v>
      </c>
      <c r="AB552" s="585">
        <v>24635</v>
      </c>
      <c r="AC552" s="585" t="s">
        <v>164</v>
      </c>
      <c r="AD552" s="585">
        <v>20490</v>
      </c>
      <c r="AE552" s="587">
        <v>0.05</v>
      </c>
      <c r="AF552" s="661" t="str">
        <f t="shared" si="59"/>
        <v>2019-SUV-NIS-ROGS-001-16</v>
      </c>
      <c r="AG552" s="661" t="str">
        <f>IF(AND($Y552&gt;=32,(AI552="I"),(Y552&lt;&gt;"~"),(COUNTIF($AN$1:$AN552,$AN552)=1)),"TRUE","FALSE")</f>
        <v>FALSE</v>
      </c>
      <c r="AH552" s="661" t="str">
        <f>IF(AND($Y552&gt;=22, (AI552&lt;&gt;"I"),(Y552&lt;&gt;"~"),(COUNTIF($AN$1:$AN552,$AN552)=1)),"TRUE","FALSE")</f>
        <v>FALSE</v>
      </c>
      <c r="AI552" s="661" t="str">
        <f t="shared" si="61"/>
        <v>II</v>
      </c>
      <c r="AJ552" s="662" t="str">
        <f t="shared" si="55"/>
        <v>ROGS-001</v>
      </c>
      <c r="AK552" s="662" t="str">
        <f t="shared" si="56"/>
        <v>SUV</v>
      </c>
      <c r="AL552" s="662" t="str">
        <f t="shared" si="57"/>
        <v>NIS</v>
      </c>
      <c r="AM552" s="662" t="str">
        <f t="shared" si="60"/>
        <v>Rogue Sport-S-AWD-5-~-~-2.0L-4-27019-~-104.2-14.5-Unleaded-Unleaded</v>
      </c>
      <c r="AN552" s="662" t="str">
        <f t="shared" si="58"/>
        <v>2019-SUV-NIS-ROGS-001</v>
      </c>
    </row>
    <row r="553" spans="1:40" s="572" customFormat="1" ht="15">
      <c r="A553" s="570" t="s">
        <v>1485</v>
      </c>
      <c r="B553" s="573" t="s">
        <v>1486</v>
      </c>
      <c r="C553" s="573" t="s">
        <v>543</v>
      </c>
      <c r="D553" s="578" t="s">
        <v>544</v>
      </c>
      <c r="E553" s="573" t="s">
        <v>699</v>
      </c>
      <c r="F553" s="573" t="s">
        <v>152</v>
      </c>
      <c r="G553" s="573" t="s">
        <v>545</v>
      </c>
      <c r="H553" s="573">
        <v>2019</v>
      </c>
      <c r="I553" s="573" t="s">
        <v>1483</v>
      </c>
      <c r="J553" s="573" t="s">
        <v>273</v>
      </c>
      <c r="K553" s="573" t="s">
        <v>156</v>
      </c>
      <c r="L553" s="573">
        <v>5</v>
      </c>
      <c r="M553" s="573">
        <v>0</v>
      </c>
      <c r="N553" s="573" t="s">
        <v>157</v>
      </c>
      <c r="O553" s="573">
        <v>2</v>
      </c>
      <c r="P553" s="573" t="s">
        <v>157</v>
      </c>
      <c r="Q553" s="571" t="s">
        <v>157</v>
      </c>
      <c r="R553" s="573" t="s">
        <v>352</v>
      </c>
      <c r="S553" s="573">
        <v>4</v>
      </c>
      <c r="T553" s="573">
        <v>27119</v>
      </c>
      <c r="U553" s="573" t="s">
        <v>157</v>
      </c>
      <c r="V553" s="573">
        <v>104.2</v>
      </c>
      <c r="W553" s="573">
        <v>14.5</v>
      </c>
      <c r="X553" s="571">
        <v>3232</v>
      </c>
      <c r="Y553" s="573">
        <v>28</v>
      </c>
      <c r="Z553" s="579" t="s">
        <v>178</v>
      </c>
      <c r="AA553" s="579" t="s">
        <v>178</v>
      </c>
      <c r="AB553" s="584">
        <v>23285</v>
      </c>
      <c r="AC553" s="584" t="s">
        <v>164</v>
      </c>
      <c r="AD553" s="584">
        <v>19712.599999999999</v>
      </c>
      <c r="AE553" s="586">
        <v>0.03</v>
      </c>
      <c r="AF553" s="661" t="str">
        <f t="shared" si="59"/>
        <v>2019-SUV-NIS-ROGS-002-07</v>
      </c>
      <c r="AG553" s="661" t="str">
        <f>IF(AND($Y553&gt;=32,(AI553="I"),(Y553&lt;&gt;"~"),(COUNTIF($AN$1:$AN553,$AN553)=1)),"TRUE","FALSE")</f>
        <v>FALSE</v>
      </c>
      <c r="AH553" s="661" t="str">
        <f>IF(AND($Y553&gt;=22, (AI553&lt;&gt;"I"),(Y553&lt;&gt;"~"),(COUNTIF($AN$1:$AN553,$AN553)=1)),"TRUE","FALSE")</f>
        <v>TRUE</v>
      </c>
      <c r="AI553" s="661" t="str">
        <f t="shared" si="61"/>
        <v>II</v>
      </c>
      <c r="AJ553" s="662" t="str">
        <f t="shared" si="55"/>
        <v>ROGS-002</v>
      </c>
      <c r="AK553" s="662" t="str">
        <f t="shared" si="56"/>
        <v>SUV</v>
      </c>
      <c r="AL553" s="662" t="str">
        <f t="shared" si="57"/>
        <v>NIS</v>
      </c>
      <c r="AM553" s="662" t="str">
        <f t="shared" si="60"/>
        <v>Rogue Sport-S-FWD-5-~-~-2.0L-4-27119-~-104.2-14.5-Unleaded-Unleaded</v>
      </c>
      <c r="AN553" s="662" t="str">
        <f t="shared" si="58"/>
        <v>2019-SUV-NIS-ROGS-002</v>
      </c>
    </row>
    <row r="554" spans="1:40" s="572" customFormat="1" ht="15">
      <c r="A554" s="570" t="s">
        <v>1487</v>
      </c>
      <c r="B554" s="569" t="s">
        <v>1488</v>
      </c>
      <c r="C554" s="569" t="s">
        <v>605</v>
      </c>
      <c r="D554" s="580">
        <v>12</v>
      </c>
      <c r="E554" s="569" t="s">
        <v>699</v>
      </c>
      <c r="F554" s="569" t="s">
        <v>196</v>
      </c>
      <c r="G554" s="569" t="s">
        <v>606</v>
      </c>
      <c r="H554" s="569">
        <v>2019</v>
      </c>
      <c r="I554" s="569" t="s">
        <v>1489</v>
      </c>
      <c r="J554" s="569" t="s">
        <v>608</v>
      </c>
      <c r="K554" s="569" t="s">
        <v>230</v>
      </c>
      <c r="L554" s="569">
        <v>8</v>
      </c>
      <c r="M554" s="569">
        <v>0</v>
      </c>
      <c r="N554" s="569" t="s">
        <v>157</v>
      </c>
      <c r="O554" s="569">
        <v>3</v>
      </c>
      <c r="P554" s="569" t="s">
        <v>157</v>
      </c>
      <c r="Q554" s="568" t="s">
        <v>157</v>
      </c>
      <c r="R554" s="569" t="s">
        <v>316</v>
      </c>
      <c r="S554" s="569">
        <v>6</v>
      </c>
      <c r="T554" s="569">
        <v>6964</v>
      </c>
      <c r="U554" s="569" t="s">
        <v>609</v>
      </c>
      <c r="V554" s="569">
        <v>109.8</v>
      </c>
      <c r="W554" s="569">
        <v>19.2</v>
      </c>
      <c r="X554" s="568">
        <v>6270</v>
      </c>
      <c r="Y554" s="569">
        <v>28</v>
      </c>
      <c r="Z554" s="581" t="s">
        <v>178</v>
      </c>
      <c r="AA554" s="581" t="s">
        <v>163</v>
      </c>
      <c r="AB554" s="585">
        <v>38065</v>
      </c>
      <c r="AC554" s="585" t="s">
        <v>164</v>
      </c>
      <c r="AD554" s="585">
        <v>35750</v>
      </c>
      <c r="AE554" s="587">
        <v>0.05</v>
      </c>
      <c r="AF554" s="661" t="str">
        <f t="shared" si="59"/>
        <v>2019-SUV-TOY-HLDR-001-12</v>
      </c>
      <c r="AG554" s="661" t="str">
        <f>IF(AND($Y554&gt;=32,(AI554="I"),(Y554&lt;&gt;"~"),(COUNTIF($AN$1:$AN554,$AN554)=1)),"TRUE","FALSE")</f>
        <v>FALSE</v>
      </c>
      <c r="AH554" s="661" t="str">
        <f>IF(AND($Y554&gt;=22, (AI554&lt;&gt;"I"),(Y554&lt;&gt;"~"),(COUNTIF($AN$1:$AN554,$AN554)=1)),"TRUE","FALSE")</f>
        <v>TRUE</v>
      </c>
      <c r="AI554" s="661" t="str">
        <f t="shared" si="61"/>
        <v>II</v>
      </c>
      <c r="AJ554" s="662" t="str">
        <f t="shared" si="55"/>
        <v>HLDR-001</v>
      </c>
      <c r="AK554" s="662" t="str">
        <f t="shared" si="56"/>
        <v>SUV</v>
      </c>
      <c r="AL554" s="662" t="str">
        <f t="shared" si="57"/>
        <v>TOY</v>
      </c>
      <c r="AM554" s="662" t="str">
        <f t="shared" si="60"/>
        <v>Highlander-Hybrid LE-AWD-8-~-~-3.5L-6-6964-NA-109.8-19.2-Unleaded-Electric</v>
      </c>
      <c r="AN554" s="662" t="str">
        <f t="shared" si="58"/>
        <v>2019-SUV-TOY-HLDR-001</v>
      </c>
    </row>
    <row r="555" spans="1:40" s="572" customFormat="1" ht="15">
      <c r="A555" s="570" t="s">
        <v>1490</v>
      </c>
      <c r="B555" s="573" t="s">
        <v>1491</v>
      </c>
      <c r="C555" s="573" t="s">
        <v>605</v>
      </c>
      <c r="D555" s="578">
        <v>12</v>
      </c>
      <c r="E555" s="573" t="s">
        <v>699</v>
      </c>
      <c r="F555" s="573" t="s">
        <v>196</v>
      </c>
      <c r="G555" s="573" t="s">
        <v>606</v>
      </c>
      <c r="H555" s="573">
        <v>2019</v>
      </c>
      <c r="I555" s="573" t="s">
        <v>1489</v>
      </c>
      <c r="J555" s="573" t="s">
        <v>1492</v>
      </c>
      <c r="K555" s="573" t="s">
        <v>230</v>
      </c>
      <c r="L555" s="573">
        <v>7</v>
      </c>
      <c r="M555" s="573">
        <v>0</v>
      </c>
      <c r="N555" s="573" t="s">
        <v>157</v>
      </c>
      <c r="O555" s="573">
        <v>3</v>
      </c>
      <c r="P555" s="573" t="s">
        <v>157</v>
      </c>
      <c r="Q555" s="571" t="s">
        <v>157</v>
      </c>
      <c r="R555" s="573" t="s">
        <v>316</v>
      </c>
      <c r="S555" s="573">
        <v>6</v>
      </c>
      <c r="T555" s="573">
        <v>6966</v>
      </c>
      <c r="U555" s="573" t="s">
        <v>609</v>
      </c>
      <c r="V555" s="573">
        <v>109.8</v>
      </c>
      <c r="W555" s="573">
        <v>17.2</v>
      </c>
      <c r="X555" s="571">
        <v>6270</v>
      </c>
      <c r="Y555" s="573">
        <v>28</v>
      </c>
      <c r="Z555" s="579" t="s">
        <v>178</v>
      </c>
      <c r="AA555" s="579" t="s">
        <v>163</v>
      </c>
      <c r="AB555" s="584">
        <v>46605</v>
      </c>
      <c r="AC555" s="584" t="s">
        <v>164</v>
      </c>
      <c r="AD555" s="584">
        <v>43550</v>
      </c>
      <c r="AE555" s="586">
        <v>0.05</v>
      </c>
      <c r="AF555" s="661" t="str">
        <f t="shared" si="59"/>
        <v>2019-SUV-TOY-HLDR-002-12</v>
      </c>
      <c r="AG555" s="661" t="str">
        <f>IF(AND($Y555&gt;=32,(AI555="I"),(Y555&lt;&gt;"~"),(COUNTIF($AN$1:$AN555,$AN555)=1)),"TRUE","FALSE")</f>
        <v>FALSE</v>
      </c>
      <c r="AH555" s="661" t="str">
        <f>IF(AND($Y555&gt;=22, (AI555&lt;&gt;"I"),(Y555&lt;&gt;"~"),(COUNTIF($AN$1:$AN555,$AN555)=1)),"TRUE","FALSE")</f>
        <v>TRUE</v>
      </c>
      <c r="AI555" s="661" t="str">
        <f t="shared" si="61"/>
        <v>II</v>
      </c>
      <c r="AJ555" s="662" t="str">
        <f t="shared" si="55"/>
        <v>HLDR-002</v>
      </c>
      <c r="AK555" s="662" t="str">
        <f t="shared" si="56"/>
        <v>SUV</v>
      </c>
      <c r="AL555" s="662" t="str">
        <f t="shared" si="57"/>
        <v>TOY</v>
      </c>
      <c r="AM555" s="662" t="str">
        <f t="shared" si="60"/>
        <v>Highlander-Hybrid Limited-AWD-7-~-~-3.5L-6-6966-NA-109.8-17.2-Unleaded-Electric</v>
      </c>
      <c r="AN555" s="662" t="str">
        <f t="shared" si="58"/>
        <v>2019-SUV-TOY-HLDR-002</v>
      </c>
    </row>
    <row r="556" spans="1:40" s="572" customFormat="1" ht="15">
      <c r="A556" s="570" t="s">
        <v>1493</v>
      </c>
      <c r="B556" s="569" t="s">
        <v>1494</v>
      </c>
      <c r="C556" s="569" t="s">
        <v>605</v>
      </c>
      <c r="D556" s="580">
        <v>12</v>
      </c>
      <c r="E556" s="569" t="s">
        <v>699</v>
      </c>
      <c r="F556" s="569" t="s">
        <v>196</v>
      </c>
      <c r="G556" s="569" t="s">
        <v>606</v>
      </c>
      <c r="H556" s="569">
        <v>2019</v>
      </c>
      <c r="I556" s="569" t="s">
        <v>1489</v>
      </c>
      <c r="J556" s="569" t="s">
        <v>1495</v>
      </c>
      <c r="K556" s="569" t="s">
        <v>230</v>
      </c>
      <c r="L556" s="569">
        <v>8</v>
      </c>
      <c r="M556" s="569">
        <v>0</v>
      </c>
      <c r="N556" s="569" t="s">
        <v>157</v>
      </c>
      <c r="O556" s="569">
        <v>3</v>
      </c>
      <c r="P556" s="569" t="s">
        <v>157</v>
      </c>
      <c r="Q556" s="568" t="s">
        <v>157</v>
      </c>
      <c r="R556" s="569" t="s">
        <v>316</v>
      </c>
      <c r="S556" s="569">
        <v>6</v>
      </c>
      <c r="T556" s="569">
        <v>6965</v>
      </c>
      <c r="U556" s="569" t="s">
        <v>609</v>
      </c>
      <c r="V556" s="569">
        <v>109.8</v>
      </c>
      <c r="W556" s="569">
        <v>19.2</v>
      </c>
      <c r="X556" s="568">
        <v>6270</v>
      </c>
      <c r="Y556" s="569">
        <v>28</v>
      </c>
      <c r="Z556" s="581" t="s">
        <v>178</v>
      </c>
      <c r="AA556" s="581" t="s">
        <v>163</v>
      </c>
      <c r="AB556" s="585">
        <v>43125</v>
      </c>
      <c r="AC556" s="585" t="s">
        <v>164</v>
      </c>
      <c r="AD556" s="585">
        <v>40250</v>
      </c>
      <c r="AE556" s="587">
        <v>0.05</v>
      </c>
      <c r="AF556" s="661" t="str">
        <f t="shared" si="59"/>
        <v>2019-SUV-TOY-HLDR-003-12</v>
      </c>
      <c r="AG556" s="661" t="str">
        <f>IF(AND($Y556&gt;=32,(AI556="I"),(Y556&lt;&gt;"~"),(COUNTIF($AN$1:$AN556,$AN556)=1)),"TRUE","FALSE")</f>
        <v>FALSE</v>
      </c>
      <c r="AH556" s="661" t="str">
        <f>IF(AND($Y556&gt;=22, (AI556&lt;&gt;"I"),(Y556&lt;&gt;"~"),(COUNTIF($AN$1:$AN556,$AN556)=1)),"TRUE","FALSE")</f>
        <v>TRUE</v>
      </c>
      <c r="AI556" s="661" t="str">
        <f t="shared" si="61"/>
        <v>II</v>
      </c>
      <c r="AJ556" s="662" t="str">
        <f t="shared" si="55"/>
        <v>HLDR-003</v>
      </c>
      <c r="AK556" s="662" t="str">
        <f t="shared" si="56"/>
        <v>SUV</v>
      </c>
      <c r="AL556" s="662" t="str">
        <f t="shared" si="57"/>
        <v>TOY</v>
      </c>
      <c r="AM556" s="662" t="str">
        <f t="shared" si="60"/>
        <v>Highlander-Hybrid XLE-AWD-8-~-~-3.5L-6-6965-NA-109.8-19.2-Unleaded-Electric</v>
      </c>
      <c r="AN556" s="662" t="str">
        <f t="shared" si="58"/>
        <v>2019-SUV-TOY-HLDR-003</v>
      </c>
    </row>
    <row r="557" spans="1:40" s="572" customFormat="1" ht="15">
      <c r="A557" s="570" t="s">
        <v>1496</v>
      </c>
      <c r="B557" s="573" t="s">
        <v>1497</v>
      </c>
      <c r="C557" s="573" t="s">
        <v>605</v>
      </c>
      <c r="D557" s="578">
        <v>12</v>
      </c>
      <c r="E557" s="573" t="s">
        <v>699</v>
      </c>
      <c r="F557" s="573" t="s">
        <v>196</v>
      </c>
      <c r="G557" s="573" t="s">
        <v>606</v>
      </c>
      <c r="H557" s="573">
        <v>2019</v>
      </c>
      <c r="I557" s="573" t="s">
        <v>1489</v>
      </c>
      <c r="J557" s="573" t="s">
        <v>615</v>
      </c>
      <c r="K557" s="573" t="s">
        <v>230</v>
      </c>
      <c r="L557" s="573">
        <v>8</v>
      </c>
      <c r="M557" s="573">
        <v>0</v>
      </c>
      <c r="N557" s="573" t="s">
        <v>157</v>
      </c>
      <c r="O557" s="573">
        <v>3</v>
      </c>
      <c r="P557" s="573" t="s">
        <v>157</v>
      </c>
      <c r="Q557" s="571" t="s">
        <v>157</v>
      </c>
      <c r="R557" s="573" t="s">
        <v>316</v>
      </c>
      <c r="S557" s="573">
        <v>6</v>
      </c>
      <c r="T557" s="573">
        <v>6948</v>
      </c>
      <c r="U557" s="573" t="s">
        <v>609</v>
      </c>
      <c r="V557" s="573">
        <v>109.8</v>
      </c>
      <c r="W557" s="573">
        <v>19.2</v>
      </c>
      <c r="X557" s="571">
        <v>6000</v>
      </c>
      <c r="Y557" s="573">
        <v>22</v>
      </c>
      <c r="Z557" s="579" t="s">
        <v>178</v>
      </c>
      <c r="AA557" s="579" t="s">
        <v>178</v>
      </c>
      <c r="AB557" s="584">
        <v>35935</v>
      </c>
      <c r="AC557" s="584" t="s">
        <v>164</v>
      </c>
      <c r="AD557" s="584">
        <v>33650</v>
      </c>
      <c r="AE557" s="586">
        <v>0.05</v>
      </c>
      <c r="AF557" s="661" t="str">
        <f t="shared" si="59"/>
        <v>2019-SUV-TOY-HLDR-004-12</v>
      </c>
      <c r="AG557" s="661" t="str">
        <f>IF(AND($Y557&gt;=32,(AI557="I"),(Y557&lt;&gt;"~"),(COUNTIF($AN$1:$AN557,$AN557)=1)),"TRUE","FALSE")</f>
        <v>FALSE</v>
      </c>
      <c r="AH557" s="661" t="str">
        <f>IF(AND($Y557&gt;=22, (AI557&lt;&gt;"I"),(Y557&lt;&gt;"~"),(COUNTIF($AN$1:$AN557,$AN557)=1)),"TRUE","FALSE")</f>
        <v>TRUE</v>
      </c>
      <c r="AI557" s="661" t="str">
        <f t="shared" si="61"/>
        <v>II</v>
      </c>
      <c r="AJ557" s="662" t="str">
        <f t="shared" si="55"/>
        <v>HLDR-004</v>
      </c>
      <c r="AK557" s="662" t="str">
        <f t="shared" si="56"/>
        <v>SUV</v>
      </c>
      <c r="AL557" s="662" t="str">
        <f t="shared" si="57"/>
        <v>TOY</v>
      </c>
      <c r="AM557" s="662" t="str">
        <f t="shared" si="60"/>
        <v>Highlander-LE-AWD-8-~-~-3.5L-6-6948-NA-109.8-19.2-Unleaded-Unleaded</v>
      </c>
      <c r="AN557" s="662" t="str">
        <f t="shared" si="58"/>
        <v>2019-SUV-TOY-HLDR-004</v>
      </c>
    </row>
    <row r="558" spans="1:40" s="572" customFormat="1" ht="15">
      <c r="A558" s="570" t="s">
        <v>1498</v>
      </c>
      <c r="B558" s="569" t="s">
        <v>1499</v>
      </c>
      <c r="C558" s="569" t="s">
        <v>605</v>
      </c>
      <c r="D558" s="580">
        <v>12</v>
      </c>
      <c r="E558" s="569" t="s">
        <v>699</v>
      </c>
      <c r="F558" s="569" t="s">
        <v>196</v>
      </c>
      <c r="G558" s="569" t="s">
        <v>606</v>
      </c>
      <c r="H558" s="569">
        <v>2019</v>
      </c>
      <c r="I558" s="569" t="s">
        <v>1489</v>
      </c>
      <c r="J558" s="569" t="s">
        <v>615</v>
      </c>
      <c r="K558" s="569" t="s">
        <v>156</v>
      </c>
      <c r="L558" s="569">
        <v>8</v>
      </c>
      <c r="M558" s="569">
        <v>0</v>
      </c>
      <c r="N558" s="569" t="s">
        <v>157</v>
      </c>
      <c r="O558" s="569">
        <v>3</v>
      </c>
      <c r="P558" s="569" t="s">
        <v>157</v>
      </c>
      <c r="Q558" s="568" t="s">
        <v>157</v>
      </c>
      <c r="R558" s="569" t="s">
        <v>1500</v>
      </c>
      <c r="S558" s="569">
        <v>4</v>
      </c>
      <c r="T558" s="569">
        <v>6942</v>
      </c>
      <c r="U558" s="569" t="s">
        <v>609</v>
      </c>
      <c r="V558" s="569">
        <v>109.8</v>
      </c>
      <c r="W558" s="569">
        <v>19.2</v>
      </c>
      <c r="X558" s="568">
        <v>5665</v>
      </c>
      <c r="Y558" s="569">
        <v>22</v>
      </c>
      <c r="Z558" s="581" t="s">
        <v>178</v>
      </c>
      <c r="AA558" s="581" t="s">
        <v>178</v>
      </c>
      <c r="AB558" s="585">
        <v>32425</v>
      </c>
      <c r="AC558" s="585" t="s">
        <v>164</v>
      </c>
      <c r="AD558" s="585">
        <v>30200</v>
      </c>
      <c r="AE558" s="587">
        <v>0.05</v>
      </c>
      <c r="AF558" s="661" t="str">
        <f t="shared" si="59"/>
        <v>2019-SUV-TOY-HLDR-005-12</v>
      </c>
      <c r="AG558" s="661" t="str">
        <f>IF(AND($Y558&gt;=32,(AI558="I"),(Y558&lt;&gt;"~"),(COUNTIF($AN$1:$AN558,$AN558)=1)),"TRUE","FALSE")</f>
        <v>FALSE</v>
      </c>
      <c r="AH558" s="661" t="str">
        <f>IF(AND($Y558&gt;=22, (AI558&lt;&gt;"I"),(Y558&lt;&gt;"~"),(COUNTIF($AN$1:$AN558,$AN558)=1)),"TRUE","FALSE")</f>
        <v>TRUE</v>
      </c>
      <c r="AI558" s="661" t="str">
        <f t="shared" si="61"/>
        <v>II</v>
      </c>
      <c r="AJ558" s="662" t="str">
        <f t="shared" si="55"/>
        <v>HLDR-005</v>
      </c>
      <c r="AK558" s="662" t="str">
        <f t="shared" si="56"/>
        <v>SUV</v>
      </c>
      <c r="AL558" s="662" t="str">
        <f t="shared" si="57"/>
        <v>TOY</v>
      </c>
      <c r="AM558" s="662" t="str">
        <f t="shared" si="60"/>
        <v>Highlander-LE-FWD-8-~-~-2.7L-4-6942-NA-109.8-19.2-Unleaded-Unleaded</v>
      </c>
      <c r="AN558" s="662" t="str">
        <f t="shared" si="58"/>
        <v>2019-SUV-TOY-HLDR-005</v>
      </c>
    </row>
    <row r="559" spans="1:40" s="572" customFormat="1" ht="15">
      <c r="A559" s="570" t="s">
        <v>1501</v>
      </c>
      <c r="B559" s="573" t="s">
        <v>1502</v>
      </c>
      <c r="C559" s="573" t="s">
        <v>605</v>
      </c>
      <c r="D559" s="578">
        <v>12</v>
      </c>
      <c r="E559" s="573" t="s">
        <v>699</v>
      </c>
      <c r="F559" s="573" t="s">
        <v>196</v>
      </c>
      <c r="G559" s="573" t="s">
        <v>606</v>
      </c>
      <c r="H559" s="573">
        <v>2019</v>
      </c>
      <c r="I559" s="573" t="s">
        <v>1489</v>
      </c>
      <c r="J559" s="573" t="s">
        <v>1503</v>
      </c>
      <c r="K559" s="573" t="s">
        <v>230</v>
      </c>
      <c r="L559" s="573">
        <v>7</v>
      </c>
      <c r="M559" s="573">
        <v>0</v>
      </c>
      <c r="N559" s="573" t="s">
        <v>157</v>
      </c>
      <c r="O559" s="573">
        <v>3</v>
      </c>
      <c r="P559" s="573" t="s">
        <v>157</v>
      </c>
      <c r="Q559" s="571" t="s">
        <v>157</v>
      </c>
      <c r="R559" s="573" t="s">
        <v>316</v>
      </c>
      <c r="S559" s="573">
        <v>6</v>
      </c>
      <c r="T559" s="573">
        <v>6953</v>
      </c>
      <c r="U559" s="573" t="s">
        <v>609</v>
      </c>
      <c r="V559" s="573">
        <v>109.8</v>
      </c>
      <c r="W559" s="573">
        <v>19.2</v>
      </c>
      <c r="X559" s="571">
        <v>6000</v>
      </c>
      <c r="Y559" s="573">
        <v>22</v>
      </c>
      <c r="Z559" s="579" t="s">
        <v>178</v>
      </c>
      <c r="AA559" s="579" t="s">
        <v>178</v>
      </c>
      <c r="AB559" s="584">
        <v>41775</v>
      </c>
      <c r="AC559" s="584" t="s">
        <v>164</v>
      </c>
      <c r="AD559" s="584">
        <v>38950</v>
      </c>
      <c r="AE559" s="586">
        <v>0.05</v>
      </c>
      <c r="AF559" s="661" t="str">
        <f t="shared" si="59"/>
        <v>2019-SUV-TOY-HLDR-006-12</v>
      </c>
      <c r="AG559" s="661" t="str">
        <f>IF(AND($Y559&gt;=32,(AI559="I"),(Y559&lt;&gt;"~"),(COUNTIF($AN$1:$AN559,$AN559)=1)),"TRUE","FALSE")</f>
        <v>FALSE</v>
      </c>
      <c r="AH559" s="661" t="str">
        <f>IF(AND($Y559&gt;=22, (AI559&lt;&gt;"I"),(Y559&lt;&gt;"~"),(COUNTIF($AN$1:$AN559,$AN559)=1)),"TRUE","FALSE")</f>
        <v>TRUE</v>
      </c>
      <c r="AI559" s="661" t="str">
        <f t="shared" si="61"/>
        <v>II</v>
      </c>
      <c r="AJ559" s="662" t="str">
        <f t="shared" si="55"/>
        <v>HLDR-006</v>
      </c>
      <c r="AK559" s="662" t="str">
        <f t="shared" si="56"/>
        <v>SUV</v>
      </c>
      <c r="AL559" s="662" t="str">
        <f t="shared" si="57"/>
        <v>TOY</v>
      </c>
      <c r="AM559" s="662" t="str">
        <f t="shared" si="60"/>
        <v>Highlander-XLE-AWD-7-~-~-3.5L-6-6953-NA-109.8-19.2-Unleaded-Unleaded</v>
      </c>
      <c r="AN559" s="662" t="str">
        <f t="shared" si="58"/>
        <v>2019-SUV-TOY-HLDR-006</v>
      </c>
    </row>
    <row r="560" spans="1:40" s="572" customFormat="1" ht="15">
      <c r="A560" s="570" t="s">
        <v>1504</v>
      </c>
      <c r="B560" s="569" t="s">
        <v>1505</v>
      </c>
      <c r="C560" s="569" t="s">
        <v>605</v>
      </c>
      <c r="D560" s="580">
        <v>12</v>
      </c>
      <c r="E560" s="569" t="s">
        <v>699</v>
      </c>
      <c r="F560" s="569" t="s">
        <v>152</v>
      </c>
      <c r="G560" s="569" t="s">
        <v>606</v>
      </c>
      <c r="H560" s="569">
        <v>2019</v>
      </c>
      <c r="I560" s="569" t="s">
        <v>1506</v>
      </c>
      <c r="J560" s="569" t="s">
        <v>608</v>
      </c>
      <c r="K560" s="569" t="s">
        <v>230</v>
      </c>
      <c r="L560" s="569">
        <v>5</v>
      </c>
      <c r="M560" s="569">
        <v>0</v>
      </c>
      <c r="N560" s="569" t="s">
        <v>157</v>
      </c>
      <c r="O560" s="569">
        <v>2</v>
      </c>
      <c r="P560" s="569" t="s">
        <v>157</v>
      </c>
      <c r="Q560" s="568" t="s">
        <v>157</v>
      </c>
      <c r="R560" s="569" t="s">
        <v>189</v>
      </c>
      <c r="S560" s="569">
        <v>4</v>
      </c>
      <c r="T560" s="569">
        <v>4435</v>
      </c>
      <c r="U560" s="569" t="s">
        <v>1507</v>
      </c>
      <c r="V560" s="569">
        <v>104.7</v>
      </c>
      <c r="W560" s="569">
        <v>14.8</v>
      </c>
      <c r="X560" s="568">
        <v>4960</v>
      </c>
      <c r="Y560" s="569">
        <v>32</v>
      </c>
      <c r="Z560" s="581" t="s">
        <v>178</v>
      </c>
      <c r="AA560" s="581" t="s">
        <v>163</v>
      </c>
      <c r="AB560" s="585">
        <v>28795</v>
      </c>
      <c r="AC560" s="585" t="s">
        <v>164</v>
      </c>
      <c r="AD560" s="585">
        <v>27300</v>
      </c>
      <c r="AE560" s="587">
        <v>0.05</v>
      </c>
      <c r="AF560" s="661" t="str">
        <f t="shared" si="59"/>
        <v>2019-SUV-TOY-RAV4-001-12</v>
      </c>
      <c r="AG560" s="661" t="str">
        <f>IF(AND($Y560&gt;=32,(AI560="I"),(Y560&lt;&gt;"~"),(COUNTIF($AN$1:$AN560,$AN560)=1)),"TRUE","FALSE")</f>
        <v>FALSE</v>
      </c>
      <c r="AH560" s="661" t="str">
        <f>IF(AND($Y560&gt;=22, (AI560&lt;&gt;"I"),(Y560&lt;&gt;"~"),(COUNTIF($AN$1:$AN560,$AN560)=1)),"TRUE","FALSE")</f>
        <v>TRUE</v>
      </c>
      <c r="AI560" s="661" t="str">
        <f t="shared" si="61"/>
        <v>II</v>
      </c>
      <c r="AJ560" s="662" t="str">
        <f t="shared" si="55"/>
        <v>RAV4-001</v>
      </c>
      <c r="AK560" s="662" t="str">
        <f t="shared" si="56"/>
        <v>SUV</v>
      </c>
      <c r="AL560" s="662" t="str">
        <f t="shared" si="57"/>
        <v>TOY</v>
      </c>
      <c r="AM560" s="662" t="str">
        <f t="shared" si="60"/>
        <v>RAV4-Hybrid LE-AWD-5-~-~-2.5L-4-4435-LO-104.7-14.8-Unleaded-Electric</v>
      </c>
      <c r="AN560" s="662" t="str">
        <f t="shared" si="58"/>
        <v>2019-SUV-TOY-RAV4-001</v>
      </c>
    </row>
    <row r="561" spans="1:40" s="572" customFormat="1" ht="15">
      <c r="A561" s="570" t="s">
        <v>1508</v>
      </c>
      <c r="B561" s="573" t="s">
        <v>1509</v>
      </c>
      <c r="C561" s="573" t="s">
        <v>605</v>
      </c>
      <c r="D561" s="578">
        <v>12</v>
      </c>
      <c r="E561" s="573" t="s">
        <v>699</v>
      </c>
      <c r="F561" s="573" t="s">
        <v>152</v>
      </c>
      <c r="G561" s="573" t="s">
        <v>606</v>
      </c>
      <c r="H561" s="573">
        <v>2019</v>
      </c>
      <c r="I561" s="573" t="s">
        <v>1506</v>
      </c>
      <c r="J561" s="573" t="s">
        <v>1495</v>
      </c>
      <c r="K561" s="573" t="s">
        <v>230</v>
      </c>
      <c r="L561" s="573">
        <v>5</v>
      </c>
      <c r="M561" s="573">
        <v>0</v>
      </c>
      <c r="N561" s="573" t="s">
        <v>157</v>
      </c>
      <c r="O561" s="573">
        <v>2</v>
      </c>
      <c r="P561" s="573" t="s">
        <v>157</v>
      </c>
      <c r="Q561" s="571" t="s">
        <v>157</v>
      </c>
      <c r="R561" s="573" t="s">
        <v>189</v>
      </c>
      <c r="S561" s="573">
        <v>4</v>
      </c>
      <c r="T561" s="573">
        <v>4444</v>
      </c>
      <c r="U561" s="573" t="s">
        <v>1507</v>
      </c>
      <c r="V561" s="573">
        <v>104.7</v>
      </c>
      <c r="W561" s="573">
        <v>14.8</v>
      </c>
      <c r="X561" s="571">
        <v>4960</v>
      </c>
      <c r="Y561" s="573">
        <v>32</v>
      </c>
      <c r="Z561" s="579" t="s">
        <v>178</v>
      </c>
      <c r="AA561" s="579" t="s">
        <v>163</v>
      </c>
      <c r="AB561" s="584">
        <v>30595</v>
      </c>
      <c r="AC561" s="584" t="s">
        <v>164</v>
      </c>
      <c r="AD561" s="584">
        <v>29200</v>
      </c>
      <c r="AE561" s="586">
        <v>0.05</v>
      </c>
      <c r="AF561" s="661" t="str">
        <f t="shared" si="59"/>
        <v>2019-SUV-TOY-RAV4-002-12</v>
      </c>
      <c r="AG561" s="661" t="str">
        <f>IF(AND($Y561&gt;=32,(AI561="I"),(Y561&lt;&gt;"~"),(COUNTIF($AN$1:$AN561,$AN561)=1)),"TRUE","FALSE")</f>
        <v>FALSE</v>
      </c>
      <c r="AH561" s="661" t="str">
        <f>IF(AND($Y561&gt;=22, (AI561&lt;&gt;"I"),(Y561&lt;&gt;"~"),(COUNTIF($AN$1:$AN561,$AN561)=1)),"TRUE","FALSE")</f>
        <v>TRUE</v>
      </c>
      <c r="AI561" s="661" t="str">
        <f t="shared" si="61"/>
        <v>II</v>
      </c>
      <c r="AJ561" s="662" t="str">
        <f t="shared" si="55"/>
        <v>RAV4-002</v>
      </c>
      <c r="AK561" s="662" t="str">
        <f t="shared" si="56"/>
        <v>SUV</v>
      </c>
      <c r="AL561" s="662" t="str">
        <f t="shared" si="57"/>
        <v>TOY</v>
      </c>
      <c r="AM561" s="662" t="str">
        <f t="shared" si="60"/>
        <v>RAV4-Hybrid XLE-AWD-5-~-~-2.5L-4-4444-LO-104.7-14.8-Unleaded-Electric</v>
      </c>
      <c r="AN561" s="662" t="str">
        <f t="shared" si="58"/>
        <v>2019-SUV-TOY-RAV4-002</v>
      </c>
    </row>
    <row r="562" spans="1:40" s="572" customFormat="1" ht="15">
      <c r="A562" s="570" t="s">
        <v>1510</v>
      </c>
      <c r="B562" s="569" t="s">
        <v>1511</v>
      </c>
      <c r="C562" s="569" t="s">
        <v>605</v>
      </c>
      <c r="D562" s="580">
        <v>12</v>
      </c>
      <c r="E562" s="569" t="s">
        <v>699</v>
      </c>
      <c r="F562" s="569" t="s">
        <v>152</v>
      </c>
      <c r="G562" s="569" t="s">
        <v>606</v>
      </c>
      <c r="H562" s="569">
        <v>2019</v>
      </c>
      <c r="I562" s="569" t="s">
        <v>1506</v>
      </c>
      <c r="J562" s="569" t="s">
        <v>615</v>
      </c>
      <c r="K562" s="569" t="s">
        <v>230</v>
      </c>
      <c r="L562" s="569">
        <v>5</v>
      </c>
      <c r="M562" s="569">
        <v>0</v>
      </c>
      <c r="N562" s="569" t="s">
        <v>157</v>
      </c>
      <c r="O562" s="569">
        <v>2</v>
      </c>
      <c r="P562" s="569" t="s">
        <v>157</v>
      </c>
      <c r="Q562" s="568" t="s">
        <v>157</v>
      </c>
      <c r="R562" s="569" t="s">
        <v>189</v>
      </c>
      <c r="S562" s="569">
        <v>4</v>
      </c>
      <c r="T562" s="569">
        <v>4432</v>
      </c>
      <c r="U562" s="569" t="s">
        <v>609</v>
      </c>
      <c r="V562" s="569">
        <v>104.7</v>
      </c>
      <c r="W562" s="569">
        <v>15.9</v>
      </c>
      <c r="X562" s="568">
        <v>4525</v>
      </c>
      <c r="Y562" s="569">
        <v>25</v>
      </c>
      <c r="Z562" s="581" t="s">
        <v>178</v>
      </c>
      <c r="AA562" s="581" t="s">
        <v>178</v>
      </c>
      <c r="AB562" s="585">
        <v>27995</v>
      </c>
      <c r="AC562" s="585" t="s">
        <v>164</v>
      </c>
      <c r="AD562" s="585">
        <v>26300</v>
      </c>
      <c r="AE562" s="587">
        <v>0.05</v>
      </c>
      <c r="AF562" s="661" t="str">
        <f t="shared" si="59"/>
        <v>2019-SUV-TOY-RAV4-003-12</v>
      </c>
      <c r="AG562" s="661" t="str">
        <f>IF(AND($Y562&gt;=32,(AI562="I"),(Y562&lt;&gt;"~"),(COUNTIF($AN$1:$AN562,$AN562)=1)),"TRUE","FALSE")</f>
        <v>FALSE</v>
      </c>
      <c r="AH562" s="661" t="str">
        <f>IF(AND($Y562&gt;=22, (AI562&lt;&gt;"I"),(Y562&lt;&gt;"~"),(COUNTIF($AN$1:$AN562,$AN562)=1)),"TRUE","FALSE")</f>
        <v>TRUE</v>
      </c>
      <c r="AI562" s="661" t="str">
        <f t="shared" si="61"/>
        <v>II</v>
      </c>
      <c r="AJ562" s="662" t="str">
        <f t="shared" si="55"/>
        <v>RAV4-003</v>
      </c>
      <c r="AK562" s="662" t="str">
        <f t="shared" si="56"/>
        <v>SUV</v>
      </c>
      <c r="AL562" s="662" t="str">
        <f t="shared" si="57"/>
        <v>TOY</v>
      </c>
      <c r="AM562" s="662" t="str">
        <f t="shared" si="60"/>
        <v>RAV4-LE-AWD-5-~-~-2.5L-4-4432-NA-104.7-15.9-Unleaded-Unleaded</v>
      </c>
      <c r="AN562" s="662" t="str">
        <f t="shared" si="58"/>
        <v>2019-SUV-TOY-RAV4-003</v>
      </c>
    </row>
    <row r="563" spans="1:40" s="572" customFormat="1" ht="15">
      <c r="A563" s="570" t="s">
        <v>1512</v>
      </c>
      <c r="B563" s="573" t="s">
        <v>1513</v>
      </c>
      <c r="C563" s="573" t="s">
        <v>605</v>
      </c>
      <c r="D563" s="578">
        <v>12</v>
      </c>
      <c r="E563" s="573" t="s">
        <v>699</v>
      </c>
      <c r="F563" s="573" t="s">
        <v>152</v>
      </c>
      <c r="G563" s="573" t="s">
        <v>606</v>
      </c>
      <c r="H563" s="573">
        <v>2019</v>
      </c>
      <c r="I563" s="573" t="s">
        <v>1506</v>
      </c>
      <c r="J563" s="573" t="s">
        <v>615</v>
      </c>
      <c r="K563" s="573" t="s">
        <v>156</v>
      </c>
      <c r="L563" s="573">
        <v>5</v>
      </c>
      <c r="M563" s="573">
        <v>0</v>
      </c>
      <c r="N563" s="573" t="s">
        <v>157</v>
      </c>
      <c r="O563" s="573">
        <v>2</v>
      </c>
      <c r="P563" s="573" t="s">
        <v>157</v>
      </c>
      <c r="Q563" s="571" t="s">
        <v>157</v>
      </c>
      <c r="R563" s="573" t="s">
        <v>189</v>
      </c>
      <c r="S563" s="573">
        <v>4</v>
      </c>
      <c r="T563" s="573">
        <v>4430</v>
      </c>
      <c r="U563" s="573" t="s">
        <v>609</v>
      </c>
      <c r="V563" s="573">
        <v>104.7</v>
      </c>
      <c r="W563" s="573">
        <v>15.9</v>
      </c>
      <c r="X563" s="571">
        <v>4525</v>
      </c>
      <c r="Y563" s="573">
        <v>26</v>
      </c>
      <c r="Z563" s="579" t="s">
        <v>178</v>
      </c>
      <c r="AA563" s="579" t="s">
        <v>178</v>
      </c>
      <c r="AB563" s="584">
        <v>26595</v>
      </c>
      <c r="AC563" s="584" t="s">
        <v>164</v>
      </c>
      <c r="AD563" s="584">
        <v>24950</v>
      </c>
      <c r="AE563" s="586">
        <v>0.05</v>
      </c>
      <c r="AF563" s="661" t="str">
        <f t="shared" si="59"/>
        <v>2019-SUV-TOY-RAV4-004-12</v>
      </c>
      <c r="AG563" s="661" t="str">
        <f>IF(AND($Y563&gt;=32,(AI563="I"),(Y563&lt;&gt;"~"),(COUNTIF($AN$1:$AN563,$AN563)=1)),"TRUE","FALSE")</f>
        <v>FALSE</v>
      </c>
      <c r="AH563" s="661" t="str">
        <f>IF(AND($Y563&gt;=22, (AI563&lt;&gt;"I"),(Y563&lt;&gt;"~"),(COUNTIF($AN$1:$AN563,$AN563)=1)),"TRUE","FALSE")</f>
        <v>TRUE</v>
      </c>
      <c r="AI563" s="661" t="str">
        <f t="shared" si="61"/>
        <v>II</v>
      </c>
      <c r="AJ563" s="662" t="str">
        <f t="shared" si="55"/>
        <v>RAV4-004</v>
      </c>
      <c r="AK563" s="662" t="str">
        <f t="shared" si="56"/>
        <v>SUV</v>
      </c>
      <c r="AL563" s="662" t="str">
        <f t="shared" si="57"/>
        <v>TOY</v>
      </c>
      <c r="AM563" s="662" t="str">
        <f t="shared" si="60"/>
        <v>RAV4-LE-FWD-5-~-~-2.5L-4-4430-NA-104.7-15.9-Unleaded-Unleaded</v>
      </c>
      <c r="AN563" s="662" t="str">
        <f t="shared" si="58"/>
        <v>2019-SUV-TOY-RAV4-004</v>
      </c>
    </row>
    <row r="564" spans="1:40" s="572" customFormat="1" ht="15">
      <c r="A564" s="570" t="s">
        <v>1514</v>
      </c>
      <c r="B564" s="569" t="s">
        <v>1515</v>
      </c>
      <c r="C564" s="569" t="s">
        <v>169</v>
      </c>
      <c r="D564" s="580">
        <v>11</v>
      </c>
      <c r="E564" s="569" t="s">
        <v>1516</v>
      </c>
      <c r="F564" s="569" t="s">
        <v>1517</v>
      </c>
      <c r="G564" s="569" t="s">
        <v>153</v>
      </c>
      <c r="H564" s="569">
        <v>2019</v>
      </c>
      <c r="I564" s="569" t="s">
        <v>1518</v>
      </c>
      <c r="J564" s="569" t="s">
        <v>1519</v>
      </c>
      <c r="K564" s="569" t="s">
        <v>236</v>
      </c>
      <c r="L564" s="569">
        <v>2</v>
      </c>
      <c r="M564" s="569">
        <v>0</v>
      </c>
      <c r="N564" s="569" t="s">
        <v>157</v>
      </c>
      <c r="O564" s="569">
        <v>1</v>
      </c>
      <c r="P564" s="569">
        <v>84.3</v>
      </c>
      <c r="Q564" s="568" t="s">
        <v>157</v>
      </c>
      <c r="R564" s="569" t="s">
        <v>1520</v>
      </c>
      <c r="S564" s="569">
        <v>4</v>
      </c>
      <c r="T564" s="569" t="s">
        <v>1521</v>
      </c>
      <c r="U564" s="569" t="s">
        <v>1522</v>
      </c>
      <c r="V564" s="569">
        <v>155</v>
      </c>
      <c r="W564" s="569">
        <v>31</v>
      </c>
      <c r="X564" s="568">
        <v>9900</v>
      </c>
      <c r="Y564" s="569">
        <v>14</v>
      </c>
      <c r="Z564" s="581" t="s">
        <v>728</v>
      </c>
      <c r="AA564" s="581" t="s">
        <v>1523</v>
      </c>
      <c r="AB564" s="585">
        <v>38765</v>
      </c>
      <c r="AC564" s="585" t="s">
        <v>164</v>
      </c>
      <c r="AD564" s="585">
        <v>27898.541666666668</v>
      </c>
      <c r="AE564" s="587">
        <v>0.05</v>
      </c>
      <c r="AF564" s="661" t="str">
        <f t="shared" si="59"/>
        <v>2019-LVN-CHV-XP25-001-11</v>
      </c>
      <c r="AG564" s="661" t="str">
        <f>IF(AND($Y564&gt;=32,(AI564="I"),(Y564&lt;&gt;"~"),(COUNTIF($AN$1:$AN564,$AN564)=1)),"TRUE","FALSE")</f>
        <v>FALSE</v>
      </c>
      <c r="AH564" s="661" t="str">
        <f>IF(AND($Y564&gt;=22, (AI564&lt;&gt;"I"),(Y564&lt;&gt;"~"),(COUNTIF($AN$1:$AN564,$AN564)=1)),"TRUE","FALSE")</f>
        <v>FALSE</v>
      </c>
      <c r="AI564" s="661" t="str">
        <f t="shared" si="61"/>
        <v>II</v>
      </c>
      <c r="AJ564" s="662" t="str">
        <f t="shared" si="55"/>
        <v>XP25-001</v>
      </c>
      <c r="AK564" s="662" t="str">
        <f t="shared" si="56"/>
        <v>LVN</v>
      </c>
      <c r="AL564" s="662" t="str">
        <f t="shared" si="57"/>
        <v>CHV</v>
      </c>
      <c r="AM564" s="662" t="str">
        <f t="shared" si="60"/>
        <v>Express 2500-Cargo Van-RWD-2-84.3-~-2.8L -4-CG23705-1WT-155-31-Diesel-BioDiesel</v>
      </c>
      <c r="AN564" s="662" t="str">
        <f t="shared" si="58"/>
        <v>2019-LVN-CHV-XP25-001</v>
      </c>
    </row>
    <row r="565" spans="1:40" s="572" customFormat="1" ht="15">
      <c r="A565" s="570" t="s">
        <v>1524</v>
      </c>
      <c r="B565" s="573" t="s">
        <v>1525</v>
      </c>
      <c r="C565" s="573" t="s">
        <v>169</v>
      </c>
      <c r="D565" s="578">
        <v>11</v>
      </c>
      <c r="E565" s="573" t="s">
        <v>1516</v>
      </c>
      <c r="F565" s="573" t="s">
        <v>1517</v>
      </c>
      <c r="G565" s="573" t="s">
        <v>153</v>
      </c>
      <c r="H565" s="573">
        <v>2019</v>
      </c>
      <c r="I565" s="573" t="s">
        <v>1518</v>
      </c>
      <c r="J565" s="573" t="s">
        <v>1519</v>
      </c>
      <c r="K565" s="573" t="s">
        <v>236</v>
      </c>
      <c r="L565" s="573">
        <v>2</v>
      </c>
      <c r="M565" s="573">
        <v>0</v>
      </c>
      <c r="N565" s="573" t="s">
        <v>157</v>
      </c>
      <c r="O565" s="573">
        <v>1</v>
      </c>
      <c r="P565" s="573">
        <v>84.3</v>
      </c>
      <c r="Q565" s="571" t="s">
        <v>157</v>
      </c>
      <c r="R565" s="573" t="s">
        <v>1526</v>
      </c>
      <c r="S565" s="573">
        <v>6</v>
      </c>
      <c r="T565" s="573" t="s">
        <v>1521</v>
      </c>
      <c r="U565" s="573" t="s">
        <v>1522</v>
      </c>
      <c r="V565" s="573">
        <v>155</v>
      </c>
      <c r="W565" s="573">
        <v>31</v>
      </c>
      <c r="X565" s="571">
        <v>8600</v>
      </c>
      <c r="Y565" s="573">
        <v>14</v>
      </c>
      <c r="Z565" s="579" t="s">
        <v>178</v>
      </c>
      <c r="AA565" s="579" t="s">
        <v>178</v>
      </c>
      <c r="AB565" s="584">
        <v>34695</v>
      </c>
      <c r="AC565" s="584" t="s">
        <v>164</v>
      </c>
      <c r="AD565" s="584">
        <v>24167.708333333336</v>
      </c>
      <c r="AE565" s="586">
        <v>0.05</v>
      </c>
      <c r="AF565" s="661" t="str">
        <f t="shared" si="59"/>
        <v>2019-LVN-CHV-XP25-002-11</v>
      </c>
      <c r="AG565" s="661" t="str">
        <f>IF(AND($Y565&gt;=32,(AI565="I"),(Y565&lt;&gt;"~"),(COUNTIF($AN$1:$AN565,$AN565)=1)),"TRUE","FALSE")</f>
        <v>FALSE</v>
      </c>
      <c r="AH565" s="661" t="str">
        <f>IF(AND($Y565&gt;=22, (AI565&lt;&gt;"I"),(Y565&lt;&gt;"~"),(COUNTIF($AN$1:$AN565,$AN565)=1)),"TRUE","FALSE")</f>
        <v>FALSE</v>
      </c>
      <c r="AI565" s="661" t="str">
        <f t="shared" si="61"/>
        <v>II</v>
      </c>
      <c r="AJ565" s="662" t="str">
        <f t="shared" si="55"/>
        <v>XP25-002</v>
      </c>
      <c r="AK565" s="662" t="str">
        <f t="shared" si="56"/>
        <v>LVN</v>
      </c>
      <c r="AL565" s="662" t="str">
        <f t="shared" si="57"/>
        <v>CHV</v>
      </c>
      <c r="AM565" s="662" t="str">
        <f t="shared" si="60"/>
        <v>Express 2500-Cargo Van-RWD-2-84.3-~-4.3L-6-CG23705-1WT-155-31-Unleaded-Unleaded</v>
      </c>
      <c r="AN565" s="662" t="str">
        <f t="shared" si="58"/>
        <v>2019-LVN-CHV-XP25-002</v>
      </c>
    </row>
    <row r="566" spans="1:40" s="572" customFormat="1" ht="15">
      <c r="A566" s="570" t="s">
        <v>1527</v>
      </c>
      <c r="B566" s="569" t="s">
        <v>1528</v>
      </c>
      <c r="C566" s="569" t="s">
        <v>169</v>
      </c>
      <c r="D566" s="580">
        <v>11</v>
      </c>
      <c r="E566" s="569" t="s">
        <v>1516</v>
      </c>
      <c r="F566" s="569" t="s">
        <v>1517</v>
      </c>
      <c r="G566" s="569" t="s">
        <v>153</v>
      </c>
      <c r="H566" s="569">
        <v>2019</v>
      </c>
      <c r="I566" s="569" t="s">
        <v>1518</v>
      </c>
      <c r="J566" s="569" t="s">
        <v>1519</v>
      </c>
      <c r="K566" s="569" t="s">
        <v>236</v>
      </c>
      <c r="L566" s="569">
        <v>2</v>
      </c>
      <c r="M566" s="569">
        <v>0</v>
      </c>
      <c r="N566" s="569" t="s">
        <v>157</v>
      </c>
      <c r="O566" s="569">
        <v>1</v>
      </c>
      <c r="P566" s="569">
        <v>84.3</v>
      </c>
      <c r="Q566" s="568" t="s">
        <v>157</v>
      </c>
      <c r="R566" s="569" t="s">
        <v>798</v>
      </c>
      <c r="S566" s="569">
        <v>8</v>
      </c>
      <c r="T566" s="569" t="s">
        <v>1521</v>
      </c>
      <c r="U566" s="569" t="s">
        <v>1522</v>
      </c>
      <c r="V566" s="569">
        <v>155</v>
      </c>
      <c r="W566" s="569">
        <v>31</v>
      </c>
      <c r="X566" s="568">
        <v>8600</v>
      </c>
      <c r="Y566" s="569">
        <v>13</v>
      </c>
      <c r="Z566" s="581" t="s">
        <v>1529</v>
      </c>
      <c r="AA566" s="581" t="s">
        <v>178</v>
      </c>
      <c r="AB566" s="585">
        <v>35990</v>
      </c>
      <c r="AC566" s="585" t="s">
        <v>164</v>
      </c>
      <c r="AD566" s="585">
        <v>25354.791666666668</v>
      </c>
      <c r="AE566" s="587">
        <v>0.05</v>
      </c>
      <c r="AF566" s="661" t="str">
        <f t="shared" si="59"/>
        <v>2019-LVN-CHV-XP25-003-11</v>
      </c>
      <c r="AG566" s="661" t="str">
        <f>IF(AND($Y566&gt;=32,(AI566="I"),(Y566&lt;&gt;"~"),(COUNTIF($AN$1:$AN566,$AN566)=1)),"TRUE","FALSE")</f>
        <v>FALSE</v>
      </c>
      <c r="AH566" s="661" t="str">
        <f>IF(AND($Y566&gt;=22, (AI566&lt;&gt;"I"),(Y566&lt;&gt;"~"),(COUNTIF($AN$1:$AN566,$AN566)=1)),"TRUE","FALSE")</f>
        <v>FALSE</v>
      </c>
      <c r="AI566" s="661" t="str">
        <f t="shared" si="61"/>
        <v>II</v>
      </c>
      <c r="AJ566" s="662" t="str">
        <f t="shared" si="55"/>
        <v>XP25-003</v>
      </c>
      <c r="AK566" s="662" t="str">
        <f t="shared" si="56"/>
        <v>LVN</v>
      </c>
      <c r="AL566" s="662" t="str">
        <f t="shared" si="57"/>
        <v>CHV</v>
      </c>
      <c r="AM566" s="662" t="str">
        <f t="shared" si="60"/>
        <v>Express 2500-Cargo Van-RWD-2-84.3-~-6.0L-8-CG23705-1WT-155-31-CNG-Unleaded</v>
      </c>
      <c r="AN566" s="662" t="str">
        <f t="shared" si="58"/>
        <v>2019-LVN-CHV-XP25-003</v>
      </c>
    </row>
    <row r="567" spans="1:40" s="572" customFormat="1" ht="15">
      <c r="A567" s="570" t="s">
        <v>1530</v>
      </c>
      <c r="B567" s="573" t="s">
        <v>1531</v>
      </c>
      <c r="C567" s="573" t="s">
        <v>169</v>
      </c>
      <c r="D567" s="578">
        <v>11</v>
      </c>
      <c r="E567" s="573" t="s">
        <v>1516</v>
      </c>
      <c r="F567" s="573" t="s">
        <v>1517</v>
      </c>
      <c r="G567" s="573" t="s">
        <v>153</v>
      </c>
      <c r="H567" s="573">
        <v>2019</v>
      </c>
      <c r="I567" s="573" t="s">
        <v>1518</v>
      </c>
      <c r="J567" s="573" t="s">
        <v>1519</v>
      </c>
      <c r="K567" s="573" t="s">
        <v>236</v>
      </c>
      <c r="L567" s="573">
        <v>2</v>
      </c>
      <c r="M567" s="573">
        <v>0</v>
      </c>
      <c r="N567" s="573" t="s">
        <v>157</v>
      </c>
      <c r="O567" s="573">
        <v>1</v>
      </c>
      <c r="P567" s="573">
        <v>84.3</v>
      </c>
      <c r="Q567" s="571" t="s">
        <v>157</v>
      </c>
      <c r="R567" s="573" t="s">
        <v>798</v>
      </c>
      <c r="S567" s="573">
        <v>8</v>
      </c>
      <c r="T567" s="573" t="s">
        <v>1521</v>
      </c>
      <c r="U567" s="573" t="s">
        <v>1522</v>
      </c>
      <c r="V567" s="573">
        <v>155</v>
      </c>
      <c r="W567" s="573">
        <v>31</v>
      </c>
      <c r="X567" s="571">
        <v>8600</v>
      </c>
      <c r="Y567" s="573">
        <v>13</v>
      </c>
      <c r="Z567" s="579" t="s">
        <v>450</v>
      </c>
      <c r="AA567" s="579" t="s">
        <v>178</v>
      </c>
      <c r="AB567" s="584">
        <v>35690</v>
      </c>
      <c r="AC567" s="584" t="s">
        <v>164</v>
      </c>
      <c r="AD567" s="584">
        <v>25079.791666666668</v>
      </c>
      <c r="AE567" s="586">
        <v>0.05</v>
      </c>
      <c r="AF567" s="661" t="str">
        <f t="shared" si="59"/>
        <v>2019-LVN-CHV-XP25-004-11</v>
      </c>
      <c r="AG567" s="661" t="str">
        <f>IF(AND($Y567&gt;=32,(AI567="I"),(Y567&lt;&gt;"~"),(COUNTIF($AN$1:$AN567,$AN567)=1)),"TRUE","FALSE")</f>
        <v>FALSE</v>
      </c>
      <c r="AH567" s="661" t="str">
        <f>IF(AND($Y567&gt;=22, (AI567&lt;&gt;"I"),(Y567&lt;&gt;"~"),(COUNTIF($AN$1:$AN567,$AN567)=1)),"TRUE","FALSE")</f>
        <v>FALSE</v>
      </c>
      <c r="AI567" s="661" t="str">
        <f t="shared" si="61"/>
        <v>II</v>
      </c>
      <c r="AJ567" s="662" t="str">
        <f t="shared" si="55"/>
        <v>XP25-004</v>
      </c>
      <c r="AK567" s="662" t="str">
        <f t="shared" si="56"/>
        <v>LVN</v>
      </c>
      <c r="AL567" s="662" t="str">
        <f t="shared" si="57"/>
        <v>CHV</v>
      </c>
      <c r="AM567" s="662" t="str">
        <f t="shared" si="60"/>
        <v>Express 2500-Cargo Van-RWD-2-84.3-~-6.0L-8-CG23705-1WT-155-31-E85-Unleaded</v>
      </c>
      <c r="AN567" s="662" t="str">
        <f t="shared" si="58"/>
        <v>2019-LVN-CHV-XP25-004</v>
      </c>
    </row>
    <row r="568" spans="1:40" s="572" customFormat="1" ht="15">
      <c r="A568" s="570" t="s">
        <v>1532</v>
      </c>
      <c r="B568" s="569" t="s">
        <v>1533</v>
      </c>
      <c r="C568" s="569" t="s">
        <v>169</v>
      </c>
      <c r="D568" s="580">
        <v>11</v>
      </c>
      <c r="E568" s="569" t="s">
        <v>1516</v>
      </c>
      <c r="F568" s="569" t="s">
        <v>1517</v>
      </c>
      <c r="G568" s="569" t="s">
        <v>153</v>
      </c>
      <c r="H568" s="569">
        <v>2019</v>
      </c>
      <c r="I568" s="569" t="s">
        <v>1518</v>
      </c>
      <c r="J568" s="569" t="s">
        <v>1519</v>
      </c>
      <c r="K568" s="569" t="s">
        <v>236</v>
      </c>
      <c r="L568" s="569">
        <v>2</v>
      </c>
      <c r="M568" s="569">
        <v>0</v>
      </c>
      <c r="N568" s="569" t="s">
        <v>157</v>
      </c>
      <c r="O568" s="569">
        <v>1</v>
      </c>
      <c r="P568" s="569">
        <v>84.6</v>
      </c>
      <c r="Q568" s="568" t="s">
        <v>157</v>
      </c>
      <c r="R568" s="569" t="s">
        <v>1520</v>
      </c>
      <c r="S568" s="569">
        <v>4</v>
      </c>
      <c r="T568" s="569" t="s">
        <v>1534</v>
      </c>
      <c r="U568" s="569" t="s">
        <v>1522</v>
      </c>
      <c r="V568" s="569">
        <v>135</v>
      </c>
      <c r="W568" s="569">
        <v>31</v>
      </c>
      <c r="X568" s="568">
        <v>9900</v>
      </c>
      <c r="Y568" s="569">
        <v>14</v>
      </c>
      <c r="Z568" s="581" t="s">
        <v>728</v>
      </c>
      <c r="AA568" s="581" t="s">
        <v>1523</v>
      </c>
      <c r="AB568" s="585">
        <v>36935</v>
      </c>
      <c r="AC568" s="585" t="s">
        <v>164</v>
      </c>
      <c r="AD568" s="585">
        <v>26177.500000000004</v>
      </c>
      <c r="AE568" s="587">
        <v>0.05</v>
      </c>
      <c r="AF568" s="661" t="str">
        <f t="shared" si="59"/>
        <v>2019-LVN-CHV-XP25-005-11</v>
      </c>
      <c r="AG568" s="661" t="str">
        <f>IF(AND($Y568&gt;=32,(AI568="I"),(Y568&lt;&gt;"~"),(COUNTIF($AN$1:$AN568,$AN568)=1)),"TRUE","FALSE")</f>
        <v>FALSE</v>
      </c>
      <c r="AH568" s="661" t="str">
        <f>IF(AND($Y568&gt;=22, (AI568&lt;&gt;"I"),(Y568&lt;&gt;"~"),(COUNTIF($AN$1:$AN568,$AN568)=1)),"TRUE","FALSE")</f>
        <v>FALSE</v>
      </c>
      <c r="AI568" s="661" t="str">
        <f t="shared" si="61"/>
        <v>II</v>
      </c>
      <c r="AJ568" s="662" t="str">
        <f t="shared" si="55"/>
        <v>XP25-005</v>
      </c>
      <c r="AK568" s="662" t="str">
        <f t="shared" si="56"/>
        <v>LVN</v>
      </c>
      <c r="AL568" s="662" t="str">
        <f t="shared" si="57"/>
        <v>CHV</v>
      </c>
      <c r="AM568" s="662" t="str">
        <f t="shared" si="60"/>
        <v>Express 2500-Cargo Van-RWD-2-84.6-~-2.8L -4-CG23405-1WT-135-31-Diesel-BioDiesel</v>
      </c>
      <c r="AN568" s="662" t="str">
        <f t="shared" si="58"/>
        <v>2019-LVN-CHV-XP25-005</v>
      </c>
    </row>
    <row r="569" spans="1:40" s="572" customFormat="1" ht="15">
      <c r="A569" s="570" t="s">
        <v>1535</v>
      </c>
      <c r="B569" s="573" t="s">
        <v>1536</v>
      </c>
      <c r="C569" s="573" t="s">
        <v>169</v>
      </c>
      <c r="D569" s="578">
        <v>11</v>
      </c>
      <c r="E569" s="573" t="s">
        <v>1516</v>
      </c>
      <c r="F569" s="573" t="s">
        <v>1517</v>
      </c>
      <c r="G569" s="573" t="s">
        <v>153</v>
      </c>
      <c r="H569" s="573">
        <v>2019</v>
      </c>
      <c r="I569" s="573" t="s">
        <v>1518</v>
      </c>
      <c r="J569" s="573" t="s">
        <v>1519</v>
      </c>
      <c r="K569" s="573" t="s">
        <v>236</v>
      </c>
      <c r="L569" s="573">
        <v>2</v>
      </c>
      <c r="M569" s="573">
        <v>0</v>
      </c>
      <c r="N569" s="573" t="s">
        <v>157</v>
      </c>
      <c r="O569" s="573">
        <v>1</v>
      </c>
      <c r="P569" s="573">
        <v>84.6</v>
      </c>
      <c r="Q569" s="571" t="s">
        <v>157</v>
      </c>
      <c r="R569" s="573" t="s">
        <v>1526</v>
      </c>
      <c r="S569" s="573">
        <v>6</v>
      </c>
      <c r="T569" s="573" t="s">
        <v>1534</v>
      </c>
      <c r="U569" s="573" t="s">
        <v>1522</v>
      </c>
      <c r="V569" s="573">
        <v>135</v>
      </c>
      <c r="W569" s="573">
        <v>31</v>
      </c>
      <c r="X569" s="571">
        <v>8600</v>
      </c>
      <c r="Y569" s="573">
        <v>14</v>
      </c>
      <c r="Z569" s="579" t="s">
        <v>178</v>
      </c>
      <c r="AA569" s="579" t="s">
        <v>178</v>
      </c>
      <c r="AB569" s="584">
        <v>32795</v>
      </c>
      <c r="AC569" s="584" t="s">
        <v>164</v>
      </c>
      <c r="AD569" s="584">
        <v>22382.5</v>
      </c>
      <c r="AE569" s="586">
        <v>0.05</v>
      </c>
      <c r="AF569" s="661" t="str">
        <f t="shared" si="59"/>
        <v>2019-LVN-CHV-XP25-007-11</v>
      </c>
      <c r="AG569" s="661" t="str">
        <f>IF(AND($Y569&gt;=32,(AI569="I"),(Y569&lt;&gt;"~"),(COUNTIF($AN$1:$AN569,$AN569)=1)),"TRUE","FALSE")</f>
        <v>FALSE</v>
      </c>
      <c r="AH569" s="661" t="str">
        <f>IF(AND($Y569&gt;=22, (AI569&lt;&gt;"I"),(Y569&lt;&gt;"~"),(COUNTIF($AN$1:$AN569,$AN569)=1)),"TRUE","FALSE")</f>
        <v>FALSE</v>
      </c>
      <c r="AI569" s="661" t="str">
        <f t="shared" si="61"/>
        <v>II</v>
      </c>
      <c r="AJ569" s="662" t="str">
        <f t="shared" si="55"/>
        <v>XP25-007</v>
      </c>
      <c r="AK569" s="662" t="str">
        <f t="shared" si="56"/>
        <v>LVN</v>
      </c>
      <c r="AL569" s="662" t="str">
        <f t="shared" si="57"/>
        <v>CHV</v>
      </c>
      <c r="AM569" s="662" t="str">
        <f t="shared" si="60"/>
        <v>Express 2500-Cargo Van-RWD-2-84.6-~-4.3L-6-CG23405-1WT-135-31-Unleaded-Unleaded</v>
      </c>
      <c r="AN569" s="662" t="str">
        <f t="shared" si="58"/>
        <v>2019-LVN-CHV-XP25-007</v>
      </c>
    </row>
    <row r="570" spans="1:40" s="572" customFormat="1" ht="15">
      <c r="A570" s="570" t="s">
        <v>1537</v>
      </c>
      <c r="B570" s="569" t="s">
        <v>1538</v>
      </c>
      <c r="C570" s="569" t="s">
        <v>169</v>
      </c>
      <c r="D570" s="580">
        <v>11</v>
      </c>
      <c r="E570" s="569" t="s">
        <v>1516</v>
      </c>
      <c r="F570" s="569" t="s">
        <v>1517</v>
      </c>
      <c r="G570" s="569" t="s">
        <v>153</v>
      </c>
      <c r="H570" s="569">
        <v>2019</v>
      </c>
      <c r="I570" s="569" t="s">
        <v>1518</v>
      </c>
      <c r="J570" s="569" t="s">
        <v>1519</v>
      </c>
      <c r="K570" s="569" t="s">
        <v>236</v>
      </c>
      <c r="L570" s="569">
        <v>2</v>
      </c>
      <c r="M570" s="569">
        <v>0</v>
      </c>
      <c r="N570" s="569" t="s">
        <v>157</v>
      </c>
      <c r="O570" s="569">
        <v>1</v>
      </c>
      <c r="P570" s="569">
        <v>84.6</v>
      </c>
      <c r="Q570" s="568" t="s">
        <v>157</v>
      </c>
      <c r="R570" s="569" t="s">
        <v>798</v>
      </c>
      <c r="S570" s="569">
        <v>8</v>
      </c>
      <c r="T570" s="569" t="s">
        <v>1534</v>
      </c>
      <c r="U570" s="569" t="s">
        <v>1522</v>
      </c>
      <c r="V570" s="569">
        <v>135</v>
      </c>
      <c r="W570" s="569">
        <v>31</v>
      </c>
      <c r="X570" s="568">
        <v>8600</v>
      </c>
      <c r="Y570" s="569">
        <v>13</v>
      </c>
      <c r="Z570" s="581" t="s">
        <v>1529</v>
      </c>
      <c r="AA570" s="581" t="s">
        <v>178</v>
      </c>
      <c r="AB570" s="585">
        <v>34160</v>
      </c>
      <c r="AC570" s="585" t="s">
        <v>164</v>
      </c>
      <c r="AD570" s="585">
        <v>23633.750000000004</v>
      </c>
      <c r="AE570" s="587">
        <v>0.05</v>
      </c>
      <c r="AF570" s="661" t="str">
        <f t="shared" si="59"/>
        <v>2019-LVN-CHV-XP25-008-11</v>
      </c>
      <c r="AG570" s="661" t="str">
        <f>IF(AND($Y570&gt;=32,(AI570="I"),(Y570&lt;&gt;"~"),(COUNTIF($AN$1:$AN570,$AN570)=1)),"TRUE","FALSE")</f>
        <v>FALSE</v>
      </c>
      <c r="AH570" s="661" t="str">
        <f>IF(AND($Y570&gt;=22, (AI570&lt;&gt;"I"),(Y570&lt;&gt;"~"),(COUNTIF($AN$1:$AN570,$AN570)=1)),"TRUE","FALSE")</f>
        <v>FALSE</v>
      </c>
      <c r="AI570" s="661" t="str">
        <f t="shared" si="61"/>
        <v>II</v>
      </c>
      <c r="AJ570" s="662" t="str">
        <f t="shared" si="55"/>
        <v>XP25-008</v>
      </c>
      <c r="AK570" s="662" t="str">
        <f t="shared" si="56"/>
        <v>LVN</v>
      </c>
      <c r="AL570" s="662" t="str">
        <f t="shared" si="57"/>
        <v>CHV</v>
      </c>
      <c r="AM570" s="662" t="str">
        <f t="shared" si="60"/>
        <v>Express 2500-Cargo Van-RWD-2-84.6-~-6.0L-8-CG23405-1WT-135-31-CNG-Unleaded</v>
      </c>
      <c r="AN570" s="662" t="str">
        <f t="shared" si="58"/>
        <v>2019-LVN-CHV-XP25-008</v>
      </c>
    </row>
    <row r="571" spans="1:40" s="572" customFormat="1" ht="15">
      <c r="A571" s="570" t="s">
        <v>1539</v>
      </c>
      <c r="B571" s="573" t="s">
        <v>1540</v>
      </c>
      <c r="C571" s="573" t="s">
        <v>169</v>
      </c>
      <c r="D571" s="578">
        <v>11</v>
      </c>
      <c r="E571" s="573" t="s">
        <v>1516</v>
      </c>
      <c r="F571" s="573" t="s">
        <v>1517</v>
      </c>
      <c r="G571" s="573" t="s">
        <v>153</v>
      </c>
      <c r="H571" s="573">
        <v>2019</v>
      </c>
      <c r="I571" s="573" t="s">
        <v>1518</v>
      </c>
      <c r="J571" s="573" t="s">
        <v>1519</v>
      </c>
      <c r="K571" s="573" t="s">
        <v>236</v>
      </c>
      <c r="L571" s="573">
        <v>2</v>
      </c>
      <c r="M571" s="573">
        <v>0</v>
      </c>
      <c r="N571" s="573" t="s">
        <v>157</v>
      </c>
      <c r="O571" s="573">
        <v>1</v>
      </c>
      <c r="P571" s="573">
        <v>84.6</v>
      </c>
      <c r="Q571" s="571" t="s">
        <v>157</v>
      </c>
      <c r="R571" s="573" t="s">
        <v>798</v>
      </c>
      <c r="S571" s="573">
        <v>8</v>
      </c>
      <c r="T571" s="573" t="s">
        <v>1534</v>
      </c>
      <c r="U571" s="573" t="s">
        <v>1522</v>
      </c>
      <c r="V571" s="573">
        <v>135</v>
      </c>
      <c r="W571" s="573">
        <v>31</v>
      </c>
      <c r="X571" s="571">
        <v>8600</v>
      </c>
      <c r="Y571" s="573">
        <v>13</v>
      </c>
      <c r="Z571" s="579" t="s">
        <v>450</v>
      </c>
      <c r="AA571" s="579" t="s">
        <v>178</v>
      </c>
      <c r="AB571" s="584">
        <v>33790</v>
      </c>
      <c r="AC571" s="584" t="s">
        <v>164</v>
      </c>
      <c r="AD571" s="584">
        <v>23357.708333333336</v>
      </c>
      <c r="AE571" s="586">
        <v>0.05</v>
      </c>
      <c r="AF571" s="661" t="str">
        <f t="shared" si="59"/>
        <v>2019-LVN-CHV-XP25-009-11</v>
      </c>
      <c r="AG571" s="661" t="str">
        <f>IF(AND($Y571&gt;=32,(AI571="I"),(Y571&lt;&gt;"~"),(COUNTIF($AN$1:$AN571,$AN571)=1)),"TRUE","FALSE")</f>
        <v>FALSE</v>
      </c>
      <c r="AH571" s="661" t="str">
        <f>IF(AND($Y571&gt;=22, (AI571&lt;&gt;"I"),(Y571&lt;&gt;"~"),(COUNTIF($AN$1:$AN571,$AN571)=1)),"TRUE","FALSE")</f>
        <v>FALSE</v>
      </c>
      <c r="AI571" s="661" t="str">
        <f t="shared" si="61"/>
        <v>II</v>
      </c>
      <c r="AJ571" s="662" t="str">
        <f t="shared" si="55"/>
        <v>XP25-009</v>
      </c>
      <c r="AK571" s="662" t="str">
        <f t="shared" si="56"/>
        <v>LVN</v>
      </c>
      <c r="AL571" s="662" t="str">
        <f t="shared" si="57"/>
        <v>CHV</v>
      </c>
      <c r="AM571" s="662" t="str">
        <f t="shared" si="60"/>
        <v>Express 2500-Cargo Van-RWD-2-84.6-~-6.0L-8-CG23405-1WT-135-31-E85-Unleaded</v>
      </c>
      <c r="AN571" s="662" t="str">
        <f t="shared" si="58"/>
        <v>2019-LVN-CHV-XP25-009</v>
      </c>
    </row>
    <row r="572" spans="1:40" s="572" customFormat="1" ht="15">
      <c r="A572" s="570" t="s">
        <v>1541</v>
      </c>
      <c r="B572" s="569" t="s">
        <v>1515</v>
      </c>
      <c r="C572" s="569" t="s">
        <v>150</v>
      </c>
      <c r="D572" s="580">
        <v>13</v>
      </c>
      <c r="E572" s="569" t="s">
        <v>1516</v>
      </c>
      <c r="F572" s="569" t="s">
        <v>1517</v>
      </c>
      <c r="G572" s="569" t="s">
        <v>153</v>
      </c>
      <c r="H572" s="569">
        <v>2019</v>
      </c>
      <c r="I572" s="569" t="s">
        <v>1518</v>
      </c>
      <c r="J572" s="569" t="s">
        <v>1519</v>
      </c>
      <c r="K572" s="569" t="s">
        <v>236</v>
      </c>
      <c r="L572" s="569">
        <v>2</v>
      </c>
      <c r="M572" s="569">
        <v>0</v>
      </c>
      <c r="N572" s="569" t="s">
        <v>157</v>
      </c>
      <c r="O572" s="569">
        <v>1</v>
      </c>
      <c r="P572" s="569">
        <v>84.3</v>
      </c>
      <c r="Q572" s="568" t="s">
        <v>157</v>
      </c>
      <c r="R572" s="569" t="s">
        <v>1520</v>
      </c>
      <c r="S572" s="569">
        <v>4</v>
      </c>
      <c r="T572" s="569" t="s">
        <v>1521</v>
      </c>
      <c r="U572" s="569" t="s">
        <v>1522</v>
      </c>
      <c r="V572" s="569">
        <v>155</v>
      </c>
      <c r="W572" s="569">
        <v>31</v>
      </c>
      <c r="X572" s="568">
        <v>9900</v>
      </c>
      <c r="Y572" s="569">
        <v>14</v>
      </c>
      <c r="Z572" s="581" t="s">
        <v>728</v>
      </c>
      <c r="AA572" s="581" t="s">
        <v>1523</v>
      </c>
      <c r="AB572" s="585">
        <v>38765</v>
      </c>
      <c r="AC572" s="585" t="s">
        <v>164</v>
      </c>
      <c r="AD572" s="585">
        <v>29216</v>
      </c>
      <c r="AE572" s="587">
        <v>0.03</v>
      </c>
      <c r="AF572" s="661" t="str">
        <f t="shared" si="59"/>
        <v>2019-LVN-CHV-XP25-001-13</v>
      </c>
      <c r="AG572" s="661" t="str">
        <f>IF(AND($Y572&gt;=32,(AI572="I"),(Y572&lt;&gt;"~"),(COUNTIF($AN$1:$AN572,$AN572)=1)),"TRUE","FALSE")</f>
        <v>FALSE</v>
      </c>
      <c r="AH572" s="661" t="str">
        <f>IF(AND($Y572&gt;=22, (AI572&lt;&gt;"I"),(Y572&lt;&gt;"~"),(COUNTIF($AN$1:$AN572,$AN572)=1)),"TRUE","FALSE")</f>
        <v>FALSE</v>
      </c>
      <c r="AI572" s="661" t="str">
        <f t="shared" si="61"/>
        <v>II</v>
      </c>
      <c r="AJ572" s="662" t="str">
        <f t="shared" si="55"/>
        <v>XP25-001</v>
      </c>
      <c r="AK572" s="662" t="str">
        <f t="shared" si="56"/>
        <v>LVN</v>
      </c>
      <c r="AL572" s="662" t="str">
        <f t="shared" si="57"/>
        <v>CHV</v>
      </c>
      <c r="AM572" s="662" t="str">
        <f t="shared" si="60"/>
        <v>Express 2500-Cargo Van-RWD-2-84.3-~-2.8L -4-CG23705-1WT-155-31-Diesel-BioDiesel</v>
      </c>
      <c r="AN572" s="662" t="str">
        <f t="shared" si="58"/>
        <v>2019-LVN-CHV-XP25-001</v>
      </c>
    </row>
    <row r="573" spans="1:40" s="572" customFormat="1" ht="15">
      <c r="A573" s="570" t="s">
        <v>1542</v>
      </c>
      <c r="B573" s="573" t="s">
        <v>1525</v>
      </c>
      <c r="C573" s="573" t="s">
        <v>150</v>
      </c>
      <c r="D573" s="578">
        <v>13</v>
      </c>
      <c r="E573" s="573" t="s">
        <v>1516</v>
      </c>
      <c r="F573" s="573" t="s">
        <v>1517</v>
      </c>
      <c r="G573" s="573" t="s">
        <v>153</v>
      </c>
      <c r="H573" s="573">
        <v>2019</v>
      </c>
      <c r="I573" s="573" t="s">
        <v>1518</v>
      </c>
      <c r="J573" s="573" t="s">
        <v>1519</v>
      </c>
      <c r="K573" s="573" t="s">
        <v>236</v>
      </c>
      <c r="L573" s="573">
        <v>2</v>
      </c>
      <c r="M573" s="573">
        <v>0</v>
      </c>
      <c r="N573" s="573" t="s">
        <v>157</v>
      </c>
      <c r="O573" s="573">
        <v>1</v>
      </c>
      <c r="P573" s="573">
        <v>84.3</v>
      </c>
      <c r="Q573" s="571" t="s">
        <v>157</v>
      </c>
      <c r="R573" s="573" t="s">
        <v>1526</v>
      </c>
      <c r="S573" s="573">
        <v>6</v>
      </c>
      <c r="T573" s="573" t="s">
        <v>1521</v>
      </c>
      <c r="U573" s="573" t="s">
        <v>1522</v>
      </c>
      <c r="V573" s="573">
        <v>155</v>
      </c>
      <c r="W573" s="573">
        <v>31</v>
      </c>
      <c r="X573" s="571">
        <v>8600</v>
      </c>
      <c r="Y573" s="573">
        <v>14</v>
      </c>
      <c r="Z573" s="579" t="s">
        <v>178</v>
      </c>
      <c r="AA573" s="579" t="s">
        <v>178</v>
      </c>
      <c r="AB573" s="584">
        <v>34695</v>
      </c>
      <c r="AC573" s="584" t="s">
        <v>164</v>
      </c>
      <c r="AD573" s="584">
        <v>25634</v>
      </c>
      <c r="AE573" s="586">
        <v>0.03</v>
      </c>
      <c r="AF573" s="661" t="str">
        <f t="shared" si="59"/>
        <v>2019-LVN-CHV-XP25-002-13</v>
      </c>
      <c r="AG573" s="661" t="str">
        <f>IF(AND($Y573&gt;=32,(AI573="I"),(Y573&lt;&gt;"~"),(COUNTIF($AN$1:$AN573,$AN573)=1)),"TRUE","FALSE")</f>
        <v>FALSE</v>
      </c>
      <c r="AH573" s="661" t="str">
        <f>IF(AND($Y573&gt;=22, (AI573&lt;&gt;"I"),(Y573&lt;&gt;"~"),(COUNTIF($AN$1:$AN573,$AN573)=1)),"TRUE","FALSE")</f>
        <v>FALSE</v>
      </c>
      <c r="AI573" s="661" t="str">
        <f t="shared" si="61"/>
        <v>II</v>
      </c>
      <c r="AJ573" s="662" t="str">
        <f t="shared" si="55"/>
        <v>XP25-002</v>
      </c>
      <c r="AK573" s="662" t="str">
        <f t="shared" si="56"/>
        <v>LVN</v>
      </c>
      <c r="AL573" s="662" t="str">
        <f t="shared" si="57"/>
        <v>CHV</v>
      </c>
      <c r="AM573" s="662" t="str">
        <f t="shared" si="60"/>
        <v>Express 2500-Cargo Van-RWD-2-84.3-~-4.3L-6-CG23705-1WT-155-31-Unleaded-Unleaded</v>
      </c>
      <c r="AN573" s="662" t="str">
        <f t="shared" si="58"/>
        <v>2019-LVN-CHV-XP25-002</v>
      </c>
    </row>
    <row r="574" spans="1:40" s="572" customFormat="1" ht="15">
      <c r="A574" s="570" t="s">
        <v>1543</v>
      </c>
      <c r="B574" s="569" t="s">
        <v>1528</v>
      </c>
      <c r="C574" s="569" t="s">
        <v>150</v>
      </c>
      <c r="D574" s="580">
        <v>13</v>
      </c>
      <c r="E574" s="569" t="s">
        <v>1516</v>
      </c>
      <c r="F574" s="569" t="s">
        <v>1517</v>
      </c>
      <c r="G574" s="569" t="s">
        <v>153</v>
      </c>
      <c r="H574" s="569">
        <v>2019</v>
      </c>
      <c r="I574" s="569" t="s">
        <v>1518</v>
      </c>
      <c r="J574" s="569" t="s">
        <v>1519</v>
      </c>
      <c r="K574" s="569" t="s">
        <v>236</v>
      </c>
      <c r="L574" s="569">
        <v>2</v>
      </c>
      <c r="M574" s="569">
        <v>0</v>
      </c>
      <c r="N574" s="569" t="s">
        <v>157</v>
      </c>
      <c r="O574" s="569">
        <v>1</v>
      </c>
      <c r="P574" s="569">
        <v>84.3</v>
      </c>
      <c r="Q574" s="568" t="s">
        <v>157</v>
      </c>
      <c r="R574" s="569" t="s">
        <v>798</v>
      </c>
      <c r="S574" s="569">
        <v>8</v>
      </c>
      <c r="T574" s="569" t="s">
        <v>1521</v>
      </c>
      <c r="U574" s="569" t="s">
        <v>1522</v>
      </c>
      <c r="V574" s="569">
        <v>155</v>
      </c>
      <c r="W574" s="569">
        <v>31</v>
      </c>
      <c r="X574" s="568">
        <v>8600</v>
      </c>
      <c r="Y574" s="569">
        <v>13</v>
      </c>
      <c r="Z574" s="581" t="s">
        <v>1529</v>
      </c>
      <c r="AA574" s="581" t="s">
        <v>178</v>
      </c>
      <c r="AB574" s="585">
        <v>35990</v>
      </c>
      <c r="AC574" s="585" t="s">
        <v>164</v>
      </c>
      <c r="AD574" s="585">
        <v>25790</v>
      </c>
      <c r="AE574" s="587">
        <v>0.03</v>
      </c>
      <c r="AF574" s="661" t="str">
        <f t="shared" si="59"/>
        <v>2019-LVN-CHV-XP25-003-13</v>
      </c>
      <c r="AG574" s="661" t="str">
        <f>IF(AND($Y574&gt;=32,(AI574="I"),(Y574&lt;&gt;"~"),(COUNTIF($AN$1:$AN574,$AN574)=1)),"TRUE","FALSE")</f>
        <v>FALSE</v>
      </c>
      <c r="AH574" s="661" t="str">
        <f>IF(AND($Y574&gt;=22, (AI574&lt;&gt;"I"),(Y574&lt;&gt;"~"),(COUNTIF($AN$1:$AN574,$AN574)=1)),"TRUE","FALSE")</f>
        <v>FALSE</v>
      </c>
      <c r="AI574" s="661" t="str">
        <f t="shared" si="61"/>
        <v>II</v>
      </c>
      <c r="AJ574" s="662" t="str">
        <f t="shared" si="55"/>
        <v>XP25-003</v>
      </c>
      <c r="AK574" s="662" t="str">
        <f t="shared" si="56"/>
        <v>LVN</v>
      </c>
      <c r="AL574" s="662" t="str">
        <f t="shared" si="57"/>
        <v>CHV</v>
      </c>
      <c r="AM574" s="662" t="str">
        <f t="shared" si="60"/>
        <v>Express 2500-Cargo Van-RWD-2-84.3-~-6.0L-8-CG23705-1WT-155-31-CNG-Unleaded</v>
      </c>
      <c r="AN574" s="662" t="str">
        <f t="shared" si="58"/>
        <v>2019-LVN-CHV-XP25-003</v>
      </c>
    </row>
    <row r="575" spans="1:40" s="572" customFormat="1" ht="15">
      <c r="A575" s="570" t="s">
        <v>1544</v>
      </c>
      <c r="B575" s="573" t="s">
        <v>1531</v>
      </c>
      <c r="C575" s="573" t="s">
        <v>150</v>
      </c>
      <c r="D575" s="578">
        <v>13</v>
      </c>
      <c r="E575" s="573" t="s">
        <v>1516</v>
      </c>
      <c r="F575" s="573" t="s">
        <v>1517</v>
      </c>
      <c r="G575" s="573" t="s">
        <v>153</v>
      </c>
      <c r="H575" s="573">
        <v>2019</v>
      </c>
      <c r="I575" s="573" t="s">
        <v>1518</v>
      </c>
      <c r="J575" s="573" t="s">
        <v>1519</v>
      </c>
      <c r="K575" s="573" t="s">
        <v>236</v>
      </c>
      <c r="L575" s="573">
        <v>2</v>
      </c>
      <c r="M575" s="573">
        <v>0</v>
      </c>
      <c r="N575" s="573" t="s">
        <v>157</v>
      </c>
      <c r="O575" s="573">
        <v>1</v>
      </c>
      <c r="P575" s="573">
        <v>84.3</v>
      </c>
      <c r="Q575" s="571" t="s">
        <v>157</v>
      </c>
      <c r="R575" s="573" t="s">
        <v>798</v>
      </c>
      <c r="S575" s="573">
        <v>8</v>
      </c>
      <c r="T575" s="573" t="s">
        <v>1521</v>
      </c>
      <c r="U575" s="573" t="s">
        <v>1522</v>
      </c>
      <c r="V575" s="573">
        <v>155</v>
      </c>
      <c r="W575" s="573">
        <v>31</v>
      </c>
      <c r="X575" s="571">
        <v>8600</v>
      </c>
      <c r="Y575" s="573">
        <v>13</v>
      </c>
      <c r="Z575" s="579" t="s">
        <v>450</v>
      </c>
      <c r="AA575" s="579" t="s">
        <v>178</v>
      </c>
      <c r="AB575" s="584">
        <v>35690</v>
      </c>
      <c r="AC575" s="584" t="s">
        <v>164</v>
      </c>
      <c r="AD575" s="584">
        <v>26510</v>
      </c>
      <c r="AE575" s="586">
        <v>0.03</v>
      </c>
      <c r="AF575" s="661" t="str">
        <f t="shared" si="59"/>
        <v>2019-LVN-CHV-XP25-004-13</v>
      </c>
      <c r="AG575" s="661" t="str">
        <f>IF(AND($Y575&gt;=32,(AI575="I"),(Y575&lt;&gt;"~"),(COUNTIF($AN$1:$AN575,$AN575)=1)),"TRUE","FALSE")</f>
        <v>FALSE</v>
      </c>
      <c r="AH575" s="661" t="str">
        <f>IF(AND($Y575&gt;=22, (AI575&lt;&gt;"I"),(Y575&lt;&gt;"~"),(COUNTIF($AN$1:$AN575,$AN575)=1)),"TRUE","FALSE")</f>
        <v>FALSE</v>
      </c>
      <c r="AI575" s="661" t="str">
        <f t="shared" si="61"/>
        <v>II</v>
      </c>
      <c r="AJ575" s="662" t="str">
        <f t="shared" si="55"/>
        <v>XP25-004</v>
      </c>
      <c r="AK575" s="662" t="str">
        <f t="shared" si="56"/>
        <v>LVN</v>
      </c>
      <c r="AL575" s="662" t="str">
        <f t="shared" si="57"/>
        <v>CHV</v>
      </c>
      <c r="AM575" s="662" t="str">
        <f t="shared" si="60"/>
        <v>Express 2500-Cargo Van-RWD-2-84.3-~-6.0L-8-CG23705-1WT-155-31-E85-Unleaded</v>
      </c>
      <c r="AN575" s="662" t="str">
        <f t="shared" si="58"/>
        <v>2019-LVN-CHV-XP25-004</v>
      </c>
    </row>
    <row r="576" spans="1:40" s="572" customFormat="1" ht="15">
      <c r="A576" s="570" t="s">
        <v>1545</v>
      </c>
      <c r="B576" s="569" t="s">
        <v>1546</v>
      </c>
      <c r="C576" s="569" t="s">
        <v>150</v>
      </c>
      <c r="D576" s="580">
        <v>13</v>
      </c>
      <c r="E576" s="569" t="s">
        <v>1516</v>
      </c>
      <c r="F576" s="569" t="s">
        <v>1517</v>
      </c>
      <c r="G576" s="569" t="s">
        <v>153</v>
      </c>
      <c r="H576" s="569">
        <v>2019</v>
      </c>
      <c r="I576" s="569" t="s">
        <v>1518</v>
      </c>
      <c r="J576" s="569" t="s">
        <v>1519</v>
      </c>
      <c r="K576" s="569" t="s">
        <v>236</v>
      </c>
      <c r="L576" s="569">
        <v>2</v>
      </c>
      <c r="M576" s="569">
        <v>0</v>
      </c>
      <c r="N576" s="569" t="s">
        <v>157</v>
      </c>
      <c r="O576" s="569">
        <v>1</v>
      </c>
      <c r="P576" s="569">
        <v>84.6</v>
      </c>
      <c r="Q576" s="568" t="s">
        <v>157</v>
      </c>
      <c r="R576" s="569" t="s">
        <v>1547</v>
      </c>
      <c r="S576" s="569">
        <v>4</v>
      </c>
      <c r="T576" s="569" t="s">
        <v>1534</v>
      </c>
      <c r="U576" s="569" t="s">
        <v>1522</v>
      </c>
      <c r="V576" s="569">
        <v>135</v>
      </c>
      <c r="W576" s="569">
        <v>31</v>
      </c>
      <c r="X576" s="568">
        <v>9900</v>
      </c>
      <c r="Y576" s="569">
        <v>14</v>
      </c>
      <c r="Z576" s="581" t="s">
        <v>728</v>
      </c>
      <c r="AA576" s="581" t="s">
        <v>1523</v>
      </c>
      <c r="AB576" s="585">
        <v>36865</v>
      </c>
      <c r="AC576" s="585" t="s">
        <v>164</v>
      </c>
      <c r="AD576" s="585">
        <v>27542</v>
      </c>
      <c r="AE576" s="587">
        <v>0.03</v>
      </c>
      <c r="AF576" s="661" t="str">
        <f t="shared" si="59"/>
        <v>2019-LVN-CHV-XP25-006-13</v>
      </c>
      <c r="AG576" s="661" t="str">
        <f>IF(AND($Y576&gt;=32,(AI576="I"),(Y576&lt;&gt;"~"),(COUNTIF($AN$1:$AN576,$AN576)=1)),"TRUE","FALSE")</f>
        <v>FALSE</v>
      </c>
      <c r="AH576" s="661" t="str">
        <f>IF(AND($Y576&gt;=22, (AI576&lt;&gt;"I"),(Y576&lt;&gt;"~"),(COUNTIF($AN$1:$AN576,$AN576)=1)),"TRUE","FALSE")</f>
        <v>FALSE</v>
      </c>
      <c r="AI576" s="661" t="str">
        <f t="shared" si="61"/>
        <v>II</v>
      </c>
      <c r="AJ576" s="662" t="str">
        <f t="shared" si="55"/>
        <v>XP25-006</v>
      </c>
      <c r="AK576" s="662" t="str">
        <f t="shared" si="56"/>
        <v>LVN</v>
      </c>
      <c r="AL576" s="662" t="str">
        <f t="shared" si="57"/>
        <v>CHV</v>
      </c>
      <c r="AM576" s="662" t="str">
        <f t="shared" si="60"/>
        <v>Express 2500-Cargo Van-RWD-2-84.6-~-2.8L-4-CG23405-1WT-135-31-Diesel-BioDiesel</v>
      </c>
      <c r="AN576" s="662" t="str">
        <f t="shared" si="58"/>
        <v>2019-LVN-CHV-XP25-006</v>
      </c>
    </row>
    <row r="577" spans="1:40" s="572" customFormat="1" ht="15">
      <c r="A577" s="570" t="s">
        <v>1548</v>
      </c>
      <c r="B577" s="573" t="s">
        <v>1536</v>
      </c>
      <c r="C577" s="573" t="s">
        <v>150</v>
      </c>
      <c r="D577" s="578">
        <v>13</v>
      </c>
      <c r="E577" s="573" t="s">
        <v>1516</v>
      </c>
      <c r="F577" s="573" t="s">
        <v>1517</v>
      </c>
      <c r="G577" s="573" t="s">
        <v>153</v>
      </c>
      <c r="H577" s="573">
        <v>2019</v>
      </c>
      <c r="I577" s="573" t="s">
        <v>1518</v>
      </c>
      <c r="J577" s="573" t="s">
        <v>1519</v>
      </c>
      <c r="K577" s="573" t="s">
        <v>236</v>
      </c>
      <c r="L577" s="573">
        <v>2</v>
      </c>
      <c r="M577" s="573">
        <v>0</v>
      </c>
      <c r="N577" s="573" t="s">
        <v>157</v>
      </c>
      <c r="O577" s="573">
        <v>1</v>
      </c>
      <c r="P577" s="573">
        <v>84.6</v>
      </c>
      <c r="Q577" s="571" t="s">
        <v>157</v>
      </c>
      <c r="R577" s="573" t="s">
        <v>1526</v>
      </c>
      <c r="S577" s="573">
        <v>6</v>
      </c>
      <c r="T577" s="573" t="s">
        <v>1534</v>
      </c>
      <c r="U577" s="573" t="s">
        <v>1522</v>
      </c>
      <c r="V577" s="573">
        <v>135</v>
      </c>
      <c r="W577" s="573">
        <v>31</v>
      </c>
      <c r="X577" s="571">
        <v>8600</v>
      </c>
      <c r="Y577" s="573">
        <v>14</v>
      </c>
      <c r="Z577" s="579" t="s">
        <v>178</v>
      </c>
      <c r="AA577" s="579" t="s">
        <v>178</v>
      </c>
      <c r="AB577" s="584">
        <v>32795</v>
      </c>
      <c r="AC577" s="584" t="s">
        <v>164</v>
      </c>
      <c r="AD577" s="584">
        <v>23960</v>
      </c>
      <c r="AE577" s="586">
        <v>0.03</v>
      </c>
      <c r="AF577" s="661" t="str">
        <f t="shared" si="59"/>
        <v>2019-LVN-CHV-XP25-007-13</v>
      </c>
      <c r="AG577" s="661" t="str">
        <f>IF(AND($Y577&gt;=32,(AI577="I"),(Y577&lt;&gt;"~"),(COUNTIF($AN$1:$AN577,$AN577)=1)),"TRUE","FALSE")</f>
        <v>FALSE</v>
      </c>
      <c r="AH577" s="661" t="str">
        <f>IF(AND($Y577&gt;=22, (AI577&lt;&gt;"I"),(Y577&lt;&gt;"~"),(COUNTIF($AN$1:$AN577,$AN577)=1)),"TRUE","FALSE")</f>
        <v>FALSE</v>
      </c>
      <c r="AI577" s="661" t="str">
        <f t="shared" si="61"/>
        <v>II</v>
      </c>
      <c r="AJ577" s="662" t="str">
        <f t="shared" si="55"/>
        <v>XP25-007</v>
      </c>
      <c r="AK577" s="662" t="str">
        <f t="shared" si="56"/>
        <v>LVN</v>
      </c>
      <c r="AL577" s="662" t="str">
        <f t="shared" si="57"/>
        <v>CHV</v>
      </c>
      <c r="AM577" s="662" t="str">
        <f t="shared" si="60"/>
        <v>Express 2500-Cargo Van-RWD-2-84.6-~-4.3L-6-CG23405-1WT-135-31-Unleaded-Unleaded</v>
      </c>
      <c r="AN577" s="662" t="str">
        <f t="shared" si="58"/>
        <v>2019-LVN-CHV-XP25-007</v>
      </c>
    </row>
    <row r="578" spans="1:40" s="572" customFormat="1" ht="15">
      <c r="A578" s="570" t="s">
        <v>1549</v>
      </c>
      <c r="B578" s="569" t="s">
        <v>1538</v>
      </c>
      <c r="C578" s="569" t="s">
        <v>150</v>
      </c>
      <c r="D578" s="580">
        <v>13</v>
      </c>
      <c r="E578" s="569" t="s">
        <v>1516</v>
      </c>
      <c r="F578" s="569" t="s">
        <v>1517</v>
      </c>
      <c r="G578" s="569" t="s">
        <v>153</v>
      </c>
      <c r="H578" s="569">
        <v>2019</v>
      </c>
      <c r="I578" s="569" t="s">
        <v>1518</v>
      </c>
      <c r="J578" s="569" t="s">
        <v>1519</v>
      </c>
      <c r="K578" s="569" t="s">
        <v>236</v>
      </c>
      <c r="L578" s="569">
        <v>2</v>
      </c>
      <c r="M578" s="569">
        <v>0</v>
      </c>
      <c r="N578" s="569" t="s">
        <v>157</v>
      </c>
      <c r="O578" s="569">
        <v>1</v>
      </c>
      <c r="P578" s="569">
        <v>84.6</v>
      </c>
      <c r="Q578" s="568" t="s">
        <v>157</v>
      </c>
      <c r="R578" s="569" t="s">
        <v>798</v>
      </c>
      <c r="S578" s="569">
        <v>8</v>
      </c>
      <c r="T578" s="569" t="s">
        <v>1534</v>
      </c>
      <c r="U578" s="569" t="s">
        <v>1522</v>
      </c>
      <c r="V578" s="569">
        <v>135</v>
      </c>
      <c r="W578" s="569">
        <v>31</v>
      </c>
      <c r="X578" s="568">
        <v>8600</v>
      </c>
      <c r="Y578" s="569">
        <v>13</v>
      </c>
      <c r="Z578" s="581" t="s">
        <v>1529</v>
      </c>
      <c r="AA578" s="581" t="s">
        <v>178</v>
      </c>
      <c r="AB578" s="585">
        <v>34165</v>
      </c>
      <c r="AC578" s="585" t="s">
        <v>164</v>
      </c>
      <c r="AD578" s="585">
        <v>25100</v>
      </c>
      <c r="AE578" s="587">
        <v>0.03</v>
      </c>
      <c r="AF578" s="661" t="str">
        <f t="shared" si="59"/>
        <v>2019-LVN-CHV-XP25-008-13</v>
      </c>
      <c r="AG578" s="661" t="str">
        <f>IF(AND($Y578&gt;=32,(AI578="I"),(Y578&lt;&gt;"~"),(COUNTIF($AN$1:$AN578,$AN578)=1)),"TRUE","FALSE")</f>
        <v>FALSE</v>
      </c>
      <c r="AH578" s="661" t="str">
        <f>IF(AND($Y578&gt;=22, (AI578&lt;&gt;"I"),(Y578&lt;&gt;"~"),(COUNTIF($AN$1:$AN578,$AN578)=1)),"TRUE","FALSE")</f>
        <v>FALSE</v>
      </c>
      <c r="AI578" s="661" t="str">
        <f t="shared" si="61"/>
        <v>II</v>
      </c>
      <c r="AJ578" s="662" t="str">
        <f t="shared" si="55"/>
        <v>XP25-008</v>
      </c>
      <c r="AK578" s="662" t="str">
        <f t="shared" si="56"/>
        <v>LVN</v>
      </c>
      <c r="AL578" s="662" t="str">
        <f t="shared" si="57"/>
        <v>CHV</v>
      </c>
      <c r="AM578" s="662" t="str">
        <f t="shared" si="60"/>
        <v>Express 2500-Cargo Van-RWD-2-84.6-~-6.0L-8-CG23405-1WT-135-31-CNG-Unleaded</v>
      </c>
      <c r="AN578" s="662" t="str">
        <f t="shared" si="58"/>
        <v>2019-LVN-CHV-XP25-008</v>
      </c>
    </row>
    <row r="579" spans="1:40" s="572" customFormat="1" ht="15">
      <c r="A579" s="570" t="s">
        <v>1550</v>
      </c>
      <c r="B579" s="573" t="s">
        <v>1540</v>
      </c>
      <c r="C579" s="573" t="s">
        <v>150</v>
      </c>
      <c r="D579" s="578">
        <v>13</v>
      </c>
      <c r="E579" s="573" t="s">
        <v>1516</v>
      </c>
      <c r="F579" s="573" t="s">
        <v>1517</v>
      </c>
      <c r="G579" s="573" t="s">
        <v>153</v>
      </c>
      <c r="H579" s="573">
        <v>2019</v>
      </c>
      <c r="I579" s="573" t="s">
        <v>1518</v>
      </c>
      <c r="J579" s="573" t="s">
        <v>1519</v>
      </c>
      <c r="K579" s="573" t="s">
        <v>236</v>
      </c>
      <c r="L579" s="573">
        <v>2</v>
      </c>
      <c r="M579" s="573">
        <v>0</v>
      </c>
      <c r="N579" s="573" t="s">
        <v>157</v>
      </c>
      <c r="O579" s="573">
        <v>1</v>
      </c>
      <c r="P579" s="573">
        <v>84.6</v>
      </c>
      <c r="Q579" s="571" t="s">
        <v>157</v>
      </c>
      <c r="R579" s="573" t="s">
        <v>798</v>
      </c>
      <c r="S579" s="573">
        <v>8</v>
      </c>
      <c r="T579" s="573" t="s">
        <v>1534</v>
      </c>
      <c r="U579" s="573" t="s">
        <v>1522</v>
      </c>
      <c r="V579" s="573">
        <v>135</v>
      </c>
      <c r="W579" s="573">
        <v>31</v>
      </c>
      <c r="X579" s="571">
        <v>8600</v>
      </c>
      <c r="Y579" s="573">
        <v>13</v>
      </c>
      <c r="Z579" s="579" t="s">
        <v>450</v>
      </c>
      <c r="AA579" s="579" t="s">
        <v>178</v>
      </c>
      <c r="AB579" s="584">
        <v>33790</v>
      </c>
      <c r="AC579" s="584" t="s">
        <v>164</v>
      </c>
      <c r="AD579" s="584">
        <v>24836</v>
      </c>
      <c r="AE579" s="586">
        <v>0.03</v>
      </c>
      <c r="AF579" s="661" t="str">
        <f t="shared" si="59"/>
        <v>2019-LVN-CHV-XP25-009-13</v>
      </c>
      <c r="AG579" s="661" t="str">
        <f>IF(AND($Y579&gt;=32,(AI579="I"),(Y579&lt;&gt;"~"),(COUNTIF($AN$1:$AN579,$AN579)=1)),"TRUE","FALSE")</f>
        <v>FALSE</v>
      </c>
      <c r="AH579" s="661" t="str">
        <f>IF(AND($Y579&gt;=22, (AI579&lt;&gt;"I"),(Y579&lt;&gt;"~"),(COUNTIF($AN$1:$AN579,$AN579)=1)),"TRUE","FALSE")</f>
        <v>FALSE</v>
      </c>
      <c r="AI579" s="661" t="str">
        <f t="shared" si="61"/>
        <v>II</v>
      </c>
      <c r="AJ579" s="662" t="str">
        <f t="shared" ref="AJ579:AJ642" si="62">MID(A579,14,8)</f>
        <v>XP25-009</v>
      </c>
      <c r="AK579" s="662" t="str">
        <f t="shared" ref="AK579:AK642" si="63">MID(A579,6,3)</f>
        <v>LVN</v>
      </c>
      <c r="AL579" s="662" t="str">
        <f t="shared" ref="AL579:AL642" si="64">MID(A579,10,3)</f>
        <v>CHV</v>
      </c>
      <c r="AM579" s="662" t="str">
        <f t="shared" si="60"/>
        <v>Express 2500-Cargo Van-RWD-2-84.6-~-6.0L-8-CG23405-1WT-135-31-E85-Unleaded</v>
      </c>
      <c r="AN579" s="662" t="str">
        <f t="shared" ref="AN579:AN642" si="65">LEFT(A579,21)</f>
        <v>2019-LVN-CHV-XP25-009</v>
      </c>
    </row>
    <row r="580" spans="1:40" s="572" customFormat="1" ht="15">
      <c r="A580" s="570" t="s">
        <v>1551</v>
      </c>
      <c r="B580" s="569" t="s">
        <v>1515</v>
      </c>
      <c r="C580" s="569" t="s">
        <v>166</v>
      </c>
      <c r="D580" s="580">
        <v>17</v>
      </c>
      <c r="E580" s="569" t="s">
        <v>1516</v>
      </c>
      <c r="F580" s="569" t="s">
        <v>1517</v>
      </c>
      <c r="G580" s="569" t="s">
        <v>153</v>
      </c>
      <c r="H580" s="569">
        <v>2019</v>
      </c>
      <c r="I580" s="569" t="s">
        <v>1518</v>
      </c>
      <c r="J580" s="569" t="s">
        <v>1519</v>
      </c>
      <c r="K580" s="569" t="s">
        <v>236</v>
      </c>
      <c r="L580" s="569">
        <v>2</v>
      </c>
      <c r="M580" s="569">
        <v>0</v>
      </c>
      <c r="N580" s="569" t="s">
        <v>157</v>
      </c>
      <c r="O580" s="569">
        <v>1</v>
      </c>
      <c r="P580" s="569">
        <v>84.3</v>
      </c>
      <c r="Q580" s="568" t="s">
        <v>157</v>
      </c>
      <c r="R580" s="569" t="s">
        <v>1520</v>
      </c>
      <c r="S580" s="569">
        <v>4</v>
      </c>
      <c r="T580" s="569" t="s">
        <v>1521</v>
      </c>
      <c r="U580" s="569" t="s">
        <v>1522</v>
      </c>
      <c r="V580" s="569">
        <v>155</v>
      </c>
      <c r="W580" s="569">
        <v>31</v>
      </c>
      <c r="X580" s="568">
        <v>9900</v>
      </c>
      <c r="Y580" s="569">
        <v>14</v>
      </c>
      <c r="Z580" s="581" t="s">
        <v>728</v>
      </c>
      <c r="AA580" s="581" t="s">
        <v>1523</v>
      </c>
      <c r="AB580" s="585">
        <v>38690</v>
      </c>
      <c r="AC580" s="585" t="s">
        <v>164</v>
      </c>
      <c r="AD580" s="585">
        <v>29450</v>
      </c>
      <c r="AE580" s="587">
        <v>7.1999999999999995E-2</v>
      </c>
      <c r="AF580" s="661" t="str">
        <f t="shared" si="59"/>
        <v>2019-LVN-CHV-XP25-001-17</v>
      </c>
      <c r="AG580" s="661" t="str">
        <f>IF(AND($Y580&gt;=32,(AI580="I"),(Y580&lt;&gt;"~"),(COUNTIF($AN$1:$AN580,$AN580)=1)),"TRUE","FALSE")</f>
        <v>FALSE</v>
      </c>
      <c r="AH580" s="661" t="str">
        <f>IF(AND($Y580&gt;=22, (AI580&lt;&gt;"I"),(Y580&lt;&gt;"~"),(COUNTIF($AN$1:$AN580,$AN580)=1)),"TRUE","FALSE")</f>
        <v>FALSE</v>
      </c>
      <c r="AI580" s="661" t="str">
        <f t="shared" si="61"/>
        <v>II</v>
      </c>
      <c r="AJ580" s="662" t="str">
        <f t="shared" si="62"/>
        <v>XP25-001</v>
      </c>
      <c r="AK580" s="662" t="str">
        <f t="shared" si="63"/>
        <v>LVN</v>
      </c>
      <c r="AL580" s="662" t="str">
        <f t="shared" si="64"/>
        <v>CHV</v>
      </c>
      <c r="AM580" s="662" t="str">
        <f t="shared" si="60"/>
        <v>Express 2500-Cargo Van-RWD-2-84.3-~-2.8L -4-CG23705-1WT-155-31-Diesel-BioDiesel</v>
      </c>
      <c r="AN580" s="662" t="str">
        <f t="shared" si="65"/>
        <v>2019-LVN-CHV-XP25-001</v>
      </c>
    </row>
    <row r="581" spans="1:40" s="572" customFormat="1" ht="15">
      <c r="A581" s="570" t="s">
        <v>1552</v>
      </c>
      <c r="B581" s="573" t="s">
        <v>1525</v>
      </c>
      <c r="C581" s="573" t="s">
        <v>166</v>
      </c>
      <c r="D581" s="578">
        <v>17</v>
      </c>
      <c r="E581" s="573" t="s">
        <v>1516</v>
      </c>
      <c r="F581" s="573" t="s">
        <v>1517</v>
      </c>
      <c r="G581" s="573" t="s">
        <v>153</v>
      </c>
      <c r="H581" s="573">
        <v>2019</v>
      </c>
      <c r="I581" s="573" t="s">
        <v>1518</v>
      </c>
      <c r="J581" s="573" t="s">
        <v>1519</v>
      </c>
      <c r="K581" s="573" t="s">
        <v>236</v>
      </c>
      <c r="L581" s="573">
        <v>2</v>
      </c>
      <c r="M581" s="573">
        <v>0</v>
      </c>
      <c r="N581" s="573" t="s">
        <v>157</v>
      </c>
      <c r="O581" s="573">
        <v>1</v>
      </c>
      <c r="P581" s="573">
        <v>84.3</v>
      </c>
      <c r="Q581" s="571" t="s">
        <v>157</v>
      </c>
      <c r="R581" s="573" t="s">
        <v>1526</v>
      </c>
      <c r="S581" s="573">
        <v>6</v>
      </c>
      <c r="T581" s="573" t="s">
        <v>1521</v>
      </c>
      <c r="U581" s="573" t="s">
        <v>1522</v>
      </c>
      <c r="V581" s="573">
        <v>155</v>
      </c>
      <c r="W581" s="573">
        <v>31</v>
      </c>
      <c r="X581" s="571">
        <v>8600</v>
      </c>
      <c r="Y581" s="573">
        <v>14</v>
      </c>
      <c r="Z581" s="579" t="s">
        <v>178</v>
      </c>
      <c r="AA581" s="579" t="s">
        <v>178</v>
      </c>
      <c r="AB581" s="584">
        <v>34695</v>
      </c>
      <c r="AC581" s="584" t="s">
        <v>164</v>
      </c>
      <c r="AD581" s="584">
        <v>25955</v>
      </c>
      <c r="AE581" s="586">
        <v>7.1999999999999995E-2</v>
      </c>
      <c r="AF581" s="661" t="str">
        <f t="shared" si="59"/>
        <v>2019-LVN-CHV-XP25-002-17</v>
      </c>
      <c r="AG581" s="661" t="str">
        <f>IF(AND($Y581&gt;=32,(AI581="I"),(Y581&lt;&gt;"~"),(COUNTIF($AN$1:$AN581,$AN581)=1)),"TRUE","FALSE")</f>
        <v>FALSE</v>
      </c>
      <c r="AH581" s="661" t="str">
        <f>IF(AND($Y581&gt;=22, (AI581&lt;&gt;"I"),(Y581&lt;&gt;"~"),(COUNTIF($AN$1:$AN581,$AN581)=1)),"TRUE","FALSE")</f>
        <v>FALSE</v>
      </c>
      <c r="AI581" s="661" t="str">
        <f t="shared" si="61"/>
        <v>II</v>
      </c>
      <c r="AJ581" s="662" t="str">
        <f t="shared" si="62"/>
        <v>XP25-002</v>
      </c>
      <c r="AK581" s="662" t="str">
        <f t="shared" si="63"/>
        <v>LVN</v>
      </c>
      <c r="AL581" s="662" t="str">
        <f t="shared" si="64"/>
        <v>CHV</v>
      </c>
      <c r="AM581" s="662" t="str">
        <f t="shared" si="60"/>
        <v>Express 2500-Cargo Van-RWD-2-84.3-~-4.3L-6-CG23705-1WT-155-31-Unleaded-Unleaded</v>
      </c>
      <c r="AN581" s="662" t="str">
        <f t="shared" si="65"/>
        <v>2019-LVN-CHV-XP25-002</v>
      </c>
    </row>
    <row r="582" spans="1:40" s="572" customFormat="1" ht="15">
      <c r="A582" s="570" t="s">
        <v>1553</v>
      </c>
      <c r="B582" s="569" t="s">
        <v>1528</v>
      </c>
      <c r="C582" s="569" t="s">
        <v>166</v>
      </c>
      <c r="D582" s="580">
        <v>17</v>
      </c>
      <c r="E582" s="569" t="s">
        <v>1516</v>
      </c>
      <c r="F582" s="569" t="s">
        <v>1517</v>
      </c>
      <c r="G582" s="569" t="s">
        <v>153</v>
      </c>
      <c r="H582" s="569">
        <v>2019</v>
      </c>
      <c r="I582" s="569" t="s">
        <v>1518</v>
      </c>
      <c r="J582" s="569" t="s">
        <v>1519</v>
      </c>
      <c r="K582" s="569" t="s">
        <v>236</v>
      </c>
      <c r="L582" s="569">
        <v>2</v>
      </c>
      <c r="M582" s="569">
        <v>0</v>
      </c>
      <c r="N582" s="569" t="s">
        <v>157</v>
      </c>
      <c r="O582" s="569">
        <v>1</v>
      </c>
      <c r="P582" s="569">
        <v>84.3</v>
      </c>
      <c r="Q582" s="568" t="s">
        <v>157</v>
      </c>
      <c r="R582" s="569" t="s">
        <v>798</v>
      </c>
      <c r="S582" s="569">
        <v>8</v>
      </c>
      <c r="T582" s="569" t="s">
        <v>1521</v>
      </c>
      <c r="U582" s="569" t="s">
        <v>1522</v>
      </c>
      <c r="V582" s="569">
        <v>155</v>
      </c>
      <c r="W582" s="569">
        <v>31</v>
      </c>
      <c r="X582" s="568">
        <v>8600</v>
      </c>
      <c r="Y582" s="569">
        <v>13</v>
      </c>
      <c r="Z582" s="581" t="s">
        <v>1529</v>
      </c>
      <c r="AA582" s="581" t="s">
        <v>178</v>
      </c>
      <c r="AB582" s="585">
        <v>35690</v>
      </c>
      <c r="AC582" s="585" t="s">
        <v>164</v>
      </c>
      <c r="AD582" s="585">
        <v>26895</v>
      </c>
      <c r="AE582" s="587">
        <v>7.1999999999999995E-2</v>
      </c>
      <c r="AF582" s="661" t="str">
        <f t="shared" si="59"/>
        <v>2019-LVN-CHV-XP25-003-17</v>
      </c>
      <c r="AG582" s="661" t="str">
        <f>IF(AND($Y582&gt;=32,(AI582="I"),(Y582&lt;&gt;"~"),(COUNTIF($AN$1:$AN582,$AN582)=1)),"TRUE","FALSE")</f>
        <v>FALSE</v>
      </c>
      <c r="AH582" s="661" t="str">
        <f>IF(AND($Y582&gt;=22, (AI582&lt;&gt;"I"),(Y582&lt;&gt;"~"),(COUNTIF($AN$1:$AN582,$AN582)=1)),"TRUE","FALSE")</f>
        <v>FALSE</v>
      </c>
      <c r="AI582" s="661" t="str">
        <f t="shared" si="61"/>
        <v>II</v>
      </c>
      <c r="AJ582" s="662" t="str">
        <f t="shared" si="62"/>
        <v>XP25-003</v>
      </c>
      <c r="AK582" s="662" t="str">
        <f t="shared" si="63"/>
        <v>LVN</v>
      </c>
      <c r="AL582" s="662" t="str">
        <f t="shared" si="64"/>
        <v>CHV</v>
      </c>
      <c r="AM582" s="662" t="str">
        <f t="shared" si="60"/>
        <v>Express 2500-Cargo Van-RWD-2-84.3-~-6.0L-8-CG23705-1WT-155-31-CNG-Unleaded</v>
      </c>
      <c r="AN582" s="662" t="str">
        <f t="shared" si="65"/>
        <v>2019-LVN-CHV-XP25-003</v>
      </c>
    </row>
    <row r="583" spans="1:40" s="572" customFormat="1" ht="15">
      <c r="A583" s="570" t="s">
        <v>1554</v>
      </c>
      <c r="B583" s="573" t="s">
        <v>1531</v>
      </c>
      <c r="C583" s="573" t="s">
        <v>166</v>
      </c>
      <c r="D583" s="578">
        <v>17</v>
      </c>
      <c r="E583" s="573" t="s">
        <v>1516</v>
      </c>
      <c r="F583" s="573" t="s">
        <v>1517</v>
      </c>
      <c r="G583" s="573" t="s">
        <v>153</v>
      </c>
      <c r="H583" s="573">
        <v>2019</v>
      </c>
      <c r="I583" s="573" t="s">
        <v>1518</v>
      </c>
      <c r="J583" s="573" t="s">
        <v>1519</v>
      </c>
      <c r="K583" s="573" t="s">
        <v>236</v>
      </c>
      <c r="L583" s="573">
        <v>2</v>
      </c>
      <c r="M583" s="573">
        <v>0</v>
      </c>
      <c r="N583" s="573" t="s">
        <v>157</v>
      </c>
      <c r="O583" s="573">
        <v>1</v>
      </c>
      <c r="P583" s="573">
        <v>84.3</v>
      </c>
      <c r="Q583" s="571" t="s">
        <v>157</v>
      </c>
      <c r="R583" s="573" t="s">
        <v>798</v>
      </c>
      <c r="S583" s="573">
        <v>8</v>
      </c>
      <c r="T583" s="573" t="s">
        <v>1521</v>
      </c>
      <c r="U583" s="573" t="s">
        <v>1522</v>
      </c>
      <c r="V583" s="573">
        <v>155</v>
      </c>
      <c r="W583" s="573">
        <v>31</v>
      </c>
      <c r="X583" s="571">
        <v>8600</v>
      </c>
      <c r="Y583" s="573">
        <v>13</v>
      </c>
      <c r="Z583" s="579" t="s">
        <v>450</v>
      </c>
      <c r="AA583" s="579" t="s">
        <v>178</v>
      </c>
      <c r="AB583" s="584">
        <v>35690</v>
      </c>
      <c r="AC583" s="584" t="s">
        <v>164</v>
      </c>
      <c r="AD583" s="584">
        <v>26895</v>
      </c>
      <c r="AE583" s="586">
        <v>7.1999999999999995E-2</v>
      </c>
      <c r="AF583" s="661" t="str">
        <f t="shared" si="59"/>
        <v>2019-LVN-CHV-XP25-004-17</v>
      </c>
      <c r="AG583" s="661" t="str">
        <f>IF(AND($Y583&gt;=32,(AI583="I"),(Y583&lt;&gt;"~"),(COUNTIF($AN$1:$AN583,$AN583)=1)),"TRUE","FALSE")</f>
        <v>FALSE</v>
      </c>
      <c r="AH583" s="661" t="str">
        <f>IF(AND($Y583&gt;=22, (AI583&lt;&gt;"I"),(Y583&lt;&gt;"~"),(COUNTIF($AN$1:$AN583,$AN583)=1)),"TRUE","FALSE")</f>
        <v>FALSE</v>
      </c>
      <c r="AI583" s="661" t="str">
        <f t="shared" si="61"/>
        <v>II</v>
      </c>
      <c r="AJ583" s="662" t="str">
        <f t="shared" si="62"/>
        <v>XP25-004</v>
      </c>
      <c r="AK583" s="662" t="str">
        <f t="shared" si="63"/>
        <v>LVN</v>
      </c>
      <c r="AL583" s="662" t="str">
        <f t="shared" si="64"/>
        <v>CHV</v>
      </c>
      <c r="AM583" s="662" t="str">
        <f t="shared" si="60"/>
        <v>Express 2500-Cargo Van-RWD-2-84.3-~-6.0L-8-CG23705-1WT-155-31-E85-Unleaded</v>
      </c>
      <c r="AN583" s="662" t="str">
        <f t="shared" si="65"/>
        <v>2019-LVN-CHV-XP25-004</v>
      </c>
    </row>
    <row r="584" spans="1:40" s="572" customFormat="1" ht="15">
      <c r="A584" s="570" t="s">
        <v>1555</v>
      </c>
      <c r="B584" s="569" t="s">
        <v>1546</v>
      </c>
      <c r="C584" s="569" t="s">
        <v>166</v>
      </c>
      <c r="D584" s="580">
        <v>17</v>
      </c>
      <c r="E584" s="569" t="s">
        <v>1516</v>
      </c>
      <c r="F584" s="569" t="s">
        <v>1517</v>
      </c>
      <c r="G584" s="569" t="s">
        <v>153</v>
      </c>
      <c r="H584" s="569">
        <v>2019</v>
      </c>
      <c r="I584" s="569" t="s">
        <v>1518</v>
      </c>
      <c r="J584" s="569" t="s">
        <v>1519</v>
      </c>
      <c r="K584" s="569" t="s">
        <v>236</v>
      </c>
      <c r="L584" s="569">
        <v>2</v>
      </c>
      <c r="M584" s="569">
        <v>0</v>
      </c>
      <c r="N584" s="569" t="s">
        <v>157</v>
      </c>
      <c r="O584" s="569">
        <v>1</v>
      </c>
      <c r="P584" s="569">
        <v>84.6</v>
      </c>
      <c r="Q584" s="568" t="s">
        <v>157</v>
      </c>
      <c r="R584" s="569" t="s">
        <v>1547</v>
      </c>
      <c r="S584" s="569">
        <v>4</v>
      </c>
      <c r="T584" s="569" t="s">
        <v>1534</v>
      </c>
      <c r="U584" s="569" t="s">
        <v>1522</v>
      </c>
      <c r="V584" s="569">
        <v>135</v>
      </c>
      <c r="W584" s="569">
        <v>31</v>
      </c>
      <c r="X584" s="568">
        <v>9900</v>
      </c>
      <c r="Y584" s="569">
        <v>14</v>
      </c>
      <c r="Z584" s="581" t="s">
        <v>728</v>
      </c>
      <c r="AA584" s="581" t="s">
        <v>1523</v>
      </c>
      <c r="AB584" s="585">
        <v>36790</v>
      </c>
      <c r="AC584" s="585" t="s">
        <v>164</v>
      </c>
      <c r="AD584" s="585">
        <v>27988</v>
      </c>
      <c r="AE584" s="587">
        <v>7.1999999999999995E-2</v>
      </c>
      <c r="AF584" s="661" t="str">
        <f t="shared" ref="AF584:AF647" si="66">A584</f>
        <v>2019-LVN-CHV-XP25-006-17</v>
      </c>
      <c r="AG584" s="661" t="str">
        <f>IF(AND($Y584&gt;=32,(AI584="I"),(Y584&lt;&gt;"~"),(COUNTIF($AN$1:$AN584,$AN584)=1)),"TRUE","FALSE")</f>
        <v>FALSE</v>
      </c>
      <c r="AH584" s="661" t="str">
        <f>IF(AND($Y584&gt;=22, (AI584&lt;&gt;"I"),(Y584&lt;&gt;"~"),(COUNTIF($AN$1:$AN584,$AN584)=1)),"TRUE","FALSE")</f>
        <v>FALSE</v>
      </c>
      <c r="AI584" s="661" t="str">
        <f t="shared" si="61"/>
        <v>II</v>
      </c>
      <c r="AJ584" s="662" t="str">
        <f t="shared" si="62"/>
        <v>XP25-006</v>
      </c>
      <c r="AK584" s="662" t="str">
        <f t="shared" si="63"/>
        <v>LVN</v>
      </c>
      <c r="AL584" s="662" t="str">
        <f t="shared" si="64"/>
        <v>CHV</v>
      </c>
      <c r="AM584" s="662" t="str">
        <f t="shared" si="60"/>
        <v>Express 2500-Cargo Van-RWD-2-84.6-~-2.8L-4-CG23405-1WT-135-31-Diesel-BioDiesel</v>
      </c>
      <c r="AN584" s="662" t="str">
        <f t="shared" si="65"/>
        <v>2019-LVN-CHV-XP25-006</v>
      </c>
    </row>
    <row r="585" spans="1:40" s="572" customFormat="1" ht="15">
      <c r="A585" s="570" t="s">
        <v>1556</v>
      </c>
      <c r="B585" s="573" t="s">
        <v>1536</v>
      </c>
      <c r="C585" s="573" t="s">
        <v>166</v>
      </c>
      <c r="D585" s="578">
        <v>17</v>
      </c>
      <c r="E585" s="573" t="s">
        <v>1516</v>
      </c>
      <c r="F585" s="573" t="s">
        <v>1517</v>
      </c>
      <c r="G585" s="573" t="s">
        <v>153</v>
      </c>
      <c r="H585" s="573">
        <v>2019</v>
      </c>
      <c r="I585" s="573" t="s">
        <v>1518</v>
      </c>
      <c r="J585" s="573" t="s">
        <v>1519</v>
      </c>
      <c r="K585" s="573" t="s">
        <v>236</v>
      </c>
      <c r="L585" s="573">
        <v>2</v>
      </c>
      <c r="M585" s="573">
        <v>0</v>
      </c>
      <c r="N585" s="573" t="s">
        <v>157</v>
      </c>
      <c r="O585" s="573">
        <v>1</v>
      </c>
      <c r="P585" s="573">
        <v>84.6</v>
      </c>
      <c r="Q585" s="571" t="s">
        <v>157</v>
      </c>
      <c r="R585" s="573" t="s">
        <v>1526</v>
      </c>
      <c r="S585" s="573">
        <v>6</v>
      </c>
      <c r="T585" s="573" t="s">
        <v>1534</v>
      </c>
      <c r="U585" s="573" t="s">
        <v>1522</v>
      </c>
      <c r="V585" s="573">
        <v>135</v>
      </c>
      <c r="W585" s="573">
        <v>31</v>
      </c>
      <c r="X585" s="571">
        <v>8600</v>
      </c>
      <c r="Y585" s="573">
        <v>14</v>
      </c>
      <c r="Z585" s="579" t="s">
        <v>178</v>
      </c>
      <c r="AA585" s="579" t="s">
        <v>178</v>
      </c>
      <c r="AB585" s="584">
        <v>32795</v>
      </c>
      <c r="AC585" s="584" t="s">
        <v>164</v>
      </c>
      <c r="AD585" s="584">
        <v>27855</v>
      </c>
      <c r="AE585" s="586">
        <v>7.1999999999999995E-2</v>
      </c>
      <c r="AF585" s="661" t="str">
        <f t="shared" si="66"/>
        <v>2019-LVN-CHV-XP25-007-17</v>
      </c>
      <c r="AG585" s="661" t="str">
        <f>IF(AND($Y585&gt;=32,(AI585="I"),(Y585&lt;&gt;"~"),(COUNTIF($AN$1:$AN585,$AN585)=1)),"TRUE","FALSE")</f>
        <v>FALSE</v>
      </c>
      <c r="AH585" s="661" t="str">
        <f>IF(AND($Y585&gt;=22, (AI585&lt;&gt;"I"),(Y585&lt;&gt;"~"),(COUNTIF($AN$1:$AN585,$AN585)=1)),"TRUE","FALSE")</f>
        <v>FALSE</v>
      </c>
      <c r="AI585" s="661" t="str">
        <f t="shared" si="61"/>
        <v>II</v>
      </c>
      <c r="AJ585" s="662" t="str">
        <f t="shared" si="62"/>
        <v>XP25-007</v>
      </c>
      <c r="AK585" s="662" t="str">
        <f t="shared" si="63"/>
        <v>LVN</v>
      </c>
      <c r="AL585" s="662" t="str">
        <f t="shared" si="64"/>
        <v>CHV</v>
      </c>
      <c r="AM585" s="662" t="str">
        <f t="shared" si="60"/>
        <v>Express 2500-Cargo Van-RWD-2-84.6-~-4.3L-6-CG23405-1WT-135-31-Unleaded-Unleaded</v>
      </c>
      <c r="AN585" s="662" t="str">
        <f t="shared" si="65"/>
        <v>2019-LVN-CHV-XP25-007</v>
      </c>
    </row>
    <row r="586" spans="1:40" s="572" customFormat="1" ht="15">
      <c r="A586" s="570" t="s">
        <v>1557</v>
      </c>
      <c r="B586" s="569" t="s">
        <v>1538</v>
      </c>
      <c r="C586" s="569" t="s">
        <v>166</v>
      </c>
      <c r="D586" s="580">
        <v>17</v>
      </c>
      <c r="E586" s="569" t="s">
        <v>1516</v>
      </c>
      <c r="F586" s="569" t="s">
        <v>1517</v>
      </c>
      <c r="G586" s="569" t="s">
        <v>153</v>
      </c>
      <c r="H586" s="569">
        <v>2019</v>
      </c>
      <c r="I586" s="569" t="s">
        <v>1518</v>
      </c>
      <c r="J586" s="569" t="s">
        <v>1519</v>
      </c>
      <c r="K586" s="569" t="s">
        <v>236</v>
      </c>
      <c r="L586" s="569">
        <v>2</v>
      </c>
      <c r="M586" s="569">
        <v>0</v>
      </c>
      <c r="N586" s="569" t="s">
        <v>157</v>
      </c>
      <c r="O586" s="569">
        <v>1</v>
      </c>
      <c r="P586" s="569">
        <v>84.6</v>
      </c>
      <c r="Q586" s="568" t="s">
        <v>157</v>
      </c>
      <c r="R586" s="569" t="s">
        <v>798</v>
      </c>
      <c r="S586" s="569">
        <v>8</v>
      </c>
      <c r="T586" s="569" t="s">
        <v>1534</v>
      </c>
      <c r="U586" s="569" t="s">
        <v>1522</v>
      </c>
      <c r="V586" s="569">
        <v>135</v>
      </c>
      <c r="W586" s="569">
        <v>31</v>
      </c>
      <c r="X586" s="568">
        <v>8600</v>
      </c>
      <c r="Y586" s="569">
        <v>13</v>
      </c>
      <c r="Z586" s="581" t="s">
        <v>1529</v>
      </c>
      <c r="AA586" s="581" t="s">
        <v>178</v>
      </c>
      <c r="AB586" s="585">
        <v>33790</v>
      </c>
      <c r="AC586" s="585" t="s">
        <v>164</v>
      </c>
      <c r="AD586" s="585">
        <v>25870</v>
      </c>
      <c r="AE586" s="587">
        <v>7.1999999999999995E-2</v>
      </c>
      <c r="AF586" s="661" t="str">
        <f t="shared" si="66"/>
        <v>2019-LVN-CHV-XP25-008-17</v>
      </c>
      <c r="AG586" s="661" t="str">
        <f>IF(AND($Y586&gt;=32,(AI586="I"),(Y586&lt;&gt;"~"),(COUNTIF($AN$1:$AN586,$AN586)=1)),"TRUE","FALSE")</f>
        <v>FALSE</v>
      </c>
      <c r="AH586" s="661" t="str">
        <f>IF(AND($Y586&gt;=22, (AI586&lt;&gt;"I"),(Y586&lt;&gt;"~"),(COUNTIF($AN$1:$AN586,$AN586)=1)),"TRUE","FALSE")</f>
        <v>FALSE</v>
      </c>
      <c r="AI586" s="661" t="str">
        <f t="shared" si="61"/>
        <v>II</v>
      </c>
      <c r="AJ586" s="662" t="str">
        <f t="shared" si="62"/>
        <v>XP25-008</v>
      </c>
      <c r="AK586" s="662" t="str">
        <f t="shared" si="63"/>
        <v>LVN</v>
      </c>
      <c r="AL586" s="662" t="str">
        <f t="shared" si="64"/>
        <v>CHV</v>
      </c>
      <c r="AM586" s="662" t="str">
        <f t="shared" si="60"/>
        <v>Express 2500-Cargo Van-RWD-2-84.6-~-6.0L-8-CG23405-1WT-135-31-CNG-Unleaded</v>
      </c>
      <c r="AN586" s="662" t="str">
        <f t="shared" si="65"/>
        <v>2019-LVN-CHV-XP25-008</v>
      </c>
    </row>
    <row r="587" spans="1:40" s="572" customFormat="1" ht="15">
      <c r="A587" s="570" t="s">
        <v>1558</v>
      </c>
      <c r="B587" s="573" t="s">
        <v>1540</v>
      </c>
      <c r="C587" s="573" t="s">
        <v>166</v>
      </c>
      <c r="D587" s="578">
        <v>17</v>
      </c>
      <c r="E587" s="573" t="s">
        <v>1516</v>
      </c>
      <c r="F587" s="573" t="s">
        <v>1517</v>
      </c>
      <c r="G587" s="573" t="s">
        <v>153</v>
      </c>
      <c r="H587" s="573">
        <v>2019</v>
      </c>
      <c r="I587" s="573" t="s">
        <v>1518</v>
      </c>
      <c r="J587" s="573" t="s">
        <v>1519</v>
      </c>
      <c r="K587" s="573" t="s">
        <v>236</v>
      </c>
      <c r="L587" s="573">
        <v>2</v>
      </c>
      <c r="M587" s="573">
        <v>0</v>
      </c>
      <c r="N587" s="573" t="s">
        <v>157</v>
      </c>
      <c r="O587" s="573">
        <v>1</v>
      </c>
      <c r="P587" s="573">
        <v>84.6</v>
      </c>
      <c r="Q587" s="571" t="s">
        <v>157</v>
      </c>
      <c r="R587" s="573" t="s">
        <v>798</v>
      </c>
      <c r="S587" s="573">
        <v>8</v>
      </c>
      <c r="T587" s="573" t="s">
        <v>1534</v>
      </c>
      <c r="U587" s="573" t="s">
        <v>1522</v>
      </c>
      <c r="V587" s="573">
        <v>135</v>
      </c>
      <c r="W587" s="573">
        <v>31</v>
      </c>
      <c r="X587" s="571">
        <v>8600</v>
      </c>
      <c r="Y587" s="573">
        <v>13</v>
      </c>
      <c r="Z587" s="579" t="s">
        <v>450</v>
      </c>
      <c r="AA587" s="579" t="s">
        <v>178</v>
      </c>
      <c r="AB587" s="584">
        <v>33790</v>
      </c>
      <c r="AC587" s="584" t="s">
        <v>164</v>
      </c>
      <c r="AD587" s="584">
        <v>25870</v>
      </c>
      <c r="AE587" s="586">
        <v>7.1999999999999995E-2</v>
      </c>
      <c r="AF587" s="661" t="str">
        <f t="shared" si="66"/>
        <v>2019-LVN-CHV-XP25-009-17</v>
      </c>
      <c r="AG587" s="661" t="str">
        <f>IF(AND($Y587&gt;=32,(AI587="I"),(Y587&lt;&gt;"~"),(COUNTIF($AN$1:$AN587,$AN587)=1)),"TRUE","FALSE")</f>
        <v>FALSE</v>
      </c>
      <c r="AH587" s="661" t="str">
        <f>IF(AND($Y587&gt;=22, (AI587&lt;&gt;"I"),(Y587&lt;&gt;"~"),(COUNTIF($AN$1:$AN587,$AN587)=1)),"TRUE","FALSE")</f>
        <v>FALSE</v>
      </c>
      <c r="AI587" s="661" t="str">
        <f t="shared" si="61"/>
        <v>II</v>
      </c>
      <c r="AJ587" s="662" t="str">
        <f t="shared" si="62"/>
        <v>XP25-009</v>
      </c>
      <c r="AK587" s="662" t="str">
        <f t="shared" si="63"/>
        <v>LVN</v>
      </c>
      <c r="AL587" s="662" t="str">
        <f t="shared" si="64"/>
        <v>CHV</v>
      </c>
      <c r="AM587" s="662" t="str">
        <f t="shared" si="60"/>
        <v>Express 2500-Cargo Van-RWD-2-84.6-~-6.0L-8-CG23405-1WT-135-31-E85-Unleaded</v>
      </c>
      <c r="AN587" s="662" t="str">
        <f t="shared" si="65"/>
        <v>2019-LVN-CHV-XP25-009</v>
      </c>
    </row>
    <row r="588" spans="1:40" s="572" customFormat="1" ht="15">
      <c r="A588" s="570" t="s">
        <v>1559</v>
      </c>
      <c r="B588" s="569" t="s">
        <v>1560</v>
      </c>
      <c r="C588" s="569" t="s">
        <v>169</v>
      </c>
      <c r="D588" s="580">
        <v>11</v>
      </c>
      <c r="E588" s="569" t="s">
        <v>1516</v>
      </c>
      <c r="F588" s="569" t="s">
        <v>1561</v>
      </c>
      <c r="G588" s="569" t="s">
        <v>153</v>
      </c>
      <c r="H588" s="569">
        <v>2019</v>
      </c>
      <c r="I588" s="569" t="s">
        <v>1518</v>
      </c>
      <c r="J588" s="569" t="s">
        <v>174</v>
      </c>
      <c r="K588" s="569" t="s">
        <v>236</v>
      </c>
      <c r="L588" s="569">
        <v>12</v>
      </c>
      <c r="M588" s="569">
        <v>0</v>
      </c>
      <c r="N588" s="569" t="s">
        <v>157</v>
      </c>
      <c r="O588" s="569"/>
      <c r="P588" s="569">
        <v>83.9</v>
      </c>
      <c r="Q588" s="568" t="s">
        <v>157</v>
      </c>
      <c r="R588" s="569" t="s">
        <v>1526</v>
      </c>
      <c r="S588" s="569">
        <v>6</v>
      </c>
      <c r="T588" s="569" t="s">
        <v>1562</v>
      </c>
      <c r="U588" s="569" t="s">
        <v>732</v>
      </c>
      <c r="V588" s="569">
        <v>135</v>
      </c>
      <c r="W588" s="569">
        <v>31</v>
      </c>
      <c r="X588" s="568">
        <v>8600</v>
      </c>
      <c r="Y588" s="569">
        <v>14</v>
      </c>
      <c r="Z588" s="581" t="s">
        <v>178</v>
      </c>
      <c r="AA588" s="581" t="s">
        <v>178</v>
      </c>
      <c r="AB588" s="585">
        <v>36095</v>
      </c>
      <c r="AC588" s="585" t="s">
        <v>164</v>
      </c>
      <c r="AD588" s="585">
        <v>25483.125</v>
      </c>
      <c r="AE588" s="587">
        <v>0.05</v>
      </c>
      <c r="AF588" s="661" t="str">
        <f t="shared" si="66"/>
        <v>2019-LVN-CHV-XP25-010-11</v>
      </c>
      <c r="AG588" s="661" t="str">
        <f>IF(AND($Y588&gt;=32,(AI588="I"),(Y588&lt;&gt;"~"),(COUNTIF($AN$1:$AN588,$AN588)=1)),"TRUE","FALSE")</f>
        <v>FALSE</v>
      </c>
      <c r="AH588" s="661" t="str">
        <f>IF(AND($Y588&gt;=22, (AI588&lt;&gt;"I"),(Y588&lt;&gt;"~"),(COUNTIF($AN$1:$AN588,$AN588)=1)),"TRUE","FALSE")</f>
        <v>FALSE</v>
      </c>
      <c r="AI588" s="661" t="str">
        <f t="shared" si="61"/>
        <v>II</v>
      </c>
      <c r="AJ588" s="662" t="str">
        <f t="shared" si="62"/>
        <v>XP25-010</v>
      </c>
      <c r="AK588" s="662" t="str">
        <f t="shared" si="63"/>
        <v>LVN</v>
      </c>
      <c r="AL588" s="662" t="str">
        <f t="shared" si="64"/>
        <v>CHV</v>
      </c>
      <c r="AM588" s="662" t="str">
        <f t="shared" si="60"/>
        <v>Express 2500-LS-RWD-12-83.9-~-4.3L-6-CG23406-1LS-135-31-Unleaded-Unleaded</v>
      </c>
      <c r="AN588" s="662" t="str">
        <f t="shared" si="65"/>
        <v>2019-LVN-CHV-XP25-010</v>
      </c>
    </row>
    <row r="589" spans="1:40" s="572" customFormat="1" ht="15">
      <c r="A589" s="570" t="s">
        <v>1563</v>
      </c>
      <c r="B589" s="573" t="s">
        <v>1560</v>
      </c>
      <c r="C589" s="573" t="s">
        <v>150</v>
      </c>
      <c r="D589" s="578">
        <v>13</v>
      </c>
      <c r="E589" s="573" t="s">
        <v>1516</v>
      </c>
      <c r="F589" s="573" t="s">
        <v>1561</v>
      </c>
      <c r="G589" s="573" t="s">
        <v>153</v>
      </c>
      <c r="H589" s="573">
        <v>2019</v>
      </c>
      <c r="I589" s="573" t="s">
        <v>1518</v>
      </c>
      <c r="J589" s="573" t="s">
        <v>174</v>
      </c>
      <c r="K589" s="573" t="s">
        <v>236</v>
      </c>
      <c r="L589" s="573">
        <v>12</v>
      </c>
      <c r="M589" s="573">
        <v>0</v>
      </c>
      <c r="N589" s="573" t="s">
        <v>157</v>
      </c>
      <c r="O589" s="573">
        <v>4</v>
      </c>
      <c r="P589" s="573">
        <v>83.9</v>
      </c>
      <c r="Q589" s="571" t="s">
        <v>157</v>
      </c>
      <c r="R589" s="573" t="s">
        <v>1526</v>
      </c>
      <c r="S589" s="573">
        <v>6</v>
      </c>
      <c r="T589" s="573" t="s">
        <v>1562</v>
      </c>
      <c r="U589" s="573" t="s">
        <v>732</v>
      </c>
      <c r="V589" s="573">
        <v>135</v>
      </c>
      <c r="W589" s="573">
        <v>31</v>
      </c>
      <c r="X589" s="571">
        <v>8600</v>
      </c>
      <c r="Y589" s="573">
        <v>14</v>
      </c>
      <c r="Z589" s="579" t="s">
        <v>178</v>
      </c>
      <c r="AA589" s="579" t="s">
        <v>178</v>
      </c>
      <c r="AB589" s="584">
        <v>36095</v>
      </c>
      <c r="AC589" s="584" t="s">
        <v>164</v>
      </c>
      <c r="AD589" s="584">
        <v>25958</v>
      </c>
      <c r="AE589" s="586">
        <v>0.03</v>
      </c>
      <c r="AF589" s="661" t="str">
        <f t="shared" si="66"/>
        <v>2019-LVN-CHV-XP25-010-13</v>
      </c>
      <c r="AG589" s="661" t="str">
        <f>IF(AND($Y589&gt;=32,(AI589="I"),(Y589&lt;&gt;"~"),(COUNTIF($AN$1:$AN589,$AN589)=1)),"TRUE","FALSE")</f>
        <v>FALSE</v>
      </c>
      <c r="AH589" s="661" t="str">
        <f>IF(AND($Y589&gt;=22, (AI589&lt;&gt;"I"),(Y589&lt;&gt;"~"),(COUNTIF($AN$1:$AN589,$AN589)=1)),"TRUE","FALSE")</f>
        <v>FALSE</v>
      </c>
      <c r="AI589" s="661" t="str">
        <f t="shared" si="61"/>
        <v>II</v>
      </c>
      <c r="AJ589" s="662" t="str">
        <f t="shared" si="62"/>
        <v>XP25-010</v>
      </c>
      <c r="AK589" s="662" t="str">
        <f t="shared" si="63"/>
        <v>LVN</v>
      </c>
      <c r="AL589" s="662" t="str">
        <f t="shared" si="64"/>
        <v>CHV</v>
      </c>
      <c r="AM589" s="662" t="str">
        <f t="shared" si="60"/>
        <v>Express 2500-LS-RWD-12-83.9-~-4.3L-6-CG23406-1LS-135-31-Unleaded-Unleaded</v>
      </c>
      <c r="AN589" s="662" t="str">
        <f t="shared" si="65"/>
        <v>2019-LVN-CHV-XP25-010</v>
      </c>
    </row>
    <row r="590" spans="1:40" s="572" customFormat="1" ht="15">
      <c r="A590" s="570" t="s">
        <v>1564</v>
      </c>
      <c r="B590" s="569" t="s">
        <v>1560</v>
      </c>
      <c r="C590" s="569" t="s">
        <v>166</v>
      </c>
      <c r="D590" s="580">
        <v>17</v>
      </c>
      <c r="E590" s="569" t="s">
        <v>1516</v>
      </c>
      <c r="F590" s="569" t="s">
        <v>1561</v>
      </c>
      <c r="G590" s="569" t="s">
        <v>153</v>
      </c>
      <c r="H590" s="569">
        <v>2019</v>
      </c>
      <c r="I590" s="569" t="s">
        <v>1518</v>
      </c>
      <c r="J590" s="569" t="s">
        <v>174</v>
      </c>
      <c r="K590" s="569" t="s">
        <v>236</v>
      </c>
      <c r="L590" s="569">
        <v>12</v>
      </c>
      <c r="M590" s="569">
        <v>0</v>
      </c>
      <c r="N590" s="569" t="s">
        <v>157</v>
      </c>
      <c r="O590" s="569">
        <v>4</v>
      </c>
      <c r="P590" s="569">
        <v>83.9</v>
      </c>
      <c r="Q590" s="568" t="s">
        <v>157</v>
      </c>
      <c r="R590" s="569" t="s">
        <v>1526</v>
      </c>
      <c r="S590" s="569">
        <v>6</v>
      </c>
      <c r="T590" s="569" t="s">
        <v>1562</v>
      </c>
      <c r="U590" s="569" t="s">
        <v>732</v>
      </c>
      <c r="V590" s="569">
        <v>135</v>
      </c>
      <c r="W590" s="569">
        <v>31</v>
      </c>
      <c r="X590" s="568">
        <v>8600</v>
      </c>
      <c r="Y590" s="569">
        <v>14</v>
      </c>
      <c r="Z590" s="581" t="s">
        <v>178</v>
      </c>
      <c r="AA590" s="581" t="s">
        <v>178</v>
      </c>
      <c r="AB590" s="585">
        <v>36095</v>
      </c>
      <c r="AC590" s="585" t="s">
        <v>164</v>
      </c>
      <c r="AD590" s="585">
        <v>26613.9</v>
      </c>
      <c r="AE590" s="587">
        <v>7.1999999999999995E-2</v>
      </c>
      <c r="AF590" s="661" t="str">
        <f t="shared" si="66"/>
        <v>2019-LVN-CHV-XP25-010-17</v>
      </c>
      <c r="AG590" s="661" t="str">
        <f>IF(AND($Y590&gt;=32,(AI590="I"),(Y590&lt;&gt;"~"),(COUNTIF($AN$1:$AN590,$AN590)=1)),"TRUE","FALSE")</f>
        <v>FALSE</v>
      </c>
      <c r="AH590" s="661" t="str">
        <f>IF(AND($Y590&gt;=22, (AI590&lt;&gt;"I"),(Y590&lt;&gt;"~"),(COUNTIF($AN$1:$AN590,$AN590)=1)),"TRUE","FALSE")</f>
        <v>FALSE</v>
      </c>
      <c r="AI590" s="661" t="str">
        <f t="shared" si="61"/>
        <v>II</v>
      </c>
      <c r="AJ590" s="662" t="str">
        <f t="shared" si="62"/>
        <v>XP25-010</v>
      </c>
      <c r="AK590" s="662" t="str">
        <f t="shared" si="63"/>
        <v>LVN</v>
      </c>
      <c r="AL590" s="662" t="str">
        <f t="shared" si="64"/>
        <v>CHV</v>
      </c>
      <c r="AM590" s="662" t="str">
        <f t="shared" si="60"/>
        <v>Express 2500-LS-RWD-12-83.9-~-4.3L-6-CG23406-1LS-135-31-Unleaded-Unleaded</v>
      </c>
      <c r="AN590" s="662" t="str">
        <f t="shared" si="65"/>
        <v>2019-LVN-CHV-XP25-010</v>
      </c>
    </row>
    <row r="591" spans="1:40" s="572" customFormat="1" ht="15">
      <c r="A591" s="570" t="s">
        <v>1565</v>
      </c>
      <c r="B591" s="573" t="s">
        <v>1566</v>
      </c>
      <c r="C591" s="573" t="s">
        <v>169</v>
      </c>
      <c r="D591" s="578">
        <v>11</v>
      </c>
      <c r="E591" s="573" t="s">
        <v>1516</v>
      </c>
      <c r="F591" s="573" t="s">
        <v>1561</v>
      </c>
      <c r="G591" s="573" t="s">
        <v>153</v>
      </c>
      <c r="H591" s="573">
        <v>2019</v>
      </c>
      <c r="I591" s="573" t="s">
        <v>1518</v>
      </c>
      <c r="J591" s="573" t="s">
        <v>155</v>
      </c>
      <c r="K591" s="573" t="s">
        <v>236</v>
      </c>
      <c r="L591" s="573">
        <v>12</v>
      </c>
      <c r="M591" s="573">
        <v>0</v>
      </c>
      <c r="N591" s="573" t="s">
        <v>157</v>
      </c>
      <c r="O591" s="573"/>
      <c r="P591" s="573">
        <v>83.9</v>
      </c>
      <c r="Q591" s="571" t="s">
        <v>157</v>
      </c>
      <c r="R591" s="573" t="s">
        <v>1526</v>
      </c>
      <c r="S591" s="573">
        <v>6</v>
      </c>
      <c r="T591" s="573" t="s">
        <v>1562</v>
      </c>
      <c r="U591" s="573" t="s">
        <v>213</v>
      </c>
      <c r="V591" s="573">
        <v>135</v>
      </c>
      <c r="W591" s="573">
        <v>31</v>
      </c>
      <c r="X591" s="571">
        <v>8600</v>
      </c>
      <c r="Y591" s="573">
        <v>14</v>
      </c>
      <c r="Z591" s="579" t="s">
        <v>178</v>
      </c>
      <c r="AA591" s="579" t="s">
        <v>178</v>
      </c>
      <c r="AB591" s="584">
        <v>37195</v>
      </c>
      <c r="AC591" s="584" t="s">
        <v>164</v>
      </c>
      <c r="AD591" s="584">
        <v>26491.458333333336</v>
      </c>
      <c r="AE591" s="586">
        <v>0.05</v>
      </c>
      <c r="AF591" s="661" t="str">
        <f t="shared" si="66"/>
        <v>2019-LVN-CHV-XP25-011-11</v>
      </c>
      <c r="AG591" s="661" t="str">
        <f>IF(AND($Y591&gt;=32,(AI591="I"),(Y591&lt;&gt;"~"),(COUNTIF($AN$1:$AN591,$AN591)=1)),"TRUE","FALSE")</f>
        <v>FALSE</v>
      </c>
      <c r="AH591" s="661" t="str">
        <f>IF(AND($Y591&gt;=22, (AI591&lt;&gt;"I"),(Y591&lt;&gt;"~"),(COUNTIF($AN$1:$AN591,$AN591)=1)),"TRUE","FALSE")</f>
        <v>FALSE</v>
      </c>
      <c r="AI591" s="661" t="str">
        <f t="shared" si="61"/>
        <v>II</v>
      </c>
      <c r="AJ591" s="662" t="str">
        <f t="shared" si="62"/>
        <v>XP25-011</v>
      </c>
      <c r="AK591" s="662" t="str">
        <f t="shared" si="63"/>
        <v>LVN</v>
      </c>
      <c r="AL591" s="662" t="str">
        <f t="shared" si="64"/>
        <v>CHV</v>
      </c>
      <c r="AM591" s="662" t="str">
        <f t="shared" si="60"/>
        <v>Express 2500-LT-RWD-12-83.9-~-4.3L-6-CG23406-1LT-135-31-Unleaded-Unleaded</v>
      </c>
      <c r="AN591" s="662" t="str">
        <f t="shared" si="65"/>
        <v>2019-LVN-CHV-XP25-011</v>
      </c>
    </row>
    <row r="592" spans="1:40" s="572" customFormat="1" ht="15">
      <c r="A592" s="570" t="s">
        <v>1567</v>
      </c>
      <c r="B592" s="569" t="s">
        <v>1566</v>
      </c>
      <c r="C592" s="569" t="s">
        <v>150</v>
      </c>
      <c r="D592" s="580">
        <v>13</v>
      </c>
      <c r="E592" s="569" t="s">
        <v>1516</v>
      </c>
      <c r="F592" s="569" t="s">
        <v>1561</v>
      </c>
      <c r="G592" s="569" t="s">
        <v>153</v>
      </c>
      <c r="H592" s="569">
        <v>2019</v>
      </c>
      <c r="I592" s="569" t="s">
        <v>1518</v>
      </c>
      <c r="J592" s="569" t="s">
        <v>155</v>
      </c>
      <c r="K592" s="569" t="s">
        <v>236</v>
      </c>
      <c r="L592" s="569">
        <v>12</v>
      </c>
      <c r="M592" s="569">
        <v>0</v>
      </c>
      <c r="N592" s="569" t="s">
        <v>157</v>
      </c>
      <c r="O592" s="569">
        <v>4</v>
      </c>
      <c r="P592" s="569">
        <v>83.9</v>
      </c>
      <c r="Q592" s="568" t="s">
        <v>157</v>
      </c>
      <c r="R592" s="569" t="s">
        <v>1526</v>
      </c>
      <c r="S592" s="569">
        <v>6</v>
      </c>
      <c r="T592" s="569" t="s">
        <v>1562</v>
      </c>
      <c r="U592" s="569" t="s">
        <v>213</v>
      </c>
      <c r="V592" s="569">
        <v>135</v>
      </c>
      <c r="W592" s="569">
        <v>31</v>
      </c>
      <c r="X592" s="568">
        <v>8600</v>
      </c>
      <c r="Y592" s="569">
        <v>14</v>
      </c>
      <c r="Z592" s="581" t="s">
        <v>178</v>
      </c>
      <c r="AA592" s="581" t="s">
        <v>178</v>
      </c>
      <c r="AB592" s="585">
        <v>37195</v>
      </c>
      <c r="AC592" s="585" t="s">
        <v>164</v>
      </c>
      <c r="AD592" s="585">
        <v>27562</v>
      </c>
      <c r="AE592" s="587">
        <v>0.03</v>
      </c>
      <c r="AF592" s="661" t="str">
        <f t="shared" si="66"/>
        <v>2019-LVN-CHV-XP25-011-13</v>
      </c>
      <c r="AG592" s="661" t="str">
        <f>IF(AND($Y592&gt;=32,(AI592="I"),(Y592&lt;&gt;"~"),(COUNTIF($AN$1:$AN592,$AN592)=1)),"TRUE","FALSE")</f>
        <v>FALSE</v>
      </c>
      <c r="AH592" s="661" t="str">
        <f>IF(AND($Y592&gt;=22, (AI592&lt;&gt;"I"),(Y592&lt;&gt;"~"),(COUNTIF($AN$1:$AN592,$AN592)=1)),"TRUE","FALSE")</f>
        <v>FALSE</v>
      </c>
      <c r="AI592" s="661" t="str">
        <f t="shared" si="61"/>
        <v>II</v>
      </c>
      <c r="AJ592" s="662" t="str">
        <f t="shared" si="62"/>
        <v>XP25-011</v>
      </c>
      <c r="AK592" s="662" t="str">
        <f t="shared" si="63"/>
        <v>LVN</v>
      </c>
      <c r="AL592" s="662" t="str">
        <f t="shared" si="64"/>
        <v>CHV</v>
      </c>
      <c r="AM592" s="662" t="str">
        <f t="shared" si="60"/>
        <v>Express 2500-LT-RWD-12-83.9-~-4.3L-6-CG23406-1LT-135-31-Unleaded-Unleaded</v>
      </c>
      <c r="AN592" s="662" t="str">
        <f t="shared" si="65"/>
        <v>2019-LVN-CHV-XP25-011</v>
      </c>
    </row>
    <row r="593" spans="1:40" s="572" customFormat="1" ht="15">
      <c r="A593" s="570" t="s">
        <v>1568</v>
      </c>
      <c r="B593" s="573" t="s">
        <v>1566</v>
      </c>
      <c r="C593" s="573" t="s">
        <v>166</v>
      </c>
      <c r="D593" s="578">
        <v>17</v>
      </c>
      <c r="E593" s="573" t="s">
        <v>1516</v>
      </c>
      <c r="F593" s="573" t="s">
        <v>1561</v>
      </c>
      <c r="G593" s="573" t="s">
        <v>153</v>
      </c>
      <c r="H593" s="573">
        <v>2019</v>
      </c>
      <c r="I593" s="573" t="s">
        <v>1518</v>
      </c>
      <c r="J593" s="573" t="s">
        <v>155</v>
      </c>
      <c r="K593" s="573" t="s">
        <v>236</v>
      </c>
      <c r="L593" s="573">
        <v>12</v>
      </c>
      <c r="M593" s="573">
        <v>0</v>
      </c>
      <c r="N593" s="573" t="s">
        <v>157</v>
      </c>
      <c r="O593" s="573">
        <v>4</v>
      </c>
      <c r="P593" s="573">
        <v>83.9</v>
      </c>
      <c r="Q593" s="571" t="s">
        <v>157</v>
      </c>
      <c r="R593" s="573" t="s">
        <v>1526</v>
      </c>
      <c r="S593" s="573">
        <v>6</v>
      </c>
      <c r="T593" s="573" t="s">
        <v>1562</v>
      </c>
      <c r="U593" s="573" t="s">
        <v>213</v>
      </c>
      <c r="V593" s="573">
        <v>135</v>
      </c>
      <c r="W593" s="573">
        <v>31</v>
      </c>
      <c r="X593" s="571">
        <v>8600</v>
      </c>
      <c r="Y593" s="573">
        <v>14</v>
      </c>
      <c r="Z593" s="579" t="s">
        <v>178</v>
      </c>
      <c r="AA593" s="579" t="s">
        <v>178</v>
      </c>
      <c r="AB593" s="584">
        <v>37195</v>
      </c>
      <c r="AC593" s="584" t="s">
        <v>164</v>
      </c>
      <c r="AD593" s="584">
        <v>28095</v>
      </c>
      <c r="AE593" s="586">
        <v>7.1999999999999995E-2</v>
      </c>
      <c r="AF593" s="661" t="str">
        <f t="shared" si="66"/>
        <v>2019-LVN-CHV-XP25-011-17</v>
      </c>
      <c r="AG593" s="661" t="str">
        <f>IF(AND($Y593&gt;=32,(AI593="I"),(Y593&lt;&gt;"~"),(COUNTIF($AN$1:$AN593,$AN593)=1)),"TRUE","FALSE")</f>
        <v>FALSE</v>
      </c>
      <c r="AH593" s="661" t="str">
        <f>IF(AND($Y593&gt;=22, (AI593&lt;&gt;"I"),(Y593&lt;&gt;"~"),(COUNTIF($AN$1:$AN593,$AN593)=1)),"TRUE","FALSE")</f>
        <v>FALSE</v>
      </c>
      <c r="AI593" s="661" t="str">
        <f t="shared" si="61"/>
        <v>II</v>
      </c>
      <c r="AJ593" s="662" t="str">
        <f t="shared" si="62"/>
        <v>XP25-011</v>
      </c>
      <c r="AK593" s="662" t="str">
        <f t="shared" si="63"/>
        <v>LVN</v>
      </c>
      <c r="AL593" s="662" t="str">
        <f t="shared" si="64"/>
        <v>CHV</v>
      </c>
      <c r="AM593" s="662" t="str">
        <f t="shared" si="60"/>
        <v>Express 2500-LT-RWD-12-83.9-~-4.3L-6-CG23406-1LT-135-31-Unleaded-Unleaded</v>
      </c>
      <c r="AN593" s="662" t="str">
        <f t="shared" si="65"/>
        <v>2019-LVN-CHV-XP25-011</v>
      </c>
    </row>
    <row r="594" spans="1:40" s="572" customFormat="1" ht="15">
      <c r="A594" s="570" t="s">
        <v>1569</v>
      </c>
      <c r="B594" s="569" t="s">
        <v>1570</v>
      </c>
      <c r="C594" s="569" t="s">
        <v>169</v>
      </c>
      <c r="D594" s="580">
        <v>11</v>
      </c>
      <c r="E594" s="569" t="s">
        <v>1516</v>
      </c>
      <c r="F594" s="569" t="s">
        <v>1571</v>
      </c>
      <c r="G594" s="569" t="s">
        <v>153</v>
      </c>
      <c r="H594" s="569">
        <v>2019</v>
      </c>
      <c r="I594" s="569" t="s">
        <v>1572</v>
      </c>
      <c r="J594" s="569" t="s">
        <v>1519</v>
      </c>
      <c r="K594" s="569" t="s">
        <v>236</v>
      </c>
      <c r="L594" s="569">
        <v>2</v>
      </c>
      <c r="M594" s="569">
        <v>0</v>
      </c>
      <c r="N594" s="569" t="s">
        <v>157</v>
      </c>
      <c r="O594" s="569">
        <v>1</v>
      </c>
      <c r="P594" s="569">
        <v>84.1</v>
      </c>
      <c r="Q594" s="568" t="s">
        <v>157</v>
      </c>
      <c r="R594" s="569" t="s">
        <v>1520</v>
      </c>
      <c r="S594" s="569">
        <v>4</v>
      </c>
      <c r="T594" s="569" t="s">
        <v>1573</v>
      </c>
      <c r="U594" s="569" t="s">
        <v>1522</v>
      </c>
      <c r="V594" s="569">
        <v>155</v>
      </c>
      <c r="W594" s="569">
        <v>31</v>
      </c>
      <c r="X594" s="568">
        <v>9900</v>
      </c>
      <c r="Y594" s="569">
        <v>12</v>
      </c>
      <c r="Z594" s="581" t="s">
        <v>728</v>
      </c>
      <c r="AA594" s="581" t="s">
        <v>1523</v>
      </c>
      <c r="AB594" s="585">
        <v>41065</v>
      </c>
      <c r="AC594" s="585" t="s">
        <v>164</v>
      </c>
      <c r="AD594" s="585">
        <v>29642.916666666664</v>
      </c>
      <c r="AE594" s="587">
        <v>0.05</v>
      </c>
      <c r="AF594" s="661" t="str">
        <f t="shared" si="66"/>
        <v>2019-LVN-CHV-XP35-001-11</v>
      </c>
      <c r="AG594" s="661" t="str">
        <f>IF(AND($Y594&gt;=32,(AI594="I"),(Y594&lt;&gt;"~"),(COUNTIF($AN$1:$AN594,$AN594)=1)),"TRUE","FALSE")</f>
        <v>FALSE</v>
      </c>
      <c r="AH594" s="661" t="str">
        <f>IF(AND($Y594&gt;=22, (AI594&lt;&gt;"I"),(Y594&lt;&gt;"~"),(COUNTIF($AN$1:$AN594,$AN594)=1)),"TRUE","FALSE")</f>
        <v>FALSE</v>
      </c>
      <c r="AI594" s="661" t="str">
        <f t="shared" si="61"/>
        <v>II</v>
      </c>
      <c r="AJ594" s="662" t="str">
        <f t="shared" si="62"/>
        <v>XP35-001</v>
      </c>
      <c r="AK594" s="662" t="str">
        <f t="shared" si="63"/>
        <v>LVN</v>
      </c>
      <c r="AL594" s="662" t="str">
        <f t="shared" si="64"/>
        <v>CHV</v>
      </c>
      <c r="AM594" s="662" t="str">
        <f t="shared" si="60"/>
        <v>Express 3500-Cargo Van-RWD-2-84.1-~-2.8L -4-CG33705-1WT-155-31-Diesel-BioDiesel</v>
      </c>
      <c r="AN594" s="662" t="str">
        <f t="shared" si="65"/>
        <v>2019-LVN-CHV-XP35-001</v>
      </c>
    </row>
    <row r="595" spans="1:40" s="572" customFormat="1" ht="15">
      <c r="A595" s="570" t="s">
        <v>1574</v>
      </c>
      <c r="B595" s="573" t="s">
        <v>1575</v>
      </c>
      <c r="C595" s="573" t="s">
        <v>169</v>
      </c>
      <c r="D595" s="578">
        <v>11</v>
      </c>
      <c r="E595" s="573" t="s">
        <v>1516</v>
      </c>
      <c r="F595" s="573" t="s">
        <v>1571</v>
      </c>
      <c r="G595" s="573" t="s">
        <v>153</v>
      </c>
      <c r="H595" s="573">
        <v>2019</v>
      </c>
      <c r="I595" s="573" t="s">
        <v>1572</v>
      </c>
      <c r="J595" s="573" t="s">
        <v>1519</v>
      </c>
      <c r="K595" s="573" t="s">
        <v>236</v>
      </c>
      <c r="L595" s="573">
        <v>2</v>
      </c>
      <c r="M595" s="573">
        <v>0</v>
      </c>
      <c r="N595" s="573" t="s">
        <v>157</v>
      </c>
      <c r="O595" s="573">
        <v>1</v>
      </c>
      <c r="P595" s="573">
        <v>84.1</v>
      </c>
      <c r="Q595" s="571" t="s">
        <v>157</v>
      </c>
      <c r="R595" s="573" t="s">
        <v>1526</v>
      </c>
      <c r="S595" s="573">
        <v>6</v>
      </c>
      <c r="T595" s="573" t="s">
        <v>1573</v>
      </c>
      <c r="U595" s="573" t="s">
        <v>1522</v>
      </c>
      <c r="V595" s="573">
        <v>155</v>
      </c>
      <c r="W595" s="573">
        <v>31</v>
      </c>
      <c r="X595" s="571">
        <v>9600</v>
      </c>
      <c r="Y595" s="573">
        <v>12</v>
      </c>
      <c r="Z595" s="579" t="s">
        <v>178</v>
      </c>
      <c r="AA595" s="579" t="s">
        <v>178</v>
      </c>
      <c r="AB595" s="584">
        <v>36995</v>
      </c>
      <c r="AC595" s="584" t="s">
        <v>164</v>
      </c>
      <c r="AD595" s="584">
        <v>25912.083333333332</v>
      </c>
      <c r="AE595" s="586">
        <v>0.05</v>
      </c>
      <c r="AF595" s="661" t="str">
        <f t="shared" si="66"/>
        <v>2019-LVN-CHV-XP35-002-11</v>
      </c>
      <c r="AG595" s="661" t="str">
        <f>IF(AND($Y595&gt;=32,(AI595="I"),(Y595&lt;&gt;"~"),(COUNTIF($AN$1:$AN595,$AN595)=1)),"TRUE","FALSE")</f>
        <v>FALSE</v>
      </c>
      <c r="AH595" s="661" t="str">
        <f>IF(AND($Y595&gt;=22, (AI595&lt;&gt;"I"),(Y595&lt;&gt;"~"),(COUNTIF($AN$1:$AN595,$AN595)=1)),"TRUE","FALSE")</f>
        <v>FALSE</v>
      </c>
      <c r="AI595" s="661" t="str">
        <f t="shared" si="61"/>
        <v>II</v>
      </c>
      <c r="AJ595" s="662" t="str">
        <f t="shared" si="62"/>
        <v>XP35-002</v>
      </c>
      <c r="AK595" s="662" t="str">
        <f t="shared" si="63"/>
        <v>LVN</v>
      </c>
      <c r="AL595" s="662" t="str">
        <f t="shared" si="64"/>
        <v>CHV</v>
      </c>
      <c r="AM595" s="662" t="str">
        <f t="shared" si="60"/>
        <v>Express 3500-Cargo Van-RWD-2-84.1-~-4.3L-6-CG33705-1WT-155-31-Unleaded-Unleaded</v>
      </c>
      <c r="AN595" s="662" t="str">
        <f t="shared" si="65"/>
        <v>2019-LVN-CHV-XP35-002</v>
      </c>
    </row>
    <row r="596" spans="1:40" s="572" customFormat="1" ht="15">
      <c r="A596" s="570" t="s">
        <v>1576</v>
      </c>
      <c r="B596" s="569" t="s">
        <v>1577</v>
      </c>
      <c r="C596" s="569" t="s">
        <v>169</v>
      </c>
      <c r="D596" s="580">
        <v>11</v>
      </c>
      <c r="E596" s="569" t="s">
        <v>1516</v>
      </c>
      <c r="F596" s="569" t="s">
        <v>1571</v>
      </c>
      <c r="G596" s="569" t="s">
        <v>153</v>
      </c>
      <c r="H596" s="569">
        <v>2019</v>
      </c>
      <c r="I596" s="569" t="s">
        <v>1572</v>
      </c>
      <c r="J596" s="569" t="s">
        <v>1519</v>
      </c>
      <c r="K596" s="569" t="s">
        <v>236</v>
      </c>
      <c r="L596" s="569">
        <v>2</v>
      </c>
      <c r="M596" s="569">
        <v>0</v>
      </c>
      <c r="N596" s="569" t="s">
        <v>157</v>
      </c>
      <c r="O596" s="569">
        <v>1</v>
      </c>
      <c r="P596" s="569">
        <v>84.1</v>
      </c>
      <c r="Q596" s="568" t="s">
        <v>157</v>
      </c>
      <c r="R596" s="569" t="s">
        <v>798</v>
      </c>
      <c r="S596" s="569">
        <v>8</v>
      </c>
      <c r="T596" s="569" t="s">
        <v>1573</v>
      </c>
      <c r="U596" s="569" t="s">
        <v>1522</v>
      </c>
      <c r="V596" s="569">
        <v>155</v>
      </c>
      <c r="W596" s="569">
        <v>31</v>
      </c>
      <c r="X596" s="568">
        <v>9600</v>
      </c>
      <c r="Y596" s="569">
        <v>11</v>
      </c>
      <c r="Z596" s="581" t="s">
        <v>1529</v>
      </c>
      <c r="AA596" s="581" t="s">
        <v>178</v>
      </c>
      <c r="AB596" s="585">
        <v>38290</v>
      </c>
      <c r="AC596" s="585" t="s">
        <v>164</v>
      </c>
      <c r="AD596" s="585">
        <v>27099.166666666664</v>
      </c>
      <c r="AE596" s="587">
        <v>0.05</v>
      </c>
      <c r="AF596" s="661" t="str">
        <f t="shared" si="66"/>
        <v>2019-LVN-CHV-XP35-003-11</v>
      </c>
      <c r="AG596" s="661" t="str">
        <f>IF(AND($Y596&gt;=32,(AI596="I"),(Y596&lt;&gt;"~"),(COUNTIF($AN$1:$AN596,$AN596)=1)),"TRUE","FALSE")</f>
        <v>FALSE</v>
      </c>
      <c r="AH596" s="661" t="str">
        <f>IF(AND($Y596&gt;=22, (AI596&lt;&gt;"I"),(Y596&lt;&gt;"~"),(COUNTIF($AN$1:$AN596,$AN596)=1)),"TRUE","FALSE")</f>
        <v>FALSE</v>
      </c>
      <c r="AI596" s="661" t="str">
        <f t="shared" si="61"/>
        <v>II</v>
      </c>
      <c r="AJ596" s="662" t="str">
        <f t="shared" si="62"/>
        <v>XP35-003</v>
      </c>
      <c r="AK596" s="662" t="str">
        <f t="shared" si="63"/>
        <v>LVN</v>
      </c>
      <c r="AL596" s="662" t="str">
        <f t="shared" si="64"/>
        <v>CHV</v>
      </c>
      <c r="AM596" s="662" t="str">
        <f t="shared" si="60"/>
        <v>Express 3500-Cargo Van-RWD-2-84.1-~-6.0L-8-CG33705-1WT-155-31-CNG-Unleaded</v>
      </c>
      <c r="AN596" s="662" t="str">
        <f t="shared" si="65"/>
        <v>2019-LVN-CHV-XP35-003</v>
      </c>
    </row>
    <row r="597" spans="1:40" s="572" customFormat="1" ht="15">
      <c r="A597" s="570" t="s">
        <v>1578</v>
      </c>
      <c r="B597" s="573" t="s">
        <v>1579</v>
      </c>
      <c r="C597" s="573" t="s">
        <v>169</v>
      </c>
      <c r="D597" s="578">
        <v>11</v>
      </c>
      <c r="E597" s="573" t="s">
        <v>1516</v>
      </c>
      <c r="F597" s="573" t="s">
        <v>1571</v>
      </c>
      <c r="G597" s="573" t="s">
        <v>153</v>
      </c>
      <c r="H597" s="573">
        <v>2019</v>
      </c>
      <c r="I597" s="573" t="s">
        <v>1572</v>
      </c>
      <c r="J597" s="573" t="s">
        <v>1519</v>
      </c>
      <c r="K597" s="573" t="s">
        <v>236</v>
      </c>
      <c r="L597" s="573">
        <v>2</v>
      </c>
      <c r="M597" s="573">
        <v>0</v>
      </c>
      <c r="N597" s="573" t="s">
        <v>157</v>
      </c>
      <c r="O597" s="573">
        <v>1</v>
      </c>
      <c r="P597" s="573">
        <v>84.1</v>
      </c>
      <c r="Q597" s="571" t="s">
        <v>157</v>
      </c>
      <c r="R597" s="573" t="s">
        <v>798</v>
      </c>
      <c r="S597" s="573">
        <v>8</v>
      </c>
      <c r="T597" s="573" t="s">
        <v>1573</v>
      </c>
      <c r="U597" s="573" t="s">
        <v>1522</v>
      </c>
      <c r="V597" s="573">
        <v>155</v>
      </c>
      <c r="W597" s="573">
        <v>31</v>
      </c>
      <c r="X597" s="571">
        <v>9600</v>
      </c>
      <c r="Y597" s="573">
        <v>11</v>
      </c>
      <c r="Z597" s="579" t="s">
        <v>450</v>
      </c>
      <c r="AA597" s="579" t="s">
        <v>178</v>
      </c>
      <c r="AB597" s="584">
        <v>37990</v>
      </c>
      <c r="AC597" s="584" t="s">
        <v>164</v>
      </c>
      <c r="AD597" s="584">
        <v>26824.166666666664</v>
      </c>
      <c r="AE597" s="586">
        <v>0.05</v>
      </c>
      <c r="AF597" s="661" t="str">
        <f t="shared" si="66"/>
        <v>2019-LVN-CHV-XP35-004-11</v>
      </c>
      <c r="AG597" s="661" t="str">
        <f>IF(AND($Y597&gt;=32,(AI597="I"),(Y597&lt;&gt;"~"),(COUNTIF($AN$1:$AN597,$AN597)=1)),"TRUE","FALSE")</f>
        <v>FALSE</v>
      </c>
      <c r="AH597" s="661" t="str">
        <f>IF(AND($Y597&gt;=22, (AI597&lt;&gt;"I"),(Y597&lt;&gt;"~"),(COUNTIF($AN$1:$AN597,$AN597)=1)),"TRUE","FALSE")</f>
        <v>FALSE</v>
      </c>
      <c r="AI597" s="661" t="str">
        <f t="shared" si="61"/>
        <v>II</v>
      </c>
      <c r="AJ597" s="662" t="str">
        <f t="shared" si="62"/>
        <v>XP35-004</v>
      </c>
      <c r="AK597" s="662" t="str">
        <f t="shared" si="63"/>
        <v>LVN</v>
      </c>
      <c r="AL597" s="662" t="str">
        <f t="shared" si="64"/>
        <v>CHV</v>
      </c>
      <c r="AM597" s="662" t="str">
        <f t="shared" si="60"/>
        <v>Express 3500-Cargo Van-RWD-2-84.1-~-6.0L-8-CG33705-1WT-155-31-E85-Unleaded</v>
      </c>
      <c r="AN597" s="662" t="str">
        <f t="shared" si="65"/>
        <v>2019-LVN-CHV-XP35-004</v>
      </c>
    </row>
    <row r="598" spans="1:40" s="572" customFormat="1" ht="15">
      <c r="A598" s="570" t="s">
        <v>1580</v>
      </c>
      <c r="B598" s="569" t="s">
        <v>1581</v>
      </c>
      <c r="C598" s="569" t="s">
        <v>169</v>
      </c>
      <c r="D598" s="580">
        <v>11</v>
      </c>
      <c r="E598" s="569" t="s">
        <v>1516</v>
      </c>
      <c r="F598" s="569" t="s">
        <v>1571</v>
      </c>
      <c r="G598" s="569" t="s">
        <v>153</v>
      </c>
      <c r="H598" s="569">
        <v>2019</v>
      </c>
      <c r="I598" s="569" t="s">
        <v>1572</v>
      </c>
      <c r="J598" s="569" t="s">
        <v>1519</v>
      </c>
      <c r="K598" s="569" t="s">
        <v>236</v>
      </c>
      <c r="L598" s="569">
        <v>2</v>
      </c>
      <c r="M598" s="569">
        <v>0</v>
      </c>
      <c r="N598" s="569" t="s">
        <v>157</v>
      </c>
      <c r="O598" s="569">
        <v>1</v>
      </c>
      <c r="P598" s="569">
        <v>84.5</v>
      </c>
      <c r="Q598" s="568" t="s">
        <v>157</v>
      </c>
      <c r="R598" s="569" t="s">
        <v>1520</v>
      </c>
      <c r="S598" s="569">
        <v>4</v>
      </c>
      <c r="T598" s="569" t="s">
        <v>1582</v>
      </c>
      <c r="U598" s="569" t="s">
        <v>1522</v>
      </c>
      <c r="V598" s="569">
        <v>135</v>
      </c>
      <c r="W598" s="569">
        <v>31</v>
      </c>
      <c r="X598" s="568">
        <v>9900</v>
      </c>
      <c r="Y598" s="569">
        <v>12</v>
      </c>
      <c r="Z598" s="581" t="s">
        <v>728</v>
      </c>
      <c r="AA598" s="581" t="s">
        <v>1523</v>
      </c>
      <c r="AB598" s="585">
        <v>40265</v>
      </c>
      <c r="AC598" s="585" t="s">
        <v>164</v>
      </c>
      <c r="AD598" s="585">
        <v>28891.25</v>
      </c>
      <c r="AE598" s="587">
        <v>0.05</v>
      </c>
      <c r="AF598" s="661" t="str">
        <f t="shared" si="66"/>
        <v>2019-LVN-CHV-XP35-005-11</v>
      </c>
      <c r="AG598" s="661" t="str">
        <f>IF(AND($Y598&gt;=32,(AI598="I"),(Y598&lt;&gt;"~"),(COUNTIF($AN$1:$AN598,$AN598)=1)),"TRUE","FALSE")</f>
        <v>FALSE</v>
      </c>
      <c r="AH598" s="661" t="str">
        <f>IF(AND($Y598&gt;=22, (AI598&lt;&gt;"I"),(Y598&lt;&gt;"~"),(COUNTIF($AN$1:$AN598,$AN598)=1)),"TRUE","FALSE")</f>
        <v>FALSE</v>
      </c>
      <c r="AI598" s="661" t="str">
        <f t="shared" si="61"/>
        <v>II</v>
      </c>
      <c r="AJ598" s="662" t="str">
        <f t="shared" si="62"/>
        <v>XP35-005</v>
      </c>
      <c r="AK598" s="662" t="str">
        <f t="shared" si="63"/>
        <v>LVN</v>
      </c>
      <c r="AL598" s="662" t="str">
        <f t="shared" si="64"/>
        <v>CHV</v>
      </c>
      <c r="AM598" s="662" t="str">
        <f t="shared" si="60"/>
        <v>Express 3500-Cargo Van-RWD-2-84.5-~-2.8L -4-CG33405-1WT-135-31-Diesel-BioDiesel</v>
      </c>
      <c r="AN598" s="662" t="str">
        <f t="shared" si="65"/>
        <v>2019-LVN-CHV-XP35-005</v>
      </c>
    </row>
    <row r="599" spans="1:40" s="572" customFormat="1" ht="15">
      <c r="A599" s="570" t="s">
        <v>1583</v>
      </c>
      <c r="B599" s="573" t="s">
        <v>1584</v>
      </c>
      <c r="C599" s="573" t="s">
        <v>169</v>
      </c>
      <c r="D599" s="578">
        <v>11</v>
      </c>
      <c r="E599" s="573" t="s">
        <v>1516</v>
      </c>
      <c r="F599" s="573" t="s">
        <v>1571</v>
      </c>
      <c r="G599" s="573" t="s">
        <v>153</v>
      </c>
      <c r="H599" s="573">
        <v>2019</v>
      </c>
      <c r="I599" s="573" t="s">
        <v>1572</v>
      </c>
      <c r="J599" s="573" t="s">
        <v>1519</v>
      </c>
      <c r="K599" s="573" t="s">
        <v>236</v>
      </c>
      <c r="L599" s="573">
        <v>2</v>
      </c>
      <c r="M599" s="573">
        <v>0</v>
      </c>
      <c r="N599" s="573" t="s">
        <v>157</v>
      </c>
      <c r="O599" s="573">
        <v>1</v>
      </c>
      <c r="P599" s="573">
        <v>84.5</v>
      </c>
      <c r="Q599" s="571" t="s">
        <v>157</v>
      </c>
      <c r="R599" s="573" t="s">
        <v>1526</v>
      </c>
      <c r="S599" s="573">
        <v>6</v>
      </c>
      <c r="T599" s="573" t="s">
        <v>1582</v>
      </c>
      <c r="U599" s="573" t="s">
        <v>1522</v>
      </c>
      <c r="V599" s="573">
        <v>135</v>
      </c>
      <c r="W599" s="573">
        <v>31</v>
      </c>
      <c r="X599" s="571">
        <v>9600</v>
      </c>
      <c r="Y599" s="573">
        <v>12</v>
      </c>
      <c r="Z599" s="579" t="s">
        <v>178</v>
      </c>
      <c r="AA599" s="579" t="s">
        <v>178</v>
      </c>
      <c r="AB599" s="584">
        <v>36195</v>
      </c>
      <c r="AC599" s="584" t="s">
        <v>164</v>
      </c>
      <c r="AD599" s="584">
        <v>25160.416666666668</v>
      </c>
      <c r="AE599" s="586">
        <v>0.05</v>
      </c>
      <c r="AF599" s="661" t="str">
        <f t="shared" si="66"/>
        <v>2019-LVN-CHV-XP35-006-11</v>
      </c>
      <c r="AG599" s="661" t="str">
        <f>IF(AND($Y599&gt;=32,(AI599="I"),(Y599&lt;&gt;"~"),(COUNTIF($AN$1:$AN599,$AN599)=1)),"TRUE","FALSE")</f>
        <v>FALSE</v>
      </c>
      <c r="AH599" s="661" t="str">
        <f>IF(AND($Y599&gt;=22, (AI599&lt;&gt;"I"),(Y599&lt;&gt;"~"),(COUNTIF($AN$1:$AN599,$AN599)=1)),"TRUE","FALSE")</f>
        <v>FALSE</v>
      </c>
      <c r="AI599" s="661" t="str">
        <f t="shared" si="61"/>
        <v>II</v>
      </c>
      <c r="AJ599" s="662" t="str">
        <f t="shared" si="62"/>
        <v>XP35-006</v>
      </c>
      <c r="AK599" s="662" t="str">
        <f t="shared" si="63"/>
        <v>LVN</v>
      </c>
      <c r="AL599" s="662" t="str">
        <f t="shared" si="64"/>
        <v>CHV</v>
      </c>
      <c r="AM599" s="662" t="str">
        <f t="shared" si="60"/>
        <v>Express 3500-Cargo Van-RWD-2-84.5-~-4.3L-6-CG33405-1WT-135-31-Unleaded-Unleaded</v>
      </c>
      <c r="AN599" s="662" t="str">
        <f t="shared" si="65"/>
        <v>2019-LVN-CHV-XP35-006</v>
      </c>
    </row>
    <row r="600" spans="1:40" s="572" customFormat="1" ht="15">
      <c r="A600" s="570" t="s">
        <v>1585</v>
      </c>
      <c r="B600" s="569" t="s">
        <v>1586</v>
      </c>
      <c r="C600" s="569" t="s">
        <v>169</v>
      </c>
      <c r="D600" s="580">
        <v>11</v>
      </c>
      <c r="E600" s="569" t="s">
        <v>1516</v>
      </c>
      <c r="F600" s="569" t="s">
        <v>1571</v>
      </c>
      <c r="G600" s="569" t="s">
        <v>153</v>
      </c>
      <c r="H600" s="569">
        <v>2019</v>
      </c>
      <c r="I600" s="569" t="s">
        <v>1572</v>
      </c>
      <c r="J600" s="569" t="s">
        <v>1519</v>
      </c>
      <c r="K600" s="569" t="s">
        <v>236</v>
      </c>
      <c r="L600" s="569">
        <v>2</v>
      </c>
      <c r="M600" s="569">
        <v>0</v>
      </c>
      <c r="N600" s="569" t="s">
        <v>157</v>
      </c>
      <c r="O600" s="569">
        <v>1</v>
      </c>
      <c r="P600" s="569">
        <v>84.5</v>
      </c>
      <c r="Q600" s="568" t="s">
        <v>157</v>
      </c>
      <c r="R600" s="569" t="s">
        <v>798</v>
      </c>
      <c r="S600" s="569">
        <v>8</v>
      </c>
      <c r="T600" s="569" t="s">
        <v>1582</v>
      </c>
      <c r="U600" s="569" t="s">
        <v>1522</v>
      </c>
      <c r="V600" s="569">
        <v>135</v>
      </c>
      <c r="W600" s="569">
        <v>31</v>
      </c>
      <c r="X600" s="568">
        <v>9600</v>
      </c>
      <c r="Y600" s="569">
        <v>11</v>
      </c>
      <c r="Z600" s="581" t="s">
        <v>1529</v>
      </c>
      <c r="AA600" s="581" t="s">
        <v>178</v>
      </c>
      <c r="AB600" s="585">
        <v>37490</v>
      </c>
      <c r="AC600" s="585" t="s">
        <v>164</v>
      </c>
      <c r="AD600" s="585">
        <v>26347.5</v>
      </c>
      <c r="AE600" s="587">
        <v>0.05</v>
      </c>
      <c r="AF600" s="661" t="str">
        <f t="shared" si="66"/>
        <v>2019-LVN-CHV-XP35-007-11</v>
      </c>
      <c r="AG600" s="661" t="str">
        <f>IF(AND($Y600&gt;=32,(AI600="I"),(Y600&lt;&gt;"~"),(COUNTIF($AN$1:$AN600,$AN600)=1)),"TRUE","FALSE")</f>
        <v>FALSE</v>
      </c>
      <c r="AH600" s="661" t="str">
        <f>IF(AND($Y600&gt;=22, (AI600&lt;&gt;"I"),(Y600&lt;&gt;"~"),(COUNTIF($AN$1:$AN600,$AN600)=1)),"TRUE","FALSE")</f>
        <v>FALSE</v>
      </c>
      <c r="AI600" s="661" t="str">
        <f t="shared" si="61"/>
        <v>II</v>
      </c>
      <c r="AJ600" s="662" t="str">
        <f t="shared" si="62"/>
        <v>XP35-007</v>
      </c>
      <c r="AK600" s="662" t="str">
        <f t="shared" si="63"/>
        <v>LVN</v>
      </c>
      <c r="AL600" s="662" t="str">
        <f t="shared" si="64"/>
        <v>CHV</v>
      </c>
      <c r="AM600" s="662" t="str">
        <f t="shared" si="60"/>
        <v>Express 3500-Cargo Van-RWD-2-84.5-~-6.0L-8-CG33405-1WT-135-31-CNG-Unleaded</v>
      </c>
      <c r="AN600" s="662" t="str">
        <f t="shared" si="65"/>
        <v>2019-LVN-CHV-XP35-007</v>
      </c>
    </row>
    <row r="601" spans="1:40" s="572" customFormat="1" ht="15">
      <c r="A601" s="570" t="s">
        <v>1587</v>
      </c>
      <c r="B601" s="573" t="s">
        <v>1588</v>
      </c>
      <c r="C601" s="573" t="s">
        <v>169</v>
      </c>
      <c r="D601" s="578">
        <v>11</v>
      </c>
      <c r="E601" s="573" t="s">
        <v>1516</v>
      </c>
      <c r="F601" s="573" t="s">
        <v>1571</v>
      </c>
      <c r="G601" s="573" t="s">
        <v>153</v>
      </c>
      <c r="H601" s="573">
        <v>2019</v>
      </c>
      <c r="I601" s="573" t="s">
        <v>1572</v>
      </c>
      <c r="J601" s="573" t="s">
        <v>1519</v>
      </c>
      <c r="K601" s="573" t="s">
        <v>236</v>
      </c>
      <c r="L601" s="573">
        <v>2</v>
      </c>
      <c r="M601" s="573">
        <v>0</v>
      </c>
      <c r="N601" s="573" t="s">
        <v>157</v>
      </c>
      <c r="O601" s="573">
        <v>1</v>
      </c>
      <c r="P601" s="573">
        <v>84.5</v>
      </c>
      <c r="Q601" s="571" t="s">
        <v>157</v>
      </c>
      <c r="R601" s="573" t="s">
        <v>798</v>
      </c>
      <c r="S601" s="573">
        <v>8</v>
      </c>
      <c r="T601" s="573" t="s">
        <v>1582</v>
      </c>
      <c r="U601" s="573" t="s">
        <v>1522</v>
      </c>
      <c r="V601" s="573">
        <v>135</v>
      </c>
      <c r="W601" s="573">
        <v>31</v>
      </c>
      <c r="X601" s="571">
        <v>9600</v>
      </c>
      <c r="Y601" s="573">
        <v>11</v>
      </c>
      <c r="Z601" s="579" t="s">
        <v>450</v>
      </c>
      <c r="AA601" s="579" t="s">
        <v>178</v>
      </c>
      <c r="AB601" s="584">
        <v>37190</v>
      </c>
      <c r="AC601" s="584" t="s">
        <v>164</v>
      </c>
      <c r="AD601" s="584">
        <v>26072.5</v>
      </c>
      <c r="AE601" s="586">
        <v>0.05</v>
      </c>
      <c r="AF601" s="661" t="str">
        <f t="shared" si="66"/>
        <v>2019-LVN-CHV-XP35-008-11</v>
      </c>
      <c r="AG601" s="661" t="str">
        <f>IF(AND($Y601&gt;=32,(AI601="I"),(Y601&lt;&gt;"~"),(COUNTIF($AN$1:$AN601,$AN601)=1)),"TRUE","FALSE")</f>
        <v>FALSE</v>
      </c>
      <c r="AH601" s="661" t="str">
        <f>IF(AND($Y601&gt;=22, (AI601&lt;&gt;"I"),(Y601&lt;&gt;"~"),(COUNTIF($AN$1:$AN601,$AN601)=1)),"TRUE","FALSE")</f>
        <v>FALSE</v>
      </c>
      <c r="AI601" s="661" t="str">
        <f t="shared" si="61"/>
        <v>II</v>
      </c>
      <c r="AJ601" s="662" t="str">
        <f t="shared" si="62"/>
        <v>XP35-008</v>
      </c>
      <c r="AK601" s="662" t="str">
        <f t="shared" si="63"/>
        <v>LVN</v>
      </c>
      <c r="AL601" s="662" t="str">
        <f t="shared" si="64"/>
        <v>CHV</v>
      </c>
      <c r="AM601" s="662" t="str">
        <f t="shared" si="60"/>
        <v>Express 3500-Cargo Van-RWD-2-84.5-~-6.0L-8-CG33405-1WT-135-31-E85-Unleaded</v>
      </c>
      <c r="AN601" s="662" t="str">
        <f t="shared" si="65"/>
        <v>2019-LVN-CHV-XP35-008</v>
      </c>
    </row>
    <row r="602" spans="1:40" s="572" customFormat="1" ht="15">
      <c r="A602" s="570" t="s">
        <v>1589</v>
      </c>
      <c r="B602" s="569" t="s">
        <v>1570</v>
      </c>
      <c r="C602" s="569" t="s">
        <v>150</v>
      </c>
      <c r="D602" s="580">
        <v>13</v>
      </c>
      <c r="E602" s="569" t="s">
        <v>1516</v>
      </c>
      <c r="F602" s="569" t="s">
        <v>1571</v>
      </c>
      <c r="G602" s="569" t="s">
        <v>153</v>
      </c>
      <c r="H602" s="569">
        <v>2019</v>
      </c>
      <c r="I602" s="569" t="s">
        <v>1572</v>
      </c>
      <c r="J602" s="569" t="s">
        <v>1519</v>
      </c>
      <c r="K602" s="569" t="s">
        <v>236</v>
      </c>
      <c r="L602" s="569">
        <v>2</v>
      </c>
      <c r="M602" s="569">
        <v>0</v>
      </c>
      <c r="N602" s="569" t="s">
        <v>157</v>
      </c>
      <c r="O602" s="569">
        <v>1</v>
      </c>
      <c r="P602" s="569">
        <v>84.1</v>
      </c>
      <c r="Q602" s="568" t="s">
        <v>157</v>
      </c>
      <c r="R602" s="569" t="s">
        <v>1520</v>
      </c>
      <c r="S602" s="569">
        <v>4</v>
      </c>
      <c r="T602" s="569" t="s">
        <v>1573</v>
      </c>
      <c r="U602" s="569" t="s">
        <v>1522</v>
      </c>
      <c r="V602" s="569">
        <v>155</v>
      </c>
      <c r="W602" s="569">
        <v>31</v>
      </c>
      <c r="X602" s="568">
        <v>9900</v>
      </c>
      <c r="Y602" s="569">
        <v>12</v>
      </c>
      <c r="Z602" s="581" t="s">
        <v>728</v>
      </c>
      <c r="AA602" s="581" t="s">
        <v>1523</v>
      </c>
      <c r="AB602" s="585">
        <v>41065</v>
      </c>
      <c r="AC602" s="585" t="s">
        <v>164</v>
      </c>
      <c r="AD602" s="585">
        <v>30926</v>
      </c>
      <c r="AE602" s="587">
        <v>0.03</v>
      </c>
      <c r="AF602" s="661" t="str">
        <f t="shared" si="66"/>
        <v>2019-LVN-CHV-XP35-001-13</v>
      </c>
      <c r="AG602" s="661" t="str">
        <f>IF(AND($Y602&gt;=32,(AI602="I"),(Y602&lt;&gt;"~"),(COUNTIF($AN$1:$AN602,$AN602)=1)),"TRUE","FALSE")</f>
        <v>FALSE</v>
      </c>
      <c r="AH602" s="661" t="str">
        <f>IF(AND($Y602&gt;=22, (AI602&lt;&gt;"I"),(Y602&lt;&gt;"~"),(COUNTIF($AN$1:$AN602,$AN602)=1)),"TRUE","FALSE")</f>
        <v>FALSE</v>
      </c>
      <c r="AI602" s="661" t="str">
        <f t="shared" si="61"/>
        <v>II</v>
      </c>
      <c r="AJ602" s="662" t="str">
        <f t="shared" si="62"/>
        <v>XP35-001</v>
      </c>
      <c r="AK602" s="662" t="str">
        <f t="shared" si="63"/>
        <v>LVN</v>
      </c>
      <c r="AL602" s="662" t="str">
        <f t="shared" si="64"/>
        <v>CHV</v>
      </c>
      <c r="AM602" s="662" t="str">
        <f t="shared" si="60"/>
        <v>Express 3500-Cargo Van-RWD-2-84.1-~-2.8L -4-CG33705-1WT-155-31-Diesel-BioDiesel</v>
      </c>
      <c r="AN602" s="662" t="str">
        <f t="shared" si="65"/>
        <v>2019-LVN-CHV-XP35-001</v>
      </c>
    </row>
    <row r="603" spans="1:40" s="572" customFormat="1" ht="15">
      <c r="A603" s="570" t="s">
        <v>1590</v>
      </c>
      <c r="B603" s="573" t="s">
        <v>1575</v>
      </c>
      <c r="C603" s="573" t="s">
        <v>150</v>
      </c>
      <c r="D603" s="578">
        <v>13</v>
      </c>
      <c r="E603" s="573" t="s">
        <v>1516</v>
      </c>
      <c r="F603" s="573" t="s">
        <v>1571</v>
      </c>
      <c r="G603" s="573" t="s">
        <v>153</v>
      </c>
      <c r="H603" s="573">
        <v>2019</v>
      </c>
      <c r="I603" s="573" t="s">
        <v>1572</v>
      </c>
      <c r="J603" s="573" t="s">
        <v>1519</v>
      </c>
      <c r="K603" s="573" t="s">
        <v>236</v>
      </c>
      <c r="L603" s="573">
        <v>2</v>
      </c>
      <c r="M603" s="573">
        <v>0</v>
      </c>
      <c r="N603" s="573" t="s">
        <v>157</v>
      </c>
      <c r="O603" s="573">
        <v>1</v>
      </c>
      <c r="P603" s="573">
        <v>84.1</v>
      </c>
      <c r="Q603" s="571" t="s">
        <v>157</v>
      </c>
      <c r="R603" s="573" t="s">
        <v>1526</v>
      </c>
      <c r="S603" s="573">
        <v>6</v>
      </c>
      <c r="T603" s="573" t="s">
        <v>1573</v>
      </c>
      <c r="U603" s="573" t="s">
        <v>1522</v>
      </c>
      <c r="V603" s="573">
        <v>155</v>
      </c>
      <c r="W603" s="573">
        <v>31</v>
      </c>
      <c r="X603" s="571">
        <v>9600</v>
      </c>
      <c r="Y603" s="573">
        <v>12</v>
      </c>
      <c r="Z603" s="579" t="s">
        <v>178</v>
      </c>
      <c r="AA603" s="579" t="s">
        <v>178</v>
      </c>
      <c r="AB603" s="584">
        <v>36995</v>
      </c>
      <c r="AC603" s="584" t="s">
        <v>164</v>
      </c>
      <c r="AD603" s="584">
        <v>27345</v>
      </c>
      <c r="AE603" s="586">
        <v>0.03</v>
      </c>
      <c r="AF603" s="661" t="str">
        <f t="shared" si="66"/>
        <v>2019-LVN-CHV-XP35-002-13</v>
      </c>
      <c r="AG603" s="661" t="str">
        <f>IF(AND($Y603&gt;=32,(AI603="I"),(Y603&lt;&gt;"~"),(COUNTIF($AN$1:$AN603,$AN603)=1)),"TRUE","FALSE")</f>
        <v>FALSE</v>
      </c>
      <c r="AH603" s="661" t="str">
        <f>IF(AND($Y603&gt;=22, (AI603&lt;&gt;"I"),(Y603&lt;&gt;"~"),(COUNTIF($AN$1:$AN603,$AN603)=1)),"TRUE","FALSE")</f>
        <v>FALSE</v>
      </c>
      <c r="AI603" s="661" t="str">
        <f t="shared" si="61"/>
        <v>II</v>
      </c>
      <c r="AJ603" s="662" t="str">
        <f t="shared" si="62"/>
        <v>XP35-002</v>
      </c>
      <c r="AK603" s="662" t="str">
        <f t="shared" si="63"/>
        <v>LVN</v>
      </c>
      <c r="AL603" s="662" t="str">
        <f t="shared" si="64"/>
        <v>CHV</v>
      </c>
      <c r="AM603" s="662" t="str">
        <f t="shared" ref="AM603:AM666" si="67">CONCATENATE(I603,"-",J603,"-",K603,"-",L603,"-",P603,"-",Q603,"-",R603,"-",S603,"-",T603,"-",U603,"-",V603,"-",W603,"-",Z603,"-",AA603)</f>
        <v>Express 3500-Cargo Van-RWD-2-84.1-~-4.3L-6-CG33705-1WT-155-31-Unleaded-Unleaded</v>
      </c>
      <c r="AN603" s="662" t="str">
        <f t="shared" si="65"/>
        <v>2019-LVN-CHV-XP35-002</v>
      </c>
    </row>
    <row r="604" spans="1:40" s="572" customFormat="1" ht="15">
      <c r="A604" s="570" t="s">
        <v>1591</v>
      </c>
      <c r="B604" s="569" t="s">
        <v>1577</v>
      </c>
      <c r="C604" s="569" t="s">
        <v>150</v>
      </c>
      <c r="D604" s="580">
        <v>13</v>
      </c>
      <c r="E604" s="569" t="s">
        <v>1516</v>
      </c>
      <c r="F604" s="569" t="s">
        <v>1571</v>
      </c>
      <c r="G604" s="569" t="s">
        <v>153</v>
      </c>
      <c r="H604" s="569">
        <v>2019</v>
      </c>
      <c r="I604" s="569" t="s">
        <v>1572</v>
      </c>
      <c r="J604" s="569" t="s">
        <v>1519</v>
      </c>
      <c r="K604" s="569" t="s">
        <v>236</v>
      </c>
      <c r="L604" s="569">
        <v>2</v>
      </c>
      <c r="M604" s="569">
        <v>0</v>
      </c>
      <c r="N604" s="569" t="s">
        <v>157</v>
      </c>
      <c r="O604" s="569">
        <v>1</v>
      </c>
      <c r="P604" s="569">
        <v>84.1</v>
      </c>
      <c r="Q604" s="568" t="s">
        <v>157</v>
      </c>
      <c r="R604" s="569" t="s">
        <v>798</v>
      </c>
      <c r="S604" s="569">
        <v>8</v>
      </c>
      <c r="T604" s="569" t="s">
        <v>1573</v>
      </c>
      <c r="U604" s="569" t="s">
        <v>1522</v>
      </c>
      <c r="V604" s="569">
        <v>155</v>
      </c>
      <c r="W604" s="569">
        <v>31</v>
      </c>
      <c r="X604" s="568">
        <v>9600</v>
      </c>
      <c r="Y604" s="569">
        <v>11</v>
      </c>
      <c r="Z604" s="581" t="s">
        <v>1529</v>
      </c>
      <c r="AA604" s="581" t="s">
        <v>178</v>
      </c>
      <c r="AB604" s="585">
        <v>38290</v>
      </c>
      <c r="AC604" s="585" t="s">
        <v>164</v>
      </c>
      <c r="AD604" s="585">
        <v>28584</v>
      </c>
      <c r="AE604" s="587">
        <v>0.03</v>
      </c>
      <c r="AF604" s="661" t="str">
        <f t="shared" si="66"/>
        <v>2019-LVN-CHV-XP35-003-13</v>
      </c>
      <c r="AG604" s="661" t="str">
        <f>IF(AND($Y604&gt;=32,(AI604="I"),(Y604&lt;&gt;"~"),(COUNTIF($AN$1:$AN604,$AN604)=1)),"TRUE","FALSE")</f>
        <v>FALSE</v>
      </c>
      <c r="AH604" s="661" t="str">
        <f>IF(AND($Y604&gt;=22, (AI604&lt;&gt;"I"),(Y604&lt;&gt;"~"),(COUNTIF($AN$1:$AN604,$AN604)=1)),"TRUE","FALSE")</f>
        <v>FALSE</v>
      </c>
      <c r="AI604" s="661" t="str">
        <f t="shared" ref="AI604:AI667" si="68">IF(OR((LEFT($E604,2)="01"),AND(LEFT($E604,2)="06",ISNUMBER(SEARCH("pas",$F604))),AND(LEFT($E604,2)="05",ISNUMBER(SEARCH("pas",$F604)))),"I",IF(AND((LEFT($E604,2)&lt;&gt;"01"),$X604&lt;=10000),"II",IF(AND((LEFT($E604,2)&lt;&gt;"01"),$X604&gt;10000),"N/A")))</f>
        <v>II</v>
      </c>
      <c r="AJ604" s="662" t="str">
        <f t="shared" si="62"/>
        <v>XP35-003</v>
      </c>
      <c r="AK604" s="662" t="str">
        <f t="shared" si="63"/>
        <v>LVN</v>
      </c>
      <c r="AL604" s="662" t="str">
        <f t="shared" si="64"/>
        <v>CHV</v>
      </c>
      <c r="AM604" s="662" t="str">
        <f t="shared" si="67"/>
        <v>Express 3500-Cargo Van-RWD-2-84.1-~-6.0L-8-CG33705-1WT-155-31-CNG-Unleaded</v>
      </c>
      <c r="AN604" s="662" t="str">
        <f t="shared" si="65"/>
        <v>2019-LVN-CHV-XP35-003</v>
      </c>
    </row>
    <row r="605" spans="1:40" s="572" customFormat="1" ht="15">
      <c r="A605" s="570" t="s">
        <v>1592</v>
      </c>
      <c r="B605" s="573" t="s">
        <v>1579</v>
      </c>
      <c r="C605" s="573" t="s">
        <v>150</v>
      </c>
      <c r="D605" s="578">
        <v>13</v>
      </c>
      <c r="E605" s="573" t="s">
        <v>1516</v>
      </c>
      <c r="F605" s="573" t="s">
        <v>1571</v>
      </c>
      <c r="G605" s="573" t="s">
        <v>153</v>
      </c>
      <c r="H605" s="573">
        <v>2019</v>
      </c>
      <c r="I605" s="573" t="s">
        <v>1572</v>
      </c>
      <c r="J605" s="573" t="s">
        <v>1519</v>
      </c>
      <c r="K605" s="573" t="s">
        <v>236</v>
      </c>
      <c r="L605" s="573">
        <v>2</v>
      </c>
      <c r="M605" s="573">
        <v>0</v>
      </c>
      <c r="N605" s="573" t="s">
        <v>157</v>
      </c>
      <c r="O605" s="573">
        <v>1</v>
      </c>
      <c r="P605" s="573">
        <v>84.1</v>
      </c>
      <c r="Q605" s="571" t="s">
        <v>157</v>
      </c>
      <c r="R605" s="573" t="s">
        <v>798</v>
      </c>
      <c r="S605" s="573">
        <v>8</v>
      </c>
      <c r="T605" s="573" t="s">
        <v>1573</v>
      </c>
      <c r="U605" s="573" t="s">
        <v>1522</v>
      </c>
      <c r="V605" s="573">
        <v>155</v>
      </c>
      <c r="W605" s="573">
        <v>31</v>
      </c>
      <c r="X605" s="571">
        <v>9600</v>
      </c>
      <c r="Y605" s="573">
        <v>11</v>
      </c>
      <c r="Z605" s="579" t="s">
        <v>450</v>
      </c>
      <c r="AA605" s="579" t="s">
        <v>178</v>
      </c>
      <c r="AB605" s="584">
        <v>37990</v>
      </c>
      <c r="AC605" s="584" t="s">
        <v>164</v>
      </c>
      <c r="AD605" s="584">
        <v>28220</v>
      </c>
      <c r="AE605" s="586">
        <v>0.03</v>
      </c>
      <c r="AF605" s="661" t="str">
        <f t="shared" si="66"/>
        <v>2019-LVN-CHV-XP35-004-13</v>
      </c>
      <c r="AG605" s="661" t="str">
        <f>IF(AND($Y605&gt;=32,(AI605="I"),(Y605&lt;&gt;"~"),(COUNTIF($AN$1:$AN605,$AN605)=1)),"TRUE","FALSE")</f>
        <v>FALSE</v>
      </c>
      <c r="AH605" s="661" t="str">
        <f>IF(AND($Y605&gt;=22, (AI605&lt;&gt;"I"),(Y605&lt;&gt;"~"),(COUNTIF($AN$1:$AN605,$AN605)=1)),"TRUE","FALSE")</f>
        <v>FALSE</v>
      </c>
      <c r="AI605" s="661" t="str">
        <f t="shared" si="68"/>
        <v>II</v>
      </c>
      <c r="AJ605" s="662" t="str">
        <f t="shared" si="62"/>
        <v>XP35-004</v>
      </c>
      <c r="AK605" s="662" t="str">
        <f t="shared" si="63"/>
        <v>LVN</v>
      </c>
      <c r="AL605" s="662" t="str">
        <f t="shared" si="64"/>
        <v>CHV</v>
      </c>
      <c r="AM605" s="662" t="str">
        <f t="shared" si="67"/>
        <v>Express 3500-Cargo Van-RWD-2-84.1-~-6.0L-8-CG33705-1WT-155-31-E85-Unleaded</v>
      </c>
      <c r="AN605" s="662" t="str">
        <f t="shared" si="65"/>
        <v>2019-LVN-CHV-XP35-004</v>
      </c>
    </row>
    <row r="606" spans="1:40" s="572" customFormat="1" ht="15">
      <c r="A606" s="570" t="s">
        <v>1593</v>
      </c>
      <c r="B606" s="569" t="s">
        <v>1581</v>
      </c>
      <c r="C606" s="569" t="s">
        <v>150</v>
      </c>
      <c r="D606" s="580">
        <v>13</v>
      </c>
      <c r="E606" s="569" t="s">
        <v>1516</v>
      </c>
      <c r="F606" s="569" t="s">
        <v>1571</v>
      </c>
      <c r="G606" s="569" t="s">
        <v>153</v>
      </c>
      <c r="H606" s="569">
        <v>2019</v>
      </c>
      <c r="I606" s="569" t="s">
        <v>1572</v>
      </c>
      <c r="J606" s="569" t="s">
        <v>1519</v>
      </c>
      <c r="K606" s="569" t="s">
        <v>236</v>
      </c>
      <c r="L606" s="569">
        <v>2</v>
      </c>
      <c r="M606" s="569">
        <v>0</v>
      </c>
      <c r="N606" s="569" t="s">
        <v>157</v>
      </c>
      <c r="O606" s="569">
        <v>1</v>
      </c>
      <c r="P606" s="569">
        <v>84.5</v>
      </c>
      <c r="Q606" s="568" t="s">
        <v>157</v>
      </c>
      <c r="R606" s="569" t="s">
        <v>1520</v>
      </c>
      <c r="S606" s="569">
        <v>4</v>
      </c>
      <c r="T606" s="569" t="s">
        <v>1582</v>
      </c>
      <c r="U606" s="569" t="s">
        <v>1522</v>
      </c>
      <c r="V606" s="569">
        <v>135</v>
      </c>
      <c r="W606" s="569">
        <v>31</v>
      </c>
      <c r="X606" s="568">
        <v>9900</v>
      </c>
      <c r="Y606" s="569">
        <v>12</v>
      </c>
      <c r="Z606" s="581" t="s">
        <v>728</v>
      </c>
      <c r="AA606" s="581" t="s">
        <v>1523</v>
      </c>
      <c r="AB606" s="585">
        <v>40265</v>
      </c>
      <c r="AC606" s="585" t="s">
        <v>164</v>
      </c>
      <c r="AD606" s="585">
        <v>30130</v>
      </c>
      <c r="AE606" s="587">
        <v>0.03</v>
      </c>
      <c r="AF606" s="661" t="str">
        <f t="shared" si="66"/>
        <v>2019-LVN-CHV-XP35-005-13</v>
      </c>
      <c r="AG606" s="661" t="str">
        <f>IF(AND($Y606&gt;=32,(AI606="I"),(Y606&lt;&gt;"~"),(COUNTIF($AN$1:$AN606,$AN606)=1)),"TRUE","FALSE")</f>
        <v>FALSE</v>
      </c>
      <c r="AH606" s="661" t="str">
        <f>IF(AND($Y606&gt;=22, (AI606&lt;&gt;"I"),(Y606&lt;&gt;"~"),(COUNTIF($AN$1:$AN606,$AN606)=1)),"TRUE","FALSE")</f>
        <v>FALSE</v>
      </c>
      <c r="AI606" s="661" t="str">
        <f t="shared" si="68"/>
        <v>II</v>
      </c>
      <c r="AJ606" s="662" t="str">
        <f t="shared" si="62"/>
        <v>XP35-005</v>
      </c>
      <c r="AK606" s="662" t="str">
        <f t="shared" si="63"/>
        <v>LVN</v>
      </c>
      <c r="AL606" s="662" t="str">
        <f t="shared" si="64"/>
        <v>CHV</v>
      </c>
      <c r="AM606" s="662" t="str">
        <f t="shared" si="67"/>
        <v>Express 3500-Cargo Van-RWD-2-84.5-~-2.8L -4-CG33405-1WT-135-31-Diesel-BioDiesel</v>
      </c>
      <c r="AN606" s="662" t="str">
        <f t="shared" si="65"/>
        <v>2019-LVN-CHV-XP35-005</v>
      </c>
    </row>
    <row r="607" spans="1:40" s="572" customFormat="1" ht="15">
      <c r="A607" s="570" t="s">
        <v>1594</v>
      </c>
      <c r="B607" s="573" t="s">
        <v>1584</v>
      </c>
      <c r="C607" s="573" t="s">
        <v>150</v>
      </c>
      <c r="D607" s="578">
        <v>13</v>
      </c>
      <c r="E607" s="573" t="s">
        <v>1516</v>
      </c>
      <c r="F607" s="573" t="s">
        <v>1571</v>
      </c>
      <c r="G607" s="573" t="s">
        <v>153</v>
      </c>
      <c r="H607" s="573">
        <v>2019</v>
      </c>
      <c r="I607" s="573" t="s">
        <v>1572</v>
      </c>
      <c r="J607" s="573" t="s">
        <v>1519</v>
      </c>
      <c r="K607" s="573" t="s">
        <v>236</v>
      </c>
      <c r="L607" s="573">
        <v>2</v>
      </c>
      <c r="M607" s="573">
        <v>0</v>
      </c>
      <c r="N607" s="573" t="s">
        <v>157</v>
      </c>
      <c r="O607" s="573">
        <v>1</v>
      </c>
      <c r="P607" s="573">
        <v>84.5</v>
      </c>
      <c r="Q607" s="571" t="s">
        <v>157</v>
      </c>
      <c r="R607" s="573" t="s">
        <v>1526</v>
      </c>
      <c r="S607" s="573">
        <v>6</v>
      </c>
      <c r="T607" s="573" t="s">
        <v>1582</v>
      </c>
      <c r="U607" s="573" t="s">
        <v>1522</v>
      </c>
      <c r="V607" s="573">
        <v>135</v>
      </c>
      <c r="W607" s="573">
        <v>31</v>
      </c>
      <c r="X607" s="571">
        <v>9600</v>
      </c>
      <c r="Y607" s="573">
        <v>12</v>
      </c>
      <c r="Z607" s="579" t="s">
        <v>178</v>
      </c>
      <c r="AA607" s="579" t="s">
        <v>178</v>
      </c>
      <c r="AB607" s="584">
        <v>36195</v>
      </c>
      <c r="AC607" s="584" t="s">
        <v>164</v>
      </c>
      <c r="AD607" s="584">
        <v>26548</v>
      </c>
      <c r="AE607" s="586">
        <v>0.03</v>
      </c>
      <c r="AF607" s="661" t="str">
        <f t="shared" si="66"/>
        <v>2019-LVN-CHV-XP35-006-13</v>
      </c>
      <c r="AG607" s="661" t="str">
        <f>IF(AND($Y607&gt;=32,(AI607="I"),(Y607&lt;&gt;"~"),(COUNTIF($AN$1:$AN607,$AN607)=1)),"TRUE","FALSE")</f>
        <v>FALSE</v>
      </c>
      <c r="AH607" s="661" t="str">
        <f>IF(AND($Y607&gt;=22, (AI607&lt;&gt;"I"),(Y607&lt;&gt;"~"),(COUNTIF($AN$1:$AN607,$AN607)=1)),"TRUE","FALSE")</f>
        <v>FALSE</v>
      </c>
      <c r="AI607" s="661" t="str">
        <f t="shared" si="68"/>
        <v>II</v>
      </c>
      <c r="AJ607" s="662" t="str">
        <f t="shared" si="62"/>
        <v>XP35-006</v>
      </c>
      <c r="AK607" s="662" t="str">
        <f t="shared" si="63"/>
        <v>LVN</v>
      </c>
      <c r="AL607" s="662" t="str">
        <f t="shared" si="64"/>
        <v>CHV</v>
      </c>
      <c r="AM607" s="662" t="str">
        <f t="shared" si="67"/>
        <v>Express 3500-Cargo Van-RWD-2-84.5-~-4.3L-6-CG33405-1WT-135-31-Unleaded-Unleaded</v>
      </c>
      <c r="AN607" s="662" t="str">
        <f t="shared" si="65"/>
        <v>2019-LVN-CHV-XP35-006</v>
      </c>
    </row>
    <row r="608" spans="1:40" s="572" customFormat="1" ht="15">
      <c r="A608" s="570" t="s">
        <v>1595</v>
      </c>
      <c r="B608" s="569" t="s">
        <v>1586</v>
      </c>
      <c r="C608" s="569" t="s">
        <v>150</v>
      </c>
      <c r="D608" s="580">
        <v>13</v>
      </c>
      <c r="E608" s="569" t="s">
        <v>1516</v>
      </c>
      <c r="F608" s="569" t="s">
        <v>1571</v>
      </c>
      <c r="G608" s="569" t="s">
        <v>153</v>
      </c>
      <c r="H608" s="569">
        <v>2019</v>
      </c>
      <c r="I608" s="569" t="s">
        <v>1572</v>
      </c>
      <c r="J608" s="569" t="s">
        <v>1519</v>
      </c>
      <c r="K608" s="569" t="s">
        <v>236</v>
      </c>
      <c r="L608" s="569">
        <v>2</v>
      </c>
      <c r="M608" s="569">
        <v>0</v>
      </c>
      <c r="N608" s="569" t="s">
        <v>157</v>
      </c>
      <c r="O608" s="569">
        <v>1</v>
      </c>
      <c r="P608" s="569">
        <v>84.5</v>
      </c>
      <c r="Q608" s="568" t="s">
        <v>157</v>
      </c>
      <c r="R608" s="569" t="s">
        <v>798</v>
      </c>
      <c r="S608" s="569">
        <v>8</v>
      </c>
      <c r="T608" s="569" t="s">
        <v>1582</v>
      </c>
      <c r="U608" s="569" t="s">
        <v>1522</v>
      </c>
      <c r="V608" s="569">
        <v>135</v>
      </c>
      <c r="W608" s="569">
        <v>31</v>
      </c>
      <c r="X608" s="568">
        <v>9600</v>
      </c>
      <c r="Y608" s="569">
        <v>11</v>
      </c>
      <c r="Z608" s="581" t="s">
        <v>1529</v>
      </c>
      <c r="AA608" s="581" t="s">
        <v>178</v>
      </c>
      <c r="AB608" s="585">
        <v>37565</v>
      </c>
      <c r="AC608" s="585" t="s">
        <v>164</v>
      </c>
      <c r="AD608" s="585">
        <v>27688</v>
      </c>
      <c r="AE608" s="587">
        <v>0.03</v>
      </c>
      <c r="AF608" s="661" t="str">
        <f t="shared" si="66"/>
        <v>2019-LVN-CHV-XP35-007-13</v>
      </c>
      <c r="AG608" s="661" t="str">
        <f>IF(AND($Y608&gt;=32,(AI608="I"),(Y608&lt;&gt;"~"),(COUNTIF($AN$1:$AN608,$AN608)=1)),"TRUE","FALSE")</f>
        <v>FALSE</v>
      </c>
      <c r="AH608" s="661" t="str">
        <f>IF(AND($Y608&gt;=22, (AI608&lt;&gt;"I"),(Y608&lt;&gt;"~"),(COUNTIF($AN$1:$AN608,$AN608)=1)),"TRUE","FALSE")</f>
        <v>FALSE</v>
      </c>
      <c r="AI608" s="661" t="str">
        <f t="shared" si="68"/>
        <v>II</v>
      </c>
      <c r="AJ608" s="662" t="str">
        <f t="shared" si="62"/>
        <v>XP35-007</v>
      </c>
      <c r="AK608" s="662" t="str">
        <f t="shared" si="63"/>
        <v>LVN</v>
      </c>
      <c r="AL608" s="662" t="str">
        <f t="shared" si="64"/>
        <v>CHV</v>
      </c>
      <c r="AM608" s="662" t="str">
        <f t="shared" si="67"/>
        <v>Express 3500-Cargo Van-RWD-2-84.5-~-6.0L-8-CG33405-1WT-135-31-CNG-Unleaded</v>
      </c>
      <c r="AN608" s="662" t="str">
        <f t="shared" si="65"/>
        <v>2019-LVN-CHV-XP35-007</v>
      </c>
    </row>
    <row r="609" spans="1:40" s="572" customFormat="1" ht="15">
      <c r="A609" s="570" t="s">
        <v>1596</v>
      </c>
      <c r="B609" s="573" t="s">
        <v>1588</v>
      </c>
      <c r="C609" s="573" t="s">
        <v>150</v>
      </c>
      <c r="D609" s="578">
        <v>13</v>
      </c>
      <c r="E609" s="573" t="s">
        <v>1516</v>
      </c>
      <c r="F609" s="573" t="s">
        <v>1571</v>
      </c>
      <c r="G609" s="573" t="s">
        <v>153</v>
      </c>
      <c r="H609" s="573">
        <v>2019</v>
      </c>
      <c r="I609" s="573" t="s">
        <v>1572</v>
      </c>
      <c r="J609" s="573" t="s">
        <v>1519</v>
      </c>
      <c r="K609" s="573" t="s">
        <v>236</v>
      </c>
      <c r="L609" s="573">
        <v>2</v>
      </c>
      <c r="M609" s="573">
        <v>0</v>
      </c>
      <c r="N609" s="573" t="s">
        <v>157</v>
      </c>
      <c r="O609" s="573">
        <v>1</v>
      </c>
      <c r="P609" s="573">
        <v>84.5</v>
      </c>
      <c r="Q609" s="571" t="s">
        <v>157</v>
      </c>
      <c r="R609" s="573" t="s">
        <v>798</v>
      </c>
      <c r="S609" s="573">
        <v>8</v>
      </c>
      <c r="T609" s="573" t="s">
        <v>1582</v>
      </c>
      <c r="U609" s="573" t="s">
        <v>1522</v>
      </c>
      <c r="V609" s="573">
        <v>135</v>
      </c>
      <c r="W609" s="573">
        <v>31</v>
      </c>
      <c r="X609" s="571">
        <v>9600</v>
      </c>
      <c r="Y609" s="573">
        <v>11</v>
      </c>
      <c r="Z609" s="579" t="s">
        <v>450</v>
      </c>
      <c r="AA609" s="579" t="s">
        <v>178</v>
      </c>
      <c r="AB609" s="584">
        <v>37190</v>
      </c>
      <c r="AC609" s="584" t="s">
        <v>164</v>
      </c>
      <c r="AD609" s="584">
        <v>27424</v>
      </c>
      <c r="AE609" s="586">
        <v>0.03</v>
      </c>
      <c r="AF609" s="661" t="str">
        <f t="shared" si="66"/>
        <v>2019-LVN-CHV-XP35-008-13</v>
      </c>
      <c r="AG609" s="661" t="str">
        <f>IF(AND($Y609&gt;=32,(AI609="I"),(Y609&lt;&gt;"~"),(COUNTIF($AN$1:$AN609,$AN609)=1)),"TRUE","FALSE")</f>
        <v>FALSE</v>
      </c>
      <c r="AH609" s="661" t="str">
        <f>IF(AND($Y609&gt;=22, (AI609&lt;&gt;"I"),(Y609&lt;&gt;"~"),(COUNTIF($AN$1:$AN609,$AN609)=1)),"TRUE","FALSE")</f>
        <v>FALSE</v>
      </c>
      <c r="AI609" s="661" t="str">
        <f t="shared" si="68"/>
        <v>II</v>
      </c>
      <c r="AJ609" s="662" t="str">
        <f t="shared" si="62"/>
        <v>XP35-008</v>
      </c>
      <c r="AK609" s="662" t="str">
        <f t="shared" si="63"/>
        <v>LVN</v>
      </c>
      <c r="AL609" s="662" t="str">
        <f t="shared" si="64"/>
        <v>CHV</v>
      </c>
      <c r="AM609" s="662" t="str">
        <f t="shared" si="67"/>
        <v>Express 3500-Cargo Van-RWD-2-84.5-~-6.0L-8-CG33405-1WT-135-31-E85-Unleaded</v>
      </c>
      <c r="AN609" s="662" t="str">
        <f t="shared" si="65"/>
        <v>2019-LVN-CHV-XP35-008</v>
      </c>
    </row>
    <row r="610" spans="1:40" s="572" customFormat="1" ht="15">
      <c r="A610" s="570" t="s">
        <v>1597</v>
      </c>
      <c r="B610" s="569" t="s">
        <v>1570</v>
      </c>
      <c r="C610" s="569" t="s">
        <v>166</v>
      </c>
      <c r="D610" s="580">
        <v>17</v>
      </c>
      <c r="E610" s="569" t="s">
        <v>1516</v>
      </c>
      <c r="F610" s="569" t="s">
        <v>1571</v>
      </c>
      <c r="G610" s="569" t="s">
        <v>153</v>
      </c>
      <c r="H610" s="569">
        <v>2019</v>
      </c>
      <c r="I610" s="569" t="s">
        <v>1572</v>
      </c>
      <c r="J610" s="569" t="s">
        <v>1519</v>
      </c>
      <c r="K610" s="569" t="s">
        <v>236</v>
      </c>
      <c r="L610" s="569">
        <v>2</v>
      </c>
      <c r="M610" s="569">
        <v>0</v>
      </c>
      <c r="N610" s="569" t="s">
        <v>157</v>
      </c>
      <c r="O610" s="569">
        <v>1</v>
      </c>
      <c r="P610" s="569">
        <v>84.1</v>
      </c>
      <c r="Q610" s="568" t="s">
        <v>157</v>
      </c>
      <c r="R610" s="569" t="s">
        <v>1520</v>
      </c>
      <c r="S610" s="569">
        <v>4</v>
      </c>
      <c r="T610" s="569" t="s">
        <v>1573</v>
      </c>
      <c r="U610" s="569" t="s">
        <v>1522</v>
      </c>
      <c r="V610" s="569">
        <v>155</v>
      </c>
      <c r="W610" s="569">
        <v>31</v>
      </c>
      <c r="X610" s="568">
        <v>9900</v>
      </c>
      <c r="Y610" s="569">
        <v>12</v>
      </c>
      <c r="Z610" s="581" t="s">
        <v>728</v>
      </c>
      <c r="AA610" s="581" t="s">
        <v>1523</v>
      </c>
      <c r="AB610" s="585">
        <v>41065</v>
      </c>
      <c r="AC610" s="585" t="s">
        <v>164</v>
      </c>
      <c r="AD610" s="585">
        <v>30895</v>
      </c>
      <c r="AE610" s="587">
        <v>7.1999999999999995E-2</v>
      </c>
      <c r="AF610" s="661" t="str">
        <f t="shared" si="66"/>
        <v>2019-LVN-CHV-XP35-001-17</v>
      </c>
      <c r="AG610" s="661" t="str">
        <f>IF(AND($Y610&gt;=32,(AI610="I"),(Y610&lt;&gt;"~"),(COUNTIF($AN$1:$AN610,$AN610)=1)),"TRUE","FALSE")</f>
        <v>FALSE</v>
      </c>
      <c r="AH610" s="661" t="str">
        <f>IF(AND($Y610&gt;=22, (AI610&lt;&gt;"I"),(Y610&lt;&gt;"~"),(COUNTIF($AN$1:$AN610,$AN610)=1)),"TRUE","FALSE")</f>
        <v>FALSE</v>
      </c>
      <c r="AI610" s="661" t="str">
        <f t="shared" si="68"/>
        <v>II</v>
      </c>
      <c r="AJ610" s="662" t="str">
        <f t="shared" si="62"/>
        <v>XP35-001</v>
      </c>
      <c r="AK610" s="662" t="str">
        <f t="shared" si="63"/>
        <v>LVN</v>
      </c>
      <c r="AL610" s="662" t="str">
        <f t="shared" si="64"/>
        <v>CHV</v>
      </c>
      <c r="AM610" s="662" t="str">
        <f t="shared" si="67"/>
        <v>Express 3500-Cargo Van-RWD-2-84.1-~-2.8L -4-CG33705-1WT-155-31-Diesel-BioDiesel</v>
      </c>
      <c r="AN610" s="662" t="str">
        <f t="shared" si="65"/>
        <v>2019-LVN-CHV-XP35-001</v>
      </c>
    </row>
    <row r="611" spans="1:40" s="572" customFormat="1" ht="15">
      <c r="A611" s="570" t="s">
        <v>1598</v>
      </c>
      <c r="B611" s="573" t="s">
        <v>1575</v>
      </c>
      <c r="C611" s="573" t="s">
        <v>166</v>
      </c>
      <c r="D611" s="578">
        <v>17</v>
      </c>
      <c r="E611" s="573" t="s">
        <v>1516</v>
      </c>
      <c r="F611" s="573" t="s">
        <v>1571</v>
      </c>
      <c r="G611" s="573" t="s">
        <v>153</v>
      </c>
      <c r="H611" s="573">
        <v>2019</v>
      </c>
      <c r="I611" s="573" t="s">
        <v>1572</v>
      </c>
      <c r="J611" s="573" t="s">
        <v>1519</v>
      </c>
      <c r="K611" s="573" t="s">
        <v>236</v>
      </c>
      <c r="L611" s="573">
        <v>2</v>
      </c>
      <c r="M611" s="573">
        <v>0</v>
      </c>
      <c r="N611" s="573" t="s">
        <v>157</v>
      </c>
      <c r="O611" s="573">
        <v>1</v>
      </c>
      <c r="P611" s="573">
        <v>84.1</v>
      </c>
      <c r="Q611" s="571" t="s">
        <v>157</v>
      </c>
      <c r="R611" s="573" t="s">
        <v>1526</v>
      </c>
      <c r="S611" s="573">
        <v>6</v>
      </c>
      <c r="T611" s="573" t="s">
        <v>1573</v>
      </c>
      <c r="U611" s="573" t="s">
        <v>1522</v>
      </c>
      <c r="V611" s="573">
        <v>155</v>
      </c>
      <c r="W611" s="573">
        <v>31</v>
      </c>
      <c r="X611" s="571">
        <v>9600</v>
      </c>
      <c r="Y611" s="573">
        <v>12</v>
      </c>
      <c r="Z611" s="579" t="s">
        <v>178</v>
      </c>
      <c r="AA611" s="579" t="s">
        <v>178</v>
      </c>
      <c r="AB611" s="584">
        <v>36995</v>
      </c>
      <c r="AC611" s="584" t="s">
        <v>164</v>
      </c>
      <c r="AD611" s="584">
        <v>27410</v>
      </c>
      <c r="AE611" s="586">
        <v>7.1999999999999995E-2</v>
      </c>
      <c r="AF611" s="661" t="str">
        <f t="shared" si="66"/>
        <v>2019-LVN-CHV-XP35-002-17</v>
      </c>
      <c r="AG611" s="661" t="str">
        <f>IF(AND($Y611&gt;=32,(AI611="I"),(Y611&lt;&gt;"~"),(COUNTIF($AN$1:$AN611,$AN611)=1)),"TRUE","FALSE")</f>
        <v>FALSE</v>
      </c>
      <c r="AH611" s="661" t="str">
        <f>IF(AND($Y611&gt;=22, (AI611&lt;&gt;"I"),(Y611&lt;&gt;"~"),(COUNTIF($AN$1:$AN611,$AN611)=1)),"TRUE","FALSE")</f>
        <v>FALSE</v>
      </c>
      <c r="AI611" s="661" t="str">
        <f t="shared" si="68"/>
        <v>II</v>
      </c>
      <c r="AJ611" s="662" t="str">
        <f t="shared" si="62"/>
        <v>XP35-002</v>
      </c>
      <c r="AK611" s="662" t="str">
        <f t="shared" si="63"/>
        <v>LVN</v>
      </c>
      <c r="AL611" s="662" t="str">
        <f t="shared" si="64"/>
        <v>CHV</v>
      </c>
      <c r="AM611" s="662" t="str">
        <f t="shared" si="67"/>
        <v>Express 3500-Cargo Van-RWD-2-84.1-~-4.3L-6-CG33705-1WT-155-31-Unleaded-Unleaded</v>
      </c>
      <c r="AN611" s="662" t="str">
        <f t="shared" si="65"/>
        <v>2019-LVN-CHV-XP35-002</v>
      </c>
    </row>
    <row r="612" spans="1:40" s="572" customFormat="1" ht="15">
      <c r="A612" s="570" t="s">
        <v>1599</v>
      </c>
      <c r="B612" s="569" t="s">
        <v>1577</v>
      </c>
      <c r="C612" s="569" t="s">
        <v>166</v>
      </c>
      <c r="D612" s="580">
        <v>17</v>
      </c>
      <c r="E612" s="569" t="s">
        <v>1516</v>
      </c>
      <c r="F612" s="569" t="s">
        <v>1571</v>
      </c>
      <c r="G612" s="569" t="s">
        <v>153</v>
      </c>
      <c r="H612" s="569">
        <v>2019</v>
      </c>
      <c r="I612" s="569" t="s">
        <v>1572</v>
      </c>
      <c r="J612" s="569" t="s">
        <v>1519</v>
      </c>
      <c r="K612" s="569" t="s">
        <v>236</v>
      </c>
      <c r="L612" s="569">
        <v>2</v>
      </c>
      <c r="M612" s="569">
        <v>0</v>
      </c>
      <c r="N612" s="569" t="s">
        <v>157</v>
      </c>
      <c r="O612" s="569">
        <v>1</v>
      </c>
      <c r="P612" s="569">
        <v>84.1</v>
      </c>
      <c r="Q612" s="568" t="s">
        <v>157</v>
      </c>
      <c r="R612" s="569" t="s">
        <v>798</v>
      </c>
      <c r="S612" s="569">
        <v>8</v>
      </c>
      <c r="T612" s="569" t="s">
        <v>1573</v>
      </c>
      <c r="U612" s="569" t="s">
        <v>1522</v>
      </c>
      <c r="V612" s="569">
        <v>155</v>
      </c>
      <c r="W612" s="569">
        <v>31</v>
      </c>
      <c r="X612" s="568">
        <v>9600</v>
      </c>
      <c r="Y612" s="569">
        <v>11</v>
      </c>
      <c r="Z612" s="581" t="s">
        <v>1529</v>
      </c>
      <c r="AA612" s="581" t="s">
        <v>178</v>
      </c>
      <c r="AB612" s="585">
        <v>38290</v>
      </c>
      <c r="AC612" s="585" t="s">
        <v>164</v>
      </c>
      <c r="AD612" s="585">
        <v>28095</v>
      </c>
      <c r="AE612" s="587">
        <v>7.1999999999999995E-2</v>
      </c>
      <c r="AF612" s="661" t="str">
        <f t="shared" si="66"/>
        <v>2019-LVN-CHV-XP35-003-17</v>
      </c>
      <c r="AG612" s="661" t="str">
        <f>IF(AND($Y612&gt;=32,(AI612="I"),(Y612&lt;&gt;"~"),(COUNTIF($AN$1:$AN612,$AN612)=1)),"TRUE","FALSE")</f>
        <v>FALSE</v>
      </c>
      <c r="AH612" s="661" t="str">
        <f>IF(AND($Y612&gt;=22, (AI612&lt;&gt;"I"),(Y612&lt;&gt;"~"),(COUNTIF($AN$1:$AN612,$AN612)=1)),"TRUE","FALSE")</f>
        <v>FALSE</v>
      </c>
      <c r="AI612" s="661" t="str">
        <f t="shared" si="68"/>
        <v>II</v>
      </c>
      <c r="AJ612" s="662" t="str">
        <f t="shared" si="62"/>
        <v>XP35-003</v>
      </c>
      <c r="AK612" s="662" t="str">
        <f t="shared" si="63"/>
        <v>LVN</v>
      </c>
      <c r="AL612" s="662" t="str">
        <f t="shared" si="64"/>
        <v>CHV</v>
      </c>
      <c r="AM612" s="662" t="str">
        <f t="shared" si="67"/>
        <v>Express 3500-Cargo Van-RWD-2-84.1-~-6.0L-8-CG33705-1WT-155-31-CNG-Unleaded</v>
      </c>
      <c r="AN612" s="662" t="str">
        <f t="shared" si="65"/>
        <v>2019-LVN-CHV-XP35-003</v>
      </c>
    </row>
    <row r="613" spans="1:40" s="572" customFormat="1" ht="15">
      <c r="A613" s="570" t="s">
        <v>1600</v>
      </c>
      <c r="B613" s="573" t="s">
        <v>1579</v>
      </c>
      <c r="C613" s="573" t="s">
        <v>166</v>
      </c>
      <c r="D613" s="578">
        <v>17</v>
      </c>
      <c r="E613" s="573" t="s">
        <v>1516</v>
      </c>
      <c r="F613" s="573" t="s">
        <v>1571</v>
      </c>
      <c r="G613" s="573" t="s">
        <v>153</v>
      </c>
      <c r="H613" s="573">
        <v>2019</v>
      </c>
      <c r="I613" s="573" t="s">
        <v>1572</v>
      </c>
      <c r="J613" s="573" t="s">
        <v>1519</v>
      </c>
      <c r="K613" s="573" t="s">
        <v>236</v>
      </c>
      <c r="L613" s="573">
        <v>2</v>
      </c>
      <c r="M613" s="573">
        <v>0</v>
      </c>
      <c r="N613" s="573" t="s">
        <v>157</v>
      </c>
      <c r="O613" s="573">
        <v>1</v>
      </c>
      <c r="P613" s="573">
        <v>84.1</v>
      </c>
      <c r="Q613" s="571" t="s">
        <v>157</v>
      </c>
      <c r="R613" s="573" t="s">
        <v>798</v>
      </c>
      <c r="S613" s="573">
        <v>8</v>
      </c>
      <c r="T613" s="573" t="s">
        <v>1573</v>
      </c>
      <c r="U613" s="573" t="s">
        <v>1522</v>
      </c>
      <c r="V613" s="573">
        <v>155</v>
      </c>
      <c r="W613" s="573">
        <v>31</v>
      </c>
      <c r="X613" s="571">
        <v>9600</v>
      </c>
      <c r="Y613" s="573">
        <v>11</v>
      </c>
      <c r="Z613" s="579" t="s">
        <v>450</v>
      </c>
      <c r="AA613" s="579" t="s">
        <v>178</v>
      </c>
      <c r="AB613" s="584">
        <v>37990</v>
      </c>
      <c r="AC613" s="584" t="s">
        <v>164</v>
      </c>
      <c r="AD613" s="584">
        <v>28095</v>
      </c>
      <c r="AE613" s="586">
        <v>7.1999999999999995E-2</v>
      </c>
      <c r="AF613" s="661" t="str">
        <f t="shared" si="66"/>
        <v>2019-LVN-CHV-XP35-004-17</v>
      </c>
      <c r="AG613" s="661" t="str">
        <f>IF(AND($Y613&gt;=32,(AI613="I"),(Y613&lt;&gt;"~"),(COUNTIF($AN$1:$AN613,$AN613)=1)),"TRUE","FALSE")</f>
        <v>FALSE</v>
      </c>
      <c r="AH613" s="661" t="str">
        <f>IF(AND($Y613&gt;=22, (AI613&lt;&gt;"I"),(Y613&lt;&gt;"~"),(COUNTIF($AN$1:$AN613,$AN613)=1)),"TRUE","FALSE")</f>
        <v>FALSE</v>
      </c>
      <c r="AI613" s="661" t="str">
        <f t="shared" si="68"/>
        <v>II</v>
      </c>
      <c r="AJ613" s="662" t="str">
        <f t="shared" si="62"/>
        <v>XP35-004</v>
      </c>
      <c r="AK613" s="662" t="str">
        <f t="shared" si="63"/>
        <v>LVN</v>
      </c>
      <c r="AL613" s="662" t="str">
        <f t="shared" si="64"/>
        <v>CHV</v>
      </c>
      <c r="AM613" s="662" t="str">
        <f t="shared" si="67"/>
        <v>Express 3500-Cargo Van-RWD-2-84.1-~-6.0L-8-CG33705-1WT-155-31-E85-Unleaded</v>
      </c>
      <c r="AN613" s="662" t="str">
        <f t="shared" si="65"/>
        <v>2019-LVN-CHV-XP35-004</v>
      </c>
    </row>
    <row r="614" spans="1:40" s="572" customFormat="1" ht="15">
      <c r="A614" s="570" t="s">
        <v>1601</v>
      </c>
      <c r="B614" s="569" t="s">
        <v>1581</v>
      </c>
      <c r="C614" s="569" t="s">
        <v>166</v>
      </c>
      <c r="D614" s="580">
        <v>17</v>
      </c>
      <c r="E614" s="569" t="s">
        <v>1516</v>
      </c>
      <c r="F614" s="569" t="s">
        <v>1571</v>
      </c>
      <c r="G614" s="569" t="s">
        <v>153</v>
      </c>
      <c r="H614" s="569">
        <v>2019</v>
      </c>
      <c r="I614" s="569" t="s">
        <v>1572</v>
      </c>
      <c r="J614" s="569" t="s">
        <v>1519</v>
      </c>
      <c r="K614" s="569" t="s">
        <v>236</v>
      </c>
      <c r="L614" s="569">
        <v>2</v>
      </c>
      <c r="M614" s="569">
        <v>0</v>
      </c>
      <c r="N614" s="569" t="s">
        <v>157</v>
      </c>
      <c r="O614" s="569">
        <v>1</v>
      </c>
      <c r="P614" s="569">
        <v>84.5</v>
      </c>
      <c r="Q614" s="568" t="s">
        <v>157</v>
      </c>
      <c r="R614" s="569" t="s">
        <v>1520</v>
      </c>
      <c r="S614" s="569">
        <v>4</v>
      </c>
      <c r="T614" s="569" t="s">
        <v>1582</v>
      </c>
      <c r="U614" s="569" t="s">
        <v>1522</v>
      </c>
      <c r="V614" s="569">
        <v>135</v>
      </c>
      <c r="W614" s="569">
        <v>31</v>
      </c>
      <c r="X614" s="568">
        <v>9900</v>
      </c>
      <c r="Y614" s="569">
        <v>12</v>
      </c>
      <c r="Z614" s="581" t="s">
        <v>728</v>
      </c>
      <c r="AA614" s="581" t="s">
        <v>1523</v>
      </c>
      <c r="AB614" s="585">
        <v>40265</v>
      </c>
      <c r="AC614" s="585" t="s">
        <v>164</v>
      </c>
      <c r="AD614" s="585">
        <v>30095</v>
      </c>
      <c r="AE614" s="587">
        <v>7.1999999999999995E-2</v>
      </c>
      <c r="AF614" s="661" t="str">
        <f t="shared" si="66"/>
        <v>2019-LVN-CHV-XP35-005-17</v>
      </c>
      <c r="AG614" s="661" t="str">
        <f>IF(AND($Y614&gt;=32,(AI614="I"),(Y614&lt;&gt;"~"),(COUNTIF($AN$1:$AN614,$AN614)=1)),"TRUE","FALSE")</f>
        <v>FALSE</v>
      </c>
      <c r="AH614" s="661" t="str">
        <f>IF(AND($Y614&gt;=22, (AI614&lt;&gt;"I"),(Y614&lt;&gt;"~"),(COUNTIF($AN$1:$AN614,$AN614)=1)),"TRUE","FALSE")</f>
        <v>FALSE</v>
      </c>
      <c r="AI614" s="661" t="str">
        <f t="shared" si="68"/>
        <v>II</v>
      </c>
      <c r="AJ614" s="662" t="str">
        <f t="shared" si="62"/>
        <v>XP35-005</v>
      </c>
      <c r="AK614" s="662" t="str">
        <f t="shared" si="63"/>
        <v>LVN</v>
      </c>
      <c r="AL614" s="662" t="str">
        <f t="shared" si="64"/>
        <v>CHV</v>
      </c>
      <c r="AM614" s="662" t="str">
        <f t="shared" si="67"/>
        <v>Express 3500-Cargo Van-RWD-2-84.5-~-2.8L -4-CG33405-1WT-135-31-Diesel-BioDiesel</v>
      </c>
      <c r="AN614" s="662" t="str">
        <f t="shared" si="65"/>
        <v>2019-LVN-CHV-XP35-005</v>
      </c>
    </row>
    <row r="615" spans="1:40" s="572" customFormat="1" ht="15">
      <c r="A615" s="570" t="s">
        <v>1602</v>
      </c>
      <c r="B615" s="573" t="s">
        <v>1584</v>
      </c>
      <c r="C615" s="573" t="s">
        <v>166</v>
      </c>
      <c r="D615" s="578">
        <v>17</v>
      </c>
      <c r="E615" s="573" t="s">
        <v>1516</v>
      </c>
      <c r="F615" s="573" t="s">
        <v>1571</v>
      </c>
      <c r="G615" s="573" t="s">
        <v>153</v>
      </c>
      <c r="H615" s="573">
        <v>2019</v>
      </c>
      <c r="I615" s="573" t="s">
        <v>1572</v>
      </c>
      <c r="J615" s="573" t="s">
        <v>1519</v>
      </c>
      <c r="K615" s="573" t="s">
        <v>236</v>
      </c>
      <c r="L615" s="573">
        <v>2</v>
      </c>
      <c r="M615" s="573">
        <v>0</v>
      </c>
      <c r="N615" s="573" t="s">
        <v>157</v>
      </c>
      <c r="O615" s="573">
        <v>1</v>
      </c>
      <c r="P615" s="573">
        <v>84.5</v>
      </c>
      <c r="Q615" s="571" t="s">
        <v>157</v>
      </c>
      <c r="R615" s="573" t="s">
        <v>1526</v>
      </c>
      <c r="S615" s="573">
        <v>6</v>
      </c>
      <c r="T615" s="573" t="s">
        <v>1582</v>
      </c>
      <c r="U615" s="573" t="s">
        <v>1522</v>
      </c>
      <c r="V615" s="573">
        <v>135</v>
      </c>
      <c r="W615" s="573">
        <v>31</v>
      </c>
      <c r="X615" s="571">
        <v>9600</v>
      </c>
      <c r="Y615" s="573">
        <v>12</v>
      </c>
      <c r="Z615" s="579" t="s">
        <v>178</v>
      </c>
      <c r="AA615" s="579" t="s">
        <v>178</v>
      </c>
      <c r="AB615" s="584">
        <v>36195</v>
      </c>
      <c r="AC615" s="584" t="s">
        <v>164</v>
      </c>
      <c r="AD615" s="584">
        <v>27752</v>
      </c>
      <c r="AE615" s="586">
        <v>7.1999999999999995E-2</v>
      </c>
      <c r="AF615" s="661" t="str">
        <f t="shared" si="66"/>
        <v>2019-LVN-CHV-XP35-006-17</v>
      </c>
      <c r="AG615" s="661" t="str">
        <f>IF(AND($Y615&gt;=32,(AI615="I"),(Y615&lt;&gt;"~"),(COUNTIF($AN$1:$AN615,$AN615)=1)),"TRUE","FALSE")</f>
        <v>FALSE</v>
      </c>
      <c r="AH615" s="661" t="str">
        <f>IF(AND($Y615&gt;=22, (AI615&lt;&gt;"I"),(Y615&lt;&gt;"~"),(COUNTIF($AN$1:$AN615,$AN615)=1)),"TRUE","FALSE")</f>
        <v>FALSE</v>
      </c>
      <c r="AI615" s="661" t="str">
        <f t="shared" si="68"/>
        <v>II</v>
      </c>
      <c r="AJ615" s="662" t="str">
        <f t="shared" si="62"/>
        <v>XP35-006</v>
      </c>
      <c r="AK615" s="662" t="str">
        <f t="shared" si="63"/>
        <v>LVN</v>
      </c>
      <c r="AL615" s="662" t="str">
        <f t="shared" si="64"/>
        <v>CHV</v>
      </c>
      <c r="AM615" s="662" t="str">
        <f t="shared" si="67"/>
        <v>Express 3500-Cargo Van-RWD-2-84.5-~-4.3L-6-CG33405-1WT-135-31-Unleaded-Unleaded</v>
      </c>
      <c r="AN615" s="662" t="str">
        <f t="shared" si="65"/>
        <v>2019-LVN-CHV-XP35-006</v>
      </c>
    </row>
    <row r="616" spans="1:40" s="572" customFormat="1" ht="15">
      <c r="A616" s="570" t="s">
        <v>1603</v>
      </c>
      <c r="B616" s="569" t="s">
        <v>1586</v>
      </c>
      <c r="C616" s="569" t="s">
        <v>166</v>
      </c>
      <c r="D616" s="580">
        <v>17</v>
      </c>
      <c r="E616" s="569" t="s">
        <v>1516</v>
      </c>
      <c r="F616" s="569" t="s">
        <v>1571</v>
      </c>
      <c r="G616" s="569" t="s">
        <v>153</v>
      </c>
      <c r="H616" s="569">
        <v>2019</v>
      </c>
      <c r="I616" s="569" t="s">
        <v>1572</v>
      </c>
      <c r="J616" s="569" t="s">
        <v>1519</v>
      </c>
      <c r="K616" s="569" t="s">
        <v>236</v>
      </c>
      <c r="L616" s="569">
        <v>2</v>
      </c>
      <c r="M616" s="569">
        <v>0</v>
      </c>
      <c r="N616" s="569" t="s">
        <v>157</v>
      </c>
      <c r="O616" s="569">
        <v>1</v>
      </c>
      <c r="P616" s="569">
        <v>84.5</v>
      </c>
      <c r="Q616" s="568" t="s">
        <v>157</v>
      </c>
      <c r="R616" s="569" t="s">
        <v>798</v>
      </c>
      <c r="S616" s="569">
        <v>8</v>
      </c>
      <c r="T616" s="569" t="s">
        <v>1582</v>
      </c>
      <c r="U616" s="569" t="s">
        <v>1522</v>
      </c>
      <c r="V616" s="569">
        <v>135</v>
      </c>
      <c r="W616" s="569">
        <v>31</v>
      </c>
      <c r="X616" s="568">
        <v>9600</v>
      </c>
      <c r="Y616" s="569">
        <v>11</v>
      </c>
      <c r="Z616" s="581" t="s">
        <v>1529</v>
      </c>
      <c r="AA616" s="581" t="s">
        <v>178</v>
      </c>
      <c r="AB616" s="585">
        <v>37190</v>
      </c>
      <c r="AC616" s="585" t="s">
        <v>164</v>
      </c>
      <c r="AD616" s="585">
        <v>27940</v>
      </c>
      <c r="AE616" s="587">
        <v>7.1999999999999995E-2</v>
      </c>
      <c r="AF616" s="661" t="str">
        <f t="shared" si="66"/>
        <v>2019-LVN-CHV-XP35-007-17</v>
      </c>
      <c r="AG616" s="661" t="str">
        <f>IF(AND($Y616&gt;=32,(AI616="I"),(Y616&lt;&gt;"~"),(COUNTIF($AN$1:$AN616,$AN616)=1)),"TRUE","FALSE")</f>
        <v>FALSE</v>
      </c>
      <c r="AH616" s="661" t="str">
        <f>IF(AND($Y616&gt;=22, (AI616&lt;&gt;"I"),(Y616&lt;&gt;"~"),(COUNTIF($AN$1:$AN616,$AN616)=1)),"TRUE","FALSE")</f>
        <v>FALSE</v>
      </c>
      <c r="AI616" s="661" t="str">
        <f t="shared" si="68"/>
        <v>II</v>
      </c>
      <c r="AJ616" s="662" t="str">
        <f t="shared" si="62"/>
        <v>XP35-007</v>
      </c>
      <c r="AK616" s="662" t="str">
        <f t="shared" si="63"/>
        <v>LVN</v>
      </c>
      <c r="AL616" s="662" t="str">
        <f t="shared" si="64"/>
        <v>CHV</v>
      </c>
      <c r="AM616" s="662" t="str">
        <f t="shared" si="67"/>
        <v>Express 3500-Cargo Van-RWD-2-84.5-~-6.0L-8-CG33405-1WT-135-31-CNG-Unleaded</v>
      </c>
      <c r="AN616" s="662" t="str">
        <f t="shared" si="65"/>
        <v>2019-LVN-CHV-XP35-007</v>
      </c>
    </row>
    <row r="617" spans="1:40" s="572" customFormat="1" ht="15">
      <c r="A617" s="570" t="s">
        <v>1604</v>
      </c>
      <c r="B617" s="573" t="s">
        <v>1588</v>
      </c>
      <c r="C617" s="573" t="s">
        <v>166</v>
      </c>
      <c r="D617" s="578">
        <v>17</v>
      </c>
      <c r="E617" s="573" t="s">
        <v>1516</v>
      </c>
      <c r="F617" s="573" t="s">
        <v>1571</v>
      </c>
      <c r="G617" s="573" t="s">
        <v>153</v>
      </c>
      <c r="H617" s="573">
        <v>2019</v>
      </c>
      <c r="I617" s="573" t="s">
        <v>1572</v>
      </c>
      <c r="J617" s="573" t="s">
        <v>1519</v>
      </c>
      <c r="K617" s="573" t="s">
        <v>236</v>
      </c>
      <c r="L617" s="573">
        <v>2</v>
      </c>
      <c r="M617" s="573">
        <v>0</v>
      </c>
      <c r="N617" s="573" t="s">
        <v>157</v>
      </c>
      <c r="O617" s="573">
        <v>1</v>
      </c>
      <c r="P617" s="573">
        <v>84.5</v>
      </c>
      <c r="Q617" s="571" t="s">
        <v>157</v>
      </c>
      <c r="R617" s="573" t="s">
        <v>798</v>
      </c>
      <c r="S617" s="573">
        <v>8</v>
      </c>
      <c r="T617" s="573" t="s">
        <v>1582</v>
      </c>
      <c r="U617" s="573" t="s">
        <v>1522</v>
      </c>
      <c r="V617" s="573">
        <v>135</v>
      </c>
      <c r="W617" s="573">
        <v>31</v>
      </c>
      <c r="X617" s="571">
        <v>9600</v>
      </c>
      <c r="Y617" s="573">
        <v>11</v>
      </c>
      <c r="Z617" s="579" t="s">
        <v>450</v>
      </c>
      <c r="AA617" s="579" t="s">
        <v>178</v>
      </c>
      <c r="AB617" s="584">
        <v>37190</v>
      </c>
      <c r="AC617" s="584" t="s">
        <v>164</v>
      </c>
      <c r="AD617" s="584">
        <v>27940</v>
      </c>
      <c r="AE617" s="586">
        <v>7.1999999999999995E-2</v>
      </c>
      <c r="AF617" s="661" t="str">
        <f t="shared" si="66"/>
        <v>2019-LVN-CHV-XP35-008-17</v>
      </c>
      <c r="AG617" s="661" t="str">
        <f>IF(AND($Y617&gt;=32,(AI617="I"),(Y617&lt;&gt;"~"),(COUNTIF($AN$1:$AN617,$AN617)=1)),"TRUE","FALSE")</f>
        <v>FALSE</v>
      </c>
      <c r="AH617" s="661" t="str">
        <f>IF(AND($Y617&gt;=22, (AI617&lt;&gt;"I"),(Y617&lt;&gt;"~"),(COUNTIF($AN$1:$AN617,$AN617)=1)),"TRUE","FALSE")</f>
        <v>FALSE</v>
      </c>
      <c r="AI617" s="661" t="str">
        <f t="shared" si="68"/>
        <v>II</v>
      </c>
      <c r="AJ617" s="662" t="str">
        <f t="shared" si="62"/>
        <v>XP35-008</v>
      </c>
      <c r="AK617" s="662" t="str">
        <f t="shared" si="63"/>
        <v>LVN</v>
      </c>
      <c r="AL617" s="662" t="str">
        <f t="shared" si="64"/>
        <v>CHV</v>
      </c>
      <c r="AM617" s="662" t="str">
        <f t="shared" si="67"/>
        <v>Express 3500-Cargo Van-RWD-2-84.5-~-6.0L-8-CG33405-1WT-135-31-E85-Unleaded</v>
      </c>
      <c r="AN617" s="662" t="str">
        <f t="shared" si="65"/>
        <v>2019-LVN-CHV-XP35-008</v>
      </c>
    </row>
    <row r="618" spans="1:40" s="572" customFormat="1" ht="15">
      <c r="A618" s="570" t="s">
        <v>1605</v>
      </c>
      <c r="B618" s="569" t="s">
        <v>1606</v>
      </c>
      <c r="C618" s="569" t="s">
        <v>169</v>
      </c>
      <c r="D618" s="580">
        <v>11</v>
      </c>
      <c r="E618" s="569" t="s">
        <v>1516</v>
      </c>
      <c r="F618" s="569" t="s">
        <v>1607</v>
      </c>
      <c r="G618" s="569" t="s">
        <v>153</v>
      </c>
      <c r="H618" s="569">
        <v>2019</v>
      </c>
      <c r="I618" s="569" t="s">
        <v>1572</v>
      </c>
      <c r="J618" s="569" t="s">
        <v>174</v>
      </c>
      <c r="K618" s="569" t="s">
        <v>236</v>
      </c>
      <c r="L618" s="569">
        <v>12</v>
      </c>
      <c r="M618" s="569">
        <v>0</v>
      </c>
      <c r="N618" s="569" t="s">
        <v>157</v>
      </c>
      <c r="O618" s="569"/>
      <c r="P618" s="569">
        <v>82.9</v>
      </c>
      <c r="Q618" s="568" t="s">
        <v>157</v>
      </c>
      <c r="R618" s="569" t="s">
        <v>1520</v>
      </c>
      <c r="S618" s="569">
        <v>4</v>
      </c>
      <c r="T618" s="569" t="s">
        <v>1608</v>
      </c>
      <c r="U618" s="569" t="s">
        <v>732</v>
      </c>
      <c r="V618" s="569">
        <v>155</v>
      </c>
      <c r="W618" s="569">
        <v>31</v>
      </c>
      <c r="X618" s="568">
        <v>9900</v>
      </c>
      <c r="Y618" s="569">
        <v>12</v>
      </c>
      <c r="Z618" s="581" t="s">
        <v>728</v>
      </c>
      <c r="AA618" s="581" t="s">
        <v>1523</v>
      </c>
      <c r="AB618" s="585">
        <v>43190</v>
      </c>
      <c r="AC618" s="585" t="s">
        <v>164</v>
      </c>
      <c r="AD618" s="585">
        <v>32057.916666666668</v>
      </c>
      <c r="AE618" s="587">
        <v>0.05</v>
      </c>
      <c r="AF618" s="661" t="str">
        <f t="shared" si="66"/>
        <v>2019-LVN-CHV-XP35-009-11</v>
      </c>
      <c r="AG618" s="661" t="str">
        <f>IF(AND($Y618&gt;=32,(AI618="I"),(Y618&lt;&gt;"~"),(COUNTIF($AN$1:$AN618,$AN618)=1)),"TRUE","FALSE")</f>
        <v>FALSE</v>
      </c>
      <c r="AH618" s="661" t="str">
        <f>IF(AND($Y618&gt;=22, (AI618&lt;&gt;"I"),(Y618&lt;&gt;"~"),(COUNTIF($AN$1:$AN618,$AN618)=1)),"TRUE","FALSE")</f>
        <v>FALSE</v>
      </c>
      <c r="AI618" s="661" t="str">
        <f t="shared" si="68"/>
        <v>II</v>
      </c>
      <c r="AJ618" s="662" t="str">
        <f t="shared" si="62"/>
        <v>XP35-009</v>
      </c>
      <c r="AK618" s="662" t="str">
        <f t="shared" si="63"/>
        <v>LVN</v>
      </c>
      <c r="AL618" s="662" t="str">
        <f t="shared" si="64"/>
        <v>CHV</v>
      </c>
      <c r="AM618" s="662" t="str">
        <f t="shared" si="67"/>
        <v>Express 3500-LS-RWD-12-82.9-~-2.8L -4-CG33706-1LS-155-31-Diesel-BioDiesel</v>
      </c>
      <c r="AN618" s="662" t="str">
        <f t="shared" si="65"/>
        <v>2019-LVN-CHV-XP35-009</v>
      </c>
    </row>
    <row r="619" spans="1:40" s="572" customFormat="1" ht="15">
      <c r="A619" s="570" t="s">
        <v>1609</v>
      </c>
      <c r="B619" s="573" t="s">
        <v>1610</v>
      </c>
      <c r="C619" s="573" t="s">
        <v>169</v>
      </c>
      <c r="D619" s="578">
        <v>11</v>
      </c>
      <c r="E619" s="573" t="s">
        <v>1516</v>
      </c>
      <c r="F619" s="573" t="s">
        <v>1607</v>
      </c>
      <c r="G619" s="573" t="s">
        <v>153</v>
      </c>
      <c r="H619" s="573">
        <v>2019</v>
      </c>
      <c r="I619" s="573" t="s">
        <v>1572</v>
      </c>
      <c r="J619" s="573" t="s">
        <v>174</v>
      </c>
      <c r="K619" s="573" t="s">
        <v>236</v>
      </c>
      <c r="L619" s="573">
        <v>12</v>
      </c>
      <c r="M619" s="573">
        <v>0</v>
      </c>
      <c r="N619" s="573" t="s">
        <v>157</v>
      </c>
      <c r="O619" s="573"/>
      <c r="P619" s="573">
        <v>82.9</v>
      </c>
      <c r="Q619" s="571" t="s">
        <v>157</v>
      </c>
      <c r="R619" s="573" t="s">
        <v>1526</v>
      </c>
      <c r="S619" s="573">
        <v>6</v>
      </c>
      <c r="T619" s="573" t="s">
        <v>1608</v>
      </c>
      <c r="U619" s="573" t="s">
        <v>732</v>
      </c>
      <c r="V619" s="573">
        <v>155</v>
      </c>
      <c r="W619" s="573">
        <v>31</v>
      </c>
      <c r="X619" s="571">
        <v>9600</v>
      </c>
      <c r="Y619" s="573">
        <v>12</v>
      </c>
      <c r="Z619" s="579" t="s">
        <v>178</v>
      </c>
      <c r="AA619" s="579" t="s">
        <v>178</v>
      </c>
      <c r="AB619" s="584">
        <v>39195</v>
      </c>
      <c r="AC619" s="584" t="s">
        <v>164</v>
      </c>
      <c r="AD619" s="584">
        <v>28395.833333333336</v>
      </c>
      <c r="AE619" s="586">
        <v>0.05</v>
      </c>
      <c r="AF619" s="661" t="str">
        <f t="shared" si="66"/>
        <v>2019-LVN-CHV-XP35-010-11</v>
      </c>
      <c r="AG619" s="661" t="str">
        <f>IF(AND($Y619&gt;=32,(AI619="I"),(Y619&lt;&gt;"~"),(COUNTIF($AN$1:$AN619,$AN619)=1)),"TRUE","FALSE")</f>
        <v>FALSE</v>
      </c>
      <c r="AH619" s="661" t="str">
        <f>IF(AND($Y619&gt;=22, (AI619&lt;&gt;"I"),(Y619&lt;&gt;"~"),(COUNTIF($AN$1:$AN619,$AN619)=1)),"TRUE","FALSE")</f>
        <v>FALSE</v>
      </c>
      <c r="AI619" s="661" t="str">
        <f t="shared" si="68"/>
        <v>II</v>
      </c>
      <c r="AJ619" s="662" t="str">
        <f t="shared" si="62"/>
        <v>XP35-010</v>
      </c>
      <c r="AK619" s="662" t="str">
        <f t="shared" si="63"/>
        <v>LVN</v>
      </c>
      <c r="AL619" s="662" t="str">
        <f t="shared" si="64"/>
        <v>CHV</v>
      </c>
      <c r="AM619" s="662" t="str">
        <f t="shared" si="67"/>
        <v>Express 3500-LS-RWD-12-82.9-~-4.3L-6-CG33706-1LS-155-31-Unleaded-Unleaded</v>
      </c>
      <c r="AN619" s="662" t="str">
        <f t="shared" si="65"/>
        <v>2019-LVN-CHV-XP35-010</v>
      </c>
    </row>
    <row r="620" spans="1:40" s="572" customFormat="1" ht="15">
      <c r="A620" s="570" t="s">
        <v>1611</v>
      </c>
      <c r="B620" s="569" t="s">
        <v>1612</v>
      </c>
      <c r="C620" s="569" t="s">
        <v>169</v>
      </c>
      <c r="D620" s="580">
        <v>11</v>
      </c>
      <c r="E620" s="569" t="s">
        <v>1516</v>
      </c>
      <c r="F620" s="569" t="s">
        <v>1607</v>
      </c>
      <c r="G620" s="569" t="s">
        <v>153</v>
      </c>
      <c r="H620" s="569">
        <v>2019</v>
      </c>
      <c r="I620" s="569" t="s">
        <v>1572</v>
      </c>
      <c r="J620" s="569" t="s">
        <v>174</v>
      </c>
      <c r="K620" s="569" t="s">
        <v>236</v>
      </c>
      <c r="L620" s="569">
        <v>12</v>
      </c>
      <c r="M620" s="569">
        <v>0</v>
      </c>
      <c r="N620" s="569" t="s">
        <v>157</v>
      </c>
      <c r="O620" s="569"/>
      <c r="P620" s="569">
        <v>83.7</v>
      </c>
      <c r="Q620" s="568" t="s">
        <v>157</v>
      </c>
      <c r="R620" s="569" t="s">
        <v>1520</v>
      </c>
      <c r="S620" s="569">
        <v>4</v>
      </c>
      <c r="T620" s="569" t="s">
        <v>1613</v>
      </c>
      <c r="U620" s="569" t="s">
        <v>732</v>
      </c>
      <c r="V620" s="569">
        <v>135</v>
      </c>
      <c r="W620" s="569">
        <v>31</v>
      </c>
      <c r="X620" s="568">
        <v>9600</v>
      </c>
      <c r="Y620" s="569">
        <v>12</v>
      </c>
      <c r="Z620" s="581" t="s">
        <v>728</v>
      </c>
      <c r="AA620" s="581" t="s">
        <v>1523</v>
      </c>
      <c r="AB620" s="585">
        <v>42390</v>
      </c>
      <c r="AC620" s="585" t="s">
        <v>164</v>
      </c>
      <c r="AD620" s="585">
        <v>30889.583333333336</v>
      </c>
      <c r="AE620" s="587">
        <v>0.05</v>
      </c>
      <c r="AF620" s="661" t="str">
        <f t="shared" si="66"/>
        <v>2019-LVN-CHV-XP35-011-11</v>
      </c>
      <c r="AG620" s="661" t="str">
        <f>IF(AND($Y620&gt;=32,(AI620="I"),(Y620&lt;&gt;"~"),(COUNTIF($AN$1:$AN620,$AN620)=1)),"TRUE","FALSE")</f>
        <v>FALSE</v>
      </c>
      <c r="AH620" s="661" t="str">
        <f>IF(AND($Y620&gt;=22, (AI620&lt;&gt;"I"),(Y620&lt;&gt;"~"),(COUNTIF($AN$1:$AN620,$AN620)=1)),"TRUE","FALSE")</f>
        <v>FALSE</v>
      </c>
      <c r="AI620" s="661" t="str">
        <f t="shared" si="68"/>
        <v>II</v>
      </c>
      <c r="AJ620" s="662" t="str">
        <f t="shared" si="62"/>
        <v>XP35-011</v>
      </c>
      <c r="AK620" s="662" t="str">
        <f t="shared" si="63"/>
        <v>LVN</v>
      </c>
      <c r="AL620" s="662" t="str">
        <f t="shared" si="64"/>
        <v>CHV</v>
      </c>
      <c r="AM620" s="662" t="str">
        <f t="shared" si="67"/>
        <v>Express 3500-LS-RWD-12-83.7-~-2.8L -4-CG33406-1LS-135-31-Diesel-BioDiesel</v>
      </c>
      <c r="AN620" s="662" t="str">
        <f t="shared" si="65"/>
        <v>2019-LVN-CHV-XP35-011</v>
      </c>
    </row>
    <row r="621" spans="1:40" s="572" customFormat="1" ht="15">
      <c r="A621" s="570" t="s">
        <v>1614</v>
      </c>
      <c r="B621" s="573" t="s">
        <v>1615</v>
      </c>
      <c r="C621" s="573" t="s">
        <v>169</v>
      </c>
      <c r="D621" s="578">
        <v>11</v>
      </c>
      <c r="E621" s="573" t="s">
        <v>1516</v>
      </c>
      <c r="F621" s="573" t="s">
        <v>1607</v>
      </c>
      <c r="G621" s="573" t="s">
        <v>153</v>
      </c>
      <c r="H621" s="573">
        <v>2019</v>
      </c>
      <c r="I621" s="573" t="s">
        <v>1572</v>
      </c>
      <c r="J621" s="573" t="s">
        <v>174</v>
      </c>
      <c r="K621" s="573" t="s">
        <v>236</v>
      </c>
      <c r="L621" s="573">
        <v>12</v>
      </c>
      <c r="M621" s="573">
        <v>0</v>
      </c>
      <c r="N621" s="573" t="s">
        <v>157</v>
      </c>
      <c r="O621" s="573"/>
      <c r="P621" s="573">
        <v>83.7</v>
      </c>
      <c r="Q621" s="571" t="s">
        <v>157</v>
      </c>
      <c r="R621" s="573" t="s">
        <v>1526</v>
      </c>
      <c r="S621" s="573">
        <v>6</v>
      </c>
      <c r="T621" s="573" t="s">
        <v>1613</v>
      </c>
      <c r="U621" s="573" t="s">
        <v>732</v>
      </c>
      <c r="V621" s="573">
        <v>135</v>
      </c>
      <c r="W621" s="573">
        <v>31</v>
      </c>
      <c r="X621" s="571">
        <v>9600</v>
      </c>
      <c r="Y621" s="573">
        <v>12</v>
      </c>
      <c r="Z621" s="579" t="s">
        <v>178</v>
      </c>
      <c r="AA621" s="579" t="s">
        <v>178</v>
      </c>
      <c r="AB621" s="584">
        <v>38395</v>
      </c>
      <c r="AC621" s="584" t="s">
        <v>164</v>
      </c>
      <c r="AD621" s="584">
        <v>27227.500000000004</v>
      </c>
      <c r="AE621" s="586">
        <v>0.05</v>
      </c>
      <c r="AF621" s="661" t="str">
        <f t="shared" si="66"/>
        <v>2019-LVN-CHV-XP35-012-11</v>
      </c>
      <c r="AG621" s="661" t="str">
        <f>IF(AND($Y621&gt;=32,(AI621="I"),(Y621&lt;&gt;"~"),(COUNTIF($AN$1:$AN621,$AN621)=1)),"TRUE","FALSE")</f>
        <v>FALSE</v>
      </c>
      <c r="AH621" s="661" t="str">
        <f>IF(AND($Y621&gt;=22, (AI621&lt;&gt;"I"),(Y621&lt;&gt;"~"),(COUNTIF($AN$1:$AN621,$AN621)=1)),"TRUE","FALSE")</f>
        <v>FALSE</v>
      </c>
      <c r="AI621" s="661" t="str">
        <f t="shared" si="68"/>
        <v>II</v>
      </c>
      <c r="AJ621" s="662" t="str">
        <f t="shared" si="62"/>
        <v>XP35-012</v>
      </c>
      <c r="AK621" s="662" t="str">
        <f t="shared" si="63"/>
        <v>LVN</v>
      </c>
      <c r="AL621" s="662" t="str">
        <f t="shared" si="64"/>
        <v>CHV</v>
      </c>
      <c r="AM621" s="662" t="str">
        <f t="shared" si="67"/>
        <v>Express 3500-LS-RWD-12-83.7-~-4.3L-6-CG33406-1LS-135-31-Unleaded-Unleaded</v>
      </c>
      <c r="AN621" s="662" t="str">
        <f t="shared" si="65"/>
        <v>2019-LVN-CHV-XP35-012</v>
      </c>
    </row>
    <row r="622" spans="1:40" s="572" customFormat="1" ht="15">
      <c r="A622" s="570" t="s">
        <v>1616</v>
      </c>
      <c r="B622" s="569" t="s">
        <v>1606</v>
      </c>
      <c r="C622" s="569" t="s">
        <v>150</v>
      </c>
      <c r="D622" s="580">
        <v>13</v>
      </c>
      <c r="E622" s="569" t="s">
        <v>1516</v>
      </c>
      <c r="F622" s="569" t="s">
        <v>1607</v>
      </c>
      <c r="G622" s="569" t="s">
        <v>153</v>
      </c>
      <c r="H622" s="569">
        <v>2019</v>
      </c>
      <c r="I622" s="569" t="s">
        <v>1572</v>
      </c>
      <c r="J622" s="569" t="s">
        <v>174</v>
      </c>
      <c r="K622" s="569" t="s">
        <v>236</v>
      </c>
      <c r="L622" s="569">
        <v>12</v>
      </c>
      <c r="M622" s="569">
        <v>0</v>
      </c>
      <c r="N622" s="569" t="s">
        <v>157</v>
      </c>
      <c r="O622" s="569">
        <v>4</v>
      </c>
      <c r="P622" s="569">
        <v>82.9</v>
      </c>
      <c r="Q622" s="568" t="s">
        <v>157</v>
      </c>
      <c r="R622" s="569" t="s">
        <v>1520</v>
      </c>
      <c r="S622" s="569">
        <v>4</v>
      </c>
      <c r="T622" s="569" t="s">
        <v>1608</v>
      </c>
      <c r="U622" s="569" t="s">
        <v>732</v>
      </c>
      <c r="V622" s="569">
        <v>155</v>
      </c>
      <c r="W622" s="569">
        <v>31</v>
      </c>
      <c r="X622" s="568">
        <v>9900</v>
      </c>
      <c r="Y622" s="569">
        <v>12</v>
      </c>
      <c r="Z622" s="581" t="s">
        <v>728</v>
      </c>
      <c r="AA622" s="581" t="s">
        <v>1523</v>
      </c>
      <c r="AB622" s="585">
        <v>43190</v>
      </c>
      <c r="AC622" s="585" t="s">
        <v>164</v>
      </c>
      <c r="AD622" s="585">
        <v>32888</v>
      </c>
      <c r="AE622" s="587">
        <v>0.03</v>
      </c>
      <c r="AF622" s="661" t="str">
        <f t="shared" si="66"/>
        <v>2019-LVN-CHV-XP35-009-13</v>
      </c>
      <c r="AG622" s="661" t="str">
        <f>IF(AND($Y622&gt;=32,(AI622="I"),(Y622&lt;&gt;"~"),(COUNTIF($AN$1:$AN622,$AN622)=1)),"TRUE","FALSE")</f>
        <v>FALSE</v>
      </c>
      <c r="AH622" s="661" t="str">
        <f>IF(AND($Y622&gt;=22, (AI622&lt;&gt;"I"),(Y622&lt;&gt;"~"),(COUNTIF($AN$1:$AN622,$AN622)=1)),"TRUE","FALSE")</f>
        <v>FALSE</v>
      </c>
      <c r="AI622" s="661" t="str">
        <f t="shared" si="68"/>
        <v>II</v>
      </c>
      <c r="AJ622" s="662" t="str">
        <f t="shared" si="62"/>
        <v>XP35-009</v>
      </c>
      <c r="AK622" s="662" t="str">
        <f t="shared" si="63"/>
        <v>LVN</v>
      </c>
      <c r="AL622" s="662" t="str">
        <f t="shared" si="64"/>
        <v>CHV</v>
      </c>
      <c r="AM622" s="662" t="str">
        <f t="shared" si="67"/>
        <v>Express 3500-LS-RWD-12-82.9-~-2.8L -4-CG33706-1LS-155-31-Diesel-BioDiesel</v>
      </c>
      <c r="AN622" s="662" t="str">
        <f t="shared" si="65"/>
        <v>2019-LVN-CHV-XP35-009</v>
      </c>
    </row>
    <row r="623" spans="1:40" s="572" customFormat="1" ht="15">
      <c r="A623" s="570" t="s">
        <v>1617</v>
      </c>
      <c r="B623" s="573" t="s">
        <v>1610</v>
      </c>
      <c r="C623" s="573" t="s">
        <v>150</v>
      </c>
      <c r="D623" s="578">
        <v>13</v>
      </c>
      <c r="E623" s="573" t="s">
        <v>1516</v>
      </c>
      <c r="F623" s="573" t="s">
        <v>1607</v>
      </c>
      <c r="G623" s="573" t="s">
        <v>153</v>
      </c>
      <c r="H623" s="573">
        <v>2019</v>
      </c>
      <c r="I623" s="573" t="s">
        <v>1572</v>
      </c>
      <c r="J623" s="573" t="s">
        <v>174</v>
      </c>
      <c r="K623" s="573" t="s">
        <v>236</v>
      </c>
      <c r="L623" s="573">
        <v>12</v>
      </c>
      <c r="M623" s="573">
        <v>0</v>
      </c>
      <c r="N623" s="573" t="s">
        <v>157</v>
      </c>
      <c r="O623" s="573">
        <v>4</v>
      </c>
      <c r="P623" s="573">
        <v>82.9</v>
      </c>
      <c r="Q623" s="571" t="s">
        <v>157</v>
      </c>
      <c r="R623" s="573" t="s">
        <v>1526</v>
      </c>
      <c r="S623" s="573">
        <v>6</v>
      </c>
      <c r="T623" s="573" t="s">
        <v>1608</v>
      </c>
      <c r="U623" s="573" t="s">
        <v>732</v>
      </c>
      <c r="V623" s="573">
        <v>155</v>
      </c>
      <c r="W623" s="573">
        <v>31</v>
      </c>
      <c r="X623" s="571">
        <v>9600</v>
      </c>
      <c r="Y623" s="573">
        <v>12</v>
      </c>
      <c r="Z623" s="579" t="s">
        <v>178</v>
      </c>
      <c r="AA623" s="579" t="s">
        <v>178</v>
      </c>
      <c r="AB623" s="584">
        <v>39195</v>
      </c>
      <c r="AC623" s="584" t="s">
        <v>164</v>
      </c>
      <c r="AD623" s="584">
        <v>29307</v>
      </c>
      <c r="AE623" s="586">
        <v>0.03</v>
      </c>
      <c r="AF623" s="661" t="str">
        <f t="shared" si="66"/>
        <v>2019-LVN-CHV-XP35-010-13</v>
      </c>
      <c r="AG623" s="661" t="str">
        <f>IF(AND($Y623&gt;=32,(AI623="I"),(Y623&lt;&gt;"~"),(COUNTIF($AN$1:$AN623,$AN623)=1)),"TRUE","FALSE")</f>
        <v>FALSE</v>
      </c>
      <c r="AH623" s="661" t="str">
        <f>IF(AND($Y623&gt;=22, (AI623&lt;&gt;"I"),(Y623&lt;&gt;"~"),(COUNTIF($AN$1:$AN623,$AN623)=1)),"TRUE","FALSE")</f>
        <v>FALSE</v>
      </c>
      <c r="AI623" s="661" t="str">
        <f t="shared" si="68"/>
        <v>II</v>
      </c>
      <c r="AJ623" s="662" t="str">
        <f t="shared" si="62"/>
        <v>XP35-010</v>
      </c>
      <c r="AK623" s="662" t="str">
        <f t="shared" si="63"/>
        <v>LVN</v>
      </c>
      <c r="AL623" s="662" t="str">
        <f t="shared" si="64"/>
        <v>CHV</v>
      </c>
      <c r="AM623" s="662" t="str">
        <f t="shared" si="67"/>
        <v>Express 3500-LS-RWD-12-82.9-~-4.3L-6-CG33706-1LS-155-31-Unleaded-Unleaded</v>
      </c>
      <c r="AN623" s="662" t="str">
        <f t="shared" si="65"/>
        <v>2019-LVN-CHV-XP35-010</v>
      </c>
    </row>
    <row r="624" spans="1:40" s="572" customFormat="1" ht="15">
      <c r="A624" s="570" t="s">
        <v>1618</v>
      </c>
      <c r="B624" s="569" t="s">
        <v>1612</v>
      </c>
      <c r="C624" s="569" t="s">
        <v>150</v>
      </c>
      <c r="D624" s="580">
        <v>13</v>
      </c>
      <c r="E624" s="569" t="s">
        <v>1516</v>
      </c>
      <c r="F624" s="569" t="s">
        <v>1607</v>
      </c>
      <c r="G624" s="569" t="s">
        <v>153</v>
      </c>
      <c r="H624" s="569">
        <v>2019</v>
      </c>
      <c r="I624" s="569" t="s">
        <v>1572</v>
      </c>
      <c r="J624" s="569" t="s">
        <v>174</v>
      </c>
      <c r="K624" s="569" t="s">
        <v>236</v>
      </c>
      <c r="L624" s="569">
        <v>12</v>
      </c>
      <c r="M624" s="569">
        <v>0</v>
      </c>
      <c r="N624" s="569" t="s">
        <v>157</v>
      </c>
      <c r="O624" s="569">
        <v>4</v>
      </c>
      <c r="P624" s="569">
        <v>83.7</v>
      </c>
      <c r="Q624" s="568" t="s">
        <v>157</v>
      </c>
      <c r="R624" s="569" t="s">
        <v>1520</v>
      </c>
      <c r="S624" s="569">
        <v>4</v>
      </c>
      <c r="T624" s="569" t="s">
        <v>1613</v>
      </c>
      <c r="U624" s="569" t="s">
        <v>732</v>
      </c>
      <c r="V624" s="569">
        <v>135</v>
      </c>
      <c r="W624" s="569">
        <v>31</v>
      </c>
      <c r="X624" s="568">
        <v>9600</v>
      </c>
      <c r="Y624" s="569">
        <v>12</v>
      </c>
      <c r="Z624" s="581" t="s">
        <v>728</v>
      </c>
      <c r="AA624" s="581" t="s">
        <v>1523</v>
      </c>
      <c r="AB624" s="585">
        <v>42390</v>
      </c>
      <c r="AC624" s="585" t="s">
        <v>164</v>
      </c>
      <c r="AD624" s="585">
        <v>32005</v>
      </c>
      <c r="AE624" s="587">
        <v>0.03</v>
      </c>
      <c r="AF624" s="661" t="str">
        <f t="shared" si="66"/>
        <v>2019-LVN-CHV-XP35-011-13</v>
      </c>
      <c r="AG624" s="661" t="str">
        <f>IF(AND($Y624&gt;=32,(AI624="I"),(Y624&lt;&gt;"~"),(COUNTIF($AN$1:$AN624,$AN624)=1)),"TRUE","FALSE")</f>
        <v>FALSE</v>
      </c>
      <c r="AH624" s="661" t="str">
        <f>IF(AND($Y624&gt;=22, (AI624&lt;&gt;"I"),(Y624&lt;&gt;"~"),(COUNTIF($AN$1:$AN624,$AN624)=1)),"TRUE","FALSE")</f>
        <v>FALSE</v>
      </c>
      <c r="AI624" s="661" t="str">
        <f t="shared" si="68"/>
        <v>II</v>
      </c>
      <c r="AJ624" s="662" t="str">
        <f t="shared" si="62"/>
        <v>XP35-011</v>
      </c>
      <c r="AK624" s="662" t="str">
        <f t="shared" si="63"/>
        <v>LVN</v>
      </c>
      <c r="AL624" s="662" t="str">
        <f t="shared" si="64"/>
        <v>CHV</v>
      </c>
      <c r="AM624" s="662" t="str">
        <f t="shared" si="67"/>
        <v>Express 3500-LS-RWD-12-83.7-~-2.8L -4-CG33406-1LS-135-31-Diesel-BioDiesel</v>
      </c>
      <c r="AN624" s="662" t="str">
        <f t="shared" si="65"/>
        <v>2019-LVN-CHV-XP35-011</v>
      </c>
    </row>
    <row r="625" spans="1:40" s="572" customFormat="1" ht="15">
      <c r="A625" s="570" t="s">
        <v>1619</v>
      </c>
      <c r="B625" s="573" t="s">
        <v>1615</v>
      </c>
      <c r="C625" s="573" t="s">
        <v>150</v>
      </c>
      <c r="D625" s="578">
        <v>13</v>
      </c>
      <c r="E625" s="573" t="s">
        <v>1516</v>
      </c>
      <c r="F625" s="573" t="s">
        <v>1607</v>
      </c>
      <c r="G625" s="573" t="s">
        <v>153</v>
      </c>
      <c r="H625" s="573">
        <v>2019</v>
      </c>
      <c r="I625" s="573" t="s">
        <v>1572</v>
      </c>
      <c r="J625" s="573" t="s">
        <v>174</v>
      </c>
      <c r="K625" s="573" t="s">
        <v>236</v>
      </c>
      <c r="L625" s="573">
        <v>12</v>
      </c>
      <c r="M625" s="573">
        <v>0</v>
      </c>
      <c r="N625" s="573" t="s">
        <v>157</v>
      </c>
      <c r="O625" s="573">
        <v>4</v>
      </c>
      <c r="P625" s="573">
        <v>83.7</v>
      </c>
      <c r="Q625" s="571" t="s">
        <v>157</v>
      </c>
      <c r="R625" s="573" t="s">
        <v>1526</v>
      </c>
      <c r="S625" s="573">
        <v>6</v>
      </c>
      <c r="T625" s="573" t="s">
        <v>1613</v>
      </c>
      <c r="U625" s="573" t="s">
        <v>732</v>
      </c>
      <c r="V625" s="573">
        <v>135</v>
      </c>
      <c r="W625" s="573">
        <v>31</v>
      </c>
      <c r="X625" s="571">
        <v>9600</v>
      </c>
      <c r="Y625" s="573">
        <v>12</v>
      </c>
      <c r="Z625" s="579" t="s">
        <v>178</v>
      </c>
      <c r="AA625" s="579" t="s">
        <v>178</v>
      </c>
      <c r="AB625" s="584">
        <v>38395</v>
      </c>
      <c r="AC625" s="584" t="s">
        <v>164</v>
      </c>
      <c r="AD625" s="584">
        <v>27624</v>
      </c>
      <c r="AE625" s="586">
        <v>0.03</v>
      </c>
      <c r="AF625" s="661" t="str">
        <f t="shared" si="66"/>
        <v>2019-LVN-CHV-XP35-012-13</v>
      </c>
      <c r="AG625" s="661" t="str">
        <f>IF(AND($Y625&gt;=32,(AI625="I"),(Y625&lt;&gt;"~"),(COUNTIF($AN$1:$AN625,$AN625)=1)),"TRUE","FALSE")</f>
        <v>FALSE</v>
      </c>
      <c r="AH625" s="661" t="str">
        <f>IF(AND($Y625&gt;=22, (AI625&lt;&gt;"I"),(Y625&lt;&gt;"~"),(COUNTIF($AN$1:$AN625,$AN625)=1)),"TRUE","FALSE")</f>
        <v>FALSE</v>
      </c>
      <c r="AI625" s="661" t="str">
        <f t="shared" si="68"/>
        <v>II</v>
      </c>
      <c r="AJ625" s="662" t="str">
        <f t="shared" si="62"/>
        <v>XP35-012</v>
      </c>
      <c r="AK625" s="662" t="str">
        <f t="shared" si="63"/>
        <v>LVN</v>
      </c>
      <c r="AL625" s="662" t="str">
        <f t="shared" si="64"/>
        <v>CHV</v>
      </c>
      <c r="AM625" s="662" t="str">
        <f t="shared" si="67"/>
        <v>Express 3500-LS-RWD-12-83.7-~-4.3L-6-CG33406-1LS-135-31-Unleaded-Unleaded</v>
      </c>
      <c r="AN625" s="662" t="str">
        <f t="shared" si="65"/>
        <v>2019-LVN-CHV-XP35-012</v>
      </c>
    </row>
    <row r="626" spans="1:40" s="572" customFormat="1" ht="15">
      <c r="A626" s="570" t="s">
        <v>1620</v>
      </c>
      <c r="B626" s="569" t="s">
        <v>1606</v>
      </c>
      <c r="C626" s="569" t="s">
        <v>166</v>
      </c>
      <c r="D626" s="580">
        <v>17</v>
      </c>
      <c r="E626" s="569" t="s">
        <v>1516</v>
      </c>
      <c r="F626" s="569" t="s">
        <v>1607</v>
      </c>
      <c r="G626" s="569" t="s">
        <v>153</v>
      </c>
      <c r="H626" s="569">
        <v>2019</v>
      </c>
      <c r="I626" s="569" t="s">
        <v>1572</v>
      </c>
      <c r="J626" s="569" t="s">
        <v>174</v>
      </c>
      <c r="K626" s="569" t="s">
        <v>236</v>
      </c>
      <c r="L626" s="569">
        <v>12</v>
      </c>
      <c r="M626" s="569">
        <v>0</v>
      </c>
      <c r="N626" s="569" t="s">
        <v>157</v>
      </c>
      <c r="O626" s="569">
        <v>4</v>
      </c>
      <c r="P626" s="569">
        <v>82.9</v>
      </c>
      <c r="Q626" s="568" t="s">
        <v>157</v>
      </c>
      <c r="R626" s="569" t="s">
        <v>1520</v>
      </c>
      <c r="S626" s="569">
        <v>4</v>
      </c>
      <c r="T626" s="569" t="s">
        <v>1608</v>
      </c>
      <c r="U626" s="569" t="s">
        <v>732</v>
      </c>
      <c r="V626" s="569">
        <v>155</v>
      </c>
      <c r="W626" s="569">
        <v>31</v>
      </c>
      <c r="X626" s="568">
        <v>9900</v>
      </c>
      <c r="Y626" s="569">
        <v>12</v>
      </c>
      <c r="Z626" s="581" t="s">
        <v>728</v>
      </c>
      <c r="AA626" s="581" t="s">
        <v>1523</v>
      </c>
      <c r="AB626" s="585">
        <v>43190</v>
      </c>
      <c r="AC626" s="585" t="s">
        <v>164</v>
      </c>
      <c r="AD626" s="585">
        <v>34675</v>
      </c>
      <c r="AE626" s="587">
        <v>7.1999999999999995E-2</v>
      </c>
      <c r="AF626" s="661" t="str">
        <f t="shared" si="66"/>
        <v>2019-LVN-CHV-XP35-009-17</v>
      </c>
      <c r="AG626" s="661" t="str">
        <f>IF(AND($Y626&gt;=32,(AI626="I"),(Y626&lt;&gt;"~"),(COUNTIF($AN$1:$AN626,$AN626)=1)),"TRUE","FALSE")</f>
        <v>FALSE</v>
      </c>
      <c r="AH626" s="661" t="str">
        <f>IF(AND($Y626&gt;=22, (AI626&lt;&gt;"I"),(Y626&lt;&gt;"~"),(COUNTIF($AN$1:$AN626,$AN626)=1)),"TRUE","FALSE")</f>
        <v>FALSE</v>
      </c>
      <c r="AI626" s="661" t="str">
        <f t="shared" si="68"/>
        <v>II</v>
      </c>
      <c r="AJ626" s="662" t="str">
        <f t="shared" si="62"/>
        <v>XP35-009</v>
      </c>
      <c r="AK626" s="662" t="str">
        <f t="shared" si="63"/>
        <v>LVN</v>
      </c>
      <c r="AL626" s="662" t="str">
        <f t="shared" si="64"/>
        <v>CHV</v>
      </c>
      <c r="AM626" s="662" t="str">
        <f t="shared" si="67"/>
        <v>Express 3500-LS-RWD-12-82.9-~-2.8L -4-CG33706-1LS-155-31-Diesel-BioDiesel</v>
      </c>
      <c r="AN626" s="662" t="str">
        <f t="shared" si="65"/>
        <v>2019-LVN-CHV-XP35-009</v>
      </c>
    </row>
    <row r="627" spans="1:40" s="572" customFormat="1" ht="15">
      <c r="A627" s="570" t="s">
        <v>1621</v>
      </c>
      <c r="B627" s="573" t="s">
        <v>1610</v>
      </c>
      <c r="C627" s="573" t="s">
        <v>166</v>
      </c>
      <c r="D627" s="578">
        <v>17</v>
      </c>
      <c r="E627" s="573" t="s">
        <v>1516</v>
      </c>
      <c r="F627" s="573" t="s">
        <v>1607</v>
      </c>
      <c r="G627" s="573" t="s">
        <v>153</v>
      </c>
      <c r="H627" s="573">
        <v>2019</v>
      </c>
      <c r="I627" s="573" t="s">
        <v>1572</v>
      </c>
      <c r="J627" s="573" t="s">
        <v>174</v>
      </c>
      <c r="K627" s="573" t="s">
        <v>236</v>
      </c>
      <c r="L627" s="573">
        <v>12</v>
      </c>
      <c r="M627" s="573">
        <v>0</v>
      </c>
      <c r="N627" s="573" t="s">
        <v>157</v>
      </c>
      <c r="O627" s="573">
        <v>4</v>
      </c>
      <c r="P627" s="573">
        <v>82.9</v>
      </c>
      <c r="Q627" s="571" t="s">
        <v>157</v>
      </c>
      <c r="R627" s="573" t="s">
        <v>1526</v>
      </c>
      <c r="S627" s="573">
        <v>6</v>
      </c>
      <c r="T627" s="573" t="s">
        <v>1608</v>
      </c>
      <c r="U627" s="573" t="s">
        <v>732</v>
      </c>
      <c r="V627" s="573">
        <v>155</v>
      </c>
      <c r="W627" s="573">
        <v>31</v>
      </c>
      <c r="X627" s="571">
        <v>9600</v>
      </c>
      <c r="Y627" s="573">
        <v>12</v>
      </c>
      <c r="Z627" s="579" t="s">
        <v>178</v>
      </c>
      <c r="AA627" s="579" t="s">
        <v>178</v>
      </c>
      <c r="AB627" s="584">
        <v>39195</v>
      </c>
      <c r="AC627" s="584" t="s">
        <v>164</v>
      </c>
      <c r="AD627" s="584">
        <v>29435</v>
      </c>
      <c r="AE627" s="586">
        <v>7.1999999999999995E-2</v>
      </c>
      <c r="AF627" s="661" t="str">
        <f t="shared" si="66"/>
        <v>2019-LVN-CHV-XP35-010-17</v>
      </c>
      <c r="AG627" s="661" t="str">
        <f>IF(AND($Y627&gt;=32,(AI627="I"),(Y627&lt;&gt;"~"),(COUNTIF($AN$1:$AN627,$AN627)=1)),"TRUE","FALSE")</f>
        <v>FALSE</v>
      </c>
      <c r="AH627" s="661" t="str">
        <f>IF(AND($Y627&gt;=22, (AI627&lt;&gt;"I"),(Y627&lt;&gt;"~"),(COUNTIF($AN$1:$AN627,$AN627)=1)),"TRUE","FALSE")</f>
        <v>FALSE</v>
      </c>
      <c r="AI627" s="661" t="str">
        <f t="shared" si="68"/>
        <v>II</v>
      </c>
      <c r="AJ627" s="662" t="str">
        <f t="shared" si="62"/>
        <v>XP35-010</v>
      </c>
      <c r="AK627" s="662" t="str">
        <f t="shared" si="63"/>
        <v>LVN</v>
      </c>
      <c r="AL627" s="662" t="str">
        <f t="shared" si="64"/>
        <v>CHV</v>
      </c>
      <c r="AM627" s="662" t="str">
        <f t="shared" si="67"/>
        <v>Express 3500-LS-RWD-12-82.9-~-4.3L-6-CG33706-1LS-155-31-Unleaded-Unleaded</v>
      </c>
      <c r="AN627" s="662" t="str">
        <f t="shared" si="65"/>
        <v>2019-LVN-CHV-XP35-010</v>
      </c>
    </row>
    <row r="628" spans="1:40" s="572" customFormat="1" ht="15">
      <c r="A628" s="570" t="s">
        <v>1622</v>
      </c>
      <c r="B628" s="569" t="s">
        <v>1612</v>
      </c>
      <c r="C628" s="569" t="s">
        <v>166</v>
      </c>
      <c r="D628" s="580">
        <v>17</v>
      </c>
      <c r="E628" s="569" t="s">
        <v>1516</v>
      </c>
      <c r="F628" s="569" t="s">
        <v>1607</v>
      </c>
      <c r="G628" s="569" t="s">
        <v>153</v>
      </c>
      <c r="H628" s="569">
        <v>2019</v>
      </c>
      <c r="I628" s="569" t="s">
        <v>1572</v>
      </c>
      <c r="J628" s="569" t="s">
        <v>174</v>
      </c>
      <c r="K628" s="569" t="s">
        <v>236</v>
      </c>
      <c r="L628" s="569">
        <v>12</v>
      </c>
      <c r="M628" s="569">
        <v>0</v>
      </c>
      <c r="N628" s="569" t="s">
        <v>157</v>
      </c>
      <c r="O628" s="569">
        <v>4</v>
      </c>
      <c r="P628" s="569">
        <v>83.7</v>
      </c>
      <c r="Q628" s="568" t="s">
        <v>157</v>
      </c>
      <c r="R628" s="569" t="s">
        <v>1520</v>
      </c>
      <c r="S628" s="569">
        <v>4</v>
      </c>
      <c r="T628" s="569" t="s">
        <v>1613</v>
      </c>
      <c r="U628" s="569" t="s">
        <v>732</v>
      </c>
      <c r="V628" s="569">
        <v>135</v>
      </c>
      <c r="W628" s="569">
        <v>31</v>
      </c>
      <c r="X628" s="568">
        <v>9600</v>
      </c>
      <c r="Y628" s="569">
        <v>12</v>
      </c>
      <c r="Z628" s="581" t="s">
        <v>728</v>
      </c>
      <c r="AA628" s="581" t="s">
        <v>1523</v>
      </c>
      <c r="AB628" s="585">
        <v>42390</v>
      </c>
      <c r="AC628" s="585" t="s">
        <v>164</v>
      </c>
      <c r="AD628" s="585">
        <v>32855</v>
      </c>
      <c r="AE628" s="587">
        <v>7.1999999999999995E-2</v>
      </c>
      <c r="AF628" s="661" t="str">
        <f t="shared" si="66"/>
        <v>2019-LVN-CHV-XP35-011-17</v>
      </c>
      <c r="AG628" s="661" t="str">
        <f>IF(AND($Y628&gt;=32,(AI628="I"),(Y628&lt;&gt;"~"),(COUNTIF($AN$1:$AN628,$AN628)=1)),"TRUE","FALSE")</f>
        <v>FALSE</v>
      </c>
      <c r="AH628" s="661" t="str">
        <f>IF(AND($Y628&gt;=22, (AI628&lt;&gt;"I"),(Y628&lt;&gt;"~"),(COUNTIF($AN$1:$AN628,$AN628)=1)),"TRUE","FALSE")</f>
        <v>FALSE</v>
      </c>
      <c r="AI628" s="661" t="str">
        <f t="shared" si="68"/>
        <v>II</v>
      </c>
      <c r="AJ628" s="662" t="str">
        <f t="shared" si="62"/>
        <v>XP35-011</v>
      </c>
      <c r="AK628" s="662" t="str">
        <f t="shared" si="63"/>
        <v>LVN</v>
      </c>
      <c r="AL628" s="662" t="str">
        <f t="shared" si="64"/>
        <v>CHV</v>
      </c>
      <c r="AM628" s="662" t="str">
        <f t="shared" si="67"/>
        <v>Express 3500-LS-RWD-12-83.7-~-2.8L -4-CG33406-1LS-135-31-Diesel-BioDiesel</v>
      </c>
      <c r="AN628" s="662" t="str">
        <f t="shared" si="65"/>
        <v>2019-LVN-CHV-XP35-011</v>
      </c>
    </row>
    <row r="629" spans="1:40" s="572" customFormat="1" ht="15">
      <c r="A629" s="570" t="s">
        <v>1623</v>
      </c>
      <c r="B629" s="573" t="s">
        <v>1615</v>
      </c>
      <c r="C629" s="573" t="s">
        <v>166</v>
      </c>
      <c r="D629" s="578">
        <v>17</v>
      </c>
      <c r="E629" s="573" t="s">
        <v>1516</v>
      </c>
      <c r="F629" s="573" t="s">
        <v>1607</v>
      </c>
      <c r="G629" s="573" t="s">
        <v>153</v>
      </c>
      <c r="H629" s="573">
        <v>2019</v>
      </c>
      <c r="I629" s="573" t="s">
        <v>1572</v>
      </c>
      <c r="J629" s="573" t="s">
        <v>174</v>
      </c>
      <c r="K629" s="573" t="s">
        <v>236</v>
      </c>
      <c r="L629" s="573">
        <v>12</v>
      </c>
      <c r="M629" s="573">
        <v>0</v>
      </c>
      <c r="N629" s="573" t="s">
        <v>157</v>
      </c>
      <c r="O629" s="573">
        <v>4</v>
      </c>
      <c r="P629" s="573">
        <v>83.7</v>
      </c>
      <c r="Q629" s="571" t="s">
        <v>157</v>
      </c>
      <c r="R629" s="573" t="s">
        <v>1526</v>
      </c>
      <c r="S629" s="573">
        <v>6</v>
      </c>
      <c r="T629" s="573" t="s">
        <v>1613</v>
      </c>
      <c r="U629" s="573" t="s">
        <v>732</v>
      </c>
      <c r="V629" s="573">
        <v>135</v>
      </c>
      <c r="W629" s="573">
        <v>31</v>
      </c>
      <c r="X629" s="571">
        <v>9600</v>
      </c>
      <c r="Y629" s="573">
        <v>12</v>
      </c>
      <c r="Z629" s="579" t="s">
        <v>178</v>
      </c>
      <c r="AA629" s="579" t="s">
        <v>178</v>
      </c>
      <c r="AB629" s="584">
        <v>38395</v>
      </c>
      <c r="AC629" s="584" t="s">
        <v>164</v>
      </c>
      <c r="AD629" s="584">
        <v>28837</v>
      </c>
      <c r="AE629" s="586">
        <v>7.1999999999999995E-2</v>
      </c>
      <c r="AF629" s="661" t="str">
        <f t="shared" si="66"/>
        <v>2019-LVN-CHV-XP35-012-17</v>
      </c>
      <c r="AG629" s="661" t="str">
        <f>IF(AND($Y629&gt;=32,(AI629="I"),(Y629&lt;&gt;"~"),(COUNTIF($AN$1:$AN629,$AN629)=1)),"TRUE","FALSE")</f>
        <v>FALSE</v>
      </c>
      <c r="AH629" s="661" t="str">
        <f>IF(AND($Y629&gt;=22, (AI629&lt;&gt;"I"),(Y629&lt;&gt;"~"),(COUNTIF($AN$1:$AN629,$AN629)=1)),"TRUE","FALSE")</f>
        <v>FALSE</v>
      </c>
      <c r="AI629" s="661" t="str">
        <f t="shared" si="68"/>
        <v>II</v>
      </c>
      <c r="AJ629" s="662" t="str">
        <f t="shared" si="62"/>
        <v>XP35-012</v>
      </c>
      <c r="AK629" s="662" t="str">
        <f t="shared" si="63"/>
        <v>LVN</v>
      </c>
      <c r="AL629" s="662" t="str">
        <f t="shared" si="64"/>
        <v>CHV</v>
      </c>
      <c r="AM629" s="662" t="str">
        <f t="shared" si="67"/>
        <v>Express 3500-LS-RWD-12-83.7-~-4.3L-6-CG33406-1LS-135-31-Unleaded-Unleaded</v>
      </c>
      <c r="AN629" s="662" t="str">
        <f t="shared" si="65"/>
        <v>2019-LVN-CHV-XP35-012</v>
      </c>
    </row>
    <row r="630" spans="1:40" s="572" customFormat="1" ht="15">
      <c r="A630" s="570" t="s">
        <v>1624</v>
      </c>
      <c r="B630" s="569" t="s">
        <v>1625</v>
      </c>
      <c r="C630" s="569" t="s">
        <v>169</v>
      </c>
      <c r="D630" s="580">
        <v>11</v>
      </c>
      <c r="E630" s="569" t="s">
        <v>1516</v>
      </c>
      <c r="F630" s="569" t="s">
        <v>1607</v>
      </c>
      <c r="G630" s="569" t="s">
        <v>153</v>
      </c>
      <c r="H630" s="569">
        <v>2019</v>
      </c>
      <c r="I630" s="569" t="s">
        <v>1572</v>
      </c>
      <c r="J630" s="569" t="s">
        <v>155</v>
      </c>
      <c r="K630" s="569" t="s">
        <v>236</v>
      </c>
      <c r="L630" s="569">
        <v>12</v>
      </c>
      <c r="M630" s="569">
        <v>0</v>
      </c>
      <c r="N630" s="569" t="s">
        <v>157</v>
      </c>
      <c r="O630" s="569"/>
      <c r="P630" s="569">
        <v>82.9</v>
      </c>
      <c r="Q630" s="568" t="s">
        <v>157</v>
      </c>
      <c r="R630" s="569" t="s">
        <v>1520</v>
      </c>
      <c r="S630" s="569">
        <v>4</v>
      </c>
      <c r="T630" s="569" t="s">
        <v>1608</v>
      </c>
      <c r="U630" s="569" t="s">
        <v>213</v>
      </c>
      <c r="V630" s="569">
        <v>155</v>
      </c>
      <c r="W630" s="569">
        <v>31</v>
      </c>
      <c r="X630" s="568">
        <v>9900</v>
      </c>
      <c r="Y630" s="569">
        <v>12</v>
      </c>
      <c r="Z630" s="581" t="s">
        <v>728</v>
      </c>
      <c r="AA630" s="581" t="s">
        <v>1523</v>
      </c>
      <c r="AB630" s="585">
        <v>43890</v>
      </c>
      <c r="AC630" s="585" t="s">
        <v>164</v>
      </c>
      <c r="AD630" s="585">
        <v>32699.583333333332</v>
      </c>
      <c r="AE630" s="587">
        <v>0.05</v>
      </c>
      <c r="AF630" s="661" t="str">
        <f t="shared" si="66"/>
        <v>2019-LVN-CHV-XP35-013-11</v>
      </c>
      <c r="AG630" s="661" t="str">
        <f>IF(AND($Y630&gt;=32,(AI630="I"),(Y630&lt;&gt;"~"),(COUNTIF($AN$1:$AN630,$AN630)=1)),"TRUE","FALSE")</f>
        <v>FALSE</v>
      </c>
      <c r="AH630" s="661" t="str">
        <f>IF(AND($Y630&gt;=22, (AI630&lt;&gt;"I"),(Y630&lt;&gt;"~"),(COUNTIF($AN$1:$AN630,$AN630)=1)),"TRUE","FALSE")</f>
        <v>FALSE</v>
      </c>
      <c r="AI630" s="661" t="str">
        <f t="shared" si="68"/>
        <v>II</v>
      </c>
      <c r="AJ630" s="662" t="str">
        <f t="shared" si="62"/>
        <v>XP35-013</v>
      </c>
      <c r="AK630" s="662" t="str">
        <f t="shared" si="63"/>
        <v>LVN</v>
      </c>
      <c r="AL630" s="662" t="str">
        <f t="shared" si="64"/>
        <v>CHV</v>
      </c>
      <c r="AM630" s="662" t="str">
        <f t="shared" si="67"/>
        <v>Express 3500-LT-RWD-12-82.9-~-2.8L -4-CG33706-1LT-155-31-Diesel-BioDiesel</v>
      </c>
      <c r="AN630" s="662" t="str">
        <f t="shared" si="65"/>
        <v>2019-LVN-CHV-XP35-013</v>
      </c>
    </row>
    <row r="631" spans="1:40" s="572" customFormat="1" ht="15">
      <c r="A631" s="570" t="s">
        <v>1626</v>
      </c>
      <c r="B631" s="573" t="s">
        <v>1627</v>
      </c>
      <c r="C631" s="573" t="s">
        <v>169</v>
      </c>
      <c r="D631" s="578">
        <v>11</v>
      </c>
      <c r="E631" s="573" t="s">
        <v>1516</v>
      </c>
      <c r="F631" s="573" t="s">
        <v>1607</v>
      </c>
      <c r="G631" s="573" t="s">
        <v>153</v>
      </c>
      <c r="H631" s="573">
        <v>2019</v>
      </c>
      <c r="I631" s="573" t="s">
        <v>1572</v>
      </c>
      <c r="J631" s="573" t="s">
        <v>155</v>
      </c>
      <c r="K631" s="573" t="s">
        <v>236</v>
      </c>
      <c r="L631" s="573">
        <v>12</v>
      </c>
      <c r="M631" s="573">
        <v>0</v>
      </c>
      <c r="N631" s="573" t="s">
        <v>157</v>
      </c>
      <c r="O631" s="573"/>
      <c r="P631" s="573">
        <v>82.9</v>
      </c>
      <c r="Q631" s="571" t="s">
        <v>157</v>
      </c>
      <c r="R631" s="573" t="s">
        <v>1526</v>
      </c>
      <c r="S631" s="573">
        <v>6</v>
      </c>
      <c r="T631" s="573" t="s">
        <v>1608</v>
      </c>
      <c r="U631" s="573" t="s">
        <v>213</v>
      </c>
      <c r="V631" s="573">
        <v>155</v>
      </c>
      <c r="W631" s="573">
        <v>31</v>
      </c>
      <c r="X631" s="571">
        <v>9600</v>
      </c>
      <c r="Y631" s="573">
        <v>12</v>
      </c>
      <c r="Z631" s="579" t="s">
        <v>178</v>
      </c>
      <c r="AA631" s="579" t="s">
        <v>178</v>
      </c>
      <c r="AB631" s="584">
        <v>39895</v>
      </c>
      <c r="AC631" s="584" t="s">
        <v>164</v>
      </c>
      <c r="AD631" s="584">
        <v>29037.5</v>
      </c>
      <c r="AE631" s="586">
        <v>0.05</v>
      </c>
      <c r="AF631" s="661" t="str">
        <f t="shared" si="66"/>
        <v>2019-LVN-CHV-XP35-014-11</v>
      </c>
      <c r="AG631" s="661" t="str">
        <f>IF(AND($Y631&gt;=32,(AI631="I"),(Y631&lt;&gt;"~"),(COUNTIF($AN$1:$AN631,$AN631)=1)),"TRUE","FALSE")</f>
        <v>FALSE</v>
      </c>
      <c r="AH631" s="661" t="str">
        <f>IF(AND($Y631&gt;=22, (AI631&lt;&gt;"I"),(Y631&lt;&gt;"~"),(COUNTIF($AN$1:$AN631,$AN631)=1)),"TRUE","FALSE")</f>
        <v>FALSE</v>
      </c>
      <c r="AI631" s="661" t="str">
        <f t="shared" si="68"/>
        <v>II</v>
      </c>
      <c r="AJ631" s="662" t="str">
        <f t="shared" si="62"/>
        <v>XP35-014</v>
      </c>
      <c r="AK631" s="662" t="str">
        <f t="shared" si="63"/>
        <v>LVN</v>
      </c>
      <c r="AL631" s="662" t="str">
        <f t="shared" si="64"/>
        <v>CHV</v>
      </c>
      <c r="AM631" s="662" t="str">
        <f t="shared" si="67"/>
        <v>Express 3500-LT-RWD-12-82.9-~-4.3L-6-CG33706-1LT-155-31-Unleaded-Unleaded</v>
      </c>
      <c r="AN631" s="662" t="str">
        <f t="shared" si="65"/>
        <v>2019-LVN-CHV-XP35-014</v>
      </c>
    </row>
    <row r="632" spans="1:40" s="572" customFormat="1" ht="15">
      <c r="A632" s="570" t="s">
        <v>1628</v>
      </c>
      <c r="B632" s="569" t="s">
        <v>1629</v>
      </c>
      <c r="C632" s="569" t="s">
        <v>169</v>
      </c>
      <c r="D632" s="580">
        <v>11</v>
      </c>
      <c r="E632" s="569" t="s">
        <v>1516</v>
      </c>
      <c r="F632" s="569" t="s">
        <v>1607</v>
      </c>
      <c r="G632" s="569" t="s">
        <v>153</v>
      </c>
      <c r="H632" s="569">
        <v>2019</v>
      </c>
      <c r="I632" s="569" t="s">
        <v>1572</v>
      </c>
      <c r="J632" s="569" t="s">
        <v>155</v>
      </c>
      <c r="K632" s="569" t="s">
        <v>236</v>
      </c>
      <c r="L632" s="569">
        <v>12</v>
      </c>
      <c r="M632" s="569">
        <v>0</v>
      </c>
      <c r="N632" s="569" t="s">
        <v>157</v>
      </c>
      <c r="O632" s="569"/>
      <c r="P632" s="569">
        <v>83.7</v>
      </c>
      <c r="Q632" s="568" t="s">
        <v>157</v>
      </c>
      <c r="R632" s="569" t="s">
        <v>1520</v>
      </c>
      <c r="S632" s="569">
        <v>4</v>
      </c>
      <c r="T632" s="569" t="s">
        <v>1613</v>
      </c>
      <c r="U632" s="569" t="s">
        <v>213</v>
      </c>
      <c r="V632" s="569">
        <v>135</v>
      </c>
      <c r="W632" s="569">
        <v>31</v>
      </c>
      <c r="X632" s="568">
        <v>9600</v>
      </c>
      <c r="Y632" s="569">
        <v>12</v>
      </c>
      <c r="Z632" s="581" t="s">
        <v>728</v>
      </c>
      <c r="AA632" s="581" t="s">
        <v>1523</v>
      </c>
      <c r="AB632" s="585">
        <v>43090</v>
      </c>
      <c r="AC632" s="585" t="s">
        <v>164</v>
      </c>
      <c r="AD632" s="585">
        <v>31531.25</v>
      </c>
      <c r="AE632" s="587">
        <v>0.05</v>
      </c>
      <c r="AF632" s="661" t="str">
        <f t="shared" si="66"/>
        <v>2019-LVN-CHV-XP35-015-11</v>
      </c>
      <c r="AG632" s="661" t="str">
        <f>IF(AND($Y632&gt;=32,(AI632="I"),(Y632&lt;&gt;"~"),(COUNTIF($AN$1:$AN632,$AN632)=1)),"TRUE","FALSE")</f>
        <v>FALSE</v>
      </c>
      <c r="AH632" s="661" t="str">
        <f>IF(AND($Y632&gt;=22, (AI632&lt;&gt;"I"),(Y632&lt;&gt;"~"),(COUNTIF($AN$1:$AN632,$AN632)=1)),"TRUE","FALSE")</f>
        <v>FALSE</v>
      </c>
      <c r="AI632" s="661" t="str">
        <f t="shared" si="68"/>
        <v>II</v>
      </c>
      <c r="AJ632" s="662" t="str">
        <f t="shared" si="62"/>
        <v>XP35-015</v>
      </c>
      <c r="AK632" s="662" t="str">
        <f t="shared" si="63"/>
        <v>LVN</v>
      </c>
      <c r="AL632" s="662" t="str">
        <f t="shared" si="64"/>
        <v>CHV</v>
      </c>
      <c r="AM632" s="662" t="str">
        <f t="shared" si="67"/>
        <v>Express 3500-LT-RWD-12-83.7-~-2.8L -4-CG33406-1LT-135-31-Diesel-BioDiesel</v>
      </c>
      <c r="AN632" s="662" t="str">
        <f t="shared" si="65"/>
        <v>2019-LVN-CHV-XP35-015</v>
      </c>
    </row>
    <row r="633" spans="1:40" s="572" customFormat="1" ht="15">
      <c r="A633" s="570" t="s">
        <v>1630</v>
      </c>
      <c r="B633" s="573" t="s">
        <v>1631</v>
      </c>
      <c r="C633" s="573" t="s">
        <v>169</v>
      </c>
      <c r="D633" s="578">
        <v>11</v>
      </c>
      <c r="E633" s="573" t="s">
        <v>1516</v>
      </c>
      <c r="F633" s="573" t="s">
        <v>1607</v>
      </c>
      <c r="G633" s="573" t="s">
        <v>153</v>
      </c>
      <c r="H633" s="573">
        <v>2019</v>
      </c>
      <c r="I633" s="573" t="s">
        <v>1572</v>
      </c>
      <c r="J633" s="573" t="s">
        <v>155</v>
      </c>
      <c r="K633" s="573" t="s">
        <v>236</v>
      </c>
      <c r="L633" s="573">
        <v>12</v>
      </c>
      <c r="M633" s="573">
        <v>0</v>
      </c>
      <c r="N633" s="573" t="s">
        <v>157</v>
      </c>
      <c r="O633" s="573"/>
      <c r="P633" s="573">
        <v>83.7</v>
      </c>
      <c r="Q633" s="571" t="s">
        <v>157</v>
      </c>
      <c r="R633" s="573" t="s">
        <v>1526</v>
      </c>
      <c r="S633" s="573">
        <v>6</v>
      </c>
      <c r="T633" s="573" t="s">
        <v>1613</v>
      </c>
      <c r="U633" s="573" t="s">
        <v>213</v>
      </c>
      <c r="V633" s="573">
        <v>135</v>
      </c>
      <c r="W633" s="573">
        <v>31</v>
      </c>
      <c r="X633" s="571">
        <v>9600</v>
      </c>
      <c r="Y633" s="573">
        <v>12</v>
      </c>
      <c r="Z633" s="579" t="s">
        <v>178</v>
      </c>
      <c r="AA633" s="579" t="s">
        <v>178</v>
      </c>
      <c r="AB633" s="584">
        <v>39095</v>
      </c>
      <c r="AC633" s="584" t="s">
        <v>164</v>
      </c>
      <c r="AD633" s="584">
        <v>27869.166666666668</v>
      </c>
      <c r="AE633" s="586">
        <v>0.05</v>
      </c>
      <c r="AF633" s="661" t="str">
        <f t="shared" si="66"/>
        <v>2019-LVN-CHV-XP35-016-11</v>
      </c>
      <c r="AG633" s="661" t="str">
        <f>IF(AND($Y633&gt;=32,(AI633="I"),(Y633&lt;&gt;"~"),(COUNTIF($AN$1:$AN633,$AN633)=1)),"TRUE","FALSE")</f>
        <v>FALSE</v>
      </c>
      <c r="AH633" s="661" t="str">
        <f>IF(AND($Y633&gt;=22, (AI633&lt;&gt;"I"),(Y633&lt;&gt;"~"),(COUNTIF($AN$1:$AN633,$AN633)=1)),"TRUE","FALSE")</f>
        <v>FALSE</v>
      </c>
      <c r="AI633" s="661" t="str">
        <f t="shared" si="68"/>
        <v>II</v>
      </c>
      <c r="AJ633" s="662" t="str">
        <f t="shared" si="62"/>
        <v>XP35-016</v>
      </c>
      <c r="AK633" s="662" t="str">
        <f t="shared" si="63"/>
        <v>LVN</v>
      </c>
      <c r="AL633" s="662" t="str">
        <f t="shared" si="64"/>
        <v>CHV</v>
      </c>
      <c r="AM633" s="662" t="str">
        <f t="shared" si="67"/>
        <v>Express 3500-LT-RWD-12-83.7-~-4.3L-6-CG33406-1LT-135-31-Unleaded-Unleaded</v>
      </c>
      <c r="AN633" s="662" t="str">
        <f t="shared" si="65"/>
        <v>2019-LVN-CHV-XP35-016</v>
      </c>
    </row>
    <row r="634" spans="1:40" s="572" customFormat="1" ht="15">
      <c r="A634" s="570" t="s">
        <v>1632</v>
      </c>
      <c r="B634" s="569" t="s">
        <v>1633</v>
      </c>
      <c r="C634" s="569" t="s">
        <v>169</v>
      </c>
      <c r="D634" s="580">
        <v>11</v>
      </c>
      <c r="E634" s="569" t="s">
        <v>1516</v>
      </c>
      <c r="F634" s="569" t="s">
        <v>1607</v>
      </c>
      <c r="G634" s="569" t="s">
        <v>153</v>
      </c>
      <c r="H634" s="569">
        <v>2019</v>
      </c>
      <c r="I634" s="569" t="s">
        <v>1572</v>
      </c>
      <c r="J634" s="569" t="s">
        <v>155</v>
      </c>
      <c r="K634" s="569" t="s">
        <v>236</v>
      </c>
      <c r="L634" s="569">
        <v>12</v>
      </c>
      <c r="M634" s="569">
        <v>0</v>
      </c>
      <c r="N634" s="569" t="s">
        <v>157</v>
      </c>
      <c r="O634" s="569"/>
      <c r="P634" s="569">
        <v>83.7</v>
      </c>
      <c r="Q634" s="568" t="s">
        <v>157</v>
      </c>
      <c r="R634" s="569" t="s">
        <v>1634</v>
      </c>
      <c r="S634" s="569">
        <v>6</v>
      </c>
      <c r="T634" s="569" t="s">
        <v>1613</v>
      </c>
      <c r="U634" s="569" t="s">
        <v>213</v>
      </c>
      <c r="V634" s="569">
        <v>135</v>
      </c>
      <c r="W634" s="569">
        <v>31</v>
      </c>
      <c r="X634" s="568">
        <v>9600</v>
      </c>
      <c r="Y634" s="569">
        <v>12</v>
      </c>
      <c r="Z634" s="581" t="s">
        <v>178</v>
      </c>
      <c r="AA634" s="581" t="s">
        <v>178</v>
      </c>
      <c r="AB634" s="585">
        <v>39095</v>
      </c>
      <c r="AC634" s="585" t="s">
        <v>164</v>
      </c>
      <c r="AD634" s="585">
        <v>27869.166666666668</v>
      </c>
      <c r="AE634" s="587">
        <v>0.05</v>
      </c>
      <c r="AF634" s="661" t="str">
        <f t="shared" si="66"/>
        <v>2019-LVN-CHV-XP35-017-11</v>
      </c>
      <c r="AG634" s="661" t="str">
        <f>IF(AND($Y634&gt;=32,(AI634="I"),(Y634&lt;&gt;"~"),(COUNTIF($AN$1:$AN634,$AN634)=1)),"TRUE","FALSE")</f>
        <v>FALSE</v>
      </c>
      <c r="AH634" s="661" t="str">
        <f>IF(AND($Y634&gt;=22, (AI634&lt;&gt;"I"),(Y634&lt;&gt;"~"),(COUNTIF($AN$1:$AN634,$AN634)=1)),"TRUE","FALSE")</f>
        <v>FALSE</v>
      </c>
      <c r="AI634" s="661" t="str">
        <f t="shared" si="68"/>
        <v>II</v>
      </c>
      <c r="AJ634" s="662" t="str">
        <f t="shared" si="62"/>
        <v>XP35-017</v>
      </c>
      <c r="AK634" s="662" t="str">
        <f t="shared" si="63"/>
        <v>LVN</v>
      </c>
      <c r="AL634" s="662" t="str">
        <f t="shared" si="64"/>
        <v>CHV</v>
      </c>
      <c r="AM634" s="662" t="str">
        <f t="shared" si="67"/>
        <v>Express 3500-LT-RWD-12-83.7-~-4.8L-6-CG33406-1LT-135-31-Unleaded-Unleaded</v>
      </c>
      <c r="AN634" s="662" t="str">
        <f t="shared" si="65"/>
        <v>2019-LVN-CHV-XP35-017</v>
      </c>
    </row>
    <row r="635" spans="1:40" s="572" customFormat="1" ht="15">
      <c r="A635" s="570" t="s">
        <v>1635</v>
      </c>
      <c r="B635" s="573" t="s">
        <v>1625</v>
      </c>
      <c r="C635" s="573" t="s">
        <v>150</v>
      </c>
      <c r="D635" s="578">
        <v>13</v>
      </c>
      <c r="E635" s="573" t="s">
        <v>1516</v>
      </c>
      <c r="F635" s="573" t="s">
        <v>1607</v>
      </c>
      <c r="G635" s="573" t="s">
        <v>153</v>
      </c>
      <c r="H635" s="573">
        <v>2019</v>
      </c>
      <c r="I635" s="573" t="s">
        <v>1572</v>
      </c>
      <c r="J635" s="573" t="s">
        <v>155</v>
      </c>
      <c r="K635" s="573" t="s">
        <v>236</v>
      </c>
      <c r="L635" s="573">
        <v>12</v>
      </c>
      <c r="M635" s="573">
        <v>0</v>
      </c>
      <c r="N635" s="573" t="s">
        <v>157</v>
      </c>
      <c r="O635" s="573">
        <v>4</v>
      </c>
      <c r="P635" s="573">
        <v>82.9</v>
      </c>
      <c r="Q635" s="571" t="s">
        <v>157</v>
      </c>
      <c r="R635" s="573" t="s">
        <v>1520</v>
      </c>
      <c r="S635" s="573">
        <v>4</v>
      </c>
      <c r="T635" s="573" t="s">
        <v>1608</v>
      </c>
      <c r="U635" s="573" t="s">
        <v>213</v>
      </c>
      <c r="V635" s="573">
        <v>155</v>
      </c>
      <c r="W635" s="573">
        <v>31</v>
      </c>
      <c r="X635" s="571">
        <v>9900</v>
      </c>
      <c r="Y635" s="573">
        <v>12</v>
      </c>
      <c r="Z635" s="579" t="s">
        <v>728</v>
      </c>
      <c r="AA635" s="579" t="s">
        <v>1523</v>
      </c>
      <c r="AB635" s="584">
        <v>43890</v>
      </c>
      <c r="AC635" s="584" t="s">
        <v>164</v>
      </c>
      <c r="AD635" s="584">
        <v>33192</v>
      </c>
      <c r="AE635" s="586">
        <v>0.03</v>
      </c>
      <c r="AF635" s="661" t="str">
        <f t="shared" si="66"/>
        <v>2019-LVN-CHV-XP35-013-13</v>
      </c>
      <c r="AG635" s="661" t="str">
        <f>IF(AND($Y635&gt;=32,(AI635="I"),(Y635&lt;&gt;"~"),(COUNTIF($AN$1:$AN635,$AN635)=1)),"TRUE","FALSE")</f>
        <v>FALSE</v>
      </c>
      <c r="AH635" s="661" t="str">
        <f>IF(AND($Y635&gt;=22, (AI635&lt;&gt;"I"),(Y635&lt;&gt;"~"),(COUNTIF($AN$1:$AN635,$AN635)=1)),"TRUE","FALSE")</f>
        <v>FALSE</v>
      </c>
      <c r="AI635" s="661" t="str">
        <f t="shared" si="68"/>
        <v>II</v>
      </c>
      <c r="AJ635" s="662" t="str">
        <f t="shared" si="62"/>
        <v>XP35-013</v>
      </c>
      <c r="AK635" s="662" t="str">
        <f t="shared" si="63"/>
        <v>LVN</v>
      </c>
      <c r="AL635" s="662" t="str">
        <f t="shared" si="64"/>
        <v>CHV</v>
      </c>
      <c r="AM635" s="662" t="str">
        <f t="shared" si="67"/>
        <v>Express 3500-LT-RWD-12-82.9-~-2.8L -4-CG33706-1LT-155-31-Diesel-BioDiesel</v>
      </c>
      <c r="AN635" s="662" t="str">
        <f t="shared" si="65"/>
        <v>2019-LVN-CHV-XP35-013</v>
      </c>
    </row>
    <row r="636" spans="1:40" s="572" customFormat="1" ht="15">
      <c r="A636" s="570" t="s">
        <v>1636</v>
      </c>
      <c r="B636" s="569" t="s">
        <v>1627</v>
      </c>
      <c r="C636" s="569" t="s">
        <v>150</v>
      </c>
      <c r="D636" s="580">
        <v>13</v>
      </c>
      <c r="E636" s="569" t="s">
        <v>1516</v>
      </c>
      <c r="F636" s="569" t="s">
        <v>1607</v>
      </c>
      <c r="G636" s="569" t="s">
        <v>153</v>
      </c>
      <c r="H636" s="569">
        <v>2019</v>
      </c>
      <c r="I636" s="569" t="s">
        <v>1572</v>
      </c>
      <c r="J636" s="569" t="s">
        <v>155</v>
      </c>
      <c r="K636" s="569" t="s">
        <v>236</v>
      </c>
      <c r="L636" s="569">
        <v>12</v>
      </c>
      <c r="M636" s="569">
        <v>0</v>
      </c>
      <c r="N636" s="569" t="s">
        <v>157</v>
      </c>
      <c r="O636" s="569">
        <v>4</v>
      </c>
      <c r="P636" s="569">
        <v>82.9</v>
      </c>
      <c r="Q636" s="568" t="s">
        <v>157</v>
      </c>
      <c r="R636" s="569" t="s">
        <v>1526</v>
      </c>
      <c r="S636" s="569">
        <v>6</v>
      </c>
      <c r="T636" s="569" t="s">
        <v>1608</v>
      </c>
      <c r="U636" s="569" t="s">
        <v>213</v>
      </c>
      <c r="V636" s="569">
        <v>155</v>
      </c>
      <c r="W636" s="569">
        <v>31</v>
      </c>
      <c r="X636" s="568">
        <v>9600</v>
      </c>
      <c r="Y636" s="569">
        <v>12</v>
      </c>
      <c r="Z636" s="581" t="s">
        <v>178</v>
      </c>
      <c r="AA636" s="581" t="s">
        <v>178</v>
      </c>
      <c r="AB636" s="585">
        <v>39895</v>
      </c>
      <c r="AC636" s="585" t="s">
        <v>164</v>
      </c>
      <c r="AD636" s="585">
        <v>29610</v>
      </c>
      <c r="AE636" s="587">
        <v>0.03</v>
      </c>
      <c r="AF636" s="661" t="str">
        <f t="shared" si="66"/>
        <v>2019-LVN-CHV-XP35-014-13</v>
      </c>
      <c r="AG636" s="661" t="str">
        <f>IF(AND($Y636&gt;=32,(AI636="I"),(Y636&lt;&gt;"~"),(COUNTIF($AN$1:$AN636,$AN636)=1)),"TRUE","FALSE")</f>
        <v>FALSE</v>
      </c>
      <c r="AH636" s="661" t="str">
        <f>IF(AND($Y636&gt;=22, (AI636&lt;&gt;"I"),(Y636&lt;&gt;"~"),(COUNTIF($AN$1:$AN636,$AN636)=1)),"TRUE","FALSE")</f>
        <v>FALSE</v>
      </c>
      <c r="AI636" s="661" t="str">
        <f t="shared" si="68"/>
        <v>II</v>
      </c>
      <c r="AJ636" s="662" t="str">
        <f t="shared" si="62"/>
        <v>XP35-014</v>
      </c>
      <c r="AK636" s="662" t="str">
        <f t="shared" si="63"/>
        <v>LVN</v>
      </c>
      <c r="AL636" s="662" t="str">
        <f t="shared" si="64"/>
        <v>CHV</v>
      </c>
      <c r="AM636" s="662" t="str">
        <f t="shared" si="67"/>
        <v>Express 3500-LT-RWD-12-82.9-~-4.3L-6-CG33706-1LT-155-31-Unleaded-Unleaded</v>
      </c>
      <c r="AN636" s="662" t="str">
        <f t="shared" si="65"/>
        <v>2019-LVN-CHV-XP35-014</v>
      </c>
    </row>
    <row r="637" spans="1:40" s="572" customFormat="1" ht="15">
      <c r="A637" s="570" t="s">
        <v>1637</v>
      </c>
      <c r="B637" s="573" t="s">
        <v>1629</v>
      </c>
      <c r="C637" s="573" t="s">
        <v>150</v>
      </c>
      <c r="D637" s="578">
        <v>13</v>
      </c>
      <c r="E637" s="573" t="s">
        <v>1516</v>
      </c>
      <c r="F637" s="573" t="s">
        <v>1607</v>
      </c>
      <c r="G637" s="573" t="s">
        <v>153</v>
      </c>
      <c r="H637" s="573">
        <v>2019</v>
      </c>
      <c r="I637" s="573" t="s">
        <v>1572</v>
      </c>
      <c r="J637" s="573" t="s">
        <v>155</v>
      </c>
      <c r="K637" s="573" t="s">
        <v>236</v>
      </c>
      <c r="L637" s="573">
        <v>12</v>
      </c>
      <c r="M637" s="573">
        <v>0</v>
      </c>
      <c r="N637" s="573" t="s">
        <v>157</v>
      </c>
      <c r="O637" s="573">
        <v>4</v>
      </c>
      <c r="P637" s="573">
        <v>83.7</v>
      </c>
      <c r="Q637" s="571" t="s">
        <v>157</v>
      </c>
      <c r="R637" s="573" t="s">
        <v>1520</v>
      </c>
      <c r="S637" s="573">
        <v>4</v>
      </c>
      <c r="T637" s="573" t="s">
        <v>1613</v>
      </c>
      <c r="U637" s="573" t="s">
        <v>213</v>
      </c>
      <c r="V637" s="573">
        <v>135</v>
      </c>
      <c r="W637" s="573">
        <v>31</v>
      </c>
      <c r="X637" s="571">
        <v>9600</v>
      </c>
      <c r="Y637" s="573">
        <v>12</v>
      </c>
      <c r="Z637" s="579" t="s">
        <v>728</v>
      </c>
      <c r="AA637" s="579" t="s">
        <v>1523</v>
      </c>
      <c r="AB637" s="584">
        <v>43090</v>
      </c>
      <c r="AC637" s="584" t="s">
        <v>164</v>
      </c>
      <c r="AD637" s="584">
        <v>32664</v>
      </c>
      <c r="AE637" s="586">
        <v>0.03</v>
      </c>
      <c r="AF637" s="661" t="str">
        <f t="shared" si="66"/>
        <v>2019-LVN-CHV-XP35-015-13</v>
      </c>
      <c r="AG637" s="661" t="str">
        <f>IF(AND($Y637&gt;=32,(AI637="I"),(Y637&lt;&gt;"~"),(COUNTIF($AN$1:$AN637,$AN637)=1)),"TRUE","FALSE")</f>
        <v>FALSE</v>
      </c>
      <c r="AH637" s="661" t="str">
        <f>IF(AND($Y637&gt;=22, (AI637&lt;&gt;"I"),(Y637&lt;&gt;"~"),(COUNTIF($AN$1:$AN637,$AN637)=1)),"TRUE","FALSE")</f>
        <v>FALSE</v>
      </c>
      <c r="AI637" s="661" t="str">
        <f t="shared" si="68"/>
        <v>II</v>
      </c>
      <c r="AJ637" s="662" t="str">
        <f t="shared" si="62"/>
        <v>XP35-015</v>
      </c>
      <c r="AK637" s="662" t="str">
        <f t="shared" si="63"/>
        <v>LVN</v>
      </c>
      <c r="AL637" s="662" t="str">
        <f t="shared" si="64"/>
        <v>CHV</v>
      </c>
      <c r="AM637" s="662" t="str">
        <f t="shared" si="67"/>
        <v>Express 3500-LT-RWD-12-83.7-~-2.8L -4-CG33406-1LT-135-31-Diesel-BioDiesel</v>
      </c>
      <c r="AN637" s="662" t="str">
        <f t="shared" si="65"/>
        <v>2019-LVN-CHV-XP35-015</v>
      </c>
    </row>
    <row r="638" spans="1:40" s="572" customFormat="1" ht="15">
      <c r="A638" s="570" t="s">
        <v>1638</v>
      </c>
      <c r="B638" s="569" t="s">
        <v>1631</v>
      </c>
      <c r="C638" s="569" t="s">
        <v>150</v>
      </c>
      <c r="D638" s="580">
        <v>13</v>
      </c>
      <c r="E638" s="569" t="s">
        <v>1516</v>
      </c>
      <c r="F638" s="569" t="s">
        <v>1607</v>
      </c>
      <c r="G638" s="569" t="s">
        <v>153</v>
      </c>
      <c r="H638" s="569">
        <v>2019</v>
      </c>
      <c r="I638" s="569" t="s">
        <v>1572</v>
      </c>
      <c r="J638" s="569" t="s">
        <v>155</v>
      </c>
      <c r="K638" s="569" t="s">
        <v>236</v>
      </c>
      <c r="L638" s="569">
        <v>12</v>
      </c>
      <c r="M638" s="569">
        <v>0</v>
      </c>
      <c r="N638" s="569" t="s">
        <v>157</v>
      </c>
      <c r="O638" s="569">
        <v>4</v>
      </c>
      <c r="P638" s="569">
        <v>83.7</v>
      </c>
      <c r="Q638" s="568" t="s">
        <v>157</v>
      </c>
      <c r="R638" s="569" t="s">
        <v>1526</v>
      </c>
      <c r="S638" s="569">
        <v>6</v>
      </c>
      <c r="T638" s="569" t="s">
        <v>1613</v>
      </c>
      <c r="U638" s="569" t="s">
        <v>213</v>
      </c>
      <c r="V638" s="569">
        <v>135</v>
      </c>
      <c r="W638" s="569">
        <v>31</v>
      </c>
      <c r="X638" s="568">
        <v>9600</v>
      </c>
      <c r="Y638" s="569">
        <v>12</v>
      </c>
      <c r="Z638" s="581" t="s">
        <v>178</v>
      </c>
      <c r="AA638" s="581" t="s">
        <v>178</v>
      </c>
      <c r="AB638" s="585">
        <v>39095</v>
      </c>
      <c r="AC638" s="585" t="s">
        <v>164</v>
      </c>
      <c r="AD638" s="585">
        <v>27982</v>
      </c>
      <c r="AE638" s="587">
        <v>0.03</v>
      </c>
      <c r="AF638" s="661" t="str">
        <f t="shared" si="66"/>
        <v>2019-LVN-CHV-XP35-016-13</v>
      </c>
      <c r="AG638" s="661" t="str">
        <f>IF(AND($Y638&gt;=32,(AI638="I"),(Y638&lt;&gt;"~"),(COUNTIF($AN$1:$AN638,$AN638)=1)),"TRUE","FALSE")</f>
        <v>FALSE</v>
      </c>
      <c r="AH638" s="661" t="str">
        <f>IF(AND($Y638&gt;=22, (AI638&lt;&gt;"I"),(Y638&lt;&gt;"~"),(COUNTIF($AN$1:$AN638,$AN638)=1)),"TRUE","FALSE")</f>
        <v>FALSE</v>
      </c>
      <c r="AI638" s="661" t="str">
        <f t="shared" si="68"/>
        <v>II</v>
      </c>
      <c r="AJ638" s="662" t="str">
        <f t="shared" si="62"/>
        <v>XP35-016</v>
      </c>
      <c r="AK638" s="662" t="str">
        <f t="shared" si="63"/>
        <v>LVN</v>
      </c>
      <c r="AL638" s="662" t="str">
        <f t="shared" si="64"/>
        <v>CHV</v>
      </c>
      <c r="AM638" s="662" t="str">
        <f t="shared" si="67"/>
        <v>Express 3500-LT-RWD-12-83.7-~-4.3L-6-CG33406-1LT-135-31-Unleaded-Unleaded</v>
      </c>
      <c r="AN638" s="662" t="str">
        <f t="shared" si="65"/>
        <v>2019-LVN-CHV-XP35-016</v>
      </c>
    </row>
    <row r="639" spans="1:40" s="572" customFormat="1" ht="15">
      <c r="A639" s="570" t="s">
        <v>1639</v>
      </c>
      <c r="B639" s="573" t="s">
        <v>1625</v>
      </c>
      <c r="C639" s="573" t="s">
        <v>166</v>
      </c>
      <c r="D639" s="578">
        <v>17</v>
      </c>
      <c r="E639" s="573" t="s">
        <v>1516</v>
      </c>
      <c r="F639" s="573" t="s">
        <v>1607</v>
      </c>
      <c r="G639" s="573" t="s">
        <v>153</v>
      </c>
      <c r="H639" s="573">
        <v>2019</v>
      </c>
      <c r="I639" s="573" t="s">
        <v>1572</v>
      </c>
      <c r="J639" s="573" t="s">
        <v>155</v>
      </c>
      <c r="K639" s="573" t="s">
        <v>236</v>
      </c>
      <c r="L639" s="573">
        <v>12</v>
      </c>
      <c r="M639" s="573">
        <v>0</v>
      </c>
      <c r="N639" s="573" t="s">
        <v>157</v>
      </c>
      <c r="O639" s="573">
        <v>4</v>
      </c>
      <c r="P639" s="573">
        <v>82.9</v>
      </c>
      <c r="Q639" s="571" t="s">
        <v>157</v>
      </c>
      <c r="R639" s="573" t="s">
        <v>1520</v>
      </c>
      <c r="S639" s="573">
        <v>4</v>
      </c>
      <c r="T639" s="573" t="s">
        <v>1608</v>
      </c>
      <c r="U639" s="573" t="s">
        <v>213</v>
      </c>
      <c r="V639" s="573">
        <v>155</v>
      </c>
      <c r="W639" s="573">
        <v>31</v>
      </c>
      <c r="X639" s="571">
        <v>9900</v>
      </c>
      <c r="Y639" s="573">
        <v>12</v>
      </c>
      <c r="Z639" s="579" t="s">
        <v>728</v>
      </c>
      <c r="AA639" s="579" t="s">
        <v>1523</v>
      </c>
      <c r="AB639" s="584">
        <v>43890</v>
      </c>
      <c r="AC639" s="584" t="s">
        <v>164</v>
      </c>
      <c r="AD639" s="584">
        <v>34805.26</v>
      </c>
      <c r="AE639" s="586">
        <v>7.1999999999999995E-2</v>
      </c>
      <c r="AF639" s="661" t="str">
        <f t="shared" si="66"/>
        <v>2019-LVN-CHV-XP35-013-17</v>
      </c>
      <c r="AG639" s="661" t="str">
        <f>IF(AND($Y639&gt;=32,(AI639="I"),(Y639&lt;&gt;"~"),(COUNTIF($AN$1:$AN639,$AN639)=1)),"TRUE","FALSE")</f>
        <v>FALSE</v>
      </c>
      <c r="AH639" s="661" t="str">
        <f>IF(AND($Y639&gt;=22, (AI639&lt;&gt;"I"),(Y639&lt;&gt;"~"),(COUNTIF($AN$1:$AN639,$AN639)=1)),"TRUE","FALSE")</f>
        <v>FALSE</v>
      </c>
      <c r="AI639" s="661" t="str">
        <f t="shared" si="68"/>
        <v>II</v>
      </c>
      <c r="AJ639" s="662" t="str">
        <f t="shared" si="62"/>
        <v>XP35-013</v>
      </c>
      <c r="AK639" s="662" t="str">
        <f t="shared" si="63"/>
        <v>LVN</v>
      </c>
      <c r="AL639" s="662" t="str">
        <f t="shared" si="64"/>
        <v>CHV</v>
      </c>
      <c r="AM639" s="662" t="str">
        <f t="shared" si="67"/>
        <v>Express 3500-LT-RWD-12-82.9-~-2.8L -4-CG33706-1LT-155-31-Diesel-BioDiesel</v>
      </c>
      <c r="AN639" s="662" t="str">
        <f t="shared" si="65"/>
        <v>2019-LVN-CHV-XP35-013</v>
      </c>
    </row>
    <row r="640" spans="1:40" s="572" customFormat="1" ht="15">
      <c r="A640" s="570" t="s">
        <v>1640</v>
      </c>
      <c r="B640" s="569" t="s">
        <v>1627</v>
      </c>
      <c r="C640" s="569" t="s">
        <v>166</v>
      </c>
      <c r="D640" s="580">
        <v>17</v>
      </c>
      <c r="E640" s="569" t="s">
        <v>1516</v>
      </c>
      <c r="F640" s="569" t="s">
        <v>1607</v>
      </c>
      <c r="G640" s="569" t="s">
        <v>153</v>
      </c>
      <c r="H640" s="569">
        <v>2019</v>
      </c>
      <c r="I640" s="569" t="s">
        <v>1572</v>
      </c>
      <c r="J640" s="569" t="s">
        <v>155</v>
      </c>
      <c r="K640" s="569" t="s">
        <v>236</v>
      </c>
      <c r="L640" s="569">
        <v>12</v>
      </c>
      <c r="M640" s="569">
        <v>0</v>
      </c>
      <c r="N640" s="569" t="s">
        <v>157</v>
      </c>
      <c r="O640" s="569">
        <v>4</v>
      </c>
      <c r="P640" s="569">
        <v>82.9</v>
      </c>
      <c r="Q640" s="568" t="s">
        <v>157</v>
      </c>
      <c r="R640" s="569" t="s">
        <v>1526</v>
      </c>
      <c r="S640" s="569">
        <v>6</v>
      </c>
      <c r="T640" s="569" t="s">
        <v>1608</v>
      </c>
      <c r="U640" s="569" t="s">
        <v>213</v>
      </c>
      <c r="V640" s="569">
        <v>155</v>
      </c>
      <c r="W640" s="569">
        <v>31</v>
      </c>
      <c r="X640" s="568">
        <v>9600</v>
      </c>
      <c r="Y640" s="569">
        <v>12</v>
      </c>
      <c r="Z640" s="581" t="s">
        <v>178</v>
      </c>
      <c r="AA640" s="581" t="s">
        <v>178</v>
      </c>
      <c r="AB640" s="585">
        <v>39895</v>
      </c>
      <c r="AC640" s="585" t="s">
        <v>164</v>
      </c>
      <c r="AD640" s="585">
        <v>31045</v>
      </c>
      <c r="AE640" s="587">
        <v>7.1999999999999995E-2</v>
      </c>
      <c r="AF640" s="661" t="str">
        <f t="shared" si="66"/>
        <v>2019-LVN-CHV-XP35-014-17</v>
      </c>
      <c r="AG640" s="661" t="str">
        <f>IF(AND($Y640&gt;=32,(AI640="I"),(Y640&lt;&gt;"~"),(COUNTIF($AN$1:$AN640,$AN640)=1)),"TRUE","FALSE")</f>
        <v>FALSE</v>
      </c>
      <c r="AH640" s="661" t="str">
        <f>IF(AND($Y640&gt;=22, (AI640&lt;&gt;"I"),(Y640&lt;&gt;"~"),(COUNTIF($AN$1:$AN640,$AN640)=1)),"TRUE","FALSE")</f>
        <v>FALSE</v>
      </c>
      <c r="AI640" s="661" t="str">
        <f t="shared" si="68"/>
        <v>II</v>
      </c>
      <c r="AJ640" s="662" t="str">
        <f t="shared" si="62"/>
        <v>XP35-014</v>
      </c>
      <c r="AK640" s="662" t="str">
        <f t="shared" si="63"/>
        <v>LVN</v>
      </c>
      <c r="AL640" s="662" t="str">
        <f t="shared" si="64"/>
        <v>CHV</v>
      </c>
      <c r="AM640" s="662" t="str">
        <f t="shared" si="67"/>
        <v>Express 3500-LT-RWD-12-82.9-~-4.3L-6-CG33706-1LT-155-31-Unleaded-Unleaded</v>
      </c>
      <c r="AN640" s="662" t="str">
        <f t="shared" si="65"/>
        <v>2019-LVN-CHV-XP35-014</v>
      </c>
    </row>
    <row r="641" spans="1:40" s="572" customFormat="1" ht="15">
      <c r="A641" s="570" t="s">
        <v>1641</v>
      </c>
      <c r="B641" s="573" t="s">
        <v>1629</v>
      </c>
      <c r="C641" s="573" t="s">
        <v>166</v>
      </c>
      <c r="D641" s="578">
        <v>17</v>
      </c>
      <c r="E641" s="573" t="s">
        <v>1516</v>
      </c>
      <c r="F641" s="573" t="s">
        <v>1607</v>
      </c>
      <c r="G641" s="573" t="s">
        <v>153</v>
      </c>
      <c r="H641" s="573">
        <v>2019</v>
      </c>
      <c r="I641" s="573" t="s">
        <v>1572</v>
      </c>
      <c r="J641" s="573" t="s">
        <v>155</v>
      </c>
      <c r="K641" s="573" t="s">
        <v>236</v>
      </c>
      <c r="L641" s="573">
        <v>12</v>
      </c>
      <c r="M641" s="573">
        <v>0</v>
      </c>
      <c r="N641" s="573" t="s">
        <v>157</v>
      </c>
      <c r="O641" s="573">
        <v>4</v>
      </c>
      <c r="P641" s="573">
        <v>83.7</v>
      </c>
      <c r="Q641" s="571" t="s">
        <v>157</v>
      </c>
      <c r="R641" s="573" t="s">
        <v>1520</v>
      </c>
      <c r="S641" s="573">
        <v>4</v>
      </c>
      <c r="T641" s="573" t="s">
        <v>1613</v>
      </c>
      <c r="U641" s="573" t="s">
        <v>213</v>
      </c>
      <c r="V641" s="573">
        <v>135</v>
      </c>
      <c r="W641" s="573">
        <v>31</v>
      </c>
      <c r="X641" s="571">
        <v>9600</v>
      </c>
      <c r="Y641" s="573">
        <v>12</v>
      </c>
      <c r="Z641" s="579" t="s">
        <v>728</v>
      </c>
      <c r="AA641" s="579" t="s">
        <v>1523</v>
      </c>
      <c r="AB641" s="584">
        <v>43090</v>
      </c>
      <c r="AC641" s="584" t="s">
        <v>164</v>
      </c>
      <c r="AD641" s="584">
        <v>33460</v>
      </c>
      <c r="AE641" s="586">
        <v>7.1999999999999995E-2</v>
      </c>
      <c r="AF641" s="661" t="str">
        <f t="shared" si="66"/>
        <v>2019-LVN-CHV-XP35-015-17</v>
      </c>
      <c r="AG641" s="661" t="str">
        <f>IF(AND($Y641&gt;=32,(AI641="I"),(Y641&lt;&gt;"~"),(COUNTIF($AN$1:$AN641,$AN641)=1)),"TRUE","FALSE")</f>
        <v>FALSE</v>
      </c>
      <c r="AH641" s="661" t="str">
        <f>IF(AND($Y641&gt;=22, (AI641&lt;&gt;"I"),(Y641&lt;&gt;"~"),(COUNTIF($AN$1:$AN641,$AN641)=1)),"TRUE","FALSE")</f>
        <v>FALSE</v>
      </c>
      <c r="AI641" s="661" t="str">
        <f t="shared" si="68"/>
        <v>II</v>
      </c>
      <c r="AJ641" s="662" t="str">
        <f t="shared" si="62"/>
        <v>XP35-015</v>
      </c>
      <c r="AK641" s="662" t="str">
        <f t="shared" si="63"/>
        <v>LVN</v>
      </c>
      <c r="AL641" s="662" t="str">
        <f t="shared" si="64"/>
        <v>CHV</v>
      </c>
      <c r="AM641" s="662" t="str">
        <f t="shared" si="67"/>
        <v>Express 3500-LT-RWD-12-83.7-~-2.8L -4-CG33406-1LT-135-31-Diesel-BioDiesel</v>
      </c>
      <c r="AN641" s="662" t="str">
        <f t="shared" si="65"/>
        <v>2019-LVN-CHV-XP35-015</v>
      </c>
    </row>
    <row r="642" spans="1:40" s="572" customFormat="1" ht="15">
      <c r="A642" s="570" t="s">
        <v>1642</v>
      </c>
      <c r="B642" s="569" t="s">
        <v>1631</v>
      </c>
      <c r="C642" s="569" t="s">
        <v>166</v>
      </c>
      <c r="D642" s="580">
        <v>17</v>
      </c>
      <c r="E642" s="569" t="s">
        <v>1516</v>
      </c>
      <c r="F642" s="569" t="s">
        <v>1607</v>
      </c>
      <c r="G642" s="569" t="s">
        <v>153</v>
      </c>
      <c r="H642" s="569">
        <v>2019</v>
      </c>
      <c r="I642" s="569" t="s">
        <v>1572</v>
      </c>
      <c r="J642" s="569" t="s">
        <v>155</v>
      </c>
      <c r="K642" s="569" t="s">
        <v>236</v>
      </c>
      <c r="L642" s="569">
        <v>12</v>
      </c>
      <c r="M642" s="569">
        <v>0</v>
      </c>
      <c r="N642" s="569" t="s">
        <v>157</v>
      </c>
      <c r="O642" s="569">
        <v>4</v>
      </c>
      <c r="P642" s="569">
        <v>83.7</v>
      </c>
      <c r="Q642" s="568" t="s">
        <v>157</v>
      </c>
      <c r="R642" s="569" t="s">
        <v>1526</v>
      </c>
      <c r="S642" s="569">
        <v>6</v>
      </c>
      <c r="T642" s="569" t="s">
        <v>1613</v>
      </c>
      <c r="U642" s="569" t="s">
        <v>213</v>
      </c>
      <c r="V642" s="569">
        <v>135</v>
      </c>
      <c r="W642" s="569">
        <v>31</v>
      </c>
      <c r="X642" s="568">
        <v>9600</v>
      </c>
      <c r="Y642" s="569">
        <v>12</v>
      </c>
      <c r="Z642" s="581" t="s">
        <v>178</v>
      </c>
      <c r="AA642" s="581" t="s">
        <v>178</v>
      </c>
      <c r="AB642" s="585">
        <v>39095</v>
      </c>
      <c r="AC642" s="585" t="s">
        <v>164</v>
      </c>
      <c r="AD642" s="585">
        <v>29010</v>
      </c>
      <c r="AE642" s="587">
        <v>7.1999999999999995E-2</v>
      </c>
      <c r="AF642" s="661" t="str">
        <f t="shared" si="66"/>
        <v>2019-LVN-CHV-XP35-016-17</v>
      </c>
      <c r="AG642" s="661" t="str">
        <f>IF(AND($Y642&gt;=32,(AI642="I"),(Y642&lt;&gt;"~"),(COUNTIF($AN$1:$AN642,$AN642)=1)),"TRUE","FALSE")</f>
        <v>FALSE</v>
      </c>
      <c r="AH642" s="661" t="str">
        <f>IF(AND($Y642&gt;=22, (AI642&lt;&gt;"I"),(Y642&lt;&gt;"~"),(COUNTIF($AN$1:$AN642,$AN642)=1)),"TRUE","FALSE")</f>
        <v>FALSE</v>
      </c>
      <c r="AI642" s="661" t="str">
        <f t="shared" si="68"/>
        <v>II</v>
      </c>
      <c r="AJ642" s="662" t="str">
        <f t="shared" si="62"/>
        <v>XP35-016</v>
      </c>
      <c r="AK642" s="662" t="str">
        <f t="shared" si="63"/>
        <v>LVN</v>
      </c>
      <c r="AL642" s="662" t="str">
        <f t="shared" si="64"/>
        <v>CHV</v>
      </c>
      <c r="AM642" s="662" t="str">
        <f t="shared" si="67"/>
        <v>Express 3500-LT-RWD-12-83.7-~-4.3L-6-CG33406-1LT-135-31-Unleaded-Unleaded</v>
      </c>
      <c r="AN642" s="662" t="str">
        <f t="shared" si="65"/>
        <v>2019-LVN-CHV-XP35-016</v>
      </c>
    </row>
    <row r="643" spans="1:40" s="572" customFormat="1" ht="15">
      <c r="A643" s="570" t="s">
        <v>1643</v>
      </c>
      <c r="B643" s="573" t="s">
        <v>1633</v>
      </c>
      <c r="C643" s="573" t="s">
        <v>166</v>
      </c>
      <c r="D643" s="578">
        <v>17</v>
      </c>
      <c r="E643" s="573" t="s">
        <v>1516</v>
      </c>
      <c r="F643" s="573" t="s">
        <v>1607</v>
      </c>
      <c r="G643" s="573" t="s">
        <v>153</v>
      </c>
      <c r="H643" s="573">
        <v>2019</v>
      </c>
      <c r="I643" s="573" t="s">
        <v>1572</v>
      </c>
      <c r="J643" s="573" t="s">
        <v>155</v>
      </c>
      <c r="K643" s="573" t="s">
        <v>236</v>
      </c>
      <c r="L643" s="573">
        <v>12</v>
      </c>
      <c r="M643" s="573">
        <v>0</v>
      </c>
      <c r="N643" s="573" t="s">
        <v>157</v>
      </c>
      <c r="O643" s="573">
        <v>4</v>
      </c>
      <c r="P643" s="573">
        <v>83.7</v>
      </c>
      <c r="Q643" s="571" t="s">
        <v>157</v>
      </c>
      <c r="R643" s="573" t="s">
        <v>1634</v>
      </c>
      <c r="S643" s="573">
        <v>6</v>
      </c>
      <c r="T643" s="573" t="s">
        <v>1613</v>
      </c>
      <c r="U643" s="573" t="s">
        <v>213</v>
      </c>
      <c r="V643" s="573">
        <v>135</v>
      </c>
      <c r="W643" s="573">
        <v>31</v>
      </c>
      <c r="X643" s="571">
        <v>9600</v>
      </c>
      <c r="Y643" s="573">
        <v>12</v>
      </c>
      <c r="Z643" s="579" t="s">
        <v>178</v>
      </c>
      <c r="AA643" s="579" t="s">
        <v>178</v>
      </c>
      <c r="AB643" s="584">
        <v>39495</v>
      </c>
      <c r="AC643" s="584" t="s">
        <v>164</v>
      </c>
      <c r="AD643" s="584">
        <v>29010</v>
      </c>
      <c r="AE643" s="586">
        <v>7.1999999999999995E-2</v>
      </c>
      <c r="AF643" s="661" t="str">
        <f t="shared" si="66"/>
        <v>2019-LVN-CHV-XP35-017-17</v>
      </c>
      <c r="AG643" s="661" t="str">
        <f>IF(AND($Y643&gt;=32,(AI643="I"),(Y643&lt;&gt;"~"),(COUNTIF($AN$1:$AN643,$AN643)=1)),"TRUE","FALSE")</f>
        <v>FALSE</v>
      </c>
      <c r="AH643" s="661" t="str">
        <f>IF(AND($Y643&gt;=22, (AI643&lt;&gt;"I"),(Y643&lt;&gt;"~"),(COUNTIF($AN$1:$AN643,$AN643)=1)),"TRUE","FALSE")</f>
        <v>FALSE</v>
      </c>
      <c r="AI643" s="661" t="str">
        <f t="shared" si="68"/>
        <v>II</v>
      </c>
      <c r="AJ643" s="662" t="str">
        <f t="shared" ref="AJ643:AJ706" si="69">MID(A643,14,8)</f>
        <v>XP35-017</v>
      </c>
      <c r="AK643" s="662" t="str">
        <f t="shared" ref="AK643:AK706" si="70">MID(A643,6,3)</f>
        <v>LVN</v>
      </c>
      <c r="AL643" s="662" t="str">
        <f t="shared" ref="AL643:AL706" si="71">MID(A643,10,3)</f>
        <v>CHV</v>
      </c>
      <c r="AM643" s="662" t="str">
        <f t="shared" si="67"/>
        <v>Express 3500-LT-RWD-12-83.7-~-4.8L-6-CG33406-1LT-135-31-Unleaded-Unleaded</v>
      </c>
      <c r="AN643" s="662" t="str">
        <f t="shared" ref="AN643:AN706" si="72">LEFT(A643,21)</f>
        <v>2019-LVN-CHV-XP35-017</v>
      </c>
    </row>
    <row r="644" spans="1:40" s="572" customFormat="1" ht="15">
      <c r="A644" s="570" t="s">
        <v>1644</v>
      </c>
      <c r="B644" s="569" t="s">
        <v>1645</v>
      </c>
      <c r="C644" s="569" t="s">
        <v>226</v>
      </c>
      <c r="D644" s="580" t="s">
        <v>227</v>
      </c>
      <c r="E644" s="569" t="s">
        <v>1516</v>
      </c>
      <c r="F644" s="569" t="s">
        <v>1646</v>
      </c>
      <c r="G644" s="569" t="s">
        <v>228</v>
      </c>
      <c r="H644" s="569">
        <v>2019</v>
      </c>
      <c r="I644" s="569" t="s">
        <v>1647</v>
      </c>
      <c r="J644" s="569" t="s">
        <v>612</v>
      </c>
      <c r="K644" s="569" t="s">
        <v>156</v>
      </c>
      <c r="L644" s="569">
        <v>7</v>
      </c>
      <c r="M644" s="569">
        <v>0</v>
      </c>
      <c r="N644" s="569" t="s">
        <v>157</v>
      </c>
      <c r="O644" s="569">
        <v>3</v>
      </c>
      <c r="P644" s="569">
        <v>69.900000000000006</v>
      </c>
      <c r="Q644" s="568">
        <v>3600</v>
      </c>
      <c r="R644" s="569" t="s">
        <v>231</v>
      </c>
      <c r="S644" s="569">
        <v>6</v>
      </c>
      <c r="T644" s="569" t="s">
        <v>1648</v>
      </c>
      <c r="U644" s="569" t="s">
        <v>1649</v>
      </c>
      <c r="V644" s="569">
        <v>121.6</v>
      </c>
      <c r="W644" s="569">
        <v>19</v>
      </c>
      <c r="X644" s="568">
        <v>6005</v>
      </c>
      <c r="Y644" s="569">
        <v>22</v>
      </c>
      <c r="Z644" s="581" t="s">
        <v>178</v>
      </c>
      <c r="AA644" s="581" t="s">
        <v>178</v>
      </c>
      <c r="AB644" s="585">
        <v>28340</v>
      </c>
      <c r="AC644" s="585" t="s">
        <v>164</v>
      </c>
      <c r="AD644" s="585">
        <v>23620</v>
      </c>
      <c r="AE644" s="587">
        <v>6.25E-2</v>
      </c>
      <c r="AF644" s="661" t="str">
        <f t="shared" si="66"/>
        <v>2019-LVN-CRY-PCFA-001-04</v>
      </c>
      <c r="AG644" s="661" t="str">
        <f>IF(AND($Y644&gt;=32,(AI644="I"),(Y644&lt;&gt;"~"),(COUNTIF($AN$1:$AN644,$AN644)=1)),"TRUE","FALSE")</f>
        <v>FALSE</v>
      </c>
      <c r="AH644" s="661" t="str">
        <f>IF(AND($Y644&gt;=22, (AI644&lt;&gt;"I"),(Y644&lt;&gt;"~"),(COUNTIF($AN$1:$AN644,$AN644)=1)),"TRUE","FALSE")</f>
        <v>TRUE</v>
      </c>
      <c r="AI644" s="661" t="str">
        <f t="shared" si="68"/>
        <v>II</v>
      </c>
      <c r="AJ644" s="662" t="str">
        <f t="shared" si="69"/>
        <v>PCFA-001</v>
      </c>
      <c r="AK644" s="662" t="str">
        <f t="shared" si="70"/>
        <v>LVN</v>
      </c>
      <c r="AL644" s="662" t="str">
        <f t="shared" si="71"/>
        <v>CRY</v>
      </c>
      <c r="AM644" s="662" t="str">
        <f t="shared" si="67"/>
        <v>Pacifica-L-FWD-7-69.9-3600-3.6L-6-RUCE53-27F-121.6-19-Unleaded-Unleaded</v>
      </c>
      <c r="AN644" s="662" t="str">
        <f t="shared" si="72"/>
        <v>2019-LVN-CRY-PCFA-001</v>
      </c>
    </row>
    <row r="645" spans="1:40" s="572" customFormat="1" ht="15">
      <c r="A645" s="570" t="s">
        <v>1650</v>
      </c>
      <c r="B645" s="573" t="s">
        <v>1645</v>
      </c>
      <c r="C645" s="573" t="s">
        <v>240</v>
      </c>
      <c r="D645" s="578" t="s">
        <v>241</v>
      </c>
      <c r="E645" s="573" t="s">
        <v>1516</v>
      </c>
      <c r="F645" s="573" t="s">
        <v>1646</v>
      </c>
      <c r="G645" s="573" t="s">
        <v>228</v>
      </c>
      <c r="H645" s="573">
        <v>2019</v>
      </c>
      <c r="I645" s="573" t="s">
        <v>1647</v>
      </c>
      <c r="J645" s="573" t="s">
        <v>612</v>
      </c>
      <c r="K645" s="573" t="s">
        <v>156</v>
      </c>
      <c r="L645" s="573">
        <v>7</v>
      </c>
      <c r="M645" s="573">
        <v>0</v>
      </c>
      <c r="N645" s="573" t="s">
        <v>157</v>
      </c>
      <c r="O645" s="573">
        <v>3</v>
      </c>
      <c r="P645" s="573">
        <v>69.900000000000006</v>
      </c>
      <c r="Q645" s="571">
        <v>3600</v>
      </c>
      <c r="R645" s="573" t="s">
        <v>231</v>
      </c>
      <c r="S645" s="573">
        <v>6</v>
      </c>
      <c r="T645" s="573" t="s">
        <v>1648</v>
      </c>
      <c r="U645" s="573" t="s">
        <v>1649</v>
      </c>
      <c r="V645" s="573">
        <v>121.6</v>
      </c>
      <c r="W645" s="573">
        <v>19</v>
      </c>
      <c r="X645" s="571">
        <v>6005</v>
      </c>
      <c r="Y645" s="573">
        <v>22</v>
      </c>
      <c r="Z645" s="579" t="s">
        <v>178</v>
      </c>
      <c r="AA645" s="579" t="s">
        <v>178</v>
      </c>
      <c r="AB645" s="584">
        <v>28340</v>
      </c>
      <c r="AC645" s="584" t="s">
        <v>164</v>
      </c>
      <c r="AD645" s="584">
        <v>23549</v>
      </c>
      <c r="AE645" s="586">
        <v>0.05</v>
      </c>
      <c r="AF645" s="661" t="str">
        <f t="shared" si="66"/>
        <v>2019-LVN-CRY-PCFA-001-08</v>
      </c>
      <c r="AG645" s="661" t="str">
        <f>IF(AND($Y645&gt;=32,(AI645="I"),(Y645&lt;&gt;"~"),(COUNTIF($AN$1:$AN645,$AN645)=1)),"TRUE","FALSE")</f>
        <v>FALSE</v>
      </c>
      <c r="AH645" s="661" t="str">
        <f>IF(AND($Y645&gt;=22, (AI645&lt;&gt;"I"),(Y645&lt;&gt;"~"),(COUNTIF($AN$1:$AN645,$AN645)=1)),"TRUE","FALSE")</f>
        <v>FALSE</v>
      </c>
      <c r="AI645" s="661" t="str">
        <f t="shared" si="68"/>
        <v>II</v>
      </c>
      <c r="AJ645" s="662" t="str">
        <f t="shared" si="69"/>
        <v>PCFA-001</v>
      </c>
      <c r="AK645" s="662" t="str">
        <f t="shared" si="70"/>
        <v>LVN</v>
      </c>
      <c r="AL645" s="662" t="str">
        <f t="shared" si="71"/>
        <v>CRY</v>
      </c>
      <c r="AM645" s="662" t="str">
        <f t="shared" si="67"/>
        <v>Pacifica-L-FWD-7-69.9-3600-3.6L-6-RUCE53-27F-121.6-19-Unleaded-Unleaded</v>
      </c>
      <c r="AN645" s="662" t="str">
        <f t="shared" si="72"/>
        <v>2019-LVN-CRY-PCFA-001</v>
      </c>
    </row>
    <row r="646" spans="1:40" s="572" customFormat="1" ht="15">
      <c r="A646" s="570" t="s">
        <v>1651</v>
      </c>
      <c r="B646" s="569" t="s">
        <v>1652</v>
      </c>
      <c r="C646" s="569" t="s">
        <v>226</v>
      </c>
      <c r="D646" s="580" t="s">
        <v>227</v>
      </c>
      <c r="E646" s="569" t="s">
        <v>1516</v>
      </c>
      <c r="F646" s="569" t="s">
        <v>1646</v>
      </c>
      <c r="G646" s="569" t="s">
        <v>228</v>
      </c>
      <c r="H646" s="569">
        <v>2019</v>
      </c>
      <c r="I646" s="569" t="s">
        <v>1647</v>
      </c>
      <c r="J646" s="569" t="s">
        <v>1313</v>
      </c>
      <c r="K646" s="569" t="s">
        <v>156</v>
      </c>
      <c r="L646" s="569">
        <v>7</v>
      </c>
      <c r="M646" s="569">
        <v>0</v>
      </c>
      <c r="N646" s="569" t="s">
        <v>157</v>
      </c>
      <c r="O646" s="569">
        <v>3</v>
      </c>
      <c r="P646" s="569">
        <v>69.900000000000006</v>
      </c>
      <c r="Q646" s="568">
        <v>3600</v>
      </c>
      <c r="R646" s="569" t="s">
        <v>231</v>
      </c>
      <c r="S646" s="569">
        <v>6</v>
      </c>
      <c r="T646" s="569" t="s">
        <v>1653</v>
      </c>
      <c r="U646" s="569" t="s">
        <v>1654</v>
      </c>
      <c r="V646" s="569">
        <v>121.6</v>
      </c>
      <c r="W646" s="569">
        <v>19</v>
      </c>
      <c r="X646" s="568">
        <v>6005</v>
      </c>
      <c r="Y646" s="569">
        <v>22</v>
      </c>
      <c r="Z646" s="581" t="s">
        <v>178</v>
      </c>
      <c r="AA646" s="581" t="s">
        <v>178</v>
      </c>
      <c r="AB646" s="585">
        <v>31240</v>
      </c>
      <c r="AC646" s="585" t="s">
        <v>164</v>
      </c>
      <c r="AD646" s="585">
        <v>26477</v>
      </c>
      <c r="AE646" s="587">
        <v>6.25E-2</v>
      </c>
      <c r="AF646" s="661" t="str">
        <f t="shared" si="66"/>
        <v>2019-LVN-CRY-PCFA-002-04</v>
      </c>
      <c r="AG646" s="661" t="str">
        <f>IF(AND($Y646&gt;=32,(AI646="I"),(Y646&lt;&gt;"~"),(COUNTIF($AN$1:$AN646,$AN646)=1)),"TRUE","FALSE")</f>
        <v>FALSE</v>
      </c>
      <c r="AH646" s="661" t="str">
        <f>IF(AND($Y646&gt;=22, (AI646&lt;&gt;"I"),(Y646&lt;&gt;"~"),(COUNTIF($AN$1:$AN646,$AN646)=1)),"TRUE","FALSE")</f>
        <v>TRUE</v>
      </c>
      <c r="AI646" s="661" t="str">
        <f t="shared" si="68"/>
        <v>II</v>
      </c>
      <c r="AJ646" s="662" t="str">
        <f t="shared" si="69"/>
        <v>PCFA-002</v>
      </c>
      <c r="AK646" s="662" t="str">
        <f t="shared" si="70"/>
        <v>LVN</v>
      </c>
      <c r="AL646" s="662" t="str">
        <f t="shared" si="71"/>
        <v>CRY</v>
      </c>
      <c r="AM646" s="662" t="str">
        <f t="shared" si="67"/>
        <v>Pacifica-LX-FWD-7-69.9-3600-3.6L-6-RUCL53-27E-121.6-19-Unleaded-Unleaded</v>
      </c>
      <c r="AN646" s="662" t="str">
        <f t="shared" si="72"/>
        <v>2019-LVN-CRY-PCFA-002</v>
      </c>
    </row>
    <row r="647" spans="1:40" s="572" customFormat="1" ht="15">
      <c r="A647" s="570" t="s">
        <v>1655</v>
      </c>
      <c r="B647" s="573" t="s">
        <v>1652</v>
      </c>
      <c r="C647" s="573" t="s">
        <v>240</v>
      </c>
      <c r="D647" s="578" t="s">
        <v>241</v>
      </c>
      <c r="E647" s="573" t="s">
        <v>1516</v>
      </c>
      <c r="F647" s="573" t="s">
        <v>1646</v>
      </c>
      <c r="G647" s="573" t="s">
        <v>228</v>
      </c>
      <c r="H647" s="573">
        <v>2019</v>
      </c>
      <c r="I647" s="573" t="s">
        <v>1647</v>
      </c>
      <c r="J647" s="573" t="s">
        <v>1313</v>
      </c>
      <c r="K647" s="573" t="s">
        <v>156</v>
      </c>
      <c r="L647" s="573">
        <v>7</v>
      </c>
      <c r="M647" s="573">
        <v>0</v>
      </c>
      <c r="N647" s="573" t="s">
        <v>157</v>
      </c>
      <c r="O647" s="573">
        <v>3</v>
      </c>
      <c r="P647" s="573">
        <v>69.900000000000006</v>
      </c>
      <c r="Q647" s="571">
        <v>3600</v>
      </c>
      <c r="R647" s="573" t="s">
        <v>231</v>
      </c>
      <c r="S647" s="573">
        <v>6</v>
      </c>
      <c r="T647" s="573" t="s">
        <v>1653</v>
      </c>
      <c r="U647" s="573" t="s">
        <v>1654</v>
      </c>
      <c r="V647" s="573">
        <v>121.6</v>
      </c>
      <c r="W647" s="573">
        <v>19</v>
      </c>
      <c r="X647" s="571">
        <v>6005</v>
      </c>
      <c r="Y647" s="573">
        <v>22</v>
      </c>
      <c r="Z647" s="579" t="s">
        <v>178</v>
      </c>
      <c r="AA647" s="579" t="s">
        <v>178</v>
      </c>
      <c r="AB647" s="584">
        <v>31140</v>
      </c>
      <c r="AC647" s="584" t="s">
        <v>164</v>
      </c>
      <c r="AD647" s="584">
        <v>26369</v>
      </c>
      <c r="AE647" s="586">
        <v>0.05</v>
      </c>
      <c r="AF647" s="661" t="str">
        <f t="shared" si="66"/>
        <v>2019-LVN-CRY-PCFA-002-08</v>
      </c>
      <c r="AG647" s="661" t="str">
        <f>IF(AND($Y647&gt;=32,(AI647="I"),(Y647&lt;&gt;"~"),(COUNTIF($AN$1:$AN647,$AN647)=1)),"TRUE","FALSE")</f>
        <v>FALSE</v>
      </c>
      <c r="AH647" s="661" t="str">
        <f>IF(AND($Y647&gt;=22, (AI647&lt;&gt;"I"),(Y647&lt;&gt;"~"),(COUNTIF($AN$1:$AN647,$AN647)=1)),"TRUE","FALSE")</f>
        <v>FALSE</v>
      </c>
      <c r="AI647" s="661" t="str">
        <f t="shared" si="68"/>
        <v>II</v>
      </c>
      <c r="AJ647" s="662" t="str">
        <f t="shared" si="69"/>
        <v>PCFA-002</v>
      </c>
      <c r="AK647" s="662" t="str">
        <f t="shared" si="70"/>
        <v>LVN</v>
      </c>
      <c r="AL647" s="662" t="str">
        <f t="shared" si="71"/>
        <v>CRY</v>
      </c>
      <c r="AM647" s="662" t="str">
        <f t="shared" si="67"/>
        <v>Pacifica-LX-FWD-7-69.9-3600-3.6L-6-RUCL53-27E-121.6-19-Unleaded-Unleaded</v>
      </c>
      <c r="AN647" s="662" t="str">
        <f t="shared" si="72"/>
        <v>2019-LVN-CRY-PCFA-002</v>
      </c>
    </row>
    <row r="648" spans="1:40" s="572" customFormat="1" ht="15">
      <c r="A648" s="570" t="s">
        <v>1656</v>
      </c>
      <c r="B648" s="569" t="s">
        <v>1657</v>
      </c>
      <c r="C648" s="569" t="s">
        <v>240</v>
      </c>
      <c r="D648" s="580" t="s">
        <v>241</v>
      </c>
      <c r="E648" s="569" t="s">
        <v>1516</v>
      </c>
      <c r="F648" s="569" t="s">
        <v>1646</v>
      </c>
      <c r="G648" s="569" t="s">
        <v>228</v>
      </c>
      <c r="H648" s="569">
        <v>2019</v>
      </c>
      <c r="I648" s="569" t="s">
        <v>1647</v>
      </c>
      <c r="J648" s="569" t="s">
        <v>497</v>
      </c>
      <c r="K648" s="569" t="s">
        <v>156</v>
      </c>
      <c r="L648" s="569">
        <v>7</v>
      </c>
      <c r="M648" s="569">
        <v>0</v>
      </c>
      <c r="N648" s="569" t="s">
        <v>157</v>
      </c>
      <c r="O648" s="569">
        <v>3</v>
      </c>
      <c r="P648" s="569">
        <v>69.900000000000006</v>
      </c>
      <c r="Q648" s="568">
        <v>3600</v>
      </c>
      <c r="R648" s="569" t="s">
        <v>231</v>
      </c>
      <c r="S648" s="569">
        <v>6</v>
      </c>
      <c r="T648" s="569" t="s">
        <v>1658</v>
      </c>
      <c r="U648" s="569" t="s">
        <v>1659</v>
      </c>
      <c r="V648" s="569">
        <v>121.6</v>
      </c>
      <c r="W648" s="569">
        <v>19</v>
      </c>
      <c r="X648" s="568">
        <v>6005</v>
      </c>
      <c r="Y648" s="569">
        <v>22</v>
      </c>
      <c r="Z648" s="581" t="s">
        <v>178</v>
      </c>
      <c r="AA648" s="581" t="s">
        <v>178</v>
      </c>
      <c r="AB648" s="585">
        <v>32640</v>
      </c>
      <c r="AC648" s="585" t="s">
        <v>164</v>
      </c>
      <c r="AD648" s="585">
        <v>27081.25</v>
      </c>
      <c r="AE648" s="587">
        <v>0.05</v>
      </c>
      <c r="AF648" s="661" t="str">
        <f t="shared" ref="AF648:AF711" si="73">A648</f>
        <v>2019-LVN-CRY-PCFA-004-08</v>
      </c>
      <c r="AG648" s="661" t="str">
        <f>IF(AND($Y648&gt;=32,(AI648="I"),(Y648&lt;&gt;"~"),(COUNTIF($AN$1:$AN648,$AN648)=1)),"TRUE","FALSE")</f>
        <v>FALSE</v>
      </c>
      <c r="AH648" s="661" t="str">
        <f>IF(AND($Y648&gt;=22, (AI648&lt;&gt;"I"),(Y648&lt;&gt;"~"),(COUNTIF($AN$1:$AN648,$AN648)=1)),"TRUE","FALSE")</f>
        <v>TRUE</v>
      </c>
      <c r="AI648" s="661" t="str">
        <f t="shared" si="68"/>
        <v>II</v>
      </c>
      <c r="AJ648" s="662" t="str">
        <f t="shared" si="69"/>
        <v>PCFA-004</v>
      </c>
      <c r="AK648" s="662" t="str">
        <f t="shared" si="70"/>
        <v>LVN</v>
      </c>
      <c r="AL648" s="662" t="str">
        <f t="shared" si="71"/>
        <v>CRY</v>
      </c>
      <c r="AM648" s="662" t="str">
        <f t="shared" si="67"/>
        <v>Pacifica-Touring-FWD-7-69.9-3600-3.6L-6-RUCM53-27K-121.6-19-Unleaded-Unleaded</v>
      </c>
      <c r="AN648" s="662" t="str">
        <f t="shared" si="72"/>
        <v>2019-LVN-CRY-PCFA-004</v>
      </c>
    </row>
    <row r="649" spans="1:40" s="572" customFormat="1" ht="15">
      <c r="A649" s="570" t="s">
        <v>1660</v>
      </c>
      <c r="B649" s="573" t="s">
        <v>1657</v>
      </c>
      <c r="C649" s="573" t="s">
        <v>226</v>
      </c>
      <c r="D649" s="578" t="s">
        <v>227</v>
      </c>
      <c r="E649" s="573" t="s">
        <v>1516</v>
      </c>
      <c r="F649" s="573" t="s">
        <v>1646</v>
      </c>
      <c r="G649" s="573" t="s">
        <v>228</v>
      </c>
      <c r="H649" s="573">
        <v>2019</v>
      </c>
      <c r="I649" s="573" t="s">
        <v>1647</v>
      </c>
      <c r="J649" s="573" t="s">
        <v>229</v>
      </c>
      <c r="K649" s="573" t="s">
        <v>156</v>
      </c>
      <c r="L649" s="573">
        <v>7</v>
      </c>
      <c r="M649" s="573">
        <v>0</v>
      </c>
      <c r="N649" s="573" t="s">
        <v>157</v>
      </c>
      <c r="O649" s="573">
        <v>3</v>
      </c>
      <c r="P649" s="573">
        <v>69.900000000000006</v>
      </c>
      <c r="Q649" s="571">
        <v>3600</v>
      </c>
      <c r="R649" s="573" t="s">
        <v>231</v>
      </c>
      <c r="S649" s="573">
        <v>6</v>
      </c>
      <c r="T649" s="573" t="s">
        <v>1658</v>
      </c>
      <c r="U649" s="573" t="s">
        <v>1659</v>
      </c>
      <c r="V649" s="573">
        <v>121.6</v>
      </c>
      <c r="W649" s="573">
        <v>19</v>
      </c>
      <c r="X649" s="571">
        <v>6005</v>
      </c>
      <c r="Y649" s="573">
        <v>22</v>
      </c>
      <c r="Z649" s="579" t="s">
        <v>178</v>
      </c>
      <c r="AA649" s="579" t="s">
        <v>178</v>
      </c>
      <c r="AB649" s="584">
        <v>33235</v>
      </c>
      <c r="AC649" s="584" t="s">
        <v>164</v>
      </c>
      <c r="AD649" s="584">
        <v>27730</v>
      </c>
      <c r="AE649" s="586">
        <v>6.25E-2</v>
      </c>
      <c r="AF649" s="661" t="str">
        <f t="shared" si="73"/>
        <v>2019-LVN-CRY-PCFA-004-04</v>
      </c>
      <c r="AG649" s="661" t="str">
        <f>IF(AND($Y649&gt;=32,(AI649="I"),(Y649&lt;&gt;"~"),(COUNTIF($AN$1:$AN649,$AN649)=1)),"TRUE","FALSE")</f>
        <v>FALSE</v>
      </c>
      <c r="AH649" s="661" t="str">
        <f>IF(AND($Y649&gt;=22, (AI649&lt;&gt;"I"),(Y649&lt;&gt;"~"),(COUNTIF($AN$1:$AN649,$AN649)=1)),"TRUE","FALSE")</f>
        <v>FALSE</v>
      </c>
      <c r="AI649" s="661" t="str">
        <f t="shared" si="68"/>
        <v>II</v>
      </c>
      <c r="AJ649" s="662" t="str">
        <f t="shared" si="69"/>
        <v>PCFA-004</v>
      </c>
      <c r="AK649" s="662" t="str">
        <f t="shared" si="70"/>
        <v>LVN</v>
      </c>
      <c r="AL649" s="662" t="str">
        <f t="shared" si="71"/>
        <v>CRY</v>
      </c>
      <c r="AM649" s="662" t="str">
        <f t="shared" si="67"/>
        <v>Pacifica-Touring -FWD-7-69.9-3600-3.6L-6-RUCM53-27K-121.6-19-Unleaded-Unleaded</v>
      </c>
      <c r="AN649" s="662" t="str">
        <f t="shared" si="72"/>
        <v>2019-LVN-CRY-PCFA-004</v>
      </c>
    </row>
    <row r="650" spans="1:40" s="572" customFormat="1" ht="30">
      <c r="A650" s="570" t="s">
        <v>1661</v>
      </c>
      <c r="B650" s="569" t="s">
        <v>1662</v>
      </c>
      <c r="C650" s="569" t="s">
        <v>240</v>
      </c>
      <c r="D650" s="580" t="s">
        <v>241</v>
      </c>
      <c r="E650" s="569" t="s">
        <v>1516</v>
      </c>
      <c r="F650" s="569" t="s">
        <v>1646</v>
      </c>
      <c r="G650" s="569" t="s">
        <v>228</v>
      </c>
      <c r="H650" s="569">
        <v>2019</v>
      </c>
      <c r="I650" s="569" t="s">
        <v>1647</v>
      </c>
      <c r="J650" s="569" t="s">
        <v>1663</v>
      </c>
      <c r="K650" s="569" t="s">
        <v>156</v>
      </c>
      <c r="L650" s="569">
        <v>7</v>
      </c>
      <c r="M650" s="569">
        <v>0</v>
      </c>
      <c r="N650" s="569" t="s">
        <v>157</v>
      </c>
      <c r="O650" s="569">
        <v>3</v>
      </c>
      <c r="P650" s="569">
        <v>69.900000000000006</v>
      </c>
      <c r="Q650" s="568">
        <v>3600</v>
      </c>
      <c r="R650" s="569" t="s">
        <v>231</v>
      </c>
      <c r="S650" s="569">
        <v>6</v>
      </c>
      <c r="T650" s="569" t="s">
        <v>1664</v>
      </c>
      <c r="U650" s="569" t="s">
        <v>1665</v>
      </c>
      <c r="V650" s="569">
        <v>121.6</v>
      </c>
      <c r="W650" s="569">
        <v>16.5</v>
      </c>
      <c r="X650" s="568">
        <v>6300</v>
      </c>
      <c r="Y650" s="569">
        <v>84</v>
      </c>
      <c r="Z650" s="581" t="s">
        <v>163</v>
      </c>
      <c r="AA650" s="581" t="s">
        <v>178</v>
      </c>
      <c r="AB650" s="585">
        <v>43935</v>
      </c>
      <c r="AC650" s="585" t="s">
        <v>164</v>
      </c>
      <c r="AD650" s="585">
        <v>43777.083333333336</v>
      </c>
      <c r="AE650" s="587">
        <v>0.05</v>
      </c>
      <c r="AF650" s="661" t="str">
        <f t="shared" si="73"/>
        <v>2019-LVN-CRY-PCFA-005-08</v>
      </c>
      <c r="AG650" s="661" t="str">
        <f>IF(AND($Y650&gt;=32,(AI650="I"),(Y650&lt;&gt;"~"),(COUNTIF($AN$1:$AN650,$AN650)=1)),"TRUE","FALSE")</f>
        <v>FALSE</v>
      </c>
      <c r="AH650" s="661" t="str">
        <f>IF(AND($Y650&gt;=22, (AI650&lt;&gt;"I"),(Y650&lt;&gt;"~"),(COUNTIF($AN$1:$AN650,$AN650)=1)),"TRUE","FALSE")</f>
        <v>TRUE</v>
      </c>
      <c r="AI650" s="661" t="str">
        <f t="shared" si="68"/>
        <v>II</v>
      </c>
      <c r="AJ650" s="662" t="str">
        <f t="shared" si="69"/>
        <v>PCFA-005</v>
      </c>
      <c r="AK650" s="662" t="str">
        <f t="shared" si="70"/>
        <v>LVN</v>
      </c>
      <c r="AL650" s="662" t="str">
        <f t="shared" si="71"/>
        <v>CRY</v>
      </c>
      <c r="AM650" s="662" t="str">
        <f t="shared" si="67"/>
        <v>Pacifica-Touring L Hybrid (PHEV)-FWD-7-69.9-3600-3.6L-6-RUEH53-2EN-121.6-16.5-Electric-Unleaded</v>
      </c>
      <c r="AN650" s="662" t="str">
        <f t="shared" si="72"/>
        <v>2019-LVN-CRY-PCFA-005</v>
      </c>
    </row>
    <row r="651" spans="1:40" s="572" customFormat="1" ht="30">
      <c r="A651" s="570" t="s">
        <v>1666</v>
      </c>
      <c r="B651" s="573" t="s">
        <v>1667</v>
      </c>
      <c r="C651" s="573" t="s">
        <v>226</v>
      </c>
      <c r="D651" s="578" t="s">
        <v>227</v>
      </c>
      <c r="E651" s="573" t="s">
        <v>1516</v>
      </c>
      <c r="F651" s="573" t="s">
        <v>1646</v>
      </c>
      <c r="G651" s="573" t="s">
        <v>228</v>
      </c>
      <c r="H651" s="573">
        <v>2019</v>
      </c>
      <c r="I651" s="573" t="s">
        <v>1647</v>
      </c>
      <c r="J651" s="573" t="s">
        <v>1668</v>
      </c>
      <c r="K651" s="573" t="s">
        <v>156</v>
      </c>
      <c r="L651" s="573">
        <v>7</v>
      </c>
      <c r="M651" s="573">
        <v>0</v>
      </c>
      <c r="N651" s="573" t="s">
        <v>157</v>
      </c>
      <c r="O651" s="573">
        <v>3</v>
      </c>
      <c r="P651" s="573">
        <v>69.900000000000006</v>
      </c>
      <c r="Q651" s="571">
        <v>3600</v>
      </c>
      <c r="R651" s="573" t="s">
        <v>231</v>
      </c>
      <c r="S651" s="573">
        <v>6</v>
      </c>
      <c r="T651" s="573" t="s">
        <v>1669</v>
      </c>
      <c r="U651" s="573" t="s">
        <v>1403</v>
      </c>
      <c r="V651" s="573">
        <v>121.6</v>
      </c>
      <c r="W651" s="573">
        <v>16.5</v>
      </c>
      <c r="X651" s="571">
        <v>6300</v>
      </c>
      <c r="Y651" s="573">
        <v>84</v>
      </c>
      <c r="Z651" s="579" t="s">
        <v>163</v>
      </c>
      <c r="AA651" s="579" t="s">
        <v>178</v>
      </c>
      <c r="AB651" s="584">
        <v>41340</v>
      </c>
      <c r="AC651" s="584" t="s">
        <v>164</v>
      </c>
      <c r="AD651" s="584">
        <v>40891</v>
      </c>
      <c r="AE651" s="586">
        <v>6.25E-2</v>
      </c>
      <c r="AF651" s="661" t="str">
        <f t="shared" si="73"/>
        <v>2019-LVN-CRY-PCFA-003-04</v>
      </c>
      <c r="AG651" s="661" t="str">
        <f>IF(AND($Y651&gt;=32,(AI651="I"),(Y651&lt;&gt;"~"),(COUNTIF($AN$1:$AN651,$AN651)=1)),"TRUE","FALSE")</f>
        <v>FALSE</v>
      </c>
      <c r="AH651" s="661" t="str">
        <f>IF(AND($Y651&gt;=22, (AI651&lt;&gt;"I"),(Y651&lt;&gt;"~"),(COUNTIF($AN$1:$AN651,$AN651)=1)),"TRUE","FALSE")</f>
        <v>TRUE</v>
      </c>
      <c r="AI651" s="661" t="str">
        <f t="shared" si="68"/>
        <v>II</v>
      </c>
      <c r="AJ651" s="662" t="str">
        <f t="shared" si="69"/>
        <v>PCFA-003</v>
      </c>
      <c r="AK651" s="662" t="str">
        <f t="shared" si="70"/>
        <v>LVN</v>
      </c>
      <c r="AL651" s="662" t="str">
        <f t="shared" si="71"/>
        <v>CRY</v>
      </c>
      <c r="AM651" s="662" t="str">
        <f t="shared" si="67"/>
        <v>Pacifica-Touring Plus Hybrid (PHEV)-FWD-7-69.9-3600-3.6L-6-RUEP53-2EA-121.6-16.5-Electric-Unleaded</v>
      </c>
      <c r="AN651" s="662" t="str">
        <f t="shared" si="72"/>
        <v>2019-LVN-CRY-PCFA-003</v>
      </c>
    </row>
    <row r="652" spans="1:40" s="572" customFormat="1" ht="30">
      <c r="A652" s="570" t="s">
        <v>1670</v>
      </c>
      <c r="B652" s="569" t="s">
        <v>1667</v>
      </c>
      <c r="C652" s="569" t="s">
        <v>240</v>
      </c>
      <c r="D652" s="580" t="s">
        <v>241</v>
      </c>
      <c r="E652" s="569" t="s">
        <v>1516</v>
      </c>
      <c r="F652" s="569" t="s">
        <v>1646</v>
      </c>
      <c r="G652" s="569" t="s">
        <v>228</v>
      </c>
      <c r="H652" s="569">
        <v>2019</v>
      </c>
      <c r="I652" s="569" t="s">
        <v>1647</v>
      </c>
      <c r="J652" s="569" t="s">
        <v>1668</v>
      </c>
      <c r="K652" s="569" t="s">
        <v>156</v>
      </c>
      <c r="L652" s="569">
        <v>7</v>
      </c>
      <c r="M652" s="569">
        <v>0</v>
      </c>
      <c r="N652" s="569" t="s">
        <v>157</v>
      </c>
      <c r="O652" s="569">
        <v>3</v>
      </c>
      <c r="P652" s="569">
        <v>69.900000000000006</v>
      </c>
      <c r="Q652" s="568">
        <v>3600</v>
      </c>
      <c r="R652" s="569" t="s">
        <v>231</v>
      </c>
      <c r="S652" s="569">
        <v>6</v>
      </c>
      <c r="T652" s="569" t="s">
        <v>1669</v>
      </c>
      <c r="U652" s="569" t="s">
        <v>1403</v>
      </c>
      <c r="V652" s="569">
        <v>121.6</v>
      </c>
      <c r="W652" s="569">
        <v>16.5</v>
      </c>
      <c r="X652" s="568">
        <v>6300</v>
      </c>
      <c r="Y652" s="569">
        <v>84</v>
      </c>
      <c r="Z652" s="581" t="s">
        <v>163</v>
      </c>
      <c r="AA652" s="581" t="s">
        <v>178</v>
      </c>
      <c r="AB652" s="585">
        <v>41935</v>
      </c>
      <c r="AC652" s="585" t="s">
        <v>164</v>
      </c>
      <c r="AD652" s="585">
        <v>41777.083333333336</v>
      </c>
      <c r="AE652" s="587">
        <v>0.05</v>
      </c>
      <c r="AF652" s="661" t="str">
        <f t="shared" si="73"/>
        <v>2019-LVN-CRY-PCFA-003-08</v>
      </c>
      <c r="AG652" s="661" t="str">
        <f>IF(AND($Y652&gt;=32,(AI652="I"),(Y652&lt;&gt;"~"),(COUNTIF($AN$1:$AN652,$AN652)=1)),"TRUE","FALSE")</f>
        <v>FALSE</v>
      </c>
      <c r="AH652" s="661" t="str">
        <f>IF(AND($Y652&gt;=22, (AI652&lt;&gt;"I"),(Y652&lt;&gt;"~"),(COUNTIF($AN$1:$AN652,$AN652)=1)),"TRUE","FALSE")</f>
        <v>FALSE</v>
      </c>
      <c r="AI652" s="661" t="str">
        <f t="shared" si="68"/>
        <v>II</v>
      </c>
      <c r="AJ652" s="662" t="str">
        <f t="shared" si="69"/>
        <v>PCFA-003</v>
      </c>
      <c r="AK652" s="662" t="str">
        <f t="shared" si="70"/>
        <v>LVN</v>
      </c>
      <c r="AL652" s="662" t="str">
        <f t="shared" si="71"/>
        <v>CRY</v>
      </c>
      <c r="AM652" s="662" t="str">
        <f t="shared" si="67"/>
        <v>Pacifica-Touring Plus Hybrid (PHEV)-FWD-7-69.9-3600-3.6L-6-RUEP53-2EA-121.6-16.5-Electric-Unleaded</v>
      </c>
      <c r="AN652" s="662" t="str">
        <f t="shared" si="72"/>
        <v>2019-LVN-CRY-PCFA-003</v>
      </c>
    </row>
    <row r="653" spans="1:40" s="572" customFormat="1" ht="15">
      <c r="A653" s="570" t="s">
        <v>1671</v>
      </c>
      <c r="B653" s="573" t="s">
        <v>1672</v>
      </c>
      <c r="C653" s="573" t="s">
        <v>226</v>
      </c>
      <c r="D653" s="578" t="s">
        <v>227</v>
      </c>
      <c r="E653" s="573" t="s">
        <v>1516</v>
      </c>
      <c r="F653" s="573" t="s">
        <v>1646</v>
      </c>
      <c r="G653" s="573" t="s">
        <v>248</v>
      </c>
      <c r="H653" s="573">
        <v>2019</v>
      </c>
      <c r="I653" s="573" t="s">
        <v>1673</v>
      </c>
      <c r="J653" s="573" t="s">
        <v>330</v>
      </c>
      <c r="K653" s="573" t="s">
        <v>156</v>
      </c>
      <c r="L653" s="573">
        <v>7</v>
      </c>
      <c r="M653" s="573">
        <v>0</v>
      </c>
      <c r="N653" s="573" t="s">
        <v>157</v>
      </c>
      <c r="O653" s="573">
        <v>3</v>
      </c>
      <c r="P653" s="573">
        <v>67.900000000000006</v>
      </c>
      <c r="Q653" s="571">
        <v>3600</v>
      </c>
      <c r="R653" s="573" t="s">
        <v>231</v>
      </c>
      <c r="S653" s="573">
        <v>6</v>
      </c>
      <c r="T653" s="573" t="s">
        <v>1674</v>
      </c>
      <c r="U653" s="573" t="s">
        <v>1675</v>
      </c>
      <c r="V653" s="573">
        <v>121.2</v>
      </c>
      <c r="W653" s="573">
        <v>20</v>
      </c>
      <c r="X653" s="571">
        <v>6050</v>
      </c>
      <c r="Y653" s="573">
        <v>20</v>
      </c>
      <c r="Z653" s="579" t="s">
        <v>178</v>
      </c>
      <c r="AA653" s="579" t="s">
        <v>178</v>
      </c>
      <c r="AB653" s="584">
        <v>27595</v>
      </c>
      <c r="AC653" s="584" t="s">
        <v>164</v>
      </c>
      <c r="AD653" s="584">
        <v>22491</v>
      </c>
      <c r="AE653" s="586">
        <v>6.25E-2</v>
      </c>
      <c r="AF653" s="661" t="str">
        <f t="shared" si="73"/>
        <v>2019-LVN-DOD-GCVN-001-04</v>
      </c>
      <c r="AG653" s="661" t="str">
        <f>IF(AND($Y653&gt;=32,(AI653="I"),(Y653&lt;&gt;"~"),(COUNTIF($AN$1:$AN653,$AN653)=1)),"TRUE","FALSE")</f>
        <v>FALSE</v>
      </c>
      <c r="AH653" s="661" t="str">
        <f>IF(AND($Y653&gt;=22, (AI653&lt;&gt;"I"),(Y653&lt;&gt;"~"),(COUNTIF($AN$1:$AN653,$AN653)=1)),"TRUE","FALSE")</f>
        <v>FALSE</v>
      </c>
      <c r="AI653" s="661" t="str">
        <f t="shared" si="68"/>
        <v>II</v>
      </c>
      <c r="AJ653" s="662" t="str">
        <f t="shared" si="69"/>
        <v>GCVN-001</v>
      </c>
      <c r="AK653" s="662" t="str">
        <f t="shared" si="70"/>
        <v>LVN</v>
      </c>
      <c r="AL653" s="662" t="str">
        <f t="shared" si="71"/>
        <v>DOD</v>
      </c>
      <c r="AM653" s="662" t="str">
        <f t="shared" si="67"/>
        <v>Grand Caravan-SE-FWD-7-67.9-3600-3.6L-6-RTKH53-29S-121.2-20-Unleaded-Unleaded</v>
      </c>
      <c r="AN653" s="662" t="str">
        <f t="shared" si="72"/>
        <v>2019-LVN-DOD-GCVN-001</v>
      </c>
    </row>
    <row r="654" spans="1:40" s="572" customFormat="1" ht="15">
      <c r="A654" s="570" t="s">
        <v>1676</v>
      </c>
      <c r="B654" s="569" t="s">
        <v>1672</v>
      </c>
      <c r="C654" s="569" t="s">
        <v>240</v>
      </c>
      <c r="D654" s="580" t="s">
        <v>241</v>
      </c>
      <c r="E654" s="569" t="s">
        <v>1516</v>
      </c>
      <c r="F654" s="569" t="s">
        <v>1646</v>
      </c>
      <c r="G654" s="569" t="s">
        <v>248</v>
      </c>
      <c r="H654" s="569">
        <v>2019</v>
      </c>
      <c r="I654" s="569" t="s">
        <v>1673</v>
      </c>
      <c r="J654" s="569" t="s">
        <v>330</v>
      </c>
      <c r="K654" s="569" t="s">
        <v>156</v>
      </c>
      <c r="L654" s="569">
        <v>7</v>
      </c>
      <c r="M654" s="569">
        <v>0</v>
      </c>
      <c r="N654" s="569" t="s">
        <v>157</v>
      </c>
      <c r="O654" s="569">
        <v>3</v>
      </c>
      <c r="P654" s="569">
        <v>67.900000000000006</v>
      </c>
      <c r="Q654" s="568">
        <v>3600</v>
      </c>
      <c r="R654" s="569" t="s">
        <v>231</v>
      </c>
      <c r="S654" s="569">
        <v>6</v>
      </c>
      <c r="T654" s="569" t="s">
        <v>1674</v>
      </c>
      <c r="U654" s="569" t="s">
        <v>1675</v>
      </c>
      <c r="V654" s="569">
        <v>121.2</v>
      </c>
      <c r="W654" s="569">
        <v>20</v>
      </c>
      <c r="X654" s="568">
        <v>6050</v>
      </c>
      <c r="Y654" s="569">
        <v>20</v>
      </c>
      <c r="Z654" s="581" t="s">
        <v>178</v>
      </c>
      <c r="AA654" s="581" t="s">
        <v>178</v>
      </c>
      <c r="AB654" s="585">
        <v>27595</v>
      </c>
      <c r="AC654" s="585" t="s">
        <v>164</v>
      </c>
      <c r="AD654" s="585">
        <v>22389</v>
      </c>
      <c r="AE654" s="587">
        <v>0.05</v>
      </c>
      <c r="AF654" s="661" t="str">
        <f t="shared" si="73"/>
        <v>2019-LVN-DOD-GCVN-001-08</v>
      </c>
      <c r="AG654" s="661" t="str">
        <f>IF(AND($Y654&gt;=32,(AI654="I"),(Y654&lt;&gt;"~"),(COUNTIF($AN$1:$AN654,$AN654)=1)),"TRUE","FALSE")</f>
        <v>FALSE</v>
      </c>
      <c r="AH654" s="661" t="str">
        <f>IF(AND($Y654&gt;=22, (AI654&lt;&gt;"I"),(Y654&lt;&gt;"~"),(COUNTIF($AN$1:$AN654,$AN654)=1)),"TRUE","FALSE")</f>
        <v>FALSE</v>
      </c>
      <c r="AI654" s="661" t="str">
        <f t="shared" si="68"/>
        <v>II</v>
      </c>
      <c r="AJ654" s="662" t="str">
        <f t="shared" si="69"/>
        <v>GCVN-001</v>
      </c>
      <c r="AK654" s="662" t="str">
        <f t="shared" si="70"/>
        <v>LVN</v>
      </c>
      <c r="AL654" s="662" t="str">
        <f t="shared" si="71"/>
        <v>DOD</v>
      </c>
      <c r="AM654" s="662" t="str">
        <f t="shared" si="67"/>
        <v>Grand Caravan-SE-FWD-7-67.9-3600-3.6L-6-RTKH53-29S-121.2-20-Unleaded-Unleaded</v>
      </c>
      <c r="AN654" s="662" t="str">
        <f t="shared" si="72"/>
        <v>2019-LVN-DOD-GCVN-001</v>
      </c>
    </row>
    <row r="655" spans="1:40" s="572" customFormat="1" ht="15">
      <c r="A655" s="570" t="s">
        <v>1677</v>
      </c>
      <c r="B655" s="573" t="s">
        <v>1678</v>
      </c>
      <c r="C655" s="573" t="s">
        <v>226</v>
      </c>
      <c r="D655" s="578" t="s">
        <v>227</v>
      </c>
      <c r="E655" s="573" t="s">
        <v>1516</v>
      </c>
      <c r="F655" s="573" t="s">
        <v>1646</v>
      </c>
      <c r="G655" s="573" t="s">
        <v>248</v>
      </c>
      <c r="H655" s="573">
        <v>2019</v>
      </c>
      <c r="I655" s="573" t="s">
        <v>1673</v>
      </c>
      <c r="J655" s="573" t="s">
        <v>250</v>
      </c>
      <c r="K655" s="573" t="s">
        <v>156</v>
      </c>
      <c r="L655" s="573">
        <v>7</v>
      </c>
      <c r="M655" s="573">
        <v>0</v>
      </c>
      <c r="N655" s="573" t="s">
        <v>157</v>
      </c>
      <c r="O655" s="573">
        <v>3</v>
      </c>
      <c r="P655" s="573">
        <v>67.900000000000006</v>
      </c>
      <c r="Q655" s="571">
        <v>3600</v>
      </c>
      <c r="R655" s="573" t="s">
        <v>231</v>
      </c>
      <c r="S655" s="573">
        <v>6</v>
      </c>
      <c r="T655" s="573" t="s">
        <v>1679</v>
      </c>
      <c r="U655" s="573" t="s">
        <v>1680</v>
      </c>
      <c r="V655" s="573">
        <v>121.2</v>
      </c>
      <c r="W655" s="573">
        <v>20</v>
      </c>
      <c r="X655" s="571">
        <v>6050</v>
      </c>
      <c r="Y655" s="573">
        <v>20</v>
      </c>
      <c r="Z655" s="579" t="s">
        <v>178</v>
      </c>
      <c r="AA655" s="579" t="s">
        <v>178</v>
      </c>
      <c r="AB655" s="584">
        <v>33095</v>
      </c>
      <c r="AC655" s="584" t="s">
        <v>164</v>
      </c>
      <c r="AD655" s="584">
        <v>26904</v>
      </c>
      <c r="AE655" s="586">
        <v>6.25E-2</v>
      </c>
      <c r="AF655" s="661" t="str">
        <f t="shared" si="73"/>
        <v>2019-LVN-DOD-GCVN-002-04</v>
      </c>
      <c r="AG655" s="661" t="str">
        <f>IF(AND($Y655&gt;=32,(AI655="I"),(Y655&lt;&gt;"~"),(COUNTIF($AN$1:$AN655,$AN655)=1)),"TRUE","FALSE")</f>
        <v>FALSE</v>
      </c>
      <c r="AH655" s="661" t="str">
        <f>IF(AND($Y655&gt;=22, (AI655&lt;&gt;"I"),(Y655&lt;&gt;"~"),(COUNTIF($AN$1:$AN655,$AN655)=1)),"TRUE","FALSE")</f>
        <v>FALSE</v>
      </c>
      <c r="AI655" s="661" t="str">
        <f t="shared" si="68"/>
        <v>II</v>
      </c>
      <c r="AJ655" s="662" t="str">
        <f t="shared" si="69"/>
        <v>GCVN-002</v>
      </c>
      <c r="AK655" s="662" t="str">
        <f t="shared" si="70"/>
        <v>LVN</v>
      </c>
      <c r="AL655" s="662" t="str">
        <f t="shared" si="71"/>
        <v>DOD</v>
      </c>
      <c r="AM655" s="662" t="str">
        <f t="shared" si="67"/>
        <v>Grand Caravan-SXT-FWD-7-67.9-3600-3.6L-6-RTKM53-29P-121.2-20-Unleaded-Unleaded</v>
      </c>
      <c r="AN655" s="662" t="str">
        <f t="shared" si="72"/>
        <v>2019-LVN-DOD-GCVN-002</v>
      </c>
    </row>
    <row r="656" spans="1:40" s="572" customFormat="1" ht="15">
      <c r="A656" s="570" t="s">
        <v>1681</v>
      </c>
      <c r="B656" s="569" t="s">
        <v>1678</v>
      </c>
      <c r="C656" s="569" t="s">
        <v>240</v>
      </c>
      <c r="D656" s="580" t="s">
        <v>241</v>
      </c>
      <c r="E656" s="569" t="s">
        <v>1516</v>
      </c>
      <c r="F656" s="569" t="s">
        <v>1646</v>
      </c>
      <c r="G656" s="569" t="s">
        <v>248</v>
      </c>
      <c r="H656" s="569">
        <v>2019</v>
      </c>
      <c r="I656" s="569" t="s">
        <v>1673</v>
      </c>
      <c r="J656" s="569" t="s">
        <v>250</v>
      </c>
      <c r="K656" s="569" t="s">
        <v>156</v>
      </c>
      <c r="L656" s="569">
        <v>7</v>
      </c>
      <c r="M656" s="569">
        <v>0</v>
      </c>
      <c r="N656" s="569" t="s">
        <v>157</v>
      </c>
      <c r="O656" s="569">
        <v>3</v>
      </c>
      <c r="P656" s="569">
        <v>67.900000000000006</v>
      </c>
      <c r="Q656" s="568">
        <v>3600</v>
      </c>
      <c r="R656" s="569" t="s">
        <v>231</v>
      </c>
      <c r="S656" s="569">
        <v>6</v>
      </c>
      <c r="T656" s="569" t="s">
        <v>1679</v>
      </c>
      <c r="U656" s="569" t="s">
        <v>1680</v>
      </c>
      <c r="V656" s="569">
        <v>121.2</v>
      </c>
      <c r="W656" s="569">
        <v>20</v>
      </c>
      <c r="X656" s="568">
        <v>6050</v>
      </c>
      <c r="Y656" s="569">
        <v>20</v>
      </c>
      <c r="Z656" s="581" t="s">
        <v>178</v>
      </c>
      <c r="AA656" s="581" t="s">
        <v>178</v>
      </c>
      <c r="AB656" s="585">
        <v>33860</v>
      </c>
      <c r="AC656" s="585" t="s">
        <v>164</v>
      </c>
      <c r="AD656" s="585">
        <v>27450</v>
      </c>
      <c r="AE656" s="587">
        <v>0.05</v>
      </c>
      <c r="AF656" s="661" t="str">
        <f t="shared" si="73"/>
        <v>2019-LVN-DOD-GCVN-002-08</v>
      </c>
      <c r="AG656" s="661" t="str">
        <f>IF(AND($Y656&gt;=32,(AI656="I"),(Y656&lt;&gt;"~"),(COUNTIF($AN$1:$AN656,$AN656)=1)),"TRUE","FALSE")</f>
        <v>FALSE</v>
      </c>
      <c r="AH656" s="661" t="str">
        <f>IF(AND($Y656&gt;=22, (AI656&lt;&gt;"I"),(Y656&lt;&gt;"~"),(COUNTIF($AN$1:$AN656,$AN656)=1)),"TRUE","FALSE")</f>
        <v>FALSE</v>
      </c>
      <c r="AI656" s="661" t="str">
        <f t="shared" si="68"/>
        <v>II</v>
      </c>
      <c r="AJ656" s="662" t="str">
        <f t="shared" si="69"/>
        <v>GCVN-002</v>
      </c>
      <c r="AK656" s="662" t="str">
        <f t="shared" si="70"/>
        <v>LVN</v>
      </c>
      <c r="AL656" s="662" t="str">
        <f t="shared" si="71"/>
        <v>DOD</v>
      </c>
      <c r="AM656" s="662" t="str">
        <f t="shared" si="67"/>
        <v>Grand Caravan-SXT-FWD-7-67.9-3600-3.6L-6-RTKM53-29P-121.2-20-Unleaded-Unleaded</v>
      </c>
      <c r="AN656" s="662" t="str">
        <f t="shared" si="72"/>
        <v>2019-LVN-DOD-GCVN-002</v>
      </c>
    </row>
    <row r="657" spans="1:40" s="572" customFormat="1" ht="15">
      <c r="A657" s="570" t="s">
        <v>1682</v>
      </c>
      <c r="B657" s="573" t="s">
        <v>1683</v>
      </c>
      <c r="C657" s="573" t="s">
        <v>269</v>
      </c>
      <c r="D657" s="578" t="s">
        <v>270</v>
      </c>
      <c r="E657" s="573" t="s">
        <v>1516</v>
      </c>
      <c r="F657" s="573" t="s">
        <v>1684</v>
      </c>
      <c r="G657" s="573" t="s">
        <v>271</v>
      </c>
      <c r="H657" s="573">
        <v>2019</v>
      </c>
      <c r="I657" s="573" t="s">
        <v>1685</v>
      </c>
      <c r="J657" s="573" t="s">
        <v>1686</v>
      </c>
      <c r="K657" s="573" t="s">
        <v>236</v>
      </c>
      <c r="L657" s="573">
        <v>2</v>
      </c>
      <c r="M657" s="573">
        <v>0</v>
      </c>
      <c r="N657" s="573" t="s">
        <v>157</v>
      </c>
      <c r="O657" s="573">
        <v>1</v>
      </c>
      <c r="P657" s="573">
        <v>81</v>
      </c>
      <c r="Q657" s="571" t="s">
        <v>157</v>
      </c>
      <c r="R657" s="573" t="s">
        <v>1687</v>
      </c>
      <c r="S657" s="573">
        <v>10</v>
      </c>
      <c r="T657" s="573" t="s">
        <v>1688</v>
      </c>
      <c r="U657" s="573" t="s">
        <v>1689</v>
      </c>
      <c r="V657" s="573">
        <v>138</v>
      </c>
      <c r="W657" s="573">
        <v>40</v>
      </c>
      <c r="X657" s="571">
        <v>11500</v>
      </c>
      <c r="Y657" s="569" t="s">
        <v>164</v>
      </c>
      <c r="Z657" s="579" t="s">
        <v>178</v>
      </c>
      <c r="AA657" s="579" t="s">
        <v>178</v>
      </c>
      <c r="AB657" s="584">
        <v>32830</v>
      </c>
      <c r="AC657" s="584" t="s">
        <v>164</v>
      </c>
      <c r="AD657" s="584">
        <v>24976.604166666668</v>
      </c>
      <c r="AE657" s="586">
        <v>0.03</v>
      </c>
      <c r="AF657" s="661" t="str">
        <f t="shared" si="73"/>
        <v>2019-LVN-FRD-E350-016-05</v>
      </c>
      <c r="AG657" s="661" t="str">
        <f>IF(AND($Y657&gt;=32,(AI657="I"),(Y657&lt;&gt;"~"),(COUNTIF($AN$1:$AN657,$AN657)=1)),"TRUE","FALSE")</f>
        <v>FALSE</v>
      </c>
      <c r="AH657" s="661" t="str">
        <f>IF(AND($Y657&gt;=22, (AI657&lt;&gt;"I"),(Y657&lt;&gt;"~"),(COUNTIF($AN$1:$AN657,$AN657)=1)),"TRUE","FALSE")</f>
        <v>TRUE</v>
      </c>
      <c r="AI657" s="661" t="str">
        <f t="shared" si="68"/>
        <v>N/A</v>
      </c>
      <c r="AJ657" s="662" t="str">
        <f t="shared" si="69"/>
        <v>E350-016</v>
      </c>
      <c r="AK657" s="662" t="str">
        <f t="shared" si="70"/>
        <v>LVN</v>
      </c>
      <c r="AL657" s="662" t="str">
        <f t="shared" si="71"/>
        <v>FRD</v>
      </c>
      <c r="AM657" s="662" t="str">
        <f t="shared" si="67"/>
        <v>Econoline E350-DRW-RWD-2-81-~-6.8L-10-E3F-780A-138-40-Unleaded-Unleaded</v>
      </c>
      <c r="AN657" s="662" t="str">
        <f t="shared" si="72"/>
        <v>2019-LVN-FRD-E350-016</v>
      </c>
    </row>
    <row r="658" spans="1:40" s="572" customFormat="1" ht="15">
      <c r="A658" s="570" t="s">
        <v>1690</v>
      </c>
      <c r="B658" s="569" t="s">
        <v>1691</v>
      </c>
      <c r="C658" s="569" t="s">
        <v>269</v>
      </c>
      <c r="D658" s="580" t="s">
        <v>270</v>
      </c>
      <c r="E658" s="569" t="s">
        <v>1516</v>
      </c>
      <c r="F658" s="569" t="s">
        <v>1684</v>
      </c>
      <c r="G658" s="569" t="s">
        <v>271</v>
      </c>
      <c r="H658" s="569">
        <v>2019</v>
      </c>
      <c r="I658" s="569" t="s">
        <v>1685</v>
      </c>
      <c r="J658" s="569" t="s">
        <v>1686</v>
      </c>
      <c r="K658" s="569" t="s">
        <v>236</v>
      </c>
      <c r="L658" s="569">
        <v>2</v>
      </c>
      <c r="M658" s="569">
        <v>0</v>
      </c>
      <c r="N658" s="569" t="s">
        <v>157</v>
      </c>
      <c r="O658" s="569">
        <v>1</v>
      </c>
      <c r="P658" s="569">
        <v>81</v>
      </c>
      <c r="Q658" s="568" t="s">
        <v>157</v>
      </c>
      <c r="R658" s="569" t="s">
        <v>1687</v>
      </c>
      <c r="S658" s="569">
        <v>10</v>
      </c>
      <c r="T658" s="569" t="s">
        <v>1688</v>
      </c>
      <c r="U658" s="569" t="s">
        <v>1689</v>
      </c>
      <c r="V658" s="569">
        <v>158</v>
      </c>
      <c r="W658" s="569">
        <v>40</v>
      </c>
      <c r="X658" s="568">
        <v>11500</v>
      </c>
      <c r="Y658" s="569" t="s">
        <v>164</v>
      </c>
      <c r="Z658" s="581" t="s">
        <v>178</v>
      </c>
      <c r="AA658" s="581" t="s">
        <v>178</v>
      </c>
      <c r="AB658" s="585">
        <v>33080</v>
      </c>
      <c r="AC658" s="585" t="s">
        <v>164</v>
      </c>
      <c r="AD658" s="585">
        <v>25204.729166666668</v>
      </c>
      <c r="AE658" s="587">
        <v>0.03</v>
      </c>
      <c r="AF658" s="661" t="str">
        <f t="shared" si="73"/>
        <v>2019-LVN-FRD-E350-017-05</v>
      </c>
      <c r="AG658" s="661" t="str">
        <f>IF(AND($Y658&gt;=32,(AI658="I"),(Y658&lt;&gt;"~"),(COUNTIF($AN$1:$AN658,$AN658)=1)),"TRUE","FALSE")</f>
        <v>FALSE</v>
      </c>
      <c r="AH658" s="661" t="str">
        <f>IF(AND($Y658&gt;=22, (AI658&lt;&gt;"I"),(Y658&lt;&gt;"~"),(COUNTIF($AN$1:$AN658,$AN658)=1)),"TRUE","FALSE")</f>
        <v>TRUE</v>
      </c>
      <c r="AI658" s="661" t="str">
        <f t="shared" si="68"/>
        <v>N/A</v>
      </c>
      <c r="AJ658" s="662" t="str">
        <f t="shared" si="69"/>
        <v>E350-017</v>
      </c>
      <c r="AK658" s="662" t="str">
        <f t="shared" si="70"/>
        <v>LVN</v>
      </c>
      <c r="AL658" s="662" t="str">
        <f t="shared" si="71"/>
        <v>FRD</v>
      </c>
      <c r="AM658" s="662" t="str">
        <f t="shared" si="67"/>
        <v>Econoline E350-DRW-RWD-2-81-~-6.8L-10-E3F-780A-158-40-Unleaded-Unleaded</v>
      </c>
      <c r="AN658" s="662" t="str">
        <f t="shared" si="72"/>
        <v>2019-LVN-FRD-E350-017</v>
      </c>
    </row>
    <row r="659" spans="1:40" s="572" customFormat="1" ht="15">
      <c r="A659" s="570" t="s">
        <v>1692</v>
      </c>
      <c r="B659" s="573" t="s">
        <v>1693</v>
      </c>
      <c r="C659" s="573" t="s">
        <v>269</v>
      </c>
      <c r="D659" s="578" t="s">
        <v>270</v>
      </c>
      <c r="E659" s="573" t="s">
        <v>1516</v>
      </c>
      <c r="F659" s="573" t="s">
        <v>1684</v>
      </c>
      <c r="G659" s="573" t="s">
        <v>271</v>
      </c>
      <c r="H659" s="573">
        <v>2019</v>
      </c>
      <c r="I659" s="573" t="s">
        <v>1685</v>
      </c>
      <c r="J659" s="573" t="s">
        <v>1686</v>
      </c>
      <c r="K659" s="573" t="s">
        <v>236</v>
      </c>
      <c r="L659" s="573">
        <v>2</v>
      </c>
      <c r="M659" s="573">
        <v>0</v>
      </c>
      <c r="N659" s="573" t="s">
        <v>157</v>
      </c>
      <c r="O659" s="573">
        <v>1</v>
      </c>
      <c r="P659" s="573">
        <v>81</v>
      </c>
      <c r="Q659" s="571" t="s">
        <v>157</v>
      </c>
      <c r="R659" s="573" t="s">
        <v>1687</v>
      </c>
      <c r="S659" s="573">
        <v>10</v>
      </c>
      <c r="T659" s="573" t="s">
        <v>1688</v>
      </c>
      <c r="U659" s="573" t="s">
        <v>1689</v>
      </c>
      <c r="V659" s="573">
        <v>176</v>
      </c>
      <c r="W659" s="573">
        <v>40</v>
      </c>
      <c r="X659" s="571">
        <v>12500</v>
      </c>
      <c r="Y659" s="569" t="s">
        <v>164</v>
      </c>
      <c r="Z659" s="579" t="s">
        <v>178</v>
      </c>
      <c r="AA659" s="579" t="s">
        <v>178</v>
      </c>
      <c r="AB659" s="584">
        <v>33580</v>
      </c>
      <c r="AC659" s="584" t="s">
        <v>164</v>
      </c>
      <c r="AD659" s="584">
        <v>25660.979166666668</v>
      </c>
      <c r="AE659" s="586">
        <v>0.03</v>
      </c>
      <c r="AF659" s="661" t="str">
        <f t="shared" si="73"/>
        <v>2019-LVN-FRD-E350-018-05</v>
      </c>
      <c r="AG659" s="661" t="str">
        <f>IF(AND($Y659&gt;=32,(AI659="I"),(Y659&lt;&gt;"~"),(COUNTIF($AN$1:$AN659,$AN659)=1)),"TRUE","FALSE")</f>
        <v>FALSE</v>
      </c>
      <c r="AH659" s="661" t="str">
        <f>IF(AND($Y659&gt;=22, (AI659&lt;&gt;"I"),(Y659&lt;&gt;"~"),(COUNTIF($AN$1:$AN659,$AN659)=1)),"TRUE","FALSE")</f>
        <v>TRUE</v>
      </c>
      <c r="AI659" s="661" t="str">
        <f t="shared" si="68"/>
        <v>N/A</v>
      </c>
      <c r="AJ659" s="662" t="str">
        <f t="shared" si="69"/>
        <v>E350-018</v>
      </c>
      <c r="AK659" s="662" t="str">
        <f t="shared" si="70"/>
        <v>LVN</v>
      </c>
      <c r="AL659" s="662" t="str">
        <f t="shared" si="71"/>
        <v>FRD</v>
      </c>
      <c r="AM659" s="662" t="str">
        <f t="shared" si="67"/>
        <v>Econoline E350-DRW-RWD-2-81-~-6.8L-10-E3F-780A-176-40-Unleaded-Unleaded</v>
      </c>
      <c r="AN659" s="662" t="str">
        <f t="shared" si="72"/>
        <v>2019-LVN-FRD-E350-018</v>
      </c>
    </row>
    <row r="660" spans="1:40" s="572" customFormat="1" ht="15">
      <c r="A660" s="570" t="s">
        <v>1694</v>
      </c>
      <c r="B660" s="569" t="s">
        <v>1683</v>
      </c>
      <c r="C660" s="569" t="s">
        <v>280</v>
      </c>
      <c r="D660" s="580">
        <v>27</v>
      </c>
      <c r="E660" s="569" t="s">
        <v>1516</v>
      </c>
      <c r="F660" s="569" t="s">
        <v>1684</v>
      </c>
      <c r="G660" s="569" t="s">
        <v>271</v>
      </c>
      <c r="H660" s="569">
        <v>2019</v>
      </c>
      <c r="I660" s="569" t="s">
        <v>1685</v>
      </c>
      <c r="J660" s="569" t="s">
        <v>1686</v>
      </c>
      <c r="K660" s="569" t="s">
        <v>236</v>
      </c>
      <c r="L660" s="569">
        <v>2</v>
      </c>
      <c r="M660" s="569">
        <v>0</v>
      </c>
      <c r="N660" s="569" t="s">
        <v>157</v>
      </c>
      <c r="O660" s="569">
        <v>1</v>
      </c>
      <c r="P660" s="569">
        <v>81</v>
      </c>
      <c r="Q660" s="568" t="s">
        <v>157</v>
      </c>
      <c r="R660" s="569" t="s">
        <v>1687</v>
      </c>
      <c r="S660" s="569">
        <v>10</v>
      </c>
      <c r="T660" s="569" t="s">
        <v>1688</v>
      </c>
      <c r="U660" s="569" t="s">
        <v>1689</v>
      </c>
      <c r="V660" s="569">
        <v>138</v>
      </c>
      <c r="W660" s="569">
        <v>40</v>
      </c>
      <c r="X660" s="568">
        <v>11500</v>
      </c>
      <c r="Y660" s="569" t="s">
        <v>164</v>
      </c>
      <c r="Z660" s="581" t="s">
        <v>178</v>
      </c>
      <c r="AA660" s="581" t="s">
        <v>178</v>
      </c>
      <c r="AB660" s="585">
        <v>32830</v>
      </c>
      <c r="AC660" s="585" t="s">
        <v>164</v>
      </c>
      <c r="AD660" s="585">
        <v>24976.604166666668</v>
      </c>
      <c r="AE660" s="587">
        <v>0.03</v>
      </c>
      <c r="AF660" s="661" t="str">
        <f t="shared" si="73"/>
        <v>2019-LVN-FRD-E350-016-27</v>
      </c>
      <c r="AG660" s="661" t="str">
        <f>IF(AND($Y660&gt;=32,(AI660="I"),(Y660&lt;&gt;"~"),(COUNTIF($AN$1:$AN660,$AN660)=1)),"TRUE","FALSE")</f>
        <v>FALSE</v>
      </c>
      <c r="AH660" s="661" t="str">
        <f>IF(AND($Y660&gt;=22, (AI660&lt;&gt;"I"),(Y660&lt;&gt;"~"),(COUNTIF($AN$1:$AN660,$AN660)=1)),"TRUE","FALSE")</f>
        <v>FALSE</v>
      </c>
      <c r="AI660" s="661" t="str">
        <f t="shared" si="68"/>
        <v>N/A</v>
      </c>
      <c r="AJ660" s="662" t="str">
        <f t="shared" si="69"/>
        <v>E350-016</v>
      </c>
      <c r="AK660" s="662" t="str">
        <f t="shared" si="70"/>
        <v>LVN</v>
      </c>
      <c r="AL660" s="662" t="str">
        <f t="shared" si="71"/>
        <v>FRD</v>
      </c>
      <c r="AM660" s="662" t="str">
        <f t="shared" si="67"/>
        <v>Econoline E350-DRW-RWD-2-81-~-6.8L-10-E3F-780A-138-40-Unleaded-Unleaded</v>
      </c>
      <c r="AN660" s="662" t="str">
        <f t="shared" si="72"/>
        <v>2019-LVN-FRD-E350-016</v>
      </c>
    </row>
    <row r="661" spans="1:40" s="572" customFormat="1" ht="15">
      <c r="A661" s="570" t="s">
        <v>1695</v>
      </c>
      <c r="B661" s="573" t="s">
        <v>1691</v>
      </c>
      <c r="C661" s="573" t="s">
        <v>280</v>
      </c>
      <c r="D661" s="578">
        <v>27</v>
      </c>
      <c r="E661" s="573" t="s">
        <v>1516</v>
      </c>
      <c r="F661" s="573" t="s">
        <v>1684</v>
      </c>
      <c r="G661" s="573" t="s">
        <v>271</v>
      </c>
      <c r="H661" s="573">
        <v>2019</v>
      </c>
      <c r="I661" s="573" t="s">
        <v>1685</v>
      </c>
      <c r="J661" s="573" t="s">
        <v>1686</v>
      </c>
      <c r="K661" s="573" t="s">
        <v>236</v>
      </c>
      <c r="L661" s="573">
        <v>2</v>
      </c>
      <c r="M661" s="573">
        <v>0</v>
      </c>
      <c r="N661" s="573" t="s">
        <v>157</v>
      </c>
      <c r="O661" s="573">
        <v>1</v>
      </c>
      <c r="P661" s="573">
        <v>81</v>
      </c>
      <c r="Q661" s="571" t="s">
        <v>157</v>
      </c>
      <c r="R661" s="573" t="s">
        <v>1687</v>
      </c>
      <c r="S661" s="573">
        <v>10</v>
      </c>
      <c r="T661" s="573" t="s">
        <v>1688</v>
      </c>
      <c r="U661" s="573" t="s">
        <v>1689</v>
      </c>
      <c r="V661" s="573">
        <v>158</v>
      </c>
      <c r="W661" s="573">
        <v>40</v>
      </c>
      <c r="X661" s="571">
        <v>11500</v>
      </c>
      <c r="Y661" s="569" t="s">
        <v>164</v>
      </c>
      <c r="Z661" s="579" t="s">
        <v>178</v>
      </c>
      <c r="AA661" s="579" t="s">
        <v>178</v>
      </c>
      <c r="AB661" s="584">
        <v>33080</v>
      </c>
      <c r="AC661" s="584" t="s">
        <v>164</v>
      </c>
      <c r="AD661" s="584">
        <v>25204.729166666668</v>
      </c>
      <c r="AE661" s="586">
        <v>0.03</v>
      </c>
      <c r="AF661" s="661" t="str">
        <f t="shared" si="73"/>
        <v>2019-LVN-FRD-E350-017-27</v>
      </c>
      <c r="AG661" s="661" t="str">
        <f>IF(AND($Y661&gt;=32,(AI661="I"),(Y661&lt;&gt;"~"),(COUNTIF($AN$1:$AN661,$AN661)=1)),"TRUE","FALSE")</f>
        <v>FALSE</v>
      </c>
      <c r="AH661" s="661" t="str">
        <f>IF(AND($Y661&gt;=22, (AI661&lt;&gt;"I"),(Y661&lt;&gt;"~"),(COUNTIF($AN$1:$AN661,$AN661)=1)),"TRUE","FALSE")</f>
        <v>FALSE</v>
      </c>
      <c r="AI661" s="661" t="str">
        <f t="shared" si="68"/>
        <v>N/A</v>
      </c>
      <c r="AJ661" s="662" t="str">
        <f t="shared" si="69"/>
        <v>E350-017</v>
      </c>
      <c r="AK661" s="662" t="str">
        <f t="shared" si="70"/>
        <v>LVN</v>
      </c>
      <c r="AL661" s="662" t="str">
        <f t="shared" si="71"/>
        <v>FRD</v>
      </c>
      <c r="AM661" s="662" t="str">
        <f t="shared" si="67"/>
        <v>Econoline E350-DRW-RWD-2-81-~-6.8L-10-E3F-780A-158-40-Unleaded-Unleaded</v>
      </c>
      <c r="AN661" s="662" t="str">
        <f t="shared" si="72"/>
        <v>2019-LVN-FRD-E350-017</v>
      </c>
    </row>
    <row r="662" spans="1:40" s="572" customFormat="1" ht="15">
      <c r="A662" s="570" t="s">
        <v>1696</v>
      </c>
      <c r="B662" s="569" t="s">
        <v>1693</v>
      </c>
      <c r="C662" s="569" t="s">
        <v>280</v>
      </c>
      <c r="D662" s="580">
        <v>27</v>
      </c>
      <c r="E662" s="569" t="s">
        <v>1516</v>
      </c>
      <c r="F662" s="569" t="s">
        <v>1684</v>
      </c>
      <c r="G662" s="569" t="s">
        <v>271</v>
      </c>
      <c r="H662" s="569">
        <v>2019</v>
      </c>
      <c r="I662" s="569" t="s">
        <v>1685</v>
      </c>
      <c r="J662" s="569" t="s">
        <v>1686</v>
      </c>
      <c r="K662" s="569" t="s">
        <v>236</v>
      </c>
      <c r="L662" s="569">
        <v>2</v>
      </c>
      <c r="M662" s="569">
        <v>0</v>
      </c>
      <c r="N662" s="569" t="s">
        <v>157</v>
      </c>
      <c r="O662" s="569">
        <v>1</v>
      </c>
      <c r="P662" s="569">
        <v>81</v>
      </c>
      <c r="Q662" s="568" t="s">
        <v>157</v>
      </c>
      <c r="R662" s="569" t="s">
        <v>1687</v>
      </c>
      <c r="S662" s="569">
        <v>10</v>
      </c>
      <c r="T662" s="569" t="s">
        <v>1688</v>
      </c>
      <c r="U662" s="569" t="s">
        <v>1689</v>
      </c>
      <c r="V662" s="569">
        <v>176</v>
      </c>
      <c r="W662" s="569">
        <v>40</v>
      </c>
      <c r="X662" s="568">
        <v>12500</v>
      </c>
      <c r="Y662" s="569" t="s">
        <v>164</v>
      </c>
      <c r="Z662" s="581" t="s">
        <v>178</v>
      </c>
      <c r="AA662" s="581" t="s">
        <v>178</v>
      </c>
      <c r="AB662" s="585">
        <v>33580</v>
      </c>
      <c r="AC662" s="585" t="s">
        <v>164</v>
      </c>
      <c r="AD662" s="585">
        <v>25660.979166666668</v>
      </c>
      <c r="AE662" s="587">
        <v>0.03</v>
      </c>
      <c r="AF662" s="661" t="str">
        <f t="shared" si="73"/>
        <v>2019-LVN-FRD-E350-018-27</v>
      </c>
      <c r="AG662" s="661" t="str">
        <f>IF(AND($Y662&gt;=32,(AI662="I"),(Y662&lt;&gt;"~"),(COUNTIF($AN$1:$AN662,$AN662)=1)),"TRUE","FALSE")</f>
        <v>FALSE</v>
      </c>
      <c r="AH662" s="661" t="str">
        <f>IF(AND($Y662&gt;=22, (AI662&lt;&gt;"I"),(Y662&lt;&gt;"~"),(COUNTIF($AN$1:$AN662,$AN662)=1)),"TRUE","FALSE")</f>
        <v>FALSE</v>
      </c>
      <c r="AI662" s="661" t="str">
        <f t="shared" si="68"/>
        <v>N/A</v>
      </c>
      <c r="AJ662" s="662" t="str">
        <f t="shared" si="69"/>
        <v>E350-018</v>
      </c>
      <c r="AK662" s="662" t="str">
        <f t="shared" si="70"/>
        <v>LVN</v>
      </c>
      <c r="AL662" s="662" t="str">
        <f t="shared" si="71"/>
        <v>FRD</v>
      </c>
      <c r="AM662" s="662" t="str">
        <f t="shared" si="67"/>
        <v>Econoline E350-DRW-RWD-2-81-~-6.8L-10-E3F-780A-176-40-Unleaded-Unleaded</v>
      </c>
      <c r="AN662" s="662" t="str">
        <f t="shared" si="72"/>
        <v>2019-LVN-FRD-E350-018</v>
      </c>
    </row>
    <row r="663" spans="1:40" s="572" customFormat="1" ht="30">
      <c r="A663" s="570" t="s">
        <v>1697</v>
      </c>
      <c r="B663" s="573" t="s">
        <v>1698</v>
      </c>
      <c r="C663" s="573" t="s">
        <v>269</v>
      </c>
      <c r="D663" s="578" t="s">
        <v>270</v>
      </c>
      <c r="E663" s="573" t="s">
        <v>1516</v>
      </c>
      <c r="F663" s="573" t="s">
        <v>1684</v>
      </c>
      <c r="G663" s="573" t="s">
        <v>271</v>
      </c>
      <c r="H663" s="573">
        <v>2019</v>
      </c>
      <c r="I663" s="573" t="s">
        <v>1685</v>
      </c>
      <c r="J663" s="573" t="s">
        <v>1699</v>
      </c>
      <c r="K663" s="573" t="s">
        <v>236</v>
      </c>
      <c r="L663" s="573">
        <v>2</v>
      </c>
      <c r="M663" s="573">
        <v>0</v>
      </c>
      <c r="N663" s="573" t="s">
        <v>157</v>
      </c>
      <c r="O663" s="573">
        <v>1</v>
      </c>
      <c r="P663" s="573" t="s">
        <v>157</v>
      </c>
      <c r="Q663" s="571" t="s">
        <v>157</v>
      </c>
      <c r="R663" s="573" t="s">
        <v>1700</v>
      </c>
      <c r="S663" s="573">
        <v>8</v>
      </c>
      <c r="T663" s="573" t="s">
        <v>1688</v>
      </c>
      <c r="U663" s="573" t="s">
        <v>1689</v>
      </c>
      <c r="V663" s="573">
        <v>138</v>
      </c>
      <c r="W663" s="573">
        <v>40</v>
      </c>
      <c r="X663" s="571">
        <v>11500</v>
      </c>
      <c r="Y663" s="569" t="s">
        <v>164</v>
      </c>
      <c r="Z663" s="579" t="s">
        <v>450</v>
      </c>
      <c r="AA663" s="579" t="s">
        <v>178</v>
      </c>
      <c r="AB663" s="584">
        <v>32480</v>
      </c>
      <c r="AC663" s="584" t="s">
        <v>164</v>
      </c>
      <c r="AD663" s="584">
        <v>24666.187500000004</v>
      </c>
      <c r="AE663" s="586">
        <v>0.03</v>
      </c>
      <c r="AF663" s="661" t="str">
        <f t="shared" si="73"/>
        <v>2019-LVN-FRD-E350-001-05</v>
      </c>
      <c r="AG663" s="661" t="str">
        <f>IF(AND($Y663&gt;=32,(AI663="I"),(Y663&lt;&gt;"~"),(COUNTIF($AN$1:$AN663,$AN663)=1)),"TRUE","FALSE")</f>
        <v>FALSE</v>
      </c>
      <c r="AH663" s="661" t="str">
        <f>IF(AND($Y663&gt;=22, (AI663&lt;&gt;"I"),(Y663&lt;&gt;"~"),(COUNTIF($AN$1:$AN663,$AN663)=1)),"TRUE","FALSE")</f>
        <v>TRUE</v>
      </c>
      <c r="AI663" s="661" t="str">
        <f t="shared" si="68"/>
        <v>N/A</v>
      </c>
      <c r="AJ663" s="662" t="str">
        <f t="shared" si="69"/>
        <v>E350-001</v>
      </c>
      <c r="AK663" s="662" t="str">
        <f t="shared" si="70"/>
        <v>LVN</v>
      </c>
      <c r="AL663" s="662" t="str">
        <f t="shared" si="71"/>
        <v>FRD</v>
      </c>
      <c r="AM663" s="662" t="str">
        <f t="shared" si="67"/>
        <v>Econoline E350-DRW Cutaway Van Chassis-RWD-2-~-~-6.2L-8-E3F-780A-138-40-E85-Unleaded</v>
      </c>
      <c r="AN663" s="662" t="str">
        <f t="shared" si="72"/>
        <v>2019-LVN-FRD-E350-001</v>
      </c>
    </row>
    <row r="664" spans="1:40" s="572" customFormat="1" ht="30">
      <c r="A664" s="570" t="s">
        <v>1701</v>
      </c>
      <c r="B664" s="569" t="s">
        <v>1702</v>
      </c>
      <c r="C664" s="569" t="s">
        <v>269</v>
      </c>
      <c r="D664" s="580" t="s">
        <v>270</v>
      </c>
      <c r="E664" s="569" t="s">
        <v>1516</v>
      </c>
      <c r="F664" s="569" t="s">
        <v>1684</v>
      </c>
      <c r="G664" s="569" t="s">
        <v>271</v>
      </c>
      <c r="H664" s="569">
        <v>2019</v>
      </c>
      <c r="I664" s="569" t="s">
        <v>1685</v>
      </c>
      <c r="J664" s="569" t="s">
        <v>1699</v>
      </c>
      <c r="K664" s="569" t="s">
        <v>236</v>
      </c>
      <c r="L664" s="569">
        <v>2</v>
      </c>
      <c r="M664" s="569">
        <v>0</v>
      </c>
      <c r="N664" s="569" t="s">
        <v>157</v>
      </c>
      <c r="O664" s="569">
        <v>1</v>
      </c>
      <c r="P664" s="569" t="s">
        <v>157</v>
      </c>
      <c r="Q664" s="568" t="s">
        <v>157</v>
      </c>
      <c r="R664" s="569" t="s">
        <v>1700</v>
      </c>
      <c r="S664" s="569">
        <v>8</v>
      </c>
      <c r="T664" s="569" t="s">
        <v>1688</v>
      </c>
      <c r="U664" s="569" t="s">
        <v>1689</v>
      </c>
      <c r="V664" s="569">
        <v>158</v>
      </c>
      <c r="W664" s="569">
        <v>40</v>
      </c>
      <c r="X664" s="568">
        <v>11500</v>
      </c>
      <c r="Y664" s="569" t="s">
        <v>164</v>
      </c>
      <c r="Z664" s="581" t="s">
        <v>450</v>
      </c>
      <c r="AA664" s="581" t="s">
        <v>178</v>
      </c>
      <c r="AB664" s="585">
        <v>32730</v>
      </c>
      <c r="AC664" s="585" t="s">
        <v>164</v>
      </c>
      <c r="AD664" s="585">
        <v>24894.312500000004</v>
      </c>
      <c r="AE664" s="587">
        <v>0.03</v>
      </c>
      <c r="AF664" s="661" t="str">
        <f t="shared" si="73"/>
        <v>2019-LVN-FRD-E350-002-05</v>
      </c>
      <c r="AG664" s="661" t="str">
        <f>IF(AND($Y664&gt;=32,(AI664="I"),(Y664&lt;&gt;"~"),(COUNTIF($AN$1:$AN664,$AN664)=1)),"TRUE","FALSE")</f>
        <v>FALSE</v>
      </c>
      <c r="AH664" s="661" t="str">
        <f>IF(AND($Y664&gt;=22, (AI664&lt;&gt;"I"),(Y664&lt;&gt;"~"),(COUNTIF($AN$1:$AN664,$AN664)=1)),"TRUE","FALSE")</f>
        <v>TRUE</v>
      </c>
      <c r="AI664" s="661" t="str">
        <f t="shared" si="68"/>
        <v>N/A</v>
      </c>
      <c r="AJ664" s="662" t="str">
        <f t="shared" si="69"/>
        <v>E350-002</v>
      </c>
      <c r="AK664" s="662" t="str">
        <f t="shared" si="70"/>
        <v>LVN</v>
      </c>
      <c r="AL664" s="662" t="str">
        <f t="shared" si="71"/>
        <v>FRD</v>
      </c>
      <c r="AM664" s="662" t="str">
        <f t="shared" si="67"/>
        <v>Econoline E350-DRW Cutaway Van Chassis-RWD-2-~-~-6.2L-8-E3F-780A-158-40-E85-Unleaded</v>
      </c>
      <c r="AN664" s="662" t="str">
        <f t="shared" si="72"/>
        <v>2019-LVN-FRD-E350-002</v>
      </c>
    </row>
    <row r="665" spans="1:40" s="572" customFormat="1" ht="30">
      <c r="A665" s="570" t="s">
        <v>1703</v>
      </c>
      <c r="B665" s="573" t="s">
        <v>1704</v>
      </c>
      <c r="C665" s="573" t="s">
        <v>269</v>
      </c>
      <c r="D665" s="578" t="s">
        <v>270</v>
      </c>
      <c r="E665" s="573" t="s">
        <v>1516</v>
      </c>
      <c r="F665" s="573" t="s">
        <v>1684</v>
      </c>
      <c r="G665" s="573" t="s">
        <v>271</v>
      </c>
      <c r="H665" s="573">
        <v>2019</v>
      </c>
      <c r="I665" s="573" t="s">
        <v>1685</v>
      </c>
      <c r="J665" s="573" t="s">
        <v>1699</v>
      </c>
      <c r="K665" s="573" t="s">
        <v>236</v>
      </c>
      <c r="L665" s="573">
        <v>2</v>
      </c>
      <c r="M665" s="573">
        <v>0</v>
      </c>
      <c r="N665" s="573" t="s">
        <v>157</v>
      </c>
      <c r="O665" s="573">
        <v>1</v>
      </c>
      <c r="P665" s="573" t="s">
        <v>157</v>
      </c>
      <c r="Q665" s="571" t="s">
        <v>157</v>
      </c>
      <c r="R665" s="573" t="s">
        <v>1700</v>
      </c>
      <c r="S665" s="573">
        <v>8</v>
      </c>
      <c r="T665" s="573" t="s">
        <v>1688</v>
      </c>
      <c r="U665" s="573" t="s">
        <v>1689</v>
      </c>
      <c r="V665" s="573">
        <v>176</v>
      </c>
      <c r="W665" s="573">
        <v>40</v>
      </c>
      <c r="X665" s="571">
        <v>12500</v>
      </c>
      <c r="Y665" s="569" t="s">
        <v>164</v>
      </c>
      <c r="Z665" s="579" t="s">
        <v>450</v>
      </c>
      <c r="AA665" s="579" t="s">
        <v>178</v>
      </c>
      <c r="AB665" s="584">
        <v>33230</v>
      </c>
      <c r="AC665" s="584" t="s">
        <v>164</v>
      </c>
      <c r="AD665" s="584">
        <v>25350.562500000004</v>
      </c>
      <c r="AE665" s="586">
        <v>0.03</v>
      </c>
      <c r="AF665" s="661" t="str">
        <f t="shared" si="73"/>
        <v>2019-LVN-FRD-E350-003-05</v>
      </c>
      <c r="AG665" s="661" t="str">
        <f>IF(AND($Y665&gt;=32,(AI665="I"),(Y665&lt;&gt;"~"),(COUNTIF($AN$1:$AN665,$AN665)=1)),"TRUE","FALSE")</f>
        <v>FALSE</v>
      </c>
      <c r="AH665" s="661" t="str">
        <f>IF(AND($Y665&gt;=22, (AI665&lt;&gt;"I"),(Y665&lt;&gt;"~"),(COUNTIF($AN$1:$AN665,$AN665)=1)),"TRUE","FALSE")</f>
        <v>TRUE</v>
      </c>
      <c r="AI665" s="661" t="str">
        <f t="shared" si="68"/>
        <v>N/A</v>
      </c>
      <c r="AJ665" s="662" t="str">
        <f t="shared" si="69"/>
        <v>E350-003</v>
      </c>
      <c r="AK665" s="662" t="str">
        <f t="shared" si="70"/>
        <v>LVN</v>
      </c>
      <c r="AL665" s="662" t="str">
        <f t="shared" si="71"/>
        <v>FRD</v>
      </c>
      <c r="AM665" s="662" t="str">
        <f t="shared" si="67"/>
        <v>Econoline E350-DRW Cutaway Van Chassis-RWD-2-~-~-6.2L-8-E3F-780A-176-40-E85-Unleaded</v>
      </c>
      <c r="AN665" s="662" t="str">
        <f t="shared" si="72"/>
        <v>2019-LVN-FRD-E350-003</v>
      </c>
    </row>
    <row r="666" spans="1:40" s="572" customFormat="1" ht="30">
      <c r="A666" s="570" t="s">
        <v>1705</v>
      </c>
      <c r="B666" s="569" t="s">
        <v>1706</v>
      </c>
      <c r="C666" s="569" t="s">
        <v>269</v>
      </c>
      <c r="D666" s="580" t="s">
        <v>270</v>
      </c>
      <c r="E666" s="569" t="s">
        <v>1516</v>
      </c>
      <c r="F666" s="569" t="s">
        <v>1684</v>
      </c>
      <c r="G666" s="569" t="s">
        <v>271</v>
      </c>
      <c r="H666" s="569">
        <v>2019</v>
      </c>
      <c r="I666" s="569" t="s">
        <v>1685</v>
      </c>
      <c r="J666" s="569" t="s">
        <v>1699</v>
      </c>
      <c r="K666" s="569" t="s">
        <v>236</v>
      </c>
      <c r="L666" s="569">
        <v>2</v>
      </c>
      <c r="M666" s="569">
        <v>0</v>
      </c>
      <c r="N666" s="569" t="s">
        <v>157</v>
      </c>
      <c r="O666" s="569">
        <v>1</v>
      </c>
      <c r="P666" s="569" t="s">
        <v>157</v>
      </c>
      <c r="Q666" s="568" t="s">
        <v>157</v>
      </c>
      <c r="R666" s="569" t="s">
        <v>1687</v>
      </c>
      <c r="S666" s="569">
        <v>10</v>
      </c>
      <c r="T666" s="569" t="s">
        <v>1688</v>
      </c>
      <c r="U666" s="569" t="s">
        <v>1689</v>
      </c>
      <c r="V666" s="569">
        <v>138</v>
      </c>
      <c r="W666" s="569">
        <v>40</v>
      </c>
      <c r="X666" s="568">
        <v>11500</v>
      </c>
      <c r="Y666" s="569" t="s">
        <v>164</v>
      </c>
      <c r="Z666" s="581" t="s">
        <v>178</v>
      </c>
      <c r="AA666" s="581" t="s">
        <v>178</v>
      </c>
      <c r="AB666" s="585">
        <v>32480</v>
      </c>
      <c r="AC666" s="585" t="s">
        <v>164</v>
      </c>
      <c r="AD666" s="585">
        <v>24976.604166666668</v>
      </c>
      <c r="AE666" s="587">
        <v>0.03</v>
      </c>
      <c r="AF666" s="661" t="str">
        <f t="shared" si="73"/>
        <v>2019-LVN-FRD-E350-004-05</v>
      </c>
      <c r="AG666" s="661" t="str">
        <f>IF(AND($Y666&gt;=32,(AI666="I"),(Y666&lt;&gt;"~"),(COUNTIF($AN$1:$AN666,$AN666)=1)),"TRUE","FALSE")</f>
        <v>FALSE</v>
      </c>
      <c r="AH666" s="661" t="str">
        <f>IF(AND($Y666&gt;=22, (AI666&lt;&gt;"I"),(Y666&lt;&gt;"~"),(COUNTIF($AN$1:$AN666,$AN666)=1)),"TRUE","FALSE")</f>
        <v>TRUE</v>
      </c>
      <c r="AI666" s="661" t="str">
        <f t="shared" si="68"/>
        <v>N/A</v>
      </c>
      <c r="AJ666" s="662" t="str">
        <f t="shared" si="69"/>
        <v>E350-004</v>
      </c>
      <c r="AK666" s="662" t="str">
        <f t="shared" si="70"/>
        <v>LVN</v>
      </c>
      <c r="AL666" s="662" t="str">
        <f t="shared" si="71"/>
        <v>FRD</v>
      </c>
      <c r="AM666" s="662" t="str">
        <f t="shared" si="67"/>
        <v>Econoline E350-DRW Cutaway Van Chassis-RWD-2-~-~-6.8L-10-E3F-780A-138-40-Unleaded-Unleaded</v>
      </c>
      <c r="AN666" s="662" t="str">
        <f t="shared" si="72"/>
        <v>2019-LVN-FRD-E350-004</v>
      </c>
    </row>
    <row r="667" spans="1:40" s="572" customFormat="1" ht="30">
      <c r="A667" s="570" t="s">
        <v>1707</v>
      </c>
      <c r="B667" s="573" t="s">
        <v>1708</v>
      </c>
      <c r="C667" s="573" t="s">
        <v>269</v>
      </c>
      <c r="D667" s="578" t="s">
        <v>270</v>
      </c>
      <c r="E667" s="573" t="s">
        <v>1516</v>
      </c>
      <c r="F667" s="573" t="s">
        <v>1684</v>
      </c>
      <c r="G667" s="573" t="s">
        <v>271</v>
      </c>
      <c r="H667" s="573">
        <v>2019</v>
      </c>
      <c r="I667" s="573" t="s">
        <v>1685</v>
      </c>
      <c r="J667" s="573" t="s">
        <v>1699</v>
      </c>
      <c r="K667" s="573" t="s">
        <v>236</v>
      </c>
      <c r="L667" s="573">
        <v>2</v>
      </c>
      <c r="M667" s="573">
        <v>0</v>
      </c>
      <c r="N667" s="573" t="s">
        <v>157</v>
      </c>
      <c r="O667" s="573">
        <v>1</v>
      </c>
      <c r="P667" s="573" t="s">
        <v>157</v>
      </c>
      <c r="Q667" s="571" t="s">
        <v>157</v>
      </c>
      <c r="R667" s="573" t="s">
        <v>1687</v>
      </c>
      <c r="S667" s="573">
        <v>10</v>
      </c>
      <c r="T667" s="573" t="s">
        <v>1688</v>
      </c>
      <c r="U667" s="573" t="s">
        <v>1689</v>
      </c>
      <c r="V667" s="573">
        <v>158</v>
      </c>
      <c r="W667" s="573">
        <v>40</v>
      </c>
      <c r="X667" s="571">
        <v>11500</v>
      </c>
      <c r="Y667" s="569" t="s">
        <v>164</v>
      </c>
      <c r="Z667" s="579" t="s">
        <v>178</v>
      </c>
      <c r="AA667" s="579" t="s">
        <v>178</v>
      </c>
      <c r="AB667" s="584">
        <v>32730</v>
      </c>
      <c r="AC667" s="584" t="s">
        <v>164</v>
      </c>
      <c r="AD667" s="584">
        <v>25204.729166666668</v>
      </c>
      <c r="AE667" s="586">
        <v>0.03</v>
      </c>
      <c r="AF667" s="661" t="str">
        <f t="shared" si="73"/>
        <v>2019-LVN-FRD-E350-005-05</v>
      </c>
      <c r="AG667" s="661" t="str">
        <f>IF(AND($Y667&gt;=32,(AI667="I"),(Y667&lt;&gt;"~"),(COUNTIF($AN$1:$AN667,$AN667)=1)),"TRUE","FALSE")</f>
        <v>FALSE</v>
      </c>
      <c r="AH667" s="661" t="str">
        <f>IF(AND($Y667&gt;=22, (AI667&lt;&gt;"I"),(Y667&lt;&gt;"~"),(COUNTIF($AN$1:$AN667,$AN667)=1)),"TRUE","FALSE")</f>
        <v>TRUE</v>
      </c>
      <c r="AI667" s="661" t="str">
        <f t="shared" si="68"/>
        <v>N/A</v>
      </c>
      <c r="AJ667" s="662" t="str">
        <f t="shared" si="69"/>
        <v>E350-005</v>
      </c>
      <c r="AK667" s="662" t="str">
        <f t="shared" si="70"/>
        <v>LVN</v>
      </c>
      <c r="AL667" s="662" t="str">
        <f t="shared" si="71"/>
        <v>FRD</v>
      </c>
      <c r="AM667" s="662" t="str">
        <f t="shared" ref="AM667:AM730" si="74">CONCATENATE(I667,"-",J667,"-",K667,"-",L667,"-",P667,"-",Q667,"-",R667,"-",S667,"-",T667,"-",U667,"-",V667,"-",W667,"-",Z667,"-",AA667)</f>
        <v>Econoline E350-DRW Cutaway Van Chassis-RWD-2-~-~-6.8L-10-E3F-780A-158-40-Unleaded-Unleaded</v>
      </c>
      <c r="AN667" s="662" t="str">
        <f t="shared" si="72"/>
        <v>2019-LVN-FRD-E350-005</v>
      </c>
    </row>
    <row r="668" spans="1:40" s="572" customFormat="1" ht="30">
      <c r="A668" s="570" t="s">
        <v>1709</v>
      </c>
      <c r="B668" s="569" t="s">
        <v>1710</v>
      </c>
      <c r="C668" s="569" t="s">
        <v>269</v>
      </c>
      <c r="D668" s="580" t="s">
        <v>270</v>
      </c>
      <c r="E668" s="569" t="s">
        <v>1516</v>
      </c>
      <c r="F668" s="569" t="s">
        <v>1684</v>
      </c>
      <c r="G668" s="569" t="s">
        <v>271</v>
      </c>
      <c r="H668" s="569">
        <v>2019</v>
      </c>
      <c r="I668" s="569" t="s">
        <v>1685</v>
      </c>
      <c r="J668" s="569" t="s">
        <v>1699</v>
      </c>
      <c r="K668" s="569" t="s">
        <v>236</v>
      </c>
      <c r="L668" s="569">
        <v>2</v>
      </c>
      <c r="M668" s="569">
        <v>0</v>
      </c>
      <c r="N668" s="569" t="s">
        <v>157</v>
      </c>
      <c r="O668" s="569">
        <v>1</v>
      </c>
      <c r="P668" s="569" t="s">
        <v>157</v>
      </c>
      <c r="Q668" s="568" t="s">
        <v>157</v>
      </c>
      <c r="R668" s="569" t="s">
        <v>1687</v>
      </c>
      <c r="S668" s="569">
        <v>10</v>
      </c>
      <c r="T668" s="569" t="s">
        <v>1688</v>
      </c>
      <c r="U668" s="569" t="s">
        <v>1689</v>
      </c>
      <c r="V668" s="569">
        <v>176</v>
      </c>
      <c r="W668" s="569">
        <v>40</v>
      </c>
      <c r="X668" s="568">
        <v>12500</v>
      </c>
      <c r="Y668" s="569" t="s">
        <v>164</v>
      </c>
      <c r="Z668" s="581" t="s">
        <v>178</v>
      </c>
      <c r="AA668" s="581" t="s">
        <v>178</v>
      </c>
      <c r="AB668" s="585">
        <v>33230</v>
      </c>
      <c r="AC668" s="585" t="s">
        <v>164</v>
      </c>
      <c r="AD668" s="585">
        <v>25660.979166666668</v>
      </c>
      <c r="AE668" s="587">
        <v>0.03</v>
      </c>
      <c r="AF668" s="661" t="str">
        <f t="shared" si="73"/>
        <v>2019-LVN-FRD-E350-006-05</v>
      </c>
      <c r="AG668" s="661" t="str">
        <f>IF(AND($Y668&gt;=32,(AI668="I"),(Y668&lt;&gt;"~"),(COUNTIF($AN$1:$AN668,$AN668)=1)),"TRUE","FALSE")</f>
        <v>FALSE</v>
      </c>
      <c r="AH668" s="661" t="str">
        <f>IF(AND($Y668&gt;=22, (AI668&lt;&gt;"I"),(Y668&lt;&gt;"~"),(COUNTIF($AN$1:$AN668,$AN668)=1)),"TRUE","FALSE")</f>
        <v>TRUE</v>
      </c>
      <c r="AI668" s="661" t="str">
        <f t="shared" ref="AI668:AI731" si="75">IF(OR((LEFT($E668,2)="01"),AND(LEFT($E668,2)="06",ISNUMBER(SEARCH("pas",$F668))),AND(LEFT($E668,2)="05",ISNUMBER(SEARCH("pas",$F668)))),"I",IF(AND((LEFT($E668,2)&lt;&gt;"01"),$X668&lt;=10000),"II",IF(AND((LEFT($E668,2)&lt;&gt;"01"),$X668&gt;10000),"N/A")))</f>
        <v>N/A</v>
      </c>
      <c r="AJ668" s="662" t="str">
        <f t="shared" si="69"/>
        <v>E350-006</v>
      </c>
      <c r="AK668" s="662" t="str">
        <f t="shared" si="70"/>
        <v>LVN</v>
      </c>
      <c r="AL668" s="662" t="str">
        <f t="shared" si="71"/>
        <v>FRD</v>
      </c>
      <c r="AM668" s="662" t="str">
        <f t="shared" si="74"/>
        <v>Econoline E350-DRW Cutaway Van Chassis-RWD-2-~-~-6.8L-10-E3F-780A-176-40-Unleaded-Unleaded</v>
      </c>
      <c r="AN668" s="662" t="str">
        <f t="shared" si="72"/>
        <v>2019-LVN-FRD-E350-006</v>
      </c>
    </row>
    <row r="669" spans="1:40" s="572" customFormat="1" ht="30">
      <c r="A669" s="570" t="s">
        <v>1711</v>
      </c>
      <c r="B669" s="573" t="s">
        <v>1712</v>
      </c>
      <c r="C669" s="573" t="s">
        <v>269</v>
      </c>
      <c r="D669" s="578" t="s">
        <v>270</v>
      </c>
      <c r="E669" s="573" t="s">
        <v>1516</v>
      </c>
      <c r="F669" s="573" t="s">
        <v>1684</v>
      </c>
      <c r="G669" s="573" t="s">
        <v>271</v>
      </c>
      <c r="H669" s="573">
        <v>2019</v>
      </c>
      <c r="I669" s="573" t="s">
        <v>1685</v>
      </c>
      <c r="J669" s="573" t="s">
        <v>1699</v>
      </c>
      <c r="K669" s="573" t="s">
        <v>236</v>
      </c>
      <c r="L669" s="573">
        <v>2</v>
      </c>
      <c r="M669" s="573">
        <v>0</v>
      </c>
      <c r="N669" s="573" t="s">
        <v>157</v>
      </c>
      <c r="O669" s="573">
        <v>1</v>
      </c>
      <c r="P669" s="573" t="s">
        <v>157</v>
      </c>
      <c r="Q669" s="571">
        <v>8500</v>
      </c>
      <c r="R669" s="573" t="s">
        <v>1700</v>
      </c>
      <c r="S669" s="573">
        <v>8</v>
      </c>
      <c r="T669" s="573" t="s">
        <v>1688</v>
      </c>
      <c r="U669" s="573" t="s">
        <v>1689</v>
      </c>
      <c r="V669" s="573">
        <v>138</v>
      </c>
      <c r="W669" s="573">
        <v>40</v>
      </c>
      <c r="X669" s="571">
        <v>11500</v>
      </c>
      <c r="Y669" s="569" t="s">
        <v>164</v>
      </c>
      <c r="Z669" s="579" t="s">
        <v>450</v>
      </c>
      <c r="AA669" s="579" t="s">
        <v>178</v>
      </c>
      <c r="AB669" s="584">
        <v>32480</v>
      </c>
      <c r="AC669" s="584" t="s">
        <v>164</v>
      </c>
      <c r="AD669" s="584">
        <v>24666.187500000004</v>
      </c>
      <c r="AE669" s="586">
        <v>0.03</v>
      </c>
      <c r="AF669" s="661" t="str">
        <f t="shared" si="73"/>
        <v>2019-LVN-FRD-E350-007-05</v>
      </c>
      <c r="AG669" s="661" t="str">
        <f>IF(AND($Y669&gt;=32,(AI669="I"),(Y669&lt;&gt;"~"),(COUNTIF($AN$1:$AN669,$AN669)=1)),"TRUE","FALSE")</f>
        <v>FALSE</v>
      </c>
      <c r="AH669" s="661" t="str">
        <f>IF(AND($Y669&gt;=22, (AI669&lt;&gt;"I"),(Y669&lt;&gt;"~"),(COUNTIF($AN$1:$AN669,$AN669)=1)),"TRUE","FALSE")</f>
        <v>TRUE</v>
      </c>
      <c r="AI669" s="661" t="str">
        <f t="shared" si="75"/>
        <v>N/A</v>
      </c>
      <c r="AJ669" s="662" t="str">
        <f t="shared" si="69"/>
        <v>E350-007</v>
      </c>
      <c r="AK669" s="662" t="str">
        <f t="shared" si="70"/>
        <v>LVN</v>
      </c>
      <c r="AL669" s="662" t="str">
        <f t="shared" si="71"/>
        <v>FRD</v>
      </c>
      <c r="AM669" s="662" t="str">
        <f t="shared" si="74"/>
        <v>Econoline E350-DRW Cutaway Van Chassis-RWD-2-~-8500-6.2L-8-E3F-780A-138-40-E85-Unleaded</v>
      </c>
      <c r="AN669" s="662" t="str">
        <f t="shared" si="72"/>
        <v>2019-LVN-FRD-E350-007</v>
      </c>
    </row>
    <row r="670" spans="1:40" s="572" customFormat="1" ht="30">
      <c r="A670" s="570" t="s">
        <v>1713</v>
      </c>
      <c r="B670" s="569" t="s">
        <v>1714</v>
      </c>
      <c r="C670" s="569" t="s">
        <v>269</v>
      </c>
      <c r="D670" s="580" t="s">
        <v>270</v>
      </c>
      <c r="E670" s="569" t="s">
        <v>1516</v>
      </c>
      <c r="F670" s="569" t="s">
        <v>1684</v>
      </c>
      <c r="G670" s="569" t="s">
        <v>271</v>
      </c>
      <c r="H670" s="569">
        <v>2019</v>
      </c>
      <c r="I670" s="569" t="s">
        <v>1685</v>
      </c>
      <c r="J670" s="569" t="s">
        <v>1699</v>
      </c>
      <c r="K670" s="569" t="s">
        <v>236</v>
      </c>
      <c r="L670" s="569">
        <v>2</v>
      </c>
      <c r="M670" s="569">
        <v>0</v>
      </c>
      <c r="N670" s="569" t="s">
        <v>157</v>
      </c>
      <c r="O670" s="569">
        <v>1</v>
      </c>
      <c r="P670" s="569" t="s">
        <v>157</v>
      </c>
      <c r="Q670" s="568">
        <v>8500</v>
      </c>
      <c r="R670" s="569" t="s">
        <v>1700</v>
      </c>
      <c r="S670" s="569">
        <v>8</v>
      </c>
      <c r="T670" s="569" t="s">
        <v>1688</v>
      </c>
      <c r="U670" s="569" t="s">
        <v>1689</v>
      </c>
      <c r="V670" s="569">
        <v>158</v>
      </c>
      <c r="W670" s="569">
        <v>40</v>
      </c>
      <c r="X670" s="568">
        <v>11500</v>
      </c>
      <c r="Y670" s="569" t="s">
        <v>164</v>
      </c>
      <c r="Z670" s="581" t="s">
        <v>450</v>
      </c>
      <c r="AA670" s="581" t="s">
        <v>178</v>
      </c>
      <c r="AB670" s="585">
        <v>32730</v>
      </c>
      <c r="AC670" s="585" t="s">
        <v>164</v>
      </c>
      <c r="AD670" s="585">
        <v>24894.312500000004</v>
      </c>
      <c r="AE670" s="587">
        <v>0.03</v>
      </c>
      <c r="AF670" s="661" t="str">
        <f t="shared" si="73"/>
        <v>2019-LVN-FRD-E350-008-05</v>
      </c>
      <c r="AG670" s="661" t="str">
        <f>IF(AND($Y670&gt;=32,(AI670="I"),(Y670&lt;&gt;"~"),(COUNTIF($AN$1:$AN670,$AN670)=1)),"TRUE","FALSE")</f>
        <v>FALSE</v>
      </c>
      <c r="AH670" s="661" t="str">
        <f>IF(AND($Y670&gt;=22, (AI670&lt;&gt;"I"),(Y670&lt;&gt;"~"),(COUNTIF($AN$1:$AN670,$AN670)=1)),"TRUE","FALSE")</f>
        <v>TRUE</v>
      </c>
      <c r="AI670" s="661" t="str">
        <f t="shared" si="75"/>
        <v>N/A</v>
      </c>
      <c r="AJ670" s="662" t="str">
        <f t="shared" si="69"/>
        <v>E350-008</v>
      </c>
      <c r="AK670" s="662" t="str">
        <f t="shared" si="70"/>
        <v>LVN</v>
      </c>
      <c r="AL670" s="662" t="str">
        <f t="shared" si="71"/>
        <v>FRD</v>
      </c>
      <c r="AM670" s="662" t="str">
        <f t="shared" si="74"/>
        <v>Econoline E350-DRW Cutaway Van Chassis-RWD-2-~-8500-6.2L-8-E3F-780A-158-40-E85-Unleaded</v>
      </c>
      <c r="AN670" s="662" t="str">
        <f t="shared" si="72"/>
        <v>2019-LVN-FRD-E350-008</v>
      </c>
    </row>
    <row r="671" spans="1:40" s="572" customFormat="1" ht="30">
      <c r="A671" s="570" t="s">
        <v>1715</v>
      </c>
      <c r="B671" s="573" t="s">
        <v>1716</v>
      </c>
      <c r="C671" s="573" t="s">
        <v>269</v>
      </c>
      <c r="D671" s="578" t="s">
        <v>270</v>
      </c>
      <c r="E671" s="573" t="s">
        <v>1516</v>
      </c>
      <c r="F671" s="573" t="s">
        <v>1684</v>
      </c>
      <c r="G671" s="573" t="s">
        <v>271</v>
      </c>
      <c r="H671" s="573">
        <v>2019</v>
      </c>
      <c r="I671" s="573" t="s">
        <v>1685</v>
      </c>
      <c r="J671" s="573" t="s">
        <v>1699</v>
      </c>
      <c r="K671" s="573" t="s">
        <v>236</v>
      </c>
      <c r="L671" s="573">
        <v>2</v>
      </c>
      <c r="M671" s="573">
        <v>0</v>
      </c>
      <c r="N671" s="573" t="s">
        <v>157</v>
      </c>
      <c r="O671" s="573">
        <v>1</v>
      </c>
      <c r="P671" s="573" t="s">
        <v>157</v>
      </c>
      <c r="Q671" s="571">
        <v>8500</v>
      </c>
      <c r="R671" s="573" t="s">
        <v>1700</v>
      </c>
      <c r="S671" s="573">
        <v>8</v>
      </c>
      <c r="T671" s="573" t="s">
        <v>1688</v>
      </c>
      <c r="U671" s="573" t="s">
        <v>1689</v>
      </c>
      <c r="V671" s="573">
        <v>176</v>
      </c>
      <c r="W671" s="573">
        <v>40</v>
      </c>
      <c r="X671" s="571">
        <v>12500</v>
      </c>
      <c r="Y671" s="569" t="s">
        <v>164</v>
      </c>
      <c r="Z671" s="579" t="s">
        <v>450</v>
      </c>
      <c r="AA671" s="579" t="s">
        <v>178</v>
      </c>
      <c r="AB671" s="584">
        <v>33230</v>
      </c>
      <c r="AC671" s="584" t="s">
        <v>164</v>
      </c>
      <c r="AD671" s="584">
        <v>25350.562500000004</v>
      </c>
      <c r="AE671" s="586">
        <v>0.03</v>
      </c>
      <c r="AF671" s="661" t="str">
        <f t="shared" si="73"/>
        <v>2019-LVN-FRD-E350-009-05</v>
      </c>
      <c r="AG671" s="661" t="str">
        <f>IF(AND($Y671&gt;=32,(AI671="I"),(Y671&lt;&gt;"~"),(COUNTIF($AN$1:$AN671,$AN671)=1)),"TRUE","FALSE")</f>
        <v>FALSE</v>
      </c>
      <c r="AH671" s="661" t="str">
        <f>IF(AND($Y671&gt;=22, (AI671&lt;&gt;"I"),(Y671&lt;&gt;"~"),(COUNTIF($AN$1:$AN671,$AN671)=1)),"TRUE","FALSE")</f>
        <v>TRUE</v>
      </c>
      <c r="AI671" s="661" t="str">
        <f t="shared" si="75"/>
        <v>N/A</v>
      </c>
      <c r="AJ671" s="662" t="str">
        <f t="shared" si="69"/>
        <v>E350-009</v>
      </c>
      <c r="AK671" s="662" t="str">
        <f t="shared" si="70"/>
        <v>LVN</v>
      </c>
      <c r="AL671" s="662" t="str">
        <f t="shared" si="71"/>
        <v>FRD</v>
      </c>
      <c r="AM671" s="662" t="str">
        <f t="shared" si="74"/>
        <v>Econoline E350-DRW Cutaway Van Chassis-RWD-2-~-8500-6.2L-8-E3F-780A-176-40-E85-Unleaded</v>
      </c>
      <c r="AN671" s="662" t="str">
        <f t="shared" si="72"/>
        <v>2019-LVN-FRD-E350-009</v>
      </c>
    </row>
    <row r="672" spans="1:40" s="572" customFormat="1" ht="30">
      <c r="A672" s="570" t="s">
        <v>1717</v>
      </c>
      <c r="B672" s="569" t="s">
        <v>1718</v>
      </c>
      <c r="C672" s="569" t="s">
        <v>269</v>
      </c>
      <c r="D672" s="580" t="s">
        <v>270</v>
      </c>
      <c r="E672" s="569" t="s">
        <v>1516</v>
      </c>
      <c r="F672" s="569" t="s">
        <v>1684</v>
      </c>
      <c r="G672" s="569" t="s">
        <v>271</v>
      </c>
      <c r="H672" s="569">
        <v>2019</v>
      </c>
      <c r="I672" s="569" t="s">
        <v>1685</v>
      </c>
      <c r="J672" s="569" t="s">
        <v>1699</v>
      </c>
      <c r="K672" s="569" t="s">
        <v>236</v>
      </c>
      <c r="L672" s="569">
        <v>2</v>
      </c>
      <c r="M672" s="569">
        <v>0</v>
      </c>
      <c r="N672" s="569" t="s">
        <v>157</v>
      </c>
      <c r="O672" s="569">
        <v>1</v>
      </c>
      <c r="P672" s="569" t="s">
        <v>157</v>
      </c>
      <c r="Q672" s="568">
        <v>8500</v>
      </c>
      <c r="R672" s="569" t="s">
        <v>1687</v>
      </c>
      <c r="S672" s="569">
        <v>10</v>
      </c>
      <c r="T672" s="569" t="s">
        <v>1688</v>
      </c>
      <c r="U672" s="569" t="s">
        <v>1689</v>
      </c>
      <c r="V672" s="569">
        <v>138</v>
      </c>
      <c r="W672" s="569">
        <v>40</v>
      </c>
      <c r="X672" s="568">
        <v>11500</v>
      </c>
      <c r="Y672" s="569" t="s">
        <v>164</v>
      </c>
      <c r="Z672" s="581" t="s">
        <v>178</v>
      </c>
      <c r="AA672" s="581" t="s">
        <v>178</v>
      </c>
      <c r="AB672" s="585">
        <v>32480</v>
      </c>
      <c r="AC672" s="585" t="s">
        <v>164</v>
      </c>
      <c r="AD672" s="585">
        <v>24976.604166666668</v>
      </c>
      <c r="AE672" s="587">
        <v>0.03</v>
      </c>
      <c r="AF672" s="661" t="str">
        <f t="shared" si="73"/>
        <v>2019-LVN-FRD-E350-010-05</v>
      </c>
      <c r="AG672" s="661" t="str">
        <f>IF(AND($Y672&gt;=32,(AI672="I"),(Y672&lt;&gt;"~"),(COUNTIF($AN$1:$AN672,$AN672)=1)),"TRUE","FALSE")</f>
        <v>FALSE</v>
      </c>
      <c r="AH672" s="661" t="str">
        <f>IF(AND($Y672&gt;=22, (AI672&lt;&gt;"I"),(Y672&lt;&gt;"~"),(COUNTIF($AN$1:$AN672,$AN672)=1)),"TRUE","FALSE")</f>
        <v>TRUE</v>
      </c>
      <c r="AI672" s="661" t="str">
        <f t="shared" si="75"/>
        <v>N/A</v>
      </c>
      <c r="AJ672" s="662" t="str">
        <f t="shared" si="69"/>
        <v>E350-010</v>
      </c>
      <c r="AK672" s="662" t="str">
        <f t="shared" si="70"/>
        <v>LVN</v>
      </c>
      <c r="AL672" s="662" t="str">
        <f t="shared" si="71"/>
        <v>FRD</v>
      </c>
      <c r="AM672" s="662" t="str">
        <f t="shared" si="74"/>
        <v>Econoline E350-DRW Cutaway Van Chassis-RWD-2-~-8500-6.8L-10-E3F-780A-138-40-Unleaded-Unleaded</v>
      </c>
      <c r="AN672" s="662" t="str">
        <f t="shared" si="72"/>
        <v>2019-LVN-FRD-E350-010</v>
      </c>
    </row>
    <row r="673" spans="1:40" s="572" customFormat="1" ht="30">
      <c r="A673" s="570" t="s">
        <v>1717</v>
      </c>
      <c r="B673" s="573" t="s">
        <v>1718</v>
      </c>
      <c r="C673" s="573" t="s">
        <v>269</v>
      </c>
      <c r="D673" s="578" t="s">
        <v>270</v>
      </c>
      <c r="E673" s="573" t="s">
        <v>1516</v>
      </c>
      <c r="F673" s="573" t="s">
        <v>1684</v>
      </c>
      <c r="G673" s="573" t="s">
        <v>271</v>
      </c>
      <c r="H673" s="573">
        <v>2019</v>
      </c>
      <c r="I673" s="573" t="s">
        <v>1685</v>
      </c>
      <c r="J673" s="573" t="s">
        <v>1699</v>
      </c>
      <c r="K673" s="573" t="s">
        <v>236</v>
      </c>
      <c r="L673" s="573">
        <v>2</v>
      </c>
      <c r="M673" s="573">
        <v>0</v>
      </c>
      <c r="N673" s="573" t="s">
        <v>157</v>
      </c>
      <c r="O673" s="573">
        <v>1</v>
      </c>
      <c r="P673" s="573" t="s">
        <v>157</v>
      </c>
      <c r="Q673" s="571">
        <v>8500</v>
      </c>
      <c r="R673" s="573" t="s">
        <v>1687</v>
      </c>
      <c r="S673" s="573">
        <v>10</v>
      </c>
      <c r="T673" s="573" t="s">
        <v>1688</v>
      </c>
      <c r="U673" s="573" t="s">
        <v>1689</v>
      </c>
      <c r="V673" s="573">
        <v>138</v>
      </c>
      <c r="W673" s="573">
        <v>40</v>
      </c>
      <c r="X673" s="571">
        <v>11500</v>
      </c>
      <c r="Y673" s="569" t="s">
        <v>164</v>
      </c>
      <c r="Z673" s="579" t="s">
        <v>178</v>
      </c>
      <c r="AA673" s="579" t="s">
        <v>178</v>
      </c>
      <c r="AB673" s="584">
        <v>32830</v>
      </c>
      <c r="AC673" s="584" t="s">
        <v>164</v>
      </c>
      <c r="AD673" s="584">
        <v>24976.604166666668</v>
      </c>
      <c r="AE673" s="586">
        <v>0.03</v>
      </c>
      <c r="AF673" s="661" t="str">
        <f t="shared" si="73"/>
        <v>2019-LVN-FRD-E350-010-05</v>
      </c>
      <c r="AG673" s="661" t="str">
        <f>IF(AND($Y673&gt;=32,(AI673="I"),(Y673&lt;&gt;"~"),(COUNTIF($AN$1:$AN673,$AN673)=1)),"TRUE","FALSE")</f>
        <v>FALSE</v>
      </c>
      <c r="AH673" s="661" t="str">
        <f>IF(AND($Y673&gt;=22, (AI673&lt;&gt;"I"),(Y673&lt;&gt;"~"),(COUNTIF($AN$1:$AN673,$AN673)=1)),"TRUE","FALSE")</f>
        <v>FALSE</v>
      </c>
      <c r="AI673" s="661" t="str">
        <f t="shared" si="75"/>
        <v>N/A</v>
      </c>
      <c r="AJ673" s="662" t="str">
        <f t="shared" si="69"/>
        <v>E350-010</v>
      </c>
      <c r="AK673" s="662" t="str">
        <f t="shared" si="70"/>
        <v>LVN</v>
      </c>
      <c r="AL673" s="662" t="str">
        <f t="shared" si="71"/>
        <v>FRD</v>
      </c>
      <c r="AM673" s="662" t="str">
        <f t="shared" si="74"/>
        <v>Econoline E350-DRW Cutaway Van Chassis-RWD-2-~-8500-6.8L-10-E3F-780A-138-40-Unleaded-Unleaded</v>
      </c>
      <c r="AN673" s="662" t="str">
        <f t="shared" si="72"/>
        <v>2019-LVN-FRD-E350-010</v>
      </c>
    </row>
    <row r="674" spans="1:40" s="572" customFormat="1" ht="30">
      <c r="A674" s="570" t="s">
        <v>1719</v>
      </c>
      <c r="B674" s="569" t="s">
        <v>1720</v>
      </c>
      <c r="C674" s="569" t="s">
        <v>269</v>
      </c>
      <c r="D674" s="580" t="s">
        <v>270</v>
      </c>
      <c r="E674" s="569" t="s">
        <v>1516</v>
      </c>
      <c r="F674" s="569" t="s">
        <v>1684</v>
      </c>
      <c r="G674" s="569" t="s">
        <v>271</v>
      </c>
      <c r="H674" s="569">
        <v>2019</v>
      </c>
      <c r="I674" s="569" t="s">
        <v>1685</v>
      </c>
      <c r="J674" s="569" t="s">
        <v>1699</v>
      </c>
      <c r="K674" s="569" t="s">
        <v>236</v>
      </c>
      <c r="L674" s="569">
        <v>2</v>
      </c>
      <c r="M674" s="569">
        <v>0</v>
      </c>
      <c r="N674" s="569" t="s">
        <v>157</v>
      </c>
      <c r="O674" s="569">
        <v>1</v>
      </c>
      <c r="P674" s="569" t="s">
        <v>157</v>
      </c>
      <c r="Q674" s="568">
        <v>8500</v>
      </c>
      <c r="R674" s="569" t="s">
        <v>1687</v>
      </c>
      <c r="S674" s="569">
        <v>10</v>
      </c>
      <c r="T674" s="569" t="s">
        <v>1688</v>
      </c>
      <c r="U674" s="569" t="s">
        <v>1689</v>
      </c>
      <c r="V674" s="569">
        <v>158</v>
      </c>
      <c r="W674" s="569">
        <v>40</v>
      </c>
      <c r="X674" s="568">
        <v>11500</v>
      </c>
      <c r="Y674" s="569" t="s">
        <v>164</v>
      </c>
      <c r="Z674" s="581" t="s">
        <v>178</v>
      </c>
      <c r="AA674" s="581" t="s">
        <v>178</v>
      </c>
      <c r="AB674" s="585">
        <v>32730</v>
      </c>
      <c r="AC674" s="585" t="s">
        <v>164</v>
      </c>
      <c r="AD674" s="585">
        <v>25204.729166666668</v>
      </c>
      <c r="AE674" s="587">
        <v>0.03</v>
      </c>
      <c r="AF674" s="661" t="str">
        <f t="shared" si="73"/>
        <v>2019-LVN-FRD-E350-011-05</v>
      </c>
      <c r="AG674" s="661" t="str">
        <f>IF(AND($Y674&gt;=32,(AI674="I"),(Y674&lt;&gt;"~"),(COUNTIF($AN$1:$AN674,$AN674)=1)),"TRUE","FALSE")</f>
        <v>FALSE</v>
      </c>
      <c r="AH674" s="661" t="str">
        <f>IF(AND($Y674&gt;=22, (AI674&lt;&gt;"I"),(Y674&lt;&gt;"~"),(COUNTIF($AN$1:$AN674,$AN674)=1)),"TRUE","FALSE")</f>
        <v>TRUE</v>
      </c>
      <c r="AI674" s="661" t="str">
        <f t="shared" si="75"/>
        <v>N/A</v>
      </c>
      <c r="AJ674" s="662" t="str">
        <f t="shared" si="69"/>
        <v>E350-011</v>
      </c>
      <c r="AK674" s="662" t="str">
        <f t="shared" si="70"/>
        <v>LVN</v>
      </c>
      <c r="AL674" s="662" t="str">
        <f t="shared" si="71"/>
        <v>FRD</v>
      </c>
      <c r="AM674" s="662" t="str">
        <f t="shared" si="74"/>
        <v>Econoline E350-DRW Cutaway Van Chassis-RWD-2-~-8500-6.8L-10-E3F-780A-158-40-Unleaded-Unleaded</v>
      </c>
      <c r="AN674" s="662" t="str">
        <f t="shared" si="72"/>
        <v>2019-LVN-FRD-E350-011</v>
      </c>
    </row>
    <row r="675" spans="1:40" s="572" customFormat="1" ht="30">
      <c r="A675" s="570" t="s">
        <v>1719</v>
      </c>
      <c r="B675" s="573" t="s">
        <v>1720</v>
      </c>
      <c r="C675" s="573" t="s">
        <v>269</v>
      </c>
      <c r="D675" s="578" t="s">
        <v>270</v>
      </c>
      <c r="E675" s="573" t="s">
        <v>1516</v>
      </c>
      <c r="F675" s="573" t="s">
        <v>1684</v>
      </c>
      <c r="G675" s="573" t="s">
        <v>271</v>
      </c>
      <c r="H675" s="573">
        <v>2019</v>
      </c>
      <c r="I675" s="573" t="s">
        <v>1685</v>
      </c>
      <c r="J675" s="573" t="s">
        <v>1699</v>
      </c>
      <c r="K675" s="573" t="s">
        <v>236</v>
      </c>
      <c r="L675" s="573">
        <v>2</v>
      </c>
      <c r="M675" s="573">
        <v>0</v>
      </c>
      <c r="N675" s="573" t="s">
        <v>157</v>
      </c>
      <c r="O675" s="573">
        <v>1</v>
      </c>
      <c r="P675" s="573" t="s">
        <v>157</v>
      </c>
      <c r="Q675" s="571">
        <v>8500</v>
      </c>
      <c r="R675" s="573" t="s">
        <v>1687</v>
      </c>
      <c r="S675" s="573">
        <v>10</v>
      </c>
      <c r="T675" s="573" t="s">
        <v>1688</v>
      </c>
      <c r="U675" s="573" t="s">
        <v>1689</v>
      </c>
      <c r="V675" s="573">
        <v>158</v>
      </c>
      <c r="W675" s="573">
        <v>40</v>
      </c>
      <c r="X675" s="571">
        <v>11500</v>
      </c>
      <c r="Y675" s="569" t="s">
        <v>164</v>
      </c>
      <c r="Z675" s="579" t="s">
        <v>178</v>
      </c>
      <c r="AA675" s="579" t="s">
        <v>178</v>
      </c>
      <c r="AB675" s="584">
        <v>33080</v>
      </c>
      <c r="AC675" s="584" t="s">
        <v>164</v>
      </c>
      <c r="AD675" s="584">
        <v>25204.729166666668</v>
      </c>
      <c r="AE675" s="586">
        <v>0.03</v>
      </c>
      <c r="AF675" s="661" t="str">
        <f t="shared" si="73"/>
        <v>2019-LVN-FRD-E350-011-05</v>
      </c>
      <c r="AG675" s="661" t="str">
        <f>IF(AND($Y675&gt;=32,(AI675="I"),(Y675&lt;&gt;"~"),(COUNTIF($AN$1:$AN675,$AN675)=1)),"TRUE","FALSE")</f>
        <v>FALSE</v>
      </c>
      <c r="AH675" s="661" t="str">
        <f>IF(AND($Y675&gt;=22, (AI675&lt;&gt;"I"),(Y675&lt;&gt;"~"),(COUNTIF($AN$1:$AN675,$AN675)=1)),"TRUE","FALSE")</f>
        <v>FALSE</v>
      </c>
      <c r="AI675" s="661" t="str">
        <f t="shared" si="75"/>
        <v>N/A</v>
      </c>
      <c r="AJ675" s="662" t="str">
        <f t="shared" si="69"/>
        <v>E350-011</v>
      </c>
      <c r="AK675" s="662" t="str">
        <f t="shared" si="70"/>
        <v>LVN</v>
      </c>
      <c r="AL675" s="662" t="str">
        <f t="shared" si="71"/>
        <v>FRD</v>
      </c>
      <c r="AM675" s="662" t="str">
        <f t="shared" si="74"/>
        <v>Econoline E350-DRW Cutaway Van Chassis-RWD-2-~-8500-6.8L-10-E3F-780A-158-40-Unleaded-Unleaded</v>
      </c>
      <c r="AN675" s="662" t="str">
        <f t="shared" si="72"/>
        <v>2019-LVN-FRD-E350-011</v>
      </c>
    </row>
    <row r="676" spans="1:40" s="572" customFormat="1" ht="30">
      <c r="A676" s="570" t="s">
        <v>1721</v>
      </c>
      <c r="B676" s="569" t="s">
        <v>1722</v>
      </c>
      <c r="C676" s="569" t="s">
        <v>269</v>
      </c>
      <c r="D676" s="580" t="s">
        <v>270</v>
      </c>
      <c r="E676" s="569" t="s">
        <v>1516</v>
      </c>
      <c r="F676" s="569" t="s">
        <v>1684</v>
      </c>
      <c r="G676" s="569" t="s">
        <v>271</v>
      </c>
      <c r="H676" s="569">
        <v>2019</v>
      </c>
      <c r="I676" s="569" t="s">
        <v>1685</v>
      </c>
      <c r="J676" s="569" t="s">
        <v>1699</v>
      </c>
      <c r="K676" s="569" t="s">
        <v>236</v>
      </c>
      <c r="L676" s="569">
        <v>2</v>
      </c>
      <c r="M676" s="569">
        <v>0</v>
      </c>
      <c r="N676" s="569" t="s">
        <v>157</v>
      </c>
      <c r="O676" s="569">
        <v>1</v>
      </c>
      <c r="P676" s="569" t="s">
        <v>157</v>
      </c>
      <c r="Q676" s="568">
        <v>8500</v>
      </c>
      <c r="R676" s="569" t="s">
        <v>1687</v>
      </c>
      <c r="S676" s="569">
        <v>10</v>
      </c>
      <c r="T676" s="569" t="s">
        <v>1688</v>
      </c>
      <c r="U676" s="569" t="s">
        <v>1689</v>
      </c>
      <c r="V676" s="569">
        <v>176</v>
      </c>
      <c r="W676" s="569">
        <v>40</v>
      </c>
      <c r="X676" s="568">
        <v>12500</v>
      </c>
      <c r="Y676" s="569" t="s">
        <v>164</v>
      </c>
      <c r="Z676" s="581" t="s">
        <v>178</v>
      </c>
      <c r="AA676" s="581" t="s">
        <v>178</v>
      </c>
      <c r="AB676" s="585">
        <v>33230</v>
      </c>
      <c r="AC676" s="585" t="s">
        <v>164</v>
      </c>
      <c r="AD676" s="585">
        <v>25660.979166666668</v>
      </c>
      <c r="AE676" s="587">
        <v>0.03</v>
      </c>
      <c r="AF676" s="661" t="str">
        <f t="shared" si="73"/>
        <v>2019-LVN-FRD-E350-012-05</v>
      </c>
      <c r="AG676" s="661" t="str">
        <f>IF(AND($Y676&gt;=32,(AI676="I"),(Y676&lt;&gt;"~"),(COUNTIF($AN$1:$AN676,$AN676)=1)),"TRUE","FALSE")</f>
        <v>FALSE</v>
      </c>
      <c r="AH676" s="661" t="str">
        <f>IF(AND($Y676&gt;=22, (AI676&lt;&gt;"I"),(Y676&lt;&gt;"~"),(COUNTIF($AN$1:$AN676,$AN676)=1)),"TRUE","FALSE")</f>
        <v>TRUE</v>
      </c>
      <c r="AI676" s="661" t="str">
        <f t="shared" si="75"/>
        <v>N/A</v>
      </c>
      <c r="AJ676" s="662" t="str">
        <f t="shared" si="69"/>
        <v>E350-012</v>
      </c>
      <c r="AK676" s="662" t="str">
        <f t="shared" si="70"/>
        <v>LVN</v>
      </c>
      <c r="AL676" s="662" t="str">
        <f t="shared" si="71"/>
        <v>FRD</v>
      </c>
      <c r="AM676" s="662" t="str">
        <f t="shared" si="74"/>
        <v>Econoline E350-DRW Cutaway Van Chassis-RWD-2-~-8500-6.8L-10-E3F-780A-176-40-Unleaded-Unleaded</v>
      </c>
      <c r="AN676" s="662" t="str">
        <f t="shared" si="72"/>
        <v>2019-LVN-FRD-E350-012</v>
      </c>
    </row>
    <row r="677" spans="1:40" s="572" customFormat="1" ht="30">
      <c r="A677" s="570" t="s">
        <v>1721</v>
      </c>
      <c r="B677" s="573" t="s">
        <v>1722</v>
      </c>
      <c r="C677" s="573" t="s">
        <v>269</v>
      </c>
      <c r="D677" s="578" t="s">
        <v>270</v>
      </c>
      <c r="E677" s="573" t="s">
        <v>1516</v>
      </c>
      <c r="F677" s="573" t="s">
        <v>1684</v>
      </c>
      <c r="G677" s="573" t="s">
        <v>271</v>
      </c>
      <c r="H677" s="573">
        <v>2019</v>
      </c>
      <c r="I677" s="573" t="s">
        <v>1685</v>
      </c>
      <c r="J677" s="573" t="s">
        <v>1699</v>
      </c>
      <c r="K677" s="573" t="s">
        <v>236</v>
      </c>
      <c r="L677" s="573">
        <v>2</v>
      </c>
      <c r="M677" s="573">
        <v>0</v>
      </c>
      <c r="N677" s="573" t="s">
        <v>157</v>
      </c>
      <c r="O677" s="573">
        <v>1</v>
      </c>
      <c r="P677" s="573" t="s">
        <v>157</v>
      </c>
      <c r="Q677" s="571">
        <v>8500</v>
      </c>
      <c r="R677" s="573" t="s">
        <v>1687</v>
      </c>
      <c r="S677" s="573">
        <v>10</v>
      </c>
      <c r="T677" s="573" t="s">
        <v>1688</v>
      </c>
      <c r="U677" s="573" t="s">
        <v>1689</v>
      </c>
      <c r="V677" s="573">
        <v>176</v>
      </c>
      <c r="W677" s="573">
        <v>40</v>
      </c>
      <c r="X677" s="571">
        <v>12500</v>
      </c>
      <c r="Y677" s="569" t="s">
        <v>164</v>
      </c>
      <c r="Z677" s="579" t="s">
        <v>178</v>
      </c>
      <c r="AA677" s="579" t="s">
        <v>178</v>
      </c>
      <c r="AB677" s="584">
        <v>33580</v>
      </c>
      <c r="AC677" s="584" t="s">
        <v>164</v>
      </c>
      <c r="AD677" s="584">
        <v>25660.979166666668</v>
      </c>
      <c r="AE677" s="586">
        <v>0.03</v>
      </c>
      <c r="AF677" s="661" t="str">
        <f t="shared" si="73"/>
        <v>2019-LVN-FRD-E350-012-05</v>
      </c>
      <c r="AG677" s="661" t="str">
        <f>IF(AND($Y677&gt;=32,(AI677="I"),(Y677&lt;&gt;"~"),(COUNTIF($AN$1:$AN677,$AN677)=1)),"TRUE","FALSE")</f>
        <v>FALSE</v>
      </c>
      <c r="AH677" s="661" t="str">
        <f>IF(AND($Y677&gt;=22, (AI677&lt;&gt;"I"),(Y677&lt;&gt;"~"),(COUNTIF($AN$1:$AN677,$AN677)=1)),"TRUE","FALSE")</f>
        <v>FALSE</v>
      </c>
      <c r="AI677" s="661" t="str">
        <f t="shared" si="75"/>
        <v>N/A</v>
      </c>
      <c r="AJ677" s="662" t="str">
        <f t="shared" si="69"/>
        <v>E350-012</v>
      </c>
      <c r="AK677" s="662" t="str">
        <f t="shared" si="70"/>
        <v>LVN</v>
      </c>
      <c r="AL677" s="662" t="str">
        <f t="shared" si="71"/>
        <v>FRD</v>
      </c>
      <c r="AM677" s="662" t="str">
        <f t="shared" si="74"/>
        <v>Econoline E350-DRW Cutaway Van Chassis-RWD-2-~-8500-6.8L-10-E3F-780A-176-40-Unleaded-Unleaded</v>
      </c>
      <c r="AN677" s="662" t="str">
        <f t="shared" si="72"/>
        <v>2019-LVN-FRD-E350-012</v>
      </c>
    </row>
    <row r="678" spans="1:40" s="572" customFormat="1" ht="30">
      <c r="A678" s="570" t="s">
        <v>1723</v>
      </c>
      <c r="B678" s="569" t="s">
        <v>1716</v>
      </c>
      <c r="C678" s="569" t="s">
        <v>278</v>
      </c>
      <c r="D678" s="580">
        <v>15</v>
      </c>
      <c r="E678" s="569" t="s">
        <v>1516</v>
      </c>
      <c r="F678" s="569" t="s">
        <v>1684</v>
      </c>
      <c r="G678" s="569" t="s">
        <v>271</v>
      </c>
      <c r="H678" s="569">
        <v>2019</v>
      </c>
      <c r="I678" s="569" t="s">
        <v>1685</v>
      </c>
      <c r="J678" s="569" t="s">
        <v>1699</v>
      </c>
      <c r="K678" s="569" t="s">
        <v>236</v>
      </c>
      <c r="L678" s="569">
        <v>2</v>
      </c>
      <c r="M678" s="569">
        <v>0</v>
      </c>
      <c r="N678" s="569" t="s">
        <v>157</v>
      </c>
      <c r="O678" s="569">
        <v>1</v>
      </c>
      <c r="P678" s="569" t="s">
        <v>157</v>
      </c>
      <c r="Q678" s="568">
        <v>8500</v>
      </c>
      <c r="R678" s="569" t="s">
        <v>1700</v>
      </c>
      <c r="S678" s="569">
        <v>8</v>
      </c>
      <c r="T678" s="569" t="s">
        <v>1688</v>
      </c>
      <c r="U678" s="569" t="s">
        <v>1689</v>
      </c>
      <c r="V678" s="569">
        <v>176</v>
      </c>
      <c r="W678" s="569">
        <v>40</v>
      </c>
      <c r="X678" s="568">
        <v>12500</v>
      </c>
      <c r="Y678" s="569" t="s">
        <v>164</v>
      </c>
      <c r="Z678" s="581" t="s">
        <v>450</v>
      </c>
      <c r="AA678" s="581" t="s">
        <v>178</v>
      </c>
      <c r="AB678" s="585">
        <v>33230</v>
      </c>
      <c r="AC678" s="585" t="s">
        <v>164</v>
      </c>
      <c r="AD678" s="585">
        <v>25750</v>
      </c>
      <c r="AE678" s="587">
        <v>0.01</v>
      </c>
      <c r="AF678" s="661" t="str">
        <f t="shared" si="73"/>
        <v>2019-LVN-FRD-E350-009-15</v>
      </c>
      <c r="AG678" s="661" t="str">
        <f>IF(AND($Y678&gt;=32,(AI678="I"),(Y678&lt;&gt;"~"),(COUNTIF($AN$1:$AN678,$AN678)=1)),"TRUE","FALSE")</f>
        <v>FALSE</v>
      </c>
      <c r="AH678" s="661" t="str">
        <f>IF(AND($Y678&gt;=22, (AI678&lt;&gt;"I"),(Y678&lt;&gt;"~"),(COUNTIF($AN$1:$AN678,$AN678)=1)),"TRUE","FALSE")</f>
        <v>FALSE</v>
      </c>
      <c r="AI678" s="661" t="str">
        <f t="shared" si="75"/>
        <v>N/A</v>
      </c>
      <c r="AJ678" s="662" t="str">
        <f t="shared" si="69"/>
        <v>E350-009</v>
      </c>
      <c r="AK678" s="662" t="str">
        <f t="shared" si="70"/>
        <v>LVN</v>
      </c>
      <c r="AL678" s="662" t="str">
        <f t="shared" si="71"/>
        <v>FRD</v>
      </c>
      <c r="AM678" s="662" t="str">
        <f t="shared" si="74"/>
        <v>Econoline E350-DRW Cutaway Van Chassis-RWD-2-~-8500-6.2L-8-E3F-780A-176-40-E85-Unleaded</v>
      </c>
      <c r="AN678" s="662" t="str">
        <f t="shared" si="72"/>
        <v>2019-LVN-FRD-E350-009</v>
      </c>
    </row>
    <row r="679" spans="1:40" s="572" customFormat="1" ht="30">
      <c r="A679" s="570" t="s">
        <v>1724</v>
      </c>
      <c r="B679" s="573" t="s">
        <v>1722</v>
      </c>
      <c r="C679" s="573" t="s">
        <v>278</v>
      </c>
      <c r="D679" s="578">
        <v>15</v>
      </c>
      <c r="E679" s="573" t="s">
        <v>1516</v>
      </c>
      <c r="F679" s="573" t="s">
        <v>1684</v>
      </c>
      <c r="G679" s="573" t="s">
        <v>271</v>
      </c>
      <c r="H679" s="573">
        <v>2019</v>
      </c>
      <c r="I679" s="573" t="s">
        <v>1685</v>
      </c>
      <c r="J679" s="573" t="s">
        <v>1699</v>
      </c>
      <c r="K679" s="573" t="s">
        <v>236</v>
      </c>
      <c r="L679" s="573">
        <v>2</v>
      </c>
      <c r="M679" s="573">
        <v>0</v>
      </c>
      <c r="N679" s="573" t="s">
        <v>157</v>
      </c>
      <c r="O679" s="573">
        <v>1</v>
      </c>
      <c r="P679" s="573" t="s">
        <v>157</v>
      </c>
      <c r="Q679" s="571">
        <v>8500</v>
      </c>
      <c r="R679" s="573" t="s">
        <v>1687</v>
      </c>
      <c r="S679" s="573">
        <v>10</v>
      </c>
      <c r="T679" s="573" t="s">
        <v>1688</v>
      </c>
      <c r="U679" s="573" t="s">
        <v>1689</v>
      </c>
      <c r="V679" s="573">
        <v>176</v>
      </c>
      <c r="W679" s="573">
        <v>40</v>
      </c>
      <c r="X679" s="571">
        <v>12500</v>
      </c>
      <c r="Y679" s="569" t="s">
        <v>164</v>
      </c>
      <c r="Z679" s="579" t="s">
        <v>178</v>
      </c>
      <c r="AA679" s="579" t="s">
        <v>178</v>
      </c>
      <c r="AB679" s="584">
        <v>33230</v>
      </c>
      <c r="AC679" s="584" t="s">
        <v>164</v>
      </c>
      <c r="AD679" s="584">
        <v>25995</v>
      </c>
      <c r="AE679" s="586">
        <v>0.01</v>
      </c>
      <c r="AF679" s="661" t="str">
        <f t="shared" si="73"/>
        <v>2019-LVN-FRD-E350-012-15</v>
      </c>
      <c r="AG679" s="661" t="str">
        <f>IF(AND($Y679&gt;=32,(AI679="I"),(Y679&lt;&gt;"~"),(COUNTIF($AN$1:$AN679,$AN679)=1)),"TRUE","FALSE")</f>
        <v>FALSE</v>
      </c>
      <c r="AH679" s="661" t="str">
        <f>IF(AND($Y679&gt;=22, (AI679&lt;&gt;"I"),(Y679&lt;&gt;"~"),(COUNTIF($AN$1:$AN679,$AN679)=1)),"TRUE","FALSE")</f>
        <v>FALSE</v>
      </c>
      <c r="AI679" s="661" t="str">
        <f t="shared" si="75"/>
        <v>N/A</v>
      </c>
      <c r="AJ679" s="662" t="str">
        <f t="shared" si="69"/>
        <v>E350-012</v>
      </c>
      <c r="AK679" s="662" t="str">
        <f t="shared" si="70"/>
        <v>LVN</v>
      </c>
      <c r="AL679" s="662" t="str">
        <f t="shared" si="71"/>
        <v>FRD</v>
      </c>
      <c r="AM679" s="662" t="str">
        <f t="shared" si="74"/>
        <v>Econoline E350-DRW Cutaway Van Chassis-RWD-2-~-8500-6.8L-10-E3F-780A-176-40-Unleaded-Unleaded</v>
      </c>
      <c r="AN679" s="662" t="str">
        <f t="shared" si="72"/>
        <v>2019-LVN-FRD-E350-012</v>
      </c>
    </row>
    <row r="680" spans="1:40" s="572" customFormat="1" ht="30">
      <c r="A680" s="570" t="s">
        <v>1725</v>
      </c>
      <c r="B680" s="569" t="s">
        <v>1706</v>
      </c>
      <c r="C680" s="569" t="s">
        <v>287</v>
      </c>
      <c r="D680" s="580">
        <v>26</v>
      </c>
      <c r="E680" s="569" t="s">
        <v>1516</v>
      </c>
      <c r="F680" s="569" t="s">
        <v>1684</v>
      </c>
      <c r="G680" s="569" t="s">
        <v>271</v>
      </c>
      <c r="H680" s="569">
        <v>2019</v>
      </c>
      <c r="I680" s="569" t="s">
        <v>1685</v>
      </c>
      <c r="J680" s="569" t="s">
        <v>1699</v>
      </c>
      <c r="K680" s="569" t="s">
        <v>236</v>
      </c>
      <c r="L680" s="569">
        <v>2</v>
      </c>
      <c r="M680" s="569">
        <v>0</v>
      </c>
      <c r="N680" s="569" t="s">
        <v>157</v>
      </c>
      <c r="O680" s="569">
        <v>1</v>
      </c>
      <c r="P680" s="569" t="s">
        <v>157</v>
      </c>
      <c r="Q680" s="568" t="s">
        <v>157</v>
      </c>
      <c r="R680" s="569" t="s">
        <v>1687</v>
      </c>
      <c r="S680" s="569">
        <v>10</v>
      </c>
      <c r="T680" s="569" t="s">
        <v>1688</v>
      </c>
      <c r="U680" s="569" t="s">
        <v>1689</v>
      </c>
      <c r="V680" s="569">
        <v>138</v>
      </c>
      <c r="W680" s="569">
        <v>40</v>
      </c>
      <c r="X680" s="568">
        <v>11500</v>
      </c>
      <c r="Y680" s="569" t="s">
        <v>164</v>
      </c>
      <c r="Z680" s="581" t="s">
        <v>178</v>
      </c>
      <c r="AA680" s="581" t="s">
        <v>178</v>
      </c>
      <c r="AB680" s="585">
        <v>32830</v>
      </c>
      <c r="AC680" s="585" t="s">
        <v>164</v>
      </c>
      <c r="AD680" s="585">
        <v>25581</v>
      </c>
      <c r="AE680" s="587">
        <v>0.05</v>
      </c>
      <c r="AF680" s="661" t="str">
        <f t="shared" si="73"/>
        <v>2019-LVN-FRD-E350-004-26</v>
      </c>
      <c r="AG680" s="661" t="str">
        <f>IF(AND($Y680&gt;=32,(AI680="I"),(Y680&lt;&gt;"~"),(COUNTIF($AN$1:$AN680,$AN680)=1)),"TRUE","FALSE")</f>
        <v>FALSE</v>
      </c>
      <c r="AH680" s="661" t="str">
        <f>IF(AND($Y680&gt;=22, (AI680&lt;&gt;"I"),(Y680&lt;&gt;"~"),(COUNTIF($AN$1:$AN680,$AN680)=1)),"TRUE","FALSE")</f>
        <v>FALSE</v>
      </c>
      <c r="AI680" s="661" t="str">
        <f t="shared" si="75"/>
        <v>N/A</v>
      </c>
      <c r="AJ680" s="662" t="str">
        <f t="shared" si="69"/>
        <v>E350-004</v>
      </c>
      <c r="AK680" s="662" t="str">
        <f t="shared" si="70"/>
        <v>LVN</v>
      </c>
      <c r="AL680" s="662" t="str">
        <f t="shared" si="71"/>
        <v>FRD</v>
      </c>
      <c r="AM680" s="662" t="str">
        <f t="shared" si="74"/>
        <v>Econoline E350-DRW Cutaway Van Chassis-RWD-2-~-~-6.8L-10-E3F-780A-138-40-Unleaded-Unleaded</v>
      </c>
      <c r="AN680" s="662" t="str">
        <f t="shared" si="72"/>
        <v>2019-LVN-FRD-E350-004</v>
      </c>
    </row>
    <row r="681" spans="1:40" s="572" customFormat="1" ht="30">
      <c r="A681" s="570" t="s">
        <v>1726</v>
      </c>
      <c r="B681" s="573" t="s">
        <v>1708</v>
      </c>
      <c r="C681" s="573" t="s">
        <v>287</v>
      </c>
      <c r="D681" s="578">
        <v>26</v>
      </c>
      <c r="E681" s="573" t="s">
        <v>1516</v>
      </c>
      <c r="F681" s="573" t="s">
        <v>1684</v>
      </c>
      <c r="G681" s="573" t="s">
        <v>271</v>
      </c>
      <c r="H681" s="573">
        <v>2019</v>
      </c>
      <c r="I681" s="573" t="s">
        <v>1685</v>
      </c>
      <c r="J681" s="573" t="s">
        <v>1699</v>
      </c>
      <c r="K681" s="573" t="s">
        <v>236</v>
      </c>
      <c r="L681" s="573">
        <v>2</v>
      </c>
      <c r="M681" s="573">
        <v>0</v>
      </c>
      <c r="N681" s="573" t="s">
        <v>157</v>
      </c>
      <c r="O681" s="573">
        <v>1</v>
      </c>
      <c r="P681" s="573" t="s">
        <v>157</v>
      </c>
      <c r="Q681" s="571" t="s">
        <v>157</v>
      </c>
      <c r="R681" s="573" t="s">
        <v>1687</v>
      </c>
      <c r="S681" s="573">
        <v>10</v>
      </c>
      <c r="T681" s="573" t="s">
        <v>1688</v>
      </c>
      <c r="U681" s="573" t="s">
        <v>1689</v>
      </c>
      <c r="V681" s="573">
        <v>158</v>
      </c>
      <c r="W681" s="573">
        <v>40</v>
      </c>
      <c r="X681" s="571">
        <v>11500</v>
      </c>
      <c r="Y681" s="569" t="s">
        <v>164</v>
      </c>
      <c r="Z681" s="579" t="s">
        <v>178</v>
      </c>
      <c r="AA681" s="579" t="s">
        <v>178</v>
      </c>
      <c r="AB681" s="584">
        <v>33080</v>
      </c>
      <c r="AC681" s="584" t="s">
        <v>164</v>
      </c>
      <c r="AD681" s="584">
        <v>25815</v>
      </c>
      <c r="AE681" s="586">
        <v>0.05</v>
      </c>
      <c r="AF681" s="661" t="str">
        <f t="shared" si="73"/>
        <v>2019-LVN-FRD-E350-005-26</v>
      </c>
      <c r="AG681" s="661" t="str">
        <f>IF(AND($Y681&gt;=32,(AI681="I"),(Y681&lt;&gt;"~"),(COUNTIF($AN$1:$AN681,$AN681)=1)),"TRUE","FALSE")</f>
        <v>FALSE</v>
      </c>
      <c r="AH681" s="661" t="str">
        <f>IF(AND($Y681&gt;=22, (AI681&lt;&gt;"I"),(Y681&lt;&gt;"~"),(COUNTIF($AN$1:$AN681,$AN681)=1)),"TRUE","FALSE")</f>
        <v>FALSE</v>
      </c>
      <c r="AI681" s="661" t="str">
        <f t="shared" si="75"/>
        <v>N/A</v>
      </c>
      <c r="AJ681" s="662" t="str">
        <f t="shared" si="69"/>
        <v>E350-005</v>
      </c>
      <c r="AK681" s="662" t="str">
        <f t="shared" si="70"/>
        <v>LVN</v>
      </c>
      <c r="AL681" s="662" t="str">
        <f t="shared" si="71"/>
        <v>FRD</v>
      </c>
      <c r="AM681" s="662" t="str">
        <f t="shared" si="74"/>
        <v>Econoline E350-DRW Cutaway Van Chassis-RWD-2-~-~-6.8L-10-E3F-780A-158-40-Unleaded-Unleaded</v>
      </c>
      <c r="AN681" s="662" t="str">
        <f t="shared" si="72"/>
        <v>2019-LVN-FRD-E350-005</v>
      </c>
    </row>
    <row r="682" spans="1:40" s="572" customFormat="1" ht="30">
      <c r="A682" s="570" t="s">
        <v>1727</v>
      </c>
      <c r="B682" s="569" t="s">
        <v>1710</v>
      </c>
      <c r="C682" s="569" t="s">
        <v>287</v>
      </c>
      <c r="D682" s="580">
        <v>26</v>
      </c>
      <c r="E682" s="569" t="s">
        <v>1516</v>
      </c>
      <c r="F682" s="569" t="s">
        <v>1684</v>
      </c>
      <c r="G682" s="569" t="s">
        <v>271</v>
      </c>
      <c r="H682" s="569">
        <v>2019</v>
      </c>
      <c r="I682" s="569" t="s">
        <v>1685</v>
      </c>
      <c r="J682" s="569" t="s">
        <v>1699</v>
      </c>
      <c r="K682" s="569" t="s">
        <v>236</v>
      </c>
      <c r="L682" s="569">
        <v>2</v>
      </c>
      <c r="M682" s="569">
        <v>0</v>
      </c>
      <c r="N682" s="569" t="s">
        <v>157</v>
      </c>
      <c r="O682" s="569">
        <v>1</v>
      </c>
      <c r="P682" s="569" t="s">
        <v>157</v>
      </c>
      <c r="Q682" s="568" t="s">
        <v>157</v>
      </c>
      <c r="R682" s="569" t="s">
        <v>1687</v>
      </c>
      <c r="S682" s="569">
        <v>10</v>
      </c>
      <c r="T682" s="569" t="s">
        <v>1688</v>
      </c>
      <c r="U682" s="569" t="s">
        <v>1689</v>
      </c>
      <c r="V682" s="569">
        <v>176</v>
      </c>
      <c r="W682" s="569">
        <v>40</v>
      </c>
      <c r="X682" s="568">
        <v>12500</v>
      </c>
      <c r="Y682" s="569" t="s">
        <v>164</v>
      </c>
      <c r="Z682" s="581" t="s">
        <v>178</v>
      </c>
      <c r="AA682" s="581" t="s">
        <v>178</v>
      </c>
      <c r="AB682" s="585">
        <v>33580</v>
      </c>
      <c r="AC682" s="585" t="s">
        <v>164</v>
      </c>
      <c r="AD682" s="585">
        <v>26281</v>
      </c>
      <c r="AE682" s="587">
        <v>0.05</v>
      </c>
      <c r="AF682" s="661" t="str">
        <f t="shared" si="73"/>
        <v>2019-LVN-FRD-E350-006-26</v>
      </c>
      <c r="AG682" s="661" t="str">
        <f>IF(AND($Y682&gt;=32,(AI682="I"),(Y682&lt;&gt;"~"),(COUNTIF($AN$1:$AN682,$AN682)=1)),"TRUE","FALSE")</f>
        <v>FALSE</v>
      </c>
      <c r="AH682" s="661" t="str">
        <f>IF(AND($Y682&gt;=22, (AI682&lt;&gt;"I"),(Y682&lt;&gt;"~"),(COUNTIF($AN$1:$AN682,$AN682)=1)),"TRUE","FALSE")</f>
        <v>FALSE</v>
      </c>
      <c r="AI682" s="661" t="str">
        <f t="shared" si="75"/>
        <v>N/A</v>
      </c>
      <c r="AJ682" s="662" t="str">
        <f t="shared" si="69"/>
        <v>E350-006</v>
      </c>
      <c r="AK682" s="662" t="str">
        <f t="shared" si="70"/>
        <v>LVN</v>
      </c>
      <c r="AL682" s="662" t="str">
        <f t="shared" si="71"/>
        <v>FRD</v>
      </c>
      <c r="AM682" s="662" t="str">
        <f t="shared" si="74"/>
        <v>Econoline E350-DRW Cutaway Van Chassis-RWD-2-~-~-6.8L-10-E3F-780A-176-40-Unleaded-Unleaded</v>
      </c>
      <c r="AN682" s="662" t="str">
        <f t="shared" si="72"/>
        <v>2019-LVN-FRD-E350-006</v>
      </c>
    </row>
    <row r="683" spans="1:40" s="572" customFormat="1" ht="30">
      <c r="A683" s="570" t="s">
        <v>1728</v>
      </c>
      <c r="B683" s="573" t="s">
        <v>1698</v>
      </c>
      <c r="C683" s="573" t="s">
        <v>280</v>
      </c>
      <c r="D683" s="578">
        <v>27</v>
      </c>
      <c r="E683" s="573" t="s">
        <v>1516</v>
      </c>
      <c r="F683" s="573" t="s">
        <v>1684</v>
      </c>
      <c r="G683" s="573" t="s">
        <v>271</v>
      </c>
      <c r="H683" s="573">
        <v>2019</v>
      </c>
      <c r="I683" s="573" t="s">
        <v>1685</v>
      </c>
      <c r="J683" s="573" t="s">
        <v>1699</v>
      </c>
      <c r="K683" s="573" t="s">
        <v>236</v>
      </c>
      <c r="L683" s="573">
        <v>2</v>
      </c>
      <c r="M683" s="573">
        <v>0</v>
      </c>
      <c r="N683" s="573" t="s">
        <v>157</v>
      </c>
      <c r="O683" s="573">
        <v>1</v>
      </c>
      <c r="P683" s="573" t="s">
        <v>157</v>
      </c>
      <c r="Q683" s="571" t="s">
        <v>157</v>
      </c>
      <c r="R683" s="573" t="s">
        <v>1700</v>
      </c>
      <c r="S683" s="573">
        <v>8</v>
      </c>
      <c r="T683" s="573" t="s">
        <v>1688</v>
      </c>
      <c r="U683" s="573" t="s">
        <v>1689</v>
      </c>
      <c r="V683" s="573">
        <v>138</v>
      </c>
      <c r="W683" s="573">
        <v>40</v>
      </c>
      <c r="X683" s="571">
        <v>11500</v>
      </c>
      <c r="Y683" s="569" t="s">
        <v>164</v>
      </c>
      <c r="Z683" s="579" t="s">
        <v>450</v>
      </c>
      <c r="AA683" s="579" t="s">
        <v>178</v>
      </c>
      <c r="AB683" s="584">
        <v>32480</v>
      </c>
      <c r="AC683" s="584" t="s">
        <v>164</v>
      </c>
      <c r="AD683" s="584">
        <v>24666.187500000004</v>
      </c>
      <c r="AE683" s="586">
        <v>0.03</v>
      </c>
      <c r="AF683" s="661" t="str">
        <f t="shared" si="73"/>
        <v>2019-LVN-FRD-E350-001-27</v>
      </c>
      <c r="AG683" s="661" t="str">
        <f>IF(AND($Y683&gt;=32,(AI683="I"),(Y683&lt;&gt;"~"),(COUNTIF($AN$1:$AN683,$AN683)=1)),"TRUE","FALSE")</f>
        <v>FALSE</v>
      </c>
      <c r="AH683" s="661" t="str">
        <f>IF(AND($Y683&gt;=22, (AI683&lt;&gt;"I"),(Y683&lt;&gt;"~"),(COUNTIF($AN$1:$AN683,$AN683)=1)),"TRUE","FALSE")</f>
        <v>FALSE</v>
      </c>
      <c r="AI683" s="661" t="str">
        <f t="shared" si="75"/>
        <v>N/A</v>
      </c>
      <c r="AJ683" s="662" t="str">
        <f t="shared" si="69"/>
        <v>E350-001</v>
      </c>
      <c r="AK683" s="662" t="str">
        <f t="shared" si="70"/>
        <v>LVN</v>
      </c>
      <c r="AL683" s="662" t="str">
        <f t="shared" si="71"/>
        <v>FRD</v>
      </c>
      <c r="AM683" s="662" t="str">
        <f t="shared" si="74"/>
        <v>Econoline E350-DRW Cutaway Van Chassis-RWD-2-~-~-6.2L-8-E3F-780A-138-40-E85-Unleaded</v>
      </c>
      <c r="AN683" s="662" t="str">
        <f t="shared" si="72"/>
        <v>2019-LVN-FRD-E350-001</v>
      </c>
    </row>
    <row r="684" spans="1:40" s="572" customFormat="1" ht="30">
      <c r="A684" s="570" t="s">
        <v>1729</v>
      </c>
      <c r="B684" s="569" t="s">
        <v>1702</v>
      </c>
      <c r="C684" s="569" t="s">
        <v>280</v>
      </c>
      <c r="D684" s="580">
        <v>27</v>
      </c>
      <c r="E684" s="569" t="s">
        <v>1516</v>
      </c>
      <c r="F684" s="569" t="s">
        <v>1684</v>
      </c>
      <c r="G684" s="569" t="s">
        <v>271</v>
      </c>
      <c r="H684" s="569">
        <v>2019</v>
      </c>
      <c r="I684" s="569" t="s">
        <v>1685</v>
      </c>
      <c r="J684" s="569" t="s">
        <v>1699</v>
      </c>
      <c r="K684" s="569" t="s">
        <v>236</v>
      </c>
      <c r="L684" s="569">
        <v>2</v>
      </c>
      <c r="M684" s="569">
        <v>0</v>
      </c>
      <c r="N684" s="569" t="s">
        <v>157</v>
      </c>
      <c r="O684" s="569">
        <v>1</v>
      </c>
      <c r="P684" s="569" t="s">
        <v>157</v>
      </c>
      <c r="Q684" s="568" t="s">
        <v>157</v>
      </c>
      <c r="R684" s="569" t="s">
        <v>1700</v>
      </c>
      <c r="S684" s="569">
        <v>8</v>
      </c>
      <c r="T684" s="569" t="s">
        <v>1688</v>
      </c>
      <c r="U684" s="569" t="s">
        <v>1689</v>
      </c>
      <c r="V684" s="569">
        <v>158</v>
      </c>
      <c r="W684" s="569">
        <v>40</v>
      </c>
      <c r="X684" s="568">
        <v>11500</v>
      </c>
      <c r="Y684" s="569" t="s">
        <v>164</v>
      </c>
      <c r="Z684" s="581" t="s">
        <v>450</v>
      </c>
      <c r="AA684" s="581" t="s">
        <v>178</v>
      </c>
      <c r="AB684" s="585">
        <v>32730</v>
      </c>
      <c r="AC684" s="585" t="s">
        <v>164</v>
      </c>
      <c r="AD684" s="585">
        <v>24894.312500000004</v>
      </c>
      <c r="AE684" s="587">
        <v>0.03</v>
      </c>
      <c r="AF684" s="661" t="str">
        <f t="shared" si="73"/>
        <v>2019-LVN-FRD-E350-002-27</v>
      </c>
      <c r="AG684" s="661" t="str">
        <f>IF(AND($Y684&gt;=32,(AI684="I"),(Y684&lt;&gt;"~"),(COUNTIF($AN$1:$AN684,$AN684)=1)),"TRUE","FALSE")</f>
        <v>FALSE</v>
      </c>
      <c r="AH684" s="661" t="str">
        <f>IF(AND($Y684&gt;=22, (AI684&lt;&gt;"I"),(Y684&lt;&gt;"~"),(COUNTIF($AN$1:$AN684,$AN684)=1)),"TRUE","FALSE")</f>
        <v>FALSE</v>
      </c>
      <c r="AI684" s="661" t="str">
        <f t="shared" si="75"/>
        <v>N/A</v>
      </c>
      <c r="AJ684" s="662" t="str">
        <f t="shared" si="69"/>
        <v>E350-002</v>
      </c>
      <c r="AK684" s="662" t="str">
        <f t="shared" si="70"/>
        <v>LVN</v>
      </c>
      <c r="AL684" s="662" t="str">
        <f t="shared" si="71"/>
        <v>FRD</v>
      </c>
      <c r="AM684" s="662" t="str">
        <f t="shared" si="74"/>
        <v>Econoline E350-DRW Cutaway Van Chassis-RWD-2-~-~-6.2L-8-E3F-780A-158-40-E85-Unleaded</v>
      </c>
      <c r="AN684" s="662" t="str">
        <f t="shared" si="72"/>
        <v>2019-LVN-FRD-E350-002</v>
      </c>
    </row>
    <row r="685" spans="1:40" s="572" customFormat="1" ht="30">
      <c r="A685" s="570" t="s">
        <v>1730</v>
      </c>
      <c r="B685" s="573" t="s">
        <v>1704</v>
      </c>
      <c r="C685" s="573" t="s">
        <v>280</v>
      </c>
      <c r="D685" s="578">
        <v>27</v>
      </c>
      <c r="E685" s="573" t="s">
        <v>1516</v>
      </c>
      <c r="F685" s="573" t="s">
        <v>1684</v>
      </c>
      <c r="G685" s="573" t="s">
        <v>271</v>
      </c>
      <c r="H685" s="573">
        <v>2019</v>
      </c>
      <c r="I685" s="573" t="s">
        <v>1685</v>
      </c>
      <c r="J685" s="573" t="s">
        <v>1699</v>
      </c>
      <c r="K685" s="573" t="s">
        <v>236</v>
      </c>
      <c r="L685" s="573">
        <v>2</v>
      </c>
      <c r="M685" s="573">
        <v>0</v>
      </c>
      <c r="N685" s="573" t="s">
        <v>157</v>
      </c>
      <c r="O685" s="573">
        <v>1</v>
      </c>
      <c r="P685" s="573" t="s">
        <v>157</v>
      </c>
      <c r="Q685" s="571" t="s">
        <v>157</v>
      </c>
      <c r="R685" s="573" t="s">
        <v>1700</v>
      </c>
      <c r="S685" s="573">
        <v>8</v>
      </c>
      <c r="T685" s="573" t="s">
        <v>1688</v>
      </c>
      <c r="U685" s="573" t="s">
        <v>1689</v>
      </c>
      <c r="V685" s="573">
        <v>176</v>
      </c>
      <c r="W685" s="573">
        <v>40</v>
      </c>
      <c r="X685" s="571">
        <v>12500</v>
      </c>
      <c r="Y685" s="569" t="s">
        <v>164</v>
      </c>
      <c r="Z685" s="579" t="s">
        <v>450</v>
      </c>
      <c r="AA685" s="579" t="s">
        <v>178</v>
      </c>
      <c r="AB685" s="584">
        <v>33230</v>
      </c>
      <c r="AC685" s="584" t="s">
        <v>164</v>
      </c>
      <c r="AD685" s="584">
        <v>25350.562500000004</v>
      </c>
      <c r="AE685" s="586">
        <v>0.03</v>
      </c>
      <c r="AF685" s="661" t="str">
        <f t="shared" si="73"/>
        <v>2019-LVN-FRD-E350-003-27</v>
      </c>
      <c r="AG685" s="661" t="str">
        <f>IF(AND($Y685&gt;=32,(AI685="I"),(Y685&lt;&gt;"~"),(COUNTIF($AN$1:$AN685,$AN685)=1)),"TRUE","FALSE")</f>
        <v>FALSE</v>
      </c>
      <c r="AH685" s="661" t="str">
        <f>IF(AND($Y685&gt;=22, (AI685&lt;&gt;"I"),(Y685&lt;&gt;"~"),(COUNTIF($AN$1:$AN685,$AN685)=1)),"TRUE","FALSE")</f>
        <v>FALSE</v>
      </c>
      <c r="AI685" s="661" t="str">
        <f t="shared" si="75"/>
        <v>N/A</v>
      </c>
      <c r="AJ685" s="662" t="str">
        <f t="shared" si="69"/>
        <v>E350-003</v>
      </c>
      <c r="AK685" s="662" t="str">
        <f t="shared" si="70"/>
        <v>LVN</v>
      </c>
      <c r="AL685" s="662" t="str">
        <f t="shared" si="71"/>
        <v>FRD</v>
      </c>
      <c r="AM685" s="662" t="str">
        <f t="shared" si="74"/>
        <v>Econoline E350-DRW Cutaway Van Chassis-RWD-2-~-~-6.2L-8-E3F-780A-176-40-E85-Unleaded</v>
      </c>
      <c r="AN685" s="662" t="str">
        <f t="shared" si="72"/>
        <v>2019-LVN-FRD-E350-003</v>
      </c>
    </row>
    <row r="686" spans="1:40" s="572" customFormat="1" ht="30">
      <c r="A686" s="570" t="s">
        <v>1731</v>
      </c>
      <c r="B686" s="569" t="s">
        <v>1706</v>
      </c>
      <c r="C686" s="569" t="s">
        <v>280</v>
      </c>
      <c r="D686" s="580">
        <v>27</v>
      </c>
      <c r="E686" s="569" t="s">
        <v>1516</v>
      </c>
      <c r="F686" s="569" t="s">
        <v>1684</v>
      </c>
      <c r="G686" s="569" t="s">
        <v>271</v>
      </c>
      <c r="H686" s="569">
        <v>2019</v>
      </c>
      <c r="I686" s="569" t="s">
        <v>1685</v>
      </c>
      <c r="J686" s="569" t="s">
        <v>1699</v>
      </c>
      <c r="K686" s="569" t="s">
        <v>236</v>
      </c>
      <c r="L686" s="569">
        <v>2</v>
      </c>
      <c r="M686" s="569">
        <v>0</v>
      </c>
      <c r="N686" s="569" t="s">
        <v>157</v>
      </c>
      <c r="O686" s="569">
        <v>1</v>
      </c>
      <c r="P686" s="569" t="s">
        <v>157</v>
      </c>
      <c r="Q686" s="568" t="s">
        <v>157</v>
      </c>
      <c r="R686" s="569" t="s">
        <v>1687</v>
      </c>
      <c r="S686" s="569">
        <v>10</v>
      </c>
      <c r="T686" s="569" t="s">
        <v>1688</v>
      </c>
      <c r="U686" s="569" t="s">
        <v>1689</v>
      </c>
      <c r="V686" s="569">
        <v>138</v>
      </c>
      <c r="W686" s="569">
        <v>40</v>
      </c>
      <c r="X686" s="568">
        <v>11500</v>
      </c>
      <c r="Y686" s="569" t="s">
        <v>164</v>
      </c>
      <c r="Z686" s="581" t="s">
        <v>178</v>
      </c>
      <c r="AA686" s="581" t="s">
        <v>178</v>
      </c>
      <c r="AB686" s="585">
        <v>32480</v>
      </c>
      <c r="AC686" s="585" t="s">
        <v>164</v>
      </c>
      <c r="AD686" s="585">
        <v>24976.604166666668</v>
      </c>
      <c r="AE686" s="587">
        <v>0.03</v>
      </c>
      <c r="AF686" s="661" t="str">
        <f t="shared" si="73"/>
        <v>2019-LVN-FRD-E350-004-27</v>
      </c>
      <c r="AG686" s="661" t="str">
        <f>IF(AND($Y686&gt;=32,(AI686="I"),(Y686&lt;&gt;"~"),(COUNTIF($AN$1:$AN686,$AN686)=1)),"TRUE","FALSE")</f>
        <v>FALSE</v>
      </c>
      <c r="AH686" s="661" t="str">
        <f>IF(AND($Y686&gt;=22, (AI686&lt;&gt;"I"),(Y686&lt;&gt;"~"),(COUNTIF($AN$1:$AN686,$AN686)=1)),"TRUE","FALSE")</f>
        <v>FALSE</v>
      </c>
      <c r="AI686" s="661" t="str">
        <f t="shared" si="75"/>
        <v>N/A</v>
      </c>
      <c r="AJ686" s="662" t="str">
        <f t="shared" si="69"/>
        <v>E350-004</v>
      </c>
      <c r="AK686" s="662" t="str">
        <f t="shared" si="70"/>
        <v>LVN</v>
      </c>
      <c r="AL686" s="662" t="str">
        <f t="shared" si="71"/>
        <v>FRD</v>
      </c>
      <c r="AM686" s="662" t="str">
        <f t="shared" si="74"/>
        <v>Econoline E350-DRW Cutaway Van Chassis-RWD-2-~-~-6.8L-10-E3F-780A-138-40-Unleaded-Unleaded</v>
      </c>
      <c r="AN686" s="662" t="str">
        <f t="shared" si="72"/>
        <v>2019-LVN-FRD-E350-004</v>
      </c>
    </row>
    <row r="687" spans="1:40" s="572" customFormat="1" ht="30">
      <c r="A687" s="570" t="s">
        <v>1732</v>
      </c>
      <c r="B687" s="573" t="s">
        <v>1708</v>
      </c>
      <c r="C687" s="573" t="s">
        <v>280</v>
      </c>
      <c r="D687" s="578">
        <v>27</v>
      </c>
      <c r="E687" s="573" t="s">
        <v>1516</v>
      </c>
      <c r="F687" s="573" t="s">
        <v>1684</v>
      </c>
      <c r="G687" s="573" t="s">
        <v>271</v>
      </c>
      <c r="H687" s="573">
        <v>2019</v>
      </c>
      <c r="I687" s="573" t="s">
        <v>1685</v>
      </c>
      <c r="J687" s="573" t="s">
        <v>1699</v>
      </c>
      <c r="K687" s="573" t="s">
        <v>236</v>
      </c>
      <c r="L687" s="573">
        <v>2</v>
      </c>
      <c r="M687" s="573">
        <v>0</v>
      </c>
      <c r="N687" s="573" t="s">
        <v>157</v>
      </c>
      <c r="O687" s="573">
        <v>1</v>
      </c>
      <c r="P687" s="573" t="s">
        <v>157</v>
      </c>
      <c r="Q687" s="571" t="s">
        <v>157</v>
      </c>
      <c r="R687" s="573" t="s">
        <v>1687</v>
      </c>
      <c r="S687" s="573">
        <v>10</v>
      </c>
      <c r="T687" s="573" t="s">
        <v>1688</v>
      </c>
      <c r="U687" s="573" t="s">
        <v>1689</v>
      </c>
      <c r="V687" s="573">
        <v>158</v>
      </c>
      <c r="W687" s="573">
        <v>40</v>
      </c>
      <c r="X687" s="571">
        <v>11500</v>
      </c>
      <c r="Y687" s="569" t="s">
        <v>164</v>
      </c>
      <c r="Z687" s="579" t="s">
        <v>178</v>
      </c>
      <c r="AA687" s="579" t="s">
        <v>178</v>
      </c>
      <c r="AB687" s="584">
        <v>32730</v>
      </c>
      <c r="AC687" s="584" t="s">
        <v>164</v>
      </c>
      <c r="AD687" s="584">
        <v>25204.729166666668</v>
      </c>
      <c r="AE687" s="586">
        <v>0.03</v>
      </c>
      <c r="AF687" s="661" t="str">
        <f t="shared" si="73"/>
        <v>2019-LVN-FRD-E350-005-27</v>
      </c>
      <c r="AG687" s="661" t="str">
        <f>IF(AND($Y687&gt;=32,(AI687="I"),(Y687&lt;&gt;"~"),(COUNTIF($AN$1:$AN687,$AN687)=1)),"TRUE","FALSE")</f>
        <v>FALSE</v>
      </c>
      <c r="AH687" s="661" t="str">
        <f>IF(AND($Y687&gt;=22, (AI687&lt;&gt;"I"),(Y687&lt;&gt;"~"),(COUNTIF($AN$1:$AN687,$AN687)=1)),"TRUE","FALSE")</f>
        <v>FALSE</v>
      </c>
      <c r="AI687" s="661" t="str">
        <f t="shared" si="75"/>
        <v>N/A</v>
      </c>
      <c r="AJ687" s="662" t="str">
        <f t="shared" si="69"/>
        <v>E350-005</v>
      </c>
      <c r="AK687" s="662" t="str">
        <f t="shared" si="70"/>
        <v>LVN</v>
      </c>
      <c r="AL687" s="662" t="str">
        <f t="shared" si="71"/>
        <v>FRD</v>
      </c>
      <c r="AM687" s="662" t="str">
        <f t="shared" si="74"/>
        <v>Econoline E350-DRW Cutaway Van Chassis-RWD-2-~-~-6.8L-10-E3F-780A-158-40-Unleaded-Unleaded</v>
      </c>
      <c r="AN687" s="662" t="str">
        <f t="shared" si="72"/>
        <v>2019-LVN-FRD-E350-005</v>
      </c>
    </row>
    <row r="688" spans="1:40" s="572" customFormat="1" ht="30">
      <c r="A688" s="570" t="s">
        <v>1733</v>
      </c>
      <c r="B688" s="569" t="s">
        <v>1710</v>
      </c>
      <c r="C688" s="569" t="s">
        <v>280</v>
      </c>
      <c r="D688" s="580">
        <v>27</v>
      </c>
      <c r="E688" s="569" t="s">
        <v>1516</v>
      </c>
      <c r="F688" s="569" t="s">
        <v>1684</v>
      </c>
      <c r="G688" s="569" t="s">
        <v>271</v>
      </c>
      <c r="H688" s="569">
        <v>2019</v>
      </c>
      <c r="I688" s="569" t="s">
        <v>1685</v>
      </c>
      <c r="J688" s="569" t="s">
        <v>1699</v>
      </c>
      <c r="K688" s="569" t="s">
        <v>236</v>
      </c>
      <c r="L688" s="569">
        <v>2</v>
      </c>
      <c r="M688" s="569">
        <v>0</v>
      </c>
      <c r="N688" s="569" t="s">
        <v>157</v>
      </c>
      <c r="O688" s="569">
        <v>1</v>
      </c>
      <c r="P688" s="569" t="s">
        <v>157</v>
      </c>
      <c r="Q688" s="568" t="s">
        <v>157</v>
      </c>
      <c r="R688" s="569" t="s">
        <v>1687</v>
      </c>
      <c r="S688" s="569">
        <v>10</v>
      </c>
      <c r="T688" s="569" t="s">
        <v>1688</v>
      </c>
      <c r="U688" s="569" t="s">
        <v>1689</v>
      </c>
      <c r="V688" s="569">
        <v>176</v>
      </c>
      <c r="W688" s="569">
        <v>40</v>
      </c>
      <c r="X688" s="568">
        <v>12500</v>
      </c>
      <c r="Y688" s="569" t="s">
        <v>164</v>
      </c>
      <c r="Z688" s="581" t="s">
        <v>178</v>
      </c>
      <c r="AA688" s="581" t="s">
        <v>178</v>
      </c>
      <c r="AB688" s="585">
        <v>33230</v>
      </c>
      <c r="AC688" s="585" t="s">
        <v>164</v>
      </c>
      <c r="AD688" s="585">
        <v>25660.979166666668</v>
      </c>
      <c r="AE688" s="587">
        <v>0.03</v>
      </c>
      <c r="AF688" s="661" t="str">
        <f t="shared" si="73"/>
        <v>2019-LVN-FRD-E350-006-27</v>
      </c>
      <c r="AG688" s="661" t="str">
        <f>IF(AND($Y688&gt;=32,(AI688="I"),(Y688&lt;&gt;"~"),(COUNTIF($AN$1:$AN688,$AN688)=1)),"TRUE","FALSE")</f>
        <v>FALSE</v>
      </c>
      <c r="AH688" s="661" t="str">
        <f>IF(AND($Y688&gt;=22, (AI688&lt;&gt;"I"),(Y688&lt;&gt;"~"),(COUNTIF($AN$1:$AN688,$AN688)=1)),"TRUE","FALSE")</f>
        <v>FALSE</v>
      </c>
      <c r="AI688" s="661" t="str">
        <f t="shared" si="75"/>
        <v>N/A</v>
      </c>
      <c r="AJ688" s="662" t="str">
        <f t="shared" si="69"/>
        <v>E350-006</v>
      </c>
      <c r="AK688" s="662" t="str">
        <f t="shared" si="70"/>
        <v>LVN</v>
      </c>
      <c r="AL688" s="662" t="str">
        <f t="shared" si="71"/>
        <v>FRD</v>
      </c>
      <c r="AM688" s="662" t="str">
        <f t="shared" si="74"/>
        <v>Econoline E350-DRW Cutaway Van Chassis-RWD-2-~-~-6.8L-10-E3F-780A-176-40-Unleaded-Unleaded</v>
      </c>
      <c r="AN688" s="662" t="str">
        <f t="shared" si="72"/>
        <v>2019-LVN-FRD-E350-006</v>
      </c>
    </row>
    <row r="689" spans="1:40" s="572" customFormat="1" ht="30">
      <c r="A689" s="570" t="s">
        <v>1734</v>
      </c>
      <c r="B689" s="573" t="s">
        <v>1712</v>
      </c>
      <c r="C689" s="573" t="s">
        <v>280</v>
      </c>
      <c r="D689" s="578">
        <v>27</v>
      </c>
      <c r="E689" s="573" t="s">
        <v>1516</v>
      </c>
      <c r="F689" s="573" t="s">
        <v>1684</v>
      </c>
      <c r="G689" s="573" t="s">
        <v>271</v>
      </c>
      <c r="H689" s="573">
        <v>2019</v>
      </c>
      <c r="I689" s="573" t="s">
        <v>1685</v>
      </c>
      <c r="J689" s="573" t="s">
        <v>1699</v>
      </c>
      <c r="K689" s="573" t="s">
        <v>236</v>
      </c>
      <c r="L689" s="573">
        <v>2</v>
      </c>
      <c r="M689" s="573">
        <v>0</v>
      </c>
      <c r="N689" s="573" t="s">
        <v>157</v>
      </c>
      <c r="O689" s="573">
        <v>1</v>
      </c>
      <c r="P689" s="573" t="s">
        <v>157</v>
      </c>
      <c r="Q689" s="571">
        <v>8500</v>
      </c>
      <c r="R689" s="573" t="s">
        <v>1700</v>
      </c>
      <c r="S689" s="573">
        <v>8</v>
      </c>
      <c r="T689" s="573" t="s">
        <v>1688</v>
      </c>
      <c r="U689" s="573" t="s">
        <v>1689</v>
      </c>
      <c r="V689" s="573">
        <v>138</v>
      </c>
      <c r="W689" s="573">
        <v>40</v>
      </c>
      <c r="X689" s="571">
        <v>11500</v>
      </c>
      <c r="Y689" s="569" t="s">
        <v>164</v>
      </c>
      <c r="Z689" s="579" t="s">
        <v>450</v>
      </c>
      <c r="AA689" s="579" t="s">
        <v>178</v>
      </c>
      <c r="AB689" s="584">
        <v>32480</v>
      </c>
      <c r="AC689" s="584" t="s">
        <v>164</v>
      </c>
      <c r="AD689" s="584">
        <v>24666.187500000004</v>
      </c>
      <c r="AE689" s="586">
        <v>0.03</v>
      </c>
      <c r="AF689" s="661" t="str">
        <f t="shared" si="73"/>
        <v>2019-LVN-FRD-E350-007-27</v>
      </c>
      <c r="AG689" s="661" t="str">
        <f>IF(AND($Y689&gt;=32,(AI689="I"),(Y689&lt;&gt;"~"),(COUNTIF($AN$1:$AN689,$AN689)=1)),"TRUE","FALSE")</f>
        <v>FALSE</v>
      </c>
      <c r="AH689" s="661" t="str">
        <f>IF(AND($Y689&gt;=22, (AI689&lt;&gt;"I"),(Y689&lt;&gt;"~"),(COUNTIF($AN$1:$AN689,$AN689)=1)),"TRUE","FALSE")</f>
        <v>FALSE</v>
      </c>
      <c r="AI689" s="661" t="str">
        <f t="shared" si="75"/>
        <v>N/A</v>
      </c>
      <c r="AJ689" s="662" t="str">
        <f t="shared" si="69"/>
        <v>E350-007</v>
      </c>
      <c r="AK689" s="662" t="str">
        <f t="shared" si="70"/>
        <v>LVN</v>
      </c>
      <c r="AL689" s="662" t="str">
        <f t="shared" si="71"/>
        <v>FRD</v>
      </c>
      <c r="AM689" s="662" t="str">
        <f t="shared" si="74"/>
        <v>Econoline E350-DRW Cutaway Van Chassis-RWD-2-~-8500-6.2L-8-E3F-780A-138-40-E85-Unleaded</v>
      </c>
      <c r="AN689" s="662" t="str">
        <f t="shared" si="72"/>
        <v>2019-LVN-FRD-E350-007</v>
      </c>
    </row>
    <row r="690" spans="1:40" s="572" customFormat="1" ht="30">
      <c r="A690" s="570" t="s">
        <v>1735</v>
      </c>
      <c r="B690" s="569" t="s">
        <v>1714</v>
      </c>
      <c r="C690" s="569" t="s">
        <v>280</v>
      </c>
      <c r="D690" s="580">
        <v>27</v>
      </c>
      <c r="E690" s="569" t="s">
        <v>1516</v>
      </c>
      <c r="F690" s="569" t="s">
        <v>1684</v>
      </c>
      <c r="G690" s="569" t="s">
        <v>271</v>
      </c>
      <c r="H690" s="569">
        <v>2019</v>
      </c>
      <c r="I690" s="569" t="s">
        <v>1685</v>
      </c>
      <c r="J690" s="569" t="s">
        <v>1699</v>
      </c>
      <c r="K690" s="569" t="s">
        <v>236</v>
      </c>
      <c r="L690" s="569">
        <v>2</v>
      </c>
      <c r="M690" s="569">
        <v>0</v>
      </c>
      <c r="N690" s="569" t="s">
        <v>157</v>
      </c>
      <c r="O690" s="569">
        <v>1</v>
      </c>
      <c r="P690" s="569" t="s">
        <v>157</v>
      </c>
      <c r="Q690" s="568">
        <v>8500</v>
      </c>
      <c r="R690" s="569" t="s">
        <v>1700</v>
      </c>
      <c r="S690" s="569">
        <v>8</v>
      </c>
      <c r="T690" s="569" t="s">
        <v>1688</v>
      </c>
      <c r="U690" s="569" t="s">
        <v>1689</v>
      </c>
      <c r="V690" s="569">
        <v>158</v>
      </c>
      <c r="W690" s="569">
        <v>40</v>
      </c>
      <c r="X690" s="568">
        <v>11500</v>
      </c>
      <c r="Y690" s="569" t="s">
        <v>164</v>
      </c>
      <c r="Z690" s="581" t="s">
        <v>450</v>
      </c>
      <c r="AA690" s="581" t="s">
        <v>178</v>
      </c>
      <c r="AB690" s="585">
        <v>32730</v>
      </c>
      <c r="AC690" s="585" t="s">
        <v>164</v>
      </c>
      <c r="AD690" s="585">
        <v>24894.312500000004</v>
      </c>
      <c r="AE690" s="587">
        <v>0.03</v>
      </c>
      <c r="AF690" s="661" t="str">
        <f t="shared" si="73"/>
        <v>2019-LVN-FRD-E350-008-27</v>
      </c>
      <c r="AG690" s="661" t="str">
        <f>IF(AND($Y690&gt;=32,(AI690="I"),(Y690&lt;&gt;"~"),(COUNTIF($AN$1:$AN690,$AN690)=1)),"TRUE","FALSE")</f>
        <v>FALSE</v>
      </c>
      <c r="AH690" s="661" t="str">
        <f>IF(AND($Y690&gt;=22, (AI690&lt;&gt;"I"),(Y690&lt;&gt;"~"),(COUNTIF($AN$1:$AN690,$AN690)=1)),"TRUE","FALSE")</f>
        <v>FALSE</v>
      </c>
      <c r="AI690" s="661" t="str">
        <f t="shared" si="75"/>
        <v>N/A</v>
      </c>
      <c r="AJ690" s="662" t="str">
        <f t="shared" si="69"/>
        <v>E350-008</v>
      </c>
      <c r="AK690" s="662" t="str">
        <f t="shared" si="70"/>
        <v>LVN</v>
      </c>
      <c r="AL690" s="662" t="str">
        <f t="shared" si="71"/>
        <v>FRD</v>
      </c>
      <c r="AM690" s="662" t="str">
        <f t="shared" si="74"/>
        <v>Econoline E350-DRW Cutaway Van Chassis-RWD-2-~-8500-6.2L-8-E3F-780A-158-40-E85-Unleaded</v>
      </c>
      <c r="AN690" s="662" t="str">
        <f t="shared" si="72"/>
        <v>2019-LVN-FRD-E350-008</v>
      </c>
    </row>
    <row r="691" spans="1:40" s="572" customFormat="1" ht="30">
      <c r="A691" s="570" t="s">
        <v>1736</v>
      </c>
      <c r="B691" s="573" t="s">
        <v>1716</v>
      </c>
      <c r="C691" s="573" t="s">
        <v>280</v>
      </c>
      <c r="D691" s="578">
        <v>27</v>
      </c>
      <c r="E691" s="573" t="s">
        <v>1516</v>
      </c>
      <c r="F691" s="573" t="s">
        <v>1684</v>
      </c>
      <c r="G691" s="573" t="s">
        <v>271</v>
      </c>
      <c r="H691" s="573">
        <v>2019</v>
      </c>
      <c r="I691" s="573" t="s">
        <v>1685</v>
      </c>
      <c r="J691" s="573" t="s">
        <v>1699</v>
      </c>
      <c r="K691" s="573" t="s">
        <v>236</v>
      </c>
      <c r="L691" s="573">
        <v>2</v>
      </c>
      <c r="M691" s="573">
        <v>0</v>
      </c>
      <c r="N691" s="573" t="s">
        <v>157</v>
      </c>
      <c r="O691" s="573">
        <v>1</v>
      </c>
      <c r="P691" s="573" t="s">
        <v>157</v>
      </c>
      <c r="Q691" s="571">
        <v>8500</v>
      </c>
      <c r="R691" s="573" t="s">
        <v>1700</v>
      </c>
      <c r="S691" s="573">
        <v>8</v>
      </c>
      <c r="T691" s="573" t="s">
        <v>1688</v>
      </c>
      <c r="U691" s="573" t="s">
        <v>1689</v>
      </c>
      <c r="V691" s="573">
        <v>176</v>
      </c>
      <c r="W691" s="573">
        <v>40</v>
      </c>
      <c r="X691" s="571">
        <v>12500</v>
      </c>
      <c r="Y691" s="569" t="s">
        <v>164</v>
      </c>
      <c r="Z691" s="579" t="s">
        <v>450</v>
      </c>
      <c r="AA691" s="579" t="s">
        <v>178</v>
      </c>
      <c r="AB691" s="584">
        <v>33230</v>
      </c>
      <c r="AC691" s="584" t="s">
        <v>164</v>
      </c>
      <c r="AD691" s="584">
        <v>25350.562500000004</v>
      </c>
      <c r="AE691" s="586">
        <v>0.03</v>
      </c>
      <c r="AF691" s="661" t="str">
        <f t="shared" si="73"/>
        <v>2019-LVN-FRD-E350-009-27</v>
      </c>
      <c r="AG691" s="661" t="str">
        <f>IF(AND($Y691&gt;=32,(AI691="I"),(Y691&lt;&gt;"~"),(COUNTIF($AN$1:$AN691,$AN691)=1)),"TRUE","FALSE")</f>
        <v>FALSE</v>
      </c>
      <c r="AH691" s="661" t="str">
        <f>IF(AND($Y691&gt;=22, (AI691&lt;&gt;"I"),(Y691&lt;&gt;"~"),(COUNTIF($AN$1:$AN691,$AN691)=1)),"TRUE","FALSE")</f>
        <v>FALSE</v>
      </c>
      <c r="AI691" s="661" t="str">
        <f t="shared" si="75"/>
        <v>N/A</v>
      </c>
      <c r="AJ691" s="662" t="str">
        <f t="shared" si="69"/>
        <v>E350-009</v>
      </c>
      <c r="AK691" s="662" t="str">
        <f t="shared" si="70"/>
        <v>LVN</v>
      </c>
      <c r="AL691" s="662" t="str">
        <f t="shared" si="71"/>
        <v>FRD</v>
      </c>
      <c r="AM691" s="662" t="str">
        <f t="shared" si="74"/>
        <v>Econoline E350-DRW Cutaway Van Chassis-RWD-2-~-8500-6.2L-8-E3F-780A-176-40-E85-Unleaded</v>
      </c>
      <c r="AN691" s="662" t="str">
        <f t="shared" si="72"/>
        <v>2019-LVN-FRD-E350-009</v>
      </c>
    </row>
    <row r="692" spans="1:40" s="572" customFormat="1" ht="30">
      <c r="A692" s="570" t="s">
        <v>1737</v>
      </c>
      <c r="B692" s="569" t="s">
        <v>1718</v>
      </c>
      <c r="C692" s="569" t="s">
        <v>280</v>
      </c>
      <c r="D692" s="580">
        <v>27</v>
      </c>
      <c r="E692" s="569" t="s">
        <v>1516</v>
      </c>
      <c r="F692" s="569" t="s">
        <v>1684</v>
      </c>
      <c r="G692" s="569" t="s">
        <v>271</v>
      </c>
      <c r="H692" s="569">
        <v>2019</v>
      </c>
      <c r="I692" s="569" t="s">
        <v>1685</v>
      </c>
      <c r="J692" s="569" t="s">
        <v>1699</v>
      </c>
      <c r="K692" s="569" t="s">
        <v>236</v>
      </c>
      <c r="L692" s="569">
        <v>2</v>
      </c>
      <c r="M692" s="569">
        <v>0</v>
      </c>
      <c r="N692" s="569" t="s">
        <v>157</v>
      </c>
      <c r="O692" s="569">
        <v>1</v>
      </c>
      <c r="P692" s="569" t="s">
        <v>157</v>
      </c>
      <c r="Q692" s="568">
        <v>8500</v>
      </c>
      <c r="R692" s="569" t="s">
        <v>1687</v>
      </c>
      <c r="S692" s="569">
        <v>10</v>
      </c>
      <c r="T692" s="569" t="s">
        <v>1688</v>
      </c>
      <c r="U692" s="569" t="s">
        <v>1689</v>
      </c>
      <c r="V692" s="569">
        <v>138</v>
      </c>
      <c r="W692" s="569">
        <v>40</v>
      </c>
      <c r="X692" s="568">
        <v>11500</v>
      </c>
      <c r="Y692" s="569" t="s">
        <v>164</v>
      </c>
      <c r="Z692" s="581" t="s">
        <v>178</v>
      </c>
      <c r="AA692" s="581" t="s">
        <v>178</v>
      </c>
      <c r="AB692" s="585">
        <v>32480</v>
      </c>
      <c r="AC692" s="585" t="s">
        <v>164</v>
      </c>
      <c r="AD692" s="585">
        <v>24976.604166666668</v>
      </c>
      <c r="AE692" s="587">
        <v>0.03</v>
      </c>
      <c r="AF692" s="661" t="str">
        <f t="shared" si="73"/>
        <v>2019-LVN-FRD-E350-010-27</v>
      </c>
      <c r="AG692" s="661" t="str">
        <f>IF(AND($Y692&gt;=32,(AI692="I"),(Y692&lt;&gt;"~"),(COUNTIF($AN$1:$AN692,$AN692)=1)),"TRUE","FALSE")</f>
        <v>FALSE</v>
      </c>
      <c r="AH692" s="661" t="str">
        <f>IF(AND($Y692&gt;=22, (AI692&lt;&gt;"I"),(Y692&lt;&gt;"~"),(COUNTIF($AN$1:$AN692,$AN692)=1)),"TRUE","FALSE")</f>
        <v>FALSE</v>
      </c>
      <c r="AI692" s="661" t="str">
        <f t="shared" si="75"/>
        <v>N/A</v>
      </c>
      <c r="AJ692" s="662" t="str">
        <f t="shared" si="69"/>
        <v>E350-010</v>
      </c>
      <c r="AK692" s="662" t="str">
        <f t="shared" si="70"/>
        <v>LVN</v>
      </c>
      <c r="AL692" s="662" t="str">
        <f t="shared" si="71"/>
        <v>FRD</v>
      </c>
      <c r="AM692" s="662" t="str">
        <f t="shared" si="74"/>
        <v>Econoline E350-DRW Cutaway Van Chassis-RWD-2-~-8500-6.8L-10-E3F-780A-138-40-Unleaded-Unleaded</v>
      </c>
      <c r="AN692" s="662" t="str">
        <f t="shared" si="72"/>
        <v>2019-LVN-FRD-E350-010</v>
      </c>
    </row>
    <row r="693" spans="1:40" s="572" customFormat="1" ht="30">
      <c r="A693" s="570" t="s">
        <v>1737</v>
      </c>
      <c r="B693" s="573" t="s">
        <v>1718</v>
      </c>
      <c r="C693" s="573" t="s">
        <v>280</v>
      </c>
      <c r="D693" s="578">
        <v>27</v>
      </c>
      <c r="E693" s="573" t="s">
        <v>1516</v>
      </c>
      <c r="F693" s="573" t="s">
        <v>1684</v>
      </c>
      <c r="G693" s="573" t="s">
        <v>271</v>
      </c>
      <c r="H693" s="573">
        <v>2019</v>
      </c>
      <c r="I693" s="573" t="s">
        <v>1685</v>
      </c>
      <c r="J693" s="573" t="s">
        <v>1699</v>
      </c>
      <c r="K693" s="573" t="s">
        <v>236</v>
      </c>
      <c r="L693" s="573">
        <v>2</v>
      </c>
      <c r="M693" s="573">
        <v>0</v>
      </c>
      <c r="N693" s="573" t="s">
        <v>157</v>
      </c>
      <c r="O693" s="573">
        <v>1</v>
      </c>
      <c r="P693" s="573" t="s">
        <v>157</v>
      </c>
      <c r="Q693" s="571">
        <v>8500</v>
      </c>
      <c r="R693" s="573" t="s">
        <v>1687</v>
      </c>
      <c r="S693" s="573">
        <v>10</v>
      </c>
      <c r="T693" s="573" t="s">
        <v>1688</v>
      </c>
      <c r="U693" s="573" t="s">
        <v>1689</v>
      </c>
      <c r="V693" s="573">
        <v>138</v>
      </c>
      <c r="W693" s="573">
        <v>40</v>
      </c>
      <c r="X693" s="571">
        <v>11500</v>
      </c>
      <c r="Y693" s="569" t="s">
        <v>164</v>
      </c>
      <c r="Z693" s="579" t="s">
        <v>178</v>
      </c>
      <c r="AA693" s="579" t="s">
        <v>178</v>
      </c>
      <c r="AB693" s="584">
        <v>32830</v>
      </c>
      <c r="AC693" s="584" t="s">
        <v>164</v>
      </c>
      <c r="AD693" s="584">
        <v>24976.604166666668</v>
      </c>
      <c r="AE693" s="586">
        <v>0.03</v>
      </c>
      <c r="AF693" s="661" t="str">
        <f t="shared" si="73"/>
        <v>2019-LVN-FRD-E350-010-27</v>
      </c>
      <c r="AG693" s="661" t="str">
        <f>IF(AND($Y693&gt;=32,(AI693="I"),(Y693&lt;&gt;"~"),(COUNTIF($AN$1:$AN693,$AN693)=1)),"TRUE","FALSE")</f>
        <v>FALSE</v>
      </c>
      <c r="AH693" s="661" t="str">
        <f>IF(AND($Y693&gt;=22, (AI693&lt;&gt;"I"),(Y693&lt;&gt;"~"),(COUNTIF($AN$1:$AN693,$AN693)=1)),"TRUE","FALSE")</f>
        <v>FALSE</v>
      </c>
      <c r="AI693" s="661" t="str">
        <f t="shared" si="75"/>
        <v>N/A</v>
      </c>
      <c r="AJ693" s="662" t="str">
        <f t="shared" si="69"/>
        <v>E350-010</v>
      </c>
      <c r="AK693" s="662" t="str">
        <f t="shared" si="70"/>
        <v>LVN</v>
      </c>
      <c r="AL693" s="662" t="str">
        <f t="shared" si="71"/>
        <v>FRD</v>
      </c>
      <c r="AM693" s="662" t="str">
        <f t="shared" si="74"/>
        <v>Econoline E350-DRW Cutaway Van Chassis-RWD-2-~-8500-6.8L-10-E3F-780A-138-40-Unleaded-Unleaded</v>
      </c>
      <c r="AN693" s="662" t="str">
        <f t="shared" si="72"/>
        <v>2019-LVN-FRD-E350-010</v>
      </c>
    </row>
    <row r="694" spans="1:40" s="572" customFormat="1" ht="30">
      <c r="A694" s="570" t="s">
        <v>1738</v>
      </c>
      <c r="B694" s="569" t="s">
        <v>1720</v>
      </c>
      <c r="C694" s="569" t="s">
        <v>280</v>
      </c>
      <c r="D694" s="580">
        <v>27</v>
      </c>
      <c r="E694" s="569" t="s">
        <v>1516</v>
      </c>
      <c r="F694" s="569" t="s">
        <v>1684</v>
      </c>
      <c r="G694" s="569" t="s">
        <v>271</v>
      </c>
      <c r="H694" s="569">
        <v>2019</v>
      </c>
      <c r="I694" s="569" t="s">
        <v>1685</v>
      </c>
      <c r="J694" s="569" t="s">
        <v>1699</v>
      </c>
      <c r="K694" s="569" t="s">
        <v>236</v>
      </c>
      <c r="L694" s="569">
        <v>2</v>
      </c>
      <c r="M694" s="569">
        <v>0</v>
      </c>
      <c r="N694" s="569" t="s">
        <v>157</v>
      </c>
      <c r="O694" s="569">
        <v>1</v>
      </c>
      <c r="P694" s="569" t="s">
        <v>157</v>
      </c>
      <c r="Q694" s="568">
        <v>8500</v>
      </c>
      <c r="R694" s="569" t="s">
        <v>1687</v>
      </c>
      <c r="S694" s="569">
        <v>10</v>
      </c>
      <c r="T694" s="569" t="s">
        <v>1688</v>
      </c>
      <c r="U694" s="569" t="s">
        <v>1689</v>
      </c>
      <c r="V694" s="569">
        <v>158</v>
      </c>
      <c r="W694" s="569">
        <v>40</v>
      </c>
      <c r="X694" s="568">
        <v>11500</v>
      </c>
      <c r="Y694" s="569" t="s">
        <v>164</v>
      </c>
      <c r="Z694" s="581" t="s">
        <v>178</v>
      </c>
      <c r="AA694" s="581" t="s">
        <v>178</v>
      </c>
      <c r="AB694" s="585">
        <v>32730</v>
      </c>
      <c r="AC694" s="585" t="s">
        <v>164</v>
      </c>
      <c r="AD694" s="585">
        <v>25204.729166666668</v>
      </c>
      <c r="AE694" s="587">
        <v>0.03</v>
      </c>
      <c r="AF694" s="661" t="str">
        <f t="shared" si="73"/>
        <v>2019-LVN-FRD-E350-011-27</v>
      </c>
      <c r="AG694" s="661" t="str">
        <f>IF(AND($Y694&gt;=32,(AI694="I"),(Y694&lt;&gt;"~"),(COUNTIF($AN$1:$AN694,$AN694)=1)),"TRUE","FALSE")</f>
        <v>FALSE</v>
      </c>
      <c r="AH694" s="661" t="str">
        <f>IF(AND($Y694&gt;=22, (AI694&lt;&gt;"I"),(Y694&lt;&gt;"~"),(COUNTIF($AN$1:$AN694,$AN694)=1)),"TRUE","FALSE")</f>
        <v>FALSE</v>
      </c>
      <c r="AI694" s="661" t="str">
        <f t="shared" si="75"/>
        <v>N/A</v>
      </c>
      <c r="AJ694" s="662" t="str">
        <f t="shared" si="69"/>
        <v>E350-011</v>
      </c>
      <c r="AK694" s="662" t="str">
        <f t="shared" si="70"/>
        <v>LVN</v>
      </c>
      <c r="AL694" s="662" t="str">
        <f t="shared" si="71"/>
        <v>FRD</v>
      </c>
      <c r="AM694" s="662" t="str">
        <f t="shared" si="74"/>
        <v>Econoline E350-DRW Cutaway Van Chassis-RWD-2-~-8500-6.8L-10-E3F-780A-158-40-Unleaded-Unleaded</v>
      </c>
      <c r="AN694" s="662" t="str">
        <f t="shared" si="72"/>
        <v>2019-LVN-FRD-E350-011</v>
      </c>
    </row>
    <row r="695" spans="1:40" s="572" customFormat="1" ht="30">
      <c r="A695" s="570" t="s">
        <v>1738</v>
      </c>
      <c r="B695" s="573" t="s">
        <v>1720</v>
      </c>
      <c r="C695" s="573" t="s">
        <v>280</v>
      </c>
      <c r="D695" s="578">
        <v>27</v>
      </c>
      <c r="E695" s="573" t="s">
        <v>1516</v>
      </c>
      <c r="F695" s="573" t="s">
        <v>1684</v>
      </c>
      <c r="G695" s="573" t="s">
        <v>271</v>
      </c>
      <c r="H695" s="573">
        <v>2019</v>
      </c>
      <c r="I695" s="573" t="s">
        <v>1685</v>
      </c>
      <c r="J695" s="573" t="s">
        <v>1699</v>
      </c>
      <c r="K695" s="573" t="s">
        <v>236</v>
      </c>
      <c r="L695" s="573">
        <v>2</v>
      </c>
      <c r="M695" s="573">
        <v>0</v>
      </c>
      <c r="N695" s="573" t="s">
        <v>157</v>
      </c>
      <c r="O695" s="573">
        <v>1</v>
      </c>
      <c r="P695" s="573" t="s">
        <v>157</v>
      </c>
      <c r="Q695" s="571">
        <v>8500</v>
      </c>
      <c r="R695" s="573" t="s">
        <v>1687</v>
      </c>
      <c r="S695" s="573">
        <v>10</v>
      </c>
      <c r="T695" s="573" t="s">
        <v>1688</v>
      </c>
      <c r="U695" s="573" t="s">
        <v>1689</v>
      </c>
      <c r="V695" s="573">
        <v>158</v>
      </c>
      <c r="W695" s="573">
        <v>40</v>
      </c>
      <c r="X695" s="571">
        <v>11500</v>
      </c>
      <c r="Y695" s="569" t="s">
        <v>164</v>
      </c>
      <c r="Z695" s="579" t="s">
        <v>178</v>
      </c>
      <c r="AA695" s="579" t="s">
        <v>178</v>
      </c>
      <c r="AB695" s="584">
        <v>33080</v>
      </c>
      <c r="AC695" s="584" t="s">
        <v>164</v>
      </c>
      <c r="AD695" s="584">
        <v>25204.729166666668</v>
      </c>
      <c r="AE695" s="586">
        <v>0.03</v>
      </c>
      <c r="AF695" s="661" t="str">
        <f t="shared" si="73"/>
        <v>2019-LVN-FRD-E350-011-27</v>
      </c>
      <c r="AG695" s="661" t="str">
        <f>IF(AND($Y695&gt;=32,(AI695="I"),(Y695&lt;&gt;"~"),(COUNTIF($AN$1:$AN695,$AN695)=1)),"TRUE","FALSE")</f>
        <v>FALSE</v>
      </c>
      <c r="AH695" s="661" t="str">
        <f>IF(AND($Y695&gt;=22, (AI695&lt;&gt;"I"),(Y695&lt;&gt;"~"),(COUNTIF($AN$1:$AN695,$AN695)=1)),"TRUE","FALSE")</f>
        <v>FALSE</v>
      </c>
      <c r="AI695" s="661" t="str">
        <f t="shared" si="75"/>
        <v>N/A</v>
      </c>
      <c r="AJ695" s="662" t="str">
        <f t="shared" si="69"/>
        <v>E350-011</v>
      </c>
      <c r="AK695" s="662" t="str">
        <f t="shared" si="70"/>
        <v>LVN</v>
      </c>
      <c r="AL695" s="662" t="str">
        <f t="shared" si="71"/>
        <v>FRD</v>
      </c>
      <c r="AM695" s="662" t="str">
        <f t="shared" si="74"/>
        <v>Econoline E350-DRW Cutaway Van Chassis-RWD-2-~-8500-6.8L-10-E3F-780A-158-40-Unleaded-Unleaded</v>
      </c>
      <c r="AN695" s="662" t="str">
        <f t="shared" si="72"/>
        <v>2019-LVN-FRD-E350-011</v>
      </c>
    </row>
    <row r="696" spans="1:40" s="572" customFormat="1" ht="30">
      <c r="A696" s="570" t="s">
        <v>1739</v>
      </c>
      <c r="B696" s="569" t="s">
        <v>1722</v>
      </c>
      <c r="C696" s="569" t="s">
        <v>280</v>
      </c>
      <c r="D696" s="580">
        <v>27</v>
      </c>
      <c r="E696" s="569" t="s">
        <v>1516</v>
      </c>
      <c r="F696" s="569" t="s">
        <v>1684</v>
      </c>
      <c r="G696" s="569" t="s">
        <v>271</v>
      </c>
      <c r="H696" s="569">
        <v>2019</v>
      </c>
      <c r="I696" s="569" t="s">
        <v>1685</v>
      </c>
      <c r="J696" s="569" t="s">
        <v>1699</v>
      </c>
      <c r="K696" s="569" t="s">
        <v>236</v>
      </c>
      <c r="L696" s="569">
        <v>2</v>
      </c>
      <c r="M696" s="569">
        <v>0</v>
      </c>
      <c r="N696" s="569" t="s">
        <v>157</v>
      </c>
      <c r="O696" s="569">
        <v>1</v>
      </c>
      <c r="P696" s="569" t="s">
        <v>157</v>
      </c>
      <c r="Q696" s="568">
        <v>8500</v>
      </c>
      <c r="R696" s="569" t="s">
        <v>1687</v>
      </c>
      <c r="S696" s="569">
        <v>10</v>
      </c>
      <c r="T696" s="569" t="s">
        <v>1688</v>
      </c>
      <c r="U696" s="569" t="s">
        <v>1689</v>
      </c>
      <c r="V696" s="569">
        <v>176</v>
      </c>
      <c r="W696" s="569">
        <v>40</v>
      </c>
      <c r="X696" s="568">
        <v>12500</v>
      </c>
      <c r="Y696" s="569" t="s">
        <v>164</v>
      </c>
      <c r="Z696" s="581" t="s">
        <v>178</v>
      </c>
      <c r="AA696" s="581" t="s">
        <v>178</v>
      </c>
      <c r="AB696" s="585">
        <v>33230</v>
      </c>
      <c r="AC696" s="585" t="s">
        <v>164</v>
      </c>
      <c r="AD696" s="585">
        <v>25660.979166666668</v>
      </c>
      <c r="AE696" s="587">
        <v>0.03</v>
      </c>
      <c r="AF696" s="661" t="str">
        <f t="shared" si="73"/>
        <v>2019-LVN-FRD-E350-012-27</v>
      </c>
      <c r="AG696" s="661" t="str">
        <f>IF(AND($Y696&gt;=32,(AI696="I"),(Y696&lt;&gt;"~"),(COUNTIF($AN$1:$AN696,$AN696)=1)),"TRUE","FALSE")</f>
        <v>FALSE</v>
      </c>
      <c r="AH696" s="661" t="str">
        <f>IF(AND($Y696&gt;=22, (AI696&lt;&gt;"I"),(Y696&lt;&gt;"~"),(COUNTIF($AN$1:$AN696,$AN696)=1)),"TRUE","FALSE")</f>
        <v>FALSE</v>
      </c>
      <c r="AI696" s="661" t="str">
        <f t="shared" si="75"/>
        <v>N/A</v>
      </c>
      <c r="AJ696" s="662" t="str">
        <f t="shared" si="69"/>
        <v>E350-012</v>
      </c>
      <c r="AK696" s="662" t="str">
        <f t="shared" si="70"/>
        <v>LVN</v>
      </c>
      <c r="AL696" s="662" t="str">
        <f t="shared" si="71"/>
        <v>FRD</v>
      </c>
      <c r="AM696" s="662" t="str">
        <f t="shared" si="74"/>
        <v>Econoline E350-DRW Cutaway Van Chassis-RWD-2-~-8500-6.8L-10-E3F-780A-176-40-Unleaded-Unleaded</v>
      </c>
      <c r="AN696" s="662" t="str">
        <f t="shared" si="72"/>
        <v>2019-LVN-FRD-E350-012</v>
      </c>
    </row>
    <row r="697" spans="1:40" s="572" customFormat="1" ht="30">
      <c r="A697" s="570" t="s">
        <v>1739</v>
      </c>
      <c r="B697" s="573" t="s">
        <v>1722</v>
      </c>
      <c r="C697" s="573" t="s">
        <v>280</v>
      </c>
      <c r="D697" s="578">
        <v>27</v>
      </c>
      <c r="E697" s="573" t="s">
        <v>1516</v>
      </c>
      <c r="F697" s="573" t="s">
        <v>1684</v>
      </c>
      <c r="G697" s="573" t="s">
        <v>271</v>
      </c>
      <c r="H697" s="573">
        <v>2019</v>
      </c>
      <c r="I697" s="573" t="s">
        <v>1685</v>
      </c>
      <c r="J697" s="573" t="s">
        <v>1699</v>
      </c>
      <c r="K697" s="573" t="s">
        <v>236</v>
      </c>
      <c r="L697" s="573">
        <v>2</v>
      </c>
      <c r="M697" s="573">
        <v>0</v>
      </c>
      <c r="N697" s="573" t="s">
        <v>157</v>
      </c>
      <c r="O697" s="573">
        <v>1</v>
      </c>
      <c r="P697" s="573" t="s">
        <v>157</v>
      </c>
      <c r="Q697" s="571">
        <v>8500</v>
      </c>
      <c r="R697" s="573" t="s">
        <v>1687</v>
      </c>
      <c r="S697" s="573">
        <v>10</v>
      </c>
      <c r="T697" s="573" t="s">
        <v>1688</v>
      </c>
      <c r="U697" s="573" t="s">
        <v>1689</v>
      </c>
      <c r="V697" s="573">
        <v>176</v>
      </c>
      <c r="W697" s="573">
        <v>40</v>
      </c>
      <c r="X697" s="571">
        <v>12500</v>
      </c>
      <c r="Y697" s="569" t="s">
        <v>164</v>
      </c>
      <c r="Z697" s="579" t="s">
        <v>178</v>
      </c>
      <c r="AA697" s="579" t="s">
        <v>178</v>
      </c>
      <c r="AB697" s="584">
        <v>33580</v>
      </c>
      <c r="AC697" s="584" t="s">
        <v>164</v>
      </c>
      <c r="AD697" s="584">
        <v>25660.979166666668</v>
      </c>
      <c r="AE697" s="586">
        <v>0.03</v>
      </c>
      <c r="AF697" s="661" t="str">
        <f t="shared" si="73"/>
        <v>2019-LVN-FRD-E350-012-27</v>
      </c>
      <c r="AG697" s="661" t="str">
        <f>IF(AND($Y697&gt;=32,(AI697="I"),(Y697&lt;&gt;"~"),(COUNTIF($AN$1:$AN697,$AN697)=1)),"TRUE","FALSE")</f>
        <v>FALSE</v>
      </c>
      <c r="AH697" s="661" t="str">
        <f>IF(AND($Y697&gt;=22, (AI697&lt;&gt;"I"),(Y697&lt;&gt;"~"),(COUNTIF($AN$1:$AN697,$AN697)=1)),"TRUE","FALSE")</f>
        <v>FALSE</v>
      </c>
      <c r="AI697" s="661" t="str">
        <f t="shared" si="75"/>
        <v>N/A</v>
      </c>
      <c r="AJ697" s="662" t="str">
        <f t="shared" si="69"/>
        <v>E350-012</v>
      </c>
      <c r="AK697" s="662" t="str">
        <f t="shared" si="70"/>
        <v>LVN</v>
      </c>
      <c r="AL697" s="662" t="str">
        <f t="shared" si="71"/>
        <v>FRD</v>
      </c>
      <c r="AM697" s="662" t="str">
        <f t="shared" si="74"/>
        <v>Econoline E350-DRW Cutaway Van Chassis-RWD-2-~-8500-6.8L-10-E3F-780A-176-40-Unleaded-Unleaded</v>
      </c>
      <c r="AN697" s="662" t="str">
        <f t="shared" si="72"/>
        <v>2019-LVN-FRD-E350-012</v>
      </c>
    </row>
    <row r="698" spans="1:40" s="572" customFormat="1" ht="15">
      <c r="A698" s="570" t="s">
        <v>1740</v>
      </c>
      <c r="B698" s="569" t="s">
        <v>1741</v>
      </c>
      <c r="C698" s="569" t="s">
        <v>269</v>
      </c>
      <c r="D698" s="580" t="s">
        <v>270</v>
      </c>
      <c r="E698" s="569" t="s">
        <v>1516</v>
      </c>
      <c r="F698" s="569" t="s">
        <v>1684</v>
      </c>
      <c r="G698" s="569" t="s">
        <v>271</v>
      </c>
      <c r="H698" s="569">
        <v>2019</v>
      </c>
      <c r="I698" s="569" t="s">
        <v>1685</v>
      </c>
      <c r="J698" s="569" t="s">
        <v>1742</v>
      </c>
      <c r="K698" s="569" t="s">
        <v>236</v>
      </c>
      <c r="L698" s="569">
        <v>1</v>
      </c>
      <c r="M698" s="569">
        <v>0</v>
      </c>
      <c r="N698" s="569" t="s">
        <v>157</v>
      </c>
      <c r="O698" s="569">
        <v>1</v>
      </c>
      <c r="P698" s="569" t="s">
        <v>157</v>
      </c>
      <c r="Q698" s="568" t="s">
        <v>157</v>
      </c>
      <c r="R698" s="569" t="s">
        <v>1687</v>
      </c>
      <c r="S698" s="569">
        <v>10</v>
      </c>
      <c r="T698" s="569" t="s">
        <v>1743</v>
      </c>
      <c r="U698" s="569" t="s">
        <v>1744</v>
      </c>
      <c r="V698" s="569">
        <v>138</v>
      </c>
      <c r="W698" s="569">
        <v>40</v>
      </c>
      <c r="X698" s="568">
        <v>11500</v>
      </c>
      <c r="Y698" s="569" t="s">
        <v>164</v>
      </c>
      <c r="Z698" s="581" t="s">
        <v>178</v>
      </c>
      <c r="AA698" s="581" t="s">
        <v>178</v>
      </c>
      <c r="AB698" s="585">
        <v>32480</v>
      </c>
      <c r="AC698" s="585" t="s">
        <v>164</v>
      </c>
      <c r="AD698" s="585">
        <v>23102.645833333336</v>
      </c>
      <c r="AE698" s="587">
        <v>0.03</v>
      </c>
      <c r="AF698" s="661" t="str">
        <f t="shared" si="73"/>
        <v>2019-LVN-FRD-E350-013-05</v>
      </c>
      <c r="AG698" s="661" t="str">
        <f>IF(AND($Y698&gt;=32,(AI698="I"),(Y698&lt;&gt;"~"),(COUNTIF($AN$1:$AN698,$AN698)=1)),"TRUE","FALSE")</f>
        <v>FALSE</v>
      </c>
      <c r="AH698" s="661" t="str">
        <f>IF(AND($Y698&gt;=22, (AI698&lt;&gt;"I"),(Y698&lt;&gt;"~"),(COUNTIF($AN$1:$AN698,$AN698)=1)),"TRUE","FALSE")</f>
        <v>TRUE</v>
      </c>
      <c r="AI698" s="661" t="str">
        <f t="shared" si="75"/>
        <v>N/A</v>
      </c>
      <c r="AJ698" s="662" t="str">
        <f t="shared" si="69"/>
        <v>E350-013</v>
      </c>
      <c r="AK698" s="662" t="str">
        <f t="shared" si="70"/>
        <v>LVN</v>
      </c>
      <c r="AL698" s="662" t="str">
        <f t="shared" si="71"/>
        <v>FRD</v>
      </c>
      <c r="AM698" s="662" t="str">
        <f t="shared" si="74"/>
        <v>Econoline E350-DRW Stripped Chassis-RWD-1-~-~-6.8L-10-E3K-785A-138-40-Unleaded-Unleaded</v>
      </c>
      <c r="AN698" s="662" t="str">
        <f t="shared" si="72"/>
        <v>2019-LVN-FRD-E350-013</v>
      </c>
    </row>
    <row r="699" spans="1:40" s="572" customFormat="1" ht="15">
      <c r="A699" s="570" t="s">
        <v>1745</v>
      </c>
      <c r="B699" s="573" t="s">
        <v>1746</v>
      </c>
      <c r="C699" s="573" t="s">
        <v>269</v>
      </c>
      <c r="D699" s="578" t="s">
        <v>270</v>
      </c>
      <c r="E699" s="573" t="s">
        <v>1516</v>
      </c>
      <c r="F699" s="573" t="s">
        <v>1684</v>
      </c>
      <c r="G699" s="573" t="s">
        <v>271</v>
      </c>
      <c r="H699" s="573">
        <v>2019</v>
      </c>
      <c r="I699" s="573" t="s">
        <v>1685</v>
      </c>
      <c r="J699" s="573" t="s">
        <v>1742</v>
      </c>
      <c r="K699" s="573" t="s">
        <v>236</v>
      </c>
      <c r="L699" s="573">
        <v>1</v>
      </c>
      <c r="M699" s="573">
        <v>0</v>
      </c>
      <c r="N699" s="573" t="s">
        <v>157</v>
      </c>
      <c r="O699" s="573">
        <v>1</v>
      </c>
      <c r="P699" s="573" t="s">
        <v>157</v>
      </c>
      <c r="Q699" s="571" t="s">
        <v>157</v>
      </c>
      <c r="R699" s="573" t="s">
        <v>1687</v>
      </c>
      <c r="S699" s="573">
        <v>10</v>
      </c>
      <c r="T699" s="573" t="s">
        <v>1743</v>
      </c>
      <c r="U699" s="573" t="s">
        <v>1744</v>
      </c>
      <c r="V699" s="573">
        <v>158</v>
      </c>
      <c r="W699" s="573">
        <v>40</v>
      </c>
      <c r="X699" s="571">
        <v>12500</v>
      </c>
      <c r="Y699" s="569" t="s">
        <v>164</v>
      </c>
      <c r="Z699" s="579" t="s">
        <v>178</v>
      </c>
      <c r="AA699" s="579" t="s">
        <v>178</v>
      </c>
      <c r="AB699" s="584">
        <v>32730</v>
      </c>
      <c r="AC699" s="584" t="s">
        <v>164</v>
      </c>
      <c r="AD699" s="584">
        <v>23330.770833333336</v>
      </c>
      <c r="AE699" s="586">
        <v>0.03</v>
      </c>
      <c r="AF699" s="661" t="str">
        <f t="shared" si="73"/>
        <v>2019-LVN-FRD-E350-014-05</v>
      </c>
      <c r="AG699" s="661" t="str">
        <f>IF(AND($Y699&gt;=32,(AI699="I"),(Y699&lt;&gt;"~"),(COUNTIF($AN$1:$AN699,$AN699)=1)),"TRUE","FALSE")</f>
        <v>FALSE</v>
      </c>
      <c r="AH699" s="661" t="str">
        <f>IF(AND($Y699&gt;=22, (AI699&lt;&gt;"I"),(Y699&lt;&gt;"~"),(COUNTIF($AN$1:$AN699,$AN699)=1)),"TRUE","FALSE")</f>
        <v>TRUE</v>
      </c>
      <c r="AI699" s="661" t="str">
        <f t="shared" si="75"/>
        <v>N/A</v>
      </c>
      <c r="AJ699" s="662" t="str">
        <f t="shared" si="69"/>
        <v>E350-014</v>
      </c>
      <c r="AK699" s="662" t="str">
        <f t="shared" si="70"/>
        <v>LVN</v>
      </c>
      <c r="AL699" s="662" t="str">
        <f t="shared" si="71"/>
        <v>FRD</v>
      </c>
      <c r="AM699" s="662" t="str">
        <f t="shared" si="74"/>
        <v>Econoline E350-DRW Stripped Chassis-RWD-1-~-~-6.8L-10-E3K-785A-158-40-Unleaded-Unleaded</v>
      </c>
      <c r="AN699" s="662" t="str">
        <f t="shared" si="72"/>
        <v>2019-LVN-FRD-E350-014</v>
      </c>
    </row>
    <row r="700" spans="1:40" s="572" customFormat="1" ht="15">
      <c r="A700" s="570" t="s">
        <v>1747</v>
      </c>
      <c r="B700" s="569" t="s">
        <v>1748</v>
      </c>
      <c r="C700" s="569" t="s">
        <v>269</v>
      </c>
      <c r="D700" s="580" t="s">
        <v>270</v>
      </c>
      <c r="E700" s="569" t="s">
        <v>1516</v>
      </c>
      <c r="F700" s="569" t="s">
        <v>1684</v>
      </c>
      <c r="G700" s="569" t="s">
        <v>271</v>
      </c>
      <c r="H700" s="569">
        <v>2019</v>
      </c>
      <c r="I700" s="569" t="s">
        <v>1685</v>
      </c>
      <c r="J700" s="569" t="s">
        <v>1742</v>
      </c>
      <c r="K700" s="569" t="s">
        <v>236</v>
      </c>
      <c r="L700" s="569">
        <v>1</v>
      </c>
      <c r="M700" s="569">
        <v>0</v>
      </c>
      <c r="N700" s="569" t="s">
        <v>157</v>
      </c>
      <c r="O700" s="569">
        <v>1</v>
      </c>
      <c r="P700" s="569" t="s">
        <v>157</v>
      </c>
      <c r="Q700" s="568" t="s">
        <v>157</v>
      </c>
      <c r="R700" s="569" t="s">
        <v>1687</v>
      </c>
      <c r="S700" s="569">
        <v>10</v>
      </c>
      <c r="T700" s="569" t="s">
        <v>1743</v>
      </c>
      <c r="U700" s="569" t="s">
        <v>1744</v>
      </c>
      <c r="V700" s="569">
        <v>176</v>
      </c>
      <c r="W700" s="569">
        <v>40</v>
      </c>
      <c r="X700" s="568">
        <v>12500</v>
      </c>
      <c r="Y700" s="569" t="s">
        <v>164</v>
      </c>
      <c r="Z700" s="581" t="s">
        <v>178</v>
      </c>
      <c r="AA700" s="581" t="s">
        <v>178</v>
      </c>
      <c r="AB700" s="585">
        <v>33230</v>
      </c>
      <c r="AC700" s="585" t="s">
        <v>164</v>
      </c>
      <c r="AD700" s="585">
        <v>23787.020833333336</v>
      </c>
      <c r="AE700" s="587">
        <v>0.03</v>
      </c>
      <c r="AF700" s="661" t="str">
        <f t="shared" si="73"/>
        <v>2019-LVN-FRD-E350-015-05</v>
      </c>
      <c r="AG700" s="661" t="str">
        <f>IF(AND($Y700&gt;=32,(AI700="I"),(Y700&lt;&gt;"~"),(COUNTIF($AN$1:$AN700,$AN700)=1)),"TRUE","FALSE")</f>
        <v>FALSE</v>
      </c>
      <c r="AH700" s="661" t="str">
        <f>IF(AND($Y700&gt;=22, (AI700&lt;&gt;"I"),(Y700&lt;&gt;"~"),(COUNTIF($AN$1:$AN700,$AN700)=1)),"TRUE","FALSE")</f>
        <v>TRUE</v>
      </c>
      <c r="AI700" s="661" t="str">
        <f t="shared" si="75"/>
        <v>N/A</v>
      </c>
      <c r="AJ700" s="662" t="str">
        <f t="shared" si="69"/>
        <v>E350-015</v>
      </c>
      <c r="AK700" s="662" t="str">
        <f t="shared" si="70"/>
        <v>LVN</v>
      </c>
      <c r="AL700" s="662" t="str">
        <f t="shared" si="71"/>
        <v>FRD</v>
      </c>
      <c r="AM700" s="662" t="str">
        <f t="shared" si="74"/>
        <v>Econoline E350-DRW Stripped Chassis-RWD-1-~-~-6.8L-10-E3K-785A-176-40-Unleaded-Unleaded</v>
      </c>
      <c r="AN700" s="662" t="str">
        <f t="shared" si="72"/>
        <v>2019-LVN-FRD-E350-015</v>
      </c>
    </row>
    <row r="701" spans="1:40" s="572" customFormat="1" ht="15">
      <c r="A701" s="570" t="s">
        <v>1749</v>
      </c>
      <c r="B701" s="573" t="s">
        <v>1741</v>
      </c>
      <c r="C701" s="573" t="s">
        <v>287</v>
      </c>
      <c r="D701" s="578">
        <v>26</v>
      </c>
      <c r="E701" s="573" t="s">
        <v>1516</v>
      </c>
      <c r="F701" s="573" t="s">
        <v>1684</v>
      </c>
      <c r="G701" s="573" t="s">
        <v>271</v>
      </c>
      <c r="H701" s="573">
        <v>2019</v>
      </c>
      <c r="I701" s="573" t="s">
        <v>1685</v>
      </c>
      <c r="J701" s="573" t="s">
        <v>1742</v>
      </c>
      <c r="K701" s="573" t="s">
        <v>236</v>
      </c>
      <c r="L701" s="573">
        <v>1</v>
      </c>
      <c r="M701" s="573">
        <v>0</v>
      </c>
      <c r="N701" s="573" t="s">
        <v>157</v>
      </c>
      <c r="O701" s="573">
        <v>1</v>
      </c>
      <c r="P701" s="573" t="s">
        <v>157</v>
      </c>
      <c r="Q701" s="571" t="s">
        <v>157</v>
      </c>
      <c r="R701" s="573" t="s">
        <v>1687</v>
      </c>
      <c r="S701" s="573">
        <v>10</v>
      </c>
      <c r="T701" s="573" t="s">
        <v>1743</v>
      </c>
      <c r="U701" s="573" t="s">
        <v>1744</v>
      </c>
      <c r="V701" s="573">
        <v>138</v>
      </c>
      <c r="W701" s="573">
        <v>55</v>
      </c>
      <c r="X701" s="571">
        <v>14500</v>
      </c>
      <c r="Y701" s="569" t="s">
        <v>164</v>
      </c>
      <c r="Z701" s="579" t="s">
        <v>178</v>
      </c>
      <c r="AA701" s="579" t="s">
        <v>178</v>
      </c>
      <c r="AB701" s="584">
        <v>29640</v>
      </c>
      <c r="AC701" s="584" t="s">
        <v>164</v>
      </c>
      <c r="AD701" s="584">
        <v>23667</v>
      </c>
      <c r="AE701" s="586">
        <v>0.05</v>
      </c>
      <c r="AF701" s="661" t="str">
        <f t="shared" si="73"/>
        <v>2019-LVN-FRD-E350-013-26</v>
      </c>
      <c r="AG701" s="661" t="str">
        <f>IF(AND($Y701&gt;=32,(AI701="I"),(Y701&lt;&gt;"~"),(COUNTIF($AN$1:$AN701,$AN701)=1)),"TRUE","FALSE")</f>
        <v>FALSE</v>
      </c>
      <c r="AH701" s="661" t="str">
        <f>IF(AND($Y701&gt;=22, (AI701&lt;&gt;"I"),(Y701&lt;&gt;"~"),(COUNTIF($AN$1:$AN701,$AN701)=1)),"TRUE","FALSE")</f>
        <v>FALSE</v>
      </c>
      <c r="AI701" s="661" t="str">
        <f t="shared" si="75"/>
        <v>N/A</v>
      </c>
      <c r="AJ701" s="662" t="str">
        <f t="shared" si="69"/>
        <v>E350-013</v>
      </c>
      <c r="AK701" s="662" t="str">
        <f t="shared" si="70"/>
        <v>LVN</v>
      </c>
      <c r="AL701" s="662" t="str">
        <f t="shared" si="71"/>
        <v>FRD</v>
      </c>
      <c r="AM701" s="662" t="str">
        <f t="shared" si="74"/>
        <v>Econoline E350-DRW Stripped Chassis-RWD-1-~-~-6.8L-10-E3K-785A-138-55-Unleaded-Unleaded</v>
      </c>
      <c r="AN701" s="662" t="str">
        <f t="shared" si="72"/>
        <v>2019-LVN-FRD-E350-013</v>
      </c>
    </row>
    <row r="702" spans="1:40" s="572" customFormat="1" ht="15">
      <c r="A702" s="570" t="s">
        <v>1750</v>
      </c>
      <c r="B702" s="569" t="s">
        <v>1746</v>
      </c>
      <c r="C702" s="569" t="s">
        <v>287</v>
      </c>
      <c r="D702" s="580">
        <v>26</v>
      </c>
      <c r="E702" s="569" t="s">
        <v>1516</v>
      </c>
      <c r="F702" s="569" t="s">
        <v>1684</v>
      </c>
      <c r="G702" s="569" t="s">
        <v>271</v>
      </c>
      <c r="H702" s="569">
        <v>2019</v>
      </c>
      <c r="I702" s="569" t="s">
        <v>1685</v>
      </c>
      <c r="J702" s="569" t="s">
        <v>1742</v>
      </c>
      <c r="K702" s="569" t="s">
        <v>236</v>
      </c>
      <c r="L702" s="569">
        <v>1</v>
      </c>
      <c r="M702" s="569">
        <v>0</v>
      </c>
      <c r="N702" s="569" t="s">
        <v>157</v>
      </c>
      <c r="O702" s="569">
        <v>1</v>
      </c>
      <c r="P702" s="569" t="s">
        <v>157</v>
      </c>
      <c r="Q702" s="568" t="s">
        <v>157</v>
      </c>
      <c r="R702" s="569" t="s">
        <v>1687</v>
      </c>
      <c r="S702" s="569">
        <v>10</v>
      </c>
      <c r="T702" s="569" t="s">
        <v>1743</v>
      </c>
      <c r="U702" s="569" t="s">
        <v>1744</v>
      </c>
      <c r="V702" s="569">
        <v>158</v>
      </c>
      <c r="W702" s="569">
        <v>55</v>
      </c>
      <c r="X702" s="568">
        <v>14500</v>
      </c>
      <c r="Y702" s="569" t="s">
        <v>164</v>
      </c>
      <c r="Z702" s="581" t="s">
        <v>178</v>
      </c>
      <c r="AA702" s="581" t="s">
        <v>178</v>
      </c>
      <c r="AB702" s="585">
        <v>29890</v>
      </c>
      <c r="AC702" s="585" t="s">
        <v>164</v>
      </c>
      <c r="AD702" s="585">
        <v>23901</v>
      </c>
      <c r="AE702" s="587">
        <v>0.05</v>
      </c>
      <c r="AF702" s="661" t="str">
        <f t="shared" si="73"/>
        <v>2019-LVN-FRD-E350-014-26</v>
      </c>
      <c r="AG702" s="661" t="str">
        <f>IF(AND($Y702&gt;=32,(AI702="I"),(Y702&lt;&gt;"~"),(COUNTIF($AN$1:$AN702,$AN702)=1)),"TRUE","FALSE")</f>
        <v>FALSE</v>
      </c>
      <c r="AH702" s="661" t="str">
        <f>IF(AND($Y702&gt;=22, (AI702&lt;&gt;"I"),(Y702&lt;&gt;"~"),(COUNTIF($AN$1:$AN702,$AN702)=1)),"TRUE","FALSE")</f>
        <v>FALSE</v>
      </c>
      <c r="AI702" s="661" t="str">
        <f t="shared" si="75"/>
        <v>N/A</v>
      </c>
      <c r="AJ702" s="662" t="str">
        <f t="shared" si="69"/>
        <v>E350-014</v>
      </c>
      <c r="AK702" s="662" t="str">
        <f t="shared" si="70"/>
        <v>LVN</v>
      </c>
      <c r="AL702" s="662" t="str">
        <f t="shared" si="71"/>
        <v>FRD</v>
      </c>
      <c r="AM702" s="662" t="str">
        <f t="shared" si="74"/>
        <v>Econoline E350-DRW Stripped Chassis-RWD-1-~-~-6.8L-10-E3K-785A-158-55-Unleaded-Unleaded</v>
      </c>
      <c r="AN702" s="662" t="str">
        <f t="shared" si="72"/>
        <v>2019-LVN-FRD-E350-014</v>
      </c>
    </row>
    <row r="703" spans="1:40" s="572" customFormat="1" ht="15">
      <c r="A703" s="570" t="s">
        <v>1751</v>
      </c>
      <c r="B703" s="573" t="s">
        <v>1748</v>
      </c>
      <c r="C703" s="573" t="s">
        <v>287</v>
      </c>
      <c r="D703" s="578">
        <v>26</v>
      </c>
      <c r="E703" s="573" t="s">
        <v>1516</v>
      </c>
      <c r="F703" s="573" t="s">
        <v>1684</v>
      </c>
      <c r="G703" s="573" t="s">
        <v>271</v>
      </c>
      <c r="H703" s="573">
        <v>2019</v>
      </c>
      <c r="I703" s="573" t="s">
        <v>1685</v>
      </c>
      <c r="J703" s="573" t="s">
        <v>1742</v>
      </c>
      <c r="K703" s="573" t="s">
        <v>236</v>
      </c>
      <c r="L703" s="573">
        <v>1</v>
      </c>
      <c r="M703" s="573">
        <v>0</v>
      </c>
      <c r="N703" s="573" t="s">
        <v>157</v>
      </c>
      <c r="O703" s="573">
        <v>1</v>
      </c>
      <c r="P703" s="573" t="s">
        <v>157</v>
      </c>
      <c r="Q703" s="571" t="s">
        <v>157</v>
      </c>
      <c r="R703" s="573" t="s">
        <v>1687</v>
      </c>
      <c r="S703" s="573">
        <v>10</v>
      </c>
      <c r="T703" s="573" t="s">
        <v>1743</v>
      </c>
      <c r="U703" s="573" t="s">
        <v>1744</v>
      </c>
      <c r="V703" s="573">
        <v>176</v>
      </c>
      <c r="W703" s="573">
        <v>55</v>
      </c>
      <c r="X703" s="571">
        <v>14500</v>
      </c>
      <c r="Y703" s="569" t="s">
        <v>164</v>
      </c>
      <c r="Z703" s="579" t="s">
        <v>178</v>
      </c>
      <c r="AA703" s="579" t="s">
        <v>178</v>
      </c>
      <c r="AB703" s="584">
        <v>30390</v>
      </c>
      <c r="AC703" s="584" t="s">
        <v>164</v>
      </c>
      <c r="AD703" s="584">
        <v>24367</v>
      </c>
      <c r="AE703" s="586">
        <v>0.05</v>
      </c>
      <c r="AF703" s="661" t="str">
        <f t="shared" si="73"/>
        <v>2019-LVN-FRD-E350-015-26</v>
      </c>
      <c r="AG703" s="661" t="str">
        <f>IF(AND($Y703&gt;=32,(AI703="I"),(Y703&lt;&gt;"~"),(COUNTIF($AN$1:$AN703,$AN703)=1)),"TRUE","FALSE")</f>
        <v>FALSE</v>
      </c>
      <c r="AH703" s="661" t="str">
        <f>IF(AND($Y703&gt;=22, (AI703&lt;&gt;"I"),(Y703&lt;&gt;"~"),(COUNTIF($AN$1:$AN703,$AN703)=1)),"TRUE","FALSE")</f>
        <v>FALSE</v>
      </c>
      <c r="AI703" s="661" t="str">
        <f t="shared" si="75"/>
        <v>N/A</v>
      </c>
      <c r="AJ703" s="662" t="str">
        <f t="shared" si="69"/>
        <v>E350-015</v>
      </c>
      <c r="AK703" s="662" t="str">
        <f t="shared" si="70"/>
        <v>LVN</v>
      </c>
      <c r="AL703" s="662" t="str">
        <f t="shared" si="71"/>
        <v>FRD</v>
      </c>
      <c r="AM703" s="662" t="str">
        <f t="shared" si="74"/>
        <v>Econoline E350-DRW Stripped Chassis-RWD-1-~-~-6.8L-10-E3K-785A-176-55-Unleaded-Unleaded</v>
      </c>
      <c r="AN703" s="662" t="str">
        <f t="shared" si="72"/>
        <v>2019-LVN-FRD-E350-015</v>
      </c>
    </row>
    <row r="704" spans="1:40" s="572" customFormat="1" ht="15">
      <c r="A704" s="570" t="s">
        <v>1752</v>
      </c>
      <c r="B704" s="569" t="s">
        <v>1741</v>
      </c>
      <c r="C704" s="569" t="s">
        <v>280</v>
      </c>
      <c r="D704" s="580">
        <v>27</v>
      </c>
      <c r="E704" s="569" t="s">
        <v>1516</v>
      </c>
      <c r="F704" s="569" t="s">
        <v>1684</v>
      </c>
      <c r="G704" s="569" t="s">
        <v>271</v>
      </c>
      <c r="H704" s="569">
        <v>2019</v>
      </c>
      <c r="I704" s="569" t="s">
        <v>1685</v>
      </c>
      <c r="J704" s="569" t="s">
        <v>1742</v>
      </c>
      <c r="K704" s="569" t="s">
        <v>236</v>
      </c>
      <c r="L704" s="569">
        <v>1</v>
      </c>
      <c r="M704" s="569">
        <v>0</v>
      </c>
      <c r="N704" s="569" t="s">
        <v>157</v>
      </c>
      <c r="O704" s="569">
        <v>1</v>
      </c>
      <c r="P704" s="569" t="s">
        <v>157</v>
      </c>
      <c r="Q704" s="568" t="s">
        <v>157</v>
      </c>
      <c r="R704" s="569" t="s">
        <v>1687</v>
      </c>
      <c r="S704" s="569">
        <v>10</v>
      </c>
      <c r="T704" s="569" t="s">
        <v>1743</v>
      </c>
      <c r="U704" s="569" t="s">
        <v>1744</v>
      </c>
      <c r="V704" s="569">
        <v>138</v>
      </c>
      <c r="W704" s="569">
        <v>40</v>
      </c>
      <c r="X704" s="568">
        <v>11500</v>
      </c>
      <c r="Y704" s="569" t="s">
        <v>164</v>
      </c>
      <c r="Z704" s="581" t="s">
        <v>178</v>
      </c>
      <c r="AA704" s="581" t="s">
        <v>178</v>
      </c>
      <c r="AB704" s="585">
        <v>32480</v>
      </c>
      <c r="AC704" s="585" t="s">
        <v>164</v>
      </c>
      <c r="AD704" s="585">
        <v>23102.645833333336</v>
      </c>
      <c r="AE704" s="587">
        <v>0.03</v>
      </c>
      <c r="AF704" s="661" t="str">
        <f t="shared" si="73"/>
        <v>2019-LVN-FRD-E350-013-27</v>
      </c>
      <c r="AG704" s="661" t="str">
        <f>IF(AND($Y704&gt;=32,(AI704="I"),(Y704&lt;&gt;"~"),(COUNTIF($AN$1:$AN704,$AN704)=1)),"TRUE","FALSE")</f>
        <v>FALSE</v>
      </c>
      <c r="AH704" s="661" t="str">
        <f>IF(AND($Y704&gt;=22, (AI704&lt;&gt;"I"),(Y704&lt;&gt;"~"),(COUNTIF($AN$1:$AN704,$AN704)=1)),"TRUE","FALSE")</f>
        <v>FALSE</v>
      </c>
      <c r="AI704" s="661" t="str">
        <f t="shared" si="75"/>
        <v>N/A</v>
      </c>
      <c r="AJ704" s="662" t="str">
        <f t="shared" si="69"/>
        <v>E350-013</v>
      </c>
      <c r="AK704" s="662" t="str">
        <f t="shared" si="70"/>
        <v>LVN</v>
      </c>
      <c r="AL704" s="662" t="str">
        <f t="shared" si="71"/>
        <v>FRD</v>
      </c>
      <c r="AM704" s="662" t="str">
        <f t="shared" si="74"/>
        <v>Econoline E350-DRW Stripped Chassis-RWD-1-~-~-6.8L-10-E3K-785A-138-40-Unleaded-Unleaded</v>
      </c>
      <c r="AN704" s="662" t="str">
        <f t="shared" si="72"/>
        <v>2019-LVN-FRD-E350-013</v>
      </c>
    </row>
    <row r="705" spans="1:40" s="572" customFormat="1" ht="15">
      <c r="A705" s="570" t="s">
        <v>1753</v>
      </c>
      <c r="B705" s="573" t="s">
        <v>1746</v>
      </c>
      <c r="C705" s="573" t="s">
        <v>280</v>
      </c>
      <c r="D705" s="578">
        <v>27</v>
      </c>
      <c r="E705" s="573" t="s">
        <v>1516</v>
      </c>
      <c r="F705" s="573" t="s">
        <v>1684</v>
      </c>
      <c r="G705" s="573" t="s">
        <v>271</v>
      </c>
      <c r="H705" s="573">
        <v>2019</v>
      </c>
      <c r="I705" s="573" t="s">
        <v>1685</v>
      </c>
      <c r="J705" s="573" t="s">
        <v>1742</v>
      </c>
      <c r="K705" s="573" t="s">
        <v>236</v>
      </c>
      <c r="L705" s="573">
        <v>1</v>
      </c>
      <c r="M705" s="573">
        <v>0</v>
      </c>
      <c r="N705" s="573" t="s">
        <v>157</v>
      </c>
      <c r="O705" s="573">
        <v>1</v>
      </c>
      <c r="P705" s="573" t="s">
        <v>157</v>
      </c>
      <c r="Q705" s="571" t="s">
        <v>157</v>
      </c>
      <c r="R705" s="573" t="s">
        <v>1687</v>
      </c>
      <c r="S705" s="573">
        <v>10</v>
      </c>
      <c r="T705" s="573" t="s">
        <v>1743</v>
      </c>
      <c r="U705" s="573" t="s">
        <v>1744</v>
      </c>
      <c r="V705" s="573">
        <v>158</v>
      </c>
      <c r="W705" s="573">
        <v>40</v>
      </c>
      <c r="X705" s="571">
        <v>12500</v>
      </c>
      <c r="Y705" s="569" t="s">
        <v>164</v>
      </c>
      <c r="Z705" s="579" t="s">
        <v>178</v>
      </c>
      <c r="AA705" s="579" t="s">
        <v>178</v>
      </c>
      <c r="AB705" s="584">
        <v>32730</v>
      </c>
      <c r="AC705" s="584" t="s">
        <v>164</v>
      </c>
      <c r="AD705" s="584">
        <v>23330.770833333336</v>
      </c>
      <c r="AE705" s="586">
        <v>0.03</v>
      </c>
      <c r="AF705" s="661" t="str">
        <f t="shared" si="73"/>
        <v>2019-LVN-FRD-E350-014-27</v>
      </c>
      <c r="AG705" s="661" t="str">
        <f>IF(AND($Y705&gt;=32,(AI705="I"),(Y705&lt;&gt;"~"),(COUNTIF($AN$1:$AN705,$AN705)=1)),"TRUE","FALSE")</f>
        <v>FALSE</v>
      </c>
      <c r="AH705" s="661" t="str">
        <f>IF(AND($Y705&gt;=22, (AI705&lt;&gt;"I"),(Y705&lt;&gt;"~"),(COUNTIF($AN$1:$AN705,$AN705)=1)),"TRUE","FALSE")</f>
        <v>FALSE</v>
      </c>
      <c r="AI705" s="661" t="str">
        <f t="shared" si="75"/>
        <v>N/A</v>
      </c>
      <c r="AJ705" s="662" t="str">
        <f t="shared" si="69"/>
        <v>E350-014</v>
      </c>
      <c r="AK705" s="662" t="str">
        <f t="shared" si="70"/>
        <v>LVN</v>
      </c>
      <c r="AL705" s="662" t="str">
        <f t="shared" si="71"/>
        <v>FRD</v>
      </c>
      <c r="AM705" s="662" t="str">
        <f t="shared" si="74"/>
        <v>Econoline E350-DRW Stripped Chassis-RWD-1-~-~-6.8L-10-E3K-785A-158-40-Unleaded-Unleaded</v>
      </c>
      <c r="AN705" s="662" t="str">
        <f t="shared" si="72"/>
        <v>2019-LVN-FRD-E350-014</v>
      </c>
    </row>
    <row r="706" spans="1:40" s="572" customFormat="1" ht="15">
      <c r="A706" s="570" t="s">
        <v>1754</v>
      </c>
      <c r="B706" s="569" t="s">
        <v>1748</v>
      </c>
      <c r="C706" s="569" t="s">
        <v>280</v>
      </c>
      <c r="D706" s="580">
        <v>27</v>
      </c>
      <c r="E706" s="569" t="s">
        <v>1516</v>
      </c>
      <c r="F706" s="569" t="s">
        <v>1684</v>
      </c>
      <c r="G706" s="569" t="s">
        <v>271</v>
      </c>
      <c r="H706" s="569">
        <v>2019</v>
      </c>
      <c r="I706" s="569" t="s">
        <v>1685</v>
      </c>
      <c r="J706" s="569" t="s">
        <v>1742</v>
      </c>
      <c r="K706" s="569" t="s">
        <v>236</v>
      </c>
      <c r="L706" s="569">
        <v>1</v>
      </c>
      <c r="M706" s="569">
        <v>0</v>
      </c>
      <c r="N706" s="569" t="s">
        <v>157</v>
      </c>
      <c r="O706" s="569">
        <v>1</v>
      </c>
      <c r="P706" s="569" t="s">
        <v>157</v>
      </c>
      <c r="Q706" s="568" t="s">
        <v>157</v>
      </c>
      <c r="R706" s="569" t="s">
        <v>1687</v>
      </c>
      <c r="S706" s="569">
        <v>10</v>
      </c>
      <c r="T706" s="569" t="s">
        <v>1743</v>
      </c>
      <c r="U706" s="569" t="s">
        <v>1744</v>
      </c>
      <c r="V706" s="569">
        <v>176</v>
      </c>
      <c r="W706" s="569">
        <v>40</v>
      </c>
      <c r="X706" s="568">
        <v>12500</v>
      </c>
      <c r="Y706" s="569" t="s">
        <v>164</v>
      </c>
      <c r="Z706" s="581" t="s">
        <v>178</v>
      </c>
      <c r="AA706" s="581" t="s">
        <v>178</v>
      </c>
      <c r="AB706" s="585">
        <v>33230</v>
      </c>
      <c r="AC706" s="585" t="s">
        <v>164</v>
      </c>
      <c r="AD706" s="585">
        <v>23787.020833333336</v>
      </c>
      <c r="AE706" s="587">
        <v>0.03</v>
      </c>
      <c r="AF706" s="661" t="str">
        <f t="shared" si="73"/>
        <v>2019-LVN-FRD-E350-015-27</v>
      </c>
      <c r="AG706" s="661" t="str">
        <f>IF(AND($Y706&gt;=32,(AI706="I"),(Y706&lt;&gt;"~"),(COUNTIF($AN$1:$AN706,$AN706)=1)),"TRUE","FALSE")</f>
        <v>FALSE</v>
      </c>
      <c r="AH706" s="661" t="str">
        <f>IF(AND($Y706&gt;=22, (AI706&lt;&gt;"I"),(Y706&lt;&gt;"~"),(COUNTIF($AN$1:$AN706,$AN706)=1)),"TRUE","FALSE")</f>
        <v>FALSE</v>
      </c>
      <c r="AI706" s="661" t="str">
        <f t="shared" si="75"/>
        <v>N/A</v>
      </c>
      <c r="AJ706" s="662" t="str">
        <f t="shared" si="69"/>
        <v>E350-015</v>
      </c>
      <c r="AK706" s="662" t="str">
        <f t="shared" si="70"/>
        <v>LVN</v>
      </c>
      <c r="AL706" s="662" t="str">
        <f t="shared" si="71"/>
        <v>FRD</v>
      </c>
      <c r="AM706" s="662" t="str">
        <f t="shared" si="74"/>
        <v>Econoline E350-DRW Stripped Chassis-RWD-1-~-~-6.8L-10-E3K-785A-176-40-Unleaded-Unleaded</v>
      </c>
      <c r="AN706" s="662" t="str">
        <f t="shared" si="72"/>
        <v>2019-LVN-FRD-E350-015</v>
      </c>
    </row>
    <row r="707" spans="1:40" s="572" customFormat="1" ht="15">
      <c r="A707" s="570" t="s">
        <v>1755</v>
      </c>
      <c r="B707" s="573" t="s">
        <v>1756</v>
      </c>
      <c r="C707" s="573" t="s">
        <v>269</v>
      </c>
      <c r="D707" s="578" t="s">
        <v>270</v>
      </c>
      <c r="E707" s="573" t="s">
        <v>1516</v>
      </c>
      <c r="F707" s="573" t="s">
        <v>1684</v>
      </c>
      <c r="G707" s="573" t="s">
        <v>271</v>
      </c>
      <c r="H707" s="573">
        <v>2019</v>
      </c>
      <c r="I707" s="573" t="s">
        <v>1685</v>
      </c>
      <c r="J707" s="573" t="s">
        <v>1757</v>
      </c>
      <c r="K707" s="573" t="s">
        <v>236</v>
      </c>
      <c r="L707" s="573">
        <v>2</v>
      </c>
      <c r="M707" s="573">
        <v>0</v>
      </c>
      <c r="N707" s="573" t="s">
        <v>157</v>
      </c>
      <c r="O707" s="573">
        <v>1</v>
      </c>
      <c r="P707" s="573">
        <v>81</v>
      </c>
      <c r="Q707" s="571" t="s">
        <v>157</v>
      </c>
      <c r="R707" s="573" t="s">
        <v>1687</v>
      </c>
      <c r="S707" s="573">
        <v>10</v>
      </c>
      <c r="T707" s="573" t="s">
        <v>1688</v>
      </c>
      <c r="U707" s="573" t="s">
        <v>1689</v>
      </c>
      <c r="V707" s="573">
        <v>138</v>
      </c>
      <c r="W707" s="573">
        <v>40</v>
      </c>
      <c r="X707" s="571">
        <v>10050</v>
      </c>
      <c r="Y707" s="569" t="s">
        <v>164</v>
      </c>
      <c r="Z707" s="579" t="s">
        <v>178</v>
      </c>
      <c r="AA707" s="579" t="s">
        <v>178</v>
      </c>
      <c r="AB707" s="584">
        <v>32580</v>
      </c>
      <c r="AC707" s="584" t="s">
        <v>164</v>
      </c>
      <c r="AD707" s="584">
        <v>24747.437500000004</v>
      </c>
      <c r="AE707" s="586">
        <v>0.03</v>
      </c>
      <c r="AF707" s="661" t="str">
        <f t="shared" si="73"/>
        <v>2019-LVN-FRD-E350-027-05</v>
      </c>
      <c r="AG707" s="661" t="str">
        <f>IF(AND($Y707&gt;=32,(AI707="I"),(Y707&lt;&gt;"~"),(COUNTIF($AN$1:$AN707,$AN707)=1)),"TRUE","FALSE")</f>
        <v>FALSE</v>
      </c>
      <c r="AH707" s="661" t="str">
        <f>IF(AND($Y707&gt;=22, (AI707&lt;&gt;"I"),(Y707&lt;&gt;"~"),(COUNTIF($AN$1:$AN707,$AN707)=1)),"TRUE","FALSE")</f>
        <v>TRUE</v>
      </c>
      <c r="AI707" s="661" t="str">
        <f t="shared" si="75"/>
        <v>N/A</v>
      </c>
      <c r="AJ707" s="662" t="str">
        <f t="shared" ref="AJ707:AJ770" si="76">MID(A707,14,8)</f>
        <v>E350-027</v>
      </c>
      <c r="AK707" s="662" t="str">
        <f t="shared" ref="AK707:AK770" si="77">MID(A707,6,3)</f>
        <v>LVN</v>
      </c>
      <c r="AL707" s="662" t="str">
        <f t="shared" ref="AL707:AL770" si="78">MID(A707,10,3)</f>
        <v>FRD</v>
      </c>
      <c r="AM707" s="662" t="str">
        <f t="shared" si="74"/>
        <v>Econoline E350-SRW-RWD-2-81-~-6.8L-10-E3F-780A-138-40-Unleaded-Unleaded</v>
      </c>
      <c r="AN707" s="662" t="str">
        <f t="shared" ref="AN707:AN770" si="79">LEFT(A707,21)</f>
        <v>2019-LVN-FRD-E350-027</v>
      </c>
    </row>
    <row r="708" spans="1:40" s="572" customFormat="1" ht="15">
      <c r="A708" s="570" t="s">
        <v>1758</v>
      </c>
      <c r="B708" s="569" t="s">
        <v>1759</v>
      </c>
      <c r="C708" s="569" t="s">
        <v>269</v>
      </c>
      <c r="D708" s="580" t="s">
        <v>270</v>
      </c>
      <c r="E708" s="569" t="s">
        <v>1516</v>
      </c>
      <c r="F708" s="569" t="s">
        <v>1684</v>
      </c>
      <c r="G708" s="569" t="s">
        <v>271</v>
      </c>
      <c r="H708" s="569">
        <v>2019</v>
      </c>
      <c r="I708" s="569" t="s">
        <v>1685</v>
      </c>
      <c r="J708" s="569" t="s">
        <v>1757</v>
      </c>
      <c r="K708" s="569" t="s">
        <v>236</v>
      </c>
      <c r="L708" s="569">
        <v>2</v>
      </c>
      <c r="M708" s="569">
        <v>0</v>
      </c>
      <c r="N708" s="569" t="s">
        <v>157</v>
      </c>
      <c r="O708" s="569">
        <v>1</v>
      </c>
      <c r="P708" s="569">
        <v>81</v>
      </c>
      <c r="Q708" s="568" t="s">
        <v>157</v>
      </c>
      <c r="R708" s="569" t="s">
        <v>1687</v>
      </c>
      <c r="S708" s="569">
        <v>10</v>
      </c>
      <c r="T708" s="569" t="s">
        <v>1688</v>
      </c>
      <c r="U708" s="569" t="s">
        <v>1689</v>
      </c>
      <c r="V708" s="569">
        <v>158</v>
      </c>
      <c r="W708" s="569">
        <v>40</v>
      </c>
      <c r="X708" s="568">
        <v>10050</v>
      </c>
      <c r="Y708" s="569" t="s">
        <v>164</v>
      </c>
      <c r="Z708" s="581" t="s">
        <v>178</v>
      </c>
      <c r="AA708" s="581" t="s">
        <v>178</v>
      </c>
      <c r="AB708" s="585">
        <v>32830</v>
      </c>
      <c r="AC708" s="585" t="s">
        <v>164</v>
      </c>
      <c r="AD708" s="585">
        <v>24976.604166666668</v>
      </c>
      <c r="AE708" s="587">
        <v>0.03</v>
      </c>
      <c r="AF708" s="661" t="str">
        <f t="shared" si="73"/>
        <v>2019-LVN-FRD-E350-028-05</v>
      </c>
      <c r="AG708" s="661" t="str">
        <f>IF(AND($Y708&gt;=32,(AI708="I"),(Y708&lt;&gt;"~"),(COUNTIF($AN$1:$AN708,$AN708)=1)),"TRUE","FALSE")</f>
        <v>FALSE</v>
      </c>
      <c r="AH708" s="661" t="str">
        <f>IF(AND($Y708&gt;=22, (AI708&lt;&gt;"I"),(Y708&lt;&gt;"~"),(COUNTIF($AN$1:$AN708,$AN708)=1)),"TRUE","FALSE")</f>
        <v>TRUE</v>
      </c>
      <c r="AI708" s="661" t="str">
        <f t="shared" si="75"/>
        <v>N/A</v>
      </c>
      <c r="AJ708" s="662" t="str">
        <f t="shared" si="76"/>
        <v>E350-028</v>
      </c>
      <c r="AK708" s="662" t="str">
        <f t="shared" si="77"/>
        <v>LVN</v>
      </c>
      <c r="AL708" s="662" t="str">
        <f t="shared" si="78"/>
        <v>FRD</v>
      </c>
      <c r="AM708" s="662" t="str">
        <f t="shared" si="74"/>
        <v>Econoline E350-SRW-RWD-2-81-~-6.8L-10-E3F-780A-158-40-Unleaded-Unleaded</v>
      </c>
      <c r="AN708" s="662" t="str">
        <f t="shared" si="79"/>
        <v>2019-LVN-FRD-E350-028</v>
      </c>
    </row>
    <row r="709" spans="1:40" s="572" customFormat="1" ht="15">
      <c r="A709" s="570" t="s">
        <v>1760</v>
      </c>
      <c r="B709" s="573" t="s">
        <v>1756</v>
      </c>
      <c r="C709" s="573" t="s">
        <v>280</v>
      </c>
      <c r="D709" s="578">
        <v>27</v>
      </c>
      <c r="E709" s="573" t="s">
        <v>1516</v>
      </c>
      <c r="F709" s="573" t="s">
        <v>1684</v>
      </c>
      <c r="G709" s="573" t="s">
        <v>271</v>
      </c>
      <c r="H709" s="573">
        <v>2019</v>
      </c>
      <c r="I709" s="573" t="s">
        <v>1685</v>
      </c>
      <c r="J709" s="573" t="s">
        <v>1757</v>
      </c>
      <c r="K709" s="573" t="s">
        <v>236</v>
      </c>
      <c r="L709" s="573">
        <v>2</v>
      </c>
      <c r="M709" s="573">
        <v>0</v>
      </c>
      <c r="N709" s="573" t="s">
        <v>157</v>
      </c>
      <c r="O709" s="573">
        <v>1</v>
      </c>
      <c r="P709" s="573">
        <v>81</v>
      </c>
      <c r="Q709" s="571" t="s">
        <v>157</v>
      </c>
      <c r="R709" s="573" t="s">
        <v>1687</v>
      </c>
      <c r="S709" s="573">
        <v>10</v>
      </c>
      <c r="T709" s="573" t="s">
        <v>1688</v>
      </c>
      <c r="U709" s="573" t="s">
        <v>1689</v>
      </c>
      <c r="V709" s="573">
        <v>138</v>
      </c>
      <c r="W709" s="573">
        <v>40</v>
      </c>
      <c r="X709" s="571">
        <v>10050</v>
      </c>
      <c r="Y709" s="569" t="s">
        <v>164</v>
      </c>
      <c r="Z709" s="579" t="s">
        <v>178</v>
      </c>
      <c r="AA709" s="579" t="s">
        <v>178</v>
      </c>
      <c r="AB709" s="584">
        <v>32580</v>
      </c>
      <c r="AC709" s="584" t="s">
        <v>164</v>
      </c>
      <c r="AD709" s="584">
        <v>24747.437500000004</v>
      </c>
      <c r="AE709" s="586">
        <v>0.03</v>
      </c>
      <c r="AF709" s="661" t="str">
        <f t="shared" si="73"/>
        <v>2019-LVN-FRD-E350-027-27</v>
      </c>
      <c r="AG709" s="661" t="str">
        <f>IF(AND($Y709&gt;=32,(AI709="I"),(Y709&lt;&gt;"~"),(COUNTIF($AN$1:$AN709,$AN709)=1)),"TRUE","FALSE")</f>
        <v>FALSE</v>
      </c>
      <c r="AH709" s="661" t="str">
        <f>IF(AND($Y709&gt;=22, (AI709&lt;&gt;"I"),(Y709&lt;&gt;"~"),(COUNTIF($AN$1:$AN709,$AN709)=1)),"TRUE","FALSE")</f>
        <v>FALSE</v>
      </c>
      <c r="AI709" s="661" t="str">
        <f t="shared" si="75"/>
        <v>N/A</v>
      </c>
      <c r="AJ709" s="662" t="str">
        <f t="shared" si="76"/>
        <v>E350-027</v>
      </c>
      <c r="AK709" s="662" t="str">
        <f t="shared" si="77"/>
        <v>LVN</v>
      </c>
      <c r="AL709" s="662" t="str">
        <f t="shared" si="78"/>
        <v>FRD</v>
      </c>
      <c r="AM709" s="662" t="str">
        <f t="shared" si="74"/>
        <v>Econoline E350-SRW-RWD-2-81-~-6.8L-10-E3F-780A-138-40-Unleaded-Unleaded</v>
      </c>
      <c r="AN709" s="662" t="str">
        <f t="shared" si="79"/>
        <v>2019-LVN-FRD-E350-027</v>
      </c>
    </row>
    <row r="710" spans="1:40" s="572" customFormat="1" ht="15">
      <c r="A710" s="570" t="s">
        <v>1761</v>
      </c>
      <c r="B710" s="569" t="s">
        <v>1759</v>
      </c>
      <c r="C710" s="569" t="s">
        <v>280</v>
      </c>
      <c r="D710" s="580">
        <v>27</v>
      </c>
      <c r="E710" s="569" t="s">
        <v>1516</v>
      </c>
      <c r="F710" s="569" t="s">
        <v>1684</v>
      </c>
      <c r="G710" s="569" t="s">
        <v>271</v>
      </c>
      <c r="H710" s="569">
        <v>2019</v>
      </c>
      <c r="I710" s="569" t="s">
        <v>1685</v>
      </c>
      <c r="J710" s="569" t="s">
        <v>1757</v>
      </c>
      <c r="K710" s="569" t="s">
        <v>236</v>
      </c>
      <c r="L710" s="569">
        <v>2</v>
      </c>
      <c r="M710" s="569">
        <v>0</v>
      </c>
      <c r="N710" s="569" t="s">
        <v>157</v>
      </c>
      <c r="O710" s="569">
        <v>1</v>
      </c>
      <c r="P710" s="569">
        <v>81</v>
      </c>
      <c r="Q710" s="568" t="s">
        <v>157</v>
      </c>
      <c r="R710" s="569" t="s">
        <v>1687</v>
      </c>
      <c r="S710" s="569">
        <v>10</v>
      </c>
      <c r="T710" s="569" t="s">
        <v>1688</v>
      </c>
      <c r="U710" s="569" t="s">
        <v>1689</v>
      </c>
      <c r="V710" s="569">
        <v>158</v>
      </c>
      <c r="W710" s="569">
        <v>40</v>
      </c>
      <c r="X710" s="568">
        <v>10050</v>
      </c>
      <c r="Y710" s="569" t="s">
        <v>164</v>
      </c>
      <c r="Z710" s="581" t="s">
        <v>178</v>
      </c>
      <c r="AA710" s="581" t="s">
        <v>178</v>
      </c>
      <c r="AB710" s="585">
        <v>32830</v>
      </c>
      <c r="AC710" s="585" t="s">
        <v>164</v>
      </c>
      <c r="AD710" s="585">
        <v>24976.604166666668</v>
      </c>
      <c r="AE710" s="587">
        <v>0.03</v>
      </c>
      <c r="AF710" s="661" t="str">
        <f t="shared" si="73"/>
        <v>2019-LVN-FRD-E350-028-27</v>
      </c>
      <c r="AG710" s="661" t="str">
        <f>IF(AND($Y710&gt;=32,(AI710="I"),(Y710&lt;&gt;"~"),(COUNTIF($AN$1:$AN710,$AN710)=1)),"TRUE","FALSE")</f>
        <v>FALSE</v>
      </c>
      <c r="AH710" s="661" t="str">
        <f>IF(AND($Y710&gt;=22, (AI710&lt;&gt;"I"),(Y710&lt;&gt;"~"),(COUNTIF($AN$1:$AN710,$AN710)=1)),"TRUE","FALSE")</f>
        <v>FALSE</v>
      </c>
      <c r="AI710" s="661" t="str">
        <f t="shared" si="75"/>
        <v>N/A</v>
      </c>
      <c r="AJ710" s="662" t="str">
        <f t="shared" si="76"/>
        <v>E350-028</v>
      </c>
      <c r="AK710" s="662" t="str">
        <f t="shared" si="77"/>
        <v>LVN</v>
      </c>
      <c r="AL710" s="662" t="str">
        <f t="shared" si="78"/>
        <v>FRD</v>
      </c>
      <c r="AM710" s="662" t="str">
        <f t="shared" si="74"/>
        <v>Econoline E350-SRW-RWD-2-81-~-6.8L-10-E3F-780A-158-40-Unleaded-Unleaded</v>
      </c>
      <c r="AN710" s="662" t="str">
        <f t="shared" si="79"/>
        <v>2019-LVN-FRD-E350-028</v>
      </c>
    </row>
    <row r="711" spans="1:40" s="572" customFormat="1" ht="30">
      <c r="A711" s="570" t="s">
        <v>1762</v>
      </c>
      <c r="B711" s="573" t="s">
        <v>1763</v>
      </c>
      <c r="C711" s="573" t="s">
        <v>269</v>
      </c>
      <c r="D711" s="578" t="s">
        <v>270</v>
      </c>
      <c r="E711" s="573" t="s">
        <v>1516</v>
      </c>
      <c r="F711" s="573" t="s">
        <v>1684</v>
      </c>
      <c r="G711" s="573" t="s">
        <v>271</v>
      </c>
      <c r="H711" s="573">
        <v>2019</v>
      </c>
      <c r="I711" s="573" t="s">
        <v>1685</v>
      </c>
      <c r="J711" s="573" t="s">
        <v>1764</v>
      </c>
      <c r="K711" s="573" t="s">
        <v>236</v>
      </c>
      <c r="L711" s="573">
        <v>2</v>
      </c>
      <c r="M711" s="573">
        <v>0</v>
      </c>
      <c r="N711" s="573" t="s">
        <v>157</v>
      </c>
      <c r="O711" s="573">
        <v>1</v>
      </c>
      <c r="P711" s="573" t="s">
        <v>157</v>
      </c>
      <c r="Q711" s="571" t="s">
        <v>157</v>
      </c>
      <c r="R711" s="573" t="s">
        <v>1700</v>
      </c>
      <c r="S711" s="573">
        <v>8</v>
      </c>
      <c r="T711" s="573" t="s">
        <v>1688</v>
      </c>
      <c r="U711" s="573" t="s">
        <v>1689</v>
      </c>
      <c r="V711" s="573">
        <v>138</v>
      </c>
      <c r="W711" s="573">
        <v>40</v>
      </c>
      <c r="X711" s="571">
        <v>10050</v>
      </c>
      <c r="Y711" s="569" t="s">
        <v>164</v>
      </c>
      <c r="Z711" s="579" t="s">
        <v>450</v>
      </c>
      <c r="AA711" s="579" t="s">
        <v>178</v>
      </c>
      <c r="AB711" s="584">
        <v>32230</v>
      </c>
      <c r="AC711" s="584" t="s">
        <v>164</v>
      </c>
      <c r="AD711" s="584">
        <v>24437.020833333336</v>
      </c>
      <c r="AE711" s="586">
        <v>0.03</v>
      </c>
      <c r="AF711" s="661" t="str">
        <f t="shared" si="73"/>
        <v>2019-LVN-FRD-E350-019-05</v>
      </c>
      <c r="AG711" s="661" t="str">
        <f>IF(AND($Y711&gt;=32,(AI711="I"),(Y711&lt;&gt;"~"),(COUNTIF($AN$1:$AN711,$AN711)=1)),"TRUE","FALSE")</f>
        <v>FALSE</v>
      </c>
      <c r="AH711" s="661" t="str">
        <f>IF(AND($Y711&gt;=22, (AI711&lt;&gt;"I"),(Y711&lt;&gt;"~"),(COUNTIF($AN$1:$AN711,$AN711)=1)),"TRUE","FALSE")</f>
        <v>TRUE</v>
      </c>
      <c r="AI711" s="661" t="str">
        <f t="shared" si="75"/>
        <v>N/A</v>
      </c>
      <c r="AJ711" s="662" t="str">
        <f t="shared" si="76"/>
        <v>E350-019</v>
      </c>
      <c r="AK711" s="662" t="str">
        <f t="shared" si="77"/>
        <v>LVN</v>
      </c>
      <c r="AL711" s="662" t="str">
        <f t="shared" si="78"/>
        <v>FRD</v>
      </c>
      <c r="AM711" s="662" t="str">
        <f t="shared" si="74"/>
        <v>Econoline E350-SRW Cutaway Van Chassis-RWD-2-~-~-6.2L-8-E3F-780A-138-40-E85-Unleaded</v>
      </c>
      <c r="AN711" s="662" t="str">
        <f t="shared" si="79"/>
        <v>2019-LVN-FRD-E350-019</v>
      </c>
    </row>
    <row r="712" spans="1:40" s="572" customFormat="1" ht="30">
      <c r="A712" s="570" t="s">
        <v>1765</v>
      </c>
      <c r="B712" s="569" t="s">
        <v>1766</v>
      </c>
      <c r="C712" s="569" t="s">
        <v>269</v>
      </c>
      <c r="D712" s="580" t="s">
        <v>270</v>
      </c>
      <c r="E712" s="569" t="s">
        <v>1516</v>
      </c>
      <c r="F712" s="569" t="s">
        <v>1684</v>
      </c>
      <c r="G712" s="569" t="s">
        <v>271</v>
      </c>
      <c r="H712" s="569">
        <v>2019</v>
      </c>
      <c r="I712" s="569" t="s">
        <v>1685</v>
      </c>
      <c r="J712" s="569" t="s">
        <v>1764</v>
      </c>
      <c r="K712" s="569" t="s">
        <v>236</v>
      </c>
      <c r="L712" s="569">
        <v>2</v>
      </c>
      <c r="M712" s="569">
        <v>0</v>
      </c>
      <c r="N712" s="569" t="s">
        <v>157</v>
      </c>
      <c r="O712" s="569">
        <v>1</v>
      </c>
      <c r="P712" s="569" t="s">
        <v>157</v>
      </c>
      <c r="Q712" s="568" t="s">
        <v>157</v>
      </c>
      <c r="R712" s="569" t="s">
        <v>1700</v>
      </c>
      <c r="S712" s="569">
        <v>8</v>
      </c>
      <c r="T712" s="569" t="s">
        <v>1688</v>
      </c>
      <c r="U712" s="569" t="s">
        <v>1689</v>
      </c>
      <c r="V712" s="569">
        <v>158</v>
      </c>
      <c r="W712" s="569">
        <v>40</v>
      </c>
      <c r="X712" s="568">
        <v>10050</v>
      </c>
      <c r="Y712" s="569" t="s">
        <v>164</v>
      </c>
      <c r="Z712" s="581" t="s">
        <v>450</v>
      </c>
      <c r="AA712" s="581" t="s">
        <v>178</v>
      </c>
      <c r="AB712" s="585">
        <v>32480</v>
      </c>
      <c r="AC712" s="585" t="s">
        <v>164</v>
      </c>
      <c r="AD712" s="585">
        <v>24666.187500000004</v>
      </c>
      <c r="AE712" s="587">
        <v>0.03</v>
      </c>
      <c r="AF712" s="661" t="str">
        <f t="shared" ref="AF712:AF775" si="80">A712</f>
        <v>2019-LVN-FRD-E350-020-05</v>
      </c>
      <c r="AG712" s="661" t="str">
        <f>IF(AND($Y712&gt;=32,(AI712="I"),(Y712&lt;&gt;"~"),(COUNTIF($AN$1:$AN712,$AN712)=1)),"TRUE","FALSE")</f>
        <v>FALSE</v>
      </c>
      <c r="AH712" s="661" t="str">
        <f>IF(AND($Y712&gt;=22, (AI712&lt;&gt;"I"),(Y712&lt;&gt;"~"),(COUNTIF($AN$1:$AN712,$AN712)=1)),"TRUE","FALSE")</f>
        <v>TRUE</v>
      </c>
      <c r="AI712" s="661" t="str">
        <f t="shared" si="75"/>
        <v>N/A</v>
      </c>
      <c r="AJ712" s="662" t="str">
        <f t="shared" si="76"/>
        <v>E350-020</v>
      </c>
      <c r="AK712" s="662" t="str">
        <f t="shared" si="77"/>
        <v>LVN</v>
      </c>
      <c r="AL712" s="662" t="str">
        <f t="shared" si="78"/>
        <v>FRD</v>
      </c>
      <c r="AM712" s="662" t="str">
        <f t="shared" si="74"/>
        <v>Econoline E350-SRW Cutaway Van Chassis-RWD-2-~-~-6.2L-8-E3F-780A-158-40-E85-Unleaded</v>
      </c>
      <c r="AN712" s="662" t="str">
        <f t="shared" si="79"/>
        <v>2019-LVN-FRD-E350-020</v>
      </c>
    </row>
    <row r="713" spans="1:40" s="572" customFormat="1" ht="30">
      <c r="A713" s="570" t="s">
        <v>1767</v>
      </c>
      <c r="B713" s="573" t="s">
        <v>1768</v>
      </c>
      <c r="C713" s="573" t="s">
        <v>269</v>
      </c>
      <c r="D713" s="578" t="s">
        <v>270</v>
      </c>
      <c r="E713" s="573" t="s">
        <v>1516</v>
      </c>
      <c r="F713" s="573" t="s">
        <v>1684</v>
      </c>
      <c r="G713" s="573" t="s">
        <v>271</v>
      </c>
      <c r="H713" s="573">
        <v>2019</v>
      </c>
      <c r="I713" s="573" t="s">
        <v>1685</v>
      </c>
      <c r="J713" s="573" t="s">
        <v>1764</v>
      </c>
      <c r="K713" s="573" t="s">
        <v>236</v>
      </c>
      <c r="L713" s="573">
        <v>2</v>
      </c>
      <c r="M713" s="573">
        <v>0</v>
      </c>
      <c r="N713" s="573" t="s">
        <v>157</v>
      </c>
      <c r="O713" s="573">
        <v>1</v>
      </c>
      <c r="P713" s="573" t="s">
        <v>157</v>
      </c>
      <c r="Q713" s="571" t="s">
        <v>157</v>
      </c>
      <c r="R713" s="573" t="s">
        <v>1687</v>
      </c>
      <c r="S713" s="573">
        <v>10</v>
      </c>
      <c r="T713" s="573" t="s">
        <v>1688</v>
      </c>
      <c r="U713" s="573" t="s">
        <v>1689</v>
      </c>
      <c r="V713" s="573">
        <v>138</v>
      </c>
      <c r="W713" s="573">
        <v>40</v>
      </c>
      <c r="X713" s="571">
        <v>10050</v>
      </c>
      <c r="Y713" s="569" t="s">
        <v>164</v>
      </c>
      <c r="Z713" s="579" t="s">
        <v>178</v>
      </c>
      <c r="AA713" s="579" t="s">
        <v>178</v>
      </c>
      <c r="AB713" s="584">
        <v>32580</v>
      </c>
      <c r="AC713" s="584" t="s">
        <v>164</v>
      </c>
      <c r="AD713" s="584">
        <v>24747.437500000004</v>
      </c>
      <c r="AE713" s="586">
        <v>0.03</v>
      </c>
      <c r="AF713" s="661" t="str">
        <f t="shared" si="80"/>
        <v>2019-LVN-FRD-E350-021-05</v>
      </c>
      <c r="AG713" s="661" t="str">
        <f>IF(AND($Y713&gt;=32,(AI713="I"),(Y713&lt;&gt;"~"),(COUNTIF($AN$1:$AN713,$AN713)=1)),"TRUE","FALSE")</f>
        <v>FALSE</v>
      </c>
      <c r="AH713" s="661" t="str">
        <f>IF(AND($Y713&gt;=22, (AI713&lt;&gt;"I"),(Y713&lt;&gt;"~"),(COUNTIF($AN$1:$AN713,$AN713)=1)),"TRUE","FALSE")</f>
        <v>TRUE</v>
      </c>
      <c r="AI713" s="661" t="str">
        <f t="shared" si="75"/>
        <v>N/A</v>
      </c>
      <c r="AJ713" s="662" t="str">
        <f t="shared" si="76"/>
        <v>E350-021</v>
      </c>
      <c r="AK713" s="662" t="str">
        <f t="shared" si="77"/>
        <v>LVN</v>
      </c>
      <c r="AL713" s="662" t="str">
        <f t="shared" si="78"/>
        <v>FRD</v>
      </c>
      <c r="AM713" s="662" t="str">
        <f t="shared" si="74"/>
        <v>Econoline E350-SRW Cutaway Van Chassis-RWD-2-~-~-6.8L-10-E3F-780A-138-40-Unleaded-Unleaded</v>
      </c>
      <c r="AN713" s="662" t="str">
        <f t="shared" si="79"/>
        <v>2019-LVN-FRD-E350-021</v>
      </c>
    </row>
    <row r="714" spans="1:40" s="572" customFormat="1" ht="30">
      <c r="A714" s="570" t="s">
        <v>1769</v>
      </c>
      <c r="B714" s="569" t="s">
        <v>1770</v>
      </c>
      <c r="C714" s="569" t="s">
        <v>269</v>
      </c>
      <c r="D714" s="580" t="s">
        <v>270</v>
      </c>
      <c r="E714" s="569" t="s">
        <v>1516</v>
      </c>
      <c r="F714" s="569" t="s">
        <v>1684</v>
      </c>
      <c r="G714" s="569" t="s">
        <v>271</v>
      </c>
      <c r="H714" s="569">
        <v>2019</v>
      </c>
      <c r="I714" s="569" t="s">
        <v>1685</v>
      </c>
      <c r="J714" s="569" t="s">
        <v>1764</v>
      </c>
      <c r="K714" s="569" t="s">
        <v>236</v>
      </c>
      <c r="L714" s="569">
        <v>2</v>
      </c>
      <c r="M714" s="569">
        <v>0</v>
      </c>
      <c r="N714" s="569" t="s">
        <v>157</v>
      </c>
      <c r="O714" s="569">
        <v>1</v>
      </c>
      <c r="P714" s="569" t="s">
        <v>157</v>
      </c>
      <c r="Q714" s="568" t="s">
        <v>157</v>
      </c>
      <c r="R714" s="569" t="s">
        <v>1687</v>
      </c>
      <c r="S714" s="569">
        <v>10</v>
      </c>
      <c r="T714" s="569" t="s">
        <v>1688</v>
      </c>
      <c r="U714" s="569" t="s">
        <v>1689</v>
      </c>
      <c r="V714" s="569">
        <v>158</v>
      </c>
      <c r="W714" s="569">
        <v>40</v>
      </c>
      <c r="X714" s="568">
        <v>10050</v>
      </c>
      <c r="Y714" s="569" t="s">
        <v>164</v>
      </c>
      <c r="Z714" s="581" t="s">
        <v>178</v>
      </c>
      <c r="AA714" s="581" t="s">
        <v>178</v>
      </c>
      <c r="AB714" s="585">
        <v>32830</v>
      </c>
      <c r="AC714" s="585" t="s">
        <v>164</v>
      </c>
      <c r="AD714" s="585">
        <v>24976.604166666668</v>
      </c>
      <c r="AE714" s="587">
        <v>0.03</v>
      </c>
      <c r="AF714" s="661" t="str">
        <f t="shared" si="80"/>
        <v>2019-LVN-FRD-E350-022-05</v>
      </c>
      <c r="AG714" s="661" t="str">
        <f>IF(AND($Y714&gt;=32,(AI714="I"),(Y714&lt;&gt;"~"),(COUNTIF($AN$1:$AN714,$AN714)=1)),"TRUE","FALSE")</f>
        <v>FALSE</v>
      </c>
      <c r="AH714" s="661" t="str">
        <f>IF(AND($Y714&gt;=22, (AI714&lt;&gt;"I"),(Y714&lt;&gt;"~"),(COUNTIF($AN$1:$AN714,$AN714)=1)),"TRUE","FALSE")</f>
        <v>TRUE</v>
      </c>
      <c r="AI714" s="661" t="str">
        <f t="shared" si="75"/>
        <v>N/A</v>
      </c>
      <c r="AJ714" s="662" t="str">
        <f t="shared" si="76"/>
        <v>E350-022</v>
      </c>
      <c r="AK714" s="662" t="str">
        <f t="shared" si="77"/>
        <v>LVN</v>
      </c>
      <c r="AL714" s="662" t="str">
        <f t="shared" si="78"/>
        <v>FRD</v>
      </c>
      <c r="AM714" s="662" t="str">
        <f t="shared" si="74"/>
        <v>Econoline E350-SRW Cutaway Van Chassis-RWD-2-~-~-6.8L-10-E3F-780A-158-40-Unleaded-Unleaded</v>
      </c>
      <c r="AN714" s="662" t="str">
        <f t="shared" si="79"/>
        <v>2019-LVN-FRD-E350-022</v>
      </c>
    </row>
    <row r="715" spans="1:40" s="572" customFormat="1" ht="30">
      <c r="A715" s="570" t="s">
        <v>1771</v>
      </c>
      <c r="B715" s="573" t="s">
        <v>1772</v>
      </c>
      <c r="C715" s="573" t="s">
        <v>269</v>
      </c>
      <c r="D715" s="578" t="s">
        <v>270</v>
      </c>
      <c r="E715" s="573" t="s">
        <v>1516</v>
      </c>
      <c r="F715" s="573" t="s">
        <v>1684</v>
      </c>
      <c r="G715" s="573" t="s">
        <v>271</v>
      </c>
      <c r="H715" s="573">
        <v>2019</v>
      </c>
      <c r="I715" s="573" t="s">
        <v>1685</v>
      </c>
      <c r="J715" s="573" t="s">
        <v>1764</v>
      </c>
      <c r="K715" s="573" t="s">
        <v>236</v>
      </c>
      <c r="L715" s="573">
        <v>2</v>
      </c>
      <c r="M715" s="573">
        <v>0</v>
      </c>
      <c r="N715" s="573" t="s">
        <v>157</v>
      </c>
      <c r="O715" s="573">
        <v>1</v>
      </c>
      <c r="P715" s="573" t="s">
        <v>157</v>
      </c>
      <c r="Q715" s="571">
        <v>8500</v>
      </c>
      <c r="R715" s="573" t="s">
        <v>1700</v>
      </c>
      <c r="S715" s="573">
        <v>8</v>
      </c>
      <c r="T715" s="573" t="s">
        <v>1688</v>
      </c>
      <c r="U715" s="573" t="s">
        <v>1689</v>
      </c>
      <c r="V715" s="573">
        <v>138</v>
      </c>
      <c r="W715" s="573">
        <v>40</v>
      </c>
      <c r="X715" s="571">
        <v>10050</v>
      </c>
      <c r="Y715" s="569" t="s">
        <v>164</v>
      </c>
      <c r="Z715" s="579" t="s">
        <v>450</v>
      </c>
      <c r="AA715" s="579" t="s">
        <v>178</v>
      </c>
      <c r="AB715" s="584">
        <v>32230</v>
      </c>
      <c r="AC715" s="584" t="s">
        <v>164</v>
      </c>
      <c r="AD715" s="584">
        <v>24437.020833333336</v>
      </c>
      <c r="AE715" s="586">
        <v>0.03</v>
      </c>
      <c r="AF715" s="661" t="str">
        <f t="shared" si="80"/>
        <v>2019-LVN-FRD-E350-023-05</v>
      </c>
      <c r="AG715" s="661" t="str">
        <f>IF(AND($Y715&gt;=32,(AI715="I"),(Y715&lt;&gt;"~"),(COUNTIF($AN$1:$AN715,$AN715)=1)),"TRUE","FALSE")</f>
        <v>FALSE</v>
      </c>
      <c r="AH715" s="661" t="str">
        <f>IF(AND($Y715&gt;=22, (AI715&lt;&gt;"I"),(Y715&lt;&gt;"~"),(COUNTIF($AN$1:$AN715,$AN715)=1)),"TRUE","FALSE")</f>
        <v>TRUE</v>
      </c>
      <c r="AI715" s="661" t="str">
        <f t="shared" si="75"/>
        <v>N/A</v>
      </c>
      <c r="AJ715" s="662" t="str">
        <f t="shared" si="76"/>
        <v>E350-023</v>
      </c>
      <c r="AK715" s="662" t="str">
        <f t="shared" si="77"/>
        <v>LVN</v>
      </c>
      <c r="AL715" s="662" t="str">
        <f t="shared" si="78"/>
        <v>FRD</v>
      </c>
      <c r="AM715" s="662" t="str">
        <f t="shared" si="74"/>
        <v>Econoline E350-SRW Cutaway Van Chassis-RWD-2-~-8500-6.2L-8-E3F-780A-138-40-E85-Unleaded</v>
      </c>
      <c r="AN715" s="662" t="str">
        <f t="shared" si="79"/>
        <v>2019-LVN-FRD-E350-023</v>
      </c>
    </row>
    <row r="716" spans="1:40" s="572" customFormat="1" ht="30">
      <c r="A716" s="570" t="s">
        <v>1773</v>
      </c>
      <c r="B716" s="569" t="s">
        <v>1774</v>
      </c>
      <c r="C716" s="569" t="s">
        <v>269</v>
      </c>
      <c r="D716" s="580" t="s">
        <v>270</v>
      </c>
      <c r="E716" s="569" t="s">
        <v>1516</v>
      </c>
      <c r="F716" s="569" t="s">
        <v>1684</v>
      </c>
      <c r="G716" s="569" t="s">
        <v>271</v>
      </c>
      <c r="H716" s="569">
        <v>2019</v>
      </c>
      <c r="I716" s="569" t="s">
        <v>1685</v>
      </c>
      <c r="J716" s="569" t="s">
        <v>1764</v>
      </c>
      <c r="K716" s="569" t="s">
        <v>236</v>
      </c>
      <c r="L716" s="569">
        <v>2</v>
      </c>
      <c r="M716" s="569">
        <v>0</v>
      </c>
      <c r="N716" s="569" t="s">
        <v>157</v>
      </c>
      <c r="O716" s="569">
        <v>1</v>
      </c>
      <c r="P716" s="569" t="s">
        <v>157</v>
      </c>
      <c r="Q716" s="568">
        <v>8500</v>
      </c>
      <c r="R716" s="569" t="s">
        <v>1700</v>
      </c>
      <c r="S716" s="569">
        <v>8</v>
      </c>
      <c r="T716" s="569" t="s">
        <v>1688</v>
      </c>
      <c r="U716" s="569" t="s">
        <v>1689</v>
      </c>
      <c r="V716" s="569">
        <v>158</v>
      </c>
      <c r="W716" s="569">
        <v>40</v>
      </c>
      <c r="X716" s="568">
        <v>10050</v>
      </c>
      <c r="Y716" s="569" t="s">
        <v>164</v>
      </c>
      <c r="Z716" s="581" t="s">
        <v>450</v>
      </c>
      <c r="AA716" s="581" t="s">
        <v>178</v>
      </c>
      <c r="AB716" s="585">
        <v>32480</v>
      </c>
      <c r="AC716" s="585" t="s">
        <v>164</v>
      </c>
      <c r="AD716" s="585">
        <v>24666.187500000004</v>
      </c>
      <c r="AE716" s="587">
        <v>0.03</v>
      </c>
      <c r="AF716" s="661" t="str">
        <f t="shared" si="80"/>
        <v>2019-LVN-FRD-E350-024-05</v>
      </c>
      <c r="AG716" s="661" t="str">
        <f>IF(AND($Y716&gt;=32,(AI716="I"),(Y716&lt;&gt;"~"),(COUNTIF($AN$1:$AN716,$AN716)=1)),"TRUE","FALSE")</f>
        <v>FALSE</v>
      </c>
      <c r="AH716" s="661" t="str">
        <f>IF(AND($Y716&gt;=22, (AI716&lt;&gt;"I"),(Y716&lt;&gt;"~"),(COUNTIF($AN$1:$AN716,$AN716)=1)),"TRUE","FALSE")</f>
        <v>TRUE</v>
      </c>
      <c r="AI716" s="661" t="str">
        <f t="shared" si="75"/>
        <v>N/A</v>
      </c>
      <c r="AJ716" s="662" t="str">
        <f t="shared" si="76"/>
        <v>E350-024</v>
      </c>
      <c r="AK716" s="662" t="str">
        <f t="shared" si="77"/>
        <v>LVN</v>
      </c>
      <c r="AL716" s="662" t="str">
        <f t="shared" si="78"/>
        <v>FRD</v>
      </c>
      <c r="AM716" s="662" t="str">
        <f t="shared" si="74"/>
        <v>Econoline E350-SRW Cutaway Van Chassis-RWD-2-~-8500-6.2L-8-E3F-780A-158-40-E85-Unleaded</v>
      </c>
      <c r="AN716" s="662" t="str">
        <f t="shared" si="79"/>
        <v>2019-LVN-FRD-E350-024</v>
      </c>
    </row>
    <row r="717" spans="1:40" s="572" customFormat="1" ht="30">
      <c r="A717" s="570" t="s">
        <v>1775</v>
      </c>
      <c r="B717" s="573" t="s">
        <v>1776</v>
      </c>
      <c r="C717" s="573" t="s">
        <v>269</v>
      </c>
      <c r="D717" s="578" t="s">
        <v>270</v>
      </c>
      <c r="E717" s="573" t="s">
        <v>1516</v>
      </c>
      <c r="F717" s="573" t="s">
        <v>1684</v>
      </c>
      <c r="G717" s="573" t="s">
        <v>271</v>
      </c>
      <c r="H717" s="573">
        <v>2019</v>
      </c>
      <c r="I717" s="573" t="s">
        <v>1685</v>
      </c>
      <c r="J717" s="573" t="s">
        <v>1764</v>
      </c>
      <c r="K717" s="573" t="s">
        <v>236</v>
      </c>
      <c r="L717" s="573">
        <v>2</v>
      </c>
      <c r="M717" s="573">
        <v>0</v>
      </c>
      <c r="N717" s="573" t="s">
        <v>157</v>
      </c>
      <c r="O717" s="573">
        <v>1</v>
      </c>
      <c r="P717" s="573" t="s">
        <v>157</v>
      </c>
      <c r="Q717" s="571">
        <v>8500</v>
      </c>
      <c r="R717" s="573" t="s">
        <v>1687</v>
      </c>
      <c r="S717" s="573">
        <v>10</v>
      </c>
      <c r="T717" s="573" t="s">
        <v>1688</v>
      </c>
      <c r="U717" s="573" t="s">
        <v>1689</v>
      </c>
      <c r="V717" s="573">
        <v>138</v>
      </c>
      <c r="W717" s="573">
        <v>40</v>
      </c>
      <c r="X717" s="571">
        <v>10050</v>
      </c>
      <c r="Y717" s="569" t="s">
        <v>164</v>
      </c>
      <c r="Z717" s="579" t="s">
        <v>178</v>
      </c>
      <c r="AA717" s="579" t="s">
        <v>178</v>
      </c>
      <c r="AB717" s="584">
        <v>32580</v>
      </c>
      <c r="AC717" s="584" t="s">
        <v>164</v>
      </c>
      <c r="AD717" s="584">
        <v>24747.437500000004</v>
      </c>
      <c r="AE717" s="586">
        <v>0.03</v>
      </c>
      <c r="AF717" s="661" t="str">
        <f t="shared" si="80"/>
        <v>2019-LVN-FRD-E350-025-05</v>
      </c>
      <c r="AG717" s="661" t="str">
        <f>IF(AND($Y717&gt;=32,(AI717="I"),(Y717&lt;&gt;"~"),(COUNTIF($AN$1:$AN717,$AN717)=1)),"TRUE","FALSE")</f>
        <v>FALSE</v>
      </c>
      <c r="AH717" s="661" t="str">
        <f>IF(AND($Y717&gt;=22, (AI717&lt;&gt;"I"),(Y717&lt;&gt;"~"),(COUNTIF($AN$1:$AN717,$AN717)=1)),"TRUE","FALSE")</f>
        <v>TRUE</v>
      </c>
      <c r="AI717" s="661" t="str">
        <f t="shared" si="75"/>
        <v>N/A</v>
      </c>
      <c r="AJ717" s="662" t="str">
        <f t="shared" si="76"/>
        <v>E350-025</v>
      </c>
      <c r="AK717" s="662" t="str">
        <f t="shared" si="77"/>
        <v>LVN</v>
      </c>
      <c r="AL717" s="662" t="str">
        <f t="shared" si="78"/>
        <v>FRD</v>
      </c>
      <c r="AM717" s="662" t="str">
        <f t="shared" si="74"/>
        <v>Econoline E350-SRW Cutaway Van Chassis-RWD-2-~-8500-6.8L-10-E3F-780A-138-40-Unleaded-Unleaded</v>
      </c>
      <c r="AN717" s="662" t="str">
        <f t="shared" si="79"/>
        <v>2019-LVN-FRD-E350-025</v>
      </c>
    </row>
    <row r="718" spans="1:40" s="572" customFormat="1" ht="30">
      <c r="A718" s="570" t="s">
        <v>1777</v>
      </c>
      <c r="B718" s="569" t="s">
        <v>1778</v>
      </c>
      <c r="C718" s="569" t="s">
        <v>269</v>
      </c>
      <c r="D718" s="580" t="s">
        <v>270</v>
      </c>
      <c r="E718" s="569" t="s">
        <v>1516</v>
      </c>
      <c r="F718" s="569" t="s">
        <v>1684</v>
      </c>
      <c r="G718" s="569" t="s">
        <v>271</v>
      </c>
      <c r="H718" s="569">
        <v>2019</v>
      </c>
      <c r="I718" s="569" t="s">
        <v>1685</v>
      </c>
      <c r="J718" s="569" t="s">
        <v>1764</v>
      </c>
      <c r="K718" s="569" t="s">
        <v>236</v>
      </c>
      <c r="L718" s="569">
        <v>2</v>
      </c>
      <c r="M718" s="569">
        <v>0</v>
      </c>
      <c r="N718" s="569" t="s">
        <v>157</v>
      </c>
      <c r="O718" s="569">
        <v>1</v>
      </c>
      <c r="P718" s="569" t="s">
        <v>157</v>
      </c>
      <c r="Q718" s="568">
        <v>8500</v>
      </c>
      <c r="R718" s="569" t="s">
        <v>1687</v>
      </c>
      <c r="S718" s="569">
        <v>10</v>
      </c>
      <c r="T718" s="569" t="s">
        <v>1688</v>
      </c>
      <c r="U718" s="569" t="s">
        <v>1689</v>
      </c>
      <c r="V718" s="569">
        <v>158</v>
      </c>
      <c r="W718" s="569">
        <v>40</v>
      </c>
      <c r="X718" s="568">
        <v>10050</v>
      </c>
      <c r="Y718" s="569" t="s">
        <v>164</v>
      </c>
      <c r="Z718" s="581" t="s">
        <v>178</v>
      </c>
      <c r="AA718" s="581" t="s">
        <v>178</v>
      </c>
      <c r="AB718" s="585">
        <v>32830</v>
      </c>
      <c r="AC718" s="585" t="s">
        <v>164</v>
      </c>
      <c r="AD718" s="585">
        <v>24976.604166666668</v>
      </c>
      <c r="AE718" s="587">
        <v>0.03</v>
      </c>
      <c r="AF718" s="661" t="str">
        <f t="shared" si="80"/>
        <v>2019-LVN-FRD-E350-026-05</v>
      </c>
      <c r="AG718" s="661" t="str">
        <f>IF(AND($Y718&gt;=32,(AI718="I"),(Y718&lt;&gt;"~"),(COUNTIF($AN$1:$AN718,$AN718)=1)),"TRUE","FALSE")</f>
        <v>FALSE</v>
      </c>
      <c r="AH718" s="661" t="str">
        <f>IF(AND($Y718&gt;=22, (AI718&lt;&gt;"I"),(Y718&lt;&gt;"~"),(COUNTIF($AN$1:$AN718,$AN718)=1)),"TRUE","FALSE")</f>
        <v>TRUE</v>
      </c>
      <c r="AI718" s="661" t="str">
        <f t="shared" si="75"/>
        <v>N/A</v>
      </c>
      <c r="AJ718" s="662" t="str">
        <f t="shared" si="76"/>
        <v>E350-026</v>
      </c>
      <c r="AK718" s="662" t="str">
        <f t="shared" si="77"/>
        <v>LVN</v>
      </c>
      <c r="AL718" s="662" t="str">
        <f t="shared" si="78"/>
        <v>FRD</v>
      </c>
      <c r="AM718" s="662" t="str">
        <f t="shared" si="74"/>
        <v>Econoline E350-SRW Cutaway Van Chassis-RWD-2-~-8500-6.8L-10-E3F-780A-158-40-Unleaded-Unleaded</v>
      </c>
      <c r="AN718" s="662" t="str">
        <f t="shared" si="79"/>
        <v>2019-LVN-FRD-E350-026</v>
      </c>
    </row>
    <row r="719" spans="1:40" s="572" customFormat="1" ht="30">
      <c r="A719" s="570" t="s">
        <v>1779</v>
      </c>
      <c r="B719" s="573" t="s">
        <v>1772</v>
      </c>
      <c r="C719" s="573" t="s">
        <v>278</v>
      </c>
      <c r="D719" s="578">
        <v>15</v>
      </c>
      <c r="E719" s="573" t="s">
        <v>1516</v>
      </c>
      <c r="F719" s="573" t="s">
        <v>1684</v>
      </c>
      <c r="G719" s="573" t="s">
        <v>271</v>
      </c>
      <c r="H719" s="573">
        <v>2019</v>
      </c>
      <c r="I719" s="573" t="s">
        <v>1685</v>
      </c>
      <c r="J719" s="573" t="s">
        <v>1764</v>
      </c>
      <c r="K719" s="573" t="s">
        <v>236</v>
      </c>
      <c r="L719" s="573">
        <v>2</v>
      </c>
      <c r="M719" s="573">
        <v>0</v>
      </c>
      <c r="N719" s="573" t="s">
        <v>157</v>
      </c>
      <c r="O719" s="573">
        <v>1</v>
      </c>
      <c r="P719" s="573" t="s">
        <v>157</v>
      </c>
      <c r="Q719" s="571">
        <v>8500</v>
      </c>
      <c r="R719" s="573" t="s">
        <v>1700</v>
      </c>
      <c r="S719" s="573">
        <v>8</v>
      </c>
      <c r="T719" s="573" t="s">
        <v>1688</v>
      </c>
      <c r="U719" s="573" t="s">
        <v>1689</v>
      </c>
      <c r="V719" s="573">
        <v>138</v>
      </c>
      <c r="W719" s="573">
        <v>40</v>
      </c>
      <c r="X719" s="571">
        <v>11500</v>
      </c>
      <c r="Y719" s="569" t="s">
        <v>164</v>
      </c>
      <c r="Z719" s="579" t="s">
        <v>450</v>
      </c>
      <c r="AA719" s="579" t="s">
        <v>178</v>
      </c>
      <c r="AB719" s="584">
        <v>32480</v>
      </c>
      <c r="AC719" s="584" t="s">
        <v>164</v>
      </c>
      <c r="AD719" s="584">
        <v>24995</v>
      </c>
      <c r="AE719" s="586">
        <v>0.01</v>
      </c>
      <c r="AF719" s="661" t="str">
        <f t="shared" si="80"/>
        <v>2019-LVN-FRD-E350-023-15</v>
      </c>
      <c r="AG719" s="661" t="str">
        <f>IF(AND($Y719&gt;=32,(AI719="I"),(Y719&lt;&gt;"~"),(COUNTIF($AN$1:$AN719,$AN719)=1)),"TRUE","FALSE")</f>
        <v>FALSE</v>
      </c>
      <c r="AH719" s="661" t="str">
        <f>IF(AND($Y719&gt;=22, (AI719&lt;&gt;"I"),(Y719&lt;&gt;"~"),(COUNTIF($AN$1:$AN719,$AN719)=1)),"TRUE","FALSE")</f>
        <v>FALSE</v>
      </c>
      <c r="AI719" s="661" t="str">
        <f t="shared" si="75"/>
        <v>N/A</v>
      </c>
      <c r="AJ719" s="662" t="str">
        <f t="shared" si="76"/>
        <v>E350-023</v>
      </c>
      <c r="AK719" s="662" t="str">
        <f t="shared" si="77"/>
        <v>LVN</v>
      </c>
      <c r="AL719" s="662" t="str">
        <f t="shared" si="78"/>
        <v>FRD</v>
      </c>
      <c r="AM719" s="662" t="str">
        <f t="shared" si="74"/>
        <v>Econoline E350-SRW Cutaway Van Chassis-RWD-2-~-8500-6.2L-8-E3F-780A-138-40-E85-Unleaded</v>
      </c>
      <c r="AN719" s="662" t="str">
        <f t="shared" si="79"/>
        <v>2019-LVN-FRD-E350-023</v>
      </c>
    </row>
    <row r="720" spans="1:40" s="572" customFormat="1" ht="30">
      <c r="A720" s="570" t="s">
        <v>1780</v>
      </c>
      <c r="B720" s="569" t="s">
        <v>1774</v>
      </c>
      <c r="C720" s="569" t="s">
        <v>278</v>
      </c>
      <c r="D720" s="580">
        <v>15</v>
      </c>
      <c r="E720" s="569" t="s">
        <v>1516</v>
      </c>
      <c r="F720" s="569" t="s">
        <v>1684</v>
      </c>
      <c r="G720" s="569" t="s">
        <v>271</v>
      </c>
      <c r="H720" s="569">
        <v>2019</v>
      </c>
      <c r="I720" s="569" t="s">
        <v>1685</v>
      </c>
      <c r="J720" s="569" t="s">
        <v>1764</v>
      </c>
      <c r="K720" s="569" t="s">
        <v>236</v>
      </c>
      <c r="L720" s="569">
        <v>2</v>
      </c>
      <c r="M720" s="569">
        <v>0</v>
      </c>
      <c r="N720" s="569" t="s">
        <v>157</v>
      </c>
      <c r="O720" s="569">
        <v>1</v>
      </c>
      <c r="P720" s="569" t="s">
        <v>157</v>
      </c>
      <c r="Q720" s="568">
        <v>8500</v>
      </c>
      <c r="R720" s="569" t="s">
        <v>1700</v>
      </c>
      <c r="S720" s="569">
        <v>8</v>
      </c>
      <c r="T720" s="569" t="s">
        <v>1688</v>
      </c>
      <c r="U720" s="569" t="s">
        <v>1689</v>
      </c>
      <c r="V720" s="569">
        <v>158</v>
      </c>
      <c r="W720" s="569">
        <v>40</v>
      </c>
      <c r="X720" s="568">
        <v>11500</v>
      </c>
      <c r="Y720" s="569" t="s">
        <v>164</v>
      </c>
      <c r="Z720" s="581" t="s">
        <v>450</v>
      </c>
      <c r="AA720" s="581" t="s">
        <v>178</v>
      </c>
      <c r="AB720" s="585">
        <v>32730</v>
      </c>
      <c r="AC720" s="585" t="s">
        <v>164</v>
      </c>
      <c r="AD720" s="585">
        <v>25250</v>
      </c>
      <c r="AE720" s="587">
        <v>0.01</v>
      </c>
      <c r="AF720" s="661" t="str">
        <f t="shared" si="80"/>
        <v>2019-LVN-FRD-E350-024-15</v>
      </c>
      <c r="AG720" s="661" t="str">
        <f>IF(AND($Y720&gt;=32,(AI720="I"),(Y720&lt;&gt;"~"),(COUNTIF($AN$1:$AN720,$AN720)=1)),"TRUE","FALSE")</f>
        <v>FALSE</v>
      </c>
      <c r="AH720" s="661" t="str">
        <f>IF(AND($Y720&gt;=22, (AI720&lt;&gt;"I"),(Y720&lt;&gt;"~"),(COUNTIF($AN$1:$AN720,$AN720)=1)),"TRUE","FALSE")</f>
        <v>FALSE</v>
      </c>
      <c r="AI720" s="661" t="str">
        <f t="shared" si="75"/>
        <v>N/A</v>
      </c>
      <c r="AJ720" s="662" t="str">
        <f t="shared" si="76"/>
        <v>E350-024</v>
      </c>
      <c r="AK720" s="662" t="str">
        <f t="shared" si="77"/>
        <v>LVN</v>
      </c>
      <c r="AL720" s="662" t="str">
        <f t="shared" si="78"/>
        <v>FRD</v>
      </c>
      <c r="AM720" s="662" t="str">
        <f t="shared" si="74"/>
        <v>Econoline E350-SRW Cutaway Van Chassis-RWD-2-~-8500-6.2L-8-E3F-780A-158-40-E85-Unleaded</v>
      </c>
      <c r="AN720" s="662" t="str">
        <f t="shared" si="79"/>
        <v>2019-LVN-FRD-E350-024</v>
      </c>
    </row>
    <row r="721" spans="1:40" s="572" customFormat="1" ht="30">
      <c r="A721" s="570" t="s">
        <v>1781</v>
      </c>
      <c r="B721" s="573" t="s">
        <v>1776</v>
      </c>
      <c r="C721" s="573" t="s">
        <v>278</v>
      </c>
      <c r="D721" s="578">
        <v>15</v>
      </c>
      <c r="E721" s="573" t="s">
        <v>1516</v>
      </c>
      <c r="F721" s="573" t="s">
        <v>1684</v>
      </c>
      <c r="G721" s="573" t="s">
        <v>271</v>
      </c>
      <c r="H721" s="573">
        <v>2019</v>
      </c>
      <c r="I721" s="573" t="s">
        <v>1685</v>
      </c>
      <c r="J721" s="573" t="s">
        <v>1764</v>
      </c>
      <c r="K721" s="573" t="s">
        <v>236</v>
      </c>
      <c r="L721" s="573">
        <v>2</v>
      </c>
      <c r="M721" s="573">
        <v>0</v>
      </c>
      <c r="N721" s="573" t="s">
        <v>157</v>
      </c>
      <c r="O721" s="573">
        <v>1</v>
      </c>
      <c r="P721" s="573" t="s">
        <v>157</v>
      </c>
      <c r="Q721" s="571">
        <v>8500</v>
      </c>
      <c r="R721" s="573" t="s">
        <v>1687</v>
      </c>
      <c r="S721" s="573">
        <v>10</v>
      </c>
      <c r="T721" s="573" t="s">
        <v>1688</v>
      </c>
      <c r="U721" s="573" t="s">
        <v>1689</v>
      </c>
      <c r="V721" s="573">
        <v>138</v>
      </c>
      <c r="W721" s="573">
        <v>40</v>
      </c>
      <c r="X721" s="571">
        <v>11500</v>
      </c>
      <c r="Y721" s="569" t="s">
        <v>164</v>
      </c>
      <c r="Z721" s="579" t="s">
        <v>178</v>
      </c>
      <c r="AA721" s="579" t="s">
        <v>178</v>
      </c>
      <c r="AB721" s="584">
        <v>32830</v>
      </c>
      <c r="AC721" s="584" t="s">
        <v>164</v>
      </c>
      <c r="AD721" s="584">
        <v>25300</v>
      </c>
      <c r="AE721" s="586">
        <v>0.01</v>
      </c>
      <c r="AF721" s="661" t="str">
        <f t="shared" si="80"/>
        <v>2019-LVN-FRD-E350-025-15</v>
      </c>
      <c r="AG721" s="661" t="str">
        <f>IF(AND($Y721&gt;=32,(AI721="I"),(Y721&lt;&gt;"~"),(COUNTIF($AN$1:$AN721,$AN721)=1)),"TRUE","FALSE")</f>
        <v>FALSE</v>
      </c>
      <c r="AH721" s="661" t="str">
        <f>IF(AND($Y721&gt;=22, (AI721&lt;&gt;"I"),(Y721&lt;&gt;"~"),(COUNTIF($AN$1:$AN721,$AN721)=1)),"TRUE","FALSE")</f>
        <v>FALSE</v>
      </c>
      <c r="AI721" s="661" t="str">
        <f t="shared" si="75"/>
        <v>N/A</v>
      </c>
      <c r="AJ721" s="662" t="str">
        <f t="shared" si="76"/>
        <v>E350-025</v>
      </c>
      <c r="AK721" s="662" t="str">
        <f t="shared" si="77"/>
        <v>LVN</v>
      </c>
      <c r="AL721" s="662" t="str">
        <f t="shared" si="78"/>
        <v>FRD</v>
      </c>
      <c r="AM721" s="662" t="str">
        <f t="shared" si="74"/>
        <v>Econoline E350-SRW Cutaway Van Chassis-RWD-2-~-8500-6.8L-10-E3F-780A-138-40-Unleaded-Unleaded</v>
      </c>
      <c r="AN721" s="662" t="str">
        <f t="shared" si="79"/>
        <v>2019-LVN-FRD-E350-025</v>
      </c>
    </row>
    <row r="722" spans="1:40" s="572" customFormat="1" ht="30">
      <c r="A722" s="570" t="s">
        <v>1782</v>
      </c>
      <c r="B722" s="569" t="s">
        <v>1778</v>
      </c>
      <c r="C722" s="569" t="s">
        <v>278</v>
      </c>
      <c r="D722" s="580">
        <v>15</v>
      </c>
      <c r="E722" s="569" t="s">
        <v>1516</v>
      </c>
      <c r="F722" s="569" t="s">
        <v>1684</v>
      </c>
      <c r="G722" s="569" t="s">
        <v>271</v>
      </c>
      <c r="H722" s="569">
        <v>2019</v>
      </c>
      <c r="I722" s="569" t="s">
        <v>1685</v>
      </c>
      <c r="J722" s="569" t="s">
        <v>1764</v>
      </c>
      <c r="K722" s="569" t="s">
        <v>236</v>
      </c>
      <c r="L722" s="569">
        <v>2</v>
      </c>
      <c r="M722" s="569">
        <v>0</v>
      </c>
      <c r="N722" s="569" t="s">
        <v>157</v>
      </c>
      <c r="O722" s="569">
        <v>1</v>
      </c>
      <c r="P722" s="569" t="s">
        <v>157</v>
      </c>
      <c r="Q722" s="568">
        <v>8500</v>
      </c>
      <c r="R722" s="569" t="s">
        <v>1687</v>
      </c>
      <c r="S722" s="569">
        <v>10</v>
      </c>
      <c r="T722" s="569" t="s">
        <v>1688</v>
      </c>
      <c r="U722" s="569" t="s">
        <v>1689</v>
      </c>
      <c r="V722" s="569">
        <v>158</v>
      </c>
      <c r="W722" s="569">
        <v>40</v>
      </c>
      <c r="X722" s="568">
        <v>11500</v>
      </c>
      <c r="Y722" s="569" t="s">
        <v>164</v>
      </c>
      <c r="Z722" s="581" t="s">
        <v>178</v>
      </c>
      <c r="AA722" s="581" t="s">
        <v>178</v>
      </c>
      <c r="AB722" s="585">
        <v>33080</v>
      </c>
      <c r="AC722" s="585" t="s">
        <v>164</v>
      </c>
      <c r="AD722" s="585">
        <v>25550</v>
      </c>
      <c r="AE722" s="587">
        <v>0.01</v>
      </c>
      <c r="AF722" s="661" t="str">
        <f t="shared" si="80"/>
        <v>2019-LVN-FRD-E350-026-15</v>
      </c>
      <c r="AG722" s="661" t="str">
        <f>IF(AND($Y722&gt;=32,(AI722="I"),(Y722&lt;&gt;"~"),(COUNTIF($AN$1:$AN722,$AN722)=1)),"TRUE","FALSE")</f>
        <v>FALSE</v>
      </c>
      <c r="AH722" s="661" t="str">
        <f>IF(AND($Y722&gt;=22, (AI722&lt;&gt;"I"),(Y722&lt;&gt;"~"),(COUNTIF($AN$1:$AN722,$AN722)=1)),"TRUE","FALSE")</f>
        <v>FALSE</v>
      </c>
      <c r="AI722" s="661" t="str">
        <f t="shared" si="75"/>
        <v>N/A</v>
      </c>
      <c r="AJ722" s="662" t="str">
        <f t="shared" si="76"/>
        <v>E350-026</v>
      </c>
      <c r="AK722" s="662" t="str">
        <f t="shared" si="77"/>
        <v>LVN</v>
      </c>
      <c r="AL722" s="662" t="str">
        <f t="shared" si="78"/>
        <v>FRD</v>
      </c>
      <c r="AM722" s="662" t="str">
        <f t="shared" si="74"/>
        <v>Econoline E350-SRW Cutaway Van Chassis-RWD-2-~-8500-6.8L-10-E3F-780A-158-40-Unleaded-Unleaded</v>
      </c>
      <c r="AN722" s="662" t="str">
        <f t="shared" si="79"/>
        <v>2019-LVN-FRD-E350-026</v>
      </c>
    </row>
    <row r="723" spans="1:40" s="572" customFormat="1" ht="30">
      <c r="A723" s="570" t="s">
        <v>1783</v>
      </c>
      <c r="B723" s="573" t="s">
        <v>1768</v>
      </c>
      <c r="C723" s="573" t="s">
        <v>287</v>
      </c>
      <c r="D723" s="578">
        <v>26</v>
      </c>
      <c r="E723" s="573" t="s">
        <v>1516</v>
      </c>
      <c r="F723" s="573" t="s">
        <v>1684</v>
      </c>
      <c r="G723" s="573" t="s">
        <v>271</v>
      </c>
      <c r="H723" s="573">
        <v>2019</v>
      </c>
      <c r="I723" s="573" t="s">
        <v>1685</v>
      </c>
      <c r="J723" s="573" t="s">
        <v>1764</v>
      </c>
      <c r="K723" s="573" t="s">
        <v>236</v>
      </c>
      <c r="L723" s="573">
        <v>2</v>
      </c>
      <c r="M723" s="573">
        <v>0</v>
      </c>
      <c r="N723" s="573" t="s">
        <v>157</v>
      </c>
      <c r="O723" s="573">
        <v>1</v>
      </c>
      <c r="P723" s="573" t="s">
        <v>157</v>
      </c>
      <c r="Q723" s="571" t="s">
        <v>157</v>
      </c>
      <c r="R723" s="573" t="s">
        <v>1687</v>
      </c>
      <c r="S723" s="573">
        <v>10</v>
      </c>
      <c r="T723" s="573" t="s">
        <v>1688</v>
      </c>
      <c r="U723" s="573" t="s">
        <v>1689</v>
      </c>
      <c r="V723" s="573">
        <v>138</v>
      </c>
      <c r="W723" s="573">
        <v>40</v>
      </c>
      <c r="X723" s="571">
        <v>10050</v>
      </c>
      <c r="Y723" s="569" t="s">
        <v>164</v>
      </c>
      <c r="Z723" s="579" t="s">
        <v>178</v>
      </c>
      <c r="AA723" s="579" t="s">
        <v>178</v>
      </c>
      <c r="AB723" s="584">
        <v>32580</v>
      </c>
      <c r="AC723" s="584" t="s">
        <v>164</v>
      </c>
      <c r="AD723" s="584">
        <v>25348</v>
      </c>
      <c r="AE723" s="586">
        <v>0.05</v>
      </c>
      <c r="AF723" s="661" t="str">
        <f t="shared" si="80"/>
        <v>2019-LVN-FRD-E350-021-26</v>
      </c>
      <c r="AG723" s="661" t="str">
        <f>IF(AND($Y723&gt;=32,(AI723="I"),(Y723&lt;&gt;"~"),(COUNTIF($AN$1:$AN723,$AN723)=1)),"TRUE","FALSE")</f>
        <v>FALSE</v>
      </c>
      <c r="AH723" s="661" t="str">
        <f>IF(AND($Y723&gt;=22, (AI723&lt;&gt;"I"),(Y723&lt;&gt;"~"),(COUNTIF($AN$1:$AN723,$AN723)=1)),"TRUE","FALSE")</f>
        <v>FALSE</v>
      </c>
      <c r="AI723" s="661" t="str">
        <f t="shared" si="75"/>
        <v>N/A</v>
      </c>
      <c r="AJ723" s="662" t="str">
        <f t="shared" si="76"/>
        <v>E350-021</v>
      </c>
      <c r="AK723" s="662" t="str">
        <f t="shared" si="77"/>
        <v>LVN</v>
      </c>
      <c r="AL723" s="662" t="str">
        <f t="shared" si="78"/>
        <v>FRD</v>
      </c>
      <c r="AM723" s="662" t="str">
        <f t="shared" si="74"/>
        <v>Econoline E350-SRW Cutaway Van Chassis-RWD-2-~-~-6.8L-10-E3F-780A-138-40-Unleaded-Unleaded</v>
      </c>
      <c r="AN723" s="662" t="str">
        <f t="shared" si="79"/>
        <v>2019-LVN-FRD-E350-021</v>
      </c>
    </row>
    <row r="724" spans="1:40" s="572" customFormat="1" ht="30">
      <c r="A724" s="570" t="s">
        <v>1784</v>
      </c>
      <c r="B724" s="569" t="s">
        <v>1770</v>
      </c>
      <c r="C724" s="569" t="s">
        <v>287</v>
      </c>
      <c r="D724" s="580">
        <v>26</v>
      </c>
      <c r="E724" s="569" t="s">
        <v>1516</v>
      </c>
      <c r="F724" s="569" t="s">
        <v>1684</v>
      </c>
      <c r="G724" s="569" t="s">
        <v>271</v>
      </c>
      <c r="H724" s="569">
        <v>2019</v>
      </c>
      <c r="I724" s="569" t="s">
        <v>1685</v>
      </c>
      <c r="J724" s="569" t="s">
        <v>1764</v>
      </c>
      <c r="K724" s="569" t="s">
        <v>236</v>
      </c>
      <c r="L724" s="569">
        <v>2</v>
      </c>
      <c r="M724" s="569">
        <v>0</v>
      </c>
      <c r="N724" s="569" t="s">
        <v>157</v>
      </c>
      <c r="O724" s="569">
        <v>1</v>
      </c>
      <c r="P724" s="569" t="s">
        <v>157</v>
      </c>
      <c r="Q724" s="568" t="s">
        <v>157</v>
      </c>
      <c r="R724" s="569" t="s">
        <v>1687</v>
      </c>
      <c r="S724" s="569">
        <v>10</v>
      </c>
      <c r="T724" s="569" t="s">
        <v>1688</v>
      </c>
      <c r="U724" s="569" t="s">
        <v>1689</v>
      </c>
      <c r="V724" s="569">
        <v>158</v>
      </c>
      <c r="W724" s="569">
        <v>40</v>
      </c>
      <c r="X724" s="568">
        <v>10050</v>
      </c>
      <c r="Y724" s="569" t="s">
        <v>164</v>
      </c>
      <c r="Z724" s="581" t="s">
        <v>178</v>
      </c>
      <c r="AA724" s="581" t="s">
        <v>178</v>
      </c>
      <c r="AB724" s="585">
        <v>32830</v>
      </c>
      <c r="AC724" s="585" t="s">
        <v>164</v>
      </c>
      <c r="AD724" s="585">
        <v>24976.604166666668</v>
      </c>
      <c r="AE724" s="587">
        <v>0.05</v>
      </c>
      <c r="AF724" s="661" t="str">
        <f t="shared" si="80"/>
        <v>2019-LVN-FRD-E350-022-26</v>
      </c>
      <c r="AG724" s="661" t="str">
        <f>IF(AND($Y724&gt;=32,(AI724="I"),(Y724&lt;&gt;"~"),(COUNTIF($AN$1:$AN724,$AN724)=1)),"TRUE","FALSE")</f>
        <v>FALSE</v>
      </c>
      <c r="AH724" s="661" t="str">
        <f>IF(AND($Y724&gt;=22, (AI724&lt;&gt;"I"),(Y724&lt;&gt;"~"),(COUNTIF($AN$1:$AN724,$AN724)=1)),"TRUE","FALSE")</f>
        <v>FALSE</v>
      </c>
      <c r="AI724" s="661" t="str">
        <f t="shared" si="75"/>
        <v>N/A</v>
      </c>
      <c r="AJ724" s="662" t="str">
        <f t="shared" si="76"/>
        <v>E350-022</v>
      </c>
      <c r="AK724" s="662" t="str">
        <f t="shared" si="77"/>
        <v>LVN</v>
      </c>
      <c r="AL724" s="662" t="str">
        <f t="shared" si="78"/>
        <v>FRD</v>
      </c>
      <c r="AM724" s="662" t="str">
        <f t="shared" si="74"/>
        <v>Econoline E350-SRW Cutaway Van Chassis-RWD-2-~-~-6.8L-10-E3F-780A-158-40-Unleaded-Unleaded</v>
      </c>
      <c r="AN724" s="662" t="str">
        <f t="shared" si="79"/>
        <v>2019-LVN-FRD-E350-022</v>
      </c>
    </row>
    <row r="725" spans="1:40" s="572" customFormat="1" ht="30">
      <c r="A725" s="570" t="s">
        <v>1785</v>
      </c>
      <c r="B725" s="573" t="s">
        <v>1763</v>
      </c>
      <c r="C725" s="573" t="s">
        <v>280</v>
      </c>
      <c r="D725" s="578">
        <v>27</v>
      </c>
      <c r="E725" s="573" t="s">
        <v>1516</v>
      </c>
      <c r="F725" s="573" t="s">
        <v>1684</v>
      </c>
      <c r="G725" s="573" t="s">
        <v>271</v>
      </c>
      <c r="H725" s="573">
        <v>2019</v>
      </c>
      <c r="I725" s="573" t="s">
        <v>1685</v>
      </c>
      <c r="J725" s="573" t="s">
        <v>1764</v>
      </c>
      <c r="K725" s="573" t="s">
        <v>236</v>
      </c>
      <c r="L725" s="573">
        <v>2</v>
      </c>
      <c r="M725" s="573">
        <v>0</v>
      </c>
      <c r="N725" s="573" t="s">
        <v>157</v>
      </c>
      <c r="O725" s="573">
        <v>1</v>
      </c>
      <c r="P725" s="573" t="s">
        <v>157</v>
      </c>
      <c r="Q725" s="571" t="s">
        <v>157</v>
      </c>
      <c r="R725" s="573" t="s">
        <v>1700</v>
      </c>
      <c r="S725" s="573">
        <v>8</v>
      </c>
      <c r="T725" s="573" t="s">
        <v>1688</v>
      </c>
      <c r="U725" s="573" t="s">
        <v>1689</v>
      </c>
      <c r="V725" s="573">
        <v>138</v>
      </c>
      <c r="W725" s="573">
        <v>40</v>
      </c>
      <c r="X725" s="571">
        <v>10050</v>
      </c>
      <c r="Y725" s="569" t="s">
        <v>164</v>
      </c>
      <c r="Z725" s="579" t="s">
        <v>450</v>
      </c>
      <c r="AA725" s="579" t="s">
        <v>178</v>
      </c>
      <c r="AB725" s="584">
        <v>32230</v>
      </c>
      <c r="AC725" s="584" t="s">
        <v>164</v>
      </c>
      <c r="AD725" s="584">
        <v>24437.020833333336</v>
      </c>
      <c r="AE725" s="586">
        <v>0.03</v>
      </c>
      <c r="AF725" s="661" t="str">
        <f t="shared" si="80"/>
        <v>2019-LVN-FRD-E350-019-27</v>
      </c>
      <c r="AG725" s="661" t="str">
        <f>IF(AND($Y725&gt;=32,(AI725="I"),(Y725&lt;&gt;"~"),(COUNTIF($AN$1:$AN725,$AN725)=1)),"TRUE","FALSE")</f>
        <v>FALSE</v>
      </c>
      <c r="AH725" s="661" t="str">
        <f>IF(AND($Y725&gt;=22, (AI725&lt;&gt;"I"),(Y725&lt;&gt;"~"),(COUNTIF($AN$1:$AN725,$AN725)=1)),"TRUE","FALSE")</f>
        <v>FALSE</v>
      </c>
      <c r="AI725" s="661" t="str">
        <f t="shared" si="75"/>
        <v>N/A</v>
      </c>
      <c r="AJ725" s="662" t="str">
        <f t="shared" si="76"/>
        <v>E350-019</v>
      </c>
      <c r="AK725" s="662" t="str">
        <f t="shared" si="77"/>
        <v>LVN</v>
      </c>
      <c r="AL725" s="662" t="str">
        <f t="shared" si="78"/>
        <v>FRD</v>
      </c>
      <c r="AM725" s="662" t="str">
        <f t="shared" si="74"/>
        <v>Econoline E350-SRW Cutaway Van Chassis-RWD-2-~-~-6.2L-8-E3F-780A-138-40-E85-Unleaded</v>
      </c>
      <c r="AN725" s="662" t="str">
        <f t="shared" si="79"/>
        <v>2019-LVN-FRD-E350-019</v>
      </c>
    </row>
    <row r="726" spans="1:40" s="572" customFormat="1" ht="30">
      <c r="A726" s="570" t="s">
        <v>1786</v>
      </c>
      <c r="B726" s="569" t="s">
        <v>1766</v>
      </c>
      <c r="C726" s="569" t="s">
        <v>280</v>
      </c>
      <c r="D726" s="580">
        <v>27</v>
      </c>
      <c r="E726" s="569" t="s">
        <v>1516</v>
      </c>
      <c r="F726" s="569" t="s">
        <v>1684</v>
      </c>
      <c r="G726" s="569" t="s">
        <v>271</v>
      </c>
      <c r="H726" s="569">
        <v>2019</v>
      </c>
      <c r="I726" s="569" t="s">
        <v>1685</v>
      </c>
      <c r="J726" s="569" t="s">
        <v>1764</v>
      </c>
      <c r="K726" s="569" t="s">
        <v>236</v>
      </c>
      <c r="L726" s="569">
        <v>2</v>
      </c>
      <c r="M726" s="569">
        <v>0</v>
      </c>
      <c r="N726" s="569" t="s">
        <v>157</v>
      </c>
      <c r="O726" s="569">
        <v>1</v>
      </c>
      <c r="P726" s="569" t="s">
        <v>157</v>
      </c>
      <c r="Q726" s="568" t="s">
        <v>157</v>
      </c>
      <c r="R726" s="569" t="s">
        <v>1700</v>
      </c>
      <c r="S726" s="569">
        <v>8</v>
      </c>
      <c r="T726" s="569" t="s">
        <v>1688</v>
      </c>
      <c r="U726" s="569" t="s">
        <v>1689</v>
      </c>
      <c r="V726" s="569">
        <v>158</v>
      </c>
      <c r="W726" s="569">
        <v>40</v>
      </c>
      <c r="X726" s="568">
        <v>10050</v>
      </c>
      <c r="Y726" s="569" t="s">
        <v>164</v>
      </c>
      <c r="Z726" s="581" t="s">
        <v>450</v>
      </c>
      <c r="AA726" s="581" t="s">
        <v>178</v>
      </c>
      <c r="AB726" s="585">
        <v>32480</v>
      </c>
      <c r="AC726" s="585" t="s">
        <v>164</v>
      </c>
      <c r="AD726" s="585">
        <v>24666.187500000004</v>
      </c>
      <c r="AE726" s="587">
        <v>0.03</v>
      </c>
      <c r="AF726" s="661" t="str">
        <f t="shared" si="80"/>
        <v>2019-LVN-FRD-E350-020-27</v>
      </c>
      <c r="AG726" s="661" t="str">
        <f>IF(AND($Y726&gt;=32,(AI726="I"),(Y726&lt;&gt;"~"),(COUNTIF($AN$1:$AN726,$AN726)=1)),"TRUE","FALSE")</f>
        <v>FALSE</v>
      </c>
      <c r="AH726" s="661" t="str">
        <f>IF(AND($Y726&gt;=22, (AI726&lt;&gt;"I"),(Y726&lt;&gt;"~"),(COUNTIF($AN$1:$AN726,$AN726)=1)),"TRUE","FALSE")</f>
        <v>FALSE</v>
      </c>
      <c r="AI726" s="661" t="str">
        <f t="shared" si="75"/>
        <v>N/A</v>
      </c>
      <c r="AJ726" s="662" t="str">
        <f t="shared" si="76"/>
        <v>E350-020</v>
      </c>
      <c r="AK726" s="662" t="str">
        <f t="shared" si="77"/>
        <v>LVN</v>
      </c>
      <c r="AL726" s="662" t="str">
        <f t="shared" si="78"/>
        <v>FRD</v>
      </c>
      <c r="AM726" s="662" t="str">
        <f t="shared" si="74"/>
        <v>Econoline E350-SRW Cutaway Van Chassis-RWD-2-~-~-6.2L-8-E3F-780A-158-40-E85-Unleaded</v>
      </c>
      <c r="AN726" s="662" t="str">
        <f t="shared" si="79"/>
        <v>2019-LVN-FRD-E350-020</v>
      </c>
    </row>
    <row r="727" spans="1:40" s="572" customFormat="1" ht="30">
      <c r="A727" s="570" t="s">
        <v>1787</v>
      </c>
      <c r="B727" s="573" t="s">
        <v>1768</v>
      </c>
      <c r="C727" s="573" t="s">
        <v>280</v>
      </c>
      <c r="D727" s="578">
        <v>27</v>
      </c>
      <c r="E727" s="573" t="s">
        <v>1516</v>
      </c>
      <c r="F727" s="573" t="s">
        <v>1684</v>
      </c>
      <c r="G727" s="573" t="s">
        <v>271</v>
      </c>
      <c r="H727" s="573">
        <v>2019</v>
      </c>
      <c r="I727" s="573" t="s">
        <v>1685</v>
      </c>
      <c r="J727" s="573" t="s">
        <v>1764</v>
      </c>
      <c r="K727" s="573" t="s">
        <v>236</v>
      </c>
      <c r="L727" s="573">
        <v>2</v>
      </c>
      <c r="M727" s="573">
        <v>0</v>
      </c>
      <c r="N727" s="573" t="s">
        <v>157</v>
      </c>
      <c r="O727" s="573">
        <v>1</v>
      </c>
      <c r="P727" s="573" t="s">
        <v>157</v>
      </c>
      <c r="Q727" s="571" t="s">
        <v>157</v>
      </c>
      <c r="R727" s="573" t="s">
        <v>1687</v>
      </c>
      <c r="S727" s="573">
        <v>10</v>
      </c>
      <c r="T727" s="573" t="s">
        <v>1688</v>
      </c>
      <c r="U727" s="573" t="s">
        <v>1689</v>
      </c>
      <c r="V727" s="573">
        <v>138</v>
      </c>
      <c r="W727" s="573">
        <v>40</v>
      </c>
      <c r="X727" s="571">
        <v>10050</v>
      </c>
      <c r="Y727" s="569" t="s">
        <v>164</v>
      </c>
      <c r="Z727" s="579" t="s">
        <v>178</v>
      </c>
      <c r="AA727" s="579" t="s">
        <v>178</v>
      </c>
      <c r="AB727" s="584">
        <v>32580</v>
      </c>
      <c r="AC727" s="584" t="s">
        <v>164</v>
      </c>
      <c r="AD727" s="584">
        <v>24747.437500000004</v>
      </c>
      <c r="AE727" s="586">
        <v>0.03</v>
      </c>
      <c r="AF727" s="661" t="str">
        <f t="shared" si="80"/>
        <v>2019-LVN-FRD-E350-021-27</v>
      </c>
      <c r="AG727" s="661" t="str">
        <f>IF(AND($Y727&gt;=32,(AI727="I"),(Y727&lt;&gt;"~"),(COUNTIF($AN$1:$AN727,$AN727)=1)),"TRUE","FALSE")</f>
        <v>FALSE</v>
      </c>
      <c r="AH727" s="661" t="str">
        <f>IF(AND($Y727&gt;=22, (AI727&lt;&gt;"I"),(Y727&lt;&gt;"~"),(COUNTIF($AN$1:$AN727,$AN727)=1)),"TRUE","FALSE")</f>
        <v>FALSE</v>
      </c>
      <c r="AI727" s="661" t="str">
        <f t="shared" si="75"/>
        <v>N/A</v>
      </c>
      <c r="AJ727" s="662" t="str">
        <f t="shared" si="76"/>
        <v>E350-021</v>
      </c>
      <c r="AK727" s="662" t="str">
        <f t="shared" si="77"/>
        <v>LVN</v>
      </c>
      <c r="AL727" s="662" t="str">
        <f t="shared" si="78"/>
        <v>FRD</v>
      </c>
      <c r="AM727" s="662" t="str">
        <f t="shared" si="74"/>
        <v>Econoline E350-SRW Cutaway Van Chassis-RWD-2-~-~-6.8L-10-E3F-780A-138-40-Unleaded-Unleaded</v>
      </c>
      <c r="AN727" s="662" t="str">
        <f t="shared" si="79"/>
        <v>2019-LVN-FRD-E350-021</v>
      </c>
    </row>
    <row r="728" spans="1:40" s="572" customFormat="1" ht="30">
      <c r="A728" s="570" t="s">
        <v>1788</v>
      </c>
      <c r="B728" s="569" t="s">
        <v>1770</v>
      </c>
      <c r="C728" s="569" t="s">
        <v>280</v>
      </c>
      <c r="D728" s="580">
        <v>27</v>
      </c>
      <c r="E728" s="569" t="s">
        <v>1516</v>
      </c>
      <c r="F728" s="569" t="s">
        <v>1684</v>
      </c>
      <c r="G728" s="569" t="s">
        <v>271</v>
      </c>
      <c r="H728" s="569">
        <v>2019</v>
      </c>
      <c r="I728" s="569" t="s">
        <v>1685</v>
      </c>
      <c r="J728" s="569" t="s">
        <v>1764</v>
      </c>
      <c r="K728" s="569" t="s">
        <v>236</v>
      </c>
      <c r="L728" s="569">
        <v>2</v>
      </c>
      <c r="M728" s="569">
        <v>0</v>
      </c>
      <c r="N728" s="569" t="s">
        <v>157</v>
      </c>
      <c r="O728" s="569">
        <v>1</v>
      </c>
      <c r="P728" s="569" t="s">
        <v>157</v>
      </c>
      <c r="Q728" s="568" t="s">
        <v>157</v>
      </c>
      <c r="R728" s="569" t="s">
        <v>1687</v>
      </c>
      <c r="S728" s="569">
        <v>10</v>
      </c>
      <c r="T728" s="569" t="s">
        <v>1688</v>
      </c>
      <c r="U728" s="569" t="s">
        <v>1689</v>
      </c>
      <c r="V728" s="569">
        <v>158</v>
      </c>
      <c r="W728" s="569">
        <v>40</v>
      </c>
      <c r="X728" s="568">
        <v>10050</v>
      </c>
      <c r="Y728" s="569" t="s">
        <v>164</v>
      </c>
      <c r="Z728" s="581" t="s">
        <v>178</v>
      </c>
      <c r="AA728" s="581" t="s">
        <v>178</v>
      </c>
      <c r="AB728" s="585">
        <v>32830</v>
      </c>
      <c r="AC728" s="585" t="s">
        <v>164</v>
      </c>
      <c r="AD728" s="585">
        <v>24976.604166666668</v>
      </c>
      <c r="AE728" s="587">
        <v>0.03</v>
      </c>
      <c r="AF728" s="661" t="str">
        <f t="shared" si="80"/>
        <v>2019-LVN-FRD-E350-022-27</v>
      </c>
      <c r="AG728" s="661" t="str">
        <f>IF(AND($Y728&gt;=32,(AI728="I"),(Y728&lt;&gt;"~"),(COUNTIF($AN$1:$AN728,$AN728)=1)),"TRUE","FALSE")</f>
        <v>FALSE</v>
      </c>
      <c r="AH728" s="661" t="str">
        <f>IF(AND($Y728&gt;=22, (AI728&lt;&gt;"I"),(Y728&lt;&gt;"~"),(COUNTIF($AN$1:$AN728,$AN728)=1)),"TRUE","FALSE")</f>
        <v>FALSE</v>
      </c>
      <c r="AI728" s="661" t="str">
        <f t="shared" si="75"/>
        <v>N/A</v>
      </c>
      <c r="AJ728" s="662" t="str">
        <f t="shared" si="76"/>
        <v>E350-022</v>
      </c>
      <c r="AK728" s="662" t="str">
        <f t="shared" si="77"/>
        <v>LVN</v>
      </c>
      <c r="AL728" s="662" t="str">
        <f t="shared" si="78"/>
        <v>FRD</v>
      </c>
      <c r="AM728" s="662" t="str">
        <f t="shared" si="74"/>
        <v>Econoline E350-SRW Cutaway Van Chassis-RWD-2-~-~-6.8L-10-E3F-780A-158-40-Unleaded-Unleaded</v>
      </c>
      <c r="AN728" s="662" t="str">
        <f t="shared" si="79"/>
        <v>2019-LVN-FRD-E350-022</v>
      </c>
    </row>
    <row r="729" spans="1:40" s="572" customFormat="1" ht="30">
      <c r="A729" s="570" t="s">
        <v>1789</v>
      </c>
      <c r="B729" s="573" t="s">
        <v>1772</v>
      </c>
      <c r="C729" s="573" t="s">
        <v>280</v>
      </c>
      <c r="D729" s="578">
        <v>27</v>
      </c>
      <c r="E729" s="573" t="s">
        <v>1516</v>
      </c>
      <c r="F729" s="573" t="s">
        <v>1684</v>
      </c>
      <c r="G729" s="573" t="s">
        <v>271</v>
      </c>
      <c r="H729" s="573">
        <v>2019</v>
      </c>
      <c r="I729" s="573" t="s">
        <v>1685</v>
      </c>
      <c r="J729" s="573" t="s">
        <v>1764</v>
      </c>
      <c r="K729" s="573" t="s">
        <v>236</v>
      </c>
      <c r="L729" s="573">
        <v>2</v>
      </c>
      <c r="M729" s="573">
        <v>0</v>
      </c>
      <c r="N729" s="573" t="s">
        <v>157</v>
      </c>
      <c r="O729" s="573">
        <v>1</v>
      </c>
      <c r="P729" s="573" t="s">
        <v>157</v>
      </c>
      <c r="Q729" s="571">
        <v>8500</v>
      </c>
      <c r="R729" s="573" t="s">
        <v>1700</v>
      </c>
      <c r="S729" s="573">
        <v>8</v>
      </c>
      <c r="T729" s="573" t="s">
        <v>1688</v>
      </c>
      <c r="U729" s="573" t="s">
        <v>1689</v>
      </c>
      <c r="V729" s="573">
        <v>138</v>
      </c>
      <c r="W729" s="573">
        <v>40</v>
      </c>
      <c r="X729" s="571">
        <v>10050</v>
      </c>
      <c r="Y729" s="569" t="s">
        <v>164</v>
      </c>
      <c r="Z729" s="579" t="s">
        <v>450</v>
      </c>
      <c r="AA729" s="579" t="s">
        <v>178</v>
      </c>
      <c r="AB729" s="584">
        <v>32230</v>
      </c>
      <c r="AC729" s="584" t="s">
        <v>164</v>
      </c>
      <c r="AD729" s="584">
        <v>24437.020833333336</v>
      </c>
      <c r="AE729" s="586">
        <v>0.03</v>
      </c>
      <c r="AF729" s="661" t="str">
        <f t="shared" si="80"/>
        <v>2019-LVN-FRD-E350-023-27</v>
      </c>
      <c r="AG729" s="661" t="str">
        <f>IF(AND($Y729&gt;=32,(AI729="I"),(Y729&lt;&gt;"~"),(COUNTIF($AN$1:$AN729,$AN729)=1)),"TRUE","FALSE")</f>
        <v>FALSE</v>
      </c>
      <c r="AH729" s="661" t="str">
        <f>IF(AND($Y729&gt;=22, (AI729&lt;&gt;"I"),(Y729&lt;&gt;"~"),(COUNTIF($AN$1:$AN729,$AN729)=1)),"TRUE","FALSE")</f>
        <v>FALSE</v>
      </c>
      <c r="AI729" s="661" t="str">
        <f t="shared" si="75"/>
        <v>N/A</v>
      </c>
      <c r="AJ729" s="662" t="str">
        <f t="shared" si="76"/>
        <v>E350-023</v>
      </c>
      <c r="AK729" s="662" t="str">
        <f t="shared" si="77"/>
        <v>LVN</v>
      </c>
      <c r="AL729" s="662" t="str">
        <f t="shared" si="78"/>
        <v>FRD</v>
      </c>
      <c r="AM729" s="662" t="str">
        <f t="shared" si="74"/>
        <v>Econoline E350-SRW Cutaway Van Chassis-RWD-2-~-8500-6.2L-8-E3F-780A-138-40-E85-Unleaded</v>
      </c>
      <c r="AN729" s="662" t="str">
        <f t="shared" si="79"/>
        <v>2019-LVN-FRD-E350-023</v>
      </c>
    </row>
    <row r="730" spans="1:40" s="572" customFormat="1" ht="30">
      <c r="A730" s="570" t="s">
        <v>1790</v>
      </c>
      <c r="B730" s="569" t="s">
        <v>1774</v>
      </c>
      <c r="C730" s="569" t="s">
        <v>280</v>
      </c>
      <c r="D730" s="580">
        <v>27</v>
      </c>
      <c r="E730" s="569" t="s">
        <v>1516</v>
      </c>
      <c r="F730" s="569" t="s">
        <v>1684</v>
      </c>
      <c r="G730" s="569" t="s">
        <v>271</v>
      </c>
      <c r="H730" s="569">
        <v>2019</v>
      </c>
      <c r="I730" s="569" t="s">
        <v>1685</v>
      </c>
      <c r="J730" s="569" t="s">
        <v>1764</v>
      </c>
      <c r="K730" s="569" t="s">
        <v>236</v>
      </c>
      <c r="L730" s="569">
        <v>2</v>
      </c>
      <c r="M730" s="569">
        <v>0</v>
      </c>
      <c r="N730" s="569" t="s">
        <v>157</v>
      </c>
      <c r="O730" s="569">
        <v>1</v>
      </c>
      <c r="P730" s="569" t="s">
        <v>157</v>
      </c>
      <c r="Q730" s="568">
        <v>8500</v>
      </c>
      <c r="R730" s="569" t="s">
        <v>1700</v>
      </c>
      <c r="S730" s="569">
        <v>8</v>
      </c>
      <c r="T730" s="569" t="s">
        <v>1688</v>
      </c>
      <c r="U730" s="569" t="s">
        <v>1689</v>
      </c>
      <c r="V730" s="569">
        <v>158</v>
      </c>
      <c r="W730" s="569">
        <v>40</v>
      </c>
      <c r="X730" s="568">
        <v>10050</v>
      </c>
      <c r="Y730" s="569" t="s">
        <v>164</v>
      </c>
      <c r="Z730" s="581" t="s">
        <v>450</v>
      </c>
      <c r="AA730" s="581" t="s">
        <v>178</v>
      </c>
      <c r="AB730" s="585">
        <v>32480</v>
      </c>
      <c r="AC730" s="585" t="s">
        <v>164</v>
      </c>
      <c r="AD730" s="585">
        <v>24666.187500000004</v>
      </c>
      <c r="AE730" s="587">
        <v>0.03</v>
      </c>
      <c r="AF730" s="661" t="str">
        <f t="shared" si="80"/>
        <v>2019-LVN-FRD-E350-024-27</v>
      </c>
      <c r="AG730" s="661" t="str">
        <f>IF(AND($Y730&gt;=32,(AI730="I"),(Y730&lt;&gt;"~"),(COUNTIF($AN$1:$AN730,$AN730)=1)),"TRUE","FALSE")</f>
        <v>FALSE</v>
      </c>
      <c r="AH730" s="661" t="str">
        <f>IF(AND($Y730&gt;=22, (AI730&lt;&gt;"I"),(Y730&lt;&gt;"~"),(COUNTIF($AN$1:$AN730,$AN730)=1)),"TRUE","FALSE")</f>
        <v>FALSE</v>
      </c>
      <c r="AI730" s="661" t="str">
        <f t="shared" si="75"/>
        <v>N/A</v>
      </c>
      <c r="AJ730" s="662" t="str">
        <f t="shared" si="76"/>
        <v>E350-024</v>
      </c>
      <c r="AK730" s="662" t="str">
        <f t="shared" si="77"/>
        <v>LVN</v>
      </c>
      <c r="AL730" s="662" t="str">
        <f t="shared" si="78"/>
        <v>FRD</v>
      </c>
      <c r="AM730" s="662" t="str">
        <f t="shared" si="74"/>
        <v>Econoline E350-SRW Cutaway Van Chassis-RWD-2-~-8500-6.2L-8-E3F-780A-158-40-E85-Unleaded</v>
      </c>
      <c r="AN730" s="662" t="str">
        <f t="shared" si="79"/>
        <v>2019-LVN-FRD-E350-024</v>
      </c>
    </row>
    <row r="731" spans="1:40" s="572" customFormat="1" ht="30">
      <c r="A731" s="570" t="s">
        <v>1791</v>
      </c>
      <c r="B731" s="573" t="s">
        <v>1776</v>
      </c>
      <c r="C731" s="573" t="s">
        <v>280</v>
      </c>
      <c r="D731" s="578">
        <v>27</v>
      </c>
      <c r="E731" s="573" t="s">
        <v>1516</v>
      </c>
      <c r="F731" s="573" t="s">
        <v>1684</v>
      </c>
      <c r="G731" s="573" t="s">
        <v>271</v>
      </c>
      <c r="H731" s="573">
        <v>2019</v>
      </c>
      <c r="I731" s="573" t="s">
        <v>1685</v>
      </c>
      <c r="J731" s="573" t="s">
        <v>1764</v>
      </c>
      <c r="K731" s="573" t="s">
        <v>236</v>
      </c>
      <c r="L731" s="573">
        <v>2</v>
      </c>
      <c r="M731" s="573">
        <v>0</v>
      </c>
      <c r="N731" s="573" t="s">
        <v>157</v>
      </c>
      <c r="O731" s="573">
        <v>1</v>
      </c>
      <c r="P731" s="573" t="s">
        <v>157</v>
      </c>
      <c r="Q731" s="571">
        <v>8500</v>
      </c>
      <c r="R731" s="573" t="s">
        <v>1687</v>
      </c>
      <c r="S731" s="573">
        <v>10</v>
      </c>
      <c r="T731" s="573" t="s">
        <v>1688</v>
      </c>
      <c r="U731" s="573" t="s">
        <v>1689</v>
      </c>
      <c r="V731" s="573">
        <v>138</v>
      </c>
      <c r="W731" s="573">
        <v>40</v>
      </c>
      <c r="X731" s="571">
        <v>10050</v>
      </c>
      <c r="Y731" s="569" t="s">
        <v>164</v>
      </c>
      <c r="Z731" s="579" t="s">
        <v>178</v>
      </c>
      <c r="AA731" s="579" t="s">
        <v>178</v>
      </c>
      <c r="AB731" s="584">
        <v>32580</v>
      </c>
      <c r="AC731" s="584" t="s">
        <v>164</v>
      </c>
      <c r="AD731" s="584">
        <v>24747.437500000004</v>
      </c>
      <c r="AE731" s="586">
        <v>0.03</v>
      </c>
      <c r="AF731" s="661" t="str">
        <f t="shared" si="80"/>
        <v>2019-LVN-FRD-E350-025-27</v>
      </c>
      <c r="AG731" s="661" t="str">
        <f>IF(AND($Y731&gt;=32,(AI731="I"),(Y731&lt;&gt;"~"),(COUNTIF($AN$1:$AN731,$AN731)=1)),"TRUE","FALSE")</f>
        <v>FALSE</v>
      </c>
      <c r="AH731" s="661" t="str">
        <f>IF(AND($Y731&gt;=22, (AI731&lt;&gt;"I"),(Y731&lt;&gt;"~"),(COUNTIF($AN$1:$AN731,$AN731)=1)),"TRUE","FALSE")</f>
        <v>FALSE</v>
      </c>
      <c r="AI731" s="661" t="str">
        <f t="shared" si="75"/>
        <v>N/A</v>
      </c>
      <c r="AJ731" s="662" t="str">
        <f t="shared" si="76"/>
        <v>E350-025</v>
      </c>
      <c r="AK731" s="662" t="str">
        <f t="shared" si="77"/>
        <v>LVN</v>
      </c>
      <c r="AL731" s="662" t="str">
        <f t="shared" si="78"/>
        <v>FRD</v>
      </c>
      <c r="AM731" s="662" t="str">
        <f t="shared" ref="AM731:AM794" si="81">CONCATENATE(I731,"-",J731,"-",K731,"-",L731,"-",P731,"-",Q731,"-",R731,"-",S731,"-",T731,"-",U731,"-",V731,"-",W731,"-",Z731,"-",AA731)</f>
        <v>Econoline E350-SRW Cutaway Van Chassis-RWD-2-~-8500-6.8L-10-E3F-780A-138-40-Unleaded-Unleaded</v>
      </c>
      <c r="AN731" s="662" t="str">
        <f t="shared" si="79"/>
        <v>2019-LVN-FRD-E350-025</v>
      </c>
    </row>
    <row r="732" spans="1:40" s="572" customFormat="1" ht="30">
      <c r="A732" s="570" t="s">
        <v>1792</v>
      </c>
      <c r="B732" s="569" t="s">
        <v>1778</v>
      </c>
      <c r="C732" s="569" t="s">
        <v>280</v>
      </c>
      <c r="D732" s="580">
        <v>27</v>
      </c>
      <c r="E732" s="569" t="s">
        <v>1516</v>
      </c>
      <c r="F732" s="569" t="s">
        <v>1684</v>
      </c>
      <c r="G732" s="569" t="s">
        <v>271</v>
      </c>
      <c r="H732" s="569">
        <v>2019</v>
      </c>
      <c r="I732" s="569" t="s">
        <v>1685</v>
      </c>
      <c r="J732" s="569" t="s">
        <v>1764</v>
      </c>
      <c r="K732" s="569" t="s">
        <v>236</v>
      </c>
      <c r="L732" s="569">
        <v>2</v>
      </c>
      <c r="M732" s="569">
        <v>0</v>
      </c>
      <c r="N732" s="569" t="s">
        <v>157</v>
      </c>
      <c r="O732" s="569">
        <v>1</v>
      </c>
      <c r="P732" s="569" t="s">
        <v>157</v>
      </c>
      <c r="Q732" s="568">
        <v>8500</v>
      </c>
      <c r="R732" s="569" t="s">
        <v>1687</v>
      </c>
      <c r="S732" s="569">
        <v>10</v>
      </c>
      <c r="T732" s="569" t="s">
        <v>1688</v>
      </c>
      <c r="U732" s="569" t="s">
        <v>1689</v>
      </c>
      <c r="V732" s="569">
        <v>158</v>
      </c>
      <c r="W732" s="569">
        <v>40</v>
      </c>
      <c r="X732" s="568">
        <v>10050</v>
      </c>
      <c r="Y732" s="569" t="s">
        <v>164</v>
      </c>
      <c r="Z732" s="581" t="s">
        <v>178</v>
      </c>
      <c r="AA732" s="581" t="s">
        <v>178</v>
      </c>
      <c r="AB732" s="585">
        <v>32830</v>
      </c>
      <c r="AC732" s="585" t="s">
        <v>164</v>
      </c>
      <c r="AD732" s="585">
        <v>24976.604166666668</v>
      </c>
      <c r="AE732" s="587">
        <v>0.03</v>
      </c>
      <c r="AF732" s="661" t="str">
        <f t="shared" si="80"/>
        <v>2019-LVN-FRD-E350-026-27</v>
      </c>
      <c r="AG732" s="661" t="str">
        <f>IF(AND($Y732&gt;=32,(AI732="I"),(Y732&lt;&gt;"~"),(COUNTIF($AN$1:$AN732,$AN732)=1)),"TRUE","FALSE")</f>
        <v>FALSE</v>
      </c>
      <c r="AH732" s="661" t="str">
        <f>IF(AND($Y732&gt;=22, (AI732&lt;&gt;"I"),(Y732&lt;&gt;"~"),(COUNTIF($AN$1:$AN732,$AN732)=1)),"TRUE","FALSE")</f>
        <v>FALSE</v>
      </c>
      <c r="AI732" s="661" t="str">
        <f t="shared" ref="AI732:AI795" si="82">IF(OR((LEFT($E732,2)="01"),AND(LEFT($E732,2)="06",ISNUMBER(SEARCH("pas",$F732))),AND(LEFT($E732,2)="05",ISNUMBER(SEARCH("pas",$F732)))),"I",IF(AND((LEFT($E732,2)&lt;&gt;"01"),$X732&lt;=10000),"II",IF(AND((LEFT($E732,2)&lt;&gt;"01"),$X732&gt;10000),"N/A")))</f>
        <v>N/A</v>
      </c>
      <c r="AJ732" s="662" t="str">
        <f t="shared" si="76"/>
        <v>E350-026</v>
      </c>
      <c r="AK732" s="662" t="str">
        <f t="shared" si="77"/>
        <v>LVN</v>
      </c>
      <c r="AL732" s="662" t="str">
        <f t="shared" si="78"/>
        <v>FRD</v>
      </c>
      <c r="AM732" s="662" t="str">
        <f t="shared" si="81"/>
        <v>Econoline E350-SRW Cutaway Van Chassis-RWD-2-~-8500-6.8L-10-E3F-780A-158-40-Unleaded-Unleaded</v>
      </c>
      <c r="AN732" s="662" t="str">
        <f t="shared" si="79"/>
        <v>2019-LVN-FRD-E350-026</v>
      </c>
    </row>
    <row r="733" spans="1:40" s="572" customFormat="1" ht="15">
      <c r="A733" s="570" t="s">
        <v>1793</v>
      </c>
      <c r="B733" s="573" t="s">
        <v>1794</v>
      </c>
      <c r="C733" s="573" t="s">
        <v>269</v>
      </c>
      <c r="D733" s="578" t="s">
        <v>270</v>
      </c>
      <c r="E733" s="573" t="s">
        <v>1516</v>
      </c>
      <c r="F733" s="573" t="s">
        <v>1684</v>
      </c>
      <c r="G733" s="573" t="s">
        <v>271</v>
      </c>
      <c r="H733" s="573">
        <v>2019</v>
      </c>
      <c r="I733" s="573" t="s">
        <v>1685</v>
      </c>
      <c r="J733" s="573" t="s">
        <v>1795</v>
      </c>
      <c r="K733" s="573" t="s">
        <v>236</v>
      </c>
      <c r="L733" s="573">
        <v>1</v>
      </c>
      <c r="M733" s="573">
        <v>0</v>
      </c>
      <c r="N733" s="573" t="s">
        <v>157</v>
      </c>
      <c r="O733" s="573">
        <v>1</v>
      </c>
      <c r="P733" s="573" t="s">
        <v>157</v>
      </c>
      <c r="Q733" s="571" t="s">
        <v>157</v>
      </c>
      <c r="R733" s="573" t="s">
        <v>1700</v>
      </c>
      <c r="S733" s="573">
        <v>8</v>
      </c>
      <c r="T733" s="573" t="s">
        <v>1743</v>
      </c>
      <c r="U733" s="573" t="s">
        <v>1744</v>
      </c>
      <c r="V733" s="573">
        <v>138</v>
      </c>
      <c r="W733" s="573">
        <v>40</v>
      </c>
      <c r="X733" s="571">
        <v>11500</v>
      </c>
      <c r="Y733" s="569" t="s">
        <v>164</v>
      </c>
      <c r="Z733" s="579" t="s">
        <v>450</v>
      </c>
      <c r="AA733" s="579" t="s">
        <v>178</v>
      </c>
      <c r="AB733" s="584">
        <v>29290</v>
      </c>
      <c r="AC733" s="584" t="s">
        <v>164</v>
      </c>
      <c r="AD733" s="584">
        <v>22792.229166666668</v>
      </c>
      <c r="AE733" s="586">
        <v>0.03</v>
      </c>
      <c r="AF733" s="661" t="str">
        <f t="shared" si="80"/>
        <v>2019-LVN-FRD-E350-029-05</v>
      </c>
      <c r="AG733" s="661" t="str">
        <f>IF(AND($Y733&gt;=32,(AI733="I"),(Y733&lt;&gt;"~"),(COUNTIF($AN$1:$AN733,$AN733)=1)),"TRUE","FALSE")</f>
        <v>FALSE</v>
      </c>
      <c r="AH733" s="661" t="str">
        <f>IF(AND($Y733&gt;=22, (AI733&lt;&gt;"I"),(Y733&lt;&gt;"~"),(COUNTIF($AN$1:$AN733,$AN733)=1)),"TRUE","FALSE")</f>
        <v>TRUE</v>
      </c>
      <c r="AI733" s="661" t="str">
        <f t="shared" si="82"/>
        <v>N/A</v>
      </c>
      <c r="AJ733" s="662" t="str">
        <f t="shared" si="76"/>
        <v>E350-029</v>
      </c>
      <c r="AK733" s="662" t="str">
        <f t="shared" si="77"/>
        <v>LVN</v>
      </c>
      <c r="AL733" s="662" t="str">
        <f t="shared" si="78"/>
        <v>FRD</v>
      </c>
      <c r="AM733" s="662" t="str">
        <f t="shared" si="81"/>
        <v>Econoline E350-Stripped Chassis-RWD-1-~-~-6.2L-8-E3K-785A-138-40-E85-Unleaded</v>
      </c>
      <c r="AN733" s="662" t="str">
        <f t="shared" si="79"/>
        <v>2019-LVN-FRD-E350-029</v>
      </c>
    </row>
    <row r="734" spans="1:40" s="572" customFormat="1" ht="15">
      <c r="A734" s="570" t="s">
        <v>1796</v>
      </c>
      <c r="B734" s="569" t="s">
        <v>1797</v>
      </c>
      <c r="C734" s="569" t="s">
        <v>269</v>
      </c>
      <c r="D734" s="580" t="s">
        <v>270</v>
      </c>
      <c r="E734" s="569" t="s">
        <v>1516</v>
      </c>
      <c r="F734" s="569" t="s">
        <v>1684</v>
      </c>
      <c r="G734" s="569" t="s">
        <v>271</v>
      </c>
      <c r="H734" s="569">
        <v>2019</v>
      </c>
      <c r="I734" s="569" t="s">
        <v>1685</v>
      </c>
      <c r="J734" s="569" t="s">
        <v>1795</v>
      </c>
      <c r="K734" s="569" t="s">
        <v>236</v>
      </c>
      <c r="L734" s="569">
        <v>1</v>
      </c>
      <c r="M734" s="569">
        <v>0</v>
      </c>
      <c r="N734" s="569" t="s">
        <v>157</v>
      </c>
      <c r="O734" s="569">
        <v>1</v>
      </c>
      <c r="P734" s="569" t="s">
        <v>157</v>
      </c>
      <c r="Q734" s="568" t="s">
        <v>157</v>
      </c>
      <c r="R734" s="569" t="s">
        <v>1700</v>
      </c>
      <c r="S734" s="569">
        <v>8</v>
      </c>
      <c r="T734" s="569" t="s">
        <v>1743</v>
      </c>
      <c r="U734" s="569" t="s">
        <v>1744</v>
      </c>
      <c r="V734" s="569">
        <v>158</v>
      </c>
      <c r="W734" s="569">
        <v>40</v>
      </c>
      <c r="X734" s="568">
        <v>12500</v>
      </c>
      <c r="Y734" s="569" t="s">
        <v>164</v>
      </c>
      <c r="Z734" s="581" t="s">
        <v>450</v>
      </c>
      <c r="AA734" s="581" t="s">
        <v>178</v>
      </c>
      <c r="AB734" s="585">
        <v>29540</v>
      </c>
      <c r="AC734" s="585" t="s">
        <v>164</v>
      </c>
      <c r="AD734" s="585">
        <v>23020.354166666668</v>
      </c>
      <c r="AE734" s="587">
        <v>0.03</v>
      </c>
      <c r="AF734" s="661" t="str">
        <f t="shared" si="80"/>
        <v>2019-LVN-FRD-E350-030-05</v>
      </c>
      <c r="AG734" s="661" t="str">
        <f>IF(AND($Y734&gt;=32,(AI734="I"),(Y734&lt;&gt;"~"),(COUNTIF($AN$1:$AN734,$AN734)=1)),"TRUE","FALSE")</f>
        <v>FALSE</v>
      </c>
      <c r="AH734" s="661" t="str">
        <f>IF(AND($Y734&gt;=22, (AI734&lt;&gt;"I"),(Y734&lt;&gt;"~"),(COUNTIF($AN$1:$AN734,$AN734)=1)),"TRUE","FALSE")</f>
        <v>TRUE</v>
      </c>
      <c r="AI734" s="661" t="str">
        <f t="shared" si="82"/>
        <v>N/A</v>
      </c>
      <c r="AJ734" s="662" t="str">
        <f t="shared" si="76"/>
        <v>E350-030</v>
      </c>
      <c r="AK734" s="662" t="str">
        <f t="shared" si="77"/>
        <v>LVN</v>
      </c>
      <c r="AL734" s="662" t="str">
        <f t="shared" si="78"/>
        <v>FRD</v>
      </c>
      <c r="AM734" s="662" t="str">
        <f t="shared" si="81"/>
        <v>Econoline E350-Stripped Chassis-RWD-1-~-~-6.2L-8-E3K-785A-158-40-E85-Unleaded</v>
      </c>
      <c r="AN734" s="662" t="str">
        <f t="shared" si="79"/>
        <v>2019-LVN-FRD-E350-030</v>
      </c>
    </row>
    <row r="735" spans="1:40" s="572" customFormat="1" ht="15">
      <c r="A735" s="570" t="s">
        <v>1798</v>
      </c>
      <c r="B735" s="573" t="s">
        <v>1799</v>
      </c>
      <c r="C735" s="573" t="s">
        <v>269</v>
      </c>
      <c r="D735" s="578" t="s">
        <v>270</v>
      </c>
      <c r="E735" s="573" t="s">
        <v>1516</v>
      </c>
      <c r="F735" s="573" t="s">
        <v>1684</v>
      </c>
      <c r="G735" s="573" t="s">
        <v>271</v>
      </c>
      <c r="H735" s="573">
        <v>2019</v>
      </c>
      <c r="I735" s="573" t="s">
        <v>1685</v>
      </c>
      <c r="J735" s="573" t="s">
        <v>1795</v>
      </c>
      <c r="K735" s="573" t="s">
        <v>236</v>
      </c>
      <c r="L735" s="573">
        <v>1</v>
      </c>
      <c r="M735" s="573">
        <v>0</v>
      </c>
      <c r="N735" s="573" t="s">
        <v>157</v>
      </c>
      <c r="O735" s="573">
        <v>1</v>
      </c>
      <c r="P735" s="573" t="s">
        <v>157</v>
      </c>
      <c r="Q735" s="571" t="s">
        <v>157</v>
      </c>
      <c r="R735" s="573" t="s">
        <v>1700</v>
      </c>
      <c r="S735" s="573">
        <v>8</v>
      </c>
      <c r="T735" s="573" t="s">
        <v>1743</v>
      </c>
      <c r="U735" s="573" t="s">
        <v>1744</v>
      </c>
      <c r="V735" s="573">
        <v>176</v>
      </c>
      <c r="W735" s="573">
        <v>40</v>
      </c>
      <c r="X735" s="571">
        <v>12500</v>
      </c>
      <c r="Y735" s="569" t="s">
        <v>164</v>
      </c>
      <c r="Z735" s="579" t="s">
        <v>450</v>
      </c>
      <c r="AA735" s="579" t="s">
        <v>178</v>
      </c>
      <c r="AB735" s="584">
        <v>30040</v>
      </c>
      <c r="AC735" s="584" t="s">
        <v>164</v>
      </c>
      <c r="AD735" s="584">
        <v>23476.604166666668</v>
      </c>
      <c r="AE735" s="586">
        <v>0.03</v>
      </c>
      <c r="AF735" s="661" t="str">
        <f t="shared" si="80"/>
        <v>2019-LVN-FRD-E350-031-05</v>
      </c>
      <c r="AG735" s="661" t="str">
        <f>IF(AND($Y735&gt;=32,(AI735="I"),(Y735&lt;&gt;"~"),(COUNTIF($AN$1:$AN735,$AN735)=1)),"TRUE","FALSE")</f>
        <v>FALSE</v>
      </c>
      <c r="AH735" s="661" t="str">
        <f>IF(AND($Y735&gt;=22, (AI735&lt;&gt;"I"),(Y735&lt;&gt;"~"),(COUNTIF($AN$1:$AN735,$AN735)=1)),"TRUE","FALSE")</f>
        <v>TRUE</v>
      </c>
      <c r="AI735" s="661" t="str">
        <f t="shared" si="82"/>
        <v>N/A</v>
      </c>
      <c r="AJ735" s="662" t="str">
        <f t="shared" si="76"/>
        <v>E350-031</v>
      </c>
      <c r="AK735" s="662" t="str">
        <f t="shared" si="77"/>
        <v>LVN</v>
      </c>
      <c r="AL735" s="662" t="str">
        <f t="shared" si="78"/>
        <v>FRD</v>
      </c>
      <c r="AM735" s="662" t="str">
        <f t="shared" si="81"/>
        <v>Econoline E350-Stripped Chassis-RWD-1-~-~-6.2L-8-E3K-785A-176-40-E85-Unleaded</v>
      </c>
      <c r="AN735" s="662" t="str">
        <f t="shared" si="79"/>
        <v>2019-LVN-FRD-E350-031</v>
      </c>
    </row>
    <row r="736" spans="1:40" s="572" customFormat="1" ht="15">
      <c r="A736" s="570" t="s">
        <v>1800</v>
      </c>
      <c r="B736" s="569" t="s">
        <v>1801</v>
      </c>
      <c r="C736" s="569" t="s">
        <v>269</v>
      </c>
      <c r="D736" s="580" t="s">
        <v>270</v>
      </c>
      <c r="E736" s="569" t="s">
        <v>1516</v>
      </c>
      <c r="F736" s="569" t="s">
        <v>1684</v>
      </c>
      <c r="G736" s="569" t="s">
        <v>271</v>
      </c>
      <c r="H736" s="569">
        <v>2019</v>
      </c>
      <c r="I736" s="569" t="s">
        <v>1685</v>
      </c>
      <c r="J736" s="569" t="s">
        <v>1795</v>
      </c>
      <c r="K736" s="569" t="s">
        <v>236</v>
      </c>
      <c r="L736" s="569">
        <v>1</v>
      </c>
      <c r="M736" s="569">
        <v>0</v>
      </c>
      <c r="N736" s="569" t="s">
        <v>157</v>
      </c>
      <c r="O736" s="569">
        <v>1</v>
      </c>
      <c r="P736" s="569" t="s">
        <v>157</v>
      </c>
      <c r="Q736" s="568" t="s">
        <v>157</v>
      </c>
      <c r="R736" s="569" t="s">
        <v>1687</v>
      </c>
      <c r="S736" s="569">
        <v>10</v>
      </c>
      <c r="T736" s="569" t="s">
        <v>1743</v>
      </c>
      <c r="U736" s="569" t="s">
        <v>1744</v>
      </c>
      <c r="V736" s="569">
        <v>138</v>
      </c>
      <c r="W736" s="569">
        <v>40</v>
      </c>
      <c r="X736" s="568">
        <v>11500</v>
      </c>
      <c r="Y736" s="569" t="s">
        <v>164</v>
      </c>
      <c r="Z736" s="581" t="s">
        <v>178</v>
      </c>
      <c r="AA736" s="581" t="s">
        <v>178</v>
      </c>
      <c r="AB736" s="585">
        <v>29640</v>
      </c>
      <c r="AC736" s="585" t="s">
        <v>164</v>
      </c>
      <c r="AD736" s="585">
        <v>23102.645833333336</v>
      </c>
      <c r="AE736" s="587">
        <v>0.03</v>
      </c>
      <c r="AF736" s="661" t="str">
        <f t="shared" si="80"/>
        <v>2019-LVN-FRD-E350-032-05</v>
      </c>
      <c r="AG736" s="661" t="str">
        <f>IF(AND($Y736&gt;=32,(AI736="I"),(Y736&lt;&gt;"~"),(COUNTIF($AN$1:$AN736,$AN736)=1)),"TRUE","FALSE")</f>
        <v>FALSE</v>
      </c>
      <c r="AH736" s="661" t="str">
        <f>IF(AND($Y736&gt;=22, (AI736&lt;&gt;"I"),(Y736&lt;&gt;"~"),(COUNTIF($AN$1:$AN736,$AN736)=1)),"TRUE","FALSE")</f>
        <v>TRUE</v>
      </c>
      <c r="AI736" s="661" t="str">
        <f t="shared" si="82"/>
        <v>N/A</v>
      </c>
      <c r="AJ736" s="662" t="str">
        <f t="shared" si="76"/>
        <v>E350-032</v>
      </c>
      <c r="AK736" s="662" t="str">
        <f t="shared" si="77"/>
        <v>LVN</v>
      </c>
      <c r="AL736" s="662" t="str">
        <f t="shared" si="78"/>
        <v>FRD</v>
      </c>
      <c r="AM736" s="662" t="str">
        <f t="shared" si="81"/>
        <v>Econoline E350-Stripped Chassis-RWD-1-~-~-6.8L-10-E3K-785A-138-40-Unleaded-Unleaded</v>
      </c>
      <c r="AN736" s="662" t="str">
        <f t="shared" si="79"/>
        <v>2019-LVN-FRD-E350-032</v>
      </c>
    </row>
    <row r="737" spans="1:40" s="572" customFormat="1" ht="15">
      <c r="A737" s="570" t="s">
        <v>1802</v>
      </c>
      <c r="B737" s="573" t="s">
        <v>1803</v>
      </c>
      <c r="C737" s="573" t="s">
        <v>269</v>
      </c>
      <c r="D737" s="578" t="s">
        <v>270</v>
      </c>
      <c r="E737" s="573" t="s">
        <v>1516</v>
      </c>
      <c r="F737" s="573" t="s">
        <v>1684</v>
      </c>
      <c r="G737" s="573" t="s">
        <v>271</v>
      </c>
      <c r="H737" s="573">
        <v>2019</v>
      </c>
      <c r="I737" s="573" t="s">
        <v>1685</v>
      </c>
      <c r="J737" s="573" t="s">
        <v>1795</v>
      </c>
      <c r="K737" s="573" t="s">
        <v>236</v>
      </c>
      <c r="L737" s="573">
        <v>1</v>
      </c>
      <c r="M737" s="573">
        <v>0</v>
      </c>
      <c r="N737" s="573" t="s">
        <v>157</v>
      </c>
      <c r="O737" s="573">
        <v>1</v>
      </c>
      <c r="P737" s="573" t="s">
        <v>157</v>
      </c>
      <c r="Q737" s="571" t="s">
        <v>157</v>
      </c>
      <c r="R737" s="573" t="s">
        <v>1687</v>
      </c>
      <c r="S737" s="573">
        <v>10</v>
      </c>
      <c r="T737" s="573" t="s">
        <v>1743</v>
      </c>
      <c r="U737" s="573" t="s">
        <v>1744</v>
      </c>
      <c r="V737" s="573">
        <v>158</v>
      </c>
      <c r="W737" s="573">
        <v>40</v>
      </c>
      <c r="X737" s="571">
        <v>12500</v>
      </c>
      <c r="Y737" s="569" t="s">
        <v>164</v>
      </c>
      <c r="Z737" s="579" t="s">
        <v>178</v>
      </c>
      <c r="AA737" s="579" t="s">
        <v>178</v>
      </c>
      <c r="AB737" s="584">
        <v>29890</v>
      </c>
      <c r="AC737" s="584" t="s">
        <v>164</v>
      </c>
      <c r="AD737" s="584">
        <v>23330.770833333336</v>
      </c>
      <c r="AE737" s="586">
        <v>0.03</v>
      </c>
      <c r="AF737" s="661" t="str">
        <f t="shared" si="80"/>
        <v>2019-LVN-FRD-E350-033-05</v>
      </c>
      <c r="AG737" s="661" t="str">
        <f>IF(AND($Y737&gt;=32,(AI737="I"),(Y737&lt;&gt;"~"),(COUNTIF($AN$1:$AN737,$AN737)=1)),"TRUE","FALSE")</f>
        <v>FALSE</v>
      </c>
      <c r="AH737" s="661" t="str">
        <f>IF(AND($Y737&gt;=22, (AI737&lt;&gt;"I"),(Y737&lt;&gt;"~"),(COUNTIF($AN$1:$AN737,$AN737)=1)),"TRUE","FALSE")</f>
        <v>TRUE</v>
      </c>
      <c r="AI737" s="661" t="str">
        <f t="shared" si="82"/>
        <v>N/A</v>
      </c>
      <c r="AJ737" s="662" t="str">
        <f t="shared" si="76"/>
        <v>E350-033</v>
      </c>
      <c r="AK737" s="662" t="str">
        <f t="shared" si="77"/>
        <v>LVN</v>
      </c>
      <c r="AL737" s="662" t="str">
        <f t="shared" si="78"/>
        <v>FRD</v>
      </c>
      <c r="AM737" s="662" t="str">
        <f t="shared" si="81"/>
        <v>Econoline E350-Stripped Chassis-RWD-1-~-~-6.8L-10-E3K-785A-158-40-Unleaded-Unleaded</v>
      </c>
      <c r="AN737" s="662" t="str">
        <f t="shared" si="79"/>
        <v>2019-LVN-FRD-E350-033</v>
      </c>
    </row>
    <row r="738" spans="1:40" s="572" customFormat="1" ht="15">
      <c r="A738" s="570" t="s">
        <v>1804</v>
      </c>
      <c r="B738" s="569" t="s">
        <v>1805</v>
      </c>
      <c r="C738" s="569" t="s">
        <v>269</v>
      </c>
      <c r="D738" s="580" t="s">
        <v>270</v>
      </c>
      <c r="E738" s="569" t="s">
        <v>1516</v>
      </c>
      <c r="F738" s="569" t="s">
        <v>1684</v>
      </c>
      <c r="G738" s="569" t="s">
        <v>271</v>
      </c>
      <c r="H738" s="569">
        <v>2019</v>
      </c>
      <c r="I738" s="569" t="s">
        <v>1685</v>
      </c>
      <c r="J738" s="569" t="s">
        <v>1795</v>
      </c>
      <c r="K738" s="569" t="s">
        <v>236</v>
      </c>
      <c r="L738" s="569">
        <v>1</v>
      </c>
      <c r="M738" s="569">
        <v>0</v>
      </c>
      <c r="N738" s="569" t="s">
        <v>157</v>
      </c>
      <c r="O738" s="569">
        <v>1</v>
      </c>
      <c r="P738" s="569" t="s">
        <v>157</v>
      </c>
      <c r="Q738" s="568" t="s">
        <v>157</v>
      </c>
      <c r="R738" s="569" t="s">
        <v>1687</v>
      </c>
      <c r="S738" s="569">
        <v>10</v>
      </c>
      <c r="T738" s="569" t="s">
        <v>1743</v>
      </c>
      <c r="U738" s="569" t="s">
        <v>1744</v>
      </c>
      <c r="V738" s="569">
        <v>176</v>
      </c>
      <c r="W738" s="569">
        <v>40</v>
      </c>
      <c r="X738" s="568">
        <v>12500</v>
      </c>
      <c r="Y738" s="569" t="s">
        <v>164</v>
      </c>
      <c r="Z738" s="581" t="s">
        <v>178</v>
      </c>
      <c r="AA738" s="581" t="s">
        <v>178</v>
      </c>
      <c r="AB738" s="585">
        <v>30390</v>
      </c>
      <c r="AC738" s="585" t="s">
        <v>164</v>
      </c>
      <c r="AD738" s="585">
        <v>23787.020833333336</v>
      </c>
      <c r="AE738" s="587">
        <v>0.03</v>
      </c>
      <c r="AF738" s="661" t="str">
        <f t="shared" si="80"/>
        <v>2019-LVN-FRD-E350-034-05</v>
      </c>
      <c r="AG738" s="661" t="str">
        <f>IF(AND($Y738&gt;=32,(AI738="I"),(Y738&lt;&gt;"~"),(COUNTIF($AN$1:$AN738,$AN738)=1)),"TRUE","FALSE")</f>
        <v>FALSE</v>
      </c>
      <c r="AH738" s="661" t="str">
        <f>IF(AND($Y738&gt;=22, (AI738&lt;&gt;"I"),(Y738&lt;&gt;"~"),(COUNTIF($AN$1:$AN738,$AN738)=1)),"TRUE","FALSE")</f>
        <v>TRUE</v>
      </c>
      <c r="AI738" s="661" t="str">
        <f t="shared" si="82"/>
        <v>N/A</v>
      </c>
      <c r="AJ738" s="662" t="str">
        <f t="shared" si="76"/>
        <v>E350-034</v>
      </c>
      <c r="AK738" s="662" t="str">
        <f t="shared" si="77"/>
        <v>LVN</v>
      </c>
      <c r="AL738" s="662" t="str">
        <f t="shared" si="78"/>
        <v>FRD</v>
      </c>
      <c r="AM738" s="662" t="str">
        <f t="shared" si="81"/>
        <v>Econoline E350-Stripped Chassis-RWD-1-~-~-6.8L-10-E3K-785A-176-40-Unleaded-Unleaded</v>
      </c>
      <c r="AN738" s="662" t="str">
        <f t="shared" si="79"/>
        <v>2019-LVN-FRD-E350-034</v>
      </c>
    </row>
    <row r="739" spans="1:40" s="572" customFormat="1" ht="15">
      <c r="A739" s="570" t="s">
        <v>1806</v>
      </c>
      <c r="B739" s="573" t="s">
        <v>1807</v>
      </c>
      <c r="C739" s="573" t="s">
        <v>269</v>
      </c>
      <c r="D739" s="578" t="s">
        <v>270</v>
      </c>
      <c r="E739" s="573" t="s">
        <v>1516</v>
      </c>
      <c r="F739" s="573" t="s">
        <v>1684</v>
      </c>
      <c r="G739" s="573" t="s">
        <v>271</v>
      </c>
      <c r="H739" s="573">
        <v>2019</v>
      </c>
      <c r="I739" s="573" t="s">
        <v>1685</v>
      </c>
      <c r="J739" s="573" t="s">
        <v>1795</v>
      </c>
      <c r="K739" s="573" t="s">
        <v>236</v>
      </c>
      <c r="L739" s="573">
        <v>1</v>
      </c>
      <c r="M739" s="573">
        <v>0</v>
      </c>
      <c r="N739" s="573" t="s">
        <v>157</v>
      </c>
      <c r="O739" s="573">
        <v>1</v>
      </c>
      <c r="P739" s="573" t="s">
        <v>157</v>
      </c>
      <c r="Q739" s="571">
        <v>8500</v>
      </c>
      <c r="R739" s="573" t="s">
        <v>1700</v>
      </c>
      <c r="S739" s="573">
        <v>8</v>
      </c>
      <c r="T739" s="573" t="s">
        <v>1743</v>
      </c>
      <c r="U739" s="573" t="s">
        <v>1744</v>
      </c>
      <c r="V739" s="573">
        <v>138</v>
      </c>
      <c r="W739" s="573">
        <v>40</v>
      </c>
      <c r="X739" s="571">
        <v>11500</v>
      </c>
      <c r="Y739" s="569" t="s">
        <v>164</v>
      </c>
      <c r="Z739" s="579" t="s">
        <v>450</v>
      </c>
      <c r="AA739" s="579" t="s">
        <v>178</v>
      </c>
      <c r="AB739" s="584">
        <v>29290</v>
      </c>
      <c r="AC739" s="584" t="s">
        <v>164</v>
      </c>
      <c r="AD739" s="584">
        <v>22792.229166666668</v>
      </c>
      <c r="AE739" s="586">
        <v>0.03</v>
      </c>
      <c r="AF739" s="661" t="str">
        <f t="shared" si="80"/>
        <v>2019-LVN-FRD-E350-035-05</v>
      </c>
      <c r="AG739" s="661" t="str">
        <f>IF(AND($Y739&gt;=32,(AI739="I"),(Y739&lt;&gt;"~"),(COUNTIF($AN$1:$AN739,$AN739)=1)),"TRUE","FALSE")</f>
        <v>FALSE</v>
      </c>
      <c r="AH739" s="661" t="str">
        <f>IF(AND($Y739&gt;=22, (AI739&lt;&gt;"I"),(Y739&lt;&gt;"~"),(COUNTIF($AN$1:$AN739,$AN739)=1)),"TRUE","FALSE")</f>
        <v>TRUE</v>
      </c>
      <c r="AI739" s="661" t="str">
        <f t="shared" si="82"/>
        <v>N/A</v>
      </c>
      <c r="AJ739" s="662" t="str">
        <f t="shared" si="76"/>
        <v>E350-035</v>
      </c>
      <c r="AK739" s="662" t="str">
        <f t="shared" si="77"/>
        <v>LVN</v>
      </c>
      <c r="AL739" s="662" t="str">
        <f t="shared" si="78"/>
        <v>FRD</v>
      </c>
      <c r="AM739" s="662" t="str">
        <f t="shared" si="81"/>
        <v>Econoline E350-Stripped Chassis-RWD-1-~-8500-6.2L-8-E3K-785A-138-40-E85-Unleaded</v>
      </c>
      <c r="AN739" s="662" t="str">
        <f t="shared" si="79"/>
        <v>2019-LVN-FRD-E350-035</v>
      </c>
    </row>
    <row r="740" spans="1:40" s="572" customFormat="1" ht="15">
      <c r="A740" s="570" t="s">
        <v>1808</v>
      </c>
      <c r="B740" s="569" t="s">
        <v>1809</v>
      </c>
      <c r="C740" s="569" t="s">
        <v>269</v>
      </c>
      <c r="D740" s="580" t="s">
        <v>270</v>
      </c>
      <c r="E740" s="569" t="s">
        <v>1516</v>
      </c>
      <c r="F740" s="569" t="s">
        <v>1684</v>
      </c>
      <c r="G740" s="569" t="s">
        <v>271</v>
      </c>
      <c r="H740" s="569">
        <v>2019</v>
      </c>
      <c r="I740" s="569" t="s">
        <v>1685</v>
      </c>
      <c r="J740" s="569" t="s">
        <v>1795</v>
      </c>
      <c r="K740" s="569" t="s">
        <v>236</v>
      </c>
      <c r="L740" s="569">
        <v>1</v>
      </c>
      <c r="M740" s="569">
        <v>0</v>
      </c>
      <c r="N740" s="569" t="s">
        <v>157</v>
      </c>
      <c r="O740" s="569">
        <v>1</v>
      </c>
      <c r="P740" s="569" t="s">
        <v>157</v>
      </c>
      <c r="Q740" s="568">
        <v>8500</v>
      </c>
      <c r="R740" s="569" t="s">
        <v>1700</v>
      </c>
      <c r="S740" s="569">
        <v>8</v>
      </c>
      <c r="T740" s="569" t="s">
        <v>1743</v>
      </c>
      <c r="U740" s="569" t="s">
        <v>1744</v>
      </c>
      <c r="V740" s="569">
        <v>158</v>
      </c>
      <c r="W740" s="569">
        <v>40</v>
      </c>
      <c r="X740" s="568">
        <v>12500</v>
      </c>
      <c r="Y740" s="569" t="s">
        <v>164</v>
      </c>
      <c r="Z740" s="581" t="s">
        <v>450</v>
      </c>
      <c r="AA740" s="581" t="s">
        <v>178</v>
      </c>
      <c r="AB740" s="585">
        <v>29540</v>
      </c>
      <c r="AC740" s="585" t="s">
        <v>164</v>
      </c>
      <c r="AD740" s="585">
        <v>23020.354166666668</v>
      </c>
      <c r="AE740" s="587">
        <v>0.03</v>
      </c>
      <c r="AF740" s="661" t="str">
        <f t="shared" si="80"/>
        <v>2019-LVN-FRD-E350-036-05</v>
      </c>
      <c r="AG740" s="661" t="str">
        <f>IF(AND($Y740&gt;=32,(AI740="I"),(Y740&lt;&gt;"~"),(COUNTIF($AN$1:$AN740,$AN740)=1)),"TRUE","FALSE")</f>
        <v>FALSE</v>
      </c>
      <c r="AH740" s="661" t="str">
        <f>IF(AND($Y740&gt;=22, (AI740&lt;&gt;"I"),(Y740&lt;&gt;"~"),(COUNTIF($AN$1:$AN740,$AN740)=1)),"TRUE","FALSE")</f>
        <v>TRUE</v>
      </c>
      <c r="AI740" s="661" t="str">
        <f t="shared" si="82"/>
        <v>N/A</v>
      </c>
      <c r="AJ740" s="662" t="str">
        <f t="shared" si="76"/>
        <v>E350-036</v>
      </c>
      <c r="AK740" s="662" t="str">
        <f t="shared" si="77"/>
        <v>LVN</v>
      </c>
      <c r="AL740" s="662" t="str">
        <f t="shared" si="78"/>
        <v>FRD</v>
      </c>
      <c r="AM740" s="662" t="str">
        <f t="shared" si="81"/>
        <v>Econoline E350-Stripped Chassis-RWD-1-~-8500-6.2L-8-E3K-785A-158-40-E85-Unleaded</v>
      </c>
      <c r="AN740" s="662" t="str">
        <f t="shared" si="79"/>
        <v>2019-LVN-FRD-E350-036</v>
      </c>
    </row>
    <row r="741" spans="1:40" s="572" customFormat="1" ht="15">
      <c r="A741" s="570" t="s">
        <v>1810</v>
      </c>
      <c r="B741" s="573" t="s">
        <v>1811</v>
      </c>
      <c r="C741" s="573" t="s">
        <v>269</v>
      </c>
      <c r="D741" s="578" t="s">
        <v>270</v>
      </c>
      <c r="E741" s="573" t="s">
        <v>1516</v>
      </c>
      <c r="F741" s="573" t="s">
        <v>1684</v>
      </c>
      <c r="G741" s="573" t="s">
        <v>271</v>
      </c>
      <c r="H741" s="573">
        <v>2019</v>
      </c>
      <c r="I741" s="573" t="s">
        <v>1685</v>
      </c>
      <c r="J741" s="573" t="s">
        <v>1795</v>
      </c>
      <c r="K741" s="573" t="s">
        <v>236</v>
      </c>
      <c r="L741" s="573">
        <v>1</v>
      </c>
      <c r="M741" s="573">
        <v>0</v>
      </c>
      <c r="N741" s="573" t="s">
        <v>157</v>
      </c>
      <c r="O741" s="573">
        <v>1</v>
      </c>
      <c r="P741" s="573" t="s">
        <v>157</v>
      </c>
      <c r="Q741" s="571">
        <v>8500</v>
      </c>
      <c r="R741" s="573" t="s">
        <v>1700</v>
      </c>
      <c r="S741" s="573">
        <v>8</v>
      </c>
      <c r="T741" s="573" t="s">
        <v>1743</v>
      </c>
      <c r="U741" s="573" t="s">
        <v>1744</v>
      </c>
      <c r="V741" s="573">
        <v>176</v>
      </c>
      <c r="W741" s="573">
        <v>40</v>
      </c>
      <c r="X741" s="571">
        <v>12500</v>
      </c>
      <c r="Y741" s="569" t="s">
        <v>164</v>
      </c>
      <c r="Z741" s="579" t="s">
        <v>450</v>
      </c>
      <c r="AA741" s="579" t="s">
        <v>178</v>
      </c>
      <c r="AB741" s="584">
        <v>30040</v>
      </c>
      <c r="AC741" s="584" t="s">
        <v>164</v>
      </c>
      <c r="AD741" s="584">
        <v>23476.604166666668</v>
      </c>
      <c r="AE741" s="586">
        <v>0.03</v>
      </c>
      <c r="AF741" s="661" t="str">
        <f t="shared" si="80"/>
        <v>2019-LVN-FRD-E350-037-05</v>
      </c>
      <c r="AG741" s="661" t="str">
        <f>IF(AND($Y741&gt;=32,(AI741="I"),(Y741&lt;&gt;"~"),(COUNTIF($AN$1:$AN741,$AN741)=1)),"TRUE","FALSE")</f>
        <v>FALSE</v>
      </c>
      <c r="AH741" s="661" t="str">
        <f>IF(AND($Y741&gt;=22, (AI741&lt;&gt;"I"),(Y741&lt;&gt;"~"),(COUNTIF($AN$1:$AN741,$AN741)=1)),"TRUE","FALSE")</f>
        <v>TRUE</v>
      </c>
      <c r="AI741" s="661" t="str">
        <f t="shared" si="82"/>
        <v>N/A</v>
      </c>
      <c r="AJ741" s="662" t="str">
        <f t="shared" si="76"/>
        <v>E350-037</v>
      </c>
      <c r="AK741" s="662" t="str">
        <f t="shared" si="77"/>
        <v>LVN</v>
      </c>
      <c r="AL741" s="662" t="str">
        <f t="shared" si="78"/>
        <v>FRD</v>
      </c>
      <c r="AM741" s="662" t="str">
        <f t="shared" si="81"/>
        <v>Econoline E350-Stripped Chassis-RWD-1-~-8500-6.2L-8-E3K-785A-176-40-E85-Unleaded</v>
      </c>
      <c r="AN741" s="662" t="str">
        <f t="shared" si="79"/>
        <v>2019-LVN-FRD-E350-037</v>
      </c>
    </row>
    <row r="742" spans="1:40" s="572" customFormat="1" ht="15">
      <c r="A742" s="570" t="s">
        <v>1812</v>
      </c>
      <c r="B742" s="569" t="s">
        <v>1813</v>
      </c>
      <c r="C742" s="569" t="s">
        <v>269</v>
      </c>
      <c r="D742" s="580" t="s">
        <v>270</v>
      </c>
      <c r="E742" s="569" t="s">
        <v>1516</v>
      </c>
      <c r="F742" s="569" t="s">
        <v>1684</v>
      </c>
      <c r="G742" s="569" t="s">
        <v>271</v>
      </c>
      <c r="H742" s="569">
        <v>2019</v>
      </c>
      <c r="I742" s="569" t="s">
        <v>1685</v>
      </c>
      <c r="J742" s="569" t="s">
        <v>1795</v>
      </c>
      <c r="K742" s="569" t="s">
        <v>236</v>
      </c>
      <c r="L742" s="569">
        <v>1</v>
      </c>
      <c r="M742" s="569">
        <v>0</v>
      </c>
      <c r="N742" s="569" t="s">
        <v>157</v>
      </c>
      <c r="O742" s="569">
        <v>1</v>
      </c>
      <c r="P742" s="569" t="s">
        <v>157</v>
      </c>
      <c r="Q742" s="568">
        <v>8500</v>
      </c>
      <c r="R742" s="569" t="s">
        <v>1687</v>
      </c>
      <c r="S742" s="569">
        <v>10</v>
      </c>
      <c r="T742" s="569" t="s">
        <v>1743</v>
      </c>
      <c r="U742" s="569" t="s">
        <v>1744</v>
      </c>
      <c r="V742" s="569">
        <v>138</v>
      </c>
      <c r="W742" s="569">
        <v>40</v>
      </c>
      <c r="X742" s="568">
        <v>11500</v>
      </c>
      <c r="Y742" s="569" t="s">
        <v>164</v>
      </c>
      <c r="Z742" s="581" t="s">
        <v>178</v>
      </c>
      <c r="AA742" s="581" t="s">
        <v>178</v>
      </c>
      <c r="AB742" s="585">
        <v>29640</v>
      </c>
      <c r="AC742" s="585" t="s">
        <v>164</v>
      </c>
      <c r="AD742" s="585">
        <v>23102.645833333336</v>
      </c>
      <c r="AE742" s="587">
        <v>0.03</v>
      </c>
      <c r="AF742" s="661" t="str">
        <f t="shared" si="80"/>
        <v>2019-LVN-FRD-E350-038-05</v>
      </c>
      <c r="AG742" s="661" t="str">
        <f>IF(AND($Y742&gt;=32,(AI742="I"),(Y742&lt;&gt;"~"),(COUNTIF($AN$1:$AN742,$AN742)=1)),"TRUE","FALSE")</f>
        <v>FALSE</v>
      </c>
      <c r="AH742" s="661" t="str">
        <f>IF(AND($Y742&gt;=22, (AI742&lt;&gt;"I"),(Y742&lt;&gt;"~"),(COUNTIF($AN$1:$AN742,$AN742)=1)),"TRUE","FALSE")</f>
        <v>TRUE</v>
      </c>
      <c r="AI742" s="661" t="str">
        <f t="shared" si="82"/>
        <v>N/A</v>
      </c>
      <c r="AJ742" s="662" t="str">
        <f t="shared" si="76"/>
        <v>E350-038</v>
      </c>
      <c r="AK742" s="662" t="str">
        <f t="shared" si="77"/>
        <v>LVN</v>
      </c>
      <c r="AL742" s="662" t="str">
        <f t="shared" si="78"/>
        <v>FRD</v>
      </c>
      <c r="AM742" s="662" t="str">
        <f t="shared" si="81"/>
        <v>Econoline E350-Stripped Chassis-RWD-1-~-8500-6.8L-10-E3K-785A-138-40-Unleaded-Unleaded</v>
      </c>
      <c r="AN742" s="662" t="str">
        <f t="shared" si="79"/>
        <v>2019-LVN-FRD-E350-038</v>
      </c>
    </row>
    <row r="743" spans="1:40" s="572" customFormat="1" ht="15">
      <c r="A743" s="570" t="s">
        <v>1814</v>
      </c>
      <c r="B743" s="573" t="s">
        <v>1815</v>
      </c>
      <c r="C743" s="573" t="s">
        <v>269</v>
      </c>
      <c r="D743" s="578" t="s">
        <v>270</v>
      </c>
      <c r="E743" s="573" t="s">
        <v>1516</v>
      </c>
      <c r="F743" s="573" t="s">
        <v>1684</v>
      </c>
      <c r="G743" s="573" t="s">
        <v>271</v>
      </c>
      <c r="H743" s="573">
        <v>2019</v>
      </c>
      <c r="I743" s="573" t="s">
        <v>1685</v>
      </c>
      <c r="J743" s="573" t="s">
        <v>1795</v>
      </c>
      <c r="K743" s="573" t="s">
        <v>236</v>
      </c>
      <c r="L743" s="573">
        <v>1</v>
      </c>
      <c r="M743" s="573">
        <v>0</v>
      </c>
      <c r="N743" s="573" t="s">
        <v>157</v>
      </c>
      <c r="O743" s="573">
        <v>1</v>
      </c>
      <c r="P743" s="573" t="s">
        <v>157</v>
      </c>
      <c r="Q743" s="571">
        <v>8500</v>
      </c>
      <c r="R743" s="573" t="s">
        <v>1687</v>
      </c>
      <c r="S743" s="573">
        <v>10</v>
      </c>
      <c r="T743" s="573" t="s">
        <v>1743</v>
      </c>
      <c r="U743" s="573" t="s">
        <v>1744</v>
      </c>
      <c r="V743" s="573">
        <v>158</v>
      </c>
      <c r="W743" s="573">
        <v>40</v>
      </c>
      <c r="X743" s="571">
        <v>12500</v>
      </c>
      <c r="Y743" s="569" t="s">
        <v>164</v>
      </c>
      <c r="Z743" s="579" t="s">
        <v>178</v>
      </c>
      <c r="AA743" s="579" t="s">
        <v>178</v>
      </c>
      <c r="AB743" s="584">
        <v>29890</v>
      </c>
      <c r="AC743" s="584" t="s">
        <v>164</v>
      </c>
      <c r="AD743" s="584">
        <v>23330.770833333336</v>
      </c>
      <c r="AE743" s="586">
        <v>0.03</v>
      </c>
      <c r="AF743" s="661" t="str">
        <f t="shared" si="80"/>
        <v>2019-LVN-FRD-E350-039-05</v>
      </c>
      <c r="AG743" s="661" t="str">
        <f>IF(AND($Y743&gt;=32,(AI743="I"),(Y743&lt;&gt;"~"),(COUNTIF($AN$1:$AN743,$AN743)=1)),"TRUE","FALSE")</f>
        <v>FALSE</v>
      </c>
      <c r="AH743" s="661" t="str">
        <f>IF(AND($Y743&gt;=22, (AI743&lt;&gt;"I"),(Y743&lt;&gt;"~"),(COUNTIF($AN$1:$AN743,$AN743)=1)),"TRUE","FALSE")</f>
        <v>TRUE</v>
      </c>
      <c r="AI743" s="661" t="str">
        <f t="shared" si="82"/>
        <v>N/A</v>
      </c>
      <c r="AJ743" s="662" t="str">
        <f t="shared" si="76"/>
        <v>E350-039</v>
      </c>
      <c r="AK743" s="662" t="str">
        <f t="shared" si="77"/>
        <v>LVN</v>
      </c>
      <c r="AL743" s="662" t="str">
        <f t="shared" si="78"/>
        <v>FRD</v>
      </c>
      <c r="AM743" s="662" t="str">
        <f t="shared" si="81"/>
        <v>Econoline E350-Stripped Chassis-RWD-1-~-8500-6.8L-10-E3K-785A-158-40-Unleaded-Unleaded</v>
      </c>
      <c r="AN743" s="662" t="str">
        <f t="shared" si="79"/>
        <v>2019-LVN-FRD-E350-039</v>
      </c>
    </row>
    <row r="744" spans="1:40" s="572" customFormat="1" ht="15">
      <c r="A744" s="570" t="s">
        <v>1816</v>
      </c>
      <c r="B744" s="569" t="s">
        <v>1817</v>
      </c>
      <c r="C744" s="569" t="s">
        <v>269</v>
      </c>
      <c r="D744" s="580" t="s">
        <v>270</v>
      </c>
      <c r="E744" s="569" t="s">
        <v>1516</v>
      </c>
      <c r="F744" s="569" t="s">
        <v>1684</v>
      </c>
      <c r="G744" s="569" t="s">
        <v>271</v>
      </c>
      <c r="H744" s="569">
        <v>2019</v>
      </c>
      <c r="I744" s="569" t="s">
        <v>1685</v>
      </c>
      <c r="J744" s="569" t="s">
        <v>1795</v>
      </c>
      <c r="K744" s="569" t="s">
        <v>236</v>
      </c>
      <c r="L744" s="569">
        <v>1</v>
      </c>
      <c r="M744" s="569">
        <v>0</v>
      </c>
      <c r="N744" s="569" t="s">
        <v>157</v>
      </c>
      <c r="O744" s="569">
        <v>1</v>
      </c>
      <c r="P744" s="569" t="s">
        <v>157</v>
      </c>
      <c r="Q744" s="568">
        <v>8500</v>
      </c>
      <c r="R744" s="569" t="s">
        <v>1687</v>
      </c>
      <c r="S744" s="569">
        <v>10</v>
      </c>
      <c r="T744" s="569" t="s">
        <v>1743</v>
      </c>
      <c r="U744" s="569" t="s">
        <v>1744</v>
      </c>
      <c r="V744" s="569">
        <v>176</v>
      </c>
      <c r="W744" s="569">
        <v>40</v>
      </c>
      <c r="X744" s="568">
        <v>12500</v>
      </c>
      <c r="Y744" s="569" t="s">
        <v>164</v>
      </c>
      <c r="Z744" s="581" t="s">
        <v>178</v>
      </c>
      <c r="AA744" s="581" t="s">
        <v>178</v>
      </c>
      <c r="AB744" s="585">
        <v>30390</v>
      </c>
      <c r="AC744" s="585" t="s">
        <v>164</v>
      </c>
      <c r="AD744" s="585">
        <v>23787.020833333336</v>
      </c>
      <c r="AE744" s="587">
        <v>0.03</v>
      </c>
      <c r="AF744" s="661" t="str">
        <f t="shared" si="80"/>
        <v>2019-LVN-FRD-E350-040-05</v>
      </c>
      <c r="AG744" s="661" t="str">
        <f>IF(AND($Y744&gt;=32,(AI744="I"),(Y744&lt;&gt;"~"),(COUNTIF($AN$1:$AN744,$AN744)=1)),"TRUE","FALSE")</f>
        <v>FALSE</v>
      </c>
      <c r="AH744" s="661" t="str">
        <f>IF(AND($Y744&gt;=22, (AI744&lt;&gt;"I"),(Y744&lt;&gt;"~"),(COUNTIF($AN$1:$AN744,$AN744)=1)),"TRUE","FALSE")</f>
        <v>TRUE</v>
      </c>
      <c r="AI744" s="661" t="str">
        <f t="shared" si="82"/>
        <v>N/A</v>
      </c>
      <c r="AJ744" s="662" t="str">
        <f t="shared" si="76"/>
        <v>E350-040</v>
      </c>
      <c r="AK744" s="662" t="str">
        <f t="shared" si="77"/>
        <v>LVN</v>
      </c>
      <c r="AL744" s="662" t="str">
        <f t="shared" si="78"/>
        <v>FRD</v>
      </c>
      <c r="AM744" s="662" t="str">
        <f t="shared" si="81"/>
        <v>Econoline E350-Stripped Chassis-RWD-1-~-8500-6.8L-10-E3K-785A-176-40-Unleaded-Unleaded</v>
      </c>
      <c r="AN744" s="662" t="str">
        <f t="shared" si="79"/>
        <v>2019-LVN-FRD-E350-040</v>
      </c>
    </row>
    <row r="745" spans="1:40" s="572" customFormat="1" ht="15">
      <c r="A745" s="570" t="s">
        <v>1818</v>
      </c>
      <c r="B745" s="573" t="s">
        <v>1807</v>
      </c>
      <c r="C745" s="573" t="s">
        <v>278</v>
      </c>
      <c r="D745" s="578">
        <v>15</v>
      </c>
      <c r="E745" s="573" t="s">
        <v>1516</v>
      </c>
      <c r="F745" s="573" t="s">
        <v>1684</v>
      </c>
      <c r="G745" s="573" t="s">
        <v>271</v>
      </c>
      <c r="H745" s="573">
        <v>2019</v>
      </c>
      <c r="I745" s="573" t="s">
        <v>1685</v>
      </c>
      <c r="J745" s="573" t="s">
        <v>1795</v>
      </c>
      <c r="K745" s="573" t="s">
        <v>236</v>
      </c>
      <c r="L745" s="573">
        <v>1</v>
      </c>
      <c r="M745" s="573">
        <v>0</v>
      </c>
      <c r="N745" s="573" t="s">
        <v>157</v>
      </c>
      <c r="O745" s="573">
        <v>1</v>
      </c>
      <c r="P745" s="573" t="s">
        <v>157</v>
      </c>
      <c r="Q745" s="571">
        <v>8500</v>
      </c>
      <c r="R745" s="573" t="s">
        <v>1700</v>
      </c>
      <c r="S745" s="573">
        <v>8</v>
      </c>
      <c r="T745" s="573" t="s">
        <v>1743</v>
      </c>
      <c r="U745" s="573" t="s">
        <v>1744</v>
      </c>
      <c r="V745" s="573">
        <v>138</v>
      </c>
      <c r="W745" s="573">
        <v>40</v>
      </c>
      <c r="X745" s="571">
        <v>11500</v>
      </c>
      <c r="Y745" s="569" t="s">
        <v>164</v>
      </c>
      <c r="Z745" s="579" t="s">
        <v>450</v>
      </c>
      <c r="AA745" s="579" t="s">
        <v>178</v>
      </c>
      <c r="AB745" s="584">
        <v>29290</v>
      </c>
      <c r="AC745" s="584" t="s">
        <v>164</v>
      </c>
      <c r="AD745" s="584">
        <v>23150</v>
      </c>
      <c r="AE745" s="586">
        <v>0.01</v>
      </c>
      <c r="AF745" s="661" t="str">
        <f t="shared" si="80"/>
        <v>2019-LVN-FRD-E350-035-15</v>
      </c>
      <c r="AG745" s="661" t="str">
        <f>IF(AND($Y745&gt;=32,(AI745="I"),(Y745&lt;&gt;"~"),(COUNTIF($AN$1:$AN745,$AN745)=1)),"TRUE","FALSE")</f>
        <v>FALSE</v>
      </c>
      <c r="AH745" s="661" t="str">
        <f>IF(AND($Y745&gt;=22, (AI745&lt;&gt;"I"),(Y745&lt;&gt;"~"),(COUNTIF($AN$1:$AN745,$AN745)=1)),"TRUE","FALSE")</f>
        <v>FALSE</v>
      </c>
      <c r="AI745" s="661" t="str">
        <f t="shared" si="82"/>
        <v>N/A</v>
      </c>
      <c r="AJ745" s="662" t="str">
        <f t="shared" si="76"/>
        <v>E350-035</v>
      </c>
      <c r="AK745" s="662" t="str">
        <f t="shared" si="77"/>
        <v>LVN</v>
      </c>
      <c r="AL745" s="662" t="str">
        <f t="shared" si="78"/>
        <v>FRD</v>
      </c>
      <c r="AM745" s="662" t="str">
        <f t="shared" si="81"/>
        <v>Econoline E350-Stripped Chassis-RWD-1-~-8500-6.2L-8-E3K-785A-138-40-E85-Unleaded</v>
      </c>
      <c r="AN745" s="662" t="str">
        <f t="shared" si="79"/>
        <v>2019-LVN-FRD-E350-035</v>
      </c>
    </row>
    <row r="746" spans="1:40" s="572" customFormat="1" ht="15">
      <c r="A746" s="570" t="s">
        <v>1819</v>
      </c>
      <c r="B746" s="569" t="s">
        <v>1809</v>
      </c>
      <c r="C746" s="569" t="s">
        <v>278</v>
      </c>
      <c r="D746" s="580">
        <v>15</v>
      </c>
      <c r="E746" s="569" t="s">
        <v>1516</v>
      </c>
      <c r="F746" s="569" t="s">
        <v>1684</v>
      </c>
      <c r="G746" s="569" t="s">
        <v>271</v>
      </c>
      <c r="H746" s="569">
        <v>2019</v>
      </c>
      <c r="I746" s="569" t="s">
        <v>1685</v>
      </c>
      <c r="J746" s="569" t="s">
        <v>1795</v>
      </c>
      <c r="K746" s="569" t="s">
        <v>236</v>
      </c>
      <c r="L746" s="569">
        <v>1</v>
      </c>
      <c r="M746" s="569">
        <v>0</v>
      </c>
      <c r="N746" s="569" t="s">
        <v>157</v>
      </c>
      <c r="O746" s="569">
        <v>1</v>
      </c>
      <c r="P746" s="569" t="s">
        <v>157</v>
      </c>
      <c r="Q746" s="568">
        <v>8500</v>
      </c>
      <c r="R746" s="569" t="s">
        <v>1700</v>
      </c>
      <c r="S746" s="569">
        <v>8</v>
      </c>
      <c r="T746" s="569" t="s">
        <v>1743</v>
      </c>
      <c r="U746" s="569" t="s">
        <v>1744</v>
      </c>
      <c r="V746" s="569">
        <v>158</v>
      </c>
      <c r="W746" s="569">
        <v>40</v>
      </c>
      <c r="X746" s="568">
        <v>12500</v>
      </c>
      <c r="Y746" s="569" t="s">
        <v>164</v>
      </c>
      <c r="Z746" s="581" t="s">
        <v>450</v>
      </c>
      <c r="AA746" s="581" t="s">
        <v>178</v>
      </c>
      <c r="AB746" s="585">
        <v>29540</v>
      </c>
      <c r="AC746" s="585" t="s">
        <v>164</v>
      </c>
      <c r="AD746" s="585">
        <v>23300</v>
      </c>
      <c r="AE746" s="587">
        <v>0.01</v>
      </c>
      <c r="AF746" s="661" t="str">
        <f t="shared" si="80"/>
        <v>2019-LVN-FRD-E350-036-15</v>
      </c>
      <c r="AG746" s="661" t="str">
        <f>IF(AND($Y746&gt;=32,(AI746="I"),(Y746&lt;&gt;"~"),(COUNTIF($AN$1:$AN746,$AN746)=1)),"TRUE","FALSE")</f>
        <v>FALSE</v>
      </c>
      <c r="AH746" s="661" t="str">
        <f>IF(AND($Y746&gt;=22, (AI746&lt;&gt;"I"),(Y746&lt;&gt;"~"),(COUNTIF($AN$1:$AN746,$AN746)=1)),"TRUE","FALSE")</f>
        <v>FALSE</v>
      </c>
      <c r="AI746" s="661" t="str">
        <f t="shared" si="82"/>
        <v>N/A</v>
      </c>
      <c r="AJ746" s="662" t="str">
        <f t="shared" si="76"/>
        <v>E350-036</v>
      </c>
      <c r="AK746" s="662" t="str">
        <f t="shared" si="77"/>
        <v>LVN</v>
      </c>
      <c r="AL746" s="662" t="str">
        <f t="shared" si="78"/>
        <v>FRD</v>
      </c>
      <c r="AM746" s="662" t="str">
        <f t="shared" si="81"/>
        <v>Econoline E350-Stripped Chassis-RWD-1-~-8500-6.2L-8-E3K-785A-158-40-E85-Unleaded</v>
      </c>
      <c r="AN746" s="662" t="str">
        <f t="shared" si="79"/>
        <v>2019-LVN-FRD-E350-036</v>
      </c>
    </row>
    <row r="747" spans="1:40" s="572" customFormat="1" ht="15">
      <c r="A747" s="570" t="s">
        <v>1820</v>
      </c>
      <c r="B747" s="573" t="s">
        <v>1811</v>
      </c>
      <c r="C747" s="573" t="s">
        <v>278</v>
      </c>
      <c r="D747" s="578">
        <v>15</v>
      </c>
      <c r="E747" s="573" t="s">
        <v>1516</v>
      </c>
      <c r="F747" s="573" t="s">
        <v>1684</v>
      </c>
      <c r="G747" s="573" t="s">
        <v>271</v>
      </c>
      <c r="H747" s="573">
        <v>2019</v>
      </c>
      <c r="I747" s="573" t="s">
        <v>1685</v>
      </c>
      <c r="J747" s="573" t="s">
        <v>1795</v>
      </c>
      <c r="K747" s="573" t="s">
        <v>236</v>
      </c>
      <c r="L747" s="573">
        <v>1</v>
      </c>
      <c r="M747" s="573">
        <v>0</v>
      </c>
      <c r="N747" s="573" t="s">
        <v>157</v>
      </c>
      <c r="O747" s="573">
        <v>1</v>
      </c>
      <c r="P747" s="573" t="s">
        <v>157</v>
      </c>
      <c r="Q747" s="571">
        <v>8500</v>
      </c>
      <c r="R747" s="573" t="s">
        <v>1700</v>
      </c>
      <c r="S747" s="573">
        <v>8</v>
      </c>
      <c r="T747" s="573" t="s">
        <v>1743</v>
      </c>
      <c r="U747" s="573" t="s">
        <v>1744</v>
      </c>
      <c r="V747" s="573">
        <v>176</v>
      </c>
      <c r="W747" s="573">
        <v>40</v>
      </c>
      <c r="X747" s="571">
        <v>12500</v>
      </c>
      <c r="Y747" s="569" t="s">
        <v>164</v>
      </c>
      <c r="Z747" s="579" t="s">
        <v>450</v>
      </c>
      <c r="AA747" s="579" t="s">
        <v>178</v>
      </c>
      <c r="AB747" s="584">
        <v>29540</v>
      </c>
      <c r="AC747" s="584" t="s">
        <v>164</v>
      </c>
      <c r="AD747" s="584">
        <v>23800</v>
      </c>
      <c r="AE747" s="586">
        <v>0.01</v>
      </c>
      <c r="AF747" s="661" t="str">
        <f t="shared" si="80"/>
        <v>2019-LVN-FRD-E350-037-15</v>
      </c>
      <c r="AG747" s="661" t="str">
        <f>IF(AND($Y747&gt;=32,(AI747="I"),(Y747&lt;&gt;"~"),(COUNTIF($AN$1:$AN747,$AN747)=1)),"TRUE","FALSE")</f>
        <v>FALSE</v>
      </c>
      <c r="AH747" s="661" t="str">
        <f>IF(AND($Y747&gt;=22, (AI747&lt;&gt;"I"),(Y747&lt;&gt;"~"),(COUNTIF($AN$1:$AN747,$AN747)=1)),"TRUE","FALSE")</f>
        <v>FALSE</v>
      </c>
      <c r="AI747" s="661" t="str">
        <f t="shared" si="82"/>
        <v>N/A</v>
      </c>
      <c r="AJ747" s="662" t="str">
        <f t="shared" si="76"/>
        <v>E350-037</v>
      </c>
      <c r="AK747" s="662" t="str">
        <f t="shared" si="77"/>
        <v>LVN</v>
      </c>
      <c r="AL747" s="662" t="str">
        <f t="shared" si="78"/>
        <v>FRD</v>
      </c>
      <c r="AM747" s="662" t="str">
        <f t="shared" si="81"/>
        <v>Econoline E350-Stripped Chassis-RWD-1-~-8500-6.2L-8-E3K-785A-176-40-E85-Unleaded</v>
      </c>
      <c r="AN747" s="662" t="str">
        <f t="shared" si="79"/>
        <v>2019-LVN-FRD-E350-037</v>
      </c>
    </row>
    <row r="748" spans="1:40" s="572" customFormat="1" ht="15">
      <c r="A748" s="570" t="s">
        <v>1821</v>
      </c>
      <c r="B748" s="569" t="s">
        <v>1813</v>
      </c>
      <c r="C748" s="569" t="s">
        <v>278</v>
      </c>
      <c r="D748" s="580">
        <v>15</v>
      </c>
      <c r="E748" s="569" t="s">
        <v>1516</v>
      </c>
      <c r="F748" s="569" t="s">
        <v>1684</v>
      </c>
      <c r="G748" s="569" t="s">
        <v>271</v>
      </c>
      <c r="H748" s="569">
        <v>2019</v>
      </c>
      <c r="I748" s="569" t="s">
        <v>1685</v>
      </c>
      <c r="J748" s="569" t="s">
        <v>1795</v>
      </c>
      <c r="K748" s="569" t="s">
        <v>236</v>
      </c>
      <c r="L748" s="569">
        <v>1</v>
      </c>
      <c r="M748" s="569">
        <v>0</v>
      </c>
      <c r="N748" s="569" t="s">
        <v>157</v>
      </c>
      <c r="O748" s="569">
        <v>1</v>
      </c>
      <c r="P748" s="569" t="s">
        <v>157</v>
      </c>
      <c r="Q748" s="568">
        <v>8500</v>
      </c>
      <c r="R748" s="569" t="s">
        <v>1687</v>
      </c>
      <c r="S748" s="569">
        <v>10</v>
      </c>
      <c r="T748" s="569" t="s">
        <v>1743</v>
      </c>
      <c r="U748" s="569" t="s">
        <v>1744</v>
      </c>
      <c r="V748" s="569">
        <v>138</v>
      </c>
      <c r="W748" s="569">
        <v>40</v>
      </c>
      <c r="X748" s="568">
        <v>11500</v>
      </c>
      <c r="Y748" s="569" t="s">
        <v>164</v>
      </c>
      <c r="Z748" s="581" t="s">
        <v>178</v>
      </c>
      <c r="AA748" s="581" t="s">
        <v>178</v>
      </c>
      <c r="AB748" s="585">
        <v>29640</v>
      </c>
      <c r="AC748" s="585" t="s">
        <v>164</v>
      </c>
      <c r="AD748" s="585">
        <v>23400</v>
      </c>
      <c r="AE748" s="587">
        <v>0.01</v>
      </c>
      <c r="AF748" s="661" t="str">
        <f t="shared" si="80"/>
        <v>2019-LVN-FRD-E350-038-15</v>
      </c>
      <c r="AG748" s="661" t="str">
        <f>IF(AND($Y748&gt;=32,(AI748="I"),(Y748&lt;&gt;"~"),(COUNTIF($AN$1:$AN748,$AN748)=1)),"TRUE","FALSE")</f>
        <v>FALSE</v>
      </c>
      <c r="AH748" s="661" t="str">
        <f>IF(AND($Y748&gt;=22, (AI748&lt;&gt;"I"),(Y748&lt;&gt;"~"),(COUNTIF($AN$1:$AN748,$AN748)=1)),"TRUE","FALSE")</f>
        <v>FALSE</v>
      </c>
      <c r="AI748" s="661" t="str">
        <f t="shared" si="82"/>
        <v>N/A</v>
      </c>
      <c r="AJ748" s="662" t="str">
        <f t="shared" si="76"/>
        <v>E350-038</v>
      </c>
      <c r="AK748" s="662" t="str">
        <f t="shared" si="77"/>
        <v>LVN</v>
      </c>
      <c r="AL748" s="662" t="str">
        <f t="shared" si="78"/>
        <v>FRD</v>
      </c>
      <c r="AM748" s="662" t="str">
        <f t="shared" si="81"/>
        <v>Econoline E350-Stripped Chassis-RWD-1-~-8500-6.8L-10-E3K-785A-138-40-Unleaded-Unleaded</v>
      </c>
      <c r="AN748" s="662" t="str">
        <f t="shared" si="79"/>
        <v>2019-LVN-FRD-E350-038</v>
      </c>
    </row>
    <row r="749" spans="1:40" s="572" customFormat="1" ht="15">
      <c r="A749" s="570" t="s">
        <v>1822</v>
      </c>
      <c r="B749" s="573" t="s">
        <v>1815</v>
      </c>
      <c r="C749" s="573" t="s">
        <v>278</v>
      </c>
      <c r="D749" s="578">
        <v>15</v>
      </c>
      <c r="E749" s="573" t="s">
        <v>1516</v>
      </c>
      <c r="F749" s="573" t="s">
        <v>1684</v>
      </c>
      <c r="G749" s="573" t="s">
        <v>271</v>
      </c>
      <c r="H749" s="573">
        <v>2019</v>
      </c>
      <c r="I749" s="573" t="s">
        <v>1685</v>
      </c>
      <c r="J749" s="573" t="s">
        <v>1795</v>
      </c>
      <c r="K749" s="573" t="s">
        <v>236</v>
      </c>
      <c r="L749" s="573">
        <v>1</v>
      </c>
      <c r="M749" s="573">
        <v>0</v>
      </c>
      <c r="N749" s="573" t="s">
        <v>157</v>
      </c>
      <c r="O749" s="573">
        <v>1</v>
      </c>
      <c r="P749" s="573" t="s">
        <v>157</v>
      </c>
      <c r="Q749" s="571">
        <v>8500</v>
      </c>
      <c r="R749" s="573" t="s">
        <v>1687</v>
      </c>
      <c r="S749" s="573">
        <v>10</v>
      </c>
      <c r="T749" s="573" t="s">
        <v>1743</v>
      </c>
      <c r="U749" s="573" t="s">
        <v>1744</v>
      </c>
      <c r="V749" s="573">
        <v>158</v>
      </c>
      <c r="W749" s="573">
        <v>40</v>
      </c>
      <c r="X749" s="571">
        <v>12500</v>
      </c>
      <c r="Y749" s="569" t="s">
        <v>164</v>
      </c>
      <c r="Z749" s="579" t="s">
        <v>178</v>
      </c>
      <c r="AA749" s="579" t="s">
        <v>178</v>
      </c>
      <c r="AB749" s="584">
        <v>29890</v>
      </c>
      <c r="AC749" s="584" t="s">
        <v>164</v>
      </c>
      <c r="AD749" s="584">
        <v>23650</v>
      </c>
      <c r="AE749" s="586">
        <v>0.01</v>
      </c>
      <c r="AF749" s="661" t="str">
        <f t="shared" si="80"/>
        <v>2019-LVN-FRD-E350-039-15</v>
      </c>
      <c r="AG749" s="661" t="str">
        <f>IF(AND($Y749&gt;=32,(AI749="I"),(Y749&lt;&gt;"~"),(COUNTIF($AN$1:$AN749,$AN749)=1)),"TRUE","FALSE")</f>
        <v>FALSE</v>
      </c>
      <c r="AH749" s="661" t="str">
        <f>IF(AND($Y749&gt;=22, (AI749&lt;&gt;"I"),(Y749&lt;&gt;"~"),(COUNTIF($AN$1:$AN749,$AN749)=1)),"TRUE","FALSE")</f>
        <v>FALSE</v>
      </c>
      <c r="AI749" s="661" t="str">
        <f t="shared" si="82"/>
        <v>N/A</v>
      </c>
      <c r="AJ749" s="662" t="str">
        <f t="shared" si="76"/>
        <v>E350-039</v>
      </c>
      <c r="AK749" s="662" t="str">
        <f t="shared" si="77"/>
        <v>LVN</v>
      </c>
      <c r="AL749" s="662" t="str">
        <f t="shared" si="78"/>
        <v>FRD</v>
      </c>
      <c r="AM749" s="662" t="str">
        <f t="shared" si="81"/>
        <v>Econoline E350-Stripped Chassis-RWD-1-~-8500-6.8L-10-E3K-785A-158-40-Unleaded-Unleaded</v>
      </c>
      <c r="AN749" s="662" t="str">
        <f t="shared" si="79"/>
        <v>2019-LVN-FRD-E350-039</v>
      </c>
    </row>
    <row r="750" spans="1:40" s="572" customFormat="1" ht="15">
      <c r="A750" s="570" t="s">
        <v>1823</v>
      </c>
      <c r="B750" s="569" t="s">
        <v>1817</v>
      </c>
      <c r="C750" s="569" t="s">
        <v>278</v>
      </c>
      <c r="D750" s="580">
        <v>15</v>
      </c>
      <c r="E750" s="569" t="s">
        <v>1516</v>
      </c>
      <c r="F750" s="569" t="s">
        <v>1684</v>
      </c>
      <c r="G750" s="569" t="s">
        <v>271</v>
      </c>
      <c r="H750" s="569">
        <v>2019</v>
      </c>
      <c r="I750" s="569" t="s">
        <v>1685</v>
      </c>
      <c r="J750" s="569" t="s">
        <v>1795</v>
      </c>
      <c r="K750" s="569" t="s">
        <v>236</v>
      </c>
      <c r="L750" s="569">
        <v>1</v>
      </c>
      <c r="M750" s="569">
        <v>0</v>
      </c>
      <c r="N750" s="569" t="s">
        <v>157</v>
      </c>
      <c r="O750" s="569">
        <v>1</v>
      </c>
      <c r="P750" s="569" t="s">
        <v>157</v>
      </c>
      <c r="Q750" s="568">
        <v>8500</v>
      </c>
      <c r="R750" s="569" t="s">
        <v>1687</v>
      </c>
      <c r="S750" s="569">
        <v>10</v>
      </c>
      <c r="T750" s="569" t="s">
        <v>1743</v>
      </c>
      <c r="U750" s="569" t="s">
        <v>1744</v>
      </c>
      <c r="V750" s="569">
        <v>176</v>
      </c>
      <c r="W750" s="569">
        <v>40</v>
      </c>
      <c r="X750" s="568">
        <v>12500</v>
      </c>
      <c r="Y750" s="569" t="s">
        <v>164</v>
      </c>
      <c r="Z750" s="581" t="s">
        <v>178</v>
      </c>
      <c r="AA750" s="581" t="s">
        <v>178</v>
      </c>
      <c r="AB750" s="585">
        <v>30390</v>
      </c>
      <c r="AC750" s="585" t="s">
        <v>164</v>
      </c>
      <c r="AD750" s="585">
        <v>24100</v>
      </c>
      <c r="AE750" s="587">
        <v>0.01</v>
      </c>
      <c r="AF750" s="661" t="str">
        <f t="shared" si="80"/>
        <v>2019-LVN-FRD-E350-040-15</v>
      </c>
      <c r="AG750" s="661" t="str">
        <f>IF(AND($Y750&gt;=32,(AI750="I"),(Y750&lt;&gt;"~"),(COUNTIF($AN$1:$AN750,$AN750)=1)),"TRUE","FALSE")</f>
        <v>FALSE</v>
      </c>
      <c r="AH750" s="661" t="str">
        <f>IF(AND($Y750&gt;=22, (AI750&lt;&gt;"I"),(Y750&lt;&gt;"~"),(COUNTIF($AN$1:$AN750,$AN750)=1)),"TRUE","FALSE")</f>
        <v>FALSE</v>
      </c>
      <c r="AI750" s="661" t="str">
        <f t="shared" si="82"/>
        <v>N/A</v>
      </c>
      <c r="AJ750" s="662" t="str">
        <f t="shared" si="76"/>
        <v>E350-040</v>
      </c>
      <c r="AK750" s="662" t="str">
        <f t="shared" si="77"/>
        <v>LVN</v>
      </c>
      <c r="AL750" s="662" t="str">
        <f t="shared" si="78"/>
        <v>FRD</v>
      </c>
      <c r="AM750" s="662" t="str">
        <f t="shared" si="81"/>
        <v>Econoline E350-Stripped Chassis-RWD-1-~-8500-6.8L-10-E3K-785A-176-40-Unleaded-Unleaded</v>
      </c>
      <c r="AN750" s="662" t="str">
        <f t="shared" si="79"/>
        <v>2019-LVN-FRD-E350-040</v>
      </c>
    </row>
    <row r="751" spans="1:40" s="572" customFormat="1" ht="15">
      <c r="A751" s="570" t="s">
        <v>1824</v>
      </c>
      <c r="B751" s="573" t="s">
        <v>1794</v>
      </c>
      <c r="C751" s="573" t="s">
        <v>280</v>
      </c>
      <c r="D751" s="578">
        <v>27</v>
      </c>
      <c r="E751" s="573" t="s">
        <v>1516</v>
      </c>
      <c r="F751" s="573" t="s">
        <v>1684</v>
      </c>
      <c r="G751" s="573" t="s">
        <v>271</v>
      </c>
      <c r="H751" s="573">
        <v>2019</v>
      </c>
      <c r="I751" s="573" t="s">
        <v>1685</v>
      </c>
      <c r="J751" s="573" t="s">
        <v>1795</v>
      </c>
      <c r="K751" s="573" t="s">
        <v>236</v>
      </c>
      <c r="L751" s="573">
        <v>1</v>
      </c>
      <c r="M751" s="573">
        <v>0</v>
      </c>
      <c r="N751" s="573" t="s">
        <v>157</v>
      </c>
      <c r="O751" s="573">
        <v>1</v>
      </c>
      <c r="P751" s="573" t="s">
        <v>157</v>
      </c>
      <c r="Q751" s="571" t="s">
        <v>157</v>
      </c>
      <c r="R751" s="573" t="s">
        <v>1700</v>
      </c>
      <c r="S751" s="573">
        <v>8</v>
      </c>
      <c r="T751" s="573" t="s">
        <v>1743</v>
      </c>
      <c r="U751" s="573" t="s">
        <v>1744</v>
      </c>
      <c r="V751" s="573">
        <v>138</v>
      </c>
      <c r="W751" s="573">
        <v>40</v>
      </c>
      <c r="X751" s="571">
        <v>11500</v>
      </c>
      <c r="Y751" s="569" t="s">
        <v>164</v>
      </c>
      <c r="Z751" s="579" t="s">
        <v>450</v>
      </c>
      <c r="AA751" s="579" t="s">
        <v>178</v>
      </c>
      <c r="AB751" s="584">
        <v>29290</v>
      </c>
      <c r="AC751" s="584" t="s">
        <v>164</v>
      </c>
      <c r="AD751" s="584">
        <v>22792.229166666668</v>
      </c>
      <c r="AE751" s="586">
        <v>0.03</v>
      </c>
      <c r="AF751" s="661" t="str">
        <f t="shared" si="80"/>
        <v>2019-LVN-FRD-E350-029-27</v>
      </c>
      <c r="AG751" s="661" t="str">
        <f>IF(AND($Y751&gt;=32,(AI751="I"),(Y751&lt;&gt;"~"),(COUNTIF($AN$1:$AN751,$AN751)=1)),"TRUE","FALSE")</f>
        <v>FALSE</v>
      </c>
      <c r="AH751" s="661" t="str">
        <f>IF(AND($Y751&gt;=22, (AI751&lt;&gt;"I"),(Y751&lt;&gt;"~"),(COUNTIF($AN$1:$AN751,$AN751)=1)),"TRUE","FALSE")</f>
        <v>FALSE</v>
      </c>
      <c r="AI751" s="661" t="str">
        <f t="shared" si="82"/>
        <v>N/A</v>
      </c>
      <c r="AJ751" s="662" t="str">
        <f t="shared" si="76"/>
        <v>E350-029</v>
      </c>
      <c r="AK751" s="662" t="str">
        <f t="shared" si="77"/>
        <v>LVN</v>
      </c>
      <c r="AL751" s="662" t="str">
        <f t="shared" si="78"/>
        <v>FRD</v>
      </c>
      <c r="AM751" s="662" t="str">
        <f t="shared" si="81"/>
        <v>Econoline E350-Stripped Chassis-RWD-1-~-~-6.2L-8-E3K-785A-138-40-E85-Unleaded</v>
      </c>
      <c r="AN751" s="662" t="str">
        <f t="shared" si="79"/>
        <v>2019-LVN-FRD-E350-029</v>
      </c>
    </row>
    <row r="752" spans="1:40" s="572" customFormat="1" ht="15">
      <c r="A752" s="570" t="s">
        <v>1825</v>
      </c>
      <c r="B752" s="569" t="s">
        <v>1797</v>
      </c>
      <c r="C752" s="569" t="s">
        <v>280</v>
      </c>
      <c r="D752" s="580">
        <v>27</v>
      </c>
      <c r="E752" s="569" t="s">
        <v>1516</v>
      </c>
      <c r="F752" s="569" t="s">
        <v>1684</v>
      </c>
      <c r="G752" s="569" t="s">
        <v>271</v>
      </c>
      <c r="H752" s="569">
        <v>2019</v>
      </c>
      <c r="I752" s="569" t="s">
        <v>1685</v>
      </c>
      <c r="J752" s="569" t="s">
        <v>1795</v>
      </c>
      <c r="K752" s="569" t="s">
        <v>236</v>
      </c>
      <c r="L752" s="569">
        <v>1</v>
      </c>
      <c r="M752" s="569">
        <v>0</v>
      </c>
      <c r="N752" s="569" t="s">
        <v>157</v>
      </c>
      <c r="O752" s="569">
        <v>1</v>
      </c>
      <c r="P752" s="569" t="s">
        <v>157</v>
      </c>
      <c r="Q752" s="568" t="s">
        <v>157</v>
      </c>
      <c r="R752" s="569" t="s">
        <v>1700</v>
      </c>
      <c r="S752" s="569">
        <v>8</v>
      </c>
      <c r="T752" s="569" t="s">
        <v>1743</v>
      </c>
      <c r="U752" s="569" t="s">
        <v>1744</v>
      </c>
      <c r="V752" s="569">
        <v>158</v>
      </c>
      <c r="W752" s="569">
        <v>40</v>
      </c>
      <c r="X752" s="568">
        <v>12500</v>
      </c>
      <c r="Y752" s="569" t="s">
        <v>164</v>
      </c>
      <c r="Z752" s="581" t="s">
        <v>450</v>
      </c>
      <c r="AA752" s="581" t="s">
        <v>178</v>
      </c>
      <c r="AB752" s="585">
        <v>29540</v>
      </c>
      <c r="AC752" s="585" t="s">
        <v>164</v>
      </c>
      <c r="AD752" s="585">
        <v>23020.354166666668</v>
      </c>
      <c r="AE752" s="587">
        <v>0.03</v>
      </c>
      <c r="AF752" s="661" t="str">
        <f t="shared" si="80"/>
        <v>2019-LVN-FRD-E350-030-27</v>
      </c>
      <c r="AG752" s="661" t="str">
        <f>IF(AND($Y752&gt;=32,(AI752="I"),(Y752&lt;&gt;"~"),(COUNTIF($AN$1:$AN752,$AN752)=1)),"TRUE","FALSE")</f>
        <v>FALSE</v>
      </c>
      <c r="AH752" s="661" t="str">
        <f>IF(AND($Y752&gt;=22, (AI752&lt;&gt;"I"),(Y752&lt;&gt;"~"),(COUNTIF($AN$1:$AN752,$AN752)=1)),"TRUE","FALSE")</f>
        <v>FALSE</v>
      </c>
      <c r="AI752" s="661" t="str">
        <f t="shared" si="82"/>
        <v>N/A</v>
      </c>
      <c r="AJ752" s="662" t="str">
        <f t="shared" si="76"/>
        <v>E350-030</v>
      </c>
      <c r="AK752" s="662" t="str">
        <f t="shared" si="77"/>
        <v>LVN</v>
      </c>
      <c r="AL752" s="662" t="str">
        <f t="shared" si="78"/>
        <v>FRD</v>
      </c>
      <c r="AM752" s="662" t="str">
        <f t="shared" si="81"/>
        <v>Econoline E350-Stripped Chassis-RWD-1-~-~-6.2L-8-E3K-785A-158-40-E85-Unleaded</v>
      </c>
      <c r="AN752" s="662" t="str">
        <f t="shared" si="79"/>
        <v>2019-LVN-FRD-E350-030</v>
      </c>
    </row>
    <row r="753" spans="1:40" s="572" customFormat="1" ht="15">
      <c r="A753" s="570" t="s">
        <v>1826</v>
      </c>
      <c r="B753" s="573" t="s">
        <v>1799</v>
      </c>
      <c r="C753" s="573" t="s">
        <v>280</v>
      </c>
      <c r="D753" s="578">
        <v>27</v>
      </c>
      <c r="E753" s="573" t="s">
        <v>1516</v>
      </c>
      <c r="F753" s="573" t="s">
        <v>1684</v>
      </c>
      <c r="G753" s="573" t="s">
        <v>271</v>
      </c>
      <c r="H753" s="573">
        <v>2019</v>
      </c>
      <c r="I753" s="573" t="s">
        <v>1685</v>
      </c>
      <c r="J753" s="573" t="s">
        <v>1795</v>
      </c>
      <c r="K753" s="573" t="s">
        <v>236</v>
      </c>
      <c r="L753" s="573">
        <v>1</v>
      </c>
      <c r="M753" s="573">
        <v>0</v>
      </c>
      <c r="N753" s="573" t="s">
        <v>157</v>
      </c>
      <c r="O753" s="573">
        <v>1</v>
      </c>
      <c r="P753" s="573" t="s">
        <v>157</v>
      </c>
      <c r="Q753" s="571" t="s">
        <v>157</v>
      </c>
      <c r="R753" s="573" t="s">
        <v>1700</v>
      </c>
      <c r="S753" s="573">
        <v>8</v>
      </c>
      <c r="T753" s="573" t="s">
        <v>1743</v>
      </c>
      <c r="U753" s="573" t="s">
        <v>1744</v>
      </c>
      <c r="V753" s="573">
        <v>176</v>
      </c>
      <c r="W753" s="573">
        <v>40</v>
      </c>
      <c r="X753" s="571">
        <v>12500</v>
      </c>
      <c r="Y753" s="569" t="s">
        <v>164</v>
      </c>
      <c r="Z753" s="579" t="s">
        <v>450</v>
      </c>
      <c r="AA753" s="579" t="s">
        <v>178</v>
      </c>
      <c r="AB753" s="584">
        <v>30040</v>
      </c>
      <c r="AC753" s="584" t="s">
        <v>164</v>
      </c>
      <c r="AD753" s="584">
        <v>23476.604166666668</v>
      </c>
      <c r="AE753" s="586">
        <v>0.03</v>
      </c>
      <c r="AF753" s="661" t="str">
        <f t="shared" si="80"/>
        <v>2019-LVN-FRD-E350-031-27</v>
      </c>
      <c r="AG753" s="661" t="str">
        <f>IF(AND($Y753&gt;=32,(AI753="I"),(Y753&lt;&gt;"~"),(COUNTIF($AN$1:$AN753,$AN753)=1)),"TRUE","FALSE")</f>
        <v>FALSE</v>
      </c>
      <c r="AH753" s="661" t="str">
        <f>IF(AND($Y753&gt;=22, (AI753&lt;&gt;"I"),(Y753&lt;&gt;"~"),(COUNTIF($AN$1:$AN753,$AN753)=1)),"TRUE","FALSE")</f>
        <v>FALSE</v>
      </c>
      <c r="AI753" s="661" t="str">
        <f t="shared" si="82"/>
        <v>N/A</v>
      </c>
      <c r="AJ753" s="662" t="str">
        <f t="shared" si="76"/>
        <v>E350-031</v>
      </c>
      <c r="AK753" s="662" t="str">
        <f t="shared" si="77"/>
        <v>LVN</v>
      </c>
      <c r="AL753" s="662" t="str">
        <f t="shared" si="78"/>
        <v>FRD</v>
      </c>
      <c r="AM753" s="662" t="str">
        <f t="shared" si="81"/>
        <v>Econoline E350-Stripped Chassis-RWD-1-~-~-6.2L-8-E3K-785A-176-40-E85-Unleaded</v>
      </c>
      <c r="AN753" s="662" t="str">
        <f t="shared" si="79"/>
        <v>2019-LVN-FRD-E350-031</v>
      </c>
    </row>
    <row r="754" spans="1:40" s="572" customFormat="1" ht="15">
      <c r="A754" s="570" t="s">
        <v>1827</v>
      </c>
      <c r="B754" s="569" t="s">
        <v>1801</v>
      </c>
      <c r="C754" s="569" t="s">
        <v>280</v>
      </c>
      <c r="D754" s="580">
        <v>27</v>
      </c>
      <c r="E754" s="569" t="s">
        <v>1516</v>
      </c>
      <c r="F754" s="569" t="s">
        <v>1684</v>
      </c>
      <c r="G754" s="569" t="s">
        <v>271</v>
      </c>
      <c r="H754" s="569">
        <v>2019</v>
      </c>
      <c r="I754" s="569" t="s">
        <v>1685</v>
      </c>
      <c r="J754" s="569" t="s">
        <v>1795</v>
      </c>
      <c r="K754" s="569" t="s">
        <v>236</v>
      </c>
      <c r="L754" s="569">
        <v>1</v>
      </c>
      <c r="M754" s="569">
        <v>0</v>
      </c>
      <c r="N754" s="569" t="s">
        <v>157</v>
      </c>
      <c r="O754" s="569">
        <v>1</v>
      </c>
      <c r="P754" s="569" t="s">
        <v>157</v>
      </c>
      <c r="Q754" s="568" t="s">
        <v>157</v>
      </c>
      <c r="R754" s="569" t="s">
        <v>1687</v>
      </c>
      <c r="S754" s="569">
        <v>10</v>
      </c>
      <c r="T754" s="569" t="s">
        <v>1743</v>
      </c>
      <c r="U754" s="569" t="s">
        <v>1744</v>
      </c>
      <c r="V754" s="569">
        <v>138</v>
      </c>
      <c r="W754" s="569">
        <v>40</v>
      </c>
      <c r="X754" s="568">
        <v>11500</v>
      </c>
      <c r="Y754" s="569" t="s">
        <v>164</v>
      </c>
      <c r="Z754" s="581" t="s">
        <v>178</v>
      </c>
      <c r="AA754" s="581" t="s">
        <v>178</v>
      </c>
      <c r="AB754" s="585">
        <v>29640</v>
      </c>
      <c r="AC754" s="585" t="s">
        <v>164</v>
      </c>
      <c r="AD754" s="585">
        <v>23102.645833333336</v>
      </c>
      <c r="AE754" s="587">
        <v>0.03</v>
      </c>
      <c r="AF754" s="661" t="str">
        <f t="shared" si="80"/>
        <v>2019-LVN-FRD-E350-032-27</v>
      </c>
      <c r="AG754" s="661" t="str">
        <f>IF(AND($Y754&gt;=32,(AI754="I"),(Y754&lt;&gt;"~"),(COUNTIF($AN$1:$AN754,$AN754)=1)),"TRUE","FALSE")</f>
        <v>FALSE</v>
      </c>
      <c r="AH754" s="661" t="str">
        <f>IF(AND($Y754&gt;=22, (AI754&lt;&gt;"I"),(Y754&lt;&gt;"~"),(COUNTIF($AN$1:$AN754,$AN754)=1)),"TRUE","FALSE")</f>
        <v>FALSE</v>
      </c>
      <c r="AI754" s="661" t="str">
        <f t="shared" si="82"/>
        <v>N/A</v>
      </c>
      <c r="AJ754" s="662" t="str">
        <f t="shared" si="76"/>
        <v>E350-032</v>
      </c>
      <c r="AK754" s="662" t="str">
        <f t="shared" si="77"/>
        <v>LVN</v>
      </c>
      <c r="AL754" s="662" t="str">
        <f t="shared" si="78"/>
        <v>FRD</v>
      </c>
      <c r="AM754" s="662" t="str">
        <f t="shared" si="81"/>
        <v>Econoline E350-Stripped Chassis-RWD-1-~-~-6.8L-10-E3K-785A-138-40-Unleaded-Unleaded</v>
      </c>
      <c r="AN754" s="662" t="str">
        <f t="shared" si="79"/>
        <v>2019-LVN-FRD-E350-032</v>
      </c>
    </row>
    <row r="755" spans="1:40" s="572" customFormat="1" ht="15">
      <c r="A755" s="570" t="s">
        <v>1828</v>
      </c>
      <c r="B755" s="573" t="s">
        <v>1803</v>
      </c>
      <c r="C755" s="573" t="s">
        <v>280</v>
      </c>
      <c r="D755" s="578">
        <v>27</v>
      </c>
      <c r="E755" s="573" t="s">
        <v>1516</v>
      </c>
      <c r="F755" s="573" t="s">
        <v>1684</v>
      </c>
      <c r="G755" s="573" t="s">
        <v>271</v>
      </c>
      <c r="H755" s="573">
        <v>2019</v>
      </c>
      <c r="I755" s="573" t="s">
        <v>1685</v>
      </c>
      <c r="J755" s="573" t="s">
        <v>1795</v>
      </c>
      <c r="K755" s="573" t="s">
        <v>236</v>
      </c>
      <c r="L755" s="573">
        <v>1</v>
      </c>
      <c r="M755" s="573">
        <v>0</v>
      </c>
      <c r="N755" s="573" t="s">
        <v>157</v>
      </c>
      <c r="O755" s="573">
        <v>1</v>
      </c>
      <c r="P755" s="573" t="s">
        <v>157</v>
      </c>
      <c r="Q755" s="571" t="s">
        <v>157</v>
      </c>
      <c r="R755" s="573" t="s">
        <v>1687</v>
      </c>
      <c r="S755" s="573">
        <v>10</v>
      </c>
      <c r="T755" s="573" t="s">
        <v>1743</v>
      </c>
      <c r="U755" s="573" t="s">
        <v>1744</v>
      </c>
      <c r="V755" s="573">
        <v>158</v>
      </c>
      <c r="W755" s="573">
        <v>40</v>
      </c>
      <c r="X755" s="571">
        <v>12500</v>
      </c>
      <c r="Y755" s="569" t="s">
        <v>164</v>
      </c>
      <c r="Z755" s="579" t="s">
        <v>178</v>
      </c>
      <c r="AA755" s="579" t="s">
        <v>178</v>
      </c>
      <c r="AB755" s="584">
        <v>29890</v>
      </c>
      <c r="AC755" s="584" t="s">
        <v>164</v>
      </c>
      <c r="AD755" s="584">
        <v>23330.770833333336</v>
      </c>
      <c r="AE755" s="586">
        <v>0.03</v>
      </c>
      <c r="AF755" s="661" t="str">
        <f t="shared" si="80"/>
        <v>2019-LVN-FRD-E350-033-27</v>
      </c>
      <c r="AG755" s="661" t="str">
        <f>IF(AND($Y755&gt;=32,(AI755="I"),(Y755&lt;&gt;"~"),(COUNTIF($AN$1:$AN755,$AN755)=1)),"TRUE","FALSE")</f>
        <v>FALSE</v>
      </c>
      <c r="AH755" s="661" t="str">
        <f>IF(AND($Y755&gt;=22, (AI755&lt;&gt;"I"),(Y755&lt;&gt;"~"),(COUNTIF($AN$1:$AN755,$AN755)=1)),"TRUE","FALSE")</f>
        <v>FALSE</v>
      </c>
      <c r="AI755" s="661" t="str">
        <f t="shared" si="82"/>
        <v>N/A</v>
      </c>
      <c r="AJ755" s="662" t="str">
        <f t="shared" si="76"/>
        <v>E350-033</v>
      </c>
      <c r="AK755" s="662" t="str">
        <f t="shared" si="77"/>
        <v>LVN</v>
      </c>
      <c r="AL755" s="662" t="str">
        <f t="shared" si="78"/>
        <v>FRD</v>
      </c>
      <c r="AM755" s="662" t="str">
        <f t="shared" si="81"/>
        <v>Econoline E350-Stripped Chassis-RWD-1-~-~-6.8L-10-E3K-785A-158-40-Unleaded-Unleaded</v>
      </c>
      <c r="AN755" s="662" t="str">
        <f t="shared" si="79"/>
        <v>2019-LVN-FRD-E350-033</v>
      </c>
    </row>
    <row r="756" spans="1:40" s="572" customFormat="1" ht="15">
      <c r="A756" s="570" t="s">
        <v>1829</v>
      </c>
      <c r="B756" s="569" t="s">
        <v>1805</v>
      </c>
      <c r="C756" s="569" t="s">
        <v>280</v>
      </c>
      <c r="D756" s="580">
        <v>27</v>
      </c>
      <c r="E756" s="569" t="s">
        <v>1516</v>
      </c>
      <c r="F756" s="569" t="s">
        <v>1684</v>
      </c>
      <c r="G756" s="569" t="s">
        <v>271</v>
      </c>
      <c r="H756" s="569">
        <v>2019</v>
      </c>
      <c r="I756" s="569" t="s">
        <v>1685</v>
      </c>
      <c r="J756" s="569" t="s">
        <v>1795</v>
      </c>
      <c r="K756" s="569" t="s">
        <v>236</v>
      </c>
      <c r="L756" s="569">
        <v>1</v>
      </c>
      <c r="M756" s="569">
        <v>0</v>
      </c>
      <c r="N756" s="569" t="s">
        <v>157</v>
      </c>
      <c r="O756" s="569">
        <v>1</v>
      </c>
      <c r="P756" s="569" t="s">
        <v>157</v>
      </c>
      <c r="Q756" s="568" t="s">
        <v>157</v>
      </c>
      <c r="R756" s="569" t="s">
        <v>1687</v>
      </c>
      <c r="S756" s="569">
        <v>10</v>
      </c>
      <c r="T756" s="569" t="s">
        <v>1743</v>
      </c>
      <c r="U756" s="569" t="s">
        <v>1744</v>
      </c>
      <c r="V756" s="569">
        <v>176</v>
      </c>
      <c r="W756" s="569">
        <v>40</v>
      </c>
      <c r="X756" s="568">
        <v>12500</v>
      </c>
      <c r="Y756" s="569" t="s">
        <v>164</v>
      </c>
      <c r="Z756" s="581" t="s">
        <v>178</v>
      </c>
      <c r="AA756" s="581" t="s">
        <v>178</v>
      </c>
      <c r="AB756" s="585">
        <v>30390</v>
      </c>
      <c r="AC756" s="585" t="s">
        <v>164</v>
      </c>
      <c r="AD756" s="585">
        <v>23787.020833333336</v>
      </c>
      <c r="AE756" s="587">
        <v>0.03</v>
      </c>
      <c r="AF756" s="661" t="str">
        <f t="shared" si="80"/>
        <v>2019-LVN-FRD-E350-034-27</v>
      </c>
      <c r="AG756" s="661" t="str">
        <f>IF(AND($Y756&gt;=32,(AI756="I"),(Y756&lt;&gt;"~"),(COUNTIF($AN$1:$AN756,$AN756)=1)),"TRUE","FALSE")</f>
        <v>FALSE</v>
      </c>
      <c r="AH756" s="661" t="str">
        <f>IF(AND($Y756&gt;=22, (AI756&lt;&gt;"I"),(Y756&lt;&gt;"~"),(COUNTIF($AN$1:$AN756,$AN756)=1)),"TRUE","FALSE")</f>
        <v>FALSE</v>
      </c>
      <c r="AI756" s="661" t="str">
        <f t="shared" si="82"/>
        <v>N/A</v>
      </c>
      <c r="AJ756" s="662" t="str">
        <f t="shared" si="76"/>
        <v>E350-034</v>
      </c>
      <c r="AK756" s="662" t="str">
        <f t="shared" si="77"/>
        <v>LVN</v>
      </c>
      <c r="AL756" s="662" t="str">
        <f t="shared" si="78"/>
        <v>FRD</v>
      </c>
      <c r="AM756" s="662" t="str">
        <f t="shared" si="81"/>
        <v>Econoline E350-Stripped Chassis-RWD-1-~-~-6.8L-10-E3K-785A-176-40-Unleaded-Unleaded</v>
      </c>
      <c r="AN756" s="662" t="str">
        <f t="shared" si="79"/>
        <v>2019-LVN-FRD-E350-034</v>
      </c>
    </row>
    <row r="757" spans="1:40" s="572" customFormat="1" ht="15">
      <c r="A757" s="570" t="s">
        <v>1830</v>
      </c>
      <c r="B757" s="573" t="s">
        <v>1807</v>
      </c>
      <c r="C757" s="573" t="s">
        <v>280</v>
      </c>
      <c r="D757" s="578">
        <v>27</v>
      </c>
      <c r="E757" s="573" t="s">
        <v>1516</v>
      </c>
      <c r="F757" s="573" t="s">
        <v>1684</v>
      </c>
      <c r="G757" s="573" t="s">
        <v>271</v>
      </c>
      <c r="H757" s="573">
        <v>2019</v>
      </c>
      <c r="I757" s="573" t="s">
        <v>1685</v>
      </c>
      <c r="J757" s="573" t="s">
        <v>1795</v>
      </c>
      <c r="K757" s="573" t="s">
        <v>236</v>
      </c>
      <c r="L757" s="573">
        <v>1</v>
      </c>
      <c r="M757" s="573">
        <v>0</v>
      </c>
      <c r="N757" s="573" t="s">
        <v>157</v>
      </c>
      <c r="O757" s="573">
        <v>1</v>
      </c>
      <c r="P757" s="573" t="s">
        <v>157</v>
      </c>
      <c r="Q757" s="571">
        <v>8500</v>
      </c>
      <c r="R757" s="573" t="s">
        <v>1700</v>
      </c>
      <c r="S757" s="573">
        <v>8</v>
      </c>
      <c r="T757" s="573" t="s">
        <v>1743</v>
      </c>
      <c r="U757" s="573" t="s">
        <v>1744</v>
      </c>
      <c r="V757" s="573">
        <v>138</v>
      </c>
      <c r="W757" s="573">
        <v>40</v>
      </c>
      <c r="X757" s="571">
        <v>11500</v>
      </c>
      <c r="Y757" s="569" t="s">
        <v>164</v>
      </c>
      <c r="Z757" s="579" t="s">
        <v>450</v>
      </c>
      <c r="AA757" s="579" t="s">
        <v>178</v>
      </c>
      <c r="AB757" s="584">
        <v>29290</v>
      </c>
      <c r="AC757" s="584" t="s">
        <v>164</v>
      </c>
      <c r="AD757" s="584">
        <v>22792.229166666668</v>
      </c>
      <c r="AE757" s="586">
        <v>0.03</v>
      </c>
      <c r="AF757" s="661" t="str">
        <f t="shared" si="80"/>
        <v>2019-LVN-FRD-E350-035-27</v>
      </c>
      <c r="AG757" s="661" t="str">
        <f>IF(AND($Y757&gt;=32,(AI757="I"),(Y757&lt;&gt;"~"),(COUNTIF($AN$1:$AN757,$AN757)=1)),"TRUE","FALSE")</f>
        <v>FALSE</v>
      </c>
      <c r="AH757" s="661" t="str">
        <f>IF(AND($Y757&gt;=22, (AI757&lt;&gt;"I"),(Y757&lt;&gt;"~"),(COUNTIF($AN$1:$AN757,$AN757)=1)),"TRUE","FALSE")</f>
        <v>FALSE</v>
      </c>
      <c r="AI757" s="661" t="str">
        <f t="shared" si="82"/>
        <v>N/A</v>
      </c>
      <c r="AJ757" s="662" t="str">
        <f t="shared" si="76"/>
        <v>E350-035</v>
      </c>
      <c r="AK757" s="662" t="str">
        <f t="shared" si="77"/>
        <v>LVN</v>
      </c>
      <c r="AL757" s="662" t="str">
        <f t="shared" si="78"/>
        <v>FRD</v>
      </c>
      <c r="AM757" s="662" t="str">
        <f t="shared" si="81"/>
        <v>Econoline E350-Stripped Chassis-RWD-1-~-8500-6.2L-8-E3K-785A-138-40-E85-Unleaded</v>
      </c>
      <c r="AN757" s="662" t="str">
        <f t="shared" si="79"/>
        <v>2019-LVN-FRD-E350-035</v>
      </c>
    </row>
    <row r="758" spans="1:40" s="572" customFormat="1" ht="15">
      <c r="A758" s="570" t="s">
        <v>1831</v>
      </c>
      <c r="B758" s="569" t="s">
        <v>1809</v>
      </c>
      <c r="C758" s="569" t="s">
        <v>280</v>
      </c>
      <c r="D758" s="580">
        <v>27</v>
      </c>
      <c r="E758" s="569" t="s">
        <v>1516</v>
      </c>
      <c r="F758" s="569" t="s">
        <v>1684</v>
      </c>
      <c r="G758" s="569" t="s">
        <v>271</v>
      </c>
      <c r="H758" s="569">
        <v>2019</v>
      </c>
      <c r="I758" s="569" t="s">
        <v>1685</v>
      </c>
      <c r="J758" s="569" t="s">
        <v>1795</v>
      </c>
      <c r="K758" s="569" t="s">
        <v>236</v>
      </c>
      <c r="L758" s="569">
        <v>1</v>
      </c>
      <c r="M758" s="569">
        <v>0</v>
      </c>
      <c r="N758" s="569" t="s">
        <v>157</v>
      </c>
      <c r="O758" s="569">
        <v>1</v>
      </c>
      <c r="P758" s="569" t="s">
        <v>157</v>
      </c>
      <c r="Q758" s="568">
        <v>8500</v>
      </c>
      <c r="R758" s="569" t="s">
        <v>1700</v>
      </c>
      <c r="S758" s="569">
        <v>8</v>
      </c>
      <c r="T758" s="569" t="s">
        <v>1743</v>
      </c>
      <c r="U758" s="569" t="s">
        <v>1744</v>
      </c>
      <c r="V758" s="569">
        <v>158</v>
      </c>
      <c r="W758" s="569">
        <v>40</v>
      </c>
      <c r="X758" s="568">
        <v>12500</v>
      </c>
      <c r="Y758" s="569" t="s">
        <v>164</v>
      </c>
      <c r="Z758" s="581" t="s">
        <v>450</v>
      </c>
      <c r="AA758" s="581" t="s">
        <v>178</v>
      </c>
      <c r="AB758" s="585">
        <v>29540</v>
      </c>
      <c r="AC758" s="585" t="s">
        <v>164</v>
      </c>
      <c r="AD758" s="585">
        <v>23020.354166666668</v>
      </c>
      <c r="AE758" s="587">
        <v>0.03</v>
      </c>
      <c r="AF758" s="661" t="str">
        <f t="shared" si="80"/>
        <v>2019-LVN-FRD-E350-036-27</v>
      </c>
      <c r="AG758" s="661" t="str">
        <f>IF(AND($Y758&gt;=32,(AI758="I"),(Y758&lt;&gt;"~"),(COUNTIF($AN$1:$AN758,$AN758)=1)),"TRUE","FALSE")</f>
        <v>FALSE</v>
      </c>
      <c r="AH758" s="661" t="str">
        <f>IF(AND($Y758&gt;=22, (AI758&lt;&gt;"I"),(Y758&lt;&gt;"~"),(COUNTIF($AN$1:$AN758,$AN758)=1)),"TRUE","FALSE")</f>
        <v>FALSE</v>
      </c>
      <c r="AI758" s="661" t="str">
        <f t="shared" si="82"/>
        <v>N/A</v>
      </c>
      <c r="AJ758" s="662" t="str">
        <f t="shared" si="76"/>
        <v>E350-036</v>
      </c>
      <c r="AK758" s="662" t="str">
        <f t="shared" si="77"/>
        <v>LVN</v>
      </c>
      <c r="AL758" s="662" t="str">
        <f t="shared" si="78"/>
        <v>FRD</v>
      </c>
      <c r="AM758" s="662" t="str">
        <f t="shared" si="81"/>
        <v>Econoline E350-Stripped Chassis-RWD-1-~-8500-6.2L-8-E3K-785A-158-40-E85-Unleaded</v>
      </c>
      <c r="AN758" s="662" t="str">
        <f t="shared" si="79"/>
        <v>2019-LVN-FRD-E350-036</v>
      </c>
    </row>
    <row r="759" spans="1:40" s="572" customFormat="1" ht="15">
      <c r="A759" s="570" t="s">
        <v>1832</v>
      </c>
      <c r="B759" s="573" t="s">
        <v>1811</v>
      </c>
      <c r="C759" s="573" t="s">
        <v>280</v>
      </c>
      <c r="D759" s="578">
        <v>27</v>
      </c>
      <c r="E759" s="573" t="s">
        <v>1516</v>
      </c>
      <c r="F759" s="573" t="s">
        <v>1684</v>
      </c>
      <c r="G759" s="573" t="s">
        <v>271</v>
      </c>
      <c r="H759" s="573">
        <v>2019</v>
      </c>
      <c r="I759" s="573" t="s">
        <v>1685</v>
      </c>
      <c r="J759" s="573" t="s">
        <v>1795</v>
      </c>
      <c r="K759" s="573" t="s">
        <v>236</v>
      </c>
      <c r="L759" s="573">
        <v>1</v>
      </c>
      <c r="M759" s="573">
        <v>0</v>
      </c>
      <c r="N759" s="573" t="s">
        <v>157</v>
      </c>
      <c r="O759" s="573">
        <v>1</v>
      </c>
      <c r="P759" s="573" t="s">
        <v>157</v>
      </c>
      <c r="Q759" s="571">
        <v>8500</v>
      </c>
      <c r="R759" s="573" t="s">
        <v>1700</v>
      </c>
      <c r="S759" s="573">
        <v>8</v>
      </c>
      <c r="T759" s="573" t="s">
        <v>1743</v>
      </c>
      <c r="U759" s="573" t="s">
        <v>1744</v>
      </c>
      <c r="V759" s="573">
        <v>176</v>
      </c>
      <c r="W759" s="573">
        <v>40</v>
      </c>
      <c r="X759" s="571">
        <v>12500</v>
      </c>
      <c r="Y759" s="569" t="s">
        <v>164</v>
      </c>
      <c r="Z759" s="579" t="s">
        <v>450</v>
      </c>
      <c r="AA759" s="579" t="s">
        <v>178</v>
      </c>
      <c r="AB759" s="584">
        <v>30040</v>
      </c>
      <c r="AC759" s="584" t="s">
        <v>164</v>
      </c>
      <c r="AD759" s="584">
        <v>23476.604166666668</v>
      </c>
      <c r="AE759" s="586">
        <v>0.03</v>
      </c>
      <c r="AF759" s="661" t="str">
        <f t="shared" si="80"/>
        <v>2019-LVN-FRD-E350-037-27</v>
      </c>
      <c r="AG759" s="661" t="str">
        <f>IF(AND($Y759&gt;=32,(AI759="I"),(Y759&lt;&gt;"~"),(COUNTIF($AN$1:$AN759,$AN759)=1)),"TRUE","FALSE")</f>
        <v>FALSE</v>
      </c>
      <c r="AH759" s="661" t="str">
        <f>IF(AND($Y759&gt;=22, (AI759&lt;&gt;"I"),(Y759&lt;&gt;"~"),(COUNTIF($AN$1:$AN759,$AN759)=1)),"TRUE","FALSE")</f>
        <v>FALSE</v>
      </c>
      <c r="AI759" s="661" t="str">
        <f t="shared" si="82"/>
        <v>N/A</v>
      </c>
      <c r="AJ759" s="662" t="str">
        <f t="shared" si="76"/>
        <v>E350-037</v>
      </c>
      <c r="AK759" s="662" t="str">
        <f t="shared" si="77"/>
        <v>LVN</v>
      </c>
      <c r="AL759" s="662" t="str">
        <f t="shared" si="78"/>
        <v>FRD</v>
      </c>
      <c r="AM759" s="662" t="str">
        <f t="shared" si="81"/>
        <v>Econoline E350-Stripped Chassis-RWD-1-~-8500-6.2L-8-E3K-785A-176-40-E85-Unleaded</v>
      </c>
      <c r="AN759" s="662" t="str">
        <f t="shared" si="79"/>
        <v>2019-LVN-FRD-E350-037</v>
      </c>
    </row>
    <row r="760" spans="1:40" s="572" customFormat="1" ht="15">
      <c r="A760" s="570" t="s">
        <v>1833</v>
      </c>
      <c r="B760" s="569" t="s">
        <v>1813</v>
      </c>
      <c r="C760" s="569" t="s">
        <v>280</v>
      </c>
      <c r="D760" s="580">
        <v>27</v>
      </c>
      <c r="E760" s="569" t="s">
        <v>1516</v>
      </c>
      <c r="F760" s="569" t="s">
        <v>1684</v>
      </c>
      <c r="G760" s="569" t="s">
        <v>271</v>
      </c>
      <c r="H760" s="569">
        <v>2019</v>
      </c>
      <c r="I760" s="569" t="s">
        <v>1685</v>
      </c>
      <c r="J760" s="569" t="s">
        <v>1795</v>
      </c>
      <c r="K760" s="569" t="s">
        <v>236</v>
      </c>
      <c r="L760" s="569">
        <v>1</v>
      </c>
      <c r="M760" s="569">
        <v>0</v>
      </c>
      <c r="N760" s="569" t="s">
        <v>157</v>
      </c>
      <c r="O760" s="569">
        <v>1</v>
      </c>
      <c r="P760" s="569" t="s">
        <v>157</v>
      </c>
      <c r="Q760" s="568">
        <v>8500</v>
      </c>
      <c r="R760" s="569" t="s">
        <v>1687</v>
      </c>
      <c r="S760" s="569">
        <v>10</v>
      </c>
      <c r="T760" s="569" t="s">
        <v>1743</v>
      </c>
      <c r="U760" s="569" t="s">
        <v>1744</v>
      </c>
      <c r="V760" s="569">
        <v>138</v>
      </c>
      <c r="W760" s="569">
        <v>40</v>
      </c>
      <c r="X760" s="568">
        <v>11500</v>
      </c>
      <c r="Y760" s="569" t="s">
        <v>164</v>
      </c>
      <c r="Z760" s="581" t="s">
        <v>178</v>
      </c>
      <c r="AA760" s="581" t="s">
        <v>178</v>
      </c>
      <c r="AB760" s="585">
        <v>29640</v>
      </c>
      <c r="AC760" s="585" t="s">
        <v>164</v>
      </c>
      <c r="AD760" s="585">
        <v>23102.645833333336</v>
      </c>
      <c r="AE760" s="587">
        <v>0.03</v>
      </c>
      <c r="AF760" s="661" t="str">
        <f t="shared" si="80"/>
        <v>2019-LVN-FRD-E350-038-27</v>
      </c>
      <c r="AG760" s="661" t="str">
        <f>IF(AND($Y760&gt;=32,(AI760="I"),(Y760&lt;&gt;"~"),(COUNTIF($AN$1:$AN760,$AN760)=1)),"TRUE","FALSE")</f>
        <v>FALSE</v>
      </c>
      <c r="AH760" s="661" t="str">
        <f>IF(AND($Y760&gt;=22, (AI760&lt;&gt;"I"),(Y760&lt;&gt;"~"),(COUNTIF($AN$1:$AN760,$AN760)=1)),"TRUE","FALSE")</f>
        <v>FALSE</v>
      </c>
      <c r="AI760" s="661" t="str">
        <f t="shared" si="82"/>
        <v>N/A</v>
      </c>
      <c r="AJ760" s="662" t="str">
        <f t="shared" si="76"/>
        <v>E350-038</v>
      </c>
      <c r="AK760" s="662" t="str">
        <f t="shared" si="77"/>
        <v>LVN</v>
      </c>
      <c r="AL760" s="662" t="str">
        <f t="shared" si="78"/>
        <v>FRD</v>
      </c>
      <c r="AM760" s="662" t="str">
        <f t="shared" si="81"/>
        <v>Econoline E350-Stripped Chassis-RWD-1-~-8500-6.8L-10-E3K-785A-138-40-Unleaded-Unleaded</v>
      </c>
      <c r="AN760" s="662" t="str">
        <f t="shared" si="79"/>
        <v>2019-LVN-FRD-E350-038</v>
      </c>
    </row>
    <row r="761" spans="1:40" s="572" customFormat="1" ht="15">
      <c r="A761" s="570" t="s">
        <v>1834</v>
      </c>
      <c r="B761" s="573" t="s">
        <v>1815</v>
      </c>
      <c r="C761" s="573" t="s">
        <v>280</v>
      </c>
      <c r="D761" s="578">
        <v>27</v>
      </c>
      <c r="E761" s="573" t="s">
        <v>1516</v>
      </c>
      <c r="F761" s="573" t="s">
        <v>1684</v>
      </c>
      <c r="G761" s="573" t="s">
        <v>271</v>
      </c>
      <c r="H761" s="573">
        <v>2019</v>
      </c>
      <c r="I761" s="573" t="s">
        <v>1685</v>
      </c>
      <c r="J761" s="573" t="s">
        <v>1795</v>
      </c>
      <c r="K761" s="573" t="s">
        <v>236</v>
      </c>
      <c r="L761" s="573">
        <v>1</v>
      </c>
      <c r="M761" s="573">
        <v>0</v>
      </c>
      <c r="N761" s="573" t="s">
        <v>157</v>
      </c>
      <c r="O761" s="573">
        <v>1</v>
      </c>
      <c r="P761" s="573" t="s">
        <v>157</v>
      </c>
      <c r="Q761" s="571">
        <v>8500</v>
      </c>
      <c r="R761" s="573" t="s">
        <v>1687</v>
      </c>
      <c r="S761" s="573">
        <v>10</v>
      </c>
      <c r="T761" s="573" t="s">
        <v>1743</v>
      </c>
      <c r="U761" s="573" t="s">
        <v>1744</v>
      </c>
      <c r="V761" s="573">
        <v>158</v>
      </c>
      <c r="W761" s="573">
        <v>40</v>
      </c>
      <c r="X761" s="571">
        <v>12500</v>
      </c>
      <c r="Y761" s="569" t="s">
        <v>164</v>
      </c>
      <c r="Z761" s="579" t="s">
        <v>178</v>
      </c>
      <c r="AA761" s="579" t="s">
        <v>178</v>
      </c>
      <c r="AB761" s="584">
        <v>29890</v>
      </c>
      <c r="AC761" s="584" t="s">
        <v>164</v>
      </c>
      <c r="AD761" s="584">
        <v>23330.770833333336</v>
      </c>
      <c r="AE761" s="586">
        <v>0.03</v>
      </c>
      <c r="AF761" s="661" t="str">
        <f t="shared" si="80"/>
        <v>2019-LVN-FRD-E350-039-27</v>
      </c>
      <c r="AG761" s="661" t="str">
        <f>IF(AND($Y761&gt;=32,(AI761="I"),(Y761&lt;&gt;"~"),(COUNTIF($AN$1:$AN761,$AN761)=1)),"TRUE","FALSE")</f>
        <v>FALSE</v>
      </c>
      <c r="AH761" s="661" t="str">
        <f>IF(AND($Y761&gt;=22, (AI761&lt;&gt;"I"),(Y761&lt;&gt;"~"),(COUNTIF($AN$1:$AN761,$AN761)=1)),"TRUE","FALSE")</f>
        <v>FALSE</v>
      </c>
      <c r="AI761" s="661" t="str">
        <f t="shared" si="82"/>
        <v>N/A</v>
      </c>
      <c r="AJ761" s="662" t="str">
        <f t="shared" si="76"/>
        <v>E350-039</v>
      </c>
      <c r="AK761" s="662" t="str">
        <f t="shared" si="77"/>
        <v>LVN</v>
      </c>
      <c r="AL761" s="662" t="str">
        <f t="shared" si="78"/>
        <v>FRD</v>
      </c>
      <c r="AM761" s="662" t="str">
        <f t="shared" si="81"/>
        <v>Econoline E350-Stripped Chassis-RWD-1-~-8500-6.8L-10-E3K-785A-158-40-Unleaded-Unleaded</v>
      </c>
      <c r="AN761" s="662" t="str">
        <f t="shared" si="79"/>
        <v>2019-LVN-FRD-E350-039</v>
      </c>
    </row>
    <row r="762" spans="1:40" s="572" customFormat="1" ht="15">
      <c r="A762" s="570" t="s">
        <v>1835</v>
      </c>
      <c r="B762" s="569" t="s">
        <v>1817</v>
      </c>
      <c r="C762" s="569" t="s">
        <v>280</v>
      </c>
      <c r="D762" s="580">
        <v>27</v>
      </c>
      <c r="E762" s="569" t="s">
        <v>1516</v>
      </c>
      <c r="F762" s="569" t="s">
        <v>1684</v>
      </c>
      <c r="G762" s="569" t="s">
        <v>271</v>
      </c>
      <c r="H762" s="569">
        <v>2019</v>
      </c>
      <c r="I762" s="569" t="s">
        <v>1685</v>
      </c>
      <c r="J762" s="569" t="s">
        <v>1795</v>
      </c>
      <c r="K762" s="569" t="s">
        <v>236</v>
      </c>
      <c r="L762" s="569">
        <v>1</v>
      </c>
      <c r="M762" s="569">
        <v>0</v>
      </c>
      <c r="N762" s="569" t="s">
        <v>157</v>
      </c>
      <c r="O762" s="569">
        <v>1</v>
      </c>
      <c r="P762" s="569" t="s">
        <v>157</v>
      </c>
      <c r="Q762" s="568">
        <v>8500</v>
      </c>
      <c r="R762" s="569" t="s">
        <v>1687</v>
      </c>
      <c r="S762" s="569">
        <v>10</v>
      </c>
      <c r="T762" s="569" t="s">
        <v>1743</v>
      </c>
      <c r="U762" s="569" t="s">
        <v>1744</v>
      </c>
      <c r="V762" s="569">
        <v>176</v>
      </c>
      <c r="W762" s="569">
        <v>40</v>
      </c>
      <c r="X762" s="568">
        <v>12500</v>
      </c>
      <c r="Y762" s="569" t="s">
        <v>164</v>
      </c>
      <c r="Z762" s="581" t="s">
        <v>178</v>
      </c>
      <c r="AA762" s="581" t="s">
        <v>178</v>
      </c>
      <c r="AB762" s="585">
        <v>30390</v>
      </c>
      <c r="AC762" s="585" t="s">
        <v>164</v>
      </c>
      <c r="AD762" s="585">
        <v>23787.020833333336</v>
      </c>
      <c r="AE762" s="587">
        <v>0.03</v>
      </c>
      <c r="AF762" s="661" t="str">
        <f t="shared" si="80"/>
        <v>2019-LVN-FRD-E350-040-27</v>
      </c>
      <c r="AG762" s="661" t="str">
        <f>IF(AND($Y762&gt;=32,(AI762="I"),(Y762&lt;&gt;"~"),(COUNTIF($AN$1:$AN762,$AN762)=1)),"TRUE","FALSE")</f>
        <v>FALSE</v>
      </c>
      <c r="AH762" s="661" t="str">
        <f>IF(AND($Y762&gt;=22, (AI762&lt;&gt;"I"),(Y762&lt;&gt;"~"),(COUNTIF($AN$1:$AN762,$AN762)=1)),"TRUE","FALSE")</f>
        <v>FALSE</v>
      </c>
      <c r="AI762" s="661" t="str">
        <f t="shared" si="82"/>
        <v>N/A</v>
      </c>
      <c r="AJ762" s="662" t="str">
        <f t="shared" si="76"/>
        <v>E350-040</v>
      </c>
      <c r="AK762" s="662" t="str">
        <f t="shared" si="77"/>
        <v>LVN</v>
      </c>
      <c r="AL762" s="662" t="str">
        <f t="shared" si="78"/>
        <v>FRD</v>
      </c>
      <c r="AM762" s="662" t="str">
        <f t="shared" si="81"/>
        <v>Econoline E350-Stripped Chassis-RWD-1-~-8500-6.8L-10-E3K-785A-176-40-Unleaded-Unleaded</v>
      </c>
      <c r="AN762" s="662" t="str">
        <f t="shared" si="79"/>
        <v>2019-LVN-FRD-E350-040</v>
      </c>
    </row>
    <row r="763" spans="1:40" s="572" customFormat="1" ht="15">
      <c r="A763" s="570" t="s">
        <v>1836</v>
      </c>
      <c r="B763" s="573" t="s">
        <v>1837</v>
      </c>
      <c r="C763" s="573" t="s">
        <v>269</v>
      </c>
      <c r="D763" s="578" t="s">
        <v>270</v>
      </c>
      <c r="E763" s="573" t="s">
        <v>1516</v>
      </c>
      <c r="F763" s="573" t="s">
        <v>1684</v>
      </c>
      <c r="G763" s="573" t="s">
        <v>271</v>
      </c>
      <c r="H763" s="573">
        <v>2019</v>
      </c>
      <c r="I763" s="573" t="s">
        <v>1838</v>
      </c>
      <c r="J763" s="573" t="s">
        <v>1686</v>
      </c>
      <c r="K763" s="573" t="s">
        <v>236</v>
      </c>
      <c r="L763" s="573">
        <v>2</v>
      </c>
      <c r="M763" s="573">
        <v>0</v>
      </c>
      <c r="N763" s="573" t="s">
        <v>157</v>
      </c>
      <c r="O763" s="573">
        <v>1</v>
      </c>
      <c r="P763" s="573">
        <v>81</v>
      </c>
      <c r="Q763" s="571" t="s">
        <v>157</v>
      </c>
      <c r="R763" s="573" t="s">
        <v>1687</v>
      </c>
      <c r="S763" s="573">
        <v>10</v>
      </c>
      <c r="T763" s="573" t="s">
        <v>1839</v>
      </c>
      <c r="U763" s="573" t="s">
        <v>1840</v>
      </c>
      <c r="V763" s="573">
        <v>158</v>
      </c>
      <c r="W763" s="573">
        <v>55</v>
      </c>
      <c r="X763" s="571">
        <v>14500</v>
      </c>
      <c r="Y763" s="569" t="s">
        <v>164</v>
      </c>
      <c r="Z763" s="579" t="s">
        <v>178</v>
      </c>
      <c r="AA763" s="579" t="s">
        <v>178</v>
      </c>
      <c r="AB763" s="584">
        <v>35055</v>
      </c>
      <c r="AC763" s="584" t="s">
        <v>164</v>
      </c>
      <c r="AD763" s="584">
        <v>27294.252631578951</v>
      </c>
      <c r="AE763" s="586">
        <v>0.03</v>
      </c>
      <c r="AF763" s="661" t="str">
        <f t="shared" si="80"/>
        <v>2019-LVN-FRD-E450-007-05</v>
      </c>
      <c r="AG763" s="661" t="str">
        <f>IF(AND($Y763&gt;=32,(AI763="I"),(Y763&lt;&gt;"~"),(COUNTIF($AN$1:$AN763,$AN763)=1)),"TRUE","FALSE")</f>
        <v>FALSE</v>
      </c>
      <c r="AH763" s="661" t="str">
        <f>IF(AND($Y763&gt;=22, (AI763&lt;&gt;"I"),(Y763&lt;&gt;"~"),(COUNTIF($AN$1:$AN763,$AN763)=1)),"TRUE","FALSE")</f>
        <v>TRUE</v>
      </c>
      <c r="AI763" s="661" t="str">
        <f t="shared" si="82"/>
        <v>N/A</v>
      </c>
      <c r="AJ763" s="662" t="str">
        <f t="shared" si="76"/>
        <v>E450-007</v>
      </c>
      <c r="AK763" s="662" t="str">
        <f t="shared" si="77"/>
        <v>LVN</v>
      </c>
      <c r="AL763" s="662" t="str">
        <f t="shared" si="78"/>
        <v>FRD</v>
      </c>
      <c r="AM763" s="662" t="str">
        <f t="shared" si="81"/>
        <v>Econoline E450-DRW-RWD-2-81-~-6.8L-10-E4F-782A-158-55-Unleaded-Unleaded</v>
      </c>
      <c r="AN763" s="662" t="str">
        <f t="shared" si="79"/>
        <v>2019-LVN-FRD-E450-007</v>
      </c>
    </row>
    <row r="764" spans="1:40" s="572" customFormat="1" ht="15">
      <c r="A764" s="570" t="s">
        <v>1841</v>
      </c>
      <c r="B764" s="569" t="s">
        <v>1842</v>
      </c>
      <c r="C764" s="569" t="s">
        <v>269</v>
      </c>
      <c r="D764" s="580" t="s">
        <v>270</v>
      </c>
      <c r="E764" s="569" t="s">
        <v>1516</v>
      </c>
      <c r="F764" s="569" t="s">
        <v>1684</v>
      </c>
      <c r="G764" s="569" t="s">
        <v>271</v>
      </c>
      <c r="H764" s="569">
        <v>2019</v>
      </c>
      <c r="I764" s="569" t="s">
        <v>1838</v>
      </c>
      <c r="J764" s="569" t="s">
        <v>1686</v>
      </c>
      <c r="K764" s="569" t="s">
        <v>236</v>
      </c>
      <c r="L764" s="569">
        <v>2</v>
      </c>
      <c r="M764" s="569">
        <v>0</v>
      </c>
      <c r="N764" s="569" t="s">
        <v>157</v>
      </c>
      <c r="O764" s="569">
        <v>1</v>
      </c>
      <c r="P764" s="569">
        <v>81</v>
      </c>
      <c r="Q764" s="568" t="s">
        <v>157</v>
      </c>
      <c r="R764" s="569" t="s">
        <v>1687</v>
      </c>
      <c r="S764" s="569">
        <v>10</v>
      </c>
      <c r="T764" s="569" t="s">
        <v>1839</v>
      </c>
      <c r="U764" s="569" t="s">
        <v>1840</v>
      </c>
      <c r="V764" s="569">
        <v>176</v>
      </c>
      <c r="W764" s="569">
        <v>55</v>
      </c>
      <c r="X764" s="568">
        <v>14500</v>
      </c>
      <c r="Y764" s="569" t="s">
        <v>164</v>
      </c>
      <c r="Z764" s="581" t="s">
        <v>178</v>
      </c>
      <c r="AA764" s="581" t="s">
        <v>178</v>
      </c>
      <c r="AB764" s="585">
        <v>35785</v>
      </c>
      <c r="AC764" s="585" t="s">
        <v>164</v>
      </c>
      <c r="AD764" s="585">
        <v>27968.989473684214</v>
      </c>
      <c r="AE764" s="587">
        <v>0.03</v>
      </c>
      <c r="AF764" s="661" t="str">
        <f t="shared" si="80"/>
        <v>2019-LVN-FRD-E450-008-05</v>
      </c>
      <c r="AG764" s="661" t="str">
        <f>IF(AND($Y764&gt;=32,(AI764="I"),(Y764&lt;&gt;"~"),(COUNTIF($AN$1:$AN764,$AN764)=1)),"TRUE","FALSE")</f>
        <v>FALSE</v>
      </c>
      <c r="AH764" s="661" t="str">
        <f>IF(AND($Y764&gt;=22, (AI764&lt;&gt;"I"),(Y764&lt;&gt;"~"),(COUNTIF($AN$1:$AN764,$AN764)=1)),"TRUE","FALSE")</f>
        <v>TRUE</v>
      </c>
      <c r="AI764" s="661" t="str">
        <f t="shared" si="82"/>
        <v>N/A</v>
      </c>
      <c r="AJ764" s="662" t="str">
        <f t="shared" si="76"/>
        <v>E450-008</v>
      </c>
      <c r="AK764" s="662" t="str">
        <f t="shared" si="77"/>
        <v>LVN</v>
      </c>
      <c r="AL764" s="662" t="str">
        <f t="shared" si="78"/>
        <v>FRD</v>
      </c>
      <c r="AM764" s="662" t="str">
        <f t="shared" si="81"/>
        <v>Econoline E450-DRW-RWD-2-81-~-6.8L-10-E4F-782A-176-55-Unleaded-Unleaded</v>
      </c>
      <c r="AN764" s="662" t="str">
        <f t="shared" si="79"/>
        <v>2019-LVN-FRD-E450-008</v>
      </c>
    </row>
    <row r="765" spans="1:40" s="572" customFormat="1" ht="15">
      <c r="A765" s="570" t="s">
        <v>1843</v>
      </c>
      <c r="B765" s="573" t="s">
        <v>1837</v>
      </c>
      <c r="C765" s="573" t="s">
        <v>280</v>
      </c>
      <c r="D765" s="578">
        <v>27</v>
      </c>
      <c r="E765" s="573" t="s">
        <v>1516</v>
      </c>
      <c r="F765" s="573" t="s">
        <v>1684</v>
      </c>
      <c r="G765" s="573" t="s">
        <v>271</v>
      </c>
      <c r="H765" s="573">
        <v>2019</v>
      </c>
      <c r="I765" s="573" t="s">
        <v>1838</v>
      </c>
      <c r="J765" s="573" t="s">
        <v>1686</v>
      </c>
      <c r="K765" s="573" t="s">
        <v>236</v>
      </c>
      <c r="L765" s="573">
        <v>2</v>
      </c>
      <c r="M765" s="573">
        <v>0</v>
      </c>
      <c r="N765" s="573" t="s">
        <v>157</v>
      </c>
      <c r="O765" s="573">
        <v>1</v>
      </c>
      <c r="P765" s="573">
        <v>81</v>
      </c>
      <c r="Q765" s="571" t="s">
        <v>157</v>
      </c>
      <c r="R765" s="573" t="s">
        <v>1687</v>
      </c>
      <c r="S765" s="573">
        <v>10</v>
      </c>
      <c r="T765" s="573" t="s">
        <v>1839</v>
      </c>
      <c r="U765" s="573" t="s">
        <v>1840</v>
      </c>
      <c r="V765" s="573">
        <v>158</v>
      </c>
      <c r="W765" s="573">
        <v>55</v>
      </c>
      <c r="X765" s="571">
        <v>14500</v>
      </c>
      <c r="Y765" s="569" t="s">
        <v>164</v>
      </c>
      <c r="Z765" s="579" t="s">
        <v>178</v>
      </c>
      <c r="AA765" s="579" t="s">
        <v>178</v>
      </c>
      <c r="AB765" s="584">
        <v>35055</v>
      </c>
      <c r="AC765" s="584" t="s">
        <v>164</v>
      </c>
      <c r="AD765" s="584">
        <v>27294.252631578951</v>
      </c>
      <c r="AE765" s="586">
        <v>0.03</v>
      </c>
      <c r="AF765" s="661" t="str">
        <f t="shared" si="80"/>
        <v>2019-LVN-FRD-E450-007-27</v>
      </c>
      <c r="AG765" s="661" t="str">
        <f>IF(AND($Y765&gt;=32,(AI765="I"),(Y765&lt;&gt;"~"),(COUNTIF($AN$1:$AN765,$AN765)=1)),"TRUE","FALSE")</f>
        <v>FALSE</v>
      </c>
      <c r="AH765" s="661" t="str">
        <f>IF(AND($Y765&gt;=22, (AI765&lt;&gt;"I"),(Y765&lt;&gt;"~"),(COUNTIF($AN$1:$AN765,$AN765)=1)),"TRUE","FALSE")</f>
        <v>FALSE</v>
      </c>
      <c r="AI765" s="661" t="str">
        <f t="shared" si="82"/>
        <v>N/A</v>
      </c>
      <c r="AJ765" s="662" t="str">
        <f t="shared" si="76"/>
        <v>E450-007</v>
      </c>
      <c r="AK765" s="662" t="str">
        <f t="shared" si="77"/>
        <v>LVN</v>
      </c>
      <c r="AL765" s="662" t="str">
        <f t="shared" si="78"/>
        <v>FRD</v>
      </c>
      <c r="AM765" s="662" t="str">
        <f t="shared" si="81"/>
        <v>Econoline E450-DRW-RWD-2-81-~-6.8L-10-E4F-782A-158-55-Unleaded-Unleaded</v>
      </c>
      <c r="AN765" s="662" t="str">
        <f t="shared" si="79"/>
        <v>2019-LVN-FRD-E450-007</v>
      </c>
    </row>
    <row r="766" spans="1:40" s="572" customFormat="1" ht="15">
      <c r="A766" s="570" t="s">
        <v>1844</v>
      </c>
      <c r="B766" s="569" t="s">
        <v>1842</v>
      </c>
      <c r="C766" s="569" t="s">
        <v>280</v>
      </c>
      <c r="D766" s="580">
        <v>27</v>
      </c>
      <c r="E766" s="569" t="s">
        <v>1516</v>
      </c>
      <c r="F766" s="569" t="s">
        <v>1684</v>
      </c>
      <c r="G766" s="569" t="s">
        <v>271</v>
      </c>
      <c r="H766" s="569">
        <v>2019</v>
      </c>
      <c r="I766" s="569" t="s">
        <v>1838</v>
      </c>
      <c r="J766" s="569" t="s">
        <v>1686</v>
      </c>
      <c r="K766" s="569" t="s">
        <v>236</v>
      </c>
      <c r="L766" s="569">
        <v>2</v>
      </c>
      <c r="M766" s="569">
        <v>0</v>
      </c>
      <c r="N766" s="569" t="s">
        <v>157</v>
      </c>
      <c r="O766" s="569">
        <v>1</v>
      </c>
      <c r="P766" s="569">
        <v>81</v>
      </c>
      <c r="Q766" s="568" t="s">
        <v>157</v>
      </c>
      <c r="R766" s="569" t="s">
        <v>1687</v>
      </c>
      <c r="S766" s="569">
        <v>10</v>
      </c>
      <c r="T766" s="569" t="s">
        <v>1839</v>
      </c>
      <c r="U766" s="569" t="s">
        <v>1840</v>
      </c>
      <c r="V766" s="569">
        <v>176</v>
      </c>
      <c r="W766" s="569">
        <v>55</v>
      </c>
      <c r="X766" s="568">
        <v>14500</v>
      </c>
      <c r="Y766" s="569" t="s">
        <v>164</v>
      </c>
      <c r="Z766" s="581" t="s">
        <v>178</v>
      </c>
      <c r="AA766" s="581" t="s">
        <v>178</v>
      </c>
      <c r="AB766" s="585">
        <v>35785</v>
      </c>
      <c r="AC766" s="585" t="s">
        <v>164</v>
      </c>
      <c r="AD766" s="585">
        <v>27968.989473684214</v>
      </c>
      <c r="AE766" s="587">
        <v>0.03</v>
      </c>
      <c r="AF766" s="661" t="str">
        <f t="shared" si="80"/>
        <v>2019-LVN-FRD-E450-008-27</v>
      </c>
      <c r="AG766" s="661" t="str">
        <f>IF(AND($Y766&gt;=32,(AI766="I"),(Y766&lt;&gt;"~"),(COUNTIF($AN$1:$AN766,$AN766)=1)),"TRUE","FALSE")</f>
        <v>FALSE</v>
      </c>
      <c r="AH766" s="661" t="str">
        <f>IF(AND($Y766&gt;=22, (AI766&lt;&gt;"I"),(Y766&lt;&gt;"~"),(COUNTIF($AN$1:$AN766,$AN766)=1)),"TRUE","FALSE")</f>
        <v>FALSE</v>
      </c>
      <c r="AI766" s="661" t="str">
        <f t="shared" si="82"/>
        <v>N/A</v>
      </c>
      <c r="AJ766" s="662" t="str">
        <f t="shared" si="76"/>
        <v>E450-008</v>
      </c>
      <c r="AK766" s="662" t="str">
        <f t="shared" si="77"/>
        <v>LVN</v>
      </c>
      <c r="AL766" s="662" t="str">
        <f t="shared" si="78"/>
        <v>FRD</v>
      </c>
      <c r="AM766" s="662" t="str">
        <f t="shared" si="81"/>
        <v>Econoline E450-DRW-RWD-2-81-~-6.8L-10-E4F-782A-176-55-Unleaded-Unleaded</v>
      </c>
      <c r="AN766" s="662" t="str">
        <f t="shared" si="79"/>
        <v>2019-LVN-FRD-E450-008</v>
      </c>
    </row>
    <row r="767" spans="1:40" s="572" customFormat="1" ht="30">
      <c r="A767" s="570" t="s">
        <v>1845</v>
      </c>
      <c r="B767" s="573" t="s">
        <v>1846</v>
      </c>
      <c r="C767" s="573" t="s">
        <v>269</v>
      </c>
      <c r="D767" s="578" t="s">
        <v>270</v>
      </c>
      <c r="E767" s="573" t="s">
        <v>1516</v>
      </c>
      <c r="F767" s="573" t="s">
        <v>1684</v>
      </c>
      <c r="G767" s="573" t="s">
        <v>271</v>
      </c>
      <c r="H767" s="573">
        <v>2019</v>
      </c>
      <c r="I767" s="573" t="s">
        <v>1838</v>
      </c>
      <c r="J767" s="573" t="s">
        <v>1699</v>
      </c>
      <c r="K767" s="573" t="s">
        <v>236</v>
      </c>
      <c r="L767" s="573">
        <v>2</v>
      </c>
      <c r="M767" s="573">
        <v>0</v>
      </c>
      <c r="N767" s="573" t="s">
        <v>157</v>
      </c>
      <c r="O767" s="573">
        <v>1</v>
      </c>
      <c r="P767" s="573" t="s">
        <v>157</v>
      </c>
      <c r="Q767" s="571" t="s">
        <v>157</v>
      </c>
      <c r="R767" s="573" t="s">
        <v>1700</v>
      </c>
      <c r="S767" s="573">
        <v>8</v>
      </c>
      <c r="T767" s="573" t="s">
        <v>1839</v>
      </c>
      <c r="U767" s="573" t="s">
        <v>1840</v>
      </c>
      <c r="V767" s="573">
        <v>158</v>
      </c>
      <c r="W767" s="573">
        <v>55</v>
      </c>
      <c r="X767" s="571">
        <v>14000</v>
      </c>
      <c r="Y767" s="569" t="s">
        <v>164</v>
      </c>
      <c r="Z767" s="579" t="s">
        <v>450</v>
      </c>
      <c r="AA767" s="579" t="s">
        <v>178</v>
      </c>
      <c r="AB767" s="584">
        <v>34705</v>
      </c>
      <c r="AC767" s="584" t="s">
        <v>164</v>
      </c>
      <c r="AD767" s="584">
        <v>26980.568421052634</v>
      </c>
      <c r="AE767" s="586">
        <v>0.03</v>
      </c>
      <c r="AF767" s="661" t="str">
        <f t="shared" si="80"/>
        <v>2019-LVN-FRD-E450-001-05</v>
      </c>
      <c r="AG767" s="661" t="str">
        <f>IF(AND($Y767&gt;=32,(AI767="I"),(Y767&lt;&gt;"~"),(COUNTIF($AN$1:$AN767,$AN767)=1)),"TRUE","FALSE")</f>
        <v>FALSE</v>
      </c>
      <c r="AH767" s="661" t="str">
        <f>IF(AND($Y767&gt;=22, (AI767&lt;&gt;"I"),(Y767&lt;&gt;"~"),(COUNTIF($AN$1:$AN767,$AN767)=1)),"TRUE","FALSE")</f>
        <v>TRUE</v>
      </c>
      <c r="AI767" s="661" t="str">
        <f t="shared" si="82"/>
        <v>N/A</v>
      </c>
      <c r="AJ767" s="662" t="str">
        <f t="shared" si="76"/>
        <v>E450-001</v>
      </c>
      <c r="AK767" s="662" t="str">
        <f t="shared" si="77"/>
        <v>LVN</v>
      </c>
      <c r="AL767" s="662" t="str">
        <f t="shared" si="78"/>
        <v>FRD</v>
      </c>
      <c r="AM767" s="662" t="str">
        <f t="shared" si="81"/>
        <v>Econoline E450-DRW Cutaway Van Chassis-RWD-2-~-~-6.2L-8-E4F-782A-158-55-E85-Unleaded</v>
      </c>
      <c r="AN767" s="662" t="str">
        <f t="shared" si="79"/>
        <v>2019-LVN-FRD-E450-001</v>
      </c>
    </row>
    <row r="768" spans="1:40" s="572" customFormat="1" ht="30">
      <c r="A768" s="570" t="s">
        <v>1847</v>
      </c>
      <c r="B768" s="569" t="s">
        <v>1848</v>
      </c>
      <c r="C768" s="569" t="s">
        <v>269</v>
      </c>
      <c r="D768" s="580" t="s">
        <v>270</v>
      </c>
      <c r="E768" s="569" t="s">
        <v>1516</v>
      </c>
      <c r="F768" s="569" t="s">
        <v>1684</v>
      </c>
      <c r="G768" s="569" t="s">
        <v>271</v>
      </c>
      <c r="H768" s="569">
        <v>2019</v>
      </c>
      <c r="I768" s="569" t="s">
        <v>1838</v>
      </c>
      <c r="J768" s="569" t="s">
        <v>1699</v>
      </c>
      <c r="K768" s="569" t="s">
        <v>236</v>
      </c>
      <c r="L768" s="569">
        <v>2</v>
      </c>
      <c r="M768" s="569">
        <v>0</v>
      </c>
      <c r="N768" s="569" t="s">
        <v>157</v>
      </c>
      <c r="O768" s="569">
        <v>1</v>
      </c>
      <c r="P768" s="569" t="s">
        <v>157</v>
      </c>
      <c r="Q768" s="568" t="s">
        <v>157</v>
      </c>
      <c r="R768" s="569" t="s">
        <v>1700</v>
      </c>
      <c r="S768" s="569">
        <v>8</v>
      </c>
      <c r="T768" s="569" t="s">
        <v>1839</v>
      </c>
      <c r="U768" s="569" t="s">
        <v>1840</v>
      </c>
      <c r="V768" s="569">
        <v>176</v>
      </c>
      <c r="W768" s="569">
        <v>55</v>
      </c>
      <c r="X768" s="568">
        <v>14000</v>
      </c>
      <c r="Y768" s="569" t="s">
        <v>164</v>
      </c>
      <c r="Z768" s="581" t="s">
        <v>450</v>
      </c>
      <c r="AA768" s="581" t="s">
        <v>178</v>
      </c>
      <c r="AB768" s="585">
        <v>35435</v>
      </c>
      <c r="AC768" s="585" t="s">
        <v>164</v>
      </c>
      <c r="AD768" s="585">
        <v>27655.305263157898</v>
      </c>
      <c r="AE768" s="587">
        <v>0.03</v>
      </c>
      <c r="AF768" s="661" t="str">
        <f t="shared" si="80"/>
        <v>2019-LVN-FRD-E450-002-05</v>
      </c>
      <c r="AG768" s="661" t="str">
        <f>IF(AND($Y768&gt;=32,(AI768="I"),(Y768&lt;&gt;"~"),(COUNTIF($AN$1:$AN768,$AN768)=1)),"TRUE","FALSE")</f>
        <v>FALSE</v>
      </c>
      <c r="AH768" s="661" t="str">
        <f>IF(AND($Y768&gt;=22, (AI768&lt;&gt;"I"),(Y768&lt;&gt;"~"),(COUNTIF($AN$1:$AN768,$AN768)=1)),"TRUE","FALSE")</f>
        <v>TRUE</v>
      </c>
      <c r="AI768" s="661" t="str">
        <f t="shared" si="82"/>
        <v>N/A</v>
      </c>
      <c r="AJ768" s="662" t="str">
        <f t="shared" si="76"/>
        <v>E450-002</v>
      </c>
      <c r="AK768" s="662" t="str">
        <f t="shared" si="77"/>
        <v>LVN</v>
      </c>
      <c r="AL768" s="662" t="str">
        <f t="shared" si="78"/>
        <v>FRD</v>
      </c>
      <c r="AM768" s="662" t="str">
        <f t="shared" si="81"/>
        <v>Econoline E450-DRW Cutaway Van Chassis-RWD-2-~-~-6.2L-8-E4F-782A-176-55-E85-Unleaded</v>
      </c>
      <c r="AN768" s="662" t="str">
        <f t="shared" si="79"/>
        <v>2019-LVN-FRD-E450-002</v>
      </c>
    </row>
    <row r="769" spans="1:40" s="572" customFormat="1" ht="30">
      <c r="A769" s="570" t="s">
        <v>1849</v>
      </c>
      <c r="B769" s="573" t="s">
        <v>1850</v>
      </c>
      <c r="C769" s="573" t="s">
        <v>269</v>
      </c>
      <c r="D769" s="578" t="s">
        <v>270</v>
      </c>
      <c r="E769" s="573" t="s">
        <v>1516</v>
      </c>
      <c r="F769" s="573" t="s">
        <v>1684</v>
      </c>
      <c r="G769" s="573" t="s">
        <v>271</v>
      </c>
      <c r="H769" s="573">
        <v>2019</v>
      </c>
      <c r="I769" s="573" t="s">
        <v>1838</v>
      </c>
      <c r="J769" s="573" t="s">
        <v>1699</v>
      </c>
      <c r="K769" s="573" t="s">
        <v>236</v>
      </c>
      <c r="L769" s="573">
        <v>2</v>
      </c>
      <c r="M769" s="573">
        <v>0</v>
      </c>
      <c r="N769" s="573" t="s">
        <v>157</v>
      </c>
      <c r="O769" s="573">
        <v>1</v>
      </c>
      <c r="P769" s="573" t="s">
        <v>157</v>
      </c>
      <c r="Q769" s="571" t="s">
        <v>157</v>
      </c>
      <c r="R769" s="573" t="s">
        <v>1687</v>
      </c>
      <c r="S769" s="573">
        <v>10</v>
      </c>
      <c r="T769" s="573" t="s">
        <v>1839</v>
      </c>
      <c r="U769" s="573" t="s">
        <v>1840</v>
      </c>
      <c r="V769" s="573">
        <v>158</v>
      </c>
      <c r="W769" s="573">
        <v>55</v>
      </c>
      <c r="X769" s="571">
        <v>14500</v>
      </c>
      <c r="Y769" s="569" t="s">
        <v>164</v>
      </c>
      <c r="Z769" s="579" t="s">
        <v>178</v>
      </c>
      <c r="AA769" s="579" t="s">
        <v>178</v>
      </c>
      <c r="AB769" s="584">
        <v>35055</v>
      </c>
      <c r="AC769" s="584" t="s">
        <v>164</v>
      </c>
      <c r="AD769" s="584">
        <v>27294.252631578951</v>
      </c>
      <c r="AE769" s="586">
        <v>0.03</v>
      </c>
      <c r="AF769" s="661" t="str">
        <f t="shared" si="80"/>
        <v>2019-LVN-FRD-E450-003-05</v>
      </c>
      <c r="AG769" s="661" t="str">
        <f>IF(AND($Y769&gt;=32,(AI769="I"),(Y769&lt;&gt;"~"),(COUNTIF($AN$1:$AN769,$AN769)=1)),"TRUE","FALSE")</f>
        <v>FALSE</v>
      </c>
      <c r="AH769" s="661" t="str">
        <f>IF(AND($Y769&gt;=22, (AI769&lt;&gt;"I"),(Y769&lt;&gt;"~"),(COUNTIF($AN$1:$AN769,$AN769)=1)),"TRUE","FALSE")</f>
        <v>TRUE</v>
      </c>
      <c r="AI769" s="661" t="str">
        <f t="shared" si="82"/>
        <v>N/A</v>
      </c>
      <c r="AJ769" s="662" t="str">
        <f t="shared" si="76"/>
        <v>E450-003</v>
      </c>
      <c r="AK769" s="662" t="str">
        <f t="shared" si="77"/>
        <v>LVN</v>
      </c>
      <c r="AL769" s="662" t="str">
        <f t="shared" si="78"/>
        <v>FRD</v>
      </c>
      <c r="AM769" s="662" t="str">
        <f t="shared" si="81"/>
        <v>Econoline E450-DRW Cutaway Van Chassis-RWD-2-~-~-6.8L-10-E4F-782A-158-55-Unleaded-Unleaded</v>
      </c>
      <c r="AN769" s="662" t="str">
        <f t="shared" si="79"/>
        <v>2019-LVN-FRD-E450-003</v>
      </c>
    </row>
    <row r="770" spans="1:40" s="572" customFormat="1" ht="30">
      <c r="A770" s="570" t="s">
        <v>1851</v>
      </c>
      <c r="B770" s="569" t="s">
        <v>1852</v>
      </c>
      <c r="C770" s="569" t="s">
        <v>269</v>
      </c>
      <c r="D770" s="580" t="s">
        <v>270</v>
      </c>
      <c r="E770" s="569" t="s">
        <v>1516</v>
      </c>
      <c r="F770" s="569" t="s">
        <v>1684</v>
      </c>
      <c r="G770" s="569" t="s">
        <v>271</v>
      </c>
      <c r="H770" s="569">
        <v>2019</v>
      </c>
      <c r="I770" s="569" t="s">
        <v>1838</v>
      </c>
      <c r="J770" s="569" t="s">
        <v>1699</v>
      </c>
      <c r="K770" s="569" t="s">
        <v>236</v>
      </c>
      <c r="L770" s="569">
        <v>2</v>
      </c>
      <c r="M770" s="569">
        <v>0</v>
      </c>
      <c r="N770" s="569" t="s">
        <v>157</v>
      </c>
      <c r="O770" s="569">
        <v>1</v>
      </c>
      <c r="P770" s="569" t="s">
        <v>157</v>
      </c>
      <c r="Q770" s="568" t="s">
        <v>157</v>
      </c>
      <c r="R770" s="569" t="s">
        <v>1687</v>
      </c>
      <c r="S770" s="569">
        <v>10</v>
      </c>
      <c r="T770" s="569" t="s">
        <v>1839</v>
      </c>
      <c r="U770" s="569" t="s">
        <v>1840</v>
      </c>
      <c r="V770" s="569">
        <v>176</v>
      </c>
      <c r="W770" s="569">
        <v>55</v>
      </c>
      <c r="X770" s="568">
        <v>14500</v>
      </c>
      <c r="Y770" s="569" t="s">
        <v>164</v>
      </c>
      <c r="Z770" s="581" t="s">
        <v>178</v>
      </c>
      <c r="AA770" s="581" t="s">
        <v>178</v>
      </c>
      <c r="AB770" s="585">
        <v>35785</v>
      </c>
      <c r="AC770" s="585" t="s">
        <v>164</v>
      </c>
      <c r="AD770" s="585">
        <v>27968.989473684214</v>
      </c>
      <c r="AE770" s="587">
        <v>0.03</v>
      </c>
      <c r="AF770" s="661" t="str">
        <f t="shared" si="80"/>
        <v>2019-LVN-FRD-E450-004-05</v>
      </c>
      <c r="AG770" s="661" t="str">
        <f>IF(AND($Y770&gt;=32,(AI770="I"),(Y770&lt;&gt;"~"),(COUNTIF($AN$1:$AN770,$AN770)=1)),"TRUE","FALSE")</f>
        <v>FALSE</v>
      </c>
      <c r="AH770" s="661" t="str">
        <f>IF(AND($Y770&gt;=22, (AI770&lt;&gt;"I"),(Y770&lt;&gt;"~"),(COUNTIF($AN$1:$AN770,$AN770)=1)),"TRUE","FALSE")</f>
        <v>TRUE</v>
      </c>
      <c r="AI770" s="661" t="str">
        <f t="shared" si="82"/>
        <v>N/A</v>
      </c>
      <c r="AJ770" s="662" t="str">
        <f t="shared" si="76"/>
        <v>E450-004</v>
      </c>
      <c r="AK770" s="662" t="str">
        <f t="shared" si="77"/>
        <v>LVN</v>
      </c>
      <c r="AL770" s="662" t="str">
        <f t="shared" si="78"/>
        <v>FRD</v>
      </c>
      <c r="AM770" s="662" t="str">
        <f t="shared" si="81"/>
        <v>Econoline E450-DRW Cutaway Van Chassis-RWD-2-~-~-6.8L-10-E4F-782A-176-55-Unleaded-Unleaded</v>
      </c>
      <c r="AN770" s="662" t="str">
        <f t="shared" si="79"/>
        <v>2019-LVN-FRD-E450-004</v>
      </c>
    </row>
    <row r="771" spans="1:40" s="572" customFormat="1" ht="30">
      <c r="A771" s="570" t="s">
        <v>1853</v>
      </c>
      <c r="B771" s="573" t="s">
        <v>1846</v>
      </c>
      <c r="C771" s="573" t="s">
        <v>278</v>
      </c>
      <c r="D771" s="578">
        <v>15</v>
      </c>
      <c r="E771" s="573" t="s">
        <v>1516</v>
      </c>
      <c r="F771" s="573" t="s">
        <v>1684</v>
      </c>
      <c r="G771" s="573" t="s">
        <v>271</v>
      </c>
      <c r="H771" s="573">
        <v>2019</v>
      </c>
      <c r="I771" s="573" t="s">
        <v>1838</v>
      </c>
      <c r="J771" s="573" t="s">
        <v>1699</v>
      </c>
      <c r="K771" s="573" t="s">
        <v>236</v>
      </c>
      <c r="L771" s="573">
        <v>2</v>
      </c>
      <c r="M771" s="573">
        <v>0</v>
      </c>
      <c r="N771" s="573" t="s">
        <v>157</v>
      </c>
      <c r="O771" s="573">
        <v>1</v>
      </c>
      <c r="P771" s="573" t="s">
        <v>157</v>
      </c>
      <c r="Q771" s="571" t="s">
        <v>157</v>
      </c>
      <c r="R771" s="573" t="s">
        <v>1700</v>
      </c>
      <c r="S771" s="573">
        <v>8</v>
      </c>
      <c r="T771" s="573" t="s">
        <v>1839</v>
      </c>
      <c r="U771" s="573" t="s">
        <v>1840</v>
      </c>
      <c r="V771" s="573">
        <v>158</v>
      </c>
      <c r="W771" s="573">
        <v>55</v>
      </c>
      <c r="X771" s="571">
        <v>14000</v>
      </c>
      <c r="Y771" s="569" t="s">
        <v>164</v>
      </c>
      <c r="Z771" s="579" t="s">
        <v>450</v>
      </c>
      <c r="AA771" s="579" t="s">
        <v>178</v>
      </c>
      <c r="AB771" s="584">
        <v>34705</v>
      </c>
      <c r="AC771" s="584" t="s">
        <v>164</v>
      </c>
      <c r="AD771" s="584">
        <v>27100</v>
      </c>
      <c r="AE771" s="586">
        <v>0.01</v>
      </c>
      <c r="AF771" s="661" t="str">
        <f t="shared" si="80"/>
        <v>2019-LVN-FRD-E450-001-15</v>
      </c>
      <c r="AG771" s="661" t="str">
        <f>IF(AND($Y771&gt;=32,(AI771="I"),(Y771&lt;&gt;"~"),(COUNTIF($AN$1:$AN771,$AN771)=1)),"TRUE","FALSE")</f>
        <v>FALSE</v>
      </c>
      <c r="AH771" s="661" t="str">
        <f>IF(AND($Y771&gt;=22, (AI771&lt;&gt;"I"),(Y771&lt;&gt;"~"),(COUNTIF($AN$1:$AN771,$AN771)=1)),"TRUE","FALSE")</f>
        <v>FALSE</v>
      </c>
      <c r="AI771" s="661" t="str">
        <f t="shared" si="82"/>
        <v>N/A</v>
      </c>
      <c r="AJ771" s="662" t="str">
        <f t="shared" ref="AJ771:AJ834" si="83">MID(A771,14,8)</f>
        <v>E450-001</v>
      </c>
      <c r="AK771" s="662" t="str">
        <f t="shared" ref="AK771:AK834" si="84">MID(A771,6,3)</f>
        <v>LVN</v>
      </c>
      <c r="AL771" s="662" t="str">
        <f t="shared" ref="AL771:AL834" si="85">MID(A771,10,3)</f>
        <v>FRD</v>
      </c>
      <c r="AM771" s="662" t="str">
        <f t="shared" si="81"/>
        <v>Econoline E450-DRW Cutaway Van Chassis-RWD-2-~-~-6.2L-8-E4F-782A-158-55-E85-Unleaded</v>
      </c>
      <c r="AN771" s="662" t="str">
        <f t="shared" ref="AN771:AN834" si="86">LEFT(A771,21)</f>
        <v>2019-LVN-FRD-E450-001</v>
      </c>
    </row>
    <row r="772" spans="1:40" s="572" customFormat="1" ht="30">
      <c r="A772" s="570" t="s">
        <v>1854</v>
      </c>
      <c r="B772" s="569" t="s">
        <v>1852</v>
      </c>
      <c r="C772" s="569" t="s">
        <v>278</v>
      </c>
      <c r="D772" s="580">
        <v>15</v>
      </c>
      <c r="E772" s="569" t="s">
        <v>1516</v>
      </c>
      <c r="F772" s="569" t="s">
        <v>1684</v>
      </c>
      <c r="G772" s="569" t="s">
        <v>271</v>
      </c>
      <c r="H772" s="569">
        <v>2019</v>
      </c>
      <c r="I772" s="569" t="s">
        <v>1838</v>
      </c>
      <c r="J772" s="569" t="s">
        <v>1699</v>
      </c>
      <c r="K772" s="569" t="s">
        <v>236</v>
      </c>
      <c r="L772" s="569">
        <v>2</v>
      </c>
      <c r="M772" s="569">
        <v>0</v>
      </c>
      <c r="N772" s="569" t="s">
        <v>157</v>
      </c>
      <c r="O772" s="569">
        <v>1</v>
      </c>
      <c r="P772" s="569" t="s">
        <v>157</v>
      </c>
      <c r="Q772" s="568" t="s">
        <v>157</v>
      </c>
      <c r="R772" s="569" t="s">
        <v>1687</v>
      </c>
      <c r="S772" s="569">
        <v>10</v>
      </c>
      <c r="T772" s="569" t="s">
        <v>1839</v>
      </c>
      <c r="U772" s="569" t="s">
        <v>1840</v>
      </c>
      <c r="V772" s="569">
        <v>176</v>
      </c>
      <c r="W772" s="569">
        <v>55</v>
      </c>
      <c r="X772" s="568">
        <v>14500</v>
      </c>
      <c r="Y772" s="569" t="s">
        <v>164</v>
      </c>
      <c r="Z772" s="581" t="s">
        <v>178</v>
      </c>
      <c r="AA772" s="581" t="s">
        <v>178</v>
      </c>
      <c r="AB772" s="585">
        <v>35785</v>
      </c>
      <c r="AC772" s="585" t="s">
        <v>164</v>
      </c>
      <c r="AD772" s="585">
        <v>28100</v>
      </c>
      <c r="AE772" s="587">
        <v>0.01</v>
      </c>
      <c r="AF772" s="661" t="str">
        <f t="shared" si="80"/>
        <v>2019-LVN-FRD-E450-004-15</v>
      </c>
      <c r="AG772" s="661" t="str">
        <f>IF(AND($Y772&gt;=32,(AI772="I"),(Y772&lt;&gt;"~"),(COUNTIF($AN$1:$AN772,$AN772)=1)),"TRUE","FALSE")</f>
        <v>FALSE</v>
      </c>
      <c r="AH772" s="661" t="str">
        <f>IF(AND($Y772&gt;=22, (AI772&lt;&gt;"I"),(Y772&lt;&gt;"~"),(COUNTIF($AN$1:$AN772,$AN772)=1)),"TRUE","FALSE")</f>
        <v>FALSE</v>
      </c>
      <c r="AI772" s="661" t="str">
        <f t="shared" si="82"/>
        <v>N/A</v>
      </c>
      <c r="AJ772" s="662" t="str">
        <f t="shared" si="83"/>
        <v>E450-004</v>
      </c>
      <c r="AK772" s="662" t="str">
        <f t="shared" si="84"/>
        <v>LVN</v>
      </c>
      <c r="AL772" s="662" t="str">
        <f t="shared" si="85"/>
        <v>FRD</v>
      </c>
      <c r="AM772" s="662" t="str">
        <f t="shared" si="81"/>
        <v>Econoline E450-DRW Cutaway Van Chassis-RWD-2-~-~-6.8L-10-E4F-782A-176-55-Unleaded-Unleaded</v>
      </c>
      <c r="AN772" s="662" t="str">
        <f t="shared" si="86"/>
        <v>2019-LVN-FRD-E450-004</v>
      </c>
    </row>
    <row r="773" spans="1:40" s="572" customFormat="1" ht="30">
      <c r="A773" s="570" t="s">
        <v>1855</v>
      </c>
      <c r="B773" s="573" t="s">
        <v>1850</v>
      </c>
      <c r="C773" s="573" t="s">
        <v>287</v>
      </c>
      <c r="D773" s="578">
        <v>26</v>
      </c>
      <c r="E773" s="573" t="s">
        <v>1516</v>
      </c>
      <c r="F773" s="573" t="s">
        <v>1684</v>
      </c>
      <c r="G773" s="573" t="s">
        <v>271</v>
      </c>
      <c r="H773" s="573">
        <v>2019</v>
      </c>
      <c r="I773" s="573" t="s">
        <v>1838</v>
      </c>
      <c r="J773" s="573" t="s">
        <v>1699</v>
      </c>
      <c r="K773" s="573" t="s">
        <v>236</v>
      </c>
      <c r="L773" s="573">
        <v>2</v>
      </c>
      <c r="M773" s="573">
        <v>0</v>
      </c>
      <c r="N773" s="573" t="s">
        <v>157</v>
      </c>
      <c r="O773" s="573">
        <v>1</v>
      </c>
      <c r="P773" s="573" t="s">
        <v>157</v>
      </c>
      <c r="Q773" s="571" t="s">
        <v>157</v>
      </c>
      <c r="R773" s="573" t="s">
        <v>1687</v>
      </c>
      <c r="S773" s="573">
        <v>10</v>
      </c>
      <c r="T773" s="573" t="s">
        <v>1839</v>
      </c>
      <c r="U773" s="573" t="s">
        <v>1840</v>
      </c>
      <c r="V773" s="573">
        <v>158</v>
      </c>
      <c r="W773" s="573">
        <v>55</v>
      </c>
      <c r="X773" s="571">
        <v>14500</v>
      </c>
      <c r="Y773" s="569" t="s">
        <v>164</v>
      </c>
      <c r="Z773" s="579" t="s">
        <v>178</v>
      </c>
      <c r="AA773" s="579" t="s">
        <v>178</v>
      </c>
      <c r="AB773" s="584">
        <v>35055</v>
      </c>
      <c r="AC773" s="584" t="s">
        <v>164</v>
      </c>
      <c r="AD773" s="584">
        <v>27658</v>
      </c>
      <c r="AE773" s="586">
        <v>0.05</v>
      </c>
      <c r="AF773" s="661" t="str">
        <f t="shared" si="80"/>
        <v>2019-LVN-FRD-E450-003-26</v>
      </c>
      <c r="AG773" s="661" t="str">
        <f>IF(AND($Y773&gt;=32,(AI773="I"),(Y773&lt;&gt;"~"),(COUNTIF($AN$1:$AN773,$AN773)=1)),"TRUE","FALSE")</f>
        <v>FALSE</v>
      </c>
      <c r="AH773" s="661" t="str">
        <f>IF(AND($Y773&gt;=22, (AI773&lt;&gt;"I"),(Y773&lt;&gt;"~"),(COUNTIF($AN$1:$AN773,$AN773)=1)),"TRUE","FALSE")</f>
        <v>FALSE</v>
      </c>
      <c r="AI773" s="661" t="str">
        <f t="shared" si="82"/>
        <v>N/A</v>
      </c>
      <c r="AJ773" s="662" t="str">
        <f t="shared" si="83"/>
        <v>E450-003</v>
      </c>
      <c r="AK773" s="662" t="str">
        <f t="shared" si="84"/>
        <v>LVN</v>
      </c>
      <c r="AL773" s="662" t="str">
        <f t="shared" si="85"/>
        <v>FRD</v>
      </c>
      <c r="AM773" s="662" t="str">
        <f t="shared" si="81"/>
        <v>Econoline E450-DRW Cutaway Van Chassis-RWD-2-~-~-6.8L-10-E4F-782A-158-55-Unleaded-Unleaded</v>
      </c>
      <c r="AN773" s="662" t="str">
        <f t="shared" si="86"/>
        <v>2019-LVN-FRD-E450-003</v>
      </c>
    </row>
    <row r="774" spans="1:40" s="572" customFormat="1" ht="30">
      <c r="A774" s="570" t="s">
        <v>1856</v>
      </c>
      <c r="B774" s="569" t="s">
        <v>1852</v>
      </c>
      <c r="C774" s="569" t="s">
        <v>287</v>
      </c>
      <c r="D774" s="580">
        <v>26</v>
      </c>
      <c r="E774" s="569" t="s">
        <v>1516</v>
      </c>
      <c r="F774" s="569" t="s">
        <v>1684</v>
      </c>
      <c r="G774" s="569" t="s">
        <v>271</v>
      </c>
      <c r="H774" s="569">
        <v>2019</v>
      </c>
      <c r="I774" s="569" t="s">
        <v>1838</v>
      </c>
      <c r="J774" s="569" t="s">
        <v>1699</v>
      </c>
      <c r="K774" s="569" t="s">
        <v>236</v>
      </c>
      <c r="L774" s="569">
        <v>2</v>
      </c>
      <c r="M774" s="569">
        <v>0</v>
      </c>
      <c r="N774" s="569" t="s">
        <v>157</v>
      </c>
      <c r="O774" s="569">
        <v>1</v>
      </c>
      <c r="P774" s="569" t="s">
        <v>157</v>
      </c>
      <c r="Q774" s="568" t="s">
        <v>157</v>
      </c>
      <c r="R774" s="569" t="s">
        <v>1687</v>
      </c>
      <c r="S774" s="569">
        <v>10</v>
      </c>
      <c r="T774" s="569" t="s">
        <v>1839</v>
      </c>
      <c r="U774" s="569" t="s">
        <v>1840</v>
      </c>
      <c r="V774" s="569">
        <v>176</v>
      </c>
      <c r="W774" s="569">
        <v>55</v>
      </c>
      <c r="X774" s="568">
        <v>14500</v>
      </c>
      <c r="Y774" s="569" t="s">
        <v>164</v>
      </c>
      <c r="Z774" s="581" t="s">
        <v>178</v>
      </c>
      <c r="AA774" s="581" t="s">
        <v>178</v>
      </c>
      <c r="AB774" s="585">
        <v>35785</v>
      </c>
      <c r="AC774" s="585" t="s">
        <v>164</v>
      </c>
      <c r="AD774" s="585">
        <v>28339</v>
      </c>
      <c r="AE774" s="587">
        <v>0.05</v>
      </c>
      <c r="AF774" s="661" t="str">
        <f t="shared" si="80"/>
        <v>2019-LVN-FRD-E450-004-26</v>
      </c>
      <c r="AG774" s="661" t="str">
        <f>IF(AND($Y774&gt;=32,(AI774="I"),(Y774&lt;&gt;"~"),(COUNTIF($AN$1:$AN774,$AN774)=1)),"TRUE","FALSE")</f>
        <v>FALSE</v>
      </c>
      <c r="AH774" s="661" t="str">
        <f>IF(AND($Y774&gt;=22, (AI774&lt;&gt;"I"),(Y774&lt;&gt;"~"),(COUNTIF($AN$1:$AN774,$AN774)=1)),"TRUE","FALSE")</f>
        <v>FALSE</v>
      </c>
      <c r="AI774" s="661" t="str">
        <f t="shared" si="82"/>
        <v>N/A</v>
      </c>
      <c r="AJ774" s="662" t="str">
        <f t="shared" si="83"/>
        <v>E450-004</v>
      </c>
      <c r="AK774" s="662" t="str">
        <f t="shared" si="84"/>
        <v>LVN</v>
      </c>
      <c r="AL774" s="662" t="str">
        <f t="shared" si="85"/>
        <v>FRD</v>
      </c>
      <c r="AM774" s="662" t="str">
        <f t="shared" si="81"/>
        <v>Econoline E450-DRW Cutaway Van Chassis-RWD-2-~-~-6.8L-10-E4F-782A-176-55-Unleaded-Unleaded</v>
      </c>
      <c r="AN774" s="662" t="str">
        <f t="shared" si="86"/>
        <v>2019-LVN-FRD-E450-004</v>
      </c>
    </row>
    <row r="775" spans="1:40" s="572" customFormat="1" ht="30">
      <c r="A775" s="570" t="s">
        <v>1857</v>
      </c>
      <c r="B775" s="573" t="s">
        <v>1846</v>
      </c>
      <c r="C775" s="573" t="s">
        <v>280</v>
      </c>
      <c r="D775" s="578">
        <v>27</v>
      </c>
      <c r="E775" s="573" t="s">
        <v>1516</v>
      </c>
      <c r="F775" s="573" t="s">
        <v>1684</v>
      </c>
      <c r="G775" s="573" t="s">
        <v>271</v>
      </c>
      <c r="H775" s="573">
        <v>2019</v>
      </c>
      <c r="I775" s="573" t="s">
        <v>1838</v>
      </c>
      <c r="J775" s="573" t="s">
        <v>1699</v>
      </c>
      <c r="K775" s="573" t="s">
        <v>236</v>
      </c>
      <c r="L775" s="573">
        <v>2</v>
      </c>
      <c r="M775" s="573">
        <v>0</v>
      </c>
      <c r="N775" s="573" t="s">
        <v>157</v>
      </c>
      <c r="O775" s="573">
        <v>1</v>
      </c>
      <c r="P775" s="573" t="s">
        <v>157</v>
      </c>
      <c r="Q775" s="571" t="s">
        <v>157</v>
      </c>
      <c r="R775" s="573" t="s">
        <v>1700</v>
      </c>
      <c r="S775" s="573">
        <v>8</v>
      </c>
      <c r="T775" s="573" t="s">
        <v>1839</v>
      </c>
      <c r="U775" s="573" t="s">
        <v>1840</v>
      </c>
      <c r="V775" s="573">
        <v>158</v>
      </c>
      <c r="W775" s="573">
        <v>55</v>
      </c>
      <c r="X775" s="571">
        <v>14000</v>
      </c>
      <c r="Y775" s="569" t="s">
        <v>164</v>
      </c>
      <c r="Z775" s="579" t="s">
        <v>450</v>
      </c>
      <c r="AA775" s="579" t="s">
        <v>178</v>
      </c>
      <c r="AB775" s="584">
        <v>34705</v>
      </c>
      <c r="AC775" s="584" t="s">
        <v>164</v>
      </c>
      <c r="AD775" s="584">
        <v>26980.568421052634</v>
      </c>
      <c r="AE775" s="586">
        <v>0.03</v>
      </c>
      <c r="AF775" s="661" t="str">
        <f t="shared" si="80"/>
        <v>2019-LVN-FRD-E450-001-27</v>
      </c>
      <c r="AG775" s="661" t="str">
        <f>IF(AND($Y775&gt;=32,(AI775="I"),(Y775&lt;&gt;"~"),(COUNTIF($AN$1:$AN775,$AN775)=1)),"TRUE","FALSE")</f>
        <v>FALSE</v>
      </c>
      <c r="AH775" s="661" t="str">
        <f>IF(AND($Y775&gt;=22, (AI775&lt;&gt;"I"),(Y775&lt;&gt;"~"),(COUNTIF($AN$1:$AN775,$AN775)=1)),"TRUE","FALSE")</f>
        <v>FALSE</v>
      </c>
      <c r="AI775" s="661" t="str">
        <f t="shared" si="82"/>
        <v>N/A</v>
      </c>
      <c r="AJ775" s="662" t="str">
        <f t="shared" si="83"/>
        <v>E450-001</v>
      </c>
      <c r="AK775" s="662" t="str">
        <f t="shared" si="84"/>
        <v>LVN</v>
      </c>
      <c r="AL775" s="662" t="str">
        <f t="shared" si="85"/>
        <v>FRD</v>
      </c>
      <c r="AM775" s="662" t="str">
        <f t="shared" si="81"/>
        <v>Econoline E450-DRW Cutaway Van Chassis-RWD-2-~-~-6.2L-8-E4F-782A-158-55-E85-Unleaded</v>
      </c>
      <c r="AN775" s="662" t="str">
        <f t="shared" si="86"/>
        <v>2019-LVN-FRD-E450-001</v>
      </c>
    </row>
    <row r="776" spans="1:40" s="572" customFormat="1" ht="30">
      <c r="A776" s="570" t="s">
        <v>1858</v>
      </c>
      <c r="B776" s="569" t="s">
        <v>1848</v>
      </c>
      <c r="C776" s="569" t="s">
        <v>280</v>
      </c>
      <c r="D776" s="580">
        <v>27</v>
      </c>
      <c r="E776" s="569" t="s">
        <v>1516</v>
      </c>
      <c r="F776" s="569" t="s">
        <v>1684</v>
      </c>
      <c r="G776" s="569" t="s">
        <v>271</v>
      </c>
      <c r="H776" s="569">
        <v>2019</v>
      </c>
      <c r="I776" s="569" t="s">
        <v>1838</v>
      </c>
      <c r="J776" s="569" t="s">
        <v>1699</v>
      </c>
      <c r="K776" s="569" t="s">
        <v>236</v>
      </c>
      <c r="L776" s="569">
        <v>2</v>
      </c>
      <c r="M776" s="569">
        <v>0</v>
      </c>
      <c r="N776" s="569" t="s">
        <v>157</v>
      </c>
      <c r="O776" s="569">
        <v>1</v>
      </c>
      <c r="P776" s="569" t="s">
        <v>157</v>
      </c>
      <c r="Q776" s="568" t="s">
        <v>157</v>
      </c>
      <c r="R776" s="569" t="s">
        <v>1700</v>
      </c>
      <c r="S776" s="569">
        <v>8</v>
      </c>
      <c r="T776" s="569" t="s">
        <v>1839</v>
      </c>
      <c r="U776" s="569" t="s">
        <v>1840</v>
      </c>
      <c r="V776" s="569">
        <v>176</v>
      </c>
      <c r="W776" s="569">
        <v>55</v>
      </c>
      <c r="X776" s="568">
        <v>14000</v>
      </c>
      <c r="Y776" s="569" t="s">
        <v>164</v>
      </c>
      <c r="Z776" s="581" t="s">
        <v>450</v>
      </c>
      <c r="AA776" s="581" t="s">
        <v>178</v>
      </c>
      <c r="AB776" s="585">
        <v>35435</v>
      </c>
      <c r="AC776" s="585" t="s">
        <v>164</v>
      </c>
      <c r="AD776" s="585">
        <v>27655.305263157898</v>
      </c>
      <c r="AE776" s="587">
        <v>0.03</v>
      </c>
      <c r="AF776" s="661" t="str">
        <f t="shared" ref="AF776:AF839" si="87">A776</f>
        <v>2019-LVN-FRD-E450-002-27</v>
      </c>
      <c r="AG776" s="661" t="str">
        <f>IF(AND($Y776&gt;=32,(AI776="I"),(Y776&lt;&gt;"~"),(COUNTIF($AN$1:$AN776,$AN776)=1)),"TRUE","FALSE")</f>
        <v>FALSE</v>
      </c>
      <c r="AH776" s="661" t="str">
        <f>IF(AND($Y776&gt;=22, (AI776&lt;&gt;"I"),(Y776&lt;&gt;"~"),(COUNTIF($AN$1:$AN776,$AN776)=1)),"TRUE","FALSE")</f>
        <v>FALSE</v>
      </c>
      <c r="AI776" s="661" t="str">
        <f t="shared" si="82"/>
        <v>N/A</v>
      </c>
      <c r="AJ776" s="662" t="str">
        <f t="shared" si="83"/>
        <v>E450-002</v>
      </c>
      <c r="AK776" s="662" t="str">
        <f t="shared" si="84"/>
        <v>LVN</v>
      </c>
      <c r="AL776" s="662" t="str">
        <f t="shared" si="85"/>
        <v>FRD</v>
      </c>
      <c r="AM776" s="662" t="str">
        <f t="shared" si="81"/>
        <v>Econoline E450-DRW Cutaway Van Chassis-RWD-2-~-~-6.2L-8-E4F-782A-176-55-E85-Unleaded</v>
      </c>
      <c r="AN776" s="662" t="str">
        <f t="shared" si="86"/>
        <v>2019-LVN-FRD-E450-002</v>
      </c>
    </row>
    <row r="777" spans="1:40" s="572" customFormat="1" ht="30">
      <c r="A777" s="570" t="s">
        <v>1859</v>
      </c>
      <c r="B777" s="573" t="s">
        <v>1850</v>
      </c>
      <c r="C777" s="573" t="s">
        <v>280</v>
      </c>
      <c r="D777" s="578">
        <v>27</v>
      </c>
      <c r="E777" s="573" t="s">
        <v>1516</v>
      </c>
      <c r="F777" s="573" t="s">
        <v>1684</v>
      </c>
      <c r="G777" s="573" t="s">
        <v>271</v>
      </c>
      <c r="H777" s="573">
        <v>2019</v>
      </c>
      <c r="I777" s="573" t="s">
        <v>1838</v>
      </c>
      <c r="J777" s="573" t="s">
        <v>1699</v>
      </c>
      <c r="K777" s="573" t="s">
        <v>236</v>
      </c>
      <c r="L777" s="573">
        <v>2</v>
      </c>
      <c r="M777" s="573">
        <v>0</v>
      </c>
      <c r="N777" s="573" t="s">
        <v>157</v>
      </c>
      <c r="O777" s="573">
        <v>1</v>
      </c>
      <c r="P777" s="573" t="s">
        <v>157</v>
      </c>
      <c r="Q777" s="571" t="s">
        <v>157</v>
      </c>
      <c r="R777" s="573" t="s">
        <v>1687</v>
      </c>
      <c r="S777" s="573">
        <v>10</v>
      </c>
      <c r="T777" s="573" t="s">
        <v>1839</v>
      </c>
      <c r="U777" s="573" t="s">
        <v>1840</v>
      </c>
      <c r="V777" s="573">
        <v>158</v>
      </c>
      <c r="W777" s="573">
        <v>55</v>
      </c>
      <c r="X777" s="571">
        <v>14500</v>
      </c>
      <c r="Y777" s="569" t="s">
        <v>164</v>
      </c>
      <c r="Z777" s="579" t="s">
        <v>178</v>
      </c>
      <c r="AA777" s="579" t="s">
        <v>178</v>
      </c>
      <c r="AB777" s="584">
        <v>35055</v>
      </c>
      <c r="AC777" s="584" t="s">
        <v>164</v>
      </c>
      <c r="AD777" s="584">
        <v>27294.252631578951</v>
      </c>
      <c r="AE777" s="586">
        <v>0.03</v>
      </c>
      <c r="AF777" s="661" t="str">
        <f t="shared" si="87"/>
        <v>2019-LVN-FRD-E450-003-27</v>
      </c>
      <c r="AG777" s="661" t="str">
        <f>IF(AND($Y777&gt;=32,(AI777="I"),(Y777&lt;&gt;"~"),(COUNTIF($AN$1:$AN777,$AN777)=1)),"TRUE","FALSE")</f>
        <v>FALSE</v>
      </c>
      <c r="AH777" s="661" t="str">
        <f>IF(AND($Y777&gt;=22, (AI777&lt;&gt;"I"),(Y777&lt;&gt;"~"),(COUNTIF($AN$1:$AN777,$AN777)=1)),"TRUE","FALSE")</f>
        <v>FALSE</v>
      </c>
      <c r="AI777" s="661" t="str">
        <f t="shared" si="82"/>
        <v>N/A</v>
      </c>
      <c r="AJ777" s="662" t="str">
        <f t="shared" si="83"/>
        <v>E450-003</v>
      </c>
      <c r="AK777" s="662" t="str">
        <f t="shared" si="84"/>
        <v>LVN</v>
      </c>
      <c r="AL777" s="662" t="str">
        <f t="shared" si="85"/>
        <v>FRD</v>
      </c>
      <c r="AM777" s="662" t="str">
        <f t="shared" si="81"/>
        <v>Econoline E450-DRW Cutaway Van Chassis-RWD-2-~-~-6.8L-10-E4F-782A-158-55-Unleaded-Unleaded</v>
      </c>
      <c r="AN777" s="662" t="str">
        <f t="shared" si="86"/>
        <v>2019-LVN-FRD-E450-003</v>
      </c>
    </row>
    <row r="778" spans="1:40" s="572" customFormat="1" ht="30">
      <c r="A778" s="570" t="s">
        <v>1860</v>
      </c>
      <c r="B778" s="569" t="s">
        <v>1852</v>
      </c>
      <c r="C778" s="569" t="s">
        <v>280</v>
      </c>
      <c r="D778" s="580">
        <v>27</v>
      </c>
      <c r="E778" s="569" t="s">
        <v>1516</v>
      </c>
      <c r="F778" s="569" t="s">
        <v>1684</v>
      </c>
      <c r="G778" s="569" t="s">
        <v>271</v>
      </c>
      <c r="H778" s="569">
        <v>2019</v>
      </c>
      <c r="I778" s="569" t="s">
        <v>1838</v>
      </c>
      <c r="J778" s="569" t="s">
        <v>1699</v>
      </c>
      <c r="K778" s="569" t="s">
        <v>236</v>
      </c>
      <c r="L778" s="569">
        <v>2</v>
      </c>
      <c r="M778" s="569">
        <v>0</v>
      </c>
      <c r="N778" s="569" t="s">
        <v>157</v>
      </c>
      <c r="O778" s="569">
        <v>1</v>
      </c>
      <c r="P778" s="569" t="s">
        <v>157</v>
      </c>
      <c r="Q778" s="568" t="s">
        <v>157</v>
      </c>
      <c r="R778" s="569" t="s">
        <v>1687</v>
      </c>
      <c r="S778" s="569">
        <v>10</v>
      </c>
      <c r="T778" s="569" t="s">
        <v>1839</v>
      </c>
      <c r="U778" s="569" t="s">
        <v>1840</v>
      </c>
      <c r="V778" s="569">
        <v>176</v>
      </c>
      <c r="W778" s="569">
        <v>55</v>
      </c>
      <c r="X778" s="568">
        <v>14500</v>
      </c>
      <c r="Y778" s="569" t="s">
        <v>164</v>
      </c>
      <c r="Z778" s="581" t="s">
        <v>178</v>
      </c>
      <c r="AA778" s="581" t="s">
        <v>178</v>
      </c>
      <c r="AB778" s="585">
        <v>35785</v>
      </c>
      <c r="AC778" s="585" t="s">
        <v>164</v>
      </c>
      <c r="AD778" s="585">
        <v>27968.989473684214</v>
      </c>
      <c r="AE778" s="587">
        <v>0.03</v>
      </c>
      <c r="AF778" s="661" t="str">
        <f t="shared" si="87"/>
        <v>2019-LVN-FRD-E450-004-27</v>
      </c>
      <c r="AG778" s="661" t="str">
        <f>IF(AND($Y778&gt;=32,(AI778="I"),(Y778&lt;&gt;"~"),(COUNTIF($AN$1:$AN778,$AN778)=1)),"TRUE","FALSE")</f>
        <v>FALSE</v>
      </c>
      <c r="AH778" s="661" t="str">
        <f>IF(AND($Y778&gt;=22, (AI778&lt;&gt;"I"),(Y778&lt;&gt;"~"),(COUNTIF($AN$1:$AN778,$AN778)=1)),"TRUE","FALSE")</f>
        <v>FALSE</v>
      </c>
      <c r="AI778" s="661" t="str">
        <f t="shared" si="82"/>
        <v>N/A</v>
      </c>
      <c r="AJ778" s="662" t="str">
        <f t="shared" si="83"/>
        <v>E450-004</v>
      </c>
      <c r="AK778" s="662" t="str">
        <f t="shared" si="84"/>
        <v>LVN</v>
      </c>
      <c r="AL778" s="662" t="str">
        <f t="shared" si="85"/>
        <v>FRD</v>
      </c>
      <c r="AM778" s="662" t="str">
        <f t="shared" si="81"/>
        <v>Econoline E450-DRW Cutaway Van Chassis-RWD-2-~-~-6.8L-10-E4F-782A-176-55-Unleaded-Unleaded</v>
      </c>
      <c r="AN778" s="662" t="str">
        <f t="shared" si="86"/>
        <v>2019-LVN-FRD-E450-004</v>
      </c>
    </row>
    <row r="779" spans="1:40" s="572" customFormat="1" ht="15">
      <c r="A779" s="570" t="s">
        <v>1861</v>
      </c>
      <c r="B779" s="573" t="s">
        <v>1862</v>
      </c>
      <c r="C779" s="573" t="s">
        <v>269</v>
      </c>
      <c r="D779" s="578" t="s">
        <v>270</v>
      </c>
      <c r="E779" s="573" t="s">
        <v>1516</v>
      </c>
      <c r="F779" s="573" t="s">
        <v>1684</v>
      </c>
      <c r="G779" s="573" t="s">
        <v>271</v>
      </c>
      <c r="H779" s="573">
        <v>2019</v>
      </c>
      <c r="I779" s="573" t="s">
        <v>1838</v>
      </c>
      <c r="J779" s="573" t="s">
        <v>1742</v>
      </c>
      <c r="K779" s="573" t="s">
        <v>236</v>
      </c>
      <c r="L779" s="573">
        <v>1</v>
      </c>
      <c r="M779" s="573">
        <v>0</v>
      </c>
      <c r="N779" s="573" t="s">
        <v>157</v>
      </c>
      <c r="O779" s="573">
        <v>1</v>
      </c>
      <c r="P779" s="573" t="s">
        <v>157</v>
      </c>
      <c r="Q779" s="571" t="s">
        <v>157</v>
      </c>
      <c r="R779" s="573" t="s">
        <v>1687</v>
      </c>
      <c r="S779" s="573">
        <v>10</v>
      </c>
      <c r="T779" s="573" t="s">
        <v>1863</v>
      </c>
      <c r="U779" s="573" t="s">
        <v>1864</v>
      </c>
      <c r="V779" s="573">
        <v>158</v>
      </c>
      <c r="W779" s="573">
        <v>55</v>
      </c>
      <c r="X779" s="571">
        <v>14500</v>
      </c>
      <c r="Y779" s="569" t="s">
        <v>164</v>
      </c>
      <c r="Z779" s="579" t="s">
        <v>178</v>
      </c>
      <c r="AA779" s="579" t="s">
        <v>178</v>
      </c>
      <c r="AB779" s="584">
        <v>31865</v>
      </c>
      <c r="AC779" s="584" t="s">
        <v>164</v>
      </c>
      <c r="AD779" s="584">
        <v>25400.568421052634</v>
      </c>
      <c r="AE779" s="586">
        <v>0.03</v>
      </c>
      <c r="AF779" s="661" t="str">
        <f t="shared" si="87"/>
        <v>2019-LVN-FRD-E450-005-05</v>
      </c>
      <c r="AG779" s="661" t="str">
        <f>IF(AND($Y779&gt;=32,(AI779="I"),(Y779&lt;&gt;"~"),(COUNTIF($AN$1:$AN779,$AN779)=1)),"TRUE","FALSE")</f>
        <v>FALSE</v>
      </c>
      <c r="AH779" s="661" t="str">
        <f>IF(AND($Y779&gt;=22, (AI779&lt;&gt;"I"),(Y779&lt;&gt;"~"),(COUNTIF($AN$1:$AN779,$AN779)=1)),"TRUE","FALSE")</f>
        <v>TRUE</v>
      </c>
      <c r="AI779" s="661" t="str">
        <f t="shared" si="82"/>
        <v>N/A</v>
      </c>
      <c r="AJ779" s="662" t="str">
        <f t="shared" si="83"/>
        <v>E450-005</v>
      </c>
      <c r="AK779" s="662" t="str">
        <f t="shared" si="84"/>
        <v>LVN</v>
      </c>
      <c r="AL779" s="662" t="str">
        <f t="shared" si="85"/>
        <v>FRD</v>
      </c>
      <c r="AM779" s="662" t="str">
        <f t="shared" si="81"/>
        <v>Econoline E450-DRW Stripped Chassis-RWD-1-~-~-6.8L-10-E4K-790A-158-55-Unleaded-Unleaded</v>
      </c>
      <c r="AN779" s="662" t="str">
        <f t="shared" si="86"/>
        <v>2019-LVN-FRD-E450-005</v>
      </c>
    </row>
    <row r="780" spans="1:40" s="572" customFormat="1" ht="15">
      <c r="A780" s="570" t="s">
        <v>1865</v>
      </c>
      <c r="B780" s="569" t="s">
        <v>1866</v>
      </c>
      <c r="C780" s="569" t="s">
        <v>269</v>
      </c>
      <c r="D780" s="580" t="s">
        <v>270</v>
      </c>
      <c r="E780" s="569" t="s">
        <v>1516</v>
      </c>
      <c r="F780" s="569" t="s">
        <v>1684</v>
      </c>
      <c r="G780" s="569" t="s">
        <v>271</v>
      </c>
      <c r="H780" s="569">
        <v>2019</v>
      </c>
      <c r="I780" s="569" t="s">
        <v>1838</v>
      </c>
      <c r="J780" s="569" t="s">
        <v>1742</v>
      </c>
      <c r="K780" s="569" t="s">
        <v>236</v>
      </c>
      <c r="L780" s="569">
        <v>1</v>
      </c>
      <c r="M780" s="569">
        <v>0</v>
      </c>
      <c r="N780" s="569" t="s">
        <v>157</v>
      </c>
      <c r="O780" s="569">
        <v>1</v>
      </c>
      <c r="P780" s="569" t="s">
        <v>157</v>
      </c>
      <c r="Q780" s="568" t="s">
        <v>157</v>
      </c>
      <c r="R780" s="569" t="s">
        <v>1687</v>
      </c>
      <c r="S780" s="569">
        <v>10</v>
      </c>
      <c r="T780" s="569" t="s">
        <v>1863</v>
      </c>
      <c r="U780" s="569" t="s">
        <v>1864</v>
      </c>
      <c r="V780" s="569">
        <v>176</v>
      </c>
      <c r="W780" s="569">
        <v>55</v>
      </c>
      <c r="X780" s="568">
        <v>14500</v>
      </c>
      <c r="Y780" s="569" t="s">
        <v>164</v>
      </c>
      <c r="Z780" s="581" t="s">
        <v>178</v>
      </c>
      <c r="AA780" s="581" t="s">
        <v>178</v>
      </c>
      <c r="AB780" s="585">
        <v>32365</v>
      </c>
      <c r="AC780" s="585" t="s">
        <v>164</v>
      </c>
      <c r="AD780" s="585">
        <v>25862.673684210527</v>
      </c>
      <c r="AE780" s="587">
        <v>0.03</v>
      </c>
      <c r="AF780" s="661" t="str">
        <f t="shared" si="87"/>
        <v>2019-LVN-FRD-E450-006-05</v>
      </c>
      <c r="AG780" s="661" t="str">
        <f>IF(AND($Y780&gt;=32,(AI780="I"),(Y780&lt;&gt;"~"),(COUNTIF($AN$1:$AN780,$AN780)=1)),"TRUE","FALSE")</f>
        <v>FALSE</v>
      </c>
      <c r="AH780" s="661" t="str">
        <f>IF(AND($Y780&gt;=22, (AI780&lt;&gt;"I"),(Y780&lt;&gt;"~"),(COUNTIF($AN$1:$AN780,$AN780)=1)),"TRUE","FALSE")</f>
        <v>TRUE</v>
      </c>
      <c r="AI780" s="661" t="str">
        <f t="shared" si="82"/>
        <v>N/A</v>
      </c>
      <c r="AJ780" s="662" t="str">
        <f t="shared" si="83"/>
        <v>E450-006</v>
      </c>
      <c r="AK780" s="662" t="str">
        <f t="shared" si="84"/>
        <v>LVN</v>
      </c>
      <c r="AL780" s="662" t="str">
        <f t="shared" si="85"/>
        <v>FRD</v>
      </c>
      <c r="AM780" s="662" t="str">
        <f t="shared" si="81"/>
        <v>Econoline E450-DRW Stripped Chassis-RWD-1-~-~-6.8L-10-E4K-790A-176-55-Unleaded-Unleaded</v>
      </c>
      <c r="AN780" s="662" t="str">
        <f t="shared" si="86"/>
        <v>2019-LVN-FRD-E450-006</v>
      </c>
    </row>
    <row r="781" spans="1:40" s="572" customFormat="1" ht="15">
      <c r="A781" s="570" t="s">
        <v>1867</v>
      </c>
      <c r="B781" s="573" t="s">
        <v>1862</v>
      </c>
      <c r="C781" s="573" t="s">
        <v>287</v>
      </c>
      <c r="D781" s="578">
        <v>26</v>
      </c>
      <c r="E781" s="573" t="s">
        <v>1516</v>
      </c>
      <c r="F781" s="573" t="s">
        <v>1684</v>
      </c>
      <c r="G781" s="573" t="s">
        <v>271</v>
      </c>
      <c r="H781" s="573">
        <v>2019</v>
      </c>
      <c r="I781" s="573" t="s">
        <v>1838</v>
      </c>
      <c r="J781" s="573" t="s">
        <v>1742</v>
      </c>
      <c r="K781" s="573" t="s">
        <v>236</v>
      </c>
      <c r="L781" s="573">
        <v>1</v>
      </c>
      <c r="M781" s="573">
        <v>0</v>
      </c>
      <c r="N781" s="573" t="s">
        <v>157</v>
      </c>
      <c r="O781" s="573">
        <v>1</v>
      </c>
      <c r="P781" s="573" t="s">
        <v>157</v>
      </c>
      <c r="Q781" s="571" t="s">
        <v>157</v>
      </c>
      <c r="R781" s="573" t="s">
        <v>1687</v>
      </c>
      <c r="S781" s="573">
        <v>10</v>
      </c>
      <c r="T781" s="573" t="s">
        <v>1863</v>
      </c>
      <c r="U781" s="573" t="s">
        <v>1864</v>
      </c>
      <c r="V781" s="573">
        <v>158</v>
      </c>
      <c r="W781" s="573">
        <v>55</v>
      </c>
      <c r="X781" s="571">
        <v>14500</v>
      </c>
      <c r="Y781" s="569" t="s">
        <v>164</v>
      </c>
      <c r="Z781" s="579" t="s">
        <v>178</v>
      </c>
      <c r="AA781" s="579" t="s">
        <v>178</v>
      </c>
      <c r="AB781" s="584">
        <v>31865</v>
      </c>
      <c r="AC781" s="584" t="s">
        <v>164</v>
      </c>
      <c r="AD781" s="584">
        <v>25744</v>
      </c>
      <c r="AE781" s="586">
        <v>0.05</v>
      </c>
      <c r="AF781" s="661" t="str">
        <f t="shared" si="87"/>
        <v>2019-LVN-FRD-E450-005-26</v>
      </c>
      <c r="AG781" s="661" t="str">
        <f>IF(AND($Y781&gt;=32,(AI781="I"),(Y781&lt;&gt;"~"),(COUNTIF($AN$1:$AN781,$AN781)=1)),"TRUE","FALSE")</f>
        <v>FALSE</v>
      </c>
      <c r="AH781" s="661" t="str">
        <f>IF(AND($Y781&gt;=22, (AI781&lt;&gt;"I"),(Y781&lt;&gt;"~"),(COUNTIF($AN$1:$AN781,$AN781)=1)),"TRUE","FALSE")</f>
        <v>FALSE</v>
      </c>
      <c r="AI781" s="661" t="str">
        <f t="shared" si="82"/>
        <v>N/A</v>
      </c>
      <c r="AJ781" s="662" t="str">
        <f t="shared" si="83"/>
        <v>E450-005</v>
      </c>
      <c r="AK781" s="662" t="str">
        <f t="shared" si="84"/>
        <v>LVN</v>
      </c>
      <c r="AL781" s="662" t="str">
        <f t="shared" si="85"/>
        <v>FRD</v>
      </c>
      <c r="AM781" s="662" t="str">
        <f t="shared" si="81"/>
        <v>Econoline E450-DRW Stripped Chassis-RWD-1-~-~-6.8L-10-E4K-790A-158-55-Unleaded-Unleaded</v>
      </c>
      <c r="AN781" s="662" t="str">
        <f t="shared" si="86"/>
        <v>2019-LVN-FRD-E450-005</v>
      </c>
    </row>
    <row r="782" spans="1:40" s="572" customFormat="1" ht="15">
      <c r="A782" s="570" t="s">
        <v>1868</v>
      </c>
      <c r="B782" s="569" t="s">
        <v>1866</v>
      </c>
      <c r="C782" s="569" t="s">
        <v>287</v>
      </c>
      <c r="D782" s="580">
        <v>26</v>
      </c>
      <c r="E782" s="569" t="s">
        <v>1516</v>
      </c>
      <c r="F782" s="569" t="s">
        <v>1684</v>
      </c>
      <c r="G782" s="569" t="s">
        <v>271</v>
      </c>
      <c r="H782" s="569">
        <v>2019</v>
      </c>
      <c r="I782" s="569" t="s">
        <v>1838</v>
      </c>
      <c r="J782" s="569" t="s">
        <v>1742</v>
      </c>
      <c r="K782" s="569" t="s">
        <v>236</v>
      </c>
      <c r="L782" s="569">
        <v>1</v>
      </c>
      <c r="M782" s="569">
        <v>0</v>
      </c>
      <c r="N782" s="569" t="s">
        <v>157</v>
      </c>
      <c r="O782" s="569">
        <v>1</v>
      </c>
      <c r="P782" s="569" t="s">
        <v>157</v>
      </c>
      <c r="Q782" s="568" t="s">
        <v>157</v>
      </c>
      <c r="R782" s="569" t="s">
        <v>1687</v>
      </c>
      <c r="S782" s="569">
        <v>10</v>
      </c>
      <c r="T782" s="569" t="s">
        <v>1863</v>
      </c>
      <c r="U782" s="569" t="s">
        <v>1864</v>
      </c>
      <c r="V782" s="569">
        <v>176</v>
      </c>
      <c r="W782" s="569">
        <v>55</v>
      </c>
      <c r="X782" s="568">
        <v>14500</v>
      </c>
      <c r="Y782" s="569" t="s">
        <v>164</v>
      </c>
      <c r="Z782" s="581" t="s">
        <v>178</v>
      </c>
      <c r="AA782" s="581" t="s">
        <v>178</v>
      </c>
      <c r="AB782" s="585">
        <v>32365</v>
      </c>
      <c r="AC782" s="585" t="s">
        <v>164</v>
      </c>
      <c r="AD782" s="585">
        <v>26211</v>
      </c>
      <c r="AE782" s="587">
        <v>0.05</v>
      </c>
      <c r="AF782" s="661" t="str">
        <f t="shared" si="87"/>
        <v>2019-LVN-FRD-E450-006-26</v>
      </c>
      <c r="AG782" s="661" t="str">
        <f>IF(AND($Y782&gt;=32,(AI782="I"),(Y782&lt;&gt;"~"),(COUNTIF($AN$1:$AN782,$AN782)=1)),"TRUE","FALSE")</f>
        <v>FALSE</v>
      </c>
      <c r="AH782" s="661" t="str">
        <f>IF(AND($Y782&gt;=22, (AI782&lt;&gt;"I"),(Y782&lt;&gt;"~"),(COUNTIF($AN$1:$AN782,$AN782)=1)),"TRUE","FALSE")</f>
        <v>FALSE</v>
      </c>
      <c r="AI782" s="661" t="str">
        <f t="shared" si="82"/>
        <v>N/A</v>
      </c>
      <c r="AJ782" s="662" t="str">
        <f t="shared" si="83"/>
        <v>E450-006</v>
      </c>
      <c r="AK782" s="662" t="str">
        <f t="shared" si="84"/>
        <v>LVN</v>
      </c>
      <c r="AL782" s="662" t="str">
        <f t="shared" si="85"/>
        <v>FRD</v>
      </c>
      <c r="AM782" s="662" t="str">
        <f t="shared" si="81"/>
        <v>Econoline E450-DRW Stripped Chassis-RWD-1-~-~-6.8L-10-E4K-790A-176-55-Unleaded-Unleaded</v>
      </c>
      <c r="AN782" s="662" t="str">
        <f t="shared" si="86"/>
        <v>2019-LVN-FRD-E450-006</v>
      </c>
    </row>
    <row r="783" spans="1:40" s="572" customFormat="1" ht="15">
      <c r="A783" s="570" t="s">
        <v>1869</v>
      </c>
      <c r="B783" s="573" t="s">
        <v>1862</v>
      </c>
      <c r="C783" s="573" t="s">
        <v>280</v>
      </c>
      <c r="D783" s="578">
        <v>27</v>
      </c>
      <c r="E783" s="573" t="s">
        <v>1516</v>
      </c>
      <c r="F783" s="573" t="s">
        <v>1684</v>
      </c>
      <c r="G783" s="573" t="s">
        <v>271</v>
      </c>
      <c r="H783" s="573">
        <v>2019</v>
      </c>
      <c r="I783" s="573" t="s">
        <v>1838</v>
      </c>
      <c r="J783" s="573" t="s">
        <v>1742</v>
      </c>
      <c r="K783" s="573" t="s">
        <v>236</v>
      </c>
      <c r="L783" s="573">
        <v>1</v>
      </c>
      <c r="M783" s="573">
        <v>0</v>
      </c>
      <c r="N783" s="573" t="s">
        <v>157</v>
      </c>
      <c r="O783" s="573">
        <v>1</v>
      </c>
      <c r="P783" s="573" t="s">
        <v>157</v>
      </c>
      <c r="Q783" s="571" t="s">
        <v>157</v>
      </c>
      <c r="R783" s="573" t="s">
        <v>1687</v>
      </c>
      <c r="S783" s="573">
        <v>10</v>
      </c>
      <c r="T783" s="573" t="s">
        <v>1863</v>
      </c>
      <c r="U783" s="573" t="s">
        <v>1864</v>
      </c>
      <c r="V783" s="573">
        <v>158</v>
      </c>
      <c r="W783" s="573">
        <v>55</v>
      </c>
      <c r="X783" s="571">
        <v>14500</v>
      </c>
      <c r="Y783" s="569" t="s">
        <v>164</v>
      </c>
      <c r="Z783" s="579" t="s">
        <v>178</v>
      </c>
      <c r="AA783" s="579" t="s">
        <v>178</v>
      </c>
      <c r="AB783" s="584">
        <v>31865</v>
      </c>
      <c r="AC783" s="584" t="s">
        <v>164</v>
      </c>
      <c r="AD783" s="584">
        <v>25400.568421052634</v>
      </c>
      <c r="AE783" s="586">
        <v>0.03</v>
      </c>
      <c r="AF783" s="661" t="str">
        <f t="shared" si="87"/>
        <v>2019-LVN-FRD-E450-005-27</v>
      </c>
      <c r="AG783" s="661" t="str">
        <f>IF(AND($Y783&gt;=32,(AI783="I"),(Y783&lt;&gt;"~"),(COUNTIF($AN$1:$AN783,$AN783)=1)),"TRUE","FALSE")</f>
        <v>FALSE</v>
      </c>
      <c r="AH783" s="661" t="str">
        <f>IF(AND($Y783&gt;=22, (AI783&lt;&gt;"I"),(Y783&lt;&gt;"~"),(COUNTIF($AN$1:$AN783,$AN783)=1)),"TRUE","FALSE")</f>
        <v>FALSE</v>
      </c>
      <c r="AI783" s="661" t="str">
        <f t="shared" si="82"/>
        <v>N/A</v>
      </c>
      <c r="AJ783" s="662" t="str">
        <f t="shared" si="83"/>
        <v>E450-005</v>
      </c>
      <c r="AK783" s="662" t="str">
        <f t="shared" si="84"/>
        <v>LVN</v>
      </c>
      <c r="AL783" s="662" t="str">
        <f t="shared" si="85"/>
        <v>FRD</v>
      </c>
      <c r="AM783" s="662" t="str">
        <f t="shared" si="81"/>
        <v>Econoline E450-DRW Stripped Chassis-RWD-1-~-~-6.8L-10-E4K-790A-158-55-Unleaded-Unleaded</v>
      </c>
      <c r="AN783" s="662" t="str">
        <f t="shared" si="86"/>
        <v>2019-LVN-FRD-E450-005</v>
      </c>
    </row>
    <row r="784" spans="1:40" s="572" customFormat="1" ht="15">
      <c r="A784" s="570" t="s">
        <v>1870</v>
      </c>
      <c r="B784" s="569" t="s">
        <v>1866</v>
      </c>
      <c r="C784" s="569" t="s">
        <v>280</v>
      </c>
      <c r="D784" s="580">
        <v>27</v>
      </c>
      <c r="E784" s="569" t="s">
        <v>1516</v>
      </c>
      <c r="F784" s="569" t="s">
        <v>1684</v>
      </c>
      <c r="G784" s="569" t="s">
        <v>271</v>
      </c>
      <c r="H784" s="569">
        <v>2019</v>
      </c>
      <c r="I784" s="569" t="s">
        <v>1838</v>
      </c>
      <c r="J784" s="569" t="s">
        <v>1742</v>
      </c>
      <c r="K784" s="569" t="s">
        <v>236</v>
      </c>
      <c r="L784" s="569">
        <v>1</v>
      </c>
      <c r="M784" s="569">
        <v>0</v>
      </c>
      <c r="N784" s="569" t="s">
        <v>157</v>
      </c>
      <c r="O784" s="569">
        <v>1</v>
      </c>
      <c r="P784" s="569" t="s">
        <v>157</v>
      </c>
      <c r="Q784" s="568" t="s">
        <v>157</v>
      </c>
      <c r="R784" s="569" t="s">
        <v>1687</v>
      </c>
      <c r="S784" s="569">
        <v>10</v>
      </c>
      <c r="T784" s="569" t="s">
        <v>1863</v>
      </c>
      <c r="U784" s="569" t="s">
        <v>1864</v>
      </c>
      <c r="V784" s="569">
        <v>176</v>
      </c>
      <c r="W784" s="569">
        <v>55</v>
      </c>
      <c r="X784" s="568">
        <v>14500</v>
      </c>
      <c r="Y784" s="569" t="s">
        <v>164</v>
      </c>
      <c r="Z784" s="581" t="s">
        <v>178</v>
      </c>
      <c r="AA784" s="581" t="s">
        <v>178</v>
      </c>
      <c r="AB784" s="585">
        <v>32365</v>
      </c>
      <c r="AC784" s="585" t="s">
        <v>164</v>
      </c>
      <c r="AD784" s="585">
        <v>25862.673684210527</v>
      </c>
      <c r="AE784" s="587">
        <v>0.03</v>
      </c>
      <c r="AF784" s="661" t="str">
        <f t="shared" si="87"/>
        <v>2019-LVN-FRD-E450-006-27</v>
      </c>
      <c r="AG784" s="661" t="str">
        <f>IF(AND($Y784&gt;=32,(AI784="I"),(Y784&lt;&gt;"~"),(COUNTIF($AN$1:$AN784,$AN784)=1)),"TRUE","FALSE")</f>
        <v>FALSE</v>
      </c>
      <c r="AH784" s="661" t="str">
        <f>IF(AND($Y784&gt;=22, (AI784&lt;&gt;"I"),(Y784&lt;&gt;"~"),(COUNTIF($AN$1:$AN784,$AN784)=1)),"TRUE","FALSE")</f>
        <v>FALSE</v>
      </c>
      <c r="AI784" s="661" t="str">
        <f t="shared" si="82"/>
        <v>N/A</v>
      </c>
      <c r="AJ784" s="662" t="str">
        <f t="shared" si="83"/>
        <v>E450-006</v>
      </c>
      <c r="AK784" s="662" t="str">
        <f t="shared" si="84"/>
        <v>LVN</v>
      </c>
      <c r="AL784" s="662" t="str">
        <f t="shared" si="85"/>
        <v>FRD</v>
      </c>
      <c r="AM784" s="662" t="str">
        <f t="shared" si="81"/>
        <v>Econoline E450-DRW Stripped Chassis-RWD-1-~-~-6.8L-10-E4K-790A-176-55-Unleaded-Unleaded</v>
      </c>
      <c r="AN784" s="662" t="str">
        <f t="shared" si="86"/>
        <v>2019-LVN-FRD-E450-006</v>
      </c>
    </row>
    <row r="785" spans="1:40" s="572" customFormat="1" ht="15">
      <c r="A785" s="570" t="s">
        <v>1871</v>
      </c>
      <c r="B785" s="573" t="s">
        <v>1872</v>
      </c>
      <c r="C785" s="573" t="s">
        <v>269</v>
      </c>
      <c r="D785" s="578" t="s">
        <v>270</v>
      </c>
      <c r="E785" s="573" t="s">
        <v>1516</v>
      </c>
      <c r="F785" s="573" t="s">
        <v>1684</v>
      </c>
      <c r="G785" s="573" t="s">
        <v>271</v>
      </c>
      <c r="H785" s="573">
        <v>2019</v>
      </c>
      <c r="I785" s="573" t="s">
        <v>1838</v>
      </c>
      <c r="J785" s="573" t="s">
        <v>1795</v>
      </c>
      <c r="K785" s="573" t="s">
        <v>236</v>
      </c>
      <c r="L785" s="573">
        <v>1</v>
      </c>
      <c r="M785" s="573">
        <v>0</v>
      </c>
      <c r="N785" s="573" t="s">
        <v>157</v>
      </c>
      <c r="O785" s="573">
        <v>1</v>
      </c>
      <c r="P785" s="573" t="s">
        <v>157</v>
      </c>
      <c r="Q785" s="571" t="s">
        <v>157</v>
      </c>
      <c r="R785" s="573" t="s">
        <v>1700</v>
      </c>
      <c r="S785" s="573">
        <v>8</v>
      </c>
      <c r="T785" s="573" t="s">
        <v>1863</v>
      </c>
      <c r="U785" s="573" t="s">
        <v>1864</v>
      </c>
      <c r="V785" s="573">
        <v>158</v>
      </c>
      <c r="W785" s="573">
        <v>55</v>
      </c>
      <c r="X785" s="571">
        <v>14000</v>
      </c>
      <c r="Y785" s="569" t="s">
        <v>164</v>
      </c>
      <c r="Z785" s="579" t="s">
        <v>450</v>
      </c>
      <c r="AA785" s="579" t="s">
        <v>178</v>
      </c>
      <c r="AB785" s="584">
        <v>31515</v>
      </c>
      <c r="AC785" s="584" t="s">
        <v>164</v>
      </c>
      <c r="AD785" s="584">
        <v>25086.884210526317</v>
      </c>
      <c r="AE785" s="586">
        <v>0.03</v>
      </c>
      <c r="AF785" s="661" t="str">
        <f t="shared" si="87"/>
        <v>2019-LVN-FRD-E450-009-05</v>
      </c>
      <c r="AG785" s="661" t="str">
        <f>IF(AND($Y785&gt;=32,(AI785="I"),(Y785&lt;&gt;"~"),(COUNTIF($AN$1:$AN785,$AN785)=1)),"TRUE","FALSE")</f>
        <v>FALSE</v>
      </c>
      <c r="AH785" s="661" t="str">
        <f>IF(AND($Y785&gt;=22, (AI785&lt;&gt;"I"),(Y785&lt;&gt;"~"),(COUNTIF($AN$1:$AN785,$AN785)=1)),"TRUE","FALSE")</f>
        <v>TRUE</v>
      </c>
      <c r="AI785" s="661" t="str">
        <f t="shared" si="82"/>
        <v>N/A</v>
      </c>
      <c r="AJ785" s="662" t="str">
        <f t="shared" si="83"/>
        <v>E450-009</v>
      </c>
      <c r="AK785" s="662" t="str">
        <f t="shared" si="84"/>
        <v>LVN</v>
      </c>
      <c r="AL785" s="662" t="str">
        <f t="shared" si="85"/>
        <v>FRD</v>
      </c>
      <c r="AM785" s="662" t="str">
        <f t="shared" si="81"/>
        <v>Econoline E450-Stripped Chassis-RWD-1-~-~-6.2L-8-E4K-790A-158-55-E85-Unleaded</v>
      </c>
      <c r="AN785" s="662" t="str">
        <f t="shared" si="86"/>
        <v>2019-LVN-FRD-E450-009</v>
      </c>
    </row>
    <row r="786" spans="1:40" s="572" customFormat="1" ht="15">
      <c r="A786" s="570" t="s">
        <v>1873</v>
      </c>
      <c r="B786" s="569" t="s">
        <v>1874</v>
      </c>
      <c r="C786" s="569" t="s">
        <v>269</v>
      </c>
      <c r="D786" s="580" t="s">
        <v>270</v>
      </c>
      <c r="E786" s="569" t="s">
        <v>1516</v>
      </c>
      <c r="F786" s="569" t="s">
        <v>1684</v>
      </c>
      <c r="G786" s="569" t="s">
        <v>271</v>
      </c>
      <c r="H786" s="569">
        <v>2019</v>
      </c>
      <c r="I786" s="569" t="s">
        <v>1838</v>
      </c>
      <c r="J786" s="569" t="s">
        <v>1795</v>
      </c>
      <c r="K786" s="569" t="s">
        <v>236</v>
      </c>
      <c r="L786" s="569">
        <v>1</v>
      </c>
      <c r="M786" s="569">
        <v>0</v>
      </c>
      <c r="N786" s="569" t="s">
        <v>157</v>
      </c>
      <c r="O786" s="569">
        <v>1</v>
      </c>
      <c r="P786" s="569" t="s">
        <v>157</v>
      </c>
      <c r="Q786" s="568" t="s">
        <v>157</v>
      </c>
      <c r="R786" s="569" t="s">
        <v>1700</v>
      </c>
      <c r="S786" s="569">
        <v>8</v>
      </c>
      <c r="T786" s="569" t="s">
        <v>1863</v>
      </c>
      <c r="U786" s="569" t="s">
        <v>1864</v>
      </c>
      <c r="V786" s="569">
        <v>176</v>
      </c>
      <c r="W786" s="569">
        <v>55</v>
      </c>
      <c r="X786" s="568">
        <v>14000</v>
      </c>
      <c r="Y786" s="569" t="s">
        <v>164</v>
      </c>
      <c r="Z786" s="581" t="s">
        <v>450</v>
      </c>
      <c r="AA786" s="581" t="s">
        <v>178</v>
      </c>
      <c r="AB786" s="585">
        <v>32015</v>
      </c>
      <c r="AC786" s="585" t="s">
        <v>164</v>
      </c>
      <c r="AD786" s="585">
        <v>25548.989473684214</v>
      </c>
      <c r="AE786" s="587">
        <v>0.03</v>
      </c>
      <c r="AF786" s="661" t="str">
        <f t="shared" si="87"/>
        <v>2019-LVN-FRD-E450-010-05</v>
      </c>
      <c r="AG786" s="661" t="str">
        <f>IF(AND($Y786&gt;=32,(AI786="I"),(Y786&lt;&gt;"~"),(COUNTIF($AN$1:$AN786,$AN786)=1)),"TRUE","FALSE")</f>
        <v>FALSE</v>
      </c>
      <c r="AH786" s="661" t="str">
        <f>IF(AND($Y786&gt;=22, (AI786&lt;&gt;"I"),(Y786&lt;&gt;"~"),(COUNTIF($AN$1:$AN786,$AN786)=1)),"TRUE","FALSE")</f>
        <v>TRUE</v>
      </c>
      <c r="AI786" s="661" t="str">
        <f t="shared" si="82"/>
        <v>N/A</v>
      </c>
      <c r="AJ786" s="662" t="str">
        <f t="shared" si="83"/>
        <v>E450-010</v>
      </c>
      <c r="AK786" s="662" t="str">
        <f t="shared" si="84"/>
        <v>LVN</v>
      </c>
      <c r="AL786" s="662" t="str">
        <f t="shared" si="85"/>
        <v>FRD</v>
      </c>
      <c r="AM786" s="662" t="str">
        <f t="shared" si="81"/>
        <v>Econoline E450-Stripped Chassis-RWD-1-~-~-6.2L-8-E4K-790A-176-55-E85-Unleaded</v>
      </c>
      <c r="AN786" s="662" t="str">
        <f t="shared" si="86"/>
        <v>2019-LVN-FRD-E450-010</v>
      </c>
    </row>
    <row r="787" spans="1:40" s="572" customFormat="1" ht="15">
      <c r="A787" s="570" t="s">
        <v>1875</v>
      </c>
      <c r="B787" s="573" t="s">
        <v>1876</v>
      </c>
      <c r="C787" s="573" t="s">
        <v>269</v>
      </c>
      <c r="D787" s="578" t="s">
        <v>270</v>
      </c>
      <c r="E787" s="573" t="s">
        <v>1516</v>
      </c>
      <c r="F787" s="573" t="s">
        <v>1684</v>
      </c>
      <c r="G787" s="573" t="s">
        <v>271</v>
      </c>
      <c r="H787" s="573">
        <v>2019</v>
      </c>
      <c r="I787" s="573" t="s">
        <v>1838</v>
      </c>
      <c r="J787" s="573" t="s">
        <v>1795</v>
      </c>
      <c r="K787" s="573" t="s">
        <v>236</v>
      </c>
      <c r="L787" s="573">
        <v>1</v>
      </c>
      <c r="M787" s="573">
        <v>0</v>
      </c>
      <c r="N787" s="573" t="s">
        <v>157</v>
      </c>
      <c r="O787" s="573">
        <v>1</v>
      </c>
      <c r="P787" s="573" t="s">
        <v>157</v>
      </c>
      <c r="Q787" s="571" t="s">
        <v>157</v>
      </c>
      <c r="R787" s="573" t="s">
        <v>1687</v>
      </c>
      <c r="S787" s="573">
        <v>10</v>
      </c>
      <c r="T787" s="573" t="s">
        <v>1863</v>
      </c>
      <c r="U787" s="573" t="s">
        <v>1864</v>
      </c>
      <c r="V787" s="573">
        <v>158</v>
      </c>
      <c r="W787" s="573">
        <v>55</v>
      </c>
      <c r="X787" s="571">
        <v>14500</v>
      </c>
      <c r="Y787" s="569" t="s">
        <v>164</v>
      </c>
      <c r="Z787" s="579" t="s">
        <v>178</v>
      </c>
      <c r="AA787" s="579" t="s">
        <v>178</v>
      </c>
      <c r="AB787" s="584">
        <v>31865</v>
      </c>
      <c r="AC787" s="584" t="s">
        <v>164</v>
      </c>
      <c r="AD787" s="584">
        <v>25400.568421052634</v>
      </c>
      <c r="AE787" s="586">
        <v>0.03</v>
      </c>
      <c r="AF787" s="661" t="str">
        <f t="shared" si="87"/>
        <v>2019-LVN-FRD-E450-011-05</v>
      </c>
      <c r="AG787" s="661" t="str">
        <f>IF(AND($Y787&gt;=32,(AI787="I"),(Y787&lt;&gt;"~"),(COUNTIF($AN$1:$AN787,$AN787)=1)),"TRUE","FALSE")</f>
        <v>FALSE</v>
      </c>
      <c r="AH787" s="661" t="str">
        <f>IF(AND($Y787&gt;=22, (AI787&lt;&gt;"I"),(Y787&lt;&gt;"~"),(COUNTIF($AN$1:$AN787,$AN787)=1)),"TRUE","FALSE")</f>
        <v>TRUE</v>
      </c>
      <c r="AI787" s="661" t="str">
        <f t="shared" si="82"/>
        <v>N/A</v>
      </c>
      <c r="AJ787" s="662" t="str">
        <f t="shared" si="83"/>
        <v>E450-011</v>
      </c>
      <c r="AK787" s="662" t="str">
        <f t="shared" si="84"/>
        <v>LVN</v>
      </c>
      <c r="AL787" s="662" t="str">
        <f t="shared" si="85"/>
        <v>FRD</v>
      </c>
      <c r="AM787" s="662" t="str">
        <f t="shared" si="81"/>
        <v>Econoline E450-Stripped Chassis-RWD-1-~-~-6.8L-10-E4K-790A-158-55-Unleaded-Unleaded</v>
      </c>
      <c r="AN787" s="662" t="str">
        <f t="shared" si="86"/>
        <v>2019-LVN-FRD-E450-011</v>
      </c>
    </row>
    <row r="788" spans="1:40" s="572" customFormat="1" ht="15">
      <c r="A788" s="570" t="s">
        <v>1877</v>
      </c>
      <c r="B788" s="569" t="s">
        <v>1878</v>
      </c>
      <c r="C788" s="569" t="s">
        <v>269</v>
      </c>
      <c r="D788" s="580" t="s">
        <v>270</v>
      </c>
      <c r="E788" s="569" t="s">
        <v>1516</v>
      </c>
      <c r="F788" s="569" t="s">
        <v>1684</v>
      </c>
      <c r="G788" s="569" t="s">
        <v>271</v>
      </c>
      <c r="H788" s="569">
        <v>2019</v>
      </c>
      <c r="I788" s="569" t="s">
        <v>1838</v>
      </c>
      <c r="J788" s="569" t="s">
        <v>1795</v>
      </c>
      <c r="K788" s="569" t="s">
        <v>236</v>
      </c>
      <c r="L788" s="569">
        <v>1</v>
      </c>
      <c r="M788" s="569">
        <v>0</v>
      </c>
      <c r="N788" s="569" t="s">
        <v>157</v>
      </c>
      <c r="O788" s="569">
        <v>1</v>
      </c>
      <c r="P788" s="569" t="s">
        <v>157</v>
      </c>
      <c r="Q788" s="568" t="s">
        <v>157</v>
      </c>
      <c r="R788" s="569" t="s">
        <v>1687</v>
      </c>
      <c r="S788" s="569">
        <v>10</v>
      </c>
      <c r="T788" s="569" t="s">
        <v>1863</v>
      </c>
      <c r="U788" s="569" t="s">
        <v>1864</v>
      </c>
      <c r="V788" s="569">
        <v>176</v>
      </c>
      <c r="W788" s="569">
        <v>55</v>
      </c>
      <c r="X788" s="568">
        <v>14500</v>
      </c>
      <c r="Y788" s="569" t="s">
        <v>164</v>
      </c>
      <c r="Z788" s="581" t="s">
        <v>178</v>
      </c>
      <c r="AA788" s="581" t="s">
        <v>178</v>
      </c>
      <c r="AB788" s="585">
        <v>32365</v>
      </c>
      <c r="AC788" s="585" t="s">
        <v>164</v>
      </c>
      <c r="AD788" s="585">
        <v>25862.673684210527</v>
      </c>
      <c r="AE788" s="587">
        <v>0.03</v>
      </c>
      <c r="AF788" s="661" t="str">
        <f t="shared" si="87"/>
        <v>2019-LVN-FRD-E450-012-05</v>
      </c>
      <c r="AG788" s="661" t="str">
        <f>IF(AND($Y788&gt;=32,(AI788="I"),(Y788&lt;&gt;"~"),(COUNTIF($AN$1:$AN788,$AN788)=1)),"TRUE","FALSE")</f>
        <v>FALSE</v>
      </c>
      <c r="AH788" s="661" t="str">
        <f>IF(AND($Y788&gt;=22, (AI788&lt;&gt;"I"),(Y788&lt;&gt;"~"),(COUNTIF($AN$1:$AN788,$AN788)=1)),"TRUE","FALSE")</f>
        <v>TRUE</v>
      </c>
      <c r="AI788" s="661" t="str">
        <f t="shared" si="82"/>
        <v>N/A</v>
      </c>
      <c r="AJ788" s="662" t="str">
        <f t="shared" si="83"/>
        <v>E450-012</v>
      </c>
      <c r="AK788" s="662" t="str">
        <f t="shared" si="84"/>
        <v>LVN</v>
      </c>
      <c r="AL788" s="662" t="str">
        <f t="shared" si="85"/>
        <v>FRD</v>
      </c>
      <c r="AM788" s="662" t="str">
        <f t="shared" si="81"/>
        <v>Econoline E450-Stripped Chassis-RWD-1-~-~-6.8L-10-E4K-790A-176-55-Unleaded-Unleaded</v>
      </c>
      <c r="AN788" s="662" t="str">
        <f t="shared" si="86"/>
        <v>2019-LVN-FRD-E450-012</v>
      </c>
    </row>
    <row r="789" spans="1:40" s="572" customFormat="1" ht="15">
      <c r="A789" s="570" t="s">
        <v>1879</v>
      </c>
      <c r="B789" s="573" t="s">
        <v>1872</v>
      </c>
      <c r="C789" s="573" t="s">
        <v>278</v>
      </c>
      <c r="D789" s="578">
        <v>15</v>
      </c>
      <c r="E789" s="573" t="s">
        <v>1516</v>
      </c>
      <c r="F789" s="573" t="s">
        <v>1684</v>
      </c>
      <c r="G789" s="573" t="s">
        <v>271</v>
      </c>
      <c r="H789" s="573">
        <v>2019</v>
      </c>
      <c r="I789" s="573" t="s">
        <v>1838</v>
      </c>
      <c r="J789" s="573" t="s">
        <v>1795</v>
      </c>
      <c r="K789" s="573" t="s">
        <v>236</v>
      </c>
      <c r="L789" s="573">
        <v>1</v>
      </c>
      <c r="M789" s="573">
        <v>0</v>
      </c>
      <c r="N789" s="573" t="s">
        <v>157</v>
      </c>
      <c r="O789" s="573">
        <v>1</v>
      </c>
      <c r="P789" s="573" t="s">
        <v>157</v>
      </c>
      <c r="Q789" s="571" t="s">
        <v>157</v>
      </c>
      <c r="R789" s="573" t="s">
        <v>1700</v>
      </c>
      <c r="S789" s="573">
        <v>8</v>
      </c>
      <c r="T789" s="573" t="s">
        <v>1863</v>
      </c>
      <c r="U789" s="573" t="s">
        <v>1864</v>
      </c>
      <c r="V789" s="573">
        <v>158</v>
      </c>
      <c r="W789" s="573">
        <v>55</v>
      </c>
      <c r="X789" s="571">
        <v>14000</v>
      </c>
      <c r="Y789" s="569" t="s">
        <v>164</v>
      </c>
      <c r="Z789" s="579" t="s">
        <v>450</v>
      </c>
      <c r="AA789" s="579" t="s">
        <v>178</v>
      </c>
      <c r="AB789" s="584">
        <v>31515</v>
      </c>
      <c r="AC789" s="584" t="s">
        <v>164</v>
      </c>
      <c r="AD789" s="584">
        <v>25150</v>
      </c>
      <c r="AE789" s="586">
        <v>0.01</v>
      </c>
      <c r="AF789" s="661" t="str">
        <f t="shared" si="87"/>
        <v>2019-LVN-FRD-E450-009-15</v>
      </c>
      <c r="AG789" s="661" t="str">
        <f>IF(AND($Y789&gt;=32,(AI789="I"),(Y789&lt;&gt;"~"),(COUNTIF($AN$1:$AN789,$AN789)=1)),"TRUE","FALSE")</f>
        <v>FALSE</v>
      </c>
      <c r="AH789" s="661" t="str">
        <f>IF(AND($Y789&gt;=22, (AI789&lt;&gt;"I"),(Y789&lt;&gt;"~"),(COUNTIF($AN$1:$AN789,$AN789)=1)),"TRUE","FALSE")</f>
        <v>FALSE</v>
      </c>
      <c r="AI789" s="661" t="str">
        <f t="shared" si="82"/>
        <v>N/A</v>
      </c>
      <c r="AJ789" s="662" t="str">
        <f t="shared" si="83"/>
        <v>E450-009</v>
      </c>
      <c r="AK789" s="662" t="str">
        <f t="shared" si="84"/>
        <v>LVN</v>
      </c>
      <c r="AL789" s="662" t="str">
        <f t="shared" si="85"/>
        <v>FRD</v>
      </c>
      <c r="AM789" s="662" t="str">
        <f t="shared" si="81"/>
        <v>Econoline E450-Stripped Chassis-RWD-1-~-~-6.2L-8-E4K-790A-158-55-E85-Unleaded</v>
      </c>
      <c r="AN789" s="662" t="str">
        <f t="shared" si="86"/>
        <v>2019-LVN-FRD-E450-009</v>
      </c>
    </row>
    <row r="790" spans="1:40" s="572" customFormat="1" ht="15">
      <c r="A790" s="570" t="s">
        <v>1880</v>
      </c>
      <c r="B790" s="569" t="s">
        <v>1874</v>
      </c>
      <c r="C790" s="569" t="s">
        <v>278</v>
      </c>
      <c r="D790" s="580">
        <v>15</v>
      </c>
      <c r="E790" s="569" t="s">
        <v>1516</v>
      </c>
      <c r="F790" s="569" t="s">
        <v>1684</v>
      </c>
      <c r="G790" s="569" t="s">
        <v>271</v>
      </c>
      <c r="H790" s="569">
        <v>2019</v>
      </c>
      <c r="I790" s="569" t="s">
        <v>1838</v>
      </c>
      <c r="J790" s="569" t="s">
        <v>1795</v>
      </c>
      <c r="K790" s="569" t="s">
        <v>236</v>
      </c>
      <c r="L790" s="569">
        <v>1</v>
      </c>
      <c r="M790" s="569">
        <v>0</v>
      </c>
      <c r="N790" s="569" t="s">
        <v>157</v>
      </c>
      <c r="O790" s="569">
        <v>1</v>
      </c>
      <c r="P790" s="569" t="s">
        <v>157</v>
      </c>
      <c r="Q790" s="568" t="s">
        <v>157</v>
      </c>
      <c r="R790" s="569" t="s">
        <v>1700</v>
      </c>
      <c r="S790" s="569">
        <v>8</v>
      </c>
      <c r="T790" s="569" t="s">
        <v>1863</v>
      </c>
      <c r="U790" s="569" t="s">
        <v>1864</v>
      </c>
      <c r="V790" s="569">
        <v>176</v>
      </c>
      <c r="W790" s="569">
        <v>55</v>
      </c>
      <c r="X790" s="568">
        <v>14000</v>
      </c>
      <c r="Y790" s="569" t="s">
        <v>164</v>
      </c>
      <c r="Z790" s="581" t="s">
        <v>450</v>
      </c>
      <c r="AA790" s="581" t="s">
        <v>178</v>
      </c>
      <c r="AB790" s="585">
        <v>32015</v>
      </c>
      <c r="AC790" s="585" t="s">
        <v>164</v>
      </c>
      <c r="AD790" s="585">
        <v>25650</v>
      </c>
      <c r="AE790" s="587">
        <v>0.01</v>
      </c>
      <c r="AF790" s="661" t="str">
        <f t="shared" si="87"/>
        <v>2019-LVN-FRD-E450-010-15</v>
      </c>
      <c r="AG790" s="661" t="str">
        <f>IF(AND($Y790&gt;=32,(AI790="I"),(Y790&lt;&gt;"~"),(COUNTIF($AN$1:$AN790,$AN790)=1)),"TRUE","FALSE")</f>
        <v>FALSE</v>
      </c>
      <c r="AH790" s="661" t="str">
        <f>IF(AND($Y790&gt;=22, (AI790&lt;&gt;"I"),(Y790&lt;&gt;"~"),(COUNTIF($AN$1:$AN790,$AN790)=1)),"TRUE","FALSE")</f>
        <v>FALSE</v>
      </c>
      <c r="AI790" s="661" t="str">
        <f t="shared" si="82"/>
        <v>N/A</v>
      </c>
      <c r="AJ790" s="662" t="str">
        <f t="shared" si="83"/>
        <v>E450-010</v>
      </c>
      <c r="AK790" s="662" t="str">
        <f t="shared" si="84"/>
        <v>LVN</v>
      </c>
      <c r="AL790" s="662" t="str">
        <f t="shared" si="85"/>
        <v>FRD</v>
      </c>
      <c r="AM790" s="662" t="str">
        <f t="shared" si="81"/>
        <v>Econoline E450-Stripped Chassis-RWD-1-~-~-6.2L-8-E4K-790A-176-55-E85-Unleaded</v>
      </c>
      <c r="AN790" s="662" t="str">
        <f t="shared" si="86"/>
        <v>2019-LVN-FRD-E450-010</v>
      </c>
    </row>
    <row r="791" spans="1:40" s="572" customFormat="1" ht="15">
      <c r="A791" s="570" t="s">
        <v>1881</v>
      </c>
      <c r="B791" s="573" t="s">
        <v>1876</v>
      </c>
      <c r="C791" s="573" t="s">
        <v>278</v>
      </c>
      <c r="D791" s="578">
        <v>15</v>
      </c>
      <c r="E791" s="573" t="s">
        <v>1516</v>
      </c>
      <c r="F791" s="573" t="s">
        <v>1684</v>
      </c>
      <c r="G791" s="573" t="s">
        <v>271</v>
      </c>
      <c r="H791" s="573">
        <v>2019</v>
      </c>
      <c r="I791" s="573" t="s">
        <v>1838</v>
      </c>
      <c r="J791" s="573" t="s">
        <v>1795</v>
      </c>
      <c r="K791" s="573" t="s">
        <v>236</v>
      </c>
      <c r="L791" s="573">
        <v>1</v>
      </c>
      <c r="M791" s="573">
        <v>0</v>
      </c>
      <c r="N791" s="573" t="s">
        <v>157</v>
      </c>
      <c r="O791" s="573">
        <v>1</v>
      </c>
      <c r="P791" s="573" t="s">
        <v>157</v>
      </c>
      <c r="Q791" s="571" t="s">
        <v>157</v>
      </c>
      <c r="R791" s="573" t="s">
        <v>1687</v>
      </c>
      <c r="S791" s="573">
        <v>10</v>
      </c>
      <c r="T791" s="573" t="s">
        <v>1863</v>
      </c>
      <c r="U791" s="573" t="s">
        <v>1864</v>
      </c>
      <c r="V791" s="573">
        <v>158</v>
      </c>
      <c r="W791" s="573">
        <v>55</v>
      </c>
      <c r="X791" s="571">
        <v>14500</v>
      </c>
      <c r="Y791" s="569" t="s">
        <v>164</v>
      </c>
      <c r="Z791" s="579" t="s">
        <v>178</v>
      </c>
      <c r="AA791" s="579" t="s">
        <v>178</v>
      </c>
      <c r="AB791" s="584">
        <v>31865</v>
      </c>
      <c r="AC791" s="584" t="s">
        <v>164</v>
      </c>
      <c r="AD791" s="584">
        <v>25500</v>
      </c>
      <c r="AE791" s="586">
        <v>0.01</v>
      </c>
      <c r="AF791" s="661" t="str">
        <f t="shared" si="87"/>
        <v>2019-LVN-FRD-E450-011-15</v>
      </c>
      <c r="AG791" s="661" t="str">
        <f>IF(AND($Y791&gt;=32,(AI791="I"),(Y791&lt;&gt;"~"),(COUNTIF($AN$1:$AN791,$AN791)=1)),"TRUE","FALSE")</f>
        <v>FALSE</v>
      </c>
      <c r="AH791" s="661" t="str">
        <f>IF(AND($Y791&gt;=22, (AI791&lt;&gt;"I"),(Y791&lt;&gt;"~"),(COUNTIF($AN$1:$AN791,$AN791)=1)),"TRUE","FALSE")</f>
        <v>FALSE</v>
      </c>
      <c r="AI791" s="661" t="str">
        <f t="shared" si="82"/>
        <v>N/A</v>
      </c>
      <c r="AJ791" s="662" t="str">
        <f t="shared" si="83"/>
        <v>E450-011</v>
      </c>
      <c r="AK791" s="662" t="str">
        <f t="shared" si="84"/>
        <v>LVN</v>
      </c>
      <c r="AL791" s="662" t="str">
        <f t="shared" si="85"/>
        <v>FRD</v>
      </c>
      <c r="AM791" s="662" t="str">
        <f t="shared" si="81"/>
        <v>Econoline E450-Stripped Chassis-RWD-1-~-~-6.8L-10-E4K-790A-158-55-Unleaded-Unleaded</v>
      </c>
      <c r="AN791" s="662" t="str">
        <f t="shared" si="86"/>
        <v>2019-LVN-FRD-E450-011</v>
      </c>
    </row>
    <row r="792" spans="1:40" s="572" customFormat="1" ht="15">
      <c r="A792" s="570" t="s">
        <v>1882</v>
      </c>
      <c r="B792" s="569" t="s">
        <v>1878</v>
      </c>
      <c r="C792" s="569" t="s">
        <v>278</v>
      </c>
      <c r="D792" s="580">
        <v>15</v>
      </c>
      <c r="E792" s="569" t="s">
        <v>1516</v>
      </c>
      <c r="F792" s="569" t="s">
        <v>1684</v>
      </c>
      <c r="G792" s="569" t="s">
        <v>271</v>
      </c>
      <c r="H792" s="569">
        <v>2019</v>
      </c>
      <c r="I792" s="569" t="s">
        <v>1838</v>
      </c>
      <c r="J792" s="569" t="s">
        <v>1795</v>
      </c>
      <c r="K792" s="569" t="s">
        <v>236</v>
      </c>
      <c r="L792" s="569">
        <v>1</v>
      </c>
      <c r="M792" s="569">
        <v>0</v>
      </c>
      <c r="N792" s="569" t="s">
        <v>157</v>
      </c>
      <c r="O792" s="569">
        <v>1</v>
      </c>
      <c r="P792" s="569" t="s">
        <v>157</v>
      </c>
      <c r="Q792" s="568" t="s">
        <v>157</v>
      </c>
      <c r="R792" s="569" t="s">
        <v>1687</v>
      </c>
      <c r="S792" s="569">
        <v>10</v>
      </c>
      <c r="T792" s="569" t="s">
        <v>1863</v>
      </c>
      <c r="U792" s="569" t="s">
        <v>1864</v>
      </c>
      <c r="V792" s="569">
        <v>176</v>
      </c>
      <c r="W792" s="569">
        <v>55</v>
      </c>
      <c r="X792" s="568">
        <v>14500</v>
      </c>
      <c r="Y792" s="569" t="s">
        <v>164</v>
      </c>
      <c r="Z792" s="581" t="s">
        <v>178</v>
      </c>
      <c r="AA792" s="581" t="s">
        <v>178</v>
      </c>
      <c r="AB792" s="585">
        <v>32365</v>
      </c>
      <c r="AC792" s="585" t="s">
        <v>164</v>
      </c>
      <c r="AD792" s="585">
        <v>25995</v>
      </c>
      <c r="AE792" s="587">
        <v>0.01</v>
      </c>
      <c r="AF792" s="661" t="str">
        <f t="shared" si="87"/>
        <v>2019-LVN-FRD-E450-012-15</v>
      </c>
      <c r="AG792" s="661" t="str">
        <f>IF(AND($Y792&gt;=32,(AI792="I"),(Y792&lt;&gt;"~"),(COUNTIF($AN$1:$AN792,$AN792)=1)),"TRUE","FALSE")</f>
        <v>FALSE</v>
      </c>
      <c r="AH792" s="661" t="str">
        <f>IF(AND($Y792&gt;=22, (AI792&lt;&gt;"I"),(Y792&lt;&gt;"~"),(COUNTIF($AN$1:$AN792,$AN792)=1)),"TRUE","FALSE")</f>
        <v>FALSE</v>
      </c>
      <c r="AI792" s="661" t="str">
        <f t="shared" si="82"/>
        <v>N/A</v>
      </c>
      <c r="AJ792" s="662" t="str">
        <f t="shared" si="83"/>
        <v>E450-012</v>
      </c>
      <c r="AK792" s="662" t="str">
        <f t="shared" si="84"/>
        <v>LVN</v>
      </c>
      <c r="AL792" s="662" t="str">
        <f t="shared" si="85"/>
        <v>FRD</v>
      </c>
      <c r="AM792" s="662" t="str">
        <f t="shared" si="81"/>
        <v>Econoline E450-Stripped Chassis-RWD-1-~-~-6.8L-10-E4K-790A-176-55-Unleaded-Unleaded</v>
      </c>
      <c r="AN792" s="662" t="str">
        <f t="shared" si="86"/>
        <v>2019-LVN-FRD-E450-012</v>
      </c>
    </row>
    <row r="793" spans="1:40" s="572" customFormat="1" ht="15">
      <c r="A793" s="570" t="s">
        <v>1883</v>
      </c>
      <c r="B793" s="573" t="s">
        <v>1872</v>
      </c>
      <c r="C793" s="573" t="s">
        <v>280</v>
      </c>
      <c r="D793" s="578">
        <v>27</v>
      </c>
      <c r="E793" s="573" t="s">
        <v>1516</v>
      </c>
      <c r="F793" s="573" t="s">
        <v>1684</v>
      </c>
      <c r="G793" s="573" t="s">
        <v>271</v>
      </c>
      <c r="H793" s="573">
        <v>2019</v>
      </c>
      <c r="I793" s="573" t="s">
        <v>1838</v>
      </c>
      <c r="J793" s="573" t="s">
        <v>1795</v>
      </c>
      <c r="K793" s="573" t="s">
        <v>236</v>
      </c>
      <c r="L793" s="573">
        <v>1</v>
      </c>
      <c r="M793" s="573">
        <v>0</v>
      </c>
      <c r="N793" s="573" t="s">
        <v>157</v>
      </c>
      <c r="O793" s="573">
        <v>1</v>
      </c>
      <c r="P793" s="573" t="s">
        <v>157</v>
      </c>
      <c r="Q793" s="571" t="s">
        <v>157</v>
      </c>
      <c r="R793" s="573" t="s">
        <v>1700</v>
      </c>
      <c r="S793" s="573">
        <v>8</v>
      </c>
      <c r="T793" s="573" t="s">
        <v>1863</v>
      </c>
      <c r="U793" s="573" t="s">
        <v>1864</v>
      </c>
      <c r="V793" s="573">
        <v>158</v>
      </c>
      <c r="W793" s="573">
        <v>55</v>
      </c>
      <c r="X793" s="571">
        <v>14000</v>
      </c>
      <c r="Y793" s="569" t="s">
        <v>164</v>
      </c>
      <c r="Z793" s="579" t="s">
        <v>450</v>
      </c>
      <c r="AA793" s="579" t="s">
        <v>178</v>
      </c>
      <c r="AB793" s="584">
        <v>31515</v>
      </c>
      <c r="AC793" s="584" t="s">
        <v>164</v>
      </c>
      <c r="AD793" s="584">
        <v>25086.884210526317</v>
      </c>
      <c r="AE793" s="586">
        <v>0.03</v>
      </c>
      <c r="AF793" s="661" t="str">
        <f t="shared" si="87"/>
        <v>2019-LVN-FRD-E450-009-27</v>
      </c>
      <c r="AG793" s="661" t="str">
        <f>IF(AND($Y793&gt;=32,(AI793="I"),(Y793&lt;&gt;"~"),(COUNTIF($AN$1:$AN793,$AN793)=1)),"TRUE","FALSE")</f>
        <v>FALSE</v>
      </c>
      <c r="AH793" s="661" t="str">
        <f>IF(AND($Y793&gt;=22, (AI793&lt;&gt;"I"),(Y793&lt;&gt;"~"),(COUNTIF($AN$1:$AN793,$AN793)=1)),"TRUE","FALSE")</f>
        <v>FALSE</v>
      </c>
      <c r="AI793" s="661" t="str">
        <f t="shared" si="82"/>
        <v>N/A</v>
      </c>
      <c r="AJ793" s="662" t="str">
        <f t="shared" si="83"/>
        <v>E450-009</v>
      </c>
      <c r="AK793" s="662" t="str">
        <f t="shared" si="84"/>
        <v>LVN</v>
      </c>
      <c r="AL793" s="662" t="str">
        <f t="shared" si="85"/>
        <v>FRD</v>
      </c>
      <c r="AM793" s="662" t="str">
        <f t="shared" si="81"/>
        <v>Econoline E450-Stripped Chassis-RWD-1-~-~-6.2L-8-E4K-790A-158-55-E85-Unleaded</v>
      </c>
      <c r="AN793" s="662" t="str">
        <f t="shared" si="86"/>
        <v>2019-LVN-FRD-E450-009</v>
      </c>
    </row>
    <row r="794" spans="1:40" s="572" customFormat="1" ht="15">
      <c r="A794" s="570" t="s">
        <v>1884</v>
      </c>
      <c r="B794" s="569" t="s">
        <v>1874</v>
      </c>
      <c r="C794" s="569" t="s">
        <v>280</v>
      </c>
      <c r="D794" s="580">
        <v>27</v>
      </c>
      <c r="E794" s="569" t="s">
        <v>1516</v>
      </c>
      <c r="F794" s="569" t="s">
        <v>1684</v>
      </c>
      <c r="G794" s="569" t="s">
        <v>271</v>
      </c>
      <c r="H794" s="569">
        <v>2019</v>
      </c>
      <c r="I794" s="569" t="s">
        <v>1838</v>
      </c>
      <c r="J794" s="569" t="s">
        <v>1795</v>
      </c>
      <c r="K794" s="569" t="s">
        <v>236</v>
      </c>
      <c r="L794" s="569">
        <v>1</v>
      </c>
      <c r="M794" s="569">
        <v>0</v>
      </c>
      <c r="N794" s="569" t="s">
        <v>157</v>
      </c>
      <c r="O794" s="569">
        <v>1</v>
      </c>
      <c r="P794" s="569" t="s">
        <v>157</v>
      </c>
      <c r="Q794" s="568" t="s">
        <v>157</v>
      </c>
      <c r="R794" s="569" t="s">
        <v>1700</v>
      </c>
      <c r="S794" s="569">
        <v>8</v>
      </c>
      <c r="T794" s="569" t="s">
        <v>1863</v>
      </c>
      <c r="U794" s="569" t="s">
        <v>1864</v>
      </c>
      <c r="V794" s="569">
        <v>176</v>
      </c>
      <c r="W794" s="569">
        <v>55</v>
      </c>
      <c r="X794" s="568">
        <v>14000</v>
      </c>
      <c r="Y794" s="569" t="s">
        <v>164</v>
      </c>
      <c r="Z794" s="581" t="s">
        <v>450</v>
      </c>
      <c r="AA794" s="581" t="s">
        <v>178</v>
      </c>
      <c r="AB794" s="585">
        <v>32015</v>
      </c>
      <c r="AC794" s="585" t="s">
        <v>164</v>
      </c>
      <c r="AD794" s="585">
        <v>25548.989473684214</v>
      </c>
      <c r="AE794" s="587">
        <v>0.03</v>
      </c>
      <c r="AF794" s="661" t="str">
        <f t="shared" si="87"/>
        <v>2019-LVN-FRD-E450-010-27</v>
      </c>
      <c r="AG794" s="661" t="str">
        <f>IF(AND($Y794&gt;=32,(AI794="I"),(Y794&lt;&gt;"~"),(COUNTIF($AN$1:$AN794,$AN794)=1)),"TRUE","FALSE")</f>
        <v>FALSE</v>
      </c>
      <c r="AH794" s="661" t="str">
        <f>IF(AND($Y794&gt;=22, (AI794&lt;&gt;"I"),(Y794&lt;&gt;"~"),(COUNTIF($AN$1:$AN794,$AN794)=1)),"TRUE","FALSE")</f>
        <v>FALSE</v>
      </c>
      <c r="AI794" s="661" t="str">
        <f t="shared" si="82"/>
        <v>N/A</v>
      </c>
      <c r="AJ794" s="662" t="str">
        <f t="shared" si="83"/>
        <v>E450-010</v>
      </c>
      <c r="AK794" s="662" t="str">
        <f t="shared" si="84"/>
        <v>LVN</v>
      </c>
      <c r="AL794" s="662" t="str">
        <f t="shared" si="85"/>
        <v>FRD</v>
      </c>
      <c r="AM794" s="662" t="str">
        <f t="shared" si="81"/>
        <v>Econoline E450-Stripped Chassis-RWD-1-~-~-6.2L-8-E4K-790A-176-55-E85-Unleaded</v>
      </c>
      <c r="AN794" s="662" t="str">
        <f t="shared" si="86"/>
        <v>2019-LVN-FRD-E450-010</v>
      </c>
    </row>
    <row r="795" spans="1:40" s="572" customFormat="1" ht="15">
      <c r="A795" s="570" t="s">
        <v>1885</v>
      </c>
      <c r="B795" s="573" t="s">
        <v>1876</v>
      </c>
      <c r="C795" s="573" t="s">
        <v>280</v>
      </c>
      <c r="D795" s="578">
        <v>27</v>
      </c>
      <c r="E795" s="573" t="s">
        <v>1516</v>
      </c>
      <c r="F795" s="573" t="s">
        <v>1684</v>
      </c>
      <c r="G795" s="573" t="s">
        <v>271</v>
      </c>
      <c r="H795" s="573">
        <v>2019</v>
      </c>
      <c r="I795" s="573" t="s">
        <v>1838</v>
      </c>
      <c r="J795" s="573" t="s">
        <v>1795</v>
      </c>
      <c r="K795" s="573" t="s">
        <v>236</v>
      </c>
      <c r="L795" s="573">
        <v>1</v>
      </c>
      <c r="M795" s="573">
        <v>0</v>
      </c>
      <c r="N795" s="573" t="s">
        <v>157</v>
      </c>
      <c r="O795" s="573">
        <v>1</v>
      </c>
      <c r="P795" s="573" t="s">
        <v>157</v>
      </c>
      <c r="Q795" s="571" t="s">
        <v>157</v>
      </c>
      <c r="R795" s="573" t="s">
        <v>1687</v>
      </c>
      <c r="S795" s="573">
        <v>10</v>
      </c>
      <c r="T795" s="573" t="s">
        <v>1863</v>
      </c>
      <c r="U795" s="573" t="s">
        <v>1864</v>
      </c>
      <c r="V795" s="573">
        <v>158</v>
      </c>
      <c r="W795" s="573">
        <v>55</v>
      </c>
      <c r="X795" s="571">
        <v>14500</v>
      </c>
      <c r="Y795" s="569" t="s">
        <v>164</v>
      </c>
      <c r="Z795" s="579" t="s">
        <v>178</v>
      </c>
      <c r="AA795" s="579" t="s">
        <v>178</v>
      </c>
      <c r="AB795" s="584">
        <v>31865</v>
      </c>
      <c r="AC795" s="584" t="s">
        <v>164</v>
      </c>
      <c r="AD795" s="584">
        <v>25400.568421052634</v>
      </c>
      <c r="AE795" s="586">
        <v>0.03</v>
      </c>
      <c r="AF795" s="661" t="str">
        <f t="shared" si="87"/>
        <v>2019-LVN-FRD-E450-011-27</v>
      </c>
      <c r="AG795" s="661" t="str">
        <f>IF(AND($Y795&gt;=32,(AI795="I"),(Y795&lt;&gt;"~"),(COUNTIF($AN$1:$AN795,$AN795)=1)),"TRUE","FALSE")</f>
        <v>FALSE</v>
      </c>
      <c r="AH795" s="661" t="str">
        <f>IF(AND($Y795&gt;=22, (AI795&lt;&gt;"I"),(Y795&lt;&gt;"~"),(COUNTIF($AN$1:$AN795,$AN795)=1)),"TRUE","FALSE")</f>
        <v>FALSE</v>
      </c>
      <c r="AI795" s="661" t="str">
        <f t="shared" si="82"/>
        <v>N/A</v>
      </c>
      <c r="AJ795" s="662" t="str">
        <f t="shared" si="83"/>
        <v>E450-011</v>
      </c>
      <c r="AK795" s="662" t="str">
        <f t="shared" si="84"/>
        <v>LVN</v>
      </c>
      <c r="AL795" s="662" t="str">
        <f t="shared" si="85"/>
        <v>FRD</v>
      </c>
      <c r="AM795" s="662" t="str">
        <f t="shared" ref="AM795:AM858" si="88">CONCATENATE(I795,"-",J795,"-",K795,"-",L795,"-",P795,"-",Q795,"-",R795,"-",S795,"-",T795,"-",U795,"-",V795,"-",W795,"-",Z795,"-",AA795)</f>
        <v>Econoline E450-Stripped Chassis-RWD-1-~-~-6.8L-10-E4K-790A-158-55-Unleaded-Unleaded</v>
      </c>
      <c r="AN795" s="662" t="str">
        <f t="shared" si="86"/>
        <v>2019-LVN-FRD-E450-011</v>
      </c>
    </row>
    <row r="796" spans="1:40" s="572" customFormat="1" ht="15">
      <c r="A796" s="570" t="s">
        <v>1886</v>
      </c>
      <c r="B796" s="569" t="s">
        <v>1878</v>
      </c>
      <c r="C796" s="569" t="s">
        <v>280</v>
      </c>
      <c r="D796" s="580">
        <v>27</v>
      </c>
      <c r="E796" s="569" t="s">
        <v>1516</v>
      </c>
      <c r="F796" s="569" t="s">
        <v>1684</v>
      </c>
      <c r="G796" s="569" t="s">
        <v>271</v>
      </c>
      <c r="H796" s="569">
        <v>2019</v>
      </c>
      <c r="I796" s="569" t="s">
        <v>1838</v>
      </c>
      <c r="J796" s="569" t="s">
        <v>1795</v>
      </c>
      <c r="K796" s="569" t="s">
        <v>236</v>
      </c>
      <c r="L796" s="569">
        <v>1</v>
      </c>
      <c r="M796" s="569">
        <v>0</v>
      </c>
      <c r="N796" s="569" t="s">
        <v>157</v>
      </c>
      <c r="O796" s="569">
        <v>1</v>
      </c>
      <c r="P796" s="569" t="s">
        <v>157</v>
      </c>
      <c r="Q796" s="568" t="s">
        <v>157</v>
      </c>
      <c r="R796" s="569" t="s">
        <v>1687</v>
      </c>
      <c r="S796" s="569">
        <v>10</v>
      </c>
      <c r="T796" s="569" t="s">
        <v>1863</v>
      </c>
      <c r="U796" s="569" t="s">
        <v>1864</v>
      </c>
      <c r="V796" s="569">
        <v>176</v>
      </c>
      <c r="W796" s="569">
        <v>55</v>
      </c>
      <c r="X796" s="568">
        <v>14500</v>
      </c>
      <c r="Y796" s="569" t="s">
        <v>164</v>
      </c>
      <c r="Z796" s="581" t="s">
        <v>178</v>
      </c>
      <c r="AA796" s="581" t="s">
        <v>178</v>
      </c>
      <c r="AB796" s="585">
        <v>32365</v>
      </c>
      <c r="AC796" s="585" t="s">
        <v>164</v>
      </c>
      <c r="AD796" s="585">
        <v>25862.673684210527</v>
      </c>
      <c r="AE796" s="587">
        <v>0.03</v>
      </c>
      <c r="AF796" s="661" t="str">
        <f t="shared" si="87"/>
        <v>2019-LVN-FRD-E450-012-27</v>
      </c>
      <c r="AG796" s="661" t="str">
        <f>IF(AND($Y796&gt;=32,(AI796="I"),(Y796&lt;&gt;"~"),(COUNTIF($AN$1:$AN796,$AN796)=1)),"TRUE","FALSE")</f>
        <v>FALSE</v>
      </c>
      <c r="AH796" s="661" t="str">
        <f>IF(AND($Y796&gt;=22, (AI796&lt;&gt;"I"),(Y796&lt;&gt;"~"),(COUNTIF($AN$1:$AN796,$AN796)=1)),"TRUE","FALSE")</f>
        <v>FALSE</v>
      </c>
      <c r="AI796" s="661" t="str">
        <f t="shared" ref="AI796:AI859" si="89">IF(OR((LEFT($E796,2)="01"),AND(LEFT($E796,2)="06",ISNUMBER(SEARCH("pas",$F796))),AND(LEFT($E796,2)="05",ISNUMBER(SEARCH("pas",$F796)))),"I",IF(AND((LEFT($E796,2)&lt;&gt;"01"),$X796&lt;=10000),"II",IF(AND((LEFT($E796,2)&lt;&gt;"01"),$X796&gt;10000),"N/A")))</f>
        <v>N/A</v>
      </c>
      <c r="AJ796" s="662" t="str">
        <f t="shared" si="83"/>
        <v>E450-012</v>
      </c>
      <c r="AK796" s="662" t="str">
        <f t="shared" si="84"/>
        <v>LVN</v>
      </c>
      <c r="AL796" s="662" t="str">
        <f t="shared" si="85"/>
        <v>FRD</v>
      </c>
      <c r="AM796" s="662" t="str">
        <f t="shared" si="88"/>
        <v>Econoline E450-Stripped Chassis-RWD-1-~-~-6.8L-10-E4K-790A-176-55-Unleaded-Unleaded</v>
      </c>
      <c r="AN796" s="662" t="str">
        <f t="shared" si="86"/>
        <v>2019-LVN-FRD-E450-012</v>
      </c>
    </row>
    <row r="797" spans="1:40" s="572" customFormat="1" ht="15">
      <c r="A797" s="570" t="s">
        <v>1887</v>
      </c>
      <c r="B797" s="573" t="s">
        <v>1888</v>
      </c>
      <c r="C797" s="573" t="s">
        <v>1889</v>
      </c>
      <c r="D797" s="578">
        <v>25</v>
      </c>
      <c r="E797" s="573" t="s">
        <v>1516</v>
      </c>
      <c r="F797" s="573" t="s">
        <v>1890</v>
      </c>
      <c r="G797" s="573" t="s">
        <v>271</v>
      </c>
      <c r="H797" s="573">
        <v>2019</v>
      </c>
      <c r="I797" s="573" t="s">
        <v>1891</v>
      </c>
      <c r="J797" s="573" t="s">
        <v>1201</v>
      </c>
      <c r="K797" s="573" t="s">
        <v>236</v>
      </c>
      <c r="L797" s="573">
        <v>13</v>
      </c>
      <c r="M797" s="573">
        <v>0</v>
      </c>
      <c r="N797" s="573" t="s">
        <v>164</v>
      </c>
      <c r="O797" s="573" t="s">
        <v>1892</v>
      </c>
      <c r="P797" s="573">
        <v>100.7</v>
      </c>
      <c r="Q797" s="571" t="s">
        <v>164</v>
      </c>
      <c r="R797" s="573" t="s">
        <v>682</v>
      </c>
      <c r="S797" s="573">
        <v>6</v>
      </c>
      <c r="T797" s="573" t="s">
        <v>1893</v>
      </c>
      <c r="U797" s="573" t="s">
        <v>1894</v>
      </c>
      <c r="V797" s="573">
        <v>148</v>
      </c>
      <c r="W797" s="573">
        <v>25</v>
      </c>
      <c r="X797" s="571">
        <v>8600</v>
      </c>
      <c r="Y797" s="573">
        <v>16</v>
      </c>
      <c r="Z797" s="579" t="s">
        <v>450</v>
      </c>
      <c r="AA797" s="579" t="s">
        <v>178</v>
      </c>
      <c r="AB797" s="584">
        <v>37675</v>
      </c>
      <c r="AC797" s="584">
        <v>50585</v>
      </c>
      <c r="AD797" s="584">
        <v>38049</v>
      </c>
      <c r="AE797" s="586">
        <v>0.05</v>
      </c>
      <c r="AF797" s="661" t="str">
        <f t="shared" si="87"/>
        <v>2019-LVN-FRD-T15V-031-25</v>
      </c>
      <c r="AG797" s="661" t="str">
        <f>IF(AND($Y797&gt;=32,(AI797="I"),(Y797&lt;&gt;"~"),(COUNTIF($AN$1:$AN797,$AN797)=1)),"TRUE","FALSE")</f>
        <v>FALSE</v>
      </c>
      <c r="AH797" s="661" t="str">
        <f>IF(AND($Y797&gt;=22, (AI797&lt;&gt;"I"),(Y797&lt;&gt;"~"),(COUNTIF($AN$1:$AN797,$AN797)=1)),"TRUE","FALSE")</f>
        <v>FALSE</v>
      </c>
      <c r="AI797" s="661" t="str">
        <f t="shared" si="89"/>
        <v>II</v>
      </c>
      <c r="AJ797" s="662" t="str">
        <f t="shared" si="83"/>
        <v>T15V-031</v>
      </c>
      <c r="AK797" s="662" t="str">
        <f t="shared" si="84"/>
        <v>LVN</v>
      </c>
      <c r="AL797" s="662" t="str">
        <f t="shared" si="85"/>
        <v>FRD</v>
      </c>
      <c r="AM797" s="662" t="str">
        <f t="shared" si="88"/>
        <v>Transit 150 MR Van-XL-RWD-13-100.7-N/A-3.7L-6-E2C-101A-148-25-E85-Unleaded</v>
      </c>
      <c r="AN797" s="662" t="str">
        <f t="shared" si="86"/>
        <v>2019-LVN-FRD-T15V-031</v>
      </c>
    </row>
    <row r="798" spans="1:40" s="572" customFormat="1" ht="15">
      <c r="A798" s="570" t="s">
        <v>1895</v>
      </c>
      <c r="B798" s="569" t="s">
        <v>1896</v>
      </c>
      <c r="C798" s="569" t="s">
        <v>1889</v>
      </c>
      <c r="D798" s="580">
        <v>25</v>
      </c>
      <c r="E798" s="569" t="s">
        <v>1516</v>
      </c>
      <c r="F798" s="569" t="s">
        <v>1897</v>
      </c>
      <c r="G798" s="569" t="s">
        <v>271</v>
      </c>
      <c r="H798" s="569">
        <v>2019</v>
      </c>
      <c r="I798" s="569" t="s">
        <v>1891</v>
      </c>
      <c r="J798" s="569" t="s">
        <v>1201</v>
      </c>
      <c r="K798" s="569" t="s">
        <v>236</v>
      </c>
      <c r="L798" s="569">
        <v>8</v>
      </c>
      <c r="M798" s="569">
        <v>2</v>
      </c>
      <c r="N798" s="569" t="s">
        <v>1898</v>
      </c>
      <c r="O798" s="569" t="s">
        <v>1899</v>
      </c>
      <c r="P798" s="569">
        <v>100.7</v>
      </c>
      <c r="Q798" s="568" t="s">
        <v>164</v>
      </c>
      <c r="R798" s="569" t="s">
        <v>682</v>
      </c>
      <c r="S798" s="569">
        <v>6</v>
      </c>
      <c r="T798" s="569" t="s">
        <v>1893</v>
      </c>
      <c r="U798" s="569" t="s">
        <v>1894</v>
      </c>
      <c r="V798" s="569">
        <v>148</v>
      </c>
      <c r="W798" s="569">
        <v>25</v>
      </c>
      <c r="X798" s="568">
        <v>8600</v>
      </c>
      <c r="Y798" s="573">
        <v>16</v>
      </c>
      <c r="Z798" s="581" t="s">
        <v>450</v>
      </c>
      <c r="AA798" s="581" t="s">
        <v>178</v>
      </c>
      <c r="AB798" s="585">
        <v>37675</v>
      </c>
      <c r="AC798" s="585">
        <v>55585</v>
      </c>
      <c r="AD798" s="585">
        <v>41451</v>
      </c>
      <c r="AE798" s="587">
        <v>0.05</v>
      </c>
      <c r="AF798" s="661" t="str">
        <f t="shared" si="87"/>
        <v>2019-LVN-FRD-T15V-032-25</v>
      </c>
      <c r="AG798" s="661" t="str">
        <f>IF(AND($Y798&gt;=32,(AI798="I"),(Y798&lt;&gt;"~"),(COUNTIF($AN$1:$AN798,$AN798)=1)),"TRUE","FALSE")</f>
        <v>FALSE</v>
      </c>
      <c r="AH798" s="661" t="str">
        <f>IF(AND($Y798&gt;=22, (AI798&lt;&gt;"I"),(Y798&lt;&gt;"~"),(COUNTIF($AN$1:$AN798,$AN798)=1)),"TRUE","FALSE")</f>
        <v>FALSE</v>
      </c>
      <c r="AI798" s="661" t="str">
        <f t="shared" si="89"/>
        <v>II</v>
      </c>
      <c r="AJ798" s="662" t="str">
        <f t="shared" si="83"/>
        <v>T15V-032</v>
      </c>
      <c r="AK798" s="662" t="str">
        <f t="shared" si="84"/>
        <v>LVN</v>
      </c>
      <c r="AL798" s="662" t="str">
        <f t="shared" si="85"/>
        <v>FRD</v>
      </c>
      <c r="AM798" s="662" t="str">
        <f t="shared" si="88"/>
        <v>Transit 150 MR Van-XL-RWD-8-100.7-N/A-3.7L-6-E2C-101A-148-25-E85-Unleaded</v>
      </c>
      <c r="AN798" s="662" t="str">
        <f t="shared" si="86"/>
        <v>2019-LVN-FRD-T15V-032</v>
      </c>
    </row>
    <row r="799" spans="1:40" s="572" customFormat="1" ht="15">
      <c r="A799" s="570" t="s">
        <v>1895</v>
      </c>
      <c r="B799" s="573" t="s">
        <v>1896</v>
      </c>
      <c r="C799" s="573" t="s">
        <v>1889</v>
      </c>
      <c r="D799" s="578">
        <v>25</v>
      </c>
      <c r="E799" s="573" t="s">
        <v>1516</v>
      </c>
      <c r="F799" s="573" t="s">
        <v>1897</v>
      </c>
      <c r="G799" s="573" t="s">
        <v>271</v>
      </c>
      <c r="H799" s="573">
        <v>2019</v>
      </c>
      <c r="I799" s="573" t="s">
        <v>1891</v>
      </c>
      <c r="J799" s="573" t="s">
        <v>1201</v>
      </c>
      <c r="K799" s="573" t="s">
        <v>236</v>
      </c>
      <c r="L799" s="573">
        <v>8</v>
      </c>
      <c r="M799" s="573">
        <v>2</v>
      </c>
      <c r="N799" s="573" t="s">
        <v>1900</v>
      </c>
      <c r="O799" s="573" t="s">
        <v>1901</v>
      </c>
      <c r="P799" s="573">
        <v>100.7</v>
      </c>
      <c r="Q799" s="571" t="s">
        <v>164</v>
      </c>
      <c r="R799" s="573" t="s">
        <v>682</v>
      </c>
      <c r="S799" s="573">
        <v>6</v>
      </c>
      <c r="T799" s="573" t="s">
        <v>1893</v>
      </c>
      <c r="U799" s="573" t="s">
        <v>1894</v>
      </c>
      <c r="V799" s="573">
        <v>148</v>
      </c>
      <c r="W799" s="573">
        <v>25</v>
      </c>
      <c r="X799" s="571">
        <v>8600</v>
      </c>
      <c r="Y799" s="573">
        <v>16</v>
      </c>
      <c r="Z799" s="579" t="s">
        <v>450</v>
      </c>
      <c r="AA799" s="579" t="s">
        <v>178</v>
      </c>
      <c r="AB799" s="584">
        <v>37675</v>
      </c>
      <c r="AC799" s="584">
        <v>55585</v>
      </c>
      <c r="AD799" s="584">
        <v>41451</v>
      </c>
      <c r="AE799" s="586">
        <v>0.05</v>
      </c>
      <c r="AF799" s="661" t="str">
        <f t="shared" si="87"/>
        <v>2019-LVN-FRD-T15V-032-25</v>
      </c>
      <c r="AG799" s="661" t="str">
        <f>IF(AND($Y799&gt;=32,(AI799="I"),(Y799&lt;&gt;"~"),(COUNTIF($AN$1:$AN799,$AN799)=1)),"TRUE","FALSE")</f>
        <v>FALSE</v>
      </c>
      <c r="AH799" s="661" t="str">
        <f>IF(AND($Y799&gt;=22, (AI799&lt;&gt;"I"),(Y799&lt;&gt;"~"),(COUNTIF($AN$1:$AN799,$AN799)=1)),"TRUE","FALSE")</f>
        <v>FALSE</v>
      </c>
      <c r="AI799" s="661" t="str">
        <f t="shared" si="89"/>
        <v>II</v>
      </c>
      <c r="AJ799" s="662" t="str">
        <f t="shared" si="83"/>
        <v>T15V-032</v>
      </c>
      <c r="AK799" s="662" t="str">
        <f t="shared" si="84"/>
        <v>LVN</v>
      </c>
      <c r="AL799" s="662" t="str">
        <f t="shared" si="85"/>
        <v>FRD</v>
      </c>
      <c r="AM799" s="662" t="str">
        <f t="shared" si="88"/>
        <v>Transit 150 MR Van-XL-RWD-8-100.7-N/A-3.7L-6-E2C-101A-148-25-E85-Unleaded</v>
      </c>
      <c r="AN799" s="662" t="str">
        <f t="shared" si="86"/>
        <v>2019-LVN-FRD-T15V-032</v>
      </c>
    </row>
    <row r="800" spans="1:40" s="572" customFormat="1" ht="15">
      <c r="A800" s="570" t="s">
        <v>1902</v>
      </c>
      <c r="B800" s="569" t="s">
        <v>1903</v>
      </c>
      <c r="C800" s="569" t="s">
        <v>1889</v>
      </c>
      <c r="D800" s="580">
        <v>25</v>
      </c>
      <c r="E800" s="569" t="s">
        <v>1516</v>
      </c>
      <c r="F800" s="569" t="s">
        <v>1897</v>
      </c>
      <c r="G800" s="569" t="s">
        <v>271</v>
      </c>
      <c r="H800" s="569">
        <v>2019</v>
      </c>
      <c r="I800" s="569" t="s">
        <v>1891</v>
      </c>
      <c r="J800" s="569" t="s">
        <v>1201</v>
      </c>
      <c r="K800" s="569" t="s">
        <v>236</v>
      </c>
      <c r="L800" s="569">
        <v>9</v>
      </c>
      <c r="M800" s="569">
        <v>3</v>
      </c>
      <c r="N800" s="569" t="s">
        <v>1900</v>
      </c>
      <c r="O800" s="569" t="s">
        <v>1904</v>
      </c>
      <c r="P800" s="569">
        <v>100.7</v>
      </c>
      <c r="Q800" s="568" t="s">
        <v>164</v>
      </c>
      <c r="R800" s="569" t="s">
        <v>682</v>
      </c>
      <c r="S800" s="569">
        <v>6</v>
      </c>
      <c r="T800" s="569" t="s">
        <v>1893</v>
      </c>
      <c r="U800" s="569" t="s">
        <v>1894</v>
      </c>
      <c r="V800" s="569">
        <v>148</v>
      </c>
      <c r="W800" s="569">
        <v>25</v>
      </c>
      <c r="X800" s="568">
        <v>8600</v>
      </c>
      <c r="Y800" s="573">
        <v>16</v>
      </c>
      <c r="Z800" s="581" t="s">
        <v>450</v>
      </c>
      <c r="AA800" s="581" t="s">
        <v>178</v>
      </c>
      <c r="AB800" s="585">
        <v>37675</v>
      </c>
      <c r="AC800" s="585">
        <v>59187</v>
      </c>
      <c r="AD800" s="585">
        <v>46651</v>
      </c>
      <c r="AE800" s="587">
        <v>0.05</v>
      </c>
      <c r="AF800" s="661" t="str">
        <f t="shared" si="87"/>
        <v>2019-LVN-FRD-T15V-033-25</v>
      </c>
      <c r="AG800" s="661" t="str">
        <f>IF(AND($Y800&gt;=32,(AI800="I"),(Y800&lt;&gt;"~"),(COUNTIF($AN$1:$AN800,$AN800)=1)),"TRUE","FALSE")</f>
        <v>FALSE</v>
      </c>
      <c r="AH800" s="661" t="str">
        <f>IF(AND($Y800&gt;=22, (AI800&lt;&gt;"I"),(Y800&lt;&gt;"~"),(COUNTIF($AN$1:$AN800,$AN800)=1)),"TRUE","FALSE")</f>
        <v>FALSE</v>
      </c>
      <c r="AI800" s="661" t="str">
        <f t="shared" si="89"/>
        <v>II</v>
      </c>
      <c r="AJ800" s="662" t="str">
        <f t="shared" si="83"/>
        <v>T15V-033</v>
      </c>
      <c r="AK800" s="662" t="str">
        <f t="shared" si="84"/>
        <v>LVN</v>
      </c>
      <c r="AL800" s="662" t="str">
        <f t="shared" si="85"/>
        <v>FRD</v>
      </c>
      <c r="AM800" s="662" t="str">
        <f t="shared" si="88"/>
        <v>Transit 150 MR Van-XL-RWD-9-100.7-N/A-3.7L-6-E2C-101A-148-25-E85-Unleaded</v>
      </c>
      <c r="AN800" s="662" t="str">
        <f t="shared" si="86"/>
        <v>2019-LVN-FRD-T15V-033</v>
      </c>
    </row>
    <row r="801" spans="1:40" s="572" customFormat="1" ht="15">
      <c r="A801" s="570" t="s">
        <v>1902</v>
      </c>
      <c r="B801" s="573" t="s">
        <v>1903</v>
      </c>
      <c r="C801" s="573" t="s">
        <v>1889</v>
      </c>
      <c r="D801" s="578">
        <v>25</v>
      </c>
      <c r="E801" s="573" t="s">
        <v>1516</v>
      </c>
      <c r="F801" s="573" t="s">
        <v>1897</v>
      </c>
      <c r="G801" s="573" t="s">
        <v>271</v>
      </c>
      <c r="H801" s="573">
        <v>2019</v>
      </c>
      <c r="I801" s="573" t="s">
        <v>1891</v>
      </c>
      <c r="J801" s="573" t="s">
        <v>1201</v>
      </c>
      <c r="K801" s="573" t="s">
        <v>236</v>
      </c>
      <c r="L801" s="573">
        <v>9</v>
      </c>
      <c r="M801" s="573">
        <v>3</v>
      </c>
      <c r="N801" s="573" t="s">
        <v>1900</v>
      </c>
      <c r="O801" s="573" t="s">
        <v>1905</v>
      </c>
      <c r="P801" s="573">
        <v>100.7</v>
      </c>
      <c r="Q801" s="571" t="s">
        <v>164</v>
      </c>
      <c r="R801" s="573" t="s">
        <v>682</v>
      </c>
      <c r="S801" s="573">
        <v>6</v>
      </c>
      <c r="T801" s="573" t="s">
        <v>1893</v>
      </c>
      <c r="U801" s="573" t="s">
        <v>1894</v>
      </c>
      <c r="V801" s="573">
        <v>148</v>
      </c>
      <c r="W801" s="573">
        <v>25</v>
      </c>
      <c r="X801" s="571">
        <v>8600</v>
      </c>
      <c r="Y801" s="573">
        <v>16</v>
      </c>
      <c r="Z801" s="579" t="s">
        <v>450</v>
      </c>
      <c r="AA801" s="579" t="s">
        <v>178</v>
      </c>
      <c r="AB801" s="584">
        <v>37675</v>
      </c>
      <c r="AC801" s="584">
        <v>57147</v>
      </c>
      <c r="AD801" s="584">
        <v>44611</v>
      </c>
      <c r="AE801" s="586">
        <v>0.05</v>
      </c>
      <c r="AF801" s="661" t="str">
        <f t="shared" si="87"/>
        <v>2019-LVN-FRD-T15V-033-25</v>
      </c>
      <c r="AG801" s="661" t="str">
        <f>IF(AND($Y801&gt;=32,(AI801="I"),(Y801&lt;&gt;"~"),(COUNTIF($AN$1:$AN801,$AN801)=1)),"TRUE","FALSE")</f>
        <v>FALSE</v>
      </c>
      <c r="AH801" s="661" t="str">
        <f>IF(AND($Y801&gt;=22, (AI801&lt;&gt;"I"),(Y801&lt;&gt;"~"),(COUNTIF($AN$1:$AN801,$AN801)=1)),"TRUE","FALSE")</f>
        <v>FALSE</v>
      </c>
      <c r="AI801" s="661" t="str">
        <f t="shared" si="89"/>
        <v>II</v>
      </c>
      <c r="AJ801" s="662" t="str">
        <f t="shared" si="83"/>
        <v>T15V-033</v>
      </c>
      <c r="AK801" s="662" t="str">
        <f t="shared" si="84"/>
        <v>LVN</v>
      </c>
      <c r="AL801" s="662" t="str">
        <f t="shared" si="85"/>
        <v>FRD</v>
      </c>
      <c r="AM801" s="662" t="str">
        <f t="shared" si="88"/>
        <v>Transit 150 MR Van-XL-RWD-9-100.7-N/A-3.7L-6-E2C-101A-148-25-E85-Unleaded</v>
      </c>
      <c r="AN801" s="662" t="str">
        <f t="shared" si="86"/>
        <v>2019-LVN-FRD-T15V-033</v>
      </c>
    </row>
    <row r="802" spans="1:40" s="572" customFormat="1" ht="30">
      <c r="A802" s="570" t="s">
        <v>1906</v>
      </c>
      <c r="B802" s="569" t="s">
        <v>1907</v>
      </c>
      <c r="C802" s="569" t="s">
        <v>1889</v>
      </c>
      <c r="D802" s="580">
        <v>25</v>
      </c>
      <c r="E802" s="569" t="s">
        <v>1516</v>
      </c>
      <c r="F802" s="569" t="s">
        <v>1890</v>
      </c>
      <c r="G802" s="569" t="s">
        <v>271</v>
      </c>
      <c r="H802" s="569">
        <v>2019</v>
      </c>
      <c r="I802" s="569" t="s">
        <v>1908</v>
      </c>
      <c r="J802" s="569" t="s">
        <v>1201</v>
      </c>
      <c r="K802" s="569" t="s">
        <v>236</v>
      </c>
      <c r="L802" s="569">
        <v>10</v>
      </c>
      <c r="M802" s="569">
        <v>0</v>
      </c>
      <c r="N802" s="569" t="s">
        <v>164</v>
      </c>
      <c r="O802" s="569" t="s">
        <v>1909</v>
      </c>
      <c r="P802" s="569">
        <v>100.7</v>
      </c>
      <c r="Q802" s="568" t="s">
        <v>164</v>
      </c>
      <c r="R802" s="569" t="s">
        <v>682</v>
      </c>
      <c r="S802" s="569">
        <v>6</v>
      </c>
      <c r="T802" s="569" t="s">
        <v>1910</v>
      </c>
      <c r="U802" s="569" t="s">
        <v>434</v>
      </c>
      <c r="V802" s="569">
        <v>130</v>
      </c>
      <c r="W802" s="569">
        <v>25</v>
      </c>
      <c r="X802" s="568">
        <v>8550</v>
      </c>
      <c r="Y802" s="573">
        <v>16</v>
      </c>
      <c r="Z802" s="581" t="s">
        <v>450</v>
      </c>
      <c r="AA802" s="581" t="s">
        <v>178</v>
      </c>
      <c r="AB802" s="585">
        <v>39015</v>
      </c>
      <c r="AC802" s="585">
        <v>52592</v>
      </c>
      <c r="AD802" s="585">
        <v>39851</v>
      </c>
      <c r="AE802" s="587">
        <v>0.05</v>
      </c>
      <c r="AF802" s="661" t="str">
        <f t="shared" si="87"/>
        <v>2019-LVN-FRD-T15W-035-25</v>
      </c>
      <c r="AG802" s="661" t="str">
        <f>IF(AND($Y802&gt;=32,(AI802="I"),(Y802&lt;&gt;"~"),(COUNTIF($AN$1:$AN802,$AN802)=1)),"TRUE","FALSE")</f>
        <v>FALSE</v>
      </c>
      <c r="AH802" s="661" t="str">
        <f>IF(AND($Y802&gt;=22, (AI802&lt;&gt;"I"),(Y802&lt;&gt;"~"),(COUNTIF($AN$1:$AN802,$AN802)=1)),"TRUE","FALSE")</f>
        <v>FALSE</v>
      </c>
      <c r="AI802" s="661" t="str">
        <f t="shared" si="89"/>
        <v>II</v>
      </c>
      <c r="AJ802" s="662" t="str">
        <f t="shared" si="83"/>
        <v>T15W-035</v>
      </c>
      <c r="AK802" s="662" t="str">
        <f t="shared" si="84"/>
        <v>LVN</v>
      </c>
      <c r="AL802" s="662" t="str">
        <f t="shared" si="85"/>
        <v>FRD</v>
      </c>
      <c r="AM802" s="662" t="str">
        <f t="shared" si="88"/>
        <v>Transit 150 MR Wagon-XL-RWD-10-100.7-N/A-3.7L-6-K1C-301A-130-25-E85-Unleaded</v>
      </c>
      <c r="AN802" s="662" t="str">
        <f t="shared" si="86"/>
        <v>2019-LVN-FRD-T15W-035</v>
      </c>
    </row>
    <row r="803" spans="1:40" s="572" customFormat="1" ht="30">
      <c r="A803" s="570" t="s">
        <v>1906</v>
      </c>
      <c r="B803" s="573" t="s">
        <v>1907</v>
      </c>
      <c r="C803" s="573" t="s">
        <v>1889</v>
      </c>
      <c r="D803" s="578">
        <v>25</v>
      </c>
      <c r="E803" s="573" t="s">
        <v>1516</v>
      </c>
      <c r="F803" s="573" t="s">
        <v>1890</v>
      </c>
      <c r="G803" s="573" t="s">
        <v>271</v>
      </c>
      <c r="H803" s="573">
        <v>2019</v>
      </c>
      <c r="I803" s="573" t="s">
        <v>1908</v>
      </c>
      <c r="J803" s="573" t="s">
        <v>1201</v>
      </c>
      <c r="K803" s="573" t="s">
        <v>236</v>
      </c>
      <c r="L803" s="573">
        <v>10</v>
      </c>
      <c r="M803" s="573">
        <v>0</v>
      </c>
      <c r="N803" s="573" t="s">
        <v>164</v>
      </c>
      <c r="O803" s="573" t="s">
        <v>1911</v>
      </c>
      <c r="P803" s="573">
        <v>100.7</v>
      </c>
      <c r="Q803" s="571" t="s">
        <v>164</v>
      </c>
      <c r="R803" s="573" t="s">
        <v>682</v>
      </c>
      <c r="S803" s="573">
        <v>6</v>
      </c>
      <c r="T803" s="573" t="s">
        <v>1910</v>
      </c>
      <c r="U803" s="573" t="s">
        <v>434</v>
      </c>
      <c r="V803" s="573">
        <v>130</v>
      </c>
      <c r="W803" s="573">
        <v>25</v>
      </c>
      <c r="X803" s="571">
        <v>8550</v>
      </c>
      <c r="Y803" s="573">
        <v>16</v>
      </c>
      <c r="Z803" s="579" t="s">
        <v>450</v>
      </c>
      <c r="AA803" s="579" t="s">
        <v>178</v>
      </c>
      <c r="AB803" s="584">
        <v>40455</v>
      </c>
      <c r="AC803" s="584">
        <v>48301</v>
      </c>
      <c r="AD803" s="584">
        <v>35436</v>
      </c>
      <c r="AE803" s="586">
        <v>0.05</v>
      </c>
      <c r="AF803" s="661" t="str">
        <f t="shared" si="87"/>
        <v>2019-LVN-FRD-T15W-035-25</v>
      </c>
      <c r="AG803" s="661" t="str">
        <f>IF(AND($Y803&gt;=32,(AI803="I"),(Y803&lt;&gt;"~"),(COUNTIF($AN$1:$AN803,$AN803)=1)),"TRUE","FALSE")</f>
        <v>FALSE</v>
      </c>
      <c r="AH803" s="661" t="str">
        <f>IF(AND($Y803&gt;=22, (AI803&lt;&gt;"I"),(Y803&lt;&gt;"~"),(COUNTIF($AN$1:$AN803,$AN803)=1)),"TRUE","FALSE")</f>
        <v>FALSE</v>
      </c>
      <c r="AI803" s="661" t="str">
        <f t="shared" si="89"/>
        <v>II</v>
      </c>
      <c r="AJ803" s="662" t="str">
        <f t="shared" si="83"/>
        <v>T15W-035</v>
      </c>
      <c r="AK803" s="662" t="str">
        <f t="shared" si="84"/>
        <v>LVN</v>
      </c>
      <c r="AL803" s="662" t="str">
        <f t="shared" si="85"/>
        <v>FRD</v>
      </c>
      <c r="AM803" s="662" t="str">
        <f t="shared" si="88"/>
        <v>Transit 150 MR Wagon-XL-RWD-10-100.7-N/A-3.7L-6-K1C-301A-130-25-E85-Unleaded</v>
      </c>
      <c r="AN803" s="662" t="str">
        <f t="shared" si="86"/>
        <v>2019-LVN-FRD-T15W-035</v>
      </c>
    </row>
    <row r="804" spans="1:40" s="572" customFormat="1" ht="15">
      <c r="A804" s="570" t="s">
        <v>1912</v>
      </c>
      <c r="B804" s="569" t="s">
        <v>1913</v>
      </c>
      <c r="C804" s="569" t="s">
        <v>269</v>
      </c>
      <c r="D804" s="580" t="s">
        <v>270</v>
      </c>
      <c r="E804" s="569" t="s">
        <v>1516</v>
      </c>
      <c r="F804" s="569" t="s">
        <v>1914</v>
      </c>
      <c r="G804" s="569" t="s">
        <v>271</v>
      </c>
      <c r="H804" s="569">
        <v>2019</v>
      </c>
      <c r="I804" s="569" t="s">
        <v>1915</v>
      </c>
      <c r="J804" s="569" t="s">
        <v>1916</v>
      </c>
      <c r="K804" s="569" t="s">
        <v>236</v>
      </c>
      <c r="L804" s="569">
        <v>2</v>
      </c>
      <c r="M804" s="569">
        <v>0</v>
      </c>
      <c r="N804" s="569" t="s">
        <v>157</v>
      </c>
      <c r="O804" s="569">
        <v>1</v>
      </c>
      <c r="P804" s="569">
        <v>100.7</v>
      </c>
      <c r="Q804" s="568" t="s">
        <v>157</v>
      </c>
      <c r="R804" s="569" t="s">
        <v>1917</v>
      </c>
      <c r="S804" s="569">
        <v>5</v>
      </c>
      <c r="T804" s="569" t="s">
        <v>1918</v>
      </c>
      <c r="U804" s="569" t="s">
        <v>1894</v>
      </c>
      <c r="V804" s="569">
        <v>147.6</v>
      </c>
      <c r="W804" s="569">
        <v>25</v>
      </c>
      <c r="X804" s="568">
        <v>8600</v>
      </c>
      <c r="Y804" s="573">
        <v>16</v>
      </c>
      <c r="Z804" s="581" t="s">
        <v>728</v>
      </c>
      <c r="AA804" s="581" t="s">
        <v>1523</v>
      </c>
      <c r="AB804" s="585">
        <v>41355</v>
      </c>
      <c r="AC804" s="585" t="s">
        <v>164</v>
      </c>
      <c r="AD804" s="585">
        <v>31540.875</v>
      </c>
      <c r="AE804" s="587">
        <v>0.03</v>
      </c>
      <c r="AF804" s="661" t="str">
        <f t="shared" si="87"/>
        <v>2019-LVN-FRD-T15V-001-05</v>
      </c>
      <c r="AG804" s="661" t="str">
        <f>IF(AND($Y804&gt;=32,(AI804="I"),(Y804&lt;&gt;"~"),(COUNTIF($AN$1:$AN804,$AN804)=1)),"TRUE","FALSE")</f>
        <v>FALSE</v>
      </c>
      <c r="AH804" s="661" t="str">
        <f>IF(AND($Y804&gt;=22, (AI804&lt;&gt;"I"),(Y804&lt;&gt;"~"),(COUNTIF($AN$1:$AN804,$AN804)=1)),"TRUE","FALSE")</f>
        <v>FALSE</v>
      </c>
      <c r="AI804" s="661" t="str">
        <f t="shared" si="89"/>
        <v>II</v>
      </c>
      <c r="AJ804" s="662" t="str">
        <f t="shared" si="83"/>
        <v>T15V-001</v>
      </c>
      <c r="AK804" s="662" t="str">
        <f t="shared" si="84"/>
        <v>LVN</v>
      </c>
      <c r="AL804" s="662" t="str">
        <f t="shared" si="85"/>
        <v>FRD</v>
      </c>
      <c r="AM804" s="662" t="str">
        <f t="shared" si="88"/>
        <v>Transit 150 Van-Dual Door-RWD-2-100.7-~-3.2L-5-E2D-101A-147.6-25-Diesel-BioDiesel</v>
      </c>
      <c r="AN804" s="662" t="str">
        <f t="shared" si="86"/>
        <v>2019-LVN-FRD-T15V-001</v>
      </c>
    </row>
    <row r="805" spans="1:40" s="572" customFormat="1" ht="15">
      <c r="A805" s="570" t="s">
        <v>1919</v>
      </c>
      <c r="B805" s="573" t="s">
        <v>1920</v>
      </c>
      <c r="C805" s="573" t="s">
        <v>269</v>
      </c>
      <c r="D805" s="578" t="s">
        <v>270</v>
      </c>
      <c r="E805" s="573" t="s">
        <v>1516</v>
      </c>
      <c r="F805" s="573" t="s">
        <v>1914</v>
      </c>
      <c r="G805" s="573" t="s">
        <v>271</v>
      </c>
      <c r="H805" s="573">
        <v>2019</v>
      </c>
      <c r="I805" s="573" t="s">
        <v>1915</v>
      </c>
      <c r="J805" s="573" t="s">
        <v>1916</v>
      </c>
      <c r="K805" s="573" t="s">
        <v>236</v>
      </c>
      <c r="L805" s="573">
        <v>2</v>
      </c>
      <c r="M805" s="573">
        <v>0</v>
      </c>
      <c r="N805" s="573" t="s">
        <v>157</v>
      </c>
      <c r="O805" s="573">
        <v>1</v>
      </c>
      <c r="P805" s="573">
        <v>100.7</v>
      </c>
      <c r="Q805" s="571" t="s">
        <v>157</v>
      </c>
      <c r="R805" s="573" t="s">
        <v>1259</v>
      </c>
      <c r="S805" s="573">
        <v>6</v>
      </c>
      <c r="T805" s="573" t="s">
        <v>1918</v>
      </c>
      <c r="U805" s="573" t="s">
        <v>1894</v>
      </c>
      <c r="V805" s="573">
        <v>147.6</v>
      </c>
      <c r="W805" s="573">
        <v>25</v>
      </c>
      <c r="X805" s="571">
        <v>8600</v>
      </c>
      <c r="Y805" s="573">
        <v>16</v>
      </c>
      <c r="Z805" s="579" t="s">
        <v>178</v>
      </c>
      <c r="AA805" s="579" t="s">
        <v>178</v>
      </c>
      <c r="AB805" s="584">
        <v>39225</v>
      </c>
      <c r="AC805" s="584" t="s">
        <v>164</v>
      </c>
      <c r="AD805" s="584">
        <v>29647.583333333336</v>
      </c>
      <c r="AE805" s="586">
        <v>0.03</v>
      </c>
      <c r="AF805" s="661" t="str">
        <f t="shared" si="87"/>
        <v>2019-LVN-FRD-T15V-002-05</v>
      </c>
      <c r="AG805" s="661" t="str">
        <f>IF(AND($Y805&gt;=32,(AI805="I"),(Y805&lt;&gt;"~"),(COUNTIF($AN$1:$AN805,$AN805)=1)),"TRUE","FALSE")</f>
        <v>FALSE</v>
      </c>
      <c r="AH805" s="661" t="str">
        <f>IF(AND($Y805&gt;=22, (AI805&lt;&gt;"I"),(Y805&lt;&gt;"~"),(COUNTIF($AN$1:$AN805,$AN805)=1)),"TRUE","FALSE")</f>
        <v>FALSE</v>
      </c>
      <c r="AI805" s="661" t="str">
        <f t="shared" si="89"/>
        <v>II</v>
      </c>
      <c r="AJ805" s="662" t="str">
        <f t="shared" si="83"/>
        <v>T15V-002</v>
      </c>
      <c r="AK805" s="662" t="str">
        <f t="shared" si="84"/>
        <v>LVN</v>
      </c>
      <c r="AL805" s="662" t="str">
        <f t="shared" si="85"/>
        <v>FRD</v>
      </c>
      <c r="AM805" s="662" t="str">
        <f t="shared" si="88"/>
        <v>Transit 150 Van-Dual Door-RWD-2-100.7-~-3.5L EcoBoost-6-E2D-101A-147.6-25-Unleaded-Unleaded</v>
      </c>
      <c r="AN805" s="662" t="str">
        <f t="shared" si="86"/>
        <v>2019-LVN-FRD-T15V-002</v>
      </c>
    </row>
    <row r="806" spans="1:40" s="572" customFormat="1" ht="15">
      <c r="A806" s="570" t="s">
        <v>1921</v>
      </c>
      <c r="B806" s="569" t="s">
        <v>1922</v>
      </c>
      <c r="C806" s="569" t="s">
        <v>269</v>
      </c>
      <c r="D806" s="580" t="s">
        <v>270</v>
      </c>
      <c r="E806" s="569" t="s">
        <v>1516</v>
      </c>
      <c r="F806" s="569" t="s">
        <v>1914</v>
      </c>
      <c r="G806" s="569" t="s">
        <v>271</v>
      </c>
      <c r="H806" s="569">
        <v>2019</v>
      </c>
      <c r="I806" s="569" t="s">
        <v>1915</v>
      </c>
      <c r="J806" s="569" t="s">
        <v>1916</v>
      </c>
      <c r="K806" s="569" t="s">
        <v>236</v>
      </c>
      <c r="L806" s="569">
        <v>2</v>
      </c>
      <c r="M806" s="569">
        <v>0</v>
      </c>
      <c r="N806" s="569" t="s">
        <v>157</v>
      </c>
      <c r="O806" s="569">
        <v>1</v>
      </c>
      <c r="P806" s="569">
        <v>100.7</v>
      </c>
      <c r="Q806" s="568" t="s">
        <v>157</v>
      </c>
      <c r="R806" s="569" t="s">
        <v>682</v>
      </c>
      <c r="S806" s="569">
        <v>6</v>
      </c>
      <c r="T806" s="569" t="s">
        <v>1918</v>
      </c>
      <c r="U806" s="569" t="s">
        <v>1894</v>
      </c>
      <c r="V806" s="569">
        <v>147.6</v>
      </c>
      <c r="W806" s="569">
        <v>25</v>
      </c>
      <c r="X806" s="568">
        <v>8600</v>
      </c>
      <c r="Y806" s="573">
        <v>16</v>
      </c>
      <c r="Z806" s="581" t="s">
        <v>178</v>
      </c>
      <c r="AA806" s="581" t="s">
        <v>178</v>
      </c>
      <c r="AB806" s="585">
        <v>37360</v>
      </c>
      <c r="AC806" s="585" t="s">
        <v>164</v>
      </c>
      <c r="AD806" s="585">
        <v>27992.375</v>
      </c>
      <c r="AE806" s="587">
        <v>0.03</v>
      </c>
      <c r="AF806" s="661" t="str">
        <f t="shared" si="87"/>
        <v>2019-LVN-FRD-T15V-003-05</v>
      </c>
      <c r="AG806" s="661" t="str">
        <f>IF(AND($Y806&gt;=32,(AI806="I"),(Y806&lt;&gt;"~"),(COUNTIF($AN$1:$AN806,$AN806)=1)),"TRUE","FALSE")</f>
        <v>FALSE</v>
      </c>
      <c r="AH806" s="661" t="str">
        <f>IF(AND($Y806&gt;=22, (AI806&lt;&gt;"I"),(Y806&lt;&gt;"~"),(COUNTIF($AN$1:$AN806,$AN806)=1)),"TRUE","FALSE")</f>
        <v>FALSE</v>
      </c>
      <c r="AI806" s="661" t="str">
        <f t="shared" si="89"/>
        <v>II</v>
      </c>
      <c r="AJ806" s="662" t="str">
        <f t="shared" si="83"/>
        <v>T15V-003</v>
      </c>
      <c r="AK806" s="662" t="str">
        <f t="shared" si="84"/>
        <v>LVN</v>
      </c>
      <c r="AL806" s="662" t="str">
        <f t="shared" si="85"/>
        <v>FRD</v>
      </c>
      <c r="AM806" s="662" t="str">
        <f t="shared" si="88"/>
        <v>Transit 150 Van-Dual Door-RWD-2-100.7-~-3.7L-6-E2D-101A-147.6-25-Unleaded-Unleaded</v>
      </c>
      <c r="AN806" s="662" t="str">
        <f t="shared" si="86"/>
        <v>2019-LVN-FRD-T15V-003</v>
      </c>
    </row>
    <row r="807" spans="1:40" s="572" customFormat="1" ht="15">
      <c r="A807" s="570" t="s">
        <v>1921</v>
      </c>
      <c r="B807" s="573" t="s">
        <v>1922</v>
      </c>
      <c r="C807" s="573" t="s">
        <v>269</v>
      </c>
      <c r="D807" s="578" t="s">
        <v>270</v>
      </c>
      <c r="E807" s="573" t="s">
        <v>1516</v>
      </c>
      <c r="F807" s="573" t="s">
        <v>1914</v>
      </c>
      <c r="G807" s="573" t="s">
        <v>271</v>
      </c>
      <c r="H807" s="573">
        <v>2019</v>
      </c>
      <c r="I807" s="573" t="s">
        <v>1915</v>
      </c>
      <c r="J807" s="573" t="s">
        <v>1916</v>
      </c>
      <c r="K807" s="573" t="s">
        <v>236</v>
      </c>
      <c r="L807" s="573">
        <v>2</v>
      </c>
      <c r="M807" s="573">
        <v>0</v>
      </c>
      <c r="N807" s="573" t="s">
        <v>157</v>
      </c>
      <c r="O807" s="573">
        <v>1</v>
      </c>
      <c r="P807" s="573">
        <v>100.7</v>
      </c>
      <c r="Q807" s="571" t="s">
        <v>157</v>
      </c>
      <c r="R807" s="573" t="s">
        <v>682</v>
      </c>
      <c r="S807" s="573">
        <v>6</v>
      </c>
      <c r="T807" s="573" t="s">
        <v>1918</v>
      </c>
      <c r="U807" s="573" t="s">
        <v>1894</v>
      </c>
      <c r="V807" s="573">
        <v>147.6</v>
      </c>
      <c r="W807" s="573">
        <v>25</v>
      </c>
      <c r="X807" s="571">
        <v>8600</v>
      </c>
      <c r="Y807" s="573">
        <v>16</v>
      </c>
      <c r="Z807" s="579" t="s">
        <v>178</v>
      </c>
      <c r="AA807" s="579" t="s">
        <v>178</v>
      </c>
      <c r="AB807" s="584">
        <v>37360</v>
      </c>
      <c r="AC807" s="584" t="s">
        <v>164</v>
      </c>
      <c r="AD807" s="584">
        <v>27991.333333333336</v>
      </c>
      <c r="AE807" s="586">
        <v>0.03</v>
      </c>
      <c r="AF807" s="661" t="str">
        <f t="shared" si="87"/>
        <v>2019-LVN-FRD-T15V-003-05</v>
      </c>
      <c r="AG807" s="661" t="str">
        <f>IF(AND($Y807&gt;=32,(AI807="I"),(Y807&lt;&gt;"~"),(COUNTIF($AN$1:$AN807,$AN807)=1)),"TRUE","FALSE")</f>
        <v>FALSE</v>
      </c>
      <c r="AH807" s="661" t="str">
        <f>IF(AND($Y807&gt;=22, (AI807&lt;&gt;"I"),(Y807&lt;&gt;"~"),(COUNTIF($AN$1:$AN807,$AN807)=1)),"TRUE","FALSE")</f>
        <v>FALSE</v>
      </c>
      <c r="AI807" s="661" t="str">
        <f t="shared" si="89"/>
        <v>II</v>
      </c>
      <c r="AJ807" s="662" t="str">
        <f t="shared" si="83"/>
        <v>T15V-003</v>
      </c>
      <c r="AK807" s="662" t="str">
        <f t="shared" si="84"/>
        <v>LVN</v>
      </c>
      <c r="AL807" s="662" t="str">
        <f t="shared" si="85"/>
        <v>FRD</v>
      </c>
      <c r="AM807" s="662" t="str">
        <f t="shared" si="88"/>
        <v>Transit 150 Van-Dual Door-RWD-2-100.7-~-3.7L-6-E2D-101A-147.6-25-Unleaded-Unleaded</v>
      </c>
      <c r="AN807" s="662" t="str">
        <f t="shared" si="86"/>
        <v>2019-LVN-FRD-T15V-003</v>
      </c>
    </row>
    <row r="808" spans="1:40" s="572" customFormat="1" ht="15">
      <c r="A808" s="570" t="s">
        <v>1923</v>
      </c>
      <c r="B808" s="569" t="s">
        <v>1924</v>
      </c>
      <c r="C808" s="569" t="s">
        <v>269</v>
      </c>
      <c r="D808" s="580" t="s">
        <v>270</v>
      </c>
      <c r="E808" s="569" t="s">
        <v>1516</v>
      </c>
      <c r="F808" s="569" t="s">
        <v>1914</v>
      </c>
      <c r="G808" s="569" t="s">
        <v>271</v>
      </c>
      <c r="H808" s="569">
        <v>2019</v>
      </c>
      <c r="I808" s="569" t="s">
        <v>1915</v>
      </c>
      <c r="J808" s="569" t="s">
        <v>1916</v>
      </c>
      <c r="K808" s="569" t="s">
        <v>236</v>
      </c>
      <c r="L808" s="569">
        <v>2</v>
      </c>
      <c r="M808" s="569">
        <v>0</v>
      </c>
      <c r="N808" s="569" t="s">
        <v>157</v>
      </c>
      <c r="O808" s="569">
        <v>1</v>
      </c>
      <c r="P808" s="569">
        <v>100.8</v>
      </c>
      <c r="Q808" s="568" t="s">
        <v>157</v>
      </c>
      <c r="R808" s="569" t="s">
        <v>1917</v>
      </c>
      <c r="S808" s="569">
        <v>5</v>
      </c>
      <c r="T808" s="569" t="s">
        <v>1925</v>
      </c>
      <c r="U808" s="569" t="s">
        <v>1894</v>
      </c>
      <c r="V808" s="569">
        <v>129.9</v>
      </c>
      <c r="W808" s="569">
        <v>25</v>
      </c>
      <c r="X808" s="568">
        <v>8600</v>
      </c>
      <c r="Y808" s="573">
        <v>16</v>
      </c>
      <c r="Z808" s="581" t="s">
        <v>728</v>
      </c>
      <c r="AA808" s="581" t="s">
        <v>1523</v>
      </c>
      <c r="AB808" s="585">
        <v>39630</v>
      </c>
      <c r="AC808" s="585" t="s">
        <v>164</v>
      </c>
      <c r="AD808" s="585">
        <v>29963.791666666664</v>
      </c>
      <c r="AE808" s="587">
        <v>0.03</v>
      </c>
      <c r="AF808" s="661" t="str">
        <f t="shared" si="87"/>
        <v>2019-LVN-FRD-T15V-004-05</v>
      </c>
      <c r="AG808" s="661" t="str">
        <f>IF(AND($Y808&gt;=32,(AI808="I"),(Y808&lt;&gt;"~"),(COUNTIF($AN$1:$AN808,$AN808)=1)),"TRUE","FALSE")</f>
        <v>FALSE</v>
      </c>
      <c r="AH808" s="661" t="str">
        <f>IF(AND($Y808&gt;=22, (AI808&lt;&gt;"I"),(Y808&lt;&gt;"~"),(COUNTIF($AN$1:$AN808,$AN808)=1)),"TRUE","FALSE")</f>
        <v>FALSE</v>
      </c>
      <c r="AI808" s="661" t="str">
        <f t="shared" si="89"/>
        <v>II</v>
      </c>
      <c r="AJ808" s="662" t="str">
        <f t="shared" si="83"/>
        <v>T15V-004</v>
      </c>
      <c r="AK808" s="662" t="str">
        <f t="shared" si="84"/>
        <v>LVN</v>
      </c>
      <c r="AL808" s="662" t="str">
        <f t="shared" si="85"/>
        <v>FRD</v>
      </c>
      <c r="AM808" s="662" t="str">
        <f t="shared" si="88"/>
        <v>Transit 150 Van-Dual Door-RWD-2-100.8-~-3.2L-5-E1D-101A-129.9-25-Diesel-BioDiesel</v>
      </c>
      <c r="AN808" s="662" t="str">
        <f t="shared" si="86"/>
        <v>2019-LVN-FRD-T15V-004</v>
      </c>
    </row>
    <row r="809" spans="1:40" s="572" customFormat="1" ht="15">
      <c r="A809" s="570" t="s">
        <v>1926</v>
      </c>
      <c r="B809" s="573" t="s">
        <v>1927</v>
      </c>
      <c r="C809" s="573" t="s">
        <v>269</v>
      </c>
      <c r="D809" s="578" t="s">
        <v>270</v>
      </c>
      <c r="E809" s="573" t="s">
        <v>1516</v>
      </c>
      <c r="F809" s="573" t="s">
        <v>1914</v>
      </c>
      <c r="G809" s="573" t="s">
        <v>271</v>
      </c>
      <c r="H809" s="573">
        <v>2019</v>
      </c>
      <c r="I809" s="573" t="s">
        <v>1915</v>
      </c>
      <c r="J809" s="573" t="s">
        <v>1916</v>
      </c>
      <c r="K809" s="573" t="s">
        <v>236</v>
      </c>
      <c r="L809" s="573">
        <v>2</v>
      </c>
      <c r="M809" s="573">
        <v>0</v>
      </c>
      <c r="N809" s="573" t="s">
        <v>157</v>
      </c>
      <c r="O809" s="573">
        <v>1</v>
      </c>
      <c r="P809" s="573">
        <v>100.8</v>
      </c>
      <c r="Q809" s="571" t="s">
        <v>157</v>
      </c>
      <c r="R809" s="573" t="s">
        <v>1259</v>
      </c>
      <c r="S809" s="573">
        <v>6</v>
      </c>
      <c r="T809" s="573" t="s">
        <v>1925</v>
      </c>
      <c r="U809" s="573" t="s">
        <v>1894</v>
      </c>
      <c r="V809" s="573">
        <v>129.9</v>
      </c>
      <c r="W809" s="573">
        <v>25</v>
      </c>
      <c r="X809" s="571">
        <v>8600</v>
      </c>
      <c r="Y809" s="573">
        <v>16</v>
      </c>
      <c r="Z809" s="579" t="s">
        <v>178</v>
      </c>
      <c r="AA809" s="579" t="s">
        <v>178</v>
      </c>
      <c r="AB809" s="584">
        <v>37500</v>
      </c>
      <c r="AC809" s="584" t="s">
        <v>164</v>
      </c>
      <c r="AD809" s="584">
        <v>28070.5</v>
      </c>
      <c r="AE809" s="586">
        <v>0.03</v>
      </c>
      <c r="AF809" s="661" t="str">
        <f t="shared" si="87"/>
        <v>2019-LVN-FRD-T15V-005-05</v>
      </c>
      <c r="AG809" s="661" t="str">
        <f>IF(AND($Y809&gt;=32,(AI809="I"),(Y809&lt;&gt;"~"),(COUNTIF($AN$1:$AN809,$AN809)=1)),"TRUE","FALSE")</f>
        <v>FALSE</v>
      </c>
      <c r="AH809" s="661" t="str">
        <f>IF(AND($Y809&gt;=22, (AI809&lt;&gt;"I"),(Y809&lt;&gt;"~"),(COUNTIF($AN$1:$AN809,$AN809)=1)),"TRUE","FALSE")</f>
        <v>FALSE</v>
      </c>
      <c r="AI809" s="661" t="str">
        <f t="shared" si="89"/>
        <v>II</v>
      </c>
      <c r="AJ809" s="662" t="str">
        <f t="shared" si="83"/>
        <v>T15V-005</v>
      </c>
      <c r="AK809" s="662" t="str">
        <f t="shared" si="84"/>
        <v>LVN</v>
      </c>
      <c r="AL809" s="662" t="str">
        <f t="shared" si="85"/>
        <v>FRD</v>
      </c>
      <c r="AM809" s="662" t="str">
        <f t="shared" si="88"/>
        <v>Transit 150 Van-Dual Door-RWD-2-100.8-~-3.5L EcoBoost-6-E1D-101A-129.9-25-Unleaded-Unleaded</v>
      </c>
      <c r="AN809" s="662" t="str">
        <f t="shared" si="86"/>
        <v>2019-LVN-FRD-T15V-005</v>
      </c>
    </row>
    <row r="810" spans="1:40" s="572" customFormat="1" ht="15">
      <c r="A810" s="570" t="s">
        <v>1928</v>
      </c>
      <c r="B810" s="569" t="s">
        <v>1929</v>
      </c>
      <c r="C810" s="569" t="s">
        <v>269</v>
      </c>
      <c r="D810" s="580" t="s">
        <v>270</v>
      </c>
      <c r="E810" s="569" t="s">
        <v>1516</v>
      </c>
      <c r="F810" s="569" t="s">
        <v>1914</v>
      </c>
      <c r="G810" s="569" t="s">
        <v>271</v>
      </c>
      <c r="H810" s="569">
        <v>2019</v>
      </c>
      <c r="I810" s="569" t="s">
        <v>1915</v>
      </c>
      <c r="J810" s="569" t="s">
        <v>1916</v>
      </c>
      <c r="K810" s="569" t="s">
        <v>236</v>
      </c>
      <c r="L810" s="569">
        <v>2</v>
      </c>
      <c r="M810" s="569">
        <v>0</v>
      </c>
      <c r="N810" s="569" t="s">
        <v>157</v>
      </c>
      <c r="O810" s="569">
        <v>1</v>
      </c>
      <c r="P810" s="569">
        <v>100.8</v>
      </c>
      <c r="Q810" s="568" t="s">
        <v>157</v>
      </c>
      <c r="R810" s="569" t="s">
        <v>682</v>
      </c>
      <c r="S810" s="569">
        <v>6</v>
      </c>
      <c r="T810" s="569" t="s">
        <v>1925</v>
      </c>
      <c r="U810" s="569" t="s">
        <v>1894</v>
      </c>
      <c r="V810" s="569">
        <v>129.9</v>
      </c>
      <c r="W810" s="569">
        <v>25</v>
      </c>
      <c r="X810" s="568">
        <v>8600</v>
      </c>
      <c r="Y810" s="573">
        <v>16</v>
      </c>
      <c r="Z810" s="581" t="s">
        <v>178</v>
      </c>
      <c r="AA810" s="581" t="s">
        <v>178</v>
      </c>
      <c r="AB810" s="585">
        <v>35635</v>
      </c>
      <c r="AC810" s="585" t="s">
        <v>164</v>
      </c>
      <c r="AD810" s="585">
        <v>26508</v>
      </c>
      <c r="AE810" s="587">
        <v>0.03</v>
      </c>
      <c r="AF810" s="661" t="str">
        <f t="shared" si="87"/>
        <v>2019-LVN-FRD-T15V-006-05</v>
      </c>
      <c r="AG810" s="661" t="str">
        <f>IF(AND($Y810&gt;=32,(AI810="I"),(Y810&lt;&gt;"~"),(COUNTIF($AN$1:$AN810,$AN810)=1)),"TRUE","FALSE")</f>
        <v>FALSE</v>
      </c>
      <c r="AH810" s="661" t="str">
        <f>IF(AND($Y810&gt;=22, (AI810&lt;&gt;"I"),(Y810&lt;&gt;"~"),(COUNTIF($AN$1:$AN810,$AN810)=1)),"TRUE","FALSE")</f>
        <v>FALSE</v>
      </c>
      <c r="AI810" s="661" t="str">
        <f t="shared" si="89"/>
        <v>II</v>
      </c>
      <c r="AJ810" s="662" t="str">
        <f t="shared" si="83"/>
        <v>T15V-006</v>
      </c>
      <c r="AK810" s="662" t="str">
        <f t="shared" si="84"/>
        <v>LVN</v>
      </c>
      <c r="AL810" s="662" t="str">
        <f t="shared" si="85"/>
        <v>FRD</v>
      </c>
      <c r="AM810" s="662" t="str">
        <f t="shared" si="88"/>
        <v>Transit 150 Van-Dual Door-RWD-2-100.8-~-3.7L-6-E1D-101A-129.9-25-Unleaded-Unleaded</v>
      </c>
      <c r="AN810" s="662" t="str">
        <f t="shared" si="86"/>
        <v>2019-LVN-FRD-T15V-006</v>
      </c>
    </row>
    <row r="811" spans="1:40" s="572" customFormat="1" ht="15">
      <c r="A811" s="570" t="s">
        <v>1928</v>
      </c>
      <c r="B811" s="573" t="s">
        <v>1929</v>
      </c>
      <c r="C811" s="573" t="s">
        <v>269</v>
      </c>
      <c r="D811" s="578" t="s">
        <v>270</v>
      </c>
      <c r="E811" s="573" t="s">
        <v>1516</v>
      </c>
      <c r="F811" s="573" t="s">
        <v>1914</v>
      </c>
      <c r="G811" s="573" t="s">
        <v>271</v>
      </c>
      <c r="H811" s="573">
        <v>2019</v>
      </c>
      <c r="I811" s="573" t="s">
        <v>1915</v>
      </c>
      <c r="J811" s="573" t="s">
        <v>1916</v>
      </c>
      <c r="K811" s="573" t="s">
        <v>236</v>
      </c>
      <c r="L811" s="573">
        <v>2</v>
      </c>
      <c r="M811" s="573">
        <v>0</v>
      </c>
      <c r="N811" s="573" t="s">
        <v>157</v>
      </c>
      <c r="O811" s="573">
        <v>1</v>
      </c>
      <c r="P811" s="573">
        <v>100.8</v>
      </c>
      <c r="Q811" s="571" t="s">
        <v>157</v>
      </c>
      <c r="R811" s="573" t="s">
        <v>682</v>
      </c>
      <c r="S811" s="573">
        <v>6</v>
      </c>
      <c r="T811" s="573" t="s">
        <v>1925</v>
      </c>
      <c r="U811" s="573" t="s">
        <v>1894</v>
      </c>
      <c r="V811" s="573">
        <v>129.9</v>
      </c>
      <c r="W811" s="573">
        <v>25</v>
      </c>
      <c r="X811" s="571">
        <v>8600</v>
      </c>
      <c r="Y811" s="573">
        <v>16</v>
      </c>
      <c r="Z811" s="579" t="s">
        <v>178</v>
      </c>
      <c r="AA811" s="579" t="s">
        <v>178</v>
      </c>
      <c r="AB811" s="584">
        <v>35635</v>
      </c>
      <c r="AC811" s="584" t="s">
        <v>164</v>
      </c>
      <c r="AD811" s="584">
        <v>26414.25</v>
      </c>
      <c r="AE811" s="586">
        <v>0.03</v>
      </c>
      <c r="AF811" s="661" t="str">
        <f t="shared" si="87"/>
        <v>2019-LVN-FRD-T15V-006-05</v>
      </c>
      <c r="AG811" s="661" t="str">
        <f>IF(AND($Y811&gt;=32,(AI811="I"),(Y811&lt;&gt;"~"),(COUNTIF($AN$1:$AN811,$AN811)=1)),"TRUE","FALSE")</f>
        <v>FALSE</v>
      </c>
      <c r="AH811" s="661" t="str">
        <f>IF(AND($Y811&gt;=22, (AI811&lt;&gt;"I"),(Y811&lt;&gt;"~"),(COUNTIF($AN$1:$AN811,$AN811)=1)),"TRUE","FALSE")</f>
        <v>FALSE</v>
      </c>
      <c r="AI811" s="661" t="str">
        <f t="shared" si="89"/>
        <v>II</v>
      </c>
      <c r="AJ811" s="662" t="str">
        <f t="shared" si="83"/>
        <v>T15V-006</v>
      </c>
      <c r="AK811" s="662" t="str">
        <f t="shared" si="84"/>
        <v>LVN</v>
      </c>
      <c r="AL811" s="662" t="str">
        <f t="shared" si="85"/>
        <v>FRD</v>
      </c>
      <c r="AM811" s="662" t="str">
        <f t="shared" si="88"/>
        <v>Transit 150 Van-Dual Door-RWD-2-100.8-~-3.7L-6-E1D-101A-129.9-25-Unleaded-Unleaded</v>
      </c>
      <c r="AN811" s="662" t="str">
        <f t="shared" si="86"/>
        <v>2019-LVN-FRD-T15V-006</v>
      </c>
    </row>
    <row r="812" spans="1:40" s="572" customFormat="1" ht="15">
      <c r="A812" s="570" t="s">
        <v>1930</v>
      </c>
      <c r="B812" s="569" t="s">
        <v>1913</v>
      </c>
      <c r="C812" s="569" t="s">
        <v>278</v>
      </c>
      <c r="D812" s="580">
        <v>15</v>
      </c>
      <c r="E812" s="569" t="s">
        <v>1516</v>
      </c>
      <c r="F812" s="569" t="s">
        <v>1914</v>
      </c>
      <c r="G812" s="569" t="s">
        <v>271</v>
      </c>
      <c r="H812" s="569">
        <v>2019</v>
      </c>
      <c r="I812" s="569" t="s">
        <v>1915</v>
      </c>
      <c r="J812" s="569" t="s">
        <v>1916</v>
      </c>
      <c r="K812" s="569" t="s">
        <v>236</v>
      </c>
      <c r="L812" s="569">
        <v>2</v>
      </c>
      <c r="M812" s="569">
        <v>0</v>
      </c>
      <c r="N812" s="569" t="s">
        <v>157</v>
      </c>
      <c r="O812" s="569">
        <v>1</v>
      </c>
      <c r="P812" s="569">
        <v>100.7</v>
      </c>
      <c r="Q812" s="568" t="s">
        <v>157</v>
      </c>
      <c r="R812" s="569" t="s">
        <v>1917</v>
      </c>
      <c r="S812" s="569">
        <v>5</v>
      </c>
      <c r="T812" s="569" t="s">
        <v>1918</v>
      </c>
      <c r="U812" s="569" t="s">
        <v>1894</v>
      </c>
      <c r="V812" s="569">
        <v>147.6</v>
      </c>
      <c r="W812" s="569">
        <v>25</v>
      </c>
      <c r="X812" s="568">
        <v>8600</v>
      </c>
      <c r="Y812" s="573">
        <v>16</v>
      </c>
      <c r="Z812" s="581" t="s">
        <v>728</v>
      </c>
      <c r="AA812" s="581" t="s">
        <v>1523</v>
      </c>
      <c r="AB812" s="585">
        <v>41355</v>
      </c>
      <c r="AC812" s="585" t="s">
        <v>164</v>
      </c>
      <c r="AD812" s="585">
        <v>32100</v>
      </c>
      <c r="AE812" s="587">
        <v>0.01</v>
      </c>
      <c r="AF812" s="661" t="str">
        <f t="shared" si="87"/>
        <v>2019-LVN-FRD-T15V-001-15</v>
      </c>
      <c r="AG812" s="661" t="str">
        <f>IF(AND($Y812&gt;=32,(AI812="I"),(Y812&lt;&gt;"~"),(COUNTIF($AN$1:$AN812,$AN812)=1)),"TRUE","FALSE")</f>
        <v>FALSE</v>
      </c>
      <c r="AH812" s="661" t="str">
        <f>IF(AND($Y812&gt;=22, (AI812&lt;&gt;"I"),(Y812&lt;&gt;"~"),(COUNTIF($AN$1:$AN812,$AN812)=1)),"TRUE","FALSE")</f>
        <v>FALSE</v>
      </c>
      <c r="AI812" s="661" t="str">
        <f t="shared" si="89"/>
        <v>II</v>
      </c>
      <c r="AJ812" s="662" t="str">
        <f t="shared" si="83"/>
        <v>T15V-001</v>
      </c>
      <c r="AK812" s="662" t="str">
        <f t="shared" si="84"/>
        <v>LVN</v>
      </c>
      <c r="AL812" s="662" t="str">
        <f t="shared" si="85"/>
        <v>FRD</v>
      </c>
      <c r="AM812" s="662" t="str">
        <f t="shared" si="88"/>
        <v>Transit 150 Van-Dual Door-RWD-2-100.7-~-3.2L-5-E2D-101A-147.6-25-Diesel-BioDiesel</v>
      </c>
      <c r="AN812" s="662" t="str">
        <f t="shared" si="86"/>
        <v>2019-LVN-FRD-T15V-001</v>
      </c>
    </row>
    <row r="813" spans="1:40" s="572" customFormat="1" ht="15">
      <c r="A813" s="570" t="s">
        <v>1931</v>
      </c>
      <c r="B813" s="573" t="s">
        <v>1920</v>
      </c>
      <c r="C813" s="573" t="s">
        <v>278</v>
      </c>
      <c r="D813" s="578">
        <v>15</v>
      </c>
      <c r="E813" s="573" t="s">
        <v>1516</v>
      </c>
      <c r="F813" s="573" t="s">
        <v>1914</v>
      </c>
      <c r="G813" s="573" t="s">
        <v>271</v>
      </c>
      <c r="H813" s="573">
        <v>2019</v>
      </c>
      <c r="I813" s="573" t="s">
        <v>1915</v>
      </c>
      <c r="J813" s="573" t="s">
        <v>1916</v>
      </c>
      <c r="K813" s="573" t="s">
        <v>236</v>
      </c>
      <c r="L813" s="573">
        <v>2</v>
      </c>
      <c r="M813" s="573">
        <v>0</v>
      </c>
      <c r="N813" s="573" t="s">
        <v>157</v>
      </c>
      <c r="O813" s="573">
        <v>1</v>
      </c>
      <c r="P813" s="573">
        <v>100.7</v>
      </c>
      <c r="Q813" s="571" t="s">
        <v>157</v>
      </c>
      <c r="R813" s="573" t="s">
        <v>1259</v>
      </c>
      <c r="S813" s="573">
        <v>6</v>
      </c>
      <c r="T813" s="573" t="s">
        <v>1918</v>
      </c>
      <c r="U813" s="573" t="s">
        <v>1894</v>
      </c>
      <c r="V813" s="573">
        <v>147.6</v>
      </c>
      <c r="W813" s="573">
        <v>25</v>
      </c>
      <c r="X813" s="571">
        <v>8600</v>
      </c>
      <c r="Y813" s="573">
        <v>16</v>
      </c>
      <c r="Z813" s="579" t="s">
        <v>178</v>
      </c>
      <c r="AA813" s="579" t="s">
        <v>178</v>
      </c>
      <c r="AB813" s="584">
        <v>39225</v>
      </c>
      <c r="AC813" s="584" t="s">
        <v>164</v>
      </c>
      <c r="AD813" s="584">
        <v>30200</v>
      </c>
      <c r="AE813" s="586">
        <v>0.01</v>
      </c>
      <c r="AF813" s="661" t="str">
        <f t="shared" si="87"/>
        <v>2019-LVN-FRD-T15V-002-15</v>
      </c>
      <c r="AG813" s="661" t="str">
        <f>IF(AND($Y813&gt;=32,(AI813="I"),(Y813&lt;&gt;"~"),(COUNTIF($AN$1:$AN813,$AN813)=1)),"TRUE","FALSE")</f>
        <v>FALSE</v>
      </c>
      <c r="AH813" s="661" t="str">
        <f>IF(AND($Y813&gt;=22, (AI813&lt;&gt;"I"),(Y813&lt;&gt;"~"),(COUNTIF($AN$1:$AN813,$AN813)=1)),"TRUE","FALSE")</f>
        <v>FALSE</v>
      </c>
      <c r="AI813" s="661" t="str">
        <f t="shared" si="89"/>
        <v>II</v>
      </c>
      <c r="AJ813" s="662" t="str">
        <f t="shared" si="83"/>
        <v>T15V-002</v>
      </c>
      <c r="AK813" s="662" t="str">
        <f t="shared" si="84"/>
        <v>LVN</v>
      </c>
      <c r="AL813" s="662" t="str">
        <f t="shared" si="85"/>
        <v>FRD</v>
      </c>
      <c r="AM813" s="662" t="str">
        <f t="shared" si="88"/>
        <v>Transit 150 Van-Dual Door-RWD-2-100.7-~-3.5L EcoBoost-6-E2D-101A-147.6-25-Unleaded-Unleaded</v>
      </c>
      <c r="AN813" s="662" t="str">
        <f t="shared" si="86"/>
        <v>2019-LVN-FRD-T15V-002</v>
      </c>
    </row>
    <row r="814" spans="1:40" s="572" customFormat="1" ht="15">
      <c r="A814" s="570" t="s">
        <v>1932</v>
      </c>
      <c r="B814" s="569" t="s">
        <v>1922</v>
      </c>
      <c r="C814" s="569" t="s">
        <v>278</v>
      </c>
      <c r="D814" s="580">
        <v>15</v>
      </c>
      <c r="E814" s="569" t="s">
        <v>1516</v>
      </c>
      <c r="F814" s="569" t="s">
        <v>1914</v>
      </c>
      <c r="G814" s="569" t="s">
        <v>271</v>
      </c>
      <c r="H814" s="569">
        <v>2019</v>
      </c>
      <c r="I814" s="569" t="s">
        <v>1915</v>
      </c>
      <c r="J814" s="569" t="s">
        <v>1916</v>
      </c>
      <c r="K814" s="569" t="s">
        <v>236</v>
      </c>
      <c r="L814" s="569">
        <v>2</v>
      </c>
      <c r="M814" s="569">
        <v>0</v>
      </c>
      <c r="N814" s="569" t="s">
        <v>157</v>
      </c>
      <c r="O814" s="569">
        <v>1</v>
      </c>
      <c r="P814" s="569">
        <v>100.7</v>
      </c>
      <c r="Q814" s="568" t="s">
        <v>157</v>
      </c>
      <c r="R814" s="569" t="s">
        <v>682</v>
      </c>
      <c r="S814" s="569">
        <v>6</v>
      </c>
      <c r="T814" s="569" t="s">
        <v>1918</v>
      </c>
      <c r="U814" s="569" t="s">
        <v>1894</v>
      </c>
      <c r="V814" s="569">
        <v>147.6</v>
      </c>
      <c r="W814" s="569">
        <v>25</v>
      </c>
      <c r="X814" s="568">
        <v>8600</v>
      </c>
      <c r="Y814" s="573">
        <v>16</v>
      </c>
      <c r="Z814" s="581" t="s">
        <v>178</v>
      </c>
      <c r="AA814" s="581" t="s">
        <v>178</v>
      </c>
      <c r="AB814" s="585">
        <v>37360</v>
      </c>
      <c r="AC814" s="585" t="s">
        <v>164</v>
      </c>
      <c r="AD814" s="585">
        <v>28500</v>
      </c>
      <c r="AE814" s="587">
        <v>0.01</v>
      </c>
      <c r="AF814" s="661" t="str">
        <f t="shared" si="87"/>
        <v>2019-LVN-FRD-T15V-003-15</v>
      </c>
      <c r="AG814" s="661" t="str">
        <f>IF(AND($Y814&gt;=32,(AI814="I"),(Y814&lt;&gt;"~"),(COUNTIF($AN$1:$AN814,$AN814)=1)),"TRUE","FALSE")</f>
        <v>FALSE</v>
      </c>
      <c r="AH814" s="661" t="str">
        <f>IF(AND($Y814&gt;=22, (AI814&lt;&gt;"I"),(Y814&lt;&gt;"~"),(COUNTIF($AN$1:$AN814,$AN814)=1)),"TRUE","FALSE")</f>
        <v>FALSE</v>
      </c>
      <c r="AI814" s="661" t="str">
        <f t="shared" si="89"/>
        <v>II</v>
      </c>
      <c r="AJ814" s="662" t="str">
        <f t="shared" si="83"/>
        <v>T15V-003</v>
      </c>
      <c r="AK814" s="662" t="str">
        <f t="shared" si="84"/>
        <v>LVN</v>
      </c>
      <c r="AL814" s="662" t="str">
        <f t="shared" si="85"/>
        <v>FRD</v>
      </c>
      <c r="AM814" s="662" t="str">
        <f t="shared" si="88"/>
        <v>Transit 150 Van-Dual Door-RWD-2-100.7-~-3.7L-6-E2D-101A-147.6-25-Unleaded-Unleaded</v>
      </c>
      <c r="AN814" s="662" t="str">
        <f t="shared" si="86"/>
        <v>2019-LVN-FRD-T15V-003</v>
      </c>
    </row>
    <row r="815" spans="1:40" s="572" customFormat="1" ht="15">
      <c r="A815" s="570" t="s">
        <v>1933</v>
      </c>
      <c r="B815" s="573" t="s">
        <v>1924</v>
      </c>
      <c r="C815" s="573" t="s">
        <v>278</v>
      </c>
      <c r="D815" s="578">
        <v>15</v>
      </c>
      <c r="E815" s="573" t="s">
        <v>1516</v>
      </c>
      <c r="F815" s="573" t="s">
        <v>1914</v>
      </c>
      <c r="G815" s="573" t="s">
        <v>271</v>
      </c>
      <c r="H815" s="573">
        <v>2019</v>
      </c>
      <c r="I815" s="573" t="s">
        <v>1915</v>
      </c>
      <c r="J815" s="573" t="s">
        <v>1916</v>
      </c>
      <c r="K815" s="573" t="s">
        <v>236</v>
      </c>
      <c r="L815" s="573">
        <v>2</v>
      </c>
      <c r="M815" s="573">
        <v>0</v>
      </c>
      <c r="N815" s="573" t="s">
        <v>157</v>
      </c>
      <c r="O815" s="573">
        <v>1</v>
      </c>
      <c r="P815" s="573">
        <v>100.8</v>
      </c>
      <c r="Q815" s="571" t="s">
        <v>157</v>
      </c>
      <c r="R815" s="573" t="s">
        <v>1917</v>
      </c>
      <c r="S815" s="573">
        <v>5</v>
      </c>
      <c r="T815" s="573" t="s">
        <v>1925</v>
      </c>
      <c r="U815" s="573" t="s">
        <v>1894</v>
      </c>
      <c r="V815" s="573">
        <v>129.9</v>
      </c>
      <c r="W815" s="573">
        <v>25</v>
      </c>
      <c r="X815" s="571">
        <v>8600</v>
      </c>
      <c r="Y815" s="573">
        <v>16</v>
      </c>
      <c r="Z815" s="579" t="s">
        <v>728</v>
      </c>
      <c r="AA815" s="579" t="s">
        <v>1523</v>
      </c>
      <c r="AB815" s="584">
        <v>39630</v>
      </c>
      <c r="AC815" s="584" t="s">
        <v>164</v>
      </c>
      <c r="AD815" s="584">
        <v>30500</v>
      </c>
      <c r="AE815" s="586">
        <v>0.01</v>
      </c>
      <c r="AF815" s="661" t="str">
        <f t="shared" si="87"/>
        <v>2019-LVN-FRD-T15V-004-15</v>
      </c>
      <c r="AG815" s="661" t="str">
        <f>IF(AND($Y815&gt;=32,(AI815="I"),(Y815&lt;&gt;"~"),(COUNTIF($AN$1:$AN815,$AN815)=1)),"TRUE","FALSE")</f>
        <v>FALSE</v>
      </c>
      <c r="AH815" s="661" t="str">
        <f>IF(AND($Y815&gt;=22, (AI815&lt;&gt;"I"),(Y815&lt;&gt;"~"),(COUNTIF($AN$1:$AN815,$AN815)=1)),"TRUE","FALSE")</f>
        <v>FALSE</v>
      </c>
      <c r="AI815" s="661" t="str">
        <f t="shared" si="89"/>
        <v>II</v>
      </c>
      <c r="AJ815" s="662" t="str">
        <f t="shared" si="83"/>
        <v>T15V-004</v>
      </c>
      <c r="AK815" s="662" t="str">
        <f t="shared" si="84"/>
        <v>LVN</v>
      </c>
      <c r="AL815" s="662" t="str">
        <f t="shared" si="85"/>
        <v>FRD</v>
      </c>
      <c r="AM815" s="662" t="str">
        <f t="shared" si="88"/>
        <v>Transit 150 Van-Dual Door-RWD-2-100.8-~-3.2L-5-E1D-101A-129.9-25-Diesel-BioDiesel</v>
      </c>
      <c r="AN815" s="662" t="str">
        <f t="shared" si="86"/>
        <v>2019-LVN-FRD-T15V-004</v>
      </c>
    </row>
    <row r="816" spans="1:40" s="572" customFormat="1" ht="15">
      <c r="A816" s="570" t="s">
        <v>1934</v>
      </c>
      <c r="B816" s="569" t="s">
        <v>1927</v>
      </c>
      <c r="C816" s="569" t="s">
        <v>278</v>
      </c>
      <c r="D816" s="580">
        <v>15</v>
      </c>
      <c r="E816" s="569" t="s">
        <v>1516</v>
      </c>
      <c r="F816" s="569" t="s">
        <v>1914</v>
      </c>
      <c r="G816" s="569" t="s">
        <v>271</v>
      </c>
      <c r="H816" s="569">
        <v>2019</v>
      </c>
      <c r="I816" s="569" t="s">
        <v>1915</v>
      </c>
      <c r="J816" s="569" t="s">
        <v>1916</v>
      </c>
      <c r="K816" s="569" t="s">
        <v>236</v>
      </c>
      <c r="L816" s="569">
        <v>2</v>
      </c>
      <c r="M816" s="569">
        <v>0</v>
      </c>
      <c r="N816" s="569" t="s">
        <v>157</v>
      </c>
      <c r="O816" s="569">
        <v>1</v>
      </c>
      <c r="P816" s="569">
        <v>100.8</v>
      </c>
      <c r="Q816" s="568" t="s">
        <v>157</v>
      </c>
      <c r="R816" s="569" t="s">
        <v>1259</v>
      </c>
      <c r="S816" s="569">
        <v>6</v>
      </c>
      <c r="T816" s="569" t="s">
        <v>1925</v>
      </c>
      <c r="U816" s="569" t="s">
        <v>1894</v>
      </c>
      <c r="V816" s="569">
        <v>129.9</v>
      </c>
      <c r="W816" s="569">
        <v>25</v>
      </c>
      <c r="X816" s="568">
        <v>8600</v>
      </c>
      <c r="Y816" s="573">
        <v>16</v>
      </c>
      <c r="Z816" s="581" t="s">
        <v>178</v>
      </c>
      <c r="AA816" s="581" t="s">
        <v>178</v>
      </c>
      <c r="AB816" s="585">
        <v>37500</v>
      </c>
      <c r="AC816" s="585" t="s">
        <v>164</v>
      </c>
      <c r="AD816" s="585">
        <v>28600</v>
      </c>
      <c r="AE816" s="587">
        <v>0.01</v>
      </c>
      <c r="AF816" s="661" t="str">
        <f t="shared" si="87"/>
        <v>2019-LVN-FRD-T15V-005-15</v>
      </c>
      <c r="AG816" s="661" t="str">
        <f>IF(AND($Y816&gt;=32,(AI816="I"),(Y816&lt;&gt;"~"),(COUNTIF($AN$1:$AN816,$AN816)=1)),"TRUE","FALSE")</f>
        <v>FALSE</v>
      </c>
      <c r="AH816" s="661" t="str">
        <f>IF(AND($Y816&gt;=22, (AI816&lt;&gt;"I"),(Y816&lt;&gt;"~"),(COUNTIF($AN$1:$AN816,$AN816)=1)),"TRUE","FALSE")</f>
        <v>FALSE</v>
      </c>
      <c r="AI816" s="661" t="str">
        <f t="shared" si="89"/>
        <v>II</v>
      </c>
      <c r="AJ816" s="662" t="str">
        <f t="shared" si="83"/>
        <v>T15V-005</v>
      </c>
      <c r="AK816" s="662" t="str">
        <f t="shared" si="84"/>
        <v>LVN</v>
      </c>
      <c r="AL816" s="662" t="str">
        <f t="shared" si="85"/>
        <v>FRD</v>
      </c>
      <c r="AM816" s="662" t="str">
        <f t="shared" si="88"/>
        <v>Transit 150 Van-Dual Door-RWD-2-100.8-~-3.5L EcoBoost-6-E1D-101A-129.9-25-Unleaded-Unleaded</v>
      </c>
      <c r="AN816" s="662" t="str">
        <f t="shared" si="86"/>
        <v>2019-LVN-FRD-T15V-005</v>
      </c>
    </row>
    <row r="817" spans="1:40" s="572" customFormat="1" ht="15">
      <c r="A817" s="570" t="s">
        <v>1935</v>
      </c>
      <c r="B817" s="573" t="s">
        <v>1929</v>
      </c>
      <c r="C817" s="573" t="s">
        <v>278</v>
      </c>
      <c r="D817" s="578">
        <v>15</v>
      </c>
      <c r="E817" s="573" t="s">
        <v>1516</v>
      </c>
      <c r="F817" s="573" t="s">
        <v>1914</v>
      </c>
      <c r="G817" s="573" t="s">
        <v>271</v>
      </c>
      <c r="H817" s="573">
        <v>2019</v>
      </c>
      <c r="I817" s="573" t="s">
        <v>1915</v>
      </c>
      <c r="J817" s="573" t="s">
        <v>1916</v>
      </c>
      <c r="K817" s="573" t="s">
        <v>236</v>
      </c>
      <c r="L817" s="573">
        <v>2</v>
      </c>
      <c r="M817" s="573">
        <v>0</v>
      </c>
      <c r="N817" s="573" t="s">
        <v>157</v>
      </c>
      <c r="O817" s="573">
        <v>1</v>
      </c>
      <c r="P817" s="573">
        <v>100.8</v>
      </c>
      <c r="Q817" s="571" t="s">
        <v>157</v>
      </c>
      <c r="R817" s="573" t="s">
        <v>682</v>
      </c>
      <c r="S817" s="573">
        <v>6</v>
      </c>
      <c r="T817" s="573" t="s">
        <v>1925</v>
      </c>
      <c r="U817" s="573" t="s">
        <v>1894</v>
      </c>
      <c r="V817" s="573">
        <v>129.9</v>
      </c>
      <c r="W817" s="573">
        <v>25</v>
      </c>
      <c r="X817" s="571">
        <v>8600</v>
      </c>
      <c r="Y817" s="573">
        <v>16</v>
      </c>
      <c r="Z817" s="579" t="s">
        <v>178</v>
      </c>
      <c r="AA817" s="579" t="s">
        <v>178</v>
      </c>
      <c r="AB817" s="584">
        <v>35635</v>
      </c>
      <c r="AC817" s="584" t="s">
        <v>164</v>
      </c>
      <c r="AD817" s="584">
        <v>26900</v>
      </c>
      <c r="AE817" s="586">
        <v>0.01</v>
      </c>
      <c r="AF817" s="661" t="str">
        <f t="shared" si="87"/>
        <v>2019-LVN-FRD-T15V-006-15</v>
      </c>
      <c r="AG817" s="661" t="str">
        <f>IF(AND($Y817&gt;=32,(AI817="I"),(Y817&lt;&gt;"~"),(COUNTIF($AN$1:$AN817,$AN817)=1)),"TRUE","FALSE")</f>
        <v>FALSE</v>
      </c>
      <c r="AH817" s="661" t="str">
        <f>IF(AND($Y817&gt;=22, (AI817&lt;&gt;"I"),(Y817&lt;&gt;"~"),(COUNTIF($AN$1:$AN817,$AN817)=1)),"TRUE","FALSE")</f>
        <v>FALSE</v>
      </c>
      <c r="AI817" s="661" t="str">
        <f t="shared" si="89"/>
        <v>II</v>
      </c>
      <c r="AJ817" s="662" t="str">
        <f t="shared" si="83"/>
        <v>T15V-006</v>
      </c>
      <c r="AK817" s="662" t="str">
        <f t="shared" si="84"/>
        <v>LVN</v>
      </c>
      <c r="AL817" s="662" t="str">
        <f t="shared" si="85"/>
        <v>FRD</v>
      </c>
      <c r="AM817" s="662" t="str">
        <f t="shared" si="88"/>
        <v>Transit 150 Van-Dual Door-RWD-2-100.8-~-3.7L-6-E1D-101A-129.9-25-Unleaded-Unleaded</v>
      </c>
      <c r="AN817" s="662" t="str">
        <f t="shared" si="86"/>
        <v>2019-LVN-FRD-T15V-006</v>
      </c>
    </row>
    <row r="818" spans="1:40" s="572" customFormat="1" ht="15">
      <c r="A818" s="570" t="s">
        <v>1936</v>
      </c>
      <c r="B818" s="569" t="s">
        <v>1913</v>
      </c>
      <c r="C818" s="569" t="s">
        <v>287</v>
      </c>
      <c r="D818" s="580">
        <v>26</v>
      </c>
      <c r="E818" s="569" t="s">
        <v>1516</v>
      </c>
      <c r="F818" s="569" t="s">
        <v>1914</v>
      </c>
      <c r="G818" s="569" t="s">
        <v>271</v>
      </c>
      <c r="H818" s="569">
        <v>2019</v>
      </c>
      <c r="I818" s="569" t="s">
        <v>1915</v>
      </c>
      <c r="J818" s="569" t="s">
        <v>1916</v>
      </c>
      <c r="K818" s="569" t="s">
        <v>236</v>
      </c>
      <c r="L818" s="569">
        <v>2</v>
      </c>
      <c r="M818" s="569">
        <v>0</v>
      </c>
      <c r="N818" s="569" t="s">
        <v>157</v>
      </c>
      <c r="O818" s="569">
        <v>1</v>
      </c>
      <c r="P818" s="569">
        <v>100.7</v>
      </c>
      <c r="Q818" s="568" t="s">
        <v>157</v>
      </c>
      <c r="R818" s="569" t="s">
        <v>1917</v>
      </c>
      <c r="S818" s="569">
        <v>5</v>
      </c>
      <c r="T818" s="569" t="s">
        <v>1918</v>
      </c>
      <c r="U818" s="569" t="s">
        <v>1894</v>
      </c>
      <c r="V818" s="569">
        <v>147.6</v>
      </c>
      <c r="W818" s="569">
        <v>25</v>
      </c>
      <c r="X818" s="568">
        <v>8600</v>
      </c>
      <c r="Y818" s="573">
        <v>16</v>
      </c>
      <c r="Z818" s="581" t="s">
        <v>728</v>
      </c>
      <c r="AA818" s="581" t="s">
        <v>1523</v>
      </c>
      <c r="AB818" s="585">
        <v>41355</v>
      </c>
      <c r="AC818" s="585" t="s">
        <v>164</v>
      </c>
      <c r="AD818" s="585">
        <v>32669</v>
      </c>
      <c r="AE818" s="587">
        <v>0.05</v>
      </c>
      <c r="AF818" s="661" t="str">
        <f t="shared" si="87"/>
        <v>2019-LVN-FRD-T15V-001-26</v>
      </c>
      <c r="AG818" s="661" t="str">
        <f>IF(AND($Y818&gt;=32,(AI818="I"),(Y818&lt;&gt;"~"),(COUNTIF($AN$1:$AN818,$AN818)=1)),"TRUE","FALSE")</f>
        <v>FALSE</v>
      </c>
      <c r="AH818" s="661" t="str">
        <f>IF(AND($Y818&gt;=22, (AI818&lt;&gt;"I"),(Y818&lt;&gt;"~"),(COUNTIF($AN$1:$AN818,$AN818)=1)),"TRUE","FALSE")</f>
        <v>FALSE</v>
      </c>
      <c r="AI818" s="661" t="str">
        <f t="shared" si="89"/>
        <v>II</v>
      </c>
      <c r="AJ818" s="662" t="str">
        <f t="shared" si="83"/>
        <v>T15V-001</v>
      </c>
      <c r="AK818" s="662" t="str">
        <f t="shared" si="84"/>
        <v>LVN</v>
      </c>
      <c r="AL818" s="662" t="str">
        <f t="shared" si="85"/>
        <v>FRD</v>
      </c>
      <c r="AM818" s="662" t="str">
        <f t="shared" si="88"/>
        <v>Transit 150 Van-Dual Door-RWD-2-100.7-~-3.2L-5-E2D-101A-147.6-25-Diesel-BioDiesel</v>
      </c>
      <c r="AN818" s="662" t="str">
        <f t="shared" si="86"/>
        <v>2019-LVN-FRD-T15V-001</v>
      </c>
    </row>
    <row r="819" spans="1:40" s="572" customFormat="1" ht="15">
      <c r="A819" s="570" t="s">
        <v>1937</v>
      </c>
      <c r="B819" s="573" t="s">
        <v>1920</v>
      </c>
      <c r="C819" s="573" t="s">
        <v>287</v>
      </c>
      <c r="D819" s="578">
        <v>26</v>
      </c>
      <c r="E819" s="573" t="s">
        <v>1516</v>
      </c>
      <c r="F819" s="573" t="s">
        <v>1914</v>
      </c>
      <c r="G819" s="573" t="s">
        <v>271</v>
      </c>
      <c r="H819" s="573">
        <v>2019</v>
      </c>
      <c r="I819" s="573" t="s">
        <v>1915</v>
      </c>
      <c r="J819" s="573" t="s">
        <v>1916</v>
      </c>
      <c r="K819" s="573" t="s">
        <v>236</v>
      </c>
      <c r="L819" s="573">
        <v>2</v>
      </c>
      <c r="M819" s="573">
        <v>0</v>
      </c>
      <c r="N819" s="573" t="s">
        <v>157</v>
      </c>
      <c r="O819" s="573">
        <v>1</v>
      </c>
      <c r="P819" s="573">
        <v>100.7</v>
      </c>
      <c r="Q819" s="571" t="s">
        <v>157</v>
      </c>
      <c r="R819" s="573" t="s">
        <v>1259</v>
      </c>
      <c r="S819" s="573">
        <v>6</v>
      </c>
      <c r="T819" s="573" t="s">
        <v>1918</v>
      </c>
      <c r="U819" s="573" t="s">
        <v>1894</v>
      </c>
      <c r="V819" s="573">
        <v>147.6</v>
      </c>
      <c r="W819" s="573">
        <v>25</v>
      </c>
      <c r="X819" s="571">
        <v>8600</v>
      </c>
      <c r="Y819" s="573">
        <v>16</v>
      </c>
      <c r="Z819" s="579" t="s">
        <v>178</v>
      </c>
      <c r="AA819" s="579" t="s">
        <v>178</v>
      </c>
      <c r="AB819" s="584">
        <v>39225</v>
      </c>
      <c r="AC819" s="584" t="s">
        <v>164</v>
      </c>
      <c r="AD819" s="584">
        <v>30715</v>
      </c>
      <c r="AE819" s="586">
        <v>0.05</v>
      </c>
      <c r="AF819" s="661" t="str">
        <f t="shared" si="87"/>
        <v>2019-LVN-FRD-T15V-002-26</v>
      </c>
      <c r="AG819" s="661" t="str">
        <f>IF(AND($Y819&gt;=32,(AI819="I"),(Y819&lt;&gt;"~"),(COUNTIF($AN$1:$AN819,$AN819)=1)),"TRUE","FALSE")</f>
        <v>FALSE</v>
      </c>
      <c r="AH819" s="661" t="str">
        <f>IF(AND($Y819&gt;=22, (AI819&lt;&gt;"I"),(Y819&lt;&gt;"~"),(COUNTIF($AN$1:$AN819,$AN819)=1)),"TRUE","FALSE")</f>
        <v>FALSE</v>
      </c>
      <c r="AI819" s="661" t="str">
        <f t="shared" si="89"/>
        <v>II</v>
      </c>
      <c r="AJ819" s="662" t="str">
        <f t="shared" si="83"/>
        <v>T15V-002</v>
      </c>
      <c r="AK819" s="662" t="str">
        <f t="shared" si="84"/>
        <v>LVN</v>
      </c>
      <c r="AL819" s="662" t="str">
        <f t="shared" si="85"/>
        <v>FRD</v>
      </c>
      <c r="AM819" s="662" t="str">
        <f t="shared" si="88"/>
        <v>Transit 150 Van-Dual Door-RWD-2-100.7-~-3.5L EcoBoost-6-E2D-101A-147.6-25-Unleaded-Unleaded</v>
      </c>
      <c r="AN819" s="662" t="str">
        <f t="shared" si="86"/>
        <v>2019-LVN-FRD-T15V-002</v>
      </c>
    </row>
    <row r="820" spans="1:40" s="572" customFormat="1" ht="15">
      <c r="A820" s="570" t="s">
        <v>1938</v>
      </c>
      <c r="B820" s="569" t="s">
        <v>1922</v>
      </c>
      <c r="C820" s="569" t="s">
        <v>287</v>
      </c>
      <c r="D820" s="580">
        <v>26</v>
      </c>
      <c r="E820" s="569" t="s">
        <v>1516</v>
      </c>
      <c r="F820" s="569" t="s">
        <v>1914</v>
      </c>
      <c r="G820" s="569" t="s">
        <v>271</v>
      </c>
      <c r="H820" s="569">
        <v>2019</v>
      </c>
      <c r="I820" s="569" t="s">
        <v>1915</v>
      </c>
      <c r="J820" s="569" t="s">
        <v>1916</v>
      </c>
      <c r="K820" s="569" t="s">
        <v>236</v>
      </c>
      <c r="L820" s="569">
        <v>2</v>
      </c>
      <c r="M820" s="569">
        <v>0</v>
      </c>
      <c r="N820" s="569" t="s">
        <v>157</v>
      </c>
      <c r="O820" s="569">
        <v>1</v>
      </c>
      <c r="P820" s="569">
        <v>100.7</v>
      </c>
      <c r="Q820" s="568" t="s">
        <v>157</v>
      </c>
      <c r="R820" s="569" t="s">
        <v>682</v>
      </c>
      <c r="S820" s="569">
        <v>6</v>
      </c>
      <c r="T820" s="569" t="s">
        <v>1918</v>
      </c>
      <c r="U820" s="569" t="s">
        <v>1894</v>
      </c>
      <c r="V820" s="569">
        <v>147.6</v>
      </c>
      <c r="W820" s="569">
        <v>25</v>
      </c>
      <c r="X820" s="568">
        <v>8600</v>
      </c>
      <c r="Y820" s="573">
        <v>16</v>
      </c>
      <c r="Z820" s="581" t="s">
        <v>178</v>
      </c>
      <c r="AA820" s="581" t="s">
        <v>178</v>
      </c>
      <c r="AB820" s="585">
        <v>37360</v>
      </c>
      <c r="AC820" s="585" t="s">
        <v>164</v>
      </c>
      <c r="AD820" s="585">
        <v>29005</v>
      </c>
      <c r="AE820" s="587">
        <v>0.05</v>
      </c>
      <c r="AF820" s="661" t="str">
        <f t="shared" si="87"/>
        <v>2019-LVN-FRD-T15V-003-26</v>
      </c>
      <c r="AG820" s="661" t="str">
        <f>IF(AND($Y820&gt;=32,(AI820="I"),(Y820&lt;&gt;"~"),(COUNTIF($AN$1:$AN820,$AN820)=1)),"TRUE","FALSE")</f>
        <v>FALSE</v>
      </c>
      <c r="AH820" s="661" t="str">
        <f>IF(AND($Y820&gt;=22, (AI820&lt;&gt;"I"),(Y820&lt;&gt;"~"),(COUNTIF($AN$1:$AN820,$AN820)=1)),"TRUE","FALSE")</f>
        <v>FALSE</v>
      </c>
      <c r="AI820" s="661" t="str">
        <f t="shared" si="89"/>
        <v>II</v>
      </c>
      <c r="AJ820" s="662" t="str">
        <f t="shared" si="83"/>
        <v>T15V-003</v>
      </c>
      <c r="AK820" s="662" t="str">
        <f t="shared" si="84"/>
        <v>LVN</v>
      </c>
      <c r="AL820" s="662" t="str">
        <f t="shared" si="85"/>
        <v>FRD</v>
      </c>
      <c r="AM820" s="662" t="str">
        <f t="shared" si="88"/>
        <v>Transit 150 Van-Dual Door-RWD-2-100.7-~-3.7L-6-E2D-101A-147.6-25-Unleaded-Unleaded</v>
      </c>
      <c r="AN820" s="662" t="str">
        <f t="shared" si="86"/>
        <v>2019-LVN-FRD-T15V-003</v>
      </c>
    </row>
    <row r="821" spans="1:40" s="572" customFormat="1" ht="15">
      <c r="A821" s="570" t="s">
        <v>1939</v>
      </c>
      <c r="B821" s="573" t="s">
        <v>1924</v>
      </c>
      <c r="C821" s="573" t="s">
        <v>287</v>
      </c>
      <c r="D821" s="578">
        <v>26</v>
      </c>
      <c r="E821" s="573" t="s">
        <v>1516</v>
      </c>
      <c r="F821" s="573" t="s">
        <v>1914</v>
      </c>
      <c r="G821" s="573" t="s">
        <v>271</v>
      </c>
      <c r="H821" s="573">
        <v>2019</v>
      </c>
      <c r="I821" s="573" t="s">
        <v>1915</v>
      </c>
      <c r="J821" s="573" t="s">
        <v>1916</v>
      </c>
      <c r="K821" s="573" t="s">
        <v>236</v>
      </c>
      <c r="L821" s="573">
        <v>2</v>
      </c>
      <c r="M821" s="573">
        <v>0</v>
      </c>
      <c r="N821" s="573" t="s">
        <v>157</v>
      </c>
      <c r="O821" s="573">
        <v>1</v>
      </c>
      <c r="P821" s="573">
        <v>100.8</v>
      </c>
      <c r="Q821" s="571" t="s">
        <v>157</v>
      </c>
      <c r="R821" s="573" t="s">
        <v>1917</v>
      </c>
      <c r="S821" s="573">
        <v>5</v>
      </c>
      <c r="T821" s="573" t="s">
        <v>1925</v>
      </c>
      <c r="U821" s="573" t="s">
        <v>1894</v>
      </c>
      <c r="V821" s="573">
        <v>129.9</v>
      </c>
      <c r="W821" s="573">
        <v>25</v>
      </c>
      <c r="X821" s="571">
        <v>8600</v>
      </c>
      <c r="Y821" s="573">
        <v>16</v>
      </c>
      <c r="Z821" s="579" t="s">
        <v>728</v>
      </c>
      <c r="AA821" s="579" t="s">
        <v>1523</v>
      </c>
      <c r="AB821" s="584">
        <v>39630</v>
      </c>
      <c r="AC821" s="584" t="s">
        <v>164</v>
      </c>
      <c r="AD821" s="584">
        <v>31039</v>
      </c>
      <c r="AE821" s="586">
        <v>0.05</v>
      </c>
      <c r="AF821" s="661" t="str">
        <f t="shared" si="87"/>
        <v>2019-LVN-FRD-T15V-004-26</v>
      </c>
      <c r="AG821" s="661" t="str">
        <f>IF(AND($Y821&gt;=32,(AI821="I"),(Y821&lt;&gt;"~"),(COUNTIF($AN$1:$AN821,$AN821)=1)),"TRUE","FALSE")</f>
        <v>FALSE</v>
      </c>
      <c r="AH821" s="661" t="str">
        <f>IF(AND($Y821&gt;=22, (AI821&lt;&gt;"I"),(Y821&lt;&gt;"~"),(COUNTIF($AN$1:$AN821,$AN821)=1)),"TRUE","FALSE")</f>
        <v>FALSE</v>
      </c>
      <c r="AI821" s="661" t="str">
        <f t="shared" si="89"/>
        <v>II</v>
      </c>
      <c r="AJ821" s="662" t="str">
        <f t="shared" si="83"/>
        <v>T15V-004</v>
      </c>
      <c r="AK821" s="662" t="str">
        <f t="shared" si="84"/>
        <v>LVN</v>
      </c>
      <c r="AL821" s="662" t="str">
        <f t="shared" si="85"/>
        <v>FRD</v>
      </c>
      <c r="AM821" s="662" t="str">
        <f t="shared" si="88"/>
        <v>Transit 150 Van-Dual Door-RWD-2-100.8-~-3.2L-5-E1D-101A-129.9-25-Diesel-BioDiesel</v>
      </c>
      <c r="AN821" s="662" t="str">
        <f t="shared" si="86"/>
        <v>2019-LVN-FRD-T15V-004</v>
      </c>
    </row>
    <row r="822" spans="1:40" s="572" customFormat="1" ht="15">
      <c r="A822" s="570" t="s">
        <v>1940</v>
      </c>
      <c r="B822" s="569" t="s">
        <v>1927</v>
      </c>
      <c r="C822" s="569" t="s">
        <v>287</v>
      </c>
      <c r="D822" s="580">
        <v>26</v>
      </c>
      <c r="E822" s="569" t="s">
        <v>1516</v>
      </c>
      <c r="F822" s="569" t="s">
        <v>1914</v>
      </c>
      <c r="G822" s="569" t="s">
        <v>271</v>
      </c>
      <c r="H822" s="569">
        <v>2019</v>
      </c>
      <c r="I822" s="569" t="s">
        <v>1915</v>
      </c>
      <c r="J822" s="569" t="s">
        <v>1916</v>
      </c>
      <c r="K822" s="569" t="s">
        <v>236</v>
      </c>
      <c r="L822" s="569">
        <v>2</v>
      </c>
      <c r="M822" s="569">
        <v>0</v>
      </c>
      <c r="N822" s="569" t="s">
        <v>157</v>
      </c>
      <c r="O822" s="569">
        <v>1</v>
      </c>
      <c r="P822" s="569">
        <v>100.8</v>
      </c>
      <c r="Q822" s="568" t="s">
        <v>157</v>
      </c>
      <c r="R822" s="569" t="s">
        <v>1259</v>
      </c>
      <c r="S822" s="569">
        <v>6</v>
      </c>
      <c r="T822" s="569" t="s">
        <v>1925</v>
      </c>
      <c r="U822" s="569" t="s">
        <v>1894</v>
      </c>
      <c r="V822" s="569">
        <v>129.9</v>
      </c>
      <c r="W822" s="569">
        <v>25</v>
      </c>
      <c r="X822" s="568">
        <v>8600</v>
      </c>
      <c r="Y822" s="573">
        <v>16</v>
      </c>
      <c r="Z822" s="581" t="s">
        <v>178</v>
      </c>
      <c r="AA822" s="581" t="s">
        <v>178</v>
      </c>
      <c r="AB822" s="585">
        <v>37500</v>
      </c>
      <c r="AC822" s="585" t="s">
        <v>164</v>
      </c>
      <c r="AD822" s="585">
        <v>29086</v>
      </c>
      <c r="AE822" s="587">
        <v>0.05</v>
      </c>
      <c r="AF822" s="661" t="str">
        <f t="shared" si="87"/>
        <v>2019-LVN-FRD-T15V-005-26</v>
      </c>
      <c r="AG822" s="661" t="str">
        <f>IF(AND($Y822&gt;=32,(AI822="I"),(Y822&lt;&gt;"~"),(COUNTIF($AN$1:$AN822,$AN822)=1)),"TRUE","FALSE")</f>
        <v>FALSE</v>
      </c>
      <c r="AH822" s="661" t="str">
        <f>IF(AND($Y822&gt;=22, (AI822&lt;&gt;"I"),(Y822&lt;&gt;"~"),(COUNTIF($AN$1:$AN822,$AN822)=1)),"TRUE","FALSE")</f>
        <v>FALSE</v>
      </c>
      <c r="AI822" s="661" t="str">
        <f t="shared" si="89"/>
        <v>II</v>
      </c>
      <c r="AJ822" s="662" t="str">
        <f t="shared" si="83"/>
        <v>T15V-005</v>
      </c>
      <c r="AK822" s="662" t="str">
        <f t="shared" si="84"/>
        <v>LVN</v>
      </c>
      <c r="AL822" s="662" t="str">
        <f t="shared" si="85"/>
        <v>FRD</v>
      </c>
      <c r="AM822" s="662" t="str">
        <f t="shared" si="88"/>
        <v>Transit 150 Van-Dual Door-RWD-2-100.8-~-3.5L EcoBoost-6-E1D-101A-129.9-25-Unleaded-Unleaded</v>
      </c>
      <c r="AN822" s="662" t="str">
        <f t="shared" si="86"/>
        <v>2019-LVN-FRD-T15V-005</v>
      </c>
    </row>
    <row r="823" spans="1:40" s="572" customFormat="1" ht="15">
      <c r="A823" s="570" t="s">
        <v>1941</v>
      </c>
      <c r="B823" s="573" t="s">
        <v>1929</v>
      </c>
      <c r="C823" s="573" t="s">
        <v>287</v>
      </c>
      <c r="D823" s="578">
        <v>26</v>
      </c>
      <c r="E823" s="573" t="s">
        <v>1516</v>
      </c>
      <c r="F823" s="573" t="s">
        <v>1914</v>
      </c>
      <c r="G823" s="573" t="s">
        <v>271</v>
      </c>
      <c r="H823" s="573">
        <v>2019</v>
      </c>
      <c r="I823" s="573" t="s">
        <v>1915</v>
      </c>
      <c r="J823" s="573" t="s">
        <v>1916</v>
      </c>
      <c r="K823" s="573" t="s">
        <v>236</v>
      </c>
      <c r="L823" s="573">
        <v>2</v>
      </c>
      <c r="M823" s="573">
        <v>0</v>
      </c>
      <c r="N823" s="573" t="s">
        <v>157</v>
      </c>
      <c r="O823" s="573">
        <v>1</v>
      </c>
      <c r="P823" s="573">
        <v>100.8</v>
      </c>
      <c r="Q823" s="571" t="s">
        <v>157</v>
      </c>
      <c r="R823" s="573" t="s">
        <v>682</v>
      </c>
      <c r="S823" s="573">
        <v>6</v>
      </c>
      <c r="T823" s="573" t="s">
        <v>1925</v>
      </c>
      <c r="U823" s="573" t="s">
        <v>1894</v>
      </c>
      <c r="V823" s="573">
        <v>129.9</v>
      </c>
      <c r="W823" s="573">
        <v>25</v>
      </c>
      <c r="X823" s="571">
        <v>8600</v>
      </c>
      <c r="Y823" s="573">
        <v>16</v>
      </c>
      <c r="Z823" s="579" t="s">
        <v>178</v>
      </c>
      <c r="AA823" s="579" t="s">
        <v>178</v>
      </c>
      <c r="AB823" s="584">
        <v>35635</v>
      </c>
      <c r="AC823" s="584" t="s">
        <v>164</v>
      </c>
      <c r="AD823" s="584">
        <v>27376</v>
      </c>
      <c r="AE823" s="586">
        <v>0.05</v>
      </c>
      <c r="AF823" s="661" t="str">
        <f t="shared" si="87"/>
        <v>2019-LVN-FRD-T15V-006-26</v>
      </c>
      <c r="AG823" s="661" t="str">
        <f>IF(AND($Y823&gt;=32,(AI823="I"),(Y823&lt;&gt;"~"),(COUNTIF($AN$1:$AN823,$AN823)=1)),"TRUE","FALSE")</f>
        <v>FALSE</v>
      </c>
      <c r="AH823" s="661" t="str">
        <f>IF(AND($Y823&gt;=22, (AI823&lt;&gt;"I"),(Y823&lt;&gt;"~"),(COUNTIF($AN$1:$AN823,$AN823)=1)),"TRUE","FALSE")</f>
        <v>FALSE</v>
      </c>
      <c r="AI823" s="661" t="str">
        <f t="shared" si="89"/>
        <v>II</v>
      </c>
      <c r="AJ823" s="662" t="str">
        <f t="shared" si="83"/>
        <v>T15V-006</v>
      </c>
      <c r="AK823" s="662" t="str">
        <f t="shared" si="84"/>
        <v>LVN</v>
      </c>
      <c r="AL823" s="662" t="str">
        <f t="shared" si="85"/>
        <v>FRD</v>
      </c>
      <c r="AM823" s="662" t="str">
        <f t="shared" si="88"/>
        <v>Transit 150 Van-Dual Door-RWD-2-100.8-~-3.7L-6-E1D-101A-129.9-25-Unleaded-Unleaded</v>
      </c>
      <c r="AN823" s="662" t="str">
        <f t="shared" si="86"/>
        <v>2019-LVN-FRD-T15V-006</v>
      </c>
    </row>
    <row r="824" spans="1:40" s="572" customFormat="1" ht="15">
      <c r="A824" s="570" t="s">
        <v>1942</v>
      </c>
      <c r="B824" s="569" t="s">
        <v>1913</v>
      </c>
      <c r="C824" s="569" t="s">
        <v>280</v>
      </c>
      <c r="D824" s="580">
        <v>27</v>
      </c>
      <c r="E824" s="569" t="s">
        <v>1516</v>
      </c>
      <c r="F824" s="569" t="s">
        <v>1914</v>
      </c>
      <c r="G824" s="569" t="s">
        <v>271</v>
      </c>
      <c r="H824" s="569">
        <v>2019</v>
      </c>
      <c r="I824" s="569" t="s">
        <v>1915</v>
      </c>
      <c r="J824" s="569" t="s">
        <v>1916</v>
      </c>
      <c r="K824" s="569" t="s">
        <v>236</v>
      </c>
      <c r="L824" s="569">
        <v>2</v>
      </c>
      <c r="M824" s="569">
        <v>0</v>
      </c>
      <c r="N824" s="569" t="s">
        <v>157</v>
      </c>
      <c r="O824" s="569">
        <v>1</v>
      </c>
      <c r="P824" s="569">
        <v>100.7</v>
      </c>
      <c r="Q824" s="568" t="s">
        <v>157</v>
      </c>
      <c r="R824" s="569" t="s">
        <v>1917</v>
      </c>
      <c r="S824" s="569">
        <v>5</v>
      </c>
      <c r="T824" s="569" t="s">
        <v>1918</v>
      </c>
      <c r="U824" s="569" t="s">
        <v>1894</v>
      </c>
      <c r="V824" s="569">
        <v>147.6</v>
      </c>
      <c r="W824" s="569">
        <v>25</v>
      </c>
      <c r="X824" s="568">
        <v>8600</v>
      </c>
      <c r="Y824" s="573">
        <v>16</v>
      </c>
      <c r="Z824" s="581" t="s">
        <v>728</v>
      </c>
      <c r="AA824" s="581" t="s">
        <v>1523</v>
      </c>
      <c r="AB824" s="585">
        <v>41355</v>
      </c>
      <c r="AC824" s="585" t="s">
        <v>164</v>
      </c>
      <c r="AD824" s="585">
        <v>31540.875</v>
      </c>
      <c r="AE824" s="587">
        <v>0.03</v>
      </c>
      <c r="AF824" s="661" t="str">
        <f t="shared" si="87"/>
        <v>2019-LVN-FRD-T15V-001-27</v>
      </c>
      <c r="AG824" s="661" t="str">
        <f>IF(AND($Y824&gt;=32,(AI824="I"),(Y824&lt;&gt;"~"),(COUNTIF($AN$1:$AN824,$AN824)=1)),"TRUE","FALSE")</f>
        <v>FALSE</v>
      </c>
      <c r="AH824" s="661" t="str">
        <f>IF(AND($Y824&gt;=22, (AI824&lt;&gt;"I"),(Y824&lt;&gt;"~"),(COUNTIF($AN$1:$AN824,$AN824)=1)),"TRUE","FALSE")</f>
        <v>FALSE</v>
      </c>
      <c r="AI824" s="661" t="str">
        <f t="shared" si="89"/>
        <v>II</v>
      </c>
      <c r="AJ824" s="662" t="str">
        <f t="shared" si="83"/>
        <v>T15V-001</v>
      </c>
      <c r="AK824" s="662" t="str">
        <f t="shared" si="84"/>
        <v>LVN</v>
      </c>
      <c r="AL824" s="662" t="str">
        <f t="shared" si="85"/>
        <v>FRD</v>
      </c>
      <c r="AM824" s="662" t="str">
        <f t="shared" si="88"/>
        <v>Transit 150 Van-Dual Door-RWD-2-100.7-~-3.2L-5-E2D-101A-147.6-25-Diesel-BioDiesel</v>
      </c>
      <c r="AN824" s="662" t="str">
        <f t="shared" si="86"/>
        <v>2019-LVN-FRD-T15V-001</v>
      </c>
    </row>
    <row r="825" spans="1:40" s="572" customFormat="1" ht="15">
      <c r="A825" s="570" t="s">
        <v>1943</v>
      </c>
      <c r="B825" s="573" t="s">
        <v>1920</v>
      </c>
      <c r="C825" s="573" t="s">
        <v>280</v>
      </c>
      <c r="D825" s="578">
        <v>27</v>
      </c>
      <c r="E825" s="573" t="s">
        <v>1516</v>
      </c>
      <c r="F825" s="573" t="s">
        <v>1914</v>
      </c>
      <c r="G825" s="573" t="s">
        <v>271</v>
      </c>
      <c r="H825" s="573">
        <v>2019</v>
      </c>
      <c r="I825" s="573" t="s">
        <v>1915</v>
      </c>
      <c r="J825" s="573" t="s">
        <v>1916</v>
      </c>
      <c r="K825" s="573" t="s">
        <v>236</v>
      </c>
      <c r="L825" s="573">
        <v>2</v>
      </c>
      <c r="M825" s="573">
        <v>0</v>
      </c>
      <c r="N825" s="573" t="s">
        <v>157</v>
      </c>
      <c r="O825" s="573">
        <v>1</v>
      </c>
      <c r="P825" s="573">
        <v>100.7</v>
      </c>
      <c r="Q825" s="571" t="s">
        <v>157</v>
      </c>
      <c r="R825" s="573" t="s">
        <v>1259</v>
      </c>
      <c r="S825" s="573">
        <v>6</v>
      </c>
      <c r="T825" s="573" t="s">
        <v>1918</v>
      </c>
      <c r="U825" s="573" t="s">
        <v>1894</v>
      </c>
      <c r="V825" s="573">
        <v>147.6</v>
      </c>
      <c r="W825" s="573">
        <v>25</v>
      </c>
      <c r="X825" s="571">
        <v>8600</v>
      </c>
      <c r="Y825" s="573">
        <v>16</v>
      </c>
      <c r="Z825" s="579" t="s">
        <v>178</v>
      </c>
      <c r="AA825" s="579" t="s">
        <v>178</v>
      </c>
      <c r="AB825" s="584">
        <v>39225</v>
      </c>
      <c r="AC825" s="584" t="s">
        <v>164</v>
      </c>
      <c r="AD825" s="584">
        <v>29647.583333333336</v>
      </c>
      <c r="AE825" s="586">
        <v>0.03</v>
      </c>
      <c r="AF825" s="661" t="str">
        <f t="shared" si="87"/>
        <v>2019-LVN-FRD-T15V-002-27</v>
      </c>
      <c r="AG825" s="661" t="str">
        <f>IF(AND($Y825&gt;=32,(AI825="I"),(Y825&lt;&gt;"~"),(COUNTIF($AN$1:$AN825,$AN825)=1)),"TRUE","FALSE")</f>
        <v>FALSE</v>
      </c>
      <c r="AH825" s="661" t="str">
        <f>IF(AND($Y825&gt;=22, (AI825&lt;&gt;"I"),(Y825&lt;&gt;"~"),(COUNTIF($AN$1:$AN825,$AN825)=1)),"TRUE","FALSE")</f>
        <v>FALSE</v>
      </c>
      <c r="AI825" s="661" t="str">
        <f t="shared" si="89"/>
        <v>II</v>
      </c>
      <c r="AJ825" s="662" t="str">
        <f t="shared" si="83"/>
        <v>T15V-002</v>
      </c>
      <c r="AK825" s="662" t="str">
        <f t="shared" si="84"/>
        <v>LVN</v>
      </c>
      <c r="AL825" s="662" t="str">
        <f t="shared" si="85"/>
        <v>FRD</v>
      </c>
      <c r="AM825" s="662" t="str">
        <f t="shared" si="88"/>
        <v>Transit 150 Van-Dual Door-RWD-2-100.7-~-3.5L EcoBoost-6-E2D-101A-147.6-25-Unleaded-Unleaded</v>
      </c>
      <c r="AN825" s="662" t="str">
        <f t="shared" si="86"/>
        <v>2019-LVN-FRD-T15V-002</v>
      </c>
    </row>
    <row r="826" spans="1:40" s="572" customFormat="1" ht="15">
      <c r="A826" s="570" t="s">
        <v>1944</v>
      </c>
      <c r="B826" s="569" t="s">
        <v>1922</v>
      </c>
      <c r="C826" s="569" t="s">
        <v>280</v>
      </c>
      <c r="D826" s="580">
        <v>27</v>
      </c>
      <c r="E826" s="569" t="s">
        <v>1516</v>
      </c>
      <c r="F826" s="569" t="s">
        <v>1914</v>
      </c>
      <c r="G826" s="569" t="s">
        <v>271</v>
      </c>
      <c r="H826" s="569">
        <v>2019</v>
      </c>
      <c r="I826" s="569" t="s">
        <v>1915</v>
      </c>
      <c r="J826" s="569" t="s">
        <v>1916</v>
      </c>
      <c r="K826" s="569" t="s">
        <v>236</v>
      </c>
      <c r="L826" s="569">
        <v>2</v>
      </c>
      <c r="M826" s="569">
        <v>0</v>
      </c>
      <c r="N826" s="569" t="s">
        <v>157</v>
      </c>
      <c r="O826" s="569">
        <v>1</v>
      </c>
      <c r="P826" s="569">
        <v>100.7</v>
      </c>
      <c r="Q826" s="568" t="s">
        <v>157</v>
      </c>
      <c r="R826" s="569" t="s">
        <v>682</v>
      </c>
      <c r="S826" s="569">
        <v>6</v>
      </c>
      <c r="T826" s="569" t="s">
        <v>1918</v>
      </c>
      <c r="U826" s="569" t="s">
        <v>1894</v>
      </c>
      <c r="V826" s="569">
        <v>147.6</v>
      </c>
      <c r="W826" s="569">
        <v>25</v>
      </c>
      <c r="X826" s="568">
        <v>8600</v>
      </c>
      <c r="Y826" s="573">
        <v>16</v>
      </c>
      <c r="Z826" s="581" t="s">
        <v>178</v>
      </c>
      <c r="AA826" s="581" t="s">
        <v>178</v>
      </c>
      <c r="AB826" s="585">
        <v>37360</v>
      </c>
      <c r="AC826" s="585" t="s">
        <v>164</v>
      </c>
      <c r="AD826" s="585">
        <v>27992.375</v>
      </c>
      <c r="AE826" s="587">
        <v>0.03</v>
      </c>
      <c r="AF826" s="661" t="str">
        <f t="shared" si="87"/>
        <v>2019-LVN-FRD-T15V-003-27</v>
      </c>
      <c r="AG826" s="661" t="str">
        <f>IF(AND($Y826&gt;=32,(AI826="I"),(Y826&lt;&gt;"~"),(COUNTIF($AN$1:$AN826,$AN826)=1)),"TRUE","FALSE")</f>
        <v>FALSE</v>
      </c>
      <c r="AH826" s="661" t="str">
        <f>IF(AND($Y826&gt;=22, (AI826&lt;&gt;"I"),(Y826&lt;&gt;"~"),(COUNTIF($AN$1:$AN826,$AN826)=1)),"TRUE","FALSE")</f>
        <v>FALSE</v>
      </c>
      <c r="AI826" s="661" t="str">
        <f t="shared" si="89"/>
        <v>II</v>
      </c>
      <c r="AJ826" s="662" t="str">
        <f t="shared" si="83"/>
        <v>T15V-003</v>
      </c>
      <c r="AK826" s="662" t="str">
        <f t="shared" si="84"/>
        <v>LVN</v>
      </c>
      <c r="AL826" s="662" t="str">
        <f t="shared" si="85"/>
        <v>FRD</v>
      </c>
      <c r="AM826" s="662" t="str">
        <f t="shared" si="88"/>
        <v>Transit 150 Van-Dual Door-RWD-2-100.7-~-3.7L-6-E2D-101A-147.6-25-Unleaded-Unleaded</v>
      </c>
      <c r="AN826" s="662" t="str">
        <f t="shared" si="86"/>
        <v>2019-LVN-FRD-T15V-003</v>
      </c>
    </row>
    <row r="827" spans="1:40" s="572" customFormat="1" ht="15">
      <c r="A827" s="570" t="s">
        <v>1944</v>
      </c>
      <c r="B827" s="573" t="s">
        <v>1922</v>
      </c>
      <c r="C827" s="573" t="s">
        <v>280</v>
      </c>
      <c r="D827" s="578">
        <v>27</v>
      </c>
      <c r="E827" s="573" t="s">
        <v>1516</v>
      </c>
      <c r="F827" s="573" t="s">
        <v>1914</v>
      </c>
      <c r="G827" s="573" t="s">
        <v>271</v>
      </c>
      <c r="H827" s="573">
        <v>2019</v>
      </c>
      <c r="I827" s="573" t="s">
        <v>1915</v>
      </c>
      <c r="J827" s="573" t="s">
        <v>1916</v>
      </c>
      <c r="K827" s="573" t="s">
        <v>236</v>
      </c>
      <c r="L827" s="573">
        <v>2</v>
      </c>
      <c r="M827" s="573">
        <v>0</v>
      </c>
      <c r="N827" s="573" t="s">
        <v>157</v>
      </c>
      <c r="O827" s="573">
        <v>1</v>
      </c>
      <c r="P827" s="573">
        <v>100.7</v>
      </c>
      <c r="Q827" s="571" t="s">
        <v>157</v>
      </c>
      <c r="R827" s="573" t="s">
        <v>682</v>
      </c>
      <c r="S827" s="573">
        <v>6</v>
      </c>
      <c r="T827" s="573" t="s">
        <v>1918</v>
      </c>
      <c r="U827" s="573" t="s">
        <v>1894</v>
      </c>
      <c r="V827" s="573">
        <v>147.6</v>
      </c>
      <c r="W827" s="573">
        <v>25</v>
      </c>
      <c r="X827" s="571">
        <v>8600</v>
      </c>
      <c r="Y827" s="573">
        <v>16</v>
      </c>
      <c r="Z827" s="579" t="s">
        <v>178</v>
      </c>
      <c r="AA827" s="579" t="s">
        <v>178</v>
      </c>
      <c r="AB827" s="584">
        <v>37360</v>
      </c>
      <c r="AC827" s="584" t="s">
        <v>164</v>
      </c>
      <c r="AD827" s="584">
        <v>27991.333333333336</v>
      </c>
      <c r="AE827" s="586">
        <v>0.03</v>
      </c>
      <c r="AF827" s="661" t="str">
        <f t="shared" si="87"/>
        <v>2019-LVN-FRD-T15V-003-27</v>
      </c>
      <c r="AG827" s="661" t="str">
        <f>IF(AND($Y827&gt;=32,(AI827="I"),(Y827&lt;&gt;"~"),(COUNTIF($AN$1:$AN827,$AN827)=1)),"TRUE","FALSE")</f>
        <v>FALSE</v>
      </c>
      <c r="AH827" s="661" t="str">
        <f>IF(AND($Y827&gt;=22, (AI827&lt;&gt;"I"),(Y827&lt;&gt;"~"),(COUNTIF($AN$1:$AN827,$AN827)=1)),"TRUE","FALSE")</f>
        <v>FALSE</v>
      </c>
      <c r="AI827" s="661" t="str">
        <f t="shared" si="89"/>
        <v>II</v>
      </c>
      <c r="AJ827" s="662" t="str">
        <f t="shared" si="83"/>
        <v>T15V-003</v>
      </c>
      <c r="AK827" s="662" t="str">
        <f t="shared" si="84"/>
        <v>LVN</v>
      </c>
      <c r="AL827" s="662" t="str">
        <f t="shared" si="85"/>
        <v>FRD</v>
      </c>
      <c r="AM827" s="662" t="str">
        <f t="shared" si="88"/>
        <v>Transit 150 Van-Dual Door-RWD-2-100.7-~-3.7L-6-E2D-101A-147.6-25-Unleaded-Unleaded</v>
      </c>
      <c r="AN827" s="662" t="str">
        <f t="shared" si="86"/>
        <v>2019-LVN-FRD-T15V-003</v>
      </c>
    </row>
    <row r="828" spans="1:40" s="572" customFormat="1" ht="15">
      <c r="A828" s="570" t="s">
        <v>1945</v>
      </c>
      <c r="B828" s="569" t="s">
        <v>1924</v>
      </c>
      <c r="C828" s="569" t="s">
        <v>280</v>
      </c>
      <c r="D828" s="580">
        <v>27</v>
      </c>
      <c r="E828" s="569" t="s">
        <v>1516</v>
      </c>
      <c r="F828" s="569" t="s">
        <v>1914</v>
      </c>
      <c r="G828" s="569" t="s">
        <v>271</v>
      </c>
      <c r="H828" s="569">
        <v>2019</v>
      </c>
      <c r="I828" s="569" t="s">
        <v>1915</v>
      </c>
      <c r="J828" s="569" t="s">
        <v>1916</v>
      </c>
      <c r="K828" s="569" t="s">
        <v>236</v>
      </c>
      <c r="L828" s="569">
        <v>2</v>
      </c>
      <c r="M828" s="569">
        <v>0</v>
      </c>
      <c r="N828" s="569" t="s">
        <v>157</v>
      </c>
      <c r="O828" s="569">
        <v>1</v>
      </c>
      <c r="P828" s="569">
        <v>100.8</v>
      </c>
      <c r="Q828" s="568" t="s">
        <v>157</v>
      </c>
      <c r="R828" s="569" t="s">
        <v>1917</v>
      </c>
      <c r="S828" s="569">
        <v>5</v>
      </c>
      <c r="T828" s="569" t="s">
        <v>1925</v>
      </c>
      <c r="U828" s="569" t="s">
        <v>1894</v>
      </c>
      <c r="V828" s="569">
        <v>129.9</v>
      </c>
      <c r="W828" s="569">
        <v>25</v>
      </c>
      <c r="X828" s="568">
        <v>8600</v>
      </c>
      <c r="Y828" s="573">
        <v>16</v>
      </c>
      <c r="Z828" s="581" t="s">
        <v>728</v>
      </c>
      <c r="AA828" s="581" t="s">
        <v>1523</v>
      </c>
      <c r="AB828" s="585">
        <v>39630</v>
      </c>
      <c r="AC828" s="585" t="s">
        <v>164</v>
      </c>
      <c r="AD828" s="585">
        <v>29963.791666666664</v>
      </c>
      <c r="AE828" s="587">
        <v>0.03</v>
      </c>
      <c r="AF828" s="661" t="str">
        <f t="shared" si="87"/>
        <v>2019-LVN-FRD-T15V-004-27</v>
      </c>
      <c r="AG828" s="661" t="str">
        <f>IF(AND($Y828&gt;=32,(AI828="I"),(Y828&lt;&gt;"~"),(COUNTIF($AN$1:$AN828,$AN828)=1)),"TRUE","FALSE")</f>
        <v>FALSE</v>
      </c>
      <c r="AH828" s="661" t="str">
        <f>IF(AND($Y828&gt;=22, (AI828&lt;&gt;"I"),(Y828&lt;&gt;"~"),(COUNTIF($AN$1:$AN828,$AN828)=1)),"TRUE","FALSE")</f>
        <v>FALSE</v>
      </c>
      <c r="AI828" s="661" t="str">
        <f t="shared" si="89"/>
        <v>II</v>
      </c>
      <c r="AJ828" s="662" t="str">
        <f t="shared" si="83"/>
        <v>T15V-004</v>
      </c>
      <c r="AK828" s="662" t="str">
        <f t="shared" si="84"/>
        <v>LVN</v>
      </c>
      <c r="AL828" s="662" t="str">
        <f t="shared" si="85"/>
        <v>FRD</v>
      </c>
      <c r="AM828" s="662" t="str">
        <f t="shared" si="88"/>
        <v>Transit 150 Van-Dual Door-RWD-2-100.8-~-3.2L-5-E1D-101A-129.9-25-Diesel-BioDiesel</v>
      </c>
      <c r="AN828" s="662" t="str">
        <f t="shared" si="86"/>
        <v>2019-LVN-FRD-T15V-004</v>
      </c>
    </row>
    <row r="829" spans="1:40" s="572" customFormat="1" ht="15">
      <c r="A829" s="570" t="s">
        <v>1946</v>
      </c>
      <c r="B829" s="573" t="s">
        <v>1927</v>
      </c>
      <c r="C829" s="573" t="s">
        <v>280</v>
      </c>
      <c r="D829" s="578">
        <v>27</v>
      </c>
      <c r="E829" s="573" t="s">
        <v>1516</v>
      </c>
      <c r="F829" s="573" t="s">
        <v>1914</v>
      </c>
      <c r="G829" s="573" t="s">
        <v>271</v>
      </c>
      <c r="H829" s="573">
        <v>2019</v>
      </c>
      <c r="I829" s="573" t="s">
        <v>1915</v>
      </c>
      <c r="J829" s="573" t="s">
        <v>1916</v>
      </c>
      <c r="K829" s="573" t="s">
        <v>236</v>
      </c>
      <c r="L829" s="573">
        <v>2</v>
      </c>
      <c r="M829" s="573">
        <v>0</v>
      </c>
      <c r="N829" s="573" t="s">
        <v>157</v>
      </c>
      <c r="O829" s="573">
        <v>1</v>
      </c>
      <c r="P829" s="573">
        <v>100.8</v>
      </c>
      <c r="Q829" s="571" t="s">
        <v>157</v>
      </c>
      <c r="R829" s="573" t="s">
        <v>1259</v>
      </c>
      <c r="S829" s="573">
        <v>6</v>
      </c>
      <c r="T829" s="573" t="s">
        <v>1925</v>
      </c>
      <c r="U829" s="573" t="s">
        <v>1894</v>
      </c>
      <c r="V829" s="573">
        <v>129.9</v>
      </c>
      <c r="W829" s="573">
        <v>25</v>
      </c>
      <c r="X829" s="571">
        <v>8600</v>
      </c>
      <c r="Y829" s="573">
        <v>16</v>
      </c>
      <c r="Z829" s="579" t="s">
        <v>178</v>
      </c>
      <c r="AA829" s="579" t="s">
        <v>178</v>
      </c>
      <c r="AB829" s="584">
        <v>37500</v>
      </c>
      <c r="AC829" s="584" t="s">
        <v>164</v>
      </c>
      <c r="AD829" s="584">
        <v>28070.5</v>
      </c>
      <c r="AE829" s="586">
        <v>0.03</v>
      </c>
      <c r="AF829" s="661" t="str">
        <f t="shared" si="87"/>
        <v>2019-LVN-FRD-T15V-005-27</v>
      </c>
      <c r="AG829" s="661" t="str">
        <f>IF(AND($Y829&gt;=32,(AI829="I"),(Y829&lt;&gt;"~"),(COUNTIF($AN$1:$AN829,$AN829)=1)),"TRUE","FALSE")</f>
        <v>FALSE</v>
      </c>
      <c r="AH829" s="661" t="str">
        <f>IF(AND($Y829&gt;=22, (AI829&lt;&gt;"I"),(Y829&lt;&gt;"~"),(COUNTIF($AN$1:$AN829,$AN829)=1)),"TRUE","FALSE")</f>
        <v>FALSE</v>
      </c>
      <c r="AI829" s="661" t="str">
        <f t="shared" si="89"/>
        <v>II</v>
      </c>
      <c r="AJ829" s="662" t="str">
        <f t="shared" si="83"/>
        <v>T15V-005</v>
      </c>
      <c r="AK829" s="662" t="str">
        <f t="shared" si="84"/>
        <v>LVN</v>
      </c>
      <c r="AL829" s="662" t="str">
        <f t="shared" si="85"/>
        <v>FRD</v>
      </c>
      <c r="AM829" s="662" t="str">
        <f t="shared" si="88"/>
        <v>Transit 150 Van-Dual Door-RWD-2-100.8-~-3.5L EcoBoost-6-E1D-101A-129.9-25-Unleaded-Unleaded</v>
      </c>
      <c r="AN829" s="662" t="str">
        <f t="shared" si="86"/>
        <v>2019-LVN-FRD-T15V-005</v>
      </c>
    </row>
    <row r="830" spans="1:40" s="572" customFormat="1" ht="15">
      <c r="A830" s="570" t="s">
        <v>1947</v>
      </c>
      <c r="B830" s="569" t="s">
        <v>1929</v>
      </c>
      <c r="C830" s="569" t="s">
        <v>280</v>
      </c>
      <c r="D830" s="580">
        <v>27</v>
      </c>
      <c r="E830" s="569" t="s">
        <v>1516</v>
      </c>
      <c r="F830" s="569" t="s">
        <v>1914</v>
      </c>
      <c r="G830" s="569" t="s">
        <v>271</v>
      </c>
      <c r="H830" s="569">
        <v>2019</v>
      </c>
      <c r="I830" s="569" t="s">
        <v>1915</v>
      </c>
      <c r="J830" s="569" t="s">
        <v>1916</v>
      </c>
      <c r="K830" s="569" t="s">
        <v>236</v>
      </c>
      <c r="L830" s="569">
        <v>2</v>
      </c>
      <c r="M830" s="569">
        <v>0</v>
      </c>
      <c r="N830" s="569" t="s">
        <v>157</v>
      </c>
      <c r="O830" s="569">
        <v>1</v>
      </c>
      <c r="P830" s="569">
        <v>100.8</v>
      </c>
      <c r="Q830" s="568" t="s">
        <v>157</v>
      </c>
      <c r="R830" s="569" t="s">
        <v>682</v>
      </c>
      <c r="S830" s="569">
        <v>6</v>
      </c>
      <c r="T830" s="569" t="s">
        <v>1925</v>
      </c>
      <c r="U830" s="569" t="s">
        <v>1894</v>
      </c>
      <c r="V830" s="569">
        <v>129.9</v>
      </c>
      <c r="W830" s="569">
        <v>25</v>
      </c>
      <c r="X830" s="568">
        <v>8600</v>
      </c>
      <c r="Y830" s="573">
        <v>16</v>
      </c>
      <c r="Z830" s="581" t="s">
        <v>178</v>
      </c>
      <c r="AA830" s="581" t="s">
        <v>178</v>
      </c>
      <c r="AB830" s="585">
        <v>35635</v>
      </c>
      <c r="AC830" s="585" t="s">
        <v>164</v>
      </c>
      <c r="AD830" s="585">
        <v>26508</v>
      </c>
      <c r="AE830" s="587">
        <v>0.03</v>
      </c>
      <c r="AF830" s="661" t="str">
        <f t="shared" si="87"/>
        <v>2019-LVN-FRD-T15V-006-27</v>
      </c>
      <c r="AG830" s="661" t="str">
        <f>IF(AND($Y830&gt;=32,(AI830="I"),(Y830&lt;&gt;"~"),(COUNTIF($AN$1:$AN830,$AN830)=1)),"TRUE","FALSE")</f>
        <v>FALSE</v>
      </c>
      <c r="AH830" s="661" t="str">
        <f>IF(AND($Y830&gt;=22, (AI830&lt;&gt;"I"),(Y830&lt;&gt;"~"),(COUNTIF($AN$1:$AN830,$AN830)=1)),"TRUE","FALSE")</f>
        <v>FALSE</v>
      </c>
      <c r="AI830" s="661" t="str">
        <f t="shared" si="89"/>
        <v>II</v>
      </c>
      <c r="AJ830" s="662" t="str">
        <f t="shared" si="83"/>
        <v>T15V-006</v>
      </c>
      <c r="AK830" s="662" t="str">
        <f t="shared" si="84"/>
        <v>LVN</v>
      </c>
      <c r="AL830" s="662" t="str">
        <f t="shared" si="85"/>
        <v>FRD</v>
      </c>
      <c r="AM830" s="662" t="str">
        <f t="shared" si="88"/>
        <v>Transit 150 Van-Dual Door-RWD-2-100.8-~-3.7L-6-E1D-101A-129.9-25-Unleaded-Unleaded</v>
      </c>
      <c r="AN830" s="662" t="str">
        <f t="shared" si="86"/>
        <v>2019-LVN-FRD-T15V-006</v>
      </c>
    </row>
    <row r="831" spans="1:40" s="572" customFormat="1" ht="15">
      <c r="A831" s="570" t="s">
        <v>1947</v>
      </c>
      <c r="B831" s="573" t="s">
        <v>1929</v>
      </c>
      <c r="C831" s="573" t="s">
        <v>280</v>
      </c>
      <c r="D831" s="578">
        <v>27</v>
      </c>
      <c r="E831" s="573" t="s">
        <v>1516</v>
      </c>
      <c r="F831" s="573" t="s">
        <v>1914</v>
      </c>
      <c r="G831" s="573" t="s">
        <v>271</v>
      </c>
      <c r="H831" s="573">
        <v>2019</v>
      </c>
      <c r="I831" s="573" t="s">
        <v>1915</v>
      </c>
      <c r="J831" s="573" t="s">
        <v>1916</v>
      </c>
      <c r="K831" s="573" t="s">
        <v>236</v>
      </c>
      <c r="L831" s="573">
        <v>2</v>
      </c>
      <c r="M831" s="573">
        <v>0</v>
      </c>
      <c r="N831" s="573" t="s">
        <v>157</v>
      </c>
      <c r="O831" s="573">
        <v>1</v>
      </c>
      <c r="P831" s="573">
        <v>100.8</v>
      </c>
      <c r="Q831" s="571" t="s">
        <v>157</v>
      </c>
      <c r="R831" s="573" t="s">
        <v>682</v>
      </c>
      <c r="S831" s="573">
        <v>6</v>
      </c>
      <c r="T831" s="573" t="s">
        <v>1925</v>
      </c>
      <c r="U831" s="573" t="s">
        <v>1894</v>
      </c>
      <c r="V831" s="573">
        <v>129.9</v>
      </c>
      <c r="W831" s="573">
        <v>25</v>
      </c>
      <c r="X831" s="571">
        <v>8600</v>
      </c>
      <c r="Y831" s="573">
        <v>16</v>
      </c>
      <c r="Z831" s="579" t="s">
        <v>178</v>
      </c>
      <c r="AA831" s="579" t="s">
        <v>178</v>
      </c>
      <c r="AB831" s="584">
        <v>35635</v>
      </c>
      <c r="AC831" s="584" t="s">
        <v>164</v>
      </c>
      <c r="AD831" s="584">
        <v>26414.25</v>
      </c>
      <c r="AE831" s="586">
        <v>0.03</v>
      </c>
      <c r="AF831" s="661" t="str">
        <f t="shared" si="87"/>
        <v>2019-LVN-FRD-T15V-006-27</v>
      </c>
      <c r="AG831" s="661" t="str">
        <f>IF(AND($Y831&gt;=32,(AI831="I"),(Y831&lt;&gt;"~"),(COUNTIF($AN$1:$AN831,$AN831)=1)),"TRUE","FALSE")</f>
        <v>FALSE</v>
      </c>
      <c r="AH831" s="661" t="str">
        <f>IF(AND($Y831&gt;=22, (AI831&lt;&gt;"I"),(Y831&lt;&gt;"~"),(COUNTIF($AN$1:$AN831,$AN831)=1)),"TRUE","FALSE")</f>
        <v>FALSE</v>
      </c>
      <c r="AI831" s="661" t="str">
        <f t="shared" si="89"/>
        <v>II</v>
      </c>
      <c r="AJ831" s="662" t="str">
        <f t="shared" si="83"/>
        <v>T15V-006</v>
      </c>
      <c r="AK831" s="662" t="str">
        <f t="shared" si="84"/>
        <v>LVN</v>
      </c>
      <c r="AL831" s="662" t="str">
        <f t="shared" si="85"/>
        <v>FRD</v>
      </c>
      <c r="AM831" s="662" t="str">
        <f t="shared" si="88"/>
        <v>Transit 150 Van-Dual Door-RWD-2-100.8-~-3.7L-6-E1D-101A-129.9-25-Unleaded-Unleaded</v>
      </c>
      <c r="AN831" s="662" t="str">
        <f t="shared" si="86"/>
        <v>2019-LVN-FRD-T15V-006</v>
      </c>
    </row>
    <row r="832" spans="1:40" s="572" customFormat="1" ht="15">
      <c r="A832" s="570" t="s">
        <v>1948</v>
      </c>
      <c r="B832" s="569" t="s">
        <v>1949</v>
      </c>
      <c r="C832" s="569" t="s">
        <v>269</v>
      </c>
      <c r="D832" s="580" t="s">
        <v>270</v>
      </c>
      <c r="E832" s="569" t="s">
        <v>1516</v>
      </c>
      <c r="F832" s="569" t="s">
        <v>1914</v>
      </c>
      <c r="G832" s="569" t="s">
        <v>271</v>
      </c>
      <c r="H832" s="569">
        <v>2019</v>
      </c>
      <c r="I832" s="569" t="s">
        <v>1915</v>
      </c>
      <c r="J832" s="569" t="s">
        <v>1950</v>
      </c>
      <c r="K832" s="569" t="s">
        <v>236</v>
      </c>
      <c r="L832" s="569">
        <v>2</v>
      </c>
      <c r="M832" s="569">
        <v>0</v>
      </c>
      <c r="N832" s="569" t="s">
        <v>157</v>
      </c>
      <c r="O832" s="569">
        <v>1</v>
      </c>
      <c r="P832" s="569">
        <v>100.7</v>
      </c>
      <c r="Q832" s="568" t="s">
        <v>157</v>
      </c>
      <c r="R832" s="569" t="s">
        <v>1917</v>
      </c>
      <c r="S832" s="569">
        <v>5</v>
      </c>
      <c r="T832" s="569" t="s">
        <v>1893</v>
      </c>
      <c r="U832" s="569" t="s">
        <v>1894</v>
      </c>
      <c r="V832" s="569">
        <v>147.6</v>
      </c>
      <c r="W832" s="569">
        <v>25</v>
      </c>
      <c r="X832" s="568">
        <v>8600</v>
      </c>
      <c r="Y832" s="573">
        <v>16</v>
      </c>
      <c r="Z832" s="581" t="s">
        <v>728</v>
      </c>
      <c r="AA832" s="581" t="s">
        <v>1523</v>
      </c>
      <c r="AB832" s="585">
        <v>40705</v>
      </c>
      <c r="AC832" s="585" t="s">
        <v>164</v>
      </c>
      <c r="AD832" s="585">
        <v>30947.125</v>
      </c>
      <c r="AE832" s="587">
        <v>0.03</v>
      </c>
      <c r="AF832" s="661" t="str">
        <f t="shared" si="87"/>
        <v>2019-LVN-FRD-T15V-007-05</v>
      </c>
      <c r="AG832" s="661" t="str">
        <f>IF(AND($Y832&gt;=32,(AI832="I"),(Y832&lt;&gt;"~"),(COUNTIF($AN$1:$AN832,$AN832)=1)),"TRUE","FALSE")</f>
        <v>FALSE</v>
      </c>
      <c r="AH832" s="661" t="str">
        <f>IF(AND($Y832&gt;=22, (AI832&lt;&gt;"I"),(Y832&lt;&gt;"~"),(COUNTIF($AN$1:$AN832,$AN832)=1)),"TRUE","FALSE")</f>
        <v>FALSE</v>
      </c>
      <c r="AI832" s="661" t="str">
        <f t="shared" si="89"/>
        <v>II</v>
      </c>
      <c r="AJ832" s="662" t="str">
        <f t="shared" si="83"/>
        <v>T15V-007</v>
      </c>
      <c r="AK832" s="662" t="str">
        <f t="shared" si="84"/>
        <v>LVN</v>
      </c>
      <c r="AL832" s="662" t="str">
        <f t="shared" si="85"/>
        <v>FRD</v>
      </c>
      <c r="AM832" s="662" t="str">
        <f t="shared" si="88"/>
        <v>Transit 150 Van-Sliding RH Door-RWD-2-100.7-~-3.2L-5-E2C-101A-147.6-25-Diesel-BioDiesel</v>
      </c>
      <c r="AN832" s="662" t="str">
        <f t="shared" si="86"/>
        <v>2019-LVN-FRD-T15V-007</v>
      </c>
    </row>
    <row r="833" spans="1:40" s="572" customFormat="1" ht="15">
      <c r="A833" s="570" t="s">
        <v>1951</v>
      </c>
      <c r="B833" s="573" t="s">
        <v>1952</v>
      </c>
      <c r="C833" s="573" t="s">
        <v>269</v>
      </c>
      <c r="D833" s="578" t="s">
        <v>270</v>
      </c>
      <c r="E833" s="573" t="s">
        <v>1516</v>
      </c>
      <c r="F833" s="573" t="s">
        <v>1914</v>
      </c>
      <c r="G833" s="573" t="s">
        <v>271</v>
      </c>
      <c r="H833" s="573">
        <v>2019</v>
      </c>
      <c r="I833" s="573" t="s">
        <v>1915</v>
      </c>
      <c r="J833" s="573" t="s">
        <v>1950</v>
      </c>
      <c r="K833" s="573" t="s">
        <v>236</v>
      </c>
      <c r="L833" s="573">
        <v>2</v>
      </c>
      <c r="M833" s="573">
        <v>0</v>
      </c>
      <c r="N833" s="573" t="s">
        <v>157</v>
      </c>
      <c r="O833" s="573">
        <v>1</v>
      </c>
      <c r="P833" s="573">
        <v>100.7</v>
      </c>
      <c r="Q833" s="571" t="s">
        <v>157</v>
      </c>
      <c r="R833" s="573" t="s">
        <v>1259</v>
      </c>
      <c r="S833" s="573">
        <v>6</v>
      </c>
      <c r="T833" s="573" t="s">
        <v>1893</v>
      </c>
      <c r="U833" s="573" t="s">
        <v>1894</v>
      </c>
      <c r="V833" s="573">
        <v>147.6</v>
      </c>
      <c r="W833" s="573">
        <v>25</v>
      </c>
      <c r="X833" s="571">
        <v>8600</v>
      </c>
      <c r="Y833" s="573">
        <v>16</v>
      </c>
      <c r="Z833" s="579" t="s">
        <v>178</v>
      </c>
      <c r="AA833" s="579" t="s">
        <v>178</v>
      </c>
      <c r="AB833" s="584">
        <v>38575</v>
      </c>
      <c r="AC833" s="584" t="s">
        <v>164</v>
      </c>
      <c r="AD833" s="584">
        <v>29053.833333333336</v>
      </c>
      <c r="AE833" s="586">
        <v>0.03</v>
      </c>
      <c r="AF833" s="661" t="str">
        <f t="shared" si="87"/>
        <v>2019-LVN-FRD-T15V-008-05</v>
      </c>
      <c r="AG833" s="661" t="str">
        <f>IF(AND($Y833&gt;=32,(AI833="I"),(Y833&lt;&gt;"~"),(COUNTIF($AN$1:$AN833,$AN833)=1)),"TRUE","FALSE")</f>
        <v>FALSE</v>
      </c>
      <c r="AH833" s="661" t="str">
        <f>IF(AND($Y833&gt;=22, (AI833&lt;&gt;"I"),(Y833&lt;&gt;"~"),(COUNTIF($AN$1:$AN833,$AN833)=1)),"TRUE","FALSE")</f>
        <v>FALSE</v>
      </c>
      <c r="AI833" s="661" t="str">
        <f t="shared" si="89"/>
        <v>II</v>
      </c>
      <c r="AJ833" s="662" t="str">
        <f t="shared" si="83"/>
        <v>T15V-008</v>
      </c>
      <c r="AK833" s="662" t="str">
        <f t="shared" si="84"/>
        <v>LVN</v>
      </c>
      <c r="AL833" s="662" t="str">
        <f t="shared" si="85"/>
        <v>FRD</v>
      </c>
      <c r="AM833" s="662" t="str">
        <f t="shared" si="88"/>
        <v>Transit 150 Van-Sliding RH Door-RWD-2-100.7-~-3.5L EcoBoost-6-E2C-101A-147.6-25-Unleaded-Unleaded</v>
      </c>
      <c r="AN833" s="662" t="str">
        <f t="shared" si="86"/>
        <v>2019-LVN-FRD-T15V-008</v>
      </c>
    </row>
    <row r="834" spans="1:40" s="572" customFormat="1" ht="15">
      <c r="A834" s="570" t="s">
        <v>1953</v>
      </c>
      <c r="B834" s="569" t="s">
        <v>1954</v>
      </c>
      <c r="C834" s="569" t="s">
        <v>269</v>
      </c>
      <c r="D834" s="580" t="s">
        <v>270</v>
      </c>
      <c r="E834" s="569" t="s">
        <v>1516</v>
      </c>
      <c r="F834" s="569" t="s">
        <v>1914</v>
      </c>
      <c r="G834" s="569" t="s">
        <v>271</v>
      </c>
      <c r="H834" s="569">
        <v>2019</v>
      </c>
      <c r="I834" s="569" t="s">
        <v>1915</v>
      </c>
      <c r="J834" s="569" t="s">
        <v>1950</v>
      </c>
      <c r="K834" s="569" t="s">
        <v>236</v>
      </c>
      <c r="L834" s="569">
        <v>2</v>
      </c>
      <c r="M834" s="569">
        <v>0</v>
      </c>
      <c r="N834" s="569" t="s">
        <v>157</v>
      </c>
      <c r="O834" s="569">
        <v>1</v>
      </c>
      <c r="P834" s="569">
        <v>100.7</v>
      </c>
      <c r="Q834" s="568" t="s">
        <v>157</v>
      </c>
      <c r="R834" s="569" t="s">
        <v>682</v>
      </c>
      <c r="S834" s="569">
        <v>6</v>
      </c>
      <c r="T834" s="569" t="s">
        <v>1893</v>
      </c>
      <c r="U834" s="569" t="s">
        <v>1894</v>
      </c>
      <c r="V834" s="569">
        <v>147.6</v>
      </c>
      <c r="W834" s="569">
        <v>25</v>
      </c>
      <c r="X834" s="568">
        <v>8600</v>
      </c>
      <c r="Y834" s="573">
        <v>16</v>
      </c>
      <c r="Z834" s="581" t="s">
        <v>178</v>
      </c>
      <c r="AA834" s="581" t="s">
        <v>178</v>
      </c>
      <c r="AB834" s="585">
        <v>36710</v>
      </c>
      <c r="AC834" s="585" t="s">
        <v>164</v>
      </c>
      <c r="AD834" s="585">
        <v>27397.583333333336</v>
      </c>
      <c r="AE834" s="587">
        <v>0.03</v>
      </c>
      <c r="AF834" s="661" t="str">
        <f t="shared" si="87"/>
        <v>2019-LVN-FRD-T15V-009-05</v>
      </c>
      <c r="AG834" s="661" t="str">
        <f>IF(AND($Y834&gt;=32,(AI834="I"),(Y834&lt;&gt;"~"),(COUNTIF($AN$1:$AN834,$AN834)=1)),"TRUE","FALSE")</f>
        <v>FALSE</v>
      </c>
      <c r="AH834" s="661" t="str">
        <f>IF(AND($Y834&gt;=22, (AI834&lt;&gt;"I"),(Y834&lt;&gt;"~"),(COUNTIF($AN$1:$AN834,$AN834)=1)),"TRUE","FALSE")</f>
        <v>FALSE</v>
      </c>
      <c r="AI834" s="661" t="str">
        <f t="shared" si="89"/>
        <v>II</v>
      </c>
      <c r="AJ834" s="662" t="str">
        <f t="shared" si="83"/>
        <v>T15V-009</v>
      </c>
      <c r="AK834" s="662" t="str">
        <f t="shared" si="84"/>
        <v>LVN</v>
      </c>
      <c r="AL834" s="662" t="str">
        <f t="shared" si="85"/>
        <v>FRD</v>
      </c>
      <c r="AM834" s="662" t="str">
        <f t="shared" si="88"/>
        <v>Transit 150 Van-Sliding RH Door-RWD-2-100.7-~-3.7L-6-E2C-101A-147.6-25-Unleaded-Unleaded</v>
      </c>
      <c r="AN834" s="662" t="str">
        <f t="shared" si="86"/>
        <v>2019-LVN-FRD-T15V-009</v>
      </c>
    </row>
    <row r="835" spans="1:40" s="572" customFormat="1" ht="15">
      <c r="A835" s="570" t="s">
        <v>1955</v>
      </c>
      <c r="B835" s="573" t="s">
        <v>1956</v>
      </c>
      <c r="C835" s="573" t="s">
        <v>269</v>
      </c>
      <c r="D835" s="578" t="s">
        <v>270</v>
      </c>
      <c r="E835" s="573" t="s">
        <v>1516</v>
      </c>
      <c r="F835" s="573" t="s">
        <v>1914</v>
      </c>
      <c r="G835" s="573" t="s">
        <v>271</v>
      </c>
      <c r="H835" s="573">
        <v>2019</v>
      </c>
      <c r="I835" s="573" t="s">
        <v>1915</v>
      </c>
      <c r="J835" s="573" t="s">
        <v>1950</v>
      </c>
      <c r="K835" s="573" t="s">
        <v>236</v>
      </c>
      <c r="L835" s="573">
        <v>2</v>
      </c>
      <c r="M835" s="573">
        <v>0</v>
      </c>
      <c r="N835" s="573" t="s">
        <v>157</v>
      </c>
      <c r="O835" s="573">
        <v>1</v>
      </c>
      <c r="P835" s="573">
        <v>100.8</v>
      </c>
      <c r="Q835" s="571" t="s">
        <v>157</v>
      </c>
      <c r="R835" s="573" t="s">
        <v>1917</v>
      </c>
      <c r="S835" s="573">
        <v>5</v>
      </c>
      <c r="T835" s="573" t="s">
        <v>1957</v>
      </c>
      <c r="U835" s="573" t="s">
        <v>1894</v>
      </c>
      <c r="V835" s="573">
        <v>129.9</v>
      </c>
      <c r="W835" s="573">
        <v>25</v>
      </c>
      <c r="X835" s="571">
        <v>8600</v>
      </c>
      <c r="Y835" s="573">
        <v>16</v>
      </c>
      <c r="Z835" s="579" t="s">
        <v>728</v>
      </c>
      <c r="AA835" s="579" t="s">
        <v>1523</v>
      </c>
      <c r="AB835" s="584">
        <v>38980</v>
      </c>
      <c r="AC835" s="584" t="s">
        <v>164</v>
      </c>
      <c r="AD835" s="584">
        <v>29370.041666666664</v>
      </c>
      <c r="AE835" s="586">
        <v>0.03</v>
      </c>
      <c r="AF835" s="661" t="str">
        <f t="shared" si="87"/>
        <v>2019-LVN-FRD-T15V-011-05</v>
      </c>
      <c r="AG835" s="661" t="str">
        <f>IF(AND($Y835&gt;=32,(AI835="I"),(Y835&lt;&gt;"~"),(COUNTIF($AN$1:$AN835,$AN835)=1)),"TRUE","FALSE")</f>
        <v>FALSE</v>
      </c>
      <c r="AH835" s="661" t="str">
        <f>IF(AND($Y835&gt;=22, (AI835&lt;&gt;"I"),(Y835&lt;&gt;"~"),(COUNTIF($AN$1:$AN835,$AN835)=1)),"TRUE","FALSE")</f>
        <v>FALSE</v>
      </c>
      <c r="AI835" s="661" t="str">
        <f t="shared" si="89"/>
        <v>II</v>
      </c>
      <c r="AJ835" s="662" t="str">
        <f t="shared" ref="AJ835:AJ898" si="90">MID(A835,14,8)</f>
        <v>T15V-011</v>
      </c>
      <c r="AK835" s="662" t="str">
        <f t="shared" ref="AK835:AK898" si="91">MID(A835,6,3)</f>
        <v>LVN</v>
      </c>
      <c r="AL835" s="662" t="str">
        <f t="shared" ref="AL835:AL898" si="92">MID(A835,10,3)</f>
        <v>FRD</v>
      </c>
      <c r="AM835" s="662" t="str">
        <f t="shared" si="88"/>
        <v>Transit 150 Van-Sliding RH Door-RWD-2-100.8-~-3.2L-5-E1C-101A-129.9-25-Diesel-BioDiesel</v>
      </c>
      <c r="AN835" s="662" t="str">
        <f t="shared" ref="AN835:AN898" si="93">LEFT(A835,21)</f>
        <v>2019-LVN-FRD-T15V-011</v>
      </c>
    </row>
    <row r="836" spans="1:40" s="572" customFormat="1" ht="15">
      <c r="A836" s="570" t="s">
        <v>1958</v>
      </c>
      <c r="B836" s="569" t="s">
        <v>1959</v>
      </c>
      <c r="C836" s="569" t="s">
        <v>269</v>
      </c>
      <c r="D836" s="580" t="s">
        <v>270</v>
      </c>
      <c r="E836" s="569" t="s">
        <v>1516</v>
      </c>
      <c r="F836" s="569" t="s">
        <v>1914</v>
      </c>
      <c r="G836" s="569" t="s">
        <v>271</v>
      </c>
      <c r="H836" s="569">
        <v>2019</v>
      </c>
      <c r="I836" s="569" t="s">
        <v>1915</v>
      </c>
      <c r="J836" s="569" t="s">
        <v>1950</v>
      </c>
      <c r="K836" s="569" t="s">
        <v>236</v>
      </c>
      <c r="L836" s="569">
        <v>2</v>
      </c>
      <c r="M836" s="569">
        <v>0</v>
      </c>
      <c r="N836" s="569" t="s">
        <v>157</v>
      </c>
      <c r="O836" s="569">
        <v>1</v>
      </c>
      <c r="P836" s="569">
        <v>100.8</v>
      </c>
      <c r="Q836" s="568" t="s">
        <v>157</v>
      </c>
      <c r="R836" s="569" t="s">
        <v>1259</v>
      </c>
      <c r="S836" s="569">
        <v>6</v>
      </c>
      <c r="T836" s="569" t="s">
        <v>1957</v>
      </c>
      <c r="U836" s="569" t="s">
        <v>1894</v>
      </c>
      <c r="V836" s="569">
        <v>129.9</v>
      </c>
      <c r="W836" s="569">
        <v>25</v>
      </c>
      <c r="X836" s="568">
        <v>8600</v>
      </c>
      <c r="Y836" s="573">
        <v>16</v>
      </c>
      <c r="Z836" s="581" t="s">
        <v>178</v>
      </c>
      <c r="AA836" s="581" t="s">
        <v>178</v>
      </c>
      <c r="AB836" s="585">
        <v>36850</v>
      </c>
      <c r="AC836" s="585" t="s">
        <v>164</v>
      </c>
      <c r="AD836" s="585">
        <v>27476.75</v>
      </c>
      <c r="AE836" s="587">
        <v>0.03</v>
      </c>
      <c r="AF836" s="661" t="str">
        <f t="shared" si="87"/>
        <v>2019-LVN-FRD-T15V-012-05</v>
      </c>
      <c r="AG836" s="661" t="str">
        <f>IF(AND($Y836&gt;=32,(AI836="I"),(Y836&lt;&gt;"~"),(COUNTIF($AN$1:$AN836,$AN836)=1)),"TRUE","FALSE")</f>
        <v>FALSE</v>
      </c>
      <c r="AH836" s="661" t="str">
        <f>IF(AND($Y836&gt;=22, (AI836&lt;&gt;"I"),(Y836&lt;&gt;"~"),(COUNTIF($AN$1:$AN836,$AN836)=1)),"TRUE","FALSE")</f>
        <v>FALSE</v>
      </c>
      <c r="AI836" s="661" t="str">
        <f t="shared" si="89"/>
        <v>II</v>
      </c>
      <c r="AJ836" s="662" t="str">
        <f t="shared" si="90"/>
        <v>T15V-012</v>
      </c>
      <c r="AK836" s="662" t="str">
        <f t="shared" si="91"/>
        <v>LVN</v>
      </c>
      <c r="AL836" s="662" t="str">
        <f t="shared" si="92"/>
        <v>FRD</v>
      </c>
      <c r="AM836" s="662" t="str">
        <f t="shared" si="88"/>
        <v>Transit 150 Van-Sliding RH Door-RWD-2-100.8-~-3.5L EcoBoost-6-E1C-101A-129.9-25-Unleaded-Unleaded</v>
      </c>
      <c r="AN836" s="662" t="str">
        <f t="shared" si="93"/>
        <v>2019-LVN-FRD-T15V-012</v>
      </c>
    </row>
    <row r="837" spans="1:40" s="572" customFormat="1" ht="15">
      <c r="A837" s="570" t="s">
        <v>1960</v>
      </c>
      <c r="B837" s="573" t="s">
        <v>1961</v>
      </c>
      <c r="C837" s="573" t="s">
        <v>269</v>
      </c>
      <c r="D837" s="578" t="s">
        <v>270</v>
      </c>
      <c r="E837" s="573" t="s">
        <v>1516</v>
      </c>
      <c r="F837" s="573" t="s">
        <v>1914</v>
      </c>
      <c r="G837" s="573" t="s">
        <v>271</v>
      </c>
      <c r="H837" s="573">
        <v>2019</v>
      </c>
      <c r="I837" s="573" t="s">
        <v>1915</v>
      </c>
      <c r="J837" s="573" t="s">
        <v>1950</v>
      </c>
      <c r="K837" s="573" t="s">
        <v>236</v>
      </c>
      <c r="L837" s="573">
        <v>2</v>
      </c>
      <c r="M837" s="573">
        <v>0</v>
      </c>
      <c r="N837" s="573" t="s">
        <v>157</v>
      </c>
      <c r="O837" s="573">
        <v>1</v>
      </c>
      <c r="P837" s="573">
        <v>100.8</v>
      </c>
      <c r="Q837" s="571" t="s">
        <v>157</v>
      </c>
      <c r="R837" s="573" t="s">
        <v>682</v>
      </c>
      <c r="S837" s="573">
        <v>6</v>
      </c>
      <c r="T837" s="573" t="s">
        <v>1957</v>
      </c>
      <c r="U837" s="573" t="s">
        <v>1894</v>
      </c>
      <c r="V837" s="573">
        <v>129.9</v>
      </c>
      <c r="W837" s="573">
        <v>25</v>
      </c>
      <c r="X837" s="571">
        <v>8600</v>
      </c>
      <c r="Y837" s="573">
        <v>16</v>
      </c>
      <c r="Z837" s="579" t="s">
        <v>178</v>
      </c>
      <c r="AA837" s="579" t="s">
        <v>178</v>
      </c>
      <c r="AB837" s="584">
        <v>34985</v>
      </c>
      <c r="AC837" s="584" t="s">
        <v>164</v>
      </c>
      <c r="AD837" s="584">
        <v>25820.5</v>
      </c>
      <c r="AE837" s="586">
        <v>0.03</v>
      </c>
      <c r="AF837" s="661" t="str">
        <f t="shared" si="87"/>
        <v>2019-LVN-FRD-T15V-013-05</v>
      </c>
      <c r="AG837" s="661" t="str">
        <f>IF(AND($Y837&gt;=32,(AI837="I"),(Y837&lt;&gt;"~"),(COUNTIF($AN$1:$AN837,$AN837)=1)),"TRUE","FALSE")</f>
        <v>FALSE</v>
      </c>
      <c r="AH837" s="661" t="str">
        <f>IF(AND($Y837&gt;=22, (AI837&lt;&gt;"I"),(Y837&lt;&gt;"~"),(COUNTIF($AN$1:$AN837,$AN837)=1)),"TRUE","FALSE")</f>
        <v>FALSE</v>
      </c>
      <c r="AI837" s="661" t="str">
        <f t="shared" si="89"/>
        <v>II</v>
      </c>
      <c r="AJ837" s="662" t="str">
        <f t="shared" si="90"/>
        <v>T15V-013</v>
      </c>
      <c r="AK837" s="662" t="str">
        <f t="shared" si="91"/>
        <v>LVN</v>
      </c>
      <c r="AL837" s="662" t="str">
        <f t="shared" si="92"/>
        <v>FRD</v>
      </c>
      <c r="AM837" s="662" t="str">
        <f t="shared" si="88"/>
        <v>Transit 150 Van-Sliding RH Door-RWD-2-100.8-~-3.7L-6-E1C-101A-129.9-25-Unleaded-Unleaded</v>
      </c>
      <c r="AN837" s="662" t="str">
        <f t="shared" si="93"/>
        <v>2019-LVN-FRD-T15V-013</v>
      </c>
    </row>
    <row r="838" spans="1:40" s="572" customFormat="1" ht="15">
      <c r="A838" s="570" t="s">
        <v>1962</v>
      </c>
      <c r="B838" s="569" t="s">
        <v>1963</v>
      </c>
      <c r="C838" s="569" t="s">
        <v>269</v>
      </c>
      <c r="D838" s="580" t="s">
        <v>270</v>
      </c>
      <c r="E838" s="569" t="s">
        <v>1516</v>
      </c>
      <c r="F838" s="569" t="s">
        <v>1914</v>
      </c>
      <c r="G838" s="569" t="s">
        <v>271</v>
      </c>
      <c r="H838" s="569">
        <v>2019</v>
      </c>
      <c r="I838" s="569" t="s">
        <v>1915</v>
      </c>
      <c r="J838" s="569" t="s">
        <v>1950</v>
      </c>
      <c r="K838" s="569" t="s">
        <v>236</v>
      </c>
      <c r="L838" s="569">
        <v>2</v>
      </c>
      <c r="M838" s="569">
        <v>0</v>
      </c>
      <c r="N838" s="569" t="s">
        <v>157</v>
      </c>
      <c r="O838" s="569">
        <v>1</v>
      </c>
      <c r="P838" s="569">
        <v>83.2</v>
      </c>
      <c r="Q838" s="568" t="s">
        <v>157</v>
      </c>
      <c r="R838" s="569" t="s">
        <v>1917</v>
      </c>
      <c r="S838" s="569">
        <v>5</v>
      </c>
      <c r="T838" s="569" t="s">
        <v>1964</v>
      </c>
      <c r="U838" s="569" t="s">
        <v>1894</v>
      </c>
      <c r="V838" s="569">
        <v>147.6</v>
      </c>
      <c r="W838" s="569">
        <v>25</v>
      </c>
      <c r="X838" s="568">
        <v>8600</v>
      </c>
      <c r="Y838" s="573">
        <v>16</v>
      </c>
      <c r="Z838" s="581" t="s">
        <v>728</v>
      </c>
      <c r="AA838" s="581" t="s">
        <v>1523</v>
      </c>
      <c r="AB838" s="585">
        <v>39555</v>
      </c>
      <c r="AC838" s="585" t="s">
        <v>164</v>
      </c>
      <c r="AD838" s="585">
        <v>27811.708333333332</v>
      </c>
      <c r="AE838" s="587">
        <v>0.03</v>
      </c>
      <c r="AF838" s="661" t="str">
        <f t="shared" si="87"/>
        <v>2019-LVN-FRD-T15V-015-05</v>
      </c>
      <c r="AG838" s="661" t="str">
        <f>IF(AND($Y838&gt;=32,(AI838="I"),(Y838&lt;&gt;"~"),(COUNTIF($AN$1:$AN838,$AN838)=1)),"TRUE","FALSE")</f>
        <v>FALSE</v>
      </c>
      <c r="AH838" s="661" t="str">
        <f>IF(AND($Y838&gt;=22, (AI838&lt;&gt;"I"),(Y838&lt;&gt;"~"),(COUNTIF($AN$1:$AN838,$AN838)=1)),"TRUE","FALSE")</f>
        <v>FALSE</v>
      </c>
      <c r="AI838" s="661" t="str">
        <f t="shared" si="89"/>
        <v>II</v>
      </c>
      <c r="AJ838" s="662" t="str">
        <f t="shared" si="90"/>
        <v>T15V-015</v>
      </c>
      <c r="AK838" s="662" t="str">
        <f t="shared" si="91"/>
        <v>LVN</v>
      </c>
      <c r="AL838" s="662" t="str">
        <f t="shared" si="92"/>
        <v>FRD</v>
      </c>
      <c r="AM838" s="662" t="str">
        <f t="shared" si="88"/>
        <v>Transit 150 Van-Sliding RH Door-RWD-2-83.2-~-3.2L-5-E2Y-101A-147.6-25-Diesel-BioDiesel</v>
      </c>
      <c r="AN838" s="662" t="str">
        <f t="shared" si="93"/>
        <v>2019-LVN-FRD-T15V-015</v>
      </c>
    </row>
    <row r="839" spans="1:40" s="572" customFormat="1" ht="15">
      <c r="A839" s="570" t="s">
        <v>1965</v>
      </c>
      <c r="B839" s="573" t="s">
        <v>1966</v>
      </c>
      <c r="C839" s="573" t="s">
        <v>269</v>
      </c>
      <c r="D839" s="578" t="s">
        <v>270</v>
      </c>
      <c r="E839" s="573" t="s">
        <v>1516</v>
      </c>
      <c r="F839" s="573" t="s">
        <v>1914</v>
      </c>
      <c r="G839" s="573" t="s">
        <v>271</v>
      </c>
      <c r="H839" s="573">
        <v>2019</v>
      </c>
      <c r="I839" s="573" t="s">
        <v>1915</v>
      </c>
      <c r="J839" s="573" t="s">
        <v>1950</v>
      </c>
      <c r="K839" s="573" t="s">
        <v>236</v>
      </c>
      <c r="L839" s="573">
        <v>2</v>
      </c>
      <c r="M839" s="573">
        <v>0</v>
      </c>
      <c r="N839" s="573" t="s">
        <v>157</v>
      </c>
      <c r="O839" s="573">
        <v>1</v>
      </c>
      <c r="P839" s="573">
        <v>83.2</v>
      </c>
      <c r="Q839" s="571" t="s">
        <v>157</v>
      </c>
      <c r="R839" s="573" t="s">
        <v>1259</v>
      </c>
      <c r="S839" s="573">
        <v>6</v>
      </c>
      <c r="T839" s="573" t="s">
        <v>1964</v>
      </c>
      <c r="U839" s="573" t="s">
        <v>1894</v>
      </c>
      <c r="V839" s="573">
        <v>147.6</v>
      </c>
      <c r="W839" s="573">
        <v>25</v>
      </c>
      <c r="X839" s="571">
        <v>8600</v>
      </c>
      <c r="Y839" s="573">
        <v>16</v>
      </c>
      <c r="Z839" s="579" t="s">
        <v>178</v>
      </c>
      <c r="AA839" s="579" t="s">
        <v>178</v>
      </c>
      <c r="AB839" s="584">
        <v>37425</v>
      </c>
      <c r="AC839" s="584" t="s">
        <v>164</v>
      </c>
      <c r="AD839" s="584">
        <v>25918.416666666668</v>
      </c>
      <c r="AE839" s="586">
        <v>0.03</v>
      </c>
      <c r="AF839" s="661" t="str">
        <f t="shared" si="87"/>
        <v>2019-LVN-FRD-T15V-016-05</v>
      </c>
      <c r="AG839" s="661" t="str">
        <f>IF(AND($Y839&gt;=32,(AI839="I"),(Y839&lt;&gt;"~"),(COUNTIF($AN$1:$AN839,$AN839)=1)),"TRUE","FALSE")</f>
        <v>FALSE</v>
      </c>
      <c r="AH839" s="661" t="str">
        <f>IF(AND($Y839&gt;=22, (AI839&lt;&gt;"I"),(Y839&lt;&gt;"~"),(COUNTIF($AN$1:$AN839,$AN839)=1)),"TRUE","FALSE")</f>
        <v>FALSE</v>
      </c>
      <c r="AI839" s="661" t="str">
        <f t="shared" si="89"/>
        <v>II</v>
      </c>
      <c r="AJ839" s="662" t="str">
        <f t="shared" si="90"/>
        <v>T15V-016</v>
      </c>
      <c r="AK839" s="662" t="str">
        <f t="shared" si="91"/>
        <v>LVN</v>
      </c>
      <c r="AL839" s="662" t="str">
        <f t="shared" si="92"/>
        <v>FRD</v>
      </c>
      <c r="AM839" s="662" t="str">
        <f t="shared" si="88"/>
        <v>Transit 150 Van-Sliding RH Door-RWD-2-83.2-~-3.5L EcoBoost-6-E2Y-101A-147.6-25-Unleaded-Unleaded</v>
      </c>
      <c r="AN839" s="662" t="str">
        <f t="shared" si="93"/>
        <v>2019-LVN-FRD-T15V-016</v>
      </c>
    </row>
    <row r="840" spans="1:40" s="572" customFormat="1" ht="15">
      <c r="A840" s="570" t="s">
        <v>1967</v>
      </c>
      <c r="B840" s="569" t="s">
        <v>1968</v>
      </c>
      <c r="C840" s="569" t="s">
        <v>269</v>
      </c>
      <c r="D840" s="580" t="s">
        <v>270</v>
      </c>
      <c r="E840" s="569" t="s">
        <v>1516</v>
      </c>
      <c r="F840" s="569" t="s">
        <v>1914</v>
      </c>
      <c r="G840" s="569" t="s">
        <v>271</v>
      </c>
      <c r="H840" s="569">
        <v>2019</v>
      </c>
      <c r="I840" s="569" t="s">
        <v>1915</v>
      </c>
      <c r="J840" s="569" t="s">
        <v>1950</v>
      </c>
      <c r="K840" s="569" t="s">
        <v>236</v>
      </c>
      <c r="L840" s="569">
        <v>2</v>
      </c>
      <c r="M840" s="569">
        <v>0</v>
      </c>
      <c r="N840" s="569" t="s">
        <v>157</v>
      </c>
      <c r="O840" s="569">
        <v>1</v>
      </c>
      <c r="P840" s="569">
        <v>83.2</v>
      </c>
      <c r="Q840" s="568" t="s">
        <v>157</v>
      </c>
      <c r="R840" s="569" t="s">
        <v>682</v>
      </c>
      <c r="S840" s="569">
        <v>6</v>
      </c>
      <c r="T840" s="569" t="s">
        <v>1964</v>
      </c>
      <c r="U840" s="569" t="s">
        <v>1894</v>
      </c>
      <c r="V840" s="569">
        <v>147.6</v>
      </c>
      <c r="W840" s="569">
        <v>25</v>
      </c>
      <c r="X840" s="568">
        <v>8600</v>
      </c>
      <c r="Y840" s="573">
        <v>16</v>
      </c>
      <c r="Z840" s="581" t="s">
        <v>178</v>
      </c>
      <c r="AA840" s="581" t="s">
        <v>178</v>
      </c>
      <c r="AB840" s="585">
        <v>35560</v>
      </c>
      <c r="AC840" s="585" t="s">
        <v>164</v>
      </c>
      <c r="AD840" s="585">
        <v>24262.166666666668</v>
      </c>
      <c r="AE840" s="587">
        <v>0.03</v>
      </c>
      <c r="AF840" s="661" t="str">
        <f t="shared" ref="AF840:AF903" si="94">A840</f>
        <v>2019-LVN-FRD-T15V-017-05</v>
      </c>
      <c r="AG840" s="661" t="str">
        <f>IF(AND($Y840&gt;=32,(AI840="I"),(Y840&lt;&gt;"~"),(COUNTIF($AN$1:$AN840,$AN840)=1)),"TRUE","FALSE")</f>
        <v>FALSE</v>
      </c>
      <c r="AH840" s="661" t="str">
        <f>IF(AND($Y840&gt;=22, (AI840&lt;&gt;"I"),(Y840&lt;&gt;"~"),(COUNTIF($AN$1:$AN840,$AN840)=1)),"TRUE","FALSE")</f>
        <v>FALSE</v>
      </c>
      <c r="AI840" s="661" t="str">
        <f t="shared" si="89"/>
        <v>II</v>
      </c>
      <c r="AJ840" s="662" t="str">
        <f t="shared" si="90"/>
        <v>T15V-017</v>
      </c>
      <c r="AK840" s="662" t="str">
        <f t="shared" si="91"/>
        <v>LVN</v>
      </c>
      <c r="AL840" s="662" t="str">
        <f t="shared" si="92"/>
        <v>FRD</v>
      </c>
      <c r="AM840" s="662" t="str">
        <f t="shared" si="88"/>
        <v>Transit 150 Van-Sliding RH Door-RWD-2-83.2-~-3.7L-6-E2Y-101A-147.6-25-Unleaded-Unleaded</v>
      </c>
      <c r="AN840" s="662" t="str">
        <f t="shared" si="93"/>
        <v>2019-LVN-FRD-T15V-017</v>
      </c>
    </row>
    <row r="841" spans="1:40" s="572" customFormat="1" ht="15">
      <c r="A841" s="570" t="s">
        <v>1969</v>
      </c>
      <c r="B841" s="573" t="s">
        <v>1970</v>
      </c>
      <c r="C841" s="573" t="s">
        <v>269</v>
      </c>
      <c r="D841" s="578" t="s">
        <v>270</v>
      </c>
      <c r="E841" s="573" t="s">
        <v>1516</v>
      </c>
      <c r="F841" s="573" t="s">
        <v>1914</v>
      </c>
      <c r="G841" s="573" t="s">
        <v>271</v>
      </c>
      <c r="H841" s="573">
        <v>2019</v>
      </c>
      <c r="I841" s="573" t="s">
        <v>1915</v>
      </c>
      <c r="J841" s="573" t="s">
        <v>1950</v>
      </c>
      <c r="K841" s="573" t="s">
        <v>236</v>
      </c>
      <c r="L841" s="573">
        <v>2</v>
      </c>
      <c r="M841" s="573">
        <v>0</v>
      </c>
      <c r="N841" s="573" t="s">
        <v>157</v>
      </c>
      <c r="O841" s="573">
        <v>1</v>
      </c>
      <c r="P841" s="573">
        <v>83.6</v>
      </c>
      <c r="Q841" s="571" t="s">
        <v>157</v>
      </c>
      <c r="R841" s="573" t="s">
        <v>1917</v>
      </c>
      <c r="S841" s="573">
        <v>5</v>
      </c>
      <c r="T841" s="573" t="s">
        <v>1971</v>
      </c>
      <c r="U841" s="573" t="s">
        <v>1894</v>
      </c>
      <c r="V841" s="573">
        <v>129.9</v>
      </c>
      <c r="W841" s="573">
        <v>25</v>
      </c>
      <c r="X841" s="571">
        <v>8600</v>
      </c>
      <c r="Y841" s="573">
        <v>16</v>
      </c>
      <c r="Z841" s="579" t="s">
        <v>728</v>
      </c>
      <c r="AA841" s="579" t="s">
        <v>1523</v>
      </c>
      <c r="AB841" s="584">
        <v>38675</v>
      </c>
      <c r="AC841" s="584" t="s">
        <v>164</v>
      </c>
      <c r="AD841" s="584">
        <v>27008.583333333332</v>
      </c>
      <c r="AE841" s="586">
        <v>0.03</v>
      </c>
      <c r="AF841" s="661" t="str">
        <f t="shared" si="94"/>
        <v>2019-LVN-FRD-T15V-018-05</v>
      </c>
      <c r="AG841" s="661" t="str">
        <f>IF(AND($Y841&gt;=32,(AI841="I"),(Y841&lt;&gt;"~"),(COUNTIF($AN$1:$AN841,$AN841)=1)),"TRUE","FALSE")</f>
        <v>FALSE</v>
      </c>
      <c r="AH841" s="661" t="str">
        <f>IF(AND($Y841&gt;=22, (AI841&lt;&gt;"I"),(Y841&lt;&gt;"~"),(COUNTIF($AN$1:$AN841,$AN841)=1)),"TRUE","FALSE")</f>
        <v>FALSE</v>
      </c>
      <c r="AI841" s="661" t="str">
        <f t="shared" si="89"/>
        <v>II</v>
      </c>
      <c r="AJ841" s="662" t="str">
        <f t="shared" si="90"/>
        <v>T15V-018</v>
      </c>
      <c r="AK841" s="662" t="str">
        <f t="shared" si="91"/>
        <v>LVN</v>
      </c>
      <c r="AL841" s="662" t="str">
        <f t="shared" si="92"/>
        <v>FRD</v>
      </c>
      <c r="AM841" s="662" t="str">
        <f t="shared" si="88"/>
        <v>Transit 150 Van-Sliding RH Door-RWD-2-83.6-~-3.2L-5-E1Y-101A-129.9-25-Diesel-BioDiesel</v>
      </c>
      <c r="AN841" s="662" t="str">
        <f t="shared" si="93"/>
        <v>2019-LVN-FRD-T15V-018</v>
      </c>
    </row>
    <row r="842" spans="1:40" s="572" customFormat="1" ht="15">
      <c r="A842" s="570" t="s">
        <v>1972</v>
      </c>
      <c r="B842" s="569" t="s">
        <v>1973</v>
      </c>
      <c r="C842" s="569" t="s">
        <v>269</v>
      </c>
      <c r="D842" s="580" t="s">
        <v>270</v>
      </c>
      <c r="E842" s="569" t="s">
        <v>1516</v>
      </c>
      <c r="F842" s="569" t="s">
        <v>1914</v>
      </c>
      <c r="G842" s="569" t="s">
        <v>271</v>
      </c>
      <c r="H842" s="569">
        <v>2019</v>
      </c>
      <c r="I842" s="569" t="s">
        <v>1915</v>
      </c>
      <c r="J842" s="569" t="s">
        <v>1950</v>
      </c>
      <c r="K842" s="569" t="s">
        <v>236</v>
      </c>
      <c r="L842" s="569">
        <v>2</v>
      </c>
      <c r="M842" s="569">
        <v>0</v>
      </c>
      <c r="N842" s="569" t="s">
        <v>157</v>
      </c>
      <c r="O842" s="569">
        <v>1</v>
      </c>
      <c r="P842" s="569">
        <v>83.6</v>
      </c>
      <c r="Q842" s="568" t="s">
        <v>157</v>
      </c>
      <c r="R842" s="569" t="s">
        <v>1259</v>
      </c>
      <c r="S842" s="569">
        <v>6</v>
      </c>
      <c r="T842" s="569" t="s">
        <v>1971</v>
      </c>
      <c r="U842" s="569" t="s">
        <v>1894</v>
      </c>
      <c r="V842" s="569">
        <v>129.9</v>
      </c>
      <c r="W842" s="569">
        <v>25</v>
      </c>
      <c r="X842" s="568">
        <v>8600</v>
      </c>
      <c r="Y842" s="573">
        <v>16</v>
      </c>
      <c r="Z842" s="581" t="s">
        <v>178</v>
      </c>
      <c r="AA842" s="581" t="s">
        <v>178</v>
      </c>
      <c r="AB842" s="585">
        <v>36545</v>
      </c>
      <c r="AC842" s="585" t="s">
        <v>164</v>
      </c>
      <c r="AD842" s="585">
        <v>25115.291666666668</v>
      </c>
      <c r="AE842" s="587">
        <v>0.03</v>
      </c>
      <c r="AF842" s="661" t="str">
        <f t="shared" si="94"/>
        <v>2019-LVN-FRD-T15V-019-05</v>
      </c>
      <c r="AG842" s="661" t="str">
        <f>IF(AND($Y842&gt;=32,(AI842="I"),(Y842&lt;&gt;"~"),(COUNTIF($AN$1:$AN842,$AN842)=1)),"TRUE","FALSE")</f>
        <v>FALSE</v>
      </c>
      <c r="AH842" s="661" t="str">
        <f>IF(AND($Y842&gt;=22, (AI842&lt;&gt;"I"),(Y842&lt;&gt;"~"),(COUNTIF($AN$1:$AN842,$AN842)=1)),"TRUE","FALSE")</f>
        <v>FALSE</v>
      </c>
      <c r="AI842" s="661" t="str">
        <f t="shared" si="89"/>
        <v>II</v>
      </c>
      <c r="AJ842" s="662" t="str">
        <f t="shared" si="90"/>
        <v>T15V-019</v>
      </c>
      <c r="AK842" s="662" t="str">
        <f t="shared" si="91"/>
        <v>LVN</v>
      </c>
      <c r="AL842" s="662" t="str">
        <f t="shared" si="92"/>
        <v>FRD</v>
      </c>
      <c r="AM842" s="662" t="str">
        <f t="shared" si="88"/>
        <v>Transit 150 Van-Sliding RH Door-RWD-2-83.6-~-3.5L EcoBoost-6-E1Y-101A-129.9-25-Unleaded-Unleaded</v>
      </c>
      <c r="AN842" s="662" t="str">
        <f t="shared" si="93"/>
        <v>2019-LVN-FRD-T15V-019</v>
      </c>
    </row>
    <row r="843" spans="1:40" s="572" customFormat="1" ht="15">
      <c r="A843" s="570" t="s">
        <v>1974</v>
      </c>
      <c r="B843" s="573" t="s">
        <v>1975</v>
      </c>
      <c r="C843" s="573" t="s">
        <v>269</v>
      </c>
      <c r="D843" s="578" t="s">
        <v>270</v>
      </c>
      <c r="E843" s="573" t="s">
        <v>1516</v>
      </c>
      <c r="F843" s="573" t="s">
        <v>1914</v>
      </c>
      <c r="G843" s="573" t="s">
        <v>271</v>
      </c>
      <c r="H843" s="573">
        <v>2019</v>
      </c>
      <c r="I843" s="573" t="s">
        <v>1915</v>
      </c>
      <c r="J843" s="573" t="s">
        <v>1950</v>
      </c>
      <c r="K843" s="573" t="s">
        <v>236</v>
      </c>
      <c r="L843" s="573">
        <v>2</v>
      </c>
      <c r="M843" s="573">
        <v>0</v>
      </c>
      <c r="N843" s="573" t="s">
        <v>157</v>
      </c>
      <c r="O843" s="573">
        <v>1</v>
      </c>
      <c r="P843" s="573">
        <v>83.6</v>
      </c>
      <c r="Q843" s="571" t="s">
        <v>157</v>
      </c>
      <c r="R843" s="573" t="s">
        <v>682</v>
      </c>
      <c r="S843" s="573">
        <v>6</v>
      </c>
      <c r="T843" s="573" t="s">
        <v>1971</v>
      </c>
      <c r="U843" s="573" t="s">
        <v>1894</v>
      </c>
      <c r="V843" s="573">
        <v>129.9</v>
      </c>
      <c r="W843" s="573">
        <v>25</v>
      </c>
      <c r="X843" s="571">
        <v>8600</v>
      </c>
      <c r="Y843" s="573">
        <v>16</v>
      </c>
      <c r="Z843" s="579" t="s">
        <v>178</v>
      </c>
      <c r="AA843" s="579" t="s">
        <v>178</v>
      </c>
      <c r="AB843" s="584">
        <v>34680</v>
      </c>
      <c r="AC843" s="584" t="s">
        <v>164</v>
      </c>
      <c r="AD843" s="584">
        <v>23459.041666666668</v>
      </c>
      <c r="AE843" s="586">
        <v>0.03</v>
      </c>
      <c r="AF843" s="661" t="str">
        <f t="shared" si="94"/>
        <v>2019-LVN-FRD-T15V-020-05</v>
      </c>
      <c r="AG843" s="661" t="str">
        <f>IF(AND($Y843&gt;=32,(AI843="I"),(Y843&lt;&gt;"~"),(COUNTIF($AN$1:$AN843,$AN843)=1)),"TRUE","FALSE")</f>
        <v>FALSE</v>
      </c>
      <c r="AH843" s="661" t="str">
        <f>IF(AND($Y843&gt;=22, (AI843&lt;&gt;"I"),(Y843&lt;&gt;"~"),(COUNTIF($AN$1:$AN843,$AN843)=1)),"TRUE","FALSE")</f>
        <v>FALSE</v>
      </c>
      <c r="AI843" s="661" t="str">
        <f t="shared" si="89"/>
        <v>II</v>
      </c>
      <c r="AJ843" s="662" t="str">
        <f t="shared" si="90"/>
        <v>T15V-020</v>
      </c>
      <c r="AK843" s="662" t="str">
        <f t="shared" si="91"/>
        <v>LVN</v>
      </c>
      <c r="AL843" s="662" t="str">
        <f t="shared" si="92"/>
        <v>FRD</v>
      </c>
      <c r="AM843" s="662" t="str">
        <f t="shared" si="88"/>
        <v>Transit 150 Van-Sliding RH Door-RWD-2-83.6-~-3.7L-6-E1Y-101A-129.9-25-Unleaded-Unleaded</v>
      </c>
      <c r="AN843" s="662" t="str">
        <f t="shared" si="93"/>
        <v>2019-LVN-FRD-T15V-020</v>
      </c>
    </row>
    <row r="844" spans="1:40" s="572" customFormat="1" ht="15">
      <c r="A844" s="570" t="s">
        <v>1976</v>
      </c>
      <c r="B844" s="569" t="s">
        <v>1949</v>
      </c>
      <c r="C844" s="569" t="s">
        <v>278</v>
      </c>
      <c r="D844" s="580">
        <v>15</v>
      </c>
      <c r="E844" s="569" t="s">
        <v>1516</v>
      </c>
      <c r="F844" s="569" t="s">
        <v>1914</v>
      </c>
      <c r="G844" s="569" t="s">
        <v>271</v>
      </c>
      <c r="H844" s="569">
        <v>2019</v>
      </c>
      <c r="I844" s="569" t="s">
        <v>1915</v>
      </c>
      <c r="J844" s="569" t="s">
        <v>1950</v>
      </c>
      <c r="K844" s="569" t="s">
        <v>236</v>
      </c>
      <c r="L844" s="569">
        <v>2</v>
      </c>
      <c r="M844" s="569">
        <v>0</v>
      </c>
      <c r="N844" s="569" t="s">
        <v>157</v>
      </c>
      <c r="O844" s="569">
        <v>1</v>
      </c>
      <c r="P844" s="569">
        <v>100.7</v>
      </c>
      <c r="Q844" s="568" t="s">
        <v>157</v>
      </c>
      <c r="R844" s="569" t="s">
        <v>1917</v>
      </c>
      <c r="S844" s="569">
        <v>5</v>
      </c>
      <c r="T844" s="569" t="s">
        <v>1893</v>
      </c>
      <c r="U844" s="569" t="s">
        <v>1894</v>
      </c>
      <c r="V844" s="569">
        <v>147.6</v>
      </c>
      <c r="W844" s="569">
        <v>25</v>
      </c>
      <c r="X844" s="568">
        <v>8600</v>
      </c>
      <c r="Y844" s="573">
        <v>16</v>
      </c>
      <c r="Z844" s="581" t="s">
        <v>728</v>
      </c>
      <c r="AA844" s="581" t="s">
        <v>1523</v>
      </c>
      <c r="AB844" s="585">
        <v>40705</v>
      </c>
      <c r="AC844" s="585" t="s">
        <v>164</v>
      </c>
      <c r="AD844" s="585">
        <v>31500</v>
      </c>
      <c r="AE844" s="587">
        <v>0.01</v>
      </c>
      <c r="AF844" s="661" t="str">
        <f t="shared" si="94"/>
        <v>2019-LVN-FRD-T15V-007-15</v>
      </c>
      <c r="AG844" s="661" t="str">
        <f>IF(AND($Y844&gt;=32,(AI844="I"),(Y844&lt;&gt;"~"),(COUNTIF($AN$1:$AN844,$AN844)=1)),"TRUE","FALSE")</f>
        <v>FALSE</v>
      </c>
      <c r="AH844" s="661" t="str">
        <f>IF(AND($Y844&gt;=22, (AI844&lt;&gt;"I"),(Y844&lt;&gt;"~"),(COUNTIF($AN$1:$AN844,$AN844)=1)),"TRUE","FALSE")</f>
        <v>FALSE</v>
      </c>
      <c r="AI844" s="661" t="str">
        <f t="shared" si="89"/>
        <v>II</v>
      </c>
      <c r="AJ844" s="662" t="str">
        <f t="shared" si="90"/>
        <v>T15V-007</v>
      </c>
      <c r="AK844" s="662" t="str">
        <f t="shared" si="91"/>
        <v>LVN</v>
      </c>
      <c r="AL844" s="662" t="str">
        <f t="shared" si="92"/>
        <v>FRD</v>
      </c>
      <c r="AM844" s="662" t="str">
        <f t="shared" si="88"/>
        <v>Transit 150 Van-Sliding RH Door-RWD-2-100.7-~-3.2L-5-E2C-101A-147.6-25-Diesel-BioDiesel</v>
      </c>
      <c r="AN844" s="662" t="str">
        <f t="shared" si="93"/>
        <v>2019-LVN-FRD-T15V-007</v>
      </c>
    </row>
    <row r="845" spans="1:40" s="572" customFormat="1" ht="15">
      <c r="A845" s="570" t="s">
        <v>1977</v>
      </c>
      <c r="B845" s="573" t="s">
        <v>1952</v>
      </c>
      <c r="C845" s="573" t="s">
        <v>278</v>
      </c>
      <c r="D845" s="578">
        <v>15</v>
      </c>
      <c r="E845" s="573" t="s">
        <v>1516</v>
      </c>
      <c r="F845" s="573" t="s">
        <v>1914</v>
      </c>
      <c r="G845" s="573" t="s">
        <v>271</v>
      </c>
      <c r="H845" s="573">
        <v>2019</v>
      </c>
      <c r="I845" s="573" t="s">
        <v>1915</v>
      </c>
      <c r="J845" s="573" t="s">
        <v>1950</v>
      </c>
      <c r="K845" s="573" t="s">
        <v>236</v>
      </c>
      <c r="L845" s="573">
        <v>2</v>
      </c>
      <c r="M845" s="573">
        <v>0</v>
      </c>
      <c r="N845" s="573" t="s">
        <v>157</v>
      </c>
      <c r="O845" s="573">
        <v>1</v>
      </c>
      <c r="P845" s="573">
        <v>100.7</v>
      </c>
      <c r="Q845" s="571" t="s">
        <v>157</v>
      </c>
      <c r="R845" s="573" t="s">
        <v>1259</v>
      </c>
      <c r="S845" s="573">
        <v>6</v>
      </c>
      <c r="T845" s="573" t="s">
        <v>1893</v>
      </c>
      <c r="U845" s="573" t="s">
        <v>1894</v>
      </c>
      <c r="V845" s="573">
        <v>147.6</v>
      </c>
      <c r="W845" s="573">
        <v>25</v>
      </c>
      <c r="X845" s="571">
        <v>8600</v>
      </c>
      <c r="Y845" s="573">
        <v>16</v>
      </c>
      <c r="Z845" s="579" t="s">
        <v>178</v>
      </c>
      <c r="AA845" s="579" t="s">
        <v>178</v>
      </c>
      <c r="AB845" s="584">
        <v>38575</v>
      </c>
      <c r="AC845" s="584" t="s">
        <v>164</v>
      </c>
      <c r="AD845" s="584">
        <v>29600</v>
      </c>
      <c r="AE845" s="586">
        <v>0.01</v>
      </c>
      <c r="AF845" s="661" t="str">
        <f t="shared" si="94"/>
        <v>2019-LVN-FRD-T15V-008-15</v>
      </c>
      <c r="AG845" s="661" t="str">
        <f>IF(AND($Y845&gt;=32,(AI845="I"),(Y845&lt;&gt;"~"),(COUNTIF($AN$1:$AN845,$AN845)=1)),"TRUE","FALSE")</f>
        <v>FALSE</v>
      </c>
      <c r="AH845" s="661" t="str">
        <f>IF(AND($Y845&gt;=22, (AI845&lt;&gt;"I"),(Y845&lt;&gt;"~"),(COUNTIF($AN$1:$AN845,$AN845)=1)),"TRUE","FALSE")</f>
        <v>FALSE</v>
      </c>
      <c r="AI845" s="661" t="str">
        <f t="shared" si="89"/>
        <v>II</v>
      </c>
      <c r="AJ845" s="662" t="str">
        <f t="shared" si="90"/>
        <v>T15V-008</v>
      </c>
      <c r="AK845" s="662" t="str">
        <f t="shared" si="91"/>
        <v>LVN</v>
      </c>
      <c r="AL845" s="662" t="str">
        <f t="shared" si="92"/>
        <v>FRD</v>
      </c>
      <c r="AM845" s="662" t="str">
        <f t="shared" si="88"/>
        <v>Transit 150 Van-Sliding RH Door-RWD-2-100.7-~-3.5L EcoBoost-6-E2C-101A-147.6-25-Unleaded-Unleaded</v>
      </c>
      <c r="AN845" s="662" t="str">
        <f t="shared" si="93"/>
        <v>2019-LVN-FRD-T15V-008</v>
      </c>
    </row>
    <row r="846" spans="1:40" s="572" customFormat="1" ht="15">
      <c r="A846" s="570" t="s">
        <v>1978</v>
      </c>
      <c r="B846" s="569" t="s">
        <v>1954</v>
      </c>
      <c r="C846" s="569" t="s">
        <v>278</v>
      </c>
      <c r="D846" s="580">
        <v>15</v>
      </c>
      <c r="E846" s="569" t="s">
        <v>1516</v>
      </c>
      <c r="F846" s="569" t="s">
        <v>1914</v>
      </c>
      <c r="G846" s="569" t="s">
        <v>271</v>
      </c>
      <c r="H846" s="569">
        <v>2019</v>
      </c>
      <c r="I846" s="569" t="s">
        <v>1915</v>
      </c>
      <c r="J846" s="569" t="s">
        <v>1950</v>
      </c>
      <c r="K846" s="569" t="s">
        <v>236</v>
      </c>
      <c r="L846" s="569">
        <v>2</v>
      </c>
      <c r="M846" s="569">
        <v>0</v>
      </c>
      <c r="N846" s="569" t="s">
        <v>157</v>
      </c>
      <c r="O846" s="569">
        <v>1</v>
      </c>
      <c r="P846" s="569">
        <v>100.7</v>
      </c>
      <c r="Q846" s="568" t="s">
        <v>157</v>
      </c>
      <c r="R846" s="569" t="s">
        <v>682</v>
      </c>
      <c r="S846" s="569">
        <v>6</v>
      </c>
      <c r="T846" s="569" t="s">
        <v>1893</v>
      </c>
      <c r="U846" s="569" t="s">
        <v>1894</v>
      </c>
      <c r="V846" s="569">
        <v>147.6</v>
      </c>
      <c r="W846" s="569">
        <v>25</v>
      </c>
      <c r="X846" s="568">
        <v>8600</v>
      </c>
      <c r="Y846" s="573">
        <v>16</v>
      </c>
      <c r="Z846" s="581" t="s">
        <v>178</v>
      </c>
      <c r="AA846" s="581" t="s">
        <v>178</v>
      </c>
      <c r="AB846" s="585">
        <v>36710</v>
      </c>
      <c r="AC846" s="585" t="s">
        <v>164</v>
      </c>
      <c r="AD846" s="585">
        <v>27900</v>
      </c>
      <c r="AE846" s="587">
        <v>0.01</v>
      </c>
      <c r="AF846" s="661" t="str">
        <f t="shared" si="94"/>
        <v>2019-LVN-FRD-T15V-009-15</v>
      </c>
      <c r="AG846" s="661" t="str">
        <f>IF(AND($Y846&gt;=32,(AI846="I"),(Y846&lt;&gt;"~"),(COUNTIF($AN$1:$AN846,$AN846)=1)),"TRUE","FALSE")</f>
        <v>FALSE</v>
      </c>
      <c r="AH846" s="661" t="str">
        <f>IF(AND($Y846&gt;=22, (AI846&lt;&gt;"I"),(Y846&lt;&gt;"~"),(COUNTIF($AN$1:$AN846,$AN846)=1)),"TRUE","FALSE")</f>
        <v>FALSE</v>
      </c>
      <c r="AI846" s="661" t="str">
        <f t="shared" si="89"/>
        <v>II</v>
      </c>
      <c r="AJ846" s="662" t="str">
        <f t="shared" si="90"/>
        <v>T15V-009</v>
      </c>
      <c r="AK846" s="662" t="str">
        <f t="shared" si="91"/>
        <v>LVN</v>
      </c>
      <c r="AL846" s="662" t="str">
        <f t="shared" si="92"/>
        <v>FRD</v>
      </c>
      <c r="AM846" s="662" t="str">
        <f t="shared" si="88"/>
        <v>Transit 150 Van-Sliding RH Door-RWD-2-100.7-~-3.7L-6-E2C-101A-147.6-25-Unleaded-Unleaded</v>
      </c>
      <c r="AN846" s="662" t="str">
        <f t="shared" si="93"/>
        <v>2019-LVN-FRD-T15V-009</v>
      </c>
    </row>
    <row r="847" spans="1:40" s="572" customFormat="1" ht="15">
      <c r="A847" s="570" t="s">
        <v>1979</v>
      </c>
      <c r="B847" s="573" t="s">
        <v>1956</v>
      </c>
      <c r="C847" s="573" t="s">
        <v>278</v>
      </c>
      <c r="D847" s="578">
        <v>15</v>
      </c>
      <c r="E847" s="573" t="s">
        <v>1516</v>
      </c>
      <c r="F847" s="573" t="s">
        <v>1914</v>
      </c>
      <c r="G847" s="573" t="s">
        <v>271</v>
      </c>
      <c r="H847" s="573">
        <v>2019</v>
      </c>
      <c r="I847" s="573" t="s">
        <v>1915</v>
      </c>
      <c r="J847" s="573" t="s">
        <v>1950</v>
      </c>
      <c r="K847" s="573" t="s">
        <v>236</v>
      </c>
      <c r="L847" s="573">
        <v>2</v>
      </c>
      <c r="M847" s="573">
        <v>0</v>
      </c>
      <c r="N847" s="573" t="s">
        <v>157</v>
      </c>
      <c r="O847" s="573">
        <v>1</v>
      </c>
      <c r="P847" s="573">
        <v>100.8</v>
      </c>
      <c r="Q847" s="571" t="s">
        <v>157</v>
      </c>
      <c r="R847" s="573" t="s">
        <v>1917</v>
      </c>
      <c r="S847" s="573">
        <v>5</v>
      </c>
      <c r="T847" s="573" t="s">
        <v>1957</v>
      </c>
      <c r="U847" s="573" t="s">
        <v>1894</v>
      </c>
      <c r="V847" s="573">
        <v>129.9</v>
      </c>
      <c r="W847" s="573">
        <v>25</v>
      </c>
      <c r="X847" s="571">
        <v>8600</v>
      </c>
      <c r="Y847" s="573">
        <v>16</v>
      </c>
      <c r="Z847" s="579" t="s">
        <v>728</v>
      </c>
      <c r="AA847" s="579" t="s">
        <v>1523</v>
      </c>
      <c r="AB847" s="584">
        <v>38980</v>
      </c>
      <c r="AC847" s="584" t="s">
        <v>164</v>
      </c>
      <c r="AD847" s="584">
        <v>29900</v>
      </c>
      <c r="AE847" s="586">
        <v>0.01</v>
      </c>
      <c r="AF847" s="661" t="str">
        <f t="shared" si="94"/>
        <v>2019-LVN-FRD-T15V-011-15</v>
      </c>
      <c r="AG847" s="661" t="str">
        <f>IF(AND($Y847&gt;=32,(AI847="I"),(Y847&lt;&gt;"~"),(COUNTIF($AN$1:$AN847,$AN847)=1)),"TRUE","FALSE")</f>
        <v>FALSE</v>
      </c>
      <c r="AH847" s="661" t="str">
        <f>IF(AND($Y847&gt;=22, (AI847&lt;&gt;"I"),(Y847&lt;&gt;"~"),(COUNTIF($AN$1:$AN847,$AN847)=1)),"TRUE","FALSE")</f>
        <v>FALSE</v>
      </c>
      <c r="AI847" s="661" t="str">
        <f t="shared" si="89"/>
        <v>II</v>
      </c>
      <c r="AJ847" s="662" t="str">
        <f t="shared" si="90"/>
        <v>T15V-011</v>
      </c>
      <c r="AK847" s="662" t="str">
        <f t="shared" si="91"/>
        <v>LVN</v>
      </c>
      <c r="AL847" s="662" t="str">
        <f t="shared" si="92"/>
        <v>FRD</v>
      </c>
      <c r="AM847" s="662" t="str">
        <f t="shared" si="88"/>
        <v>Transit 150 Van-Sliding RH Door-RWD-2-100.8-~-3.2L-5-E1C-101A-129.9-25-Diesel-BioDiesel</v>
      </c>
      <c r="AN847" s="662" t="str">
        <f t="shared" si="93"/>
        <v>2019-LVN-FRD-T15V-011</v>
      </c>
    </row>
    <row r="848" spans="1:40" s="572" customFormat="1" ht="15">
      <c r="A848" s="570" t="s">
        <v>1980</v>
      </c>
      <c r="B848" s="569" t="s">
        <v>1959</v>
      </c>
      <c r="C848" s="569" t="s">
        <v>278</v>
      </c>
      <c r="D848" s="580">
        <v>15</v>
      </c>
      <c r="E848" s="569" t="s">
        <v>1516</v>
      </c>
      <c r="F848" s="569" t="s">
        <v>1914</v>
      </c>
      <c r="G848" s="569" t="s">
        <v>271</v>
      </c>
      <c r="H848" s="569">
        <v>2019</v>
      </c>
      <c r="I848" s="569" t="s">
        <v>1915</v>
      </c>
      <c r="J848" s="569" t="s">
        <v>1950</v>
      </c>
      <c r="K848" s="569" t="s">
        <v>236</v>
      </c>
      <c r="L848" s="569">
        <v>2</v>
      </c>
      <c r="M848" s="569">
        <v>0</v>
      </c>
      <c r="N848" s="569" t="s">
        <v>157</v>
      </c>
      <c r="O848" s="569">
        <v>1</v>
      </c>
      <c r="P848" s="569">
        <v>100.8</v>
      </c>
      <c r="Q848" s="568" t="s">
        <v>157</v>
      </c>
      <c r="R848" s="569" t="s">
        <v>1259</v>
      </c>
      <c r="S848" s="569">
        <v>6</v>
      </c>
      <c r="T848" s="569" t="s">
        <v>1957</v>
      </c>
      <c r="U848" s="569" t="s">
        <v>1894</v>
      </c>
      <c r="V848" s="569">
        <v>129.9</v>
      </c>
      <c r="W848" s="569">
        <v>25</v>
      </c>
      <c r="X848" s="568">
        <v>8600</v>
      </c>
      <c r="Y848" s="573">
        <v>16</v>
      </c>
      <c r="Z848" s="581" t="s">
        <v>178</v>
      </c>
      <c r="AA848" s="581" t="s">
        <v>178</v>
      </c>
      <c r="AB848" s="585">
        <v>36850</v>
      </c>
      <c r="AC848" s="585" t="s">
        <v>164</v>
      </c>
      <c r="AD848" s="585">
        <v>27950</v>
      </c>
      <c r="AE848" s="587">
        <v>0.01</v>
      </c>
      <c r="AF848" s="661" t="str">
        <f t="shared" si="94"/>
        <v>2019-LVN-FRD-T15V-012-15</v>
      </c>
      <c r="AG848" s="661" t="str">
        <f>IF(AND($Y848&gt;=32,(AI848="I"),(Y848&lt;&gt;"~"),(COUNTIF($AN$1:$AN848,$AN848)=1)),"TRUE","FALSE")</f>
        <v>FALSE</v>
      </c>
      <c r="AH848" s="661" t="str">
        <f>IF(AND($Y848&gt;=22, (AI848&lt;&gt;"I"),(Y848&lt;&gt;"~"),(COUNTIF($AN$1:$AN848,$AN848)=1)),"TRUE","FALSE")</f>
        <v>FALSE</v>
      </c>
      <c r="AI848" s="661" t="str">
        <f t="shared" si="89"/>
        <v>II</v>
      </c>
      <c r="AJ848" s="662" t="str">
        <f t="shared" si="90"/>
        <v>T15V-012</v>
      </c>
      <c r="AK848" s="662" t="str">
        <f t="shared" si="91"/>
        <v>LVN</v>
      </c>
      <c r="AL848" s="662" t="str">
        <f t="shared" si="92"/>
        <v>FRD</v>
      </c>
      <c r="AM848" s="662" t="str">
        <f t="shared" si="88"/>
        <v>Transit 150 Van-Sliding RH Door-RWD-2-100.8-~-3.5L EcoBoost-6-E1C-101A-129.9-25-Unleaded-Unleaded</v>
      </c>
      <c r="AN848" s="662" t="str">
        <f t="shared" si="93"/>
        <v>2019-LVN-FRD-T15V-012</v>
      </c>
    </row>
    <row r="849" spans="1:40" s="572" customFormat="1" ht="15">
      <c r="A849" s="570" t="s">
        <v>1981</v>
      </c>
      <c r="B849" s="573" t="s">
        <v>1961</v>
      </c>
      <c r="C849" s="573" t="s">
        <v>278</v>
      </c>
      <c r="D849" s="578">
        <v>15</v>
      </c>
      <c r="E849" s="573" t="s">
        <v>1516</v>
      </c>
      <c r="F849" s="573" t="s">
        <v>1914</v>
      </c>
      <c r="G849" s="573" t="s">
        <v>271</v>
      </c>
      <c r="H849" s="573">
        <v>2019</v>
      </c>
      <c r="I849" s="573" t="s">
        <v>1915</v>
      </c>
      <c r="J849" s="573" t="s">
        <v>1950</v>
      </c>
      <c r="K849" s="573" t="s">
        <v>236</v>
      </c>
      <c r="L849" s="573">
        <v>2</v>
      </c>
      <c r="M849" s="573">
        <v>0</v>
      </c>
      <c r="N849" s="573" t="s">
        <v>157</v>
      </c>
      <c r="O849" s="573">
        <v>1</v>
      </c>
      <c r="P849" s="573">
        <v>100.8</v>
      </c>
      <c r="Q849" s="571" t="s">
        <v>157</v>
      </c>
      <c r="R849" s="573" t="s">
        <v>682</v>
      </c>
      <c r="S849" s="573">
        <v>6</v>
      </c>
      <c r="T849" s="573" t="s">
        <v>1957</v>
      </c>
      <c r="U849" s="573" t="s">
        <v>1894</v>
      </c>
      <c r="V849" s="573">
        <v>129.9</v>
      </c>
      <c r="W849" s="573">
        <v>25</v>
      </c>
      <c r="X849" s="571">
        <v>8600</v>
      </c>
      <c r="Y849" s="573">
        <v>16</v>
      </c>
      <c r="Z849" s="579" t="s">
        <v>178</v>
      </c>
      <c r="AA849" s="579" t="s">
        <v>178</v>
      </c>
      <c r="AB849" s="584">
        <v>34985</v>
      </c>
      <c r="AC849" s="584" t="s">
        <v>164</v>
      </c>
      <c r="AD849" s="584">
        <v>26300</v>
      </c>
      <c r="AE849" s="586">
        <v>0.01</v>
      </c>
      <c r="AF849" s="661" t="str">
        <f t="shared" si="94"/>
        <v>2019-LVN-FRD-T15V-013-15</v>
      </c>
      <c r="AG849" s="661" t="str">
        <f>IF(AND($Y849&gt;=32,(AI849="I"),(Y849&lt;&gt;"~"),(COUNTIF($AN$1:$AN849,$AN849)=1)),"TRUE","FALSE")</f>
        <v>FALSE</v>
      </c>
      <c r="AH849" s="661" t="str">
        <f>IF(AND($Y849&gt;=22, (AI849&lt;&gt;"I"),(Y849&lt;&gt;"~"),(COUNTIF($AN$1:$AN849,$AN849)=1)),"TRUE","FALSE")</f>
        <v>FALSE</v>
      </c>
      <c r="AI849" s="661" t="str">
        <f t="shared" si="89"/>
        <v>II</v>
      </c>
      <c r="AJ849" s="662" t="str">
        <f t="shared" si="90"/>
        <v>T15V-013</v>
      </c>
      <c r="AK849" s="662" t="str">
        <f t="shared" si="91"/>
        <v>LVN</v>
      </c>
      <c r="AL849" s="662" t="str">
        <f t="shared" si="92"/>
        <v>FRD</v>
      </c>
      <c r="AM849" s="662" t="str">
        <f t="shared" si="88"/>
        <v>Transit 150 Van-Sliding RH Door-RWD-2-100.8-~-3.7L-6-E1C-101A-129.9-25-Unleaded-Unleaded</v>
      </c>
      <c r="AN849" s="662" t="str">
        <f t="shared" si="93"/>
        <v>2019-LVN-FRD-T15V-013</v>
      </c>
    </row>
    <row r="850" spans="1:40" s="572" customFormat="1" ht="15">
      <c r="A850" s="570" t="s">
        <v>1982</v>
      </c>
      <c r="B850" s="569" t="s">
        <v>1963</v>
      </c>
      <c r="C850" s="569" t="s">
        <v>278</v>
      </c>
      <c r="D850" s="580">
        <v>15</v>
      </c>
      <c r="E850" s="569" t="s">
        <v>1516</v>
      </c>
      <c r="F850" s="569" t="s">
        <v>1914</v>
      </c>
      <c r="G850" s="569" t="s">
        <v>271</v>
      </c>
      <c r="H850" s="569">
        <v>2019</v>
      </c>
      <c r="I850" s="569" t="s">
        <v>1915</v>
      </c>
      <c r="J850" s="569" t="s">
        <v>1950</v>
      </c>
      <c r="K850" s="569" t="s">
        <v>236</v>
      </c>
      <c r="L850" s="569">
        <v>2</v>
      </c>
      <c r="M850" s="569">
        <v>0</v>
      </c>
      <c r="N850" s="569" t="s">
        <v>157</v>
      </c>
      <c r="O850" s="569">
        <v>1</v>
      </c>
      <c r="P850" s="569">
        <v>83.2</v>
      </c>
      <c r="Q850" s="568" t="s">
        <v>157</v>
      </c>
      <c r="R850" s="569" t="s">
        <v>1917</v>
      </c>
      <c r="S850" s="569">
        <v>5</v>
      </c>
      <c r="T850" s="569" t="s">
        <v>1964</v>
      </c>
      <c r="U850" s="569" t="s">
        <v>1894</v>
      </c>
      <c r="V850" s="569">
        <v>147.6</v>
      </c>
      <c r="W850" s="569">
        <v>25</v>
      </c>
      <c r="X850" s="568">
        <v>8600</v>
      </c>
      <c r="Y850" s="573">
        <v>16</v>
      </c>
      <c r="Z850" s="581" t="s">
        <v>728</v>
      </c>
      <c r="AA850" s="581" t="s">
        <v>1523</v>
      </c>
      <c r="AB850" s="585">
        <v>39555</v>
      </c>
      <c r="AC850" s="585" t="s">
        <v>164</v>
      </c>
      <c r="AD850" s="585">
        <v>28300</v>
      </c>
      <c r="AE850" s="587">
        <v>0.01</v>
      </c>
      <c r="AF850" s="661" t="str">
        <f t="shared" si="94"/>
        <v>2019-LVN-FRD-T15V-015-15</v>
      </c>
      <c r="AG850" s="661" t="str">
        <f>IF(AND($Y850&gt;=32,(AI850="I"),(Y850&lt;&gt;"~"),(COUNTIF($AN$1:$AN850,$AN850)=1)),"TRUE","FALSE")</f>
        <v>FALSE</v>
      </c>
      <c r="AH850" s="661" t="str">
        <f>IF(AND($Y850&gt;=22, (AI850&lt;&gt;"I"),(Y850&lt;&gt;"~"),(COUNTIF($AN$1:$AN850,$AN850)=1)),"TRUE","FALSE")</f>
        <v>FALSE</v>
      </c>
      <c r="AI850" s="661" t="str">
        <f t="shared" si="89"/>
        <v>II</v>
      </c>
      <c r="AJ850" s="662" t="str">
        <f t="shared" si="90"/>
        <v>T15V-015</v>
      </c>
      <c r="AK850" s="662" t="str">
        <f t="shared" si="91"/>
        <v>LVN</v>
      </c>
      <c r="AL850" s="662" t="str">
        <f t="shared" si="92"/>
        <v>FRD</v>
      </c>
      <c r="AM850" s="662" t="str">
        <f t="shared" si="88"/>
        <v>Transit 150 Van-Sliding RH Door-RWD-2-83.2-~-3.2L-5-E2Y-101A-147.6-25-Diesel-BioDiesel</v>
      </c>
      <c r="AN850" s="662" t="str">
        <f t="shared" si="93"/>
        <v>2019-LVN-FRD-T15V-015</v>
      </c>
    </row>
    <row r="851" spans="1:40" s="572" customFormat="1" ht="15">
      <c r="A851" s="570" t="s">
        <v>1983</v>
      </c>
      <c r="B851" s="573" t="s">
        <v>1966</v>
      </c>
      <c r="C851" s="573" t="s">
        <v>278</v>
      </c>
      <c r="D851" s="578">
        <v>15</v>
      </c>
      <c r="E851" s="573" t="s">
        <v>1516</v>
      </c>
      <c r="F851" s="573" t="s">
        <v>1914</v>
      </c>
      <c r="G851" s="573" t="s">
        <v>271</v>
      </c>
      <c r="H851" s="573">
        <v>2019</v>
      </c>
      <c r="I851" s="573" t="s">
        <v>1915</v>
      </c>
      <c r="J851" s="573" t="s">
        <v>1950</v>
      </c>
      <c r="K851" s="573" t="s">
        <v>236</v>
      </c>
      <c r="L851" s="573">
        <v>2</v>
      </c>
      <c r="M851" s="573">
        <v>0</v>
      </c>
      <c r="N851" s="573" t="s">
        <v>157</v>
      </c>
      <c r="O851" s="573">
        <v>1</v>
      </c>
      <c r="P851" s="573">
        <v>83.2</v>
      </c>
      <c r="Q851" s="571" t="s">
        <v>157</v>
      </c>
      <c r="R851" s="573" t="s">
        <v>1259</v>
      </c>
      <c r="S851" s="573">
        <v>6</v>
      </c>
      <c r="T851" s="573" t="s">
        <v>1964</v>
      </c>
      <c r="U851" s="573" t="s">
        <v>1894</v>
      </c>
      <c r="V851" s="573">
        <v>147.6</v>
      </c>
      <c r="W851" s="573">
        <v>25</v>
      </c>
      <c r="X851" s="571">
        <v>8600</v>
      </c>
      <c r="Y851" s="573">
        <v>16</v>
      </c>
      <c r="Z851" s="579" t="s">
        <v>178</v>
      </c>
      <c r="AA851" s="579" t="s">
        <v>178</v>
      </c>
      <c r="AB851" s="584">
        <v>37425</v>
      </c>
      <c r="AC851" s="584" t="s">
        <v>164</v>
      </c>
      <c r="AD851" s="584">
        <v>26400</v>
      </c>
      <c r="AE851" s="586">
        <v>0.01</v>
      </c>
      <c r="AF851" s="661" t="str">
        <f t="shared" si="94"/>
        <v>2019-LVN-FRD-T15V-016-15</v>
      </c>
      <c r="AG851" s="661" t="str">
        <f>IF(AND($Y851&gt;=32,(AI851="I"),(Y851&lt;&gt;"~"),(COUNTIF($AN$1:$AN851,$AN851)=1)),"TRUE","FALSE")</f>
        <v>FALSE</v>
      </c>
      <c r="AH851" s="661" t="str">
        <f>IF(AND($Y851&gt;=22, (AI851&lt;&gt;"I"),(Y851&lt;&gt;"~"),(COUNTIF($AN$1:$AN851,$AN851)=1)),"TRUE","FALSE")</f>
        <v>FALSE</v>
      </c>
      <c r="AI851" s="661" t="str">
        <f t="shared" si="89"/>
        <v>II</v>
      </c>
      <c r="AJ851" s="662" t="str">
        <f t="shared" si="90"/>
        <v>T15V-016</v>
      </c>
      <c r="AK851" s="662" t="str">
        <f t="shared" si="91"/>
        <v>LVN</v>
      </c>
      <c r="AL851" s="662" t="str">
        <f t="shared" si="92"/>
        <v>FRD</v>
      </c>
      <c r="AM851" s="662" t="str">
        <f t="shared" si="88"/>
        <v>Transit 150 Van-Sliding RH Door-RWD-2-83.2-~-3.5L EcoBoost-6-E2Y-101A-147.6-25-Unleaded-Unleaded</v>
      </c>
      <c r="AN851" s="662" t="str">
        <f t="shared" si="93"/>
        <v>2019-LVN-FRD-T15V-016</v>
      </c>
    </row>
    <row r="852" spans="1:40" s="572" customFormat="1" ht="15">
      <c r="A852" s="570" t="s">
        <v>1984</v>
      </c>
      <c r="B852" s="569" t="s">
        <v>1968</v>
      </c>
      <c r="C852" s="569" t="s">
        <v>278</v>
      </c>
      <c r="D852" s="580">
        <v>15</v>
      </c>
      <c r="E852" s="569" t="s">
        <v>1516</v>
      </c>
      <c r="F852" s="569" t="s">
        <v>1914</v>
      </c>
      <c r="G852" s="569" t="s">
        <v>271</v>
      </c>
      <c r="H852" s="569">
        <v>2019</v>
      </c>
      <c r="I852" s="569" t="s">
        <v>1915</v>
      </c>
      <c r="J852" s="569" t="s">
        <v>1950</v>
      </c>
      <c r="K852" s="569" t="s">
        <v>236</v>
      </c>
      <c r="L852" s="569">
        <v>2</v>
      </c>
      <c r="M852" s="569">
        <v>0</v>
      </c>
      <c r="N852" s="569" t="s">
        <v>157</v>
      </c>
      <c r="O852" s="569">
        <v>1</v>
      </c>
      <c r="P852" s="569">
        <v>83.2</v>
      </c>
      <c r="Q852" s="568" t="s">
        <v>157</v>
      </c>
      <c r="R852" s="569" t="s">
        <v>682</v>
      </c>
      <c r="S852" s="569">
        <v>6</v>
      </c>
      <c r="T852" s="569" t="s">
        <v>1964</v>
      </c>
      <c r="U852" s="569" t="s">
        <v>1894</v>
      </c>
      <c r="V852" s="569">
        <v>147.6</v>
      </c>
      <c r="W852" s="569">
        <v>25</v>
      </c>
      <c r="X852" s="568">
        <v>8600</v>
      </c>
      <c r="Y852" s="573">
        <v>16</v>
      </c>
      <c r="Z852" s="581" t="s">
        <v>178</v>
      </c>
      <c r="AA852" s="581" t="s">
        <v>178</v>
      </c>
      <c r="AB852" s="585">
        <v>35560</v>
      </c>
      <c r="AC852" s="585" t="s">
        <v>164</v>
      </c>
      <c r="AD852" s="585">
        <v>24700</v>
      </c>
      <c r="AE852" s="587">
        <v>0.01</v>
      </c>
      <c r="AF852" s="661" t="str">
        <f t="shared" si="94"/>
        <v>2019-LVN-FRD-T15V-017-15</v>
      </c>
      <c r="AG852" s="661" t="str">
        <f>IF(AND($Y852&gt;=32,(AI852="I"),(Y852&lt;&gt;"~"),(COUNTIF($AN$1:$AN852,$AN852)=1)),"TRUE","FALSE")</f>
        <v>FALSE</v>
      </c>
      <c r="AH852" s="661" t="str">
        <f>IF(AND($Y852&gt;=22, (AI852&lt;&gt;"I"),(Y852&lt;&gt;"~"),(COUNTIF($AN$1:$AN852,$AN852)=1)),"TRUE","FALSE")</f>
        <v>FALSE</v>
      </c>
      <c r="AI852" s="661" t="str">
        <f t="shared" si="89"/>
        <v>II</v>
      </c>
      <c r="AJ852" s="662" t="str">
        <f t="shared" si="90"/>
        <v>T15V-017</v>
      </c>
      <c r="AK852" s="662" t="str">
        <f t="shared" si="91"/>
        <v>LVN</v>
      </c>
      <c r="AL852" s="662" t="str">
        <f t="shared" si="92"/>
        <v>FRD</v>
      </c>
      <c r="AM852" s="662" t="str">
        <f t="shared" si="88"/>
        <v>Transit 150 Van-Sliding RH Door-RWD-2-83.2-~-3.7L-6-E2Y-101A-147.6-25-Unleaded-Unleaded</v>
      </c>
      <c r="AN852" s="662" t="str">
        <f t="shared" si="93"/>
        <v>2019-LVN-FRD-T15V-017</v>
      </c>
    </row>
    <row r="853" spans="1:40" s="572" customFormat="1" ht="15">
      <c r="A853" s="570" t="s">
        <v>1985</v>
      </c>
      <c r="B853" s="573" t="s">
        <v>1970</v>
      </c>
      <c r="C853" s="573" t="s">
        <v>278</v>
      </c>
      <c r="D853" s="578">
        <v>15</v>
      </c>
      <c r="E853" s="573" t="s">
        <v>1516</v>
      </c>
      <c r="F853" s="573" t="s">
        <v>1914</v>
      </c>
      <c r="G853" s="573" t="s">
        <v>271</v>
      </c>
      <c r="H853" s="573">
        <v>2019</v>
      </c>
      <c r="I853" s="573" t="s">
        <v>1915</v>
      </c>
      <c r="J853" s="573" t="s">
        <v>1950</v>
      </c>
      <c r="K853" s="573" t="s">
        <v>236</v>
      </c>
      <c r="L853" s="573">
        <v>2</v>
      </c>
      <c r="M853" s="573">
        <v>0</v>
      </c>
      <c r="N853" s="573" t="s">
        <v>157</v>
      </c>
      <c r="O853" s="573">
        <v>1</v>
      </c>
      <c r="P853" s="573">
        <v>83.6</v>
      </c>
      <c r="Q853" s="571" t="s">
        <v>157</v>
      </c>
      <c r="R853" s="573" t="s">
        <v>1917</v>
      </c>
      <c r="S853" s="573">
        <v>5</v>
      </c>
      <c r="T853" s="573" t="s">
        <v>1971</v>
      </c>
      <c r="U853" s="573" t="s">
        <v>1894</v>
      </c>
      <c r="V853" s="573">
        <v>129.9</v>
      </c>
      <c r="W853" s="573">
        <v>25</v>
      </c>
      <c r="X853" s="571">
        <v>8600</v>
      </c>
      <c r="Y853" s="573">
        <v>16</v>
      </c>
      <c r="Z853" s="579" t="s">
        <v>728</v>
      </c>
      <c r="AA853" s="579" t="s">
        <v>1523</v>
      </c>
      <c r="AB853" s="584">
        <v>38675</v>
      </c>
      <c r="AC853" s="584" t="s">
        <v>164</v>
      </c>
      <c r="AD853" s="584">
        <v>27500</v>
      </c>
      <c r="AE853" s="586">
        <v>0.01</v>
      </c>
      <c r="AF853" s="661" t="str">
        <f t="shared" si="94"/>
        <v>2019-LVN-FRD-T15V-018-15</v>
      </c>
      <c r="AG853" s="661" t="str">
        <f>IF(AND($Y853&gt;=32,(AI853="I"),(Y853&lt;&gt;"~"),(COUNTIF($AN$1:$AN853,$AN853)=1)),"TRUE","FALSE")</f>
        <v>FALSE</v>
      </c>
      <c r="AH853" s="661" t="str">
        <f>IF(AND($Y853&gt;=22, (AI853&lt;&gt;"I"),(Y853&lt;&gt;"~"),(COUNTIF($AN$1:$AN853,$AN853)=1)),"TRUE","FALSE")</f>
        <v>FALSE</v>
      </c>
      <c r="AI853" s="661" t="str">
        <f t="shared" si="89"/>
        <v>II</v>
      </c>
      <c r="AJ853" s="662" t="str">
        <f t="shared" si="90"/>
        <v>T15V-018</v>
      </c>
      <c r="AK853" s="662" t="str">
        <f t="shared" si="91"/>
        <v>LVN</v>
      </c>
      <c r="AL853" s="662" t="str">
        <f t="shared" si="92"/>
        <v>FRD</v>
      </c>
      <c r="AM853" s="662" t="str">
        <f t="shared" si="88"/>
        <v>Transit 150 Van-Sliding RH Door-RWD-2-83.6-~-3.2L-5-E1Y-101A-129.9-25-Diesel-BioDiesel</v>
      </c>
      <c r="AN853" s="662" t="str">
        <f t="shared" si="93"/>
        <v>2019-LVN-FRD-T15V-018</v>
      </c>
    </row>
    <row r="854" spans="1:40" s="572" customFormat="1" ht="15">
      <c r="A854" s="570" t="s">
        <v>1986</v>
      </c>
      <c r="B854" s="569" t="s">
        <v>1973</v>
      </c>
      <c r="C854" s="569" t="s">
        <v>278</v>
      </c>
      <c r="D854" s="580">
        <v>15</v>
      </c>
      <c r="E854" s="569" t="s">
        <v>1516</v>
      </c>
      <c r="F854" s="569" t="s">
        <v>1914</v>
      </c>
      <c r="G854" s="569" t="s">
        <v>271</v>
      </c>
      <c r="H854" s="569">
        <v>2019</v>
      </c>
      <c r="I854" s="569" t="s">
        <v>1915</v>
      </c>
      <c r="J854" s="569" t="s">
        <v>1950</v>
      </c>
      <c r="K854" s="569" t="s">
        <v>236</v>
      </c>
      <c r="L854" s="569">
        <v>2</v>
      </c>
      <c r="M854" s="569">
        <v>0</v>
      </c>
      <c r="N854" s="569" t="s">
        <v>157</v>
      </c>
      <c r="O854" s="569">
        <v>1</v>
      </c>
      <c r="P854" s="569">
        <v>83.6</v>
      </c>
      <c r="Q854" s="568" t="s">
        <v>157</v>
      </c>
      <c r="R854" s="569" t="s">
        <v>1259</v>
      </c>
      <c r="S854" s="569">
        <v>6</v>
      </c>
      <c r="T854" s="569" t="s">
        <v>1971</v>
      </c>
      <c r="U854" s="569" t="s">
        <v>1894</v>
      </c>
      <c r="V854" s="569">
        <v>129.9</v>
      </c>
      <c r="W854" s="569">
        <v>25</v>
      </c>
      <c r="X854" s="568">
        <v>8600</v>
      </c>
      <c r="Y854" s="573">
        <v>16</v>
      </c>
      <c r="Z854" s="581" t="s">
        <v>178</v>
      </c>
      <c r="AA854" s="581" t="s">
        <v>178</v>
      </c>
      <c r="AB854" s="585">
        <v>36545</v>
      </c>
      <c r="AC854" s="585" t="s">
        <v>164</v>
      </c>
      <c r="AD854" s="585">
        <v>25600</v>
      </c>
      <c r="AE854" s="587">
        <v>0.01</v>
      </c>
      <c r="AF854" s="661" t="str">
        <f t="shared" si="94"/>
        <v>2019-LVN-FRD-T15V-019-15</v>
      </c>
      <c r="AG854" s="661" t="str">
        <f>IF(AND($Y854&gt;=32,(AI854="I"),(Y854&lt;&gt;"~"),(COUNTIF($AN$1:$AN854,$AN854)=1)),"TRUE","FALSE")</f>
        <v>FALSE</v>
      </c>
      <c r="AH854" s="661" t="str">
        <f>IF(AND($Y854&gt;=22, (AI854&lt;&gt;"I"),(Y854&lt;&gt;"~"),(COUNTIF($AN$1:$AN854,$AN854)=1)),"TRUE","FALSE")</f>
        <v>FALSE</v>
      </c>
      <c r="AI854" s="661" t="str">
        <f t="shared" si="89"/>
        <v>II</v>
      </c>
      <c r="AJ854" s="662" t="str">
        <f t="shared" si="90"/>
        <v>T15V-019</v>
      </c>
      <c r="AK854" s="662" t="str">
        <f t="shared" si="91"/>
        <v>LVN</v>
      </c>
      <c r="AL854" s="662" t="str">
        <f t="shared" si="92"/>
        <v>FRD</v>
      </c>
      <c r="AM854" s="662" t="str">
        <f t="shared" si="88"/>
        <v>Transit 150 Van-Sliding RH Door-RWD-2-83.6-~-3.5L EcoBoost-6-E1Y-101A-129.9-25-Unleaded-Unleaded</v>
      </c>
      <c r="AN854" s="662" t="str">
        <f t="shared" si="93"/>
        <v>2019-LVN-FRD-T15V-019</v>
      </c>
    </row>
    <row r="855" spans="1:40" s="572" customFormat="1" ht="15">
      <c r="A855" s="570" t="s">
        <v>1987</v>
      </c>
      <c r="B855" s="573" t="s">
        <v>1975</v>
      </c>
      <c r="C855" s="573" t="s">
        <v>278</v>
      </c>
      <c r="D855" s="578">
        <v>15</v>
      </c>
      <c r="E855" s="573" t="s">
        <v>1516</v>
      </c>
      <c r="F855" s="573" t="s">
        <v>1914</v>
      </c>
      <c r="G855" s="573" t="s">
        <v>271</v>
      </c>
      <c r="H855" s="573">
        <v>2019</v>
      </c>
      <c r="I855" s="573" t="s">
        <v>1915</v>
      </c>
      <c r="J855" s="573" t="s">
        <v>1950</v>
      </c>
      <c r="K855" s="573" t="s">
        <v>236</v>
      </c>
      <c r="L855" s="573">
        <v>2</v>
      </c>
      <c r="M855" s="573">
        <v>0</v>
      </c>
      <c r="N855" s="573" t="s">
        <v>157</v>
      </c>
      <c r="O855" s="573">
        <v>1</v>
      </c>
      <c r="P855" s="573">
        <v>83.6</v>
      </c>
      <c r="Q855" s="571" t="s">
        <v>157</v>
      </c>
      <c r="R855" s="573" t="s">
        <v>682</v>
      </c>
      <c r="S855" s="573">
        <v>6</v>
      </c>
      <c r="T855" s="573" t="s">
        <v>1971</v>
      </c>
      <c r="U855" s="573" t="s">
        <v>1894</v>
      </c>
      <c r="V855" s="573">
        <v>129.9</v>
      </c>
      <c r="W855" s="573">
        <v>25</v>
      </c>
      <c r="X855" s="571">
        <v>8600</v>
      </c>
      <c r="Y855" s="573">
        <v>16</v>
      </c>
      <c r="Z855" s="579" t="s">
        <v>178</v>
      </c>
      <c r="AA855" s="579" t="s">
        <v>178</v>
      </c>
      <c r="AB855" s="584">
        <v>34680</v>
      </c>
      <c r="AC855" s="584" t="s">
        <v>164</v>
      </c>
      <c r="AD855" s="584">
        <v>23850</v>
      </c>
      <c r="AE855" s="586">
        <v>0.01</v>
      </c>
      <c r="AF855" s="661" t="str">
        <f t="shared" si="94"/>
        <v>2019-LVN-FRD-T15V-020-15</v>
      </c>
      <c r="AG855" s="661" t="str">
        <f>IF(AND($Y855&gt;=32,(AI855="I"),(Y855&lt;&gt;"~"),(COUNTIF($AN$1:$AN855,$AN855)=1)),"TRUE","FALSE")</f>
        <v>FALSE</v>
      </c>
      <c r="AH855" s="661" t="str">
        <f>IF(AND($Y855&gt;=22, (AI855&lt;&gt;"I"),(Y855&lt;&gt;"~"),(COUNTIF($AN$1:$AN855,$AN855)=1)),"TRUE","FALSE")</f>
        <v>FALSE</v>
      </c>
      <c r="AI855" s="661" t="str">
        <f t="shared" si="89"/>
        <v>II</v>
      </c>
      <c r="AJ855" s="662" t="str">
        <f t="shared" si="90"/>
        <v>T15V-020</v>
      </c>
      <c r="AK855" s="662" t="str">
        <f t="shared" si="91"/>
        <v>LVN</v>
      </c>
      <c r="AL855" s="662" t="str">
        <f t="shared" si="92"/>
        <v>FRD</v>
      </c>
      <c r="AM855" s="662" t="str">
        <f t="shared" si="88"/>
        <v>Transit 150 Van-Sliding RH Door-RWD-2-83.6-~-3.7L-6-E1Y-101A-129.9-25-Unleaded-Unleaded</v>
      </c>
      <c r="AN855" s="662" t="str">
        <f t="shared" si="93"/>
        <v>2019-LVN-FRD-T15V-020</v>
      </c>
    </row>
    <row r="856" spans="1:40" s="572" customFormat="1" ht="15">
      <c r="A856" s="570" t="s">
        <v>1988</v>
      </c>
      <c r="B856" s="569" t="s">
        <v>1949</v>
      </c>
      <c r="C856" s="569" t="s">
        <v>287</v>
      </c>
      <c r="D856" s="580">
        <v>26</v>
      </c>
      <c r="E856" s="569" t="s">
        <v>1516</v>
      </c>
      <c r="F856" s="569" t="s">
        <v>1914</v>
      </c>
      <c r="G856" s="569" t="s">
        <v>271</v>
      </c>
      <c r="H856" s="569">
        <v>2019</v>
      </c>
      <c r="I856" s="569" t="s">
        <v>1915</v>
      </c>
      <c r="J856" s="569" t="s">
        <v>1950</v>
      </c>
      <c r="K856" s="569" t="s">
        <v>236</v>
      </c>
      <c r="L856" s="569">
        <v>2</v>
      </c>
      <c r="M856" s="569">
        <v>0</v>
      </c>
      <c r="N856" s="569" t="s">
        <v>157</v>
      </c>
      <c r="O856" s="569">
        <v>1</v>
      </c>
      <c r="P856" s="569">
        <v>100.7</v>
      </c>
      <c r="Q856" s="568" t="s">
        <v>157</v>
      </c>
      <c r="R856" s="569" t="s">
        <v>1917</v>
      </c>
      <c r="S856" s="569">
        <v>5</v>
      </c>
      <c r="T856" s="569" t="s">
        <v>1893</v>
      </c>
      <c r="U856" s="569" t="s">
        <v>1894</v>
      </c>
      <c r="V856" s="569">
        <v>147.6</v>
      </c>
      <c r="W856" s="569">
        <v>25</v>
      </c>
      <c r="X856" s="568">
        <v>8600</v>
      </c>
      <c r="Y856" s="573">
        <v>16</v>
      </c>
      <c r="Z856" s="581" t="s">
        <v>728</v>
      </c>
      <c r="AA856" s="581" t="s">
        <v>1523</v>
      </c>
      <c r="AB856" s="585">
        <v>40705</v>
      </c>
      <c r="AC856" s="585" t="s">
        <v>164</v>
      </c>
      <c r="AD856" s="585">
        <v>31244</v>
      </c>
      <c r="AE856" s="587">
        <v>0.05</v>
      </c>
      <c r="AF856" s="661" t="str">
        <f t="shared" si="94"/>
        <v>2019-LVN-FRD-T15V-007-26</v>
      </c>
      <c r="AG856" s="661" t="str">
        <f>IF(AND($Y856&gt;=32,(AI856="I"),(Y856&lt;&gt;"~"),(COUNTIF($AN$1:$AN856,$AN856)=1)),"TRUE","FALSE")</f>
        <v>FALSE</v>
      </c>
      <c r="AH856" s="661" t="str">
        <f>IF(AND($Y856&gt;=22, (AI856&lt;&gt;"I"),(Y856&lt;&gt;"~"),(COUNTIF($AN$1:$AN856,$AN856)=1)),"TRUE","FALSE")</f>
        <v>FALSE</v>
      </c>
      <c r="AI856" s="661" t="str">
        <f t="shared" si="89"/>
        <v>II</v>
      </c>
      <c r="AJ856" s="662" t="str">
        <f t="shared" si="90"/>
        <v>T15V-007</v>
      </c>
      <c r="AK856" s="662" t="str">
        <f t="shared" si="91"/>
        <v>LVN</v>
      </c>
      <c r="AL856" s="662" t="str">
        <f t="shared" si="92"/>
        <v>FRD</v>
      </c>
      <c r="AM856" s="662" t="str">
        <f t="shared" si="88"/>
        <v>Transit 150 Van-Sliding RH Door-RWD-2-100.7-~-3.2L-5-E2C-101A-147.6-25-Diesel-BioDiesel</v>
      </c>
      <c r="AN856" s="662" t="str">
        <f t="shared" si="93"/>
        <v>2019-LVN-FRD-T15V-007</v>
      </c>
    </row>
    <row r="857" spans="1:40" s="572" customFormat="1" ht="15">
      <c r="A857" s="570" t="s">
        <v>1989</v>
      </c>
      <c r="B857" s="573" t="s">
        <v>1952</v>
      </c>
      <c r="C857" s="573" t="s">
        <v>287</v>
      </c>
      <c r="D857" s="578">
        <v>26</v>
      </c>
      <c r="E857" s="573" t="s">
        <v>1516</v>
      </c>
      <c r="F857" s="573" t="s">
        <v>1914</v>
      </c>
      <c r="G857" s="573" t="s">
        <v>271</v>
      </c>
      <c r="H857" s="573">
        <v>2019</v>
      </c>
      <c r="I857" s="573" t="s">
        <v>1915</v>
      </c>
      <c r="J857" s="573" t="s">
        <v>1950</v>
      </c>
      <c r="K857" s="573" t="s">
        <v>236</v>
      </c>
      <c r="L857" s="573">
        <v>2</v>
      </c>
      <c r="M857" s="573">
        <v>0</v>
      </c>
      <c r="N857" s="573" t="s">
        <v>157</v>
      </c>
      <c r="O857" s="573">
        <v>1</v>
      </c>
      <c r="P857" s="573">
        <v>100.7</v>
      </c>
      <c r="Q857" s="571" t="s">
        <v>157</v>
      </c>
      <c r="R857" s="573" t="s">
        <v>1259</v>
      </c>
      <c r="S857" s="573">
        <v>6</v>
      </c>
      <c r="T857" s="573" t="s">
        <v>1893</v>
      </c>
      <c r="U857" s="573" t="s">
        <v>1894</v>
      </c>
      <c r="V857" s="573">
        <v>147.6</v>
      </c>
      <c r="W857" s="573">
        <v>25</v>
      </c>
      <c r="X857" s="571">
        <v>8600</v>
      </c>
      <c r="Y857" s="573">
        <v>16</v>
      </c>
      <c r="Z857" s="579" t="s">
        <v>178</v>
      </c>
      <c r="AA857" s="579" t="s">
        <v>178</v>
      </c>
      <c r="AB857" s="584">
        <v>38575</v>
      </c>
      <c r="AC857" s="584" t="s">
        <v>164</v>
      </c>
      <c r="AD857" s="584">
        <v>29291</v>
      </c>
      <c r="AE857" s="586">
        <v>0.05</v>
      </c>
      <c r="AF857" s="661" t="str">
        <f t="shared" si="94"/>
        <v>2019-LVN-FRD-T15V-008-26</v>
      </c>
      <c r="AG857" s="661" t="str">
        <f>IF(AND($Y857&gt;=32,(AI857="I"),(Y857&lt;&gt;"~"),(COUNTIF($AN$1:$AN857,$AN857)=1)),"TRUE","FALSE")</f>
        <v>FALSE</v>
      </c>
      <c r="AH857" s="661" t="str">
        <f>IF(AND($Y857&gt;=22, (AI857&lt;&gt;"I"),(Y857&lt;&gt;"~"),(COUNTIF($AN$1:$AN857,$AN857)=1)),"TRUE","FALSE")</f>
        <v>FALSE</v>
      </c>
      <c r="AI857" s="661" t="str">
        <f t="shared" si="89"/>
        <v>II</v>
      </c>
      <c r="AJ857" s="662" t="str">
        <f t="shared" si="90"/>
        <v>T15V-008</v>
      </c>
      <c r="AK857" s="662" t="str">
        <f t="shared" si="91"/>
        <v>LVN</v>
      </c>
      <c r="AL857" s="662" t="str">
        <f t="shared" si="92"/>
        <v>FRD</v>
      </c>
      <c r="AM857" s="662" t="str">
        <f t="shared" si="88"/>
        <v>Transit 150 Van-Sliding RH Door-RWD-2-100.7-~-3.5L EcoBoost-6-E2C-101A-147.6-25-Unleaded-Unleaded</v>
      </c>
      <c r="AN857" s="662" t="str">
        <f t="shared" si="93"/>
        <v>2019-LVN-FRD-T15V-008</v>
      </c>
    </row>
    <row r="858" spans="1:40" s="572" customFormat="1" ht="15">
      <c r="A858" s="570" t="s">
        <v>1990</v>
      </c>
      <c r="B858" s="569" t="s">
        <v>1954</v>
      </c>
      <c r="C858" s="569" t="s">
        <v>287</v>
      </c>
      <c r="D858" s="580">
        <v>26</v>
      </c>
      <c r="E858" s="569" t="s">
        <v>1516</v>
      </c>
      <c r="F858" s="569" t="s">
        <v>1914</v>
      </c>
      <c r="G858" s="569" t="s">
        <v>271</v>
      </c>
      <c r="H858" s="569">
        <v>2019</v>
      </c>
      <c r="I858" s="569" t="s">
        <v>1915</v>
      </c>
      <c r="J858" s="569" t="s">
        <v>1950</v>
      </c>
      <c r="K858" s="569" t="s">
        <v>236</v>
      </c>
      <c r="L858" s="569">
        <v>2</v>
      </c>
      <c r="M858" s="569">
        <v>0</v>
      </c>
      <c r="N858" s="569" t="s">
        <v>157</v>
      </c>
      <c r="O858" s="569">
        <v>1</v>
      </c>
      <c r="P858" s="569">
        <v>100.7</v>
      </c>
      <c r="Q858" s="568" t="s">
        <v>157</v>
      </c>
      <c r="R858" s="569" t="s">
        <v>682</v>
      </c>
      <c r="S858" s="569">
        <v>6</v>
      </c>
      <c r="T858" s="569" t="s">
        <v>1893</v>
      </c>
      <c r="U858" s="569" t="s">
        <v>1894</v>
      </c>
      <c r="V858" s="569">
        <v>147.6</v>
      </c>
      <c r="W858" s="569">
        <v>25</v>
      </c>
      <c r="X858" s="568">
        <v>8600</v>
      </c>
      <c r="Y858" s="573">
        <v>16</v>
      </c>
      <c r="Z858" s="581" t="s">
        <v>178</v>
      </c>
      <c r="AA858" s="581" t="s">
        <v>178</v>
      </c>
      <c r="AB858" s="585">
        <v>36710</v>
      </c>
      <c r="AC858" s="585" t="s">
        <v>164</v>
      </c>
      <c r="AD858" s="585">
        <v>27581</v>
      </c>
      <c r="AE858" s="587">
        <v>0.05</v>
      </c>
      <c r="AF858" s="661" t="str">
        <f t="shared" si="94"/>
        <v>2019-LVN-FRD-T15V-009-26</v>
      </c>
      <c r="AG858" s="661" t="str">
        <f>IF(AND($Y858&gt;=32,(AI858="I"),(Y858&lt;&gt;"~"),(COUNTIF($AN$1:$AN858,$AN858)=1)),"TRUE","FALSE")</f>
        <v>FALSE</v>
      </c>
      <c r="AH858" s="661" t="str">
        <f>IF(AND($Y858&gt;=22, (AI858&lt;&gt;"I"),(Y858&lt;&gt;"~"),(COUNTIF($AN$1:$AN858,$AN858)=1)),"TRUE","FALSE")</f>
        <v>FALSE</v>
      </c>
      <c r="AI858" s="661" t="str">
        <f t="shared" si="89"/>
        <v>II</v>
      </c>
      <c r="AJ858" s="662" t="str">
        <f t="shared" si="90"/>
        <v>T15V-009</v>
      </c>
      <c r="AK858" s="662" t="str">
        <f t="shared" si="91"/>
        <v>LVN</v>
      </c>
      <c r="AL858" s="662" t="str">
        <f t="shared" si="92"/>
        <v>FRD</v>
      </c>
      <c r="AM858" s="662" t="str">
        <f t="shared" si="88"/>
        <v>Transit 150 Van-Sliding RH Door-RWD-2-100.7-~-3.7L-6-E2C-101A-147.6-25-Unleaded-Unleaded</v>
      </c>
      <c r="AN858" s="662" t="str">
        <f t="shared" si="93"/>
        <v>2019-LVN-FRD-T15V-009</v>
      </c>
    </row>
    <row r="859" spans="1:40" s="572" customFormat="1" ht="15">
      <c r="A859" s="570" t="s">
        <v>1991</v>
      </c>
      <c r="B859" s="573" t="s">
        <v>1956</v>
      </c>
      <c r="C859" s="573" t="s">
        <v>287</v>
      </c>
      <c r="D859" s="578">
        <v>26</v>
      </c>
      <c r="E859" s="573" t="s">
        <v>1516</v>
      </c>
      <c r="F859" s="573" t="s">
        <v>1914</v>
      </c>
      <c r="G859" s="573" t="s">
        <v>271</v>
      </c>
      <c r="H859" s="573">
        <v>2019</v>
      </c>
      <c r="I859" s="573" t="s">
        <v>1915</v>
      </c>
      <c r="J859" s="573" t="s">
        <v>1950</v>
      </c>
      <c r="K859" s="573" t="s">
        <v>236</v>
      </c>
      <c r="L859" s="573">
        <v>2</v>
      </c>
      <c r="M859" s="573">
        <v>0</v>
      </c>
      <c r="N859" s="573" t="s">
        <v>157</v>
      </c>
      <c r="O859" s="573">
        <v>1</v>
      </c>
      <c r="P859" s="573">
        <v>100.8</v>
      </c>
      <c r="Q859" s="571" t="s">
        <v>157</v>
      </c>
      <c r="R859" s="573" t="s">
        <v>1917</v>
      </c>
      <c r="S859" s="573">
        <v>5</v>
      </c>
      <c r="T859" s="573" t="s">
        <v>1957</v>
      </c>
      <c r="U859" s="573" t="s">
        <v>1894</v>
      </c>
      <c r="V859" s="573">
        <v>129.9</v>
      </c>
      <c r="W859" s="573">
        <v>25</v>
      </c>
      <c r="X859" s="571">
        <v>8600</v>
      </c>
      <c r="Y859" s="573">
        <v>16</v>
      </c>
      <c r="Z859" s="579" t="s">
        <v>728</v>
      </c>
      <c r="AA859" s="579" t="s">
        <v>1523</v>
      </c>
      <c r="AB859" s="584">
        <v>38980</v>
      </c>
      <c r="AC859" s="584" t="s">
        <v>164</v>
      </c>
      <c r="AD859" s="584">
        <v>30427</v>
      </c>
      <c r="AE859" s="586">
        <v>0.05</v>
      </c>
      <c r="AF859" s="661" t="str">
        <f t="shared" si="94"/>
        <v>2019-LVN-FRD-T15V-011-26</v>
      </c>
      <c r="AG859" s="661" t="str">
        <f>IF(AND($Y859&gt;=32,(AI859="I"),(Y859&lt;&gt;"~"),(COUNTIF($AN$1:$AN859,$AN859)=1)),"TRUE","FALSE")</f>
        <v>FALSE</v>
      </c>
      <c r="AH859" s="661" t="str">
        <f>IF(AND($Y859&gt;=22, (AI859&lt;&gt;"I"),(Y859&lt;&gt;"~"),(COUNTIF($AN$1:$AN859,$AN859)=1)),"TRUE","FALSE")</f>
        <v>FALSE</v>
      </c>
      <c r="AI859" s="661" t="str">
        <f t="shared" si="89"/>
        <v>II</v>
      </c>
      <c r="AJ859" s="662" t="str">
        <f t="shared" si="90"/>
        <v>T15V-011</v>
      </c>
      <c r="AK859" s="662" t="str">
        <f t="shared" si="91"/>
        <v>LVN</v>
      </c>
      <c r="AL859" s="662" t="str">
        <f t="shared" si="92"/>
        <v>FRD</v>
      </c>
      <c r="AM859" s="662" t="str">
        <f t="shared" ref="AM859:AM922" si="95">CONCATENATE(I859,"-",J859,"-",K859,"-",L859,"-",P859,"-",Q859,"-",R859,"-",S859,"-",T859,"-",U859,"-",V859,"-",W859,"-",Z859,"-",AA859)</f>
        <v>Transit 150 Van-Sliding RH Door-RWD-2-100.8-~-3.2L-5-E1C-101A-129.9-25-Diesel-BioDiesel</v>
      </c>
      <c r="AN859" s="662" t="str">
        <f t="shared" si="93"/>
        <v>2019-LVN-FRD-T15V-011</v>
      </c>
    </row>
    <row r="860" spans="1:40" s="572" customFormat="1" ht="15">
      <c r="A860" s="570" t="s">
        <v>1992</v>
      </c>
      <c r="B860" s="569" t="s">
        <v>1959</v>
      </c>
      <c r="C860" s="569" t="s">
        <v>287</v>
      </c>
      <c r="D860" s="580">
        <v>26</v>
      </c>
      <c r="E860" s="569" t="s">
        <v>1516</v>
      </c>
      <c r="F860" s="569" t="s">
        <v>1914</v>
      </c>
      <c r="G860" s="569" t="s">
        <v>271</v>
      </c>
      <c r="H860" s="569">
        <v>2019</v>
      </c>
      <c r="I860" s="569" t="s">
        <v>1915</v>
      </c>
      <c r="J860" s="569" t="s">
        <v>1950</v>
      </c>
      <c r="K860" s="569" t="s">
        <v>236</v>
      </c>
      <c r="L860" s="569">
        <v>2</v>
      </c>
      <c r="M860" s="569">
        <v>0</v>
      </c>
      <c r="N860" s="569" t="s">
        <v>157</v>
      </c>
      <c r="O860" s="569">
        <v>1</v>
      </c>
      <c r="P860" s="569">
        <v>100.8</v>
      </c>
      <c r="Q860" s="568" t="s">
        <v>157</v>
      </c>
      <c r="R860" s="569" t="s">
        <v>1259</v>
      </c>
      <c r="S860" s="569">
        <v>6</v>
      </c>
      <c r="T860" s="569" t="s">
        <v>1957</v>
      </c>
      <c r="U860" s="569" t="s">
        <v>1894</v>
      </c>
      <c r="V860" s="569">
        <v>129.9</v>
      </c>
      <c r="W860" s="569">
        <v>25</v>
      </c>
      <c r="X860" s="568">
        <v>8600</v>
      </c>
      <c r="Y860" s="573">
        <v>16</v>
      </c>
      <c r="Z860" s="581" t="s">
        <v>178</v>
      </c>
      <c r="AA860" s="581" t="s">
        <v>178</v>
      </c>
      <c r="AB860" s="585">
        <v>36850</v>
      </c>
      <c r="AC860" s="585" t="s">
        <v>164</v>
      </c>
      <c r="AD860" s="585">
        <v>28473</v>
      </c>
      <c r="AE860" s="587">
        <v>0.05</v>
      </c>
      <c r="AF860" s="661" t="str">
        <f t="shared" si="94"/>
        <v>2019-LVN-FRD-T15V-012-26</v>
      </c>
      <c r="AG860" s="661" t="str">
        <f>IF(AND($Y860&gt;=32,(AI860="I"),(Y860&lt;&gt;"~"),(COUNTIF($AN$1:$AN860,$AN860)=1)),"TRUE","FALSE")</f>
        <v>FALSE</v>
      </c>
      <c r="AH860" s="661" t="str">
        <f>IF(AND($Y860&gt;=22, (AI860&lt;&gt;"I"),(Y860&lt;&gt;"~"),(COUNTIF($AN$1:$AN860,$AN860)=1)),"TRUE","FALSE")</f>
        <v>FALSE</v>
      </c>
      <c r="AI860" s="661" t="str">
        <f t="shared" ref="AI860:AI923" si="96">IF(OR((LEFT($E860,2)="01"),AND(LEFT($E860,2)="06",ISNUMBER(SEARCH("pas",$F860))),AND(LEFT($E860,2)="05",ISNUMBER(SEARCH("pas",$F860)))),"I",IF(AND((LEFT($E860,2)&lt;&gt;"01"),$X860&lt;=10000),"II",IF(AND((LEFT($E860,2)&lt;&gt;"01"),$X860&gt;10000),"N/A")))</f>
        <v>II</v>
      </c>
      <c r="AJ860" s="662" t="str">
        <f t="shared" si="90"/>
        <v>T15V-012</v>
      </c>
      <c r="AK860" s="662" t="str">
        <f t="shared" si="91"/>
        <v>LVN</v>
      </c>
      <c r="AL860" s="662" t="str">
        <f t="shared" si="92"/>
        <v>FRD</v>
      </c>
      <c r="AM860" s="662" t="str">
        <f t="shared" si="95"/>
        <v>Transit 150 Van-Sliding RH Door-RWD-2-100.8-~-3.5L EcoBoost-6-E1C-101A-129.9-25-Unleaded-Unleaded</v>
      </c>
      <c r="AN860" s="662" t="str">
        <f t="shared" si="93"/>
        <v>2019-LVN-FRD-T15V-012</v>
      </c>
    </row>
    <row r="861" spans="1:40" s="572" customFormat="1" ht="15">
      <c r="A861" s="570" t="s">
        <v>1993</v>
      </c>
      <c r="B861" s="573" t="s">
        <v>1961</v>
      </c>
      <c r="C861" s="573" t="s">
        <v>287</v>
      </c>
      <c r="D861" s="578">
        <v>26</v>
      </c>
      <c r="E861" s="573" t="s">
        <v>1516</v>
      </c>
      <c r="F861" s="573" t="s">
        <v>1914</v>
      </c>
      <c r="G861" s="573" t="s">
        <v>271</v>
      </c>
      <c r="H861" s="573">
        <v>2019</v>
      </c>
      <c r="I861" s="573" t="s">
        <v>1915</v>
      </c>
      <c r="J861" s="573" t="s">
        <v>1950</v>
      </c>
      <c r="K861" s="573" t="s">
        <v>236</v>
      </c>
      <c r="L861" s="573">
        <v>2</v>
      </c>
      <c r="M861" s="573">
        <v>0</v>
      </c>
      <c r="N861" s="573" t="s">
        <v>157</v>
      </c>
      <c r="O861" s="573">
        <v>1</v>
      </c>
      <c r="P861" s="573">
        <v>100.8</v>
      </c>
      <c r="Q861" s="571" t="s">
        <v>157</v>
      </c>
      <c r="R861" s="573" t="s">
        <v>682</v>
      </c>
      <c r="S861" s="573">
        <v>6</v>
      </c>
      <c r="T861" s="573" t="s">
        <v>1957</v>
      </c>
      <c r="U861" s="573" t="s">
        <v>1894</v>
      </c>
      <c r="V861" s="573">
        <v>129.9</v>
      </c>
      <c r="W861" s="573">
        <v>25</v>
      </c>
      <c r="X861" s="571">
        <v>8600</v>
      </c>
      <c r="Y861" s="573">
        <v>16</v>
      </c>
      <c r="Z861" s="579" t="s">
        <v>178</v>
      </c>
      <c r="AA861" s="579" t="s">
        <v>178</v>
      </c>
      <c r="AB861" s="584">
        <v>34985</v>
      </c>
      <c r="AC861" s="584" t="s">
        <v>164</v>
      </c>
      <c r="AD861" s="584">
        <v>26763</v>
      </c>
      <c r="AE861" s="586">
        <v>0.05</v>
      </c>
      <c r="AF861" s="661" t="str">
        <f t="shared" si="94"/>
        <v>2019-LVN-FRD-T15V-013-26</v>
      </c>
      <c r="AG861" s="661" t="str">
        <f>IF(AND($Y861&gt;=32,(AI861="I"),(Y861&lt;&gt;"~"),(COUNTIF($AN$1:$AN861,$AN861)=1)),"TRUE","FALSE")</f>
        <v>FALSE</v>
      </c>
      <c r="AH861" s="661" t="str">
        <f>IF(AND($Y861&gt;=22, (AI861&lt;&gt;"I"),(Y861&lt;&gt;"~"),(COUNTIF($AN$1:$AN861,$AN861)=1)),"TRUE","FALSE")</f>
        <v>FALSE</v>
      </c>
      <c r="AI861" s="661" t="str">
        <f t="shared" si="96"/>
        <v>II</v>
      </c>
      <c r="AJ861" s="662" t="str">
        <f t="shared" si="90"/>
        <v>T15V-013</v>
      </c>
      <c r="AK861" s="662" t="str">
        <f t="shared" si="91"/>
        <v>LVN</v>
      </c>
      <c r="AL861" s="662" t="str">
        <f t="shared" si="92"/>
        <v>FRD</v>
      </c>
      <c r="AM861" s="662" t="str">
        <f t="shared" si="95"/>
        <v>Transit 150 Van-Sliding RH Door-RWD-2-100.8-~-3.7L-6-E1C-101A-129.9-25-Unleaded-Unleaded</v>
      </c>
      <c r="AN861" s="662" t="str">
        <f t="shared" si="93"/>
        <v>2019-LVN-FRD-T15V-013</v>
      </c>
    </row>
    <row r="862" spans="1:40" s="572" customFormat="1" ht="15">
      <c r="A862" s="570" t="s">
        <v>1994</v>
      </c>
      <c r="B862" s="569" t="s">
        <v>1963</v>
      </c>
      <c r="C862" s="569" t="s">
        <v>287</v>
      </c>
      <c r="D862" s="580">
        <v>26</v>
      </c>
      <c r="E862" s="569" t="s">
        <v>1516</v>
      </c>
      <c r="F862" s="569" t="s">
        <v>1914</v>
      </c>
      <c r="G862" s="569" t="s">
        <v>271</v>
      </c>
      <c r="H862" s="569">
        <v>2019</v>
      </c>
      <c r="I862" s="569" t="s">
        <v>1915</v>
      </c>
      <c r="J862" s="569" t="s">
        <v>1950</v>
      </c>
      <c r="K862" s="569" t="s">
        <v>236</v>
      </c>
      <c r="L862" s="569">
        <v>2</v>
      </c>
      <c r="M862" s="569">
        <v>0</v>
      </c>
      <c r="N862" s="569" t="s">
        <v>157</v>
      </c>
      <c r="O862" s="569">
        <v>1</v>
      </c>
      <c r="P862" s="569">
        <v>83.2</v>
      </c>
      <c r="Q862" s="568" t="s">
        <v>157</v>
      </c>
      <c r="R862" s="569" t="s">
        <v>1917</v>
      </c>
      <c r="S862" s="569">
        <v>5</v>
      </c>
      <c r="T862" s="569" t="s">
        <v>1964</v>
      </c>
      <c r="U862" s="569" t="s">
        <v>1894</v>
      </c>
      <c r="V862" s="569">
        <v>147.6</v>
      </c>
      <c r="W862" s="569">
        <v>25</v>
      </c>
      <c r="X862" s="568">
        <v>8600</v>
      </c>
      <c r="Y862" s="573">
        <v>16</v>
      </c>
      <c r="Z862" s="581" t="s">
        <v>728</v>
      </c>
      <c r="AA862" s="581" t="s">
        <v>1523</v>
      </c>
      <c r="AB862" s="585">
        <v>39555</v>
      </c>
      <c r="AC862" s="585" t="s">
        <v>164</v>
      </c>
      <c r="AD862" s="585">
        <v>28817</v>
      </c>
      <c r="AE862" s="587">
        <v>0.05</v>
      </c>
      <c r="AF862" s="661" t="str">
        <f t="shared" si="94"/>
        <v>2019-LVN-FRD-T15V-015-26</v>
      </c>
      <c r="AG862" s="661" t="str">
        <f>IF(AND($Y862&gt;=32,(AI862="I"),(Y862&lt;&gt;"~"),(COUNTIF($AN$1:$AN862,$AN862)=1)),"TRUE","FALSE")</f>
        <v>FALSE</v>
      </c>
      <c r="AH862" s="661" t="str">
        <f>IF(AND($Y862&gt;=22, (AI862&lt;&gt;"I"),(Y862&lt;&gt;"~"),(COUNTIF($AN$1:$AN862,$AN862)=1)),"TRUE","FALSE")</f>
        <v>FALSE</v>
      </c>
      <c r="AI862" s="661" t="str">
        <f t="shared" si="96"/>
        <v>II</v>
      </c>
      <c r="AJ862" s="662" t="str">
        <f t="shared" si="90"/>
        <v>T15V-015</v>
      </c>
      <c r="AK862" s="662" t="str">
        <f t="shared" si="91"/>
        <v>LVN</v>
      </c>
      <c r="AL862" s="662" t="str">
        <f t="shared" si="92"/>
        <v>FRD</v>
      </c>
      <c r="AM862" s="662" t="str">
        <f t="shared" si="95"/>
        <v>Transit 150 Van-Sliding RH Door-RWD-2-83.2-~-3.2L-5-E2Y-101A-147.6-25-Diesel-BioDiesel</v>
      </c>
      <c r="AN862" s="662" t="str">
        <f t="shared" si="93"/>
        <v>2019-LVN-FRD-T15V-015</v>
      </c>
    </row>
    <row r="863" spans="1:40" s="572" customFormat="1" ht="15">
      <c r="A863" s="570" t="s">
        <v>1995</v>
      </c>
      <c r="B863" s="573" t="s">
        <v>1966</v>
      </c>
      <c r="C863" s="573" t="s">
        <v>287</v>
      </c>
      <c r="D863" s="578">
        <v>26</v>
      </c>
      <c r="E863" s="573" t="s">
        <v>1516</v>
      </c>
      <c r="F863" s="573" t="s">
        <v>1914</v>
      </c>
      <c r="G863" s="573" t="s">
        <v>271</v>
      </c>
      <c r="H863" s="573">
        <v>2019</v>
      </c>
      <c r="I863" s="573" t="s">
        <v>1915</v>
      </c>
      <c r="J863" s="573" t="s">
        <v>1950</v>
      </c>
      <c r="K863" s="573" t="s">
        <v>236</v>
      </c>
      <c r="L863" s="573">
        <v>2</v>
      </c>
      <c r="M863" s="573">
        <v>0</v>
      </c>
      <c r="N863" s="573" t="s">
        <v>157</v>
      </c>
      <c r="O863" s="573">
        <v>1</v>
      </c>
      <c r="P863" s="573">
        <v>83.2</v>
      </c>
      <c r="Q863" s="571" t="s">
        <v>157</v>
      </c>
      <c r="R863" s="573" t="s">
        <v>1259</v>
      </c>
      <c r="S863" s="573">
        <v>6</v>
      </c>
      <c r="T863" s="573" t="s">
        <v>1964</v>
      </c>
      <c r="U863" s="573" t="s">
        <v>1894</v>
      </c>
      <c r="V863" s="573">
        <v>147.6</v>
      </c>
      <c r="W863" s="573">
        <v>25</v>
      </c>
      <c r="X863" s="571">
        <v>8600</v>
      </c>
      <c r="Y863" s="573">
        <v>16</v>
      </c>
      <c r="Z863" s="579" t="s">
        <v>178</v>
      </c>
      <c r="AA863" s="579" t="s">
        <v>178</v>
      </c>
      <c r="AB863" s="584">
        <v>37425</v>
      </c>
      <c r="AC863" s="584" t="s">
        <v>164</v>
      </c>
      <c r="AD863" s="584">
        <v>26864</v>
      </c>
      <c r="AE863" s="586">
        <v>0.05</v>
      </c>
      <c r="AF863" s="661" t="str">
        <f t="shared" si="94"/>
        <v>2019-LVN-FRD-T15V-016-26</v>
      </c>
      <c r="AG863" s="661" t="str">
        <f>IF(AND($Y863&gt;=32,(AI863="I"),(Y863&lt;&gt;"~"),(COUNTIF($AN$1:$AN863,$AN863)=1)),"TRUE","FALSE")</f>
        <v>FALSE</v>
      </c>
      <c r="AH863" s="661" t="str">
        <f>IF(AND($Y863&gt;=22, (AI863&lt;&gt;"I"),(Y863&lt;&gt;"~"),(COUNTIF($AN$1:$AN863,$AN863)=1)),"TRUE","FALSE")</f>
        <v>FALSE</v>
      </c>
      <c r="AI863" s="661" t="str">
        <f t="shared" si="96"/>
        <v>II</v>
      </c>
      <c r="AJ863" s="662" t="str">
        <f t="shared" si="90"/>
        <v>T15V-016</v>
      </c>
      <c r="AK863" s="662" t="str">
        <f t="shared" si="91"/>
        <v>LVN</v>
      </c>
      <c r="AL863" s="662" t="str">
        <f t="shared" si="92"/>
        <v>FRD</v>
      </c>
      <c r="AM863" s="662" t="str">
        <f t="shared" si="95"/>
        <v>Transit 150 Van-Sliding RH Door-RWD-2-83.2-~-3.5L EcoBoost-6-E2Y-101A-147.6-25-Unleaded-Unleaded</v>
      </c>
      <c r="AN863" s="662" t="str">
        <f t="shared" si="93"/>
        <v>2019-LVN-FRD-T15V-016</v>
      </c>
    </row>
    <row r="864" spans="1:40" s="572" customFormat="1" ht="15">
      <c r="A864" s="570" t="s">
        <v>1996</v>
      </c>
      <c r="B864" s="569" t="s">
        <v>1968</v>
      </c>
      <c r="C864" s="569" t="s">
        <v>287</v>
      </c>
      <c r="D864" s="580">
        <v>26</v>
      </c>
      <c r="E864" s="569" t="s">
        <v>1516</v>
      </c>
      <c r="F864" s="569" t="s">
        <v>1914</v>
      </c>
      <c r="G864" s="569" t="s">
        <v>271</v>
      </c>
      <c r="H864" s="569">
        <v>2019</v>
      </c>
      <c r="I864" s="569" t="s">
        <v>1915</v>
      </c>
      <c r="J864" s="569" t="s">
        <v>1950</v>
      </c>
      <c r="K864" s="569" t="s">
        <v>236</v>
      </c>
      <c r="L864" s="569">
        <v>2</v>
      </c>
      <c r="M864" s="569">
        <v>0</v>
      </c>
      <c r="N864" s="569" t="s">
        <v>157</v>
      </c>
      <c r="O864" s="569">
        <v>1</v>
      </c>
      <c r="P864" s="569">
        <v>83.2</v>
      </c>
      <c r="Q864" s="568" t="s">
        <v>157</v>
      </c>
      <c r="R864" s="569" t="s">
        <v>682</v>
      </c>
      <c r="S864" s="569">
        <v>6</v>
      </c>
      <c r="T864" s="569" t="s">
        <v>1964</v>
      </c>
      <c r="U864" s="569" t="s">
        <v>1894</v>
      </c>
      <c r="V864" s="569">
        <v>147.6</v>
      </c>
      <c r="W864" s="569">
        <v>25</v>
      </c>
      <c r="X864" s="568">
        <v>8600</v>
      </c>
      <c r="Y864" s="573">
        <v>16</v>
      </c>
      <c r="Z864" s="581" t="s">
        <v>178</v>
      </c>
      <c r="AA864" s="581" t="s">
        <v>178</v>
      </c>
      <c r="AB864" s="585">
        <v>35560</v>
      </c>
      <c r="AC864" s="585" t="s">
        <v>164</v>
      </c>
      <c r="AD864" s="585">
        <v>25154</v>
      </c>
      <c r="AE864" s="587">
        <v>0.05</v>
      </c>
      <c r="AF864" s="661" t="str">
        <f t="shared" si="94"/>
        <v>2019-LVN-FRD-T15V-017-26</v>
      </c>
      <c r="AG864" s="661" t="str">
        <f>IF(AND($Y864&gt;=32,(AI864="I"),(Y864&lt;&gt;"~"),(COUNTIF($AN$1:$AN864,$AN864)=1)),"TRUE","FALSE")</f>
        <v>FALSE</v>
      </c>
      <c r="AH864" s="661" t="str">
        <f>IF(AND($Y864&gt;=22, (AI864&lt;&gt;"I"),(Y864&lt;&gt;"~"),(COUNTIF($AN$1:$AN864,$AN864)=1)),"TRUE","FALSE")</f>
        <v>FALSE</v>
      </c>
      <c r="AI864" s="661" t="str">
        <f t="shared" si="96"/>
        <v>II</v>
      </c>
      <c r="AJ864" s="662" t="str">
        <f t="shared" si="90"/>
        <v>T15V-017</v>
      </c>
      <c r="AK864" s="662" t="str">
        <f t="shared" si="91"/>
        <v>LVN</v>
      </c>
      <c r="AL864" s="662" t="str">
        <f t="shared" si="92"/>
        <v>FRD</v>
      </c>
      <c r="AM864" s="662" t="str">
        <f t="shared" si="95"/>
        <v>Transit 150 Van-Sliding RH Door-RWD-2-83.2-~-3.7L-6-E2Y-101A-147.6-25-Unleaded-Unleaded</v>
      </c>
      <c r="AN864" s="662" t="str">
        <f t="shared" si="93"/>
        <v>2019-LVN-FRD-T15V-017</v>
      </c>
    </row>
    <row r="865" spans="1:40" s="572" customFormat="1" ht="15">
      <c r="A865" s="570" t="s">
        <v>1997</v>
      </c>
      <c r="B865" s="573" t="s">
        <v>1970</v>
      </c>
      <c r="C865" s="573" t="s">
        <v>287</v>
      </c>
      <c r="D865" s="578">
        <v>26</v>
      </c>
      <c r="E865" s="573" t="s">
        <v>1516</v>
      </c>
      <c r="F865" s="573" t="s">
        <v>1914</v>
      </c>
      <c r="G865" s="573" t="s">
        <v>271</v>
      </c>
      <c r="H865" s="573">
        <v>2019</v>
      </c>
      <c r="I865" s="573" t="s">
        <v>1915</v>
      </c>
      <c r="J865" s="573" t="s">
        <v>1950</v>
      </c>
      <c r="K865" s="573" t="s">
        <v>236</v>
      </c>
      <c r="L865" s="573">
        <v>2</v>
      </c>
      <c r="M865" s="573">
        <v>0</v>
      </c>
      <c r="N865" s="573" t="s">
        <v>157</v>
      </c>
      <c r="O865" s="573">
        <v>1</v>
      </c>
      <c r="P865" s="573">
        <v>83.6</v>
      </c>
      <c r="Q865" s="571" t="s">
        <v>157</v>
      </c>
      <c r="R865" s="573" t="s">
        <v>1917</v>
      </c>
      <c r="S865" s="573">
        <v>5</v>
      </c>
      <c r="T865" s="573" t="s">
        <v>1971</v>
      </c>
      <c r="U865" s="573" t="s">
        <v>1894</v>
      </c>
      <c r="V865" s="573">
        <v>129.9</v>
      </c>
      <c r="W865" s="573">
        <v>25</v>
      </c>
      <c r="X865" s="571">
        <v>8600</v>
      </c>
      <c r="Y865" s="573">
        <v>16</v>
      </c>
      <c r="Z865" s="579" t="s">
        <v>728</v>
      </c>
      <c r="AA865" s="579" t="s">
        <v>1523</v>
      </c>
      <c r="AB865" s="584">
        <v>38675</v>
      </c>
      <c r="AC865" s="584" t="s">
        <v>164</v>
      </c>
      <c r="AD865" s="584">
        <v>27989</v>
      </c>
      <c r="AE865" s="586">
        <v>0.05</v>
      </c>
      <c r="AF865" s="661" t="str">
        <f t="shared" si="94"/>
        <v>2019-LVN-FRD-T15V-018-26</v>
      </c>
      <c r="AG865" s="661" t="str">
        <f>IF(AND($Y865&gt;=32,(AI865="I"),(Y865&lt;&gt;"~"),(COUNTIF($AN$1:$AN865,$AN865)=1)),"TRUE","FALSE")</f>
        <v>FALSE</v>
      </c>
      <c r="AH865" s="661" t="str">
        <f>IF(AND($Y865&gt;=22, (AI865&lt;&gt;"I"),(Y865&lt;&gt;"~"),(COUNTIF($AN$1:$AN865,$AN865)=1)),"TRUE","FALSE")</f>
        <v>FALSE</v>
      </c>
      <c r="AI865" s="661" t="str">
        <f t="shared" si="96"/>
        <v>II</v>
      </c>
      <c r="AJ865" s="662" t="str">
        <f t="shared" si="90"/>
        <v>T15V-018</v>
      </c>
      <c r="AK865" s="662" t="str">
        <f t="shared" si="91"/>
        <v>LVN</v>
      </c>
      <c r="AL865" s="662" t="str">
        <f t="shared" si="92"/>
        <v>FRD</v>
      </c>
      <c r="AM865" s="662" t="str">
        <f t="shared" si="95"/>
        <v>Transit 150 Van-Sliding RH Door-RWD-2-83.6-~-3.2L-5-E1Y-101A-129.9-25-Diesel-BioDiesel</v>
      </c>
      <c r="AN865" s="662" t="str">
        <f t="shared" si="93"/>
        <v>2019-LVN-FRD-T15V-018</v>
      </c>
    </row>
    <row r="866" spans="1:40" s="572" customFormat="1" ht="15">
      <c r="A866" s="570" t="s">
        <v>1998</v>
      </c>
      <c r="B866" s="569" t="s">
        <v>1973</v>
      </c>
      <c r="C866" s="569" t="s">
        <v>287</v>
      </c>
      <c r="D866" s="580">
        <v>26</v>
      </c>
      <c r="E866" s="569" t="s">
        <v>1516</v>
      </c>
      <c r="F866" s="569" t="s">
        <v>1914</v>
      </c>
      <c r="G866" s="569" t="s">
        <v>271</v>
      </c>
      <c r="H866" s="569">
        <v>2019</v>
      </c>
      <c r="I866" s="569" t="s">
        <v>1915</v>
      </c>
      <c r="J866" s="569" t="s">
        <v>1950</v>
      </c>
      <c r="K866" s="569" t="s">
        <v>236</v>
      </c>
      <c r="L866" s="569">
        <v>2</v>
      </c>
      <c r="M866" s="569">
        <v>0</v>
      </c>
      <c r="N866" s="569" t="s">
        <v>157</v>
      </c>
      <c r="O866" s="569">
        <v>1</v>
      </c>
      <c r="P866" s="569">
        <v>83.6</v>
      </c>
      <c r="Q866" s="568" t="s">
        <v>157</v>
      </c>
      <c r="R866" s="569" t="s">
        <v>1259</v>
      </c>
      <c r="S866" s="569">
        <v>6</v>
      </c>
      <c r="T866" s="569" t="s">
        <v>1971</v>
      </c>
      <c r="U866" s="569" t="s">
        <v>1894</v>
      </c>
      <c r="V866" s="569">
        <v>129.9</v>
      </c>
      <c r="W866" s="569">
        <v>25</v>
      </c>
      <c r="X866" s="568">
        <v>8600</v>
      </c>
      <c r="Y866" s="573">
        <v>16</v>
      </c>
      <c r="Z866" s="581" t="s">
        <v>178</v>
      </c>
      <c r="AA866" s="581" t="s">
        <v>178</v>
      </c>
      <c r="AB866" s="585">
        <v>36545</v>
      </c>
      <c r="AC866" s="585" t="s">
        <v>164</v>
      </c>
      <c r="AD866" s="585">
        <v>26034</v>
      </c>
      <c r="AE866" s="587">
        <v>0.05</v>
      </c>
      <c r="AF866" s="661" t="str">
        <f t="shared" si="94"/>
        <v>2019-LVN-FRD-T15V-019-26</v>
      </c>
      <c r="AG866" s="661" t="str">
        <f>IF(AND($Y866&gt;=32,(AI866="I"),(Y866&lt;&gt;"~"),(COUNTIF($AN$1:$AN866,$AN866)=1)),"TRUE","FALSE")</f>
        <v>FALSE</v>
      </c>
      <c r="AH866" s="661" t="str">
        <f>IF(AND($Y866&gt;=22, (AI866&lt;&gt;"I"),(Y866&lt;&gt;"~"),(COUNTIF($AN$1:$AN866,$AN866)=1)),"TRUE","FALSE")</f>
        <v>FALSE</v>
      </c>
      <c r="AI866" s="661" t="str">
        <f t="shared" si="96"/>
        <v>II</v>
      </c>
      <c r="AJ866" s="662" t="str">
        <f t="shared" si="90"/>
        <v>T15V-019</v>
      </c>
      <c r="AK866" s="662" t="str">
        <f t="shared" si="91"/>
        <v>LVN</v>
      </c>
      <c r="AL866" s="662" t="str">
        <f t="shared" si="92"/>
        <v>FRD</v>
      </c>
      <c r="AM866" s="662" t="str">
        <f t="shared" si="95"/>
        <v>Transit 150 Van-Sliding RH Door-RWD-2-83.6-~-3.5L EcoBoost-6-E1Y-101A-129.9-25-Unleaded-Unleaded</v>
      </c>
      <c r="AN866" s="662" t="str">
        <f t="shared" si="93"/>
        <v>2019-LVN-FRD-T15V-019</v>
      </c>
    </row>
    <row r="867" spans="1:40" s="572" customFormat="1" ht="15">
      <c r="A867" s="570" t="s">
        <v>1999</v>
      </c>
      <c r="B867" s="573" t="s">
        <v>1975</v>
      </c>
      <c r="C867" s="573" t="s">
        <v>287</v>
      </c>
      <c r="D867" s="578">
        <v>26</v>
      </c>
      <c r="E867" s="573" t="s">
        <v>1516</v>
      </c>
      <c r="F867" s="573" t="s">
        <v>1914</v>
      </c>
      <c r="G867" s="573" t="s">
        <v>271</v>
      </c>
      <c r="H867" s="573">
        <v>2019</v>
      </c>
      <c r="I867" s="573" t="s">
        <v>1915</v>
      </c>
      <c r="J867" s="573" t="s">
        <v>1950</v>
      </c>
      <c r="K867" s="573" t="s">
        <v>236</v>
      </c>
      <c r="L867" s="573">
        <v>2</v>
      </c>
      <c r="M867" s="573">
        <v>0</v>
      </c>
      <c r="N867" s="573" t="s">
        <v>157</v>
      </c>
      <c r="O867" s="573">
        <v>1</v>
      </c>
      <c r="P867" s="573">
        <v>83.6</v>
      </c>
      <c r="Q867" s="571" t="s">
        <v>157</v>
      </c>
      <c r="R867" s="573" t="s">
        <v>682</v>
      </c>
      <c r="S867" s="573">
        <v>6</v>
      </c>
      <c r="T867" s="573" t="s">
        <v>1971</v>
      </c>
      <c r="U867" s="573" t="s">
        <v>1894</v>
      </c>
      <c r="V867" s="573">
        <v>129.9</v>
      </c>
      <c r="W867" s="573">
        <v>25</v>
      </c>
      <c r="X867" s="571">
        <v>8600</v>
      </c>
      <c r="Y867" s="573">
        <v>16</v>
      </c>
      <c r="Z867" s="579" t="s">
        <v>178</v>
      </c>
      <c r="AA867" s="579" t="s">
        <v>178</v>
      </c>
      <c r="AB867" s="584">
        <v>34680</v>
      </c>
      <c r="AC867" s="584" t="s">
        <v>164</v>
      </c>
      <c r="AD867" s="584">
        <v>24323</v>
      </c>
      <c r="AE867" s="586">
        <v>0.05</v>
      </c>
      <c r="AF867" s="661" t="str">
        <f t="shared" si="94"/>
        <v>2019-LVN-FRD-T15V-020-26</v>
      </c>
      <c r="AG867" s="661" t="str">
        <f>IF(AND($Y867&gt;=32,(AI867="I"),(Y867&lt;&gt;"~"),(COUNTIF($AN$1:$AN867,$AN867)=1)),"TRUE","FALSE")</f>
        <v>FALSE</v>
      </c>
      <c r="AH867" s="661" t="str">
        <f>IF(AND($Y867&gt;=22, (AI867&lt;&gt;"I"),(Y867&lt;&gt;"~"),(COUNTIF($AN$1:$AN867,$AN867)=1)),"TRUE","FALSE")</f>
        <v>FALSE</v>
      </c>
      <c r="AI867" s="661" t="str">
        <f t="shared" si="96"/>
        <v>II</v>
      </c>
      <c r="AJ867" s="662" t="str">
        <f t="shared" si="90"/>
        <v>T15V-020</v>
      </c>
      <c r="AK867" s="662" t="str">
        <f t="shared" si="91"/>
        <v>LVN</v>
      </c>
      <c r="AL867" s="662" t="str">
        <f t="shared" si="92"/>
        <v>FRD</v>
      </c>
      <c r="AM867" s="662" t="str">
        <f t="shared" si="95"/>
        <v>Transit 150 Van-Sliding RH Door-RWD-2-83.6-~-3.7L-6-E1Y-101A-129.9-25-Unleaded-Unleaded</v>
      </c>
      <c r="AN867" s="662" t="str">
        <f t="shared" si="93"/>
        <v>2019-LVN-FRD-T15V-020</v>
      </c>
    </row>
    <row r="868" spans="1:40" s="572" customFormat="1" ht="15">
      <c r="A868" s="570" t="s">
        <v>2000</v>
      </c>
      <c r="B868" s="569" t="s">
        <v>1949</v>
      </c>
      <c r="C868" s="569" t="s">
        <v>280</v>
      </c>
      <c r="D868" s="580">
        <v>27</v>
      </c>
      <c r="E868" s="569" t="s">
        <v>1516</v>
      </c>
      <c r="F868" s="569" t="s">
        <v>1914</v>
      </c>
      <c r="G868" s="569" t="s">
        <v>271</v>
      </c>
      <c r="H868" s="569">
        <v>2019</v>
      </c>
      <c r="I868" s="569" t="s">
        <v>1915</v>
      </c>
      <c r="J868" s="569" t="s">
        <v>1950</v>
      </c>
      <c r="K868" s="569" t="s">
        <v>236</v>
      </c>
      <c r="L868" s="569">
        <v>2</v>
      </c>
      <c r="M868" s="569">
        <v>0</v>
      </c>
      <c r="N868" s="569" t="s">
        <v>157</v>
      </c>
      <c r="O868" s="569">
        <v>1</v>
      </c>
      <c r="P868" s="569">
        <v>100.7</v>
      </c>
      <c r="Q868" s="568" t="s">
        <v>157</v>
      </c>
      <c r="R868" s="569" t="s">
        <v>1917</v>
      </c>
      <c r="S868" s="569">
        <v>5</v>
      </c>
      <c r="T868" s="569" t="s">
        <v>1893</v>
      </c>
      <c r="U868" s="569" t="s">
        <v>1894</v>
      </c>
      <c r="V868" s="569">
        <v>147.6</v>
      </c>
      <c r="W868" s="569">
        <v>25</v>
      </c>
      <c r="X868" s="568">
        <v>8600</v>
      </c>
      <c r="Y868" s="573">
        <v>16</v>
      </c>
      <c r="Z868" s="581" t="s">
        <v>728</v>
      </c>
      <c r="AA868" s="581" t="s">
        <v>1523</v>
      </c>
      <c r="AB868" s="585">
        <v>40705</v>
      </c>
      <c r="AC868" s="585" t="s">
        <v>164</v>
      </c>
      <c r="AD868" s="585">
        <v>30947.125</v>
      </c>
      <c r="AE868" s="587">
        <v>0.03</v>
      </c>
      <c r="AF868" s="661" t="str">
        <f t="shared" si="94"/>
        <v>2019-LVN-FRD-T15V-007-27</v>
      </c>
      <c r="AG868" s="661" t="str">
        <f>IF(AND($Y868&gt;=32,(AI868="I"),(Y868&lt;&gt;"~"),(COUNTIF($AN$1:$AN868,$AN868)=1)),"TRUE","FALSE")</f>
        <v>FALSE</v>
      </c>
      <c r="AH868" s="661" t="str">
        <f>IF(AND($Y868&gt;=22, (AI868&lt;&gt;"I"),(Y868&lt;&gt;"~"),(COUNTIF($AN$1:$AN868,$AN868)=1)),"TRUE","FALSE")</f>
        <v>FALSE</v>
      </c>
      <c r="AI868" s="661" t="str">
        <f t="shared" si="96"/>
        <v>II</v>
      </c>
      <c r="AJ868" s="662" t="str">
        <f t="shared" si="90"/>
        <v>T15V-007</v>
      </c>
      <c r="AK868" s="662" t="str">
        <f t="shared" si="91"/>
        <v>LVN</v>
      </c>
      <c r="AL868" s="662" t="str">
        <f t="shared" si="92"/>
        <v>FRD</v>
      </c>
      <c r="AM868" s="662" t="str">
        <f t="shared" si="95"/>
        <v>Transit 150 Van-Sliding RH Door-RWD-2-100.7-~-3.2L-5-E2C-101A-147.6-25-Diesel-BioDiesel</v>
      </c>
      <c r="AN868" s="662" t="str">
        <f t="shared" si="93"/>
        <v>2019-LVN-FRD-T15V-007</v>
      </c>
    </row>
    <row r="869" spans="1:40" s="572" customFormat="1" ht="15">
      <c r="A869" s="570" t="s">
        <v>2001</v>
      </c>
      <c r="B869" s="573" t="s">
        <v>1952</v>
      </c>
      <c r="C869" s="573" t="s">
        <v>280</v>
      </c>
      <c r="D869" s="578">
        <v>27</v>
      </c>
      <c r="E869" s="573" t="s">
        <v>1516</v>
      </c>
      <c r="F869" s="573" t="s">
        <v>1914</v>
      </c>
      <c r="G869" s="573" t="s">
        <v>271</v>
      </c>
      <c r="H869" s="573">
        <v>2019</v>
      </c>
      <c r="I869" s="573" t="s">
        <v>1915</v>
      </c>
      <c r="J869" s="573" t="s">
        <v>1950</v>
      </c>
      <c r="K869" s="573" t="s">
        <v>236</v>
      </c>
      <c r="L869" s="573">
        <v>2</v>
      </c>
      <c r="M869" s="573">
        <v>0</v>
      </c>
      <c r="N869" s="573" t="s">
        <v>157</v>
      </c>
      <c r="O869" s="573">
        <v>1</v>
      </c>
      <c r="P869" s="573">
        <v>100.7</v>
      </c>
      <c r="Q869" s="571" t="s">
        <v>157</v>
      </c>
      <c r="R869" s="573" t="s">
        <v>1259</v>
      </c>
      <c r="S869" s="573">
        <v>6</v>
      </c>
      <c r="T869" s="573" t="s">
        <v>1893</v>
      </c>
      <c r="U869" s="573" t="s">
        <v>1894</v>
      </c>
      <c r="V869" s="573">
        <v>147.6</v>
      </c>
      <c r="W869" s="573">
        <v>25</v>
      </c>
      <c r="X869" s="571">
        <v>8600</v>
      </c>
      <c r="Y869" s="573">
        <v>16</v>
      </c>
      <c r="Z869" s="579" t="s">
        <v>178</v>
      </c>
      <c r="AA869" s="579" t="s">
        <v>178</v>
      </c>
      <c r="AB869" s="584">
        <v>38575</v>
      </c>
      <c r="AC869" s="584" t="s">
        <v>164</v>
      </c>
      <c r="AD869" s="584">
        <v>29053.833333333336</v>
      </c>
      <c r="AE869" s="586">
        <v>0.03</v>
      </c>
      <c r="AF869" s="661" t="str">
        <f t="shared" si="94"/>
        <v>2019-LVN-FRD-T15V-008-27</v>
      </c>
      <c r="AG869" s="661" t="str">
        <f>IF(AND($Y869&gt;=32,(AI869="I"),(Y869&lt;&gt;"~"),(COUNTIF($AN$1:$AN869,$AN869)=1)),"TRUE","FALSE")</f>
        <v>FALSE</v>
      </c>
      <c r="AH869" s="661" t="str">
        <f>IF(AND($Y869&gt;=22, (AI869&lt;&gt;"I"),(Y869&lt;&gt;"~"),(COUNTIF($AN$1:$AN869,$AN869)=1)),"TRUE","FALSE")</f>
        <v>FALSE</v>
      </c>
      <c r="AI869" s="661" t="str">
        <f t="shared" si="96"/>
        <v>II</v>
      </c>
      <c r="AJ869" s="662" t="str">
        <f t="shared" si="90"/>
        <v>T15V-008</v>
      </c>
      <c r="AK869" s="662" t="str">
        <f t="shared" si="91"/>
        <v>LVN</v>
      </c>
      <c r="AL869" s="662" t="str">
        <f t="shared" si="92"/>
        <v>FRD</v>
      </c>
      <c r="AM869" s="662" t="str">
        <f t="shared" si="95"/>
        <v>Transit 150 Van-Sliding RH Door-RWD-2-100.7-~-3.5L EcoBoost-6-E2C-101A-147.6-25-Unleaded-Unleaded</v>
      </c>
      <c r="AN869" s="662" t="str">
        <f t="shared" si="93"/>
        <v>2019-LVN-FRD-T15V-008</v>
      </c>
    </row>
    <row r="870" spans="1:40" s="572" customFormat="1" ht="15">
      <c r="A870" s="570" t="s">
        <v>2002</v>
      </c>
      <c r="B870" s="569" t="s">
        <v>1954</v>
      </c>
      <c r="C870" s="569" t="s">
        <v>280</v>
      </c>
      <c r="D870" s="580">
        <v>27</v>
      </c>
      <c r="E870" s="569" t="s">
        <v>1516</v>
      </c>
      <c r="F870" s="569" t="s">
        <v>1914</v>
      </c>
      <c r="G870" s="569" t="s">
        <v>271</v>
      </c>
      <c r="H870" s="569">
        <v>2019</v>
      </c>
      <c r="I870" s="569" t="s">
        <v>1915</v>
      </c>
      <c r="J870" s="569" t="s">
        <v>1950</v>
      </c>
      <c r="K870" s="569" t="s">
        <v>236</v>
      </c>
      <c r="L870" s="569">
        <v>2</v>
      </c>
      <c r="M870" s="569">
        <v>0</v>
      </c>
      <c r="N870" s="569" t="s">
        <v>157</v>
      </c>
      <c r="O870" s="569">
        <v>1</v>
      </c>
      <c r="P870" s="569">
        <v>100.7</v>
      </c>
      <c r="Q870" s="568" t="s">
        <v>157</v>
      </c>
      <c r="R870" s="569" t="s">
        <v>682</v>
      </c>
      <c r="S870" s="569">
        <v>6</v>
      </c>
      <c r="T870" s="569" t="s">
        <v>1893</v>
      </c>
      <c r="U870" s="569" t="s">
        <v>1894</v>
      </c>
      <c r="V870" s="569">
        <v>147.6</v>
      </c>
      <c r="W870" s="569">
        <v>25</v>
      </c>
      <c r="X870" s="568">
        <v>8600</v>
      </c>
      <c r="Y870" s="573">
        <v>16</v>
      </c>
      <c r="Z870" s="581" t="s">
        <v>178</v>
      </c>
      <c r="AA870" s="581" t="s">
        <v>178</v>
      </c>
      <c r="AB870" s="585">
        <v>36710</v>
      </c>
      <c r="AC870" s="585" t="s">
        <v>164</v>
      </c>
      <c r="AD870" s="585">
        <v>27397.583333333336</v>
      </c>
      <c r="AE870" s="587">
        <v>0.03</v>
      </c>
      <c r="AF870" s="661" t="str">
        <f t="shared" si="94"/>
        <v>2019-LVN-FRD-T15V-009-27</v>
      </c>
      <c r="AG870" s="661" t="str">
        <f>IF(AND($Y870&gt;=32,(AI870="I"),(Y870&lt;&gt;"~"),(COUNTIF($AN$1:$AN870,$AN870)=1)),"TRUE","FALSE")</f>
        <v>FALSE</v>
      </c>
      <c r="AH870" s="661" t="str">
        <f>IF(AND($Y870&gt;=22, (AI870&lt;&gt;"I"),(Y870&lt;&gt;"~"),(COUNTIF($AN$1:$AN870,$AN870)=1)),"TRUE","FALSE")</f>
        <v>FALSE</v>
      </c>
      <c r="AI870" s="661" t="str">
        <f t="shared" si="96"/>
        <v>II</v>
      </c>
      <c r="AJ870" s="662" t="str">
        <f t="shared" si="90"/>
        <v>T15V-009</v>
      </c>
      <c r="AK870" s="662" t="str">
        <f t="shared" si="91"/>
        <v>LVN</v>
      </c>
      <c r="AL870" s="662" t="str">
        <f t="shared" si="92"/>
        <v>FRD</v>
      </c>
      <c r="AM870" s="662" t="str">
        <f t="shared" si="95"/>
        <v>Transit 150 Van-Sliding RH Door-RWD-2-100.7-~-3.7L-6-E2C-101A-147.6-25-Unleaded-Unleaded</v>
      </c>
      <c r="AN870" s="662" t="str">
        <f t="shared" si="93"/>
        <v>2019-LVN-FRD-T15V-009</v>
      </c>
    </row>
    <row r="871" spans="1:40" s="572" customFormat="1" ht="15">
      <c r="A871" s="570" t="s">
        <v>2003</v>
      </c>
      <c r="B871" s="573" t="s">
        <v>1956</v>
      </c>
      <c r="C871" s="573" t="s">
        <v>280</v>
      </c>
      <c r="D871" s="578">
        <v>27</v>
      </c>
      <c r="E871" s="573" t="s">
        <v>1516</v>
      </c>
      <c r="F871" s="573" t="s">
        <v>1914</v>
      </c>
      <c r="G871" s="573" t="s">
        <v>271</v>
      </c>
      <c r="H871" s="573">
        <v>2019</v>
      </c>
      <c r="I871" s="573" t="s">
        <v>1915</v>
      </c>
      <c r="J871" s="573" t="s">
        <v>1950</v>
      </c>
      <c r="K871" s="573" t="s">
        <v>236</v>
      </c>
      <c r="L871" s="573">
        <v>2</v>
      </c>
      <c r="M871" s="573">
        <v>0</v>
      </c>
      <c r="N871" s="573" t="s">
        <v>157</v>
      </c>
      <c r="O871" s="573">
        <v>1</v>
      </c>
      <c r="P871" s="573">
        <v>100.8</v>
      </c>
      <c r="Q871" s="571" t="s">
        <v>157</v>
      </c>
      <c r="R871" s="573" t="s">
        <v>1917</v>
      </c>
      <c r="S871" s="573">
        <v>5</v>
      </c>
      <c r="T871" s="573" t="s">
        <v>1957</v>
      </c>
      <c r="U871" s="573" t="s">
        <v>1894</v>
      </c>
      <c r="V871" s="573">
        <v>129.9</v>
      </c>
      <c r="W871" s="573">
        <v>25</v>
      </c>
      <c r="X871" s="571">
        <v>8600</v>
      </c>
      <c r="Y871" s="573">
        <v>16</v>
      </c>
      <c r="Z871" s="579" t="s">
        <v>728</v>
      </c>
      <c r="AA871" s="579" t="s">
        <v>1523</v>
      </c>
      <c r="AB871" s="584">
        <v>38980</v>
      </c>
      <c r="AC871" s="584" t="s">
        <v>164</v>
      </c>
      <c r="AD871" s="584">
        <v>29370.041666666664</v>
      </c>
      <c r="AE871" s="586">
        <v>0.03</v>
      </c>
      <c r="AF871" s="661" t="str">
        <f t="shared" si="94"/>
        <v>2019-LVN-FRD-T15V-011-27</v>
      </c>
      <c r="AG871" s="661" t="str">
        <f>IF(AND($Y871&gt;=32,(AI871="I"),(Y871&lt;&gt;"~"),(COUNTIF($AN$1:$AN871,$AN871)=1)),"TRUE","FALSE")</f>
        <v>FALSE</v>
      </c>
      <c r="AH871" s="661" t="str">
        <f>IF(AND($Y871&gt;=22, (AI871&lt;&gt;"I"),(Y871&lt;&gt;"~"),(COUNTIF($AN$1:$AN871,$AN871)=1)),"TRUE","FALSE")</f>
        <v>FALSE</v>
      </c>
      <c r="AI871" s="661" t="str">
        <f t="shared" si="96"/>
        <v>II</v>
      </c>
      <c r="AJ871" s="662" t="str">
        <f t="shared" si="90"/>
        <v>T15V-011</v>
      </c>
      <c r="AK871" s="662" t="str">
        <f t="shared" si="91"/>
        <v>LVN</v>
      </c>
      <c r="AL871" s="662" t="str">
        <f t="shared" si="92"/>
        <v>FRD</v>
      </c>
      <c r="AM871" s="662" t="str">
        <f t="shared" si="95"/>
        <v>Transit 150 Van-Sliding RH Door-RWD-2-100.8-~-3.2L-5-E1C-101A-129.9-25-Diesel-BioDiesel</v>
      </c>
      <c r="AN871" s="662" t="str">
        <f t="shared" si="93"/>
        <v>2019-LVN-FRD-T15V-011</v>
      </c>
    </row>
    <row r="872" spans="1:40" s="572" customFormat="1" ht="15">
      <c r="A872" s="570" t="s">
        <v>2004</v>
      </c>
      <c r="B872" s="569" t="s">
        <v>1959</v>
      </c>
      <c r="C872" s="569" t="s">
        <v>280</v>
      </c>
      <c r="D872" s="580">
        <v>27</v>
      </c>
      <c r="E872" s="569" t="s">
        <v>1516</v>
      </c>
      <c r="F872" s="569" t="s">
        <v>1914</v>
      </c>
      <c r="G872" s="569" t="s">
        <v>271</v>
      </c>
      <c r="H872" s="569">
        <v>2019</v>
      </c>
      <c r="I872" s="569" t="s">
        <v>1915</v>
      </c>
      <c r="J872" s="569" t="s">
        <v>1950</v>
      </c>
      <c r="K872" s="569" t="s">
        <v>236</v>
      </c>
      <c r="L872" s="569">
        <v>2</v>
      </c>
      <c r="M872" s="569">
        <v>0</v>
      </c>
      <c r="N872" s="569" t="s">
        <v>157</v>
      </c>
      <c r="O872" s="569">
        <v>1</v>
      </c>
      <c r="P872" s="569">
        <v>100.8</v>
      </c>
      <c r="Q872" s="568" t="s">
        <v>157</v>
      </c>
      <c r="R872" s="569" t="s">
        <v>1259</v>
      </c>
      <c r="S872" s="569">
        <v>6</v>
      </c>
      <c r="T872" s="569" t="s">
        <v>1957</v>
      </c>
      <c r="U872" s="569" t="s">
        <v>1894</v>
      </c>
      <c r="V872" s="569">
        <v>129.9</v>
      </c>
      <c r="W872" s="569">
        <v>25</v>
      </c>
      <c r="X872" s="568">
        <v>8600</v>
      </c>
      <c r="Y872" s="573">
        <v>16</v>
      </c>
      <c r="Z872" s="581" t="s">
        <v>178</v>
      </c>
      <c r="AA872" s="581" t="s">
        <v>178</v>
      </c>
      <c r="AB872" s="585">
        <v>36850</v>
      </c>
      <c r="AC872" s="585" t="s">
        <v>164</v>
      </c>
      <c r="AD872" s="585">
        <v>27476.75</v>
      </c>
      <c r="AE872" s="587">
        <v>0.03</v>
      </c>
      <c r="AF872" s="661" t="str">
        <f t="shared" si="94"/>
        <v>2019-LVN-FRD-T15V-012-27</v>
      </c>
      <c r="AG872" s="661" t="str">
        <f>IF(AND($Y872&gt;=32,(AI872="I"),(Y872&lt;&gt;"~"),(COUNTIF($AN$1:$AN872,$AN872)=1)),"TRUE","FALSE")</f>
        <v>FALSE</v>
      </c>
      <c r="AH872" s="661" t="str">
        <f>IF(AND($Y872&gt;=22, (AI872&lt;&gt;"I"),(Y872&lt;&gt;"~"),(COUNTIF($AN$1:$AN872,$AN872)=1)),"TRUE","FALSE")</f>
        <v>FALSE</v>
      </c>
      <c r="AI872" s="661" t="str">
        <f t="shared" si="96"/>
        <v>II</v>
      </c>
      <c r="AJ872" s="662" t="str">
        <f t="shared" si="90"/>
        <v>T15V-012</v>
      </c>
      <c r="AK872" s="662" t="str">
        <f t="shared" si="91"/>
        <v>LVN</v>
      </c>
      <c r="AL872" s="662" t="str">
        <f t="shared" si="92"/>
        <v>FRD</v>
      </c>
      <c r="AM872" s="662" t="str">
        <f t="shared" si="95"/>
        <v>Transit 150 Van-Sliding RH Door-RWD-2-100.8-~-3.5L EcoBoost-6-E1C-101A-129.9-25-Unleaded-Unleaded</v>
      </c>
      <c r="AN872" s="662" t="str">
        <f t="shared" si="93"/>
        <v>2019-LVN-FRD-T15V-012</v>
      </c>
    </row>
    <row r="873" spans="1:40" s="572" customFormat="1" ht="15">
      <c r="A873" s="570" t="s">
        <v>2005</v>
      </c>
      <c r="B873" s="573" t="s">
        <v>1961</v>
      </c>
      <c r="C873" s="573" t="s">
        <v>280</v>
      </c>
      <c r="D873" s="578">
        <v>27</v>
      </c>
      <c r="E873" s="573" t="s">
        <v>1516</v>
      </c>
      <c r="F873" s="573" t="s">
        <v>1914</v>
      </c>
      <c r="G873" s="573" t="s">
        <v>271</v>
      </c>
      <c r="H873" s="573">
        <v>2019</v>
      </c>
      <c r="I873" s="573" t="s">
        <v>1915</v>
      </c>
      <c r="J873" s="573" t="s">
        <v>1950</v>
      </c>
      <c r="K873" s="573" t="s">
        <v>236</v>
      </c>
      <c r="L873" s="573">
        <v>2</v>
      </c>
      <c r="M873" s="573">
        <v>0</v>
      </c>
      <c r="N873" s="573" t="s">
        <v>157</v>
      </c>
      <c r="O873" s="573">
        <v>1</v>
      </c>
      <c r="P873" s="573">
        <v>100.8</v>
      </c>
      <c r="Q873" s="571" t="s">
        <v>157</v>
      </c>
      <c r="R873" s="573" t="s">
        <v>682</v>
      </c>
      <c r="S873" s="573">
        <v>6</v>
      </c>
      <c r="T873" s="573" t="s">
        <v>1957</v>
      </c>
      <c r="U873" s="573" t="s">
        <v>1894</v>
      </c>
      <c r="V873" s="573">
        <v>129.9</v>
      </c>
      <c r="W873" s="573">
        <v>25</v>
      </c>
      <c r="X873" s="571">
        <v>8600</v>
      </c>
      <c r="Y873" s="573">
        <v>16</v>
      </c>
      <c r="Z873" s="579" t="s">
        <v>178</v>
      </c>
      <c r="AA873" s="579" t="s">
        <v>178</v>
      </c>
      <c r="AB873" s="584">
        <v>34985</v>
      </c>
      <c r="AC873" s="584" t="s">
        <v>164</v>
      </c>
      <c r="AD873" s="584">
        <v>25820.5</v>
      </c>
      <c r="AE873" s="586">
        <v>0.03</v>
      </c>
      <c r="AF873" s="661" t="str">
        <f t="shared" si="94"/>
        <v>2019-LVN-FRD-T15V-013-27</v>
      </c>
      <c r="AG873" s="661" t="str">
        <f>IF(AND($Y873&gt;=32,(AI873="I"),(Y873&lt;&gt;"~"),(COUNTIF($AN$1:$AN873,$AN873)=1)),"TRUE","FALSE")</f>
        <v>FALSE</v>
      </c>
      <c r="AH873" s="661" t="str">
        <f>IF(AND($Y873&gt;=22, (AI873&lt;&gt;"I"),(Y873&lt;&gt;"~"),(COUNTIF($AN$1:$AN873,$AN873)=1)),"TRUE","FALSE")</f>
        <v>FALSE</v>
      </c>
      <c r="AI873" s="661" t="str">
        <f t="shared" si="96"/>
        <v>II</v>
      </c>
      <c r="AJ873" s="662" t="str">
        <f t="shared" si="90"/>
        <v>T15V-013</v>
      </c>
      <c r="AK873" s="662" t="str">
        <f t="shared" si="91"/>
        <v>LVN</v>
      </c>
      <c r="AL873" s="662" t="str">
        <f t="shared" si="92"/>
        <v>FRD</v>
      </c>
      <c r="AM873" s="662" t="str">
        <f t="shared" si="95"/>
        <v>Transit 150 Van-Sliding RH Door-RWD-2-100.8-~-3.7L-6-E1C-101A-129.9-25-Unleaded-Unleaded</v>
      </c>
      <c r="AN873" s="662" t="str">
        <f t="shared" si="93"/>
        <v>2019-LVN-FRD-T15V-013</v>
      </c>
    </row>
    <row r="874" spans="1:40" s="572" customFormat="1" ht="15">
      <c r="A874" s="570" t="s">
        <v>2006</v>
      </c>
      <c r="B874" s="569" t="s">
        <v>1963</v>
      </c>
      <c r="C874" s="569" t="s">
        <v>280</v>
      </c>
      <c r="D874" s="580">
        <v>27</v>
      </c>
      <c r="E874" s="569" t="s">
        <v>1516</v>
      </c>
      <c r="F874" s="569" t="s">
        <v>1914</v>
      </c>
      <c r="G874" s="569" t="s">
        <v>271</v>
      </c>
      <c r="H874" s="569">
        <v>2019</v>
      </c>
      <c r="I874" s="569" t="s">
        <v>1915</v>
      </c>
      <c r="J874" s="569" t="s">
        <v>1950</v>
      </c>
      <c r="K874" s="569" t="s">
        <v>236</v>
      </c>
      <c r="L874" s="569">
        <v>2</v>
      </c>
      <c r="M874" s="569">
        <v>0</v>
      </c>
      <c r="N874" s="569" t="s">
        <v>157</v>
      </c>
      <c r="O874" s="569">
        <v>1</v>
      </c>
      <c r="P874" s="569">
        <v>83.2</v>
      </c>
      <c r="Q874" s="568" t="s">
        <v>157</v>
      </c>
      <c r="R874" s="569" t="s">
        <v>1917</v>
      </c>
      <c r="S874" s="569">
        <v>5</v>
      </c>
      <c r="T874" s="569" t="s">
        <v>1964</v>
      </c>
      <c r="U874" s="569" t="s">
        <v>1894</v>
      </c>
      <c r="V874" s="569">
        <v>147.6</v>
      </c>
      <c r="W874" s="569">
        <v>25</v>
      </c>
      <c r="X874" s="568">
        <v>8600</v>
      </c>
      <c r="Y874" s="573">
        <v>16</v>
      </c>
      <c r="Z874" s="581" t="s">
        <v>728</v>
      </c>
      <c r="AA874" s="581" t="s">
        <v>1523</v>
      </c>
      <c r="AB874" s="585">
        <v>39555</v>
      </c>
      <c r="AC874" s="585" t="s">
        <v>164</v>
      </c>
      <c r="AD874" s="585">
        <v>27811.708333333332</v>
      </c>
      <c r="AE874" s="587">
        <v>0.03</v>
      </c>
      <c r="AF874" s="661" t="str">
        <f t="shared" si="94"/>
        <v>2019-LVN-FRD-T15V-015-27</v>
      </c>
      <c r="AG874" s="661" t="str">
        <f>IF(AND($Y874&gt;=32,(AI874="I"),(Y874&lt;&gt;"~"),(COUNTIF($AN$1:$AN874,$AN874)=1)),"TRUE","FALSE")</f>
        <v>FALSE</v>
      </c>
      <c r="AH874" s="661" t="str">
        <f>IF(AND($Y874&gt;=22, (AI874&lt;&gt;"I"),(Y874&lt;&gt;"~"),(COUNTIF($AN$1:$AN874,$AN874)=1)),"TRUE","FALSE")</f>
        <v>FALSE</v>
      </c>
      <c r="AI874" s="661" t="str">
        <f t="shared" si="96"/>
        <v>II</v>
      </c>
      <c r="AJ874" s="662" t="str">
        <f t="shared" si="90"/>
        <v>T15V-015</v>
      </c>
      <c r="AK874" s="662" t="str">
        <f t="shared" si="91"/>
        <v>LVN</v>
      </c>
      <c r="AL874" s="662" t="str">
        <f t="shared" si="92"/>
        <v>FRD</v>
      </c>
      <c r="AM874" s="662" t="str">
        <f t="shared" si="95"/>
        <v>Transit 150 Van-Sliding RH Door-RWD-2-83.2-~-3.2L-5-E2Y-101A-147.6-25-Diesel-BioDiesel</v>
      </c>
      <c r="AN874" s="662" t="str">
        <f t="shared" si="93"/>
        <v>2019-LVN-FRD-T15V-015</v>
      </c>
    </row>
    <row r="875" spans="1:40" s="572" customFormat="1" ht="15">
      <c r="A875" s="570" t="s">
        <v>2007</v>
      </c>
      <c r="B875" s="573" t="s">
        <v>1966</v>
      </c>
      <c r="C875" s="573" t="s">
        <v>280</v>
      </c>
      <c r="D875" s="578">
        <v>27</v>
      </c>
      <c r="E875" s="573" t="s">
        <v>1516</v>
      </c>
      <c r="F875" s="573" t="s">
        <v>1914</v>
      </c>
      <c r="G875" s="573" t="s">
        <v>271</v>
      </c>
      <c r="H875" s="573">
        <v>2019</v>
      </c>
      <c r="I875" s="573" t="s">
        <v>1915</v>
      </c>
      <c r="J875" s="573" t="s">
        <v>1950</v>
      </c>
      <c r="K875" s="573" t="s">
        <v>236</v>
      </c>
      <c r="L875" s="573">
        <v>2</v>
      </c>
      <c r="M875" s="573">
        <v>0</v>
      </c>
      <c r="N875" s="573" t="s">
        <v>157</v>
      </c>
      <c r="O875" s="573">
        <v>1</v>
      </c>
      <c r="P875" s="573">
        <v>83.2</v>
      </c>
      <c r="Q875" s="571" t="s">
        <v>157</v>
      </c>
      <c r="R875" s="573" t="s">
        <v>1259</v>
      </c>
      <c r="S875" s="573">
        <v>6</v>
      </c>
      <c r="T875" s="573" t="s">
        <v>1964</v>
      </c>
      <c r="U875" s="573" t="s">
        <v>1894</v>
      </c>
      <c r="V875" s="573">
        <v>147.6</v>
      </c>
      <c r="W875" s="573">
        <v>25</v>
      </c>
      <c r="X875" s="571">
        <v>8600</v>
      </c>
      <c r="Y875" s="573">
        <v>16</v>
      </c>
      <c r="Z875" s="579" t="s">
        <v>178</v>
      </c>
      <c r="AA875" s="579" t="s">
        <v>178</v>
      </c>
      <c r="AB875" s="584">
        <v>37425</v>
      </c>
      <c r="AC875" s="584" t="s">
        <v>164</v>
      </c>
      <c r="AD875" s="584">
        <v>25918.416666666668</v>
      </c>
      <c r="AE875" s="586">
        <v>0.03</v>
      </c>
      <c r="AF875" s="661" t="str">
        <f t="shared" si="94"/>
        <v>2019-LVN-FRD-T15V-016-27</v>
      </c>
      <c r="AG875" s="661" t="str">
        <f>IF(AND($Y875&gt;=32,(AI875="I"),(Y875&lt;&gt;"~"),(COUNTIF($AN$1:$AN875,$AN875)=1)),"TRUE","FALSE")</f>
        <v>FALSE</v>
      </c>
      <c r="AH875" s="661" t="str">
        <f>IF(AND($Y875&gt;=22, (AI875&lt;&gt;"I"),(Y875&lt;&gt;"~"),(COUNTIF($AN$1:$AN875,$AN875)=1)),"TRUE","FALSE")</f>
        <v>FALSE</v>
      </c>
      <c r="AI875" s="661" t="str">
        <f t="shared" si="96"/>
        <v>II</v>
      </c>
      <c r="AJ875" s="662" t="str">
        <f t="shared" si="90"/>
        <v>T15V-016</v>
      </c>
      <c r="AK875" s="662" t="str">
        <f t="shared" si="91"/>
        <v>LVN</v>
      </c>
      <c r="AL875" s="662" t="str">
        <f t="shared" si="92"/>
        <v>FRD</v>
      </c>
      <c r="AM875" s="662" t="str">
        <f t="shared" si="95"/>
        <v>Transit 150 Van-Sliding RH Door-RWD-2-83.2-~-3.5L EcoBoost-6-E2Y-101A-147.6-25-Unleaded-Unleaded</v>
      </c>
      <c r="AN875" s="662" t="str">
        <f t="shared" si="93"/>
        <v>2019-LVN-FRD-T15V-016</v>
      </c>
    </row>
    <row r="876" spans="1:40" s="572" customFormat="1" ht="15">
      <c r="A876" s="570" t="s">
        <v>2008</v>
      </c>
      <c r="B876" s="569" t="s">
        <v>1968</v>
      </c>
      <c r="C876" s="569" t="s">
        <v>280</v>
      </c>
      <c r="D876" s="580">
        <v>27</v>
      </c>
      <c r="E876" s="569" t="s">
        <v>1516</v>
      </c>
      <c r="F876" s="569" t="s">
        <v>1914</v>
      </c>
      <c r="G876" s="569" t="s">
        <v>271</v>
      </c>
      <c r="H876" s="569">
        <v>2019</v>
      </c>
      <c r="I876" s="569" t="s">
        <v>1915</v>
      </c>
      <c r="J876" s="569" t="s">
        <v>1950</v>
      </c>
      <c r="K876" s="569" t="s">
        <v>236</v>
      </c>
      <c r="L876" s="569">
        <v>2</v>
      </c>
      <c r="M876" s="569">
        <v>0</v>
      </c>
      <c r="N876" s="569" t="s">
        <v>157</v>
      </c>
      <c r="O876" s="569">
        <v>1</v>
      </c>
      <c r="P876" s="569">
        <v>83.2</v>
      </c>
      <c r="Q876" s="568" t="s">
        <v>157</v>
      </c>
      <c r="R876" s="569" t="s">
        <v>682</v>
      </c>
      <c r="S876" s="569">
        <v>6</v>
      </c>
      <c r="T876" s="569" t="s">
        <v>1964</v>
      </c>
      <c r="U876" s="569" t="s">
        <v>1894</v>
      </c>
      <c r="V876" s="569">
        <v>147.6</v>
      </c>
      <c r="W876" s="569">
        <v>25</v>
      </c>
      <c r="X876" s="568">
        <v>8550</v>
      </c>
      <c r="Y876" s="573">
        <v>16</v>
      </c>
      <c r="Z876" s="581" t="s">
        <v>178</v>
      </c>
      <c r="AA876" s="581" t="s">
        <v>178</v>
      </c>
      <c r="AB876" s="585">
        <v>35560</v>
      </c>
      <c r="AC876" s="585" t="s">
        <v>164</v>
      </c>
      <c r="AD876" s="585">
        <v>24262.166666666668</v>
      </c>
      <c r="AE876" s="587">
        <v>0.03</v>
      </c>
      <c r="AF876" s="661" t="str">
        <f t="shared" si="94"/>
        <v>2019-LVN-FRD-T15V-017-27</v>
      </c>
      <c r="AG876" s="661" t="str">
        <f>IF(AND($Y876&gt;=32,(AI876="I"),(Y876&lt;&gt;"~"),(COUNTIF($AN$1:$AN876,$AN876)=1)),"TRUE","FALSE")</f>
        <v>FALSE</v>
      </c>
      <c r="AH876" s="661" t="str">
        <f>IF(AND($Y876&gt;=22, (AI876&lt;&gt;"I"),(Y876&lt;&gt;"~"),(COUNTIF($AN$1:$AN876,$AN876)=1)),"TRUE","FALSE")</f>
        <v>FALSE</v>
      </c>
      <c r="AI876" s="661" t="str">
        <f t="shared" si="96"/>
        <v>II</v>
      </c>
      <c r="AJ876" s="662" t="str">
        <f t="shared" si="90"/>
        <v>T15V-017</v>
      </c>
      <c r="AK876" s="662" t="str">
        <f t="shared" si="91"/>
        <v>LVN</v>
      </c>
      <c r="AL876" s="662" t="str">
        <f t="shared" si="92"/>
        <v>FRD</v>
      </c>
      <c r="AM876" s="662" t="str">
        <f t="shared" si="95"/>
        <v>Transit 150 Van-Sliding RH Door-RWD-2-83.2-~-3.7L-6-E2Y-101A-147.6-25-Unleaded-Unleaded</v>
      </c>
      <c r="AN876" s="662" t="str">
        <f t="shared" si="93"/>
        <v>2019-LVN-FRD-T15V-017</v>
      </c>
    </row>
    <row r="877" spans="1:40" s="572" customFormat="1" ht="15">
      <c r="A877" s="570" t="s">
        <v>2009</v>
      </c>
      <c r="B877" s="573" t="s">
        <v>1970</v>
      </c>
      <c r="C877" s="573" t="s">
        <v>280</v>
      </c>
      <c r="D877" s="578">
        <v>27</v>
      </c>
      <c r="E877" s="573" t="s">
        <v>1516</v>
      </c>
      <c r="F877" s="573" t="s">
        <v>1914</v>
      </c>
      <c r="G877" s="573" t="s">
        <v>271</v>
      </c>
      <c r="H877" s="573">
        <v>2019</v>
      </c>
      <c r="I877" s="573" t="s">
        <v>1915</v>
      </c>
      <c r="J877" s="573" t="s">
        <v>1950</v>
      </c>
      <c r="K877" s="573" t="s">
        <v>236</v>
      </c>
      <c r="L877" s="573">
        <v>2</v>
      </c>
      <c r="M877" s="573">
        <v>0</v>
      </c>
      <c r="N877" s="573" t="s">
        <v>157</v>
      </c>
      <c r="O877" s="573">
        <v>1</v>
      </c>
      <c r="P877" s="573">
        <v>83.6</v>
      </c>
      <c r="Q877" s="571" t="s">
        <v>157</v>
      </c>
      <c r="R877" s="573" t="s">
        <v>1917</v>
      </c>
      <c r="S877" s="573">
        <v>5</v>
      </c>
      <c r="T877" s="573" t="s">
        <v>1971</v>
      </c>
      <c r="U877" s="573" t="s">
        <v>1894</v>
      </c>
      <c r="V877" s="573">
        <v>129.9</v>
      </c>
      <c r="W877" s="573">
        <v>25</v>
      </c>
      <c r="X877" s="571">
        <v>8600</v>
      </c>
      <c r="Y877" s="573">
        <v>16</v>
      </c>
      <c r="Z877" s="579" t="s">
        <v>728</v>
      </c>
      <c r="AA877" s="579" t="s">
        <v>1523</v>
      </c>
      <c r="AB877" s="584">
        <v>38675</v>
      </c>
      <c r="AC877" s="584" t="s">
        <v>164</v>
      </c>
      <c r="AD877" s="584">
        <v>27008.583333333332</v>
      </c>
      <c r="AE877" s="586">
        <v>0.03</v>
      </c>
      <c r="AF877" s="661" t="str">
        <f t="shared" si="94"/>
        <v>2019-LVN-FRD-T15V-018-27</v>
      </c>
      <c r="AG877" s="661" t="str">
        <f>IF(AND($Y877&gt;=32,(AI877="I"),(Y877&lt;&gt;"~"),(COUNTIF($AN$1:$AN877,$AN877)=1)),"TRUE","FALSE")</f>
        <v>FALSE</v>
      </c>
      <c r="AH877" s="661" t="str">
        <f>IF(AND($Y877&gt;=22, (AI877&lt;&gt;"I"),(Y877&lt;&gt;"~"),(COUNTIF($AN$1:$AN877,$AN877)=1)),"TRUE","FALSE")</f>
        <v>FALSE</v>
      </c>
      <c r="AI877" s="661" t="str">
        <f t="shared" si="96"/>
        <v>II</v>
      </c>
      <c r="AJ877" s="662" t="str">
        <f t="shared" si="90"/>
        <v>T15V-018</v>
      </c>
      <c r="AK877" s="662" t="str">
        <f t="shared" si="91"/>
        <v>LVN</v>
      </c>
      <c r="AL877" s="662" t="str">
        <f t="shared" si="92"/>
        <v>FRD</v>
      </c>
      <c r="AM877" s="662" t="str">
        <f t="shared" si="95"/>
        <v>Transit 150 Van-Sliding RH Door-RWD-2-83.6-~-3.2L-5-E1Y-101A-129.9-25-Diesel-BioDiesel</v>
      </c>
      <c r="AN877" s="662" t="str">
        <f t="shared" si="93"/>
        <v>2019-LVN-FRD-T15V-018</v>
      </c>
    </row>
    <row r="878" spans="1:40" s="572" customFormat="1" ht="15">
      <c r="A878" s="570" t="s">
        <v>2010</v>
      </c>
      <c r="B878" s="569" t="s">
        <v>1973</v>
      </c>
      <c r="C878" s="569" t="s">
        <v>280</v>
      </c>
      <c r="D878" s="580">
        <v>27</v>
      </c>
      <c r="E878" s="569" t="s">
        <v>1516</v>
      </c>
      <c r="F878" s="569" t="s">
        <v>1914</v>
      </c>
      <c r="G878" s="569" t="s">
        <v>271</v>
      </c>
      <c r="H878" s="569">
        <v>2019</v>
      </c>
      <c r="I878" s="569" t="s">
        <v>1915</v>
      </c>
      <c r="J878" s="569" t="s">
        <v>1950</v>
      </c>
      <c r="K878" s="569" t="s">
        <v>236</v>
      </c>
      <c r="L878" s="569">
        <v>2</v>
      </c>
      <c r="M878" s="569">
        <v>0</v>
      </c>
      <c r="N878" s="569" t="s">
        <v>157</v>
      </c>
      <c r="O878" s="569">
        <v>1</v>
      </c>
      <c r="P878" s="569">
        <v>83.6</v>
      </c>
      <c r="Q878" s="568" t="s">
        <v>157</v>
      </c>
      <c r="R878" s="569" t="s">
        <v>1259</v>
      </c>
      <c r="S878" s="569">
        <v>6</v>
      </c>
      <c r="T878" s="569" t="s">
        <v>1971</v>
      </c>
      <c r="U878" s="569" t="s">
        <v>1894</v>
      </c>
      <c r="V878" s="569">
        <v>129.9</v>
      </c>
      <c r="W878" s="569">
        <v>25</v>
      </c>
      <c r="X878" s="568">
        <v>8600</v>
      </c>
      <c r="Y878" s="573">
        <v>16</v>
      </c>
      <c r="Z878" s="581" t="s">
        <v>178</v>
      </c>
      <c r="AA878" s="581" t="s">
        <v>178</v>
      </c>
      <c r="AB878" s="585">
        <v>36545</v>
      </c>
      <c r="AC878" s="585" t="s">
        <v>164</v>
      </c>
      <c r="AD878" s="585">
        <v>25115.291666666668</v>
      </c>
      <c r="AE878" s="587">
        <v>0.03</v>
      </c>
      <c r="AF878" s="661" t="str">
        <f t="shared" si="94"/>
        <v>2019-LVN-FRD-T15V-019-27</v>
      </c>
      <c r="AG878" s="661" t="str">
        <f>IF(AND($Y878&gt;=32,(AI878="I"),(Y878&lt;&gt;"~"),(COUNTIF($AN$1:$AN878,$AN878)=1)),"TRUE","FALSE")</f>
        <v>FALSE</v>
      </c>
      <c r="AH878" s="661" t="str">
        <f>IF(AND($Y878&gt;=22, (AI878&lt;&gt;"I"),(Y878&lt;&gt;"~"),(COUNTIF($AN$1:$AN878,$AN878)=1)),"TRUE","FALSE")</f>
        <v>FALSE</v>
      </c>
      <c r="AI878" s="661" t="str">
        <f t="shared" si="96"/>
        <v>II</v>
      </c>
      <c r="AJ878" s="662" t="str">
        <f t="shared" si="90"/>
        <v>T15V-019</v>
      </c>
      <c r="AK878" s="662" t="str">
        <f t="shared" si="91"/>
        <v>LVN</v>
      </c>
      <c r="AL878" s="662" t="str">
        <f t="shared" si="92"/>
        <v>FRD</v>
      </c>
      <c r="AM878" s="662" t="str">
        <f t="shared" si="95"/>
        <v>Transit 150 Van-Sliding RH Door-RWD-2-83.6-~-3.5L EcoBoost-6-E1Y-101A-129.9-25-Unleaded-Unleaded</v>
      </c>
      <c r="AN878" s="662" t="str">
        <f t="shared" si="93"/>
        <v>2019-LVN-FRD-T15V-019</v>
      </c>
    </row>
    <row r="879" spans="1:40" s="572" customFormat="1" ht="15">
      <c r="A879" s="570" t="s">
        <v>2011</v>
      </c>
      <c r="B879" s="573" t="s">
        <v>1975</v>
      </c>
      <c r="C879" s="573" t="s">
        <v>280</v>
      </c>
      <c r="D879" s="578">
        <v>27</v>
      </c>
      <c r="E879" s="573" t="s">
        <v>1516</v>
      </c>
      <c r="F879" s="573" t="s">
        <v>1914</v>
      </c>
      <c r="G879" s="573" t="s">
        <v>271</v>
      </c>
      <c r="H879" s="573">
        <v>2019</v>
      </c>
      <c r="I879" s="573" t="s">
        <v>1915</v>
      </c>
      <c r="J879" s="573" t="s">
        <v>1950</v>
      </c>
      <c r="K879" s="573" t="s">
        <v>236</v>
      </c>
      <c r="L879" s="573">
        <v>2</v>
      </c>
      <c r="M879" s="573">
        <v>0</v>
      </c>
      <c r="N879" s="573" t="s">
        <v>157</v>
      </c>
      <c r="O879" s="573">
        <v>1</v>
      </c>
      <c r="P879" s="573">
        <v>83.6</v>
      </c>
      <c r="Q879" s="571" t="s">
        <v>157</v>
      </c>
      <c r="R879" s="573" t="s">
        <v>682</v>
      </c>
      <c r="S879" s="573">
        <v>6</v>
      </c>
      <c r="T879" s="573" t="s">
        <v>1971</v>
      </c>
      <c r="U879" s="573" t="s">
        <v>1894</v>
      </c>
      <c r="V879" s="573">
        <v>129.9</v>
      </c>
      <c r="W879" s="573">
        <v>25</v>
      </c>
      <c r="X879" s="571">
        <v>8600</v>
      </c>
      <c r="Y879" s="573">
        <v>16</v>
      </c>
      <c r="Z879" s="579" t="s">
        <v>178</v>
      </c>
      <c r="AA879" s="579" t="s">
        <v>178</v>
      </c>
      <c r="AB879" s="584">
        <v>34680</v>
      </c>
      <c r="AC879" s="584" t="s">
        <v>164</v>
      </c>
      <c r="AD879" s="584">
        <v>23459.041666666668</v>
      </c>
      <c r="AE879" s="586">
        <v>0.03</v>
      </c>
      <c r="AF879" s="661" t="str">
        <f t="shared" si="94"/>
        <v>2019-LVN-FRD-T15V-020-27</v>
      </c>
      <c r="AG879" s="661" t="str">
        <f>IF(AND($Y879&gt;=32,(AI879="I"),(Y879&lt;&gt;"~"),(COUNTIF($AN$1:$AN879,$AN879)=1)),"TRUE","FALSE")</f>
        <v>FALSE</v>
      </c>
      <c r="AH879" s="661" t="str">
        <f>IF(AND($Y879&gt;=22, (AI879&lt;&gt;"I"),(Y879&lt;&gt;"~"),(COUNTIF($AN$1:$AN879,$AN879)=1)),"TRUE","FALSE")</f>
        <v>FALSE</v>
      </c>
      <c r="AI879" s="661" t="str">
        <f t="shared" si="96"/>
        <v>II</v>
      </c>
      <c r="AJ879" s="662" t="str">
        <f t="shared" si="90"/>
        <v>T15V-020</v>
      </c>
      <c r="AK879" s="662" t="str">
        <f t="shared" si="91"/>
        <v>LVN</v>
      </c>
      <c r="AL879" s="662" t="str">
        <f t="shared" si="92"/>
        <v>FRD</v>
      </c>
      <c r="AM879" s="662" t="str">
        <f t="shared" si="95"/>
        <v>Transit 150 Van-Sliding RH Door-RWD-2-83.6-~-3.7L-6-E1Y-101A-129.9-25-Unleaded-Unleaded</v>
      </c>
      <c r="AN879" s="662" t="str">
        <f t="shared" si="93"/>
        <v>2019-LVN-FRD-T15V-020</v>
      </c>
    </row>
    <row r="880" spans="1:40" s="572" customFormat="1" ht="15">
      <c r="A880" s="570" t="s">
        <v>2012</v>
      </c>
      <c r="B880" s="569" t="s">
        <v>2013</v>
      </c>
      <c r="C880" s="569" t="s">
        <v>269</v>
      </c>
      <c r="D880" s="580" t="s">
        <v>270</v>
      </c>
      <c r="E880" s="569" t="s">
        <v>1516</v>
      </c>
      <c r="F880" s="569" t="s">
        <v>1914</v>
      </c>
      <c r="G880" s="569" t="s">
        <v>271</v>
      </c>
      <c r="H880" s="569">
        <v>2019</v>
      </c>
      <c r="I880" s="569" t="s">
        <v>1915</v>
      </c>
      <c r="J880" s="569" t="s">
        <v>2014</v>
      </c>
      <c r="K880" s="569" t="s">
        <v>236</v>
      </c>
      <c r="L880" s="569">
        <v>2</v>
      </c>
      <c r="M880" s="569">
        <v>0</v>
      </c>
      <c r="N880" s="569" t="s">
        <v>157</v>
      </c>
      <c r="O880" s="569">
        <v>1</v>
      </c>
      <c r="P880" s="569">
        <v>83.2</v>
      </c>
      <c r="Q880" s="568" t="s">
        <v>157</v>
      </c>
      <c r="R880" s="569" t="s">
        <v>1917</v>
      </c>
      <c r="S880" s="569">
        <v>5</v>
      </c>
      <c r="T880" s="569" t="s">
        <v>2015</v>
      </c>
      <c r="U880" s="569" t="s">
        <v>1894</v>
      </c>
      <c r="V880" s="569">
        <v>147.6</v>
      </c>
      <c r="W880" s="569">
        <v>25</v>
      </c>
      <c r="X880" s="568">
        <v>8600</v>
      </c>
      <c r="Y880" s="573">
        <v>16</v>
      </c>
      <c r="Z880" s="581" t="s">
        <v>728</v>
      </c>
      <c r="AA880" s="581" t="s">
        <v>1523</v>
      </c>
      <c r="AB880" s="585">
        <v>39400</v>
      </c>
      <c r="AC880" s="585" t="s">
        <v>164</v>
      </c>
      <c r="AD880" s="585">
        <v>27671.083333333332</v>
      </c>
      <c r="AE880" s="587">
        <v>0.03</v>
      </c>
      <c r="AF880" s="661" t="str">
        <f t="shared" si="94"/>
        <v>2019-LVN-FRD-T15V-021-05</v>
      </c>
      <c r="AG880" s="661" t="str">
        <f>IF(AND($Y880&gt;=32,(AI880="I"),(Y880&lt;&gt;"~"),(COUNTIF($AN$1:$AN880,$AN880)=1)),"TRUE","FALSE")</f>
        <v>FALSE</v>
      </c>
      <c r="AH880" s="661" t="str">
        <f>IF(AND($Y880&gt;=22, (AI880&lt;&gt;"I"),(Y880&lt;&gt;"~"),(COUNTIF($AN$1:$AN880,$AN880)=1)),"TRUE","FALSE")</f>
        <v>FALSE</v>
      </c>
      <c r="AI880" s="661" t="str">
        <f t="shared" si="96"/>
        <v>II</v>
      </c>
      <c r="AJ880" s="662" t="str">
        <f t="shared" si="90"/>
        <v>T15V-021</v>
      </c>
      <c r="AK880" s="662" t="str">
        <f t="shared" si="91"/>
        <v>LVN</v>
      </c>
      <c r="AL880" s="662" t="str">
        <f t="shared" si="92"/>
        <v>FRD</v>
      </c>
      <c r="AM880" s="662" t="str">
        <f t="shared" si="95"/>
        <v>Transit 150 Van-Swing-Out RH Door-RWD-2-83.2-~-3.2L-5-E9Z-101A-147.6-25-Diesel-BioDiesel</v>
      </c>
      <c r="AN880" s="662" t="str">
        <f t="shared" si="93"/>
        <v>2019-LVN-FRD-T15V-021</v>
      </c>
    </row>
    <row r="881" spans="1:40" s="572" customFormat="1" ht="15">
      <c r="A881" s="570" t="s">
        <v>2016</v>
      </c>
      <c r="B881" s="573" t="s">
        <v>2017</v>
      </c>
      <c r="C881" s="573" t="s">
        <v>269</v>
      </c>
      <c r="D881" s="578" t="s">
        <v>270</v>
      </c>
      <c r="E881" s="573" t="s">
        <v>1516</v>
      </c>
      <c r="F881" s="573" t="s">
        <v>1914</v>
      </c>
      <c r="G881" s="573" t="s">
        <v>271</v>
      </c>
      <c r="H881" s="573">
        <v>2019</v>
      </c>
      <c r="I881" s="573" t="s">
        <v>1915</v>
      </c>
      <c r="J881" s="573" t="s">
        <v>2014</v>
      </c>
      <c r="K881" s="573" t="s">
        <v>236</v>
      </c>
      <c r="L881" s="573">
        <v>2</v>
      </c>
      <c r="M881" s="573">
        <v>0</v>
      </c>
      <c r="N881" s="573" t="s">
        <v>157</v>
      </c>
      <c r="O881" s="573">
        <v>1</v>
      </c>
      <c r="P881" s="573">
        <v>83.2</v>
      </c>
      <c r="Q881" s="571" t="s">
        <v>157</v>
      </c>
      <c r="R881" s="573" t="s">
        <v>1259</v>
      </c>
      <c r="S881" s="573">
        <v>6</v>
      </c>
      <c r="T881" s="573" t="s">
        <v>2015</v>
      </c>
      <c r="U881" s="573" t="s">
        <v>1894</v>
      </c>
      <c r="V881" s="573">
        <v>147.6</v>
      </c>
      <c r="W881" s="573">
        <v>25</v>
      </c>
      <c r="X881" s="571">
        <v>8600</v>
      </c>
      <c r="Y881" s="573">
        <v>16</v>
      </c>
      <c r="Z881" s="579" t="s">
        <v>178</v>
      </c>
      <c r="AA881" s="579" t="s">
        <v>178</v>
      </c>
      <c r="AB881" s="584">
        <v>37270</v>
      </c>
      <c r="AC881" s="584" t="s">
        <v>164</v>
      </c>
      <c r="AD881" s="584">
        <v>25777.791666666668</v>
      </c>
      <c r="AE881" s="586">
        <v>0.03</v>
      </c>
      <c r="AF881" s="661" t="str">
        <f t="shared" si="94"/>
        <v>2019-LVN-FRD-T15V-022-05</v>
      </c>
      <c r="AG881" s="661" t="str">
        <f>IF(AND($Y881&gt;=32,(AI881="I"),(Y881&lt;&gt;"~"),(COUNTIF($AN$1:$AN881,$AN881)=1)),"TRUE","FALSE")</f>
        <v>FALSE</v>
      </c>
      <c r="AH881" s="661" t="str">
        <f>IF(AND($Y881&gt;=22, (AI881&lt;&gt;"I"),(Y881&lt;&gt;"~"),(COUNTIF($AN$1:$AN881,$AN881)=1)),"TRUE","FALSE")</f>
        <v>FALSE</v>
      </c>
      <c r="AI881" s="661" t="str">
        <f t="shared" si="96"/>
        <v>II</v>
      </c>
      <c r="AJ881" s="662" t="str">
        <f t="shared" si="90"/>
        <v>T15V-022</v>
      </c>
      <c r="AK881" s="662" t="str">
        <f t="shared" si="91"/>
        <v>LVN</v>
      </c>
      <c r="AL881" s="662" t="str">
        <f t="shared" si="92"/>
        <v>FRD</v>
      </c>
      <c r="AM881" s="662" t="str">
        <f t="shared" si="95"/>
        <v>Transit 150 Van-Swing-Out RH Door-RWD-2-83.2-~-3.5L EcoBoost-6-E9Z-101A-147.6-25-Unleaded-Unleaded</v>
      </c>
      <c r="AN881" s="662" t="str">
        <f t="shared" si="93"/>
        <v>2019-LVN-FRD-T15V-022</v>
      </c>
    </row>
    <row r="882" spans="1:40" s="572" customFormat="1" ht="15">
      <c r="A882" s="570" t="s">
        <v>2018</v>
      </c>
      <c r="B882" s="569" t="s">
        <v>2019</v>
      </c>
      <c r="C882" s="569" t="s">
        <v>269</v>
      </c>
      <c r="D882" s="580" t="s">
        <v>270</v>
      </c>
      <c r="E882" s="569" t="s">
        <v>1516</v>
      </c>
      <c r="F882" s="569" t="s">
        <v>1914</v>
      </c>
      <c r="G882" s="569" t="s">
        <v>271</v>
      </c>
      <c r="H882" s="569">
        <v>2019</v>
      </c>
      <c r="I882" s="569" t="s">
        <v>1915</v>
      </c>
      <c r="J882" s="569" t="s">
        <v>2014</v>
      </c>
      <c r="K882" s="569" t="s">
        <v>236</v>
      </c>
      <c r="L882" s="569">
        <v>2</v>
      </c>
      <c r="M882" s="569">
        <v>0</v>
      </c>
      <c r="N882" s="569" t="s">
        <v>157</v>
      </c>
      <c r="O882" s="569">
        <v>1</v>
      </c>
      <c r="P882" s="569">
        <v>83.2</v>
      </c>
      <c r="Q882" s="568" t="s">
        <v>157</v>
      </c>
      <c r="R882" s="569" t="s">
        <v>682</v>
      </c>
      <c r="S882" s="569">
        <v>6</v>
      </c>
      <c r="T882" s="569" t="s">
        <v>2015</v>
      </c>
      <c r="U882" s="569" t="s">
        <v>1894</v>
      </c>
      <c r="V882" s="569">
        <v>147.6</v>
      </c>
      <c r="W882" s="569">
        <v>25</v>
      </c>
      <c r="X882" s="568">
        <v>8600</v>
      </c>
      <c r="Y882" s="573">
        <v>16</v>
      </c>
      <c r="Z882" s="581" t="s">
        <v>178</v>
      </c>
      <c r="AA882" s="581" t="s">
        <v>178</v>
      </c>
      <c r="AB882" s="585">
        <v>35405</v>
      </c>
      <c r="AC882" s="585" t="s">
        <v>164</v>
      </c>
      <c r="AD882" s="585">
        <v>24121.541666666668</v>
      </c>
      <c r="AE882" s="587">
        <v>0.03</v>
      </c>
      <c r="AF882" s="661" t="str">
        <f t="shared" si="94"/>
        <v>2019-LVN-FRD-T15V-023-05</v>
      </c>
      <c r="AG882" s="661" t="str">
        <f>IF(AND($Y882&gt;=32,(AI882="I"),(Y882&lt;&gt;"~"),(COUNTIF($AN$1:$AN882,$AN882)=1)),"TRUE","FALSE")</f>
        <v>FALSE</v>
      </c>
      <c r="AH882" s="661" t="str">
        <f>IF(AND($Y882&gt;=22, (AI882&lt;&gt;"I"),(Y882&lt;&gt;"~"),(COUNTIF($AN$1:$AN882,$AN882)=1)),"TRUE","FALSE")</f>
        <v>FALSE</v>
      </c>
      <c r="AI882" s="661" t="str">
        <f t="shared" si="96"/>
        <v>II</v>
      </c>
      <c r="AJ882" s="662" t="str">
        <f t="shared" si="90"/>
        <v>T15V-023</v>
      </c>
      <c r="AK882" s="662" t="str">
        <f t="shared" si="91"/>
        <v>LVN</v>
      </c>
      <c r="AL882" s="662" t="str">
        <f t="shared" si="92"/>
        <v>FRD</v>
      </c>
      <c r="AM882" s="662" t="str">
        <f t="shared" si="95"/>
        <v>Transit 150 Van-Swing-Out RH Door-RWD-2-83.2-~-3.7L-6-E9Z-101A-147.6-25-Unleaded-Unleaded</v>
      </c>
      <c r="AN882" s="662" t="str">
        <f t="shared" si="93"/>
        <v>2019-LVN-FRD-T15V-023</v>
      </c>
    </row>
    <row r="883" spans="1:40" s="572" customFormat="1" ht="15">
      <c r="A883" s="570" t="s">
        <v>2020</v>
      </c>
      <c r="B883" s="573" t="s">
        <v>2021</v>
      </c>
      <c r="C883" s="573" t="s">
        <v>269</v>
      </c>
      <c r="D883" s="578" t="s">
        <v>270</v>
      </c>
      <c r="E883" s="573" t="s">
        <v>1516</v>
      </c>
      <c r="F883" s="573" t="s">
        <v>1914</v>
      </c>
      <c r="G883" s="573" t="s">
        <v>271</v>
      </c>
      <c r="H883" s="573">
        <v>2019</v>
      </c>
      <c r="I883" s="573" t="s">
        <v>1915</v>
      </c>
      <c r="J883" s="573" t="s">
        <v>2014</v>
      </c>
      <c r="K883" s="573" t="s">
        <v>236</v>
      </c>
      <c r="L883" s="573">
        <v>2</v>
      </c>
      <c r="M883" s="573">
        <v>0</v>
      </c>
      <c r="N883" s="573" t="s">
        <v>157</v>
      </c>
      <c r="O883" s="573">
        <v>1</v>
      </c>
      <c r="P883" s="573">
        <v>83.6</v>
      </c>
      <c r="Q883" s="571" t="s">
        <v>157</v>
      </c>
      <c r="R883" s="573" t="s">
        <v>1917</v>
      </c>
      <c r="S883" s="573">
        <v>5</v>
      </c>
      <c r="T883" s="573" t="s">
        <v>2022</v>
      </c>
      <c r="U883" s="573" t="s">
        <v>1894</v>
      </c>
      <c r="V883" s="573">
        <v>129.9</v>
      </c>
      <c r="W883" s="573">
        <v>25</v>
      </c>
      <c r="X883" s="571">
        <v>8600</v>
      </c>
      <c r="Y883" s="573">
        <v>16</v>
      </c>
      <c r="Z883" s="579" t="s">
        <v>728</v>
      </c>
      <c r="AA883" s="579" t="s">
        <v>1523</v>
      </c>
      <c r="AB883" s="584">
        <v>38525</v>
      </c>
      <c r="AC883" s="584" t="s">
        <v>164</v>
      </c>
      <c r="AD883" s="584">
        <v>26871.083333333332</v>
      </c>
      <c r="AE883" s="586">
        <v>0.03</v>
      </c>
      <c r="AF883" s="661" t="str">
        <f t="shared" si="94"/>
        <v>2019-LVN-FRD-T15V-025-05</v>
      </c>
      <c r="AG883" s="661" t="str">
        <f>IF(AND($Y883&gt;=32,(AI883="I"),(Y883&lt;&gt;"~"),(COUNTIF($AN$1:$AN883,$AN883)=1)),"TRUE","FALSE")</f>
        <v>FALSE</v>
      </c>
      <c r="AH883" s="661" t="str">
        <f>IF(AND($Y883&gt;=22, (AI883&lt;&gt;"I"),(Y883&lt;&gt;"~"),(COUNTIF($AN$1:$AN883,$AN883)=1)),"TRUE","FALSE")</f>
        <v>FALSE</v>
      </c>
      <c r="AI883" s="661" t="str">
        <f t="shared" si="96"/>
        <v>II</v>
      </c>
      <c r="AJ883" s="662" t="str">
        <f t="shared" si="90"/>
        <v>T15V-025</v>
      </c>
      <c r="AK883" s="662" t="str">
        <f t="shared" si="91"/>
        <v>LVN</v>
      </c>
      <c r="AL883" s="662" t="str">
        <f t="shared" si="92"/>
        <v>FRD</v>
      </c>
      <c r="AM883" s="662" t="str">
        <f t="shared" si="95"/>
        <v>Transit 150 Van-Swing-Out RH Door-RWD-2-83.6-~-3.2L-5-E1Z-101A-129.9-25-Diesel-BioDiesel</v>
      </c>
      <c r="AN883" s="662" t="str">
        <f t="shared" si="93"/>
        <v>2019-LVN-FRD-T15V-025</v>
      </c>
    </row>
    <row r="884" spans="1:40" s="572" customFormat="1" ht="15">
      <c r="A884" s="570" t="s">
        <v>2023</v>
      </c>
      <c r="B884" s="569" t="s">
        <v>2024</v>
      </c>
      <c r="C884" s="569" t="s">
        <v>269</v>
      </c>
      <c r="D884" s="580" t="s">
        <v>270</v>
      </c>
      <c r="E884" s="569" t="s">
        <v>1516</v>
      </c>
      <c r="F884" s="569" t="s">
        <v>1914</v>
      </c>
      <c r="G884" s="569" t="s">
        <v>271</v>
      </c>
      <c r="H884" s="569">
        <v>2019</v>
      </c>
      <c r="I884" s="569" t="s">
        <v>1915</v>
      </c>
      <c r="J884" s="569" t="s">
        <v>2014</v>
      </c>
      <c r="K884" s="569" t="s">
        <v>236</v>
      </c>
      <c r="L884" s="569">
        <v>2</v>
      </c>
      <c r="M884" s="569">
        <v>0</v>
      </c>
      <c r="N884" s="569" t="s">
        <v>157</v>
      </c>
      <c r="O884" s="569">
        <v>1</v>
      </c>
      <c r="P884" s="569">
        <v>83.6</v>
      </c>
      <c r="Q884" s="568" t="s">
        <v>157</v>
      </c>
      <c r="R884" s="569" t="s">
        <v>1259</v>
      </c>
      <c r="S884" s="569">
        <v>6</v>
      </c>
      <c r="T884" s="569" t="s">
        <v>2022</v>
      </c>
      <c r="U884" s="569" t="s">
        <v>1894</v>
      </c>
      <c r="V884" s="569">
        <v>129.9</v>
      </c>
      <c r="W884" s="569">
        <v>25</v>
      </c>
      <c r="X884" s="568">
        <v>8600</v>
      </c>
      <c r="Y884" s="573">
        <v>16</v>
      </c>
      <c r="Z884" s="581" t="s">
        <v>178</v>
      </c>
      <c r="AA884" s="581" t="s">
        <v>178</v>
      </c>
      <c r="AB884" s="585">
        <v>36395</v>
      </c>
      <c r="AC884" s="585" t="s">
        <v>164</v>
      </c>
      <c r="AD884" s="585">
        <v>24977.791666666668</v>
      </c>
      <c r="AE884" s="587">
        <v>0.03</v>
      </c>
      <c r="AF884" s="661" t="str">
        <f t="shared" si="94"/>
        <v>2019-LVN-FRD-T15V-026-05</v>
      </c>
      <c r="AG884" s="661" t="str">
        <f>IF(AND($Y884&gt;=32,(AI884="I"),(Y884&lt;&gt;"~"),(COUNTIF($AN$1:$AN884,$AN884)=1)),"TRUE","FALSE")</f>
        <v>FALSE</v>
      </c>
      <c r="AH884" s="661" t="str">
        <f>IF(AND($Y884&gt;=22, (AI884&lt;&gt;"I"),(Y884&lt;&gt;"~"),(COUNTIF($AN$1:$AN884,$AN884)=1)),"TRUE","FALSE")</f>
        <v>FALSE</v>
      </c>
      <c r="AI884" s="661" t="str">
        <f t="shared" si="96"/>
        <v>II</v>
      </c>
      <c r="AJ884" s="662" t="str">
        <f t="shared" si="90"/>
        <v>T15V-026</v>
      </c>
      <c r="AK884" s="662" t="str">
        <f t="shared" si="91"/>
        <v>LVN</v>
      </c>
      <c r="AL884" s="662" t="str">
        <f t="shared" si="92"/>
        <v>FRD</v>
      </c>
      <c r="AM884" s="662" t="str">
        <f t="shared" si="95"/>
        <v>Transit 150 Van-Swing-Out RH Door-RWD-2-83.6-~-3.5L EcoBoost-6-E1Z-101A-129.9-25-Unleaded-Unleaded</v>
      </c>
      <c r="AN884" s="662" t="str">
        <f t="shared" si="93"/>
        <v>2019-LVN-FRD-T15V-026</v>
      </c>
    </row>
    <row r="885" spans="1:40" s="572" customFormat="1" ht="15">
      <c r="A885" s="570" t="s">
        <v>2025</v>
      </c>
      <c r="B885" s="573" t="s">
        <v>2026</v>
      </c>
      <c r="C885" s="573" t="s">
        <v>269</v>
      </c>
      <c r="D885" s="578" t="s">
        <v>270</v>
      </c>
      <c r="E885" s="573" t="s">
        <v>1516</v>
      </c>
      <c r="F885" s="573" t="s">
        <v>1914</v>
      </c>
      <c r="G885" s="573" t="s">
        <v>271</v>
      </c>
      <c r="H885" s="573">
        <v>2019</v>
      </c>
      <c r="I885" s="573" t="s">
        <v>1915</v>
      </c>
      <c r="J885" s="573" t="s">
        <v>2014</v>
      </c>
      <c r="K885" s="573" t="s">
        <v>236</v>
      </c>
      <c r="L885" s="573">
        <v>2</v>
      </c>
      <c r="M885" s="573">
        <v>0</v>
      </c>
      <c r="N885" s="573" t="s">
        <v>157</v>
      </c>
      <c r="O885" s="573">
        <v>1</v>
      </c>
      <c r="P885" s="573">
        <v>83.6</v>
      </c>
      <c r="Q885" s="571" t="s">
        <v>157</v>
      </c>
      <c r="R885" s="573" t="s">
        <v>682</v>
      </c>
      <c r="S885" s="573">
        <v>6</v>
      </c>
      <c r="T885" s="573" t="s">
        <v>2022</v>
      </c>
      <c r="U885" s="573" t="s">
        <v>1894</v>
      </c>
      <c r="V885" s="573">
        <v>129.9</v>
      </c>
      <c r="W885" s="573">
        <v>25</v>
      </c>
      <c r="X885" s="571">
        <v>8600</v>
      </c>
      <c r="Y885" s="573">
        <v>16</v>
      </c>
      <c r="Z885" s="579" t="s">
        <v>178</v>
      </c>
      <c r="AA885" s="579" t="s">
        <v>178</v>
      </c>
      <c r="AB885" s="584">
        <v>34530</v>
      </c>
      <c r="AC885" s="584" t="s">
        <v>164</v>
      </c>
      <c r="AD885" s="584">
        <v>23321.541666666668</v>
      </c>
      <c r="AE885" s="586">
        <v>0.03</v>
      </c>
      <c r="AF885" s="661" t="str">
        <f t="shared" si="94"/>
        <v>2019-LVN-FRD-T15V-027-05</v>
      </c>
      <c r="AG885" s="661" t="str">
        <f>IF(AND($Y885&gt;=32,(AI885="I"),(Y885&lt;&gt;"~"),(COUNTIF($AN$1:$AN885,$AN885)=1)),"TRUE","FALSE")</f>
        <v>FALSE</v>
      </c>
      <c r="AH885" s="661" t="str">
        <f>IF(AND($Y885&gt;=22, (AI885&lt;&gt;"I"),(Y885&lt;&gt;"~"),(COUNTIF($AN$1:$AN885,$AN885)=1)),"TRUE","FALSE")</f>
        <v>FALSE</v>
      </c>
      <c r="AI885" s="661" t="str">
        <f t="shared" si="96"/>
        <v>II</v>
      </c>
      <c r="AJ885" s="662" t="str">
        <f t="shared" si="90"/>
        <v>T15V-027</v>
      </c>
      <c r="AK885" s="662" t="str">
        <f t="shared" si="91"/>
        <v>LVN</v>
      </c>
      <c r="AL885" s="662" t="str">
        <f t="shared" si="92"/>
        <v>FRD</v>
      </c>
      <c r="AM885" s="662" t="str">
        <f t="shared" si="95"/>
        <v>Transit 150 Van-Swing-Out RH Door-RWD-2-83.6-~-3.7L-6-E1Z-101A-129.9-25-Unleaded-Unleaded</v>
      </c>
      <c r="AN885" s="662" t="str">
        <f t="shared" si="93"/>
        <v>2019-LVN-FRD-T15V-027</v>
      </c>
    </row>
    <row r="886" spans="1:40" s="572" customFormat="1" ht="15">
      <c r="A886" s="570" t="s">
        <v>2027</v>
      </c>
      <c r="B886" s="569" t="s">
        <v>2013</v>
      </c>
      <c r="C886" s="569" t="s">
        <v>278</v>
      </c>
      <c r="D886" s="580">
        <v>15</v>
      </c>
      <c r="E886" s="569" t="s">
        <v>1516</v>
      </c>
      <c r="F886" s="569" t="s">
        <v>1914</v>
      </c>
      <c r="G886" s="569" t="s">
        <v>271</v>
      </c>
      <c r="H886" s="569">
        <v>2019</v>
      </c>
      <c r="I886" s="569" t="s">
        <v>1915</v>
      </c>
      <c r="J886" s="569" t="s">
        <v>2014</v>
      </c>
      <c r="K886" s="569" t="s">
        <v>236</v>
      </c>
      <c r="L886" s="569">
        <v>2</v>
      </c>
      <c r="M886" s="569">
        <v>0</v>
      </c>
      <c r="N886" s="569" t="s">
        <v>157</v>
      </c>
      <c r="O886" s="569">
        <v>1</v>
      </c>
      <c r="P886" s="569">
        <v>83.2</v>
      </c>
      <c r="Q886" s="568" t="s">
        <v>157</v>
      </c>
      <c r="R886" s="569" t="s">
        <v>1917</v>
      </c>
      <c r="S886" s="569">
        <v>5</v>
      </c>
      <c r="T886" s="569" t="s">
        <v>2015</v>
      </c>
      <c r="U886" s="569" t="s">
        <v>1894</v>
      </c>
      <c r="V886" s="569">
        <v>147.6</v>
      </c>
      <c r="W886" s="569">
        <v>25</v>
      </c>
      <c r="X886" s="568">
        <v>8600</v>
      </c>
      <c r="Y886" s="573">
        <v>16</v>
      </c>
      <c r="Z886" s="581" t="s">
        <v>728</v>
      </c>
      <c r="AA886" s="581" t="s">
        <v>1523</v>
      </c>
      <c r="AB886" s="585">
        <v>39400</v>
      </c>
      <c r="AC886" s="585" t="s">
        <v>164</v>
      </c>
      <c r="AD886" s="585">
        <v>28150</v>
      </c>
      <c r="AE886" s="587">
        <v>0.01</v>
      </c>
      <c r="AF886" s="661" t="str">
        <f t="shared" si="94"/>
        <v>2019-LVN-FRD-T15V-021-15</v>
      </c>
      <c r="AG886" s="661" t="str">
        <f>IF(AND($Y886&gt;=32,(AI886="I"),(Y886&lt;&gt;"~"),(COUNTIF($AN$1:$AN886,$AN886)=1)),"TRUE","FALSE")</f>
        <v>FALSE</v>
      </c>
      <c r="AH886" s="661" t="str">
        <f>IF(AND($Y886&gt;=22, (AI886&lt;&gt;"I"),(Y886&lt;&gt;"~"),(COUNTIF($AN$1:$AN886,$AN886)=1)),"TRUE","FALSE")</f>
        <v>FALSE</v>
      </c>
      <c r="AI886" s="661" t="str">
        <f t="shared" si="96"/>
        <v>II</v>
      </c>
      <c r="AJ886" s="662" t="str">
        <f t="shared" si="90"/>
        <v>T15V-021</v>
      </c>
      <c r="AK886" s="662" t="str">
        <f t="shared" si="91"/>
        <v>LVN</v>
      </c>
      <c r="AL886" s="662" t="str">
        <f t="shared" si="92"/>
        <v>FRD</v>
      </c>
      <c r="AM886" s="662" t="str">
        <f t="shared" si="95"/>
        <v>Transit 150 Van-Swing-Out RH Door-RWD-2-83.2-~-3.2L-5-E9Z-101A-147.6-25-Diesel-BioDiesel</v>
      </c>
      <c r="AN886" s="662" t="str">
        <f t="shared" si="93"/>
        <v>2019-LVN-FRD-T15V-021</v>
      </c>
    </row>
    <row r="887" spans="1:40" s="572" customFormat="1" ht="15">
      <c r="A887" s="570" t="s">
        <v>2028</v>
      </c>
      <c r="B887" s="573" t="s">
        <v>2017</v>
      </c>
      <c r="C887" s="573" t="s">
        <v>278</v>
      </c>
      <c r="D887" s="578">
        <v>15</v>
      </c>
      <c r="E887" s="573" t="s">
        <v>1516</v>
      </c>
      <c r="F887" s="573" t="s">
        <v>1914</v>
      </c>
      <c r="G887" s="573" t="s">
        <v>271</v>
      </c>
      <c r="H887" s="573">
        <v>2019</v>
      </c>
      <c r="I887" s="573" t="s">
        <v>1915</v>
      </c>
      <c r="J887" s="573" t="s">
        <v>2014</v>
      </c>
      <c r="K887" s="573" t="s">
        <v>236</v>
      </c>
      <c r="L887" s="573">
        <v>2</v>
      </c>
      <c r="M887" s="573">
        <v>0</v>
      </c>
      <c r="N887" s="573" t="s">
        <v>157</v>
      </c>
      <c r="O887" s="573">
        <v>1</v>
      </c>
      <c r="P887" s="573">
        <v>83.2</v>
      </c>
      <c r="Q887" s="571" t="s">
        <v>157</v>
      </c>
      <c r="R887" s="573" t="s">
        <v>1259</v>
      </c>
      <c r="S887" s="573">
        <v>6</v>
      </c>
      <c r="T887" s="573" t="s">
        <v>2015</v>
      </c>
      <c r="U887" s="573" t="s">
        <v>1894</v>
      </c>
      <c r="V887" s="573">
        <v>147.6</v>
      </c>
      <c r="W887" s="573">
        <v>25</v>
      </c>
      <c r="X887" s="571">
        <v>8600</v>
      </c>
      <c r="Y887" s="573">
        <v>16</v>
      </c>
      <c r="Z887" s="579" t="s">
        <v>178</v>
      </c>
      <c r="AA887" s="579" t="s">
        <v>178</v>
      </c>
      <c r="AB887" s="584">
        <v>37270</v>
      </c>
      <c r="AC887" s="584" t="s">
        <v>164</v>
      </c>
      <c r="AD887" s="584">
        <v>26200</v>
      </c>
      <c r="AE887" s="586">
        <v>0.01</v>
      </c>
      <c r="AF887" s="661" t="str">
        <f t="shared" si="94"/>
        <v>2019-LVN-FRD-T15V-022-15</v>
      </c>
      <c r="AG887" s="661" t="str">
        <f>IF(AND($Y887&gt;=32,(AI887="I"),(Y887&lt;&gt;"~"),(COUNTIF($AN$1:$AN887,$AN887)=1)),"TRUE","FALSE")</f>
        <v>FALSE</v>
      </c>
      <c r="AH887" s="661" t="str">
        <f>IF(AND($Y887&gt;=22, (AI887&lt;&gt;"I"),(Y887&lt;&gt;"~"),(COUNTIF($AN$1:$AN887,$AN887)=1)),"TRUE","FALSE")</f>
        <v>FALSE</v>
      </c>
      <c r="AI887" s="661" t="str">
        <f t="shared" si="96"/>
        <v>II</v>
      </c>
      <c r="AJ887" s="662" t="str">
        <f t="shared" si="90"/>
        <v>T15V-022</v>
      </c>
      <c r="AK887" s="662" t="str">
        <f t="shared" si="91"/>
        <v>LVN</v>
      </c>
      <c r="AL887" s="662" t="str">
        <f t="shared" si="92"/>
        <v>FRD</v>
      </c>
      <c r="AM887" s="662" t="str">
        <f t="shared" si="95"/>
        <v>Transit 150 Van-Swing-Out RH Door-RWD-2-83.2-~-3.5L EcoBoost-6-E9Z-101A-147.6-25-Unleaded-Unleaded</v>
      </c>
      <c r="AN887" s="662" t="str">
        <f t="shared" si="93"/>
        <v>2019-LVN-FRD-T15V-022</v>
      </c>
    </row>
    <row r="888" spans="1:40" s="572" customFormat="1" ht="15">
      <c r="A888" s="570" t="s">
        <v>2029</v>
      </c>
      <c r="B888" s="569" t="s">
        <v>2019</v>
      </c>
      <c r="C888" s="569" t="s">
        <v>278</v>
      </c>
      <c r="D888" s="580">
        <v>15</v>
      </c>
      <c r="E888" s="569" t="s">
        <v>1516</v>
      </c>
      <c r="F888" s="569" t="s">
        <v>1914</v>
      </c>
      <c r="G888" s="569" t="s">
        <v>271</v>
      </c>
      <c r="H888" s="569">
        <v>2019</v>
      </c>
      <c r="I888" s="569" t="s">
        <v>1915</v>
      </c>
      <c r="J888" s="569" t="s">
        <v>2014</v>
      </c>
      <c r="K888" s="569" t="s">
        <v>236</v>
      </c>
      <c r="L888" s="569">
        <v>2</v>
      </c>
      <c r="M888" s="569">
        <v>0</v>
      </c>
      <c r="N888" s="569" t="s">
        <v>157</v>
      </c>
      <c r="O888" s="569">
        <v>1</v>
      </c>
      <c r="P888" s="569">
        <v>83.2</v>
      </c>
      <c r="Q888" s="568" t="s">
        <v>157</v>
      </c>
      <c r="R888" s="569" t="s">
        <v>682</v>
      </c>
      <c r="S888" s="569">
        <v>6</v>
      </c>
      <c r="T888" s="569" t="s">
        <v>2015</v>
      </c>
      <c r="U888" s="569" t="s">
        <v>1894</v>
      </c>
      <c r="V888" s="569">
        <v>147.6</v>
      </c>
      <c r="W888" s="569">
        <v>25</v>
      </c>
      <c r="X888" s="568">
        <v>8600</v>
      </c>
      <c r="Y888" s="573">
        <v>16</v>
      </c>
      <c r="Z888" s="581" t="s">
        <v>178</v>
      </c>
      <c r="AA888" s="581" t="s">
        <v>178</v>
      </c>
      <c r="AB888" s="585">
        <v>35405</v>
      </c>
      <c r="AC888" s="585" t="s">
        <v>164</v>
      </c>
      <c r="AD888" s="585">
        <v>24600</v>
      </c>
      <c r="AE888" s="587">
        <v>0.01</v>
      </c>
      <c r="AF888" s="661" t="str">
        <f t="shared" si="94"/>
        <v>2019-LVN-FRD-T15V-023-15</v>
      </c>
      <c r="AG888" s="661" t="str">
        <f>IF(AND($Y888&gt;=32,(AI888="I"),(Y888&lt;&gt;"~"),(COUNTIF($AN$1:$AN888,$AN888)=1)),"TRUE","FALSE")</f>
        <v>FALSE</v>
      </c>
      <c r="AH888" s="661" t="str">
        <f>IF(AND($Y888&gt;=22, (AI888&lt;&gt;"I"),(Y888&lt;&gt;"~"),(COUNTIF($AN$1:$AN888,$AN888)=1)),"TRUE","FALSE")</f>
        <v>FALSE</v>
      </c>
      <c r="AI888" s="661" t="str">
        <f t="shared" si="96"/>
        <v>II</v>
      </c>
      <c r="AJ888" s="662" t="str">
        <f t="shared" si="90"/>
        <v>T15V-023</v>
      </c>
      <c r="AK888" s="662" t="str">
        <f t="shared" si="91"/>
        <v>LVN</v>
      </c>
      <c r="AL888" s="662" t="str">
        <f t="shared" si="92"/>
        <v>FRD</v>
      </c>
      <c r="AM888" s="662" t="str">
        <f t="shared" si="95"/>
        <v>Transit 150 Van-Swing-Out RH Door-RWD-2-83.2-~-3.7L-6-E9Z-101A-147.6-25-Unleaded-Unleaded</v>
      </c>
      <c r="AN888" s="662" t="str">
        <f t="shared" si="93"/>
        <v>2019-LVN-FRD-T15V-023</v>
      </c>
    </row>
    <row r="889" spans="1:40" s="572" customFormat="1" ht="15">
      <c r="A889" s="570" t="s">
        <v>2030</v>
      </c>
      <c r="B889" s="573" t="s">
        <v>2021</v>
      </c>
      <c r="C889" s="573" t="s">
        <v>278</v>
      </c>
      <c r="D889" s="578">
        <v>15</v>
      </c>
      <c r="E889" s="573" t="s">
        <v>1516</v>
      </c>
      <c r="F889" s="573" t="s">
        <v>1914</v>
      </c>
      <c r="G889" s="573" t="s">
        <v>271</v>
      </c>
      <c r="H889" s="573">
        <v>2019</v>
      </c>
      <c r="I889" s="573" t="s">
        <v>1915</v>
      </c>
      <c r="J889" s="573" t="s">
        <v>2014</v>
      </c>
      <c r="K889" s="573" t="s">
        <v>236</v>
      </c>
      <c r="L889" s="573">
        <v>2</v>
      </c>
      <c r="M889" s="573">
        <v>0</v>
      </c>
      <c r="N889" s="573" t="s">
        <v>157</v>
      </c>
      <c r="O889" s="573">
        <v>1</v>
      </c>
      <c r="P889" s="573">
        <v>83.6</v>
      </c>
      <c r="Q889" s="571" t="s">
        <v>157</v>
      </c>
      <c r="R889" s="573" t="s">
        <v>1917</v>
      </c>
      <c r="S889" s="573">
        <v>5</v>
      </c>
      <c r="T889" s="573" t="s">
        <v>2022</v>
      </c>
      <c r="U889" s="573" t="s">
        <v>1894</v>
      </c>
      <c r="V889" s="573">
        <v>129.9</v>
      </c>
      <c r="W889" s="573">
        <v>25</v>
      </c>
      <c r="X889" s="571">
        <v>8600</v>
      </c>
      <c r="Y889" s="573">
        <v>16</v>
      </c>
      <c r="Z889" s="579" t="s">
        <v>728</v>
      </c>
      <c r="AA889" s="579" t="s">
        <v>1523</v>
      </c>
      <c r="AB889" s="584">
        <v>38525</v>
      </c>
      <c r="AC889" s="584" t="s">
        <v>164</v>
      </c>
      <c r="AD889" s="584">
        <v>27350</v>
      </c>
      <c r="AE889" s="586">
        <v>0.01</v>
      </c>
      <c r="AF889" s="661" t="str">
        <f t="shared" si="94"/>
        <v>2019-LVN-FRD-T15V-025-15</v>
      </c>
      <c r="AG889" s="661" t="str">
        <f>IF(AND($Y889&gt;=32,(AI889="I"),(Y889&lt;&gt;"~"),(COUNTIF($AN$1:$AN889,$AN889)=1)),"TRUE","FALSE")</f>
        <v>FALSE</v>
      </c>
      <c r="AH889" s="661" t="str">
        <f>IF(AND($Y889&gt;=22, (AI889&lt;&gt;"I"),(Y889&lt;&gt;"~"),(COUNTIF($AN$1:$AN889,$AN889)=1)),"TRUE","FALSE")</f>
        <v>FALSE</v>
      </c>
      <c r="AI889" s="661" t="str">
        <f t="shared" si="96"/>
        <v>II</v>
      </c>
      <c r="AJ889" s="662" t="str">
        <f t="shared" si="90"/>
        <v>T15V-025</v>
      </c>
      <c r="AK889" s="662" t="str">
        <f t="shared" si="91"/>
        <v>LVN</v>
      </c>
      <c r="AL889" s="662" t="str">
        <f t="shared" si="92"/>
        <v>FRD</v>
      </c>
      <c r="AM889" s="662" t="str">
        <f t="shared" si="95"/>
        <v>Transit 150 Van-Swing-Out RH Door-RWD-2-83.6-~-3.2L-5-E1Z-101A-129.9-25-Diesel-BioDiesel</v>
      </c>
      <c r="AN889" s="662" t="str">
        <f t="shared" si="93"/>
        <v>2019-LVN-FRD-T15V-025</v>
      </c>
    </row>
    <row r="890" spans="1:40" s="572" customFormat="1" ht="15">
      <c r="A890" s="570" t="s">
        <v>2031</v>
      </c>
      <c r="B890" s="569" t="s">
        <v>2024</v>
      </c>
      <c r="C890" s="569" t="s">
        <v>278</v>
      </c>
      <c r="D890" s="580">
        <v>15</v>
      </c>
      <c r="E890" s="569" t="s">
        <v>1516</v>
      </c>
      <c r="F890" s="569" t="s">
        <v>1914</v>
      </c>
      <c r="G890" s="569" t="s">
        <v>271</v>
      </c>
      <c r="H890" s="569">
        <v>2019</v>
      </c>
      <c r="I890" s="569" t="s">
        <v>1915</v>
      </c>
      <c r="J890" s="569" t="s">
        <v>2014</v>
      </c>
      <c r="K890" s="569" t="s">
        <v>236</v>
      </c>
      <c r="L890" s="569">
        <v>2</v>
      </c>
      <c r="M890" s="569">
        <v>0</v>
      </c>
      <c r="N890" s="569" t="s">
        <v>157</v>
      </c>
      <c r="O890" s="569">
        <v>1</v>
      </c>
      <c r="P890" s="569">
        <v>83.6</v>
      </c>
      <c r="Q890" s="568" t="s">
        <v>157</v>
      </c>
      <c r="R890" s="569" t="s">
        <v>1259</v>
      </c>
      <c r="S890" s="569">
        <v>6</v>
      </c>
      <c r="T890" s="569" t="s">
        <v>2022</v>
      </c>
      <c r="U890" s="569" t="s">
        <v>1894</v>
      </c>
      <c r="V890" s="569">
        <v>129.9</v>
      </c>
      <c r="W890" s="569">
        <v>25</v>
      </c>
      <c r="X890" s="568">
        <v>8600</v>
      </c>
      <c r="Y890" s="573">
        <v>16</v>
      </c>
      <c r="Z890" s="581" t="s">
        <v>178</v>
      </c>
      <c r="AA890" s="581" t="s">
        <v>178</v>
      </c>
      <c r="AB890" s="585">
        <v>36395</v>
      </c>
      <c r="AC890" s="585" t="s">
        <v>164</v>
      </c>
      <c r="AD890" s="585">
        <v>25400</v>
      </c>
      <c r="AE890" s="587">
        <v>0.01</v>
      </c>
      <c r="AF890" s="661" t="str">
        <f t="shared" si="94"/>
        <v>2019-LVN-FRD-T15V-026-15</v>
      </c>
      <c r="AG890" s="661" t="str">
        <f>IF(AND($Y890&gt;=32,(AI890="I"),(Y890&lt;&gt;"~"),(COUNTIF($AN$1:$AN890,$AN890)=1)),"TRUE","FALSE")</f>
        <v>FALSE</v>
      </c>
      <c r="AH890" s="661" t="str">
        <f>IF(AND($Y890&gt;=22, (AI890&lt;&gt;"I"),(Y890&lt;&gt;"~"),(COUNTIF($AN$1:$AN890,$AN890)=1)),"TRUE","FALSE")</f>
        <v>FALSE</v>
      </c>
      <c r="AI890" s="661" t="str">
        <f t="shared" si="96"/>
        <v>II</v>
      </c>
      <c r="AJ890" s="662" t="str">
        <f t="shared" si="90"/>
        <v>T15V-026</v>
      </c>
      <c r="AK890" s="662" t="str">
        <f t="shared" si="91"/>
        <v>LVN</v>
      </c>
      <c r="AL890" s="662" t="str">
        <f t="shared" si="92"/>
        <v>FRD</v>
      </c>
      <c r="AM890" s="662" t="str">
        <f t="shared" si="95"/>
        <v>Transit 150 Van-Swing-Out RH Door-RWD-2-83.6-~-3.5L EcoBoost-6-E1Z-101A-129.9-25-Unleaded-Unleaded</v>
      </c>
      <c r="AN890" s="662" t="str">
        <f t="shared" si="93"/>
        <v>2019-LVN-FRD-T15V-026</v>
      </c>
    </row>
    <row r="891" spans="1:40" s="572" customFormat="1" ht="15">
      <c r="A891" s="570" t="s">
        <v>2032</v>
      </c>
      <c r="B891" s="573" t="s">
        <v>2026</v>
      </c>
      <c r="C891" s="573" t="s">
        <v>278</v>
      </c>
      <c r="D891" s="578">
        <v>15</v>
      </c>
      <c r="E891" s="573" t="s">
        <v>1516</v>
      </c>
      <c r="F891" s="573" t="s">
        <v>1914</v>
      </c>
      <c r="G891" s="573" t="s">
        <v>271</v>
      </c>
      <c r="H891" s="573">
        <v>2019</v>
      </c>
      <c r="I891" s="573" t="s">
        <v>1915</v>
      </c>
      <c r="J891" s="573" t="s">
        <v>2014</v>
      </c>
      <c r="K891" s="573" t="s">
        <v>236</v>
      </c>
      <c r="L891" s="573">
        <v>2</v>
      </c>
      <c r="M891" s="573">
        <v>0</v>
      </c>
      <c r="N891" s="573" t="s">
        <v>157</v>
      </c>
      <c r="O891" s="573">
        <v>1</v>
      </c>
      <c r="P891" s="573">
        <v>83.6</v>
      </c>
      <c r="Q891" s="571" t="s">
        <v>157</v>
      </c>
      <c r="R891" s="573" t="s">
        <v>682</v>
      </c>
      <c r="S891" s="573">
        <v>6</v>
      </c>
      <c r="T891" s="573" t="s">
        <v>2022</v>
      </c>
      <c r="U891" s="573" t="s">
        <v>1894</v>
      </c>
      <c r="V891" s="573">
        <v>129.9</v>
      </c>
      <c r="W891" s="573">
        <v>25</v>
      </c>
      <c r="X891" s="571">
        <v>8600</v>
      </c>
      <c r="Y891" s="573">
        <v>16</v>
      </c>
      <c r="Z891" s="579" t="s">
        <v>178</v>
      </c>
      <c r="AA891" s="579" t="s">
        <v>178</v>
      </c>
      <c r="AB891" s="584">
        <v>34530</v>
      </c>
      <c r="AC891" s="584" t="s">
        <v>164</v>
      </c>
      <c r="AD891" s="584">
        <v>23700</v>
      </c>
      <c r="AE891" s="586">
        <v>0.01</v>
      </c>
      <c r="AF891" s="661" t="str">
        <f t="shared" si="94"/>
        <v>2019-LVN-FRD-T15V-027-15</v>
      </c>
      <c r="AG891" s="661" t="str">
        <f>IF(AND($Y891&gt;=32,(AI891="I"),(Y891&lt;&gt;"~"),(COUNTIF($AN$1:$AN891,$AN891)=1)),"TRUE","FALSE")</f>
        <v>FALSE</v>
      </c>
      <c r="AH891" s="661" t="str">
        <f>IF(AND($Y891&gt;=22, (AI891&lt;&gt;"I"),(Y891&lt;&gt;"~"),(COUNTIF($AN$1:$AN891,$AN891)=1)),"TRUE","FALSE")</f>
        <v>FALSE</v>
      </c>
      <c r="AI891" s="661" t="str">
        <f t="shared" si="96"/>
        <v>II</v>
      </c>
      <c r="AJ891" s="662" t="str">
        <f t="shared" si="90"/>
        <v>T15V-027</v>
      </c>
      <c r="AK891" s="662" t="str">
        <f t="shared" si="91"/>
        <v>LVN</v>
      </c>
      <c r="AL891" s="662" t="str">
        <f t="shared" si="92"/>
        <v>FRD</v>
      </c>
      <c r="AM891" s="662" t="str">
        <f t="shared" si="95"/>
        <v>Transit 150 Van-Swing-Out RH Door-RWD-2-83.6-~-3.7L-6-E1Z-101A-129.9-25-Unleaded-Unleaded</v>
      </c>
      <c r="AN891" s="662" t="str">
        <f t="shared" si="93"/>
        <v>2019-LVN-FRD-T15V-027</v>
      </c>
    </row>
    <row r="892" spans="1:40" s="572" customFormat="1" ht="15">
      <c r="A892" s="570" t="s">
        <v>2033</v>
      </c>
      <c r="B892" s="569" t="s">
        <v>2013</v>
      </c>
      <c r="C892" s="569" t="s">
        <v>287</v>
      </c>
      <c r="D892" s="580">
        <v>26</v>
      </c>
      <c r="E892" s="569" t="s">
        <v>1516</v>
      </c>
      <c r="F892" s="569" t="s">
        <v>1914</v>
      </c>
      <c r="G892" s="569" t="s">
        <v>271</v>
      </c>
      <c r="H892" s="569">
        <v>2019</v>
      </c>
      <c r="I892" s="569" t="s">
        <v>1915</v>
      </c>
      <c r="J892" s="569" t="s">
        <v>2014</v>
      </c>
      <c r="K892" s="569" t="s">
        <v>236</v>
      </c>
      <c r="L892" s="569">
        <v>2</v>
      </c>
      <c r="M892" s="569">
        <v>0</v>
      </c>
      <c r="N892" s="569" t="s">
        <v>157</v>
      </c>
      <c r="O892" s="569">
        <v>1</v>
      </c>
      <c r="P892" s="569">
        <v>83.2</v>
      </c>
      <c r="Q892" s="568" t="s">
        <v>157</v>
      </c>
      <c r="R892" s="569" t="s">
        <v>1917</v>
      </c>
      <c r="S892" s="569">
        <v>5</v>
      </c>
      <c r="T892" s="569" t="s">
        <v>2015</v>
      </c>
      <c r="U892" s="569" t="s">
        <v>1894</v>
      </c>
      <c r="V892" s="569">
        <v>147.6</v>
      </c>
      <c r="W892" s="569">
        <v>25</v>
      </c>
      <c r="X892" s="568">
        <v>8600</v>
      </c>
      <c r="Y892" s="573">
        <v>16</v>
      </c>
      <c r="Z892" s="581" t="s">
        <v>728</v>
      </c>
      <c r="AA892" s="581" t="s">
        <v>1523</v>
      </c>
      <c r="AB892" s="585">
        <v>38400</v>
      </c>
      <c r="AC892" s="585" t="s">
        <v>164</v>
      </c>
      <c r="AD892" s="585">
        <v>28670</v>
      </c>
      <c r="AE892" s="587">
        <v>0.05</v>
      </c>
      <c r="AF892" s="661" t="str">
        <f t="shared" si="94"/>
        <v>2019-LVN-FRD-T15V-021-26</v>
      </c>
      <c r="AG892" s="661" t="str">
        <f>IF(AND($Y892&gt;=32,(AI892="I"),(Y892&lt;&gt;"~"),(COUNTIF($AN$1:$AN892,$AN892)=1)),"TRUE","FALSE")</f>
        <v>FALSE</v>
      </c>
      <c r="AH892" s="661" t="str">
        <f>IF(AND($Y892&gt;=22, (AI892&lt;&gt;"I"),(Y892&lt;&gt;"~"),(COUNTIF($AN$1:$AN892,$AN892)=1)),"TRUE","FALSE")</f>
        <v>FALSE</v>
      </c>
      <c r="AI892" s="661" t="str">
        <f t="shared" si="96"/>
        <v>II</v>
      </c>
      <c r="AJ892" s="662" t="str">
        <f t="shared" si="90"/>
        <v>T15V-021</v>
      </c>
      <c r="AK892" s="662" t="str">
        <f t="shared" si="91"/>
        <v>LVN</v>
      </c>
      <c r="AL892" s="662" t="str">
        <f t="shared" si="92"/>
        <v>FRD</v>
      </c>
      <c r="AM892" s="662" t="str">
        <f t="shared" si="95"/>
        <v>Transit 150 Van-Swing-Out RH Door-RWD-2-83.2-~-3.2L-5-E9Z-101A-147.6-25-Diesel-BioDiesel</v>
      </c>
      <c r="AN892" s="662" t="str">
        <f t="shared" si="93"/>
        <v>2019-LVN-FRD-T15V-021</v>
      </c>
    </row>
    <row r="893" spans="1:40" s="572" customFormat="1" ht="15">
      <c r="A893" s="570" t="s">
        <v>2034</v>
      </c>
      <c r="B893" s="573" t="s">
        <v>2017</v>
      </c>
      <c r="C893" s="573" t="s">
        <v>287</v>
      </c>
      <c r="D893" s="578">
        <v>26</v>
      </c>
      <c r="E893" s="573" t="s">
        <v>1516</v>
      </c>
      <c r="F893" s="573" t="s">
        <v>1914</v>
      </c>
      <c r="G893" s="573" t="s">
        <v>271</v>
      </c>
      <c r="H893" s="573">
        <v>2019</v>
      </c>
      <c r="I893" s="573" t="s">
        <v>1915</v>
      </c>
      <c r="J893" s="573" t="s">
        <v>2014</v>
      </c>
      <c r="K893" s="573" t="s">
        <v>236</v>
      </c>
      <c r="L893" s="573">
        <v>2</v>
      </c>
      <c r="M893" s="573">
        <v>0</v>
      </c>
      <c r="N893" s="573" t="s">
        <v>157</v>
      </c>
      <c r="O893" s="573">
        <v>1</v>
      </c>
      <c r="P893" s="573">
        <v>83.2</v>
      </c>
      <c r="Q893" s="571" t="s">
        <v>157</v>
      </c>
      <c r="R893" s="573" t="s">
        <v>1259</v>
      </c>
      <c r="S893" s="573">
        <v>6</v>
      </c>
      <c r="T893" s="573" t="s">
        <v>2015</v>
      </c>
      <c r="U893" s="573" t="s">
        <v>1894</v>
      </c>
      <c r="V893" s="573">
        <v>147.6</v>
      </c>
      <c r="W893" s="573">
        <v>25</v>
      </c>
      <c r="X893" s="571">
        <v>8600</v>
      </c>
      <c r="Y893" s="573">
        <v>16</v>
      </c>
      <c r="Z893" s="579" t="s">
        <v>178</v>
      </c>
      <c r="AA893" s="579" t="s">
        <v>178</v>
      </c>
      <c r="AB893" s="584">
        <v>37270</v>
      </c>
      <c r="AC893" s="584" t="s">
        <v>164</v>
      </c>
      <c r="AD893" s="584">
        <v>26717</v>
      </c>
      <c r="AE893" s="586">
        <v>0.05</v>
      </c>
      <c r="AF893" s="661" t="str">
        <f t="shared" si="94"/>
        <v>2019-LVN-FRD-T15V-022-26</v>
      </c>
      <c r="AG893" s="661" t="str">
        <f>IF(AND($Y893&gt;=32,(AI893="I"),(Y893&lt;&gt;"~"),(COUNTIF($AN$1:$AN893,$AN893)=1)),"TRUE","FALSE")</f>
        <v>FALSE</v>
      </c>
      <c r="AH893" s="661" t="str">
        <f>IF(AND($Y893&gt;=22, (AI893&lt;&gt;"I"),(Y893&lt;&gt;"~"),(COUNTIF($AN$1:$AN893,$AN893)=1)),"TRUE","FALSE")</f>
        <v>FALSE</v>
      </c>
      <c r="AI893" s="661" t="str">
        <f t="shared" si="96"/>
        <v>II</v>
      </c>
      <c r="AJ893" s="662" t="str">
        <f t="shared" si="90"/>
        <v>T15V-022</v>
      </c>
      <c r="AK893" s="662" t="str">
        <f t="shared" si="91"/>
        <v>LVN</v>
      </c>
      <c r="AL893" s="662" t="str">
        <f t="shared" si="92"/>
        <v>FRD</v>
      </c>
      <c r="AM893" s="662" t="str">
        <f t="shared" si="95"/>
        <v>Transit 150 Van-Swing-Out RH Door-RWD-2-83.2-~-3.5L EcoBoost-6-E9Z-101A-147.6-25-Unleaded-Unleaded</v>
      </c>
      <c r="AN893" s="662" t="str">
        <f t="shared" si="93"/>
        <v>2019-LVN-FRD-T15V-022</v>
      </c>
    </row>
    <row r="894" spans="1:40" s="572" customFormat="1" ht="15">
      <c r="A894" s="570" t="s">
        <v>2035</v>
      </c>
      <c r="B894" s="569" t="s">
        <v>2019</v>
      </c>
      <c r="C894" s="569" t="s">
        <v>287</v>
      </c>
      <c r="D894" s="580">
        <v>26</v>
      </c>
      <c r="E894" s="569" t="s">
        <v>1516</v>
      </c>
      <c r="F894" s="569" t="s">
        <v>1914</v>
      </c>
      <c r="G894" s="569" t="s">
        <v>271</v>
      </c>
      <c r="H894" s="569">
        <v>2019</v>
      </c>
      <c r="I894" s="569" t="s">
        <v>1915</v>
      </c>
      <c r="J894" s="569" t="s">
        <v>2014</v>
      </c>
      <c r="K894" s="569" t="s">
        <v>236</v>
      </c>
      <c r="L894" s="569">
        <v>2</v>
      </c>
      <c r="M894" s="569">
        <v>0</v>
      </c>
      <c r="N894" s="569" t="s">
        <v>157</v>
      </c>
      <c r="O894" s="569">
        <v>1</v>
      </c>
      <c r="P894" s="569">
        <v>83.2</v>
      </c>
      <c r="Q894" s="568" t="s">
        <v>157</v>
      </c>
      <c r="R894" s="569" t="s">
        <v>682</v>
      </c>
      <c r="S894" s="569">
        <v>6</v>
      </c>
      <c r="T894" s="569" t="s">
        <v>2015</v>
      </c>
      <c r="U894" s="569" t="s">
        <v>1894</v>
      </c>
      <c r="V894" s="569">
        <v>147.6</v>
      </c>
      <c r="W894" s="569">
        <v>25</v>
      </c>
      <c r="X894" s="568">
        <v>8600</v>
      </c>
      <c r="Y894" s="573">
        <v>16</v>
      </c>
      <c r="Z894" s="581" t="s">
        <v>178</v>
      </c>
      <c r="AA894" s="581" t="s">
        <v>178</v>
      </c>
      <c r="AB894" s="585">
        <v>35405</v>
      </c>
      <c r="AC894" s="585" t="s">
        <v>164</v>
      </c>
      <c r="AD894" s="585">
        <v>25007</v>
      </c>
      <c r="AE894" s="587">
        <v>0.05</v>
      </c>
      <c r="AF894" s="661" t="str">
        <f t="shared" si="94"/>
        <v>2019-LVN-FRD-T15V-023-26</v>
      </c>
      <c r="AG894" s="661" t="str">
        <f>IF(AND($Y894&gt;=32,(AI894="I"),(Y894&lt;&gt;"~"),(COUNTIF($AN$1:$AN894,$AN894)=1)),"TRUE","FALSE")</f>
        <v>FALSE</v>
      </c>
      <c r="AH894" s="661" t="str">
        <f>IF(AND($Y894&gt;=22, (AI894&lt;&gt;"I"),(Y894&lt;&gt;"~"),(COUNTIF($AN$1:$AN894,$AN894)=1)),"TRUE","FALSE")</f>
        <v>FALSE</v>
      </c>
      <c r="AI894" s="661" t="str">
        <f t="shared" si="96"/>
        <v>II</v>
      </c>
      <c r="AJ894" s="662" t="str">
        <f t="shared" si="90"/>
        <v>T15V-023</v>
      </c>
      <c r="AK894" s="662" t="str">
        <f t="shared" si="91"/>
        <v>LVN</v>
      </c>
      <c r="AL894" s="662" t="str">
        <f t="shared" si="92"/>
        <v>FRD</v>
      </c>
      <c r="AM894" s="662" t="str">
        <f t="shared" si="95"/>
        <v>Transit 150 Van-Swing-Out RH Door-RWD-2-83.2-~-3.7L-6-E9Z-101A-147.6-25-Unleaded-Unleaded</v>
      </c>
      <c r="AN894" s="662" t="str">
        <f t="shared" si="93"/>
        <v>2019-LVN-FRD-T15V-023</v>
      </c>
    </row>
    <row r="895" spans="1:40" s="572" customFormat="1" ht="15">
      <c r="A895" s="570" t="s">
        <v>2036</v>
      </c>
      <c r="B895" s="573" t="s">
        <v>2021</v>
      </c>
      <c r="C895" s="573" t="s">
        <v>287</v>
      </c>
      <c r="D895" s="578">
        <v>26</v>
      </c>
      <c r="E895" s="573" t="s">
        <v>1516</v>
      </c>
      <c r="F895" s="573" t="s">
        <v>1914</v>
      </c>
      <c r="G895" s="573" t="s">
        <v>271</v>
      </c>
      <c r="H895" s="573">
        <v>2019</v>
      </c>
      <c r="I895" s="573" t="s">
        <v>1915</v>
      </c>
      <c r="J895" s="573" t="s">
        <v>2014</v>
      </c>
      <c r="K895" s="573" t="s">
        <v>236</v>
      </c>
      <c r="L895" s="573">
        <v>2</v>
      </c>
      <c r="M895" s="573">
        <v>0</v>
      </c>
      <c r="N895" s="573" t="s">
        <v>157</v>
      </c>
      <c r="O895" s="573">
        <v>1</v>
      </c>
      <c r="P895" s="573">
        <v>83.6</v>
      </c>
      <c r="Q895" s="571" t="s">
        <v>157</v>
      </c>
      <c r="R895" s="573" t="s">
        <v>1917</v>
      </c>
      <c r="S895" s="573">
        <v>5</v>
      </c>
      <c r="T895" s="573" t="s">
        <v>2022</v>
      </c>
      <c r="U895" s="573" t="s">
        <v>1894</v>
      </c>
      <c r="V895" s="573">
        <v>129.9</v>
      </c>
      <c r="W895" s="573">
        <v>25</v>
      </c>
      <c r="X895" s="571">
        <v>8600</v>
      </c>
      <c r="Y895" s="573">
        <v>16</v>
      </c>
      <c r="Z895" s="579" t="s">
        <v>728</v>
      </c>
      <c r="AA895" s="579" t="s">
        <v>1523</v>
      </c>
      <c r="AB895" s="584">
        <v>38525</v>
      </c>
      <c r="AC895" s="584" t="s">
        <v>164</v>
      </c>
      <c r="AD895" s="584">
        <v>27846</v>
      </c>
      <c r="AE895" s="586">
        <v>0.05</v>
      </c>
      <c r="AF895" s="661" t="str">
        <f t="shared" si="94"/>
        <v>2019-LVN-FRD-T15V-025-26</v>
      </c>
      <c r="AG895" s="661" t="str">
        <f>IF(AND($Y895&gt;=32,(AI895="I"),(Y895&lt;&gt;"~"),(COUNTIF($AN$1:$AN895,$AN895)=1)),"TRUE","FALSE")</f>
        <v>FALSE</v>
      </c>
      <c r="AH895" s="661" t="str">
        <f>IF(AND($Y895&gt;=22, (AI895&lt;&gt;"I"),(Y895&lt;&gt;"~"),(COUNTIF($AN$1:$AN895,$AN895)=1)),"TRUE","FALSE")</f>
        <v>FALSE</v>
      </c>
      <c r="AI895" s="661" t="str">
        <f t="shared" si="96"/>
        <v>II</v>
      </c>
      <c r="AJ895" s="662" t="str">
        <f t="shared" si="90"/>
        <v>T15V-025</v>
      </c>
      <c r="AK895" s="662" t="str">
        <f t="shared" si="91"/>
        <v>LVN</v>
      </c>
      <c r="AL895" s="662" t="str">
        <f t="shared" si="92"/>
        <v>FRD</v>
      </c>
      <c r="AM895" s="662" t="str">
        <f t="shared" si="95"/>
        <v>Transit 150 Van-Swing-Out RH Door-RWD-2-83.6-~-3.2L-5-E1Z-101A-129.9-25-Diesel-BioDiesel</v>
      </c>
      <c r="AN895" s="662" t="str">
        <f t="shared" si="93"/>
        <v>2019-LVN-FRD-T15V-025</v>
      </c>
    </row>
    <row r="896" spans="1:40" s="572" customFormat="1" ht="15">
      <c r="A896" s="570" t="s">
        <v>2037</v>
      </c>
      <c r="B896" s="569" t="s">
        <v>2024</v>
      </c>
      <c r="C896" s="569" t="s">
        <v>287</v>
      </c>
      <c r="D896" s="580">
        <v>26</v>
      </c>
      <c r="E896" s="569" t="s">
        <v>1516</v>
      </c>
      <c r="F896" s="569" t="s">
        <v>1914</v>
      </c>
      <c r="G896" s="569" t="s">
        <v>271</v>
      </c>
      <c r="H896" s="569">
        <v>2019</v>
      </c>
      <c r="I896" s="569" t="s">
        <v>1915</v>
      </c>
      <c r="J896" s="569" t="s">
        <v>2014</v>
      </c>
      <c r="K896" s="569" t="s">
        <v>236</v>
      </c>
      <c r="L896" s="569">
        <v>2</v>
      </c>
      <c r="M896" s="569">
        <v>0</v>
      </c>
      <c r="N896" s="569" t="s">
        <v>157</v>
      </c>
      <c r="O896" s="569">
        <v>1</v>
      </c>
      <c r="P896" s="569">
        <v>83.6</v>
      </c>
      <c r="Q896" s="568" t="s">
        <v>157</v>
      </c>
      <c r="R896" s="569" t="s">
        <v>1259</v>
      </c>
      <c r="S896" s="569">
        <v>6</v>
      </c>
      <c r="T896" s="569" t="s">
        <v>2022</v>
      </c>
      <c r="U896" s="569" t="s">
        <v>1894</v>
      </c>
      <c r="V896" s="569">
        <v>129.9</v>
      </c>
      <c r="W896" s="569">
        <v>25</v>
      </c>
      <c r="X896" s="568">
        <v>8600</v>
      </c>
      <c r="Y896" s="573">
        <v>16</v>
      </c>
      <c r="Z896" s="581" t="s">
        <v>178</v>
      </c>
      <c r="AA896" s="581" t="s">
        <v>178</v>
      </c>
      <c r="AB896" s="585">
        <v>36395</v>
      </c>
      <c r="AC896" s="585" t="s">
        <v>164</v>
      </c>
      <c r="AD896" s="585">
        <v>25891</v>
      </c>
      <c r="AE896" s="587">
        <v>0.05</v>
      </c>
      <c r="AF896" s="661" t="str">
        <f t="shared" si="94"/>
        <v>2019-LVN-FRD-T15V-026-26</v>
      </c>
      <c r="AG896" s="661" t="str">
        <f>IF(AND($Y896&gt;=32,(AI896="I"),(Y896&lt;&gt;"~"),(COUNTIF($AN$1:$AN896,$AN896)=1)),"TRUE","FALSE")</f>
        <v>FALSE</v>
      </c>
      <c r="AH896" s="661" t="str">
        <f>IF(AND($Y896&gt;=22, (AI896&lt;&gt;"I"),(Y896&lt;&gt;"~"),(COUNTIF($AN$1:$AN896,$AN896)=1)),"TRUE","FALSE")</f>
        <v>FALSE</v>
      </c>
      <c r="AI896" s="661" t="str">
        <f t="shared" si="96"/>
        <v>II</v>
      </c>
      <c r="AJ896" s="662" t="str">
        <f t="shared" si="90"/>
        <v>T15V-026</v>
      </c>
      <c r="AK896" s="662" t="str">
        <f t="shared" si="91"/>
        <v>LVN</v>
      </c>
      <c r="AL896" s="662" t="str">
        <f t="shared" si="92"/>
        <v>FRD</v>
      </c>
      <c r="AM896" s="662" t="str">
        <f t="shared" si="95"/>
        <v>Transit 150 Van-Swing-Out RH Door-RWD-2-83.6-~-3.5L EcoBoost-6-E1Z-101A-129.9-25-Unleaded-Unleaded</v>
      </c>
      <c r="AN896" s="662" t="str">
        <f t="shared" si="93"/>
        <v>2019-LVN-FRD-T15V-026</v>
      </c>
    </row>
    <row r="897" spans="1:40" s="572" customFormat="1" ht="15">
      <c r="A897" s="570" t="s">
        <v>2038</v>
      </c>
      <c r="B897" s="573" t="s">
        <v>2026</v>
      </c>
      <c r="C897" s="573" t="s">
        <v>287</v>
      </c>
      <c r="D897" s="578">
        <v>26</v>
      </c>
      <c r="E897" s="573" t="s">
        <v>1516</v>
      </c>
      <c r="F897" s="573" t="s">
        <v>1914</v>
      </c>
      <c r="G897" s="573" t="s">
        <v>271</v>
      </c>
      <c r="H897" s="573">
        <v>2019</v>
      </c>
      <c r="I897" s="573" t="s">
        <v>1915</v>
      </c>
      <c r="J897" s="573" t="s">
        <v>2014</v>
      </c>
      <c r="K897" s="573" t="s">
        <v>236</v>
      </c>
      <c r="L897" s="573">
        <v>2</v>
      </c>
      <c r="M897" s="573">
        <v>0</v>
      </c>
      <c r="N897" s="573" t="s">
        <v>157</v>
      </c>
      <c r="O897" s="573">
        <v>1</v>
      </c>
      <c r="P897" s="573">
        <v>83.6</v>
      </c>
      <c r="Q897" s="571" t="s">
        <v>157</v>
      </c>
      <c r="R897" s="573" t="s">
        <v>682</v>
      </c>
      <c r="S897" s="573">
        <v>6</v>
      </c>
      <c r="T897" s="573" t="s">
        <v>2022</v>
      </c>
      <c r="U897" s="573" t="s">
        <v>1894</v>
      </c>
      <c r="V897" s="573">
        <v>129.9</v>
      </c>
      <c r="W897" s="573">
        <v>25</v>
      </c>
      <c r="X897" s="571">
        <v>8600</v>
      </c>
      <c r="Y897" s="573">
        <v>16</v>
      </c>
      <c r="Z897" s="579" t="s">
        <v>178</v>
      </c>
      <c r="AA897" s="579" t="s">
        <v>178</v>
      </c>
      <c r="AB897" s="584">
        <v>34530</v>
      </c>
      <c r="AC897" s="584" t="s">
        <v>164</v>
      </c>
      <c r="AD897" s="584">
        <v>24180</v>
      </c>
      <c r="AE897" s="586">
        <v>0.05</v>
      </c>
      <c r="AF897" s="661" t="str">
        <f t="shared" si="94"/>
        <v>2019-LVN-FRD-T15V-027-26</v>
      </c>
      <c r="AG897" s="661" t="str">
        <f>IF(AND($Y897&gt;=32,(AI897="I"),(Y897&lt;&gt;"~"),(COUNTIF($AN$1:$AN897,$AN897)=1)),"TRUE","FALSE")</f>
        <v>FALSE</v>
      </c>
      <c r="AH897" s="661" t="str">
        <f>IF(AND($Y897&gt;=22, (AI897&lt;&gt;"I"),(Y897&lt;&gt;"~"),(COUNTIF($AN$1:$AN897,$AN897)=1)),"TRUE","FALSE")</f>
        <v>FALSE</v>
      </c>
      <c r="AI897" s="661" t="str">
        <f t="shared" si="96"/>
        <v>II</v>
      </c>
      <c r="AJ897" s="662" t="str">
        <f t="shared" si="90"/>
        <v>T15V-027</v>
      </c>
      <c r="AK897" s="662" t="str">
        <f t="shared" si="91"/>
        <v>LVN</v>
      </c>
      <c r="AL897" s="662" t="str">
        <f t="shared" si="92"/>
        <v>FRD</v>
      </c>
      <c r="AM897" s="662" t="str">
        <f t="shared" si="95"/>
        <v>Transit 150 Van-Swing-Out RH Door-RWD-2-83.6-~-3.7L-6-E1Z-101A-129.9-25-Unleaded-Unleaded</v>
      </c>
      <c r="AN897" s="662" t="str">
        <f t="shared" si="93"/>
        <v>2019-LVN-FRD-T15V-027</v>
      </c>
    </row>
    <row r="898" spans="1:40" s="572" customFormat="1" ht="15">
      <c r="A898" s="570" t="s">
        <v>2039</v>
      </c>
      <c r="B898" s="569" t="s">
        <v>2013</v>
      </c>
      <c r="C898" s="569" t="s">
        <v>280</v>
      </c>
      <c r="D898" s="580">
        <v>27</v>
      </c>
      <c r="E898" s="569" t="s">
        <v>1516</v>
      </c>
      <c r="F898" s="569" t="s">
        <v>1914</v>
      </c>
      <c r="G898" s="569" t="s">
        <v>271</v>
      </c>
      <c r="H898" s="569">
        <v>2019</v>
      </c>
      <c r="I898" s="569" t="s">
        <v>1915</v>
      </c>
      <c r="J898" s="569" t="s">
        <v>2014</v>
      </c>
      <c r="K898" s="569" t="s">
        <v>236</v>
      </c>
      <c r="L898" s="569">
        <v>2</v>
      </c>
      <c r="M898" s="569">
        <v>0</v>
      </c>
      <c r="N898" s="569" t="s">
        <v>157</v>
      </c>
      <c r="O898" s="569">
        <v>1</v>
      </c>
      <c r="P898" s="569">
        <v>83.2</v>
      </c>
      <c r="Q898" s="568" t="s">
        <v>157</v>
      </c>
      <c r="R898" s="569" t="s">
        <v>1917</v>
      </c>
      <c r="S898" s="569">
        <v>5</v>
      </c>
      <c r="T898" s="569" t="s">
        <v>2015</v>
      </c>
      <c r="U898" s="569" t="s">
        <v>1894</v>
      </c>
      <c r="V898" s="569">
        <v>147.6</v>
      </c>
      <c r="W898" s="569">
        <v>25</v>
      </c>
      <c r="X898" s="568">
        <v>8600</v>
      </c>
      <c r="Y898" s="573">
        <v>16</v>
      </c>
      <c r="Z898" s="581" t="s">
        <v>728</v>
      </c>
      <c r="AA898" s="581" t="s">
        <v>1523</v>
      </c>
      <c r="AB898" s="585">
        <v>39400</v>
      </c>
      <c r="AC898" s="585" t="s">
        <v>164</v>
      </c>
      <c r="AD898" s="585">
        <v>27671.083333333332</v>
      </c>
      <c r="AE898" s="587">
        <v>0.03</v>
      </c>
      <c r="AF898" s="661" t="str">
        <f t="shared" si="94"/>
        <v>2019-LVN-FRD-T15V-021-27</v>
      </c>
      <c r="AG898" s="661" t="str">
        <f>IF(AND($Y898&gt;=32,(AI898="I"),(Y898&lt;&gt;"~"),(COUNTIF($AN$1:$AN898,$AN898)=1)),"TRUE","FALSE")</f>
        <v>FALSE</v>
      </c>
      <c r="AH898" s="661" t="str">
        <f>IF(AND($Y898&gt;=22, (AI898&lt;&gt;"I"),(Y898&lt;&gt;"~"),(COUNTIF($AN$1:$AN898,$AN898)=1)),"TRUE","FALSE")</f>
        <v>FALSE</v>
      </c>
      <c r="AI898" s="661" t="str">
        <f t="shared" si="96"/>
        <v>II</v>
      </c>
      <c r="AJ898" s="662" t="str">
        <f t="shared" si="90"/>
        <v>T15V-021</v>
      </c>
      <c r="AK898" s="662" t="str">
        <f t="shared" si="91"/>
        <v>LVN</v>
      </c>
      <c r="AL898" s="662" t="str">
        <f t="shared" si="92"/>
        <v>FRD</v>
      </c>
      <c r="AM898" s="662" t="str">
        <f t="shared" si="95"/>
        <v>Transit 150 Van-Swing-Out RH Door-RWD-2-83.2-~-3.2L-5-E9Z-101A-147.6-25-Diesel-BioDiesel</v>
      </c>
      <c r="AN898" s="662" t="str">
        <f t="shared" si="93"/>
        <v>2019-LVN-FRD-T15V-021</v>
      </c>
    </row>
    <row r="899" spans="1:40" s="572" customFormat="1" ht="15">
      <c r="A899" s="570" t="s">
        <v>2040</v>
      </c>
      <c r="B899" s="573" t="s">
        <v>2017</v>
      </c>
      <c r="C899" s="573" t="s">
        <v>280</v>
      </c>
      <c r="D899" s="578">
        <v>27</v>
      </c>
      <c r="E899" s="573" t="s">
        <v>1516</v>
      </c>
      <c r="F899" s="573" t="s">
        <v>1914</v>
      </c>
      <c r="G899" s="573" t="s">
        <v>271</v>
      </c>
      <c r="H899" s="573">
        <v>2019</v>
      </c>
      <c r="I899" s="573" t="s">
        <v>1915</v>
      </c>
      <c r="J899" s="573" t="s">
        <v>2014</v>
      </c>
      <c r="K899" s="573" t="s">
        <v>236</v>
      </c>
      <c r="L899" s="573">
        <v>2</v>
      </c>
      <c r="M899" s="573">
        <v>0</v>
      </c>
      <c r="N899" s="573" t="s">
        <v>157</v>
      </c>
      <c r="O899" s="573">
        <v>1</v>
      </c>
      <c r="P899" s="573">
        <v>83.2</v>
      </c>
      <c r="Q899" s="571" t="s">
        <v>157</v>
      </c>
      <c r="R899" s="573" t="s">
        <v>1259</v>
      </c>
      <c r="S899" s="573">
        <v>6</v>
      </c>
      <c r="T899" s="573" t="s">
        <v>2015</v>
      </c>
      <c r="U899" s="573" t="s">
        <v>1894</v>
      </c>
      <c r="V899" s="573">
        <v>147.6</v>
      </c>
      <c r="W899" s="573">
        <v>25</v>
      </c>
      <c r="X899" s="571">
        <v>8600</v>
      </c>
      <c r="Y899" s="573">
        <v>16</v>
      </c>
      <c r="Z899" s="579" t="s">
        <v>178</v>
      </c>
      <c r="AA899" s="579" t="s">
        <v>178</v>
      </c>
      <c r="AB899" s="584">
        <v>37270</v>
      </c>
      <c r="AC899" s="584" t="s">
        <v>164</v>
      </c>
      <c r="AD899" s="584">
        <v>25777.791666666668</v>
      </c>
      <c r="AE899" s="586">
        <v>0.03</v>
      </c>
      <c r="AF899" s="661" t="str">
        <f t="shared" si="94"/>
        <v>2019-LVN-FRD-T15V-022-27</v>
      </c>
      <c r="AG899" s="661" t="str">
        <f>IF(AND($Y899&gt;=32,(AI899="I"),(Y899&lt;&gt;"~"),(COUNTIF($AN$1:$AN899,$AN899)=1)),"TRUE","FALSE")</f>
        <v>FALSE</v>
      </c>
      <c r="AH899" s="661" t="str">
        <f>IF(AND($Y899&gt;=22, (AI899&lt;&gt;"I"),(Y899&lt;&gt;"~"),(COUNTIF($AN$1:$AN899,$AN899)=1)),"TRUE","FALSE")</f>
        <v>FALSE</v>
      </c>
      <c r="AI899" s="661" t="str">
        <f t="shared" si="96"/>
        <v>II</v>
      </c>
      <c r="AJ899" s="662" t="str">
        <f t="shared" ref="AJ899:AJ962" si="97">MID(A899,14,8)</f>
        <v>T15V-022</v>
      </c>
      <c r="AK899" s="662" t="str">
        <f t="shared" ref="AK899:AK962" si="98">MID(A899,6,3)</f>
        <v>LVN</v>
      </c>
      <c r="AL899" s="662" t="str">
        <f t="shared" ref="AL899:AL962" si="99">MID(A899,10,3)</f>
        <v>FRD</v>
      </c>
      <c r="AM899" s="662" t="str">
        <f t="shared" si="95"/>
        <v>Transit 150 Van-Swing-Out RH Door-RWD-2-83.2-~-3.5L EcoBoost-6-E9Z-101A-147.6-25-Unleaded-Unleaded</v>
      </c>
      <c r="AN899" s="662" t="str">
        <f t="shared" ref="AN899:AN962" si="100">LEFT(A899,21)</f>
        <v>2019-LVN-FRD-T15V-022</v>
      </c>
    </row>
    <row r="900" spans="1:40" s="572" customFormat="1" ht="15">
      <c r="A900" s="570" t="s">
        <v>2041</v>
      </c>
      <c r="B900" s="569" t="s">
        <v>2019</v>
      </c>
      <c r="C900" s="569" t="s">
        <v>280</v>
      </c>
      <c r="D900" s="580">
        <v>27</v>
      </c>
      <c r="E900" s="569" t="s">
        <v>1516</v>
      </c>
      <c r="F900" s="569" t="s">
        <v>1914</v>
      </c>
      <c r="G900" s="569" t="s">
        <v>271</v>
      </c>
      <c r="H900" s="569">
        <v>2019</v>
      </c>
      <c r="I900" s="569" t="s">
        <v>1915</v>
      </c>
      <c r="J900" s="569" t="s">
        <v>2014</v>
      </c>
      <c r="K900" s="569" t="s">
        <v>236</v>
      </c>
      <c r="L900" s="569">
        <v>2</v>
      </c>
      <c r="M900" s="569">
        <v>0</v>
      </c>
      <c r="N900" s="569" t="s">
        <v>157</v>
      </c>
      <c r="O900" s="569">
        <v>1</v>
      </c>
      <c r="P900" s="569">
        <v>83.2</v>
      </c>
      <c r="Q900" s="568" t="s">
        <v>157</v>
      </c>
      <c r="R900" s="569" t="s">
        <v>682</v>
      </c>
      <c r="S900" s="569">
        <v>6</v>
      </c>
      <c r="T900" s="569" t="s">
        <v>2015</v>
      </c>
      <c r="U900" s="569" t="s">
        <v>1894</v>
      </c>
      <c r="V900" s="569">
        <v>147.6</v>
      </c>
      <c r="W900" s="569">
        <v>25</v>
      </c>
      <c r="X900" s="568">
        <v>8600</v>
      </c>
      <c r="Y900" s="573">
        <v>16</v>
      </c>
      <c r="Z900" s="581" t="s">
        <v>178</v>
      </c>
      <c r="AA900" s="581" t="s">
        <v>178</v>
      </c>
      <c r="AB900" s="585">
        <v>35405</v>
      </c>
      <c r="AC900" s="585" t="s">
        <v>164</v>
      </c>
      <c r="AD900" s="585">
        <v>24121.541666666668</v>
      </c>
      <c r="AE900" s="587">
        <v>0.03</v>
      </c>
      <c r="AF900" s="661" t="str">
        <f t="shared" si="94"/>
        <v>2019-LVN-FRD-T15V-023-27</v>
      </c>
      <c r="AG900" s="661" t="str">
        <f>IF(AND($Y900&gt;=32,(AI900="I"),(Y900&lt;&gt;"~"),(COUNTIF($AN$1:$AN900,$AN900)=1)),"TRUE","FALSE")</f>
        <v>FALSE</v>
      </c>
      <c r="AH900" s="661" t="str">
        <f>IF(AND($Y900&gt;=22, (AI900&lt;&gt;"I"),(Y900&lt;&gt;"~"),(COUNTIF($AN$1:$AN900,$AN900)=1)),"TRUE","FALSE")</f>
        <v>FALSE</v>
      </c>
      <c r="AI900" s="661" t="str">
        <f t="shared" si="96"/>
        <v>II</v>
      </c>
      <c r="AJ900" s="662" t="str">
        <f t="shared" si="97"/>
        <v>T15V-023</v>
      </c>
      <c r="AK900" s="662" t="str">
        <f t="shared" si="98"/>
        <v>LVN</v>
      </c>
      <c r="AL900" s="662" t="str">
        <f t="shared" si="99"/>
        <v>FRD</v>
      </c>
      <c r="AM900" s="662" t="str">
        <f t="shared" si="95"/>
        <v>Transit 150 Van-Swing-Out RH Door-RWD-2-83.2-~-3.7L-6-E9Z-101A-147.6-25-Unleaded-Unleaded</v>
      </c>
      <c r="AN900" s="662" t="str">
        <f t="shared" si="100"/>
        <v>2019-LVN-FRD-T15V-023</v>
      </c>
    </row>
    <row r="901" spans="1:40" s="572" customFormat="1" ht="15">
      <c r="A901" s="570" t="s">
        <v>2042</v>
      </c>
      <c r="B901" s="573" t="s">
        <v>2021</v>
      </c>
      <c r="C901" s="573" t="s">
        <v>280</v>
      </c>
      <c r="D901" s="578">
        <v>27</v>
      </c>
      <c r="E901" s="573" t="s">
        <v>1516</v>
      </c>
      <c r="F901" s="573" t="s">
        <v>1914</v>
      </c>
      <c r="G901" s="573" t="s">
        <v>271</v>
      </c>
      <c r="H901" s="573">
        <v>2019</v>
      </c>
      <c r="I901" s="573" t="s">
        <v>1915</v>
      </c>
      <c r="J901" s="573" t="s">
        <v>2014</v>
      </c>
      <c r="K901" s="573" t="s">
        <v>236</v>
      </c>
      <c r="L901" s="573">
        <v>2</v>
      </c>
      <c r="M901" s="573">
        <v>0</v>
      </c>
      <c r="N901" s="573" t="s">
        <v>157</v>
      </c>
      <c r="O901" s="573">
        <v>1</v>
      </c>
      <c r="P901" s="573">
        <v>83.6</v>
      </c>
      <c r="Q901" s="571" t="s">
        <v>157</v>
      </c>
      <c r="R901" s="573" t="s">
        <v>1917</v>
      </c>
      <c r="S901" s="573">
        <v>5</v>
      </c>
      <c r="T901" s="573" t="s">
        <v>2022</v>
      </c>
      <c r="U901" s="573" t="s">
        <v>1894</v>
      </c>
      <c r="V901" s="573">
        <v>129.9</v>
      </c>
      <c r="W901" s="573">
        <v>25</v>
      </c>
      <c r="X901" s="571">
        <v>8600</v>
      </c>
      <c r="Y901" s="573">
        <v>16</v>
      </c>
      <c r="Z901" s="579" t="s">
        <v>728</v>
      </c>
      <c r="AA901" s="579" t="s">
        <v>1523</v>
      </c>
      <c r="AB901" s="584">
        <v>38525</v>
      </c>
      <c r="AC901" s="584" t="s">
        <v>164</v>
      </c>
      <c r="AD901" s="584">
        <v>26871.083333333332</v>
      </c>
      <c r="AE901" s="586">
        <v>0.03</v>
      </c>
      <c r="AF901" s="661" t="str">
        <f t="shared" si="94"/>
        <v>2019-LVN-FRD-T15V-025-27</v>
      </c>
      <c r="AG901" s="661" t="str">
        <f>IF(AND($Y901&gt;=32,(AI901="I"),(Y901&lt;&gt;"~"),(COUNTIF($AN$1:$AN901,$AN901)=1)),"TRUE","FALSE")</f>
        <v>FALSE</v>
      </c>
      <c r="AH901" s="661" t="str">
        <f>IF(AND($Y901&gt;=22, (AI901&lt;&gt;"I"),(Y901&lt;&gt;"~"),(COUNTIF($AN$1:$AN901,$AN901)=1)),"TRUE","FALSE")</f>
        <v>FALSE</v>
      </c>
      <c r="AI901" s="661" t="str">
        <f t="shared" si="96"/>
        <v>II</v>
      </c>
      <c r="AJ901" s="662" t="str">
        <f t="shared" si="97"/>
        <v>T15V-025</v>
      </c>
      <c r="AK901" s="662" t="str">
        <f t="shared" si="98"/>
        <v>LVN</v>
      </c>
      <c r="AL901" s="662" t="str">
        <f t="shared" si="99"/>
        <v>FRD</v>
      </c>
      <c r="AM901" s="662" t="str">
        <f t="shared" si="95"/>
        <v>Transit 150 Van-Swing-Out RH Door-RWD-2-83.6-~-3.2L-5-E1Z-101A-129.9-25-Diesel-BioDiesel</v>
      </c>
      <c r="AN901" s="662" t="str">
        <f t="shared" si="100"/>
        <v>2019-LVN-FRD-T15V-025</v>
      </c>
    </row>
    <row r="902" spans="1:40" s="572" customFormat="1" ht="15">
      <c r="A902" s="570" t="s">
        <v>2043</v>
      </c>
      <c r="B902" s="569" t="s">
        <v>2024</v>
      </c>
      <c r="C902" s="569" t="s">
        <v>280</v>
      </c>
      <c r="D902" s="580">
        <v>27</v>
      </c>
      <c r="E902" s="569" t="s">
        <v>1516</v>
      </c>
      <c r="F902" s="569" t="s">
        <v>1914</v>
      </c>
      <c r="G902" s="569" t="s">
        <v>271</v>
      </c>
      <c r="H902" s="569">
        <v>2019</v>
      </c>
      <c r="I902" s="569" t="s">
        <v>1915</v>
      </c>
      <c r="J902" s="569" t="s">
        <v>2014</v>
      </c>
      <c r="K902" s="569" t="s">
        <v>236</v>
      </c>
      <c r="L902" s="569">
        <v>2</v>
      </c>
      <c r="M902" s="569">
        <v>0</v>
      </c>
      <c r="N902" s="569" t="s">
        <v>157</v>
      </c>
      <c r="O902" s="569">
        <v>1</v>
      </c>
      <c r="P902" s="569">
        <v>83.6</v>
      </c>
      <c r="Q902" s="568" t="s">
        <v>157</v>
      </c>
      <c r="R902" s="569" t="s">
        <v>1259</v>
      </c>
      <c r="S902" s="569">
        <v>6</v>
      </c>
      <c r="T902" s="569" t="s">
        <v>2022</v>
      </c>
      <c r="U902" s="569" t="s">
        <v>1894</v>
      </c>
      <c r="V902" s="569">
        <v>129.9</v>
      </c>
      <c r="W902" s="569">
        <v>25</v>
      </c>
      <c r="X902" s="568">
        <v>8600</v>
      </c>
      <c r="Y902" s="573">
        <v>16</v>
      </c>
      <c r="Z902" s="581" t="s">
        <v>178</v>
      </c>
      <c r="AA902" s="581" t="s">
        <v>178</v>
      </c>
      <c r="AB902" s="585">
        <v>36395</v>
      </c>
      <c r="AC902" s="585" t="s">
        <v>164</v>
      </c>
      <c r="AD902" s="585">
        <v>24977.791666666668</v>
      </c>
      <c r="AE902" s="587">
        <v>0.03</v>
      </c>
      <c r="AF902" s="661" t="str">
        <f t="shared" si="94"/>
        <v>2019-LVN-FRD-T15V-026-27</v>
      </c>
      <c r="AG902" s="661" t="str">
        <f>IF(AND($Y902&gt;=32,(AI902="I"),(Y902&lt;&gt;"~"),(COUNTIF($AN$1:$AN902,$AN902)=1)),"TRUE","FALSE")</f>
        <v>FALSE</v>
      </c>
      <c r="AH902" s="661" t="str">
        <f>IF(AND($Y902&gt;=22, (AI902&lt;&gt;"I"),(Y902&lt;&gt;"~"),(COUNTIF($AN$1:$AN902,$AN902)=1)),"TRUE","FALSE")</f>
        <v>FALSE</v>
      </c>
      <c r="AI902" s="661" t="str">
        <f t="shared" si="96"/>
        <v>II</v>
      </c>
      <c r="AJ902" s="662" t="str">
        <f t="shared" si="97"/>
        <v>T15V-026</v>
      </c>
      <c r="AK902" s="662" t="str">
        <f t="shared" si="98"/>
        <v>LVN</v>
      </c>
      <c r="AL902" s="662" t="str">
        <f t="shared" si="99"/>
        <v>FRD</v>
      </c>
      <c r="AM902" s="662" t="str">
        <f t="shared" si="95"/>
        <v>Transit 150 Van-Swing-Out RH Door-RWD-2-83.6-~-3.5L EcoBoost-6-E1Z-101A-129.9-25-Unleaded-Unleaded</v>
      </c>
      <c r="AN902" s="662" t="str">
        <f t="shared" si="100"/>
        <v>2019-LVN-FRD-T15V-026</v>
      </c>
    </row>
    <row r="903" spans="1:40" s="572" customFormat="1" ht="15">
      <c r="A903" s="570" t="s">
        <v>2044</v>
      </c>
      <c r="B903" s="573" t="s">
        <v>2026</v>
      </c>
      <c r="C903" s="573" t="s">
        <v>280</v>
      </c>
      <c r="D903" s="578">
        <v>27</v>
      </c>
      <c r="E903" s="573" t="s">
        <v>1516</v>
      </c>
      <c r="F903" s="573" t="s">
        <v>1914</v>
      </c>
      <c r="G903" s="573" t="s">
        <v>271</v>
      </c>
      <c r="H903" s="573">
        <v>2019</v>
      </c>
      <c r="I903" s="573" t="s">
        <v>1915</v>
      </c>
      <c r="J903" s="573" t="s">
        <v>2014</v>
      </c>
      <c r="K903" s="573" t="s">
        <v>236</v>
      </c>
      <c r="L903" s="573">
        <v>2</v>
      </c>
      <c r="M903" s="573">
        <v>0</v>
      </c>
      <c r="N903" s="573" t="s">
        <v>157</v>
      </c>
      <c r="O903" s="573">
        <v>1</v>
      </c>
      <c r="P903" s="573">
        <v>83.6</v>
      </c>
      <c r="Q903" s="571" t="s">
        <v>157</v>
      </c>
      <c r="R903" s="573" t="s">
        <v>682</v>
      </c>
      <c r="S903" s="573">
        <v>6</v>
      </c>
      <c r="T903" s="573" t="s">
        <v>2022</v>
      </c>
      <c r="U903" s="573" t="s">
        <v>1894</v>
      </c>
      <c r="V903" s="573">
        <v>129.9</v>
      </c>
      <c r="W903" s="573">
        <v>25</v>
      </c>
      <c r="X903" s="571">
        <v>8600</v>
      </c>
      <c r="Y903" s="573">
        <v>16</v>
      </c>
      <c r="Z903" s="579" t="s">
        <v>178</v>
      </c>
      <c r="AA903" s="579" t="s">
        <v>178</v>
      </c>
      <c r="AB903" s="584">
        <v>34530</v>
      </c>
      <c r="AC903" s="584" t="s">
        <v>164</v>
      </c>
      <c r="AD903" s="584">
        <v>23321.541666666668</v>
      </c>
      <c r="AE903" s="586">
        <v>0.03</v>
      </c>
      <c r="AF903" s="661" t="str">
        <f t="shared" si="94"/>
        <v>2019-LVN-FRD-T15V-027-27</v>
      </c>
      <c r="AG903" s="661" t="str">
        <f>IF(AND($Y903&gt;=32,(AI903="I"),(Y903&lt;&gt;"~"),(COUNTIF($AN$1:$AN903,$AN903)=1)),"TRUE","FALSE")</f>
        <v>FALSE</v>
      </c>
      <c r="AH903" s="661" t="str">
        <f>IF(AND($Y903&gt;=22, (AI903&lt;&gt;"I"),(Y903&lt;&gt;"~"),(COUNTIF($AN$1:$AN903,$AN903)=1)),"TRUE","FALSE")</f>
        <v>FALSE</v>
      </c>
      <c r="AI903" s="661" t="str">
        <f t="shared" si="96"/>
        <v>II</v>
      </c>
      <c r="AJ903" s="662" t="str">
        <f t="shared" si="97"/>
        <v>T15V-027</v>
      </c>
      <c r="AK903" s="662" t="str">
        <f t="shared" si="98"/>
        <v>LVN</v>
      </c>
      <c r="AL903" s="662" t="str">
        <f t="shared" si="99"/>
        <v>FRD</v>
      </c>
      <c r="AM903" s="662" t="str">
        <f t="shared" si="95"/>
        <v>Transit 150 Van-Swing-Out RH Door-RWD-2-83.6-~-3.7L-6-E1Z-101A-129.9-25-Unleaded-Unleaded</v>
      </c>
      <c r="AN903" s="662" t="str">
        <f t="shared" si="100"/>
        <v>2019-LVN-FRD-T15V-027</v>
      </c>
    </row>
    <row r="904" spans="1:40" s="572" customFormat="1" ht="15">
      <c r="A904" s="570" t="s">
        <v>2045</v>
      </c>
      <c r="B904" s="569" t="s">
        <v>2046</v>
      </c>
      <c r="C904" s="569" t="s">
        <v>269</v>
      </c>
      <c r="D904" s="580" t="s">
        <v>270</v>
      </c>
      <c r="E904" s="569" t="s">
        <v>1516</v>
      </c>
      <c r="F904" s="569" t="s">
        <v>1890</v>
      </c>
      <c r="G904" s="569" t="s">
        <v>271</v>
      </c>
      <c r="H904" s="569">
        <v>2019</v>
      </c>
      <c r="I904" s="569" t="s">
        <v>2047</v>
      </c>
      <c r="J904" s="569" t="s">
        <v>2048</v>
      </c>
      <c r="K904" s="569" t="s">
        <v>236</v>
      </c>
      <c r="L904" s="569">
        <v>10</v>
      </c>
      <c r="M904" s="569">
        <v>0</v>
      </c>
      <c r="N904" s="569" t="s">
        <v>157</v>
      </c>
      <c r="O904" s="569">
        <v>4</v>
      </c>
      <c r="P904" s="569">
        <v>82.2</v>
      </c>
      <c r="Q904" s="568" t="s">
        <v>157</v>
      </c>
      <c r="R904" s="569" t="s">
        <v>1259</v>
      </c>
      <c r="S904" s="569">
        <v>6</v>
      </c>
      <c r="T904" s="569" t="s">
        <v>2049</v>
      </c>
      <c r="U904" s="569" t="s">
        <v>434</v>
      </c>
      <c r="V904" s="569">
        <v>129.9</v>
      </c>
      <c r="W904" s="569">
        <v>25</v>
      </c>
      <c r="X904" s="568">
        <v>8550</v>
      </c>
      <c r="Y904" s="573">
        <v>16</v>
      </c>
      <c r="Z904" s="581" t="s">
        <v>178</v>
      </c>
      <c r="AA904" s="581" t="s">
        <v>178</v>
      </c>
      <c r="AB904" s="585">
        <v>40500</v>
      </c>
      <c r="AC904" s="585" t="s">
        <v>164</v>
      </c>
      <c r="AD904" s="585">
        <v>28489.25</v>
      </c>
      <c r="AE904" s="587">
        <v>0.03</v>
      </c>
      <c r="AF904" s="661" t="str">
        <f t="shared" ref="AF904:AF967" si="101">A904</f>
        <v>2019-LVN-FRD-T15W-001-05</v>
      </c>
      <c r="AG904" s="661" t="str">
        <f>IF(AND($Y904&gt;=32,(AI904="I"),(Y904&lt;&gt;"~"),(COUNTIF($AN$1:$AN904,$AN904)=1)),"TRUE","FALSE")</f>
        <v>FALSE</v>
      </c>
      <c r="AH904" s="661" t="str">
        <f>IF(AND($Y904&gt;=22, (AI904&lt;&gt;"I"),(Y904&lt;&gt;"~"),(COUNTIF($AN$1:$AN904,$AN904)=1)),"TRUE","FALSE")</f>
        <v>FALSE</v>
      </c>
      <c r="AI904" s="661" t="str">
        <f t="shared" si="96"/>
        <v>II</v>
      </c>
      <c r="AJ904" s="662" t="str">
        <f t="shared" si="97"/>
        <v>T15W-001</v>
      </c>
      <c r="AK904" s="662" t="str">
        <f t="shared" si="98"/>
        <v>LVN</v>
      </c>
      <c r="AL904" s="662" t="str">
        <f t="shared" si="99"/>
        <v>FRD</v>
      </c>
      <c r="AM904" s="662" t="str">
        <f t="shared" si="95"/>
        <v>Transit 150 Wagon-XL Sliding RH Door-RWD-10-82.2-~-3.5L EcoBoost-6-K1Y-301A-129.9-25-Unleaded-Unleaded</v>
      </c>
      <c r="AN904" s="662" t="str">
        <f t="shared" si="100"/>
        <v>2019-LVN-FRD-T15W-001</v>
      </c>
    </row>
    <row r="905" spans="1:40" s="572" customFormat="1" ht="15">
      <c r="A905" s="570" t="s">
        <v>2050</v>
      </c>
      <c r="B905" s="573" t="s">
        <v>2051</v>
      </c>
      <c r="C905" s="573" t="s">
        <v>269</v>
      </c>
      <c r="D905" s="578" t="s">
        <v>270</v>
      </c>
      <c r="E905" s="573" t="s">
        <v>1516</v>
      </c>
      <c r="F905" s="573" t="s">
        <v>1890</v>
      </c>
      <c r="G905" s="573" t="s">
        <v>271</v>
      </c>
      <c r="H905" s="573">
        <v>2019</v>
      </c>
      <c r="I905" s="573" t="s">
        <v>2047</v>
      </c>
      <c r="J905" s="573" t="s">
        <v>2048</v>
      </c>
      <c r="K905" s="573" t="s">
        <v>236</v>
      </c>
      <c r="L905" s="573">
        <v>10</v>
      </c>
      <c r="M905" s="573">
        <v>0</v>
      </c>
      <c r="N905" s="573" t="s">
        <v>157</v>
      </c>
      <c r="O905" s="573">
        <v>4</v>
      </c>
      <c r="P905" s="573">
        <v>82.2</v>
      </c>
      <c r="Q905" s="571" t="s">
        <v>157</v>
      </c>
      <c r="R905" s="573" t="s">
        <v>682</v>
      </c>
      <c r="S905" s="573">
        <v>6</v>
      </c>
      <c r="T905" s="573" t="s">
        <v>2049</v>
      </c>
      <c r="U905" s="573" t="s">
        <v>434</v>
      </c>
      <c r="V905" s="573">
        <v>129.9</v>
      </c>
      <c r="W905" s="573">
        <v>25</v>
      </c>
      <c r="X905" s="571">
        <v>8550</v>
      </c>
      <c r="Y905" s="573">
        <v>16</v>
      </c>
      <c r="Z905" s="579" t="s">
        <v>178</v>
      </c>
      <c r="AA905" s="579" t="s">
        <v>178</v>
      </c>
      <c r="AB905" s="584">
        <v>38635</v>
      </c>
      <c r="AC905" s="584" t="s">
        <v>164</v>
      </c>
      <c r="AD905" s="584">
        <v>26833</v>
      </c>
      <c r="AE905" s="586">
        <v>0.03</v>
      </c>
      <c r="AF905" s="661" t="str">
        <f t="shared" si="101"/>
        <v>2019-LVN-FRD-T15W-002-05</v>
      </c>
      <c r="AG905" s="661" t="str">
        <f>IF(AND($Y905&gt;=32,(AI905="I"),(Y905&lt;&gt;"~"),(COUNTIF($AN$1:$AN905,$AN905)=1)),"TRUE","FALSE")</f>
        <v>FALSE</v>
      </c>
      <c r="AH905" s="661" t="str">
        <f>IF(AND($Y905&gt;=22, (AI905&lt;&gt;"I"),(Y905&lt;&gt;"~"),(COUNTIF($AN$1:$AN905,$AN905)=1)),"TRUE","FALSE")</f>
        <v>FALSE</v>
      </c>
      <c r="AI905" s="661" t="str">
        <f t="shared" si="96"/>
        <v>II</v>
      </c>
      <c r="AJ905" s="662" t="str">
        <f t="shared" si="97"/>
        <v>T15W-002</v>
      </c>
      <c r="AK905" s="662" t="str">
        <f t="shared" si="98"/>
        <v>LVN</v>
      </c>
      <c r="AL905" s="662" t="str">
        <f t="shared" si="99"/>
        <v>FRD</v>
      </c>
      <c r="AM905" s="662" t="str">
        <f t="shared" si="95"/>
        <v>Transit 150 Wagon-XL Sliding RH Door-RWD-10-82.2-~-3.7L-6-K1Y-301A-129.9-25-Unleaded-Unleaded</v>
      </c>
      <c r="AN905" s="662" t="str">
        <f t="shared" si="100"/>
        <v>2019-LVN-FRD-T15W-002</v>
      </c>
    </row>
    <row r="906" spans="1:40" s="572" customFormat="1" ht="15">
      <c r="A906" s="570" t="s">
        <v>2052</v>
      </c>
      <c r="B906" s="569" t="s">
        <v>2053</v>
      </c>
      <c r="C906" s="569" t="s">
        <v>269</v>
      </c>
      <c r="D906" s="580" t="s">
        <v>270</v>
      </c>
      <c r="E906" s="569" t="s">
        <v>1516</v>
      </c>
      <c r="F906" s="569" t="s">
        <v>1890</v>
      </c>
      <c r="G906" s="569" t="s">
        <v>271</v>
      </c>
      <c r="H906" s="569">
        <v>2019</v>
      </c>
      <c r="I906" s="569" t="s">
        <v>2047</v>
      </c>
      <c r="J906" s="569" t="s">
        <v>2048</v>
      </c>
      <c r="K906" s="569" t="s">
        <v>236</v>
      </c>
      <c r="L906" s="569">
        <v>10</v>
      </c>
      <c r="M906" s="569">
        <v>0</v>
      </c>
      <c r="N906" s="569" t="s">
        <v>157</v>
      </c>
      <c r="O906" s="569">
        <v>4</v>
      </c>
      <c r="P906" s="569">
        <v>98.7</v>
      </c>
      <c r="Q906" s="568" t="s">
        <v>157</v>
      </c>
      <c r="R906" s="569" t="s">
        <v>1259</v>
      </c>
      <c r="S906" s="569">
        <v>6</v>
      </c>
      <c r="T906" s="569" t="s">
        <v>1910</v>
      </c>
      <c r="U906" s="569" t="s">
        <v>434</v>
      </c>
      <c r="V906" s="569">
        <v>129.9</v>
      </c>
      <c r="W906" s="569">
        <v>25</v>
      </c>
      <c r="X906" s="568">
        <v>8550</v>
      </c>
      <c r="Y906" s="573">
        <v>16</v>
      </c>
      <c r="Z906" s="581" t="s">
        <v>178</v>
      </c>
      <c r="AA906" s="581" t="s">
        <v>178</v>
      </c>
      <c r="AB906" s="585">
        <v>41950</v>
      </c>
      <c r="AC906" s="585" t="s">
        <v>164</v>
      </c>
      <c r="AD906" s="585">
        <v>32105.916666666668</v>
      </c>
      <c r="AE906" s="587">
        <v>0.03</v>
      </c>
      <c r="AF906" s="661" t="str">
        <f t="shared" si="101"/>
        <v>2019-LVN-FRD-T15W-003-05</v>
      </c>
      <c r="AG906" s="661" t="str">
        <f>IF(AND($Y906&gt;=32,(AI906="I"),(Y906&lt;&gt;"~"),(COUNTIF($AN$1:$AN906,$AN906)=1)),"TRUE","FALSE")</f>
        <v>FALSE</v>
      </c>
      <c r="AH906" s="661" t="str">
        <f>IF(AND($Y906&gt;=22, (AI906&lt;&gt;"I"),(Y906&lt;&gt;"~"),(COUNTIF($AN$1:$AN906,$AN906)=1)),"TRUE","FALSE")</f>
        <v>FALSE</v>
      </c>
      <c r="AI906" s="661" t="str">
        <f t="shared" si="96"/>
        <v>II</v>
      </c>
      <c r="AJ906" s="662" t="str">
        <f t="shared" si="97"/>
        <v>T15W-003</v>
      </c>
      <c r="AK906" s="662" t="str">
        <f t="shared" si="98"/>
        <v>LVN</v>
      </c>
      <c r="AL906" s="662" t="str">
        <f t="shared" si="99"/>
        <v>FRD</v>
      </c>
      <c r="AM906" s="662" t="str">
        <f t="shared" si="95"/>
        <v>Transit 150 Wagon-XL Sliding RH Door-RWD-10-98.7-~-3.5L EcoBoost-6-K1C-301A-129.9-25-Unleaded-Unleaded</v>
      </c>
      <c r="AN906" s="662" t="str">
        <f t="shared" si="100"/>
        <v>2019-LVN-FRD-T15W-003</v>
      </c>
    </row>
    <row r="907" spans="1:40" s="572" customFormat="1" ht="15">
      <c r="A907" s="570" t="s">
        <v>2054</v>
      </c>
      <c r="B907" s="573" t="s">
        <v>2055</v>
      </c>
      <c r="C907" s="573" t="s">
        <v>269</v>
      </c>
      <c r="D907" s="578" t="s">
        <v>270</v>
      </c>
      <c r="E907" s="573" t="s">
        <v>1516</v>
      </c>
      <c r="F907" s="573" t="s">
        <v>1890</v>
      </c>
      <c r="G907" s="573" t="s">
        <v>271</v>
      </c>
      <c r="H907" s="573">
        <v>2019</v>
      </c>
      <c r="I907" s="573" t="s">
        <v>2047</v>
      </c>
      <c r="J907" s="573" t="s">
        <v>2048</v>
      </c>
      <c r="K907" s="573" t="s">
        <v>236</v>
      </c>
      <c r="L907" s="573">
        <v>10</v>
      </c>
      <c r="M907" s="573">
        <v>0</v>
      </c>
      <c r="N907" s="573" t="s">
        <v>157</v>
      </c>
      <c r="O907" s="573">
        <v>4</v>
      </c>
      <c r="P907" s="573">
        <v>98.7</v>
      </c>
      <c r="Q907" s="571" t="s">
        <v>157</v>
      </c>
      <c r="R907" s="573" t="s">
        <v>682</v>
      </c>
      <c r="S907" s="573">
        <v>6</v>
      </c>
      <c r="T907" s="573" t="s">
        <v>1910</v>
      </c>
      <c r="U907" s="573" t="s">
        <v>434</v>
      </c>
      <c r="V907" s="573">
        <v>129.9</v>
      </c>
      <c r="W907" s="573">
        <v>25</v>
      </c>
      <c r="X907" s="571">
        <v>8550</v>
      </c>
      <c r="Y907" s="573">
        <v>16</v>
      </c>
      <c r="Z907" s="579" t="s">
        <v>178</v>
      </c>
      <c r="AA907" s="579" t="s">
        <v>178</v>
      </c>
      <c r="AB907" s="584">
        <v>40085</v>
      </c>
      <c r="AC907" s="584" t="s">
        <v>164</v>
      </c>
      <c r="AD907" s="584">
        <v>30449.666666666668</v>
      </c>
      <c r="AE907" s="586">
        <v>0.03</v>
      </c>
      <c r="AF907" s="661" t="str">
        <f t="shared" si="101"/>
        <v>2019-LVN-FRD-T15W-004-05</v>
      </c>
      <c r="AG907" s="661" t="str">
        <f>IF(AND($Y907&gt;=32,(AI907="I"),(Y907&lt;&gt;"~"),(COUNTIF($AN$1:$AN907,$AN907)=1)),"TRUE","FALSE")</f>
        <v>FALSE</v>
      </c>
      <c r="AH907" s="661" t="str">
        <f>IF(AND($Y907&gt;=22, (AI907&lt;&gt;"I"),(Y907&lt;&gt;"~"),(COUNTIF($AN$1:$AN907,$AN907)=1)),"TRUE","FALSE")</f>
        <v>FALSE</v>
      </c>
      <c r="AI907" s="661" t="str">
        <f t="shared" si="96"/>
        <v>II</v>
      </c>
      <c r="AJ907" s="662" t="str">
        <f t="shared" si="97"/>
        <v>T15W-004</v>
      </c>
      <c r="AK907" s="662" t="str">
        <f t="shared" si="98"/>
        <v>LVN</v>
      </c>
      <c r="AL907" s="662" t="str">
        <f t="shared" si="99"/>
        <v>FRD</v>
      </c>
      <c r="AM907" s="662" t="str">
        <f t="shared" si="95"/>
        <v>Transit 150 Wagon-XL Sliding RH Door-RWD-10-98.7-~-3.7L-6-K1C-301A-129.9-25-Unleaded-Unleaded</v>
      </c>
      <c r="AN907" s="662" t="str">
        <f t="shared" si="100"/>
        <v>2019-LVN-FRD-T15W-004</v>
      </c>
    </row>
    <row r="908" spans="1:40" s="572" customFormat="1" ht="15">
      <c r="A908" s="570" t="s">
        <v>2056</v>
      </c>
      <c r="B908" s="569" t="s">
        <v>2057</v>
      </c>
      <c r="C908" s="569" t="s">
        <v>269</v>
      </c>
      <c r="D908" s="580" t="s">
        <v>270</v>
      </c>
      <c r="E908" s="569" t="s">
        <v>1516</v>
      </c>
      <c r="F908" s="569" t="s">
        <v>1890</v>
      </c>
      <c r="G908" s="569" t="s">
        <v>271</v>
      </c>
      <c r="H908" s="569">
        <v>2019</v>
      </c>
      <c r="I908" s="569" t="s">
        <v>2047</v>
      </c>
      <c r="J908" s="569" t="s">
        <v>2048</v>
      </c>
      <c r="K908" s="569" t="s">
        <v>236</v>
      </c>
      <c r="L908" s="569">
        <v>8</v>
      </c>
      <c r="M908" s="569">
        <v>0</v>
      </c>
      <c r="N908" s="569" t="s">
        <v>157</v>
      </c>
      <c r="O908" s="569">
        <v>3</v>
      </c>
      <c r="P908" s="569">
        <v>82.2</v>
      </c>
      <c r="Q908" s="568" t="s">
        <v>157</v>
      </c>
      <c r="R908" s="569" t="s">
        <v>1259</v>
      </c>
      <c r="S908" s="569">
        <v>6</v>
      </c>
      <c r="T908" s="569" t="s">
        <v>2049</v>
      </c>
      <c r="U908" s="569" t="s">
        <v>434</v>
      </c>
      <c r="V908" s="569">
        <v>129.9</v>
      </c>
      <c r="W908" s="569">
        <v>25</v>
      </c>
      <c r="X908" s="568">
        <v>8550</v>
      </c>
      <c r="Y908" s="573">
        <v>16</v>
      </c>
      <c r="Z908" s="581" t="s">
        <v>178</v>
      </c>
      <c r="AA908" s="581" t="s">
        <v>178</v>
      </c>
      <c r="AB908" s="585">
        <v>39250</v>
      </c>
      <c r="AC908" s="585" t="s">
        <v>164</v>
      </c>
      <c r="AD908" s="585">
        <v>27378.833333333336</v>
      </c>
      <c r="AE908" s="587">
        <v>0.03</v>
      </c>
      <c r="AF908" s="661" t="str">
        <f t="shared" si="101"/>
        <v>2019-LVN-FRD-T15W-006-05</v>
      </c>
      <c r="AG908" s="661" t="str">
        <f>IF(AND($Y908&gt;=32,(AI908="I"),(Y908&lt;&gt;"~"),(COUNTIF($AN$1:$AN908,$AN908)=1)),"TRUE","FALSE")</f>
        <v>FALSE</v>
      </c>
      <c r="AH908" s="661" t="str">
        <f>IF(AND($Y908&gt;=22, (AI908&lt;&gt;"I"),(Y908&lt;&gt;"~"),(COUNTIF($AN$1:$AN908,$AN908)=1)),"TRUE","FALSE")</f>
        <v>FALSE</v>
      </c>
      <c r="AI908" s="661" t="str">
        <f t="shared" si="96"/>
        <v>II</v>
      </c>
      <c r="AJ908" s="662" t="str">
        <f t="shared" si="97"/>
        <v>T15W-006</v>
      </c>
      <c r="AK908" s="662" t="str">
        <f t="shared" si="98"/>
        <v>LVN</v>
      </c>
      <c r="AL908" s="662" t="str">
        <f t="shared" si="99"/>
        <v>FRD</v>
      </c>
      <c r="AM908" s="662" t="str">
        <f t="shared" si="95"/>
        <v>Transit 150 Wagon-XL Sliding RH Door-RWD-8-82.2-~-3.5L EcoBoost-6-K1Y-301A-129.9-25-Unleaded-Unleaded</v>
      </c>
      <c r="AN908" s="662" t="str">
        <f t="shared" si="100"/>
        <v>2019-LVN-FRD-T15W-006</v>
      </c>
    </row>
    <row r="909" spans="1:40" s="572" customFormat="1" ht="15">
      <c r="A909" s="570" t="s">
        <v>2058</v>
      </c>
      <c r="B909" s="573" t="s">
        <v>2059</v>
      </c>
      <c r="C909" s="573" t="s">
        <v>269</v>
      </c>
      <c r="D909" s="578" t="s">
        <v>270</v>
      </c>
      <c r="E909" s="573" t="s">
        <v>1516</v>
      </c>
      <c r="F909" s="573" t="s">
        <v>1890</v>
      </c>
      <c r="G909" s="573" t="s">
        <v>271</v>
      </c>
      <c r="H909" s="573">
        <v>2019</v>
      </c>
      <c r="I909" s="573" t="s">
        <v>2047</v>
      </c>
      <c r="J909" s="573" t="s">
        <v>2048</v>
      </c>
      <c r="K909" s="573" t="s">
        <v>236</v>
      </c>
      <c r="L909" s="573">
        <v>8</v>
      </c>
      <c r="M909" s="573">
        <v>0</v>
      </c>
      <c r="N909" s="573" t="s">
        <v>157</v>
      </c>
      <c r="O909" s="573">
        <v>3</v>
      </c>
      <c r="P909" s="573">
        <v>82.2</v>
      </c>
      <c r="Q909" s="571" t="s">
        <v>157</v>
      </c>
      <c r="R909" s="573" t="s">
        <v>682</v>
      </c>
      <c r="S909" s="573">
        <v>6</v>
      </c>
      <c r="T909" s="573" t="s">
        <v>2049</v>
      </c>
      <c r="U909" s="573" t="s">
        <v>434</v>
      </c>
      <c r="V909" s="573">
        <v>129.9</v>
      </c>
      <c r="W909" s="573">
        <v>25</v>
      </c>
      <c r="X909" s="571">
        <v>8550</v>
      </c>
      <c r="Y909" s="573">
        <v>16</v>
      </c>
      <c r="Z909" s="579" t="s">
        <v>178</v>
      </c>
      <c r="AA909" s="579" t="s">
        <v>178</v>
      </c>
      <c r="AB909" s="584">
        <v>37385</v>
      </c>
      <c r="AC909" s="584" t="s">
        <v>164</v>
      </c>
      <c r="AD909" s="584">
        <v>25722.583333333336</v>
      </c>
      <c r="AE909" s="586">
        <v>0.03</v>
      </c>
      <c r="AF909" s="661" t="str">
        <f t="shared" si="101"/>
        <v>2019-LVN-FRD-T15W-007-05</v>
      </c>
      <c r="AG909" s="661" t="str">
        <f>IF(AND($Y909&gt;=32,(AI909="I"),(Y909&lt;&gt;"~"),(COUNTIF($AN$1:$AN909,$AN909)=1)),"TRUE","FALSE")</f>
        <v>FALSE</v>
      </c>
      <c r="AH909" s="661" t="str">
        <f>IF(AND($Y909&gt;=22, (AI909&lt;&gt;"I"),(Y909&lt;&gt;"~"),(COUNTIF($AN$1:$AN909,$AN909)=1)),"TRUE","FALSE")</f>
        <v>FALSE</v>
      </c>
      <c r="AI909" s="661" t="str">
        <f t="shared" si="96"/>
        <v>II</v>
      </c>
      <c r="AJ909" s="662" t="str">
        <f t="shared" si="97"/>
        <v>T15W-007</v>
      </c>
      <c r="AK909" s="662" t="str">
        <f t="shared" si="98"/>
        <v>LVN</v>
      </c>
      <c r="AL909" s="662" t="str">
        <f t="shared" si="99"/>
        <v>FRD</v>
      </c>
      <c r="AM909" s="662" t="str">
        <f t="shared" si="95"/>
        <v>Transit 150 Wagon-XL Sliding RH Door-RWD-8-82.2-~-3.7L-6-K1Y-301A-129.9-25-Unleaded-Unleaded</v>
      </c>
      <c r="AN909" s="662" t="str">
        <f t="shared" si="100"/>
        <v>2019-LVN-FRD-T15W-007</v>
      </c>
    </row>
    <row r="910" spans="1:40" s="572" customFormat="1" ht="15">
      <c r="A910" s="570" t="s">
        <v>2060</v>
      </c>
      <c r="B910" s="569" t="s">
        <v>2061</v>
      </c>
      <c r="C910" s="569" t="s">
        <v>269</v>
      </c>
      <c r="D910" s="580" t="s">
        <v>270</v>
      </c>
      <c r="E910" s="569" t="s">
        <v>1516</v>
      </c>
      <c r="F910" s="569" t="s">
        <v>1890</v>
      </c>
      <c r="G910" s="569" t="s">
        <v>271</v>
      </c>
      <c r="H910" s="569">
        <v>2019</v>
      </c>
      <c r="I910" s="569" t="s">
        <v>2047</v>
      </c>
      <c r="J910" s="569" t="s">
        <v>2048</v>
      </c>
      <c r="K910" s="569" t="s">
        <v>236</v>
      </c>
      <c r="L910" s="569">
        <v>8</v>
      </c>
      <c r="M910" s="569">
        <v>0</v>
      </c>
      <c r="N910" s="569" t="s">
        <v>157</v>
      </c>
      <c r="O910" s="569">
        <v>3</v>
      </c>
      <c r="P910" s="569">
        <v>98.7</v>
      </c>
      <c r="Q910" s="568" t="s">
        <v>157</v>
      </c>
      <c r="R910" s="569" t="s">
        <v>1259</v>
      </c>
      <c r="S910" s="569">
        <v>6</v>
      </c>
      <c r="T910" s="569" t="s">
        <v>1910</v>
      </c>
      <c r="U910" s="569" t="s">
        <v>434</v>
      </c>
      <c r="V910" s="569">
        <v>129.9</v>
      </c>
      <c r="W910" s="569">
        <v>25</v>
      </c>
      <c r="X910" s="568">
        <v>8550</v>
      </c>
      <c r="Y910" s="573">
        <v>16</v>
      </c>
      <c r="Z910" s="581" t="s">
        <v>178</v>
      </c>
      <c r="AA910" s="581" t="s">
        <v>178</v>
      </c>
      <c r="AB910" s="585">
        <v>40700</v>
      </c>
      <c r="AC910" s="585" t="s">
        <v>164</v>
      </c>
      <c r="AD910" s="585">
        <v>30995.5</v>
      </c>
      <c r="AE910" s="587">
        <v>0.03</v>
      </c>
      <c r="AF910" s="661" t="str">
        <f t="shared" si="101"/>
        <v>2019-LVN-FRD-T15W-008-05</v>
      </c>
      <c r="AG910" s="661" t="str">
        <f>IF(AND($Y910&gt;=32,(AI910="I"),(Y910&lt;&gt;"~"),(COUNTIF($AN$1:$AN910,$AN910)=1)),"TRUE","FALSE")</f>
        <v>FALSE</v>
      </c>
      <c r="AH910" s="661" t="str">
        <f>IF(AND($Y910&gt;=22, (AI910&lt;&gt;"I"),(Y910&lt;&gt;"~"),(COUNTIF($AN$1:$AN910,$AN910)=1)),"TRUE","FALSE")</f>
        <v>FALSE</v>
      </c>
      <c r="AI910" s="661" t="str">
        <f t="shared" si="96"/>
        <v>II</v>
      </c>
      <c r="AJ910" s="662" t="str">
        <f t="shared" si="97"/>
        <v>T15W-008</v>
      </c>
      <c r="AK910" s="662" t="str">
        <f t="shared" si="98"/>
        <v>LVN</v>
      </c>
      <c r="AL910" s="662" t="str">
        <f t="shared" si="99"/>
        <v>FRD</v>
      </c>
      <c r="AM910" s="662" t="str">
        <f t="shared" si="95"/>
        <v>Transit 150 Wagon-XL Sliding RH Door-RWD-8-98.7-~-3.5L EcoBoost-6-K1C-301A-129.9-25-Unleaded-Unleaded</v>
      </c>
      <c r="AN910" s="662" t="str">
        <f t="shared" si="100"/>
        <v>2019-LVN-FRD-T15W-008</v>
      </c>
    </row>
    <row r="911" spans="1:40" s="572" customFormat="1" ht="15">
      <c r="A911" s="570" t="s">
        <v>2062</v>
      </c>
      <c r="B911" s="573" t="s">
        <v>2063</v>
      </c>
      <c r="C911" s="573" t="s">
        <v>269</v>
      </c>
      <c r="D911" s="578" t="s">
        <v>270</v>
      </c>
      <c r="E911" s="573" t="s">
        <v>1516</v>
      </c>
      <c r="F911" s="573" t="s">
        <v>1890</v>
      </c>
      <c r="G911" s="573" t="s">
        <v>271</v>
      </c>
      <c r="H911" s="573">
        <v>2019</v>
      </c>
      <c r="I911" s="573" t="s">
        <v>2047</v>
      </c>
      <c r="J911" s="573" t="s">
        <v>2048</v>
      </c>
      <c r="K911" s="573" t="s">
        <v>236</v>
      </c>
      <c r="L911" s="573">
        <v>8</v>
      </c>
      <c r="M911" s="573">
        <v>0</v>
      </c>
      <c r="N911" s="573" t="s">
        <v>157</v>
      </c>
      <c r="O911" s="573">
        <v>3</v>
      </c>
      <c r="P911" s="573">
        <v>98.7</v>
      </c>
      <c r="Q911" s="571" t="s">
        <v>157</v>
      </c>
      <c r="R911" s="573" t="s">
        <v>682</v>
      </c>
      <c r="S911" s="573">
        <v>6</v>
      </c>
      <c r="T911" s="573" t="s">
        <v>1910</v>
      </c>
      <c r="U911" s="573" t="s">
        <v>434</v>
      </c>
      <c r="V911" s="573">
        <v>129.9</v>
      </c>
      <c r="W911" s="573">
        <v>25</v>
      </c>
      <c r="X911" s="571">
        <v>8550</v>
      </c>
      <c r="Y911" s="573">
        <v>16</v>
      </c>
      <c r="Z911" s="579" t="s">
        <v>178</v>
      </c>
      <c r="AA911" s="579" t="s">
        <v>178</v>
      </c>
      <c r="AB911" s="584">
        <v>38835</v>
      </c>
      <c r="AC911" s="584" t="s">
        <v>164</v>
      </c>
      <c r="AD911" s="584">
        <v>29339.25</v>
      </c>
      <c r="AE911" s="586">
        <v>0.03</v>
      </c>
      <c r="AF911" s="661" t="str">
        <f t="shared" si="101"/>
        <v>2019-LVN-FRD-T15W-009-05</v>
      </c>
      <c r="AG911" s="661" t="str">
        <f>IF(AND($Y911&gt;=32,(AI911="I"),(Y911&lt;&gt;"~"),(COUNTIF($AN$1:$AN911,$AN911)=1)),"TRUE","FALSE")</f>
        <v>FALSE</v>
      </c>
      <c r="AH911" s="661" t="str">
        <f>IF(AND($Y911&gt;=22, (AI911&lt;&gt;"I"),(Y911&lt;&gt;"~"),(COUNTIF($AN$1:$AN911,$AN911)=1)),"TRUE","FALSE")</f>
        <v>FALSE</v>
      </c>
      <c r="AI911" s="661" t="str">
        <f t="shared" si="96"/>
        <v>II</v>
      </c>
      <c r="AJ911" s="662" t="str">
        <f t="shared" si="97"/>
        <v>T15W-009</v>
      </c>
      <c r="AK911" s="662" t="str">
        <f t="shared" si="98"/>
        <v>LVN</v>
      </c>
      <c r="AL911" s="662" t="str">
        <f t="shared" si="99"/>
        <v>FRD</v>
      </c>
      <c r="AM911" s="662" t="str">
        <f t="shared" si="95"/>
        <v>Transit 150 Wagon-XL Sliding RH Door-RWD-8-98.7-~-3.7L-6-K1C-301A-129.9-25-Unleaded-Unleaded</v>
      </c>
      <c r="AN911" s="662" t="str">
        <f t="shared" si="100"/>
        <v>2019-LVN-FRD-T15W-009</v>
      </c>
    </row>
    <row r="912" spans="1:40" s="572" customFormat="1" ht="15">
      <c r="A912" s="570" t="s">
        <v>2064</v>
      </c>
      <c r="B912" s="569" t="s">
        <v>2046</v>
      </c>
      <c r="C912" s="569" t="s">
        <v>278</v>
      </c>
      <c r="D912" s="580">
        <v>15</v>
      </c>
      <c r="E912" s="569" t="s">
        <v>1516</v>
      </c>
      <c r="F912" s="569" t="s">
        <v>1890</v>
      </c>
      <c r="G912" s="569" t="s">
        <v>271</v>
      </c>
      <c r="H912" s="569">
        <v>2019</v>
      </c>
      <c r="I912" s="569" t="s">
        <v>2047</v>
      </c>
      <c r="J912" s="569" t="s">
        <v>2048</v>
      </c>
      <c r="K912" s="569" t="s">
        <v>236</v>
      </c>
      <c r="L912" s="569">
        <v>10</v>
      </c>
      <c r="M912" s="569">
        <v>0</v>
      </c>
      <c r="N912" s="569" t="s">
        <v>157</v>
      </c>
      <c r="O912" s="569">
        <v>4</v>
      </c>
      <c r="P912" s="569">
        <v>82.2</v>
      </c>
      <c r="Q912" s="568" t="s">
        <v>157</v>
      </c>
      <c r="R912" s="569" t="s">
        <v>1259</v>
      </c>
      <c r="S912" s="569">
        <v>6</v>
      </c>
      <c r="T912" s="569" t="s">
        <v>2049</v>
      </c>
      <c r="U912" s="569" t="s">
        <v>434</v>
      </c>
      <c r="V912" s="569">
        <v>129.9</v>
      </c>
      <c r="W912" s="569">
        <v>25</v>
      </c>
      <c r="X912" s="568">
        <v>8550</v>
      </c>
      <c r="Y912" s="573">
        <v>16</v>
      </c>
      <c r="Z912" s="581" t="s">
        <v>178</v>
      </c>
      <c r="AA912" s="581" t="s">
        <v>178</v>
      </c>
      <c r="AB912" s="585">
        <v>40500</v>
      </c>
      <c r="AC912" s="585" t="s">
        <v>164</v>
      </c>
      <c r="AD912" s="585">
        <v>28900</v>
      </c>
      <c r="AE912" s="587">
        <v>0.01</v>
      </c>
      <c r="AF912" s="661" t="str">
        <f t="shared" si="101"/>
        <v>2019-LVN-FRD-T15W-001-15</v>
      </c>
      <c r="AG912" s="661" t="str">
        <f>IF(AND($Y912&gt;=32,(AI912="I"),(Y912&lt;&gt;"~"),(COUNTIF($AN$1:$AN912,$AN912)=1)),"TRUE","FALSE")</f>
        <v>FALSE</v>
      </c>
      <c r="AH912" s="661" t="str">
        <f>IF(AND($Y912&gt;=22, (AI912&lt;&gt;"I"),(Y912&lt;&gt;"~"),(COUNTIF($AN$1:$AN912,$AN912)=1)),"TRUE","FALSE")</f>
        <v>FALSE</v>
      </c>
      <c r="AI912" s="661" t="str">
        <f t="shared" si="96"/>
        <v>II</v>
      </c>
      <c r="AJ912" s="662" t="str">
        <f t="shared" si="97"/>
        <v>T15W-001</v>
      </c>
      <c r="AK912" s="662" t="str">
        <f t="shared" si="98"/>
        <v>LVN</v>
      </c>
      <c r="AL912" s="662" t="str">
        <f t="shared" si="99"/>
        <v>FRD</v>
      </c>
      <c r="AM912" s="662" t="str">
        <f t="shared" si="95"/>
        <v>Transit 150 Wagon-XL Sliding RH Door-RWD-10-82.2-~-3.5L EcoBoost-6-K1Y-301A-129.9-25-Unleaded-Unleaded</v>
      </c>
      <c r="AN912" s="662" t="str">
        <f t="shared" si="100"/>
        <v>2019-LVN-FRD-T15W-001</v>
      </c>
    </row>
    <row r="913" spans="1:40" s="572" customFormat="1" ht="15">
      <c r="A913" s="570" t="s">
        <v>2065</v>
      </c>
      <c r="B913" s="573" t="s">
        <v>2051</v>
      </c>
      <c r="C913" s="573" t="s">
        <v>278</v>
      </c>
      <c r="D913" s="578">
        <v>15</v>
      </c>
      <c r="E913" s="573" t="s">
        <v>1516</v>
      </c>
      <c r="F913" s="573" t="s">
        <v>1890</v>
      </c>
      <c r="G913" s="573" t="s">
        <v>271</v>
      </c>
      <c r="H913" s="573">
        <v>2019</v>
      </c>
      <c r="I913" s="573" t="s">
        <v>2047</v>
      </c>
      <c r="J913" s="573" t="s">
        <v>2048</v>
      </c>
      <c r="K913" s="573" t="s">
        <v>236</v>
      </c>
      <c r="L913" s="573">
        <v>10</v>
      </c>
      <c r="M913" s="573">
        <v>0</v>
      </c>
      <c r="N913" s="573" t="s">
        <v>157</v>
      </c>
      <c r="O913" s="573">
        <v>4</v>
      </c>
      <c r="P913" s="573">
        <v>82.2</v>
      </c>
      <c r="Q913" s="571" t="s">
        <v>157</v>
      </c>
      <c r="R913" s="573" t="s">
        <v>682</v>
      </c>
      <c r="S913" s="573">
        <v>6</v>
      </c>
      <c r="T913" s="573" t="s">
        <v>2049</v>
      </c>
      <c r="U913" s="573" t="s">
        <v>434</v>
      </c>
      <c r="V913" s="573">
        <v>129.9</v>
      </c>
      <c r="W913" s="573">
        <v>25</v>
      </c>
      <c r="X913" s="571">
        <v>8550</v>
      </c>
      <c r="Y913" s="573">
        <v>16</v>
      </c>
      <c r="Z913" s="579" t="s">
        <v>178</v>
      </c>
      <c r="AA913" s="579" t="s">
        <v>178</v>
      </c>
      <c r="AB913" s="584">
        <v>38635</v>
      </c>
      <c r="AC913" s="584" t="s">
        <v>164</v>
      </c>
      <c r="AD913" s="584">
        <v>27300</v>
      </c>
      <c r="AE913" s="586">
        <v>0.01</v>
      </c>
      <c r="AF913" s="661" t="str">
        <f t="shared" si="101"/>
        <v>2019-LVN-FRD-T15W-002-15</v>
      </c>
      <c r="AG913" s="661" t="str">
        <f>IF(AND($Y913&gt;=32,(AI913="I"),(Y913&lt;&gt;"~"),(COUNTIF($AN$1:$AN913,$AN913)=1)),"TRUE","FALSE")</f>
        <v>FALSE</v>
      </c>
      <c r="AH913" s="661" t="str">
        <f>IF(AND($Y913&gt;=22, (AI913&lt;&gt;"I"),(Y913&lt;&gt;"~"),(COUNTIF($AN$1:$AN913,$AN913)=1)),"TRUE","FALSE")</f>
        <v>FALSE</v>
      </c>
      <c r="AI913" s="661" t="str">
        <f t="shared" si="96"/>
        <v>II</v>
      </c>
      <c r="AJ913" s="662" t="str">
        <f t="shared" si="97"/>
        <v>T15W-002</v>
      </c>
      <c r="AK913" s="662" t="str">
        <f t="shared" si="98"/>
        <v>LVN</v>
      </c>
      <c r="AL913" s="662" t="str">
        <f t="shared" si="99"/>
        <v>FRD</v>
      </c>
      <c r="AM913" s="662" t="str">
        <f t="shared" si="95"/>
        <v>Transit 150 Wagon-XL Sliding RH Door-RWD-10-82.2-~-3.7L-6-K1Y-301A-129.9-25-Unleaded-Unleaded</v>
      </c>
      <c r="AN913" s="662" t="str">
        <f t="shared" si="100"/>
        <v>2019-LVN-FRD-T15W-002</v>
      </c>
    </row>
    <row r="914" spans="1:40" s="572" customFormat="1" ht="15">
      <c r="A914" s="570" t="s">
        <v>2066</v>
      </c>
      <c r="B914" s="569" t="s">
        <v>2053</v>
      </c>
      <c r="C914" s="569" t="s">
        <v>278</v>
      </c>
      <c r="D914" s="580">
        <v>15</v>
      </c>
      <c r="E914" s="569" t="s">
        <v>1516</v>
      </c>
      <c r="F914" s="569" t="s">
        <v>1890</v>
      </c>
      <c r="G914" s="569" t="s">
        <v>271</v>
      </c>
      <c r="H914" s="569">
        <v>2019</v>
      </c>
      <c r="I914" s="569" t="s">
        <v>2047</v>
      </c>
      <c r="J914" s="569" t="s">
        <v>2048</v>
      </c>
      <c r="K914" s="569" t="s">
        <v>236</v>
      </c>
      <c r="L914" s="569">
        <v>10</v>
      </c>
      <c r="M914" s="569">
        <v>0</v>
      </c>
      <c r="N914" s="569" t="s">
        <v>157</v>
      </c>
      <c r="O914" s="569">
        <v>4</v>
      </c>
      <c r="P914" s="569">
        <v>98.7</v>
      </c>
      <c r="Q914" s="568" t="s">
        <v>157</v>
      </c>
      <c r="R914" s="569" t="s">
        <v>1259</v>
      </c>
      <c r="S914" s="569">
        <v>6</v>
      </c>
      <c r="T914" s="569" t="s">
        <v>1910</v>
      </c>
      <c r="U914" s="569" t="s">
        <v>434</v>
      </c>
      <c r="V914" s="569">
        <v>129.9</v>
      </c>
      <c r="W914" s="569">
        <v>25</v>
      </c>
      <c r="X914" s="568">
        <v>8550</v>
      </c>
      <c r="Y914" s="573">
        <v>16</v>
      </c>
      <c r="Z914" s="581" t="s">
        <v>178</v>
      </c>
      <c r="AA914" s="581" t="s">
        <v>178</v>
      </c>
      <c r="AB914" s="585">
        <v>41950</v>
      </c>
      <c r="AC914" s="585" t="s">
        <v>164</v>
      </c>
      <c r="AD914" s="585">
        <v>32700</v>
      </c>
      <c r="AE914" s="587">
        <v>0.01</v>
      </c>
      <c r="AF914" s="661" t="str">
        <f t="shared" si="101"/>
        <v>2019-LVN-FRD-T15W-003-15</v>
      </c>
      <c r="AG914" s="661" t="str">
        <f>IF(AND($Y914&gt;=32,(AI914="I"),(Y914&lt;&gt;"~"),(COUNTIF($AN$1:$AN914,$AN914)=1)),"TRUE","FALSE")</f>
        <v>FALSE</v>
      </c>
      <c r="AH914" s="661" t="str">
        <f>IF(AND($Y914&gt;=22, (AI914&lt;&gt;"I"),(Y914&lt;&gt;"~"),(COUNTIF($AN$1:$AN914,$AN914)=1)),"TRUE","FALSE")</f>
        <v>FALSE</v>
      </c>
      <c r="AI914" s="661" t="str">
        <f t="shared" si="96"/>
        <v>II</v>
      </c>
      <c r="AJ914" s="662" t="str">
        <f t="shared" si="97"/>
        <v>T15W-003</v>
      </c>
      <c r="AK914" s="662" t="str">
        <f t="shared" si="98"/>
        <v>LVN</v>
      </c>
      <c r="AL914" s="662" t="str">
        <f t="shared" si="99"/>
        <v>FRD</v>
      </c>
      <c r="AM914" s="662" t="str">
        <f t="shared" si="95"/>
        <v>Transit 150 Wagon-XL Sliding RH Door-RWD-10-98.7-~-3.5L EcoBoost-6-K1C-301A-129.9-25-Unleaded-Unleaded</v>
      </c>
      <c r="AN914" s="662" t="str">
        <f t="shared" si="100"/>
        <v>2019-LVN-FRD-T15W-003</v>
      </c>
    </row>
    <row r="915" spans="1:40" s="572" customFormat="1" ht="15">
      <c r="A915" s="570" t="s">
        <v>2067</v>
      </c>
      <c r="B915" s="573" t="s">
        <v>2055</v>
      </c>
      <c r="C915" s="573" t="s">
        <v>278</v>
      </c>
      <c r="D915" s="578">
        <v>15</v>
      </c>
      <c r="E915" s="573" t="s">
        <v>1516</v>
      </c>
      <c r="F915" s="573" t="s">
        <v>1890</v>
      </c>
      <c r="G915" s="573" t="s">
        <v>271</v>
      </c>
      <c r="H915" s="573">
        <v>2019</v>
      </c>
      <c r="I915" s="573" t="s">
        <v>2047</v>
      </c>
      <c r="J915" s="573" t="s">
        <v>2048</v>
      </c>
      <c r="K915" s="573" t="s">
        <v>236</v>
      </c>
      <c r="L915" s="573">
        <v>10</v>
      </c>
      <c r="M915" s="573">
        <v>0</v>
      </c>
      <c r="N915" s="573" t="s">
        <v>157</v>
      </c>
      <c r="O915" s="573">
        <v>4</v>
      </c>
      <c r="P915" s="573">
        <v>98.7</v>
      </c>
      <c r="Q915" s="571" t="s">
        <v>157</v>
      </c>
      <c r="R915" s="573" t="s">
        <v>682</v>
      </c>
      <c r="S915" s="573">
        <v>6</v>
      </c>
      <c r="T915" s="573" t="s">
        <v>1910</v>
      </c>
      <c r="U915" s="573" t="s">
        <v>434</v>
      </c>
      <c r="V915" s="573">
        <v>129.9</v>
      </c>
      <c r="W915" s="573">
        <v>25</v>
      </c>
      <c r="X915" s="571">
        <v>8550</v>
      </c>
      <c r="Y915" s="573">
        <v>16</v>
      </c>
      <c r="Z915" s="579" t="s">
        <v>178</v>
      </c>
      <c r="AA915" s="579" t="s">
        <v>178</v>
      </c>
      <c r="AB915" s="584">
        <v>40085</v>
      </c>
      <c r="AC915" s="584" t="s">
        <v>164</v>
      </c>
      <c r="AD915" s="584">
        <v>31000</v>
      </c>
      <c r="AE915" s="586">
        <v>0.01</v>
      </c>
      <c r="AF915" s="661" t="str">
        <f t="shared" si="101"/>
        <v>2019-LVN-FRD-T15W-004-15</v>
      </c>
      <c r="AG915" s="661" t="str">
        <f>IF(AND($Y915&gt;=32,(AI915="I"),(Y915&lt;&gt;"~"),(COUNTIF($AN$1:$AN915,$AN915)=1)),"TRUE","FALSE")</f>
        <v>FALSE</v>
      </c>
      <c r="AH915" s="661" t="str">
        <f>IF(AND($Y915&gt;=22, (AI915&lt;&gt;"I"),(Y915&lt;&gt;"~"),(COUNTIF($AN$1:$AN915,$AN915)=1)),"TRUE","FALSE")</f>
        <v>FALSE</v>
      </c>
      <c r="AI915" s="661" t="str">
        <f t="shared" si="96"/>
        <v>II</v>
      </c>
      <c r="AJ915" s="662" t="str">
        <f t="shared" si="97"/>
        <v>T15W-004</v>
      </c>
      <c r="AK915" s="662" t="str">
        <f t="shared" si="98"/>
        <v>LVN</v>
      </c>
      <c r="AL915" s="662" t="str">
        <f t="shared" si="99"/>
        <v>FRD</v>
      </c>
      <c r="AM915" s="662" t="str">
        <f t="shared" si="95"/>
        <v>Transit 150 Wagon-XL Sliding RH Door-RWD-10-98.7-~-3.7L-6-K1C-301A-129.9-25-Unleaded-Unleaded</v>
      </c>
      <c r="AN915" s="662" t="str">
        <f t="shared" si="100"/>
        <v>2019-LVN-FRD-T15W-004</v>
      </c>
    </row>
    <row r="916" spans="1:40" s="572" customFormat="1" ht="15">
      <c r="A916" s="570" t="s">
        <v>2068</v>
      </c>
      <c r="B916" s="569" t="s">
        <v>2057</v>
      </c>
      <c r="C916" s="569" t="s">
        <v>278</v>
      </c>
      <c r="D916" s="580">
        <v>15</v>
      </c>
      <c r="E916" s="569" t="s">
        <v>1516</v>
      </c>
      <c r="F916" s="569" t="s">
        <v>1890</v>
      </c>
      <c r="G916" s="569" t="s">
        <v>271</v>
      </c>
      <c r="H916" s="569">
        <v>2019</v>
      </c>
      <c r="I916" s="569" t="s">
        <v>2047</v>
      </c>
      <c r="J916" s="569" t="s">
        <v>2048</v>
      </c>
      <c r="K916" s="569" t="s">
        <v>236</v>
      </c>
      <c r="L916" s="569">
        <v>8</v>
      </c>
      <c r="M916" s="569">
        <v>0</v>
      </c>
      <c r="N916" s="569" t="s">
        <v>157</v>
      </c>
      <c r="O916" s="569">
        <v>3</v>
      </c>
      <c r="P916" s="569">
        <v>82.2</v>
      </c>
      <c r="Q916" s="568" t="s">
        <v>157</v>
      </c>
      <c r="R916" s="569" t="s">
        <v>1259</v>
      </c>
      <c r="S916" s="569">
        <v>6</v>
      </c>
      <c r="T916" s="569" t="s">
        <v>2049</v>
      </c>
      <c r="U916" s="569" t="s">
        <v>434</v>
      </c>
      <c r="V916" s="569">
        <v>129.9</v>
      </c>
      <c r="W916" s="569">
        <v>25</v>
      </c>
      <c r="X916" s="568">
        <v>8550</v>
      </c>
      <c r="Y916" s="573">
        <v>16</v>
      </c>
      <c r="Z916" s="581" t="s">
        <v>178</v>
      </c>
      <c r="AA916" s="581" t="s">
        <v>178</v>
      </c>
      <c r="AB916" s="585">
        <v>39250</v>
      </c>
      <c r="AC916" s="585" t="s">
        <v>164</v>
      </c>
      <c r="AD916" s="585">
        <v>27800</v>
      </c>
      <c r="AE916" s="587">
        <v>0.01</v>
      </c>
      <c r="AF916" s="661" t="str">
        <f t="shared" si="101"/>
        <v>2019-LVN-FRD-T15W-006-15</v>
      </c>
      <c r="AG916" s="661" t="str">
        <f>IF(AND($Y916&gt;=32,(AI916="I"),(Y916&lt;&gt;"~"),(COUNTIF($AN$1:$AN916,$AN916)=1)),"TRUE","FALSE")</f>
        <v>FALSE</v>
      </c>
      <c r="AH916" s="661" t="str">
        <f>IF(AND($Y916&gt;=22, (AI916&lt;&gt;"I"),(Y916&lt;&gt;"~"),(COUNTIF($AN$1:$AN916,$AN916)=1)),"TRUE","FALSE")</f>
        <v>FALSE</v>
      </c>
      <c r="AI916" s="661" t="str">
        <f t="shared" si="96"/>
        <v>II</v>
      </c>
      <c r="AJ916" s="662" t="str">
        <f t="shared" si="97"/>
        <v>T15W-006</v>
      </c>
      <c r="AK916" s="662" t="str">
        <f t="shared" si="98"/>
        <v>LVN</v>
      </c>
      <c r="AL916" s="662" t="str">
        <f t="shared" si="99"/>
        <v>FRD</v>
      </c>
      <c r="AM916" s="662" t="str">
        <f t="shared" si="95"/>
        <v>Transit 150 Wagon-XL Sliding RH Door-RWD-8-82.2-~-3.5L EcoBoost-6-K1Y-301A-129.9-25-Unleaded-Unleaded</v>
      </c>
      <c r="AN916" s="662" t="str">
        <f t="shared" si="100"/>
        <v>2019-LVN-FRD-T15W-006</v>
      </c>
    </row>
    <row r="917" spans="1:40" s="572" customFormat="1" ht="15">
      <c r="A917" s="570" t="s">
        <v>2069</v>
      </c>
      <c r="B917" s="573" t="s">
        <v>2059</v>
      </c>
      <c r="C917" s="573" t="s">
        <v>278</v>
      </c>
      <c r="D917" s="578">
        <v>15</v>
      </c>
      <c r="E917" s="573" t="s">
        <v>1516</v>
      </c>
      <c r="F917" s="573" t="s">
        <v>1890</v>
      </c>
      <c r="G917" s="573" t="s">
        <v>271</v>
      </c>
      <c r="H917" s="573">
        <v>2019</v>
      </c>
      <c r="I917" s="573" t="s">
        <v>2047</v>
      </c>
      <c r="J917" s="573" t="s">
        <v>2048</v>
      </c>
      <c r="K917" s="573" t="s">
        <v>236</v>
      </c>
      <c r="L917" s="573">
        <v>8</v>
      </c>
      <c r="M917" s="573">
        <v>0</v>
      </c>
      <c r="N917" s="573" t="s">
        <v>157</v>
      </c>
      <c r="O917" s="573">
        <v>3</v>
      </c>
      <c r="P917" s="573">
        <v>82.2</v>
      </c>
      <c r="Q917" s="571" t="s">
        <v>157</v>
      </c>
      <c r="R917" s="573" t="s">
        <v>682</v>
      </c>
      <c r="S917" s="573">
        <v>6</v>
      </c>
      <c r="T917" s="573" t="s">
        <v>2049</v>
      </c>
      <c r="U917" s="573" t="s">
        <v>434</v>
      </c>
      <c r="V917" s="573">
        <v>129.9</v>
      </c>
      <c r="W917" s="573">
        <v>25</v>
      </c>
      <c r="X917" s="571">
        <v>8550</v>
      </c>
      <c r="Y917" s="573">
        <v>16</v>
      </c>
      <c r="Z917" s="579" t="s">
        <v>178</v>
      </c>
      <c r="AA917" s="579" t="s">
        <v>178</v>
      </c>
      <c r="AB917" s="584">
        <v>37385</v>
      </c>
      <c r="AC917" s="584" t="s">
        <v>164</v>
      </c>
      <c r="AD917" s="584">
        <v>26400</v>
      </c>
      <c r="AE917" s="586">
        <v>0.01</v>
      </c>
      <c r="AF917" s="661" t="str">
        <f t="shared" si="101"/>
        <v>2019-LVN-FRD-T15W-007-15</v>
      </c>
      <c r="AG917" s="661" t="str">
        <f>IF(AND($Y917&gt;=32,(AI917="I"),(Y917&lt;&gt;"~"),(COUNTIF($AN$1:$AN917,$AN917)=1)),"TRUE","FALSE")</f>
        <v>FALSE</v>
      </c>
      <c r="AH917" s="661" t="str">
        <f>IF(AND($Y917&gt;=22, (AI917&lt;&gt;"I"),(Y917&lt;&gt;"~"),(COUNTIF($AN$1:$AN917,$AN917)=1)),"TRUE","FALSE")</f>
        <v>FALSE</v>
      </c>
      <c r="AI917" s="661" t="str">
        <f t="shared" si="96"/>
        <v>II</v>
      </c>
      <c r="AJ917" s="662" t="str">
        <f t="shared" si="97"/>
        <v>T15W-007</v>
      </c>
      <c r="AK917" s="662" t="str">
        <f t="shared" si="98"/>
        <v>LVN</v>
      </c>
      <c r="AL917" s="662" t="str">
        <f t="shared" si="99"/>
        <v>FRD</v>
      </c>
      <c r="AM917" s="662" t="str">
        <f t="shared" si="95"/>
        <v>Transit 150 Wagon-XL Sliding RH Door-RWD-8-82.2-~-3.7L-6-K1Y-301A-129.9-25-Unleaded-Unleaded</v>
      </c>
      <c r="AN917" s="662" t="str">
        <f t="shared" si="100"/>
        <v>2019-LVN-FRD-T15W-007</v>
      </c>
    </row>
    <row r="918" spans="1:40" s="572" customFormat="1" ht="15">
      <c r="A918" s="570" t="s">
        <v>2070</v>
      </c>
      <c r="B918" s="569" t="s">
        <v>2061</v>
      </c>
      <c r="C918" s="569" t="s">
        <v>278</v>
      </c>
      <c r="D918" s="580">
        <v>15</v>
      </c>
      <c r="E918" s="569" t="s">
        <v>1516</v>
      </c>
      <c r="F918" s="569" t="s">
        <v>1890</v>
      </c>
      <c r="G918" s="569" t="s">
        <v>271</v>
      </c>
      <c r="H918" s="569">
        <v>2019</v>
      </c>
      <c r="I918" s="569" t="s">
        <v>2047</v>
      </c>
      <c r="J918" s="569" t="s">
        <v>2048</v>
      </c>
      <c r="K918" s="569" t="s">
        <v>236</v>
      </c>
      <c r="L918" s="569">
        <v>8</v>
      </c>
      <c r="M918" s="569">
        <v>0</v>
      </c>
      <c r="N918" s="569" t="s">
        <v>157</v>
      </c>
      <c r="O918" s="569">
        <v>3</v>
      </c>
      <c r="P918" s="569">
        <v>98.7</v>
      </c>
      <c r="Q918" s="568" t="s">
        <v>157</v>
      </c>
      <c r="R918" s="569" t="s">
        <v>1259</v>
      </c>
      <c r="S918" s="569">
        <v>6</v>
      </c>
      <c r="T918" s="569" t="s">
        <v>1910</v>
      </c>
      <c r="U918" s="569" t="s">
        <v>434</v>
      </c>
      <c r="V918" s="569">
        <v>129.9</v>
      </c>
      <c r="W918" s="569">
        <v>25</v>
      </c>
      <c r="X918" s="568">
        <v>8550</v>
      </c>
      <c r="Y918" s="573">
        <v>16</v>
      </c>
      <c r="Z918" s="581" t="s">
        <v>178</v>
      </c>
      <c r="AA918" s="581" t="s">
        <v>178</v>
      </c>
      <c r="AB918" s="585">
        <v>40700</v>
      </c>
      <c r="AC918" s="585" t="s">
        <v>164</v>
      </c>
      <c r="AD918" s="585">
        <v>31600</v>
      </c>
      <c r="AE918" s="587">
        <v>0.01</v>
      </c>
      <c r="AF918" s="661" t="str">
        <f t="shared" si="101"/>
        <v>2019-LVN-FRD-T15W-008-15</v>
      </c>
      <c r="AG918" s="661" t="str">
        <f>IF(AND($Y918&gt;=32,(AI918="I"),(Y918&lt;&gt;"~"),(COUNTIF($AN$1:$AN918,$AN918)=1)),"TRUE","FALSE")</f>
        <v>FALSE</v>
      </c>
      <c r="AH918" s="661" t="str">
        <f>IF(AND($Y918&gt;=22, (AI918&lt;&gt;"I"),(Y918&lt;&gt;"~"),(COUNTIF($AN$1:$AN918,$AN918)=1)),"TRUE","FALSE")</f>
        <v>FALSE</v>
      </c>
      <c r="AI918" s="661" t="str">
        <f t="shared" si="96"/>
        <v>II</v>
      </c>
      <c r="AJ918" s="662" t="str">
        <f t="shared" si="97"/>
        <v>T15W-008</v>
      </c>
      <c r="AK918" s="662" t="str">
        <f t="shared" si="98"/>
        <v>LVN</v>
      </c>
      <c r="AL918" s="662" t="str">
        <f t="shared" si="99"/>
        <v>FRD</v>
      </c>
      <c r="AM918" s="662" t="str">
        <f t="shared" si="95"/>
        <v>Transit 150 Wagon-XL Sliding RH Door-RWD-8-98.7-~-3.5L EcoBoost-6-K1C-301A-129.9-25-Unleaded-Unleaded</v>
      </c>
      <c r="AN918" s="662" t="str">
        <f t="shared" si="100"/>
        <v>2019-LVN-FRD-T15W-008</v>
      </c>
    </row>
    <row r="919" spans="1:40" s="572" customFormat="1" ht="15">
      <c r="A919" s="570" t="s">
        <v>2071</v>
      </c>
      <c r="B919" s="573" t="s">
        <v>2063</v>
      </c>
      <c r="C919" s="573" t="s">
        <v>278</v>
      </c>
      <c r="D919" s="578">
        <v>15</v>
      </c>
      <c r="E919" s="573" t="s">
        <v>1516</v>
      </c>
      <c r="F919" s="573" t="s">
        <v>1890</v>
      </c>
      <c r="G919" s="573" t="s">
        <v>271</v>
      </c>
      <c r="H919" s="573">
        <v>2019</v>
      </c>
      <c r="I919" s="573" t="s">
        <v>2047</v>
      </c>
      <c r="J919" s="573" t="s">
        <v>2048</v>
      </c>
      <c r="K919" s="573" t="s">
        <v>236</v>
      </c>
      <c r="L919" s="573">
        <v>8</v>
      </c>
      <c r="M919" s="573">
        <v>0</v>
      </c>
      <c r="N919" s="573" t="s">
        <v>157</v>
      </c>
      <c r="O919" s="573">
        <v>3</v>
      </c>
      <c r="P919" s="573">
        <v>98.7</v>
      </c>
      <c r="Q919" s="571" t="s">
        <v>157</v>
      </c>
      <c r="R919" s="573" t="s">
        <v>682</v>
      </c>
      <c r="S919" s="573">
        <v>6</v>
      </c>
      <c r="T919" s="573" t="s">
        <v>1910</v>
      </c>
      <c r="U919" s="573" t="s">
        <v>434</v>
      </c>
      <c r="V919" s="573">
        <v>129.9</v>
      </c>
      <c r="W919" s="573">
        <v>25</v>
      </c>
      <c r="X919" s="571">
        <v>8550</v>
      </c>
      <c r="Y919" s="573">
        <v>16</v>
      </c>
      <c r="Z919" s="579" t="s">
        <v>178</v>
      </c>
      <c r="AA919" s="579" t="s">
        <v>178</v>
      </c>
      <c r="AB919" s="584">
        <v>38835</v>
      </c>
      <c r="AC919" s="584" t="s">
        <v>164</v>
      </c>
      <c r="AD919" s="584">
        <v>29900</v>
      </c>
      <c r="AE919" s="586">
        <v>0.01</v>
      </c>
      <c r="AF919" s="661" t="str">
        <f t="shared" si="101"/>
        <v>2019-LVN-FRD-T15W-009-15</v>
      </c>
      <c r="AG919" s="661" t="str">
        <f>IF(AND($Y919&gt;=32,(AI919="I"),(Y919&lt;&gt;"~"),(COUNTIF($AN$1:$AN919,$AN919)=1)),"TRUE","FALSE")</f>
        <v>FALSE</v>
      </c>
      <c r="AH919" s="661" t="str">
        <f>IF(AND($Y919&gt;=22, (AI919&lt;&gt;"I"),(Y919&lt;&gt;"~"),(COUNTIF($AN$1:$AN919,$AN919)=1)),"TRUE","FALSE")</f>
        <v>FALSE</v>
      </c>
      <c r="AI919" s="661" t="str">
        <f t="shared" si="96"/>
        <v>II</v>
      </c>
      <c r="AJ919" s="662" t="str">
        <f t="shared" si="97"/>
        <v>T15W-009</v>
      </c>
      <c r="AK919" s="662" t="str">
        <f t="shared" si="98"/>
        <v>LVN</v>
      </c>
      <c r="AL919" s="662" t="str">
        <f t="shared" si="99"/>
        <v>FRD</v>
      </c>
      <c r="AM919" s="662" t="str">
        <f t="shared" si="95"/>
        <v>Transit 150 Wagon-XL Sliding RH Door-RWD-8-98.7-~-3.7L-6-K1C-301A-129.9-25-Unleaded-Unleaded</v>
      </c>
      <c r="AN919" s="662" t="str">
        <f t="shared" si="100"/>
        <v>2019-LVN-FRD-T15W-009</v>
      </c>
    </row>
    <row r="920" spans="1:40" s="572" customFormat="1" ht="15">
      <c r="A920" s="570" t="s">
        <v>2072</v>
      </c>
      <c r="B920" s="569" t="s">
        <v>2057</v>
      </c>
      <c r="C920" s="569" t="s">
        <v>287</v>
      </c>
      <c r="D920" s="580">
        <v>26</v>
      </c>
      <c r="E920" s="569" t="s">
        <v>1516</v>
      </c>
      <c r="F920" s="569" t="s">
        <v>1890</v>
      </c>
      <c r="G920" s="569" t="s">
        <v>271</v>
      </c>
      <c r="H920" s="569">
        <v>2019</v>
      </c>
      <c r="I920" s="569" t="s">
        <v>2047</v>
      </c>
      <c r="J920" s="569" t="s">
        <v>2048</v>
      </c>
      <c r="K920" s="569" t="s">
        <v>236</v>
      </c>
      <c r="L920" s="569">
        <v>8</v>
      </c>
      <c r="M920" s="569">
        <v>0</v>
      </c>
      <c r="N920" s="569" t="s">
        <v>157</v>
      </c>
      <c r="O920" s="569">
        <v>3</v>
      </c>
      <c r="P920" s="569">
        <v>82.2</v>
      </c>
      <c r="Q920" s="568" t="s">
        <v>157</v>
      </c>
      <c r="R920" s="569" t="s">
        <v>1259</v>
      </c>
      <c r="S920" s="569">
        <v>6</v>
      </c>
      <c r="T920" s="569" t="s">
        <v>2049</v>
      </c>
      <c r="U920" s="569" t="s">
        <v>434</v>
      </c>
      <c r="V920" s="569">
        <v>129.9</v>
      </c>
      <c r="W920" s="569">
        <v>25</v>
      </c>
      <c r="X920" s="568">
        <v>8550</v>
      </c>
      <c r="Y920" s="573">
        <v>16</v>
      </c>
      <c r="Z920" s="581" t="s">
        <v>178</v>
      </c>
      <c r="AA920" s="581" t="s">
        <v>178</v>
      </c>
      <c r="AB920" s="585">
        <v>39250</v>
      </c>
      <c r="AC920" s="585" t="s">
        <v>164</v>
      </c>
      <c r="AD920" s="585">
        <v>28172</v>
      </c>
      <c r="AE920" s="587">
        <v>0.05</v>
      </c>
      <c r="AF920" s="661" t="str">
        <f t="shared" si="101"/>
        <v>2019-LVN-FRD-T15W-006-26</v>
      </c>
      <c r="AG920" s="661" t="str">
        <f>IF(AND($Y920&gt;=32,(AI920="I"),(Y920&lt;&gt;"~"),(COUNTIF($AN$1:$AN920,$AN920)=1)),"TRUE","FALSE")</f>
        <v>FALSE</v>
      </c>
      <c r="AH920" s="661" t="str">
        <f>IF(AND($Y920&gt;=22, (AI920&lt;&gt;"I"),(Y920&lt;&gt;"~"),(COUNTIF($AN$1:$AN920,$AN920)=1)),"TRUE","FALSE")</f>
        <v>FALSE</v>
      </c>
      <c r="AI920" s="661" t="str">
        <f t="shared" si="96"/>
        <v>II</v>
      </c>
      <c r="AJ920" s="662" t="str">
        <f t="shared" si="97"/>
        <v>T15W-006</v>
      </c>
      <c r="AK920" s="662" t="str">
        <f t="shared" si="98"/>
        <v>LVN</v>
      </c>
      <c r="AL920" s="662" t="str">
        <f t="shared" si="99"/>
        <v>FRD</v>
      </c>
      <c r="AM920" s="662" t="str">
        <f t="shared" si="95"/>
        <v>Transit 150 Wagon-XL Sliding RH Door-RWD-8-82.2-~-3.5L EcoBoost-6-K1Y-301A-129.9-25-Unleaded-Unleaded</v>
      </c>
      <c r="AN920" s="662" t="str">
        <f t="shared" si="100"/>
        <v>2019-LVN-FRD-T15W-006</v>
      </c>
    </row>
    <row r="921" spans="1:40" s="572" customFormat="1" ht="15">
      <c r="A921" s="570" t="s">
        <v>2073</v>
      </c>
      <c r="B921" s="573" t="s">
        <v>2059</v>
      </c>
      <c r="C921" s="573" t="s">
        <v>287</v>
      </c>
      <c r="D921" s="578">
        <v>26</v>
      </c>
      <c r="E921" s="573" t="s">
        <v>1516</v>
      </c>
      <c r="F921" s="573" t="s">
        <v>1890</v>
      </c>
      <c r="G921" s="573" t="s">
        <v>271</v>
      </c>
      <c r="H921" s="573">
        <v>2019</v>
      </c>
      <c r="I921" s="573" t="s">
        <v>2047</v>
      </c>
      <c r="J921" s="573" t="s">
        <v>2048</v>
      </c>
      <c r="K921" s="573" t="s">
        <v>236</v>
      </c>
      <c r="L921" s="573">
        <v>8</v>
      </c>
      <c r="M921" s="573">
        <v>0</v>
      </c>
      <c r="N921" s="573" t="s">
        <v>157</v>
      </c>
      <c r="O921" s="573">
        <v>3</v>
      </c>
      <c r="P921" s="573">
        <v>82.2</v>
      </c>
      <c r="Q921" s="571" t="s">
        <v>157</v>
      </c>
      <c r="R921" s="573" t="s">
        <v>682</v>
      </c>
      <c r="S921" s="573">
        <v>6</v>
      </c>
      <c r="T921" s="573" t="s">
        <v>2049</v>
      </c>
      <c r="U921" s="573" t="s">
        <v>434</v>
      </c>
      <c r="V921" s="573">
        <v>129.9</v>
      </c>
      <c r="W921" s="573">
        <v>25</v>
      </c>
      <c r="X921" s="571">
        <v>8550</v>
      </c>
      <c r="Y921" s="573">
        <v>16</v>
      </c>
      <c r="Z921" s="579" t="s">
        <v>178</v>
      </c>
      <c r="AA921" s="579" t="s">
        <v>178</v>
      </c>
      <c r="AB921" s="584">
        <v>37385</v>
      </c>
      <c r="AC921" s="584" t="s">
        <v>164</v>
      </c>
      <c r="AD921" s="584">
        <v>26474</v>
      </c>
      <c r="AE921" s="586">
        <v>0.05</v>
      </c>
      <c r="AF921" s="661" t="str">
        <f t="shared" si="101"/>
        <v>2019-LVN-FRD-T15W-007-26</v>
      </c>
      <c r="AG921" s="661" t="str">
        <f>IF(AND($Y921&gt;=32,(AI921="I"),(Y921&lt;&gt;"~"),(COUNTIF($AN$1:$AN921,$AN921)=1)),"TRUE","FALSE")</f>
        <v>FALSE</v>
      </c>
      <c r="AH921" s="661" t="str">
        <f>IF(AND($Y921&gt;=22, (AI921&lt;&gt;"I"),(Y921&lt;&gt;"~"),(COUNTIF($AN$1:$AN921,$AN921)=1)),"TRUE","FALSE")</f>
        <v>FALSE</v>
      </c>
      <c r="AI921" s="661" t="str">
        <f t="shared" si="96"/>
        <v>II</v>
      </c>
      <c r="AJ921" s="662" t="str">
        <f t="shared" si="97"/>
        <v>T15W-007</v>
      </c>
      <c r="AK921" s="662" t="str">
        <f t="shared" si="98"/>
        <v>LVN</v>
      </c>
      <c r="AL921" s="662" t="str">
        <f t="shared" si="99"/>
        <v>FRD</v>
      </c>
      <c r="AM921" s="662" t="str">
        <f t="shared" si="95"/>
        <v>Transit 150 Wagon-XL Sliding RH Door-RWD-8-82.2-~-3.7L-6-K1Y-301A-129.9-25-Unleaded-Unleaded</v>
      </c>
      <c r="AN921" s="662" t="str">
        <f t="shared" si="100"/>
        <v>2019-LVN-FRD-T15W-007</v>
      </c>
    </row>
    <row r="922" spans="1:40" s="572" customFormat="1" ht="15">
      <c r="A922" s="570" t="s">
        <v>2074</v>
      </c>
      <c r="B922" s="569" t="s">
        <v>2061</v>
      </c>
      <c r="C922" s="569" t="s">
        <v>287</v>
      </c>
      <c r="D922" s="580">
        <v>26</v>
      </c>
      <c r="E922" s="569" t="s">
        <v>1516</v>
      </c>
      <c r="F922" s="569" t="s">
        <v>1890</v>
      </c>
      <c r="G922" s="569" t="s">
        <v>271</v>
      </c>
      <c r="H922" s="569">
        <v>2019</v>
      </c>
      <c r="I922" s="569" t="s">
        <v>2047</v>
      </c>
      <c r="J922" s="569" t="s">
        <v>2048</v>
      </c>
      <c r="K922" s="569" t="s">
        <v>236</v>
      </c>
      <c r="L922" s="569">
        <v>8</v>
      </c>
      <c r="M922" s="569">
        <v>0</v>
      </c>
      <c r="N922" s="569" t="s">
        <v>157</v>
      </c>
      <c r="O922" s="569">
        <v>3</v>
      </c>
      <c r="P922" s="569">
        <v>98.7</v>
      </c>
      <c r="Q922" s="568" t="s">
        <v>157</v>
      </c>
      <c r="R922" s="569" t="s">
        <v>1259</v>
      </c>
      <c r="S922" s="569">
        <v>6</v>
      </c>
      <c r="T922" s="569" t="s">
        <v>1910</v>
      </c>
      <c r="U922" s="569" t="s">
        <v>434</v>
      </c>
      <c r="V922" s="569">
        <v>129.9</v>
      </c>
      <c r="W922" s="569">
        <v>25</v>
      </c>
      <c r="X922" s="568">
        <v>8550</v>
      </c>
      <c r="Y922" s="573">
        <v>16</v>
      </c>
      <c r="Z922" s="581" t="s">
        <v>178</v>
      </c>
      <c r="AA922" s="581" t="s">
        <v>178</v>
      </c>
      <c r="AB922" s="585">
        <v>40700</v>
      </c>
      <c r="AC922" s="585" t="s">
        <v>164</v>
      </c>
      <c r="AD922" s="585">
        <v>31881</v>
      </c>
      <c r="AE922" s="587">
        <v>0.05</v>
      </c>
      <c r="AF922" s="661" t="str">
        <f t="shared" si="101"/>
        <v>2019-LVN-FRD-T15W-008-26</v>
      </c>
      <c r="AG922" s="661" t="str">
        <f>IF(AND($Y922&gt;=32,(AI922="I"),(Y922&lt;&gt;"~"),(COUNTIF($AN$1:$AN922,$AN922)=1)),"TRUE","FALSE")</f>
        <v>FALSE</v>
      </c>
      <c r="AH922" s="661" t="str">
        <f>IF(AND($Y922&gt;=22, (AI922&lt;&gt;"I"),(Y922&lt;&gt;"~"),(COUNTIF($AN$1:$AN922,$AN922)=1)),"TRUE","FALSE")</f>
        <v>FALSE</v>
      </c>
      <c r="AI922" s="661" t="str">
        <f t="shared" si="96"/>
        <v>II</v>
      </c>
      <c r="AJ922" s="662" t="str">
        <f t="shared" si="97"/>
        <v>T15W-008</v>
      </c>
      <c r="AK922" s="662" t="str">
        <f t="shared" si="98"/>
        <v>LVN</v>
      </c>
      <c r="AL922" s="662" t="str">
        <f t="shared" si="99"/>
        <v>FRD</v>
      </c>
      <c r="AM922" s="662" t="str">
        <f t="shared" si="95"/>
        <v>Transit 150 Wagon-XL Sliding RH Door-RWD-8-98.7-~-3.5L EcoBoost-6-K1C-301A-129.9-25-Unleaded-Unleaded</v>
      </c>
      <c r="AN922" s="662" t="str">
        <f t="shared" si="100"/>
        <v>2019-LVN-FRD-T15W-008</v>
      </c>
    </row>
    <row r="923" spans="1:40" s="572" customFormat="1" ht="15">
      <c r="A923" s="570" t="s">
        <v>2075</v>
      </c>
      <c r="B923" s="573" t="s">
        <v>2063</v>
      </c>
      <c r="C923" s="573" t="s">
        <v>287</v>
      </c>
      <c r="D923" s="578">
        <v>26</v>
      </c>
      <c r="E923" s="573" t="s">
        <v>1516</v>
      </c>
      <c r="F923" s="573" t="s">
        <v>1890</v>
      </c>
      <c r="G923" s="573" t="s">
        <v>271</v>
      </c>
      <c r="H923" s="573">
        <v>2019</v>
      </c>
      <c r="I923" s="573" t="s">
        <v>2047</v>
      </c>
      <c r="J923" s="573" t="s">
        <v>2048</v>
      </c>
      <c r="K923" s="573" t="s">
        <v>236</v>
      </c>
      <c r="L923" s="573">
        <v>8</v>
      </c>
      <c r="M923" s="573">
        <v>0</v>
      </c>
      <c r="N923" s="573" t="s">
        <v>157</v>
      </c>
      <c r="O923" s="573">
        <v>3</v>
      </c>
      <c r="P923" s="573">
        <v>98.7</v>
      </c>
      <c r="Q923" s="571" t="s">
        <v>157</v>
      </c>
      <c r="R923" s="573" t="s">
        <v>682</v>
      </c>
      <c r="S923" s="573">
        <v>6</v>
      </c>
      <c r="T923" s="573" t="s">
        <v>1910</v>
      </c>
      <c r="U923" s="573" t="s">
        <v>434</v>
      </c>
      <c r="V923" s="573">
        <v>129.9</v>
      </c>
      <c r="W923" s="573">
        <v>25</v>
      </c>
      <c r="X923" s="571">
        <v>8550</v>
      </c>
      <c r="Y923" s="573">
        <v>16</v>
      </c>
      <c r="Z923" s="579" t="s">
        <v>178</v>
      </c>
      <c r="AA923" s="579" t="s">
        <v>178</v>
      </c>
      <c r="AB923" s="584">
        <v>38835</v>
      </c>
      <c r="AC923" s="584" t="s">
        <v>164</v>
      </c>
      <c r="AD923" s="584">
        <v>30183</v>
      </c>
      <c r="AE923" s="586">
        <v>0.05</v>
      </c>
      <c r="AF923" s="661" t="str">
        <f t="shared" si="101"/>
        <v>2019-LVN-FRD-T15W-009-26</v>
      </c>
      <c r="AG923" s="661" t="str">
        <f>IF(AND($Y923&gt;=32,(AI923="I"),(Y923&lt;&gt;"~"),(COUNTIF($AN$1:$AN923,$AN923)=1)),"TRUE","FALSE")</f>
        <v>FALSE</v>
      </c>
      <c r="AH923" s="661" t="str">
        <f>IF(AND($Y923&gt;=22, (AI923&lt;&gt;"I"),(Y923&lt;&gt;"~"),(COUNTIF($AN$1:$AN923,$AN923)=1)),"TRUE","FALSE")</f>
        <v>FALSE</v>
      </c>
      <c r="AI923" s="661" t="str">
        <f t="shared" si="96"/>
        <v>II</v>
      </c>
      <c r="AJ923" s="662" t="str">
        <f t="shared" si="97"/>
        <v>T15W-009</v>
      </c>
      <c r="AK923" s="662" t="str">
        <f t="shared" si="98"/>
        <v>LVN</v>
      </c>
      <c r="AL923" s="662" t="str">
        <f t="shared" si="99"/>
        <v>FRD</v>
      </c>
      <c r="AM923" s="662" t="str">
        <f t="shared" ref="AM923:AM986" si="102">CONCATENATE(I923,"-",J923,"-",K923,"-",L923,"-",P923,"-",Q923,"-",R923,"-",S923,"-",T923,"-",U923,"-",V923,"-",W923,"-",Z923,"-",AA923)</f>
        <v>Transit 150 Wagon-XL Sliding RH Door-RWD-8-98.7-~-3.7L-6-K1C-301A-129.9-25-Unleaded-Unleaded</v>
      </c>
      <c r="AN923" s="662" t="str">
        <f t="shared" si="100"/>
        <v>2019-LVN-FRD-T15W-009</v>
      </c>
    </row>
    <row r="924" spans="1:40" s="572" customFormat="1" ht="15">
      <c r="A924" s="570" t="s">
        <v>2076</v>
      </c>
      <c r="B924" s="569" t="s">
        <v>2046</v>
      </c>
      <c r="C924" s="569" t="s">
        <v>280</v>
      </c>
      <c r="D924" s="580">
        <v>27</v>
      </c>
      <c r="E924" s="569" t="s">
        <v>1516</v>
      </c>
      <c r="F924" s="569" t="s">
        <v>1890</v>
      </c>
      <c r="G924" s="569" t="s">
        <v>271</v>
      </c>
      <c r="H924" s="569">
        <v>2019</v>
      </c>
      <c r="I924" s="569" t="s">
        <v>2047</v>
      </c>
      <c r="J924" s="569" t="s">
        <v>2048</v>
      </c>
      <c r="K924" s="569" t="s">
        <v>236</v>
      </c>
      <c r="L924" s="569">
        <v>10</v>
      </c>
      <c r="M924" s="569">
        <v>0</v>
      </c>
      <c r="N924" s="569" t="s">
        <v>157</v>
      </c>
      <c r="O924" s="569">
        <v>4</v>
      </c>
      <c r="P924" s="569">
        <v>82.2</v>
      </c>
      <c r="Q924" s="568" t="s">
        <v>157</v>
      </c>
      <c r="R924" s="569" t="s">
        <v>1259</v>
      </c>
      <c r="S924" s="569">
        <v>6</v>
      </c>
      <c r="T924" s="569" t="s">
        <v>2049</v>
      </c>
      <c r="U924" s="569" t="s">
        <v>434</v>
      </c>
      <c r="V924" s="569">
        <v>129.9</v>
      </c>
      <c r="W924" s="569">
        <v>25</v>
      </c>
      <c r="X924" s="568">
        <v>8550</v>
      </c>
      <c r="Y924" s="573">
        <v>16</v>
      </c>
      <c r="Z924" s="581" t="s">
        <v>178</v>
      </c>
      <c r="AA924" s="581" t="s">
        <v>178</v>
      </c>
      <c r="AB924" s="585">
        <v>40500</v>
      </c>
      <c r="AC924" s="585" t="s">
        <v>164</v>
      </c>
      <c r="AD924" s="585">
        <v>28489.25</v>
      </c>
      <c r="AE924" s="587">
        <v>0.03</v>
      </c>
      <c r="AF924" s="661" t="str">
        <f t="shared" si="101"/>
        <v>2019-LVN-FRD-T15W-001-27</v>
      </c>
      <c r="AG924" s="661" t="str">
        <f>IF(AND($Y924&gt;=32,(AI924="I"),(Y924&lt;&gt;"~"),(COUNTIF($AN$1:$AN924,$AN924)=1)),"TRUE","FALSE")</f>
        <v>FALSE</v>
      </c>
      <c r="AH924" s="661" t="str">
        <f>IF(AND($Y924&gt;=22, (AI924&lt;&gt;"I"),(Y924&lt;&gt;"~"),(COUNTIF($AN$1:$AN924,$AN924)=1)),"TRUE","FALSE")</f>
        <v>FALSE</v>
      </c>
      <c r="AI924" s="661" t="str">
        <f t="shared" ref="AI924:AI987" si="103">IF(OR((LEFT($E924,2)="01"),AND(LEFT($E924,2)="06",ISNUMBER(SEARCH("pas",$F924))),AND(LEFT($E924,2)="05",ISNUMBER(SEARCH("pas",$F924)))),"I",IF(AND((LEFT($E924,2)&lt;&gt;"01"),$X924&lt;=10000),"II",IF(AND((LEFT($E924,2)&lt;&gt;"01"),$X924&gt;10000),"N/A")))</f>
        <v>II</v>
      </c>
      <c r="AJ924" s="662" t="str">
        <f t="shared" si="97"/>
        <v>T15W-001</v>
      </c>
      <c r="AK924" s="662" t="str">
        <f t="shared" si="98"/>
        <v>LVN</v>
      </c>
      <c r="AL924" s="662" t="str">
        <f t="shared" si="99"/>
        <v>FRD</v>
      </c>
      <c r="AM924" s="662" t="str">
        <f t="shared" si="102"/>
        <v>Transit 150 Wagon-XL Sliding RH Door-RWD-10-82.2-~-3.5L EcoBoost-6-K1Y-301A-129.9-25-Unleaded-Unleaded</v>
      </c>
      <c r="AN924" s="662" t="str">
        <f t="shared" si="100"/>
        <v>2019-LVN-FRD-T15W-001</v>
      </c>
    </row>
    <row r="925" spans="1:40" s="572" customFormat="1" ht="15">
      <c r="A925" s="570" t="s">
        <v>2077</v>
      </c>
      <c r="B925" s="573" t="s">
        <v>2051</v>
      </c>
      <c r="C925" s="573" t="s">
        <v>280</v>
      </c>
      <c r="D925" s="578">
        <v>27</v>
      </c>
      <c r="E925" s="573" t="s">
        <v>1516</v>
      </c>
      <c r="F925" s="573" t="s">
        <v>1890</v>
      </c>
      <c r="G925" s="573" t="s">
        <v>271</v>
      </c>
      <c r="H925" s="573">
        <v>2019</v>
      </c>
      <c r="I925" s="573" t="s">
        <v>2047</v>
      </c>
      <c r="J925" s="573" t="s">
        <v>2048</v>
      </c>
      <c r="K925" s="573" t="s">
        <v>236</v>
      </c>
      <c r="L925" s="573">
        <v>10</v>
      </c>
      <c r="M925" s="573">
        <v>0</v>
      </c>
      <c r="N925" s="573" t="s">
        <v>157</v>
      </c>
      <c r="O925" s="573">
        <v>4</v>
      </c>
      <c r="P925" s="573">
        <v>82.2</v>
      </c>
      <c r="Q925" s="571" t="s">
        <v>157</v>
      </c>
      <c r="R925" s="573" t="s">
        <v>682</v>
      </c>
      <c r="S925" s="573">
        <v>6</v>
      </c>
      <c r="T925" s="573" t="s">
        <v>2049</v>
      </c>
      <c r="U925" s="573" t="s">
        <v>434</v>
      </c>
      <c r="V925" s="573">
        <v>129.9</v>
      </c>
      <c r="W925" s="573">
        <v>25</v>
      </c>
      <c r="X925" s="571">
        <v>8550</v>
      </c>
      <c r="Y925" s="573">
        <v>16</v>
      </c>
      <c r="Z925" s="579" t="s">
        <v>178</v>
      </c>
      <c r="AA925" s="579" t="s">
        <v>178</v>
      </c>
      <c r="AB925" s="584">
        <v>38635</v>
      </c>
      <c r="AC925" s="584" t="s">
        <v>164</v>
      </c>
      <c r="AD925" s="584">
        <v>26833</v>
      </c>
      <c r="AE925" s="586">
        <v>0.03</v>
      </c>
      <c r="AF925" s="661" t="str">
        <f t="shared" si="101"/>
        <v>2019-LVN-FRD-T15W-002-27</v>
      </c>
      <c r="AG925" s="661" t="str">
        <f>IF(AND($Y925&gt;=32,(AI925="I"),(Y925&lt;&gt;"~"),(COUNTIF($AN$1:$AN925,$AN925)=1)),"TRUE","FALSE")</f>
        <v>FALSE</v>
      </c>
      <c r="AH925" s="661" t="str">
        <f>IF(AND($Y925&gt;=22, (AI925&lt;&gt;"I"),(Y925&lt;&gt;"~"),(COUNTIF($AN$1:$AN925,$AN925)=1)),"TRUE","FALSE")</f>
        <v>FALSE</v>
      </c>
      <c r="AI925" s="661" t="str">
        <f t="shared" si="103"/>
        <v>II</v>
      </c>
      <c r="AJ925" s="662" t="str">
        <f t="shared" si="97"/>
        <v>T15W-002</v>
      </c>
      <c r="AK925" s="662" t="str">
        <f t="shared" si="98"/>
        <v>LVN</v>
      </c>
      <c r="AL925" s="662" t="str">
        <f t="shared" si="99"/>
        <v>FRD</v>
      </c>
      <c r="AM925" s="662" t="str">
        <f t="shared" si="102"/>
        <v>Transit 150 Wagon-XL Sliding RH Door-RWD-10-82.2-~-3.7L-6-K1Y-301A-129.9-25-Unleaded-Unleaded</v>
      </c>
      <c r="AN925" s="662" t="str">
        <f t="shared" si="100"/>
        <v>2019-LVN-FRD-T15W-002</v>
      </c>
    </row>
    <row r="926" spans="1:40" s="572" customFormat="1" ht="15">
      <c r="A926" s="570" t="s">
        <v>2078</v>
      </c>
      <c r="B926" s="569" t="s">
        <v>2053</v>
      </c>
      <c r="C926" s="569" t="s">
        <v>280</v>
      </c>
      <c r="D926" s="580">
        <v>27</v>
      </c>
      <c r="E926" s="569" t="s">
        <v>1516</v>
      </c>
      <c r="F926" s="569" t="s">
        <v>1890</v>
      </c>
      <c r="G926" s="569" t="s">
        <v>271</v>
      </c>
      <c r="H926" s="569">
        <v>2019</v>
      </c>
      <c r="I926" s="569" t="s">
        <v>2047</v>
      </c>
      <c r="J926" s="569" t="s">
        <v>2048</v>
      </c>
      <c r="K926" s="569" t="s">
        <v>236</v>
      </c>
      <c r="L926" s="569">
        <v>10</v>
      </c>
      <c r="M926" s="569">
        <v>0</v>
      </c>
      <c r="N926" s="569" t="s">
        <v>157</v>
      </c>
      <c r="O926" s="569">
        <v>4</v>
      </c>
      <c r="P926" s="569">
        <v>98.7</v>
      </c>
      <c r="Q926" s="568" t="s">
        <v>157</v>
      </c>
      <c r="R926" s="569" t="s">
        <v>1259</v>
      </c>
      <c r="S926" s="569">
        <v>6</v>
      </c>
      <c r="T926" s="569" t="s">
        <v>1910</v>
      </c>
      <c r="U926" s="569" t="s">
        <v>434</v>
      </c>
      <c r="V926" s="569">
        <v>129.9</v>
      </c>
      <c r="W926" s="569">
        <v>25</v>
      </c>
      <c r="X926" s="568">
        <v>8550</v>
      </c>
      <c r="Y926" s="573">
        <v>16</v>
      </c>
      <c r="Z926" s="581" t="s">
        <v>178</v>
      </c>
      <c r="AA926" s="581" t="s">
        <v>178</v>
      </c>
      <c r="AB926" s="585">
        <v>41950</v>
      </c>
      <c r="AC926" s="585" t="s">
        <v>164</v>
      </c>
      <c r="AD926" s="585">
        <v>32105.916666666668</v>
      </c>
      <c r="AE926" s="587">
        <v>0.03</v>
      </c>
      <c r="AF926" s="661" t="str">
        <f t="shared" si="101"/>
        <v>2019-LVN-FRD-T15W-003-27</v>
      </c>
      <c r="AG926" s="661" t="str">
        <f>IF(AND($Y926&gt;=32,(AI926="I"),(Y926&lt;&gt;"~"),(COUNTIF($AN$1:$AN926,$AN926)=1)),"TRUE","FALSE")</f>
        <v>FALSE</v>
      </c>
      <c r="AH926" s="661" t="str">
        <f>IF(AND($Y926&gt;=22, (AI926&lt;&gt;"I"),(Y926&lt;&gt;"~"),(COUNTIF($AN$1:$AN926,$AN926)=1)),"TRUE","FALSE")</f>
        <v>FALSE</v>
      </c>
      <c r="AI926" s="661" t="str">
        <f t="shared" si="103"/>
        <v>II</v>
      </c>
      <c r="AJ926" s="662" t="str">
        <f t="shared" si="97"/>
        <v>T15W-003</v>
      </c>
      <c r="AK926" s="662" t="str">
        <f t="shared" si="98"/>
        <v>LVN</v>
      </c>
      <c r="AL926" s="662" t="str">
        <f t="shared" si="99"/>
        <v>FRD</v>
      </c>
      <c r="AM926" s="662" t="str">
        <f t="shared" si="102"/>
        <v>Transit 150 Wagon-XL Sliding RH Door-RWD-10-98.7-~-3.5L EcoBoost-6-K1C-301A-129.9-25-Unleaded-Unleaded</v>
      </c>
      <c r="AN926" s="662" t="str">
        <f t="shared" si="100"/>
        <v>2019-LVN-FRD-T15W-003</v>
      </c>
    </row>
    <row r="927" spans="1:40" s="572" customFormat="1" ht="15">
      <c r="A927" s="570" t="s">
        <v>2079</v>
      </c>
      <c r="B927" s="573" t="s">
        <v>2055</v>
      </c>
      <c r="C927" s="573" t="s">
        <v>280</v>
      </c>
      <c r="D927" s="578">
        <v>27</v>
      </c>
      <c r="E927" s="573" t="s">
        <v>1516</v>
      </c>
      <c r="F927" s="573" t="s">
        <v>1890</v>
      </c>
      <c r="G927" s="573" t="s">
        <v>271</v>
      </c>
      <c r="H927" s="573">
        <v>2019</v>
      </c>
      <c r="I927" s="573" t="s">
        <v>2047</v>
      </c>
      <c r="J927" s="573" t="s">
        <v>2048</v>
      </c>
      <c r="K927" s="573" t="s">
        <v>236</v>
      </c>
      <c r="L927" s="573">
        <v>10</v>
      </c>
      <c r="M927" s="573">
        <v>0</v>
      </c>
      <c r="N927" s="573" t="s">
        <v>157</v>
      </c>
      <c r="O927" s="573">
        <v>4</v>
      </c>
      <c r="P927" s="573">
        <v>98.7</v>
      </c>
      <c r="Q927" s="571" t="s">
        <v>157</v>
      </c>
      <c r="R927" s="573" t="s">
        <v>682</v>
      </c>
      <c r="S927" s="573">
        <v>6</v>
      </c>
      <c r="T927" s="573" t="s">
        <v>1910</v>
      </c>
      <c r="U927" s="573" t="s">
        <v>434</v>
      </c>
      <c r="V927" s="573">
        <v>129.9</v>
      </c>
      <c r="W927" s="573">
        <v>25</v>
      </c>
      <c r="X927" s="571">
        <v>8550</v>
      </c>
      <c r="Y927" s="573">
        <v>16</v>
      </c>
      <c r="Z927" s="579" t="s">
        <v>178</v>
      </c>
      <c r="AA927" s="579" t="s">
        <v>178</v>
      </c>
      <c r="AB927" s="584">
        <v>40085</v>
      </c>
      <c r="AC927" s="584" t="s">
        <v>164</v>
      </c>
      <c r="AD927" s="584">
        <v>30449.666666666668</v>
      </c>
      <c r="AE927" s="586">
        <v>0.03</v>
      </c>
      <c r="AF927" s="661" t="str">
        <f t="shared" si="101"/>
        <v>2019-LVN-FRD-T15W-004-27</v>
      </c>
      <c r="AG927" s="661" t="str">
        <f>IF(AND($Y927&gt;=32,(AI927="I"),(Y927&lt;&gt;"~"),(COUNTIF($AN$1:$AN927,$AN927)=1)),"TRUE","FALSE")</f>
        <v>FALSE</v>
      </c>
      <c r="AH927" s="661" t="str">
        <f>IF(AND($Y927&gt;=22, (AI927&lt;&gt;"I"),(Y927&lt;&gt;"~"),(COUNTIF($AN$1:$AN927,$AN927)=1)),"TRUE","FALSE")</f>
        <v>FALSE</v>
      </c>
      <c r="AI927" s="661" t="str">
        <f t="shared" si="103"/>
        <v>II</v>
      </c>
      <c r="AJ927" s="662" t="str">
        <f t="shared" si="97"/>
        <v>T15W-004</v>
      </c>
      <c r="AK927" s="662" t="str">
        <f t="shared" si="98"/>
        <v>LVN</v>
      </c>
      <c r="AL927" s="662" t="str">
        <f t="shared" si="99"/>
        <v>FRD</v>
      </c>
      <c r="AM927" s="662" t="str">
        <f t="shared" si="102"/>
        <v>Transit 150 Wagon-XL Sliding RH Door-RWD-10-98.7-~-3.7L-6-K1C-301A-129.9-25-Unleaded-Unleaded</v>
      </c>
      <c r="AN927" s="662" t="str">
        <f t="shared" si="100"/>
        <v>2019-LVN-FRD-T15W-004</v>
      </c>
    </row>
    <row r="928" spans="1:40" s="572" customFormat="1" ht="15">
      <c r="A928" s="570" t="s">
        <v>2080</v>
      </c>
      <c r="B928" s="569" t="s">
        <v>2057</v>
      </c>
      <c r="C928" s="569" t="s">
        <v>280</v>
      </c>
      <c r="D928" s="580">
        <v>27</v>
      </c>
      <c r="E928" s="569" t="s">
        <v>1516</v>
      </c>
      <c r="F928" s="569" t="s">
        <v>1890</v>
      </c>
      <c r="G928" s="569" t="s">
        <v>271</v>
      </c>
      <c r="H928" s="569">
        <v>2019</v>
      </c>
      <c r="I928" s="569" t="s">
        <v>2047</v>
      </c>
      <c r="J928" s="569" t="s">
        <v>2048</v>
      </c>
      <c r="K928" s="569" t="s">
        <v>236</v>
      </c>
      <c r="L928" s="569">
        <v>8</v>
      </c>
      <c r="M928" s="569">
        <v>0</v>
      </c>
      <c r="N928" s="569" t="s">
        <v>157</v>
      </c>
      <c r="O928" s="569">
        <v>3</v>
      </c>
      <c r="P928" s="569">
        <v>82.2</v>
      </c>
      <c r="Q928" s="568" t="s">
        <v>157</v>
      </c>
      <c r="R928" s="569" t="s">
        <v>1259</v>
      </c>
      <c r="S928" s="569">
        <v>6</v>
      </c>
      <c r="T928" s="569" t="s">
        <v>2049</v>
      </c>
      <c r="U928" s="569" t="s">
        <v>434</v>
      </c>
      <c r="V928" s="569">
        <v>129.9</v>
      </c>
      <c r="W928" s="569">
        <v>25</v>
      </c>
      <c r="X928" s="568">
        <v>8550</v>
      </c>
      <c r="Y928" s="573">
        <v>16</v>
      </c>
      <c r="Z928" s="581" t="s">
        <v>178</v>
      </c>
      <c r="AA928" s="581" t="s">
        <v>178</v>
      </c>
      <c r="AB928" s="585">
        <v>39250</v>
      </c>
      <c r="AC928" s="585" t="s">
        <v>164</v>
      </c>
      <c r="AD928" s="585">
        <v>27378.833333333336</v>
      </c>
      <c r="AE928" s="587">
        <v>0.03</v>
      </c>
      <c r="AF928" s="661" t="str">
        <f t="shared" si="101"/>
        <v>2019-LVN-FRD-T15W-006-27</v>
      </c>
      <c r="AG928" s="661" t="str">
        <f>IF(AND($Y928&gt;=32,(AI928="I"),(Y928&lt;&gt;"~"),(COUNTIF($AN$1:$AN928,$AN928)=1)),"TRUE","FALSE")</f>
        <v>FALSE</v>
      </c>
      <c r="AH928" s="661" t="str">
        <f>IF(AND($Y928&gt;=22, (AI928&lt;&gt;"I"),(Y928&lt;&gt;"~"),(COUNTIF($AN$1:$AN928,$AN928)=1)),"TRUE","FALSE")</f>
        <v>FALSE</v>
      </c>
      <c r="AI928" s="661" t="str">
        <f t="shared" si="103"/>
        <v>II</v>
      </c>
      <c r="AJ928" s="662" t="str">
        <f t="shared" si="97"/>
        <v>T15W-006</v>
      </c>
      <c r="AK928" s="662" t="str">
        <f t="shared" si="98"/>
        <v>LVN</v>
      </c>
      <c r="AL928" s="662" t="str">
        <f t="shared" si="99"/>
        <v>FRD</v>
      </c>
      <c r="AM928" s="662" t="str">
        <f t="shared" si="102"/>
        <v>Transit 150 Wagon-XL Sliding RH Door-RWD-8-82.2-~-3.5L EcoBoost-6-K1Y-301A-129.9-25-Unleaded-Unleaded</v>
      </c>
      <c r="AN928" s="662" t="str">
        <f t="shared" si="100"/>
        <v>2019-LVN-FRD-T15W-006</v>
      </c>
    </row>
    <row r="929" spans="1:40" s="572" customFormat="1" ht="15">
      <c r="A929" s="570" t="s">
        <v>2081</v>
      </c>
      <c r="B929" s="573" t="s">
        <v>2059</v>
      </c>
      <c r="C929" s="573" t="s">
        <v>280</v>
      </c>
      <c r="D929" s="578">
        <v>27</v>
      </c>
      <c r="E929" s="573" t="s">
        <v>1516</v>
      </c>
      <c r="F929" s="573" t="s">
        <v>1890</v>
      </c>
      <c r="G929" s="573" t="s">
        <v>271</v>
      </c>
      <c r="H929" s="573">
        <v>2019</v>
      </c>
      <c r="I929" s="573" t="s">
        <v>2047</v>
      </c>
      <c r="J929" s="573" t="s">
        <v>2048</v>
      </c>
      <c r="K929" s="573" t="s">
        <v>236</v>
      </c>
      <c r="L929" s="573">
        <v>8</v>
      </c>
      <c r="M929" s="573">
        <v>0</v>
      </c>
      <c r="N929" s="573" t="s">
        <v>157</v>
      </c>
      <c r="O929" s="573">
        <v>3</v>
      </c>
      <c r="P929" s="573">
        <v>82.2</v>
      </c>
      <c r="Q929" s="571" t="s">
        <v>157</v>
      </c>
      <c r="R929" s="573" t="s">
        <v>682</v>
      </c>
      <c r="S929" s="573">
        <v>6</v>
      </c>
      <c r="T929" s="573" t="s">
        <v>2049</v>
      </c>
      <c r="U929" s="573" t="s">
        <v>434</v>
      </c>
      <c r="V929" s="573">
        <v>129.9</v>
      </c>
      <c r="W929" s="573">
        <v>25</v>
      </c>
      <c r="X929" s="571">
        <v>8550</v>
      </c>
      <c r="Y929" s="573">
        <v>16</v>
      </c>
      <c r="Z929" s="579" t="s">
        <v>178</v>
      </c>
      <c r="AA929" s="579" t="s">
        <v>178</v>
      </c>
      <c r="AB929" s="584">
        <v>37385</v>
      </c>
      <c r="AC929" s="584" t="s">
        <v>164</v>
      </c>
      <c r="AD929" s="584">
        <v>25722.583333333336</v>
      </c>
      <c r="AE929" s="586">
        <v>0.03</v>
      </c>
      <c r="AF929" s="661" t="str">
        <f t="shared" si="101"/>
        <v>2019-LVN-FRD-T15W-007-27</v>
      </c>
      <c r="AG929" s="661" t="str">
        <f>IF(AND($Y929&gt;=32,(AI929="I"),(Y929&lt;&gt;"~"),(COUNTIF($AN$1:$AN929,$AN929)=1)),"TRUE","FALSE")</f>
        <v>FALSE</v>
      </c>
      <c r="AH929" s="661" t="str">
        <f>IF(AND($Y929&gt;=22, (AI929&lt;&gt;"I"),(Y929&lt;&gt;"~"),(COUNTIF($AN$1:$AN929,$AN929)=1)),"TRUE","FALSE")</f>
        <v>FALSE</v>
      </c>
      <c r="AI929" s="661" t="str">
        <f t="shared" si="103"/>
        <v>II</v>
      </c>
      <c r="AJ929" s="662" t="str">
        <f t="shared" si="97"/>
        <v>T15W-007</v>
      </c>
      <c r="AK929" s="662" t="str">
        <f t="shared" si="98"/>
        <v>LVN</v>
      </c>
      <c r="AL929" s="662" t="str">
        <f t="shared" si="99"/>
        <v>FRD</v>
      </c>
      <c r="AM929" s="662" t="str">
        <f t="shared" si="102"/>
        <v>Transit 150 Wagon-XL Sliding RH Door-RWD-8-82.2-~-3.7L-6-K1Y-301A-129.9-25-Unleaded-Unleaded</v>
      </c>
      <c r="AN929" s="662" t="str">
        <f t="shared" si="100"/>
        <v>2019-LVN-FRD-T15W-007</v>
      </c>
    </row>
    <row r="930" spans="1:40" s="572" customFormat="1" ht="15">
      <c r="A930" s="570" t="s">
        <v>2082</v>
      </c>
      <c r="B930" s="569" t="s">
        <v>2061</v>
      </c>
      <c r="C930" s="569" t="s">
        <v>280</v>
      </c>
      <c r="D930" s="580">
        <v>27</v>
      </c>
      <c r="E930" s="569" t="s">
        <v>1516</v>
      </c>
      <c r="F930" s="569" t="s">
        <v>1890</v>
      </c>
      <c r="G930" s="569" t="s">
        <v>271</v>
      </c>
      <c r="H930" s="569">
        <v>2019</v>
      </c>
      <c r="I930" s="569" t="s">
        <v>2047</v>
      </c>
      <c r="J930" s="569" t="s">
        <v>2048</v>
      </c>
      <c r="K930" s="569" t="s">
        <v>236</v>
      </c>
      <c r="L930" s="569">
        <v>8</v>
      </c>
      <c r="M930" s="569">
        <v>0</v>
      </c>
      <c r="N930" s="569" t="s">
        <v>157</v>
      </c>
      <c r="O930" s="569">
        <v>3</v>
      </c>
      <c r="P930" s="569">
        <v>98.7</v>
      </c>
      <c r="Q930" s="568" t="s">
        <v>157</v>
      </c>
      <c r="R930" s="569" t="s">
        <v>1259</v>
      </c>
      <c r="S930" s="569">
        <v>6</v>
      </c>
      <c r="T930" s="569" t="s">
        <v>1910</v>
      </c>
      <c r="U930" s="569" t="s">
        <v>434</v>
      </c>
      <c r="V930" s="569">
        <v>129.9</v>
      </c>
      <c r="W930" s="569">
        <v>25</v>
      </c>
      <c r="X930" s="568">
        <v>8550</v>
      </c>
      <c r="Y930" s="573">
        <v>16</v>
      </c>
      <c r="Z930" s="581" t="s">
        <v>178</v>
      </c>
      <c r="AA930" s="581" t="s">
        <v>178</v>
      </c>
      <c r="AB930" s="585">
        <v>40700</v>
      </c>
      <c r="AC930" s="585" t="s">
        <v>164</v>
      </c>
      <c r="AD930" s="585">
        <v>30995.5</v>
      </c>
      <c r="AE930" s="587">
        <v>0.03</v>
      </c>
      <c r="AF930" s="661" t="str">
        <f t="shared" si="101"/>
        <v>2019-LVN-FRD-T15W-008-27</v>
      </c>
      <c r="AG930" s="661" t="str">
        <f>IF(AND($Y930&gt;=32,(AI930="I"),(Y930&lt;&gt;"~"),(COUNTIF($AN$1:$AN930,$AN930)=1)),"TRUE","FALSE")</f>
        <v>FALSE</v>
      </c>
      <c r="AH930" s="661" t="str">
        <f>IF(AND($Y930&gt;=22, (AI930&lt;&gt;"I"),(Y930&lt;&gt;"~"),(COUNTIF($AN$1:$AN930,$AN930)=1)),"TRUE","FALSE")</f>
        <v>FALSE</v>
      </c>
      <c r="AI930" s="661" t="str">
        <f t="shared" si="103"/>
        <v>II</v>
      </c>
      <c r="AJ930" s="662" t="str">
        <f t="shared" si="97"/>
        <v>T15W-008</v>
      </c>
      <c r="AK930" s="662" t="str">
        <f t="shared" si="98"/>
        <v>LVN</v>
      </c>
      <c r="AL930" s="662" t="str">
        <f t="shared" si="99"/>
        <v>FRD</v>
      </c>
      <c r="AM930" s="662" t="str">
        <f t="shared" si="102"/>
        <v>Transit 150 Wagon-XL Sliding RH Door-RWD-8-98.7-~-3.5L EcoBoost-6-K1C-301A-129.9-25-Unleaded-Unleaded</v>
      </c>
      <c r="AN930" s="662" t="str">
        <f t="shared" si="100"/>
        <v>2019-LVN-FRD-T15W-008</v>
      </c>
    </row>
    <row r="931" spans="1:40" s="572" customFormat="1" ht="15">
      <c r="A931" s="570" t="s">
        <v>2083</v>
      </c>
      <c r="B931" s="573" t="s">
        <v>2063</v>
      </c>
      <c r="C931" s="573" t="s">
        <v>280</v>
      </c>
      <c r="D931" s="578">
        <v>27</v>
      </c>
      <c r="E931" s="573" t="s">
        <v>1516</v>
      </c>
      <c r="F931" s="573" t="s">
        <v>1890</v>
      </c>
      <c r="G931" s="573" t="s">
        <v>271</v>
      </c>
      <c r="H931" s="573">
        <v>2019</v>
      </c>
      <c r="I931" s="573" t="s">
        <v>2047</v>
      </c>
      <c r="J931" s="573" t="s">
        <v>2048</v>
      </c>
      <c r="K931" s="573" t="s">
        <v>236</v>
      </c>
      <c r="L931" s="573">
        <v>8</v>
      </c>
      <c r="M931" s="573">
        <v>0</v>
      </c>
      <c r="N931" s="573" t="s">
        <v>157</v>
      </c>
      <c r="O931" s="573">
        <v>3</v>
      </c>
      <c r="P931" s="573">
        <v>98.7</v>
      </c>
      <c r="Q931" s="571" t="s">
        <v>157</v>
      </c>
      <c r="R931" s="573" t="s">
        <v>682</v>
      </c>
      <c r="S931" s="573">
        <v>6</v>
      </c>
      <c r="T931" s="573" t="s">
        <v>1910</v>
      </c>
      <c r="U931" s="573" t="s">
        <v>434</v>
      </c>
      <c r="V931" s="573">
        <v>129.9</v>
      </c>
      <c r="W931" s="573">
        <v>25</v>
      </c>
      <c r="X931" s="571">
        <v>8550</v>
      </c>
      <c r="Y931" s="573">
        <v>16</v>
      </c>
      <c r="Z931" s="579" t="s">
        <v>178</v>
      </c>
      <c r="AA931" s="579" t="s">
        <v>178</v>
      </c>
      <c r="AB931" s="584">
        <v>38835</v>
      </c>
      <c r="AC931" s="584" t="s">
        <v>164</v>
      </c>
      <c r="AD931" s="584">
        <v>29339.25</v>
      </c>
      <c r="AE931" s="586">
        <v>0.03</v>
      </c>
      <c r="AF931" s="661" t="str">
        <f t="shared" si="101"/>
        <v>2019-LVN-FRD-T15W-009-27</v>
      </c>
      <c r="AG931" s="661" t="str">
        <f>IF(AND($Y931&gt;=32,(AI931="I"),(Y931&lt;&gt;"~"),(COUNTIF($AN$1:$AN931,$AN931)=1)),"TRUE","FALSE")</f>
        <v>FALSE</v>
      </c>
      <c r="AH931" s="661" t="str">
        <f>IF(AND($Y931&gt;=22, (AI931&lt;&gt;"I"),(Y931&lt;&gt;"~"),(COUNTIF($AN$1:$AN931,$AN931)=1)),"TRUE","FALSE")</f>
        <v>FALSE</v>
      </c>
      <c r="AI931" s="661" t="str">
        <f t="shared" si="103"/>
        <v>II</v>
      </c>
      <c r="AJ931" s="662" t="str">
        <f t="shared" si="97"/>
        <v>T15W-009</v>
      </c>
      <c r="AK931" s="662" t="str">
        <f t="shared" si="98"/>
        <v>LVN</v>
      </c>
      <c r="AL931" s="662" t="str">
        <f t="shared" si="99"/>
        <v>FRD</v>
      </c>
      <c r="AM931" s="662" t="str">
        <f t="shared" si="102"/>
        <v>Transit 150 Wagon-XL Sliding RH Door-RWD-8-98.7-~-3.7L-6-K1C-301A-129.9-25-Unleaded-Unleaded</v>
      </c>
      <c r="AN931" s="662" t="str">
        <f t="shared" si="100"/>
        <v>2019-LVN-FRD-T15W-009</v>
      </c>
    </row>
    <row r="932" spans="1:40" s="572" customFormat="1" ht="15">
      <c r="A932" s="570" t="s">
        <v>2084</v>
      </c>
      <c r="B932" s="569" t="s">
        <v>2085</v>
      </c>
      <c r="C932" s="569" t="s">
        <v>269</v>
      </c>
      <c r="D932" s="580" t="s">
        <v>270</v>
      </c>
      <c r="E932" s="569" t="s">
        <v>1516</v>
      </c>
      <c r="F932" s="569" t="s">
        <v>1890</v>
      </c>
      <c r="G932" s="569" t="s">
        <v>271</v>
      </c>
      <c r="H932" s="569">
        <v>2019</v>
      </c>
      <c r="I932" s="569" t="s">
        <v>2047</v>
      </c>
      <c r="J932" s="569" t="s">
        <v>2086</v>
      </c>
      <c r="K932" s="569" t="s">
        <v>236</v>
      </c>
      <c r="L932" s="569">
        <v>10</v>
      </c>
      <c r="M932" s="569">
        <v>0</v>
      </c>
      <c r="N932" s="569" t="s">
        <v>157</v>
      </c>
      <c r="O932" s="569">
        <v>4</v>
      </c>
      <c r="P932" s="569">
        <v>82.2</v>
      </c>
      <c r="Q932" s="568" t="s">
        <v>157</v>
      </c>
      <c r="R932" s="569" t="s">
        <v>1259</v>
      </c>
      <c r="S932" s="569">
        <v>6</v>
      </c>
      <c r="T932" s="569" t="s">
        <v>2087</v>
      </c>
      <c r="U932" s="569" t="s">
        <v>434</v>
      </c>
      <c r="V932" s="569">
        <v>129.9</v>
      </c>
      <c r="W932" s="569">
        <v>25</v>
      </c>
      <c r="X932" s="568">
        <v>8550</v>
      </c>
      <c r="Y932" s="573">
        <v>16</v>
      </c>
      <c r="Z932" s="581" t="s">
        <v>178</v>
      </c>
      <c r="AA932" s="581" t="s">
        <v>178</v>
      </c>
      <c r="AB932" s="585">
        <v>40350</v>
      </c>
      <c r="AC932" s="585" t="s">
        <v>164</v>
      </c>
      <c r="AD932" s="585">
        <v>28351.75</v>
      </c>
      <c r="AE932" s="587">
        <v>0.03</v>
      </c>
      <c r="AF932" s="661" t="str">
        <f t="shared" si="101"/>
        <v>2019-LVN-FRD-T15W-011-05</v>
      </c>
      <c r="AG932" s="661" t="str">
        <f>IF(AND($Y932&gt;=32,(AI932="I"),(Y932&lt;&gt;"~"),(COUNTIF($AN$1:$AN932,$AN932)=1)),"TRUE","FALSE")</f>
        <v>FALSE</v>
      </c>
      <c r="AH932" s="661" t="str">
        <f>IF(AND($Y932&gt;=22, (AI932&lt;&gt;"I"),(Y932&lt;&gt;"~"),(COUNTIF($AN$1:$AN932,$AN932)=1)),"TRUE","FALSE")</f>
        <v>FALSE</v>
      </c>
      <c r="AI932" s="661" t="str">
        <f t="shared" si="103"/>
        <v>II</v>
      </c>
      <c r="AJ932" s="662" t="str">
        <f t="shared" si="97"/>
        <v>T15W-011</v>
      </c>
      <c r="AK932" s="662" t="str">
        <f t="shared" si="98"/>
        <v>LVN</v>
      </c>
      <c r="AL932" s="662" t="str">
        <f t="shared" si="99"/>
        <v>FRD</v>
      </c>
      <c r="AM932" s="662" t="str">
        <f t="shared" si="102"/>
        <v>Transit 150 Wagon-XL Swing-Out RH Door-RWD-10-82.2-~-3.5L EcoBoost-6-K1Z-301A-129.9-25-Unleaded-Unleaded</v>
      </c>
      <c r="AN932" s="662" t="str">
        <f t="shared" si="100"/>
        <v>2019-LVN-FRD-T15W-011</v>
      </c>
    </row>
    <row r="933" spans="1:40" s="572" customFormat="1" ht="15">
      <c r="A933" s="570" t="s">
        <v>2088</v>
      </c>
      <c r="B933" s="573" t="s">
        <v>2089</v>
      </c>
      <c r="C933" s="573" t="s">
        <v>269</v>
      </c>
      <c r="D933" s="578" t="s">
        <v>270</v>
      </c>
      <c r="E933" s="573" t="s">
        <v>1516</v>
      </c>
      <c r="F933" s="573" t="s">
        <v>1890</v>
      </c>
      <c r="G933" s="573" t="s">
        <v>271</v>
      </c>
      <c r="H933" s="573">
        <v>2019</v>
      </c>
      <c r="I933" s="573" t="s">
        <v>2047</v>
      </c>
      <c r="J933" s="573" t="s">
        <v>2086</v>
      </c>
      <c r="K933" s="573" t="s">
        <v>236</v>
      </c>
      <c r="L933" s="573">
        <v>10</v>
      </c>
      <c r="M933" s="573">
        <v>0</v>
      </c>
      <c r="N933" s="573" t="s">
        <v>157</v>
      </c>
      <c r="O933" s="573">
        <v>4</v>
      </c>
      <c r="P933" s="573">
        <v>82.2</v>
      </c>
      <c r="Q933" s="571" t="s">
        <v>157</v>
      </c>
      <c r="R933" s="573" t="s">
        <v>682</v>
      </c>
      <c r="S933" s="573">
        <v>6</v>
      </c>
      <c r="T933" s="573" t="s">
        <v>2087</v>
      </c>
      <c r="U933" s="573" t="s">
        <v>434</v>
      </c>
      <c r="V933" s="573">
        <v>129.9</v>
      </c>
      <c r="W933" s="573">
        <v>25</v>
      </c>
      <c r="X933" s="571">
        <v>8550</v>
      </c>
      <c r="Y933" s="573">
        <v>16</v>
      </c>
      <c r="Z933" s="579" t="s">
        <v>178</v>
      </c>
      <c r="AA933" s="579" t="s">
        <v>178</v>
      </c>
      <c r="AB933" s="584">
        <v>38485</v>
      </c>
      <c r="AC933" s="584" t="s">
        <v>164</v>
      </c>
      <c r="AD933" s="584">
        <v>26695.5</v>
      </c>
      <c r="AE933" s="586">
        <v>0.03</v>
      </c>
      <c r="AF933" s="661" t="str">
        <f t="shared" si="101"/>
        <v>2019-LVN-FRD-T15W-012-05</v>
      </c>
      <c r="AG933" s="661" t="str">
        <f>IF(AND($Y933&gt;=32,(AI933="I"),(Y933&lt;&gt;"~"),(COUNTIF($AN$1:$AN933,$AN933)=1)),"TRUE","FALSE")</f>
        <v>FALSE</v>
      </c>
      <c r="AH933" s="661" t="str">
        <f>IF(AND($Y933&gt;=22, (AI933&lt;&gt;"I"),(Y933&lt;&gt;"~"),(COUNTIF($AN$1:$AN933,$AN933)=1)),"TRUE","FALSE")</f>
        <v>FALSE</v>
      </c>
      <c r="AI933" s="661" t="str">
        <f t="shared" si="103"/>
        <v>II</v>
      </c>
      <c r="AJ933" s="662" t="str">
        <f t="shared" si="97"/>
        <v>T15W-012</v>
      </c>
      <c r="AK933" s="662" t="str">
        <f t="shared" si="98"/>
        <v>LVN</v>
      </c>
      <c r="AL933" s="662" t="str">
        <f t="shared" si="99"/>
        <v>FRD</v>
      </c>
      <c r="AM933" s="662" t="str">
        <f t="shared" si="102"/>
        <v>Transit 150 Wagon-XL Swing-Out RH Door-RWD-10-82.2-~-3.7L-6-K1Z-301A-129.9-25-Unleaded-Unleaded</v>
      </c>
      <c r="AN933" s="662" t="str">
        <f t="shared" si="100"/>
        <v>2019-LVN-FRD-T15W-012</v>
      </c>
    </row>
    <row r="934" spans="1:40" s="572" customFormat="1" ht="15">
      <c r="A934" s="570" t="s">
        <v>2090</v>
      </c>
      <c r="B934" s="569" t="s">
        <v>2091</v>
      </c>
      <c r="C934" s="569" t="s">
        <v>269</v>
      </c>
      <c r="D934" s="580" t="s">
        <v>270</v>
      </c>
      <c r="E934" s="569" t="s">
        <v>1516</v>
      </c>
      <c r="F934" s="569" t="s">
        <v>1890</v>
      </c>
      <c r="G934" s="569" t="s">
        <v>271</v>
      </c>
      <c r="H934" s="569">
        <v>2019</v>
      </c>
      <c r="I934" s="569" t="s">
        <v>2047</v>
      </c>
      <c r="J934" s="569" t="s">
        <v>2086</v>
      </c>
      <c r="K934" s="569" t="s">
        <v>236</v>
      </c>
      <c r="L934" s="569">
        <v>8</v>
      </c>
      <c r="M934" s="569">
        <v>0</v>
      </c>
      <c r="N934" s="569" t="s">
        <v>157</v>
      </c>
      <c r="O934" s="569">
        <v>3</v>
      </c>
      <c r="P934" s="569">
        <v>82.2</v>
      </c>
      <c r="Q934" s="568" t="s">
        <v>157</v>
      </c>
      <c r="R934" s="569" t="s">
        <v>1259</v>
      </c>
      <c r="S934" s="569">
        <v>6</v>
      </c>
      <c r="T934" s="569" t="s">
        <v>2087</v>
      </c>
      <c r="U934" s="569" t="s">
        <v>434</v>
      </c>
      <c r="V934" s="569">
        <v>129.9</v>
      </c>
      <c r="W934" s="569">
        <v>25</v>
      </c>
      <c r="X934" s="568">
        <v>8550</v>
      </c>
      <c r="Y934" s="573">
        <v>16</v>
      </c>
      <c r="Z934" s="581" t="s">
        <v>178</v>
      </c>
      <c r="AA934" s="581" t="s">
        <v>178</v>
      </c>
      <c r="AB934" s="585">
        <v>39100</v>
      </c>
      <c r="AC934" s="585" t="s">
        <v>164</v>
      </c>
      <c r="AD934" s="585">
        <v>27241.333333333336</v>
      </c>
      <c r="AE934" s="587">
        <v>0.03</v>
      </c>
      <c r="AF934" s="661" t="str">
        <f t="shared" si="101"/>
        <v>2019-LVN-FRD-T15W-014-05</v>
      </c>
      <c r="AG934" s="661" t="str">
        <f>IF(AND($Y934&gt;=32,(AI934="I"),(Y934&lt;&gt;"~"),(COUNTIF($AN$1:$AN934,$AN934)=1)),"TRUE","FALSE")</f>
        <v>FALSE</v>
      </c>
      <c r="AH934" s="661" t="str">
        <f>IF(AND($Y934&gt;=22, (AI934&lt;&gt;"I"),(Y934&lt;&gt;"~"),(COUNTIF($AN$1:$AN934,$AN934)=1)),"TRUE","FALSE")</f>
        <v>FALSE</v>
      </c>
      <c r="AI934" s="661" t="str">
        <f t="shared" si="103"/>
        <v>II</v>
      </c>
      <c r="AJ934" s="662" t="str">
        <f t="shared" si="97"/>
        <v>T15W-014</v>
      </c>
      <c r="AK934" s="662" t="str">
        <f t="shared" si="98"/>
        <v>LVN</v>
      </c>
      <c r="AL934" s="662" t="str">
        <f t="shared" si="99"/>
        <v>FRD</v>
      </c>
      <c r="AM934" s="662" t="str">
        <f t="shared" si="102"/>
        <v>Transit 150 Wagon-XL Swing-Out RH Door-RWD-8-82.2-~-3.5L EcoBoost-6-K1Z-301A-129.9-25-Unleaded-Unleaded</v>
      </c>
      <c r="AN934" s="662" t="str">
        <f t="shared" si="100"/>
        <v>2019-LVN-FRD-T15W-014</v>
      </c>
    </row>
    <row r="935" spans="1:40" s="572" customFormat="1" ht="15">
      <c r="A935" s="570" t="s">
        <v>2092</v>
      </c>
      <c r="B935" s="573" t="s">
        <v>2093</v>
      </c>
      <c r="C935" s="573" t="s">
        <v>269</v>
      </c>
      <c r="D935" s="578" t="s">
        <v>270</v>
      </c>
      <c r="E935" s="573" t="s">
        <v>1516</v>
      </c>
      <c r="F935" s="573" t="s">
        <v>1890</v>
      </c>
      <c r="G935" s="573" t="s">
        <v>271</v>
      </c>
      <c r="H935" s="573">
        <v>2019</v>
      </c>
      <c r="I935" s="573" t="s">
        <v>2047</v>
      </c>
      <c r="J935" s="573" t="s">
        <v>2086</v>
      </c>
      <c r="K935" s="573" t="s">
        <v>236</v>
      </c>
      <c r="L935" s="573">
        <v>8</v>
      </c>
      <c r="M935" s="573">
        <v>0</v>
      </c>
      <c r="N935" s="573" t="s">
        <v>157</v>
      </c>
      <c r="O935" s="573">
        <v>3</v>
      </c>
      <c r="P935" s="573">
        <v>82.2</v>
      </c>
      <c r="Q935" s="571" t="s">
        <v>157</v>
      </c>
      <c r="R935" s="573" t="s">
        <v>682</v>
      </c>
      <c r="S935" s="573">
        <v>6</v>
      </c>
      <c r="T935" s="573" t="s">
        <v>2087</v>
      </c>
      <c r="U935" s="573" t="s">
        <v>434</v>
      </c>
      <c r="V935" s="573">
        <v>129.9</v>
      </c>
      <c r="W935" s="573">
        <v>25</v>
      </c>
      <c r="X935" s="571">
        <v>8550</v>
      </c>
      <c r="Y935" s="573">
        <v>16</v>
      </c>
      <c r="Z935" s="579" t="s">
        <v>178</v>
      </c>
      <c r="AA935" s="579" t="s">
        <v>178</v>
      </c>
      <c r="AB935" s="584">
        <v>37235</v>
      </c>
      <c r="AC935" s="584" t="s">
        <v>164</v>
      </c>
      <c r="AD935" s="584">
        <v>25585.083333333336</v>
      </c>
      <c r="AE935" s="586">
        <v>0.03</v>
      </c>
      <c r="AF935" s="661" t="str">
        <f t="shared" si="101"/>
        <v>2019-LVN-FRD-T15W-015-05</v>
      </c>
      <c r="AG935" s="661" t="str">
        <f>IF(AND($Y935&gt;=32,(AI935="I"),(Y935&lt;&gt;"~"),(COUNTIF($AN$1:$AN935,$AN935)=1)),"TRUE","FALSE")</f>
        <v>FALSE</v>
      </c>
      <c r="AH935" s="661" t="str">
        <f>IF(AND($Y935&gt;=22, (AI935&lt;&gt;"I"),(Y935&lt;&gt;"~"),(COUNTIF($AN$1:$AN935,$AN935)=1)),"TRUE","FALSE")</f>
        <v>FALSE</v>
      </c>
      <c r="AI935" s="661" t="str">
        <f t="shared" si="103"/>
        <v>II</v>
      </c>
      <c r="AJ935" s="662" t="str">
        <f t="shared" si="97"/>
        <v>T15W-015</v>
      </c>
      <c r="AK935" s="662" t="str">
        <f t="shared" si="98"/>
        <v>LVN</v>
      </c>
      <c r="AL935" s="662" t="str">
        <f t="shared" si="99"/>
        <v>FRD</v>
      </c>
      <c r="AM935" s="662" t="str">
        <f t="shared" si="102"/>
        <v>Transit 150 Wagon-XL Swing-Out RH Door-RWD-8-82.2-~-3.7L-6-K1Z-301A-129.9-25-Unleaded-Unleaded</v>
      </c>
      <c r="AN935" s="662" t="str">
        <f t="shared" si="100"/>
        <v>2019-LVN-FRD-T15W-015</v>
      </c>
    </row>
    <row r="936" spans="1:40" s="572" customFormat="1" ht="15">
      <c r="A936" s="570" t="s">
        <v>2094</v>
      </c>
      <c r="B936" s="569" t="s">
        <v>2085</v>
      </c>
      <c r="C936" s="569" t="s">
        <v>278</v>
      </c>
      <c r="D936" s="580">
        <v>15</v>
      </c>
      <c r="E936" s="569" t="s">
        <v>1516</v>
      </c>
      <c r="F936" s="569" t="s">
        <v>1890</v>
      </c>
      <c r="G936" s="569" t="s">
        <v>271</v>
      </c>
      <c r="H936" s="569">
        <v>2019</v>
      </c>
      <c r="I936" s="569" t="s">
        <v>2047</v>
      </c>
      <c r="J936" s="569" t="s">
        <v>2086</v>
      </c>
      <c r="K936" s="569" t="s">
        <v>236</v>
      </c>
      <c r="L936" s="569">
        <v>10</v>
      </c>
      <c r="M936" s="569">
        <v>0</v>
      </c>
      <c r="N936" s="569" t="s">
        <v>157</v>
      </c>
      <c r="O936" s="569">
        <v>4</v>
      </c>
      <c r="P936" s="569">
        <v>82.2</v>
      </c>
      <c r="Q936" s="568" t="s">
        <v>157</v>
      </c>
      <c r="R936" s="569" t="s">
        <v>1259</v>
      </c>
      <c r="S936" s="569">
        <v>6</v>
      </c>
      <c r="T936" s="569" t="s">
        <v>2087</v>
      </c>
      <c r="U936" s="569" t="s">
        <v>434</v>
      </c>
      <c r="V936" s="569">
        <v>129.9</v>
      </c>
      <c r="W936" s="569">
        <v>25</v>
      </c>
      <c r="X936" s="568">
        <v>8550</v>
      </c>
      <c r="Y936" s="573">
        <v>16</v>
      </c>
      <c r="Z936" s="581" t="s">
        <v>178</v>
      </c>
      <c r="AA936" s="581" t="s">
        <v>178</v>
      </c>
      <c r="AB936" s="585">
        <v>40350</v>
      </c>
      <c r="AC936" s="585" t="s">
        <v>164</v>
      </c>
      <c r="AD936" s="585">
        <v>28850</v>
      </c>
      <c r="AE936" s="587">
        <v>0.01</v>
      </c>
      <c r="AF936" s="661" t="str">
        <f t="shared" si="101"/>
        <v>2019-LVN-FRD-T15W-011-15</v>
      </c>
      <c r="AG936" s="661" t="str">
        <f>IF(AND($Y936&gt;=32,(AI936="I"),(Y936&lt;&gt;"~"),(COUNTIF($AN$1:$AN936,$AN936)=1)),"TRUE","FALSE")</f>
        <v>FALSE</v>
      </c>
      <c r="AH936" s="661" t="str">
        <f>IF(AND($Y936&gt;=22, (AI936&lt;&gt;"I"),(Y936&lt;&gt;"~"),(COUNTIF($AN$1:$AN936,$AN936)=1)),"TRUE","FALSE")</f>
        <v>FALSE</v>
      </c>
      <c r="AI936" s="661" t="str">
        <f t="shared" si="103"/>
        <v>II</v>
      </c>
      <c r="AJ936" s="662" t="str">
        <f t="shared" si="97"/>
        <v>T15W-011</v>
      </c>
      <c r="AK936" s="662" t="str">
        <f t="shared" si="98"/>
        <v>LVN</v>
      </c>
      <c r="AL936" s="662" t="str">
        <f t="shared" si="99"/>
        <v>FRD</v>
      </c>
      <c r="AM936" s="662" t="str">
        <f t="shared" si="102"/>
        <v>Transit 150 Wagon-XL Swing-Out RH Door-RWD-10-82.2-~-3.5L EcoBoost-6-K1Z-301A-129.9-25-Unleaded-Unleaded</v>
      </c>
      <c r="AN936" s="662" t="str">
        <f t="shared" si="100"/>
        <v>2019-LVN-FRD-T15W-011</v>
      </c>
    </row>
    <row r="937" spans="1:40" s="572" customFormat="1" ht="15">
      <c r="A937" s="570" t="s">
        <v>2095</v>
      </c>
      <c r="B937" s="573" t="s">
        <v>2089</v>
      </c>
      <c r="C937" s="573" t="s">
        <v>278</v>
      </c>
      <c r="D937" s="578">
        <v>15</v>
      </c>
      <c r="E937" s="573" t="s">
        <v>1516</v>
      </c>
      <c r="F937" s="573" t="s">
        <v>1890</v>
      </c>
      <c r="G937" s="573" t="s">
        <v>271</v>
      </c>
      <c r="H937" s="573">
        <v>2019</v>
      </c>
      <c r="I937" s="573" t="s">
        <v>2047</v>
      </c>
      <c r="J937" s="573" t="s">
        <v>2086</v>
      </c>
      <c r="K937" s="573" t="s">
        <v>236</v>
      </c>
      <c r="L937" s="573">
        <v>10</v>
      </c>
      <c r="M937" s="573">
        <v>0</v>
      </c>
      <c r="N937" s="573" t="s">
        <v>157</v>
      </c>
      <c r="O937" s="573">
        <v>4</v>
      </c>
      <c r="P937" s="573">
        <v>82.2</v>
      </c>
      <c r="Q937" s="571" t="s">
        <v>157</v>
      </c>
      <c r="R937" s="573" t="s">
        <v>682</v>
      </c>
      <c r="S937" s="573">
        <v>6</v>
      </c>
      <c r="T937" s="573" t="s">
        <v>2087</v>
      </c>
      <c r="U937" s="573" t="s">
        <v>434</v>
      </c>
      <c r="V937" s="573">
        <v>129.9</v>
      </c>
      <c r="W937" s="573">
        <v>25</v>
      </c>
      <c r="X937" s="571">
        <v>8550</v>
      </c>
      <c r="Y937" s="573">
        <v>16</v>
      </c>
      <c r="Z937" s="579" t="s">
        <v>178</v>
      </c>
      <c r="AA937" s="579" t="s">
        <v>178</v>
      </c>
      <c r="AB937" s="584">
        <v>38485</v>
      </c>
      <c r="AC937" s="584" t="s">
        <v>164</v>
      </c>
      <c r="AD937" s="584">
        <v>27200</v>
      </c>
      <c r="AE937" s="586">
        <v>0.01</v>
      </c>
      <c r="AF937" s="661" t="str">
        <f t="shared" si="101"/>
        <v>2019-LVN-FRD-T15W-012-15</v>
      </c>
      <c r="AG937" s="661" t="str">
        <f>IF(AND($Y937&gt;=32,(AI937="I"),(Y937&lt;&gt;"~"),(COUNTIF($AN$1:$AN937,$AN937)=1)),"TRUE","FALSE")</f>
        <v>FALSE</v>
      </c>
      <c r="AH937" s="661" t="str">
        <f>IF(AND($Y937&gt;=22, (AI937&lt;&gt;"I"),(Y937&lt;&gt;"~"),(COUNTIF($AN$1:$AN937,$AN937)=1)),"TRUE","FALSE")</f>
        <v>FALSE</v>
      </c>
      <c r="AI937" s="661" t="str">
        <f t="shared" si="103"/>
        <v>II</v>
      </c>
      <c r="AJ937" s="662" t="str">
        <f t="shared" si="97"/>
        <v>T15W-012</v>
      </c>
      <c r="AK937" s="662" t="str">
        <f t="shared" si="98"/>
        <v>LVN</v>
      </c>
      <c r="AL937" s="662" t="str">
        <f t="shared" si="99"/>
        <v>FRD</v>
      </c>
      <c r="AM937" s="662" t="str">
        <f t="shared" si="102"/>
        <v>Transit 150 Wagon-XL Swing-Out RH Door-RWD-10-82.2-~-3.7L-6-K1Z-301A-129.9-25-Unleaded-Unleaded</v>
      </c>
      <c r="AN937" s="662" t="str">
        <f t="shared" si="100"/>
        <v>2019-LVN-FRD-T15W-012</v>
      </c>
    </row>
    <row r="938" spans="1:40" s="572" customFormat="1" ht="15">
      <c r="A938" s="570" t="s">
        <v>2096</v>
      </c>
      <c r="B938" s="569" t="s">
        <v>2091</v>
      </c>
      <c r="C938" s="569" t="s">
        <v>278</v>
      </c>
      <c r="D938" s="580">
        <v>15</v>
      </c>
      <c r="E938" s="569" t="s">
        <v>1516</v>
      </c>
      <c r="F938" s="569" t="s">
        <v>1890</v>
      </c>
      <c r="G938" s="569" t="s">
        <v>271</v>
      </c>
      <c r="H938" s="569">
        <v>2019</v>
      </c>
      <c r="I938" s="569" t="s">
        <v>2047</v>
      </c>
      <c r="J938" s="569" t="s">
        <v>2086</v>
      </c>
      <c r="K938" s="569" t="s">
        <v>236</v>
      </c>
      <c r="L938" s="569">
        <v>8</v>
      </c>
      <c r="M938" s="569">
        <v>0</v>
      </c>
      <c r="N938" s="569" t="s">
        <v>157</v>
      </c>
      <c r="O938" s="569">
        <v>3</v>
      </c>
      <c r="P938" s="569">
        <v>82.2</v>
      </c>
      <c r="Q938" s="568" t="s">
        <v>157</v>
      </c>
      <c r="R938" s="569" t="s">
        <v>1259</v>
      </c>
      <c r="S938" s="569">
        <v>6</v>
      </c>
      <c r="T938" s="569" t="s">
        <v>2087</v>
      </c>
      <c r="U938" s="569" t="s">
        <v>434</v>
      </c>
      <c r="V938" s="569">
        <v>129.9</v>
      </c>
      <c r="W938" s="569">
        <v>25</v>
      </c>
      <c r="X938" s="568">
        <v>8550</v>
      </c>
      <c r="Y938" s="573">
        <v>16</v>
      </c>
      <c r="Z938" s="581" t="s">
        <v>178</v>
      </c>
      <c r="AA938" s="581" t="s">
        <v>178</v>
      </c>
      <c r="AB938" s="585">
        <v>39100</v>
      </c>
      <c r="AC938" s="585" t="s">
        <v>164</v>
      </c>
      <c r="AD938" s="585">
        <v>27750</v>
      </c>
      <c r="AE938" s="587">
        <v>0.01</v>
      </c>
      <c r="AF938" s="661" t="str">
        <f t="shared" si="101"/>
        <v>2019-LVN-FRD-T15W-014-15</v>
      </c>
      <c r="AG938" s="661" t="str">
        <f>IF(AND($Y938&gt;=32,(AI938="I"),(Y938&lt;&gt;"~"),(COUNTIF($AN$1:$AN938,$AN938)=1)),"TRUE","FALSE")</f>
        <v>FALSE</v>
      </c>
      <c r="AH938" s="661" t="str">
        <f>IF(AND($Y938&gt;=22, (AI938&lt;&gt;"I"),(Y938&lt;&gt;"~"),(COUNTIF($AN$1:$AN938,$AN938)=1)),"TRUE","FALSE")</f>
        <v>FALSE</v>
      </c>
      <c r="AI938" s="661" t="str">
        <f t="shared" si="103"/>
        <v>II</v>
      </c>
      <c r="AJ938" s="662" t="str">
        <f t="shared" si="97"/>
        <v>T15W-014</v>
      </c>
      <c r="AK938" s="662" t="str">
        <f t="shared" si="98"/>
        <v>LVN</v>
      </c>
      <c r="AL938" s="662" t="str">
        <f t="shared" si="99"/>
        <v>FRD</v>
      </c>
      <c r="AM938" s="662" t="str">
        <f t="shared" si="102"/>
        <v>Transit 150 Wagon-XL Swing-Out RH Door-RWD-8-82.2-~-3.5L EcoBoost-6-K1Z-301A-129.9-25-Unleaded-Unleaded</v>
      </c>
      <c r="AN938" s="662" t="str">
        <f t="shared" si="100"/>
        <v>2019-LVN-FRD-T15W-014</v>
      </c>
    </row>
    <row r="939" spans="1:40" s="572" customFormat="1" ht="15">
      <c r="A939" s="570" t="s">
        <v>2097</v>
      </c>
      <c r="B939" s="573" t="s">
        <v>2093</v>
      </c>
      <c r="C939" s="573" t="s">
        <v>278</v>
      </c>
      <c r="D939" s="578">
        <v>15</v>
      </c>
      <c r="E939" s="573" t="s">
        <v>1516</v>
      </c>
      <c r="F939" s="573" t="s">
        <v>1890</v>
      </c>
      <c r="G939" s="573" t="s">
        <v>271</v>
      </c>
      <c r="H939" s="573">
        <v>2019</v>
      </c>
      <c r="I939" s="573" t="s">
        <v>2047</v>
      </c>
      <c r="J939" s="573" t="s">
        <v>2086</v>
      </c>
      <c r="K939" s="573" t="s">
        <v>236</v>
      </c>
      <c r="L939" s="573">
        <v>8</v>
      </c>
      <c r="M939" s="573">
        <v>0</v>
      </c>
      <c r="N939" s="573" t="s">
        <v>157</v>
      </c>
      <c r="O939" s="573">
        <v>3</v>
      </c>
      <c r="P939" s="573">
        <v>82.2</v>
      </c>
      <c r="Q939" s="571" t="s">
        <v>157</v>
      </c>
      <c r="R939" s="573" t="s">
        <v>682</v>
      </c>
      <c r="S939" s="573">
        <v>6</v>
      </c>
      <c r="T939" s="573" t="s">
        <v>2087</v>
      </c>
      <c r="U939" s="573" t="s">
        <v>434</v>
      </c>
      <c r="V939" s="573">
        <v>129.9</v>
      </c>
      <c r="W939" s="573">
        <v>25</v>
      </c>
      <c r="X939" s="571">
        <v>8550</v>
      </c>
      <c r="Y939" s="573">
        <v>16</v>
      </c>
      <c r="Z939" s="579" t="s">
        <v>178</v>
      </c>
      <c r="AA939" s="579" t="s">
        <v>178</v>
      </c>
      <c r="AB939" s="584">
        <v>37235</v>
      </c>
      <c r="AC939" s="584" t="s">
        <v>164</v>
      </c>
      <c r="AD939" s="584">
        <v>26200</v>
      </c>
      <c r="AE939" s="586">
        <v>0.01</v>
      </c>
      <c r="AF939" s="661" t="str">
        <f t="shared" si="101"/>
        <v>2019-LVN-FRD-T15W-015-15</v>
      </c>
      <c r="AG939" s="661" t="str">
        <f>IF(AND($Y939&gt;=32,(AI939="I"),(Y939&lt;&gt;"~"),(COUNTIF($AN$1:$AN939,$AN939)=1)),"TRUE","FALSE")</f>
        <v>FALSE</v>
      </c>
      <c r="AH939" s="661" t="str">
        <f>IF(AND($Y939&gt;=22, (AI939&lt;&gt;"I"),(Y939&lt;&gt;"~"),(COUNTIF($AN$1:$AN939,$AN939)=1)),"TRUE","FALSE")</f>
        <v>FALSE</v>
      </c>
      <c r="AI939" s="661" t="str">
        <f t="shared" si="103"/>
        <v>II</v>
      </c>
      <c r="AJ939" s="662" t="str">
        <f t="shared" si="97"/>
        <v>T15W-015</v>
      </c>
      <c r="AK939" s="662" t="str">
        <f t="shared" si="98"/>
        <v>LVN</v>
      </c>
      <c r="AL939" s="662" t="str">
        <f t="shared" si="99"/>
        <v>FRD</v>
      </c>
      <c r="AM939" s="662" t="str">
        <f t="shared" si="102"/>
        <v>Transit 150 Wagon-XL Swing-Out RH Door-RWD-8-82.2-~-3.7L-6-K1Z-301A-129.9-25-Unleaded-Unleaded</v>
      </c>
      <c r="AN939" s="662" t="str">
        <f t="shared" si="100"/>
        <v>2019-LVN-FRD-T15W-015</v>
      </c>
    </row>
    <row r="940" spans="1:40" s="572" customFormat="1" ht="15">
      <c r="A940" s="570" t="s">
        <v>2098</v>
      </c>
      <c r="B940" s="569" t="s">
        <v>2091</v>
      </c>
      <c r="C940" s="569" t="s">
        <v>287</v>
      </c>
      <c r="D940" s="580">
        <v>26</v>
      </c>
      <c r="E940" s="569" t="s">
        <v>1516</v>
      </c>
      <c r="F940" s="569" t="s">
        <v>1890</v>
      </c>
      <c r="G940" s="569" t="s">
        <v>271</v>
      </c>
      <c r="H940" s="569">
        <v>2019</v>
      </c>
      <c r="I940" s="569" t="s">
        <v>2047</v>
      </c>
      <c r="J940" s="569" t="s">
        <v>2086</v>
      </c>
      <c r="K940" s="569" t="s">
        <v>236</v>
      </c>
      <c r="L940" s="569">
        <v>8</v>
      </c>
      <c r="M940" s="569">
        <v>0</v>
      </c>
      <c r="N940" s="569" t="s">
        <v>157</v>
      </c>
      <c r="O940" s="569">
        <v>3</v>
      </c>
      <c r="P940" s="569">
        <v>82.2</v>
      </c>
      <c r="Q940" s="568" t="s">
        <v>157</v>
      </c>
      <c r="R940" s="569" t="s">
        <v>1259</v>
      </c>
      <c r="S940" s="569">
        <v>6</v>
      </c>
      <c r="T940" s="569" t="s">
        <v>2087</v>
      </c>
      <c r="U940" s="569" t="s">
        <v>434</v>
      </c>
      <c r="V940" s="569">
        <v>129.9</v>
      </c>
      <c r="W940" s="569">
        <v>25</v>
      </c>
      <c r="X940" s="568">
        <v>8550</v>
      </c>
      <c r="Y940" s="573">
        <v>16</v>
      </c>
      <c r="Z940" s="581" t="s">
        <v>178</v>
      </c>
      <c r="AA940" s="581" t="s">
        <v>178</v>
      </c>
      <c r="AB940" s="585">
        <v>39100</v>
      </c>
      <c r="AC940" s="585" t="s">
        <v>164</v>
      </c>
      <c r="AD940" s="585">
        <v>28033</v>
      </c>
      <c r="AE940" s="587">
        <v>0.05</v>
      </c>
      <c r="AF940" s="661" t="str">
        <f t="shared" si="101"/>
        <v>2019-LVN-FRD-T15W-014-26</v>
      </c>
      <c r="AG940" s="661" t="str">
        <f>IF(AND($Y940&gt;=32,(AI940="I"),(Y940&lt;&gt;"~"),(COUNTIF($AN$1:$AN940,$AN940)=1)),"TRUE","FALSE")</f>
        <v>FALSE</v>
      </c>
      <c r="AH940" s="661" t="str">
        <f>IF(AND($Y940&gt;=22, (AI940&lt;&gt;"I"),(Y940&lt;&gt;"~"),(COUNTIF($AN$1:$AN940,$AN940)=1)),"TRUE","FALSE")</f>
        <v>FALSE</v>
      </c>
      <c r="AI940" s="661" t="str">
        <f t="shared" si="103"/>
        <v>II</v>
      </c>
      <c r="AJ940" s="662" t="str">
        <f t="shared" si="97"/>
        <v>T15W-014</v>
      </c>
      <c r="AK940" s="662" t="str">
        <f t="shared" si="98"/>
        <v>LVN</v>
      </c>
      <c r="AL940" s="662" t="str">
        <f t="shared" si="99"/>
        <v>FRD</v>
      </c>
      <c r="AM940" s="662" t="str">
        <f t="shared" si="102"/>
        <v>Transit 150 Wagon-XL Swing-Out RH Door-RWD-8-82.2-~-3.5L EcoBoost-6-K1Z-301A-129.9-25-Unleaded-Unleaded</v>
      </c>
      <c r="AN940" s="662" t="str">
        <f t="shared" si="100"/>
        <v>2019-LVN-FRD-T15W-014</v>
      </c>
    </row>
    <row r="941" spans="1:40" s="572" customFormat="1" ht="15">
      <c r="A941" s="570" t="s">
        <v>2099</v>
      </c>
      <c r="B941" s="573" t="s">
        <v>2093</v>
      </c>
      <c r="C941" s="573" t="s">
        <v>287</v>
      </c>
      <c r="D941" s="578">
        <v>26</v>
      </c>
      <c r="E941" s="573" t="s">
        <v>1516</v>
      </c>
      <c r="F941" s="573" t="s">
        <v>1890</v>
      </c>
      <c r="G941" s="573" t="s">
        <v>271</v>
      </c>
      <c r="H941" s="573">
        <v>2019</v>
      </c>
      <c r="I941" s="573" t="s">
        <v>2047</v>
      </c>
      <c r="J941" s="573" t="s">
        <v>2086</v>
      </c>
      <c r="K941" s="573" t="s">
        <v>236</v>
      </c>
      <c r="L941" s="573">
        <v>8</v>
      </c>
      <c r="M941" s="573">
        <v>0</v>
      </c>
      <c r="N941" s="573" t="s">
        <v>157</v>
      </c>
      <c r="O941" s="573">
        <v>3</v>
      </c>
      <c r="P941" s="573">
        <v>82.2</v>
      </c>
      <c r="Q941" s="571" t="s">
        <v>157</v>
      </c>
      <c r="R941" s="573" t="s">
        <v>682</v>
      </c>
      <c r="S941" s="573">
        <v>6</v>
      </c>
      <c r="T941" s="573" t="s">
        <v>2087</v>
      </c>
      <c r="U941" s="573" t="s">
        <v>434</v>
      </c>
      <c r="V941" s="573">
        <v>129.9</v>
      </c>
      <c r="W941" s="573">
        <v>25</v>
      </c>
      <c r="X941" s="571">
        <v>8550</v>
      </c>
      <c r="Y941" s="573">
        <v>16</v>
      </c>
      <c r="Z941" s="579" t="s">
        <v>178</v>
      </c>
      <c r="AA941" s="579" t="s">
        <v>178</v>
      </c>
      <c r="AB941" s="584">
        <v>37235</v>
      </c>
      <c r="AC941" s="584" t="s">
        <v>164</v>
      </c>
      <c r="AD941" s="584">
        <v>26332</v>
      </c>
      <c r="AE941" s="586">
        <v>0.05</v>
      </c>
      <c r="AF941" s="661" t="str">
        <f t="shared" si="101"/>
        <v>2019-LVN-FRD-T15W-015-26</v>
      </c>
      <c r="AG941" s="661" t="str">
        <f>IF(AND($Y941&gt;=32,(AI941="I"),(Y941&lt;&gt;"~"),(COUNTIF($AN$1:$AN941,$AN941)=1)),"TRUE","FALSE")</f>
        <v>FALSE</v>
      </c>
      <c r="AH941" s="661" t="str">
        <f>IF(AND($Y941&gt;=22, (AI941&lt;&gt;"I"),(Y941&lt;&gt;"~"),(COUNTIF($AN$1:$AN941,$AN941)=1)),"TRUE","FALSE")</f>
        <v>FALSE</v>
      </c>
      <c r="AI941" s="661" t="str">
        <f t="shared" si="103"/>
        <v>II</v>
      </c>
      <c r="AJ941" s="662" t="str">
        <f t="shared" si="97"/>
        <v>T15W-015</v>
      </c>
      <c r="AK941" s="662" t="str">
        <f t="shared" si="98"/>
        <v>LVN</v>
      </c>
      <c r="AL941" s="662" t="str">
        <f t="shared" si="99"/>
        <v>FRD</v>
      </c>
      <c r="AM941" s="662" t="str">
        <f t="shared" si="102"/>
        <v>Transit 150 Wagon-XL Swing-Out RH Door-RWD-8-82.2-~-3.7L-6-K1Z-301A-129.9-25-Unleaded-Unleaded</v>
      </c>
      <c r="AN941" s="662" t="str">
        <f t="shared" si="100"/>
        <v>2019-LVN-FRD-T15W-015</v>
      </c>
    </row>
    <row r="942" spans="1:40" s="572" customFormat="1" ht="15">
      <c r="A942" s="570" t="s">
        <v>2100</v>
      </c>
      <c r="B942" s="569" t="s">
        <v>2085</v>
      </c>
      <c r="C942" s="569" t="s">
        <v>280</v>
      </c>
      <c r="D942" s="580">
        <v>27</v>
      </c>
      <c r="E942" s="569" t="s">
        <v>1516</v>
      </c>
      <c r="F942" s="569" t="s">
        <v>1890</v>
      </c>
      <c r="G942" s="569" t="s">
        <v>271</v>
      </c>
      <c r="H942" s="569">
        <v>2019</v>
      </c>
      <c r="I942" s="569" t="s">
        <v>2047</v>
      </c>
      <c r="J942" s="569" t="s">
        <v>2086</v>
      </c>
      <c r="K942" s="569" t="s">
        <v>236</v>
      </c>
      <c r="L942" s="569">
        <v>10</v>
      </c>
      <c r="M942" s="569">
        <v>0</v>
      </c>
      <c r="N942" s="569" t="s">
        <v>157</v>
      </c>
      <c r="O942" s="569">
        <v>4</v>
      </c>
      <c r="P942" s="569">
        <v>82.2</v>
      </c>
      <c r="Q942" s="568" t="s">
        <v>157</v>
      </c>
      <c r="R942" s="569" t="s">
        <v>1259</v>
      </c>
      <c r="S942" s="569">
        <v>6</v>
      </c>
      <c r="T942" s="569" t="s">
        <v>2087</v>
      </c>
      <c r="U942" s="569" t="s">
        <v>434</v>
      </c>
      <c r="V942" s="569">
        <v>129.9</v>
      </c>
      <c r="W942" s="569">
        <v>25</v>
      </c>
      <c r="X942" s="568">
        <v>8550</v>
      </c>
      <c r="Y942" s="573">
        <v>16</v>
      </c>
      <c r="Z942" s="581" t="s">
        <v>178</v>
      </c>
      <c r="AA942" s="581" t="s">
        <v>178</v>
      </c>
      <c r="AB942" s="585">
        <v>40350</v>
      </c>
      <c r="AC942" s="585" t="s">
        <v>164</v>
      </c>
      <c r="AD942" s="585">
        <v>28351.75</v>
      </c>
      <c r="AE942" s="587">
        <v>0.03</v>
      </c>
      <c r="AF942" s="661" t="str">
        <f t="shared" si="101"/>
        <v>2019-LVN-FRD-T15W-011-27</v>
      </c>
      <c r="AG942" s="661" t="str">
        <f>IF(AND($Y942&gt;=32,(AI942="I"),(Y942&lt;&gt;"~"),(COUNTIF($AN$1:$AN942,$AN942)=1)),"TRUE","FALSE")</f>
        <v>FALSE</v>
      </c>
      <c r="AH942" s="661" t="str">
        <f>IF(AND($Y942&gt;=22, (AI942&lt;&gt;"I"),(Y942&lt;&gt;"~"),(COUNTIF($AN$1:$AN942,$AN942)=1)),"TRUE","FALSE")</f>
        <v>FALSE</v>
      </c>
      <c r="AI942" s="661" t="str">
        <f t="shared" si="103"/>
        <v>II</v>
      </c>
      <c r="AJ942" s="662" t="str">
        <f t="shared" si="97"/>
        <v>T15W-011</v>
      </c>
      <c r="AK942" s="662" t="str">
        <f t="shared" si="98"/>
        <v>LVN</v>
      </c>
      <c r="AL942" s="662" t="str">
        <f t="shared" si="99"/>
        <v>FRD</v>
      </c>
      <c r="AM942" s="662" t="str">
        <f t="shared" si="102"/>
        <v>Transit 150 Wagon-XL Swing-Out RH Door-RWD-10-82.2-~-3.5L EcoBoost-6-K1Z-301A-129.9-25-Unleaded-Unleaded</v>
      </c>
      <c r="AN942" s="662" t="str">
        <f t="shared" si="100"/>
        <v>2019-LVN-FRD-T15W-011</v>
      </c>
    </row>
    <row r="943" spans="1:40" s="572" customFormat="1" ht="15">
      <c r="A943" s="570" t="s">
        <v>2101</v>
      </c>
      <c r="B943" s="573" t="s">
        <v>2089</v>
      </c>
      <c r="C943" s="573" t="s">
        <v>280</v>
      </c>
      <c r="D943" s="578">
        <v>27</v>
      </c>
      <c r="E943" s="573" t="s">
        <v>1516</v>
      </c>
      <c r="F943" s="573" t="s">
        <v>1890</v>
      </c>
      <c r="G943" s="573" t="s">
        <v>271</v>
      </c>
      <c r="H943" s="573">
        <v>2019</v>
      </c>
      <c r="I943" s="573" t="s">
        <v>2047</v>
      </c>
      <c r="J943" s="573" t="s">
        <v>2086</v>
      </c>
      <c r="K943" s="573" t="s">
        <v>236</v>
      </c>
      <c r="L943" s="573">
        <v>10</v>
      </c>
      <c r="M943" s="573">
        <v>0</v>
      </c>
      <c r="N943" s="573" t="s">
        <v>157</v>
      </c>
      <c r="O943" s="573">
        <v>4</v>
      </c>
      <c r="P943" s="573">
        <v>82.2</v>
      </c>
      <c r="Q943" s="571" t="s">
        <v>157</v>
      </c>
      <c r="R943" s="573" t="s">
        <v>682</v>
      </c>
      <c r="S943" s="573">
        <v>6</v>
      </c>
      <c r="T943" s="573" t="s">
        <v>2087</v>
      </c>
      <c r="U943" s="573" t="s">
        <v>434</v>
      </c>
      <c r="V943" s="573">
        <v>129.9</v>
      </c>
      <c r="W943" s="573">
        <v>25</v>
      </c>
      <c r="X943" s="571">
        <v>8550</v>
      </c>
      <c r="Y943" s="573">
        <v>16</v>
      </c>
      <c r="Z943" s="579" t="s">
        <v>178</v>
      </c>
      <c r="AA943" s="579" t="s">
        <v>178</v>
      </c>
      <c r="AB943" s="584">
        <v>38485</v>
      </c>
      <c r="AC943" s="584" t="s">
        <v>164</v>
      </c>
      <c r="AD943" s="584">
        <v>26695.5</v>
      </c>
      <c r="AE943" s="586">
        <v>0.03</v>
      </c>
      <c r="AF943" s="661" t="str">
        <f t="shared" si="101"/>
        <v>2019-LVN-FRD-T15W-012-27</v>
      </c>
      <c r="AG943" s="661" t="str">
        <f>IF(AND($Y943&gt;=32,(AI943="I"),(Y943&lt;&gt;"~"),(COUNTIF($AN$1:$AN943,$AN943)=1)),"TRUE","FALSE")</f>
        <v>FALSE</v>
      </c>
      <c r="AH943" s="661" t="str">
        <f>IF(AND($Y943&gt;=22, (AI943&lt;&gt;"I"),(Y943&lt;&gt;"~"),(COUNTIF($AN$1:$AN943,$AN943)=1)),"TRUE","FALSE")</f>
        <v>FALSE</v>
      </c>
      <c r="AI943" s="661" t="str">
        <f t="shared" si="103"/>
        <v>II</v>
      </c>
      <c r="AJ943" s="662" t="str">
        <f t="shared" si="97"/>
        <v>T15W-012</v>
      </c>
      <c r="AK943" s="662" t="str">
        <f t="shared" si="98"/>
        <v>LVN</v>
      </c>
      <c r="AL943" s="662" t="str">
        <f t="shared" si="99"/>
        <v>FRD</v>
      </c>
      <c r="AM943" s="662" t="str">
        <f t="shared" si="102"/>
        <v>Transit 150 Wagon-XL Swing-Out RH Door-RWD-10-82.2-~-3.7L-6-K1Z-301A-129.9-25-Unleaded-Unleaded</v>
      </c>
      <c r="AN943" s="662" t="str">
        <f t="shared" si="100"/>
        <v>2019-LVN-FRD-T15W-012</v>
      </c>
    </row>
    <row r="944" spans="1:40" s="572" customFormat="1" ht="15">
      <c r="A944" s="570" t="s">
        <v>2102</v>
      </c>
      <c r="B944" s="569" t="s">
        <v>2091</v>
      </c>
      <c r="C944" s="569" t="s">
        <v>280</v>
      </c>
      <c r="D944" s="580">
        <v>27</v>
      </c>
      <c r="E944" s="569" t="s">
        <v>1516</v>
      </c>
      <c r="F944" s="569" t="s">
        <v>1890</v>
      </c>
      <c r="G944" s="569" t="s">
        <v>271</v>
      </c>
      <c r="H944" s="569">
        <v>2019</v>
      </c>
      <c r="I944" s="569" t="s">
        <v>2047</v>
      </c>
      <c r="J944" s="569" t="s">
        <v>2086</v>
      </c>
      <c r="K944" s="569" t="s">
        <v>236</v>
      </c>
      <c r="L944" s="569">
        <v>8</v>
      </c>
      <c r="M944" s="569">
        <v>0</v>
      </c>
      <c r="N944" s="569" t="s">
        <v>157</v>
      </c>
      <c r="O944" s="569">
        <v>3</v>
      </c>
      <c r="P944" s="569">
        <v>82.2</v>
      </c>
      <c r="Q944" s="568" t="s">
        <v>157</v>
      </c>
      <c r="R944" s="569" t="s">
        <v>1259</v>
      </c>
      <c r="S944" s="569">
        <v>6</v>
      </c>
      <c r="T944" s="569" t="s">
        <v>2087</v>
      </c>
      <c r="U944" s="569" t="s">
        <v>434</v>
      </c>
      <c r="V944" s="569">
        <v>129.9</v>
      </c>
      <c r="W944" s="569">
        <v>25</v>
      </c>
      <c r="X944" s="568">
        <v>8550</v>
      </c>
      <c r="Y944" s="573">
        <v>16</v>
      </c>
      <c r="Z944" s="581" t="s">
        <v>178</v>
      </c>
      <c r="AA944" s="581" t="s">
        <v>178</v>
      </c>
      <c r="AB944" s="585">
        <v>39100</v>
      </c>
      <c r="AC944" s="585" t="s">
        <v>164</v>
      </c>
      <c r="AD944" s="585">
        <v>27241.333333333336</v>
      </c>
      <c r="AE944" s="587">
        <v>0.03</v>
      </c>
      <c r="AF944" s="661" t="str">
        <f t="shared" si="101"/>
        <v>2019-LVN-FRD-T15W-014-27</v>
      </c>
      <c r="AG944" s="661" t="str">
        <f>IF(AND($Y944&gt;=32,(AI944="I"),(Y944&lt;&gt;"~"),(COUNTIF($AN$1:$AN944,$AN944)=1)),"TRUE","FALSE")</f>
        <v>FALSE</v>
      </c>
      <c r="AH944" s="661" t="str">
        <f>IF(AND($Y944&gt;=22, (AI944&lt;&gt;"I"),(Y944&lt;&gt;"~"),(COUNTIF($AN$1:$AN944,$AN944)=1)),"TRUE","FALSE")</f>
        <v>FALSE</v>
      </c>
      <c r="AI944" s="661" t="str">
        <f t="shared" si="103"/>
        <v>II</v>
      </c>
      <c r="AJ944" s="662" t="str">
        <f t="shared" si="97"/>
        <v>T15W-014</v>
      </c>
      <c r="AK944" s="662" t="str">
        <f t="shared" si="98"/>
        <v>LVN</v>
      </c>
      <c r="AL944" s="662" t="str">
        <f t="shared" si="99"/>
        <v>FRD</v>
      </c>
      <c r="AM944" s="662" t="str">
        <f t="shared" si="102"/>
        <v>Transit 150 Wagon-XL Swing-Out RH Door-RWD-8-82.2-~-3.5L EcoBoost-6-K1Z-301A-129.9-25-Unleaded-Unleaded</v>
      </c>
      <c r="AN944" s="662" t="str">
        <f t="shared" si="100"/>
        <v>2019-LVN-FRD-T15W-014</v>
      </c>
    </row>
    <row r="945" spans="1:40" s="572" customFormat="1" ht="15">
      <c r="A945" s="570" t="s">
        <v>2103</v>
      </c>
      <c r="B945" s="573" t="s">
        <v>2093</v>
      </c>
      <c r="C945" s="573" t="s">
        <v>280</v>
      </c>
      <c r="D945" s="578">
        <v>27</v>
      </c>
      <c r="E945" s="573" t="s">
        <v>1516</v>
      </c>
      <c r="F945" s="573" t="s">
        <v>1890</v>
      </c>
      <c r="G945" s="573" t="s">
        <v>271</v>
      </c>
      <c r="H945" s="573">
        <v>2019</v>
      </c>
      <c r="I945" s="573" t="s">
        <v>2047</v>
      </c>
      <c r="J945" s="573" t="s">
        <v>2086</v>
      </c>
      <c r="K945" s="573" t="s">
        <v>236</v>
      </c>
      <c r="L945" s="573">
        <v>8</v>
      </c>
      <c r="M945" s="573">
        <v>0</v>
      </c>
      <c r="N945" s="573" t="s">
        <v>157</v>
      </c>
      <c r="O945" s="573">
        <v>3</v>
      </c>
      <c r="P945" s="573">
        <v>82.2</v>
      </c>
      <c r="Q945" s="571" t="s">
        <v>157</v>
      </c>
      <c r="R945" s="573" t="s">
        <v>682</v>
      </c>
      <c r="S945" s="573">
        <v>6</v>
      </c>
      <c r="T945" s="573" t="s">
        <v>2087</v>
      </c>
      <c r="U945" s="573" t="s">
        <v>434</v>
      </c>
      <c r="V945" s="573">
        <v>129.9</v>
      </c>
      <c r="W945" s="573">
        <v>25</v>
      </c>
      <c r="X945" s="571">
        <v>8550</v>
      </c>
      <c r="Y945" s="573">
        <v>16</v>
      </c>
      <c r="Z945" s="579" t="s">
        <v>178</v>
      </c>
      <c r="AA945" s="579" t="s">
        <v>178</v>
      </c>
      <c r="AB945" s="584">
        <v>37235</v>
      </c>
      <c r="AC945" s="584" t="s">
        <v>164</v>
      </c>
      <c r="AD945" s="584">
        <v>25585.083333333336</v>
      </c>
      <c r="AE945" s="586">
        <v>0.03</v>
      </c>
      <c r="AF945" s="661" t="str">
        <f t="shared" si="101"/>
        <v>2019-LVN-FRD-T15W-015-27</v>
      </c>
      <c r="AG945" s="661" t="str">
        <f>IF(AND($Y945&gt;=32,(AI945="I"),(Y945&lt;&gt;"~"),(COUNTIF($AN$1:$AN945,$AN945)=1)),"TRUE","FALSE")</f>
        <v>FALSE</v>
      </c>
      <c r="AH945" s="661" t="str">
        <f>IF(AND($Y945&gt;=22, (AI945&lt;&gt;"I"),(Y945&lt;&gt;"~"),(COUNTIF($AN$1:$AN945,$AN945)=1)),"TRUE","FALSE")</f>
        <v>FALSE</v>
      </c>
      <c r="AI945" s="661" t="str">
        <f t="shared" si="103"/>
        <v>II</v>
      </c>
      <c r="AJ945" s="662" t="str">
        <f t="shared" si="97"/>
        <v>T15W-015</v>
      </c>
      <c r="AK945" s="662" t="str">
        <f t="shared" si="98"/>
        <v>LVN</v>
      </c>
      <c r="AL945" s="662" t="str">
        <f t="shared" si="99"/>
        <v>FRD</v>
      </c>
      <c r="AM945" s="662" t="str">
        <f t="shared" si="102"/>
        <v>Transit 150 Wagon-XL Swing-Out RH Door-RWD-8-82.2-~-3.7L-6-K1Z-301A-129.9-25-Unleaded-Unleaded</v>
      </c>
      <c r="AN945" s="662" t="str">
        <f t="shared" si="100"/>
        <v>2019-LVN-FRD-T15W-015</v>
      </c>
    </row>
    <row r="946" spans="1:40" s="572" customFormat="1" ht="15">
      <c r="A946" s="570" t="s">
        <v>2104</v>
      </c>
      <c r="B946" s="569" t="s">
        <v>2105</v>
      </c>
      <c r="C946" s="569" t="s">
        <v>269</v>
      </c>
      <c r="D946" s="580" t="s">
        <v>270</v>
      </c>
      <c r="E946" s="569" t="s">
        <v>1516</v>
      </c>
      <c r="F946" s="569" t="s">
        <v>1890</v>
      </c>
      <c r="G946" s="569" t="s">
        <v>271</v>
      </c>
      <c r="H946" s="569">
        <v>2019</v>
      </c>
      <c r="I946" s="569" t="s">
        <v>2047</v>
      </c>
      <c r="J946" s="569" t="s">
        <v>2106</v>
      </c>
      <c r="K946" s="569" t="s">
        <v>236</v>
      </c>
      <c r="L946" s="569">
        <v>10</v>
      </c>
      <c r="M946" s="569">
        <v>0</v>
      </c>
      <c r="N946" s="569" t="s">
        <v>157</v>
      </c>
      <c r="O946" s="569">
        <v>4</v>
      </c>
      <c r="P946" s="569">
        <v>82.2</v>
      </c>
      <c r="Q946" s="568" t="s">
        <v>157</v>
      </c>
      <c r="R946" s="569" t="s">
        <v>1259</v>
      </c>
      <c r="S946" s="569">
        <v>6</v>
      </c>
      <c r="T946" s="569" t="s">
        <v>2049</v>
      </c>
      <c r="U946" s="569" t="s">
        <v>2107</v>
      </c>
      <c r="V946" s="569">
        <v>129.9</v>
      </c>
      <c r="W946" s="569">
        <v>25</v>
      </c>
      <c r="X946" s="568">
        <v>8550</v>
      </c>
      <c r="Y946" s="573">
        <v>16</v>
      </c>
      <c r="Z946" s="581" t="s">
        <v>178</v>
      </c>
      <c r="AA946" s="581" t="s">
        <v>178</v>
      </c>
      <c r="AB946" s="585">
        <v>41795</v>
      </c>
      <c r="AC946" s="585" t="s">
        <v>164</v>
      </c>
      <c r="AD946" s="585">
        <v>29673.625</v>
      </c>
      <c r="AE946" s="587">
        <v>0.03</v>
      </c>
      <c r="AF946" s="661" t="str">
        <f t="shared" si="101"/>
        <v>2019-LVN-FRD-T15W-017-05</v>
      </c>
      <c r="AG946" s="661" t="str">
        <f>IF(AND($Y946&gt;=32,(AI946="I"),(Y946&lt;&gt;"~"),(COUNTIF($AN$1:$AN946,$AN946)=1)),"TRUE","FALSE")</f>
        <v>FALSE</v>
      </c>
      <c r="AH946" s="661" t="str">
        <f>IF(AND($Y946&gt;=22, (AI946&lt;&gt;"I"),(Y946&lt;&gt;"~"),(COUNTIF($AN$1:$AN946,$AN946)=1)),"TRUE","FALSE")</f>
        <v>FALSE</v>
      </c>
      <c r="AI946" s="661" t="str">
        <f t="shared" si="103"/>
        <v>II</v>
      </c>
      <c r="AJ946" s="662" t="str">
        <f t="shared" si="97"/>
        <v>T15W-017</v>
      </c>
      <c r="AK946" s="662" t="str">
        <f t="shared" si="98"/>
        <v>LVN</v>
      </c>
      <c r="AL946" s="662" t="str">
        <f t="shared" si="99"/>
        <v>FRD</v>
      </c>
      <c r="AM946" s="662" t="str">
        <f t="shared" si="102"/>
        <v>Transit 150 Wagon-XLT Sliding RH Door-RWD-10-82.2-~-3.5L EcoBoost-6-K1Y-302A-129.9-25-Unleaded-Unleaded</v>
      </c>
      <c r="AN946" s="662" t="str">
        <f t="shared" si="100"/>
        <v>2019-LVN-FRD-T15W-017</v>
      </c>
    </row>
    <row r="947" spans="1:40" s="572" customFormat="1" ht="15">
      <c r="A947" s="570" t="s">
        <v>2108</v>
      </c>
      <c r="B947" s="573" t="s">
        <v>2109</v>
      </c>
      <c r="C947" s="573" t="s">
        <v>269</v>
      </c>
      <c r="D947" s="578" t="s">
        <v>270</v>
      </c>
      <c r="E947" s="573" t="s">
        <v>1516</v>
      </c>
      <c r="F947" s="573" t="s">
        <v>1890</v>
      </c>
      <c r="G947" s="573" t="s">
        <v>271</v>
      </c>
      <c r="H947" s="573">
        <v>2019</v>
      </c>
      <c r="I947" s="573" t="s">
        <v>2047</v>
      </c>
      <c r="J947" s="573" t="s">
        <v>2106</v>
      </c>
      <c r="K947" s="573" t="s">
        <v>236</v>
      </c>
      <c r="L947" s="573">
        <v>10</v>
      </c>
      <c r="M947" s="573">
        <v>0</v>
      </c>
      <c r="N947" s="573" t="s">
        <v>157</v>
      </c>
      <c r="O947" s="573">
        <v>4</v>
      </c>
      <c r="P947" s="573">
        <v>82.2</v>
      </c>
      <c r="Q947" s="571" t="s">
        <v>157</v>
      </c>
      <c r="R947" s="573" t="s">
        <v>682</v>
      </c>
      <c r="S947" s="573">
        <v>6</v>
      </c>
      <c r="T947" s="573" t="s">
        <v>2049</v>
      </c>
      <c r="U947" s="573" t="s">
        <v>2107</v>
      </c>
      <c r="V947" s="573">
        <v>129.9</v>
      </c>
      <c r="W947" s="573">
        <v>25</v>
      </c>
      <c r="X947" s="571">
        <v>8550</v>
      </c>
      <c r="Y947" s="573">
        <v>16</v>
      </c>
      <c r="Z947" s="579" t="s">
        <v>178</v>
      </c>
      <c r="AA947" s="579" t="s">
        <v>178</v>
      </c>
      <c r="AB947" s="584">
        <v>39930</v>
      </c>
      <c r="AC947" s="584" t="s">
        <v>164</v>
      </c>
      <c r="AD947" s="584">
        <v>28017.375</v>
      </c>
      <c r="AE947" s="586">
        <v>0.03</v>
      </c>
      <c r="AF947" s="661" t="str">
        <f t="shared" si="101"/>
        <v>2019-LVN-FRD-T15W-018-05</v>
      </c>
      <c r="AG947" s="661" t="str">
        <f>IF(AND($Y947&gt;=32,(AI947="I"),(Y947&lt;&gt;"~"),(COUNTIF($AN$1:$AN947,$AN947)=1)),"TRUE","FALSE")</f>
        <v>FALSE</v>
      </c>
      <c r="AH947" s="661" t="str">
        <f>IF(AND($Y947&gt;=22, (AI947&lt;&gt;"I"),(Y947&lt;&gt;"~"),(COUNTIF($AN$1:$AN947,$AN947)=1)),"TRUE","FALSE")</f>
        <v>FALSE</v>
      </c>
      <c r="AI947" s="661" t="str">
        <f t="shared" si="103"/>
        <v>II</v>
      </c>
      <c r="AJ947" s="662" t="str">
        <f t="shared" si="97"/>
        <v>T15W-018</v>
      </c>
      <c r="AK947" s="662" t="str">
        <f t="shared" si="98"/>
        <v>LVN</v>
      </c>
      <c r="AL947" s="662" t="str">
        <f t="shared" si="99"/>
        <v>FRD</v>
      </c>
      <c r="AM947" s="662" t="str">
        <f t="shared" si="102"/>
        <v>Transit 150 Wagon-XLT Sliding RH Door-RWD-10-82.2-~-3.7L-6-K1Y-302A-129.9-25-Unleaded-Unleaded</v>
      </c>
      <c r="AN947" s="662" t="str">
        <f t="shared" si="100"/>
        <v>2019-LVN-FRD-T15W-018</v>
      </c>
    </row>
    <row r="948" spans="1:40" s="572" customFormat="1" ht="15">
      <c r="A948" s="570" t="s">
        <v>2110</v>
      </c>
      <c r="B948" s="569" t="s">
        <v>2111</v>
      </c>
      <c r="C948" s="569" t="s">
        <v>269</v>
      </c>
      <c r="D948" s="580" t="s">
        <v>270</v>
      </c>
      <c r="E948" s="569" t="s">
        <v>1516</v>
      </c>
      <c r="F948" s="569" t="s">
        <v>1890</v>
      </c>
      <c r="G948" s="569" t="s">
        <v>271</v>
      </c>
      <c r="H948" s="569">
        <v>2019</v>
      </c>
      <c r="I948" s="569" t="s">
        <v>2047</v>
      </c>
      <c r="J948" s="569" t="s">
        <v>2106</v>
      </c>
      <c r="K948" s="569" t="s">
        <v>236</v>
      </c>
      <c r="L948" s="569">
        <v>10</v>
      </c>
      <c r="M948" s="569">
        <v>0</v>
      </c>
      <c r="N948" s="569" t="s">
        <v>157</v>
      </c>
      <c r="O948" s="569">
        <v>4</v>
      </c>
      <c r="P948" s="569">
        <v>98.7</v>
      </c>
      <c r="Q948" s="568" t="s">
        <v>157</v>
      </c>
      <c r="R948" s="569" t="s">
        <v>1259</v>
      </c>
      <c r="S948" s="569">
        <v>6</v>
      </c>
      <c r="T948" s="569" t="s">
        <v>1910</v>
      </c>
      <c r="U948" s="569" t="s">
        <v>2107</v>
      </c>
      <c r="V948" s="569">
        <v>129.9</v>
      </c>
      <c r="W948" s="569">
        <v>25</v>
      </c>
      <c r="X948" s="568">
        <v>8550</v>
      </c>
      <c r="Y948" s="573">
        <v>16</v>
      </c>
      <c r="Z948" s="581" t="s">
        <v>178</v>
      </c>
      <c r="AA948" s="581" t="s">
        <v>178</v>
      </c>
      <c r="AB948" s="585">
        <v>43245</v>
      </c>
      <c r="AC948" s="585" t="s">
        <v>164</v>
      </c>
      <c r="AD948" s="585">
        <v>33290.291666666672</v>
      </c>
      <c r="AE948" s="587">
        <v>0.03</v>
      </c>
      <c r="AF948" s="661" t="str">
        <f t="shared" si="101"/>
        <v>2019-LVN-FRD-T15W-019-05</v>
      </c>
      <c r="AG948" s="661" t="str">
        <f>IF(AND($Y948&gt;=32,(AI948="I"),(Y948&lt;&gt;"~"),(COUNTIF($AN$1:$AN948,$AN948)=1)),"TRUE","FALSE")</f>
        <v>FALSE</v>
      </c>
      <c r="AH948" s="661" t="str">
        <f>IF(AND($Y948&gt;=22, (AI948&lt;&gt;"I"),(Y948&lt;&gt;"~"),(COUNTIF($AN$1:$AN948,$AN948)=1)),"TRUE","FALSE")</f>
        <v>FALSE</v>
      </c>
      <c r="AI948" s="661" t="str">
        <f t="shared" si="103"/>
        <v>II</v>
      </c>
      <c r="AJ948" s="662" t="str">
        <f t="shared" si="97"/>
        <v>T15W-019</v>
      </c>
      <c r="AK948" s="662" t="str">
        <f t="shared" si="98"/>
        <v>LVN</v>
      </c>
      <c r="AL948" s="662" t="str">
        <f t="shared" si="99"/>
        <v>FRD</v>
      </c>
      <c r="AM948" s="662" t="str">
        <f t="shared" si="102"/>
        <v>Transit 150 Wagon-XLT Sliding RH Door-RWD-10-98.7-~-3.5L EcoBoost-6-K1C-302A-129.9-25-Unleaded-Unleaded</v>
      </c>
      <c r="AN948" s="662" t="str">
        <f t="shared" si="100"/>
        <v>2019-LVN-FRD-T15W-019</v>
      </c>
    </row>
    <row r="949" spans="1:40" s="572" customFormat="1" ht="15">
      <c r="A949" s="570" t="s">
        <v>2112</v>
      </c>
      <c r="B949" s="573" t="s">
        <v>2113</v>
      </c>
      <c r="C949" s="573" t="s">
        <v>269</v>
      </c>
      <c r="D949" s="578" t="s">
        <v>270</v>
      </c>
      <c r="E949" s="573" t="s">
        <v>1516</v>
      </c>
      <c r="F949" s="573" t="s">
        <v>1890</v>
      </c>
      <c r="G949" s="573" t="s">
        <v>271</v>
      </c>
      <c r="H949" s="573">
        <v>2019</v>
      </c>
      <c r="I949" s="573" t="s">
        <v>2047</v>
      </c>
      <c r="J949" s="573" t="s">
        <v>2106</v>
      </c>
      <c r="K949" s="573" t="s">
        <v>236</v>
      </c>
      <c r="L949" s="573">
        <v>10</v>
      </c>
      <c r="M949" s="573">
        <v>0</v>
      </c>
      <c r="N949" s="573" t="s">
        <v>157</v>
      </c>
      <c r="O949" s="573">
        <v>4</v>
      </c>
      <c r="P949" s="573">
        <v>98.7</v>
      </c>
      <c r="Q949" s="571" t="s">
        <v>157</v>
      </c>
      <c r="R949" s="573" t="s">
        <v>682</v>
      </c>
      <c r="S949" s="573">
        <v>6</v>
      </c>
      <c r="T949" s="573" t="s">
        <v>1910</v>
      </c>
      <c r="U949" s="573" t="s">
        <v>2107</v>
      </c>
      <c r="V949" s="573">
        <v>129.9</v>
      </c>
      <c r="W949" s="573">
        <v>25</v>
      </c>
      <c r="X949" s="571">
        <v>8550</v>
      </c>
      <c r="Y949" s="573">
        <v>16</v>
      </c>
      <c r="Z949" s="579" t="s">
        <v>178</v>
      </c>
      <c r="AA949" s="579" t="s">
        <v>178</v>
      </c>
      <c r="AB949" s="584">
        <v>41380</v>
      </c>
      <c r="AC949" s="584" t="s">
        <v>164</v>
      </c>
      <c r="AD949" s="584">
        <v>31634.041666666668</v>
      </c>
      <c r="AE949" s="586">
        <v>0.03</v>
      </c>
      <c r="AF949" s="661" t="str">
        <f t="shared" si="101"/>
        <v>2019-LVN-FRD-T15W-020-05</v>
      </c>
      <c r="AG949" s="661" t="str">
        <f>IF(AND($Y949&gt;=32,(AI949="I"),(Y949&lt;&gt;"~"),(COUNTIF($AN$1:$AN949,$AN949)=1)),"TRUE","FALSE")</f>
        <v>FALSE</v>
      </c>
      <c r="AH949" s="661" t="str">
        <f>IF(AND($Y949&gt;=22, (AI949&lt;&gt;"I"),(Y949&lt;&gt;"~"),(COUNTIF($AN$1:$AN949,$AN949)=1)),"TRUE","FALSE")</f>
        <v>FALSE</v>
      </c>
      <c r="AI949" s="661" t="str">
        <f t="shared" si="103"/>
        <v>II</v>
      </c>
      <c r="AJ949" s="662" t="str">
        <f t="shared" si="97"/>
        <v>T15W-020</v>
      </c>
      <c r="AK949" s="662" t="str">
        <f t="shared" si="98"/>
        <v>LVN</v>
      </c>
      <c r="AL949" s="662" t="str">
        <f t="shared" si="99"/>
        <v>FRD</v>
      </c>
      <c r="AM949" s="662" t="str">
        <f t="shared" si="102"/>
        <v>Transit 150 Wagon-XLT Sliding RH Door-RWD-10-98.7-~-3.7L-6-K1C-302A-129.9-25-Unleaded-Unleaded</v>
      </c>
      <c r="AN949" s="662" t="str">
        <f t="shared" si="100"/>
        <v>2019-LVN-FRD-T15W-020</v>
      </c>
    </row>
    <row r="950" spans="1:40" s="572" customFormat="1" ht="15">
      <c r="A950" s="570" t="s">
        <v>2114</v>
      </c>
      <c r="B950" s="569" t="s">
        <v>2115</v>
      </c>
      <c r="C950" s="569" t="s">
        <v>269</v>
      </c>
      <c r="D950" s="580" t="s">
        <v>270</v>
      </c>
      <c r="E950" s="569" t="s">
        <v>1516</v>
      </c>
      <c r="F950" s="569" t="s">
        <v>1890</v>
      </c>
      <c r="G950" s="569" t="s">
        <v>271</v>
      </c>
      <c r="H950" s="569">
        <v>2019</v>
      </c>
      <c r="I950" s="569" t="s">
        <v>2047</v>
      </c>
      <c r="J950" s="569" t="s">
        <v>2106</v>
      </c>
      <c r="K950" s="569" t="s">
        <v>236</v>
      </c>
      <c r="L950" s="569">
        <v>8</v>
      </c>
      <c r="M950" s="569">
        <v>0</v>
      </c>
      <c r="N950" s="569" t="s">
        <v>157</v>
      </c>
      <c r="O950" s="569">
        <v>3</v>
      </c>
      <c r="P950" s="569">
        <v>82.2</v>
      </c>
      <c r="Q950" s="568" t="s">
        <v>157</v>
      </c>
      <c r="R950" s="569" t="s">
        <v>1259</v>
      </c>
      <c r="S950" s="569">
        <v>6</v>
      </c>
      <c r="T950" s="569" t="s">
        <v>2049</v>
      </c>
      <c r="U950" s="569" t="s">
        <v>2107</v>
      </c>
      <c r="V950" s="569">
        <v>129.9</v>
      </c>
      <c r="W950" s="569">
        <v>25</v>
      </c>
      <c r="X950" s="568">
        <v>8550</v>
      </c>
      <c r="Y950" s="573">
        <v>16</v>
      </c>
      <c r="Z950" s="581" t="s">
        <v>178</v>
      </c>
      <c r="AA950" s="581" t="s">
        <v>178</v>
      </c>
      <c r="AB950" s="585">
        <v>40545</v>
      </c>
      <c r="AC950" s="585" t="s">
        <v>164</v>
      </c>
      <c r="AD950" s="585">
        <v>28563.208333333336</v>
      </c>
      <c r="AE950" s="587">
        <v>0.03</v>
      </c>
      <c r="AF950" s="661" t="str">
        <f t="shared" si="101"/>
        <v>2019-LVN-FRD-T15W-022-05</v>
      </c>
      <c r="AG950" s="661" t="str">
        <f>IF(AND($Y950&gt;=32,(AI950="I"),(Y950&lt;&gt;"~"),(COUNTIF($AN$1:$AN950,$AN950)=1)),"TRUE","FALSE")</f>
        <v>FALSE</v>
      </c>
      <c r="AH950" s="661" t="str">
        <f>IF(AND($Y950&gt;=22, (AI950&lt;&gt;"I"),(Y950&lt;&gt;"~"),(COUNTIF($AN$1:$AN950,$AN950)=1)),"TRUE","FALSE")</f>
        <v>FALSE</v>
      </c>
      <c r="AI950" s="661" t="str">
        <f t="shared" si="103"/>
        <v>II</v>
      </c>
      <c r="AJ950" s="662" t="str">
        <f t="shared" si="97"/>
        <v>T15W-022</v>
      </c>
      <c r="AK950" s="662" t="str">
        <f t="shared" si="98"/>
        <v>LVN</v>
      </c>
      <c r="AL950" s="662" t="str">
        <f t="shared" si="99"/>
        <v>FRD</v>
      </c>
      <c r="AM950" s="662" t="str">
        <f t="shared" si="102"/>
        <v>Transit 150 Wagon-XLT Sliding RH Door-RWD-8-82.2-~-3.5L EcoBoost-6-K1Y-302A-129.9-25-Unleaded-Unleaded</v>
      </c>
      <c r="AN950" s="662" t="str">
        <f t="shared" si="100"/>
        <v>2019-LVN-FRD-T15W-022</v>
      </c>
    </row>
    <row r="951" spans="1:40" s="572" customFormat="1" ht="15">
      <c r="A951" s="570" t="s">
        <v>2116</v>
      </c>
      <c r="B951" s="573" t="s">
        <v>2117</v>
      </c>
      <c r="C951" s="573" t="s">
        <v>269</v>
      </c>
      <c r="D951" s="578" t="s">
        <v>270</v>
      </c>
      <c r="E951" s="573" t="s">
        <v>1516</v>
      </c>
      <c r="F951" s="573" t="s">
        <v>1890</v>
      </c>
      <c r="G951" s="573" t="s">
        <v>271</v>
      </c>
      <c r="H951" s="573">
        <v>2019</v>
      </c>
      <c r="I951" s="573" t="s">
        <v>2047</v>
      </c>
      <c r="J951" s="573" t="s">
        <v>2106</v>
      </c>
      <c r="K951" s="573" t="s">
        <v>236</v>
      </c>
      <c r="L951" s="573">
        <v>8</v>
      </c>
      <c r="M951" s="573">
        <v>0</v>
      </c>
      <c r="N951" s="573" t="s">
        <v>157</v>
      </c>
      <c r="O951" s="573">
        <v>3</v>
      </c>
      <c r="P951" s="573">
        <v>82.2</v>
      </c>
      <c r="Q951" s="571" t="s">
        <v>157</v>
      </c>
      <c r="R951" s="573" t="s">
        <v>682</v>
      </c>
      <c r="S951" s="573">
        <v>6</v>
      </c>
      <c r="T951" s="573" t="s">
        <v>2049</v>
      </c>
      <c r="U951" s="573" t="s">
        <v>2107</v>
      </c>
      <c r="V951" s="573">
        <v>129.9</v>
      </c>
      <c r="W951" s="573">
        <v>25</v>
      </c>
      <c r="X951" s="571">
        <v>8550</v>
      </c>
      <c r="Y951" s="573">
        <v>16</v>
      </c>
      <c r="Z951" s="579" t="s">
        <v>178</v>
      </c>
      <c r="AA951" s="579" t="s">
        <v>178</v>
      </c>
      <c r="AB951" s="584">
        <v>38680</v>
      </c>
      <c r="AC951" s="584" t="s">
        <v>164</v>
      </c>
      <c r="AD951" s="584">
        <v>26906.958333333336</v>
      </c>
      <c r="AE951" s="586">
        <v>0.03</v>
      </c>
      <c r="AF951" s="661" t="str">
        <f t="shared" si="101"/>
        <v>2019-LVN-FRD-T15W-023-05</v>
      </c>
      <c r="AG951" s="661" t="str">
        <f>IF(AND($Y951&gt;=32,(AI951="I"),(Y951&lt;&gt;"~"),(COUNTIF($AN$1:$AN951,$AN951)=1)),"TRUE","FALSE")</f>
        <v>FALSE</v>
      </c>
      <c r="AH951" s="661" t="str">
        <f>IF(AND($Y951&gt;=22, (AI951&lt;&gt;"I"),(Y951&lt;&gt;"~"),(COUNTIF($AN$1:$AN951,$AN951)=1)),"TRUE","FALSE")</f>
        <v>FALSE</v>
      </c>
      <c r="AI951" s="661" t="str">
        <f t="shared" si="103"/>
        <v>II</v>
      </c>
      <c r="AJ951" s="662" t="str">
        <f t="shared" si="97"/>
        <v>T15W-023</v>
      </c>
      <c r="AK951" s="662" t="str">
        <f t="shared" si="98"/>
        <v>LVN</v>
      </c>
      <c r="AL951" s="662" t="str">
        <f t="shared" si="99"/>
        <v>FRD</v>
      </c>
      <c r="AM951" s="662" t="str">
        <f t="shared" si="102"/>
        <v>Transit 150 Wagon-XLT Sliding RH Door-RWD-8-82.2-~-3.7L-6-K1Y-302A-129.9-25-Unleaded-Unleaded</v>
      </c>
      <c r="AN951" s="662" t="str">
        <f t="shared" si="100"/>
        <v>2019-LVN-FRD-T15W-023</v>
      </c>
    </row>
    <row r="952" spans="1:40" s="572" customFormat="1" ht="15">
      <c r="A952" s="570" t="s">
        <v>2118</v>
      </c>
      <c r="B952" s="569" t="s">
        <v>2119</v>
      </c>
      <c r="C952" s="569" t="s">
        <v>269</v>
      </c>
      <c r="D952" s="580" t="s">
        <v>270</v>
      </c>
      <c r="E952" s="569" t="s">
        <v>1516</v>
      </c>
      <c r="F952" s="569" t="s">
        <v>1890</v>
      </c>
      <c r="G952" s="569" t="s">
        <v>271</v>
      </c>
      <c r="H952" s="569">
        <v>2019</v>
      </c>
      <c r="I952" s="569" t="s">
        <v>2047</v>
      </c>
      <c r="J952" s="569" t="s">
        <v>2106</v>
      </c>
      <c r="K952" s="569" t="s">
        <v>236</v>
      </c>
      <c r="L952" s="569">
        <v>8</v>
      </c>
      <c r="M952" s="569">
        <v>0</v>
      </c>
      <c r="N952" s="569" t="s">
        <v>157</v>
      </c>
      <c r="O952" s="569">
        <v>3</v>
      </c>
      <c r="P952" s="569">
        <v>98.7</v>
      </c>
      <c r="Q952" s="568" t="s">
        <v>157</v>
      </c>
      <c r="R952" s="569" t="s">
        <v>1259</v>
      </c>
      <c r="S952" s="569">
        <v>6</v>
      </c>
      <c r="T952" s="569" t="s">
        <v>1910</v>
      </c>
      <c r="U952" s="569" t="s">
        <v>2107</v>
      </c>
      <c r="V952" s="569">
        <v>129.9</v>
      </c>
      <c r="W952" s="569">
        <v>25</v>
      </c>
      <c r="X952" s="568">
        <v>8550</v>
      </c>
      <c r="Y952" s="573">
        <v>16</v>
      </c>
      <c r="Z952" s="581" t="s">
        <v>178</v>
      </c>
      <c r="AA952" s="581" t="s">
        <v>178</v>
      </c>
      <c r="AB952" s="585">
        <v>41995</v>
      </c>
      <c r="AC952" s="585" t="s">
        <v>164</v>
      </c>
      <c r="AD952" s="585">
        <v>32179.875</v>
      </c>
      <c r="AE952" s="587">
        <v>0.03</v>
      </c>
      <c r="AF952" s="661" t="str">
        <f t="shared" si="101"/>
        <v>2019-LVN-FRD-T15W-024-05</v>
      </c>
      <c r="AG952" s="661" t="str">
        <f>IF(AND($Y952&gt;=32,(AI952="I"),(Y952&lt;&gt;"~"),(COUNTIF($AN$1:$AN952,$AN952)=1)),"TRUE","FALSE")</f>
        <v>FALSE</v>
      </c>
      <c r="AH952" s="661" t="str">
        <f>IF(AND($Y952&gt;=22, (AI952&lt;&gt;"I"),(Y952&lt;&gt;"~"),(COUNTIF($AN$1:$AN952,$AN952)=1)),"TRUE","FALSE")</f>
        <v>FALSE</v>
      </c>
      <c r="AI952" s="661" t="str">
        <f t="shared" si="103"/>
        <v>II</v>
      </c>
      <c r="AJ952" s="662" t="str">
        <f t="shared" si="97"/>
        <v>T15W-024</v>
      </c>
      <c r="AK952" s="662" t="str">
        <f t="shared" si="98"/>
        <v>LVN</v>
      </c>
      <c r="AL952" s="662" t="str">
        <f t="shared" si="99"/>
        <v>FRD</v>
      </c>
      <c r="AM952" s="662" t="str">
        <f t="shared" si="102"/>
        <v>Transit 150 Wagon-XLT Sliding RH Door-RWD-8-98.7-~-3.5L EcoBoost-6-K1C-302A-129.9-25-Unleaded-Unleaded</v>
      </c>
      <c r="AN952" s="662" t="str">
        <f t="shared" si="100"/>
        <v>2019-LVN-FRD-T15W-024</v>
      </c>
    </row>
    <row r="953" spans="1:40" s="572" customFormat="1" ht="15">
      <c r="A953" s="570" t="s">
        <v>2120</v>
      </c>
      <c r="B953" s="573" t="s">
        <v>2121</v>
      </c>
      <c r="C953" s="573" t="s">
        <v>269</v>
      </c>
      <c r="D953" s="578" t="s">
        <v>270</v>
      </c>
      <c r="E953" s="573" t="s">
        <v>1516</v>
      </c>
      <c r="F953" s="573" t="s">
        <v>1890</v>
      </c>
      <c r="G953" s="573" t="s">
        <v>271</v>
      </c>
      <c r="H953" s="573">
        <v>2019</v>
      </c>
      <c r="I953" s="573" t="s">
        <v>2047</v>
      </c>
      <c r="J953" s="573" t="s">
        <v>2106</v>
      </c>
      <c r="K953" s="573" t="s">
        <v>236</v>
      </c>
      <c r="L953" s="573">
        <v>8</v>
      </c>
      <c r="M953" s="573">
        <v>0</v>
      </c>
      <c r="N953" s="573" t="s">
        <v>157</v>
      </c>
      <c r="O953" s="573">
        <v>3</v>
      </c>
      <c r="P953" s="573">
        <v>98.7</v>
      </c>
      <c r="Q953" s="571" t="s">
        <v>157</v>
      </c>
      <c r="R953" s="573" t="s">
        <v>682</v>
      </c>
      <c r="S953" s="573">
        <v>6</v>
      </c>
      <c r="T953" s="573" t="s">
        <v>1910</v>
      </c>
      <c r="U953" s="573" t="s">
        <v>2107</v>
      </c>
      <c r="V953" s="573">
        <v>129.9</v>
      </c>
      <c r="W953" s="573">
        <v>25</v>
      </c>
      <c r="X953" s="571">
        <v>8550</v>
      </c>
      <c r="Y953" s="573">
        <v>16</v>
      </c>
      <c r="Z953" s="579" t="s">
        <v>178</v>
      </c>
      <c r="AA953" s="579" t="s">
        <v>178</v>
      </c>
      <c r="AB953" s="584">
        <v>40130</v>
      </c>
      <c r="AC953" s="584" t="s">
        <v>164</v>
      </c>
      <c r="AD953" s="584">
        <v>30523.625</v>
      </c>
      <c r="AE953" s="586">
        <v>0.03</v>
      </c>
      <c r="AF953" s="661" t="str">
        <f t="shared" si="101"/>
        <v>2019-LVN-FRD-T15W-025-05</v>
      </c>
      <c r="AG953" s="661" t="str">
        <f>IF(AND($Y953&gt;=32,(AI953="I"),(Y953&lt;&gt;"~"),(COUNTIF($AN$1:$AN953,$AN953)=1)),"TRUE","FALSE")</f>
        <v>FALSE</v>
      </c>
      <c r="AH953" s="661" t="str">
        <f>IF(AND($Y953&gt;=22, (AI953&lt;&gt;"I"),(Y953&lt;&gt;"~"),(COUNTIF($AN$1:$AN953,$AN953)=1)),"TRUE","FALSE")</f>
        <v>FALSE</v>
      </c>
      <c r="AI953" s="661" t="str">
        <f t="shared" si="103"/>
        <v>II</v>
      </c>
      <c r="AJ953" s="662" t="str">
        <f t="shared" si="97"/>
        <v>T15W-025</v>
      </c>
      <c r="AK953" s="662" t="str">
        <f t="shared" si="98"/>
        <v>LVN</v>
      </c>
      <c r="AL953" s="662" t="str">
        <f t="shared" si="99"/>
        <v>FRD</v>
      </c>
      <c r="AM953" s="662" t="str">
        <f t="shared" si="102"/>
        <v>Transit 150 Wagon-XLT Sliding RH Door-RWD-8-98.7-~-3.7L-6-K1C-302A-129.9-25-Unleaded-Unleaded</v>
      </c>
      <c r="AN953" s="662" t="str">
        <f t="shared" si="100"/>
        <v>2019-LVN-FRD-T15W-025</v>
      </c>
    </row>
    <row r="954" spans="1:40" s="572" customFormat="1" ht="15">
      <c r="A954" s="570" t="s">
        <v>2120</v>
      </c>
      <c r="B954" s="569" t="s">
        <v>2121</v>
      </c>
      <c r="C954" s="569" t="s">
        <v>269</v>
      </c>
      <c r="D954" s="580" t="s">
        <v>270</v>
      </c>
      <c r="E954" s="569" t="s">
        <v>1516</v>
      </c>
      <c r="F954" s="569" t="s">
        <v>1890</v>
      </c>
      <c r="G954" s="569" t="s">
        <v>271</v>
      </c>
      <c r="H954" s="569">
        <v>2019</v>
      </c>
      <c r="I954" s="569" t="s">
        <v>2047</v>
      </c>
      <c r="J954" s="569" t="s">
        <v>2106</v>
      </c>
      <c r="K954" s="569" t="s">
        <v>236</v>
      </c>
      <c r="L954" s="569">
        <v>8</v>
      </c>
      <c r="M954" s="569">
        <v>0</v>
      </c>
      <c r="N954" s="569" t="s">
        <v>157</v>
      </c>
      <c r="O954" s="569">
        <v>3</v>
      </c>
      <c r="P954" s="569">
        <v>98.7</v>
      </c>
      <c r="Q954" s="568" t="s">
        <v>157</v>
      </c>
      <c r="R954" s="569" t="s">
        <v>682</v>
      </c>
      <c r="S954" s="569">
        <v>6</v>
      </c>
      <c r="T954" s="569" t="s">
        <v>1910</v>
      </c>
      <c r="U954" s="569" t="s">
        <v>2107</v>
      </c>
      <c r="V954" s="569">
        <v>129.9</v>
      </c>
      <c r="W954" s="569">
        <v>25</v>
      </c>
      <c r="X954" s="568">
        <v>8550</v>
      </c>
      <c r="Y954" s="573">
        <v>16</v>
      </c>
      <c r="Z954" s="581" t="s">
        <v>178</v>
      </c>
      <c r="AA954" s="581" t="s">
        <v>178</v>
      </c>
      <c r="AB954" s="585">
        <v>40130</v>
      </c>
      <c r="AC954" s="585" t="s">
        <v>164</v>
      </c>
      <c r="AD954" s="585">
        <v>30523.625</v>
      </c>
      <c r="AE954" s="587">
        <v>0.03</v>
      </c>
      <c r="AF954" s="661" t="str">
        <f t="shared" si="101"/>
        <v>2019-LVN-FRD-T15W-025-05</v>
      </c>
      <c r="AG954" s="661" t="str">
        <f>IF(AND($Y954&gt;=32,(AI954="I"),(Y954&lt;&gt;"~"),(COUNTIF($AN$1:$AN954,$AN954)=1)),"TRUE","FALSE")</f>
        <v>FALSE</v>
      </c>
      <c r="AH954" s="661" t="str">
        <f>IF(AND($Y954&gt;=22, (AI954&lt;&gt;"I"),(Y954&lt;&gt;"~"),(COUNTIF($AN$1:$AN954,$AN954)=1)),"TRUE","FALSE")</f>
        <v>FALSE</v>
      </c>
      <c r="AI954" s="661" t="str">
        <f t="shared" si="103"/>
        <v>II</v>
      </c>
      <c r="AJ954" s="662" t="str">
        <f t="shared" si="97"/>
        <v>T15W-025</v>
      </c>
      <c r="AK954" s="662" t="str">
        <f t="shared" si="98"/>
        <v>LVN</v>
      </c>
      <c r="AL954" s="662" t="str">
        <f t="shared" si="99"/>
        <v>FRD</v>
      </c>
      <c r="AM954" s="662" t="str">
        <f t="shared" si="102"/>
        <v>Transit 150 Wagon-XLT Sliding RH Door-RWD-8-98.7-~-3.7L-6-K1C-302A-129.9-25-Unleaded-Unleaded</v>
      </c>
      <c r="AN954" s="662" t="str">
        <f t="shared" si="100"/>
        <v>2019-LVN-FRD-T15W-025</v>
      </c>
    </row>
    <row r="955" spans="1:40" s="572" customFormat="1" ht="15">
      <c r="A955" s="570" t="s">
        <v>2122</v>
      </c>
      <c r="B955" s="573" t="s">
        <v>2105</v>
      </c>
      <c r="C955" s="573" t="s">
        <v>278</v>
      </c>
      <c r="D955" s="578">
        <v>15</v>
      </c>
      <c r="E955" s="573" t="s">
        <v>1516</v>
      </c>
      <c r="F955" s="573" t="s">
        <v>1890</v>
      </c>
      <c r="G955" s="573" t="s">
        <v>271</v>
      </c>
      <c r="H955" s="573">
        <v>2019</v>
      </c>
      <c r="I955" s="573" t="s">
        <v>2047</v>
      </c>
      <c r="J955" s="573" t="s">
        <v>2106</v>
      </c>
      <c r="K955" s="573" t="s">
        <v>236</v>
      </c>
      <c r="L955" s="573">
        <v>10</v>
      </c>
      <c r="M955" s="573">
        <v>0</v>
      </c>
      <c r="N955" s="573" t="s">
        <v>157</v>
      </c>
      <c r="O955" s="573">
        <v>4</v>
      </c>
      <c r="P955" s="573">
        <v>82.2</v>
      </c>
      <c r="Q955" s="571" t="s">
        <v>157</v>
      </c>
      <c r="R955" s="573" t="s">
        <v>1259</v>
      </c>
      <c r="S955" s="573">
        <v>6</v>
      </c>
      <c r="T955" s="573" t="s">
        <v>2049</v>
      </c>
      <c r="U955" s="573" t="s">
        <v>2107</v>
      </c>
      <c r="V955" s="573">
        <v>129.9</v>
      </c>
      <c r="W955" s="573">
        <v>25</v>
      </c>
      <c r="X955" s="571">
        <v>8550</v>
      </c>
      <c r="Y955" s="573">
        <v>16</v>
      </c>
      <c r="Z955" s="579" t="s">
        <v>178</v>
      </c>
      <c r="AA955" s="579" t="s">
        <v>178</v>
      </c>
      <c r="AB955" s="584">
        <v>41795</v>
      </c>
      <c r="AC955" s="584" t="s">
        <v>164</v>
      </c>
      <c r="AD955" s="584">
        <v>30300</v>
      </c>
      <c r="AE955" s="586">
        <v>0.01</v>
      </c>
      <c r="AF955" s="661" t="str">
        <f t="shared" si="101"/>
        <v>2019-LVN-FRD-T15W-017-15</v>
      </c>
      <c r="AG955" s="661" t="str">
        <f>IF(AND($Y955&gt;=32,(AI955="I"),(Y955&lt;&gt;"~"),(COUNTIF($AN$1:$AN955,$AN955)=1)),"TRUE","FALSE")</f>
        <v>FALSE</v>
      </c>
      <c r="AH955" s="661" t="str">
        <f>IF(AND($Y955&gt;=22, (AI955&lt;&gt;"I"),(Y955&lt;&gt;"~"),(COUNTIF($AN$1:$AN955,$AN955)=1)),"TRUE","FALSE")</f>
        <v>FALSE</v>
      </c>
      <c r="AI955" s="661" t="str">
        <f t="shared" si="103"/>
        <v>II</v>
      </c>
      <c r="AJ955" s="662" t="str">
        <f t="shared" si="97"/>
        <v>T15W-017</v>
      </c>
      <c r="AK955" s="662" t="str">
        <f t="shared" si="98"/>
        <v>LVN</v>
      </c>
      <c r="AL955" s="662" t="str">
        <f t="shared" si="99"/>
        <v>FRD</v>
      </c>
      <c r="AM955" s="662" t="str">
        <f t="shared" si="102"/>
        <v>Transit 150 Wagon-XLT Sliding RH Door-RWD-10-82.2-~-3.5L EcoBoost-6-K1Y-302A-129.9-25-Unleaded-Unleaded</v>
      </c>
      <c r="AN955" s="662" t="str">
        <f t="shared" si="100"/>
        <v>2019-LVN-FRD-T15W-017</v>
      </c>
    </row>
    <row r="956" spans="1:40" s="572" customFormat="1" ht="15">
      <c r="A956" s="570" t="s">
        <v>2123</v>
      </c>
      <c r="B956" s="569" t="s">
        <v>2109</v>
      </c>
      <c r="C956" s="569" t="s">
        <v>278</v>
      </c>
      <c r="D956" s="580">
        <v>15</v>
      </c>
      <c r="E956" s="569" t="s">
        <v>1516</v>
      </c>
      <c r="F956" s="569" t="s">
        <v>1890</v>
      </c>
      <c r="G956" s="569" t="s">
        <v>271</v>
      </c>
      <c r="H956" s="569">
        <v>2019</v>
      </c>
      <c r="I956" s="569" t="s">
        <v>2047</v>
      </c>
      <c r="J956" s="569" t="s">
        <v>2106</v>
      </c>
      <c r="K956" s="569" t="s">
        <v>236</v>
      </c>
      <c r="L956" s="569">
        <v>10</v>
      </c>
      <c r="M956" s="569">
        <v>0</v>
      </c>
      <c r="N956" s="569" t="s">
        <v>157</v>
      </c>
      <c r="O956" s="569">
        <v>4</v>
      </c>
      <c r="P956" s="569">
        <v>82.2</v>
      </c>
      <c r="Q956" s="568" t="s">
        <v>157</v>
      </c>
      <c r="R956" s="569" t="s">
        <v>682</v>
      </c>
      <c r="S956" s="569">
        <v>6</v>
      </c>
      <c r="T956" s="569" t="s">
        <v>2049</v>
      </c>
      <c r="U956" s="569" t="s">
        <v>2107</v>
      </c>
      <c r="V956" s="569">
        <v>129.9</v>
      </c>
      <c r="W956" s="569">
        <v>25</v>
      </c>
      <c r="X956" s="568">
        <v>8550</v>
      </c>
      <c r="Y956" s="573">
        <v>16</v>
      </c>
      <c r="Z956" s="581" t="s">
        <v>178</v>
      </c>
      <c r="AA956" s="581" t="s">
        <v>178</v>
      </c>
      <c r="AB956" s="585">
        <v>39930</v>
      </c>
      <c r="AC956" s="585" t="s">
        <v>164</v>
      </c>
      <c r="AD956" s="585">
        <v>28550</v>
      </c>
      <c r="AE956" s="587">
        <v>0.01</v>
      </c>
      <c r="AF956" s="661" t="str">
        <f t="shared" si="101"/>
        <v>2019-LVN-FRD-T15W-018-15</v>
      </c>
      <c r="AG956" s="661" t="str">
        <f>IF(AND($Y956&gt;=32,(AI956="I"),(Y956&lt;&gt;"~"),(COUNTIF($AN$1:$AN956,$AN956)=1)),"TRUE","FALSE")</f>
        <v>FALSE</v>
      </c>
      <c r="AH956" s="661" t="str">
        <f>IF(AND($Y956&gt;=22, (AI956&lt;&gt;"I"),(Y956&lt;&gt;"~"),(COUNTIF($AN$1:$AN956,$AN956)=1)),"TRUE","FALSE")</f>
        <v>FALSE</v>
      </c>
      <c r="AI956" s="661" t="str">
        <f t="shared" si="103"/>
        <v>II</v>
      </c>
      <c r="AJ956" s="662" t="str">
        <f t="shared" si="97"/>
        <v>T15W-018</v>
      </c>
      <c r="AK956" s="662" t="str">
        <f t="shared" si="98"/>
        <v>LVN</v>
      </c>
      <c r="AL956" s="662" t="str">
        <f t="shared" si="99"/>
        <v>FRD</v>
      </c>
      <c r="AM956" s="662" t="str">
        <f t="shared" si="102"/>
        <v>Transit 150 Wagon-XLT Sliding RH Door-RWD-10-82.2-~-3.7L-6-K1Y-302A-129.9-25-Unleaded-Unleaded</v>
      </c>
      <c r="AN956" s="662" t="str">
        <f t="shared" si="100"/>
        <v>2019-LVN-FRD-T15W-018</v>
      </c>
    </row>
    <row r="957" spans="1:40" s="572" customFormat="1" ht="15">
      <c r="A957" s="570" t="s">
        <v>2124</v>
      </c>
      <c r="B957" s="573" t="s">
        <v>2111</v>
      </c>
      <c r="C957" s="573" t="s">
        <v>278</v>
      </c>
      <c r="D957" s="578">
        <v>15</v>
      </c>
      <c r="E957" s="573" t="s">
        <v>1516</v>
      </c>
      <c r="F957" s="573" t="s">
        <v>1890</v>
      </c>
      <c r="G957" s="573" t="s">
        <v>271</v>
      </c>
      <c r="H957" s="573">
        <v>2019</v>
      </c>
      <c r="I957" s="573" t="s">
        <v>2047</v>
      </c>
      <c r="J957" s="573" t="s">
        <v>2106</v>
      </c>
      <c r="K957" s="573" t="s">
        <v>236</v>
      </c>
      <c r="L957" s="573">
        <v>10</v>
      </c>
      <c r="M957" s="573">
        <v>0</v>
      </c>
      <c r="N957" s="573" t="s">
        <v>157</v>
      </c>
      <c r="O957" s="573">
        <v>4</v>
      </c>
      <c r="P957" s="573">
        <v>98.7</v>
      </c>
      <c r="Q957" s="571" t="s">
        <v>157</v>
      </c>
      <c r="R957" s="573" t="s">
        <v>1259</v>
      </c>
      <c r="S957" s="573">
        <v>6</v>
      </c>
      <c r="T957" s="573" t="s">
        <v>1910</v>
      </c>
      <c r="U957" s="573" t="s">
        <v>2107</v>
      </c>
      <c r="V957" s="573">
        <v>129.9</v>
      </c>
      <c r="W957" s="573">
        <v>25</v>
      </c>
      <c r="X957" s="571">
        <v>8550</v>
      </c>
      <c r="Y957" s="573">
        <v>16</v>
      </c>
      <c r="Z957" s="579" t="s">
        <v>178</v>
      </c>
      <c r="AA957" s="579" t="s">
        <v>178</v>
      </c>
      <c r="AB957" s="584">
        <v>43245</v>
      </c>
      <c r="AC957" s="584" t="s">
        <v>164</v>
      </c>
      <c r="AD957" s="584">
        <v>33950</v>
      </c>
      <c r="AE957" s="586">
        <v>0.01</v>
      </c>
      <c r="AF957" s="661" t="str">
        <f t="shared" si="101"/>
        <v>2019-LVN-FRD-T15W-019-15</v>
      </c>
      <c r="AG957" s="661" t="str">
        <f>IF(AND($Y957&gt;=32,(AI957="I"),(Y957&lt;&gt;"~"),(COUNTIF($AN$1:$AN957,$AN957)=1)),"TRUE","FALSE")</f>
        <v>FALSE</v>
      </c>
      <c r="AH957" s="661" t="str">
        <f>IF(AND($Y957&gt;=22, (AI957&lt;&gt;"I"),(Y957&lt;&gt;"~"),(COUNTIF($AN$1:$AN957,$AN957)=1)),"TRUE","FALSE")</f>
        <v>FALSE</v>
      </c>
      <c r="AI957" s="661" t="str">
        <f t="shared" si="103"/>
        <v>II</v>
      </c>
      <c r="AJ957" s="662" t="str">
        <f t="shared" si="97"/>
        <v>T15W-019</v>
      </c>
      <c r="AK957" s="662" t="str">
        <f t="shared" si="98"/>
        <v>LVN</v>
      </c>
      <c r="AL957" s="662" t="str">
        <f t="shared" si="99"/>
        <v>FRD</v>
      </c>
      <c r="AM957" s="662" t="str">
        <f t="shared" si="102"/>
        <v>Transit 150 Wagon-XLT Sliding RH Door-RWD-10-98.7-~-3.5L EcoBoost-6-K1C-302A-129.9-25-Unleaded-Unleaded</v>
      </c>
      <c r="AN957" s="662" t="str">
        <f t="shared" si="100"/>
        <v>2019-LVN-FRD-T15W-019</v>
      </c>
    </row>
    <row r="958" spans="1:40" s="572" customFormat="1" ht="15">
      <c r="A958" s="570" t="s">
        <v>2125</v>
      </c>
      <c r="B958" s="569" t="s">
        <v>2113</v>
      </c>
      <c r="C958" s="569" t="s">
        <v>278</v>
      </c>
      <c r="D958" s="580">
        <v>15</v>
      </c>
      <c r="E958" s="569" t="s">
        <v>1516</v>
      </c>
      <c r="F958" s="569" t="s">
        <v>1890</v>
      </c>
      <c r="G958" s="569" t="s">
        <v>271</v>
      </c>
      <c r="H958" s="569">
        <v>2019</v>
      </c>
      <c r="I958" s="569" t="s">
        <v>2047</v>
      </c>
      <c r="J958" s="569" t="s">
        <v>2106</v>
      </c>
      <c r="K958" s="569" t="s">
        <v>236</v>
      </c>
      <c r="L958" s="569">
        <v>10</v>
      </c>
      <c r="M958" s="569">
        <v>0</v>
      </c>
      <c r="N958" s="569" t="s">
        <v>157</v>
      </c>
      <c r="O958" s="569">
        <v>4</v>
      </c>
      <c r="P958" s="569">
        <v>98.7</v>
      </c>
      <c r="Q958" s="568" t="s">
        <v>157</v>
      </c>
      <c r="R958" s="569" t="s">
        <v>682</v>
      </c>
      <c r="S958" s="569">
        <v>6</v>
      </c>
      <c r="T958" s="569" t="s">
        <v>1910</v>
      </c>
      <c r="U958" s="569" t="s">
        <v>2107</v>
      </c>
      <c r="V958" s="569">
        <v>129.9</v>
      </c>
      <c r="W958" s="569">
        <v>25</v>
      </c>
      <c r="X958" s="568">
        <v>8550</v>
      </c>
      <c r="Y958" s="573">
        <v>16</v>
      </c>
      <c r="Z958" s="581" t="s">
        <v>178</v>
      </c>
      <c r="AA958" s="581" t="s">
        <v>178</v>
      </c>
      <c r="AB958" s="585">
        <v>41380</v>
      </c>
      <c r="AC958" s="585" t="s">
        <v>164</v>
      </c>
      <c r="AD958" s="585">
        <v>32300</v>
      </c>
      <c r="AE958" s="587">
        <v>0.01</v>
      </c>
      <c r="AF958" s="661" t="str">
        <f t="shared" si="101"/>
        <v>2019-LVN-FRD-T15W-020-15</v>
      </c>
      <c r="AG958" s="661" t="str">
        <f>IF(AND($Y958&gt;=32,(AI958="I"),(Y958&lt;&gt;"~"),(COUNTIF($AN$1:$AN958,$AN958)=1)),"TRUE","FALSE")</f>
        <v>FALSE</v>
      </c>
      <c r="AH958" s="661" t="str">
        <f>IF(AND($Y958&gt;=22, (AI958&lt;&gt;"I"),(Y958&lt;&gt;"~"),(COUNTIF($AN$1:$AN958,$AN958)=1)),"TRUE","FALSE")</f>
        <v>FALSE</v>
      </c>
      <c r="AI958" s="661" t="str">
        <f t="shared" si="103"/>
        <v>II</v>
      </c>
      <c r="AJ958" s="662" t="str">
        <f t="shared" si="97"/>
        <v>T15W-020</v>
      </c>
      <c r="AK958" s="662" t="str">
        <f t="shared" si="98"/>
        <v>LVN</v>
      </c>
      <c r="AL958" s="662" t="str">
        <f t="shared" si="99"/>
        <v>FRD</v>
      </c>
      <c r="AM958" s="662" t="str">
        <f t="shared" si="102"/>
        <v>Transit 150 Wagon-XLT Sliding RH Door-RWD-10-98.7-~-3.7L-6-K1C-302A-129.9-25-Unleaded-Unleaded</v>
      </c>
      <c r="AN958" s="662" t="str">
        <f t="shared" si="100"/>
        <v>2019-LVN-FRD-T15W-020</v>
      </c>
    </row>
    <row r="959" spans="1:40" s="572" customFormat="1" ht="15">
      <c r="A959" s="570" t="s">
        <v>2126</v>
      </c>
      <c r="B959" s="573" t="s">
        <v>2115</v>
      </c>
      <c r="C959" s="573" t="s">
        <v>278</v>
      </c>
      <c r="D959" s="578">
        <v>15</v>
      </c>
      <c r="E959" s="573" t="s">
        <v>1516</v>
      </c>
      <c r="F959" s="573" t="s">
        <v>1890</v>
      </c>
      <c r="G959" s="573" t="s">
        <v>271</v>
      </c>
      <c r="H959" s="573">
        <v>2019</v>
      </c>
      <c r="I959" s="573" t="s">
        <v>2047</v>
      </c>
      <c r="J959" s="573" t="s">
        <v>2106</v>
      </c>
      <c r="K959" s="573" t="s">
        <v>236</v>
      </c>
      <c r="L959" s="573">
        <v>8</v>
      </c>
      <c r="M959" s="573">
        <v>0</v>
      </c>
      <c r="N959" s="573" t="s">
        <v>157</v>
      </c>
      <c r="O959" s="573">
        <v>3</v>
      </c>
      <c r="P959" s="573">
        <v>82.2</v>
      </c>
      <c r="Q959" s="571" t="s">
        <v>157</v>
      </c>
      <c r="R959" s="573" t="s">
        <v>1259</v>
      </c>
      <c r="S959" s="573">
        <v>6</v>
      </c>
      <c r="T959" s="573" t="s">
        <v>2049</v>
      </c>
      <c r="U959" s="573" t="s">
        <v>2107</v>
      </c>
      <c r="V959" s="573">
        <v>129.9</v>
      </c>
      <c r="W959" s="573">
        <v>25</v>
      </c>
      <c r="X959" s="571">
        <v>8550</v>
      </c>
      <c r="Y959" s="573">
        <v>16</v>
      </c>
      <c r="Z959" s="579" t="s">
        <v>178</v>
      </c>
      <c r="AA959" s="579" t="s">
        <v>178</v>
      </c>
      <c r="AB959" s="584">
        <v>40545</v>
      </c>
      <c r="AC959" s="584" t="s">
        <v>164</v>
      </c>
      <c r="AD959" s="584">
        <v>29100</v>
      </c>
      <c r="AE959" s="586">
        <v>0.01</v>
      </c>
      <c r="AF959" s="661" t="str">
        <f t="shared" si="101"/>
        <v>2019-LVN-FRD-T15W-022-15</v>
      </c>
      <c r="AG959" s="661" t="str">
        <f>IF(AND($Y959&gt;=32,(AI959="I"),(Y959&lt;&gt;"~"),(COUNTIF($AN$1:$AN959,$AN959)=1)),"TRUE","FALSE")</f>
        <v>FALSE</v>
      </c>
      <c r="AH959" s="661" t="str">
        <f>IF(AND($Y959&gt;=22, (AI959&lt;&gt;"I"),(Y959&lt;&gt;"~"),(COUNTIF($AN$1:$AN959,$AN959)=1)),"TRUE","FALSE")</f>
        <v>FALSE</v>
      </c>
      <c r="AI959" s="661" t="str">
        <f t="shared" si="103"/>
        <v>II</v>
      </c>
      <c r="AJ959" s="662" t="str">
        <f t="shared" si="97"/>
        <v>T15W-022</v>
      </c>
      <c r="AK959" s="662" t="str">
        <f t="shared" si="98"/>
        <v>LVN</v>
      </c>
      <c r="AL959" s="662" t="str">
        <f t="shared" si="99"/>
        <v>FRD</v>
      </c>
      <c r="AM959" s="662" t="str">
        <f t="shared" si="102"/>
        <v>Transit 150 Wagon-XLT Sliding RH Door-RWD-8-82.2-~-3.5L EcoBoost-6-K1Y-302A-129.9-25-Unleaded-Unleaded</v>
      </c>
      <c r="AN959" s="662" t="str">
        <f t="shared" si="100"/>
        <v>2019-LVN-FRD-T15W-022</v>
      </c>
    </row>
    <row r="960" spans="1:40" s="572" customFormat="1" ht="15">
      <c r="A960" s="570" t="s">
        <v>2127</v>
      </c>
      <c r="B960" s="569" t="s">
        <v>2117</v>
      </c>
      <c r="C960" s="569" t="s">
        <v>278</v>
      </c>
      <c r="D960" s="580">
        <v>15</v>
      </c>
      <c r="E960" s="569" t="s">
        <v>1516</v>
      </c>
      <c r="F960" s="569" t="s">
        <v>1890</v>
      </c>
      <c r="G960" s="569" t="s">
        <v>271</v>
      </c>
      <c r="H960" s="569">
        <v>2019</v>
      </c>
      <c r="I960" s="569" t="s">
        <v>2047</v>
      </c>
      <c r="J960" s="569" t="s">
        <v>2106</v>
      </c>
      <c r="K960" s="569" t="s">
        <v>236</v>
      </c>
      <c r="L960" s="569">
        <v>8</v>
      </c>
      <c r="M960" s="569">
        <v>0</v>
      </c>
      <c r="N960" s="569" t="s">
        <v>157</v>
      </c>
      <c r="O960" s="569">
        <v>3</v>
      </c>
      <c r="P960" s="569">
        <v>82.2</v>
      </c>
      <c r="Q960" s="568" t="s">
        <v>157</v>
      </c>
      <c r="R960" s="569" t="s">
        <v>682</v>
      </c>
      <c r="S960" s="569">
        <v>6</v>
      </c>
      <c r="T960" s="569" t="s">
        <v>2049</v>
      </c>
      <c r="U960" s="569" t="s">
        <v>2107</v>
      </c>
      <c r="V960" s="569">
        <v>129.9</v>
      </c>
      <c r="W960" s="569">
        <v>25</v>
      </c>
      <c r="X960" s="568">
        <v>8550</v>
      </c>
      <c r="Y960" s="573">
        <v>16</v>
      </c>
      <c r="Z960" s="581" t="s">
        <v>178</v>
      </c>
      <c r="AA960" s="581" t="s">
        <v>178</v>
      </c>
      <c r="AB960" s="585">
        <v>38680</v>
      </c>
      <c r="AC960" s="585" t="s">
        <v>164</v>
      </c>
      <c r="AD960" s="585">
        <v>27450</v>
      </c>
      <c r="AE960" s="587">
        <v>0.01</v>
      </c>
      <c r="AF960" s="661" t="str">
        <f t="shared" si="101"/>
        <v>2019-LVN-FRD-T15W-023-15</v>
      </c>
      <c r="AG960" s="661" t="str">
        <f>IF(AND($Y960&gt;=32,(AI960="I"),(Y960&lt;&gt;"~"),(COUNTIF($AN$1:$AN960,$AN960)=1)),"TRUE","FALSE")</f>
        <v>FALSE</v>
      </c>
      <c r="AH960" s="661" t="str">
        <f>IF(AND($Y960&gt;=22, (AI960&lt;&gt;"I"),(Y960&lt;&gt;"~"),(COUNTIF($AN$1:$AN960,$AN960)=1)),"TRUE","FALSE")</f>
        <v>FALSE</v>
      </c>
      <c r="AI960" s="661" t="str">
        <f t="shared" si="103"/>
        <v>II</v>
      </c>
      <c r="AJ960" s="662" t="str">
        <f t="shared" si="97"/>
        <v>T15W-023</v>
      </c>
      <c r="AK960" s="662" t="str">
        <f t="shared" si="98"/>
        <v>LVN</v>
      </c>
      <c r="AL960" s="662" t="str">
        <f t="shared" si="99"/>
        <v>FRD</v>
      </c>
      <c r="AM960" s="662" t="str">
        <f t="shared" si="102"/>
        <v>Transit 150 Wagon-XLT Sliding RH Door-RWD-8-82.2-~-3.7L-6-K1Y-302A-129.9-25-Unleaded-Unleaded</v>
      </c>
      <c r="AN960" s="662" t="str">
        <f t="shared" si="100"/>
        <v>2019-LVN-FRD-T15W-023</v>
      </c>
    </row>
    <row r="961" spans="1:40" s="572" customFormat="1" ht="15">
      <c r="A961" s="570" t="s">
        <v>2128</v>
      </c>
      <c r="B961" s="573" t="s">
        <v>2119</v>
      </c>
      <c r="C961" s="573" t="s">
        <v>278</v>
      </c>
      <c r="D961" s="578">
        <v>15</v>
      </c>
      <c r="E961" s="573" t="s">
        <v>1516</v>
      </c>
      <c r="F961" s="573" t="s">
        <v>1890</v>
      </c>
      <c r="G961" s="573" t="s">
        <v>271</v>
      </c>
      <c r="H961" s="573">
        <v>2019</v>
      </c>
      <c r="I961" s="573" t="s">
        <v>2047</v>
      </c>
      <c r="J961" s="573" t="s">
        <v>2106</v>
      </c>
      <c r="K961" s="573" t="s">
        <v>236</v>
      </c>
      <c r="L961" s="573">
        <v>8</v>
      </c>
      <c r="M961" s="573">
        <v>0</v>
      </c>
      <c r="N961" s="573" t="s">
        <v>157</v>
      </c>
      <c r="O961" s="573">
        <v>3</v>
      </c>
      <c r="P961" s="573">
        <v>98.7</v>
      </c>
      <c r="Q961" s="571" t="s">
        <v>157</v>
      </c>
      <c r="R961" s="573" t="s">
        <v>1259</v>
      </c>
      <c r="S961" s="573">
        <v>6</v>
      </c>
      <c r="T961" s="573" t="s">
        <v>1910</v>
      </c>
      <c r="U961" s="573" t="s">
        <v>2107</v>
      </c>
      <c r="V961" s="573">
        <v>129.9</v>
      </c>
      <c r="W961" s="573">
        <v>25</v>
      </c>
      <c r="X961" s="571">
        <v>8550</v>
      </c>
      <c r="Y961" s="573">
        <v>16</v>
      </c>
      <c r="Z961" s="579" t="s">
        <v>178</v>
      </c>
      <c r="AA961" s="579" t="s">
        <v>178</v>
      </c>
      <c r="AB961" s="584">
        <v>41995</v>
      </c>
      <c r="AC961" s="584" t="s">
        <v>164</v>
      </c>
      <c r="AD961" s="584">
        <v>32800</v>
      </c>
      <c r="AE961" s="586">
        <v>0.01</v>
      </c>
      <c r="AF961" s="661" t="str">
        <f t="shared" si="101"/>
        <v>2019-LVN-FRD-T15W-024-15</v>
      </c>
      <c r="AG961" s="661" t="str">
        <f>IF(AND($Y961&gt;=32,(AI961="I"),(Y961&lt;&gt;"~"),(COUNTIF($AN$1:$AN961,$AN961)=1)),"TRUE","FALSE")</f>
        <v>FALSE</v>
      </c>
      <c r="AH961" s="661" t="str">
        <f>IF(AND($Y961&gt;=22, (AI961&lt;&gt;"I"),(Y961&lt;&gt;"~"),(COUNTIF($AN$1:$AN961,$AN961)=1)),"TRUE","FALSE")</f>
        <v>FALSE</v>
      </c>
      <c r="AI961" s="661" t="str">
        <f t="shared" si="103"/>
        <v>II</v>
      </c>
      <c r="AJ961" s="662" t="str">
        <f t="shared" si="97"/>
        <v>T15W-024</v>
      </c>
      <c r="AK961" s="662" t="str">
        <f t="shared" si="98"/>
        <v>LVN</v>
      </c>
      <c r="AL961" s="662" t="str">
        <f t="shared" si="99"/>
        <v>FRD</v>
      </c>
      <c r="AM961" s="662" t="str">
        <f t="shared" si="102"/>
        <v>Transit 150 Wagon-XLT Sliding RH Door-RWD-8-98.7-~-3.5L EcoBoost-6-K1C-302A-129.9-25-Unleaded-Unleaded</v>
      </c>
      <c r="AN961" s="662" t="str">
        <f t="shared" si="100"/>
        <v>2019-LVN-FRD-T15W-024</v>
      </c>
    </row>
    <row r="962" spans="1:40" s="572" customFormat="1" ht="15">
      <c r="A962" s="570" t="s">
        <v>2129</v>
      </c>
      <c r="B962" s="569" t="s">
        <v>2121</v>
      </c>
      <c r="C962" s="569" t="s">
        <v>278</v>
      </c>
      <c r="D962" s="580">
        <v>15</v>
      </c>
      <c r="E962" s="569" t="s">
        <v>1516</v>
      </c>
      <c r="F962" s="569" t="s">
        <v>1890</v>
      </c>
      <c r="G962" s="569" t="s">
        <v>271</v>
      </c>
      <c r="H962" s="569">
        <v>2019</v>
      </c>
      <c r="I962" s="569" t="s">
        <v>2047</v>
      </c>
      <c r="J962" s="569" t="s">
        <v>2106</v>
      </c>
      <c r="K962" s="569" t="s">
        <v>236</v>
      </c>
      <c r="L962" s="569">
        <v>8</v>
      </c>
      <c r="M962" s="569">
        <v>0</v>
      </c>
      <c r="N962" s="569" t="s">
        <v>157</v>
      </c>
      <c r="O962" s="569">
        <v>3</v>
      </c>
      <c r="P962" s="569">
        <v>98.7</v>
      </c>
      <c r="Q962" s="568" t="s">
        <v>157</v>
      </c>
      <c r="R962" s="569" t="s">
        <v>682</v>
      </c>
      <c r="S962" s="569">
        <v>6</v>
      </c>
      <c r="T962" s="569" t="s">
        <v>1910</v>
      </c>
      <c r="U962" s="569" t="s">
        <v>2107</v>
      </c>
      <c r="V962" s="569">
        <v>129.9</v>
      </c>
      <c r="W962" s="569">
        <v>25</v>
      </c>
      <c r="X962" s="568">
        <v>8550</v>
      </c>
      <c r="Y962" s="573">
        <v>16</v>
      </c>
      <c r="Z962" s="581" t="s">
        <v>178</v>
      </c>
      <c r="AA962" s="581" t="s">
        <v>178</v>
      </c>
      <c r="AB962" s="585">
        <v>40130</v>
      </c>
      <c r="AC962" s="585" t="s">
        <v>164</v>
      </c>
      <c r="AD962" s="585">
        <v>31100</v>
      </c>
      <c r="AE962" s="587">
        <v>0.01</v>
      </c>
      <c r="AF962" s="661" t="str">
        <f t="shared" si="101"/>
        <v>2019-LVN-FRD-T15W-025-15</v>
      </c>
      <c r="AG962" s="661" t="str">
        <f>IF(AND($Y962&gt;=32,(AI962="I"),(Y962&lt;&gt;"~"),(COUNTIF($AN$1:$AN962,$AN962)=1)),"TRUE","FALSE")</f>
        <v>FALSE</v>
      </c>
      <c r="AH962" s="661" t="str">
        <f>IF(AND($Y962&gt;=22, (AI962&lt;&gt;"I"),(Y962&lt;&gt;"~"),(COUNTIF($AN$1:$AN962,$AN962)=1)),"TRUE","FALSE")</f>
        <v>FALSE</v>
      </c>
      <c r="AI962" s="661" t="str">
        <f t="shared" si="103"/>
        <v>II</v>
      </c>
      <c r="AJ962" s="662" t="str">
        <f t="shared" si="97"/>
        <v>T15W-025</v>
      </c>
      <c r="AK962" s="662" t="str">
        <f t="shared" si="98"/>
        <v>LVN</v>
      </c>
      <c r="AL962" s="662" t="str">
        <f t="shared" si="99"/>
        <v>FRD</v>
      </c>
      <c r="AM962" s="662" t="str">
        <f t="shared" si="102"/>
        <v>Transit 150 Wagon-XLT Sliding RH Door-RWD-8-98.7-~-3.7L-6-K1C-302A-129.9-25-Unleaded-Unleaded</v>
      </c>
      <c r="AN962" s="662" t="str">
        <f t="shared" si="100"/>
        <v>2019-LVN-FRD-T15W-025</v>
      </c>
    </row>
    <row r="963" spans="1:40" s="572" customFormat="1" ht="15">
      <c r="A963" s="570" t="s">
        <v>2130</v>
      </c>
      <c r="B963" s="573" t="s">
        <v>2115</v>
      </c>
      <c r="C963" s="573" t="s">
        <v>287</v>
      </c>
      <c r="D963" s="578">
        <v>26</v>
      </c>
      <c r="E963" s="573" t="s">
        <v>1516</v>
      </c>
      <c r="F963" s="573" t="s">
        <v>1890</v>
      </c>
      <c r="G963" s="573" t="s">
        <v>271</v>
      </c>
      <c r="H963" s="573">
        <v>2019</v>
      </c>
      <c r="I963" s="573" t="s">
        <v>2047</v>
      </c>
      <c r="J963" s="573" t="s">
        <v>2106</v>
      </c>
      <c r="K963" s="573" t="s">
        <v>236</v>
      </c>
      <c r="L963" s="573">
        <v>8</v>
      </c>
      <c r="M963" s="573">
        <v>0</v>
      </c>
      <c r="N963" s="573" t="s">
        <v>157</v>
      </c>
      <c r="O963" s="573">
        <v>3</v>
      </c>
      <c r="P963" s="573">
        <v>82.2</v>
      </c>
      <c r="Q963" s="571" t="s">
        <v>157</v>
      </c>
      <c r="R963" s="573" t="s">
        <v>1259</v>
      </c>
      <c r="S963" s="573">
        <v>6</v>
      </c>
      <c r="T963" s="573" t="s">
        <v>2049</v>
      </c>
      <c r="U963" s="573" t="s">
        <v>2107</v>
      </c>
      <c r="V963" s="573">
        <v>129.9</v>
      </c>
      <c r="W963" s="573">
        <v>25</v>
      </c>
      <c r="X963" s="571">
        <v>8550</v>
      </c>
      <c r="Y963" s="573">
        <v>16</v>
      </c>
      <c r="Z963" s="579" t="s">
        <v>178</v>
      </c>
      <c r="AA963" s="579" t="s">
        <v>178</v>
      </c>
      <c r="AB963" s="584">
        <v>40545</v>
      </c>
      <c r="AC963" s="584" t="s">
        <v>164</v>
      </c>
      <c r="AD963" s="584">
        <v>29387</v>
      </c>
      <c r="AE963" s="586">
        <v>0.05</v>
      </c>
      <c r="AF963" s="661" t="str">
        <f t="shared" si="101"/>
        <v>2019-LVN-FRD-T15W-022-26</v>
      </c>
      <c r="AG963" s="661" t="str">
        <f>IF(AND($Y963&gt;=32,(AI963="I"),(Y963&lt;&gt;"~"),(COUNTIF($AN$1:$AN963,$AN963)=1)),"TRUE","FALSE")</f>
        <v>FALSE</v>
      </c>
      <c r="AH963" s="661" t="str">
        <f>IF(AND($Y963&gt;=22, (AI963&lt;&gt;"I"),(Y963&lt;&gt;"~"),(COUNTIF($AN$1:$AN963,$AN963)=1)),"TRUE","FALSE")</f>
        <v>FALSE</v>
      </c>
      <c r="AI963" s="661" t="str">
        <f t="shared" si="103"/>
        <v>II</v>
      </c>
      <c r="AJ963" s="662" t="str">
        <f t="shared" ref="AJ963:AJ1026" si="104">MID(A963,14,8)</f>
        <v>T15W-022</v>
      </c>
      <c r="AK963" s="662" t="str">
        <f t="shared" ref="AK963:AK1026" si="105">MID(A963,6,3)</f>
        <v>LVN</v>
      </c>
      <c r="AL963" s="662" t="str">
        <f t="shared" ref="AL963:AL1026" si="106">MID(A963,10,3)</f>
        <v>FRD</v>
      </c>
      <c r="AM963" s="662" t="str">
        <f t="shared" si="102"/>
        <v>Transit 150 Wagon-XLT Sliding RH Door-RWD-8-82.2-~-3.5L EcoBoost-6-K1Y-302A-129.9-25-Unleaded-Unleaded</v>
      </c>
      <c r="AN963" s="662" t="str">
        <f t="shared" ref="AN963:AN1026" si="107">LEFT(A963,21)</f>
        <v>2019-LVN-FRD-T15W-022</v>
      </c>
    </row>
    <row r="964" spans="1:40" s="572" customFormat="1" ht="15">
      <c r="A964" s="570" t="s">
        <v>2131</v>
      </c>
      <c r="B964" s="569" t="s">
        <v>2117</v>
      </c>
      <c r="C964" s="569" t="s">
        <v>287</v>
      </c>
      <c r="D964" s="580">
        <v>26</v>
      </c>
      <c r="E964" s="569" t="s">
        <v>1516</v>
      </c>
      <c r="F964" s="569" t="s">
        <v>1890</v>
      </c>
      <c r="G964" s="569" t="s">
        <v>271</v>
      </c>
      <c r="H964" s="569">
        <v>2019</v>
      </c>
      <c r="I964" s="569" t="s">
        <v>2047</v>
      </c>
      <c r="J964" s="569" t="s">
        <v>2106</v>
      </c>
      <c r="K964" s="569" t="s">
        <v>236</v>
      </c>
      <c r="L964" s="569">
        <v>8</v>
      </c>
      <c r="M964" s="569">
        <v>0</v>
      </c>
      <c r="N964" s="569" t="s">
        <v>157</v>
      </c>
      <c r="O964" s="569">
        <v>3</v>
      </c>
      <c r="P964" s="569">
        <v>82.2</v>
      </c>
      <c r="Q964" s="568" t="s">
        <v>157</v>
      </c>
      <c r="R964" s="569" t="s">
        <v>682</v>
      </c>
      <c r="S964" s="569">
        <v>6</v>
      </c>
      <c r="T964" s="569" t="s">
        <v>2049</v>
      </c>
      <c r="U964" s="569" t="s">
        <v>2107</v>
      </c>
      <c r="V964" s="569">
        <v>129.9</v>
      </c>
      <c r="W964" s="569">
        <v>25</v>
      </c>
      <c r="X964" s="568">
        <v>8550</v>
      </c>
      <c r="Y964" s="573">
        <v>16</v>
      </c>
      <c r="Z964" s="581" t="s">
        <v>178</v>
      </c>
      <c r="AA964" s="581" t="s">
        <v>178</v>
      </c>
      <c r="AB964" s="585">
        <v>38680</v>
      </c>
      <c r="AC964" s="585" t="s">
        <v>164</v>
      </c>
      <c r="AD964" s="585">
        <v>27689</v>
      </c>
      <c r="AE964" s="587">
        <v>0.05</v>
      </c>
      <c r="AF964" s="661" t="str">
        <f t="shared" si="101"/>
        <v>2019-LVN-FRD-T15W-023-26</v>
      </c>
      <c r="AG964" s="661" t="str">
        <f>IF(AND($Y964&gt;=32,(AI964="I"),(Y964&lt;&gt;"~"),(COUNTIF($AN$1:$AN964,$AN964)=1)),"TRUE","FALSE")</f>
        <v>FALSE</v>
      </c>
      <c r="AH964" s="661" t="str">
        <f>IF(AND($Y964&gt;=22, (AI964&lt;&gt;"I"),(Y964&lt;&gt;"~"),(COUNTIF($AN$1:$AN964,$AN964)=1)),"TRUE","FALSE")</f>
        <v>FALSE</v>
      </c>
      <c r="AI964" s="661" t="str">
        <f t="shared" si="103"/>
        <v>II</v>
      </c>
      <c r="AJ964" s="662" t="str">
        <f t="shared" si="104"/>
        <v>T15W-023</v>
      </c>
      <c r="AK964" s="662" t="str">
        <f t="shared" si="105"/>
        <v>LVN</v>
      </c>
      <c r="AL964" s="662" t="str">
        <f t="shared" si="106"/>
        <v>FRD</v>
      </c>
      <c r="AM964" s="662" t="str">
        <f t="shared" si="102"/>
        <v>Transit 150 Wagon-XLT Sliding RH Door-RWD-8-82.2-~-3.7L-6-K1Y-302A-129.9-25-Unleaded-Unleaded</v>
      </c>
      <c r="AN964" s="662" t="str">
        <f t="shared" si="107"/>
        <v>2019-LVN-FRD-T15W-023</v>
      </c>
    </row>
    <row r="965" spans="1:40" s="572" customFormat="1" ht="15">
      <c r="A965" s="570" t="s">
        <v>2132</v>
      </c>
      <c r="B965" s="573" t="s">
        <v>2119</v>
      </c>
      <c r="C965" s="573" t="s">
        <v>287</v>
      </c>
      <c r="D965" s="578">
        <v>26</v>
      </c>
      <c r="E965" s="573" t="s">
        <v>1516</v>
      </c>
      <c r="F965" s="573" t="s">
        <v>1890</v>
      </c>
      <c r="G965" s="573" t="s">
        <v>271</v>
      </c>
      <c r="H965" s="573">
        <v>2019</v>
      </c>
      <c r="I965" s="573" t="s">
        <v>2047</v>
      </c>
      <c r="J965" s="573" t="s">
        <v>2106</v>
      </c>
      <c r="K965" s="573" t="s">
        <v>236</v>
      </c>
      <c r="L965" s="573">
        <v>8</v>
      </c>
      <c r="M965" s="573">
        <v>0</v>
      </c>
      <c r="N965" s="573" t="s">
        <v>157</v>
      </c>
      <c r="O965" s="573">
        <v>3</v>
      </c>
      <c r="P965" s="573">
        <v>98.7</v>
      </c>
      <c r="Q965" s="571" t="s">
        <v>157</v>
      </c>
      <c r="R965" s="573" t="s">
        <v>1259</v>
      </c>
      <c r="S965" s="573">
        <v>6</v>
      </c>
      <c r="T965" s="573" t="s">
        <v>1910</v>
      </c>
      <c r="U965" s="573" t="s">
        <v>2107</v>
      </c>
      <c r="V965" s="573">
        <v>129.9</v>
      </c>
      <c r="W965" s="573">
        <v>25</v>
      </c>
      <c r="X965" s="571">
        <v>8550</v>
      </c>
      <c r="Y965" s="573">
        <v>16</v>
      </c>
      <c r="Z965" s="579" t="s">
        <v>178</v>
      </c>
      <c r="AA965" s="579" t="s">
        <v>178</v>
      </c>
      <c r="AB965" s="584">
        <v>41955</v>
      </c>
      <c r="AC965" s="584" t="s">
        <v>164</v>
      </c>
      <c r="AD965" s="584">
        <v>33096</v>
      </c>
      <c r="AE965" s="586">
        <v>0.05</v>
      </c>
      <c r="AF965" s="661" t="str">
        <f t="shared" si="101"/>
        <v>2019-LVN-FRD-T15W-024-26</v>
      </c>
      <c r="AG965" s="661" t="str">
        <f>IF(AND($Y965&gt;=32,(AI965="I"),(Y965&lt;&gt;"~"),(COUNTIF($AN$1:$AN965,$AN965)=1)),"TRUE","FALSE")</f>
        <v>FALSE</v>
      </c>
      <c r="AH965" s="661" t="str">
        <f>IF(AND($Y965&gt;=22, (AI965&lt;&gt;"I"),(Y965&lt;&gt;"~"),(COUNTIF($AN$1:$AN965,$AN965)=1)),"TRUE","FALSE")</f>
        <v>FALSE</v>
      </c>
      <c r="AI965" s="661" t="str">
        <f t="shared" si="103"/>
        <v>II</v>
      </c>
      <c r="AJ965" s="662" t="str">
        <f t="shared" si="104"/>
        <v>T15W-024</v>
      </c>
      <c r="AK965" s="662" t="str">
        <f t="shared" si="105"/>
        <v>LVN</v>
      </c>
      <c r="AL965" s="662" t="str">
        <f t="shared" si="106"/>
        <v>FRD</v>
      </c>
      <c r="AM965" s="662" t="str">
        <f t="shared" si="102"/>
        <v>Transit 150 Wagon-XLT Sliding RH Door-RWD-8-98.7-~-3.5L EcoBoost-6-K1C-302A-129.9-25-Unleaded-Unleaded</v>
      </c>
      <c r="AN965" s="662" t="str">
        <f t="shared" si="107"/>
        <v>2019-LVN-FRD-T15W-024</v>
      </c>
    </row>
    <row r="966" spans="1:40" s="572" customFormat="1" ht="15">
      <c r="A966" s="570" t="s">
        <v>2133</v>
      </c>
      <c r="B966" s="569" t="s">
        <v>2121</v>
      </c>
      <c r="C966" s="569" t="s">
        <v>287</v>
      </c>
      <c r="D966" s="580">
        <v>26</v>
      </c>
      <c r="E966" s="569" t="s">
        <v>1516</v>
      </c>
      <c r="F966" s="569" t="s">
        <v>1890</v>
      </c>
      <c r="G966" s="569" t="s">
        <v>271</v>
      </c>
      <c r="H966" s="569">
        <v>2019</v>
      </c>
      <c r="I966" s="569" t="s">
        <v>2047</v>
      </c>
      <c r="J966" s="569" t="s">
        <v>2106</v>
      </c>
      <c r="K966" s="569" t="s">
        <v>236</v>
      </c>
      <c r="L966" s="569">
        <v>8</v>
      </c>
      <c r="M966" s="569">
        <v>0</v>
      </c>
      <c r="N966" s="569" t="s">
        <v>157</v>
      </c>
      <c r="O966" s="569">
        <v>3</v>
      </c>
      <c r="P966" s="569">
        <v>98.7</v>
      </c>
      <c r="Q966" s="568" t="s">
        <v>157</v>
      </c>
      <c r="R966" s="569" t="s">
        <v>682</v>
      </c>
      <c r="S966" s="569">
        <v>6</v>
      </c>
      <c r="T966" s="569" t="s">
        <v>1910</v>
      </c>
      <c r="U966" s="569" t="s">
        <v>2107</v>
      </c>
      <c r="V966" s="569">
        <v>129.9</v>
      </c>
      <c r="W966" s="569">
        <v>25</v>
      </c>
      <c r="X966" s="568">
        <v>8550</v>
      </c>
      <c r="Y966" s="573">
        <v>16</v>
      </c>
      <c r="Z966" s="581" t="s">
        <v>178</v>
      </c>
      <c r="AA966" s="581" t="s">
        <v>178</v>
      </c>
      <c r="AB966" s="585">
        <v>40130</v>
      </c>
      <c r="AC966" s="585" t="s">
        <v>164</v>
      </c>
      <c r="AD966" s="585">
        <v>31398</v>
      </c>
      <c r="AE966" s="587">
        <v>0.05</v>
      </c>
      <c r="AF966" s="661" t="str">
        <f t="shared" si="101"/>
        <v>2019-LVN-FRD-T15W-025-26</v>
      </c>
      <c r="AG966" s="661" t="str">
        <f>IF(AND($Y966&gt;=32,(AI966="I"),(Y966&lt;&gt;"~"),(COUNTIF($AN$1:$AN966,$AN966)=1)),"TRUE","FALSE")</f>
        <v>FALSE</v>
      </c>
      <c r="AH966" s="661" t="str">
        <f>IF(AND($Y966&gt;=22, (AI966&lt;&gt;"I"),(Y966&lt;&gt;"~"),(COUNTIF($AN$1:$AN966,$AN966)=1)),"TRUE","FALSE")</f>
        <v>FALSE</v>
      </c>
      <c r="AI966" s="661" t="str">
        <f t="shared" si="103"/>
        <v>II</v>
      </c>
      <c r="AJ966" s="662" t="str">
        <f t="shared" si="104"/>
        <v>T15W-025</v>
      </c>
      <c r="AK966" s="662" t="str">
        <f t="shared" si="105"/>
        <v>LVN</v>
      </c>
      <c r="AL966" s="662" t="str">
        <f t="shared" si="106"/>
        <v>FRD</v>
      </c>
      <c r="AM966" s="662" t="str">
        <f t="shared" si="102"/>
        <v>Transit 150 Wagon-XLT Sliding RH Door-RWD-8-98.7-~-3.7L-6-K1C-302A-129.9-25-Unleaded-Unleaded</v>
      </c>
      <c r="AN966" s="662" t="str">
        <f t="shared" si="107"/>
        <v>2019-LVN-FRD-T15W-025</v>
      </c>
    </row>
    <row r="967" spans="1:40" s="572" customFormat="1" ht="15">
      <c r="A967" s="570" t="s">
        <v>2134</v>
      </c>
      <c r="B967" s="573" t="s">
        <v>2105</v>
      </c>
      <c r="C967" s="573" t="s">
        <v>280</v>
      </c>
      <c r="D967" s="578">
        <v>27</v>
      </c>
      <c r="E967" s="573" t="s">
        <v>1516</v>
      </c>
      <c r="F967" s="573" t="s">
        <v>1890</v>
      </c>
      <c r="G967" s="573" t="s">
        <v>271</v>
      </c>
      <c r="H967" s="573">
        <v>2019</v>
      </c>
      <c r="I967" s="573" t="s">
        <v>2047</v>
      </c>
      <c r="J967" s="573" t="s">
        <v>2106</v>
      </c>
      <c r="K967" s="573" t="s">
        <v>236</v>
      </c>
      <c r="L967" s="573">
        <v>10</v>
      </c>
      <c r="M967" s="573">
        <v>0</v>
      </c>
      <c r="N967" s="573" t="s">
        <v>157</v>
      </c>
      <c r="O967" s="573">
        <v>4</v>
      </c>
      <c r="P967" s="573">
        <v>82.2</v>
      </c>
      <c r="Q967" s="571" t="s">
        <v>157</v>
      </c>
      <c r="R967" s="573" t="s">
        <v>1259</v>
      </c>
      <c r="S967" s="573">
        <v>6</v>
      </c>
      <c r="T967" s="573" t="s">
        <v>2049</v>
      </c>
      <c r="U967" s="573" t="s">
        <v>2107</v>
      </c>
      <c r="V967" s="573">
        <v>129.9</v>
      </c>
      <c r="W967" s="573">
        <v>25</v>
      </c>
      <c r="X967" s="571">
        <v>8550</v>
      </c>
      <c r="Y967" s="573">
        <v>16</v>
      </c>
      <c r="Z967" s="579" t="s">
        <v>178</v>
      </c>
      <c r="AA967" s="579" t="s">
        <v>178</v>
      </c>
      <c r="AB967" s="584">
        <v>41795</v>
      </c>
      <c r="AC967" s="584" t="s">
        <v>164</v>
      </c>
      <c r="AD967" s="584">
        <v>29673.625</v>
      </c>
      <c r="AE967" s="586">
        <v>0.03</v>
      </c>
      <c r="AF967" s="661" t="str">
        <f t="shared" si="101"/>
        <v>2019-LVN-FRD-T15W-017-27</v>
      </c>
      <c r="AG967" s="661" t="str">
        <f>IF(AND($Y967&gt;=32,(AI967="I"),(Y967&lt;&gt;"~"),(COUNTIF($AN$1:$AN967,$AN967)=1)),"TRUE","FALSE")</f>
        <v>FALSE</v>
      </c>
      <c r="AH967" s="661" t="str">
        <f>IF(AND($Y967&gt;=22, (AI967&lt;&gt;"I"),(Y967&lt;&gt;"~"),(COUNTIF($AN$1:$AN967,$AN967)=1)),"TRUE","FALSE")</f>
        <v>FALSE</v>
      </c>
      <c r="AI967" s="661" t="str">
        <f t="shared" si="103"/>
        <v>II</v>
      </c>
      <c r="AJ967" s="662" t="str">
        <f t="shared" si="104"/>
        <v>T15W-017</v>
      </c>
      <c r="AK967" s="662" t="str">
        <f t="shared" si="105"/>
        <v>LVN</v>
      </c>
      <c r="AL967" s="662" t="str">
        <f t="shared" si="106"/>
        <v>FRD</v>
      </c>
      <c r="AM967" s="662" t="str">
        <f t="shared" si="102"/>
        <v>Transit 150 Wagon-XLT Sliding RH Door-RWD-10-82.2-~-3.5L EcoBoost-6-K1Y-302A-129.9-25-Unleaded-Unleaded</v>
      </c>
      <c r="AN967" s="662" t="str">
        <f t="shared" si="107"/>
        <v>2019-LVN-FRD-T15W-017</v>
      </c>
    </row>
    <row r="968" spans="1:40" s="572" customFormat="1" ht="15">
      <c r="A968" s="570" t="s">
        <v>2135</v>
      </c>
      <c r="B968" s="569" t="s">
        <v>2109</v>
      </c>
      <c r="C968" s="569" t="s">
        <v>280</v>
      </c>
      <c r="D968" s="580">
        <v>27</v>
      </c>
      <c r="E968" s="569" t="s">
        <v>1516</v>
      </c>
      <c r="F968" s="569" t="s">
        <v>1890</v>
      </c>
      <c r="G968" s="569" t="s">
        <v>271</v>
      </c>
      <c r="H968" s="569">
        <v>2019</v>
      </c>
      <c r="I968" s="569" t="s">
        <v>2047</v>
      </c>
      <c r="J968" s="569" t="s">
        <v>2106</v>
      </c>
      <c r="K968" s="569" t="s">
        <v>236</v>
      </c>
      <c r="L968" s="569">
        <v>10</v>
      </c>
      <c r="M968" s="569">
        <v>0</v>
      </c>
      <c r="N968" s="569" t="s">
        <v>157</v>
      </c>
      <c r="O968" s="569">
        <v>4</v>
      </c>
      <c r="P968" s="569">
        <v>82.2</v>
      </c>
      <c r="Q968" s="568" t="s">
        <v>157</v>
      </c>
      <c r="R968" s="569" t="s">
        <v>682</v>
      </c>
      <c r="S968" s="569">
        <v>6</v>
      </c>
      <c r="T968" s="569" t="s">
        <v>2049</v>
      </c>
      <c r="U968" s="569" t="s">
        <v>2107</v>
      </c>
      <c r="V968" s="569">
        <v>129.9</v>
      </c>
      <c r="W968" s="569">
        <v>25</v>
      </c>
      <c r="X968" s="568">
        <v>8550</v>
      </c>
      <c r="Y968" s="573">
        <v>16</v>
      </c>
      <c r="Z968" s="581" t="s">
        <v>178</v>
      </c>
      <c r="AA968" s="581" t="s">
        <v>178</v>
      </c>
      <c r="AB968" s="585">
        <v>39930</v>
      </c>
      <c r="AC968" s="585" t="s">
        <v>164</v>
      </c>
      <c r="AD968" s="585">
        <v>28017.375</v>
      </c>
      <c r="AE968" s="587">
        <v>0.03</v>
      </c>
      <c r="AF968" s="661" t="str">
        <f t="shared" ref="AF968:AF1031" si="108">A968</f>
        <v>2019-LVN-FRD-T15W-018-27</v>
      </c>
      <c r="AG968" s="661" t="str">
        <f>IF(AND($Y968&gt;=32,(AI968="I"),(Y968&lt;&gt;"~"),(COUNTIF($AN$1:$AN968,$AN968)=1)),"TRUE","FALSE")</f>
        <v>FALSE</v>
      </c>
      <c r="AH968" s="661" t="str">
        <f>IF(AND($Y968&gt;=22, (AI968&lt;&gt;"I"),(Y968&lt;&gt;"~"),(COUNTIF($AN$1:$AN968,$AN968)=1)),"TRUE","FALSE")</f>
        <v>FALSE</v>
      </c>
      <c r="AI968" s="661" t="str">
        <f t="shared" si="103"/>
        <v>II</v>
      </c>
      <c r="AJ968" s="662" t="str">
        <f t="shared" si="104"/>
        <v>T15W-018</v>
      </c>
      <c r="AK968" s="662" t="str">
        <f t="shared" si="105"/>
        <v>LVN</v>
      </c>
      <c r="AL968" s="662" t="str">
        <f t="shared" si="106"/>
        <v>FRD</v>
      </c>
      <c r="AM968" s="662" t="str">
        <f t="shared" si="102"/>
        <v>Transit 150 Wagon-XLT Sliding RH Door-RWD-10-82.2-~-3.7L-6-K1Y-302A-129.9-25-Unleaded-Unleaded</v>
      </c>
      <c r="AN968" s="662" t="str">
        <f t="shared" si="107"/>
        <v>2019-LVN-FRD-T15W-018</v>
      </c>
    </row>
    <row r="969" spans="1:40" s="572" customFormat="1" ht="15">
      <c r="A969" s="570" t="s">
        <v>2136</v>
      </c>
      <c r="B969" s="573" t="s">
        <v>2111</v>
      </c>
      <c r="C969" s="573" t="s">
        <v>280</v>
      </c>
      <c r="D969" s="578">
        <v>27</v>
      </c>
      <c r="E969" s="573" t="s">
        <v>1516</v>
      </c>
      <c r="F969" s="573" t="s">
        <v>1890</v>
      </c>
      <c r="G969" s="573" t="s">
        <v>271</v>
      </c>
      <c r="H969" s="573">
        <v>2019</v>
      </c>
      <c r="I969" s="573" t="s">
        <v>2047</v>
      </c>
      <c r="J969" s="573" t="s">
        <v>2106</v>
      </c>
      <c r="K969" s="573" t="s">
        <v>236</v>
      </c>
      <c r="L969" s="573">
        <v>10</v>
      </c>
      <c r="M969" s="573">
        <v>0</v>
      </c>
      <c r="N969" s="573" t="s">
        <v>157</v>
      </c>
      <c r="O969" s="573">
        <v>4</v>
      </c>
      <c r="P969" s="573">
        <v>98.7</v>
      </c>
      <c r="Q969" s="571" t="s">
        <v>157</v>
      </c>
      <c r="R969" s="573" t="s">
        <v>1259</v>
      </c>
      <c r="S969" s="573">
        <v>6</v>
      </c>
      <c r="T969" s="573" t="s">
        <v>1910</v>
      </c>
      <c r="U969" s="573" t="s">
        <v>2107</v>
      </c>
      <c r="V969" s="573">
        <v>129.9</v>
      </c>
      <c r="W969" s="573">
        <v>25</v>
      </c>
      <c r="X969" s="571">
        <v>8550</v>
      </c>
      <c r="Y969" s="573">
        <v>16</v>
      </c>
      <c r="Z969" s="579" t="s">
        <v>178</v>
      </c>
      <c r="AA969" s="579" t="s">
        <v>178</v>
      </c>
      <c r="AB969" s="584">
        <v>43245</v>
      </c>
      <c r="AC969" s="584" t="s">
        <v>164</v>
      </c>
      <c r="AD969" s="584">
        <v>33290.291666666672</v>
      </c>
      <c r="AE969" s="586">
        <v>0.03</v>
      </c>
      <c r="AF969" s="661" t="str">
        <f t="shared" si="108"/>
        <v>2019-LVN-FRD-T15W-019-27</v>
      </c>
      <c r="AG969" s="661" t="str">
        <f>IF(AND($Y969&gt;=32,(AI969="I"),(Y969&lt;&gt;"~"),(COUNTIF($AN$1:$AN969,$AN969)=1)),"TRUE","FALSE")</f>
        <v>FALSE</v>
      </c>
      <c r="AH969" s="661" t="str">
        <f>IF(AND($Y969&gt;=22, (AI969&lt;&gt;"I"),(Y969&lt;&gt;"~"),(COUNTIF($AN$1:$AN969,$AN969)=1)),"TRUE","FALSE")</f>
        <v>FALSE</v>
      </c>
      <c r="AI969" s="661" t="str">
        <f t="shared" si="103"/>
        <v>II</v>
      </c>
      <c r="AJ969" s="662" t="str">
        <f t="shared" si="104"/>
        <v>T15W-019</v>
      </c>
      <c r="AK969" s="662" t="str">
        <f t="shared" si="105"/>
        <v>LVN</v>
      </c>
      <c r="AL969" s="662" t="str">
        <f t="shared" si="106"/>
        <v>FRD</v>
      </c>
      <c r="AM969" s="662" t="str">
        <f t="shared" si="102"/>
        <v>Transit 150 Wagon-XLT Sliding RH Door-RWD-10-98.7-~-3.5L EcoBoost-6-K1C-302A-129.9-25-Unleaded-Unleaded</v>
      </c>
      <c r="AN969" s="662" t="str">
        <f t="shared" si="107"/>
        <v>2019-LVN-FRD-T15W-019</v>
      </c>
    </row>
    <row r="970" spans="1:40" s="572" customFormat="1" ht="15">
      <c r="A970" s="570" t="s">
        <v>2137</v>
      </c>
      <c r="B970" s="569" t="s">
        <v>2113</v>
      </c>
      <c r="C970" s="569" t="s">
        <v>280</v>
      </c>
      <c r="D970" s="580">
        <v>27</v>
      </c>
      <c r="E970" s="569" t="s">
        <v>1516</v>
      </c>
      <c r="F970" s="569" t="s">
        <v>1890</v>
      </c>
      <c r="G970" s="569" t="s">
        <v>271</v>
      </c>
      <c r="H970" s="569">
        <v>2019</v>
      </c>
      <c r="I970" s="569" t="s">
        <v>2047</v>
      </c>
      <c r="J970" s="569" t="s">
        <v>2106</v>
      </c>
      <c r="K970" s="569" t="s">
        <v>236</v>
      </c>
      <c r="L970" s="569">
        <v>10</v>
      </c>
      <c r="M970" s="569">
        <v>0</v>
      </c>
      <c r="N970" s="569" t="s">
        <v>157</v>
      </c>
      <c r="O970" s="569">
        <v>4</v>
      </c>
      <c r="P970" s="569">
        <v>98.7</v>
      </c>
      <c r="Q970" s="568" t="s">
        <v>157</v>
      </c>
      <c r="R970" s="569" t="s">
        <v>682</v>
      </c>
      <c r="S970" s="569">
        <v>6</v>
      </c>
      <c r="T970" s="569" t="s">
        <v>1910</v>
      </c>
      <c r="U970" s="569" t="s">
        <v>2107</v>
      </c>
      <c r="V970" s="569">
        <v>129.9</v>
      </c>
      <c r="W970" s="569">
        <v>25</v>
      </c>
      <c r="X970" s="568">
        <v>8550</v>
      </c>
      <c r="Y970" s="573">
        <v>16</v>
      </c>
      <c r="Z970" s="581" t="s">
        <v>178</v>
      </c>
      <c r="AA970" s="581" t="s">
        <v>178</v>
      </c>
      <c r="AB970" s="585">
        <v>41380</v>
      </c>
      <c r="AC970" s="585" t="s">
        <v>164</v>
      </c>
      <c r="AD970" s="585">
        <v>31634.041666666668</v>
      </c>
      <c r="AE970" s="587">
        <v>0.03</v>
      </c>
      <c r="AF970" s="661" t="str">
        <f t="shared" si="108"/>
        <v>2019-LVN-FRD-T15W-020-27</v>
      </c>
      <c r="AG970" s="661" t="str">
        <f>IF(AND($Y970&gt;=32,(AI970="I"),(Y970&lt;&gt;"~"),(COUNTIF($AN$1:$AN970,$AN970)=1)),"TRUE","FALSE")</f>
        <v>FALSE</v>
      </c>
      <c r="AH970" s="661" t="str">
        <f>IF(AND($Y970&gt;=22, (AI970&lt;&gt;"I"),(Y970&lt;&gt;"~"),(COUNTIF($AN$1:$AN970,$AN970)=1)),"TRUE","FALSE")</f>
        <v>FALSE</v>
      </c>
      <c r="AI970" s="661" t="str">
        <f t="shared" si="103"/>
        <v>II</v>
      </c>
      <c r="AJ970" s="662" t="str">
        <f t="shared" si="104"/>
        <v>T15W-020</v>
      </c>
      <c r="AK970" s="662" t="str">
        <f t="shared" si="105"/>
        <v>LVN</v>
      </c>
      <c r="AL970" s="662" t="str">
        <f t="shared" si="106"/>
        <v>FRD</v>
      </c>
      <c r="AM970" s="662" t="str">
        <f t="shared" si="102"/>
        <v>Transit 150 Wagon-XLT Sliding RH Door-RWD-10-98.7-~-3.7L-6-K1C-302A-129.9-25-Unleaded-Unleaded</v>
      </c>
      <c r="AN970" s="662" t="str">
        <f t="shared" si="107"/>
        <v>2019-LVN-FRD-T15W-020</v>
      </c>
    </row>
    <row r="971" spans="1:40" s="572" customFormat="1" ht="15">
      <c r="A971" s="570" t="s">
        <v>2138</v>
      </c>
      <c r="B971" s="573" t="s">
        <v>2115</v>
      </c>
      <c r="C971" s="573" t="s">
        <v>280</v>
      </c>
      <c r="D971" s="578">
        <v>27</v>
      </c>
      <c r="E971" s="573" t="s">
        <v>1516</v>
      </c>
      <c r="F971" s="573" t="s">
        <v>1890</v>
      </c>
      <c r="G971" s="573" t="s">
        <v>271</v>
      </c>
      <c r="H971" s="573">
        <v>2019</v>
      </c>
      <c r="I971" s="573" t="s">
        <v>2047</v>
      </c>
      <c r="J971" s="573" t="s">
        <v>2106</v>
      </c>
      <c r="K971" s="573" t="s">
        <v>236</v>
      </c>
      <c r="L971" s="573">
        <v>8</v>
      </c>
      <c r="M971" s="573">
        <v>0</v>
      </c>
      <c r="N971" s="573" t="s">
        <v>157</v>
      </c>
      <c r="O971" s="573">
        <v>3</v>
      </c>
      <c r="P971" s="573">
        <v>82.2</v>
      </c>
      <c r="Q971" s="571" t="s">
        <v>157</v>
      </c>
      <c r="R971" s="573" t="s">
        <v>1259</v>
      </c>
      <c r="S971" s="573">
        <v>6</v>
      </c>
      <c r="T971" s="573" t="s">
        <v>2049</v>
      </c>
      <c r="U971" s="573" t="s">
        <v>2107</v>
      </c>
      <c r="V971" s="573">
        <v>129.9</v>
      </c>
      <c r="W971" s="573">
        <v>25</v>
      </c>
      <c r="X971" s="571">
        <v>8550</v>
      </c>
      <c r="Y971" s="573">
        <v>16</v>
      </c>
      <c r="Z971" s="579" t="s">
        <v>178</v>
      </c>
      <c r="AA971" s="579" t="s">
        <v>178</v>
      </c>
      <c r="AB971" s="584">
        <v>40545</v>
      </c>
      <c r="AC971" s="584" t="s">
        <v>164</v>
      </c>
      <c r="AD971" s="584">
        <v>28563.208333333336</v>
      </c>
      <c r="AE971" s="586">
        <v>0.03</v>
      </c>
      <c r="AF971" s="661" t="str">
        <f t="shared" si="108"/>
        <v>2019-LVN-FRD-T15W-022-27</v>
      </c>
      <c r="AG971" s="661" t="str">
        <f>IF(AND($Y971&gt;=32,(AI971="I"),(Y971&lt;&gt;"~"),(COUNTIF($AN$1:$AN971,$AN971)=1)),"TRUE","FALSE")</f>
        <v>FALSE</v>
      </c>
      <c r="AH971" s="661" t="str">
        <f>IF(AND($Y971&gt;=22, (AI971&lt;&gt;"I"),(Y971&lt;&gt;"~"),(COUNTIF($AN$1:$AN971,$AN971)=1)),"TRUE","FALSE")</f>
        <v>FALSE</v>
      </c>
      <c r="AI971" s="661" t="str">
        <f t="shared" si="103"/>
        <v>II</v>
      </c>
      <c r="AJ971" s="662" t="str">
        <f t="shared" si="104"/>
        <v>T15W-022</v>
      </c>
      <c r="AK971" s="662" t="str">
        <f t="shared" si="105"/>
        <v>LVN</v>
      </c>
      <c r="AL971" s="662" t="str">
        <f t="shared" si="106"/>
        <v>FRD</v>
      </c>
      <c r="AM971" s="662" t="str">
        <f t="shared" si="102"/>
        <v>Transit 150 Wagon-XLT Sliding RH Door-RWD-8-82.2-~-3.5L EcoBoost-6-K1Y-302A-129.9-25-Unleaded-Unleaded</v>
      </c>
      <c r="AN971" s="662" t="str">
        <f t="shared" si="107"/>
        <v>2019-LVN-FRD-T15W-022</v>
      </c>
    </row>
    <row r="972" spans="1:40" s="572" customFormat="1" ht="15">
      <c r="A972" s="570" t="s">
        <v>2139</v>
      </c>
      <c r="B972" s="569" t="s">
        <v>2117</v>
      </c>
      <c r="C972" s="569" t="s">
        <v>280</v>
      </c>
      <c r="D972" s="580">
        <v>27</v>
      </c>
      <c r="E972" s="569" t="s">
        <v>1516</v>
      </c>
      <c r="F972" s="569" t="s">
        <v>1890</v>
      </c>
      <c r="G972" s="569" t="s">
        <v>271</v>
      </c>
      <c r="H972" s="569">
        <v>2019</v>
      </c>
      <c r="I972" s="569" t="s">
        <v>2047</v>
      </c>
      <c r="J972" s="569" t="s">
        <v>2106</v>
      </c>
      <c r="K972" s="569" t="s">
        <v>236</v>
      </c>
      <c r="L972" s="569">
        <v>8</v>
      </c>
      <c r="M972" s="569">
        <v>0</v>
      </c>
      <c r="N972" s="569" t="s">
        <v>157</v>
      </c>
      <c r="O972" s="569">
        <v>3</v>
      </c>
      <c r="P972" s="569">
        <v>82.2</v>
      </c>
      <c r="Q972" s="568" t="s">
        <v>157</v>
      </c>
      <c r="R972" s="569" t="s">
        <v>682</v>
      </c>
      <c r="S972" s="569">
        <v>6</v>
      </c>
      <c r="T972" s="569" t="s">
        <v>2049</v>
      </c>
      <c r="U972" s="569" t="s">
        <v>2107</v>
      </c>
      <c r="V972" s="569">
        <v>129.9</v>
      </c>
      <c r="W972" s="569">
        <v>25</v>
      </c>
      <c r="X972" s="568">
        <v>8550</v>
      </c>
      <c r="Y972" s="573">
        <v>16</v>
      </c>
      <c r="Z972" s="581" t="s">
        <v>178</v>
      </c>
      <c r="AA972" s="581" t="s">
        <v>178</v>
      </c>
      <c r="AB972" s="585">
        <v>38680</v>
      </c>
      <c r="AC972" s="585" t="s">
        <v>164</v>
      </c>
      <c r="AD972" s="585">
        <v>26906.958333333336</v>
      </c>
      <c r="AE972" s="587">
        <v>0.03</v>
      </c>
      <c r="AF972" s="661" t="str">
        <f t="shared" si="108"/>
        <v>2019-LVN-FRD-T15W-023-27</v>
      </c>
      <c r="AG972" s="661" t="str">
        <f>IF(AND($Y972&gt;=32,(AI972="I"),(Y972&lt;&gt;"~"),(COUNTIF($AN$1:$AN972,$AN972)=1)),"TRUE","FALSE")</f>
        <v>FALSE</v>
      </c>
      <c r="AH972" s="661" t="str">
        <f>IF(AND($Y972&gt;=22, (AI972&lt;&gt;"I"),(Y972&lt;&gt;"~"),(COUNTIF($AN$1:$AN972,$AN972)=1)),"TRUE","FALSE")</f>
        <v>FALSE</v>
      </c>
      <c r="AI972" s="661" t="str">
        <f t="shared" si="103"/>
        <v>II</v>
      </c>
      <c r="AJ972" s="662" t="str">
        <f t="shared" si="104"/>
        <v>T15W-023</v>
      </c>
      <c r="AK972" s="662" t="str">
        <f t="shared" si="105"/>
        <v>LVN</v>
      </c>
      <c r="AL972" s="662" t="str">
        <f t="shared" si="106"/>
        <v>FRD</v>
      </c>
      <c r="AM972" s="662" t="str">
        <f t="shared" si="102"/>
        <v>Transit 150 Wagon-XLT Sliding RH Door-RWD-8-82.2-~-3.7L-6-K1Y-302A-129.9-25-Unleaded-Unleaded</v>
      </c>
      <c r="AN972" s="662" t="str">
        <f t="shared" si="107"/>
        <v>2019-LVN-FRD-T15W-023</v>
      </c>
    </row>
    <row r="973" spans="1:40" s="572" customFormat="1" ht="15">
      <c r="A973" s="570" t="s">
        <v>2140</v>
      </c>
      <c r="B973" s="573" t="s">
        <v>2119</v>
      </c>
      <c r="C973" s="573" t="s">
        <v>280</v>
      </c>
      <c r="D973" s="578">
        <v>27</v>
      </c>
      <c r="E973" s="573" t="s">
        <v>1516</v>
      </c>
      <c r="F973" s="573" t="s">
        <v>1890</v>
      </c>
      <c r="G973" s="573" t="s">
        <v>271</v>
      </c>
      <c r="H973" s="573">
        <v>2019</v>
      </c>
      <c r="I973" s="573" t="s">
        <v>2047</v>
      </c>
      <c r="J973" s="573" t="s">
        <v>2106</v>
      </c>
      <c r="K973" s="573" t="s">
        <v>236</v>
      </c>
      <c r="L973" s="573">
        <v>8</v>
      </c>
      <c r="M973" s="573">
        <v>0</v>
      </c>
      <c r="N973" s="573" t="s">
        <v>157</v>
      </c>
      <c r="O973" s="573">
        <v>3</v>
      </c>
      <c r="P973" s="573">
        <v>98.7</v>
      </c>
      <c r="Q973" s="571" t="s">
        <v>157</v>
      </c>
      <c r="R973" s="573" t="s">
        <v>1259</v>
      </c>
      <c r="S973" s="573">
        <v>6</v>
      </c>
      <c r="T973" s="573" t="s">
        <v>1910</v>
      </c>
      <c r="U973" s="573" t="s">
        <v>2107</v>
      </c>
      <c r="V973" s="573">
        <v>129.9</v>
      </c>
      <c r="W973" s="573">
        <v>25</v>
      </c>
      <c r="X973" s="571">
        <v>8550</v>
      </c>
      <c r="Y973" s="573">
        <v>16</v>
      </c>
      <c r="Z973" s="579" t="s">
        <v>178</v>
      </c>
      <c r="AA973" s="579" t="s">
        <v>178</v>
      </c>
      <c r="AB973" s="584">
        <v>41995</v>
      </c>
      <c r="AC973" s="584" t="s">
        <v>164</v>
      </c>
      <c r="AD973" s="584">
        <v>32179.875</v>
      </c>
      <c r="AE973" s="586">
        <v>0.03</v>
      </c>
      <c r="AF973" s="661" t="str">
        <f t="shared" si="108"/>
        <v>2019-LVN-FRD-T15W-024-27</v>
      </c>
      <c r="AG973" s="661" t="str">
        <f>IF(AND($Y973&gt;=32,(AI973="I"),(Y973&lt;&gt;"~"),(COUNTIF($AN$1:$AN973,$AN973)=1)),"TRUE","FALSE")</f>
        <v>FALSE</v>
      </c>
      <c r="AH973" s="661" t="str">
        <f>IF(AND($Y973&gt;=22, (AI973&lt;&gt;"I"),(Y973&lt;&gt;"~"),(COUNTIF($AN$1:$AN973,$AN973)=1)),"TRUE","FALSE")</f>
        <v>FALSE</v>
      </c>
      <c r="AI973" s="661" t="str">
        <f t="shared" si="103"/>
        <v>II</v>
      </c>
      <c r="AJ973" s="662" t="str">
        <f t="shared" si="104"/>
        <v>T15W-024</v>
      </c>
      <c r="AK973" s="662" t="str">
        <f t="shared" si="105"/>
        <v>LVN</v>
      </c>
      <c r="AL973" s="662" t="str">
        <f t="shared" si="106"/>
        <v>FRD</v>
      </c>
      <c r="AM973" s="662" t="str">
        <f t="shared" si="102"/>
        <v>Transit 150 Wagon-XLT Sliding RH Door-RWD-8-98.7-~-3.5L EcoBoost-6-K1C-302A-129.9-25-Unleaded-Unleaded</v>
      </c>
      <c r="AN973" s="662" t="str">
        <f t="shared" si="107"/>
        <v>2019-LVN-FRD-T15W-024</v>
      </c>
    </row>
    <row r="974" spans="1:40" s="572" customFormat="1" ht="15">
      <c r="A974" s="570" t="s">
        <v>2141</v>
      </c>
      <c r="B974" s="569" t="s">
        <v>2121</v>
      </c>
      <c r="C974" s="569" t="s">
        <v>280</v>
      </c>
      <c r="D974" s="580">
        <v>27</v>
      </c>
      <c r="E974" s="569" t="s">
        <v>1516</v>
      </c>
      <c r="F974" s="569" t="s">
        <v>1890</v>
      </c>
      <c r="G974" s="569" t="s">
        <v>271</v>
      </c>
      <c r="H974" s="569">
        <v>2019</v>
      </c>
      <c r="I974" s="569" t="s">
        <v>2047</v>
      </c>
      <c r="J974" s="569" t="s">
        <v>2106</v>
      </c>
      <c r="K974" s="569" t="s">
        <v>236</v>
      </c>
      <c r="L974" s="569">
        <v>8</v>
      </c>
      <c r="M974" s="569">
        <v>0</v>
      </c>
      <c r="N974" s="569" t="s">
        <v>157</v>
      </c>
      <c r="O974" s="569">
        <v>3</v>
      </c>
      <c r="P974" s="569">
        <v>98.7</v>
      </c>
      <c r="Q974" s="568" t="s">
        <v>157</v>
      </c>
      <c r="R974" s="569" t="s">
        <v>682</v>
      </c>
      <c r="S974" s="569">
        <v>6</v>
      </c>
      <c r="T974" s="569" t="s">
        <v>1910</v>
      </c>
      <c r="U974" s="569" t="s">
        <v>2107</v>
      </c>
      <c r="V974" s="569">
        <v>129.9</v>
      </c>
      <c r="W974" s="569">
        <v>25</v>
      </c>
      <c r="X974" s="568">
        <v>8550</v>
      </c>
      <c r="Y974" s="573">
        <v>16</v>
      </c>
      <c r="Z974" s="581" t="s">
        <v>178</v>
      </c>
      <c r="AA974" s="581" t="s">
        <v>178</v>
      </c>
      <c r="AB974" s="585">
        <v>40130</v>
      </c>
      <c r="AC974" s="585" t="s">
        <v>164</v>
      </c>
      <c r="AD974" s="585">
        <v>30523.625</v>
      </c>
      <c r="AE974" s="587">
        <v>0.03</v>
      </c>
      <c r="AF974" s="661" t="str">
        <f t="shared" si="108"/>
        <v>2019-LVN-FRD-T15W-025-27</v>
      </c>
      <c r="AG974" s="661" t="str">
        <f>IF(AND($Y974&gt;=32,(AI974="I"),(Y974&lt;&gt;"~"),(COUNTIF($AN$1:$AN974,$AN974)=1)),"TRUE","FALSE")</f>
        <v>FALSE</v>
      </c>
      <c r="AH974" s="661" t="str">
        <f>IF(AND($Y974&gt;=22, (AI974&lt;&gt;"I"),(Y974&lt;&gt;"~"),(COUNTIF($AN$1:$AN974,$AN974)=1)),"TRUE","FALSE")</f>
        <v>FALSE</v>
      </c>
      <c r="AI974" s="661" t="str">
        <f t="shared" si="103"/>
        <v>II</v>
      </c>
      <c r="AJ974" s="662" t="str">
        <f t="shared" si="104"/>
        <v>T15W-025</v>
      </c>
      <c r="AK974" s="662" t="str">
        <f t="shared" si="105"/>
        <v>LVN</v>
      </c>
      <c r="AL974" s="662" t="str">
        <f t="shared" si="106"/>
        <v>FRD</v>
      </c>
      <c r="AM974" s="662" t="str">
        <f t="shared" si="102"/>
        <v>Transit 150 Wagon-XLT Sliding RH Door-RWD-8-98.7-~-3.7L-6-K1C-302A-129.9-25-Unleaded-Unleaded</v>
      </c>
      <c r="AN974" s="662" t="str">
        <f t="shared" si="107"/>
        <v>2019-LVN-FRD-T15W-025</v>
      </c>
    </row>
    <row r="975" spans="1:40" s="572" customFormat="1" ht="15">
      <c r="A975" s="570" t="s">
        <v>2141</v>
      </c>
      <c r="B975" s="573" t="s">
        <v>2121</v>
      </c>
      <c r="C975" s="573" t="s">
        <v>280</v>
      </c>
      <c r="D975" s="578">
        <v>27</v>
      </c>
      <c r="E975" s="573" t="s">
        <v>1516</v>
      </c>
      <c r="F975" s="573" t="s">
        <v>1890</v>
      </c>
      <c r="G975" s="573" t="s">
        <v>271</v>
      </c>
      <c r="H975" s="573">
        <v>2019</v>
      </c>
      <c r="I975" s="573" t="s">
        <v>2047</v>
      </c>
      <c r="J975" s="573" t="s">
        <v>2106</v>
      </c>
      <c r="K975" s="573" t="s">
        <v>236</v>
      </c>
      <c r="L975" s="573">
        <v>8</v>
      </c>
      <c r="M975" s="573">
        <v>0</v>
      </c>
      <c r="N975" s="573" t="s">
        <v>157</v>
      </c>
      <c r="O975" s="573">
        <v>3</v>
      </c>
      <c r="P975" s="573">
        <v>98.7</v>
      </c>
      <c r="Q975" s="571" t="s">
        <v>157</v>
      </c>
      <c r="R975" s="573" t="s">
        <v>682</v>
      </c>
      <c r="S975" s="573">
        <v>6</v>
      </c>
      <c r="T975" s="573" t="s">
        <v>1910</v>
      </c>
      <c r="U975" s="573" t="s">
        <v>2107</v>
      </c>
      <c r="V975" s="573">
        <v>129.9</v>
      </c>
      <c r="W975" s="573">
        <v>25</v>
      </c>
      <c r="X975" s="571">
        <v>8550</v>
      </c>
      <c r="Y975" s="573">
        <v>16</v>
      </c>
      <c r="Z975" s="579" t="s">
        <v>178</v>
      </c>
      <c r="AA975" s="579" t="s">
        <v>178</v>
      </c>
      <c r="AB975" s="584">
        <v>40130</v>
      </c>
      <c r="AC975" s="584" t="s">
        <v>164</v>
      </c>
      <c r="AD975" s="584">
        <v>30523.625</v>
      </c>
      <c r="AE975" s="586">
        <v>0.03</v>
      </c>
      <c r="AF975" s="661" t="str">
        <f t="shared" si="108"/>
        <v>2019-LVN-FRD-T15W-025-27</v>
      </c>
      <c r="AG975" s="661" t="str">
        <f>IF(AND($Y975&gt;=32,(AI975="I"),(Y975&lt;&gt;"~"),(COUNTIF($AN$1:$AN975,$AN975)=1)),"TRUE","FALSE")</f>
        <v>FALSE</v>
      </c>
      <c r="AH975" s="661" t="str">
        <f>IF(AND($Y975&gt;=22, (AI975&lt;&gt;"I"),(Y975&lt;&gt;"~"),(COUNTIF($AN$1:$AN975,$AN975)=1)),"TRUE","FALSE")</f>
        <v>FALSE</v>
      </c>
      <c r="AI975" s="661" t="str">
        <f t="shared" si="103"/>
        <v>II</v>
      </c>
      <c r="AJ975" s="662" t="str">
        <f t="shared" si="104"/>
        <v>T15W-025</v>
      </c>
      <c r="AK975" s="662" t="str">
        <f t="shared" si="105"/>
        <v>LVN</v>
      </c>
      <c r="AL975" s="662" t="str">
        <f t="shared" si="106"/>
        <v>FRD</v>
      </c>
      <c r="AM975" s="662" t="str">
        <f t="shared" si="102"/>
        <v>Transit 150 Wagon-XLT Sliding RH Door-RWD-8-98.7-~-3.7L-6-K1C-302A-129.9-25-Unleaded-Unleaded</v>
      </c>
      <c r="AN975" s="662" t="str">
        <f t="shared" si="107"/>
        <v>2019-LVN-FRD-T15W-025</v>
      </c>
    </row>
    <row r="976" spans="1:40" s="572" customFormat="1" ht="30">
      <c r="A976" s="570" t="s">
        <v>2142</v>
      </c>
      <c r="B976" s="569" t="s">
        <v>2143</v>
      </c>
      <c r="C976" s="569" t="s">
        <v>269</v>
      </c>
      <c r="D976" s="580" t="s">
        <v>270</v>
      </c>
      <c r="E976" s="569" t="s">
        <v>1516</v>
      </c>
      <c r="F976" s="569" t="s">
        <v>1890</v>
      </c>
      <c r="G976" s="569" t="s">
        <v>271</v>
      </c>
      <c r="H976" s="569">
        <v>2019</v>
      </c>
      <c r="I976" s="569" t="s">
        <v>2047</v>
      </c>
      <c r="J976" s="569" t="s">
        <v>2144</v>
      </c>
      <c r="K976" s="569" t="s">
        <v>236</v>
      </c>
      <c r="L976" s="569">
        <v>10</v>
      </c>
      <c r="M976" s="569">
        <v>0</v>
      </c>
      <c r="N976" s="569" t="s">
        <v>157</v>
      </c>
      <c r="O976" s="569">
        <v>4</v>
      </c>
      <c r="P976" s="569">
        <v>82.2</v>
      </c>
      <c r="Q976" s="568" t="s">
        <v>157</v>
      </c>
      <c r="R976" s="569" t="s">
        <v>1259</v>
      </c>
      <c r="S976" s="569">
        <v>6</v>
      </c>
      <c r="T976" s="569" t="s">
        <v>2087</v>
      </c>
      <c r="U976" s="569" t="s">
        <v>2107</v>
      </c>
      <c r="V976" s="569">
        <v>129.9</v>
      </c>
      <c r="W976" s="569">
        <v>25</v>
      </c>
      <c r="X976" s="568">
        <v>8550</v>
      </c>
      <c r="Y976" s="573">
        <v>16</v>
      </c>
      <c r="Z976" s="581" t="s">
        <v>178</v>
      </c>
      <c r="AA976" s="581" t="s">
        <v>178</v>
      </c>
      <c r="AB976" s="585">
        <v>41645</v>
      </c>
      <c r="AC976" s="585" t="s">
        <v>164</v>
      </c>
      <c r="AD976" s="585">
        <v>29536.125</v>
      </c>
      <c r="AE976" s="587">
        <v>0.03</v>
      </c>
      <c r="AF976" s="661" t="str">
        <f t="shared" si="108"/>
        <v>2019-LVN-FRD-T15W-027-05</v>
      </c>
      <c r="AG976" s="661" t="str">
        <f>IF(AND($Y976&gt;=32,(AI976="I"),(Y976&lt;&gt;"~"),(COUNTIF($AN$1:$AN976,$AN976)=1)),"TRUE","FALSE")</f>
        <v>FALSE</v>
      </c>
      <c r="AH976" s="661" t="str">
        <f>IF(AND($Y976&gt;=22, (AI976&lt;&gt;"I"),(Y976&lt;&gt;"~"),(COUNTIF($AN$1:$AN976,$AN976)=1)),"TRUE","FALSE")</f>
        <v>FALSE</v>
      </c>
      <c r="AI976" s="661" t="str">
        <f t="shared" si="103"/>
        <v>II</v>
      </c>
      <c r="AJ976" s="662" t="str">
        <f t="shared" si="104"/>
        <v>T15W-027</v>
      </c>
      <c r="AK976" s="662" t="str">
        <f t="shared" si="105"/>
        <v>LVN</v>
      </c>
      <c r="AL976" s="662" t="str">
        <f t="shared" si="106"/>
        <v>FRD</v>
      </c>
      <c r="AM976" s="662" t="str">
        <f t="shared" si="102"/>
        <v>Transit 150 Wagon-XLT Swing-Out RH Door-RWD-10-82.2-~-3.5L EcoBoost-6-K1Z-302A-129.9-25-Unleaded-Unleaded</v>
      </c>
      <c r="AN976" s="662" t="str">
        <f t="shared" si="107"/>
        <v>2019-LVN-FRD-T15W-027</v>
      </c>
    </row>
    <row r="977" spans="1:40" s="572" customFormat="1" ht="30">
      <c r="A977" s="570" t="s">
        <v>2145</v>
      </c>
      <c r="B977" s="573" t="s">
        <v>2146</v>
      </c>
      <c r="C977" s="573" t="s">
        <v>269</v>
      </c>
      <c r="D977" s="578" t="s">
        <v>270</v>
      </c>
      <c r="E977" s="573" t="s">
        <v>1516</v>
      </c>
      <c r="F977" s="573" t="s">
        <v>1890</v>
      </c>
      <c r="G977" s="573" t="s">
        <v>271</v>
      </c>
      <c r="H977" s="573">
        <v>2019</v>
      </c>
      <c r="I977" s="573" t="s">
        <v>2047</v>
      </c>
      <c r="J977" s="573" t="s">
        <v>2144</v>
      </c>
      <c r="K977" s="573" t="s">
        <v>236</v>
      </c>
      <c r="L977" s="573">
        <v>10</v>
      </c>
      <c r="M977" s="573">
        <v>0</v>
      </c>
      <c r="N977" s="573" t="s">
        <v>157</v>
      </c>
      <c r="O977" s="573">
        <v>4</v>
      </c>
      <c r="P977" s="573">
        <v>82.2</v>
      </c>
      <c r="Q977" s="571" t="s">
        <v>157</v>
      </c>
      <c r="R977" s="573" t="s">
        <v>682</v>
      </c>
      <c r="S977" s="573">
        <v>6</v>
      </c>
      <c r="T977" s="573" t="s">
        <v>2087</v>
      </c>
      <c r="U977" s="573" t="s">
        <v>2107</v>
      </c>
      <c r="V977" s="573">
        <v>129.9</v>
      </c>
      <c r="W977" s="573">
        <v>25</v>
      </c>
      <c r="X977" s="571">
        <v>8550</v>
      </c>
      <c r="Y977" s="573">
        <v>16</v>
      </c>
      <c r="Z977" s="579" t="s">
        <v>178</v>
      </c>
      <c r="AA977" s="579" t="s">
        <v>178</v>
      </c>
      <c r="AB977" s="584">
        <v>39780</v>
      </c>
      <c r="AC977" s="584" t="s">
        <v>164</v>
      </c>
      <c r="AD977" s="584">
        <v>27879.875</v>
      </c>
      <c r="AE977" s="586">
        <v>0.03</v>
      </c>
      <c r="AF977" s="661" t="str">
        <f t="shared" si="108"/>
        <v>2019-LVN-FRD-T15W-028-05</v>
      </c>
      <c r="AG977" s="661" t="str">
        <f>IF(AND($Y977&gt;=32,(AI977="I"),(Y977&lt;&gt;"~"),(COUNTIF($AN$1:$AN977,$AN977)=1)),"TRUE","FALSE")</f>
        <v>FALSE</v>
      </c>
      <c r="AH977" s="661" t="str">
        <f>IF(AND($Y977&gt;=22, (AI977&lt;&gt;"I"),(Y977&lt;&gt;"~"),(COUNTIF($AN$1:$AN977,$AN977)=1)),"TRUE","FALSE")</f>
        <v>FALSE</v>
      </c>
      <c r="AI977" s="661" t="str">
        <f t="shared" si="103"/>
        <v>II</v>
      </c>
      <c r="AJ977" s="662" t="str">
        <f t="shared" si="104"/>
        <v>T15W-028</v>
      </c>
      <c r="AK977" s="662" t="str">
        <f t="shared" si="105"/>
        <v>LVN</v>
      </c>
      <c r="AL977" s="662" t="str">
        <f t="shared" si="106"/>
        <v>FRD</v>
      </c>
      <c r="AM977" s="662" t="str">
        <f t="shared" si="102"/>
        <v>Transit 150 Wagon-XLT Swing-Out RH Door-RWD-10-82.2-~-3.7L-6-K1Z-302A-129.9-25-Unleaded-Unleaded</v>
      </c>
      <c r="AN977" s="662" t="str">
        <f t="shared" si="107"/>
        <v>2019-LVN-FRD-T15W-028</v>
      </c>
    </row>
    <row r="978" spans="1:40" s="572" customFormat="1" ht="30">
      <c r="A978" s="570" t="s">
        <v>2147</v>
      </c>
      <c r="B978" s="569" t="s">
        <v>2148</v>
      </c>
      <c r="C978" s="569" t="s">
        <v>269</v>
      </c>
      <c r="D978" s="580" t="s">
        <v>270</v>
      </c>
      <c r="E978" s="569" t="s">
        <v>1516</v>
      </c>
      <c r="F978" s="569" t="s">
        <v>1890</v>
      </c>
      <c r="G978" s="569" t="s">
        <v>271</v>
      </c>
      <c r="H978" s="569">
        <v>2019</v>
      </c>
      <c r="I978" s="569" t="s">
        <v>2047</v>
      </c>
      <c r="J978" s="569" t="s">
        <v>2144</v>
      </c>
      <c r="K978" s="569" t="s">
        <v>236</v>
      </c>
      <c r="L978" s="569">
        <v>8</v>
      </c>
      <c r="M978" s="569">
        <v>0</v>
      </c>
      <c r="N978" s="569" t="s">
        <v>157</v>
      </c>
      <c r="O978" s="569">
        <v>3</v>
      </c>
      <c r="P978" s="569">
        <v>82.2</v>
      </c>
      <c r="Q978" s="568" t="s">
        <v>157</v>
      </c>
      <c r="R978" s="569" t="s">
        <v>1259</v>
      </c>
      <c r="S978" s="569">
        <v>6</v>
      </c>
      <c r="T978" s="569" t="s">
        <v>2087</v>
      </c>
      <c r="U978" s="569" t="s">
        <v>2107</v>
      </c>
      <c r="V978" s="569">
        <v>129.9</v>
      </c>
      <c r="W978" s="569">
        <v>25</v>
      </c>
      <c r="X978" s="568">
        <v>8550</v>
      </c>
      <c r="Y978" s="573">
        <v>16</v>
      </c>
      <c r="Z978" s="581" t="s">
        <v>178</v>
      </c>
      <c r="AA978" s="581" t="s">
        <v>178</v>
      </c>
      <c r="AB978" s="585">
        <v>40935</v>
      </c>
      <c r="AC978" s="585" t="s">
        <v>164</v>
      </c>
      <c r="AD978" s="585">
        <v>28425.708333333336</v>
      </c>
      <c r="AE978" s="587">
        <v>0.03</v>
      </c>
      <c r="AF978" s="661" t="str">
        <f t="shared" si="108"/>
        <v>2019-LVN-FRD-T15W-030-05</v>
      </c>
      <c r="AG978" s="661" t="str">
        <f>IF(AND($Y978&gt;=32,(AI978="I"),(Y978&lt;&gt;"~"),(COUNTIF($AN$1:$AN978,$AN978)=1)),"TRUE","FALSE")</f>
        <v>FALSE</v>
      </c>
      <c r="AH978" s="661" t="str">
        <f>IF(AND($Y978&gt;=22, (AI978&lt;&gt;"I"),(Y978&lt;&gt;"~"),(COUNTIF($AN$1:$AN978,$AN978)=1)),"TRUE","FALSE")</f>
        <v>FALSE</v>
      </c>
      <c r="AI978" s="661" t="str">
        <f t="shared" si="103"/>
        <v>II</v>
      </c>
      <c r="AJ978" s="662" t="str">
        <f t="shared" si="104"/>
        <v>T15W-030</v>
      </c>
      <c r="AK978" s="662" t="str">
        <f t="shared" si="105"/>
        <v>LVN</v>
      </c>
      <c r="AL978" s="662" t="str">
        <f t="shared" si="106"/>
        <v>FRD</v>
      </c>
      <c r="AM978" s="662" t="str">
        <f t="shared" si="102"/>
        <v>Transit 150 Wagon-XLT Swing-Out RH Door-RWD-8-82.2-~-3.5L EcoBoost-6-K1Z-302A-129.9-25-Unleaded-Unleaded</v>
      </c>
      <c r="AN978" s="662" t="str">
        <f t="shared" si="107"/>
        <v>2019-LVN-FRD-T15W-030</v>
      </c>
    </row>
    <row r="979" spans="1:40" s="572" customFormat="1" ht="30">
      <c r="A979" s="570" t="s">
        <v>2149</v>
      </c>
      <c r="B979" s="573" t="s">
        <v>2150</v>
      </c>
      <c r="C979" s="573" t="s">
        <v>269</v>
      </c>
      <c r="D979" s="578" t="s">
        <v>270</v>
      </c>
      <c r="E979" s="573" t="s">
        <v>1516</v>
      </c>
      <c r="F979" s="573" t="s">
        <v>1890</v>
      </c>
      <c r="G979" s="573" t="s">
        <v>271</v>
      </c>
      <c r="H979" s="573">
        <v>2019</v>
      </c>
      <c r="I979" s="573" t="s">
        <v>2047</v>
      </c>
      <c r="J979" s="573" t="s">
        <v>2144</v>
      </c>
      <c r="K979" s="573" t="s">
        <v>236</v>
      </c>
      <c r="L979" s="573">
        <v>8</v>
      </c>
      <c r="M979" s="573">
        <v>0</v>
      </c>
      <c r="N979" s="573" t="s">
        <v>157</v>
      </c>
      <c r="O979" s="573">
        <v>3</v>
      </c>
      <c r="P979" s="573">
        <v>82.2</v>
      </c>
      <c r="Q979" s="571" t="s">
        <v>157</v>
      </c>
      <c r="R979" s="573" t="s">
        <v>682</v>
      </c>
      <c r="S979" s="573">
        <v>6</v>
      </c>
      <c r="T979" s="573" t="s">
        <v>2087</v>
      </c>
      <c r="U979" s="573" t="s">
        <v>2107</v>
      </c>
      <c r="V979" s="573">
        <v>129.9</v>
      </c>
      <c r="W979" s="573">
        <v>25</v>
      </c>
      <c r="X979" s="571">
        <v>8550</v>
      </c>
      <c r="Y979" s="573">
        <v>16</v>
      </c>
      <c r="Z979" s="579" t="s">
        <v>178</v>
      </c>
      <c r="AA979" s="579" t="s">
        <v>178</v>
      </c>
      <c r="AB979" s="584">
        <v>38530</v>
      </c>
      <c r="AC979" s="584" t="s">
        <v>164</v>
      </c>
      <c r="AD979" s="584">
        <v>26769.458333333336</v>
      </c>
      <c r="AE979" s="586">
        <v>0.03</v>
      </c>
      <c r="AF979" s="661" t="str">
        <f t="shared" si="108"/>
        <v>2019-LVN-FRD-T15W-031-05</v>
      </c>
      <c r="AG979" s="661" t="str">
        <f>IF(AND($Y979&gt;=32,(AI979="I"),(Y979&lt;&gt;"~"),(COUNTIF($AN$1:$AN979,$AN979)=1)),"TRUE","FALSE")</f>
        <v>FALSE</v>
      </c>
      <c r="AH979" s="661" t="str">
        <f>IF(AND($Y979&gt;=22, (AI979&lt;&gt;"I"),(Y979&lt;&gt;"~"),(COUNTIF($AN$1:$AN979,$AN979)=1)),"TRUE","FALSE")</f>
        <v>FALSE</v>
      </c>
      <c r="AI979" s="661" t="str">
        <f t="shared" si="103"/>
        <v>II</v>
      </c>
      <c r="AJ979" s="662" t="str">
        <f t="shared" si="104"/>
        <v>T15W-031</v>
      </c>
      <c r="AK979" s="662" t="str">
        <f t="shared" si="105"/>
        <v>LVN</v>
      </c>
      <c r="AL979" s="662" t="str">
        <f t="shared" si="106"/>
        <v>FRD</v>
      </c>
      <c r="AM979" s="662" t="str">
        <f t="shared" si="102"/>
        <v>Transit 150 Wagon-XLT Swing-Out RH Door-RWD-8-82.2-~-3.7L-6-K1Z-302A-129.9-25-Unleaded-Unleaded</v>
      </c>
      <c r="AN979" s="662" t="str">
        <f t="shared" si="107"/>
        <v>2019-LVN-FRD-T15W-031</v>
      </c>
    </row>
    <row r="980" spans="1:40" s="572" customFormat="1" ht="30">
      <c r="A980" s="570" t="s">
        <v>2151</v>
      </c>
      <c r="B980" s="569" t="s">
        <v>2143</v>
      </c>
      <c r="C980" s="569" t="s">
        <v>278</v>
      </c>
      <c r="D980" s="580">
        <v>15</v>
      </c>
      <c r="E980" s="569" t="s">
        <v>1516</v>
      </c>
      <c r="F980" s="569" t="s">
        <v>1890</v>
      </c>
      <c r="G980" s="569" t="s">
        <v>271</v>
      </c>
      <c r="H980" s="569">
        <v>2019</v>
      </c>
      <c r="I980" s="569" t="s">
        <v>2047</v>
      </c>
      <c r="J980" s="569" t="s">
        <v>2144</v>
      </c>
      <c r="K980" s="569" t="s">
        <v>236</v>
      </c>
      <c r="L980" s="569">
        <v>10</v>
      </c>
      <c r="M980" s="569">
        <v>0</v>
      </c>
      <c r="N980" s="569" t="s">
        <v>157</v>
      </c>
      <c r="O980" s="569">
        <v>4</v>
      </c>
      <c r="P980" s="569">
        <v>82.2</v>
      </c>
      <c r="Q980" s="568" t="s">
        <v>157</v>
      </c>
      <c r="R980" s="569" t="s">
        <v>1259</v>
      </c>
      <c r="S980" s="569">
        <v>6</v>
      </c>
      <c r="T980" s="569" t="s">
        <v>2087</v>
      </c>
      <c r="U980" s="569" t="s">
        <v>2107</v>
      </c>
      <c r="V980" s="569">
        <v>129.9</v>
      </c>
      <c r="W980" s="569">
        <v>25</v>
      </c>
      <c r="X980" s="568">
        <v>8550</v>
      </c>
      <c r="Y980" s="573">
        <v>16</v>
      </c>
      <c r="Z980" s="581" t="s">
        <v>178</v>
      </c>
      <c r="AA980" s="581" t="s">
        <v>178</v>
      </c>
      <c r="AB980" s="585">
        <v>41645</v>
      </c>
      <c r="AC980" s="585" t="s">
        <v>164</v>
      </c>
      <c r="AD980" s="585">
        <v>30100</v>
      </c>
      <c r="AE980" s="587">
        <v>0.01</v>
      </c>
      <c r="AF980" s="661" t="str">
        <f t="shared" si="108"/>
        <v>2019-LVN-FRD-T15W-027-15</v>
      </c>
      <c r="AG980" s="661" t="str">
        <f>IF(AND($Y980&gt;=32,(AI980="I"),(Y980&lt;&gt;"~"),(COUNTIF($AN$1:$AN980,$AN980)=1)),"TRUE","FALSE")</f>
        <v>FALSE</v>
      </c>
      <c r="AH980" s="661" t="str">
        <f>IF(AND($Y980&gt;=22, (AI980&lt;&gt;"I"),(Y980&lt;&gt;"~"),(COUNTIF($AN$1:$AN980,$AN980)=1)),"TRUE","FALSE")</f>
        <v>FALSE</v>
      </c>
      <c r="AI980" s="661" t="str">
        <f t="shared" si="103"/>
        <v>II</v>
      </c>
      <c r="AJ980" s="662" t="str">
        <f t="shared" si="104"/>
        <v>T15W-027</v>
      </c>
      <c r="AK980" s="662" t="str">
        <f t="shared" si="105"/>
        <v>LVN</v>
      </c>
      <c r="AL980" s="662" t="str">
        <f t="shared" si="106"/>
        <v>FRD</v>
      </c>
      <c r="AM980" s="662" t="str">
        <f t="shared" si="102"/>
        <v>Transit 150 Wagon-XLT Swing-Out RH Door-RWD-10-82.2-~-3.5L EcoBoost-6-K1Z-302A-129.9-25-Unleaded-Unleaded</v>
      </c>
      <c r="AN980" s="662" t="str">
        <f t="shared" si="107"/>
        <v>2019-LVN-FRD-T15W-027</v>
      </c>
    </row>
    <row r="981" spans="1:40" s="572" customFormat="1" ht="30">
      <c r="A981" s="570" t="s">
        <v>2152</v>
      </c>
      <c r="B981" s="573" t="s">
        <v>2146</v>
      </c>
      <c r="C981" s="573" t="s">
        <v>278</v>
      </c>
      <c r="D981" s="578">
        <v>15</v>
      </c>
      <c r="E981" s="573" t="s">
        <v>1516</v>
      </c>
      <c r="F981" s="573" t="s">
        <v>1890</v>
      </c>
      <c r="G981" s="573" t="s">
        <v>271</v>
      </c>
      <c r="H981" s="573">
        <v>2019</v>
      </c>
      <c r="I981" s="573" t="s">
        <v>2047</v>
      </c>
      <c r="J981" s="573" t="s">
        <v>2144</v>
      </c>
      <c r="K981" s="573" t="s">
        <v>236</v>
      </c>
      <c r="L981" s="573">
        <v>10</v>
      </c>
      <c r="M981" s="573">
        <v>0</v>
      </c>
      <c r="N981" s="573" t="s">
        <v>157</v>
      </c>
      <c r="O981" s="573">
        <v>4</v>
      </c>
      <c r="P981" s="573">
        <v>82.2</v>
      </c>
      <c r="Q981" s="571" t="s">
        <v>157</v>
      </c>
      <c r="R981" s="573" t="s">
        <v>682</v>
      </c>
      <c r="S981" s="573">
        <v>6</v>
      </c>
      <c r="T981" s="573" t="s">
        <v>2087</v>
      </c>
      <c r="U981" s="573" t="s">
        <v>2107</v>
      </c>
      <c r="V981" s="573">
        <v>129.9</v>
      </c>
      <c r="W981" s="573">
        <v>25</v>
      </c>
      <c r="X981" s="571">
        <v>8550</v>
      </c>
      <c r="Y981" s="573">
        <v>16</v>
      </c>
      <c r="Z981" s="579" t="s">
        <v>178</v>
      </c>
      <c r="AA981" s="579" t="s">
        <v>178</v>
      </c>
      <c r="AB981" s="584">
        <v>39780</v>
      </c>
      <c r="AC981" s="584" t="s">
        <v>164</v>
      </c>
      <c r="AD981" s="584">
        <v>28500</v>
      </c>
      <c r="AE981" s="586">
        <v>0.01</v>
      </c>
      <c r="AF981" s="661" t="str">
        <f t="shared" si="108"/>
        <v>2019-LVN-FRD-T15W-028-15</v>
      </c>
      <c r="AG981" s="661" t="str">
        <f>IF(AND($Y981&gt;=32,(AI981="I"),(Y981&lt;&gt;"~"),(COUNTIF($AN$1:$AN981,$AN981)=1)),"TRUE","FALSE")</f>
        <v>FALSE</v>
      </c>
      <c r="AH981" s="661" t="str">
        <f>IF(AND($Y981&gt;=22, (AI981&lt;&gt;"I"),(Y981&lt;&gt;"~"),(COUNTIF($AN$1:$AN981,$AN981)=1)),"TRUE","FALSE")</f>
        <v>FALSE</v>
      </c>
      <c r="AI981" s="661" t="str">
        <f t="shared" si="103"/>
        <v>II</v>
      </c>
      <c r="AJ981" s="662" t="str">
        <f t="shared" si="104"/>
        <v>T15W-028</v>
      </c>
      <c r="AK981" s="662" t="str">
        <f t="shared" si="105"/>
        <v>LVN</v>
      </c>
      <c r="AL981" s="662" t="str">
        <f t="shared" si="106"/>
        <v>FRD</v>
      </c>
      <c r="AM981" s="662" t="str">
        <f t="shared" si="102"/>
        <v>Transit 150 Wagon-XLT Swing-Out RH Door-RWD-10-82.2-~-3.7L-6-K1Z-302A-129.9-25-Unleaded-Unleaded</v>
      </c>
      <c r="AN981" s="662" t="str">
        <f t="shared" si="107"/>
        <v>2019-LVN-FRD-T15W-028</v>
      </c>
    </row>
    <row r="982" spans="1:40" s="572" customFormat="1" ht="30">
      <c r="A982" s="570" t="s">
        <v>2153</v>
      </c>
      <c r="B982" s="569" t="s">
        <v>2148</v>
      </c>
      <c r="C982" s="569" t="s">
        <v>278</v>
      </c>
      <c r="D982" s="580">
        <v>15</v>
      </c>
      <c r="E982" s="569" t="s">
        <v>1516</v>
      </c>
      <c r="F982" s="569" t="s">
        <v>1890</v>
      </c>
      <c r="G982" s="569" t="s">
        <v>271</v>
      </c>
      <c r="H982" s="569">
        <v>2019</v>
      </c>
      <c r="I982" s="569" t="s">
        <v>2047</v>
      </c>
      <c r="J982" s="569" t="s">
        <v>2144</v>
      </c>
      <c r="K982" s="569" t="s">
        <v>236</v>
      </c>
      <c r="L982" s="569">
        <v>8</v>
      </c>
      <c r="M982" s="569">
        <v>0</v>
      </c>
      <c r="N982" s="569" t="s">
        <v>157</v>
      </c>
      <c r="O982" s="569">
        <v>3</v>
      </c>
      <c r="P982" s="569">
        <v>82.2</v>
      </c>
      <c r="Q982" s="568" t="s">
        <v>157</v>
      </c>
      <c r="R982" s="569" t="s">
        <v>1259</v>
      </c>
      <c r="S982" s="569">
        <v>6</v>
      </c>
      <c r="T982" s="569" t="s">
        <v>2087</v>
      </c>
      <c r="U982" s="569" t="s">
        <v>2107</v>
      </c>
      <c r="V982" s="569">
        <v>129.9</v>
      </c>
      <c r="W982" s="569">
        <v>25</v>
      </c>
      <c r="X982" s="568">
        <v>8550</v>
      </c>
      <c r="Y982" s="573">
        <v>16</v>
      </c>
      <c r="Z982" s="581" t="s">
        <v>178</v>
      </c>
      <c r="AA982" s="581" t="s">
        <v>178</v>
      </c>
      <c r="AB982" s="585">
        <v>40935</v>
      </c>
      <c r="AC982" s="585" t="s">
        <v>164</v>
      </c>
      <c r="AD982" s="585">
        <v>28950</v>
      </c>
      <c r="AE982" s="587">
        <v>0.01</v>
      </c>
      <c r="AF982" s="661" t="str">
        <f t="shared" si="108"/>
        <v>2019-LVN-FRD-T15W-030-15</v>
      </c>
      <c r="AG982" s="661" t="str">
        <f>IF(AND($Y982&gt;=32,(AI982="I"),(Y982&lt;&gt;"~"),(COUNTIF($AN$1:$AN982,$AN982)=1)),"TRUE","FALSE")</f>
        <v>FALSE</v>
      </c>
      <c r="AH982" s="661" t="str">
        <f>IF(AND($Y982&gt;=22, (AI982&lt;&gt;"I"),(Y982&lt;&gt;"~"),(COUNTIF($AN$1:$AN982,$AN982)=1)),"TRUE","FALSE")</f>
        <v>FALSE</v>
      </c>
      <c r="AI982" s="661" t="str">
        <f t="shared" si="103"/>
        <v>II</v>
      </c>
      <c r="AJ982" s="662" t="str">
        <f t="shared" si="104"/>
        <v>T15W-030</v>
      </c>
      <c r="AK982" s="662" t="str">
        <f t="shared" si="105"/>
        <v>LVN</v>
      </c>
      <c r="AL982" s="662" t="str">
        <f t="shared" si="106"/>
        <v>FRD</v>
      </c>
      <c r="AM982" s="662" t="str">
        <f t="shared" si="102"/>
        <v>Transit 150 Wagon-XLT Swing-Out RH Door-RWD-8-82.2-~-3.5L EcoBoost-6-K1Z-302A-129.9-25-Unleaded-Unleaded</v>
      </c>
      <c r="AN982" s="662" t="str">
        <f t="shared" si="107"/>
        <v>2019-LVN-FRD-T15W-030</v>
      </c>
    </row>
    <row r="983" spans="1:40" s="572" customFormat="1" ht="30">
      <c r="A983" s="570" t="s">
        <v>2154</v>
      </c>
      <c r="B983" s="573" t="s">
        <v>2150</v>
      </c>
      <c r="C983" s="573" t="s">
        <v>278</v>
      </c>
      <c r="D983" s="578">
        <v>15</v>
      </c>
      <c r="E983" s="573" t="s">
        <v>1516</v>
      </c>
      <c r="F983" s="573" t="s">
        <v>1890</v>
      </c>
      <c r="G983" s="573" t="s">
        <v>271</v>
      </c>
      <c r="H983" s="573">
        <v>2019</v>
      </c>
      <c r="I983" s="573" t="s">
        <v>2047</v>
      </c>
      <c r="J983" s="573" t="s">
        <v>2144</v>
      </c>
      <c r="K983" s="573" t="s">
        <v>236</v>
      </c>
      <c r="L983" s="573">
        <v>8</v>
      </c>
      <c r="M983" s="573">
        <v>0</v>
      </c>
      <c r="N983" s="573" t="s">
        <v>157</v>
      </c>
      <c r="O983" s="573">
        <v>3</v>
      </c>
      <c r="P983" s="573">
        <v>82.2</v>
      </c>
      <c r="Q983" s="571" t="s">
        <v>157</v>
      </c>
      <c r="R983" s="573" t="s">
        <v>682</v>
      </c>
      <c r="S983" s="573">
        <v>6</v>
      </c>
      <c r="T983" s="573" t="s">
        <v>2087</v>
      </c>
      <c r="U983" s="573" t="s">
        <v>2107</v>
      </c>
      <c r="V983" s="573">
        <v>129.9</v>
      </c>
      <c r="W983" s="573">
        <v>25</v>
      </c>
      <c r="X983" s="571">
        <v>8550</v>
      </c>
      <c r="Y983" s="573">
        <v>16</v>
      </c>
      <c r="Z983" s="579" t="s">
        <v>178</v>
      </c>
      <c r="AA983" s="579" t="s">
        <v>178</v>
      </c>
      <c r="AB983" s="584">
        <v>38530</v>
      </c>
      <c r="AC983" s="584" t="s">
        <v>164</v>
      </c>
      <c r="AD983" s="584">
        <v>27300</v>
      </c>
      <c r="AE983" s="586">
        <v>0.01</v>
      </c>
      <c r="AF983" s="661" t="str">
        <f t="shared" si="108"/>
        <v>2019-LVN-FRD-T15W-031-15</v>
      </c>
      <c r="AG983" s="661" t="str">
        <f>IF(AND($Y983&gt;=32,(AI983="I"),(Y983&lt;&gt;"~"),(COUNTIF($AN$1:$AN983,$AN983)=1)),"TRUE","FALSE")</f>
        <v>FALSE</v>
      </c>
      <c r="AH983" s="661" t="str">
        <f>IF(AND($Y983&gt;=22, (AI983&lt;&gt;"I"),(Y983&lt;&gt;"~"),(COUNTIF($AN$1:$AN983,$AN983)=1)),"TRUE","FALSE")</f>
        <v>FALSE</v>
      </c>
      <c r="AI983" s="661" t="str">
        <f t="shared" si="103"/>
        <v>II</v>
      </c>
      <c r="AJ983" s="662" t="str">
        <f t="shared" si="104"/>
        <v>T15W-031</v>
      </c>
      <c r="AK983" s="662" t="str">
        <f t="shared" si="105"/>
        <v>LVN</v>
      </c>
      <c r="AL983" s="662" t="str">
        <f t="shared" si="106"/>
        <v>FRD</v>
      </c>
      <c r="AM983" s="662" t="str">
        <f t="shared" si="102"/>
        <v>Transit 150 Wagon-XLT Swing-Out RH Door-RWD-8-82.2-~-3.7L-6-K1Z-302A-129.9-25-Unleaded-Unleaded</v>
      </c>
      <c r="AN983" s="662" t="str">
        <f t="shared" si="107"/>
        <v>2019-LVN-FRD-T15W-031</v>
      </c>
    </row>
    <row r="984" spans="1:40" s="572" customFormat="1" ht="30">
      <c r="A984" s="570" t="s">
        <v>2155</v>
      </c>
      <c r="B984" s="569" t="s">
        <v>2148</v>
      </c>
      <c r="C984" s="569" t="s">
        <v>287</v>
      </c>
      <c r="D984" s="580">
        <v>26</v>
      </c>
      <c r="E984" s="569" t="s">
        <v>1516</v>
      </c>
      <c r="F984" s="569" t="s">
        <v>1890</v>
      </c>
      <c r="G984" s="569" t="s">
        <v>271</v>
      </c>
      <c r="H984" s="569">
        <v>2019</v>
      </c>
      <c r="I984" s="569" t="s">
        <v>2047</v>
      </c>
      <c r="J984" s="569" t="s">
        <v>2144</v>
      </c>
      <c r="K984" s="569" t="s">
        <v>236</v>
      </c>
      <c r="L984" s="569">
        <v>8</v>
      </c>
      <c r="M984" s="569">
        <v>0</v>
      </c>
      <c r="N984" s="569" t="s">
        <v>157</v>
      </c>
      <c r="O984" s="569">
        <v>3</v>
      </c>
      <c r="P984" s="569">
        <v>82.2</v>
      </c>
      <c r="Q984" s="568" t="s">
        <v>157</v>
      </c>
      <c r="R984" s="569" t="s">
        <v>1259</v>
      </c>
      <c r="S984" s="569">
        <v>6</v>
      </c>
      <c r="T984" s="569" t="s">
        <v>2087</v>
      </c>
      <c r="U984" s="569" t="s">
        <v>2107</v>
      </c>
      <c r="V984" s="569">
        <v>129.9</v>
      </c>
      <c r="W984" s="569">
        <v>25</v>
      </c>
      <c r="X984" s="568">
        <v>8550</v>
      </c>
      <c r="Y984" s="573">
        <v>16</v>
      </c>
      <c r="Z984" s="581" t="s">
        <v>178</v>
      </c>
      <c r="AA984" s="581" t="s">
        <v>178</v>
      </c>
      <c r="AB984" s="585">
        <v>40935</v>
      </c>
      <c r="AC984" s="585" t="s">
        <v>164</v>
      </c>
      <c r="AD984" s="585">
        <v>29245</v>
      </c>
      <c r="AE984" s="587">
        <v>0.05</v>
      </c>
      <c r="AF984" s="661" t="str">
        <f t="shared" si="108"/>
        <v>2019-LVN-FRD-T15W-030-26</v>
      </c>
      <c r="AG984" s="661" t="str">
        <f>IF(AND($Y984&gt;=32,(AI984="I"),(Y984&lt;&gt;"~"),(COUNTIF($AN$1:$AN984,$AN984)=1)),"TRUE","FALSE")</f>
        <v>FALSE</v>
      </c>
      <c r="AH984" s="661" t="str">
        <f>IF(AND($Y984&gt;=22, (AI984&lt;&gt;"I"),(Y984&lt;&gt;"~"),(COUNTIF($AN$1:$AN984,$AN984)=1)),"TRUE","FALSE")</f>
        <v>FALSE</v>
      </c>
      <c r="AI984" s="661" t="str">
        <f t="shared" si="103"/>
        <v>II</v>
      </c>
      <c r="AJ984" s="662" t="str">
        <f t="shared" si="104"/>
        <v>T15W-030</v>
      </c>
      <c r="AK984" s="662" t="str">
        <f t="shared" si="105"/>
        <v>LVN</v>
      </c>
      <c r="AL984" s="662" t="str">
        <f t="shared" si="106"/>
        <v>FRD</v>
      </c>
      <c r="AM984" s="662" t="str">
        <f t="shared" si="102"/>
        <v>Transit 150 Wagon-XLT Swing-Out RH Door-RWD-8-82.2-~-3.5L EcoBoost-6-K1Z-302A-129.9-25-Unleaded-Unleaded</v>
      </c>
      <c r="AN984" s="662" t="str">
        <f t="shared" si="107"/>
        <v>2019-LVN-FRD-T15W-030</v>
      </c>
    </row>
    <row r="985" spans="1:40" s="572" customFormat="1" ht="30">
      <c r="A985" s="570" t="s">
        <v>2156</v>
      </c>
      <c r="B985" s="573" t="s">
        <v>2150</v>
      </c>
      <c r="C985" s="573" t="s">
        <v>287</v>
      </c>
      <c r="D985" s="578">
        <v>26</v>
      </c>
      <c r="E985" s="573" t="s">
        <v>1516</v>
      </c>
      <c r="F985" s="573" t="s">
        <v>1890</v>
      </c>
      <c r="G985" s="573" t="s">
        <v>271</v>
      </c>
      <c r="H985" s="573">
        <v>2019</v>
      </c>
      <c r="I985" s="573" t="s">
        <v>2047</v>
      </c>
      <c r="J985" s="573" t="s">
        <v>2144</v>
      </c>
      <c r="K985" s="573" t="s">
        <v>236</v>
      </c>
      <c r="L985" s="573">
        <v>8</v>
      </c>
      <c r="M985" s="573">
        <v>0</v>
      </c>
      <c r="N985" s="573" t="s">
        <v>157</v>
      </c>
      <c r="O985" s="573">
        <v>3</v>
      </c>
      <c r="P985" s="573">
        <v>82.2</v>
      </c>
      <c r="Q985" s="571" t="s">
        <v>157</v>
      </c>
      <c r="R985" s="573" t="s">
        <v>682</v>
      </c>
      <c r="S985" s="573">
        <v>6</v>
      </c>
      <c r="T985" s="573" t="s">
        <v>2087</v>
      </c>
      <c r="U985" s="573" t="s">
        <v>2107</v>
      </c>
      <c r="V985" s="573">
        <v>129.9</v>
      </c>
      <c r="W985" s="573">
        <v>25</v>
      </c>
      <c r="X985" s="571">
        <v>8550</v>
      </c>
      <c r="Y985" s="573">
        <v>16</v>
      </c>
      <c r="Z985" s="579" t="s">
        <v>178</v>
      </c>
      <c r="AA985" s="579" t="s">
        <v>178</v>
      </c>
      <c r="AB985" s="584">
        <v>38530</v>
      </c>
      <c r="AC985" s="584" t="s">
        <v>164</v>
      </c>
      <c r="AD985" s="584">
        <v>27547</v>
      </c>
      <c r="AE985" s="586">
        <v>0.05</v>
      </c>
      <c r="AF985" s="661" t="str">
        <f t="shared" si="108"/>
        <v>2019-LVN-FRD-T15W-031-26</v>
      </c>
      <c r="AG985" s="661" t="str">
        <f>IF(AND($Y985&gt;=32,(AI985="I"),(Y985&lt;&gt;"~"),(COUNTIF($AN$1:$AN985,$AN985)=1)),"TRUE","FALSE")</f>
        <v>FALSE</v>
      </c>
      <c r="AH985" s="661" t="str">
        <f>IF(AND($Y985&gt;=22, (AI985&lt;&gt;"I"),(Y985&lt;&gt;"~"),(COUNTIF($AN$1:$AN985,$AN985)=1)),"TRUE","FALSE")</f>
        <v>FALSE</v>
      </c>
      <c r="AI985" s="661" t="str">
        <f t="shared" si="103"/>
        <v>II</v>
      </c>
      <c r="AJ985" s="662" t="str">
        <f t="shared" si="104"/>
        <v>T15W-031</v>
      </c>
      <c r="AK985" s="662" t="str">
        <f t="shared" si="105"/>
        <v>LVN</v>
      </c>
      <c r="AL985" s="662" t="str">
        <f t="shared" si="106"/>
        <v>FRD</v>
      </c>
      <c r="AM985" s="662" t="str">
        <f t="shared" si="102"/>
        <v>Transit 150 Wagon-XLT Swing-Out RH Door-RWD-8-82.2-~-3.7L-6-K1Z-302A-129.9-25-Unleaded-Unleaded</v>
      </c>
      <c r="AN985" s="662" t="str">
        <f t="shared" si="107"/>
        <v>2019-LVN-FRD-T15W-031</v>
      </c>
    </row>
    <row r="986" spans="1:40" s="572" customFormat="1" ht="30">
      <c r="A986" s="570" t="s">
        <v>2157</v>
      </c>
      <c r="B986" s="569" t="s">
        <v>2143</v>
      </c>
      <c r="C986" s="569" t="s">
        <v>280</v>
      </c>
      <c r="D986" s="580">
        <v>27</v>
      </c>
      <c r="E986" s="569" t="s">
        <v>1516</v>
      </c>
      <c r="F986" s="569" t="s">
        <v>1890</v>
      </c>
      <c r="G986" s="569" t="s">
        <v>271</v>
      </c>
      <c r="H986" s="569">
        <v>2019</v>
      </c>
      <c r="I986" s="569" t="s">
        <v>2047</v>
      </c>
      <c r="J986" s="569" t="s">
        <v>2144</v>
      </c>
      <c r="K986" s="569" t="s">
        <v>236</v>
      </c>
      <c r="L986" s="569">
        <v>10</v>
      </c>
      <c r="M986" s="569">
        <v>0</v>
      </c>
      <c r="N986" s="569" t="s">
        <v>157</v>
      </c>
      <c r="O986" s="569">
        <v>4</v>
      </c>
      <c r="P986" s="569">
        <v>82.2</v>
      </c>
      <c r="Q986" s="568" t="s">
        <v>157</v>
      </c>
      <c r="R986" s="569" t="s">
        <v>1259</v>
      </c>
      <c r="S986" s="569">
        <v>6</v>
      </c>
      <c r="T986" s="569" t="s">
        <v>2087</v>
      </c>
      <c r="U986" s="569" t="s">
        <v>2107</v>
      </c>
      <c r="V986" s="569">
        <v>129.9</v>
      </c>
      <c r="W986" s="569">
        <v>25</v>
      </c>
      <c r="X986" s="568">
        <v>8550</v>
      </c>
      <c r="Y986" s="573">
        <v>16</v>
      </c>
      <c r="Z986" s="581" t="s">
        <v>178</v>
      </c>
      <c r="AA986" s="581" t="s">
        <v>178</v>
      </c>
      <c r="AB986" s="585">
        <v>41645</v>
      </c>
      <c r="AC986" s="585" t="s">
        <v>164</v>
      </c>
      <c r="AD986" s="585">
        <v>29536.125</v>
      </c>
      <c r="AE986" s="587">
        <v>0.03</v>
      </c>
      <c r="AF986" s="661" t="str">
        <f t="shared" si="108"/>
        <v>2019-LVN-FRD-T15W-027-27</v>
      </c>
      <c r="AG986" s="661" t="str">
        <f>IF(AND($Y986&gt;=32,(AI986="I"),(Y986&lt;&gt;"~"),(COUNTIF($AN$1:$AN986,$AN986)=1)),"TRUE","FALSE")</f>
        <v>FALSE</v>
      </c>
      <c r="AH986" s="661" t="str">
        <f>IF(AND($Y986&gt;=22, (AI986&lt;&gt;"I"),(Y986&lt;&gt;"~"),(COUNTIF($AN$1:$AN986,$AN986)=1)),"TRUE","FALSE")</f>
        <v>FALSE</v>
      </c>
      <c r="AI986" s="661" t="str">
        <f t="shared" si="103"/>
        <v>II</v>
      </c>
      <c r="AJ986" s="662" t="str">
        <f t="shared" si="104"/>
        <v>T15W-027</v>
      </c>
      <c r="AK986" s="662" t="str">
        <f t="shared" si="105"/>
        <v>LVN</v>
      </c>
      <c r="AL986" s="662" t="str">
        <f t="shared" si="106"/>
        <v>FRD</v>
      </c>
      <c r="AM986" s="662" t="str">
        <f t="shared" si="102"/>
        <v>Transit 150 Wagon-XLT Swing-Out RH Door-RWD-10-82.2-~-3.5L EcoBoost-6-K1Z-302A-129.9-25-Unleaded-Unleaded</v>
      </c>
      <c r="AN986" s="662" t="str">
        <f t="shared" si="107"/>
        <v>2019-LVN-FRD-T15W-027</v>
      </c>
    </row>
    <row r="987" spans="1:40" s="572" customFormat="1" ht="30">
      <c r="A987" s="570" t="s">
        <v>2158</v>
      </c>
      <c r="B987" s="573" t="s">
        <v>2146</v>
      </c>
      <c r="C987" s="573" t="s">
        <v>280</v>
      </c>
      <c r="D987" s="578">
        <v>27</v>
      </c>
      <c r="E987" s="573" t="s">
        <v>1516</v>
      </c>
      <c r="F987" s="573" t="s">
        <v>1890</v>
      </c>
      <c r="G987" s="573" t="s">
        <v>271</v>
      </c>
      <c r="H987" s="573">
        <v>2019</v>
      </c>
      <c r="I987" s="573" t="s">
        <v>2047</v>
      </c>
      <c r="J987" s="573" t="s">
        <v>2144</v>
      </c>
      <c r="K987" s="573" t="s">
        <v>236</v>
      </c>
      <c r="L987" s="573">
        <v>10</v>
      </c>
      <c r="M987" s="573">
        <v>0</v>
      </c>
      <c r="N987" s="573" t="s">
        <v>157</v>
      </c>
      <c r="O987" s="573">
        <v>4</v>
      </c>
      <c r="P987" s="573">
        <v>82.2</v>
      </c>
      <c r="Q987" s="571" t="s">
        <v>157</v>
      </c>
      <c r="R987" s="573" t="s">
        <v>682</v>
      </c>
      <c r="S987" s="573">
        <v>6</v>
      </c>
      <c r="T987" s="573" t="s">
        <v>2087</v>
      </c>
      <c r="U987" s="573" t="s">
        <v>2107</v>
      </c>
      <c r="V987" s="573">
        <v>129.9</v>
      </c>
      <c r="W987" s="573">
        <v>25</v>
      </c>
      <c r="X987" s="571">
        <v>8550</v>
      </c>
      <c r="Y987" s="573">
        <v>16</v>
      </c>
      <c r="Z987" s="579" t="s">
        <v>178</v>
      </c>
      <c r="AA987" s="579" t="s">
        <v>178</v>
      </c>
      <c r="AB987" s="584">
        <v>39780</v>
      </c>
      <c r="AC987" s="584" t="s">
        <v>164</v>
      </c>
      <c r="AD987" s="584">
        <v>27879.875</v>
      </c>
      <c r="AE987" s="586">
        <v>0.03</v>
      </c>
      <c r="AF987" s="661" t="str">
        <f t="shared" si="108"/>
        <v>2019-LVN-FRD-T15W-028-27</v>
      </c>
      <c r="AG987" s="661" t="str">
        <f>IF(AND($Y987&gt;=32,(AI987="I"),(Y987&lt;&gt;"~"),(COUNTIF($AN$1:$AN987,$AN987)=1)),"TRUE","FALSE")</f>
        <v>FALSE</v>
      </c>
      <c r="AH987" s="661" t="str">
        <f>IF(AND($Y987&gt;=22, (AI987&lt;&gt;"I"),(Y987&lt;&gt;"~"),(COUNTIF($AN$1:$AN987,$AN987)=1)),"TRUE","FALSE")</f>
        <v>FALSE</v>
      </c>
      <c r="AI987" s="661" t="str">
        <f t="shared" si="103"/>
        <v>II</v>
      </c>
      <c r="AJ987" s="662" t="str">
        <f t="shared" si="104"/>
        <v>T15W-028</v>
      </c>
      <c r="AK987" s="662" t="str">
        <f t="shared" si="105"/>
        <v>LVN</v>
      </c>
      <c r="AL987" s="662" t="str">
        <f t="shared" si="106"/>
        <v>FRD</v>
      </c>
      <c r="AM987" s="662" t="str">
        <f t="shared" ref="AM987:AM1050" si="109">CONCATENATE(I987,"-",J987,"-",K987,"-",L987,"-",P987,"-",Q987,"-",R987,"-",S987,"-",T987,"-",U987,"-",V987,"-",W987,"-",Z987,"-",AA987)</f>
        <v>Transit 150 Wagon-XLT Swing-Out RH Door-RWD-10-82.2-~-3.7L-6-K1Z-302A-129.9-25-Unleaded-Unleaded</v>
      </c>
      <c r="AN987" s="662" t="str">
        <f t="shared" si="107"/>
        <v>2019-LVN-FRD-T15W-028</v>
      </c>
    </row>
    <row r="988" spans="1:40" s="572" customFormat="1" ht="30">
      <c r="A988" s="570" t="s">
        <v>2159</v>
      </c>
      <c r="B988" s="569" t="s">
        <v>2148</v>
      </c>
      <c r="C988" s="569" t="s">
        <v>280</v>
      </c>
      <c r="D988" s="580">
        <v>27</v>
      </c>
      <c r="E988" s="569" t="s">
        <v>1516</v>
      </c>
      <c r="F988" s="569" t="s">
        <v>1890</v>
      </c>
      <c r="G988" s="569" t="s">
        <v>271</v>
      </c>
      <c r="H988" s="569">
        <v>2019</v>
      </c>
      <c r="I988" s="569" t="s">
        <v>2047</v>
      </c>
      <c r="J988" s="569" t="s">
        <v>2144</v>
      </c>
      <c r="K988" s="569" t="s">
        <v>236</v>
      </c>
      <c r="L988" s="569">
        <v>8</v>
      </c>
      <c r="M988" s="569">
        <v>0</v>
      </c>
      <c r="N988" s="569" t="s">
        <v>157</v>
      </c>
      <c r="O988" s="569">
        <v>3</v>
      </c>
      <c r="P988" s="569">
        <v>82.2</v>
      </c>
      <c r="Q988" s="568" t="s">
        <v>157</v>
      </c>
      <c r="R988" s="569" t="s">
        <v>1259</v>
      </c>
      <c r="S988" s="569">
        <v>6</v>
      </c>
      <c r="T988" s="569" t="s">
        <v>2087</v>
      </c>
      <c r="U988" s="569" t="s">
        <v>2107</v>
      </c>
      <c r="V988" s="569">
        <v>129.9</v>
      </c>
      <c r="W988" s="569">
        <v>25</v>
      </c>
      <c r="X988" s="568">
        <v>8550</v>
      </c>
      <c r="Y988" s="573">
        <v>16</v>
      </c>
      <c r="Z988" s="581" t="s">
        <v>178</v>
      </c>
      <c r="AA988" s="581" t="s">
        <v>178</v>
      </c>
      <c r="AB988" s="585">
        <v>40935</v>
      </c>
      <c r="AC988" s="585" t="s">
        <v>164</v>
      </c>
      <c r="AD988" s="585">
        <v>28425.708333333336</v>
      </c>
      <c r="AE988" s="587">
        <v>0.03</v>
      </c>
      <c r="AF988" s="661" t="str">
        <f t="shared" si="108"/>
        <v>2019-LVN-FRD-T15W-030-27</v>
      </c>
      <c r="AG988" s="661" t="str">
        <f>IF(AND($Y988&gt;=32,(AI988="I"),(Y988&lt;&gt;"~"),(COUNTIF($AN$1:$AN988,$AN988)=1)),"TRUE","FALSE")</f>
        <v>FALSE</v>
      </c>
      <c r="AH988" s="661" t="str">
        <f>IF(AND($Y988&gt;=22, (AI988&lt;&gt;"I"),(Y988&lt;&gt;"~"),(COUNTIF($AN$1:$AN988,$AN988)=1)),"TRUE","FALSE")</f>
        <v>FALSE</v>
      </c>
      <c r="AI988" s="661" t="str">
        <f t="shared" ref="AI988:AI1051" si="110">IF(OR((LEFT($E988,2)="01"),AND(LEFT($E988,2)="06",ISNUMBER(SEARCH("pas",$F988))),AND(LEFT($E988,2)="05",ISNUMBER(SEARCH("pas",$F988)))),"I",IF(AND((LEFT($E988,2)&lt;&gt;"01"),$X988&lt;=10000),"II",IF(AND((LEFT($E988,2)&lt;&gt;"01"),$X988&gt;10000),"N/A")))</f>
        <v>II</v>
      </c>
      <c r="AJ988" s="662" t="str">
        <f t="shared" si="104"/>
        <v>T15W-030</v>
      </c>
      <c r="AK988" s="662" t="str">
        <f t="shared" si="105"/>
        <v>LVN</v>
      </c>
      <c r="AL988" s="662" t="str">
        <f t="shared" si="106"/>
        <v>FRD</v>
      </c>
      <c r="AM988" s="662" t="str">
        <f t="shared" si="109"/>
        <v>Transit 150 Wagon-XLT Swing-Out RH Door-RWD-8-82.2-~-3.5L EcoBoost-6-K1Z-302A-129.9-25-Unleaded-Unleaded</v>
      </c>
      <c r="AN988" s="662" t="str">
        <f t="shared" si="107"/>
        <v>2019-LVN-FRD-T15W-030</v>
      </c>
    </row>
    <row r="989" spans="1:40" s="572" customFormat="1" ht="30">
      <c r="A989" s="570" t="s">
        <v>2160</v>
      </c>
      <c r="B989" s="573" t="s">
        <v>2150</v>
      </c>
      <c r="C989" s="573" t="s">
        <v>280</v>
      </c>
      <c r="D989" s="578">
        <v>27</v>
      </c>
      <c r="E989" s="573" t="s">
        <v>1516</v>
      </c>
      <c r="F989" s="573" t="s">
        <v>1890</v>
      </c>
      <c r="G989" s="573" t="s">
        <v>271</v>
      </c>
      <c r="H989" s="573">
        <v>2019</v>
      </c>
      <c r="I989" s="573" t="s">
        <v>2047</v>
      </c>
      <c r="J989" s="573" t="s">
        <v>2144</v>
      </c>
      <c r="K989" s="573" t="s">
        <v>236</v>
      </c>
      <c r="L989" s="573">
        <v>8</v>
      </c>
      <c r="M989" s="573">
        <v>0</v>
      </c>
      <c r="N989" s="573" t="s">
        <v>157</v>
      </c>
      <c r="O989" s="573">
        <v>3</v>
      </c>
      <c r="P989" s="573">
        <v>82.2</v>
      </c>
      <c r="Q989" s="571" t="s">
        <v>157</v>
      </c>
      <c r="R989" s="573" t="s">
        <v>682</v>
      </c>
      <c r="S989" s="573">
        <v>6</v>
      </c>
      <c r="T989" s="573" t="s">
        <v>2087</v>
      </c>
      <c r="U989" s="573" t="s">
        <v>2107</v>
      </c>
      <c r="V989" s="573">
        <v>129.9</v>
      </c>
      <c r="W989" s="573">
        <v>25</v>
      </c>
      <c r="X989" s="571">
        <v>8550</v>
      </c>
      <c r="Y989" s="573">
        <v>16</v>
      </c>
      <c r="Z989" s="579" t="s">
        <v>178</v>
      </c>
      <c r="AA989" s="579" t="s">
        <v>178</v>
      </c>
      <c r="AB989" s="584">
        <v>38530</v>
      </c>
      <c r="AC989" s="584" t="s">
        <v>164</v>
      </c>
      <c r="AD989" s="584">
        <v>26769.458333333336</v>
      </c>
      <c r="AE989" s="586">
        <v>0.03</v>
      </c>
      <c r="AF989" s="661" t="str">
        <f t="shared" si="108"/>
        <v>2019-LVN-FRD-T15W-031-27</v>
      </c>
      <c r="AG989" s="661" t="str">
        <f>IF(AND($Y989&gt;=32,(AI989="I"),(Y989&lt;&gt;"~"),(COUNTIF($AN$1:$AN989,$AN989)=1)),"TRUE","FALSE")</f>
        <v>FALSE</v>
      </c>
      <c r="AH989" s="661" t="str">
        <f>IF(AND($Y989&gt;=22, (AI989&lt;&gt;"I"),(Y989&lt;&gt;"~"),(COUNTIF($AN$1:$AN989,$AN989)=1)),"TRUE","FALSE")</f>
        <v>FALSE</v>
      </c>
      <c r="AI989" s="661" t="str">
        <f t="shared" si="110"/>
        <v>II</v>
      </c>
      <c r="AJ989" s="662" t="str">
        <f t="shared" si="104"/>
        <v>T15W-031</v>
      </c>
      <c r="AK989" s="662" t="str">
        <f t="shared" si="105"/>
        <v>LVN</v>
      </c>
      <c r="AL989" s="662" t="str">
        <f t="shared" si="106"/>
        <v>FRD</v>
      </c>
      <c r="AM989" s="662" t="str">
        <f t="shared" si="109"/>
        <v>Transit 150 Wagon-XLT Swing-Out RH Door-RWD-8-82.2-~-3.7L-6-K1Z-302A-129.9-25-Unleaded-Unleaded</v>
      </c>
      <c r="AN989" s="662" t="str">
        <f t="shared" si="107"/>
        <v>2019-LVN-FRD-T15W-031</v>
      </c>
    </row>
    <row r="990" spans="1:40" s="572" customFormat="1" ht="30">
      <c r="A990" s="570" t="s">
        <v>2161</v>
      </c>
      <c r="B990" s="569" t="s">
        <v>2162</v>
      </c>
      <c r="C990" s="569" t="s">
        <v>269</v>
      </c>
      <c r="D990" s="580" t="s">
        <v>270</v>
      </c>
      <c r="E990" s="569" t="s">
        <v>1516</v>
      </c>
      <c r="F990" s="569" t="s">
        <v>2163</v>
      </c>
      <c r="G990" s="569" t="s">
        <v>271</v>
      </c>
      <c r="H990" s="569">
        <v>2019</v>
      </c>
      <c r="I990" s="569" t="s">
        <v>2164</v>
      </c>
      <c r="J990" s="569" t="s">
        <v>1757</v>
      </c>
      <c r="K990" s="569" t="s">
        <v>236</v>
      </c>
      <c r="L990" s="569">
        <v>2</v>
      </c>
      <c r="M990" s="569">
        <v>0</v>
      </c>
      <c r="N990" s="569" t="s">
        <v>157</v>
      </c>
      <c r="O990" s="569">
        <v>1</v>
      </c>
      <c r="P990" s="569">
        <v>86.9</v>
      </c>
      <c r="Q990" s="568" t="s">
        <v>157</v>
      </c>
      <c r="R990" s="569" t="s">
        <v>682</v>
      </c>
      <c r="S990" s="569">
        <v>6</v>
      </c>
      <c r="T990" s="569" t="s">
        <v>2165</v>
      </c>
      <c r="U990" s="569" t="s">
        <v>2166</v>
      </c>
      <c r="V990" s="569">
        <v>156</v>
      </c>
      <c r="W990" s="569">
        <v>25</v>
      </c>
      <c r="X990" s="568">
        <v>9000</v>
      </c>
      <c r="Y990" s="569">
        <v>14</v>
      </c>
      <c r="Z990" s="581" t="s">
        <v>178</v>
      </c>
      <c r="AA990" s="581" t="s">
        <v>178</v>
      </c>
      <c r="AB990" s="585">
        <v>31575</v>
      </c>
      <c r="AC990" s="585" t="s">
        <v>164</v>
      </c>
      <c r="AD990" s="585">
        <v>22703.833333333336</v>
      </c>
      <c r="AE990" s="587">
        <v>0.03</v>
      </c>
      <c r="AF990" s="661" t="str">
        <f t="shared" si="108"/>
        <v>2019-LVN-FRD-T2CC-002-05</v>
      </c>
      <c r="AG990" s="661" t="str">
        <f>IF(AND($Y990&gt;=32,(AI990="I"),(Y990&lt;&gt;"~"),(COUNTIF($AN$1:$AN990,$AN990)=1)),"TRUE","FALSE")</f>
        <v>FALSE</v>
      </c>
      <c r="AH990" s="661" t="str">
        <f>IF(AND($Y990&gt;=22, (AI990&lt;&gt;"I"),(Y990&lt;&gt;"~"),(COUNTIF($AN$1:$AN990,$AN990)=1)),"TRUE","FALSE")</f>
        <v>FALSE</v>
      </c>
      <c r="AI990" s="661" t="str">
        <f t="shared" si="110"/>
        <v>II</v>
      </c>
      <c r="AJ990" s="662" t="str">
        <f t="shared" si="104"/>
        <v>T2CC-002</v>
      </c>
      <c r="AK990" s="662" t="str">
        <f t="shared" si="105"/>
        <v>LVN</v>
      </c>
      <c r="AL990" s="662" t="str">
        <f t="shared" si="106"/>
        <v>FRD</v>
      </c>
      <c r="AM990" s="662" t="str">
        <f t="shared" si="109"/>
        <v>Transit 250 Chassis Cab-SRW-RWD-2-86.9-~-3.7L-6-R7Z-701A-156-25-Unleaded-Unleaded</v>
      </c>
      <c r="AN990" s="662" t="str">
        <f t="shared" si="107"/>
        <v>2019-LVN-FRD-T2CC-002</v>
      </c>
    </row>
    <row r="991" spans="1:40" s="572" customFormat="1" ht="30">
      <c r="A991" s="570" t="s">
        <v>2167</v>
      </c>
      <c r="B991" s="573" t="s">
        <v>2168</v>
      </c>
      <c r="C991" s="573" t="s">
        <v>269</v>
      </c>
      <c r="D991" s="578" t="s">
        <v>270</v>
      </c>
      <c r="E991" s="573" t="s">
        <v>1516</v>
      </c>
      <c r="F991" s="573" t="s">
        <v>2163</v>
      </c>
      <c r="G991" s="573" t="s">
        <v>271</v>
      </c>
      <c r="H991" s="573">
        <v>2019</v>
      </c>
      <c r="I991" s="573" t="s">
        <v>2164</v>
      </c>
      <c r="J991" s="573" t="s">
        <v>1757</v>
      </c>
      <c r="K991" s="573" t="s">
        <v>236</v>
      </c>
      <c r="L991" s="573">
        <v>2</v>
      </c>
      <c r="M991" s="573">
        <v>0</v>
      </c>
      <c r="N991" s="573" t="s">
        <v>157</v>
      </c>
      <c r="O991" s="573">
        <v>1</v>
      </c>
      <c r="P991" s="573">
        <v>87.2</v>
      </c>
      <c r="Q991" s="571" t="s">
        <v>157</v>
      </c>
      <c r="R991" s="573" t="s">
        <v>682</v>
      </c>
      <c r="S991" s="573">
        <v>6</v>
      </c>
      <c r="T991" s="573" t="s">
        <v>2169</v>
      </c>
      <c r="U991" s="573" t="s">
        <v>2166</v>
      </c>
      <c r="V991" s="573">
        <v>138</v>
      </c>
      <c r="W991" s="573">
        <v>25</v>
      </c>
      <c r="X991" s="571">
        <v>9000</v>
      </c>
      <c r="Y991" s="569">
        <v>14</v>
      </c>
      <c r="Z991" s="579" t="s">
        <v>178</v>
      </c>
      <c r="AA991" s="579" t="s">
        <v>178</v>
      </c>
      <c r="AB991" s="584">
        <v>31375</v>
      </c>
      <c r="AC991" s="584" t="s">
        <v>164</v>
      </c>
      <c r="AD991" s="584">
        <v>22521.541666666668</v>
      </c>
      <c r="AE991" s="586">
        <v>0.03</v>
      </c>
      <c r="AF991" s="661" t="str">
        <f t="shared" si="108"/>
        <v>2019-LVN-FRD-T2CC-004-05</v>
      </c>
      <c r="AG991" s="661" t="str">
        <f>IF(AND($Y991&gt;=32,(AI991="I"),(Y991&lt;&gt;"~"),(COUNTIF($AN$1:$AN991,$AN991)=1)),"TRUE","FALSE")</f>
        <v>FALSE</v>
      </c>
      <c r="AH991" s="661" t="str">
        <f>IF(AND($Y991&gt;=22, (AI991&lt;&gt;"I"),(Y991&lt;&gt;"~"),(COUNTIF($AN$1:$AN991,$AN991)=1)),"TRUE","FALSE")</f>
        <v>FALSE</v>
      </c>
      <c r="AI991" s="661" t="str">
        <f t="shared" si="110"/>
        <v>II</v>
      </c>
      <c r="AJ991" s="662" t="str">
        <f t="shared" si="104"/>
        <v>T2CC-004</v>
      </c>
      <c r="AK991" s="662" t="str">
        <f t="shared" si="105"/>
        <v>LVN</v>
      </c>
      <c r="AL991" s="662" t="str">
        <f t="shared" si="106"/>
        <v>FRD</v>
      </c>
      <c r="AM991" s="662" t="str">
        <f t="shared" si="109"/>
        <v>Transit 250 Chassis Cab-SRW-RWD-2-87.2-~-3.7L-6-R5Z-701A-138-25-Unleaded-Unleaded</v>
      </c>
      <c r="AN991" s="662" t="str">
        <f t="shared" si="107"/>
        <v>2019-LVN-FRD-T2CC-004</v>
      </c>
    </row>
    <row r="992" spans="1:40" s="572" customFormat="1" ht="30">
      <c r="A992" s="570" t="s">
        <v>2170</v>
      </c>
      <c r="B992" s="569" t="s">
        <v>2168</v>
      </c>
      <c r="C992" s="569" t="s">
        <v>278</v>
      </c>
      <c r="D992" s="580">
        <v>15</v>
      </c>
      <c r="E992" s="569" t="s">
        <v>1516</v>
      </c>
      <c r="F992" s="569" t="s">
        <v>2163</v>
      </c>
      <c r="G992" s="569" t="s">
        <v>271</v>
      </c>
      <c r="H992" s="569">
        <v>2019</v>
      </c>
      <c r="I992" s="569" t="s">
        <v>2164</v>
      </c>
      <c r="J992" s="569" t="s">
        <v>1757</v>
      </c>
      <c r="K992" s="569" t="s">
        <v>236</v>
      </c>
      <c r="L992" s="569">
        <v>2</v>
      </c>
      <c r="M992" s="569">
        <v>0</v>
      </c>
      <c r="N992" s="569" t="s">
        <v>157</v>
      </c>
      <c r="O992" s="569">
        <v>1</v>
      </c>
      <c r="P992" s="569">
        <v>87.2</v>
      </c>
      <c r="Q992" s="568" t="s">
        <v>157</v>
      </c>
      <c r="R992" s="569" t="s">
        <v>682</v>
      </c>
      <c r="S992" s="569">
        <v>6</v>
      </c>
      <c r="T992" s="569" t="s">
        <v>2169</v>
      </c>
      <c r="U992" s="569" t="s">
        <v>2166</v>
      </c>
      <c r="V992" s="569">
        <v>138</v>
      </c>
      <c r="W992" s="569">
        <v>25</v>
      </c>
      <c r="X992" s="568">
        <v>9000</v>
      </c>
      <c r="Y992" s="569">
        <v>14</v>
      </c>
      <c r="Z992" s="581" t="s">
        <v>178</v>
      </c>
      <c r="AA992" s="581" t="s">
        <v>178</v>
      </c>
      <c r="AB992" s="585">
        <v>31375</v>
      </c>
      <c r="AC992" s="585" t="s">
        <v>164</v>
      </c>
      <c r="AD992" s="585">
        <v>22900</v>
      </c>
      <c r="AE992" s="587">
        <v>0.01</v>
      </c>
      <c r="AF992" s="661" t="str">
        <f t="shared" si="108"/>
        <v>2019-LVN-FRD-T2CC-004-15</v>
      </c>
      <c r="AG992" s="661" t="str">
        <f>IF(AND($Y992&gt;=32,(AI992="I"),(Y992&lt;&gt;"~"),(COUNTIF($AN$1:$AN992,$AN992)=1)),"TRUE","FALSE")</f>
        <v>FALSE</v>
      </c>
      <c r="AH992" s="661" t="str">
        <f>IF(AND($Y992&gt;=22, (AI992&lt;&gt;"I"),(Y992&lt;&gt;"~"),(COUNTIF($AN$1:$AN992,$AN992)=1)),"TRUE","FALSE")</f>
        <v>FALSE</v>
      </c>
      <c r="AI992" s="661" t="str">
        <f t="shared" si="110"/>
        <v>II</v>
      </c>
      <c r="AJ992" s="662" t="str">
        <f t="shared" si="104"/>
        <v>T2CC-004</v>
      </c>
      <c r="AK992" s="662" t="str">
        <f t="shared" si="105"/>
        <v>LVN</v>
      </c>
      <c r="AL992" s="662" t="str">
        <f t="shared" si="106"/>
        <v>FRD</v>
      </c>
      <c r="AM992" s="662" t="str">
        <f t="shared" si="109"/>
        <v>Transit 250 Chassis Cab-SRW-RWD-2-87.2-~-3.7L-6-R5Z-701A-138-25-Unleaded-Unleaded</v>
      </c>
      <c r="AN992" s="662" t="str">
        <f t="shared" si="107"/>
        <v>2019-LVN-FRD-T2CC-004</v>
      </c>
    </row>
    <row r="993" spans="1:40" s="572" customFormat="1" ht="30">
      <c r="A993" s="570" t="s">
        <v>2171</v>
      </c>
      <c r="B993" s="573" t="s">
        <v>2172</v>
      </c>
      <c r="C993" s="573" t="s">
        <v>287</v>
      </c>
      <c r="D993" s="578">
        <v>26</v>
      </c>
      <c r="E993" s="573" t="s">
        <v>1516</v>
      </c>
      <c r="F993" s="573" t="s">
        <v>2163</v>
      </c>
      <c r="G993" s="573" t="s">
        <v>271</v>
      </c>
      <c r="H993" s="573">
        <v>2019</v>
      </c>
      <c r="I993" s="573" t="s">
        <v>2164</v>
      </c>
      <c r="J993" s="573" t="s">
        <v>1757</v>
      </c>
      <c r="K993" s="573" t="s">
        <v>236</v>
      </c>
      <c r="L993" s="573">
        <v>2</v>
      </c>
      <c r="M993" s="573">
        <v>0</v>
      </c>
      <c r="N993" s="573" t="s">
        <v>157</v>
      </c>
      <c r="O993" s="573">
        <v>1</v>
      </c>
      <c r="P993" s="573">
        <v>86.9</v>
      </c>
      <c r="Q993" s="571" t="s">
        <v>157</v>
      </c>
      <c r="R993" s="573" t="s">
        <v>1917</v>
      </c>
      <c r="S993" s="573">
        <v>5</v>
      </c>
      <c r="T993" s="573" t="s">
        <v>2165</v>
      </c>
      <c r="U993" s="573" t="s">
        <v>2166</v>
      </c>
      <c r="V993" s="573">
        <v>156</v>
      </c>
      <c r="W993" s="573">
        <v>25</v>
      </c>
      <c r="X993" s="571">
        <v>9000</v>
      </c>
      <c r="Y993" s="569">
        <v>14</v>
      </c>
      <c r="Z993" s="579" t="s">
        <v>728</v>
      </c>
      <c r="AA993" s="579" t="s">
        <v>1523</v>
      </c>
      <c r="AB993" s="584">
        <v>35570</v>
      </c>
      <c r="AC993" s="584" t="s">
        <v>164</v>
      </c>
      <c r="AD993" s="584">
        <v>27015</v>
      </c>
      <c r="AE993" s="586">
        <v>0.05</v>
      </c>
      <c r="AF993" s="661" t="str">
        <f t="shared" si="108"/>
        <v>2019-LVN-FRD-T2CC-001-26</v>
      </c>
      <c r="AG993" s="661" t="str">
        <f>IF(AND($Y993&gt;=32,(AI993="I"),(Y993&lt;&gt;"~"),(COUNTIF($AN$1:$AN993,$AN993)=1)),"TRUE","FALSE")</f>
        <v>FALSE</v>
      </c>
      <c r="AH993" s="661" t="str">
        <f>IF(AND($Y993&gt;=22, (AI993&lt;&gt;"I"),(Y993&lt;&gt;"~"),(COUNTIF($AN$1:$AN993,$AN993)=1)),"TRUE","FALSE")</f>
        <v>FALSE</v>
      </c>
      <c r="AI993" s="661" t="str">
        <f t="shared" si="110"/>
        <v>II</v>
      </c>
      <c r="AJ993" s="662" t="str">
        <f t="shared" si="104"/>
        <v>T2CC-001</v>
      </c>
      <c r="AK993" s="662" t="str">
        <f t="shared" si="105"/>
        <v>LVN</v>
      </c>
      <c r="AL993" s="662" t="str">
        <f t="shared" si="106"/>
        <v>FRD</v>
      </c>
      <c r="AM993" s="662" t="str">
        <f t="shared" si="109"/>
        <v>Transit 250 Chassis Cab-SRW-RWD-2-86.9-~-3.2L-5-R7Z-701A-156-25-Diesel-BioDiesel</v>
      </c>
      <c r="AN993" s="662" t="str">
        <f t="shared" si="107"/>
        <v>2019-LVN-FRD-T2CC-001</v>
      </c>
    </row>
    <row r="994" spans="1:40" s="572" customFormat="1" ht="30">
      <c r="A994" s="570" t="s">
        <v>2173</v>
      </c>
      <c r="B994" s="569" t="s">
        <v>2162</v>
      </c>
      <c r="C994" s="569" t="s">
        <v>287</v>
      </c>
      <c r="D994" s="580">
        <v>26</v>
      </c>
      <c r="E994" s="569" t="s">
        <v>1516</v>
      </c>
      <c r="F994" s="569" t="s">
        <v>2163</v>
      </c>
      <c r="G994" s="569" t="s">
        <v>271</v>
      </c>
      <c r="H994" s="569">
        <v>2019</v>
      </c>
      <c r="I994" s="569" t="s">
        <v>2164</v>
      </c>
      <c r="J994" s="569" t="s">
        <v>1757</v>
      </c>
      <c r="K994" s="569" t="s">
        <v>236</v>
      </c>
      <c r="L994" s="569">
        <v>2</v>
      </c>
      <c r="M994" s="569">
        <v>0</v>
      </c>
      <c r="N994" s="569" t="s">
        <v>157</v>
      </c>
      <c r="O994" s="569">
        <v>1</v>
      </c>
      <c r="P994" s="569">
        <v>86.9</v>
      </c>
      <c r="Q994" s="568" t="s">
        <v>157</v>
      </c>
      <c r="R994" s="569" t="s">
        <v>682</v>
      </c>
      <c r="S994" s="569">
        <v>6</v>
      </c>
      <c r="T994" s="569" t="s">
        <v>2165</v>
      </c>
      <c r="U994" s="569" t="s">
        <v>2166</v>
      </c>
      <c r="V994" s="569">
        <v>156</v>
      </c>
      <c r="W994" s="569">
        <v>25</v>
      </c>
      <c r="X994" s="568">
        <v>9000</v>
      </c>
      <c r="Y994" s="569">
        <v>14</v>
      </c>
      <c r="Z994" s="581" t="s">
        <v>178</v>
      </c>
      <c r="AA994" s="581" t="s">
        <v>178</v>
      </c>
      <c r="AB994" s="585">
        <v>31575</v>
      </c>
      <c r="AC994" s="585" t="s">
        <v>164</v>
      </c>
      <c r="AD994" s="585">
        <v>23377</v>
      </c>
      <c r="AE994" s="587">
        <v>0.05</v>
      </c>
      <c r="AF994" s="661" t="str">
        <f t="shared" si="108"/>
        <v>2019-LVN-FRD-T2CC-002-26</v>
      </c>
      <c r="AG994" s="661" t="str">
        <f>IF(AND($Y994&gt;=32,(AI994="I"),(Y994&lt;&gt;"~"),(COUNTIF($AN$1:$AN994,$AN994)=1)),"TRUE","FALSE")</f>
        <v>FALSE</v>
      </c>
      <c r="AH994" s="661" t="str">
        <f>IF(AND($Y994&gt;=22, (AI994&lt;&gt;"I"),(Y994&lt;&gt;"~"),(COUNTIF($AN$1:$AN994,$AN994)=1)),"TRUE","FALSE")</f>
        <v>FALSE</v>
      </c>
      <c r="AI994" s="661" t="str">
        <f t="shared" si="110"/>
        <v>II</v>
      </c>
      <c r="AJ994" s="662" t="str">
        <f t="shared" si="104"/>
        <v>T2CC-002</v>
      </c>
      <c r="AK994" s="662" t="str">
        <f t="shared" si="105"/>
        <v>LVN</v>
      </c>
      <c r="AL994" s="662" t="str">
        <f t="shared" si="106"/>
        <v>FRD</v>
      </c>
      <c r="AM994" s="662" t="str">
        <f t="shared" si="109"/>
        <v>Transit 250 Chassis Cab-SRW-RWD-2-86.9-~-3.7L-6-R7Z-701A-156-25-Unleaded-Unleaded</v>
      </c>
      <c r="AN994" s="662" t="str">
        <f t="shared" si="107"/>
        <v>2019-LVN-FRD-T2CC-002</v>
      </c>
    </row>
    <row r="995" spans="1:40" s="572" customFormat="1" ht="30">
      <c r="A995" s="570" t="s">
        <v>2174</v>
      </c>
      <c r="B995" s="573" t="s">
        <v>2175</v>
      </c>
      <c r="C995" s="573" t="s">
        <v>287</v>
      </c>
      <c r="D995" s="578">
        <v>26</v>
      </c>
      <c r="E995" s="573" t="s">
        <v>1516</v>
      </c>
      <c r="F995" s="573" t="s">
        <v>2163</v>
      </c>
      <c r="G995" s="573" t="s">
        <v>271</v>
      </c>
      <c r="H995" s="573">
        <v>2019</v>
      </c>
      <c r="I995" s="573" t="s">
        <v>2164</v>
      </c>
      <c r="J995" s="573" t="s">
        <v>1757</v>
      </c>
      <c r="K995" s="573" t="s">
        <v>236</v>
      </c>
      <c r="L995" s="573">
        <v>2</v>
      </c>
      <c r="M995" s="573">
        <v>0</v>
      </c>
      <c r="N995" s="573" t="s">
        <v>157</v>
      </c>
      <c r="O995" s="573">
        <v>1</v>
      </c>
      <c r="P995" s="573">
        <v>87.2</v>
      </c>
      <c r="Q995" s="571" t="s">
        <v>157</v>
      </c>
      <c r="R995" s="573" t="s">
        <v>1917</v>
      </c>
      <c r="S995" s="573">
        <v>5</v>
      </c>
      <c r="T995" s="573" t="s">
        <v>2169</v>
      </c>
      <c r="U995" s="573" t="s">
        <v>2166</v>
      </c>
      <c r="V995" s="573">
        <v>138</v>
      </c>
      <c r="W995" s="573">
        <v>25</v>
      </c>
      <c r="X995" s="571">
        <v>9000</v>
      </c>
      <c r="Y995" s="569">
        <v>14</v>
      </c>
      <c r="Z995" s="579" t="s">
        <v>728</v>
      </c>
      <c r="AA995" s="579" t="s">
        <v>1523</v>
      </c>
      <c r="AB995" s="584">
        <v>35370</v>
      </c>
      <c r="AC995" s="584" t="s">
        <v>164</v>
      </c>
      <c r="AD995" s="584">
        <v>26828</v>
      </c>
      <c r="AE995" s="586">
        <v>0.05</v>
      </c>
      <c r="AF995" s="661" t="str">
        <f t="shared" si="108"/>
        <v>2019-LVN-FRD-T2CC-003-26</v>
      </c>
      <c r="AG995" s="661" t="str">
        <f>IF(AND($Y995&gt;=32,(AI995="I"),(Y995&lt;&gt;"~"),(COUNTIF($AN$1:$AN995,$AN995)=1)),"TRUE","FALSE")</f>
        <v>FALSE</v>
      </c>
      <c r="AH995" s="661" t="str">
        <f>IF(AND($Y995&gt;=22, (AI995&lt;&gt;"I"),(Y995&lt;&gt;"~"),(COUNTIF($AN$1:$AN995,$AN995)=1)),"TRUE","FALSE")</f>
        <v>FALSE</v>
      </c>
      <c r="AI995" s="661" t="str">
        <f t="shared" si="110"/>
        <v>II</v>
      </c>
      <c r="AJ995" s="662" t="str">
        <f t="shared" si="104"/>
        <v>T2CC-003</v>
      </c>
      <c r="AK995" s="662" t="str">
        <f t="shared" si="105"/>
        <v>LVN</v>
      </c>
      <c r="AL995" s="662" t="str">
        <f t="shared" si="106"/>
        <v>FRD</v>
      </c>
      <c r="AM995" s="662" t="str">
        <f t="shared" si="109"/>
        <v>Transit 250 Chassis Cab-SRW-RWD-2-87.2-~-3.2L-5-R5Z-701A-138-25-Diesel-BioDiesel</v>
      </c>
      <c r="AN995" s="662" t="str">
        <f t="shared" si="107"/>
        <v>2019-LVN-FRD-T2CC-003</v>
      </c>
    </row>
    <row r="996" spans="1:40" s="572" customFormat="1" ht="30">
      <c r="A996" s="570" t="s">
        <v>2176</v>
      </c>
      <c r="B996" s="569" t="s">
        <v>2168</v>
      </c>
      <c r="C996" s="569" t="s">
        <v>287</v>
      </c>
      <c r="D996" s="580">
        <v>26</v>
      </c>
      <c r="E996" s="569" t="s">
        <v>1516</v>
      </c>
      <c r="F996" s="569" t="s">
        <v>2163</v>
      </c>
      <c r="G996" s="569" t="s">
        <v>271</v>
      </c>
      <c r="H996" s="569">
        <v>2019</v>
      </c>
      <c r="I996" s="569" t="s">
        <v>2164</v>
      </c>
      <c r="J996" s="569" t="s">
        <v>1757</v>
      </c>
      <c r="K996" s="569" t="s">
        <v>236</v>
      </c>
      <c r="L996" s="569">
        <v>2</v>
      </c>
      <c r="M996" s="569">
        <v>0</v>
      </c>
      <c r="N996" s="569" t="s">
        <v>157</v>
      </c>
      <c r="O996" s="569">
        <v>1</v>
      </c>
      <c r="P996" s="569">
        <v>87.2</v>
      </c>
      <c r="Q996" s="568" t="s">
        <v>157</v>
      </c>
      <c r="R996" s="569" t="s">
        <v>682</v>
      </c>
      <c r="S996" s="569">
        <v>6</v>
      </c>
      <c r="T996" s="569" t="s">
        <v>2169</v>
      </c>
      <c r="U996" s="569" t="s">
        <v>2166</v>
      </c>
      <c r="V996" s="569">
        <v>138</v>
      </c>
      <c r="W996" s="569">
        <v>25</v>
      </c>
      <c r="X996" s="568">
        <v>9000</v>
      </c>
      <c r="Y996" s="569">
        <v>14</v>
      </c>
      <c r="Z996" s="581" t="s">
        <v>178</v>
      </c>
      <c r="AA996" s="581" t="s">
        <v>178</v>
      </c>
      <c r="AB996" s="585">
        <v>31375</v>
      </c>
      <c r="AC996" s="585" t="s">
        <v>164</v>
      </c>
      <c r="AD996" s="585">
        <v>23189</v>
      </c>
      <c r="AE996" s="587">
        <v>0.05</v>
      </c>
      <c r="AF996" s="661" t="str">
        <f t="shared" si="108"/>
        <v>2019-LVN-FRD-T2CC-004-26</v>
      </c>
      <c r="AG996" s="661" t="str">
        <f>IF(AND($Y996&gt;=32,(AI996="I"),(Y996&lt;&gt;"~"),(COUNTIF($AN$1:$AN996,$AN996)=1)),"TRUE","FALSE")</f>
        <v>FALSE</v>
      </c>
      <c r="AH996" s="661" t="str">
        <f>IF(AND($Y996&gt;=22, (AI996&lt;&gt;"I"),(Y996&lt;&gt;"~"),(COUNTIF($AN$1:$AN996,$AN996)=1)),"TRUE","FALSE")</f>
        <v>FALSE</v>
      </c>
      <c r="AI996" s="661" t="str">
        <f t="shared" si="110"/>
        <v>II</v>
      </c>
      <c r="AJ996" s="662" t="str">
        <f t="shared" si="104"/>
        <v>T2CC-004</v>
      </c>
      <c r="AK996" s="662" t="str">
        <f t="shared" si="105"/>
        <v>LVN</v>
      </c>
      <c r="AL996" s="662" t="str">
        <f t="shared" si="106"/>
        <v>FRD</v>
      </c>
      <c r="AM996" s="662" t="str">
        <f t="shared" si="109"/>
        <v>Transit 250 Chassis Cab-SRW-RWD-2-87.2-~-3.7L-6-R5Z-701A-138-25-Unleaded-Unleaded</v>
      </c>
      <c r="AN996" s="662" t="str">
        <f t="shared" si="107"/>
        <v>2019-LVN-FRD-T2CC-004</v>
      </c>
    </row>
    <row r="997" spans="1:40" s="572" customFormat="1" ht="30">
      <c r="A997" s="570" t="s">
        <v>2177</v>
      </c>
      <c r="B997" s="573" t="s">
        <v>2162</v>
      </c>
      <c r="C997" s="573" t="s">
        <v>280</v>
      </c>
      <c r="D997" s="578">
        <v>27</v>
      </c>
      <c r="E997" s="573" t="s">
        <v>1516</v>
      </c>
      <c r="F997" s="573" t="s">
        <v>2163</v>
      </c>
      <c r="G997" s="573" t="s">
        <v>271</v>
      </c>
      <c r="H997" s="573">
        <v>2019</v>
      </c>
      <c r="I997" s="573" t="s">
        <v>2164</v>
      </c>
      <c r="J997" s="573" t="s">
        <v>1757</v>
      </c>
      <c r="K997" s="573" t="s">
        <v>236</v>
      </c>
      <c r="L997" s="573">
        <v>2</v>
      </c>
      <c r="M997" s="573">
        <v>0</v>
      </c>
      <c r="N997" s="573" t="s">
        <v>157</v>
      </c>
      <c r="O997" s="573">
        <v>1</v>
      </c>
      <c r="P997" s="573">
        <v>86.9</v>
      </c>
      <c r="Q997" s="571" t="s">
        <v>157</v>
      </c>
      <c r="R997" s="573" t="s">
        <v>682</v>
      </c>
      <c r="S997" s="573">
        <v>6</v>
      </c>
      <c r="T997" s="573" t="s">
        <v>2165</v>
      </c>
      <c r="U997" s="573" t="s">
        <v>2166</v>
      </c>
      <c r="V997" s="573">
        <v>156</v>
      </c>
      <c r="W997" s="573">
        <v>25</v>
      </c>
      <c r="X997" s="571">
        <v>9000</v>
      </c>
      <c r="Y997" s="569">
        <v>14</v>
      </c>
      <c r="Z997" s="579" t="s">
        <v>178</v>
      </c>
      <c r="AA997" s="579" t="s">
        <v>178</v>
      </c>
      <c r="AB997" s="584">
        <v>31575</v>
      </c>
      <c r="AC997" s="584" t="s">
        <v>164</v>
      </c>
      <c r="AD997" s="584">
        <v>22703.833333333336</v>
      </c>
      <c r="AE997" s="586">
        <v>0.03</v>
      </c>
      <c r="AF997" s="661" t="str">
        <f t="shared" si="108"/>
        <v>2019-LVN-FRD-T2CC-002-27</v>
      </c>
      <c r="AG997" s="661" t="str">
        <f>IF(AND($Y997&gt;=32,(AI997="I"),(Y997&lt;&gt;"~"),(COUNTIF($AN$1:$AN997,$AN997)=1)),"TRUE","FALSE")</f>
        <v>FALSE</v>
      </c>
      <c r="AH997" s="661" t="str">
        <f>IF(AND($Y997&gt;=22, (AI997&lt;&gt;"I"),(Y997&lt;&gt;"~"),(COUNTIF($AN$1:$AN997,$AN997)=1)),"TRUE","FALSE")</f>
        <v>FALSE</v>
      </c>
      <c r="AI997" s="661" t="str">
        <f t="shared" si="110"/>
        <v>II</v>
      </c>
      <c r="AJ997" s="662" t="str">
        <f t="shared" si="104"/>
        <v>T2CC-002</v>
      </c>
      <c r="AK997" s="662" t="str">
        <f t="shared" si="105"/>
        <v>LVN</v>
      </c>
      <c r="AL997" s="662" t="str">
        <f t="shared" si="106"/>
        <v>FRD</v>
      </c>
      <c r="AM997" s="662" t="str">
        <f t="shared" si="109"/>
        <v>Transit 250 Chassis Cab-SRW-RWD-2-86.9-~-3.7L-6-R7Z-701A-156-25-Unleaded-Unleaded</v>
      </c>
      <c r="AN997" s="662" t="str">
        <f t="shared" si="107"/>
        <v>2019-LVN-FRD-T2CC-002</v>
      </c>
    </row>
    <row r="998" spans="1:40" s="572" customFormat="1" ht="30">
      <c r="A998" s="570" t="s">
        <v>2178</v>
      </c>
      <c r="B998" s="569" t="s">
        <v>2168</v>
      </c>
      <c r="C998" s="569" t="s">
        <v>280</v>
      </c>
      <c r="D998" s="580">
        <v>27</v>
      </c>
      <c r="E998" s="569" t="s">
        <v>1516</v>
      </c>
      <c r="F998" s="569" t="s">
        <v>2163</v>
      </c>
      <c r="G998" s="569" t="s">
        <v>271</v>
      </c>
      <c r="H998" s="569">
        <v>2019</v>
      </c>
      <c r="I998" s="569" t="s">
        <v>2164</v>
      </c>
      <c r="J998" s="569" t="s">
        <v>1757</v>
      </c>
      <c r="K998" s="569" t="s">
        <v>236</v>
      </c>
      <c r="L998" s="569">
        <v>2</v>
      </c>
      <c r="M998" s="569">
        <v>0</v>
      </c>
      <c r="N998" s="569" t="s">
        <v>157</v>
      </c>
      <c r="O998" s="569">
        <v>1</v>
      </c>
      <c r="P998" s="569">
        <v>87.2</v>
      </c>
      <c r="Q998" s="568" t="s">
        <v>157</v>
      </c>
      <c r="R998" s="569" t="s">
        <v>682</v>
      </c>
      <c r="S998" s="569">
        <v>6</v>
      </c>
      <c r="T998" s="569" t="s">
        <v>2169</v>
      </c>
      <c r="U998" s="569" t="s">
        <v>2166</v>
      </c>
      <c r="V998" s="569">
        <v>138</v>
      </c>
      <c r="W998" s="569">
        <v>25</v>
      </c>
      <c r="X998" s="568">
        <v>9000</v>
      </c>
      <c r="Y998" s="569">
        <v>14</v>
      </c>
      <c r="Z998" s="581" t="s">
        <v>178</v>
      </c>
      <c r="AA998" s="581" t="s">
        <v>178</v>
      </c>
      <c r="AB998" s="585">
        <v>31375</v>
      </c>
      <c r="AC998" s="585" t="s">
        <v>164</v>
      </c>
      <c r="AD998" s="585">
        <v>22521.541666666668</v>
      </c>
      <c r="AE998" s="587">
        <v>0.03</v>
      </c>
      <c r="AF998" s="661" t="str">
        <f t="shared" si="108"/>
        <v>2019-LVN-FRD-T2CC-004-27</v>
      </c>
      <c r="AG998" s="661" t="str">
        <f>IF(AND($Y998&gt;=32,(AI998="I"),(Y998&lt;&gt;"~"),(COUNTIF($AN$1:$AN998,$AN998)=1)),"TRUE","FALSE")</f>
        <v>FALSE</v>
      </c>
      <c r="AH998" s="661" t="str">
        <f>IF(AND($Y998&gt;=22, (AI998&lt;&gt;"I"),(Y998&lt;&gt;"~"),(COUNTIF($AN$1:$AN998,$AN998)=1)),"TRUE","FALSE")</f>
        <v>FALSE</v>
      </c>
      <c r="AI998" s="661" t="str">
        <f t="shared" si="110"/>
        <v>II</v>
      </c>
      <c r="AJ998" s="662" t="str">
        <f t="shared" si="104"/>
        <v>T2CC-004</v>
      </c>
      <c r="AK998" s="662" t="str">
        <f t="shared" si="105"/>
        <v>LVN</v>
      </c>
      <c r="AL998" s="662" t="str">
        <f t="shared" si="106"/>
        <v>FRD</v>
      </c>
      <c r="AM998" s="662" t="str">
        <f t="shared" si="109"/>
        <v>Transit 250 Chassis Cab-SRW-RWD-2-87.2-~-3.7L-6-R5Z-701A-138-25-Unleaded-Unleaded</v>
      </c>
      <c r="AN998" s="662" t="str">
        <f t="shared" si="107"/>
        <v>2019-LVN-FRD-T2CC-004</v>
      </c>
    </row>
    <row r="999" spans="1:40" s="572" customFormat="1" ht="15">
      <c r="A999" s="570" t="s">
        <v>2179</v>
      </c>
      <c r="B999" s="573" t="s">
        <v>2180</v>
      </c>
      <c r="C999" s="573" t="s">
        <v>269</v>
      </c>
      <c r="D999" s="578" t="s">
        <v>270</v>
      </c>
      <c r="E999" s="573" t="s">
        <v>1516</v>
      </c>
      <c r="F999" s="573" t="s">
        <v>2163</v>
      </c>
      <c r="G999" s="573" t="s">
        <v>271</v>
      </c>
      <c r="H999" s="573">
        <v>2019</v>
      </c>
      <c r="I999" s="573" t="s">
        <v>2181</v>
      </c>
      <c r="J999" s="573" t="s">
        <v>1757</v>
      </c>
      <c r="K999" s="573" t="s">
        <v>236</v>
      </c>
      <c r="L999" s="573">
        <v>2</v>
      </c>
      <c r="M999" s="573">
        <v>0</v>
      </c>
      <c r="N999" s="573" t="s">
        <v>157</v>
      </c>
      <c r="O999" s="573">
        <v>1</v>
      </c>
      <c r="P999" s="573">
        <v>87.3</v>
      </c>
      <c r="Q999" s="571" t="s">
        <v>157</v>
      </c>
      <c r="R999" s="573" t="s">
        <v>682</v>
      </c>
      <c r="S999" s="573">
        <v>6</v>
      </c>
      <c r="T999" s="573" t="s">
        <v>2182</v>
      </c>
      <c r="U999" s="573" t="s">
        <v>2183</v>
      </c>
      <c r="V999" s="573">
        <v>138</v>
      </c>
      <c r="W999" s="573">
        <v>25</v>
      </c>
      <c r="X999" s="571">
        <v>9000</v>
      </c>
      <c r="Y999" s="569">
        <v>14</v>
      </c>
      <c r="Z999" s="579" t="s">
        <v>178</v>
      </c>
      <c r="AA999" s="579" t="s">
        <v>178</v>
      </c>
      <c r="AB999" s="584">
        <v>30805</v>
      </c>
      <c r="AC999" s="584" t="s">
        <v>164</v>
      </c>
      <c r="AD999" s="584">
        <v>21999.666666666668</v>
      </c>
      <c r="AE999" s="586">
        <v>0.03</v>
      </c>
      <c r="AF999" s="661" t="str">
        <f t="shared" si="108"/>
        <v>2019-LVN-FRD-T2CW-002-05</v>
      </c>
      <c r="AG999" s="661" t="str">
        <f>IF(AND($Y999&gt;=32,(AI999="I"),(Y999&lt;&gt;"~"),(COUNTIF($AN$1:$AN999,$AN999)=1)),"TRUE","FALSE")</f>
        <v>FALSE</v>
      </c>
      <c r="AH999" s="661" t="str">
        <f>IF(AND($Y999&gt;=22, (AI999&lt;&gt;"I"),(Y999&lt;&gt;"~"),(COUNTIF($AN$1:$AN999,$AN999)=1)),"TRUE","FALSE")</f>
        <v>FALSE</v>
      </c>
      <c r="AI999" s="661" t="str">
        <f t="shared" si="110"/>
        <v>II</v>
      </c>
      <c r="AJ999" s="662" t="str">
        <f t="shared" si="104"/>
        <v>T2CW-002</v>
      </c>
      <c r="AK999" s="662" t="str">
        <f t="shared" si="105"/>
        <v>LVN</v>
      </c>
      <c r="AL999" s="662" t="str">
        <f t="shared" si="106"/>
        <v>FRD</v>
      </c>
      <c r="AM999" s="662" t="str">
        <f t="shared" si="109"/>
        <v>Transit 250 Cutaway-SRW-RWD-2-87.3-~-3.7L-6-R5P-501A-138-25-Unleaded-Unleaded</v>
      </c>
      <c r="AN999" s="662" t="str">
        <f t="shared" si="107"/>
        <v>2019-LVN-FRD-T2CW-002</v>
      </c>
    </row>
    <row r="1000" spans="1:40" s="572" customFormat="1" ht="15">
      <c r="A1000" s="570" t="s">
        <v>2184</v>
      </c>
      <c r="B1000" s="569" t="s">
        <v>2185</v>
      </c>
      <c r="C1000" s="569" t="s">
        <v>269</v>
      </c>
      <c r="D1000" s="580" t="s">
        <v>270</v>
      </c>
      <c r="E1000" s="569" t="s">
        <v>1516</v>
      </c>
      <c r="F1000" s="569" t="s">
        <v>2163</v>
      </c>
      <c r="G1000" s="569" t="s">
        <v>271</v>
      </c>
      <c r="H1000" s="569">
        <v>2019</v>
      </c>
      <c r="I1000" s="569" t="s">
        <v>2181</v>
      </c>
      <c r="J1000" s="569" t="s">
        <v>1757</v>
      </c>
      <c r="K1000" s="569" t="s">
        <v>236</v>
      </c>
      <c r="L1000" s="569">
        <v>2</v>
      </c>
      <c r="M1000" s="569">
        <v>0</v>
      </c>
      <c r="N1000" s="569" t="s">
        <v>157</v>
      </c>
      <c r="O1000" s="569">
        <v>1</v>
      </c>
      <c r="P1000" s="569">
        <v>87</v>
      </c>
      <c r="Q1000" s="568" t="s">
        <v>157</v>
      </c>
      <c r="R1000" s="569" t="s">
        <v>682</v>
      </c>
      <c r="S1000" s="569">
        <v>6</v>
      </c>
      <c r="T1000" s="569" t="s">
        <v>2186</v>
      </c>
      <c r="U1000" s="569" t="s">
        <v>2183</v>
      </c>
      <c r="V1000" s="569">
        <v>156</v>
      </c>
      <c r="W1000" s="569">
        <v>25</v>
      </c>
      <c r="X1000" s="568">
        <v>9000</v>
      </c>
      <c r="Y1000" s="569">
        <v>14</v>
      </c>
      <c r="Z1000" s="581" t="s">
        <v>178</v>
      </c>
      <c r="AA1000" s="581" t="s">
        <v>178</v>
      </c>
      <c r="AB1000" s="585">
        <v>31000</v>
      </c>
      <c r="AC1000" s="585" t="s">
        <v>164</v>
      </c>
      <c r="AD1000" s="585">
        <v>22178.833333333336</v>
      </c>
      <c r="AE1000" s="587">
        <v>0.03</v>
      </c>
      <c r="AF1000" s="661" t="str">
        <f t="shared" si="108"/>
        <v>2019-LVN-FRD-T2CW-004-05</v>
      </c>
      <c r="AG1000" s="661" t="str">
        <f>IF(AND($Y1000&gt;=32,(AI1000="I"),(Y1000&lt;&gt;"~"),(COUNTIF($AN$1:$AN1000,$AN1000)=1)),"TRUE","FALSE")</f>
        <v>FALSE</v>
      </c>
      <c r="AH1000" s="661" t="str">
        <f>IF(AND($Y1000&gt;=22, (AI1000&lt;&gt;"I"),(Y1000&lt;&gt;"~"),(COUNTIF($AN$1:$AN1000,$AN1000)=1)),"TRUE","FALSE")</f>
        <v>FALSE</v>
      </c>
      <c r="AI1000" s="661" t="str">
        <f t="shared" si="110"/>
        <v>II</v>
      </c>
      <c r="AJ1000" s="662" t="str">
        <f t="shared" si="104"/>
        <v>T2CW-004</v>
      </c>
      <c r="AK1000" s="662" t="str">
        <f t="shared" si="105"/>
        <v>LVN</v>
      </c>
      <c r="AL1000" s="662" t="str">
        <f t="shared" si="106"/>
        <v>FRD</v>
      </c>
      <c r="AM1000" s="662" t="str">
        <f t="shared" si="109"/>
        <v>Transit 250 Cutaway-SRW-RWD-2-87-~-3.7L-6-R7P-501A-156-25-Unleaded-Unleaded</v>
      </c>
      <c r="AN1000" s="662" t="str">
        <f t="shared" si="107"/>
        <v>2019-LVN-FRD-T2CW-004</v>
      </c>
    </row>
    <row r="1001" spans="1:40" s="572" customFormat="1" ht="15">
      <c r="A1001" s="570" t="s">
        <v>2187</v>
      </c>
      <c r="B1001" s="573" t="s">
        <v>2180</v>
      </c>
      <c r="C1001" s="573" t="s">
        <v>278</v>
      </c>
      <c r="D1001" s="578">
        <v>15</v>
      </c>
      <c r="E1001" s="573" t="s">
        <v>1516</v>
      </c>
      <c r="F1001" s="573" t="s">
        <v>2163</v>
      </c>
      <c r="G1001" s="573" t="s">
        <v>271</v>
      </c>
      <c r="H1001" s="573">
        <v>2019</v>
      </c>
      <c r="I1001" s="573" t="s">
        <v>2181</v>
      </c>
      <c r="J1001" s="573" t="s">
        <v>1757</v>
      </c>
      <c r="K1001" s="573" t="s">
        <v>236</v>
      </c>
      <c r="L1001" s="573">
        <v>2</v>
      </c>
      <c r="M1001" s="573">
        <v>0</v>
      </c>
      <c r="N1001" s="573" t="s">
        <v>157</v>
      </c>
      <c r="O1001" s="573">
        <v>1</v>
      </c>
      <c r="P1001" s="573">
        <v>87.3</v>
      </c>
      <c r="Q1001" s="571" t="s">
        <v>157</v>
      </c>
      <c r="R1001" s="573" t="s">
        <v>682</v>
      </c>
      <c r="S1001" s="573">
        <v>6</v>
      </c>
      <c r="T1001" s="573" t="s">
        <v>2182</v>
      </c>
      <c r="U1001" s="573" t="s">
        <v>2183</v>
      </c>
      <c r="V1001" s="573">
        <v>138</v>
      </c>
      <c r="W1001" s="573">
        <v>25</v>
      </c>
      <c r="X1001" s="571">
        <v>9000</v>
      </c>
      <c r="Y1001" s="569">
        <v>14</v>
      </c>
      <c r="Z1001" s="579" t="s">
        <v>178</v>
      </c>
      <c r="AA1001" s="579" t="s">
        <v>178</v>
      </c>
      <c r="AB1001" s="584">
        <v>30805</v>
      </c>
      <c r="AC1001" s="584" t="s">
        <v>164</v>
      </c>
      <c r="AD1001" s="584">
        <v>22400</v>
      </c>
      <c r="AE1001" s="586">
        <v>0.01</v>
      </c>
      <c r="AF1001" s="661" t="str">
        <f t="shared" si="108"/>
        <v>2019-LVN-FRD-T2CW-002-15</v>
      </c>
      <c r="AG1001" s="661" t="str">
        <f>IF(AND($Y1001&gt;=32,(AI1001="I"),(Y1001&lt;&gt;"~"),(COUNTIF($AN$1:$AN1001,$AN1001)=1)),"TRUE","FALSE")</f>
        <v>FALSE</v>
      </c>
      <c r="AH1001" s="661" t="str">
        <f>IF(AND($Y1001&gt;=22, (AI1001&lt;&gt;"I"),(Y1001&lt;&gt;"~"),(COUNTIF($AN$1:$AN1001,$AN1001)=1)),"TRUE","FALSE")</f>
        <v>FALSE</v>
      </c>
      <c r="AI1001" s="661" t="str">
        <f t="shared" si="110"/>
        <v>II</v>
      </c>
      <c r="AJ1001" s="662" t="str">
        <f t="shared" si="104"/>
        <v>T2CW-002</v>
      </c>
      <c r="AK1001" s="662" t="str">
        <f t="shared" si="105"/>
        <v>LVN</v>
      </c>
      <c r="AL1001" s="662" t="str">
        <f t="shared" si="106"/>
        <v>FRD</v>
      </c>
      <c r="AM1001" s="662" t="str">
        <f t="shared" si="109"/>
        <v>Transit 250 Cutaway-SRW-RWD-2-87.3-~-3.7L-6-R5P-501A-138-25-Unleaded-Unleaded</v>
      </c>
      <c r="AN1001" s="662" t="str">
        <f t="shared" si="107"/>
        <v>2019-LVN-FRD-T2CW-002</v>
      </c>
    </row>
    <row r="1002" spans="1:40" s="572" customFormat="1" ht="15">
      <c r="A1002" s="570" t="s">
        <v>2188</v>
      </c>
      <c r="B1002" s="569" t="s">
        <v>2185</v>
      </c>
      <c r="C1002" s="569" t="s">
        <v>278</v>
      </c>
      <c r="D1002" s="580">
        <v>15</v>
      </c>
      <c r="E1002" s="569" t="s">
        <v>1516</v>
      </c>
      <c r="F1002" s="569" t="s">
        <v>2163</v>
      </c>
      <c r="G1002" s="569" t="s">
        <v>271</v>
      </c>
      <c r="H1002" s="569">
        <v>2019</v>
      </c>
      <c r="I1002" s="569" t="s">
        <v>2181</v>
      </c>
      <c r="J1002" s="569" t="s">
        <v>1757</v>
      </c>
      <c r="K1002" s="569" t="s">
        <v>236</v>
      </c>
      <c r="L1002" s="569">
        <v>2</v>
      </c>
      <c r="M1002" s="569">
        <v>0</v>
      </c>
      <c r="N1002" s="569" t="s">
        <v>157</v>
      </c>
      <c r="O1002" s="569">
        <v>1</v>
      </c>
      <c r="P1002" s="569">
        <v>87</v>
      </c>
      <c r="Q1002" s="568" t="s">
        <v>157</v>
      </c>
      <c r="R1002" s="569" t="s">
        <v>682</v>
      </c>
      <c r="S1002" s="569">
        <v>6</v>
      </c>
      <c r="T1002" s="569" t="s">
        <v>2186</v>
      </c>
      <c r="U1002" s="569" t="s">
        <v>2183</v>
      </c>
      <c r="V1002" s="569">
        <v>156</v>
      </c>
      <c r="W1002" s="569">
        <v>25</v>
      </c>
      <c r="X1002" s="568">
        <v>9000</v>
      </c>
      <c r="Y1002" s="569">
        <v>14</v>
      </c>
      <c r="Z1002" s="581" t="s">
        <v>178</v>
      </c>
      <c r="AA1002" s="581" t="s">
        <v>178</v>
      </c>
      <c r="AB1002" s="585">
        <v>31000</v>
      </c>
      <c r="AC1002" s="585" t="s">
        <v>164</v>
      </c>
      <c r="AD1002" s="585">
        <v>22600</v>
      </c>
      <c r="AE1002" s="587">
        <v>0.01</v>
      </c>
      <c r="AF1002" s="661" t="str">
        <f t="shared" si="108"/>
        <v>2019-LVN-FRD-T2CW-004-15</v>
      </c>
      <c r="AG1002" s="661" t="str">
        <f>IF(AND($Y1002&gt;=32,(AI1002="I"),(Y1002&lt;&gt;"~"),(COUNTIF($AN$1:$AN1002,$AN1002)=1)),"TRUE","FALSE")</f>
        <v>FALSE</v>
      </c>
      <c r="AH1002" s="661" t="str">
        <f>IF(AND($Y1002&gt;=22, (AI1002&lt;&gt;"I"),(Y1002&lt;&gt;"~"),(COUNTIF($AN$1:$AN1002,$AN1002)=1)),"TRUE","FALSE")</f>
        <v>FALSE</v>
      </c>
      <c r="AI1002" s="661" t="str">
        <f t="shared" si="110"/>
        <v>II</v>
      </c>
      <c r="AJ1002" s="662" t="str">
        <f t="shared" si="104"/>
        <v>T2CW-004</v>
      </c>
      <c r="AK1002" s="662" t="str">
        <f t="shared" si="105"/>
        <v>LVN</v>
      </c>
      <c r="AL1002" s="662" t="str">
        <f t="shared" si="106"/>
        <v>FRD</v>
      </c>
      <c r="AM1002" s="662" t="str">
        <f t="shared" si="109"/>
        <v>Transit 250 Cutaway-SRW-RWD-2-87-~-3.7L-6-R7P-501A-156-25-Unleaded-Unleaded</v>
      </c>
      <c r="AN1002" s="662" t="str">
        <f t="shared" si="107"/>
        <v>2019-LVN-FRD-T2CW-004</v>
      </c>
    </row>
    <row r="1003" spans="1:40" s="572" customFormat="1" ht="15">
      <c r="A1003" s="570" t="s">
        <v>2189</v>
      </c>
      <c r="B1003" s="573" t="s">
        <v>2190</v>
      </c>
      <c r="C1003" s="573" t="s">
        <v>287</v>
      </c>
      <c r="D1003" s="578">
        <v>26</v>
      </c>
      <c r="E1003" s="573" t="s">
        <v>1516</v>
      </c>
      <c r="F1003" s="573" t="s">
        <v>2163</v>
      </c>
      <c r="G1003" s="573" t="s">
        <v>271</v>
      </c>
      <c r="H1003" s="573">
        <v>2019</v>
      </c>
      <c r="I1003" s="573" t="s">
        <v>2181</v>
      </c>
      <c r="J1003" s="573" t="s">
        <v>1757</v>
      </c>
      <c r="K1003" s="573" t="s">
        <v>236</v>
      </c>
      <c r="L1003" s="573">
        <v>2</v>
      </c>
      <c r="M1003" s="573">
        <v>0</v>
      </c>
      <c r="N1003" s="573" t="s">
        <v>157</v>
      </c>
      <c r="O1003" s="573">
        <v>1</v>
      </c>
      <c r="P1003" s="573">
        <v>87.3</v>
      </c>
      <c r="Q1003" s="571" t="s">
        <v>157</v>
      </c>
      <c r="R1003" s="573" t="s">
        <v>1917</v>
      </c>
      <c r="S1003" s="573">
        <v>5</v>
      </c>
      <c r="T1003" s="573" t="s">
        <v>2182</v>
      </c>
      <c r="U1003" s="573" t="s">
        <v>2183</v>
      </c>
      <c r="V1003" s="573">
        <v>138</v>
      </c>
      <c r="W1003" s="573">
        <v>25</v>
      </c>
      <c r="X1003" s="571">
        <v>9000</v>
      </c>
      <c r="Y1003" s="569">
        <v>14</v>
      </c>
      <c r="Z1003" s="579" t="s">
        <v>728</v>
      </c>
      <c r="AA1003" s="579" t="s">
        <v>1523</v>
      </c>
      <c r="AB1003" s="584">
        <v>34800</v>
      </c>
      <c r="AC1003" s="584" t="s">
        <v>164</v>
      </c>
      <c r="AD1003" s="584">
        <v>26293</v>
      </c>
      <c r="AE1003" s="586">
        <v>0.05</v>
      </c>
      <c r="AF1003" s="661" t="str">
        <f t="shared" si="108"/>
        <v>2019-LVN-FRD-T2CW-001-26</v>
      </c>
      <c r="AG1003" s="661" t="str">
        <f>IF(AND($Y1003&gt;=32,(AI1003="I"),(Y1003&lt;&gt;"~"),(COUNTIF($AN$1:$AN1003,$AN1003)=1)),"TRUE","FALSE")</f>
        <v>FALSE</v>
      </c>
      <c r="AH1003" s="661" t="str">
        <f>IF(AND($Y1003&gt;=22, (AI1003&lt;&gt;"I"),(Y1003&lt;&gt;"~"),(COUNTIF($AN$1:$AN1003,$AN1003)=1)),"TRUE","FALSE")</f>
        <v>FALSE</v>
      </c>
      <c r="AI1003" s="661" t="str">
        <f t="shared" si="110"/>
        <v>II</v>
      </c>
      <c r="AJ1003" s="662" t="str">
        <f t="shared" si="104"/>
        <v>T2CW-001</v>
      </c>
      <c r="AK1003" s="662" t="str">
        <f t="shared" si="105"/>
        <v>LVN</v>
      </c>
      <c r="AL1003" s="662" t="str">
        <f t="shared" si="106"/>
        <v>FRD</v>
      </c>
      <c r="AM1003" s="662" t="str">
        <f t="shared" si="109"/>
        <v>Transit 250 Cutaway-SRW-RWD-2-87.3-~-3.2L-5-R5P-501A-138-25-Diesel-BioDiesel</v>
      </c>
      <c r="AN1003" s="662" t="str">
        <f t="shared" si="107"/>
        <v>2019-LVN-FRD-T2CW-001</v>
      </c>
    </row>
    <row r="1004" spans="1:40" s="572" customFormat="1" ht="15">
      <c r="A1004" s="570" t="s">
        <v>2191</v>
      </c>
      <c r="B1004" s="569" t="s">
        <v>2180</v>
      </c>
      <c r="C1004" s="569" t="s">
        <v>287</v>
      </c>
      <c r="D1004" s="580">
        <v>26</v>
      </c>
      <c r="E1004" s="569" t="s">
        <v>1516</v>
      </c>
      <c r="F1004" s="569" t="s">
        <v>2163</v>
      </c>
      <c r="G1004" s="569" t="s">
        <v>271</v>
      </c>
      <c r="H1004" s="569">
        <v>2019</v>
      </c>
      <c r="I1004" s="569" t="s">
        <v>2181</v>
      </c>
      <c r="J1004" s="569" t="s">
        <v>1757</v>
      </c>
      <c r="K1004" s="569" t="s">
        <v>236</v>
      </c>
      <c r="L1004" s="569">
        <v>2</v>
      </c>
      <c r="M1004" s="569">
        <v>0</v>
      </c>
      <c r="N1004" s="569" t="s">
        <v>157</v>
      </c>
      <c r="O1004" s="569">
        <v>1</v>
      </c>
      <c r="P1004" s="569">
        <v>87.3</v>
      </c>
      <c r="Q1004" s="568" t="s">
        <v>157</v>
      </c>
      <c r="R1004" s="569" t="s">
        <v>682</v>
      </c>
      <c r="S1004" s="569">
        <v>6</v>
      </c>
      <c r="T1004" s="569" t="s">
        <v>2182</v>
      </c>
      <c r="U1004" s="569" t="s">
        <v>2183</v>
      </c>
      <c r="V1004" s="569">
        <v>138</v>
      </c>
      <c r="W1004" s="569">
        <v>25</v>
      </c>
      <c r="X1004" s="568">
        <v>9000</v>
      </c>
      <c r="Y1004" s="569">
        <v>14</v>
      </c>
      <c r="Z1004" s="581" t="s">
        <v>178</v>
      </c>
      <c r="AA1004" s="581" t="s">
        <v>178</v>
      </c>
      <c r="AB1004" s="585">
        <v>30805</v>
      </c>
      <c r="AC1004" s="585" t="s">
        <v>164</v>
      </c>
      <c r="AD1004" s="585">
        <v>22654</v>
      </c>
      <c r="AE1004" s="587">
        <v>0.05</v>
      </c>
      <c r="AF1004" s="661" t="str">
        <f t="shared" si="108"/>
        <v>2019-LVN-FRD-T2CW-002-26</v>
      </c>
      <c r="AG1004" s="661" t="str">
        <f>IF(AND($Y1004&gt;=32,(AI1004="I"),(Y1004&lt;&gt;"~"),(COUNTIF($AN$1:$AN1004,$AN1004)=1)),"TRUE","FALSE")</f>
        <v>FALSE</v>
      </c>
      <c r="AH1004" s="661" t="str">
        <f>IF(AND($Y1004&gt;=22, (AI1004&lt;&gt;"I"),(Y1004&lt;&gt;"~"),(COUNTIF($AN$1:$AN1004,$AN1004)=1)),"TRUE","FALSE")</f>
        <v>FALSE</v>
      </c>
      <c r="AI1004" s="661" t="str">
        <f t="shared" si="110"/>
        <v>II</v>
      </c>
      <c r="AJ1004" s="662" t="str">
        <f t="shared" si="104"/>
        <v>T2CW-002</v>
      </c>
      <c r="AK1004" s="662" t="str">
        <f t="shared" si="105"/>
        <v>LVN</v>
      </c>
      <c r="AL1004" s="662" t="str">
        <f t="shared" si="106"/>
        <v>FRD</v>
      </c>
      <c r="AM1004" s="662" t="str">
        <f t="shared" si="109"/>
        <v>Transit 250 Cutaway-SRW-RWD-2-87.3-~-3.7L-6-R5P-501A-138-25-Unleaded-Unleaded</v>
      </c>
      <c r="AN1004" s="662" t="str">
        <f t="shared" si="107"/>
        <v>2019-LVN-FRD-T2CW-002</v>
      </c>
    </row>
    <row r="1005" spans="1:40" s="572" customFormat="1" ht="15">
      <c r="A1005" s="570" t="s">
        <v>2192</v>
      </c>
      <c r="B1005" s="573" t="s">
        <v>2193</v>
      </c>
      <c r="C1005" s="573" t="s">
        <v>287</v>
      </c>
      <c r="D1005" s="578">
        <v>26</v>
      </c>
      <c r="E1005" s="573" t="s">
        <v>1516</v>
      </c>
      <c r="F1005" s="573" t="s">
        <v>2163</v>
      </c>
      <c r="G1005" s="573" t="s">
        <v>271</v>
      </c>
      <c r="H1005" s="573">
        <v>2019</v>
      </c>
      <c r="I1005" s="573" t="s">
        <v>2181</v>
      </c>
      <c r="J1005" s="573" t="s">
        <v>1757</v>
      </c>
      <c r="K1005" s="573" t="s">
        <v>236</v>
      </c>
      <c r="L1005" s="573">
        <v>2</v>
      </c>
      <c r="M1005" s="573">
        <v>0</v>
      </c>
      <c r="N1005" s="573" t="s">
        <v>157</v>
      </c>
      <c r="O1005" s="573">
        <v>1</v>
      </c>
      <c r="P1005" s="573">
        <v>87</v>
      </c>
      <c r="Q1005" s="571" t="s">
        <v>157</v>
      </c>
      <c r="R1005" s="573" t="s">
        <v>1917</v>
      </c>
      <c r="S1005" s="573">
        <v>5</v>
      </c>
      <c r="T1005" s="573" t="s">
        <v>2186</v>
      </c>
      <c r="U1005" s="573" t="s">
        <v>2183</v>
      </c>
      <c r="V1005" s="573">
        <v>156</v>
      </c>
      <c r="W1005" s="573">
        <v>25</v>
      </c>
      <c r="X1005" s="571">
        <v>9000</v>
      </c>
      <c r="Y1005" s="569">
        <v>14</v>
      </c>
      <c r="Z1005" s="579" t="s">
        <v>728</v>
      </c>
      <c r="AA1005" s="579" t="s">
        <v>1523</v>
      </c>
      <c r="AB1005" s="584">
        <v>34995</v>
      </c>
      <c r="AC1005" s="584" t="s">
        <v>164</v>
      </c>
      <c r="AD1005" s="584">
        <v>26477</v>
      </c>
      <c r="AE1005" s="586">
        <v>0.05</v>
      </c>
      <c r="AF1005" s="661" t="str">
        <f t="shared" si="108"/>
        <v>2019-LVN-FRD-T2CW-003-26</v>
      </c>
      <c r="AG1005" s="661" t="str">
        <f>IF(AND($Y1005&gt;=32,(AI1005="I"),(Y1005&lt;&gt;"~"),(COUNTIF($AN$1:$AN1005,$AN1005)=1)),"TRUE","FALSE")</f>
        <v>FALSE</v>
      </c>
      <c r="AH1005" s="661" t="str">
        <f>IF(AND($Y1005&gt;=22, (AI1005&lt;&gt;"I"),(Y1005&lt;&gt;"~"),(COUNTIF($AN$1:$AN1005,$AN1005)=1)),"TRUE","FALSE")</f>
        <v>FALSE</v>
      </c>
      <c r="AI1005" s="661" t="str">
        <f t="shared" si="110"/>
        <v>II</v>
      </c>
      <c r="AJ1005" s="662" t="str">
        <f t="shared" si="104"/>
        <v>T2CW-003</v>
      </c>
      <c r="AK1005" s="662" t="str">
        <f t="shared" si="105"/>
        <v>LVN</v>
      </c>
      <c r="AL1005" s="662" t="str">
        <f t="shared" si="106"/>
        <v>FRD</v>
      </c>
      <c r="AM1005" s="662" t="str">
        <f t="shared" si="109"/>
        <v>Transit 250 Cutaway-SRW-RWD-2-87-~-3.2L-5-R7P-501A-156-25-Diesel-BioDiesel</v>
      </c>
      <c r="AN1005" s="662" t="str">
        <f t="shared" si="107"/>
        <v>2019-LVN-FRD-T2CW-003</v>
      </c>
    </row>
    <row r="1006" spans="1:40" s="572" customFormat="1" ht="15">
      <c r="A1006" s="570" t="s">
        <v>2194</v>
      </c>
      <c r="B1006" s="569" t="s">
        <v>2185</v>
      </c>
      <c r="C1006" s="569" t="s">
        <v>287</v>
      </c>
      <c r="D1006" s="580">
        <v>26</v>
      </c>
      <c r="E1006" s="569" t="s">
        <v>1516</v>
      </c>
      <c r="F1006" s="569" t="s">
        <v>2163</v>
      </c>
      <c r="G1006" s="569" t="s">
        <v>271</v>
      </c>
      <c r="H1006" s="569">
        <v>2019</v>
      </c>
      <c r="I1006" s="569" t="s">
        <v>2181</v>
      </c>
      <c r="J1006" s="569" t="s">
        <v>1757</v>
      </c>
      <c r="K1006" s="569" t="s">
        <v>236</v>
      </c>
      <c r="L1006" s="569">
        <v>2</v>
      </c>
      <c r="M1006" s="569">
        <v>0</v>
      </c>
      <c r="N1006" s="569" t="s">
        <v>157</v>
      </c>
      <c r="O1006" s="569">
        <v>1</v>
      </c>
      <c r="P1006" s="569">
        <v>87</v>
      </c>
      <c r="Q1006" s="568" t="s">
        <v>157</v>
      </c>
      <c r="R1006" s="569" t="s">
        <v>682</v>
      </c>
      <c r="S1006" s="569">
        <v>6</v>
      </c>
      <c r="T1006" s="569" t="s">
        <v>2186</v>
      </c>
      <c r="U1006" s="569" t="s">
        <v>2183</v>
      </c>
      <c r="V1006" s="569">
        <v>156</v>
      </c>
      <c r="W1006" s="569">
        <v>25</v>
      </c>
      <c r="X1006" s="568">
        <v>9000</v>
      </c>
      <c r="Y1006" s="569">
        <v>14</v>
      </c>
      <c r="Z1006" s="581" t="s">
        <v>178</v>
      </c>
      <c r="AA1006" s="581" t="s">
        <v>178</v>
      </c>
      <c r="AB1006" s="585">
        <v>31000</v>
      </c>
      <c r="AC1006" s="585" t="s">
        <v>164</v>
      </c>
      <c r="AD1006" s="585">
        <v>22838</v>
      </c>
      <c r="AE1006" s="587">
        <v>0.05</v>
      </c>
      <c r="AF1006" s="661" t="str">
        <f t="shared" si="108"/>
        <v>2019-LVN-FRD-T2CW-004-26</v>
      </c>
      <c r="AG1006" s="661" t="str">
        <f>IF(AND($Y1006&gt;=32,(AI1006="I"),(Y1006&lt;&gt;"~"),(COUNTIF($AN$1:$AN1006,$AN1006)=1)),"TRUE","FALSE")</f>
        <v>FALSE</v>
      </c>
      <c r="AH1006" s="661" t="str">
        <f>IF(AND($Y1006&gt;=22, (AI1006&lt;&gt;"I"),(Y1006&lt;&gt;"~"),(COUNTIF($AN$1:$AN1006,$AN1006)=1)),"TRUE","FALSE")</f>
        <v>FALSE</v>
      </c>
      <c r="AI1006" s="661" t="str">
        <f t="shared" si="110"/>
        <v>II</v>
      </c>
      <c r="AJ1006" s="662" t="str">
        <f t="shared" si="104"/>
        <v>T2CW-004</v>
      </c>
      <c r="AK1006" s="662" t="str">
        <f t="shared" si="105"/>
        <v>LVN</v>
      </c>
      <c r="AL1006" s="662" t="str">
        <f t="shared" si="106"/>
        <v>FRD</v>
      </c>
      <c r="AM1006" s="662" t="str">
        <f t="shared" si="109"/>
        <v>Transit 250 Cutaway-SRW-RWD-2-87-~-3.7L-6-R7P-501A-156-25-Unleaded-Unleaded</v>
      </c>
      <c r="AN1006" s="662" t="str">
        <f t="shared" si="107"/>
        <v>2019-LVN-FRD-T2CW-004</v>
      </c>
    </row>
    <row r="1007" spans="1:40" s="572" customFormat="1" ht="15">
      <c r="A1007" s="570" t="s">
        <v>2195</v>
      </c>
      <c r="B1007" s="573" t="s">
        <v>2180</v>
      </c>
      <c r="C1007" s="573" t="s">
        <v>280</v>
      </c>
      <c r="D1007" s="578">
        <v>27</v>
      </c>
      <c r="E1007" s="573" t="s">
        <v>1516</v>
      </c>
      <c r="F1007" s="573" t="s">
        <v>2163</v>
      </c>
      <c r="G1007" s="573" t="s">
        <v>271</v>
      </c>
      <c r="H1007" s="573">
        <v>2019</v>
      </c>
      <c r="I1007" s="573" t="s">
        <v>2181</v>
      </c>
      <c r="J1007" s="573" t="s">
        <v>1757</v>
      </c>
      <c r="K1007" s="573" t="s">
        <v>236</v>
      </c>
      <c r="L1007" s="573">
        <v>2</v>
      </c>
      <c r="M1007" s="573">
        <v>0</v>
      </c>
      <c r="N1007" s="573" t="s">
        <v>157</v>
      </c>
      <c r="O1007" s="573">
        <v>1</v>
      </c>
      <c r="P1007" s="573">
        <v>87.3</v>
      </c>
      <c r="Q1007" s="571" t="s">
        <v>157</v>
      </c>
      <c r="R1007" s="573" t="s">
        <v>682</v>
      </c>
      <c r="S1007" s="573">
        <v>6</v>
      </c>
      <c r="T1007" s="573" t="s">
        <v>2182</v>
      </c>
      <c r="U1007" s="573" t="s">
        <v>2183</v>
      </c>
      <c r="V1007" s="573">
        <v>138</v>
      </c>
      <c r="W1007" s="573">
        <v>25</v>
      </c>
      <c r="X1007" s="571">
        <v>9000</v>
      </c>
      <c r="Y1007" s="569">
        <v>14</v>
      </c>
      <c r="Z1007" s="579" t="s">
        <v>178</v>
      </c>
      <c r="AA1007" s="579" t="s">
        <v>178</v>
      </c>
      <c r="AB1007" s="584">
        <v>30805</v>
      </c>
      <c r="AC1007" s="584" t="s">
        <v>164</v>
      </c>
      <c r="AD1007" s="584">
        <v>21999.666666666668</v>
      </c>
      <c r="AE1007" s="586">
        <v>0.03</v>
      </c>
      <c r="AF1007" s="661" t="str">
        <f t="shared" si="108"/>
        <v>2019-LVN-FRD-T2CW-002-27</v>
      </c>
      <c r="AG1007" s="661" t="str">
        <f>IF(AND($Y1007&gt;=32,(AI1007="I"),(Y1007&lt;&gt;"~"),(COUNTIF($AN$1:$AN1007,$AN1007)=1)),"TRUE","FALSE")</f>
        <v>FALSE</v>
      </c>
      <c r="AH1007" s="661" t="str">
        <f>IF(AND($Y1007&gt;=22, (AI1007&lt;&gt;"I"),(Y1007&lt;&gt;"~"),(COUNTIF($AN$1:$AN1007,$AN1007)=1)),"TRUE","FALSE")</f>
        <v>FALSE</v>
      </c>
      <c r="AI1007" s="661" t="str">
        <f t="shared" si="110"/>
        <v>II</v>
      </c>
      <c r="AJ1007" s="662" t="str">
        <f t="shared" si="104"/>
        <v>T2CW-002</v>
      </c>
      <c r="AK1007" s="662" t="str">
        <f t="shared" si="105"/>
        <v>LVN</v>
      </c>
      <c r="AL1007" s="662" t="str">
        <f t="shared" si="106"/>
        <v>FRD</v>
      </c>
      <c r="AM1007" s="662" t="str">
        <f t="shared" si="109"/>
        <v>Transit 250 Cutaway-SRW-RWD-2-87.3-~-3.7L-6-R5P-501A-138-25-Unleaded-Unleaded</v>
      </c>
      <c r="AN1007" s="662" t="str">
        <f t="shared" si="107"/>
        <v>2019-LVN-FRD-T2CW-002</v>
      </c>
    </row>
    <row r="1008" spans="1:40" s="572" customFormat="1" ht="15">
      <c r="A1008" s="570" t="s">
        <v>2196</v>
      </c>
      <c r="B1008" s="569" t="s">
        <v>2185</v>
      </c>
      <c r="C1008" s="569" t="s">
        <v>280</v>
      </c>
      <c r="D1008" s="580">
        <v>27</v>
      </c>
      <c r="E1008" s="569" t="s">
        <v>1516</v>
      </c>
      <c r="F1008" s="569" t="s">
        <v>2163</v>
      </c>
      <c r="G1008" s="569" t="s">
        <v>271</v>
      </c>
      <c r="H1008" s="569">
        <v>2019</v>
      </c>
      <c r="I1008" s="569" t="s">
        <v>2181</v>
      </c>
      <c r="J1008" s="569" t="s">
        <v>1757</v>
      </c>
      <c r="K1008" s="569" t="s">
        <v>236</v>
      </c>
      <c r="L1008" s="569">
        <v>2</v>
      </c>
      <c r="M1008" s="569">
        <v>0</v>
      </c>
      <c r="N1008" s="569" t="s">
        <v>157</v>
      </c>
      <c r="O1008" s="569">
        <v>1</v>
      </c>
      <c r="P1008" s="569">
        <v>87</v>
      </c>
      <c r="Q1008" s="568" t="s">
        <v>157</v>
      </c>
      <c r="R1008" s="569" t="s">
        <v>682</v>
      </c>
      <c r="S1008" s="569">
        <v>6</v>
      </c>
      <c r="T1008" s="569" t="s">
        <v>2186</v>
      </c>
      <c r="U1008" s="569" t="s">
        <v>2183</v>
      </c>
      <c r="V1008" s="569">
        <v>156</v>
      </c>
      <c r="W1008" s="569">
        <v>25</v>
      </c>
      <c r="X1008" s="568">
        <v>9000</v>
      </c>
      <c r="Y1008" s="569">
        <v>14</v>
      </c>
      <c r="Z1008" s="581" t="s">
        <v>178</v>
      </c>
      <c r="AA1008" s="581" t="s">
        <v>178</v>
      </c>
      <c r="AB1008" s="585">
        <v>31000</v>
      </c>
      <c r="AC1008" s="585" t="s">
        <v>164</v>
      </c>
      <c r="AD1008" s="585">
        <v>22178.833333333336</v>
      </c>
      <c r="AE1008" s="587">
        <v>0.03</v>
      </c>
      <c r="AF1008" s="661" t="str">
        <f t="shared" si="108"/>
        <v>2019-LVN-FRD-T2CW-004-27</v>
      </c>
      <c r="AG1008" s="661" t="str">
        <f>IF(AND($Y1008&gt;=32,(AI1008="I"),(Y1008&lt;&gt;"~"),(COUNTIF($AN$1:$AN1008,$AN1008)=1)),"TRUE","FALSE")</f>
        <v>FALSE</v>
      </c>
      <c r="AH1008" s="661" t="str">
        <f>IF(AND($Y1008&gt;=22, (AI1008&lt;&gt;"I"),(Y1008&lt;&gt;"~"),(COUNTIF($AN$1:$AN1008,$AN1008)=1)),"TRUE","FALSE")</f>
        <v>FALSE</v>
      </c>
      <c r="AI1008" s="661" t="str">
        <f t="shared" si="110"/>
        <v>II</v>
      </c>
      <c r="AJ1008" s="662" t="str">
        <f t="shared" si="104"/>
        <v>T2CW-004</v>
      </c>
      <c r="AK1008" s="662" t="str">
        <f t="shared" si="105"/>
        <v>LVN</v>
      </c>
      <c r="AL1008" s="662" t="str">
        <f t="shared" si="106"/>
        <v>FRD</v>
      </c>
      <c r="AM1008" s="662" t="str">
        <f t="shared" si="109"/>
        <v>Transit 250 Cutaway-SRW-RWD-2-87-~-3.7L-6-R7P-501A-156-25-Unleaded-Unleaded</v>
      </c>
      <c r="AN1008" s="662" t="str">
        <f t="shared" si="107"/>
        <v>2019-LVN-FRD-T2CW-004</v>
      </c>
    </row>
    <row r="1009" spans="1:40" s="572" customFormat="1" ht="15">
      <c r="A1009" s="570" t="s">
        <v>2197</v>
      </c>
      <c r="B1009" s="573" t="s">
        <v>2198</v>
      </c>
      <c r="C1009" s="573" t="s">
        <v>269</v>
      </c>
      <c r="D1009" s="578" t="s">
        <v>270</v>
      </c>
      <c r="E1009" s="573" t="s">
        <v>1516</v>
      </c>
      <c r="F1009" s="573" t="s">
        <v>1517</v>
      </c>
      <c r="G1009" s="573" t="s">
        <v>271</v>
      </c>
      <c r="H1009" s="573">
        <v>2019</v>
      </c>
      <c r="I1009" s="573" t="s">
        <v>2199</v>
      </c>
      <c r="J1009" s="573" t="s">
        <v>1916</v>
      </c>
      <c r="K1009" s="573" t="s">
        <v>236</v>
      </c>
      <c r="L1009" s="573">
        <v>2</v>
      </c>
      <c r="M1009" s="573">
        <v>0</v>
      </c>
      <c r="N1009" s="573" t="s">
        <v>157</v>
      </c>
      <c r="O1009" s="573">
        <v>1</v>
      </c>
      <c r="P1009" s="573">
        <v>100.7</v>
      </c>
      <c r="Q1009" s="571" t="s">
        <v>157</v>
      </c>
      <c r="R1009" s="573" t="s">
        <v>682</v>
      </c>
      <c r="S1009" s="573">
        <v>6</v>
      </c>
      <c r="T1009" s="573" t="s">
        <v>2200</v>
      </c>
      <c r="U1009" s="573" t="s">
        <v>1894</v>
      </c>
      <c r="V1009" s="573">
        <v>147.6</v>
      </c>
      <c r="W1009" s="573">
        <v>25</v>
      </c>
      <c r="X1009" s="571">
        <v>9000</v>
      </c>
      <c r="Y1009" s="569">
        <v>14</v>
      </c>
      <c r="Z1009" s="579" t="s">
        <v>178</v>
      </c>
      <c r="AA1009" s="579" t="s">
        <v>178</v>
      </c>
      <c r="AB1009" s="584">
        <v>38310</v>
      </c>
      <c r="AC1009" s="584" t="s">
        <v>164</v>
      </c>
      <c r="AD1009" s="584">
        <v>28860.083333333336</v>
      </c>
      <c r="AE1009" s="586">
        <v>0.03</v>
      </c>
      <c r="AF1009" s="661" t="str">
        <f t="shared" si="108"/>
        <v>2019-LVN-FRD-T25V-040-05</v>
      </c>
      <c r="AG1009" s="661" t="str">
        <f>IF(AND($Y1009&gt;=32,(AI1009="I"),(Y1009&lt;&gt;"~"),(COUNTIF($AN$1:$AN1009,$AN1009)=1)),"TRUE","FALSE")</f>
        <v>FALSE</v>
      </c>
      <c r="AH1009" s="661" t="str">
        <f>IF(AND($Y1009&gt;=22, (AI1009&lt;&gt;"I"),(Y1009&lt;&gt;"~"),(COUNTIF($AN$1:$AN1009,$AN1009)=1)),"TRUE","FALSE")</f>
        <v>FALSE</v>
      </c>
      <c r="AI1009" s="661" t="str">
        <f t="shared" si="110"/>
        <v>II</v>
      </c>
      <c r="AJ1009" s="662" t="str">
        <f t="shared" si="104"/>
        <v>T25V-040</v>
      </c>
      <c r="AK1009" s="662" t="str">
        <f t="shared" si="105"/>
        <v>LVN</v>
      </c>
      <c r="AL1009" s="662" t="str">
        <f t="shared" si="106"/>
        <v>FRD</v>
      </c>
      <c r="AM1009" s="662" t="str">
        <f t="shared" si="109"/>
        <v>Transit 250 Van-Dual Door-RWD-2-100.7-~-3.7L-6-R2D-101A-147.6-25-Unleaded-Unleaded</v>
      </c>
      <c r="AN1009" s="662" t="str">
        <f t="shared" si="107"/>
        <v>2019-LVN-FRD-T25V-040</v>
      </c>
    </row>
    <row r="1010" spans="1:40" s="572" customFormat="1" ht="15">
      <c r="A1010" s="570" t="s">
        <v>2201</v>
      </c>
      <c r="B1010" s="569" t="s">
        <v>2202</v>
      </c>
      <c r="C1010" s="569" t="s">
        <v>269</v>
      </c>
      <c r="D1010" s="580" t="s">
        <v>270</v>
      </c>
      <c r="E1010" s="569" t="s">
        <v>1516</v>
      </c>
      <c r="F1010" s="569" t="s">
        <v>1517</v>
      </c>
      <c r="G1010" s="569" t="s">
        <v>271</v>
      </c>
      <c r="H1010" s="569">
        <v>2019</v>
      </c>
      <c r="I1010" s="569" t="s">
        <v>2199</v>
      </c>
      <c r="J1010" s="569" t="s">
        <v>1916</v>
      </c>
      <c r="K1010" s="569" t="s">
        <v>236</v>
      </c>
      <c r="L1010" s="569">
        <v>2</v>
      </c>
      <c r="M1010" s="569">
        <v>0</v>
      </c>
      <c r="N1010" s="569" t="s">
        <v>157</v>
      </c>
      <c r="O1010" s="569">
        <v>1</v>
      </c>
      <c r="P1010" s="569">
        <v>100.8</v>
      </c>
      <c r="Q1010" s="568" t="s">
        <v>157</v>
      </c>
      <c r="R1010" s="569" t="s">
        <v>1917</v>
      </c>
      <c r="S1010" s="569">
        <v>5</v>
      </c>
      <c r="T1010" s="569" t="s">
        <v>2203</v>
      </c>
      <c r="U1010" s="569" t="s">
        <v>1894</v>
      </c>
      <c r="V1010" s="569">
        <v>129.9</v>
      </c>
      <c r="W1010" s="569">
        <v>25</v>
      </c>
      <c r="X1010" s="568">
        <v>9000</v>
      </c>
      <c r="Y1010" s="569">
        <v>14</v>
      </c>
      <c r="Z1010" s="581" t="s">
        <v>728</v>
      </c>
      <c r="AA1010" s="581" t="s">
        <v>1523</v>
      </c>
      <c r="AB1010" s="585">
        <v>40580</v>
      </c>
      <c r="AC1010" s="585" t="s">
        <v>164</v>
      </c>
      <c r="AD1010" s="585">
        <v>30832.541666666664</v>
      </c>
      <c r="AE1010" s="587">
        <v>0.03</v>
      </c>
      <c r="AF1010" s="661" t="str">
        <f t="shared" si="108"/>
        <v>2019-LVN-FRD-T25V-001-05</v>
      </c>
      <c r="AG1010" s="661" t="str">
        <f>IF(AND($Y1010&gt;=32,(AI1010="I"),(Y1010&lt;&gt;"~"),(COUNTIF($AN$1:$AN1010,$AN1010)=1)),"TRUE","FALSE")</f>
        <v>FALSE</v>
      </c>
      <c r="AH1010" s="661" t="str">
        <f>IF(AND($Y1010&gt;=22, (AI1010&lt;&gt;"I"),(Y1010&lt;&gt;"~"),(COUNTIF($AN$1:$AN1010,$AN1010)=1)),"TRUE","FALSE")</f>
        <v>FALSE</v>
      </c>
      <c r="AI1010" s="661" t="str">
        <f t="shared" si="110"/>
        <v>II</v>
      </c>
      <c r="AJ1010" s="662" t="str">
        <f t="shared" si="104"/>
        <v>T25V-001</v>
      </c>
      <c r="AK1010" s="662" t="str">
        <f t="shared" si="105"/>
        <v>LVN</v>
      </c>
      <c r="AL1010" s="662" t="str">
        <f t="shared" si="106"/>
        <v>FRD</v>
      </c>
      <c r="AM1010" s="662" t="str">
        <f t="shared" si="109"/>
        <v>Transit 250 Van-Dual Door-RWD-2-100.8-~-3.2L-5-R1D-101A-129.9-25-Diesel-BioDiesel</v>
      </c>
      <c r="AN1010" s="662" t="str">
        <f t="shared" si="107"/>
        <v>2019-LVN-FRD-T25V-001</v>
      </c>
    </row>
    <row r="1011" spans="1:40" s="572" customFormat="1" ht="15">
      <c r="A1011" s="570" t="s">
        <v>2204</v>
      </c>
      <c r="B1011" s="573" t="s">
        <v>2205</v>
      </c>
      <c r="C1011" s="573" t="s">
        <v>269</v>
      </c>
      <c r="D1011" s="578" t="s">
        <v>270</v>
      </c>
      <c r="E1011" s="573" t="s">
        <v>1516</v>
      </c>
      <c r="F1011" s="573" t="s">
        <v>1517</v>
      </c>
      <c r="G1011" s="573" t="s">
        <v>271</v>
      </c>
      <c r="H1011" s="573">
        <v>2019</v>
      </c>
      <c r="I1011" s="573" t="s">
        <v>2199</v>
      </c>
      <c r="J1011" s="573" t="s">
        <v>1916</v>
      </c>
      <c r="K1011" s="573" t="s">
        <v>236</v>
      </c>
      <c r="L1011" s="573">
        <v>2</v>
      </c>
      <c r="M1011" s="573">
        <v>0</v>
      </c>
      <c r="N1011" s="573" t="s">
        <v>157</v>
      </c>
      <c r="O1011" s="573">
        <v>1</v>
      </c>
      <c r="P1011" s="573">
        <v>100.8</v>
      </c>
      <c r="Q1011" s="571" t="s">
        <v>157</v>
      </c>
      <c r="R1011" s="573" t="s">
        <v>1259</v>
      </c>
      <c r="S1011" s="573">
        <v>6</v>
      </c>
      <c r="T1011" s="573" t="s">
        <v>2203</v>
      </c>
      <c r="U1011" s="573" t="s">
        <v>1894</v>
      </c>
      <c r="V1011" s="573">
        <v>129.9</v>
      </c>
      <c r="W1011" s="573">
        <v>25</v>
      </c>
      <c r="X1011" s="571">
        <v>9000</v>
      </c>
      <c r="Y1011" s="569">
        <v>14</v>
      </c>
      <c r="Z1011" s="579" t="s">
        <v>178</v>
      </c>
      <c r="AA1011" s="579" t="s">
        <v>178</v>
      </c>
      <c r="AB1011" s="584">
        <v>38450</v>
      </c>
      <c r="AC1011" s="584" t="s">
        <v>164</v>
      </c>
      <c r="AD1011" s="584">
        <v>28939.25</v>
      </c>
      <c r="AE1011" s="586">
        <v>0.03</v>
      </c>
      <c r="AF1011" s="661" t="str">
        <f t="shared" si="108"/>
        <v>2019-LVN-FRD-T25V-002-05</v>
      </c>
      <c r="AG1011" s="661" t="str">
        <f>IF(AND($Y1011&gt;=32,(AI1011="I"),(Y1011&lt;&gt;"~"),(COUNTIF($AN$1:$AN1011,$AN1011)=1)),"TRUE","FALSE")</f>
        <v>FALSE</v>
      </c>
      <c r="AH1011" s="661" t="str">
        <f>IF(AND($Y1011&gt;=22, (AI1011&lt;&gt;"I"),(Y1011&lt;&gt;"~"),(COUNTIF($AN$1:$AN1011,$AN1011)=1)),"TRUE","FALSE")</f>
        <v>FALSE</v>
      </c>
      <c r="AI1011" s="661" t="str">
        <f t="shared" si="110"/>
        <v>II</v>
      </c>
      <c r="AJ1011" s="662" t="str">
        <f t="shared" si="104"/>
        <v>T25V-002</v>
      </c>
      <c r="AK1011" s="662" t="str">
        <f t="shared" si="105"/>
        <v>LVN</v>
      </c>
      <c r="AL1011" s="662" t="str">
        <f t="shared" si="106"/>
        <v>FRD</v>
      </c>
      <c r="AM1011" s="662" t="str">
        <f t="shared" si="109"/>
        <v>Transit 250 Van-Dual Door-RWD-2-100.8-~-3.5L EcoBoost-6-R1D-101A-129.9-25-Unleaded-Unleaded</v>
      </c>
      <c r="AN1011" s="662" t="str">
        <f t="shared" si="107"/>
        <v>2019-LVN-FRD-T25V-002</v>
      </c>
    </row>
    <row r="1012" spans="1:40" s="572" customFormat="1" ht="15">
      <c r="A1012" s="570" t="s">
        <v>2206</v>
      </c>
      <c r="B1012" s="569" t="s">
        <v>2207</v>
      </c>
      <c r="C1012" s="569" t="s">
        <v>269</v>
      </c>
      <c r="D1012" s="580" t="s">
        <v>270</v>
      </c>
      <c r="E1012" s="569" t="s">
        <v>1516</v>
      </c>
      <c r="F1012" s="569" t="s">
        <v>1517</v>
      </c>
      <c r="G1012" s="569" t="s">
        <v>271</v>
      </c>
      <c r="H1012" s="569">
        <v>2019</v>
      </c>
      <c r="I1012" s="569" t="s">
        <v>2199</v>
      </c>
      <c r="J1012" s="569" t="s">
        <v>1916</v>
      </c>
      <c r="K1012" s="569" t="s">
        <v>236</v>
      </c>
      <c r="L1012" s="569">
        <v>2</v>
      </c>
      <c r="M1012" s="569">
        <v>0</v>
      </c>
      <c r="N1012" s="569" t="s">
        <v>157</v>
      </c>
      <c r="O1012" s="569">
        <v>1</v>
      </c>
      <c r="P1012" s="569">
        <v>100.8</v>
      </c>
      <c r="Q1012" s="568" t="s">
        <v>157</v>
      </c>
      <c r="R1012" s="569" t="s">
        <v>682</v>
      </c>
      <c r="S1012" s="569">
        <v>6</v>
      </c>
      <c r="T1012" s="569" t="s">
        <v>2203</v>
      </c>
      <c r="U1012" s="569" t="s">
        <v>1894</v>
      </c>
      <c r="V1012" s="569">
        <v>129.9</v>
      </c>
      <c r="W1012" s="569">
        <v>25</v>
      </c>
      <c r="X1012" s="568">
        <v>9000</v>
      </c>
      <c r="Y1012" s="569">
        <v>14</v>
      </c>
      <c r="Z1012" s="581" t="s">
        <v>178</v>
      </c>
      <c r="AA1012" s="581" t="s">
        <v>178</v>
      </c>
      <c r="AB1012" s="585">
        <v>36585</v>
      </c>
      <c r="AC1012" s="585" t="s">
        <v>164</v>
      </c>
      <c r="AD1012" s="585">
        <v>27283</v>
      </c>
      <c r="AE1012" s="587">
        <v>0.03</v>
      </c>
      <c r="AF1012" s="661" t="str">
        <f t="shared" si="108"/>
        <v>2019-LVN-FRD-T25V-003-05</v>
      </c>
      <c r="AG1012" s="661" t="str">
        <f>IF(AND($Y1012&gt;=32,(AI1012="I"),(Y1012&lt;&gt;"~"),(COUNTIF($AN$1:$AN1012,$AN1012)=1)),"TRUE","FALSE")</f>
        <v>FALSE</v>
      </c>
      <c r="AH1012" s="661" t="str">
        <f>IF(AND($Y1012&gt;=22, (AI1012&lt;&gt;"I"),(Y1012&lt;&gt;"~"),(COUNTIF($AN$1:$AN1012,$AN1012)=1)),"TRUE","FALSE")</f>
        <v>FALSE</v>
      </c>
      <c r="AI1012" s="661" t="str">
        <f t="shared" si="110"/>
        <v>II</v>
      </c>
      <c r="AJ1012" s="662" t="str">
        <f t="shared" si="104"/>
        <v>T25V-003</v>
      </c>
      <c r="AK1012" s="662" t="str">
        <f t="shared" si="105"/>
        <v>LVN</v>
      </c>
      <c r="AL1012" s="662" t="str">
        <f t="shared" si="106"/>
        <v>FRD</v>
      </c>
      <c r="AM1012" s="662" t="str">
        <f t="shared" si="109"/>
        <v>Transit 250 Van-Dual Door-RWD-2-100.8-~-3.7L-6-R1D-101A-129.9-25-Unleaded-Unleaded</v>
      </c>
      <c r="AN1012" s="662" t="str">
        <f t="shared" si="107"/>
        <v>2019-LVN-FRD-T25V-003</v>
      </c>
    </row>
    <row r="1013" spans="1:40" s="572" customFormat="1" ht="15">
      <c r="A1013" s="570" t="s">
        <v>2208</v>
      </c>
      <c r="B1013" s="573" t="s">
        <v>2209</v>
      </c>
      <c r="C1013" s="573" t="s">
        <v>269</v>
      </c>
      <c r="D1013" s="578" t="s">
        <v>270</v>
      </c>
      <c r="E1013" s="573" t="s">
        <v>1516</v>
      </c>
      <c r="F1013" s="573" t="s">
        <v>1517</v>
      </c>
      <c r="G1013" s="573" t="s">
        <v>271</v>
      </c>
      <c r="H1013" s="573">
        <v>2019</v>
      </c>
      <c r="I1013" s="573" t="s">
        <v>2199</v>
      </c>
      <c r="J1013" s="573" t="s">
        <v>1916</v>
      </c>
      <c r="K1013" s="573" t="s">
        <v>236</v>
      </c>
      <c r="L1013" s="573">
        <v>2</v>
      </c>
      <c r="M1013" s="573">
        <v>0</v>
      </c>
      <c r="N1013" s="573" t="s">
        <v>157</v>
      </c>
      <c r="O1013" s="573">
        <v>1</v>
      </c>
      <c r="P1013" s="573">
        <v>109.4</v>
      </c>
      <c r="Q1013" s="571" t="s">
        <v>157</v>
      </c>
      <c r="R1013" s="573" t="s">
        <v>1917</v>
      </c>
      <c r="S1013" s="573">
        <v>5</v>
      </c>
      <c r="T1013" s="573" t="s">
        <v>2210</v>
      </c>
      <c r="U1013" s="573" t="s">
        <v>1894</v>
      </c>
      <c r="V1013" s="573">
        <v>147.6</v>
      </c>
      <c r="W1013" s="573">
        <v>25</v>
      </c>
      <c r="X1013" s="571">
        <v>9000</v>
      </c>
      <c r="Y1013" s="569">
        <v>14</v>
      </c>
      <c r="Z1013" s="579" t="s">
        <v>728</v>
      </c>
      <c r="AA1013" s="579" t="s">
        <v>1523</v>
      </c>
      <c r="AB1013" s="584">
        <v>45755</v>
      </c>
      <c r="AC1013" s="584" t="s">
        <v>164</v>
      </c>
      <c r="AD1013" s="584">
        <v>35562.75</v>
      </c>
      <c r="AE1013" s="586">
        <v>0.03</v>
      </c>
      <c r="AF1013" s="661" t="str">
        <f t="shared" si="108"/>
        <v>2019-LVN-FRD-T25V-004-05</v>
      </c>
      <c r="AG1013" s="661" t="str">
        <f>IF(AND($Y1013&gt;=32,(AI1013="I"),(Y1013&lt;&gt;"~"),(COUNTIF($AN$1:$AN1013,$AN1013)=1)),"TRUE","FALSE")</f>
        <v>FALSE</v>
      </c>
      <c r="AH1013" s="661" t="str">
        <f>IF(AND($Y1013&gt;=22, (AI1013&lt;&gt;"I"),(Y1013&lt;&gt;"~"),(COUNTIF($AN$1:$AN1013,$AN1013)=1)),"TRUE","FALSE")</f>
        <v>FALSE</v>
      </c>
      <c r="AI1013" s="661" t="str">
        <f t="shared" si="110"/>
        <v>II</v>
      </c>
      <c r="AJ1013" s="662" t="str">
        <f t="shared" si="104"/>
        <v>T25V-004</v>
      </c>
      <c r="AK1013" s="662" t="str">
        <f t="shared" si="105"/>
        <v>LVN</v>
      </c>
      <c r="AL1013" s="662" t="str">
        <f t="shared" si="106"/>
        <v>FRD</v>
      </c>
      <c r="AM1013" s="662" t="str">
        <f t="shared" si="109"/>
        <v>Transit 250 Van-Dual Door-RWD-2-109.4-~-3.2L-5-R3U-101A-147.6-25-Diesel-BioDiesel</v>
      </c>
      <c r="AN1013" s="662" t="str">
        <f t="shared" si="107"/>
        <v>2019-LVN-FRD-T25V-004</v>
      </c>
    </row>
    <row r="1014" spans="1:40" s="572" customFormat="1" ht="15">
      <c r="A1014" s="570" t="s">
        <v>2211</v>
      </c>
      <c r="B1014" s="569" t="s">
        <v>2212</v>
      </c>
      <c r="C1014" s="569" t="s">
        <v>269</v>
      </c>
      <c r="D1014" s="580" t="s">
        <v>270</v>
      </c>
      <c r="E1014" s="569" t="s">
        <v>1516</v>
      </c>
      <c r="F1014" s="569" t="s">
        <v>1517</v>
      </c>
      <c r="G1014" s="569" t="s">
        <v>271</v>
      </c>
      <c r="H1014" s="569">
        <v>2019</v>
      </c>
      <c r="I1014" s="569" t="s">
        <v>2199</v>
      </c>
      <c r="J1014" s="569" t="s">
        <v>1916</v>
      </c>
      <c r="K1014" s="569" t="s">
        <v>236</v>
      </c>
      <c r="L1014" s="569">
        <v>2</v>
      </c>
      <c r="M1014" s="569">
        <v>0</v>
      </c>
      <c r="N1014" s="569" t="s">
        <v>157</v>
      </c>
      <c r="O1014" s="569">
        <v>1</v>
      </c>
      <c r="P1014" s="569">
        <v>109.4</v>
      </c>
      <c r="Q1014" s="568" t="s">
        <v>157</v>
      </c>
      <c r="R1014" s="569" t="s">
        <v>1259</v>
      </c>
      <c r="S1014" s="569">
        <v>6</v>
      </c>
      <c r="T1014" s="569" t="s">
        <v>2210</v>
      </c>
      <c r="U1014" s="569" t="s">
        <v>1894</v>
      </c>
      <c r="V1014" s="569">
        <v>147.6</v>
      </c>
      <c r="W1014" s="569">
        <v>25</v>
      </c>
      <c r="X1014" s="568">
        <v>9000</v>
      </c>
      <c r="Y1014" s="569">
        <v>14</v>
      </c>
      <c r="Z1014" s="581" t="s">
        <v>178</v>
      </c>
      <c r="AA1014" s="581" t="s">
        <v>178</v>
      </c>
      <c r="AB1014" s="585">
        <v>43625</v>
      </c>
      <c r="AC1014" s="585" t="s">
        <v>164</v>
      </c>
      <c r="AD1014" s="585">
        <v>33669.458333333336</v>
      </c>
      <c r="AE1014" s="587">
        <v>0.03</v>
      </c>
      <c r="AF1014" s="661" t="str">
        <f t="shared" si="108"/>
        <v>2019-LVN-FRD-T25V-005-05</v>
      </c>
      <c r="AG1014" s="661" t="str">
        <f>IF(AND($Y1014&gt;=32,(AI1014="I"),(Y1014&lt;&gt;"~"),(COUNTIF($AN$1:$AN1014,$AN1014)=1)),"TRUE","FALSE")</f>
        <v>FALSE</v>
      </c>
      <c r="AH1014" s="661" t="str">
        <f>IF(AND($Y1014&gt;=22, (AI1014&lt;&gt;"I"),(Y1014&lt;&gt;"~"),(COUNTIF($AN$1:$AN1014,$AN1014)=1)),"TRUE","FALSE")</f>
        <v>FALSE</v>
      </c>
      <c r="AI1014" s="661" t="str">
        <f t="shared" si="110"/>
        <v>II</v>
      </c>
      <c r="AJ1014" s="662" t="str">
        <f t="shared" si="104"/>
        <v>T25V-005</v>
      </c>
      <c r="AK1014" s="662" t="str">
        <f t="shared" si="105"/>
        <v>LVN</v>
      </c>
      <c r="AL1014" s="662" t="str">
        <f t="shared" si="106"/>
        <v>FRD</v>
      </c>
      <c r="AM1014" s="662" t="str">
        <f t="shared" si="109"/>
        <v>Transit 250 Van-Dual Door-RWD-2-109.4-~-3.5L EcoBoost-6-R3U-101A-147.6-25-Unleaded-Unleaded</v>
      </c>
      <c r="AN1014" s="662" t="str">
        <f t="shared" si="107"/>
        <v>2019-LVN-FRD-T25V-005</v>
      </c>
    </row>
    <row r="1015" spans="1:40" s="572" customFormat="1" ht="15">
      <c r="A1015" s="570" t="s">
        <v>2213</v>
      </c>
      <c r="B1015" s="573" t="s">
        <v>2214</v>
      </c>
      <c r="C1015" s="573" t="s">
        <v>269</v>
      </c>
      <c r="D1015" s="578" t="s">
        <v>270</v>
      </c>
      <c r="E1015" s="573" t="s">
        <v>1516</v>
      </c>
      <c r="F1015" s="573" t="s">
        <v>1517</v>
      </c>
      <c r="G1015" s="573" t="s">
        <v>271</v>
      </c>
      <c r="H1015" s="573">
        <v>2019</v>
      </c>
      <c r="I1015" s="573" t="s">
        <v>2199</v>
      </c>
      <c r="J1015" s="573" t="s">
        <v>1916</v>
      </c>
      <c r="K1015" s="573" t="s">
        <v>236</v>
      </c>
      <c r="L1015" s="573">
        <v>2</v>
      </c>
      <c r="M1015" s="573">
        <v>0</v>
      </c>
      <c r="N1015" s="573" t="s">
        <v>157</v>
      </c>
      <c r="O1015" s="573">
        <v>1</v>
      </c>
      <c r="P1015" s="573">
        <v>109.4</v>
      </c>
      <c r="Q1015" s="571" t="s">
        <v>157</v>
      </c>
      <c r="R1015" s="573" t="s">
        <v>682</v>
      </c>
      <c r="S1015" s="573">
        <v>6</v>
      </c>
      <c r="T1015" s="573" t="s">
        <v>2210</v>
      </c>
      <c r="U1015" s="573" t="s">
        <v>1894</v>
      </c>
      <c r="V1015" s="573">
        <v>147.6</v>
      </c>
      <c r="W1015" s="573">
        <v>25</v>
      </c>
      <c r="X1015" s="571">
        <v>9000</v>
      </c>
      <c r="Y1015" s="569">
        <v>14</v>
      </c>
      <c r="Z1015" s="579" t="s">
        <v>178</v>
      </c>
      <c r="AA1015" s="579" t="s">
        <v>178</v>
      </c>
      <c r="AB1015" s="584">
        <v>41760</v>
      </c>
      <c r="AC1015" s="584" t="s">
        <v>164</v>
      </c>
      <c r="AD1015" s="584">
        <v>32013.208333333336</v>
      </c>
      <c r="AE1015" s="586">
        <v>0.03</v>
      </c>
      <c r="AF1015" s="661" t="str">
        <f t="shared" si="108"/>
        <v>2019-LVN-FRD-T25V-006-05</v>
      </c>
      <c r="AG1015" s="661" t="str">
        <f>IF(AND($Y1015&gt;=32,(AI1015="I"),(Y1015&lt;&gt;"~"),(COUNTIF($AN$1:$AN1015,$AN1015)=1)),"TRUE","FALSE")</f>
        <v>FALSE</v>
      </c>
      <c r="AH1015" s="661" t="str">
        <f>IF(AND($Y1015&gt;=22, (AI1015&lt;&gt;"I"),(Y1015&lt;&gt;"~"),(COUNTIF($AN$1:$AN1015,$AN1015)=1)),"TRUE","FALSE")</f>
        <v>FALSE</v>
      </c>
      <c r="AI1015" s="661" t="str">
        <f t="shared" si="110"/>
        <v>II</v>
      </c>
      <c r="AJ1015" s="662" t="str">
        <f t="shared" si="104"/>
        <v>T25V-006</v>
      </c>
      <c r="AK1015" s="662" t="str">
        <f t="shared" si="105"/>
        <v>LVN</v>
      </c>
      <c r="AL1015" s="662" t="str">
        <f t="shared" si="106"/>
        <v>FRD</v>
      </c>
      <c r="AM1015" s="662" t="str">
        <f t="shared" si="109"/>
        <v>Transit 250 Van-Dual Door-RWD-2-109.4-~-3.7L-6-R3U-101A-147.6-25-Unleaded-Unleaded</v>
      </c>
      <c r="AN1015" s="662" t="str">
        <f t="shared" si="107"/>
        <v>2019-LVN-FRD-T25V-006</v>
      </c>
    </row>
    <row r="1016" spans="1:40" s="572" customFormat="1" ht="15">
      <c r="A1016" s="570" t="s">
        <v>2215</v>
      </c>
      <c r="B1016" s="569" t="s">
        <v>2216</v>
      </c>
      <c r="C1016" s="569" t="s">
        <v>269</v>
      </c>
      <c r="D1016" s="580" t="s">
        <v>270</v>
      </c>
      <c r="E1016" s="569" t="s">
        <v>1516</v>
      </c>
      <c r="F1016" s="569" t="s">
        <v>1517</v>
      </c>
      <c r="G1016" s="569" t="s">
        <v>271</v>
      </c>
      <c r="H1016" s="569">
        <v>2019</v>
      </c>
      <c r="I1016" s="569" t="s">
        <v>2199</v>
      </c>
      <c r="J1016" s="569" t="s">
        <v>1916</v>
      </c>
      <c r="K1016" s="569" t="s">
        <v>236</v>
      </c>
      <c r="L1016" s="569">
        <v>2</v>
      </c>
      <c r="M1016" s="569">
        <v>0</v>
      </c>
      <c r="N1016" s="569" t="s">
        <v>157</v>
      </c>
      <c r="O1016" s="569">
        <v>1</v>
      </c>
      <c r="P1016" s="569">
        <v>110.1</v>
      </c>
      <c r="Q1016" s="568" t="s">
        <v>157</v>
      </c>
      <c r="R1016" s="569" t="s">
        <v>1917</v>
      </c>
      <c r="S1016" s="569">
        <v>5</v>
      </c>
      <c r="T1016" s="569" t="s">
        <v>2217</v>
      </c>
      <c r="U1016" s="569" t="s">
        <v>1894</v>
      </c>
      <c r="V1016" s="569">
        <v>147.6</v>
      </c>
      <c r="W1016" s="569">
        <v>25</v>
      </c>
      <c r="X1016" s="568">
        <v>9000</v>
      </c>
      <c r="Y1016" s="569">
        <v>14</v>
      </c>
      <c r="Z1016" s="581" t="s">
        <v>728</v>
      </c>
      <c r="AA1016" s="581" t="s">
        <v>1523</v>
      </c>
      <c r="AB1016" s="585">
        <v>44455</v>
      </c>
      <c r="AC1016" s="585" t="s">
        <v>164</v>
      </c>
      <c r="AD1016" s="585">
        <v>34375.25</v>
      </c>
      <c r="AE1016" s="587">
        <v>0.03</v>
      </c>
      <c r="AF1016" s="661" t="str">
        <f t="shared" si="108"/>
        <v>2019-LVN-FRD-T25V-007-05</v>
      </c>
      <c r="AG1016" s="661" t="str">
        <f>IF(AND($Y1016&gt;=32,(AI1016="I"),(Y1016&lt;&gt;"~"),(COUNTIF($AN$1:$AN1016,$AN1016)=1)),"TRUE","FALSE")</f>
        <v>FALSE</v>
      </c>
      <c r="AH1016" s="661" t="str">
        <f>IF(AND($Y1016&gt;=22, (AI1016&lt;&gt;"I"),(Y1016&lt;&gt;"~"),(COUNTIF($AN$1:$AN1016,$AN1016)=1)),"TRUE","FALSE")</f>
        <v>FALSE</v>
      </c>
      <c r="AI1016" s="661" t="str">
        <f t="shared" si="110"/>
        <v>II</v>
      </c>
      <c r="AJ1016" s="662" t="str">
        <f t="shared" si="104"/>
        <v>T25V-007</v>
      </c>
      <c r="AK1016" s="662" t="str">
        <f t="shared" si="105"/>
        <v>LVN</v>
      </c>
      <c r="AL1016" s="662" t="str">
        <f t="shared" si="106"/>
        <v>FRD</v>
      </c>
      <c r="AM1016" s="662" t="str">
        <f t="shared" si="109"/>
        <v>Transit 250 Van-Dual Door-RWD-2-110.1-~-3.2L-5-R2U-101A-147.6-25-Diesel-BioDiesel</v>
      </c>
      <c r="AN1016" s="662" t="str">
        <f t="shared" si="107"/>
        <v>2019-LVN-FRD-T25V-007</v>
      </c>
    </row>
    <row r="1017" spans="1:40" s="572" customFormat="1" ht="15">
      <c r="A1017" s="570" t="s">
        <v>2218</v>
      </c>
      <c r="B1017" s="573" t="s">
        <v>2219</v>
      </c>
      <c r="C1017" s="573" t="s">
        <v>269</v>
      </c>
      <c r="D1017" s="578" t="s">
        <v>270</v>
      </c>
      <c r="E1017" s="573" t="s">
        <v>1516</v>
      </c>
      <c r="F1017" s="573" t="s">
        <v>1517</v>
      </c>
      <c r="G1017" s="573" t="s">
        <v>271</v>
      </c>
      <c r="H1017" s="573">
        <v>2019</v>
      </c>
      <c r="I1017" s="573" t="s">
        <v>2199</v>
      </c>
      <c r="J1017" s="573" t="s">
        <v>1916</v>
      </c>
      <c r="K1017" s="573" t="s">
        <v>236</v>
      </c>
      <c r="L1017" s="573">
        <v>2</v>
      </c>
      <c r="M1017" s="573">
        <v>0</v>
      </c>
      <c r="N1017" s="573" t="s">
        <v>157</v>
      </c>
      <c r="O1017" s="573">
        <v>1</v>
      </c>
      <c r="P1017" s="573">
        <v>110.1</v>
      </c>
      <c r="Q1017" s="571" t="s">
        <v>157</v>
      </c>
      <c r="R1017" s="573" t="s">
        <v>1259</v>
      </c>
      <c r="S1017" s="573">
        <v>6</v>
      </c>
      <c r="T1017" s="573" t="s">
        <v>2217</v>
      </c>
      <c r="U1017" s="573" t="s">
        <v>1894</v>
      </c>
      <c r="V1017" s="573">
        <v>147.6</v>
      </c>
      <c r="W1017" s="573">
        <v>25</v>
      </c>
      <c r="X1017" s="571">
        <v>9000</v>
      </c>
      <c r="Y1017" s="569">
        <v>14</v>
      </c>
      <c r="Z1017" s="579" t="s">
        <v>178</v>
      </c>
      <c r="AA1017" s="579" t="s">
        <v>178</v>
      </c>
      <c r="AB1017" s="584">
        <v>42325</v>
      </c>
      <c r="AC1017" s="584" t="s">
        <v>164</v>
      </c>
      <c r="AD1017" s="584">
        <v>32481.958333333336</v>
      </c>
      <c r="AE1017" s="586">
        <v>0.03</v>
      </c>
      <c r="AF1017" s="661" t="str">
        <f t="shared" si="108"/>
        <v>2019-LVN-FRD-T25V-008-05</v>
      </c>
      <c r="AG1017" s="661" t="str">
        <f>IF(AND($Y1017&gt;=32,(AI1017="I"),(Y1017&lt;&gt;"~"),(COUNTIF($AN$1:$AN1017,$AN1017)=1)),"TRUE","FALSE")</f>
        <v>FALSE</v>
      </c>
      <c r="AH1017" s="661" t="str">
        <f>IF(AND($Y1017&gt;=22, (AI1017&lt;&gt;"I"),(Y1017&lt;&gt;"~"),(COUNTIF($AN$1:$AN1017,$AN1017)=1)),"TRUE","FALSE")</f>
        <v>FALSE</v>
      </c>
      <c r="AI1017" s="661" t="str">
        <f t="shared" si="110"/>
        <v>II</v>
      </c>
      <c r="AJ1017" s="662" t="str">
        <f t="shared" si="104"/>
        <v>T25V-008</v>
      </c>
      <c r="AK1017" s="662" t="str">
        <f t="shared" si="105"/>
        <v>LVN</v>
      </c>
      <c r="AL1017" s="662" t="str">
        <f t="shared" si="106"/>
        <v>FRD</v>
      </c>
      <c r="AM1017" s="662" t="str">
        <f t="shared" si="109"/>
        <v>Transit 250 Van-Dual Door-RWD-2-110.1-~-3.5L EcoBoost-6-R2U-101A-147.6-25-Unleaded-Unleaded</v>
      </c>
      <c r="AN1017" s="662" t="str">
        <f t="shared" si="107"/>
        <v>2019-LVN-FRD-T25V-008</v>
      </c>
    </row>
    <row r="1018" spans="1:40" s="572" customFormat="1" ht="15">
      <c r="A1018" s="570" t="s">
        <v>2220</v>
      </c>
      <c r="B1018" s="569" t="s">
        <v>2221</v>
      </c>
      <c r="C1018" s="569" t="s">
        <v>269</v>
      </c>
      <c r="D1018" s="580" t="s">
        <v>270</v>
      </c>
      <c r="E1018" s="569" t="s">
        <v>1516</v>
      </c>
      <c r="F1018" s="569" t="s">
        <v>1517</v>
      </c>
      <c r="G1018" s="569" t="s">
        <v>271</v>
      </c>
      <c r="H1018" s="569">
        <v>2019</v>
      </c>
      <c r="I1018" s="569" t="s">
        <v>2199</v>
      </c>
      <c r="J1018" s="569" t="s">
        <v>1916</v>
      </c>
      <c r="K1018" s="569" t="s">
        <v>236</v>
      </c>
      <c r="L1018" s="569">
        <v>2</v>
      </c>
      <c r="M1018" s="569">
        <v>0</v>
      </c>
      <c r="N1018" s="569" t="s">
        <v>157</v>
      </c>
      <c r="O1018" s="569">
        <v>1</v>
      </c>
      <c r="P1018" s="569">
        <v>110.1</v>
      </c>
      <c r="Q1018" s="568" t="s">
        <v>157</v>
      </c>
      <c r="R1018" s="569" t="s">
        <v>682</v>
      </c>
      <c r="S1018" s="569">
        <v>6</v>
      </c>
      <c r="T1018" s="569" t="s">
        <v>2217</v>
      </c>
      <c r="U1018" s="569" t="s">
        <v>1894</v>
      </c>
      <c r="V1018" s="569">
        <v>147.6</v>
      </c>
      <c r="W1018" s="569">
        <v>25</v>
      </c>
      <c r="X1018" s="568">
        <v>9000</v>
      </c>
      <c r="Y1018" s="569">
        <v>14</v>
      </c>
      <c r="Z1018" s="581" t="s">
        <v>178</v>
      </c>
      <c r="AA1018" s="581" t="s">
        <v>178</v>
      </c>
      <c r="AB1018" s="585">
        <v>40460</v>
      </c>
      <c r="AC1018" s="585" t="s">
        <v>164</v>
      </c>
      <c r="AD1018" s="585">
        <v>30825.708333333336</v>
      </c>
      <c r="AE1018" s="587">
        <v>0.03</v>
      </c>
      <c r="AF1018" s="661" t="str">
        <f t="shared" si="108"/>
        <v>2019-LVN-FRD-T25V-009-05</v>
      </c>
      <c r="AG1018" s="661" t="str">
        <f>IF(AND($Y1018&gt;=32,(AI1018="I"),(Y1018&lt;&gt;"~"),(COUNTIF($AN$1:$AN1018,$AN1018)=1)),"TRUE","FALSE")</f>
        <v>FALSE</v>
      </c>
      <c r="AH1018" s="661" t="str">
        <f>IF(AND($Y1018&gt;=22, (AI1018&lt;&gt;"I"),(Y1018&lt;&gt;"~"),(COUNTIF($AN$1:$AN1018,$AN1018)=1)),"TRUE","FALSE")</f>
        <v>FALSE</v>
      </c>
      <c r="AI1018" s="661" t="str">
        <f t="shared" si="110"/>
        <v>II</v>
      </c>
      <c r="AJ1018" s="662" t="str">
        <f t="shared" si="104"/>
        <v>T25V-009</v>
      </c>
      <c r="AK1018" s="662" t="str">
        <f t="shared" si="105"/>
        <v>LVN</v>
      </c>
      <c r="AL1018" s="662" t="str">
        <f t="shared" si="106"/>
        <v>FRD</v>
      </c>
      <c r="AM1018" s="662" t="str">
        <f t="shared" si="109"/>
        <v>Transit 250 Van-Dual Door-RWD-2-110.1-~-3.7L-6-R2U-101A-147.6-25-Unleaded-Unleaded</v>
      </c>
      <c r="AN1018" s="662" t="str">
        <f t="shared" si="107"/>
        <v>2019-LVN-FRD-T25V-009</v>
      </c>
    </row>
    <row r="1019" spans="1:40" s="572" customFormat="1" ht="15">
      <c r="A1019" s="570" t="s">
        <v>2222</v>
      </c>
      <c r="B1019" s="573" t="s">
        <v>2198</v>
      </c>
      <c r="C1019" s="573" t="s">
        <v>278</v>
      </c>
      <c r="D1019" s="578">
        <v>15</v>
      </c>
      <c r="E1019" s="573" t="s">
        <v>1516</v>
      </c>
      <c r="F1019" s="573" t="s">
        <v>1517</v>
      </c>
      <c r="G1019" s="573" t="s">
        <v>271</v>
      </c>
      <c r="H1019" s="573">
        <v>2019</v>
      </c>
      <c r="I1019" s="573" t="s">
        <v>2199</v>
      </c>
      <c r="J1019" s="573" t="s">
        <v>1916</v>
      </c>
      <c r="K1019" s="573" t="s">
        <v>236</v>
      </c>
      <c r="L1019" s="573">
        <v>2</v>
      </c>
      <c r="M1019" s="573">
        <v>0</v>
      </c>
      <c r="N1019" s="573" t="s">
        <v>157</v>
      </c>
      <c r="O1019" s="573">
        <v>1</v>
      </c>
      <c r="P1019" s="573">
        <v>100.7</v>
      </c>
      <c r="Q1019" s="571" t="s">
        <v>157</v>
      </c>
      <c r="R1019" s="573" t="s">
        <v>682</v>
      </c>
      <c r="S1019" s="573">
        <v>6</v>
      </c>
      <c r="T1019" s="573" t="s">
        <v>2200</v>
      </c>
      <c r="U1019" s="573" t="s">
        <v>1894</v>
      </c>
      <c r="V1019" s="573">
        <v>147.6</v>
      </c>
      <c r="W1019" s="573">
        <v>25</v>
      </c>
      <c r="X1019" s="571">
        <v>9000</v>
      </c>
      <c r="Y1019" s="569">
        <v>14</v>
      </c>
      <c r="Z1019" s="579" t="s">
        <v>178</v>
      </c>
      <c r="AA1019" s="579" t="s">
        <v>178</v>
      </c>
      <c r="AB1019" s="584">
        <v>38310</v>
      </c>
      <c r="AC1019" s="584" t="s">
        <v>164</v>
      </c>
      <c r="AD1019" s="584">
        <v>29400</v>
      </c>
      <c r="AE1019" s="586">
        <v>0.01</v>
      </c>
      <c r="AF1019" s="661" t="str">
        <f t="shared" si="108"/>
        <v>2019-LVN-FRD-T25V-040-15</v>
      </c>
      <c r="AG1019" s="661" t="str">
        <f>IF(AND($Y1019&gt;=32,(AI1019="I"),(Y1019&lt;&gt;"~"),(COUNTIF($AN$1:$AN1019,$AN1019)=1)),"TRUE","FALSE")</f>
        <v>FALSE</v>
      </c>
      <c r="AH1019" s="661" t="str">
        <f>IF(AND($Y1019&gt;=22, (AI1019&lt;&gt;"I"),(Y1019&lt;&gt;"~"),(COUNTIF($AN$1:$AN1019,$AN1019)=1)),"TRUE","FALSE")</f>
        <v>FALSE</v>
      </c>
      <c r="AI1019" s="661" t="str">
        <f t="shared" si="110"/>
        <v>II</v>
      </c>
      <c r="AJ1019" s="662" t="str">
        <f t="shared" si="104"/>
        <v>T25V-040</v>
      </c>
      <c r="AK1019" s="662" t="str">
        <f t="shared" si="105"/>
        <v>LVN</v>
      </c>
      <c r="AL1019" s="662" t="str">
        <f t="shared" si="106"/>
        <v>FRD</v>
      </c>
      <c r="AM1019" s="662" t="str">
        <f t="shared" si="109"/>
        <v>Transit 250 Van-Dual Door-RWD-2-100.7-~-3.7L-6-R2D-101A-147.6-25-Unleaded-Unleaded</v>
      </c>
      <c r="AN1019" s="662" t="str">
        <f t="shared" si="107"/>
        <v>2019-LVN-FRD-T25V-040</v>
      </c>
    </row>
    <row r="1020" spans="1:40" s="572" customFormat="1" ht="15">
      <c r="A1020" s="570" t="s">
        <v>2223</v>
      </c>
      <c r="B1020" s="569" t="s">
        <v>2202</v>
      </c>
      <c r="C1020" s="569" t="s">
        <v>278</v>
      </c>
      <c r="D1020" s="580">
        <v>15</v>
      </c>
      <c r="E1020" s="569" t="s">
        <v>1516</v>
      </c>
      <c r="F1020" s="569" t="s">
        <v>1517</v>
      </c>
      <c r="G1020" s="569" t="s">
        <v>271</v>
      </c>
      <c r="H1020" s="569">
        <v>2019</v>
      </c>
      <c r="I1020" s="569" t="s">
        <v>2199</v>
      </c>
      <c r="J1020" s="569" t="s">
        <v>1916</v>
      </c>
      <c r="K1020" s="569" t="s">
        <v>236</v>
      </c>
      <c r="L1020" s="569">
        <v>2</v>
      </c>
      <c r="M1020" s="569">
        <v>0</v>
      </c>
      <c r="N1020" s="569" t="s">
        <v>157</v>
      </c>
      <c r="O1020" s="569">
        <v>1</v>
      </c>
      <c r="P1020" s="569">
        <v>100.8</v>
      </c>
      <c r="Q1020" s="568" t="s">
        <v>157</v>
      </c>
      <c r="R1020" s="569" t="s">
        <v>1917</v>
      </c>
      <c r="S1020" s="569">
        <v>5</v>
      </c>
      <c r="T1020" s="569" t="s">
        <v>2203</v>
      </c>
      <c r="U1020" s="569" t="s">
        <v>1894</v>
      </c>
      <c r="V1020" s="569">
        <v>129.9</v>
      </c>
      <c r="W1020" s="569">
        <v>25</v>
      </c>
      <c r="X1020" s="568">
        <v>9000</v>
      </c>
      <c r="Y1020" s="569">
        <v>14</v>
      </c>
      <c r="Z1020" s="581" t="s">
        <v>728</v>
      </c>
      <c r="AA1020" s="581" t="s">
        <v>1523</v>
      </c>
      <c r="AB1020" s="585">
        <v>40580</v>
      </c>
      <c r="AC1020" s="585" t="s">
        <v>164</v>
      </c>
      <c r="AD1020" s="585">
        <v>31400</v>
      </c>
      <c r="AE1020" s="587">
        <v>0.01</v>
      </c>
      <c r="AF1020" s="661" t="str">
        <f t="shared" si="108"/>
        <v>2019-LVN-FRD-T25V-001-15</v>
      </c>
      <c r="AG1020" s="661" t="str">
        <f>IF(AND($Y1020&gt;=32,(AI1020="I"),(Y1020&lt;&gt;"~"),(COUNTIF($AN$1:$AN1020,$AN1020)=1)),"TRUE","FALSE")</f>
        <v>FALSE</v>
      </c>
      <c r="AH1020" s="661" t="str">
        <f>IF(AND($Y1020&gt;=22, (AI1020&lt;&gt;"I"),(Y1020&lt;&gt;"~"),(COUNTIF($AN$1:$AN1020,$AN1020)=1)),"TRUE","FALSE")</f>
        <v>FALSE</v>
      </c>
      <c r="AI1020" s="661" t="str">
        <f t="shared" si="110"/>
        <v>II</v>
      </c>
      <c r="AJ1020" s="662" t="str">
        <f t="shared" si="104"/>
        <v>T25V-001</v>
      </c>
      <c r="AK1020" s="662" t="str">
        <f t="shared" si="105"/>
        <v>LVN</v>
      </c>
      <c r="AL1020" s="662" t="str">
        <f t="shared" si="106"/>
        <v>FRD</v>
      </c>
      <c r="AM1020" s="662" t="str">
        <f t="shared" si="109"/>
        <v>Transit 250 Van-Dual Door-RWD-2-100.8-~-3.2L-5-R1D-101A-129.9-25-Diesel-BioDiesel</v>
      </c>
      <c r="AN1020" s="662" t="str">
        <f t="shared" si="107"/>
        <v>2019-LVN-FRD-T25V-001</v>
      </c>
    </row>
    <row r="1021" spans="1:40" s="572" customFormat="1" ht="15">
      <c r="A1021" s="570" t="s">
        <v>2224</v>
      </c>
      <c r="B1021" s="573" t="s">
        <v>2205</v>
      </c>
      <c r="C1021" s="573" t="s">
        <v>278</v>
      </c>
      <c r="D1021" s="578">
        <v>15</v>
      </c>
      <c r="E1021" s="573" t="s">
        <v>1516</v>
      </c>
      <c r="F1021" s="573" t="s">
        <v>1517</v>
      </c>
      <c r="G1021" s="573" t="s">
        <v>271</v>
      </c>
      <c r="H1021" s="573">
        <v>2019</v>
      </c>
      <c r="I1021" s="573" t="s">
        <v>2199</v>
      </c>
      <c r="J1021" s="573" t="s">
        <v>1916</v>
      </c>
      <c r="K1021" s="573" t="s">
        <v>236</v>
      </c>
      <c r="L1021" s="573">
        <v>2</v>
      </c>
      <c r="M1021" s="573">
        <v>0</v>
      </c>
      <c r="N1021" s="573" t="s">
        <v>157</v>
      </c>
      <c r="O1021" s="573">
        <v>1</v>
      </c>
      <c r="P1021" s="573">
        <v>100.8</v>
      </c>
      <c r="Q1021" s="571" t="s">
        <v>157</v>
      </c>
      <c r="R1021" s="573" t="s">
        <v>1259</v>
      </c>
      <c r="S1021" s="573">
        <v>6</v>
      </c>
      <c r="T1021" s="573" t="s">
        <v>2203</v>
      </c>
      <c r="U1021" s="573" t="s">
        <v>1894</v>
      </c>
      <c r="V1021" s="573">
        <v>129.9</v>
      </c>
      <c r="W1021" s="573">
        <v>25</v>
      </c>
      <c r="X1021" s="571">
        <v>9000</v>
      </c>
      <c r="Y1021" s="569">
        <v>14</v>
      </c>
      <c r="Z1021" s="579" t="s">
        <v>178</v>
      </c>
      <c r="AA1021" s="579" t="s">
        <v>178</v>
      </c>
      <c r="AB1021" s="584">
        <v>38450</v>
      </c>
      <c r="AC1021" s="584" t="s">
        <v>164</v>
      </c>
      <c r="AD1021" s="584">
        <v>29500</v>
      </c>
      <c r="AE1021" s="586">
        <v>0.01</v>
      </c>
      <c r="AF1021" s="661" t="str">
        <f t="shared" si="108"/>
        <v>2019-LVN-FRD-T25V-002-15</v>
      </c>
      <c r="AG1021" s="661" t="str">
        <f>IF(AND($Y1021&gt;=32,(AI1021="I"),(Y1021&lt;&gt;"~"),(COUNTIF($AN$1:$AN1021,$AN1021)=1)),"TRUE","FALSE")</f>
        <v>FALSE</v>
      </c>
      <c r="AH1021" s="661" t="str">
        <f>IF(AND($Y1021&gt;=22, (AI1021&lt;&gt;"I"),(Y1021&lt;&gt;"~"),(COUNTIF($AN$1:$AN1021,$AN1021)=1)),"TRUE","FALSE")</f>
        <v>FALSE</v>
      </c>
      <c r="AI1021" s="661" t="str">
        <f t="shared" si="110"/>
        <v>II</v>
      </c>
      <c r="AJ1021" s="662" t="str">
        <f t="shared" si="104"/>
        <v>T25V-002</v>
      </c>
      <c r="AK1021" s="662" t="str">
        <f t="shared" si="105"/>
        <v>LVN</v>
      </c>
      <c r="AL1021" s="662" t="str">
        <f t="shared" si="106"/>
        <v>FRD</v>
      </c>
      <c r="AM1021" s="662" t="str">
        <f t="shared" si="109"/>
        <v>Transit 250 Van-Dual Door-RWD-2-100.8-~-3.5L EcoBoost-6-R1D-101A-129.9-25-Unleaded-Unleaded</v>
      </c>
      <c r="AN1021" s="662" t="str">
        <f t="shared" si="107"/>
        <v>2019-LVN-FRD-T25V-002</v>
      </c>
    </row>
    <row r="1022" spans="1:40" s="572" customFormat="1" ht="15">
      <c r="A1022" s="570" t="s">
        <v>2225</v>
      </c>
      <c r="B1022" s="569" t="s">
        <v>2207</v>
      </c>
      <c r="C1022" s="569" t="s">
        <v>278</v>
      </c>
      <c r="D1022" s="580">
        <v>15</v>
      </c>
      <c r="E1022" s="569" t="s">
        <v>1516</v>
      </c>
      <c r="F1022" s="569" t="s">
        <v>1517</v>
      </c>
      <c r="G1022" s="569" t="s">
        <v>271</v>
      </c>
      <c r="H1022" s="569">
        <v>2019</v>
      </c>
      <c r="I1022" s="569" t="s">
        <v>2199</v>
      </c>
      <c r="J1022" s="569" t="s">
        <v>1916</v>
      </c>
      <c r="K1022" s="569" t="s">
        <v>236</v>
      </c>
      <c r="L1022" s="569">
        <v>2</v>
      </c>
      <c r="M1022" s="569">
        <v>0</v>
      </c>
      <c r="N1022" s="569" t="s">
        <v>157</v>
      </c>
      <c r="O1022" s="569">
        <v>1</v>
      </c>
      <c r="P1022" s="569">
        <v>100.8</v>
      </c>
      <c r="Q1022" s="568" t="s">
        <v>157</v>
      </c>
      <c r="R1022" s="569" t="s">
        <v>682</v>
      </c>
      <c r="S1022" s="569">
        <v>6</v>
      </c>
      <c r="T1022" s="569" t="s">
        <v>2203</v>
      </c>
      <c r="U1022" s="569" t="s">
        <v>1894</v>
      </c>
      <c r="V1022" s="569">
        <v>129.9</v>
      </c>
      <c r="W1022" s="569">
        <v>25</v>
      </c>
      <c r="X1022" s="568">
        <v>9000</v>
      </c>
      <c r="Y1022" s="569">
        <v>14</v>
      </c>
      <c r="Z1022" s="581" t="s">
        <v>178</v>
      </c>
      <c r="AA1022" s="581" t="s">
        <v>178</v>
      </c>
      <c r="AB1022" s="585">
        <v>36585</v>
      </c>
      <c r="AC1022" s="585" t="s">
        <v>164</v>
      </c>
      <c r="AD1022" s="585">
        <v>27800</v>
      </c>
      <c r="AE1022" s="587">
        <v>0.01</v>
      </c>
      <c r="AF1022" s="661" t="str">
        <f t="shared" si="108"/>
        <v>2019-LVN-FRD-T25V-003-15</v>
      </c>
      <c r="AG1022" s="661" t="str">
        <f>IF(AND($Y1022&gt;=32,(AI1022="I"),(Y1022&lt;&gt;"~"),(COUNTIF($AN$1:$AN1022,$AN1022)=1)),"TRUE","FALSE")</f>
        <v>FALSE</v>
      </c>
      <c r="AH1022" s="661" t="str">
        <f>IF(AND($Y1022&gt;=22, (AI1022&lt;&gt;"I"),(Y1022&lt;&gt;"~"),(COUNTIF($AN$1:$AN1022,$AN1022)=1)),"TRUE","FALSE")</f>
        <v>FALSE</v>
      </c>
      <c r="AI1022" s="661" t="str">
        <f t="shared" si="110"/>
        <v>II</v>
      </c>
      <c r="AJ1022" s="662" t="str">
        <f t="shared" si="104"/>
        <v>T25V-003</v>
      </c>
      <c r="AK1022" s="662" t="str">
        <f t="shared" si="105"/>
        <v>LVN</v>
      </c>
      <c r="AL1022" s="662" t="str">
        <f t="shared" si="106"/>
        <v>FRD</v>
      </c>
      <c r="AM1022" s="662" t="str">
        <f t="shared" si="109"/>
        <v>Transit 250 Van-Dual Door-RWD-2-100.8-~-3.7L-6-R1D-101A-129.9-25-Unleaded-Unleaded</v>
      </c>
      <c r="AN1022" s="662" t="str">
        <f t="shared" si="107"/>
        <v>2019-LVN-FRD-T25V-003</v>
      </c>
    </row>
    <row r="1023" spans="1:40" s="572" customFormat="1" ht="15">
      <c r="A1023" s="570" t="s">
        <v>2226</v>
      </c>
      <c r="B1023" s="573" t="s">
        <v>2209</v>
      </c>
      <c r="C1023" s="573" t="s">
        <v>278</v>
      </c>
      <c r="D1023" s="578">
        <v>15</v>
      </c>
      <c r="E1023" s="573" t="s">
        <v>1516</v>
      </c>
      <c r="F1023" s="573" t="s">
        <v>1517</v>
      </c>
      <c r="G1023" s="573" t="s">
        <v>271</v>
      </c>
      <c r="H1023" s="573">
        <v>2019</v>
      </c>
      <c r="I1023" s="573" t="s">
        <v>2199</v>
      </c>
      <c r="J1023" s="573" t="s">
        <v>1916</v>
      </c>
      <c r="K1023" s="573" t="s">
        <v>236</v>
      </c>
      <c r="L1023" s="573">
        <v>2</v>
      </c>
      <c r="M1023" s="573">
        <v>0</v>
      </c>
      <c r="N1023" s="573" t="s">
        <v>157</v>
      </c>
      <c r="O1023" s="573">
        <v>1</v>
      </c>
      <c r="P1023" s="573">
        <v>109.4</v>
      </c>
      <c r="Q1023" s="571" t="s">
        <v>157</v>
      </c>
      <c r="R1023" s="573" t="s">
        <v>1917</v>
      </c>
      <c r="S1023" s="573">
        <v>5</v>
      </c>
      <c r="T1023" s="573" t="s">
        <v>2210</v>
      </c>
      <c r="U1023" s="573" t="s">
        <v>1894</v>
      </c>
      <c r="V1023" s="573">
        <v>147.6</v>
      </c>
      <c r="W1023" s="573">
        <v>25</v>
      </c>
      <c r="X1023" s="571">
        <v>9000</v>
      </c>
      <c r="Y1023" s="569">
        <v>14</v>
      </c>
      <c r="Z1023" s="579" t="s">
        <v>728</v>
      </c>
      <c r="AA1023" s="579" t="s">
        <v>1523</v>
      </c>
      <c r="AB1023" s="584">
        <v>45755</v>
      </c>
      <c r="AC1023" s="584" t="s">
        <v>164</v>
      </c>
      <c r="AD1023" s="584">
        <v>36300</v>
      </c>
      <c r="AE1023" s="586">
        <v>0.01</v>
      </c>
      <c r="AF1023" s="661" t="str">
        <f t="shared" si="108"/>
        <v>2019-LVN-FRD-T25V-004-15</v>
      </c>
      <c r="AG1023" s="661" t="str">
        <f>IF(AND($Y1023&gt;=32,(AI1023="I"),(Y1023&lt;&gt;"~"),(COUNTIF($AN$1:$AN1023,$AN1023)=1)),"TRUE","FALSE")</f>
        <v>FALSE</v>
      </c>
      <c r="AH1023" s="661" t="str">
        <f>IF(AND($Y1023&gt;=22, (AI1023&lt;&gt;"I"),(Y1023&lt;&gt;"~"),(COUNTIF($AN$1:$AN1023,$AN1023)=1)),"TRUE","FALSE")</f>
        <v>FALSE</v>
      </c>
      <c r="AI1023" s="661" t="str">
        <f t="shared" si="110"/>
        <v>II</v>
      </c>
      <c r="AJ1023" s="662" t="str">
        <f t="shared" si="104"/>
        <v>T25V-004</v>
      </c>
      <c r="AK1023" s="662" t="str">
        <f t="shared" si="105"/>
        <v>LVN</v>
      </c>
      <c r="AL1023" s="662" t="str">
        <f t="shared" si="106"/>
        <v>FRD</v>
      </c>
      <c r="AM1023" s="662" t="str">
        <f t="shared" si="109"/>
        <v>Transit 250 Van-Dual Door-RWD-2-109.4-~-3.2L-5-R3U-101A-147.6-25-Diesel-BioDiesel</v>
      </c>
      <c r="AN1023" s="662" t="str">
        <f t="shared" si="107"/>
        <v>2019-LVN-FRD-T25V-004</v>
      </c>
    </row>
    <row r="1024" spans="1:40" s="572" customFormat="1" ht="15">
      <c r="A1024" s="570" t="s">
        <v>2227</v>
      </c>
      <c r="B1024" s="569" t="s">
        <v>2212</v>
      </c>
      <c r="C1024" s="569" t="s">
        <v>278</v>
      </c>
      <c r="D1024" s="580">
        <v>15</v>
      </c>
      <c r="E1024" s="569" t="s">
        <v>1516</v>
      </c>
      <c r="F1024" s="569" t="s">
        <v>1517</v>
      </c>
      <c r="G1024" s="569" t="s">
        <v>271</v>
      </c>
      <c r="H1024" s="569">
        <v>2019</v>
      </c>
      <c r="I1024" s="569" t="s">
        <v>2199</v>
      </c>
      <c r="J1024" s="569" t="s">
        <v>1916</v>
      </c>
      <c r="K1024" s="569" t="s">
        <v>236</v>
      </c>
      <c r="L1024" s="569">
        <v>2</v>
      </c>
      <c r="M1024" s="569">
        <v>0</v>
      </c>
      <c r="N1024" s="569" t="s">
        <v>157</v>
      </c>
      <c r="O1024" s="569">
        <v>1</v>
      </c>
      <c r="P1024" s="569">
        <v>109.4</v>
      </c>
      <c r="Q1024" s="568" t="s">
        <v>157</v>
      </c>
      <c r="R1024" s="569" t="s">
        <v>1259</v>
      </c>
      <c r="S1024" s="569">
        <v>6</v>
      </c>
      <c r="T1024" s="569" t="s">
        <v>2210</v>
      </c>
      <c r="U1024" s="569" t="s">
        <v>1894</v>
      </c>
      <c r="V1024" s="569">
        <v>147.6</v>
      </c>
      <c r="W1024" s="569">
        <v>25</v>
      </c>
      <c r="X1024" s="568">
        <v>9000</v>
      </c>
      <c r="Y1024" s="569">
        <v>14</v>
      </c>
      <c r="Z1024" s="581" t="s">
        <v>178</v>
      </c>
      <c r="AA1024" s="581" t="s">
        <v>178</v>
      </c>
      <c r="AB1024" s="585">
        <v>43625</v>
      </c>
      <c r="AC1024" s="585" t="s">
        <v>164</v>
      </c>
      <c r="AD1024" s="585">
        <v>34400</v>
      </c>
      <c r="AE1024" s="587">
        <v>0.01</v>
      </c>
      <c r="AF1024" s="661" t="str">
        <f t="shared" si="108"/>
        <v>2019-LVN-FRD-T25V-005-15</v>
      </c>
      <c r="AG1024" s="661" t="str">
        <f>IF(AND($Y1024&gt;=32,(AI1024="I"),(Y1024&lt;&gt;"~"),(COUNTIF($AN$1:$AN1024,$AN1024)=1)),"TRUE","FALSE")</f>
        <v>FALSE</v>
      </c>
      <c r="AH1024" s="661" t="str">
        <f>IF(AND($Y1024&gt;=22, (AI1024&lt;&gt;"I"),(Y1024&lt;&gt;"~"),(COUNTIF($AN$1:$AN1024,$AN1024)=1)),"TRUE","FALSE")</f>
        <v>FALSE</v>
      </c>
      <c r="AI1024" s="661" t="str">
        <f t="shared" si="110"/>
        <v>II</v>
      </c>
      <c r="AJ1024" s="662" t="str">
        <f t="shared" si="104"/>
        <v>T25V-005</v>
      </c>
      <c r="AK1024" s="662" t="str">
        <f t="shared" si="105"/>
        <v>LVN</v>
      </c>
      <c r="AL1024" s="662" t="str">
        <f t="shared" si="106"/>
        <v>FRD</v>
      </c>
      <c r="AM1024" s="662" t="str">
        <f t="shared" si="109"/>
        <v>Transit 250 Van-Dual Door-RWD-2-109.4-~-3.5L EcoBoost-6-R3U-101A-147.6-25-Unleaded-Unleaded</v>
      </c>
      <c r="AN1024" s="662" t="str">
        <f t="shared" si="107"/>
        <v>2019-LVN-FRD-T25V-005</v>
      </c>
    </row>
    <row r="1025" spans="1:40" s="572" customFormat="1" ht="15">
      <c r="A1025" s="570" t="s">
        <v>2228</v>
      </c>
      <c r="B1025" s="573" t="s">
        <v>2214</v>
      </c>
      <c r="C1025" s="573" t="s">
        <v>278</v>
      </c>
      <c r="D1025" s="578">
        <v>15</v>
      </c>
      <c r="E1025" s="573" t="s">
        <v>1516</v>
      </c>
      <c r="F1025" s="573" t="s">
        <v>1517</v>
      </c>
      <c r="G1025" s="573" t="s">
        <v>271</v>
      </c>
      <c r="H1025" s="573">
        <v>2019</v>
      </c>
      <c r="I1025" s="573" t="s">
        <v>2199</v>
      </c>
      <c r="J1025" s="573" t="s">
        <v>1916</v>
      </c>
      <c r="K1025" s="573" t="s">
        <v>236</v>
      </c>
      <c r="L1025" s="573">
        <v>2</v>
      </c>
      <c r="M1025" s="573">
        <v>0</v>
      </c>
      <c r="N1025" s="573" t="s">
        <v>157</v>
      </c>
      <c r="O1025" s="573">
        <v>1</v>
      </c>
      <c r="P1025" s="573">
        <v>109.4</v>
      </c>
      <c r="Q1025" s="571" t="s">
        <v>157</v>
      </c>
      <c r="R1025" s="573" t="s">
        <v>682</v>
      </c>
      <c r="S1025" s="573">
        <v>6</v>
      </c>
      <c r="T1025" s="573" t="s">
        <v>2210</v>
      </c>
      <c r="U1025" s="573" t="s">
        <v>1894</v>
      </c>
      <c r="V1025" s="573">
        <v>147.6</v>
      </c>
      <c r="W1025" s="573">
        <v>25</v>
      </c>
      <c r="X1025" s="571">
        <v>9000</v>
      </c>
      <c r="Y1025" s="569">
        <v>14</v>
      </c>
      <c r="Z1025" s="579" t="s">
        <v>178</v>
      </c>
      <c r="AA1025" s="579" t="s">
        <v>178</v>
      </c>
      <c r="AB1025" s="584">
        <v>41760</v>
      </c>
      <c r="AC1025" s="584" t="s">
        <v>164</v>
      </c>
      <c r="AD1025" s="584">
        <v>32700</v>
      </c>
      <c r="AE1025" s="586">
        <v>0.01</v>
      </c>
      <c r="AF1025" s="661" t="str">
        <f t="shared" si="108"/>
        <v>2019-LVN-FRD-T25V-006-15</v>
      </c>
      <c r="AG1025" s="661" t="str">
        <f>IF(AND($Y1025&gt;=32,(AI1025="I"),(Y1025&lt;&gt;"~"),(COUNTIF($AN$1:$AN1025,$AN1025)=1)),"TRUE","FALSE")</f>
        <v>FALSE</v>
      </c>
      <c r="AH1025" s="661" t="str">
        <f>IF(AND($Y1025&gt;=22, (AI1025&lt;&gt;"I"),(Y1025&lt;&gt;"~"),(COUNTIF($AN$1:$AN1025,$AN1025)=1)),"TRUE","FALSE")</f>
        <v>FALSE</v>
      </c>
      <c r="AI1025" s="661" t="str">
        <f t="shared" si="110"/>
        <v>II</v>
      </c>
      <c r="AJ1025" s="662" t="str">
        <f t="shared" si="104"/>
        <v>T25V-006</v>
      </c>
      <c r="AK1025" s="662" t="str">
        <f t="shared" si="105"/>
        <v>LVN</v>
      </c>
      <c r="AL1025" s="662" t="str">
        <f t="shared" si="106"/>
        <v>FRD</v>
      </c>
      <c r="AM1025" s="662" t="str">
        <f t="shared" si="109"/>
        <v>Transit 250 Van-Dual Door-RWD-2-109.4-~-3.7L-6-R3U-101A-147.6-25-Unleaded-Unleaded</v>
      </c>
      <c r="AN1025" s="662" t="str">
        <f t="shared" si="107"/>
        <v>2019-LVN-FRD-T25V-006</v>
      </c>
    </row>
    <row r="1026" spans="1:40" s="572" customFormat="1" ht="15">
      <c r="A1026" s="570" t="s">
        <v>2229</v>
      </c>
      <c r="B1026" s="569" t="s">
        <v>2216</v>
      </c>
      <c r="C1026" s="569" t="s">
        <v>278</v>
      </c>
      <c r="D1026" s="580">
        <v>15</v>
      </c>
      <c r="E1026" s="569" t="s">
        <v>1516</v>
      </c>
      <c r="F1026" s="569" t="s">
        <v>1517</v>
      </c>
      <c r="G1026" s="569" t="s">
        <v>271</v>
      </c>
      <c r="H1026" s="569">
        <v>2019</v>
      </c>
      <c r="I1026" s="569" t="s">
        <v>2199</v>
      </c>
      <c r="J1026" s="569" t="s">
        <v>1916</v>
      </c>
      <c r="K1026" s="569" t="s">
        <v>236</v>
      </c>
      <c r="L1026" s="569">
        <v>2</v>
      </c>
      <c r="M1026" s="569">
        <v>0</v>
      </c>
      <c r="N1026" s="569" t="s">
        <v>157</v>
      </c>
      <c r="O1026" s="569">
        <v>1</v>
      </c>
      <c r="P1026" s="569">
        <v>110.1</v>
      </c>
      <c r="Q1026" s="568" t="s">
        <v>157</v>
      </c>
      <c r="R1026" s="569" t="s">
        <v>1917</v>
      </c>
      <c r="S1026" s="569">
        <v>5</v>
      </c>
      <c r="T1026" s="569" t="s">
        <v>2217</v>
      </c>
      <c r="U1026" s="569" t="s">
        <v>1894</v>
      </c>
      <c r="V1026" s="569">
        <v>147.6</v>
      </c>
      <c r="W1026" s="569">
        <v>25</v>
      </c>
      <c r="X1026" s="568">
        <v>9000</v>
      </c>
      <c r="Y1026" s="569">
        <v>14</v>
      </c>
      <c r="Z1026" s="581" t="s">
        <v>728</v>
      </c>
      <c r="AA1026" s="581" t="s">
        <v>1523</v>
      </c>
      <c r="AB1026" s="585">
        <v>44455</v>
      </c>
      <c r="AC1026" s="585" t="s">
        <v>164</v>
      </c>
      <c r="AD1026" s="585">
        <v>35000</v>
      </c>
      <c r="AE1026" s="587">
        <v>0.01</v>
      </c>
      <c r="AF1026" s="661" t="str">
        <f t="shared" si="108"/>
        <v>2019-LVN-FRD-T25V-007-15</v>
      </c>
      <c r="AG1026" s="661" t="str">
        <f>IF(AND($Y1026&gt;=32,(AI1026="I"),(Y1026&lt;&gt;"~"),(COUNTIF($AN$1:$AN1026,$AN1026)=1)),"TRUE","FALSE")</f>
        <v>FALSE</v>
      </c>
      <c r="AH1026" s="661" t="str">
        <f>IF(AND($Y1026&gt;=22, (AI1026&lt;&gt;"I"),(Y1026&lt;&gt;"~"),(COUNTIF($AN$1:$AN1026,$AN1026)=1)),"TRUE","FALSE")</f>
        <v>FALSE</v>
      </c>
      <c r="AI1026" s="661" t="str">
        <f t="shared" si="110"/>
        <v>II</v>
      </c>
      <c r="AJ1026" s="662" t="str">
        <f t="shared" si="104"/>
        <v>T25V-007</v>
      </c>
      <c r="AK1026" s="662" t="str">
        <f t="shared" si="105"/>
        <v>LVN</v>
      </c>
      <c r="AL1026" s="662" t="str">
        <f t="shared" si="106"/>
        <v>FRD</v>
      </c>
      <c r="AM1026" s="662" t="str">
        <f t="shared" si="109"/>
        <v>Transit 250 Van-Dual Door-RWD-2-110.1-~-3.2L-5-R2U-101A-147.6-25-Diesel-BioDiesel</v>
      </c>
      <c r="AN1026" s="662" t="str">
        <f t="shared" si="107"/>
        <v>2019-LVN-FRD-T25V-007</v>
      </c>
    </row>
    <row r="1027" spans="1:40" s="572" customFormat="1" ht="15">
      <c r="A1027" s="570" t="s">
        <v>2230</v>
      </c>
      <c r="B1027" s="573" t="s">
        <v>2219</v>
      </c>
      <c r="C1027" s="573" t="s">
        <v>278</v>
      </c>
      <c r="D1027" s="578">
        <v>15</v>
      </c>
      <c r="E1027" s="573" t="s">
        <v>1516</v>
      </c>
      <c r="F1027" s="573" t="s">
        <v>1517</v>
      </c>
      <c r="G1027" s="573" t="s">
        <v>271</v>
      </c>
      <c r="H1027" s="573">
        <v>2019</v>
      </c>
      <c r="I1027" s="573" t="s">
        <v>2199</v>
      </c>
      <c r="J1027" s="573" t="s">
        <v>1916</v>
      </c>
      <c r="K1027" s="573" t="s">
        <v>236</v>
      </c>
      <c r="L1027" s="573">
        <v>2</v>
      </c>
      <c r="M1027" s="573">
        <v>0</v>
      </c>
      <c r="N1027" s="573" t="s">
        <v>157</v>
      </c>
      <c r="O1027" s="573">
        <v>1</v>
      </c>
      <c r="P1027" s="573">
        <v>110.1</v>
      </c>
      <c r="Q1027" s="571" t="s">
        <v>157</v>
      </c>
      <c r="R1027" s="573" t="s">
        <v>1259</v>
      </c>
      <c r="S1027" s="573">
        <v>6</v>
      </c>
      <c r="T1027" s="573" t="s">
        <v>2217</v>
      </c>
      <c r="U1027" s="573" t="s">
        <v>1894</v>
      </c>
      <c r="V1027" s="573">
        <v>147.6</v>
      </c>
      <c r="W1027" s="573">
        <v>25</v>
      </c>
      <c r="X1027" s="571">
        <v>9000</v>
      </c>
      <c r="Y1027" s="569">
        <v>14</v>
      </c>
      <c r="Z1027" s="579" t="s">
        <v>178</v>
      </c>
      <c r="AA1027" s="579" t="s">
        <v>178</v>
      </c>
      <c r="AB1027" s="584">
        <v>42325</v>
      </c>
      <c r="AC1027" s="584" t="s">
        <v>164</v>
      </c>
      <c r="AD1027" s="584">
        <v>33100</v>
      </c>
      <c r="AE1027" s="586">
        <v>0.01</v>
      </c>
      <c r="AF1027" s="661" t="str">
        <f t="shared" si="108"/>
        <v>2019-LVN-FRD-T25V-008-15</v>
      </c>
      <c r="AG1027" s="661" t="str">
        <f>IF(AND($Y1027&gt;=32,(AI1027="I"),(Y1027&lt;&gt;"~"),(COUNTIF($AN$1:$AN1027,$AN1027)=1)),"TRUE","FALSE")</f>
        <v>FALSE</v>
      </c>
      <c r="AH1027" s="661" t="str">
        <f>IF(AND($Y1027&gt;=22, (AI1027&lt;&gt;"I"),(Y1027&lt;&gt;"~"),(COUNTIF($AN$1:$AN1027,$AN1027)=1)),"TRUE","FALSE")</f>
        <v>FALSE</v>
      </c>
      <c r="AI1027" s="661" t="str">
        <f t="shared" si="110"/>
        <v>II</v>
      </c>
      <c r="AJ1027" s="662" t="str">
        <f t="shared" ref="AJ1027:AJ1090" si="111">MID(A1027,14,8)</f>
        <v>T25V-008</v>
      </c>
      <c r="AK1027" s="662" t="str">
        <f t="shared" ref="AK1027:AK1090" si="112">MID(A1027,6,3)</f>
        <v>LVN</v>
      </c>
      <c r="AL1027" s="662" t="str">
        <f t="shared" ref="AL1027:AL1090" si="113">MID(A1027,10,3)</f>
        <v>FRD</v>
      </c>
      <c r="AM1027" s="662" t="str">
        <f t="shared" si="109"/>
        <v>Transit 250 Van-Dual Door-RWD-2-110.1-~-3.5L EcoBoost-6-R2U-101A-147.6-25-Unleaded-Unleaded</v>
      </c>
      <c r="AN1027" s="662" t="str">
        <f t="shared" ref="AN1027:AN1090" si="114">LEFT(A1027,21)</f>
        <v>2019-LVN-FRD-T25V-008</v>
      </c>
    </row>
    <row r="1028" spans="1:40" s="572" customFormat="1" ht="15">
      <c r="A1028" s="570" t="s">
        <v>2231</v>
      </c>
      <c r="B1028" s="569" t="s">
        <v>2221</v>
      </c>
      <c r="C1028" s="569" t="s">
        <v>278</v>
      </c>
      <c r="D1028" s="580">
        <v>15</v>
      </c>
      <c r="E1028" s="569" t="s">
        <v>1516</v>
      </c>
      <c r="F1028" s="569" t="s">
        <v>1517</v>
      </c>
      <c r="G1028" s="569" t="s">
        <v>271</v>
      </c>
      <c r="H1028" s="569">
        <v>2019</v>
      </c>
      <c r="I1028" s="569" t="s">
        <v>2199</v>
      </c>
      <c r="J1028" s="569" t="s">
        <v>1916</v>
      </c>
      <c r="K1028" s="569" t="s">
        <v>236</v>
      </c>
      <c r="L1028" s="569">
        <v>2</v>
      </c>
      <c r="M1028" s="569">
        <v>0</v>
      </c>
      <c r="N1028" s="569" t="s">
        <v>157</v>
      </c>
      <c r="O1028" s="569">
        <v>1</v>
      </c>
      <c r="P1028" s="569">
        <v>110.1</v>
      </c>
      <c r="Q1028" s="568" t="s">
        <v>157</v>
      </c>
      <c r="R1028" s="569" t="s">
        <v>682</v>
      </c>
      <c r="S1028" s="569">
        <v>6</v>
      </c>
      <c r="T1028" s="569" t="s">
        <v>2217</v>
      </c>
      <c r="U1028" s="569" t="s">
        <v>1894</v>
      </c>
      <c r="V1028" s="569">
        <v>147.6</v>
      </c>
      <c r="W1028" s="569">
        <v>25</v>
      </c>
      <c r="X1028" s="568">
        <v>9000</v>
      </c>
      <c r="Y1028" s="569">
        <v>14</v>
      </c>
      <c r="Z1028" s="581" t="s">
        <v>178</v>
      </c>
      <c r="AA1028" s="581" t="s">
        <v>178</v>
      </c>
      <c r="AB1028" s="585">
        <v>40460</v>
      </c>
      <c r="AC1028" s="585" t="s">
        <v>164</v>
      </c>
      <c r="AD1028" s="585">
        <v>31500</v>
      </c>
      <c r="AE1028" s="587">
        <v>0.01</v>
      </c>
      <c r="AF1028" s="661" t="str">
        <f t="shared" si="108"/>
        <v>2019-LVN-FRD-T25V-009-15</v>
      </c>
      <c r="AG1028" s="661" t="str">
        <f>IF(AND($Y1028&gt;=32,(AI1028="I"),(Y1028&lt;&gt;"~"),(COUNTIF($AN$1:$AN1028,$AN1028)=1)),"TRUE","FALSE")</f>
        <v>FALSE</v>
      </c>
      <c r="AH1028" s="661" t="str">
        <f>IF(AND($Y1028&gt;=22, (AI1028&lt;&gt;"I"),(Y1028&lt;&gt;"~"),(COUNTIF($AN$1:$AN1028,$AN1028)=1)),"TRUE","FALSE")</f>
        <v>FALSE</v>
      </c>
      <c r="AI1028" s="661" t="str">
        <f t="shared" si="110"/>
        <v>II</v>
      </c>
      <c r="AJ1028" s="662" t="str">
        <f t="shared" si="111"/>
        <v>T25V-009</v>
      </c>
      <c r="AK1028" s="662" t="str">
        <f t="shared" si="112"/>
        <v>LVN</v>
      </c>
      <c r="AL1028" s="662" t="str">
        <f t="shared" si="113"/>
        <v>FRD</v>
      </c>
      <c r="AM1028" s="662" t="str">
        <f t="shared" si="109"/>
        <v>Transit 250 Van-Dual Door-RWD-2-110.1-~-3.7L-6-R2U-101A-147.6-25-Unleaded-Unleaded</v>
      </c>
      <c r="AN1028" s="662" t="str">
        <f t="shared" si="114"/>
        <v>2019-LVN-FRD-T25V-009</v>
      </c>
    </row>
    <row r="1029" spans="1:40" s="572" customFormat="1" ht="15">
      <c r="A1029" s="570" t="s">
        <v>2232</v>
      </c>
      <c r="B1029" s="573" t="s">
        <v>2198</v>
      </c>
      <c r="C1029" s="573" t="s">
        <v>287</v>
      </c>
      <c r="D1029" s="578">
        <v>26</v>
      </c>
      <c r="E1029" s="573" t="s">
        <v>1516</v>
      </c>
      <c r="F1029" s="573" t="s">
        <v>1517</v>
      </c>
      <c r="G1029" s="573" t="s">
        <v>271</v>
      </c>
      <c r="H1029" s="573">
        <v>2019</v>
      </c>
      <c r="I1029" s="573" t="s">
        <v>2199</v>
      </c>
      <c r="J1029" s="573" t="s">
        <v>1916</v>
      </c>
      <c r="K1029" s="573" t="s">
        <v>236</v>
      </c>
      <c r="L1029" s="573">
        <v>2</v>
      </c>
      <c r="M1029" s="573">
        <v>0</v>
      </c>
      <c r="N1029" s="573" t="s">
        <v>157</v>
      </c>
      <c r="O1029" s="573">
        <v>1</v>
      </c>
      <c r="P1029" s="573">
        <v>100.7</v>
      </c>
      <c r="Q1029" s="571" t="s">
        <v>157</v>
      </c>
      <c r="R1029" s="573" t="s">
        <v>682</v>
      </c>
      <c r="S1029" s="573">
        <v>6</v>
      </c>
      <c r="T1029" s="573" t="s">
        <v>2200</v>
      </c>
      <c r="U1029" s="573" t="s">
        <v>1894</v>
      </c>
      <c r="V1029" s="573">
        <v>147.6</v>
      </c>
      <c r="W1029" s="573">
        <v>25</v>
      </c>
      <c r="X1029" s="571">
        <v>9000</v>
      </c>
      <c r="Y1029" s="569">
        <v>14</v>
      </c>
      <c r="Z1029" s="579" t="s">
        <v>178</v>
      </c>
      <c r="AA1029" s="579" t="s">
        <v>178</v>
      </c>
      <c r="AB1029" s="584">
        <v>38310</v>
      </c>
      <c r="AC1029" s="584" t="s">
        <v>164</v>
      </c>
      <c r="AD1029" s="584">
        <v>29902</v>
      </c>
      <c r="AE1029" s="586">
        <v>0.05</v>
      </c>
      <c r="AF1029" s="661" t="str">
        <f t="shared" si="108"/>
        <v>2019-LVN-FRD-T25V-040-26</v>
      </c>
      <c r="AG1029" s="661" t="str">
        <f>IF(AND($Y1029&gt;=32,(AI1029="I"),(Y1029&lt;&gt;"~"),(COUNTIF($AN$1:$AN1029,$AN1029)=1)),"TRUE","FALSE")</f>
        <v>FALSE</v>
      </c>
      <c r="AH1029" s="661" t="str">
        <f>IF(AND($Y1029&gt;=22, (AI1029&lt;&gt;"I"),(Y1029&lt;&gt;"~"),(COUNTIF($AN$1:$AN1029,$AN1029)=1)),"TRUE","FALSE")</f>
        <v>FALSE</v>
      </c>
      <c r="AI1029" s="661" t="str">
        <f t="shared" si="110"/>
        <v>II</v>
      </c>
      <c r="AJ1029" s="662" t="str">
        <f t="shared" si="111"/>
        <v>T25V-040</v>
      </c>
      <c r="AK1029" s="662" t="str">
        <f t="shared" si="112"/>
        <v>LVN</v>
      </c>
      <c r="AL1029" s="662" t="str">
        <f t="shared" si="113"/>
        <v>FRD</v>
      </c>
      <c r="AM1029" s="662" t="str">
        <f t="shared" si="109"/>
        <v>Transit 250 Van-Dual Door-RWD-2-100.7-~-3.7L-6-R2D-101A-147.6-25-Unleaded-Unleaded</v>
      </c>
      <c r="AN1029" s="662" t="str">
        <f t="shared" si="114"/>
        <v>2019-LVN-FRD-T25V-040</v>
      </c>
    </row>
    <row r="1030" spans="1:40" s="572" customFormat="1" ht="15">
      <c r="A1030" s="570" t="s">
        <v>2233</v>
      </c>
      <c r="B1030" s="569" t="s">
        <v>2202</v>
      </c>
      <c r="C1030" s="569" t="s">
        <v>287</v>
      </c>
      <c r="D1030" s="580">
        <v>26</v>
      </c>
      <c r="E1030" s="569" t="s">
        <v>1516</v>
      </c>
      <c r="F1030" s="569" t="s">
        <v>1517</v>
      </c>
      <c r="G1030" s="569" t="s">
        <v>271</v>
      </c>
      <c r="H1030" s="569">
        <v>2019</v>
      </c>
      <c r="I1030" s="569" t="s">
        <v>2199</v>
      </c>
      <c r="J1030" s="569" t="s">
        <v>1916</v>
      </c>
      <c r="K1030" s="569" t="s">
        <v>236</v>
      </c>
      <c r="L1030" s="569">
        <v>2</v>
      </c>
      <c r="M1030" s="569">
        <v>0</v>
      </c>
      <c r="N1030" s="569" t="s">
        <v>157</v>
      </c>
      <c r="O1030" s="569">
        <v>1</v>
      </c>
      <c r="P1030" s="569">
        <v>100.8</v>
      </c>
      <c r="Q1030" s="568" t="s">
        <v>157</v>
      </c>
      <c r="R1030" s="569" t="s">
        <v>1917</v>
      </c>
      <c r="S1030" s="569">
        <v>5</v>
      </c>
      <c r="T1030" s="569" t="s">
        <v>2203</v>
      </c>
      <c r="U1030" s="569" t="s">
        <v>1894</v>
      </c>
      <c r="V1030" s="569">
        <v>129.9</v>
      </c>
      <c r="W1030" s="569">
        <v>25</v>
      </c>
      <c r="X1030" s="568">
        <v>9000</v>
      </c>
      <c r="Y1030" s="569">
        <v>14</v>
      </c>
      <c r="Z1030" s="581" t="s">
        <v>728</v>
      </c>
      <c r="AA1030" s="581" t="s">
        <v>1523</v>
      </c>
      <c r="AB1030" s="585">
        <v>40580</v>
      </c>
      <c r="AC1030" s="585" t="s">
        <v>164</v>
      </c>
      <c r="AD1030" s="585">
        <v>31937</v>
      </c>
      <c r="AE1030" s="587">
        <v>0.05</v>
      </c>
      <c r="AF1030" s="661" t="str">
        <f t="shared" si="108"/>
        <v>2019-LVN-FRD-T25V-001-26</v>
      </c>
      <c r="AG1030" s="661" t="str">
        <f>IF(AND($Y1030&gt;=32,(AI1030="I"),(Y1030&lt;&gt;"~"),(COUNTIF($AN$1:$AN1030,$AN1030)=1)),"TRUE","FALSE")</f>
        <v>FALSE</v>
      </c>
      <c r="AH1030" s="661" t="str">
        <f>IF(AND($Y1030&gt;=22, (AI1030&lt;&gt;"I"),(Y1030&lt;&gt;"~"),(COUNTIF($AN$1:$AN1030,$AN1030)=1)),"TRUE","FALSE")</f>
        <v>FALSE</v>
      </c>
      <c r="AI1030" s="661" t="str">
        <f t="shared" si="110"/>
        <v>II</v>
      </c>
      <c r="AJ1030" s="662" t="str">
        <f t="shared" si="111"/>
        <v>T25V-001</v>
      </c>
      <c r="AK1030" s="662" t="str">
        <f t="shared" si="112"/>
        <v>LVN</v>
      </c>
      <c r="AL1030" s="662" t="str">
        <f t="shared" si="113"/>
        <v>FRD</v>
      </c>
      <c r="AM1030" s="662" t="str">
        <f t="shared" si="109"/>
        <v>Transit 250 Van-Dual Door-RWD-2-100.8-~-3.2L-5-R1D-101A-129.9-25-Diesel-BioDiesel</v>
      </c>
      <c r="AN1030" s="662" t="str">
        <f t="shared" si="114"/>
        <v>2019-LVN-FRD-T25V-001</v>
      </c>
    </row>
    <row r="1031" spans="1:40" s="572" customFormat="1" ht="15">
      <c r="A1031" s="570" t="s">
        <v>2234</v>
      </c>
      <c r="B1031" s="573" t="s">
        <v>2205</v>
      </c>
      <c r="C1031" s="573" t="s">
        <v>287</v>
      </c>
      <c r="D1031" s="578">
        <v>26</v>
      </c>
      <c r="E1031" s="573" t="s">
        <v>1516</v>
      </c>
      <c r="F1031" s="573" t="s">
        <v>1517</v>
      </c>
      <c r="G1031" s="573" t="s">
        <v>271</v>
      </c>
      <c r="H1031" s="573">
        <v>2019</v>
      </c>
      <c r="I1031" s="573" t="s">
        <v>2199</v>
      </c>
      <c r="J1031" s="573" t="s">
        <v>1916</v>
      </c>
      <c r="K1031" s="573" t="s">
        <v>236</v>
      </c>
      <c r="L1031" s="573">
        <v>2</v>
      </c>
      <c r="M1031" s="573">
        <v>0</v>
      </c>
      <c r="N1031" s="573" t="s">
        <v>157</v>
      </c>
      <c r="O1031" s="573">
        <v>1</v>
      </c>
      <c r="P1031" s="573">
        <v>100.8</v>
      </c>
      <c r="Q1031" s="571" t="s">
        <v>157</v>
      </c>
      <c r="R1031" s="573" t="s">
        <v>1259</v>
      </c>
      <c r="S1031" s="573">
        <v>6</v>
      </c>
      <c r="T1031" s="573" t="s">
        <v>2203</v>
      </c>
      <c r="U1031" s="573" t="s">
        <v>1894</v>
      </c>
      <c r="V1031" s="573">
        <v>129.9</v>
      </c>
      <c r="W1031" s="573">
        <v>25</v>
      </c>
      <c r="X1031" s="571">
        <v>9000</v>
      </c>
      <c r="Y1031" s="569">
        <v>14</v>
      </c>
      <c r="Z1031" s="579" t="s">
        <v>178</v>
      </c>
      <c r="AA1031" s="579" t="s">
        <v>178</v>
      </c>
      <c r="AB1031" s="584">
        <v>38450</v>
      </c>
      <c r="AC1031" s="584" t="s">
        <v>164</v>
      </c>
      <c r="AD1031" s="584">
        <v>29984</v>
      </c>
      <c r="AE1031" s="586">
        <v>0.05</v>
      </c>
      <c r="AF1031" s="661" t="str">
        <f t="shared" si="108"/>
        <v>2019-LVN-FRD-T25V-002-26</v>
      </c>
      <c r="AG1031" s="661" t="str">
        <f>IF(AND($Y1031&gt;=32,(AI1031="I"),(Y1031&lt;&gt;"~"),(COUNTIF($AN$1:$AN1031,$AN1031)=1)),"TRUE","FALSE")</f>
        <v>FALSE</v>
      </c>
      <c r="AH1031" s="661" t="str">
        <f>IF(AND($Y1031&gt;=22, (AI1031&lt;&gt;"I"),(Y1031&lt;&gt;"~"),(COUNTIF($AN$1:$AN1031,$AN1031)=1)),"TRUE","FALSE")</f>
        <v>FALSE</v>
      </c>
      <c r="AI1031" s="661" t="str">
        <f t="shared" si="110"/>
        <v>II</v>
      </c>
      <c r="AJ1031" s="662" t="str">
        <f t="shared" si="111"/>
        <v>T25V-002</v>
      </c>
      <c r="AK1031" s="662" t="str">
        <f t="shared" si="112"/>
        <v>LVN</v>
      </c>
      <c r="AL1031" s="662" t="str">
        <f t="shared" si="113"/>
        <v>FRD</v>
      </c>
      <c r="AM1031" s="662" t="str">
        <f t="shared" si="109"/>
        <v>Transit 250 Van-Dual Door-RWD-2-100.8-~-3.5L EcoBoost-6-R1D-101A-129.9-25-Unleaded-Unleaded</v>
      </c>
      <c r="AN1031" s="662" t="str">
        <f t="shared" si="114"/>
        <v>2019-LVN-FRD-T25V-002</v>
      </c>
    </row>
    <row r="1032" spans="1:40" s="572" customFormat="1" ht="15">
      <c r="A1032" s="570" t="s">
        <v>2235</v>
      </c>
      <c r="B1032" s="569" t="s">
        <v>2207</v>
      </c>
      <c r="C1032" s="569" t="s">
        <v>287</v>
      </c>
      <c r="D1032" s="580">
        <v>26</v>
      </c>
      <c r="E1032" s="569" t="s">
        <v>1516</v>
      </c>
      <c r="F1032" s="569" t="s">
        <v>1517</v>
      </c>
      <c r="G1032" s="569" t="s">
        <v>271</v>
      </c>
      <c r="H1032" s="569">
        <v>2019</v>
      </c>
      <c r="I1032" s="569" t="s">
        <v>2199</v>
      </c>
      <c r="J1032" s="569" t="s">
        <v>1916</v>
      </c>
      <c r="K1032" s="569" t="s">
        <v>236</v>
      </c>
      <c r="L1032" s="569">
        <v>2</v>
      </c>
      <c r="M1032" s="569">
        <v>0</v>
      </c>
      <c r="N1032" s="569" t="s">
        <v>157</v>
      </c>
      <c r="O1032" s="569">
        <v>1</v>
      </c>
      <c r="P1032" s="569">
        <v>100.8</v>
      </c>
      <c r="Q1032" s="568" t="s">
        <v>157</v>
      </c>
      <c r="R1032" s="569" t="s">
        <v>682</v>
      </c>
      <c r="S1032" s="569">
        <v>6</v>
      </c>
      <c r="T1032" s="569" t="s">
        <v>2203</v>
      </c>
      <c r="U1032" s="569" t="s">
        <v>1894</v>
      </c>
      <c r="V1032" s="569">
        <v>129.9</v>
      </c>
      <c r="W1032" s="569">
        <v>25</v>
      </c>
      <c r="X1032" s="568">
        <v>9000</v>
      </c>
      <c r="Y1032" s="569">
        <v>14</v>
      </c>
      <c r="Z1032" s="581" t="s">
        <v>178</v>
      </c>
      <c r="AA1032" s="581" t="s">
        <v>178</v>
      </c>
      <c r="AB1032" s="585">
        <v>36585</v>
      </c>
      <c r="AC1032" s="585" t="s">
        <v>164</v>
      </c>
      <c r="AD1032" s="585">
        <v>28274</v>
      </c>
      <c r="AE1032" s="587">
        <v>0.05</v>
      </c>
      <c r="AF1032" s="661" t="str">
        <f t="shared" ref="AF1032:AF1095" si="115">A1032</f>
        <v>2019-LVN-FRD-T25V-003-26</v>
      </c>
      <c r="AG1032" s="661" t="str">
        <f>IF(AND($Y1032&gt;=32,(AI1032="I"),(Y1032&lt;&gt;"~"),(COUNTIF($AN$1:$AN1032,$AN1032)=1)),"TRUE","FALSE")</f>
        <v>FALSE</v>
      </c>
      <c r="AH1032" s="661" t="str">
        <f>IF(AND($Y1032&gt;=22, (AI1032&lt;&gt;"I"),(Y1032&lt;&gt;"~"),(COUNTIF($AN$1:$AN1032,$AN1032)=1)),"TRUE","FALSE")</f>
        <v>FALSE</v>
      </c>
      <c r="AI1032" s="661" t="str">
        <f t="shared" si="110"/>
        <v>II</v>
      </c>
      <c r="AJ1032" s="662" t="str">
        <f t="shared" si="111"/>
        <v>T25V-003</v>
      </c>
      <c r="AK1032" s="662" t="str">
        <f t="shared" si="112"/>
        <v>LVN</v>
      </c>
      <c r="AL1032" s="662" t="str">
        <f t="shared" si="113"/>
        <v>FRD</v>
      </c>
      <c r="AM1032" s="662" t="str">
        <f t="shared" si="109"/>
        <v>Transit 250 Van-Dual Door-RWD-2-100.8-~-3.7L-6-R1D-101A-129.9-25-Unleaded-Unleaded</v>
      </c>
      <c r="AN1032" s="662" t="str">
        <f t="shared" si="114"/>
        <v>2019-LVN-FRD-T25V-003</v>
      </c>
    </row>
    <row r="1033" spans="1:40" s="572" customFormat="1" ht="15">
      <c r="A1033" s="570" t="s">
        <v>2236</v>
      </c>
      <c r="B1033" s="573" t="s">
        <v>2209</v>
      </c>
      <c r="C1033" s="573" t="s">
        <v>287</v>
      </c>
      <c r="D1033" s="578">
        <v>26</v>
      </c>
      <c r="E1033" s="573" t="s">
        <v>1516</v>
      </c>
      <c r="F1033" s="573" t="s">
        <v>1517</v>
      </c>
      <c r="G1033" s="573" t="s">
        <v>271</v>
      </c>
      <c r="H1033" s="573">
        <v>2019</v>
      </c>
      <c r="I1033" s="573" t="s">
        <v>2199</v>
      </c>
      <c r="J1033" s="573" t="s">
        <v>1916</v>
      </c>
      <c r="K1033" s="573" t="s">
        <v>236</v>
      </c>
      <c r="L1033" s="573">
        <v>2</v>
      </c>
      <c r="M1033" s="573">
        <v>0</v>
      </c>
      <c r="N1033" s="573" t="s">
        <v>157</v>
      </c>
      <c r="O1033" s="573">
        <v>1</v>
      </c>
      <c r="P1033" s="573">
        <v>109.4</v>
      </c>
      <c r="Q1033" s="571" t="s">
        <v>157</v>
      </c>
      <c r="R1033" s="573" t="s">
        <v>1917</v>
      </c>
      <c r="S1033" s="573">
        <v>5</v>
      </c>
      <c r="T1033" s="573" t="s">
        <v>2210</v>
      </c>
      <c r="U1033" s="573" t="s">
        <v>1894</v>
      </c>
      <c r="V1033" s="573">
        <v>147.6</v>
      </c>
      <c r="W1033" s="573">
        <v>25</v>
      </c>
      <c r="X1033" s="571">
        <v>9000</v>
      </c>
      <c r="Y1033" s="569">
        <v>14</v>
      </c>
      <c r="Z1033" s="579" t="s">
        <v>728</v>
      </c>
      <c r="AA1033" s="579" t="s">
        <v>1523</v>
      </c>
      <c r="AB1033" s="584">
        <v>45755</v>
      </c>
      <c r="AC1033" s="584" t="s">
        <v>164</v>
      </c>
      <c r="AD1033" s="584">
        <v>36824</v>
      </c>
      <c r="AE1033" s="586">
        <v>0.05</v>
      </c>
      <c r="AF1033" s="661" t="str">
        <f t="shared" si="115"/>
        <v>2019-LVN-FRD-T25V-004-26</v>
      </c>
      <c r="AG1033" s="661" t="str">
        <f>IF(AND($Y1033&gt;=32,(AI1033="I"),(Y1033&lt;&gt;"~"),(COUNTIF($AN$1:$AN1033,$AN1033)=1)),"TRUE","FALSE")</f>
        <v>FALSE</v>
      </c>
      <c r="AH1033" s="661" t="str">
        <f>IF(AND($Y1033&gt;=22, (AI1033&lt;&gt;"I"),(Y1033&lt;&gt;"~"),(COUNTIF($AN$1:$AN1033,$AN1033)=1)),"TRUE","FALSE")</f>
        <v>FALSE</v>
      </c>
      <c r="AI1033" s="661" t="str">
        <f t="shared" si="110"/>
        <v>II</v>
      </c>
      <c r="AJ1033" s="662" t="str">
        <f t="shared" si="111"/>
        <v>T25V-004</v>
      </c>
      <c r="AK1033" s="662" t="str">
        <f t="shared" si="112"/>
        <v>LVN</v>
      </c>
      <c r="AL1033" s="662" t="str">
        <f t="shared" si="113"/>
        <v>FRD</v>
      </c>
      <c r="AM1033" s="662" t="str">
        <f t="shared" si="109"/>
        <v>Transit 250 Van-Dual Door-RWD-2-109.4-~-3.2L-5-R3U-101A-147.6-25-Diesel-BioDiesel</v>
      </c>
      <c r="AN1033" s="662" t="str">
        <f t="shared" si="114"/>
        <v>2019-LVN-FRD-T25V-004</v>
      </c>
    </row>
    <row r="1034" spans="1:40" s="572" customFormat="1" ht="15">
      <c r="A1034" s="570" t="s">
        <v>2237</v>
      </c>
      <c r="B1034" s="569" t="s">
        <v>2212</v>
      </c>
      <c r="C1034" s="569" t="s">
        <v>287</v>
      </c>
      <c r="D1034" s="580">
        <v>26</v>
      </c>
      <c r="E1034" s="569" t="s">
        <v>1516</v>
      </c>
      <c r="F1034" s="569" t="s">
        <v>1517</v>
      </c>
      <c r="G1034" s="569" t="s">
        <v>271</v>
      </c>
      <c r="H1034" s="569">
        <v>2019</v>
      </c>
      <c r="I1034" s="569" t="s">
        <v>2199</v>
      </c>
      <c r="J1034" s="569" t="s">
        <v>1916</v>
      </c>
      <c r="K1034" s="569" t="s">
        <v>236</v>
      </c>
      <c r="L1034" s="569">
        <v>2</v>
      </c>
      <c r="M1034" s="569">
        <v>0</v>
      </c>
      <c r="N1034" s="569" t="s">
        <v>157</v>
      </c>
      <c r="O1034" s="569">
        <v>1</v>
      </c>
      <c r="P1034" s="569">
        <v>109.4</v>
      </c>
      <c r="Q1034" s="568" t="s">
        <v>157</v>
      </c>
      <c r="R1034" s="569" t="s">
        <v>1259</v>
      </c>
      <c r="S1034" s="569">
        <v>6</v>
      </c>
      <c r="T1034" s="569" t="s">
        <v>2210</v>
      </c>
      <c r="U1034" s="569" t="s">
        <v>1894</v>
      </c>
      <c r="V1034" s="569">
        <v>147.6</v>
      </c>
      <c r="W1034" s="569">
        <v>25</v>
      </c>
      <c r="X1034" s="568">
        <v>9000</v>
      </c>
      <c r="Y1034" s="569">
        <v>14</v>
      </c>
      <c r="Z1034" s="581" t="s">
        <v>178</v>
      </c>
      <c r="AA1034" s="581" t="s">
        <v>178</v>
      </c>
      <c r="AB1034" s="585">
        <v>43625</v>
      </c>
      <c r="AC1034" s="585" t="s">
        <v>164</v>
      </c>
      <c r="AD1034" s="585">
        <v>34870</v>
      </c>
      <c r="AE1034" s="587">
        <v>0.05</v>
      </c>
      <c r="AF1034" s="661" t="str">
        <f t="shared" si="115"/>
        <v>2019-LVN-FRD-T25V-005-26</v>
      </c>
      <c r="AG1034" s="661" t="str">
        <f>IF(AND($Y1034&gt;=32,(AI1034="I"),(Y1034&lt;&gt;"~"),(COUNTIF($AN$1:$AN1034,$AN1034)=1)),"TRUE","FALSE")</f>
        <v>FALSE</v>
      </c>
      <c r="AH1034" s="661" t="str">
        <f>IF(AND($Y1034&gt;=22, (AI1034&lt;&gt;"I"),(Y1034&lt;&gt;"~"),(COUNTIF($AN$1:$AN1034,$AN1034)=1)),"TRUE","FALSE")</f>
        <v>FALSE</v>
      </c>
      <c r="AI1034" s="661" t="str">
        <f t="shared" si="110"/>
        <v>II</v>
      </c>
      <c r="AJ1034" s="662" t="str">
        <f t="shared" si="111"/>
        <v>T25V-005</v>
      </c>
      <c r="AK1034" s="662" t="str">
        <f t="shared" si="112"/>
        <v>LVN</v>
      </c>
      <c r="AL1034" s="662" t="str">
        <f t="shared" si="113"/>
        <v>FRD</v>
      </c>
      <c r="AM1034" s="662" t="str">
        <f t="shared" si="109"/>
        <v>Transit 250 Van-Dual Door-RWD-2-109.4-~-3.5L EcoBoost-6-R3U-101A-147.6-25-Unleaded-Unleaded</v>
      </c>
      <c r="AN1034" s="662" t="str">
        <f t="shared" si="114"/>
        <v>2019-LVN-FRD-T25V-005</v>
      </c>
    </row>
    <row r="1035" spans="1:40" s="572" customFormat="1" ht="15">
      <c r="A1035" s="570" t="s">
        <v>2238</v>
      </c>
      <c r="B1035" s="573" t="s">
        <v>2214</v>
      </c>
      <c r="C1035" s="573" t="s">
        <v>287</v>
      </c>
      <c r="D1035" s="578">
        <v>26</v>
      </c>
      <c r="E1035" s="573" t="s">
        <v>1516</v>
      </c>
      <c r="F1035" s="573" t="s">
        <v>1517</v>
      </c>
      <c r="G1035" s="573" t="s">
        <v>271</v>
      </c>
      <c r="H1035" s="573">
        <v>2019</v>
      </c>
      <c r="I1035" s="573" t="s">
        <v>2199</v>
      </c>
      <c r="J1035" s="573" t="s">
        <v>1916</v>
      </c>
      <c r="K1035" s="573" t="s">
        <v>236</v>
      </c>
      <c r="L1035" s="573">
        <v>2</v>
      </c>
      <c r="M1035" s="573">
        <v>0</v>
      </c>
      <c r="N1035" s="573" t="s">
        <v>157</v>
      </c>
      <c r="O1035" s="573">
        <v>1</v>
      </c>
      <c r="P1035" s="573">
        <v>109.4</v>
      </c>
      <c r="Q1035" s="571" t="s">
        <v>157</v>
      </c>
      <c r="R1035" s="573" t="s">
        <v>682</v>
      </c>
      <c r="S1035" s="573">
        <v>6</v>
      </c>
      <c r="T1035" s="573" t="s">
        <v>2210</v>
      </c>
      <c r="U1035" s="573" t="s">
        <v>1894</v>
      </c>
      <c r="V1035" s="573">
        <v>147.6</v>
      </c>
      <c r="W1035" s="573">
        <v>25</v>
      </c>
      <c r="X1035" s="571">
        <v>9000</v>
      </c>
      <c r="Y1035" s="569">
        <v>14</v>
      </c>
      <c r="Z1035" s="579" t="s">
        <v>178</v>
      </c>
      <c r="AA1035" s="579" t="s">
        <v>178</v>
      </c>
      <c r="AB1035" s="584">
        <v>41760</v>
      </c>
      <c r="AC1035" s="584" t="s">
        <v>164</v>
      </c>
      <c r="AD1035" s="584">
        <v>33160</v>
      </c>
      <c r="AE1035" s="586">
        <v>0.05</v>
      </c>
      <c r="AF1035" s="661" t="str">
        <f t="shared" si="115"/>
        <v>2019-LVN-FRD-T25V-006-26</v>
      </c>
      <c r="AG1035" s="661" t="str">
        <f>IF(AND($Y1035&gt;=32,(AI1035="I"),(Y1035&lt;&gt;"~"),(COUNTIF($AN$1:$AN1035,$AN1035)=1)),"TRUE","FALSE")</f>
        <v>FALSE</v>
      </c>
      <c r="AH1035" s="661" t="str">
        <f>IF(AND($Y1035&gt;=22, (AI1035&lt;&gt;"I"),(Y1035&lt;&gt;"~"),(COUNTIF($AN$1:$AN1035,$AN1035)=1)),"TRUE","FALSE")</f>
        <v>FALSE</v>
      </c>
      <c r="AI1035" s="661" t="str">
        <f t="shared" si="110"/>
        <v>II</v>
      </c>
      <c r="AJ1035" s="662" t="str">
        <f t="shared" si="111"/>
        <v>T25V-006</v>
      </c>
      <c r="AK1035" s="662" t="str">
        <f t="shared" si="112"/>
        <v>LVN</v>
      </c>
      <c r="AL1035" s="662" t="str">
        <f t="shared" si="113"/>
        <v>FRD</v>
      </c>
      <c r="AM1035" s="662" t="str">
        <f t="shared" si="109"/>
        <v>Transit 250 Van-Dual Door-RWD-2-109.4-~-3.7L-6-R3U-101A-147.6-25-Unleaded-Unleaded</v>
      </c>
      <c r="AN1035" s="662" t="str">
        <f t="shared" si="114"/>
        <v>2019-LVN-FRD-T25V-006</v>
      </c>
    </row>
    <row r="1036" spans="1:40" s="572" customFormat="1" ht="15">
      <c r="A1036" s="570" t="s">
        <v>2239</v>
      </c>
      <c r="B1036" s="569" t="s">
        <v>2216</v>
      </c>
      <c r="C1036" s="569" t="s">
        <v>287</v>
      </c>
      <c r="D1036" s="580">
        <v>26</v>
      </c>
      <c r="E1036" s="569" t="s">
        <v>1516</v>
      </c>
      <c r="F1036" s="569" t="s">
        <v>1517</v>
      </c>
      <c r="G1036" s="569" t="s">
        <v>271</v>
      </c>
      <c r="H1036" s="569">
        <v>2019</v>
      </c>
      <c r="I1036" s="569" t="s">
        <v>2199</v>
      </c>
      <c r="J1036" s="569" t="s">
        <v>1916</v>
      </c>
      <c r="K1036" s="569" t="s">
        <v>236</v>
      </c>
      <c r="L1036" s="569">
        <v>2</v>
      </c>
      <c r="M1036" s="569">
        <v>0</v>
      </c>
      <c r="N1036" s="569" t="s">
        <v>157</v>
      </c>
      <c r="O1036" s="569">
        <v>1</v>
      </c>
      <c r="P1036" s="569">
        <v>110.1</v>
      </c>
      <c r="Q1036" s="568" t="s">
        <v>157</v>
      </c>
      <c r="R1036" s="569" t="s">
        <v>1917</v>
      </c>
      <c r="S1036" s="569">
        <v>5</v>
      </c>
      <c r="T1036" s="569" t="s">
        <v>2217</v>
      </c>
      <c r="U1036" s="569" t="s">
        <v>1894</v>
      </c>
      <c r="V1036" s="569">
        <v>147.6</v>
      </c>
      <c r="W1036" s="569">
        <v>25</v>
      </c>
      <c r="X1036" s="568">
        <v>9000</v>
      </c>
      <c r="Y1036" s="569">
        <v>14</v>
      </c>
      <c r="Z1036" s="581" t="s">
        <v>728</v>
      </c>
      <c r="AA1036" s="581" t="s">
        <v>1523</v>
      </c>
      <c r="AB1036" s="585">
        <v>44455</v>
      </c>
      <c r="AC1036" s="585" t="s">
        <v>164</v>
      </c>
      <c r="AD1036" s="585">
        <v>35597</v>
      </c>
      <c r="AE1036" s="587">
        <v>0.05</v>
      </c>
      <c r="AF1036" s="661" t="str">
        <f t="shared" si="115"/>
        <v>2019-LVN-FRD-T25V-007-26</v>
      </c>
      <c r="AG1036" s="661" t="str">
        <f>IF(AND($Y1036&gt;=32,(AI1036="I"),(Y1036&lt;&gt;"~"),(COUNTIF($AN$1:$AN1036,$AN1036)=1)),"TRUE","FALSE")</f>
        <v>FALSE</v>
      </c>
      <c r="AH1036" s="661" t="str">
        <f>IF(AND($Y1036&gt;=22, (AI1036&lt;&gt;"I"),(Y1036&lt;&gt;"~"),(COUNTIF($AN$1:$AN1036,$AN1036)=1)),"TRUE","FALSE")</f>
        <v>FALSE</v>
      </c>
      <c r="AI1036" s="661" t="str">
        <f t="shared" si="110"/>
        <v>II</v>
      </c>
      <c r="AJ1036" s="662" t="str">
        <f t="shared" si="111"/>
        <v>T25V-007</v>
      </c>
      <c r="AK1036" s="662" t="str">
        <f t="shared" si="112"/>
        <v>LVN</v>
      </c>
      <c r="AL1036" s="662" t="str">
        <f t="shared" si="113"/>
        <v>FRD</v>
      </c>
      <c r="AM1036" s="662" t="str">
        <f t="shared" si="109"/>
        <v>Transit 250 Van-Dual Door-RWD-2-110.1-~-3.2L-5-R2U-101A-147.6-25-Diesel-BioDiesel</v>
      </c>
      <c r="AN1036" s="662" t="str">
        <f t="shared" si="114"/>
        <v>2019-LVN-FRD-T25V-007</v>
      </c>
    </row>
    <row r="1037" spans="1:40" s="572" customFormat="1" ht="15">
      <c r="A1037" s="570" t="s">
        <v>2240</v>
      </c>
      <c r="B1037" s="573" t="s">
        <v>2219</v>
      </c>
      <c r="C1037" s="573" t="s">
        <v>287</v>
      </c>
      <c r="D1037" s="578">
        <v>26</v>
      </c>
      <c r="E1037" s="573" t="s">
        <v>1516</v>
      </c>
      <c r="F1037" s="573" t="s">
        <v>1517</v>
      </c>
      <c r="G1037" s="573" t="s">
        <v>271</v>
      </c>
      <c r="H1037" s="573">
        <v>2019</v>
      </c>
      <c r="I1037" s="573" t="s">
        <v>2199</v>
      </c>
      <c r="J1037" s="573" t="s">
        <v>1916</v>
      </c>
      <c r="K1037" s="573" t="s">
        <v>236</v>
      </c>
      <c r="L1037" s="573">
        <v>2</v>
      </c>
      <c r="M1037" s="573">
        <v>0</v>
      </c>
      <c r="N1037" s="573" t="s">
        <v>157</v>
      </c>
      <c r="O1037" s="573">
        <v>1</v>
      </c>
      <c r="P1037" s="573">
        <v>110.1</v>
      </c>
      <c r="Q1037" s="571" t="s">
        <v>157</v>
      </c>
      <c r="R1037" s="573" t="s">
        <v>1259</v>
      </c>
      <c r="S1037" s="573">
        <v>6</v>
      </c>
      <c r="T1037" s="573" t="s">
        <v>2217</v>
      </c>
      <c r="U1037" s="573" t="s">
        <v>1894</v>
      </c>
      <c r="V1037" s="573">
        <v>147.6</v>
      </c>
      <c r="W1037" s="573">
        <v>25</v>
      </c>
      <c r="X1037" s="571">
        <v>9000</v>
      </c>
      <c r="Y1037" s="569">
        <v>14</v>
      </c>
      <c r="Z1037" s="579" t="s">
        <v>178</v>
      </c>
      <c r="AA1037" s="579" t="s">
        <v>178</v>
      </c>
      <c r="AB1037" s="584">
        <v>42325</v>
      </c>
      <c r="AC1037" s="584" t="s">
        <v>164</v>
      </c>
      <c r="AD1037" s="584">
        <v>33643</v>
      </c>
      <c r="AE1037" s="586">
        <v>0.05</v>
      </c>
      <c r="AF1037" s="661" t="str">
        <f t="shared" si="115"/>
        <v>2019-LVN-FRD-T25V-008-26</v>
      </c>
      <c r="AG1037" s="661" t="str">
        <f>IF(AND($Y1037&gt;=32,(AI1037="I"),(Y1037&lt;&gt;"~"),(COUNTIF($AN$1:$AN1037,$AN1037)=1)),"TRUE","FALSE")</f>
        <v>FALSE</v>
      </c>
      <c r="AH1037" s="661" t="str">
        <f>IF(AND($Y1037&gt;=22, (AI1037&lt;&gt;"I"),(Y1037&lt;&gt;"~"),(COUNTIF($AN$1:$AN1037,$AN1037)=1)),"TRUE","FALSE")</f>
        <v>FALSE</v>
      </c>
      <c r="AI1037" s="661" t="str">
        <f t="shared" si="110"/>
        <v>II</v>
      </c>
      <c r="AJ1037" s="662" t="str">
        <f t="shared" si="111"/>
        <v>T25V-008</v>
      </c>
      <c r="AK1037" s="662" t="str">
        <f t="shared" si="112"/>
        <v>LVN</v>
      </c>
      <c r="AL1037" s="662" t="str">
        <f t="shared" si="113"/>
        <v>FRD</v>
      </c>
      <c r="AM1037" s="662" t="str">
        <f t="shared" si="109"/>
        <v>Transit 250 Van-Dual Door-RWD-2-110.1-~-3.5L EcoBoost-6-R2U-101A-147.6-25-Unleaded-Unleaded</v>
      </c>
      <c r="AN1037" s="662" t="str">
        <f t="shared" si="114"/>
        <v>2019-LVN-FRD-T25V-008</v>
      </c>
    </row>
    <row r="1038" spans="1:40" s="572" customFormat="1" ht="15">
      <c r="A1038" s="570" t="s">
        <v>2241</v>
      </c>
      <c r="B1038" s="569" t="s">
        <v>2221</v>
      </c>
      <c r="C1038" s="569" t="s">
        <v>287</v>
      </c>
      <c r="D1038" s="580">
        <v>26</v>
      </c>
      <c r="E1038" s="569" t="s">
        <v>1516</v>
      </c>
      <c r="F1038" s="569" t="s">
        <v>1517</v>
      </c>
      <c r="G1038" s="569" t="s">
        <v>271</v>
      </c>
      <c r="H1038" s="569">
        <v>2019</v>
      </c>
      <c r="I1038" s="569" t="s">
        <v>2199</v>
      </c>
      <c r="J1038" s="569" t="s">
        <v>1916</v>
      </c>
      <c r="K1038" s="569" t="s">
        <v>236</v>
      </c>
      <c r="L1038" s="569">
        <v>2</v>
      </c>
      <c r="M1038" s="569">
        <v>0</v>
      </c>
      <c r="N1038" s="569" t="s">
        <v>157</v>
      </c>
      <c r="O1038" s="569">
        <v>1</v>
      </c>
      <c r="P1038" s="569">
        <v>110.1</v>
      </c>
      <c r="Q1038" s="568" t="s">
        <v>157</v>
      </c>
      <c r="R1038" s="569" t="s">
        <v>682</v>
      </c>
      <c r="S1038" s="569">
        <v>6</v>
      </c>
      <c r="T1038" s="569" t="s">
        <v>2217</v>
      </c>
      <c r="U1038" s="569" t="s">
        <v>1894</v>
      </c>
      <c r="V1038" s="569">
        <v>147.6</v>
      </c>
      <c r="W1038" s="569">
        <v>25</v>
      </c>
      <c r="X1038" s="568">
        <v>9000</v>
      </c>
      <c r="Y1038" s="569">
        <v>14</v>
      </c>
      <c r="Z1038" s="581" t="s">
        <v>178</v>
      </c>
      <c r="AA1038" s="581" t="s">
        <v>178</v>
      </c>
      <c r="AB1038" s="585">
        <v>40460</v>
      </c>
      <c r="AC1038" s="585" t="s">
        <v>164</v>
      </c>
      <c r="AD1038" s="585">
        <v>31933</v>
      </c>
      <c r="AE1038" s="587">
        <v>0.05</v>
      </c>
      <c r="AF1038" s="661" t="str">
        <f t="shared" si="115"/>
        <v>2019-LVN-FRD-T25V-009-26</v>
      </c>
      <c r="AG1038" s="661" t="str">
        <f>IF(AND($Y1038&gt;=32,(AI1038="I"),(Y1038&lt;&gt;"~"),(COUNTIF($AN$1:$AN1038,$AN1038)=1)),"TRUE","FALSE")</f>
        <v>FALSE</v>
      </c>
      <c r="AH1038" s="661" t="str">
        <f>IF(AND($Y1038&gt;=22, (AI1038&lt;&gt;"I"),(Y1038&lt;&gt;"~"),(COUNTIF($AN$1:$AN1038,$AN1038)=1)),"TRUE","FALSE")</f>
        <v>FALSE</v>
      </c>
      <c r="AI1038" s="661" t="str">
        <f t="shared" si="110"/>
        <v>II</v>
      </c>
      <c r="AJ1038" s="662" t="str">
        <f t="shared" si="111"/>
        <v>T25V-009</v>
      </c>
      <c r="AK1038" s="662" t="str">
        <f t="shared" si="112"/>
        <v>LVN</v>
      </c>
      <c r="AL1038" s="662" t="str">
        <f t="shared" si="113"/>
        <v>FRD</v>
      </c>
      <c r="AM1038" s="662" t="str">
        <f t="shared" si="109"/>
        <v>Transit 250 Van-Dual Door-RWD-2-110.1-~-3.7L-6-R2U-101A-147.6-25-Unleaded-Unleaded</v>
      </c>
      <c r="AN1038" s="662" t="str">
        <f t="shared" si="114"/>
        <v>2019-LVN-FRD-T25V-009</v>
      </c>
    </row>
    <row r="1039" spans="1:40" s="572" customFormat="1" ht="15">
      <c r="A1039" s="570" t="s">
        <v>2242</v>
      </c>
      <c r="B1039" s="573" t="s">
        <v>2198</v>
      </c>
      <c r="C1039" s="573" t="s">
        <v>280</v>
      </c>
      <c r="D1039" s="578">
        <v>27</v>
      </c>
      <c r="E1039" s="573" t="s">
        <v>1516</v>
      </c>
      <c r="F1039" s="573" t="s">
        <v>1517</v>
      </c>
      <c r="G1039" s="573" t="s">
        <v>271</v>
      </c>
      <c r="H1039" s="573">
        <v>2019</v>
      </c>
      <c r="I1039" s="573" t="s">
        <v>2199</v>
      </c>
      <c r="J1039" s="573" t="s">
        <v>1916</v>
      </c>
      <c r="K1039" s="573" t="s">
        <v>236</v>
      </c>
      <c r="L1039" s="573">
        <v>2</v>
      </c>
      <c r="M1039" s="573">
        <v>0</v>
      </c>
      <c r="N1039" s="573" t="s">
        <v>157</v>
      </c>
      <c r="O1039" s="573">
        <v>1</v>
      </c>
      <c r="P1039" s="573">
        <v>100.7</v>
      </c>
      <c r="Q1039" s="571" t="s">
        <v>157</v>
      </c>
      <c r="R1039" s="573" t="s">
        <v>682</v>
      </c>
      <c r="S1039" s="573">
        <v>6</v>
      </c>
      <c r="T1039" s="573" t="s">
        <v>2200</v>
      </c>
      <c r="U1039" s="573" t="s">
        <v>1894</v>
      </c>
      <c r="V1039" s="573">
        <v>147.6</v>
      </c>
      <c r="W1039" s="573">
        <v>25</v>
      </c>
      <c r="X1039" s="571">
        <v>9000</v>
      </c>
      <c r="Y1039" s="569">
        <v>14</v>
      </c>
      <c r="Z1039" s="579" t="s">
        <v>178</v>
      </c>
      <c r="AA1039" s="579" t="s">
        <v>178</v>
      </c>
      <c r="AB1039" s="584">
        <v>38310</v>
      </c>
      <c r="AC1039" s="584" t="s">
        <v>164</v>
      </c>
      <c r="AD1039" s="584">
        <v>28860.083333333336</v>
      </c>
      <c r="AE1039" s="586">
        <v>0.03</v>
      </c>
      <c r="AF1039" s="661" t="str">
        <f t="shared" si="115"/>
        <v>2019-LVN-FRD-T25V-040-27</v>
      </c>
      <c r="AG1039" s="661" t="str">
        <f>IF(AND($Y1039&gt;=32,(AI1039="I"),(Y1039&lt;&gt;"~"),(COUNTIF($AN$1:$AN1039,$AN1039)=1)),"TRUE","FALSE")</f>
        <v>FALSE</v>
      </c>
      <c r="AH1039" s="661" t="str">
        <f>IF(AND($Y1039&gt;=22, (AI1039&lt;&gt;"I"),(Y1039&lt;&gt;"~"),(COUNTIF($AN$1:$AN1039,$AN1039)=1)),"TRUE","FALSE")</f>
        <v>FALSE</v>
      </c>
      <c r="AI1039" s="661" t="str">
        <f t="shared" si="110"/>
        <v>II</v>
      </c>
      <c r="AJ1039" s="662" t="str">
        <f t="shared" si="111"/>
        <v>T25V-040</v>
      </c>
      <c r="AK1039" s="662" t="str">
        <f t="shared" si="112"/>
        <v>LVN</v>
      </c>
      <c r="AL1039" s="662" t="str">
        <f t="shared" si="113"/>
        <v>FRD</v>
      </c>
      <c r="AM1039" s="662" t="str">
        <f t="shared" si="109"/>
        <v>Transit 250 Van-Dual Door-RWD-2-100.7-~-3.7L-6-R2D-101A-147.6-25-Unleaded-Unleaded</v>
      </c>
      <c r="AN1039" s="662" t="str">
        <f t="shared" si="114"/>
        <v>2019-LVN-FRD-T25V-040</v>
      </c>
    </row>
    <row r="1040" spans="1:40" s="572" customFormat="1" ht="15">
      <c r="A1040" s="570" t="s">
        <v>2243</v>
      </c>
      <c r="B1040" s="569" t="s">
        <v>2202</v>
      </c>
      <c r="C1040" s="569" t="s">
        <v>280</v>
      </c>
      <c r="D1040" s="580">
        <v>27</v>
      </c>
      <c r="E1040" s="569" t="s">
        <v>1516</v>
      </c>
      <c r="F1040" s="569" t="s">
        <v>1517</v>
      </c>
      <c r="G1040" s="569" t="s">
        <v>271</v>
      </c>
      <c r="H1040" s="569">
        <v>2019</v>
      </c>
      <c r="I1040" s="569" t="s">
        <v>2199</v>
      </c>
      <c r="J1040" s="569" t="s">
        <v>1916</v>
      </c>
      <c r="K1040" s="569" t="s">
        <v>236</v>
      </c>
      <c r="L1040" s="569">
        <v>2</v>
      </c>
      <c r="M1040" s="569">
        <v>0</v>
      </c>
      <c r="N1040" s="569" t="s">
        <v>157</v>
      </c>
      <c r="O1040" s="569">
        <v>1</v>
      </c>
      <c r="P1040" s="569">
        <v>100.8</v>
      </c>
      <c r="Q1040" s="568" t="s">
        <v>157</v>
      </c>
      <c r="R1040" s="569" t="s">
        <v>1917</v>
      </c>
      <c r="S1040" s="569">
        <v>5</v>
      </c>
      <c r="T1040" s="569" t="s">
        <v>2203</v>
      </c>
      <c r="U1040" s="569" t="s">
        <v>1894</v>
      </c>
      <c r="V1040" s="569">
        <v>129.9</v>
      </c>
      <c r="W1040" s="569">
        <v>25</v>
      </c>
      <c r="X1040" s="568">
        <v>9000</v>
      </c>
      <c r="Y1040" s="569">
        <v>14</v>
      </c>
      <c r="Z1040" s="581" t="s">
        <v>728</v>
      </c>
      <c r="AA1040" s="581" t="s">
        <v>1523</v>
      </c>
      <c r="AB1040" s="585">
        <v>40580</v>
      </c>
      <c r="AC1040" s="585" t="s">
        <v>164</v>
      </c>
      <c r="AD1040" s="585">
        <v>30832.541666666664</v>
      </c>
      <c r="AE1040" s="587">
        <v>0.03</v>
      </c>
      <c r="AF1040" s="661" t="str">
        <f t="shared" si="115"/>
        <v>2019-LVN-FRD-T25V-001-27</v>
      </c>
      <c r="AG1040" s="661" t="str">
        <f>IF(AND($Y1040&gt;=32,(AI1040="I"),(Y1040&lt;&gt;"~"),(COUNTIF($AN$1:$AN1040,$AN1040)=1)),"TRUE","FALSE")</f>
        <v>FALSE</v>
      </c>
      <c r="AH1040" s="661" t="str">
        <f>IF(AND($Y1040&gt;=22, (AI1040&lt;&gt;"I"),(Y1040&lt;&gt;"~"),(COUNTIF($AN$1:$AN1040,$AN1040)=1)),"TRUE","FALSE")</f>
        <v>FALSE</v>
      </c>
      <c r="AI1040" s="661" t="str">
        <f t="shared" si="110"/>
        <v>II</v>
      </c>
      <c r="AJ1040" s="662" t="str">
        <f t="shared" si="111"/>
        <v>T25V-001</v>
      </c>
      <c r="AK1040" s="662" t="str">
        <f t="shared" si="112"/>
        <v>LVN</v>
      </c>
      <c r="AL1040" s="662" t="str">
        <f t="shared" si="113"/>
        <v>FRD</v>
      </c>
      <c r="AM1040" s="662" t="str">
        <f t="shared" si="109"/>
        <v>Transit 250 Van-Dual Door-RWD-2-100.8-~-3.2L-5-R1D-101A-129.9-25-Diesel-BioDiesel</v>
      </c>
      <c r="AN1040" s="662" t="str">
        <f t="shared" si="114"/>
        <v>2019-LVN-FRD-T25V-001</v>
      </c>
    </row>
    <row r="1041" spans="1:40" s="572" customFormat="1" ht="15">
      <c r="A1041" s="570" t="s">
        <v>2244</v>
      </c>
      <c r="B1041" s="573" t="s">
        <v>2205</v>
      </c>
      <c r="C1041" s="573" t="s">
        <v>280</v>
      </c>
      <c r="D1041" s="578">
        <v>27</v>
      </c>
      <c r="E1041" s="573" t="s">
        <v>1516</v>
      </c>
      <c r="F1041" s="573" t="s">
        <v>1517</v>
      </c>
      <c r="G1041" s="573" t="s">
        <v>271</v>
      </c>
      <c r="H1041" s="573">
        <v>2019</v>
      </c>
      <c r="I1041" s="573" t="s">
        <v>2199</v>
      </c>
      <c r="J1041" s="573" t="s">
        <v>1916</v>
      </c>
      <c r="K1041" s="573" t="s">
        <v>236</v>
      </c>
      <c r="L1041" s="573">
        <v>2</v>
      </c>
      <c r="M1041" s="573">
        <v>0</v>
      </c>
      <c r="N1041" s="573" t="s">
        <v>157</v>
      </c>
      <c r="O1041" s="573">
        <v>1</v>
      </c>
      <c r="P1041" s="573">
        <v>100.8</v>
      </c>
      <c r="Q1041" s="571" t="s">
        <v>157</v>
      </c>
      <c r="R1041" s="573" t="s">
        <v>1259</v>
      </c>
      <c r="S1041" s="573">
        <v>6</v>
      </c>
      <c r="T1041" s="573" t="s">
        <v>2203</v>
      </c>
      <c r="U1041" s="573" t="s">
        <v>1894</v>
      </c>
      <c r="V1041" s="573">
        <v>129.9</v>
      </c>
      <c r="W1041" s="573">
        <v>25</v>
      </c>
      <c r="X1041" s="571">
        <v>9000</v>
      </c>
      <c r="Y1041" s="569">
        <v>14</v>
      </c>
      <c r="Z1041" s="579" t="s">
        <v>178</v>
      </c>
      <c r="AA1041" s="579" t="s">
        <v>178</v>
      </c>
      <c r="AB1041" s="584">
        <v>38450</v>
      </c>
      <c r="AC1041" s="584" t="s">
        <v>164</v>
      </c>
      <c r="AD1041" s="584">
        <v>28939.25</v>
      </c>
      <c r="AE1041" s="586">
        <v>0.03</v>
      </c>
      <c r="AF1041" s="661" t="str">
        <f t="shared" si="115"/>
        <v>2019-LVN-FRD-T25V-002-27</v>
      </c>
      <c r="AG1041" s="661" t="str">
        <f>IF(AND($Y1041&gt;=32,(AI1041="I"),(Y1041&lt;&gt;"~"),(COUNTIF($AN$1:$AN1041,$AN1041)=1)),"TRUE","FALSE")</f>
        <v>FALSE</v>
      </c>
      <c r="AH1041" s="661" t="str">
        <f>IF(AND($Y1041&gt;=22, (AI1041&lt;&gt;"I"),(Y1041&lt;&gt;"~"),(COUNTIF($AN$1:$AN1041,$AN1041)=1)),"TRUE","FALSE")</f>
        <v>FALSE</v>
      </c>
      <c r="AI1041" s="661" t="str">
        <f t="shared" si="110"/>
        <v>II</v>
      </c>
      <c r="AJ1041" s="662" t="str">
        <f t="shared" si="111"/>
        <v>T25V-002</v>
      </c>
      <c r="AK1041" s="662" t="str">
        <f t="shared" si="112"/>
        <v>LVN</v>
      </c>
      <c r="AL1041" s="662" t="str">
        <f t="shared" si="113"/>
        <v>FRD</v>
      </c>
      <c r="AM1041" s="662" t="str">
        <f t="shared" si="109"/>
        <v>Transit 250 Van-Dual Door-RWD-2-100.8-~-3.5L EcoBoost-6-R1D-101A-129.9-25-Unleaded-Unleaded</v>
      </c>
      <c r="AN1041" s="662" t="str">
        <f t="shared" si="114"/>
        <v>2019-LVN-FRD-T25V-002</v>
      </c>
    </row>
    <row r="1042" spans="1:40" s="572" customFormat="1" ht="15">
      <c r="A1042" s="570" t="s">
        <v>2245</v>
      </c>
      <c r="B1042" s="569" t="s">
        <v>2207</v>
      </c>
      <c r="C1042" s="569" t="s">
        <v>280</v>
      </c>
      <c r="D1042" s="580">
        <v>27</v>
      </c>
      <c r="E1042" s="569" t="s">
        <v>1516</v>
      </c>
      <c r="F1042" s="569" t="s">
        <v>1517</v>
      </c>
      <c r="G1042" s="569" t="s">
        <v>271</v>
      </c>
      <c r="H1042" s="569">
        <v>2019</v>
      </c>
      <c r="I1042" s="569" t="s">
        <v>2199</v>
      </c>
      <c r="J1042" s="569" t="s">
        <v>1916</v>
      </c>
      <c r="K1042" s="569" t="s">
        <v>236</v>
      </c>
      <c r="L1042" s="569">
        <v>2</v>
      </c>
      <c r="M1042" s="569">
        <v>0</v>
      </c>
      <c r="N1042" s="569" t="s">
        <v>157</v>
      </c>
      <c r="O1042" s="569">
        <v>1</v>
      </c>
      <c r="P1042" s="569">
        <v>100.8</v>
      </c>
      <c r="Q1042" s="568" t="s">
        <v>157</v>
      </c>
      <c r="R1042" s="569" t="s">
        <v>682</v>
      </c>
      <c r="S1042" s="569">
        <v>6</v>
      </c>
      <c r="T1042" s="569" t="s">
        <v>2203</v>
      </c>
      <c r="U1042" s="569" t="s">
        <v>1894</v>
      </c>
      <c r="V1042" s="569">
        <v>129.9</v>
      </c>
      <c r="W1042" s="569">
        <v>25</v>
      </c>
      <c r="X1042" s="568">
        <v>9000</v>
      </c>
      <c r="Y1042" s="569">
        <v>14</v>
      </c>
      <c r="Z1042" s="581" t="s">
        <v>178</v>
      </c>
      <c r="AA1042" s="581" t="s">
        <v>178</v>
      </c>
      <c r="AB1042" s="585">
        <v>36585</v>
      </c>
      <c r="AC1042" s="585" t="s">
        <v>164</v>
      </c>
      <c r="AD1042" s="585">
        <v>27283</v>
      </c>
      <c r="AE1042" s="587">
        <v>0.03</v>
      </c>
      <c r="AF1042" s="661" t="str">
        <f t="shared" si="115"/>
        <v>2019-LVN-FRD-T25V-003-27</v>
      </c>
      <c r="AG1042" s="661" t="str">
        <f>IF(AND($Y1042&gt;=32,(AI1042="I"),(Y1042&lt;&gt;"~"),(COUNTIF($AN$1:$AN1042,$AN1042)=1)),"TRUE","FALSE")</f>
        <v>FALSE</v>
      </c>
      <c r="AH1042" s="661" t="str">
        <f>IF(AND($Y1042&gt;=22, (AI1042&lt;&gt;"I"),(Y1042&lt;&gt;"~"),(COUNTIF($AN$1:$AN1042,$AN1042)=1)),"TRUE","FALSE")</f>
        <v>FALSE</v>
      </c>
      <c r="AI1042" s="661" t="str">
        <f t="shared" si="110"/>
        <v>II</v>
      </c>
      <c r="AJ1042" s="662" t="str">
        <f t="shared" si="111"/>
        <v>T25V-003</v>
      </c>
      <c r="AK1042" s="662" t="str">
        <f t="shared" si="112"/>
        <v>LVN</v>
      </c>
      <c r="AL1042" s="662" t="str">
        <f t="shared" si="113"/>
        <v>FRD</v>
      </c>
      <c r="AM1042" s="662" t="str">
        <f t="shared" si="109"/>
        <v>Transit 250 Van-Dual Door-RWD-2-100.8-~-3.7L-6-R1D-101A-129.9-25-Unleaded-Unleaded</v>
      </c>
      <c r="AN1042" s="662" t="str">
        <f t="shared" si="114"/>
        <v>2019-LVN-FRD-T25V-003</v>
      </c>
    </row>
    <row r="1043" spans="1:40" s="572" customFormat="1" ht="15">
      <c r="A1043" s="570" t="s">
        <v>2246</v>
      </c>
      <c r="B1043" s="573" t="s">
        <v>2209</v>
      </c>
      <c r="C1043" s="573" t="s">
        <v>280</v>
      </c>
      <c r="D1043" s="578">
        <v>27</v>
      </c>
      <c r="E1043" s="573" t="s">
        <v>1516</v>
      </c>
      <c r="F1043" s="573" t="s">
        <v>1517</v>
      </c>
      <c r="G1043" s="573" t="s">
        <v>271</v>
      </c>
      <c r="H1043" s="573">
        <v>2019</v>
      </c>
      <c r="I1043" s="573" t="s">
        <v>2199</v>
      </c>
      <c r="J1043" s="573" t="s">
        <v>1916</v>
      </c>
      <c r="K1043" s="573" t="s">
        <v>236</v>
      </c>
      <c r="L1043" s="573">
        <v>2</v>
      </c>
      <c r="M1043" s="573">
        <v>0</v>
      </c>
      <c r="N1043" s="573" t="s">
        <v>157</v>
      </c>
      <c r="O1043" s="573">
        <v>1</v>
      </c>
      <c r="P1043" s="573">
        <v>109.4</v>
      </c>
      <c r="Q1043" s="571" t="s">
        <v>157</v>
      </c>
      <c r="R1043" s="573" t="s">
        <v>1917</v>
      </c>
      <c r="S1043" s="573">
        <v>5</v>
      </c>
      <c r="T1043" s="573" t="s">
        <v>2210</v>
      </c>
      <c r="U1043" s="573" t="s">
        <v>1894</v>
      </c>
      <c r="V1043" s="573">
        <v>147.6</v>
      </c>
      <c r="W1043" s="573">
        <v>25</v>
      </c>
      <c r="X1043" s="571">
        <v>9000</v>
      </c>
      <c r="Y1043" s="569">
        <v>14</v>
      </c>
      <c r="Z1043" s="579" t="s">
        <v>728</v>
      </c>
      <c r="AA1043" s="579" t="s">
        <v>1523</v>
      </c>
      <c r="AB1043" s="584">
        <v>45755</v>
      </c>
      <c r="AC1043" s="584" t="s">
        <v>164</v>
      </c>
      <c r="AD1043" s="584">
        <v>35562.75</v>
      </c>
      <c r="AE1043" s="586">
        <v>0.03</v>
      </c>
      <c r="AF1043" s="661" t="str">
        <f t="shared" si="115"/>
        <v>2019-LVN-FRD-T25V-004-27</v>
      </c>
      <c r="AG1043" s="661" t="str">
        <f>IF(AND($Y1043&gt;=32,(AI1043="I"),(Y1043&lt;&gt;"~"),(COUNTIF($AN$1:$AN1043,$AN1043)=1)),"TRUE","FALSE")</f>
        <v>FALSE</v>
      </c>
      <c r="AH1043" s="661" t="str">
        <f>IF(AND($Y1043&gt;=22, (AI1043&lt;&gt;"I"),(Y1043&lt;&gt;"~"),(COUNTIF($AN$1:$AN1043,$AN1043)=1)),"TRUE","FALSE")</f>
        <v>FALSE</v>
      </c>
      <c r="AI1043" s="661" t="str">
        <f t="shared" si="110"/>
        <v>II</v>
      </c>
      <c r="AJ1043" s="662" t="str">
        <f t="shared" si="111"/>
        <v>T25V-004</v>
      </c>
      <c r="AK1043" s="662" t="str">
        <f t="shared" si="112"/>
        <v>LVN</v>
      </c>
      <c r="AL1043" s="662" t="str">
        <f t="shared" si="113"/>
        <v>FRD</v>
      </c>
      <c r="AM1043" s="662" t="str">
        <f t="shared" si="109"/>
        <v>Transit 250 Van-Dual Door-RWD-2-109.4-~-3.2L-5-R3U-101A-147.6-25-Diesel-BioDiesel</v>
      </c>
      <c r="AN1043" s="662" t="str">
        <f t="shared" si="114"/>
        <v>2019-LVN-FRD-T25V-004</v>
      </c>
    </row>
    <row r="1044" spans="1:40" s="572" customFormat="1" ht="15">
      <c r="A1044" s="570" t="s">
        <v>2247</v>
      </c>
      <c r="B1044" s="569" t="s">
        <v>2212</v>
      </c>
      <c r="C1044" s="569" t="s">
        <v>280</v>
      </c>
      <c r="D1044" s="580">
        <v>27</v>
      </c>
      <c r="E1044" s="569" t="s">
        <v>1516</v>
      </c>
      <c r="F1044" s="569" t="s">
        <v>1517</v>
      </c>
      <c r="G1044" s="569" t="s">
        <v>271</v>
      </c>
      <c r="H1044" s="569">
        <v>2019</v>
      </c>
      <c r="I1044" s="569" t="s">
        <v>2199</v>
      </c>
      <c r="J1044" s="569" t="s">
        <v>1916</v>
      </c>
      <c r="K1044" s="569" t="s">
        <v>236</v>
      </c>
      <c r="L1044" s="569">
        <v>2</v>
      </c>
      <c r="M1044" s="569">
        <v>0</v>
      </c>
      <c r="N1044" s="569" t="s">
        <v>157</v>
      </c>
      <c r="O1044" s="569">
        <v>1</v>
      </c>
      <c r="P1044" s="569">
        <v>109.4</v>
      </c>
      <c r="Q1044" s="568" t="s">
        <v>157</v>
      </c>
      <c r="R1044" s="569" t="s">
        <v>1259</v>
      </c>
      <c r="S1044" s="569">
        <v>6</v>
      </c>
      <c r="T1044" s="569" t="s">
        <v>2210</v>
      </c>
      <c r="U1044" s="569" t="s">
        <v>1894</v>
      </c>
      <c r="V1044" s="569">
        <v>147.6</v>
      </c>
      <c r="W1044" s="569">
        <v>25</v>
      </c>
      <c r="X1044" s="568">
        <v>9000</v>
      </c>
      <c r="Y1044" s="569">
        <v>14</v>
      </c>
      <c r="Z1044" s="581" t="s">
        <v>178</v>
      </c>
      <c r="AA1044" s="581" t="s">
        <v>178</v>
      </c>
      <c r="AB1044" s="585">
        <v>43625</v>
      </c>
      <c r="AC1044" s="585" t="s">
        <v>164</v>
      </c>
      <c r="AD1044" s="585">
        <v>33669.458333333336</v>
      </c>
      <c r="AE1044" s="587">
        <v>0.03</v>
      </c>
      <c r="AF1044" s="661" t="str">
        <f t="shared" si="115"/>
        <v>2019-LVN-FRD-T25V-005-27</v>
      </c>
      <c r="AG1044" s="661" t="str">
        <f>IF(AND($Y1044&gt;=32,(AI1044="I"),(Y1044&lt;&gt;"~"),(COUNTIF($AN$1:$AN1044,$AN1044)=1)),"TRUE","FALSE")</f>
        <v>FALSE</v>
      </c>
      <c r="AH1044" s="661" t="str">
        <f>IF(AND($Y1044&gt;=22, (AI1044&lt;&gt;"I"),(Y1044&lt;&gt;"~"),(COUNTIF($AN$1:$AN1044,$AN1044)=1)),"TRUE","FALSE")</f>
        <v>FALSE</v>
      </c>
      <c r="AI1044" s="661" t="str">
        <f t="shared" si="110"/>
        <v>II</v>
      </c>
      <c r="AJ1044" s="662" t="str">
        <f t="shared" si="111"/>
        <v>T25V-005</v>
      </c>
      <c r="AK1044" s="662" t="str">
        <f t="shared" si="112"/>
        <v>LVN</v>
      </c>
      <c r="AL1044" s="662" t="str">
        <f t="shared" si="113"/>
        <v>FRD</v>
      </c>
      <c r="AM1044" s="662" t="str">
        <f t="shared" si="109"/>
        <v>Transit 250 Van-Dual Door-RWD-2-109.4-~-3.5L EcoBoost-6-R3U-101A-147.6-25-Unleaded-Unleaded</v>
      </c>
      <c r="AN1044" s="662" t="str">
        <f t="shared" si="114"/>
        <v>2019-LVN-FRD-T25V-005</v>
      </c>
    </row>
    <row r="1045" spans="1:40" s="572" customFormat="1" ht="15">
      <c r="A1045" s="570" t="s">
        <v>2248</v>
      </c>
      <c r="B1045" s="573" t="s">
        <v>2214</v>
      </c>
      <c r="C1045" s="573" t="s">
        <v>280</v>
      </c>
      <c r="D1045" s="578">
        <v>27</v>
      </c>
      <c r="E1045" s="573" t="s">
        <v>1516</v>
      </c>
      <c r="F1045" s="573" t="s">
        <v>1517</v>
      </c>
      <c r="G1045" s="573" t="s">
        <v>271</v>
      </c>
      <c r="H1045" s="573">
        <v>2019</v>
      </c>
      <c r="I1045" s="573" t="s">
        <v>2199</v>
      </c>
      <c r="J1045" s="573" t="s">
        <v>1916</v>
      </c>
      <c r="K1045" s="573" t="s">
        <v>236</v>
      </c>
      <c r="L1045" s="573">
        <v>2</v>
      </c>
      <c r="M1045" s="573">
        <v>0</v>
      </c>
      <c r="N1045" s="573" t="s">
        <v>157</v>
      </c>
      <c r="O1045" s="573">
        <v>1</v>
      </c>
      <c r="P1045" s="573">
        <v>109.4</v>
      </c>
      <c r="Q1045" s="571" t="s">
        <v>157</v>
      </c>
      <c r="R1045" s="573" t="s">
        <v>682</v>
      </c>
      <c r="S1045" s="573">
        <v>6</v>
      </c>
      <c r="T1045" s="573" t="s">
        <v>2210</v>
      </c>
      <c r="U1045" s="573" t="s">
        <v>1894</v>
      </c>
      <c r="V1045" s="573">
        <v>147.6</v>
      </c>
      <c r="W1045" s="573">
        <v>25</v>
      </c>
      <c r="X1045" s="571">
        <v>9000</v>
      </c>
      <c r="Y1045" s="569">
        <v>14</v>
      </c>
      <c r="Z1045" s="579" t="s">
        <v>178</v>
      </c>
      <c r="AA1045" s="579" t="s">
        <v>178</v>
      </c>
      <c r="AB1045" s="584">
        <v>41760</v>
      </c>
      <c r="AC1045" s="584" t="s">
        <v>164</v>
      </c>
      <c r="AD1045" s="584">
        <v>32013.208333333336</v>
      </c>
      <c r="AE1045" s="586">
        <v>0.03</v>
      </c>
      <c r="AF1045" s="661" t="str">
        <f t="shared" si="115"/>
        <v>2019-LVN-FRD-T25V-006-27</v>
      </c>
      <c r="AG1045" s="661" t="str">
        <f>IF(AND($Y1045&gt;=32,(AI1045="I"),(Y1045&lt;&gt;"~"),(COUNTIF($AN$1:$AN1045,$AN1045)=1)),"TRUE","FALSE")</f>
        <v>FALSE</v>
      </c>
      <c r="AH1045" s="661" t="str">
        <f>IF(AND($Y1045&gt;=22, (AI1045&lt;&gt;"I"),(Y1045&lt;&gt;"~"),(COUNTIF($AN$1:$AN1045,$AN1045)=1)),"TRUE","FALSE")</f>
        <v>FALSE</v>
      </c>
      <c r="AI1045" s="661" t="str">
        <f t="shared" si="110"/>
        <v>II</v>
      </c>
      <c r="AJ1045" s="662" t="str">
        <f t="shared" si="111"/>
        <v>T25V-006</v>
      </c>
      <c r="AK1045" s="662" t="str">
        <f t="shared" si="112"/>
        <v>LVN</v>
      </c>
      <c r="AL1045" s="662" t="str">
        <f t="shared" si="113"/>
        <v>FRD</v>
      </c>
      <c r="AM1045" s="662" t="str">
        <f t="shared" si="109"/>
        <v>Transit 250 Van-Dual Door-RWD-2-109.4-~-3.7L-6-R3U-101A-147.6-25-Unleaded-Unleaded</v>
      </c>
      <c r="AN1045" s="662" t="str">
        <f t="shared" si="114"/>
        <v>2019-LVN-FRD-T25V-006</v>
      </c>
    </row>
    <row r="1046" spans="1:40" s="572" customFormat="1" ht="15">
      <c r="A1046" s="570" t="s">
        <v>2249</v>
      </c>
      <c r="B1046" s="569" t="s">
        <v>2216</v>
      </c>
      <c r="C1046" s="569" t="s">
        <v>280</v>
      </c>
      <c r="D1046" s="580">
        <v>27</v>
      </c>
      <c r="E1046" s="569" t="s">
        <v>1516</v>
      </c>
      <c r="F1046" s="569" t="s">
        <v>1517</v>
      </c>
      <c r="G1046" s="569" t="s">
        <v>271</v>
      </c>
      <c r="H1046" s="569">
        <v>2019</v>
      </c>
      <c r="I1046" s="569" t="s">
        <v>2199</v>
      </c>
      <c r="J1046" s="569" t="s">
        <v>1916</v>
      </c>
      <c r="K1046" s="569" t="s">
        <v>236</v>
      </c>
      <c r="L1046" s="569">
        <v>2</v>
      </c>
      <c r="M1046" s="569">
        <v>0</v>
      </c>
      <c r="N1046" s="569" t="s">
        <v>157</v>
      </c>
      <c r="O1046" s="569">
        <v>1</v>
      </c>
      <c r="P1046" s="569">
        <v>110.1</v>
      </c>
      <c r="Q1046" s="568" t="s">
        <v>157</v>
      </c>
      <c r="R1046" s="569" t="s">
        <v>1917</v>
      </c>
      <c r="S1046" s="569">
        <v>5</v>
      </c>
      <c r="T1046" s="569" t="s">
        <v>2217</v>
      </c>
      <c r="U1046" s="569" t="s">
        <v>1894</v>
      </c>
      <c r="V1046" s="569">
        <v>147.6</v>
      </c>
      <c r="W1046" s="569">
        <v>25</v>
      </c>
      <c r="X1046" s="568">
        <v>9000</v>
      </c>
      <c r="Y1046" s="569">
        <v>14</v>
      </c>
      <c r="Z1046" s="581" t="s">
        <v>728</v>
      </c>
      <c r="AA1046" s="581" t="s">
        <v>1523</v>
      </c>
      <c r="AB1046" s="585">
        <v>44455</v>
      </c>
      <c r="AC1046" s="585" t="s">
        <v>164</v>
      </c>
      <c r="AD1046" s="585">
        <v>34375.25</v>
      </c>
      <c r="AE1046" s="587">
        <v>0.03</v>
      </c>
      <c r="AF1046" s="661" t="str">
        <f t="shared" si="115"/>
        <v>2019-LVN-FRD-T25V-007-27</v>
      </c>
      <c r="AG1046" s="661" t="str">
        <f>IF(AND($Y1046&gt;=32,(AI1046="I"),(Y1046&lt;&gt;"~"),(COUNTIF($AN$1:$AN1046,$AN1046)=1)),"TRUE","FALSE")</f>
        <v>FALSE</v>
      </c>
      <c r="AH1046" s="661" t="str">
        <f>IF(AND($Y1046&gt;=22, (AI1046&lt;&gt;"I"),(Y1046&lt;&gt;"~"),(COUNTIF($AN$1:$AN1046,$AN1046)=1)),"TRUE","FALSE")</f>
        <v>FALSE</v>
      </c>
      <c r="AI1046" s="661" t="str">
        <f t="shared" si="110"/>
        <v>II</v>
      </c>
      <c r="AJ1046" s="662" t="str">
        <f t="shared" si="111"/>
        <v>T25V-007</v>
      </c>
      <c r="AK1046" s="662" t="str">
        <f t="shared" si="112"/>
        <v>LVN</v>
      </c>
      <c r="AL1046" s="662" t="str">
        <f t="shared" si="113"/>
        <v>FRD</v>
      </c>
      <c r="AM1046" s="662" t="str">
        <f t="shared" si="109"/>
        <v>Transit 250 Van-Dual Door-RWD-2-110.1-~-3.2L-5-R2U-101A-147.6-25-Diesel-BioDiesel</v>
      </c>
      <c r="AN1046" s="662" t="str">
        <f t="shared" si="114"/>
        <v>2019-LVN-FRD-T25V-007</v>
      </c>
    </row>
    <row r="1047" spans="1:40" s="572" customFormat="1" ht="15">
      <c r="A1047" s="570" t="s">
        <v>2250</v>
      </c>
      <c r="B1047" s="573" t="s">
        <v>2219</v>
      </c>
      <c r="C1047" s="573" t="s">
        <v>280</v>
      </c>
      <c r="D1047" s="578">
        <v>27</v>
      </c>
      <c r="E1047" s="573" t="s">
        <v>1516</v>
      </c>
      <c r="F1047" s="573" t="s">
        <v>1517</v>
      </c>
      <c r="G1047" s="573" t="s">
        <v>271</v>
      </c>
      <c r="H1047" s="573">
        <v>2019</v>
      </c>
      <c r="I1047" s="573" t="s">
        <v>2199</v>
      </c>
      <c r="J1047" s="573" t="s">
        <v>1916</v>
      </c>
      <c r="K1047" s="573" t="s">
        <v>236</v>
      </c>
      <c r="L1047" s="573">
        <v>2</v>
      </c>
      <c r="M1047" s="573">
        <v>0</v>
      </c>
      <c r="N1047" s="573" t="s">
        <v>157</v>
      </c>
      <c r="O1047" s="573">
        <v>1</v>
      </c>
      <c r="P1047" s="573">
        <v>110.1</v>
      </c>
      <c r="Q1047" s="571" t="s">
        <v>157</v>
      </c>
      <c r="R1047" s="573" t="s">
        <v>1259</v>
      </c>
      <c r="S1047" s="573">
        <v>6</v>
      </c>
      <c r="T1047" s="573" t="s">
        <v>2217</v>
      </c>
      <c r="U1047" s="573" t="s">
        <v>1894</v>
      </c>
      <c r="V1047" s="573">
        <v>147.6</v>
      </c>
      <c r="W1047" s="573">
        <v>25</v>
      </c>
      <c r="X1047" s="571">
        <v>9000</v>
      </c>
      <c r="Y1047" s="569">
        <v>14</v>
      </c>
      <c r="Z1047" s="579" t="s">
        <v>178</v>
      </c>
      <c r="AA1047" s="579" t="s">
        <v>178</v>
      </c>
      <c r="AB1047" s="584">
        <v>42325</v>
      </c>
      <c r="AC1047" s="584" t="s">
        <v>164</v>
      </c>
      <c r="AD1047" s="584">
        <v>32481.958333333336</v>
      </c>
      <c r="AE1047" s="586">
        <v>0.03</v>
      </c>
      <c r="AF1047" s="661" t="str">
        <f t="shared" si="115"/>
        <v>2019-LVN-FRD-T25V-008-27</v>
      </c>
      <c r="AG1047" s="661" t="str">
        <f>IF(AND($Y1047&gt;=32,(AI1047="I"),(Y1047&lt;&gt;"~"),(COUNTIF($AN$1:$AN1047,$AN1047)=1)),"TRUE","FALSE")</f>
        <v>FALSE</v>
      </c>
      <c r="AH1047" s="661" t="str">
        <f>IF(AND($Y1047&gt;=22, (AI1047&lt;&gt;"I"),(Y1047&lt;&gt;"~"),(COUNTIF($AN$1:$AN1047,$AN1047)=1)),"TRUE","FALSE")</f>
        <v>FALSE</v>
      </c>
      <c r="AI1047" s="661" t="str">
        <f t="shared" si="110"/>
        <v>II</v>
      </c>
      <c r="AJ1047" s="662" t="str">
        <f t="shared" si="111"/>
        <v>T25V-008</v>
      </c>
      <c r="AK1047" s="662" t="str">
        <f t="shared" si="112"/>
        <v>LVN</v>
      </c>
      <c r="AL1047" s="662" t="str">
        <f t="shared" si="113"/>
        <v>FRD</v>
      </c>
      <c r="AM1047" s="662" t="str">
        <f t="shared" si="109"/>
        <v>Transit 250 Van-Dual Door-RWD-2-110.1-~-3.5L EcoBoost-6-R2U-101A-147.6-25-Unleaded-Unleaded</v>
      </c>
      <c r="AN1047" s="662" t="str">
        <f t="shared" si="114"/>
        <v>2019-LVN-FRD-T25V-008</v>
      </c>
    </row>
    <row r="1048" spans="1:40" s="572" customFormat="1" ht="15">
      <c r="A1048" s="570" t="s">
        <v>2251</v>
      </c>
      <c r="B1048" s="569" t="s">
        <v>2221</v>
      </c>
      <c r="C1048" s="569" t="s">
        <v>280</v>
      </c>
      <c r="D1048" s="580">
        <v>27</v>
      </c>
      <c r="E1048" s="569" t="s">
        <v>1516</v>
      </c>
      <c r="F1048" s="569" t="s">
        <v>1517</v>
      </c>
      <c r="G1048" s="569" t="s">
        <v>271</v>
      </c>
      <c r="H1048" s="569">
        <v>2019</v>
      </c>
      <c r="I1048" s="569" t="s">
        <v>2199</v>
      </c>
      <c r="J1048" s="569" t="s">
        <v>1916</v>
      </c>
      <c r="K1048" s="569" t="s">
        <v>236</v>
      </c>
      <c r="L1048" s="569">
        <v>2</v>
      </c>
      <c r="M1048" s="569">
        <v>0</v>
      </c>
      <c r="N1048" s="569" t="s">
        <v>157</v>
      </c>
      <c r="O1048" s="569">
        <v>1</v>
      </c>
      <c r="P1048" s="569">
        <v>110.1</v>
      </c>
      <c r="Q1048" s="568" t="s">
        <v>157</v>
      </c>
      <c r="R1048" s="569" t="s">
        <v>682</v>
      </c>
      <c r="S1048" s="569">
        <v>6</v>
      </c>
      <c r="T1048" s="569" t="s">
        <v>2217</v>
      </c>
      <c r="U1048" s="569" t="s">
        <v>1894</v>
      </c>
      <c r="V1048" s="569">
        <v>147.6</v>
      </c>
      <c r="W1048" s="569">
        <v>25</v>
      </c>
      <c r="X1048" s="568">
        <v>9000</v>
      </c>
      <c r="Y1048" s="569">
        <v>14</v>
      </c>
      <c r="Z1048" s="581" t="s">
        <v>178</v>
      </c>
      <c r="AA1048" s="581" t="s">
        <v>178</v>
      </c>
      <c r="AB1048" s="585">
        <v>40460</v>
      </c>
      <c r="AC1048" s="585" t="s">
        <v>164</v>
      </c>
      <c r="AD1048" s="585">
        <v>30825.708333333336</v>
      </c>
      <c r="AE1048" s="587">
        <v>0.03</v>
      </c>
      <c r="AF1048" s="661" t="str">
        <f t="shared" si="115"/>
        <v>2019-LVN-FRD-T25V-009-27</v>
      </c>
      <c r="AG1048" s="661" t="str">
        <f>IF(AND($Y1048&gt;=32,(AI1048="I"),(Y1048&lt;&gt;"~"),(COUNTIF($AN$1:$AN1048,$AN1048)=1)),"TRUE","FALSE")</f>
        <v>FALSE</v>
      </c>
      <c r="AH1048" s="661" t="str">
        <f>IF(AND($Y1048&gt;=22, (AI1048&lt;&gt;"I"),(Y1048&lt;&gt;"~"),(COUNTIF($AN$1:$AN1048,$AN1048)=1)),"TRUE","FALSE")</f>
        <v>FALSE</v>
      </c>
      <c r="AI1048" s="661" t="str">
        <f t="shared" si="110"/>
        <v>II</v>
      </c>
      <c r="AJ1048" s="662" t="str">
        <f t="shared" si="111"/>
        <v>T25V-009</v>
      </c>
      <c r="AK1048" s="662" t="str">
        <f t="shared" si="112"/>
        <v>LVN</v>
      </c>
      <c r="AL1048" s="662" t="str">
        <f t="shared" si="113"/>
        <v>FRD</v>
      </c>
      <c r="AM1048" s="662" t="str">
        <f t="shared" si="109"/>
        <v>Transit 250 Van-Dual Door-RWD-2-110.1-~-3.7L-6-R2U-101A-147.6-25-Unleaded-Unleaded</v>
      </c>
      <c r="AN1048" s="662" t="str">
        <f t="shared" si="114"/>
        <v>2019-LVN-FRD-T25V-009</v>
      </c>
    </row>
    <row r="1049" spans="1:40" s="572" customFormat="1" ht="15">
      <c r="A1049" s="570" t="s">
        <v>2252</v>
      </c>
      <c r="B1049" s="573" t="s">
        <v>2253</v>
      </c>
      <c r="C1049" s="573" t="s">
        <v>269</v>
      </c>
      <c r="D1049" s="578" t="s">
        <v>270</v>
      </c>
      <c r="E1049" s="573" t="s">
        <v>1516</v>
      </c>
      <c r="F1049" s="573" t="s">
        <v>1517</v>
      </c>
      <c r="G1049" s="573" t="s">
        <v>271</v>
      </c>
      <c r="H1049" s="573">
        <v>2019</v>
      </c>
      <c r="I1049" s="573" t="s">
        <v>2199</v>
      </c>
      <c r="J1049" s="573" t="s">
        <v>1950</v>
      </c>
      <c r="K1049" s="573" t="s">
        <v>236</v>
      </c>
      <c r="L1049" s="573">
        <v>2</v>
      </c>
      <c r="M1049" s="573">
        <v>0</v>
      </c>
      <c r="N1049" s="573" t="s">
        <v>157</v>
      </c>
      <c r="O1049" s="573">
        <v>1</v>
      </c>
      <c r="P1049" s="573">
        <v>100.7</v>
      </c>
      <c r="Q1049" s="571" t="s">
        <v>157</v>
      </c>
      <c r="R1049" s="573" t="s">
        <v>1917</v>
      </c>
      <c r="S1049" s="573">
        <v>5</v>
      </c>
      <c r="T1049" s="573" t="s">
        <v>2254</v>
      </c>
      <c r="U1049" s="573" t="s">
        <v>1894</v>
      </c>
      <c r="V1049" s="573">
        <v>147.6</v>
      </c>
      <c r="W1049" s="573">
        <v>25</v>
      </c>
      <c r="X1049" s="571">
        <v>9000</v>
      </c>
      <c r="Y1049" s="569">
        <v>14</v>
      </c>
      <c r="Z1049" s="579" t="s">
        <v>728</v>
      </c>
      <c r="AA1049" s="579" t="s">
        <v>1523</v>
      </c>
      <c r="AB1049" s="584">
        <v>41655</v>
      </c>
      <c r="AC1049" s="584" t="s">
        <v>164</v>
      </c>
      <c r="AD1049" s="584">
        <v>31815.875</v>
      </c>
      <c r="AE1049" s="586">
        <v>0.03</v>
      </c>
      <c r="AF1049" s="661" t="str">
        <f t="shared" si="115"/>
        <v>2019-LVN-FRD-T25V-010-05</v>
      </c>
      <c r="AG1049" s="661" t="str">
        <f>IF(AND($Y1049&gt;=32,(AI1049="I"),(Y1049&lt;&gt;"~"),(COUNTIF($AN$1:$AN1049,$AN1049)=1)),"TRUE","FALSE")</f>
        <v>FALSE</v>
      </c>
      <c r="AH1049" s="661" t="str">
        <f>IF(AND($Y1049&gt;=22, (AI1049&lt;&gt;"I"),(Y1049&lt;&gt;"~"),(COUNTIF($AN$1:$AN1049,$AN1049)=1)),"TRUE","FALSE")</f>
        <v>FALSE</v>
      </c>
      <c r="AI1049" s="661" t="str">
        <f t="shared" si="110"/>
        <v>II</v>
      </c>
      <c r="AJ1049" s="662" t="str">
        <f t="shared" si="111"/>
        <v>T25V-010</v>
      </c>
      <c r="AK1049" s="662" t="str">
        <f t="shared" si="112"/>
        <v>LVN</v>
      </c>
      <c r="AL1049" s="662" t="str">
        <f t="shared" si="113"/>
        <v>FRD</v>
      </c>
      <c r="AM1049" s="662" t="str">
        <f t="shared" si="109"/>
        <v>Transit 250 Van-Sliding RH Door-RWD-2-100.7-~-3.2L-5-R2C-101A-147.6-25-Diesel-BioDiesel</v>
      </c>
      <c r="AN1049" s="662" t="str">
        <f t="shared" si="114"/>
        <v>2019-LVN-FRD-T25V-010</v>
      </c>
    </row>
    <row r="1050" spans="1:40" s="572" customFormat="1" ht="15">
      <c r="A1050" s="570" t="s">
        <v>2255</v>
      </c>
      <c r="B1050" s="569" t="s">
        <v>2256</v>
      </c>
      <c r="C1050" s="569" t="s">
        <v>269</v>
      </c>
      <c r="D1050" s="580" t="s">
        <v>270</v>
      </c>
      <c r="E1050" s="569" t="s">
        <v>1516</v>
      </c>
      <c r="F1050" s="569" t="s">
        <v>1517</v>
      </c>
      <c r="G1050" s="569" t="s">
        <v>271</v>
      </c>
      <c r="H1050" s="569">
        <v>2019</v>
      </c>
      <c r="I1050" s="569" t="s">
        <v>2199</v>
      </c>
      <c r="J1050" s="569" t="s">
        <v>1950</v>
      </c>
      <c r="K1050" s="569" t="s">
        <v>236</v>
      </c>
      <c r="L1050" s="569">
        <v>2</v>
      </c>
      <c r="M1050" s="569">
        <v>0</v>
      </c>
      <c r="N1050" s="569" t="s">
        <v>157</v>
      </c>
      <c r="O1050" s="569">
        <v>1</v>
      </c>
      <c r="P1050" s="569">
        <v>100.7</v>
      </c>
      <c r="Q1050" s="568" t="s">
        <v>157</v>
      </c>
      <c r="R1050" s="569" t="s">
        <v>1259</v>
      </c>
      <c r="S1050" s="569">
        <v>6</v>
      </c>
      <c r="T1050" s="569" t="s">
        <v>2254</v>
      </c>
      <c r="U1050" s="569" t="s">
        <v>1894</v>
      </c>
      <c r="V1050" s="569">
        <v>147.6</v>
      </c>
      <c r="W1050" s="569">
        <v>25</v>
      </c>
      <c r="X1050" s="568">
        <v>9000</v>
      </c>
      <c r="Y1050" s="569">
        <v>14</v>
      </c>
      <c r="Z1050" s="581" t="s">
        <v>178</v>
      </c>
      <c r="AA1050" s="581" t="s">
        <v>178</v>
      </c>
      <c r="AB1050" s="585">
        <v>39525</v>
      </c>
      <c r="AC1050" s="585" t="s">
        <v>164</v>
      </c>
      <c r="AD1050" s="585">
        <v>29921.875</v>
      </c>
      <c r="AE1050" s="587">
        <v>0.03</v>
      </c>
      <c r="AF1050" s="661" t="str">
        <f t="shared" si="115"/>
        <v>2019-LVN-FRD-T25V-011-05</v>
      </c>
      <c r="AG1050" s="661" t="str">
        <f>IF(AND($Y1050&gt;=32,(AI1050="I"),(Y1050&lt;&gt;"~"),(COUNTIF($AN$1:$AN1050,$AN1050)=1)),"TRUE","FALSE")</f>
        <v>FALSE</v>
      </c>
      <c r="AH1050" s="661" t="str">
        <f>IF(AND($Y1050&gt;=22, (AI1050&lt;&gt;"I"),(Y1050&lt;&gt;"~"),(COUNTIF($AN$1:$AN1050,$AN1050)=1)),"TRUE","FALSE")</f>
        <v>FALSE</v>
      </c>
      <c r="AI1050" s="661" t="str">
        <f t="shared" si="110"/>
        <v>II</v>
      </c>
      <c r="AJ1050" s="662" t="str">
        <f t="shared" si="111"/>
        <v>T25V-011</v>
      </c>
      <c r="AK1050" s="662" t="str">
        <f t="shared" si="112"/>
        <v>LVN</v>
      </c>
      <c r="AL1050" s="662" t="str">
        <f t="shared" si="113"/>
        <v>FRD</v>
      </c>
      <c r="AM1050" s="662" t="str">
        <f t="shared" si="109"/>
        <v>Transit 250 Van-Sliding RH Door-RWD-2-100.7-~-3.5L EcoBoost-6-R2C-101A-147.6-25-Unleaded-Unleaded</v>
      </c>
      <c r="AN1050" s="662" t="str">
        <f t="shared" si="114"/>
        <v>2019-LVN-FRD-T25V-011</v>
      </c>
    </row>
    <row r="1051" spans="1:40" s="572" customFormat="1" ht="15">
      <c r="A1051" s="570" t="s">
        <v>2257</v>
      </c>
      <c r="B1051" s="573" t="s">
        <v>2258</v>
      </c>
      <c r="C1051" s="573" t="s">
        <v>269</v>
      </c>
      <c r="D1051" s="578" t="s">
        <v>270</v>
      </c>
      <c r="E1051" s="573" t="s">
        <v>1516</v>
      </c>
      <c r="F1051" s="573" t="s">
        <v>1517</v>
      </c>
      <c r="G1051" s="573" t="s">
        <v>271</v>
      </c>
      <c r="H1051" s="573">
        <v>2019</v>
      </c>
      <c r="I1051" s="573" t="s">
        <v>2199</v>
      </c>
      <c r="J1051" s="573" t="s">
        <v>1950</v>
      </c>
      <c r="K1051" s="573" t="s">
        <v>236</v>
      </c>
      <c r="L1051" s="573">
        <v>2</v>
      </c>
      <c r="M1051" s="573">
        <v>0</v>
      </c>
      <c r="N1051" s="573" t="s">
        <v>157</v>
      </c>
      <c r="O1051" s="573">
        <v>1</v>
      </c>
      <c r="P1051" s="573">
        <v>100.7</v>
      </c>
      <c r="Q1051" s="571" t="s">
        <v>157</v>
      </c>
      <c r="R1051" s="573" t="s">
        <v>682</v>
      </c>
      <c r="S1051" s="573">
        <v>6</v>
      </c>
      <c r="T1051" s="573" t="s">
        <v>2254</v>
      </c>
      <c r="U1051" s="573" t="s">
        <v>1894</v>
      </c>
      <c r="V1051" s="573">
        <v>147.6</v>
      </c>
      <c r="W1051" s="573">
        <v>25</v>
      </c>
      <c r="X1051" s="571">
        <v>9000</v>
      </c>
      <c r="Y1051" s="569">
        <v>14</v>
      </c>
      <c r="Z1051" s="579" t="s">
        <v>178</v>
      </c>
      <c r="AA1051" s="579" t="s">
        <v>178</v>
      </c>
      <c r="AB1051" s="584">
        <v>37660</v>
      </c>
      <c r="AC1051" s="584" t="s">
        <v>164</v>
      </c>
      <c r="AD1051" s="584">
        <v>28266.333333333336</v>
      </c>
      <c r="AE1051" s="586">
        <v>0.03</v>
      </c>
      <c r="AF1051" s="661" t="str">
        <f t="shared" si="115"/>
        <v>2019-LVN-FRD-T25V-012-05</v>
      </c>
      <c r="AG1051" s="661" t="str">
        <f>IF(AND($Y1051&gt;=32,(AI1051="I"),(Y1051&lt;&gt;"~"),(COUNTIF($AN$1:$AN1051,$AN1051)=1)),"TRUE","FALSE")</f>
        <v>FALSE</v>
      </c>
      <c r="AH1051" s="661" t="str">
        <f>IF(AND($Y1051&gt;=22, (AI1051&lt;&gt;"I"),(Y1051&lt;&gt;"~"),(COUNTIF($AN$1:$AN1051,$AN1051)=1)),"TRUE","FALSE")</f>
        <v>FALSE</v>
      </c>
      <c r="AI1051" s="661" t="str">
        <f t="shared" si="110"/>
        <v>II</v>
      </c>
      <c r="AJ1051" s="662" t="str">
        <f t="shared" si="111"/>
        <v>T25V-012</v>
      </c>
      <c r="AK1051" s="662" t="str">
        <f t="shared" si="112"/>
        <v>LVN</v>
      </c>
      <c r="AL1051" s="662" t="str">
        <f t="shared" si="113"/>
        <v>FRD</v>
      </c>
      <c r="AM1051" s="662" t="str">
        <f t="shared" ref="AM1051:AM1114" si="116">CONCATENATE(I1051,"-",J1051,"-",K1051,"-",L1051,"-",P1051,"-",Q1051,"-",R1051,"-",S1051,"-",T1051,"-",U1051,"-",V1051,"-",W1051,"-",Z1051,"-",AA1051)</f>
        <v>Transit 250 Van-Sliding RH Door-RWD-2-100.7-~-3.7L-6-R2C-101A-147.6-25-Unleaded-Unleaded</v>
      </c>
      <c r="AN1051" s="662" t="str">
        <f t="shared" si="114"/>
        <v>2019-LVN-FRD-T25V-012</v>
      </c>
    </row>
    <row r="1052" spans="1:40" s="572" customFormat="1" ht="15">
      <c r="A1052" s="570" t="s">
        <v>2259</v>
      </c>
      <c r="B1052" s="569" t="s">
        <v>2260</v>
      </c>
      <c r="C1052" s="569" t="s">
        <v>269</v>
      </c>
      <c r="D1052" s="580" t="s">
        <v>270</v>
      </c>
      <c r="E1052" s="569" t="s">
        <v>1516</v>
      </c>
      <c r="F1052" s="569" t="s">
        <v>1517</v>
      </c>
      <c r="G1052" s="569" t="s">
        <v>271</v>
      </c>
      <c r="H1052" s="569">
        <v>2019</v>
      </c>
      <c r="I1052" s="569" t="s">
        <v>2199</v>
      </c>
      <c r="J1052" s="569" t="s">
        <v>1950</v>
      </c>
      <c r="K1052" s="569" t="s">
        <v>236</v>
      </c>
      <c r="L1052" s="569">
        <v>2</v>
      </c>
      <c r="M1052" s="569">
        <v>0</v>
      </c>
      <c r="N1052" s="569" t="s">
        <v>157</v>
      </c>
      <c r="O1052" s="569">
        <v>1</v>
      </c>
      <c r="P1052" s="569">
        <v>100.8</v>
      </c>
      <c r="Q1052" s="568" t="s">
        <v>157</v>
      </c>
      <c r="R1052" s="569" t="s">
        <v>1917</v>
      </c>
      <c r="S1052" s="569">
        <v>5</v>
      </c>
      <c r="T1052" s="569" t="s">
        <v>2261</v>
      </c>
      <c r="U1052" s="569" t="s">
        <v>1894</v>
      </c>
      <c r="V1052" s="569">
        <v>129.9</v>
      </c>
      <c r="W1052" s="569">
        <v>25</v>
      </c>
      <c r="X1052" s="568">
        <v>9000</v>
      </c>
      <c r="Y1052" s="569">
        <v>14</v>
      </c>
      <c r="Z1052" s="581" t="s">
        <v>728</v>
      </c>
      <c r="AA1052" s="581" t="s">
        <v>1523</v>
      </c>
      <c r="AB1052" s="585">
        <v>40460</v>
      </c>
      <c r="AC1052" s="585" t="s">
        <v>164</v>
      </c>
      <c r="AD1052" s="585">
        <v>30238.791666666664</v>
      </c>
      <c r="AE1052" s="587">
        <v>0.03</v>
      </c>
      <c r="AF1052" s="661" t="str">
        <f t="shared" si="115"/>
        <v>2019-LVN-FRD-T25V-014-05</v>
      </c>
      <c r="AG1052" s="661" t="str">
        <f>IF(AND($Y1052&gt;=32,(AI1052="I"),(Y1052&lt;&gt;"~"),(COUNTIF($AN$1:$AN1052,$AN1052)=1)),"TRUE","FALSE")</f>
        <v>FALSE</v>
      </c>
      <c r="AH1052" s="661" t="str">
        <f>IF(AND($Y1052&gt;=22, (AI1052&lt;&gt;"I"),(Y1052&lt;&gt;"~"),(COUNTIF($AN$1:$AN1052,$AN1052)=1)),"TRUE","FALSE")</f>
        <v>FALSE</v>
      </c>
      <c r="AI1052" s="661" t="str">
        <f t="shared" ref="AI1052:AI1115" si="117">IF(OR((LEFT($E1052,2)="01"),AND(LEFT($E1052,2)="06",ISNUMBER(SEARCH("pas",$F1052))),AND(LEFT($E1052,2)="05",ISNUMBER(SEARCH("pas",$F1052)))),"I",IF(AND((LEFT($E1052,2)&lt;&gt;"01"),$X1052&lt;=10000),"II",IF(AND((LEFT($E1052,2)&lt;&gt;"01"),$X1052&gt;10000),"N/A")))</f>
        <v>II</v>
      </c>
      <c r="AJ1052" s="662" t="str">
        <f t="shared" si="111"/>
        <v>T25V-014</v>
      </c>
      <c r="AK1052" s="662" t="str">
        <f t="shared" si="112"/>
        <v>LVN</v>
      </c>
      <c r="AL1052" s="662" t="str">
        <f t="shared" si="113"/>
        <v>FRD</v>
      </c>
      <c r="AM1052" s="662" t="str">
        <f t="shared" si="116"/>
        <v>Transit 250 Van-Sliding RH Door-RWD-2-100.8-~-3.2L-5-R1C-101A-129.9-25-Diesel-BioDiesel</v>
      </c>
      <c r="AN1052" s="662" t="str">
        <f t="shared" si="114"/>
        <v>2019-LVN-FRD-T25V-014</v>
      </c>
    </row>
    <row r="1053" spans="1:40" s="572" customFormat="1" ht="15">
      <c r="A1053" s="570" t="s">
        <v>2259</v>
      </c>
      <c r="B1053" s="573" t="s">
        <v>2260</v>
      </c>
      <c r="C1053" s="573" t="s">
        <v>269</v>
      </c>
      <c r="D1053" s="578" t="s">
        <v>270</v>
      </c>
      <c r="E1053" s="573" t="s">
        <v>1516</v>
      </c>
      <c r="F1053" s="573" t="s">
        <v>1517</v>
      </c>
      <c r="G1053" s="573" t="s">
        <v>271</v>
      </c>
      <c r="H1053" s="573">
        <v>2019</v>
      </c>
      <c r="I1053" s="573" t="s">
        <v>2199</v>
      </c>
      <c r="J1053" s="573" t="s">
        <v>1950</v>
      </c>
      <c r="K1053" s="573" t="s">
        <v>236</v>
      </c>
      <c r="L1053" s="573">
        <v>2</v>
      </c>
      <c r="M1053" s="573">
        <v>0</v>
      </c>
      <c r="N1053" s="573" t="s">
        <v>157</v>
      </c>
      <c r="O1053" s="573">
        <v>1</v>
      </c>
      <c r="P1053" s="573">
        <v>100.8</v>
      </c>
      <c r="Q1053" s="571" t="s">
        <v>157</v>
      </c>
      <c r="R1053" s="573" t="s">
        <v>1917</v>
      </c>
      <c r="S1053" s="573">
        <v>5</v>
      </c>
      <c r="T1053" s="573" t="s">
        <v>2261</v>
      </c>
      <c r="U1053" s="573" t="s">
        <v>1894</v>
      </c>
      <c r="V1053" s="573">
        <v>129.9</v>
      </c>
      <c r="W1053" s="573">
        <v>25</v>
      </c>
      <c r="X1053" s="571">
        <v>9000</v>
      </c>
      <c r="Y1053" s="569">
        <v>14</v>
      </c>
      <c r="Z1053" s="579" t="s">
        <v>728</v>
      </c>
      <c r="AA1053" s="579" t="s">
        <v>1523</v>
      </c>
      <c r="AB1053" s="584">
        <v>42325</v>
      </c>
      <c r="AC1053" s="584" t="s">
        <v>164</v>
      </c>
      <c r="AD1053" s="584">
        <v>30238.791666666664</v>
      </c>
      <c r="AE1053" s="586">
        <v>0.03</v>
      </c>
      <c r="AF1053" s="661" t="str">
        <f t="shared" si="115"/>
        <v>2019-LVN-FRD-T25V-014-05</v>
      </c>
      <c r="AG1053" s="661" t="str">
        <f>IF(AND($Y1053&gt;=32,(AI1053="I"),(Y1053&lt;&gt;"~"),(COUNTIF($AN$1:$AN1053,$AN1053)=1)),"TRUE","FALSE")</f>
        <v>FALSE</v>
      </c>
      <c r="AH1053" s="661" t="str">
        <f>IF(AND($Y1053&gt;=22, (AI1053&lt;&gt;"I"),(Y1053&lt;&gt;"~"),(COUNTIF($AN$1:$AN1053,$AN1053)=1)),"TRUE","FALSE")</f>
        <v>FALSE</v>
      </c>
      <c r="AI1053" s="661" t="str">
        <f t="shared" si="117"/>
        <v>II</v>
      </c>
      <c r="AJ1053" s="662" t="str">
        <f t="shared" si="111"/>
        <v>T25V-014</v>
      </c>
      <c r="AK1053" s="662" t="str">
        <f t="shared" si="112"/>
        <v>LVN</v>
      </c>
      <c r="AL1053" s="662" t="str">
        <f t="shared" si="113"/>
        <v>FRD</v>
      </c>
      <c r="AM1053" s="662" t="str">
        <f t="shared" si="116"/>
        <v>Transit 250 Van-Sliding RH Door-RWD-2-100.8-~-3.2L-5-R1C-101A-129.9-25-Diesel-BioDiesel</v>
      </c>
      <c r="AN1053" s="662" t="str">
        <f t="shared" si="114"/>
        <v>2019-LVN-FRD-T25V-014</v>
      </c>
    </row>
    <row r="1054" spans="1:40" s="572" customFormat="1" ht="15">
      <c r="A1054" s="570" t="s">
        <v>2262</v>
      </c>
      <c r="B1054" s="569" t="s">
        <v>2263</v>
      </c>
      <c r="C1054" s="569" t="s">
        <v>269</v>
      </c>
      <c r="D1054" s="580" t="s">
        <v>270</v>
      </c>
      <c r="E1054" s="569" t="s">
        <v>1516</v>
      </c>
      <c r="F1054" s="569" t="s">
        <v>1517</v>
      </c>
      <c r="G1054" s="569" t="s">
        <v>271</v>
      </c>
      <c r="H1054" s="569">
        <v>2019</v>
      </c>
      <c r="I1054" s="569" t="s">
        <v>2199</v>
      </c>
      <c r="J1054" s="569" t="s">
        <v>1950</v>
      </c>
      <c r="K1054" s="569" t="s">
        <v>236</v>
      </c>
      <c r="L1054" s="569">
        <v>2</v>
      </c>
      <c r="M1054" s="569">
        <v>0</v>
      </c>
      <c r="N1054" s="569" t="s">
        <v>157</v>
      </c>
      <c r="O1054" s="569">
        <v>1</v>
      </c>
      <c r="P1054" s="569">
        <v>100.8</v>
      </c>
      <c r="Q1054" s="568" t="s">
        <v>157</v>
      </c>
      <c r="R1054" s="569" t="s">
        <v>1259</v>
      </c>
      <c r="S1054" s="569">
        <v>6</v>
      </c>
      <c r="T1054" s="569" t="s">
        <v>2261</v>
      </c>
      <c r="U1054" s="569" t="s">
        <v>1894</v>
      </c>
      <c r="V1054" s="569">
        <v>129.9</v>
      </c>
      <c r="W1054" s="569">
        <v>25</v>
      </c>
      <c r="X1054" s="568">
        <v>9000</v>
      </c>
      <c r="Y1054" s="569">
        <v>14</v>
      </c>
      <c r="Z1054" s="581" t="s">
        <v>178</v>
      </c>
      <c r="AA1054" s="581" t="s">
        <v>178</v>
      </c>
      <c r="AB1054" s="585">
        <v>40460</v>
      </c>
      <c r="AC1054" s="585" t="s">
        <v>164</v>
      </c>
      <c r="AD1054" s="585">
        <v>28345.5</v>
      </c>
      <c r="AE1054" s="587">
        <v>0.03</v>
      </c>
      <c r="AF1054" s="661" t="str">
        <f t="shared" si="115"/>
        <v>2019-LVN-FRD-T25V-015-05</v>
      </c>
      <c r="AG1054" s="661" t="str">
        <f>IF(AND($Y1054&gt;=32,(AI1054="I"),(Y1054&lt;&gt;"~"),(COUNTIF($AN$1:$AN1054,$AN1054)=1)),"TRUE","FALSE")</f>
        <v>FALSE</v>
      </c>
      <c r="AH1054" s="661" t="str">
        <f>IF(AND($Y1054&gt;=22, (AI1054&lt;&gt;"I"),(Y1054&lt;&gt;"~"),(COUNTIF($AN$1:$AN1054,$AN1054)=1)),"TRUE","FALSE")</f>
        <v>FALSE</v>
      </c>
      <c r="AI1054" s="661" t="str">
        <f t="shared" si="117"/>
        <v>II</v>
      </c>
      <c r="AJ1054" s="662" t="str">
        <f t="shared" si="111"/>
        <v>T25V-015</v>
      </c>
      <c r="AK1054" s="662" t="str">
        <f t="shared" si="112"/>
        <v>LVN</v>
      </c>
      <c r="AL1054" s="662" t="str">
        <f t="shared" si="113"/>
        <v>FRD</v>
      </c>
      <c r="AM1054" s="662" t="str">
        <f t="shared" si="116"/>
        <v>Transit 250 Van-Sliding RH Door-RWD-2-100.8-~-3.5L EcoBoost-6-R1C-101A-129.9-25-Unleaded-Unleaded</v>
      </c>
      <c r="AN1054" s="662" t="str">
        <f t="shared" si="114"/>
        <v>2019-LVN-FRD-T25V-015</v>
      </c>
    </row>
    <row r="1055" spans="1:40" s="572" customFormat="1" ht="15">
      <c r="A1055" s="570" t="s">
        <v>2262</v>
      </c>
      <c r="B1055" s="573" t="s">
        <v>2263</v>
      </c>
      <c r="C1055" s="573" t="s">
        <v>269</v>
      </c>
      <c r="D1055" s="578" t="s">
        <v>270</v>
      </c>
      <c r="E1055" s="573" t="s">
        <v>1516</v>
      </c>
      <c r="F1055" s="573" t="s">
        <v>1517</v>
      </c>
      <c r="G1055" s="573" t="s">
        <v>271</v>
      </c>
      <c r="H1055" s="573">
        <v>2019</v>
      </c>
      <c r="I1055" s="573" t="s">
        <v>2199</v>
      </c>
      <c r="J1055" s="573" t="s">
        <v>1950</v>
      </c>
      <c r="K1055" s="573" t="s">
        <v>236</v>
      </c>
      <c r="L1055" s="573">
        <v>2</v>
      </c>
      <c r="M1055" s="573">
        <v>0</v>
      </c>
      <c r="N1055" s="573" t="s">
        <v>157</v>
      </c>
      <c r="O1055" s="573">
        <v>1</v>
      </c>
      <c r="P1055" s="573">
        <v>100.8</v>
      </c>
      <c r="Q1055" s="571" t="s">
        <v>157</v>
      </c>
      <c r="R1055" s="573" t="s">
        <v>1259</v>
      </c>
      <c r="S1055" s="573">
        <v>6</v>
      </c>
      <c r="T1055" s="573" t="s">
        <v>2261</v>
      </c>
      <c r="U1055" s="573" t="s">
        <v>1894</v>
      </c>
      <c r="V1055" s="573">
        <v>129.9</v>
      </c>
      <c r="W1055" s="573">
        <v>25</v>
      </c>
      <c r="X1055" s="571">
        <v>9000</v>
      </c>
      <c r="Y1055" s="569">
        <v>14</v>
      </c>
      <c r="Z1055" s="579" t="s">
        <v>178</v>
      </c>
      <c r="AA1055" s="579" t="s">
        <v>178</v>
      </c>
      <c r="AB1055" s="584">
        <v>45755</v>
      </c>
      <c r="AC1055" s="584" t="s">
        <v>164</v>
      </c>
      <c r="AD1055" s="584">
        <v>28345.5</v>
      </c>
      <c r="AE1055" s="586">
        <v>0.03</v>
      </c>
      <c r="AF1055" s="661" t="str">
        <f t="shared" si="115"/>
        <v>2019-LVN-FRD-T25V-015-05</v>
      </c>
      <c r="AG1055" s="661" t="str">
        <f>IF(AND($Y1055&gt;=32,(AI1055="I"),(Y1055&lt;&gt;"~"),(COUNTIF($AN$1:$AN1055,$AN1055)=1)),"TRUE","FALSE")</f>
        <v>FALSE</v>
      </c>
      <c r="AH1055" s="661" t="str">
        <f>IF(AND($Y1055&gt;=22, (AI1055&lt;&gt;"I"),(Y1055&lt;&gt;"~"),(COUNTIF($AN$1:$AN1055,$AN1055)=1)),"TRUE","FALSE")</f>
        <v>FALSE</v>
      </c>
      <c r="AI1055" s="661" t="str">
        <f t="shared" si="117"/>
        <v>II</v>
      </c>
      <c r="AJ1055" s="662" t="str">
        <f t="shared" si="111"/>
        <v>T25V-015</v>
      </c>
      <c r="AK1055" s="662" t="str">
        <f t="shared" si="112"/>
        <v>LVN</v>
      </c>
      <c r="AL1055" s="662" t="str">
        <f t="shared" si="113"/>
        <v>FRD</v>
      </c>
      <c r="AM1055" s="662" t="str">
        <f t="shared" si="116"/>
        <v>Transit 250 Van-Sliding RH Door-RWD-2-100.8-~-3.5L EcoBoost-6-R1C-101A-129.9-25-Unleaded-Unleaded</v>
      </c>
      <c r="AN1055" s="662" t="str">
        <f t="shared" si="114"/>
        <v>2019-LVN-FRD-T25V-015</v>
      </c>
    </row>
    <row r="1056" spans="1:40" s="572" customFormat="1" ht="15">
      <c r="A1056" s="570" t="s">
        <v>2264</v>
      </c>
      <c r="B1056" s="569" t="s">
        <v>2265</v>
      </c>
      <c r="C1056" s="569" t="s">
        <v>269</v>
      </c>
      <c r="D1056" s="580" t="s">
        <v>270</v>
      </c>
      <c r="E1056" s="569" t="s">
        <v>1516</v>
      </c>
      <c r="F1056" s="569" t="s">
        <v>1517</v>
      </c>
      <c r="G1056" s="569" t="s">
        <v>271</v>
      </c>
      <c r="H1056" s="569">
        <v>2019</v>
      </c>
      <c r="I1056" s="569" t="s">
        <v>2199</v>
      </c>
      <c r="J1056" s="569" t="s">
        <v>1950</v>
      </c>
      <c r="K1056" s="569" t="s">
        <v>236</v>
      </c>
      <c r="L1056" s="569">
        <v>2</v>
      </c>
      <c r="M1056" s="569">
        <v>0</v>
      </c>
      <c r="N1056" s="569" t="s">
        <v>157</v>
      </c>
      <c r="O1056" s="569">
        <v>1</v>
      </c>
      <c r="P1056" s="569">
        <v>100.8</v>
      </c>
      <c r="Q1056" s="568" t="s">
        <v>157</v>
      </c>
      <c r="R1056" s="569" t="s">
        <v>682</v>
      </c>
      <c r="S1056" s="569">
        <v>6</v>
      </c>
      <c r="T1056" s="569" t="s">
        <v>2261</v>
      </c>
      <c r="U1056" s="569" t="s">
        <v>1894</v>
      </c>
      <c r="V1056" s="569">
        <v>129.9</v>
      </c>
      <c r="W1056" s="569">
        <v>25</v>
      </c>
      <c r="X1056" s="568">
        <v>9000</v>
      </c>
      <c r="Y1056" s="569">
        <v>14</v>
      </c>
      <c r="Z1056" s="581" t="s">
        <v>178</v>
      </c>
      <c r="AA1056" s="581" t="s">
        <v>178</v>
      </c>
      <c r="AB1056" s="585">
        <v>35935</v>
      </c>
      <c r="AC1056" s="585" t="s">
        <v>164</v>
      </c>
      <c r="AD1056" s="585">
        <v>26689.25</v>
      </c>
      <c r="AE1056" s="587">
        <v>0.03</v>
      </c>
      <c r="AF1056" s="661" t="str">
        <f t="shared" si="115"/>
        <v>2019-LVN-FRD-T25V-016-05</v>
      </c>
      <c r="AG1056" s="661" t="str">
        <f>IF(AND($Y1056&gt;=32,(AI1056="I"),(Y1056&lt;&gt;"~"),(COUNTIF($AN$1:$AN1056,$AN1056)=1)),"TRUE","FALSE")</f>
        <v>FALSE</v>
      </c>
      <c r="AH1056" s="661" t="str">
        <f>IF(AND($Y1056&gt;=22, (AI1056&lt;&gt;"I"),(Y1056&lt;&gt;"~"),(COUNTIF($AN$1:$AN1056,$AN1056)=1)),"TRUE","FALSE")</f>
        <v>FALSE</v>
      </c>
      <c r="AI1056" s="661" t="str">
        <f t="shared" si="117"/>
        <v>II</v>
      </c>
      <c r="AJ1056" s="662" t="str">
        <f t="shared" si="111"/>
        <v>T25V-016</v>
      </c>
      <c r="AK1056" s="662" t="str">
        <f t="shared" si="112"/>
        <v>LVN</v>
      </c>
      <c r="AL1056" s="662" t="str">
        <f t="shared" si="113"/>
        <v>FRD</v>
      </c>
      <c r="AM1056" s="662" t="str">
        <f t="shared" si="116"/>
        <v>Transit 250 Van-Sliding RH Door-RWD-2-100.8-~-3.7L-6-R1C-101A-129.9-25-Unleaded-Unleaded</v>
      </c>
      <c r="AN1056" s="662" t="str">
        <f t="shared" si="114"/>
        <v>2019-LVN-FRD-T25V-016</v>
      </c>
    </row>
    <row r="1057" spans="1:40" s="572" customFormat="1" ht="15">
      <c r="A1057" s="570" t="s">
        <v>2264</v>
      </c>
      <c r="B1057" s="573" t="s">
        <v>2265</v>
      </c>
      <c r="C1057" s="573" t="s">
        <v>269</v>
      </c>
      <c r="D1057" s="578" t="s">
        <v>270</v>
      </c>
      <c r="E1057" s="573" t="s">
        <v>1516</v>
      </c>
      <c r="F1057" s="573" t="s">
        <v>1517</v>
      </c>
      <c r="G1057" s="573" t="s">
        <v>271</v>
      </c>
      <c r="H1057" s="573">
        <v>2019</v>
      </c>
      <c r="I1057" s="573" t="s">
        <v>2199</v>
      </c>
      <c r="J1057" s="573" t="s">
        <v>1950</v>
      </c>
      <c r="K1057" s="573" t="s">
        <v>236</v>
      </c>
      <c r="L1057" s="573">
        <v>2</v>
      </c>
      <c r="M1057" s="573">
        <v>0</v>
      </c>
      <c r="N1057" s="573" t="s">
        <v>157</v>
      </c>
      <c r="O1057" s="573">
        <v>1</v>
      </c>
      <c r="P1057" s="573">
        <v>100.8</v>
      </c>
      <c r="Q1057" s="571" t="s">
        <v>157</v>
      </c>
      <c r="R1057" s="573" t="s">
        <v>682</v>
      </c>
      <c r="S1057" s="573">
        <v>6</v>
      </c>
      <c r="T1057" s="573" t="s">
        <v>2261</v>
      </c>
      <c r="U1057" s="573" t="s">
        <v>1894</v>
      </c>
      <c r="V1057" s="573">
        <v>129.9</v>
      </c>
      <c r="W1057" s="573">
        <v>25</v>
      </c>
      <c r="X1057" s="571">
        <v>9000</v>
      </c>
      <c r="Y1057" s="569">
        <v>14</v>
      </c>
      <c r="Z1057" s="579" t="s">
        <v>178</v>
      </c>
      <c r="AA1057" s="579" t="s">
        <v>178</v>
      </c>
      <c r="AB1057" s="584">
        <v>43625</v>
      </c>
      <c r="AC1057" s="584" t="s">
        <v>164</v>
      </c>
      <c r="AD1057" s="584">
        <v>26689.25</v>
      </c>
      <c r="AE1057" s="586">
        <v>0.03</v>
      </c>
      <c r="AF1057" s="661" t="str">
        <f t="shared" si="115"/>
        <v>2019-LVN-FRD-T25V-016-05</v>
      </c>
      <c r="AG1057" s="661" t="str">
        <f>IF(AND($Y1057&gt;=32,(AI1057="I"),(Y1057&lt;&gt;"~"),(COUNTIF($AN$1:$AN1057,$AN1057)=1)),"TRUE","FALSE")</f>
        <v>FALSE</v>
      </c>
      <c r="AH1057" s="661" t="str">
        <f>IF(AND($Y1057&gt;=22, (AI1057&lt;&gt;"I"),(Y1057&lt;&gt;"~"),(COUNTIF($AN$1:$AN1057,$AN1057)=1)),"TRUE","FALSE")</f>
        <v>FALSE</v>
      </c>
      <c r="AI1057" s="661" t="str">
        <f t="shared" si="117"/>
        <v>II</v>
      </c>
      <c r="AJ1057" s="662" t="str">
        <f t="shared" si="111"/>
        <v>T25V-016</v>
      </c>
      <c r="AK1057" s="662" t="str">
        <f t="shared" si="112"/>
        <v>LVN</v>
      </c>
      <c r="AL1057" s="662" t="str">
        <f t="shared" si="113"/>
        <v>FRD</v>
      </c>
      <c r="AM1057" s="662" t="str">
        <f t="shared" si="116"/>
        <v>Transit 250 Van-Sliding RH Door-RWD-2-100.8-~-3.7L-6-R1C-101A-129.9-25-Unleaded-Unleaded</v>
      </c>
      <c r="AN1057" s="662" t="str">
        <f t="shared" si="114"/>
        <v>2019-LVN-FRD-T25V-016</v>
      </c>
    </row>
    <row r="1058" spans="1:40" s="572" customFormat="1" ht="15">
      <c r="A1058" s="570" t="s">
        <v>2266</v>
      </c>
      <c r="B1058" s="569" t="s">
        <v>2267</v>
      </c>
      <c r="C1058" s="569" t="s">
        <v>269</v>
      </c>
      <c r="D1058" s="580" t="s">
        <v>270</v>
      </c>
      <c r="E1058" s="569" t="s">
        <v>1516</v>
      </c>
      <c r="F1058" s="569" t="s">
        <v>1517</v>
      </c>
      <c r="G1058" s="569" t="s">
        <v>271</v>
      </c>
      <c r="H1058" s="569">
        <v>2019</v>
      </c>
      <c r="I1058" s="569" t="s">
        <v>2199</v>
      </c>
      <c r="J1058" s="569" t="s">
        <v>1950</v>
      </c>
      <c r="K1058" s="569" t="s">
        <v>236</v>
      </c>
      <c r="L1058" s="569">
        <v>2</v>
      </c>
      <c r="M1058" s="569">
        <v>0</v>
      </c>
      <c r="N1058" s="569" t="s">
        <v>157</v>
      </c>
      <c r="O1058" s="569">
        <v>1</v>
      </c>
      <c r="P1058" s="569">
        <v>109.4</v>
      </c>
      <c r="Q1058" s="568" t="s">
        <v>157</v>
      </c>
      <c r="R1058" s="569" t="s">
        <v>1917</v>
      </c>
      <c r="S1058" s="569">
        <v>5</v>
      </c>
      <c r="T1058" s="569" t="s">
        <v>2268</v>
      </c>
      <c r="U1058" s="569" t="s">
        <v>1894</v>
      </c>
      <c r="V1058" s="569">
        <v>147.6</v>
      </c>
      <c r="W1058" s="569">
        <v>25</v>
      </c>
      <c r="X1058" s="568">
        <v>9000</v>
      </c>
      <c r="Y1058" s="569">
        <v>14</v>
      </c>
      <c r="Z1058" s="581" t="s">
        <v>728</v>
      </c>
      <c r="AA1058" s="581" t="s">
        <v>1523</v>
      </c>
      <c r="AB1058" s="585">
        <v>45105</v>
      </c>
      <c r="AC1058" s="585" t="s">
        <v>164</v>
      </c>
      <c r="AD1058" s="585">
        <v>34969</v>
      </c>
      <c r="AE1058" s="587">
        <v>0.03</v>
      </c>
      <c r="AF1058" s="661" t="str">
        <f t="shared" si="115"/>
        <v>2019-LVN-FRD-T25V-018-05</v>
      </c>
      <c r="AG1058" s="661" t="str">
        <f>IF(AND($Y1058&gt;=32,(AI1058="I"),(Y1058&lt;&gt;"~"),(COUNTIF($AN$1:$AN1058,$AN1058)=1)),"TRUE","FALSE")</f>
        <v>FALSE</v>
      </c>
      <c r="AH1058" s="661" t="str">
        <f>IF(AND($Y1058&gt;=22, (AI1058&lt;&gt;"I"),(Y1058&lt;&gt;"~"),(COUNTIF($AN$1:$AN1058,$AN1058)=1)),"TRUE","FALSE")</f>
        <v>FALSE</v>
      </c>
      <c r="AI1058" s="661" t="str">
        <f t="shared" si="117"/>
        <v>II</v>
      </c>
      <c r="AJ1058" s="662" t="str">
        <f t="shared" si="111"/>
        <v>T25V-018</v>
      </c>
      <c r="AK1058" s="662" t="str">
        <f t="shared" si="112"/>
        <v>LVN</v>
      </c>
      <c r="AL1058" s="662" t="str">
        <f t="shared" si="113"/>
        <v>FRD</v>
      </c>
      <c r="AM1058" s="662" t="str">
        <f t="shared" si="116"/>
        <v>Transit 250 Van-Sliding RH Door-RWD-2-109.4-~-3.2L-5-R3X-101A-147.6-25-Diesel-BioDiesel</v>
      </c>
      <c r="AN1058" s="662" t="str">
        <f t="shared" si="114"/>
        <v>2019-LVN-FRD-T25V-018</v>
      </c>
    </row>
    <row r="1059" spans="1:40" s="572" customFormat="1" ht="15">
      <c r="A1059" s="570" t="s">
        <v>2269</v>
      </c>
      <c r="B1059" s="573" t="s">
        <v>2270</v>
      </c>
      <c r="C1059" s="573" t="s">
        <v>269</v>
      </c>
      <c r="D1059" s="578" t="s">
        <v>270</v>
      </c>
      <c r="E1059" s="573" t="s">
        <v>1516</v>
      </c>
      <c r="F1059" s="573" t="s">
        <v>1517</v>
      </c>
      <c r="G1059" s="573" t="s">
        <v>271</v>
      </c>
      <c r="H1059" s="573">
        <v>2019</v>
      </c>
      <c r="I1059" s="573" t="s">
        <v>2199</v>
      </c>
      <c r="J1059" s="573" t="s">
        <v>1950</v>
      </c>
      <c r="K1059" s="573" t="s">
        <v>236</v>
      </c>
      <c r="L1059" s="573">
        <v>2</v>
      </c>
      <c r="M1059" s="573">
        <v>0</v>
      </c>
      <c r="N1059" s="573" t="s">
        <v>157</v>
      </c>
      <c r="O1059" s="573">
        <v>1</v>
      </c>
      <c r="P1059" s="573">
        <v>109.4</v>
      </c>
      <c r="Q1059" s="571" t="s">
        <v>157</v>
      </c>
      <c r="R1059" s="573" t="s">
        <v>1259</v>
      </c>
      <c r="S1059" s="573">
        <v>6</v>
      </c>
      <c r="T1059" s="573" t="s">
        <v>2268</v>
      </c>
      <c r="U1059" s="573" t="s">
        <v>1894</v>
      </c>
      <c r="V1059" s="573">
        <v>147.6</v>
      </c>
      <c r="W1059" s="573">
        <v>25</v>
      </c>
      <c r="X1059" s="571">
        <v>9000</v>
      </c>
      <c r="Y1059" s="569">
        <v>14</v>
      </c>
      <c r="Z1059" s="579" t="s">
        <v>178</v>
      </c>
      <c r="AA1059" s="579" t="s">
        <v>178</v>
      </c>
      <c r="AB1059" s="584">
        <v>42975</v>
      </c>
      <c r="AC1059" s="584" t="s">
        <v>164</v>
      </c>
      <c r="AD1059" s="584">
        <v>33075.708333333336</v>
      </c>
      <c r="AE1059" s="586">
        <v>0.03</v>
      </c>
      <c r="AF1059" s="661" t="str">
        <f t="shared" si="115"/>
        <v>2019-LVN-FRD-T25V-019-05</v>
      </c>
      <c r="AG1059" s="661" t="str">
        <f>IF(AND($Y1059&gt;=32,(AI1059="I"),(Y1059&lt;&gt;"~"),(COUNTIF($AN$1:$AN1059,$AN1059)=1)),"TRUE","FALSE")</f>
        <v>FALSE</v>
      </c>
      <c r="AH1059" s="661" t="str">
        <f>IF(AND($Y1059&gt;=22, (AI1059&lt;&gt;"I"),(Y1059&lt;&gt;"~"),(COUNTIF($AN$1:$AN1059,$AN1059)=1)),"TRUE","FALSE")</f>
        <v>FALSE</v>
      </c>
      <c r="AI1059" s="661" t="str">
        <f t="shared" si="117"/>
        <v>II</v>
      </c>
      <c r="AJ1059" s="662" t="str">
        <f t="shared" si="111"/>
        <v>T25V-019</v>
      </c>
      <c r="AK1059" s="662" t="str">
        <f t="shared" si="112"/>
        <v>LVN</v>
      </c>
      <c r="AL1059" s="662" t="str">
        <f t="shared" si="113"/>
        <v>FRD</v>
      </c>
      <c r="AM1059" s="662" t="str">
        <f t="shared" si="116"/>
        <v>Transit 250 Van-Sliding RH Door-RWD-2-109.4-~-3.5L EcoBoost-6-R3X-101A-147.6-25-Unleaded-Unleaded</v>
      </c>
      <c r="AN1059" s="662" t="str">
        <f t="shared" si="114"/>
        <v>2019-LVN-FRD-T25V-019</v>
      </c>
    </row>
    <row r="1060" spans="1:40" s="572" customFormat="1" ht="15">
      <c r="A1060" s="570" t="s">
        <v>2271</v>
      </c>
      <c r="B1060" s="569" t="s">
        <v>2272</v>
      </c>
      <c r="C1060" s="569" t="s">
        <v>269</v>
      </c>
      <c r="D1060" s="580" t="s">
        <v>270</v>
      </c>
      <c r="E1060" s="569" t="s">
        <v>1516</v>
      </c>
      <c r="F1060" s="569" t="s">
        <v>1517</v>
      </c>
      <c r="G1060" s="569" t="s">
        <v>271</v>
      </c>
      <c r="H1060" s="569">
        <v>2019</v>
      </c>
      <c r="I1060" s="569" t="s">
        <v>2199</v>
      </c>
      <c r="J1060" s="569" t="s">
        <v>1950</v>
      </c>
      <c r="K1060" s="569" t="s">
        <v>236</v>
      </c>
      <c r="L1060" s="569">
        <v>2</v>
      </c>
      <c r="M1060" s="569">
        <v>0</v>
      </c>
      <c r="N1060" s="569" t="s">
        <v>157</v>
      </c>
      <c r="O1060" s="569">
        <v>1</v>
      </c>
      <c r="P1060" s="569">
        <v>109.4</v>
      </c>
      <c r="Q1060" s="568" t="s">
        <v>157</v>
      </c>
      <c r="R1060" s="569" t="s">
        <v>682</v>
      </c>
      <c r="S1060" s="569">
        <v>6</v>
      </c>
      <c r="T1060" s="569" t="s">
        <v>2268</v>
      </c>
      <c r="U1060" s="569" t="s">
        <v>1894</v>
      </c>
      <c r="V1060" s="569">
        <v>147.6</v>
      </c>
      <c r="W1060" s="569">
        <v>25</v>
      </c>
      <c r="X1060" s="568">
        <v>9000</v>
      </c>
      <c r="Y1060" s="569">
        <v>14</v>
      </c>
      <c r="Z1060" s="581" t="s">
        <v>178</v>
      </c>
      <c r="AA1060" s="581" t="s">
        <v>178</v>
      </c>
      <c r="AB1060" s="585">
        <v>41110</v>
      </c>
      <c r="AC1060" s="585" t="s">
        <v>164</v>
      </c>
      <c r="AD1060" s="585">
        <v>31419.458333333336</v>
      </c>
      <c r="AE1060" s="587">
        <v>0.03</v>
      </c>
      <c r="AF1060" s="661" t="str">
        <f t="shared" si="115"/>
        <v>2019-LVN-FRD-T25V-020-05</v>
      </c>
      <c r="AG1060" s="661" t="str">
        <f>IF(AND($Y1060&gt;=32,(AI1060="I"),(Y1060&lt;&gt;"~"),(COUNTIF($AN$1:$AN1060,$AN1060)=1)),"TRUE","FALSE")</f>
        <v>FALSE</v>
      </c>
      <c r="AH1060" s="661" t="str">
        <f>IF(AND($Y1060&gt;=22, (AI1060&lt;&gt;"I"),(Y1060&lt;&gt;"~"),(COUNTIF($AN$1:$AN1060,$AN1060)=1)),"TRUE","FALSE")</f>
        <v>FALSE</v>
      </c>
      <c r="AI1060" s="661" t="str">
        <f t="shared" si="117"/>
        <v>II</v>
      </c>
      <c r="AJ1060" s="662" t="str">
        <f t="shared" si="111"/>
        <v>T25V-020</v>
      </c>
      <c r="AK1060" s="662" t="str">
        <f t="shared" si="112"/>
        <v>LVN</v>
      </c>
      <c r="AL1060" s="662" t="str">
        <f t="shared" si="113"/>
        <v>FRD</v>
      </c>
      <c r="AM1060" s="662" t="str">
        <f t="shared" si="116"/>
        <v>Transit 250 Van-Sliding RH Door-RWD-2-109.4-~-3.7L-6-R3X-101A-147.6-25-Unleaded-Unleaded</v>
      </c>
      <c r="AN1060" s="662" t="str">
        <f t="shared" si="114"/>
        <v>2019-LVN-FRD-T25V-020</v>
      </c>
    </row>
    <row r="1061" spans="1:40" s="572" customFormat="1" ht="15">
      <c r="A1061" s="570" t="s">
        <v>2273</v>
      </c>
      <c r="B1061" s="573" t="s">
        <v>2274</v>
      </c>
      <c r="C1061" s="573" t="s">
        <v>269</v>
      </c>
      <c r="D1061" s="578" t="s">
        <v>270</v>
      </c>
      <c r="E1061" s="573" t="s">
        <v>1516</v>
      </c>
      <c r="F1061" s="573" t="s">
        <v>1517</v>
      </c>
      <c r="G1061" s="573" t="s">
        <v>271</v>
      </c>
      <c r="H1061" s="573">
        <v>2019</v>
      </c>
      <c r="I1061" s="573" t="s">
        <v>2199</v>
      </c>
      <c r="J1061" s="573" t="s">
        <v>1950</v>
      </c>
      <c r="K1061" s="573" t="s">
        <v>236</v>
      </c>
      <c r="L1061" s="573">
        <v>2</v>
      </c>
      <c r="M1061" s="573">
        <v>0</v>
      </c>
      <c r="N1061" s="573" t="s">
        <v>157</v>
      </c>
      <c r="O1061" s="573">
        <v>1</v>
      </c>
      <c r="P1061" s="573">
        <v>110.1</v>
      </c>
      <c r="Q1061" s="571" t="s">
        <v>157</v>
      </c>
      <c r="R1061" s="573" t="s">
        <v>1917</v>
      </c>
      <c r="S1061" s="573">
        <v>5</v>
      </c>
      <c r="T1061" s="573" t="s">
        <v>2275</v>
      </c>
      <c r="U1061" s="573" t="s">
        <v>1894</v>
      </c>
      <c r="V1061" s="573">
        <v>147.6</v>
      </c>
      <c r="W1061" s="573">
        <v>25</v>
      </c>
      <c r="X1061" s="571">
        <v>9000</v>
      </c>
      <c r="Y1061" s="569">
        <v>14</v>
      </c>
      <c r="Z1061" s="579" t="s">
        <v>728</v>
      </c>
      <c r="AA1061" s="579" t="s">
        <v>1523</v>
      </c>
      <c r="AB1061" s="584">
        <v>43805</v>
      </c>
      <c r="AC1061" s="584" t="s">
        <v>164</v>
      </c>
      <c r="AD1061" s="584">
        <v>33781.5</v>
      </c>
      <c r="AE1061" s="586">
        <v>0.03</v>
      </c>
      <c r="AF1061" s="661" t="str">
        <f t="shared" si="115"/>
        <v>2019-LVN-FRD-T25V-022-05</v>
      </c>
      <c r="AG1061" s="661" t="str">
        <f>IF(AND($Y1061&gt;=32,(AI1061="I"),(Y1061&lt;&gt;"~"),(COUNTIF($AN$1:$AN1061,$AN1061)=1)),"TRUE","FALSE")</f>
        <v>FALSE</v>
      </c>
      <c r="AH1061" s="661" t="str">
        <f>IF(AND($Y1061&gt;=22, (AI1061&lt;&gt;"I"),(Y1061&lt;&gt;"~"),(COUNTIF($AN$1:$AN1061,$AN1061)=1)),"TRUE","FALSE")</f>
        <v>FALSE</v>
      </c>
      <c r="AI1061" s="661" t="str">
        <f t="shared" si="117"/>
        <v>II</v>
      </c>
      <c r="AJ1061" s="662" t="str">
        <f t="shared" si="111"/>
        <v>T25V-022</v>
      </c>
      <c r="AK1061" s="662" t="str">
        <f t="shared" si="112"/>
        <v>LVN</v>
      </c>
      <c r="AL1061" s="662" t="str">
        <f t="shared" si="113"/>
        <v>FRD</v>
      </c>
      <c r="AM1061" s="662" t="str">
        <f t="shared" si="116"/>
        <v>Transit 250 Van-Sliding RH Door-RWD-2-110.1-~-3.2L-5-R2X-101A-147.6-25-Diesel-BioDiesel</v>
      </c>
      <c r="AN1061" s="662" t="str">
        <f t="shared" si="114"/>
        <v>2019-LVN-FRD-T25V-022</v>
      </c>
    </row>
    <row r="1062" spans="1:40" s="572" customFormat="1" ht="15">
      <c r="A1062" s="570" t="s">
        <v>2276</v>
      </c>
      <c r="B1062" s="569" t="s">
        <v>2277</v>
      </c>
      <c r="C1062" s="569" t="s">
        <v>269</v>
      </c>
      <c r="D1062" s="580" t="s">
        <v>270</v>
      </c>
      <c r="E1062" s="569" t="s">
        <v>1516</v>
      </c>
      <c r="F1062" s="569" t="s">
        <v>1517</v>
      </c>
      <c r="G1062" s="569" t="s">
        <v>271</v>
      </c>
      <c r="H1062" s="569">
        <v>2019</v>
      </c>
      <c r="I1062" s="569" t="s">
        <v>2199</v>
      </c>
      <c r="J1062" s="569" t="s">
        <v>1950</v>
      </c>
      <c r="K1062" s="569" t="s">
        <v>236</v>
      </c>
      <c r="L1062" s="569">
        <v>2</v>
      </c>
      <c r="M1062" s="569">
        <v>0</v>
      </c>
      <c r="N1062" s="569" t="s">
        <v>157</v>
      </c>
      <c r="O1062" s="569">
        <v>1</v>
      </c>
      <c r="P1062" s="569">
        <v>110.1</v>
      </c>
      <c r="Q1062" s="568" t="s">
        <v>157</v>
      </c>
      <c r="R1062" s="569" t="s">
        <v>1259</v>
      </c>
      <c r="S1062" s="569">
        <v>6</v>
      </c>
      <c r="T1062" s="569" t="s">
        <v>2275</v>
      </c>
      <c r="U1062" s="569" t="s">
        <v>1894</v>
      </c>
      <c r="V1062" s="569">
        <v>147.6</v>
      </c>
      <c r="W1062" s="569">
        <v>25</v>
      </c>
      <c r="X1062" s="568">
        <v>9000</v>
      </c>
      <c r="Y1062" s="569">
        <v>14</v>
      </c>
      <c r="Z1062" s="581" t="s">
        <v>178</v>
      </c>
      <c r="AA1062" s="581" t="s">
        <v>178</v>
      </c>
      <c r="AB1062" s="585">
        <v>41675</v>
      </c>
      <c r="AC1062" s="585" t="s">
        <v>164</v>
      </c>
      <c r="AD1062" s="585">
        <v>31888.208333333336</v>
      </c>
      <c r="AE1062" s="587">
        <v>0.03</v>
      </c>
      <c r="AF1062" s="661" t="str">
        <f t="shared" si="115"/>
        <v>2019-LVN-FRD-T25V-023-05</v>
      </c>
      <c r="AG1062" s="661" t="str">
        <f>IF(AND($Y1062&gt;=32,(AI1062="I"),(Y1062&lt;&gt;"~"),(COUNTIF($AN$1:$AN1062,$AN1062)=1)),"TRUE","FALSE")</f>
        <v>FALSE</v>
      </c>
      <c r="AH1062" s="661" t="str">
        <f>IF(AND($Y1062&gt;=22, (AI1062&lt;&gt;"I"),(Y1062&lt;&gt;"~"),(COUNTIF($AN$1:$AN1062,$AN1062)=1)),"TRUE","FALSE")</f>
        <v>FALSE</v>
      </c>
      <c r="AI1062" s="661" t="str">
        <f t="shared" si="117"/>
        <v>II</v>
      </c>
      <c r="AJ1062" s="662" t="str">
        <f t="shared" si="111"/>
        <v>T25V-023</v>
      </c>
      <c r="AK1062" s="662" t="str">
        <f t="shared" si="112"/>
        <v>LVN</v>
      </c>
      <c r="AL1062" s="662" t="str">
        <f t="shared" si="113"/>
        <v>FRD</v>
      </c>
      <c r="AM1062" s="662" t="str">
        <f t="shared" si="116"/>
        <v>Transit 250 Van-Sliding RH Door-RWD-2-110.1-~-3.5L EcoBoost-6-R2X-101A-147.6-25-Unleaded-Unleaded</v>
      </c>
      <c r="AN1062" s="662" t="str">
        <f t="shared" si="114"/>
        <v>2019-LVN-FRD-T25V-023</v>
      </c>
    </row>
    <row r="1063" spans="1:40" s="572" customFormat="1" ht="15">
      <c r="A1063" s="570" t="s">
        <v>2278</v>
      </c>
      <c r="B1063" s="573" t="s">
        <v>2279</v>
      </c>
      <c r="C1063" s="573" t="s">
        <v>269</v>
      </c>
      <c r="D1063" s="578" t="s">
        <v>270</v>
      </c>
      <c r="E1063" s="573" t="s">
        <v>1516</v>
      </c>
      <c r="F1063" s="573" t="s">
        <v>1517</v>
      </c>
      <c r="G1063" s="573" t="s">
        <v>271</v>
      </c>
      <c r="H1063" s="573">
        <v>2019</v>
      </c>
      <c r="I1063" s="573" t="s">
        <v>2199</v>
      </c>
      <c r="J1063" s="573" t="s">
        <v>1950</v>
      </c>
      <c r="K1063" s="573" t="s">
        <v>236</v>
      </c>
      <c r="L1063" s="573">
        <v>2</v>
      </c>
      <c r="M1063" s="573">
        <v>0</v>
      </c>
      <c r="N1063" s="573" t="s">
        <v>157</v>
      </c>
      <c r="O1063" s="573">
        <v>1</v>
      </c>
      <c r="P1063" s="573">
        <v>110.1</v>
      </c>
      <c r="Q1063" s="571" t="s">
        <v>157</v>
      </c>
      <c r="R1063" s="573" t="s">
        <v>682</v>
      </c>
      <c r="S1063" s="573">
        <v>6</v>
      </c>
      <c r="T1063" s="573" t="s">
        <v>2275</v>
      </c>
      <c r="U1063" s="573" t="s">
        <v>1894</v>
      </c>
      <c r="V1063" s="573">
        <v>147.6</v>
      </c>
      <c r="W1063" s="573">
        <v>25</v>
      </c>
      <c r="X1063" s="571">
        <v>9000</v>
      </c>
      <c r="Y1063" s="569">
        <v>14</v>
      </c>
      <c r="Z1063" s="579" t="s">
        <v>178</v>
      </c>
      <c r="AA1063" s="579" t="s">
        <v>178</v>
      </c>
      <c r="AB1063" s="584">
        <v>39810</v>
      </c>
      <c r="AC1063" s="584" t="s">
        <v>164</v>
      </c>
      <c r="AD1063" s="584">
        <v>30231.958333333336</v>
      </c>
      <c r="AE1063" s="586">
        <v>0.03</v>
      </c>
      <c r="AF1063" s="661" t="str">
        <f t="shared" si="115"/>
        <v>2019-LVN-FRD-T25V-024-05</v>
      </c>
      <c r="AG1063" s="661" t="str">
        <f>IF(AND($Y1063&gt;=32,(AI1063="I"),(Y1063&lt;&gt;"~"),(COUNTIF($AN$1:$AN1063,$AN1063)=1)),"TRUE","FALSE")</f>
        <v>FALSE</v>
      </c>
      <c r="AH1063" s="661" t="str">
        <f>IF(AND($Y1063&gt;=22, (AI1063&lt;&gt;"I"),(Y1063&lt;&gt;"~"),(COUNTIF($AN$1:$AN1063,$AN1063)=1)),"TRUE","FALSE")</f>
        <v>FALSE</v>
      </c>
      <c r="AI1063" s="661" t="str">
        <f t="shared" si="117"/>
        <v>II</v>
      </c>
      <c r="AJ1063" s="662" t="str">
        <f t="shared" si="111"/>
        <v>T25V-024</v>
      </c>
      <c r="AK1063" s="662" t="str">
        <f t="shared" si="112"/>
        <v>LVN</v>
      </c>
      <c r="AL1063" s="662" t="str">
        <f t="shared" si="113"/>
        <v>FRD</v>
      </c>
      <c r="AM1063" s="662" t="str">
        <f t="shared" si="116"/>
        <v>Transit 250 Van-Sliding RH Door-RWD-2-110.1-~-3.7L-6-R2X-101A-147.6-25-Unleaded-Unleaded</v>
      </c>
      <c r="AN1063" s="662" t="str">
        <f t="shared" si="114"/>
        <v>2019-LVN-FRD-T25V-024</v>
      </c>
    </row>
    <row r="1064" spans="1:40" s="572" customFormat="1" ht="15">
      <c r="A1064" s="570" t="s">
        <v>2280</v>
      </c>
      <c r="B1064" s="569" t="s">
        <v>2281</v>
      </c>
      <c r="C1064" s="569" t="s">
        <v>269</v>
      </c>
      <c r="D1064" s="580" t="s">
        <v>270</v>
      </c>
      <c r="E1064" s="569" t="s">
        <v>1516</v>
      </c>
      <c r="F1064" s="569" t="s">
        <v>1517</v>
      </c>
      <c r="G1064" s="569" t="s">
        <v>271</v>
      </c>
      <c r="H1064" s="569">
        <v>2019</v>
      </c>
      <c r="I1064" s="569" t="s">
        <v>2199</v>
      </c>
      <c r="J1064" s="569" t="s">
        <v>1950</v>
      </c>
      <c r="K1064" s="569" t="s">
        <v>236</v>
      </c>
      <c r="L1064" s="569">
        <v>2</v>
      </c>
      <c r="M1064" s="569">
        <v>0</v>
      </c>
      <c r="N1064" s="569" t="s">
        <v>157</v>
      </c>
      <c r="O1064" s="569">
        <v>1</v>
      </c>
      <c r="P1064" s="569">
        <v>83.2</v>
      </c>
      <c r="Q1064" s="568" t="s">
        <v>157</v>
      </c>
      <c r="R1064" s="569" t="s">
        <v>1917</v>
      </c>
      <c r="S1064" s="569">
        <v>5</v>
      </c>
      <c r="T1064" s="569" t="s">
        <v>2282</v>
      </c>
      <c r="U1064" s="569" t="s">
        <v>1894</v>
      </c>
      <c r="V1064" s="569">
        <v>129.9</v>
      </c>
      <c r="W1064" s="569">
        <v>25</v>
      </c>
      <c r="X1064" s="568">
        <v>9000</v>
      </c>
      <c r="Y1064" s="569">
        <v>14</v>
      </c>
      <c r="Z1064" s="581" t="s">
        <v>728</v>
      </c>
      <c r="AA1064" s="581" t="s">
        <v>1523</v>
      </c>
      <c r="AB1064" s="585">
        <v>39625</v>
      </c>
      <c r="AC1064" s="585" t="s">
        <v>164</v>
      </c>
      <c r="AD1064" s="585">
        <v>27877.333333333332</v>
      </c>
      <c r="AE1064" s="587">
        <v>0.03</v>
      </c>
      <c r="AF1064" s="661" t="str">
        <f t="shared" si="115"/>
        <v>2019-LVN-FRD-T25V-026-05</v>
      </c>
      <c r="AG1064" s="661" t="str">
        <f>IF(AND($Y1064&gt;=32,(AI1064="I"),(Y1064&lt;&gt;"~"),(COUNTIF($AN$1:$AN1064,$AN1064)=1)),"TRUE","FALSE")</f>
        <v>FALSE</v>
      </c>
      <c r="AH1064" s="661" t="str">
        <f>IF(AND($Y1064&gt;=22, (AI1064&lt;&gt;"I"),(Y1064&lt;&gt;"~"),(COUNTIF($AN$1:$AN1064,$AN1064)=1)),"TRUE","FALSE")</f>
        <v>FALSE</v>
      </c>
      <c r="AI1064" s="661" t="str">
        <f t="shared" si="117"/>
        <v>II</v>
      </c>
      <c r="AJ1064" s="662" t="str">
        <f t="shared" si="111"/>
        <v>T25V-026</v>
      </c>
      <c r="AK1064" s="662" t="str">
        <f t="shared" si="112"/>
        <v>LVN</v>
      </c>
      <c r="AL1064" s="662" t="str">
        <f t="shared" si="113"/>
        <v>FRD</v>
      </c>
      <c r="AM1064" s="662" t="str">
        <f t="shared" si="116"/>
        <v>Transit 250 Van-Sliding RH Door-RWD-2-83.2-~-3.2L-5-R1Y-101A-129.9-25-Diesel-BioDiesel</v>
      </c>
      <c r="AN1064" s="662" t="str">
        <f t="shared" si="114"/>
        <v>2019-LVN-FRD-T25V-026</v>
      </c>
    </row>
    <row r="1065" spans="1:40" s="572" customFormat="1" ht="15">
      <c r="A1065" s="570" t="s">
        <v>2283</v>
      </c>
      <c r="B1065" s="573" t="s">
        <v>2284</v>
      </c>
      <c r="C1065" s="573" t="s">
        <v>269</v>
      </c>
      <c r="D1065" s="578" t="s">
        <v>270</v>
      </c>
      <c r="E1065" s="573" t="s">
        <v>1516</v>
      </c>
      <c r="F1065" s="573" t="s">
        <v>1517</v>
      </c>
      <c r="G1065" s="573" t="s">
        <v>271</v>
      </c>
      <c r="H1065" s="573">
        <v>2019</v>
      </c>
      <c r="I1065" s="573" t="s">
        <v>2199</v>
      </c>
      <c r="J1065" s="573" t="s">
        <v>1950</v>
      </c>
      <c r="K1065" s="573" t="s">
        <v>236</v>
      </c>
      <c r="L1065" s="573">
        <v>2</v>
      </c>
      <c r="M1065" s="573">
        <v>0</v>
      </c>
      <c r="N1065" s="573" t="s">
        <v>157</v>
      </c>
      <c r="O1065" s="573">
        <v>1</v>
      </c>
      <c r="P1065" s="573">
        <v>83.2</v>
      </c>
      <c r="Q1065" s="571" t="s">
        <v>157</v>
      </c>
      <c r="R1065" s="573" t="s">
        <v>1917</v>
      </c>
      <c r="S1065" s="573">
        <v>5</v>
      </c>
      <c r="T1065" s="573" t="s">
        <v>2285</v>
      </c>
      <c r="U1065" s="573" t="s">
        <v>1894</v>
      </c>
      <c r="V1065" s="573">
        <v>147.6</v>
      </c>
      <c r="W1065" s="573">
        <v>25</v>
      </c>
      <c r="X1065" s="571">
        <v>9000</v>
      </c>
      <c r="Y1065" s="569">
        <v>14</v>
      </c>
      <c r="Z1065" s="579" t="s">
        <v>728</v>
      </c>
      <c r="AA1065" s="579" t="s">
        <v>1523</v>
      </c>
      <c r="AB1065" s="584">
        <v>40505</v>
      </c>
      <c r="AC1065" s="584" t="s">
        <v>164</v>
      </c>
      <c r="AD1065" s="584">
        <v>28680.458333333332</v>
      </c>
      <c r="AE1065" s="586">
        <v>0.03</v>
      </c>
      <c r="AF1065" s="661" t="str">
        <f t="shared" si="115"/>
        <v>2019-LVN-FRD-T25V-027-05</v>
      </c>
      <c r="AG1065" s="661" t="str">
        <f>IF(AND($Y1065&gt;=32,(AI1065="I"),(Y1065&lt;&gt;"~"),(COUNTIF($AN$1:$AN1065,$AN1065)=1)),"TRUE","FALSE")</f>
        <v>FALSE</v>
      </c>
      <c r="AH1065" s="661" t="str">
        <f>IF(AND($Y1065&gt;=22, (AI1065&lt;&gt;"I"),(Y1065&lt;&gt;"~"),(COUNTIF($AN$1:$AN1065,$AN1065)=1)),"TRUE","FALSE")</f>
        <v>FALSE</v>
      </c>
      <c r="AI1065" s="661" t="str">
        <f t="shared" si="117"/>
        <v>II</v>
      </c>
      <c r="AJ1065" s="662" t="str">
        <f t="shared" si="111"/>
        <v>T25V-027</v>
      </c>
      <c r="AK1065" s="662" t="str">
        <f t="shared" si="112"/>
        <v>LVN</v>
      </c>
      <c r="AL1065" s="662" t="str">
        <f t="shared" si="113"/>
        <v>FRD</v>
      </c>
      <c r="AM1065" s="662" t="str">
        <f t="shared" si="116"/>
        <v>Transit 250 Van-Sliding RH Door-RWD-2-83.2-~-3.2L-5-R2Y-101A-147.6-25-Diesel-BioDiesel</v>
      </c>
      <c r="AN1065" s="662" t="str">
        <f t="shared" si="114"/>
        <v>2019-LVN-FRD-T25V-027</v>
      </c>
    </row>
    <row r="1066" spans="1:40" s="572" customFormat="1" ht="15">
      <c r="A1066" s="570" t="s">
        <v>2286</v>
      </c>
      <c r="B1066" s="569" t="s">
        <v>2287</v>
      </c>
      <c r="C1066" s="569" t="s">
        <v>269</v>
      </c>
      <c r="D1066" s="580" t="s">
        <v>270</v>
      </c>
      <c r="E1066" s="569" t="s">
        <v>1516</v>
      </c>
      <c r="F1066" s="569" t="s">
        <v>1517</v>
      </c>
      <c r="G1066" s="569" t="s">
        <v>271</v>
      </c>
      <c r="H1066" s="569">
        <v>2019</v>
      </c>
      <c r="I1066" s="569" t="s">
        <v>2199</v>
      </c>
      <c r="J1066" s="569" t="s">
        <v>1950</v>
      </c>
      <c r="K1066" s="569" t="s">
        <v>236</v>
      </c>
      <c r="L1066" s="569">
        <v>2</v>
      </c>
      <c r="M1066" s="569">
        <v>0</v>
      </c>
      <c r="N1066" s="569" t="s">
        <v>157</v>
      </c>
      <c r="O1066" s="569">
        <v>1</v>
      </c>
      <c r="P1066" s="569">
        <v>83.2</v>
      </c>
      <c r="Q1066" s="568" t="s">
        <v>157</v>
      </c>
      <c r="R1066" s="569" t="s">
        <v>1259</v>
      </c>
      <c r="S1066" s="569">
        <v>6</v>
      </c>
      <c r="T1066" s="569" t="s">
        <v>2282</v>
      </c>
      <c r="U1066" s="569" t="s">
        <v>1894</v>
      </c>
      <c r="V1066" s="569">
        <v>129.9</v>
      </c>
      <c r="W1066" s="569">
        <v>25</v>
      </c>
      <c r="X1066" s="568">
        <v>9000</v>
      </c>
      <c r="Y1066" s="569">
        <v>14</v>
      </c>
      <c r="Z1066" s="581" t="s">
        <v>178</v>
      </c>
      <c r="AA1066" s="581" t="s">
        <v>178</v>
      </c>
      <c r="AB1066" s="585">
        <v>37495</v>
      </c>
      <c r="AC1066" s="585" t="s">
        <v>164</v>
      </c>
      <c r="AD1066" s="585">
        <v>25984.041666666668</v>
      </c>
      <c r="AE1066" s="587">
        <v>0.03</v>
      </c>
      <c r="AF1066" s="661" t="str">
        <f t="shared" si="115"/>
        <v>2019-LVN-FRD-T25V-028-05</v>
      </c>
      <c r="AG1066" s="661" t="str">
        <f>IF(AND($Y1066&gt;=32,(AI1066="I"),(Y1066&lt;&gt;"~"),(COUNTIF($AN$1:$AN1066,$AN1066)=1)),"TRUE","FALSE")</f>
        <v>FALSE</v>
      </c>
      <c r="AH1066" s="661" t="str">
        <f>IF(AND($Y1066&gt;=22, (AI1066&lt;&gt;"I"),(Y1066&lt;&gt;"~"),(COUNTIF($AN$1:$AN1066,$AN1066)=1)),"TRUE","FALSE")</f>
        <v>FALSE</v>
      </c>
      <c r="AI1066" s="661" t="str">
        <f t="shared" si="117"/>
        <v>II</v>
      </c>
      <c r="AJ1066" s="662" t="str">
        <f t="shared" si="111"/>
        <v>T25V-028</v>
      </c>
      <c r="AK1066" s="662" t="str">
        <f t="shared" si="112"/>
        <v>LVN</v>
      </c>
      <c r="AL1066" s="662" t="str">
        <f t="shared" si="113"/>
        <v>FRD</v>
      </c>
      <c r="AM1066" s="662" t="str">
        <f t="shared" si="116"/>
        <v>Transit 250 Van-Sliding RH Door-RWD-2-83.2-~-3.5L EcoBoost-6-R1Y-101A-129.9-25-Unleaded-Unleaded</v>
      </c>
      <c r="AN1066" s="662" t="str">
        <f t="shared" si="114"/>
        <v>2019-LVN-FRD-T25V-028</v>
      </c>
    </row>
    <row r="1067" spans="1:40" s="572" customFormat="1" ht="15">
      <c r="A1067" s="570" t="s">
        <v>2288</v>
      </c>
      <c r="B1067" s="573" t="s">
        <v>2289</v>
      </c>
      <c r="C1067" s="573" t="s">
        <v>269</v>
      </c>
      <c r="D1067" s="578" t="s">
        <v>270</v>
      </c>
      <c r="E1067" s="573" t="s">
        <v>1516</v>
      </c>
      <c r="F1067" s="573" t="s">
        <v>1517</v>
      </c>
      <c r="G1067" s="573" t="s">
        <v>271</v>
      </c>
      <c r="H1067" s="573">
        <v>2019</v>
      </c>
      <c r="I1067" s="573" t="s">
        <v>2199</v>
      </c>
      <c r="J1067" s="573" t="s">
        <v>1950</v>
      </c>
      <c r="K1067" s="573" t="s">
        <v>236</v>
      </c>
      <c r="L1067" s="573">
        <v>2</v>
      </c>
      <c r="M1067" s="573">
        <v>0</v>
      </c>
      <c r="N1067" s="573" t="s">
        <v>157</v>
      </c>
      <c r="O1067" s="573">
        <v>1</v>
      </c>
      <c r="P1067" s="573">
        <v>83.2</v>
      </c>
      <c r="Q1067" s="571" t="s">
        <v>157</v>
      </c>
      <c r="R1067" s="573" t="s">
        <v>1259</v>
      </c>
      <c r="S1067" s="573">
        <v>6</v>
      </c>
      <c r="T1067" s="573" t="s">
        <v>2285</v>
      </c>
      <c r="U1067" s="573" t="s">
        <v>1894</v>
      </c>
      <c r="V1067" s="573">
        <v>147.6</v>
      </c>
      <c r="W1067" s="573">
        <v>25</v>
      </c>
      <c r="X1067" s="571">
        <v>9000</v>
      </c>
      <c r="Y1067" s="569">
        <v>14</v>
      </c>
      <c r="Z1067" s="579" t="s">
        <v>178</v>
      </c>
      <c r="AA1067" s="579" t="s">
        <v>178</v>
      </c>
      <c r="AB1067" s="584">
        <v>38375</v>
      </c>
      <c r="AC1067" s="584" t="s">
        <v>164</v>
      </c>
      <c r="AD1067" s="584">
        <v>26787.166666666668</v>
      </c>
      <c r="AE1067" s="586">
        <v>0.03</v>
      </c>
      <c r="AF1067" s="661" t="str">
        <f t="shared" si="115"/>
        <v>2019-LVN-FRD-T25V-029-05</v>
      </c>
      <c r="AG1067" s="661" t="str">
        <f>IF(AND($Y1067&gt;=32,(AI1067="I"),(Y1067&lt;&gt;"~"),(COUNTIF($AN$1:$AN1067,$AN1067)=1)),"TRUE","FALSE")</f>
        <v>FALSE</v>
      </c>
      <c r="AH1067" s="661" t="str">
        <f>IF(AND($Y1067&gt;=22, (AI1067&lt;&gt;"I"),(Y1067&lt;&gt;"~"),(COUNTIF($AN$1:$AN1067,$AN1067)=1)),"TRUE","FALSE")</f>
        <v>FALSE</v>
      </c>
      <c r="AI1067" s="661" t="str">
        <f t="shared" si="117"/>
        <v>II</v>
      </c>
      <c r="AJ1067" s="662" t="str">
        <f t="shared" si="111"/>
        <v>T25V-029</v>
      </c>
      <c r="AK1067" s="662" t="str">
        <f t="shared" si="112"/>
        <v>LVN</v>
      </c>
      <c r="AL1067" s="662" t="str">
        <f t="shared" si="113"/>
        <v>FRD</v>
      </c>
      <c r="AM1067" s="662" t="str">
        <f t="shared" si="116"/>
        <v>Transit 250 Van-Sliding RH Door-RWD-2-83.2-~-3.5L EcoBoost-6-R2Y-101A-147.6-25-Unleaded-Unleaded</v>
      </c>
      <c r="AN1067" s="662" t="str">
        <f t="shared" si="114"/>
        <v>2019-LVN-FRD-T25V-029</v>
      </c>
    </row>
    <row r="1068" spans="1:40" s="572" customFormat="1" ht="15">
      <c r="A1068" s="570" t="s">
        <v>2290</v>
      </c>
      <c r="B1068" s="569" t="s">
        <v>2291</v>
      </c>
      <c r="C1068" s="569" t="s">
        <v>269</v>
      </c>
      <c r="D1068" s="580" t="s">
        <v>270</v>
      </c>
      <c r="E1068" s="569" t="s">
        <v>1516</v>
      </c>
      <c r="F1068" s="569" t="s">
        <v>1517</v>
      </c>
      <c r="G1068" s="569" t="s">
        <v>271</v>
      </c>
      <c r="H1068" s="569">
        <v>2019</v>
      </c>
      <c r="I1068" s="569" t="s">
        <v>2199</v>
      </c>
      <c r="J1068" s="569" t="s">
        <v>1950</v>
      </c>
      <c r="K1068" s="569" t="s">
        <v>236</v>
      </c>
      <c r="L1068" s="569">
        <v>2</v>
      </c>
      <c r="M1068" s="569">
        <v>0</v>
      </c>
      <c r="N1068" s="569" t="s">
        <v>157</v>
      </c>
      <c r="O1068" s="569">
        <v>1</v>
      </c>
      <c r="P1068" s="569">
        <v>83.2</v>
      </c>
      <c r="Q1068" s="568" t="s">
        <v>157</v>
      </c>
      <c r="R1068" s="569" t="s">
        <v>682</v>
      </c>
      <c r="S1068" s="569">
        <v>6</v>
      </c>
      <c r="T1068" s="569" t="s">
        <v>2282</v>
      </c>
      <c r="U1068" s="569" t="s">
        <v>1894</v>
      </c>
      <c r="V1068" s="569">
        <v>129.9</v>
      </c>
      <c r="W1068" s="569">
        <v>25</v>
      </c>
      <c r="X1068" s="568">
        <v>9000</v>
      </c>
      <c r="Y1068" s="569">
        <v>14</v>
      </c>
      <c r="Z1068" s="581" t="s">
        <v>178</v>
      </c>
      <c r="AA1068" s="581" t="s">
        <v>178</v>
      </c>
      <c r="AB1068" s="585">
        <v>35630</v>
      </c>
      <c r="AC1068" s="585" t="s">
        <v>164</v>
      </c>
      <c r="AD1068" s="585">
        <v>24327.791666666668</v>
      </c>
      <c r="AE1068" s="587">
        <v>0.03</v>
      </c>
      <c r="AF1068" s="661" t="str">
        <f t="shared" si="115"/>
        <v>2019-LVN-FRD-T25V-030-05</v>
      </c>
      <c r="AG1068" s="661" t="str">
        <f>IF(AND($Y1068&gt;=32,(AI1068="I"),(Y1068&lt;&gt;"~"),(COUNTIF($AN$1:$AN1068,$AN1068)=1)),"TRUE","FALSE")</f>
        <v>FALSE</v>
      </c>
      <c r="AH1068" s="661" t="str">
        <f>IF(AND($Y1068&gt;=22, (AI1068&lt;&gt;"I"),(Y1068&lt;&gt;"~"),(COUNTIF($AN$1:$AN1068,$AN1068)=1)),"TRUE","FALSE")</f>
        <v>FALSE</v>
      </c>
      <c r="AI1068" s="661" t="str">
        <f t="shared" si="117"/>
        <v>II</v>
      </c>
      <c r="AJ1068" s="662" t="str">
        <f t="shared" si="111"/>
        <v>T25V-030</v>
      </c>
      <c r="AK1068" s="662" t="str">
        <f t="shared" si="112"/>
        <v>LVN</v>
      </c>
      <c r="AL1068" s="662" t="str">
        <f t="shared" si="113"/>
        <v>FRD</v>
      </c>
      <c r="AM1068" s="662" t="str">
        <f t="shared" si="116"/>
        <v>Transit 250 Van-Sliding RH Door-RWD-2-83.2-~-3.7L-6-R1Y-101A-129.9-25-Unleaded-Unleaded</v>
      </c>
      <c r="AN1068" s="662" t="str">
        <f t="shared" si="114"/>
        <v>2019-LVN-FRD-T25V-030</v>
      </c>
    </row>
    <row r="1069" spans="1:40" s="572" customFormat="1" ht="15">
      <c r="A1069" s="570" t="s">
        <v>2292</v>
      </c>
      <c r="B1069" s="573" t="s">
        <v>2293</v>
      </c>
      <c r="C1069" s="573" t="s">
        <v>269</v>
      </c>
      <c r="D1069" s="578" t="s">
        <v>270</v>
      </c>
      <c r="E1069" s="573" t="s">
        <v>1516</v>
      </c>
      <c r="F1069" s="573" t="s">
        <v>1517</v>
      </c>
      <c r="G1069" s="573" t="s">
        <v>271</v>
      </c>
      <c r="H1069" s="573">
        <v>2019</v>
      </c>
      <c r="I1069" s="573" t="s">
        <v>2199</v>
      </c>
      <c r="J1069" s="573" t="s">
        <v>1950</v>
      </c>
      <c r="K1069" s="573" t="s">
        <v>236</v>
      </c>
      <c r="L1069" s="573">
        <v>2</v>
      </c>
      <c r="M1069" s="573">
        <v>0</v>
      </c>
      <c r="N1069" s="573" t="s">
        <v>157</v>
      </c>
      <c r="O1069" s="573">
        <v>1</v>
      </c>
      <c r="P1069" s="573">
        <v>83.2</v>
      </c>
      <c r="Q1069" s="571" t="s">
        <v>157</v>
      </c>
      <c r="R1069" s="573" t="s">
        <v>682</v>
      </c>
      <c r="S1069" s="573">
        <v>6</v>
      </c>
      <c r="T1069" s="573" t="s">
        <v>2285</v>
      </c>
      <c r="U1069" s="573" t="s">
        <v>1894</v>
      </c>
      <c r="V1069" s="573">
        <v>147.6</v>
      </c>
      <c r="W1069" s="573">
        <v>25</v>
      </c>
      <c r="X1069" s="571">
        <v>9000</v>
      </c>
      <c r="Y1069" s="569">
        <v>14</v>
      </c>
      <c r="Z1069" s="579" t="s">
        <v>178</v>
      </c>
      <c r="AA1069" s="579" t="s">
        <v>178</v>
      </c>
      <c r="AB1069" s="584">
        <v>36510</v>
      </c>
      <c r="AC1069" s="584" t="s">
        <v>164</v>
      </c>
      <c r="AD1069" s="584">
        <v>25130.916666666668</v>
      </c>
      <c r="AE1069" s="586">
        <v>0.03</v>
      </c>
      <c r="AF1069" s="661" t="str">
        <f t="shared" si="115"/>
        <v>2019-LVN-FRD-T25V-031-05</v>
      </c>
      <c r="AG1069" s="661" t="str">
        <f>IF(AND($Y1069&gt;=32,(AI1069="I"),(Y1069&lt;&gt;"~"),(COUNTIF($AN$1:$AN1069,$AN1069)=1)),"TRUE","FALSE")</f>
        <v>FALSE</v>
      </c>
      <c r="AH1069" s="661" t="str">
        <f>IF(AND($Y1069&gt;=22, (AI1069&lt;&gt;"I"),(Y1069&lt;&gt;"~"),(COUNTIF($AN$1:$AN1069,$AN1069)=1)),"TRUE","FALSE")</f>
        <v>FALSE</v>
      </c>
      <c r="AI1069" s="661" t="str">
        <f t="shared" si="117"/>
        <v>II</v>
      </c>
      <c r="AJ1069" s="662" t="str">
        <f t="shared" si="111"/>
        <v>T25V-031</v>
      </c>
      <c r="AK1069" s="662" t="str">
        <f t="shared" si="112"/>
        <v>LVN</v>
      </c>
      <c r="AL1069" s="662" t="str">
        <f t="shared" si="113"/>
        <v>FRD</v>
      </c>
      <c r="AM1069" s="662" t="str">
        <f t="shared" si="116"/>
        <v>Transit 250 Van-Sliding RH Door-RWD-2-83.2-~-3.7L-6-R2Y-101A-147.6-25-Unleaded-Unleaded</v>
      </c>
      <c r="AN1069" s="662" t="str">
        <f t="shared" si="114"/>
        <v>2019-LVN-FRD-T25V-031</v>
      </c>
    </row>
    <row r="1070" spans="1:40" s="572" customFormat="1" ht="15">
      <c r="A1070" s="570" t="s">
        <v>2294</v>
      </c>
      <c r="B1070" s="569" t="s">
        <v>2253</v>
      </c>
      <c r="C1070" s="569" t="s">
        <v>278</v>
      </c>
      <c r="D1070" s="580">
        <v>15</v>
      </c>
      <c r="E1070" s="569" t="s">
        <v>1516</v>
      </c>
      <c r="F1070" s="569" t="s">
        <v>1517</v>
      </c>
      <c r="G1070" s="569" t="s">
        <v>271</v>
      </c>
      <c r="H1070" s="569">
        <v>2019</v>
      </c>
      <c r="I1070" s="569" t="s">
        <v>2199</v>
      </c>
      <c r="J1070" s="569" t="s">
        <v>1950</v>
      </c>
      <c r="K1070" s="569" t="s">
        <v>236</v>
      </c>
      <c r="L1070" s="569">
        <v>2</v>
      </c>
      <c r="M1070" s="569">
        <v>0</v>
      </c>
      <c r="N1070" s="569" t="s">
        <v>157</v>
      </c>
      <c r="O1070" s="569">
        <v>1</v>
      </c>
      <c r="P1070" s="569">
        <v>100.7</v>
      </c>
      <c r="Q1070" s="568" t="s">
        <v>157</v>
      </c>
      <c r="R1070" s="569" t="s">
        <v>1917</v>
      </c>
      <c r="S1070" s="569">
        <v>5</v>
      </c>
      <c r="T1070" s="569" t="s">
        <v>2254</v>
      </c>
      <c r="U1070" s="569" t="s">
        <v>1894</v>
      </c>
      <c r="V1070" s="569">
        <v>147.6</v>
      </c>
      <c r="W1070" s="569">
        <v>25</v>
      </c>
      <c r="X1070" s="568">
        <v>9000</v>
      </c>
      <c r="Y1070" s="569">
        <v>14</v>
      </c>
      <c r="Z1070" s="581" t="s">
        <v>728</v>
      </c>
      <c r="AA1070" s="581" t="s">
        <v>1523</v>
      </c>
      <c r="AB1070" s="585">
        <v>41655</v>
      </c>
      <c r="AC1070" s="585" t="s">
        <v>164</v>
      </c>
      <c r="AD1070" s="585">
        <v>32500</v>
      </c>
      <c r="AE1070" s="587">
        <v>0.01</v>
      </c>
      <c r="AF1070" s="661" t="str">
        <f t="shared" si="115"/>
        <v>2019-LVN-FRD-T25V-010-15</v>
      </c>
      <c r="AG1070" s="661" t="str">
        <f>IF(AND($Y1070&gt;=32,(AI1070="I"),(Y1070&lt;&gt;"~"),(COUNTIF($AN$1:$AN1070,$AN1070)=1)),"TRUE","FALSE")</f>
        <v>FALSE</v>
      </c>
      <c r="AH1070" s="661" t="str">
        <f>IF(AND($Y1070&gt;=22, (AI1070&lt;&gt;"I"),(Y1070&lt;&gt;"~"),(COUNTIF($AN$1:$AN1070,$AN1070)=1)),"TRUE","FALSE")</f>
        <v>FALSE</v>
      </c>
      <c r="AI1070" s="661" t="str">
        <f t="shared" si="117"/>
        <v>II</v>
      </c>
      <c r="AJ1070" s="662" t="str">
        <f t="shared" si="111"/>
        <v>T25V-010</v>
      </c>
      <c r="AK1070" s="662" t="str">
        <f t="shared" si="112"/>
        <v>LVN</v>
      </c>
      <c r="AL1070" s="662" t="str">
        <f t="shared" si="113"/>
        <v>FRD</v>
      </c>
      <c r="AM1070" s="662" t="str">
        <f t="shared" si="116"/>
        <v>Transit 250 Van-Sliding RH Door-RWD-2-100.7-~-3.2L-5-R2C-101A-147.6-25-Diesel-BioDiesel</v>
      </c>
      <c r="AN1070" s="662" t="str">
        <f t="shared" si="114"/>
        <v>2019-LVN-FRD-T25V-010</v>
      </c>
    </row>
    <row r="1071" spans="1:40" s="572" customFormat="1" ht="15">
      <c r="A1071" s="570" t="s">
        <v>2295</v>
      </c>
      <c r="B1071" s="573" t="s">
        <v>2256</v>
      </c>
      <c r="C1071" s="573" t="s">
        <v>278</v>
      </c>
      <c r="D1071" s="578">
        <v>15</v>
      </c>
      <c r="E1071" s="573" t="s">
        <v>1516</v>
      </c>
      <c r="F1071" s="573" t="s">
        <v>1517</v>
      </c>
      <c r="G1071" s="573" t="s">
        <v>271</v>
      </c>
      <c r="H1071" s="573">
        <v>2019</v>
      </c>
      <c r="I1071" s="573" t="s">
        <v>2199</v>
      </c>
      <c r="J1071" s="573" t="s">
        <v>1950</v>
      </c>
      <c r="K1071" s="573" t="s">
        <v>236</v>
      </c>
      <c r="L1071" s="573">
        <v>2</v>
      </c>
      <c r="M1071" s="573">
        <v>0</v>
      </c>
      <c r="N1071" s="573" t="s">
        <v>157</v>
      </c>
      <c r="O1071" s="573">
        <v>1</v>
      </c>
      <c r="P1071" s="573">
        <v>100.7</v>
      </c>
      <c r="Q1071" s="571" t="s">
        <v>157</v>
      </c>
      <c r="R1071" s="573" t="s">
        <v>1259</v>
      </c>
      <c r="S1071" s="573">
        <v>6</v>
      </c>
      <c r="T1071" s="573" t="s">
        <v>2254</v>
      </c>
      <c r="U1071" s="573" t="s">
        <v>1894</v>
      </c>
      <c r="V1071" s="573">
        <v>147.6</v>
      </c>
      <c r="W1071" s="573">
        <v>25</v>
      </c>
      <c r="X1071" s="571">
        <v>9000</v>
      </c>
      <c r="Y1071" s="569">
        <v>14</v>
      </c>
      <c r="Z1071" s="579" t="s">
        <v>178</v>
      </c>
      <c r="AA1071" s="579" t="s">
        <v>178</v>
      </c>
      <c r="AB1071" s="584">
        <v>39525</v>
      </c>
      <c r="AC1071" s="584" t="s">
        <v>164</v>
      </c>
      <c r="AD1071" s="584">
        <v>30500</v>
      </c>
      <c r="AE1071" s="586">
        <v>0.01</v>
      </c>
      <c r="AF1071" s="661" t="str">
        <f t="shared" si="115"/>
        <v>2019-LVN-FRD-T25V-011-15</v>
      </c>
      <c r="AG1071" s="661" t="str">
        <f>IF(AND($Y1071&gt;=32,(AI1071="I"),(Y1071&lt;&gt;"~"),(COUNTIF($AN$1:$AN1071,$AN1071)=1)),"TRUE","FALSE")</f>
        <v>FALSE</v>
      </c>
      <c r="AH1071" s="661" t="str">
        <f>IF(AND($Y1071&gt;=22, (AI1071&lt;&gt;"I"),(Y1071&lt;&gt;"~"),(COUNTIF($AN$1:$AN1071,$AN1071)=1)),"TRUE","FALSE")</f>
        <v>FALSE</v>
      </c>
      <c r="AI1071" s="661" t="str">
        <f t="shared" si="117"/>
        <v>II</v>
      </c>
      <c r="AJ1071" s="662" t="str">
        <f t="shared" si="111"/>
        <v>T25V-011</v>
      </c>
      <c r="AK1071" s="662" t="str">
        <f t="shared" si="112"/>
        <v>LVN</v>
      </c>
      <c r="AL1071" s="662" t="str">
        <f t="shared" si="113"/>
        <v>FRD</v>
      </c>
      <c r="AM1071" s="662" t="str">
        <f t="shared" si="116"/>
        <v>Transit 250 Van-Sliding RH Door-RWD-2-100.7-~-3.5L EcoBoost-6-R2C-101A-147.6-25-Unleaded-Unleaded</v>
      </c>
      <c r="AN1071" s="662" t="str">
        <f t="shared" si="114"/>
        <v>2019-LVN-FRD-T25V-011</v>
      </c>
    </row>
    <row r="1072" spans="1:40" s="572" customFormat="1" ht="15">
      <c r="A1072" s="570" t="s">
        <v>2296</v>
      </c>
      <c r="B1072" s="569" t="s">
        <v>2258</v>
      </c>
      <c r="C1072" s="569" t="s">
        <v>278</v>
      </c>
      <c r="D1072" s="580">
        <v>15</v>
      </c>
      <c r="E1072" s="569" t="s">
        <v>1516</v>
      </c>
      <c r="F1072" s="569" t="s">
        <v>1517</v>
      </c>
      <c r="G1072" s="569" t="s">
        <v>271</v>
      </c>
      <c r="H1072" s="569">
        <v>2019</v>
      </c>
      <c r="I1072" s="569" t="s">
        <v>2199</v>
      </c>
      <c r="J1072" s="569" t="s">
        <v>1950</v>
      </c>
      <c r="K1072" s="569" t="s">
        <v>236</v>
      </c>
      <c r="L1072" s="569">
        <v>2</v>
      </c>
      <c r="M1072" s="569">
        <v>0</v>
      </c>
      <c r="N1072" s="569" t="s">
        <v>157</v>
      </c>
      <c r="O1072" s="569">
        <v>1</v>
      </c>
      <c r="P1072" s="569">
        <v>100.7</v>
      </c>
      <c r="Q1072" s="568" t="s">
        <v>157</v>
      </c>
      <c r="R1072" s="569" t="s">
        <v>682</v>
      </c>
      <c r="S1072" s="569">
        <v>6</v>
      </c>
      <c r="T1072" s="569" t="s">
        <v>2254</v>
      </c>
      <c r="U1072" s="569" t="s">
        <v>1894</v>
      </c>
      <c r="V1072" s="569">
        <v>147.6</v>
      </c>
      <c r="W1072" s="569">
        <v>25</v>
      </c>
      <c r="X1072" s="568">
        <v>9000</v>
      </c>
      <c r="Y1072" s="569">
        <v>14</v>
      </c>
      <c r="Z1072" s="581" t="s">
        <v>178</v>
      </c>
      <c r="AA1072" s="581" t="s">
        <v>178</v>
      </c>
      <c r="AB1072" s="585">
        <v>37660</v>
      </c>
      <c r="AC1072" s="585" t="s">
        <v>164</v>
      </c>
      <c r="AD1072" s="585">
        <v>28800</v>
      </c>
      <c r="AE1072" s="587">
        <v>0.01</v>
      </c>
      <c r="AF1072" s="661" t="str">
        <f t="shared" si="115"/>
        <v>2019-LVN-FRD-T25V-012-15</v>
      </c>
      <c r="AG1072" s="661" t="str">
        <f>IF(AND($Y1072&gt;=32,(AI1072="I"),(Y1072&lt;&gt;"~"),(COUNTIF($AN$1:$AN1072,$AN1072)=1)),"TRUE","FALSE")</f>
        <v>FALSE</v>
      </c>
      <c r="AH1072" s="661" t="str">
        <f>IF(AND($Y1072&gt;=22, (AI1072&lt;&gt;"I"),(Y1072&lt;&gt;"~"),(COUNTIF($AN$1:$AN1072,$AN1072)=1)),"TRUE","FALSE")</f>
        <v>FALSE</v>
      </c>
      <c r="AI1072" s="661" t="str">
        <f t="shared" si="117"/>
        <v>II</v>
      </c>
      <c r="AJ1072" s="662" t="str">
        <f t="shared" si="111"/>
        <v>T25V-012</v>
      </c>
      <c r="AK1072" s="662" t="str">
        <f t="shared" si="112"/>
        <v>LVN</v>
      </c>
      <c r="AL1072" s="662" t="str">
        <f t="shared" si="113"/>
        <v>FRD</v>
      </c>
      <c r="AM1072" s="662" t="str">
        <f t="shared" si="116"/>
        <v>Transit 250 Van-Sliding RH Door-RWD-2-100.7-~-3.7L-6-R2C-101A-147.6-25-Unleaded-Unleaded</v>
      </c>
      <c r="AN1072" s="662" t="str">
        <f t="shared" si="114"/>
        <v>2019-LVN-FRD-T25V-012</v>
      </c>
    </row>
    <row r="1073" spans="1:40" s="572" customFormat="1" ht="15">
      <c r="A1073" s="570" t="s">
        <v>2297</v>
      </c>
      <c r="B1073" s="573" t="s">
        <v>2260</v>
      </c>
      <c r="C1073" s="573" t="s">
        <v>278</v>
      </c>
      <c r="D1073" s="578">
        <v>15</v>
      </c>
      <c r="E1073" s="573" t="s">
        <v>1516</v>
      </c>
      <c r="F1073" s="573" t="s">
        <v>1517</v>
      </c>
      <c r="G1073" s="573" t="s">
        <v>271</v>
      </c>
      <c r="H1073" s="573">
        <v>2019</v>
      </c>
      <c r="I1073" s="573" t="s">
        <v>2199</v>
      </c>
      <c r="J1073" s="573" t="s">
        <v>1950</v>
      </c>
      <c r="K1073" s="573" t="s">
        <v>236</v>
      </c>
      <c r="L1073" s="573">
        <v>2</v>
      </c>
      <c r="M1073" s="573">
        <v>0</v>
      </c>
      <c r="N1073" s="573" t="s">
        <v>157</v>
      </c>
      <c r="O1073" s="573">
        <v>1</v>
      </c>
      <c r="P1073" s="573">
        <v>100.8</v>
      </c>
      <c r="Q1073" s="571" t="s">
        <v>157</v>
      </c>
      <c r="R1073" s="573" t="s">
        <v>1917</v>
      </c>
      <c r="S1073" s="573">
        <v>5</v>
      </c>
      <c r="T1073" s="573" t="s">
        <v>2261</v>
      </c>
      <c r="U1073" s="573" t="s">
        <v>1894</v>
      </c>
      <c r="V1073" s="573">
        <v>129.9</v>
      </c>
      <c r="W1073" s="573">
        <v>25</v>
      </c>
      <c r="X1073" s="571">
        <v>9000</v>
      </c>
      <c r="Y1073" s="569">
        <v>14</v>
      </c>
      <c r="Z1073" s="579" t="s">
        <v>728</v>
      </c>
      <c r="AA1073" s="579" t="s">
        <v>1523</v>
      </c>
      <c r="AB1073" s="584">
        <v>39930</v>
      </c>
      <c r="AC1073" s="584" t="s">
        <v>164</v>
      </c>
      <c r="AD1073" s="584">
        <v>30900</v>
      </c>
      <c r="AE1073" s="586">
        <v>0.01</v>
      </c>
      <c r="AF1073" s="661" t="str">
        <f t="shared" si="115"/>
        <v>2019-LVN-FRD-T25V-014-15</v>
      </c>
      <c r="AG1073" s="661" t="str">
        <f>IF(AND($Y1073&gt;=32,(AI1073="I"),(Y1073&lt;&gt;"~"),(COUNTIF($AN$1:$AN1073,$AN1073)=1)),"TRUE","FALSE")</f>
        <v>FALSE</v>
      </c>
      <c r="AH1073" s="661" t="str">
        <f>IF(AND($Y1073&gt;=22, (AI1073&lt;&gt;"I"),(Y1073&lt;&gt;"~"),(COUNTIF($AN$1:$AN1073,$AN1073)=1)),"TRUE","FALSE")</f>
        <v>FALSE</v>
      </c>
      <c r="AI1073" s="661" t="str">
        <f t="shared" si="117"/>
        <v>II</v>
      </c>
      <c r="AJ1073" s="662" t="str">
        <f t="shared" si="111"/>
        <v>T25V-014</v>
      </c>
      <c r="AK1073" s="662" t="str">
        <f t="shared" si="112"/>
        <v>LVN</v>
      </c>
      <c r="AL1073" s="662" t="str">
        <f t="shared" si="113"/>
        <v>FRD</v>
      </c>
      <c r="AM1073" s="662" t="str">
        <f t="shared" si="116"/>
        <v>Transit 250 Van-Sliding RH Door-RWD-2-100.8-~-3.2L-5-R1C-101A-129.9-25-Diesel-BioDiesel</v>
      </c>
      <c r="AN1073" s="662" t="str">
        <f t="shared" si="114"/>
        <v>2019-LVN-FRD-T25V-014</v>
      </c>
    </row>
    <row r="1074" spans="1:40" s="572" customFormat="1" ht="15">
      <c r="A1074" s="570" t="s">
        <v>2298</v>
      </c>
      <c r="B1074" s="569" t="s">
        <v>2263</v>
      </c>
      <c r="C1074" s="569" t="s">
        <v>278</v>
      </c>
      <c r="D1074" s="580">
        <v>15</v>
      </c>
      <c r="E1074" s="569" t="s">
        <v>1516</v>
      </c>
      <c r="F1074" s="569" t="s">
        <v>1517</v>
      </c>
      <c r="G1074" s="569" t="s">
        <v>271</v>
      </c>
      <c r="H1074" s="569">
        <v>2019</v>
      </c>
      <c r="I1074" s="569" t="s">
        <v>2199</v>
      </c>
      <c r="J1074" s="569" t="s">
        <v>1950</v>
      </c>
      <c r="K1074" s="569" t="s">
        <v>236</v>
      </c>
      <c r="L1074" s="569">
        <v>2</v>
      </c>
      <c r="M1074" s="569">
        <v>0</v>
      </c>
      <c r="N1074" s="569" t="s">
        <v>157</v>
      </c>
      <c r="O1074" s="569">
        <v>1</v>
      </c>
      <c r="P1074" s="569">
        <v>100.8</v>
      </c>
      <c r="Q1074" s="568" t="s">
        <v>157</v>
      </c>
      <c r="R1074" s="569" t="s">
        <v>1259</v>
      </c>
      <c r="S1074" s="569">
        <v>6</v>
      </c>
      <c r="T1074" s="569" t="s">
        <v>2261</v>
      </c>
      <c r="U1074" s="569" t="s">
        <v>1894</v>
      </c>
      <c r="V1074" s="569">
        <v>129.9</v>
      </c>
      <c r="W1074" s="569">
        <v>25</v>
      </c>
      <c r="X1074" s="568">
        <v>9000</v>
      </c>
      <c r="Y1074" s="569">
        <v>14</v>
      </c>
      <c r="Z1074" s="581" t="s">
        <v>178</v>
      </c>
      <c r="AA1074" s="581" t="s">
        <v>178</v>
      </c>
      <c r="AB1074" s="585">
        <v>37800</v>
      </c>
      <c r="AC1074" s="585" t="s">
        <v>164</v>
      </c>
      <c r="AD1074" s="585">
        <v>28900</v>
      </c>
      <c r="AE1074" s="587">
        <v>0.01</v>
      </c>
      <c r="AF1074" s="661" t="str">
        <f t="shared" si="115"/>
        <v>2019-LVN-FRD-T25V-015-15</v>
      </c>
      <c r="AG1074" s="661" t="str">
        <f>IF(AND($Y1074&gt;=32,(AI1074="I"),(Y1074&lt;&gt;"~"),(COUNTIF($AN$1:$AN1074,$AN1074)=1)),"TRUE","FALSE")</f>
        <v>FALSE</v>
      </c>
      <c r="AH1074" s="661" t="str">
        <f>IF(AND($Y1074&gt;=22, (AI1074&lt;&gt;"I"),(Y1074&lt;&gt;"~"),(COUNTIF($AN$1:$AN1074,$AN1074)=1)),"TRUE","FALSE")</f>
        <v>FALSE</v>
      </c>
      <c r="AI1074" s="661" t="str">
        <f t="shared" si="117"/>
        <v>II</v>
      </c>
      <c r="AJ1074" s="662" t="str">
        <f t="shared" si="111"/>
        <v>T25V-015</v>
      </c>
      <c r="AK1074" s="662" t="str">
        <f t="shared" si="112"/>
        <v>LVN</v>
      </c>
      <c r="AL1074" s="662" t="str">
        <f t="shared" si="113"/>
        <v>FRD</v>
      </c>
      <c r="AM1074" s="662" t="str">
        <f t="shared" si="116"/>
        <v>Transit 250 Van-Sliding RH Door-RWD-2-100.8-~-3.5L EcoBoost-6-R1C-101A-129.9-25-Unleaded-Unleaded</v>
      </c>
      <c r="AN1074" s="662" t="str">
        <f t="shared" si="114"/>
        <v>2019-LVN-FRD-T25V-015</v>
      </c>
    </row>
    <row r="1075" spans="1:40" s="572" customFormat="1" ht="15">
      <c r="A1075" s="570" t="s">
        <v>2299</v>
      </c>
      <c r="B1075" s="573" t="s">
        <v>2265</v>
      </c>
      <c r="C1075" s="573" t="s">
        <v>278</v>
      </c>
      <c r="D1075" s="578">
        <v>15</v>
      </c>
      <c r="E1075" s="573" t="s">
        <v>1516</v>
      </c>
      <c r="F1075" s="573" t="s">
        <v>1517</v>
      </c>
      <c r="G1075" s="573" t="s">
        <v>271</v>
      </c>
      <c r="H1075" s="573">
        <v>2019</v>
      </c>
      <c r="I1075" s="573" t="s">
        <v>2199</v>
      </c>
      <c r="J1075" s="573" t="s">
        <v>1950</v>
      </c>
      <c r="K1075" s="573" t="s">
        <v>236</v>
      </c>
      <c r="L1075" s="573">
        <v>2</v>
      </c>
      <c r="M1075" s="573">
        <v>0</v>
      </c>
      <c r="N1075" s="573" t="s">
        <v>157</v>
      </c>
      <c r="O1075" s="573">
        <v>1</v>
      </c>
      <c r="P1075" s="573">
        <v>100.8</v>
      </c>
      <c r="Q1075" s="571" t="s">
        <v>157</v>
      </c>
      <c r="R1075" s="573" t="s">
        <v>682</v>
      </c>
      <c r="S1075" s="573">
        <v>6</v>
      </c>
      <c r="T1075" s="573" t="s">
        <v>2261</v>
      </c>
      <c r="U1075" s="573" t="s">
        <v>1894</v>
      </c>
      <c r="V1075" s="573">
        <v>129.9</v>
      </c>
      <c r="W1075" s="573">
        <v>25</v>
      </c>
      <c r="X1075" s="571">
        <v>9000</v>
      </c>
      <c r="Y1075" s="569">
        <v>14</v>
      </c>
      <c r="Z1075" s="579" t="s">
        <v>178</v>
      </c>
      <c r="AA1075" s="579" t="s">
        <v>178</v>
      </c>
      <c r="AB1075" s="584">
        <v>35935</v>
      </c>
      <c r="AC1075" s="584" t="s">
        <v>164</v>
      </c>
      <c r="AD1075" s="584">
        <v>27200</v>
      </c>
      <c r="AE1075" s="586">
        <v>0.01</v>
      </c>
      <c r="AF1075" s="661" t="str">
        <f t="shared" si="115"/>
        <v>2019-LVN-FRD-T25V-016-15</v>
      </c>
      <c r="AG1075" s="661" t="str">
        <f>IF(AND($Y1075&gt;=32,(AI1075="I"),(Y1075&lt;&gt;"~"),(COUNTIF($AN$1:$AN1075,$AN1075)=1)),"TRUE","FALSE")</f>
        <v>FALSE</v>
      </c>
      <c r="AH1075" s="661" t="str">
        <f>IF(AND($Y1075&gt;=22, (AI1075&lt;&gt;"I"),(Y1075&lt;&gt;"~"),(COUNTIF($AN$1:$AN1075,$AN1075)=1)),"TRUE","FALSE")</f>
        <v>FALSE</v>
      </c>
      <c r="AI1075" s="661" t="str">
        <f t="shared" si="117"/>
        <v>II</v>
      </c>
      <c r="AJ1075" s="662" t="str">
        <f t="shared" si="111"/>
        <v>T25V-016</v>
      </c>
      <c r="AK1075" s="662" t="str">
        <f t="shared" si="112"/>
        <v>LVN</v>
      </c>
      <c r="AL1075" s="662" t="str">
        <f t="shared" si="113"/>
        <v>FRD</v>
      </c>
      <c r="AM1075" s="662" t="str">
        <f t="shared" si="116"/>
        <v>Transit 250 Van-Sliding RH Door-RWD-2-100.8-~-3.7L-6-R1C-101A-129.9-25-Unleaded-Unleaded</v>
      </c>
      <c r="AN1075" s="662" t="str">
        <f t="shared" si="114"/>
        <v>2019-LVN-FRD-T25V-016</v>
      </c>
    </row>
    <row r="1076" spans="1:40" s="572" customFormat="1" ht="15">
      <c r="A1076" s="570" t="s">
        <v>2300</v>
      </c>
      <c r="B1076" s="569" t="s">
        <v>2267</v>
      </c>
      <c r="C1076" s="569" t="s">
        <v>278</v>
      </c>
      <c r="D1076" s="580">
        <v>15</v>
      </c>
      <c r="E1076" s="569" t="s">
        <v>1516</v>
      </c>
      <c r="F1076" s="569" t="s">
        <v>1517</v>
      </c>
      <c r="G1076" s="569" t="s">
        <v>271</v>
      </c>
      <c r="H1076" s="569">
        <v>2019</v>
      </c>
      <c r="I1076" s="569" t="s">
        <v>2199</v>
      </c>
      <c r="J1076" s="569" t="s">
        <v>1950</v>
      </c>
      <c r="K1076" s="569" t="s">
        <v>236</v>
      </c>
      <c r="L1076" s="569">
        <v>2</v>
      </c>
      <c r="M1076" s="569">
        <v>0</v>
      </c>
      <c r="N1076" s="569" t="s">
        <v>157</v>
      </c>
      <c r="O1076" s="569">
        <v>1</v>
      </c>
      <c r="P1076" s="569">
        <v>109.4</v>
      </c>
      <c r="Q1076" s="568" t="s">
        <v>157</v>
      </c>
      <c r="R1076" s="569" t="s">
        <v>1917</v>
      </c>
      <c r="S1076" s="569">
        <v>5</v>
      </c>
      <c r="T1076" s="569" t="s">
        <v>2268</v>
      </c>
      <c r="U1076" s="569" t="s">
        <v>1894</v>
      </c>
      <c r="V1076" s="569">
        <v>147.6</v>
      </c>
      <c r="W1076" s="569">
        <v>25</v>
      </c>
      <c r="X1076" s="568">
        <v>9000</v>
      </c>
      <c r="Y1076" s="569">
        <v>14</v>
      </c>
      <c r="Z1076" s="581" t="s">
        <v>728</v>
      </c>
      <c r="AA1076" s="581" t="s">
        <v>1523</v>
      </c>
      <c r="AB1076" s="585">
        <v>45105</v>
      </c>
      <c r="AC1076" s="585" t="s">
        <v>164</v>
      </c>
      <c r="AD1076" s="585">
        <v>35700</v>
      </c>
      <c r="AE1076" s="587">
        <v>0.01</v>
      </c>
      <c r="AF1076" s="661" t="str">
        <f t="shared" si="115"/>
        <v>2019-LVN-FRD-T25V-018-15</v>
      </c>
      <c r="AG1076" s="661" t="str">
        <f>IF(AND($Y1076&gt;=32,(AI1076="I"),(Y1076&lt;&gt;"~"),(COUNTIF($AN$1:$AN1076,$AN1076)=1)),"TRUE","FALSE")</f>
        <v>FALSE</v>
      </c>
      <c r="AH1076" s="661" t="str">
        <f>IF(AND($Y1076&gt;=22, (AI1076&lt;&gt;"I"),(Y1076&lt;&gt;"~"),(COUNTIF($AN$1:$AN1076,$AN1076)=1)),"TRUE","FALSE")</f>
        <v>FALSE</v>
      </c>
      <c r="AI1076" s="661" t="str">
        <f t="shared" si="117"/>
        <v>II</v>
      </c>
      <c r="AJ1076" s="662" t="str">
        <f t="shared" si="111"/>
        <v>T25V-018</v>
      </c>
      <c r="AK1076" s="662" t="str">
        <f t="shared" si="112"/>
        <v>LVN</v>
      </c>
      <c r="AL1076" s="662" t="str">
        <f t="shared" si="113"/>
        <v>FRD</v>
      </c>
      <c r="AM1076" s="662" t="str">
        <f t="shared" si="116"/>
        <v>Transit 250 Van-Sliding RH Door-RWD-2-109.4-~-3.2L-5-R3X-101A-147.6-25-Diesel-BioDiesel</v>
      </c>
      <c r="AN1076" s="662" t="str">
        <f t="shared" si="114"/>
        <v>2019-LVN-FRD-T25V-018</v>
      </c>
    </row>
    <row r="1077" spans="1:40" s="572" customFormat="1" ht="15">
      <c r="A1077" s="570" t="s">
        <v>2301</v>
      </c>
      <c r="B1077" s="573" t="s">
        <v>2270</v>
      </c>
      <c r="C1077" s="573" t="s">
        <v>278</v>
      </c>
      <c r="D1077" s="578">
        <v>15</v>
      </c>
      <c r="E1077" s="573" t="s">
        <v>1516</v>
      </c>
      <c r="F1077" s="573" t="s">
        <v>1517</v>
      </c>
      <c r="G1077" s="573" t="s">
        <v>271</v>
      </c>
      <c r="H1077" s="573">
        <v>2019</v>
      </c>
      <c r="I1077" s="573" t="s">
        <v>2199</v>
      </c>
      <c r="J1077" s="573" t="s">
        <v>1950</v>
      </c>
      <c r="K1077" s="573" t="s">
        <v>236</v>
      </c>
      <c r="L1077" s="573">
        <v>2</v>
      </c>
      <c r="M1077" s="573">
        <v>0</v>
      </c>
      <c r="N1077" s="573" t="s">
        <v>157</v>
      </c>
      <c r="O1077" s="573">
        <v>1</v>
      </c>
      <c r="P1077" s="573">
        <v>109.4</v>
      </c>
      <c r="Q1077" s="571" t="s">
        <v>157</v>
      </c>
      <c r="R1077" s="573" t="s">
        <v>1259</v>
      </c>
      <c r="S1077" s="573">
        <v>6</v>
      </c>
      <c r="T1077" s="573" t="s">
        <v>2268</v>
      </c>
      <c r="U1077" s="573" t="s">
        <v>1894</v>
      </c>
      <c r="V1077" s="573">
        <v>147.6</v>
      </c>
      <c r="W1077" s="573">
        <v>25</v>
      </c>
      <c r="X1077" s="571">
        <v>9000</v>
      </c>
      <c r="Y1077" s="569">
        <v>14</v>
      </c>
      <c r="Z1077" s="579" t="s">
        <v>178</v>
      </c>
      <c r="AA1077" s="579" t="s">
        <v>178</v>
      </c>
      <c r="AB1077" s="584">
        <v>42975</v>
      </c>
      <c r="AC1077" s="584" t="s">
        <v>164</v>
      </c>
      <c r="AD1077" s="584">
        <v>33700</v>
      </c>
      <c r="AE1077" s="586">
        <v>0.01</v>
      </c>
      <c r="AF1077" s="661" t="str">
        <f t="shared" si="115"/>
        <v>2019-LVN-FRD-T25V-019-15</v>
      </c>
      <c r="AG1077" s="661" t="str">
        <f>IF(AND($Y1077&gt;=32,(AI1077="I"),(Y1077&lt;&gt;"~"),(COUNTIF($AN$1:$AN1077,$AN1077)=1)),"TRUE","FALSE")</f>
        <v>FALSE</v>
      </c>
      <c r="AH1077" s="661" t="str">
        <f>IF(AND($Y1077&gt;=22, (AI1077&lt;&gt;"I"),(Y1077&lt;&gt;"~"),(COUNTIF($AN$1:$AN1077,$AN1077)=1)),"TRUE","FALSE")</f>
        <v>FALSE</v>
      </c>
      <c r="AI1077" s="661" t="str">
        <f t="shared" si="117"/>
        <v>II</v>
      </c>
      <c r="AJ1077" s="662" t="str">
        <f t="shared" si="111"/>
        <v>T25V-019</v>
      </c>
      <c r="AK1077" s="662" t="str">
        <f t="shared" si="112"/>
        <v>LVN</v>
      </c>
      <c r="AL1077" s="662" t="str">
        <f t="shared" si="113"/>
        <v>FRD</v>
      </c>
      <c r="AM1077" s="662" t="str">
        <f t="shared" si="116"/>
        <v>Transit 250 Van-Sliding RH Door-RWD-2-109.4-~-3.5L EcoBoost-6-R3X-101A-147.6-25-Unleaded-Unleaded</v>
      </c>
      <c r="AN1077" s="662" t="str">
        <f t="shared" si="114"/>
        <v>2019-LVN-FRD-T25V-019</v>
      </c>
    </row>
    <row r="1078" spans="1:40" s="572" customFormat="1" ht="15">
      <c r="A1078" s="570" t="s">
        <v>2302</v>
      </c>
      <c r="B1078" s="569" t="s">
        <v>2272</v>
      </c>
      <c r="C1078" s="569" t="s">
        <v>278</v>
      </c>
      <c r="D1078" s="580">
        <v>15</v>
      </c>
      <c r="E1078" s="569" t="s">
        <v>1516</v>
      </c>
      <c r="F1078" s="569" t="s">
        <v>1517</v>
      </c>
      <c r="G1078" s="569" t="s">
        <v>271</v>
      </c>
      <c r="H1078" s="569">
        <v>2019</v>
      </c>
      <c r="I1078" s="569" t="s">
        <v>2199</v>
      </c>
      <c r="J1078" s="569" t="s">
        <v>1950</v>
      </c>
      <c r="K1078" s="569" t="s">
        <v>236</v>
      </c>
      <c r="L1078" s="569">
        <v>2</v>
      </c>
      <c r="M1078" s="569">
        <v>0</v>
      </c>
      <c r="N1078" s="569" t="s">
        <v>157</v>
      </c>
      <c r="O1078" s="569">
        <v>1</v>
      </c>
      <c r="P1078" s="569">
        <v>109.4</v>
      </c>
      <c r="Q1078" s="568" t="s">
        <v>157</v>
      </c>
      <c r="R1078" s="569" t="s">
        <v>682</v>
      </c>
      <c r="S1078" s="569">
        <v>6</v>
      </c>
      <c r="T1078" s="569" t="s">
        <v>2268</v>
      </c>
      <c r="U1078" s="569" t="s">
        <v>1894</v>
      </c>
      <c r="V1078" s="569">
        <v>147.6</v>
      </c>
      <c r="W1078" s="569">
        <v>25</v>
      </c>
      <c r="X1078" s="568">
        <v>9000</v>
      </c>
      <c r="Y1078" s="569">
        <v>14</v>
      </c>
      <c r="Z1078" s="581" t="s">
        <v>178</v>
      </c>
      <c r="AA1078" s="581" t="s">
        <v>178</v>
      </c>
      <c r="AB1078" s="585">
        <v>41110</v>
      </c>
      <c r="AC1078" s="585" t="s">
        <v>164</v>
      </c>
      <c r="AD1078" s="585">
        <v>32100</v>
      </c>
      <c r="AE1078" s="587">
        <v>0.01</v>
      </c>
      <c r="AF1078" s="661" t="str">
        <f t="shared" si="115"/>
        <v>2019-LVN-FRD-T25V-020-15</v>
      </c>
      <c r="AG1078" s="661" t="str">
        <f>IF(AND($Y1078&gt;=32,(AI1078="I"),(Y1078&lt;&gt;"~"),(COUNTIF($AN$1:$AN1078,$AN1078)=1)),"TRUE","FALSE")</f>
        <v>FALSE</v>
      </c>
      <c r="AH1078" s="661" t="str">
        <f>IF(AND($Y1078&gt;=22, (AI1078&lt;&gt;"I"),(Y1078&lt;&gt;"~"),(COUNTIF($AN$1:$AN1078,$AN1078)=1)),"TRUE","FALSE")</f>
        <v>FALSE</v>
      </c>
      <c r="AI1078" s="661" t="str">
        <f t="shared" si="117"/>
        <v>II</v>
      </c>
      <c r="AJ1078" s="662" t="str">
        <f t="shared" si="111"/>
        <v>T25V-020</v>
      </c>
      <c r="AK1078" s="662" t="str">
        <f t="shared" si="112"/>
        <v>LVN</v>
      </c>
      <c r="AL1078" s="662" t="str">
        <f t="shared" si="113"/>
        <v>FRD</v>
      </c>
      <c r="AM1078" s="662" t="str">
        <f t="shared" si="116"/>
        <v>Transit 250 Van-Sliding RH Door-RWD-2-109.4-~-3.7L-6-R3X-101A-147.6-25-Unleaded-Unleaded</v>
      </c>
      <c r="AN1078" s="662" t="str">
        <f t="shared" si="114"/>
        <v>2019-LVN-FRD-T25V-020</v>
      </c>
    </row>
    <row r="1079" spans="1:40" s="572" customFormat="1" ht="15">
      <c r="A1079" s="570" t="s">
        <v>2303</v>
      </c>
      <c r="B1079" s="573" t="s">
        <v>2274</v>
      </c>
      <c r="C1079" s="573" t="s">
        <v>278</v>
      </c>
      <c r="D1079" s="578">
        <v>15</v>
      </c>
      <c r="E1079" s="573" t="s">
        <v>1516</v>
      </c>
      <c r="F1079" s="573" t="s">
        <v>1517</v>
      </c>
      <c r="G1079" s="573" t="s">
        <v>271</v>
      </c>
      <c r="H1079" s="573">
        <v>2019</v>
      </c>
      <c r="I1079" s="573" t="s">
        <v>2199</v>
      </c>
      <c r="J1079" s="573" t="s">
        <v>1950</v>
      </c>
      <c r="K1079" s="573" t="s">
        <v>236</v>
      </c>
      <c r="L1079" s="573">
        <v>2</v>
      </c>
      <c r="M1079" s="573">
        <v>0</v>
      </c>
      <c r="N1079" s="573" t="s">
        <v>157</v>
      </c>
      <c r="O1079" s="573">
        <v>1</v>
      </c>
      <c r="P1079" s="573">
        <v>110.1</v>
      </c>
      <c r="Q1079" s="571" t="s">
        <v>157</v>
      </c>
      <c r="R1079" s="573" t="s">
        <v>1917</v>
      </c>
      <c r="S1079" s="573">
        <v>5</v>
      </c>
      <c r="T1079" s="573" t="s">
        <v>2275</v>
      </c>
      <c r="U1079" s="573" t="s">
        <v>1894</v>
      </c>
      <c r="V1079" s="573">
        <v>147.6</v>
      </c>
      <c r="W1079" s="573">
        <v>25</v>
      </c>
      <c r="X1079" s="571">
        <v>9000</v>
      </c>
      <c r="Y1079" s="569">
        <v>14</v>
      </c>
      <c r="Z1079" s="579" t="s">
        <v>728</v>
      </c>
      <c r="AA1079" s="579" t="s">
        <v>1523</v>
      </c>
      <c r="AB1079" s="584">
        <v>43805</v>
      </c>
      <c r="AC1079" s="584" t="s">
        <v>164</v>
      </c>
      <c r="AD1079" s="584">
        <v>34500</v>
      </c>
      <c r="AE1079" s="586">
        <v>0.01</v>
      </c>
      <c r="AF1079" s="661" t="str">
        <f t="shared" si="115"/>
        <v>2019-LVN-FRD-T25V-022-15</v>
      </c>
      <c r="AG1079" s="661" t="str">
        <f>IF(AND($Y1079&gt;=32,(AI1079="I"),(Y1079&lt;&gt;"~"),(COUNTIF($AN$1:$AN1079,$AN1079)=1)),"TRUE","FALSE")</f>
        <v>FALSE</v>
      </c>
      <c r="AH1079" s="661" t="str">
        <f>IF(AND($Y1079&gt;=22, (AI1079&lt;&gt;"I"),(Y1079&lt;&gt;"~"),(COUNTIF($AN$1:$AN1079,$AN1079)=1)),"TRUE","FALSE")</f>
        <v>FALSE</v>
      </c>
      <c r="AI1079" s="661" t="str">
        <f t="shared" si="117"/>
        <v>II</v>
      </c>
      <c r="AJ1079" s="662" t="str">
        <f t="shared" si="111"/>
        <v>T25V-022</v>
      </c>
      <c r="AK1079" s="662" t="str">
        <f t="shared" si="112"/>
        <v>LVN</v>
      </c>
      <c r="AL1079" s="662" t="str">
        <f t="shared" si="113"/>
        <v>FRD</v>
      </c>
      <c r="AM1079" s="662" t="str">
        <f t="shared" si="116"/>
        <v>Transit 250 Van-Sliding RH Door-RWD-2-110.1-~-3.2L-5-R2X-101A-147.6-25-Diesel-BioDiesel</v>
      </c>
      <c r="AN1079" s="662" t="str">
        <f t="shared" si="114"/>
        <v>2019-LVN-FRD-T25V-022</v>
      </c>
    </row>
    <row r="1080" spans="1:40" s="572" customFormat="1" ht="15">
      <c r="A1080" s="570" t="s">
        <v>2304</v>
      </c>
      <c r="B1080" s="569" t="s">
        <v>2277</v>
      </c>
      <c r="C1080" s="569" t="s">
        <v>278</v>
      </c>
      <c r="D1080" s="580">
        <v>15</v>
      </c>
      <c r="E1080" s="569" t="s">
        <v>1516</v>
      </c>
      <c r="F1080" s="569" t="s">
        <v>1517</v>
      </c>
      <c r="G1080" s="569" t="s">
        <v>271</v>
      </c>
      <c r="H1080" s="569">
        <v>2019</v>
      </c>
      <c r="I1080" s="569" t="s">
        <v>2199</v>
      </c>
      <c r="J1080" s="569" t="s">
        <v>1950</v>
      </c>
      <c r="K1080" s="569" t="s">
        <v>236</v>
      </c>
      <c r="L1080" s="569">
        <v>2</v>
      </c>
      <c r="M1080" s="569">
        <v>0</v>
      </c>
      <c r="N1080" s="569" t="s">
        <v>157</v>
      </c>
      <c r="O1080" s="569">
        <v>1</v>
      </c>
      <c r="P1080" s="569">
        <v>110.1</v>
      </c>
      <c r="Q1080" s="568" t="s">
        <v>157</v>
      </c>
      <c r="R1080" s="569" t="s">
        <v>1259</v>
      </c>
      <c r="S1080" s="569">
        <v>6</v>
      </c>
      <c r="T1080" s="569" t="s">
        <v>2275</v>
      </c>
      <c r="U1080" s="569" t="s">
        <v>1894</v>
      </c>
      <c r="V1080" s="569">
        <v>147.6</v>
      </c>
      <c r="W1080" s="569">
        <v>25</v>
      </c>
      <c r="X1080" s="568">
        <v>9000</v>
      </c>
      <c r="Y1080" s="569">
        <v>14</v>
      </c>
      <c r="Z1080" s="581" t="s">
        <v>178</v>
      </c>
      <c r="AA1080" s="581" t="s">
        <v>178</v>
      </c>
      <c r="AB1080" s="585">
        <v>41675</v>
      </c>
      <c r="AC1080" s="585" t="s">
        <v>164</v>
      </c>
      <c r="AD1080" s="585">
        <v>32500</v>
      </c>
      <c r="AE1080" s="587">
        <v>0.01</v>
      </c>
      <c r="AF1080" s="661" t="str">
        <f t="shared" si="115"/>
        <v>2019-LVN-FRD-T25V-023-15</v>
      </c>
      <c r="AG1080" s="661" t="str">
        <f>IF(AND($Y1080&gt;=32,(AI1080="I"),(Y1080&lt;&gt;"~"),(COUNTIF($AN$1:$AN1080,$AN1080)=1)),"TRUE","FALSE")</f>
        <v>FALSE</v>
      </c>
      <c r="AH1080" s="661" t="str">
        <f>IF(AND($Y1080&gt;=22, (AI1080&lt;&gt;"I"),(Y1080&lt;&gt;"~"),(COUNTIF($AN$1:$AN1080,$AN1080)=1)),"TRUE","FALSE")</f>
        <v>FALSE</v>
      </c>
      <c r="AI1080" s="661" t="str">
        <f t="shared" si="117"/>
        <v>II</v>
      </c>
      <c r="AJ1080" s="662" t="str">
        <f t="shared" si="111"/>
        <v>T25V-023</v>
      </c>
      <c r="AK1080" s="662" t="str">
        <f t="shared" si="112"/>
        <v>LVN</v>
      </c>
      <c r="AL1080" s="662" t="str">
        <f t="shared" si="113"/>
        <v>FRD</v>
      </c>
      <c r="AM1080" s="662" t="str">
        <f t="shared" si="116"/>
        <v>Transit 250 Van-Sliding RH Door-RWD-2-110.1-~-3.5L EcoBoost-6-R2X-101A-147.6-25-Unleaded-Unleaded</v>
      </c>
      <c r="AN1080" s="662" t="str">
        <f t="shared" si="114"/>
        <v>2019-LVN-FRD-T25V-023</v>
      </c>
    </row>
    <row r="1081" spans="1:40" s="572" customFormat="1" ht="15">
      <c r="A1081" s="570" t="s">
        <v>2305</v>
      </c>
      <c r="B1081" s="573" t="s">
        <v>2279</v>
      </c>
      <c r="C1081" s="573" t="s">
        <v>278</v>
      </c>
      <c r="D1081" s="578">
        <v>15</v>
      </c>
      <c r="E1081" s="573" t="s">
        <v>1516</v>
      </c>
      <c r="F1081" s="573" t="s">
        <v>1517</v>
      </c>
      <c r="G1081" s="573" t="s">
        <v>271</v>
      </c>
      <c r="H1081" s="573">
        <v>2019</v>
      </c>
      <c r="I1081" s="573" t="s">
        <v>2199</v>
      </c>
      <c r="J1081" s="573" t="s">
        <v>1950</v>
      </c>
      <c r="K1081" s="573" t="s">
        <v>236</v>
      </c>
      <c r="L1081" s="573">
        <v>2</v>
      </c>
      <c r="M1081" s="573">
        <v>0</v>
      </c>
      <c r="N1081" s="573" t="s">
        <v>157</v>
      </c>
      <c r="O1081" s="573">
        <v>1</v>
      </c>
      <c r="P1081" s="573">
        <v>110.1</v>
      </c>
      <c r="Q1081" s="571" t="s">
        <v>157</v>
      </c>
      <c r="R1081" s="573" t="s">
        <v>682</v>
      </c>
      <c r="S1081" s="573">
        <v>6</v>
      </c>
      <c r="T1081" s="573" t="s">
        <v>2275</v>
      </c>
      <c r="U1081" s="573" t="s">
        <v>1894</v>
      </c>
      <c r="V1081" s="573">
        <v>147.6</v>
      </c>
      <c r="W1081" s="573">
        <v>25</v>
      </c>
      <c r="X1081" s="571">
        <v>9000</v>
      </c>
      <c r="Y1081" s="569">
        <v>14</v>
      </c>
      <c r="Z1081" s="579" t="s">
        <v>178</v>
      </c>
      <c r="AA1081" s="579" t="s">
        <v>178</v>
      </c>
      <c r="AB1081" s="584">
        <v>39810</v>
      </c>
      <c r="AC1081" s="584" t="s">
        <v>164</v>
      </c>
      <c r="AD1081" s="584">
        <v>30800</v>
      </c>
      <c r="AE1081" s="586">
        <v>0.01</v>
      </c>
      <c r="AF1081" s="661" t="str">
        <f t="shared" si="115"/>
        <v>2019-LVN-FRD-T25V-024-15</v>
      </c>
      <c r="AG1081" s="661" t="str">
        <f>IF(AND($Y1081&gt;=32,(AI1081="I"),(Y1081&lt;&gt;"~"),(COUNTIF($AN$1:$AN1081,$AN1081)=1)),"TRUE","FALSE")</f>
        <v>FALSE</v>
      </c>
      <c r="AH1081" s="661" t="str">
        <f>IF(AND($Y1081&gt;=22, (AI1081&lt;&gt;"I"),(Y1081&lt;&gt;"~"),(COUNTIF($AN$1:$AN1081,$AN1081)=1)),"TRUE","FALSE")</f>
        <v>FALSE</v>
      </c>
      <c r="AI1081" s="661" t="str">
        <f t="shared" si="117"/>
        <v>II</v>
      </c>
      <c r="AJ1081" s="662" t="str">
        <f t="shared" si="111"/>
        <v>T25V-024</v>
      </c>
      <c r="AK1081" s="662" t="str">
        <f t="shared" si="112"/>
        <v>LVN</v>
      </c>
      <c r="AL1081" s="662" t="str">
        <f t="shared" si="113"/>
        <v>FRD</v>
      </c>
      <c r="AM1081" s="662" t="str">
        <f t="shared" si="116"/>
        <v>Transit 250 Van-Sliding RH Door-RWD-2-110.1-~-3.7L-6-R2X-101A-147.6-25-Unleaded-Unleaded</v>
      </c>
      <c r="AN1081" s="662" t="str">
        <f t="shared" si="114"/>
        <v>2019-LVN-FRD-T25V-024</v>
      </c>
    </row>
    <row r="1082" spans="1:40" s="572" customFormat="1" ht="15">
      <c r="A1082" s="570" t="s">
        <v>2306</v>
      </c>
      <c r="B1082" s="569" t="s">
        <v>2281</v>
      </c>
      <c r="C1082" s="569" t="s">
        <v>278</v>
      </c>
      <c r="D1082" s="580">
        <v>15</v>
      </c>
      <c r="E1082" s="569" t="s">
        <v>1516</v>
      </c>
      <c r="F1082" s="569" t="s">
        <v>1517</v>
      </c>
      <c r="G1082" s="569" t="s">
        <v>271</v>
      </c>
      <c r="H1082" s="569">
        <v>2019</v>
      </c>
      <c r="I1082" s="569" t="s">
        <v>2199</v>
      </c>
      <c r="J1082" s="569" t="s">
        <v>1950</v>
      </c>
      <c r="K1082" s="569" t="s">
        <v>236</v>
      </c>
      <c r="L1082" s="569">
        <v>2</v>
      </c>
      <c r="M1082" s="569">
        <v>0</v>
      </c>
      <c r="N1082" s="569" t="s">
        <v>157</v>
      </c>
      <c r="O1082" s="569">
        <v>1</v>
      </c>
      <c r="P1082" s="569">
        <v>83.2</v>
      </c>
      <c r="Q1082" s="568" t="s">
        <v>157</v>
      </c>
      <c r="R1082" s="569" t="s">
        <v>1917</v>
      </c>
      <c r="S1082" s="569">
        <v>5</v>
      </c>
      <c r="T1082" s="569" t="s">
        <v>2282</v>
      </c>
      <c r="U1082" s="569" t="s">
        <v>1894</v>
      </c>
      <c r="V1082" s="569">
        <v>129.9</v>
      </c>
      <c r="W1082" s="569">
        <v>25</v>
      </c>
      <c r="X1082" s="568">
        <v>9000</v>
      </c>
      <c r="Y1082" s="569">
        <v>14</v>
      </c>
      <c r="Z1082" s="581" t="s">
        <v>728</v>
      </c>
      <c r="AA1082" s="581" t="s">
        <v>1523</v>
      </c>
      <c r="AB1082" s="585">
        <v>39625</v>
      </c>
      <c r="AC1082" s="585" t="s">
        <v>164</v>
      </c>
      <c r="AD1082" s="585">
        <v>28400</v>
      </c>
      <c r="AE1082" s="587">
        <v>0.01</v>
      </c>
      <c r="AF1082" s="661" t="str">
        <f t="shared" si="115"/>
        <v>2019-LVN-FRD-T25V-026-15</v>
      </c>
      <c r="AG1082" s="661" t="str">
        <f>IF(AND($Y1082&gt;=32,(AI1082="I"),(Y1082&lt;&gt;"~"),(COUNTIF($AN$1:$AN1082,$AN1082)=1)),"TRUE","FALSE")</f>
        <v>FALSE</v>
      </c>
      <c r="AH1082" s="661" t="str">
        <f>IF(AND($Y1082&gt;=22, (AI1082&lt;&gt;"I"),(Y1082&lt;&gt;"~"),(COUNTIF($AN$1:$AN1082,$AN1082)=1)),"TRUE","FALSE")</f>
        <v>FALSE</v>
      </c>
      <c r="AI1082" s="661" t="str">
        <f t="shared" si="117"/>
        <v>II</v>
      </c>
      <c r="AJ1082" s="662" t="str">
        <f t="shared" si="111"/>
        <v>T25V-026</v>
      </c>
      <c r="AK1082" s="662" t="str">
        <f t="shared" si="112"/>
        <v>LVN</v>
      </c>
      <c r="AL1082" s="662" t="str">
        <f t="shared" si="113"/>
        <v>FRD</v>
      </c>
      <c r="AM1082" s="662" t="str">
        <f t="shared" si="116"/>
        <v>Transit 250 Van-Sliding RH Door-RWD-2-83.2-~-3.2L-5-R1Y-101A-129.9-25-Diesel-BioDiesel</v>
      </c>
      <c r="AN1082" s="662" t="str">
        <f t="shared" si="114"/>
        <v>2019-LVN-FRD-T25V-026</v>
      </c>
    </row>
    <row r="1083" spans="1:40" s="572" customFormat="1" ht="15">
      <c r="A1083" s="570" t="s">
        <v>2307</v>
      </c>
      <c r="B1083" s="573" t="s">
        <v>2284</v>
      </c>
      <c r="C1083" s="573" t="s">
        <v>278</v>
      </c>
      <c r="D1083" s="578">
        <v>15</v>
      </c>
      <c r="E1083" s="573" t="s">
        <v>1516</v>
      </c>
      <c r="F1083" s="573" t="s">
        <v>1517</v>
      </c>
      <c r="G1083" s="573" t="s">
        <v>271</v>
      </c>
      <c r="H1083" s="573">
        <v>2019</v>
      </c>
      <c r="I1083" s="573" t="s">
        <v>2199</v>
      </c>
      <c r="J1083" s="573" t="s">
        <v>1950</v>
      </c>
      <c r="K1083" s="573" t="s">
        <v>236</v>
      </c>
      <c r="L1083" s="573">
        <v>2</v>
      </c>
      <c r="M1083" s="573">
        <v>0</v>
      </c>
      <c r="N1083" s="573" t="s">
        <v>157</v>
      </c>
      <c r="O1083" s="573">
        <v>1</v>
      </c>
      <c r="P1083" s="573">
        <v>83.2</v>
      </c>
      <c r="Q1083" s="571" t="s">
        <v>157</v>
      </c>
      <c r="R1083" s="573" t="s">
        <v>1917</v>
      </c>
      <c r="S1083" s="573">
        <v>5</v>
      </c>
      <c r="T1083" s="573" t="s">
        <v>2285</v>
      </c>
      <c r="U1083" s="573" t="s">
        <v>1894</v>
      </c>
      <c r="V1083" s="573">
        <v>147.6</v>
      </c>
      <c r="W1083" s="573">
        <v>25</v>
      </c>
      <c r="X1083" s="571">
        <v>9000</v>
      </c>
      <c r="Y1083" s="569">
        <v>14</v>
      </c>
      <c r="Z1083" s="579" t="s">
        <v>728</v>
      </c>
      <c r="AA1083" s="579" t="s">
        <v>1523</v>
      </c>
      <c r="AB1083" s="584">
        <v>40505</v>
      </c>
      <c r="AC1083" s="584" t="s">
        <v>164</v>
      </c>
      <c r="AD1083" s="584">
        <v>29300</v>
      </c>
      <c r="AE1083" s="586">
        <v>0.01</v>
      </c>
      <c r="AF1083" s="661" t="str">
        <f t="shared" si="115"/>
        <v>2019-LVN-FRD-T25V-027-15</v>
      </c>
      <c r="AG1083" s="661" t="str">
        <f>IF(AND($Y1083&gt;=32,(AI1083="I"),(Y1083&lt;&gt;"~"),(COUNTIF($AN$1:$AN1083,$AN1083)=1)),"TRUE","FALSE")</f>
        <v>FALSE</v>
      </c>
      <c r="AH1083" s="661" t="str">
        <f>IF(AND($Y1083&gt;=22, (AI1083&lt;&gt;"I"),(Y1083&lt;&gt;"~"),(COUNTIF($AN$1:$AN1083,$AN1083)=1)),"TRUE","FALSE")</f>
        <v>FALSE</v>
      </c>
      <c r="AI1083" s="661" t="str">
        <f t="shared" si="117"/>
        <v>II</v>
      </c>
      <c r="AJ1083" s="662" t="str">
        <f t="shared" si="111"/>
        <v>T25V-027</v>
      </c>
      <c r="AK1083" s="662" t="str">
        <f t="shared" si="112"/>
        <v>LVN</v>
      </c>
      <c r="AL1083" s="662" t="str">
        <f t="shared" si="113"/>
        <v>FRD</v>
      </c>
      <c r="AM1083" s="662" t="str">
        <f t="shared" si="116"/>
        <v>Transit 250 Van-Sliding RH Door-RWD-2-83.2-~-3.2L-5-R2Y-101A-147.6-25-Diesel-BioDiesel</v>
      </c>
      <c r="AN1083" s="662" t="str">
        <f t="shared" si="114"/>
        <v>2019-LVN-FRD-T25V-027</v>
      </c>
    </row>
    <row r="1084" spans="1:40" s="572" customFormat="1" ht="15">
      <c r="A1084" s="570" t="s">
        <v>2308</v>
      </c>
      <c r="B1084" s="569" t="s">
        <v>2287</v>
      </c>
      <c r="C1084" s="569" t="s">
        <v>278</v>
      </c>
      <c r="D1084" s="580">
        <v>15</v>
      </c>
      <c r="E1084" s="569" t="s">
        <v>1516</v>
      </c>
      <c r="F1084" s="569" t="s">
        <v>1517</v>
      </c>
      <c r="G1084" s="569" t="s">
        <v>271</v>
      </c>
      <c r="H1084" s="569">
        <v>2019</v>
      </c>
      <c r="I1084" s="569" t="s">
        <v>2199</v>
      </c>
      <c r="J1084" s="569" t="s">
        <v>1950</v>
      </c>
      <c r="K1084" s="569" t="s">
        <v>236</v>
      </c>
      <c r="L1084" s="569">
        <v>2</v>
      </c>
      <c r="M1084" s="569">
        <v>0</v>
      </c>
      <c r="N1084" s="569" t="s">
        <v>157</v>
      </c>
      <c r="O1084" s="569">
        <v>1</v>
      </c>
      <c r="P1084" s="569">
        <v>83.2</v>
      </c>
      <c r="Q1084" s="568" t="s">
        <v>157</v>
      </c>
      <c r="R1084" s="569" t="s">
        <v>1259</v>
      </c>
      <c r="S1084" s="569">
        <v>6</v>
      </c>
      <c r="T1084" s="569" t="s">
        <v>2282</v>
      </c>
      <c r="U1084" s="569" t="s">
        <v>1894</v>
      </c>
      <c r="V1084" s="569">
        <v>129.9</v>
      </c>
      <c r="W1084" s="569">
        <v>25</v>
      </c>
      <c r="X1084" s="568">
        <v>9000</v>
      </c>
      <c r="Y1084" s="569">
        <v>14</v>
      </c>
      <c r="Z1084" s="581" t="s">
        <v>178</v>
      </c>
      <c r="AA1084" s="581" t="s">
        <v>178</v>
      </c>
      <c r="AB1084" s="585">
        <v>37495</v>
      </c>
      <c r="AC1084" s="585" t="s">
        <v>164</v>
      </c>
      <c r="AD1084" s="585">
        <v>26500</v>
      </c>
      <c r="AE1084" s="587">
        <v>0.01</v>
      </c>
      <c r="AF1084" s="661" t="str">
        <f t="shared" si="115"/>
        <v>2019-LVN-FRD-T25V-028-15</v>
      </c>
      <c r="AG1084" s="661" t="str">
        <f>IF(AND($Y1084&gt;=32,(AI1084="I"),(Y1084&lt;&gt;"~"),(COUNTIF($AN$1:$AN1084,$AN1084)=1)),"TRUE","FALSE")</f>
        <v>FALSE</v>
      </c>
      <c r="AH1084" s="661" t="str">
        <f>IF(AND($Y1084&gt;=22, (AI1084&lt;&gt;"I"),(Y1084&lt;&gt;"~"),(COUNTIF($AN$1:$AN1084,$AN1084)=1)),"TRUE","FALSE")</f>
        <v>FALSE</v>
      </c>
      <c r="AI1084" s="661" t="str">
        <f t="shared" si="117"/>
        <v>II</v>
      </c>
      <c r="AJ1084" s="662" t="str">
        <f t="shared" si="111"/>
        <v>T25V-028</v>
      </c>
      <c r="AK1084" s="662" t="str">
        <f t="shared" si="112"/>
        <v>LVN</v>
      </c>
      <c r="AL1084" s="662" t="str">
        <f t="shared" si="113"/>
        <v>FRD</v>
      </c>
      <c r="AM1084" s="662" t="str">
        <f t="shared" si="116"/>
        <v>Transit 250 Van-Sliding RH Door-RWD-2-83.2-~-3.5L EcoBoost-6-R1Y-101A-129.9-25-Unleaded-Unleaded</v>
      </c>
      <c r="AN1084" s="662" t="str">
        <f t="shared" si="114"/>
        <v>2019-LVN-FRD-T25V-028</v>
      </c>
    </row>
    <row r="1085" spans="1:40" s="572" customFormat="1" ht="15">
      <c r="A1085" s="570" t="s">
        <v>2309</v>
      </c>
      <c r="B1085" s="573" t="s">
        <v>2289</v>
      </c>
      <c r="C1085" s="573" t="s">
        <v>278</v>
      </c>
      <c r="D1085" s="578">
        <v>15</v>
      </c>
      <c r="E1085" s="573" t="s">
        <v>1516</v>
      </c>
      <c r="F1085" s="573" t="s">
        <v>1517</v>
      </c>
      <c r="G1085" s="573" t="s">
        <v>271</v>
      </c>
      <c r="H1085" s="573">
        <v>2019</v>
      </c>
      <c r="I1085" s="573" t="s">
        <v>2199</v>
      </c>
      <c r="J1085" s="573" t="s">
        <v>1950</v>
      </c>
      <c r="K1085" s="573" t="s">
        <v>236</v>
      </c>
      <c r="L1085" s="573">
        <v>2</v>
      </c>
      <c r="M1085" s="573">
        <v>0</v>
      </c>
      <c r="N1085" s="573" t="s">
        <v>157</v>
      </c>
      <c r="O1085" s="573">
        <v>1</v>
      </c>
      <c r="P1085" s="573">
        <v>83.2</v>
      </c>
      <c r="Q1085" s="571" t="s">
        <v>157</v>
      </c>
      <c r="R1085" s="573" t="s">
        <v>1259</v>
      </c>
      <c r="S1085" s="573">
        <v>6</v>
      </c>
      <c r="T1085" s="573" t="s">
        <v>2285</v>
      </c>
      <c r="U1085" s="573" t="s">
        <v>1894</v>
      </c>
      <c r="V1085" s="573">
        <v>147.6</v>
      </c>
      <c r="W1085" s="573">
        <v>25</v>
      </c>
      <c r="X1085" s="571">
        <v>9000</v>
      </c>
      <c r="Y1085" s="569">
        <v>14</v>
      </c>
      <c r="Z1085" s="579" t="s">
        <v>178</v>
      </c>
      <c r="AA1085" s="579" t="s">
        <v>178</v>
      </c>
      <c r="AB1085" s="584">
        <v>38375</v>
      </c>
      <c r="AC1085" s="584" t="s">
        <v>164</v>
      </c>
      <c r="AD1085" s="584">
        <v>27300</v>
      </c>
      <c r="AE1085" s="586">
        <v>0.01</v>
      </c>
      <c r="AF1085" s="661" t="str">
        <f t="shared" si="115"/>
        <v>2019-LVN-FRD-T25V-029-15</v>
      </c>
      <c r="AG1085" s="661" t="str">
        <f>IF(AND($Y1085&gt;=32,(AI1085="I"),(Y1085&lt;&gt;"~"),(COUNTIF($AN$1:$AN1085,$AN1085)=1)),"TRUE","FALSE")</f>
        <v>FALSE</v>
      </c>
      <c r="AH1085" s="661" t="str">
        <f>IF(AND($Y1085&gt;=22, (AI1085&lt;&gt;"I"),(Y1085&lt;&gt;"~"),(COUNTIF($AN$1:$AN1085,$AN1085)=1)),"TRUE","FALSE")</f>
        <v>FALSE</v>
      </c>
      <c r="AI1085" s="661" t="str">
        <f t="shared" si="117"/>
        <v>II</v>
      </c>
      <c r="AJ1085" s="662" t="str">
        <f t="shared" si="111"/>
        <v>T25V-029</v>
      </c>
      <c r="AK1085" s="662" t="str">
        <f t="shared" si="112"/>
        <v>LVN</v>
      </c>
      <c r="AL1085" s="662" t="str">
        <f t="shared" si="113"/>
        <v>FRD</v>
      </c>
      <c r="AM1085" s="662" t="str">
        <f t="shared" si="116"/>
        <v>Transit 250 Van-Sliding RH Door-RWD-2-83.2-~-3.5L EcoBoost-6-R2Y-101A-147.6-25-Unleaded-Unleaded</v>
      </c>
      <c r="AN1085" s="662" t="str">
        <f t="shared" si="114"/>
        <v>2019-LVN-FRD-T25V-029</v>
      </c>
    </row>
    <row r="1086" spans="1:40" s="572" customFormat="1" ht="15">
      <c r="A1086" s="570" t="s">
        <v>2310</v>
      </c>
      <c r="B1086" s="569" t="s">
        <v>2291</v>
      </c>
      <c r="C1086" s="569" t="s">
        <v>278</v>
      </c>
      <c r="D1086" s="580">
        <v>15</v>
      </c>
      <c r="E1086" s="569" t="s">
        <v>1516</v>
      </c>
      <c r="F1086" s="569" t="s">
        <v>1517</v>
      </c>
      <c r="G1086" s="569" t="s">
        <v>271</v>
      </c>
      <c r="H1086" s="569">
        <v>2019</v>
      </c>
      <c r="I1086" s="569" t="s">
        <v>2199</v>
      </c>
      <c r="J1086" s="569" t="s">
        <v>1950</v>
      </c>
      <c r="K1086" s="569" t="s">
        <v>236</v>
      </c>
      <c r="L1086" s="569">
        <v>2</v>
      </c>
      <c r="M1086" s="569">
        <v>0</v>
      </c>
      <c r="N1086" s="569" t="s">
        <v>157</v>
      </c>
      <c r="O1086" s="569">
        <v>1</v>
      </c>
      <c r="P1086" s="569">
        <v>83.2</v>
      </c>
      <c r="Q1086" s="568" t="s">
        <v>157</v>
      </c>
      <c r="R1086" s="569" t="s">
        <v>682</v>
      </c>
      <c r="S1086" s="569">
        <v>6</v>
      </c>
      <c r="T1086" s="569" t="s">
        <v>2282</v>
      </c>
      <c r="U1086" s="569" t="s">
        <v>1894</v>
      </c>
      <c r="V1086" s="569">
        <v>129.9</v>
      </c>
      <c r="W1086" s="569">
        <v>25</v>
      </c>
      <c r="X1086" s="568">
        <v>9000</v>
      </c>
      <c r="Y1086" s="569">
        <v>14</v>
      </c>
      <c r="Z1086" s="581" t="s">
        <v>178</v>
      </c>
      <c r="AA1086" s="581" t="s">
        <v>178</v>
      </c>
      <c r="AB1086" s="585">
        <v>35630</v>
      </c>
      <c r="AC1086" s="585" t="s">
        <v>164</v>
      </c>
      <c r="AD1086" s="585">
        <v>24800</v>
      </c>
      <c r="AE1086" s="587">
        <v>0.01</v>
      </c>
      <c r="AF1086" s="661" t="str">
        <f t="shared" si="115"/>
        <v>2019-LVN-FRD-T25V-030-15</v>
      </c>
      <c r="AG1086" s="661" t="str">
        <f>IF(AND($Y1086&gt;=32,(AI1086="I"),(Y1086&lt;&gt;"~"),(COUNTIF($AN$1:$AN1086,$AN1086)=1)),"TRUE","FALSE")</f>
        <v>FALSE</v>
      </c>
      <c r="AH1086" s="661" t="str">
        <f>IF(AND($Y1086&gt;=22, (AI1086&lt;&gt;"I"),(Y1086&lt;&gt;"~"),(COUNTIF($AN$1:$AN1086,$AN1086)=1)),"TRUE","FALSE")</f>
        <v>FALSE</v>
      </c>
      <c r="AI1086" s="661" t="str">
        <f t="shared" si="117"/>
        <v>II</v>
      </c>
      <c r="AJ1086" s="662" t="str">
        <f t="shared" si="111"/>
        <v>T25V-030</v>
      </c>
      <c r="AK1086" s="662" t="str">
        <f t="shared" si="112"/>
        <v>LVN</v>
      </c>
      <c r="AL1086" s="662" t="str">
        <f t="shared" si="113"/>
        <v>FRD</v>
      </c>
      <c r="AM1086" s="662" t="str">
        <f t="shared" si="116"/>
        <v>Transit 250 Van-Sliding RH Door-RWD-2-83.2-~-3.7L-6-R1Y-101A-129.9-25-Unleaded-Unleaded</v>
      </c>
      <c r="AN1086" s="662" t="str">
        <f t="shared" si="114"/>
        <v>2019-LVN-FRD-T25V-030</v>
      </c>
    </row>
    <row r="1087" spans="1:40" s="572" customFormat="1" ht="15">
      <c r="A1087" s="570" t="s">
        <v>2311</v>
      </c>
      <c r="B1087" s="573" t="s">
        <v>2293</v>
      </c>
      <c r="C1087" s="573" t="s">
        <v>278</v>
      </c>
      <c r="D1087" s="578">
        <v>15</v>
      </c>
      <c r="E1087" s="573" t="s">
        <v>1516</v>
      </c>
      <c r="F1087" s="573" t="s">
        <v>1517</v>
      </c>
      <c r="G1087" s="573" t="s">
        <v>271</v>
      </c>
      <c r="H1087" s="573">
        <v>2019</v>
      </c>
      <c r="I1087" s="573" t="s">
        <v>2199</v>
      </c>
      <c r="J1087" s="573" t="s">
        <v>1950</v>
      </c>
      <c r="K1087" s="573" t="s">
        <v>236</v>
      </c>
      <c r="L1087" s="573">
        <v>2</v>
      </c>
      <c r="M1087" s="573">
        <v>0</v>
      </c>
      <c r="N1087" s="573" t="s">
        <v>157</v>
      </c>
      <c r="O1087" s="573">
        <v>1</v>
      </c>
      <c r="P1087" s="573">
        <v>83.2</v>
      </c>
      <c r="Q1087" s="571" t="s">
        <v>157</v>
      </c>
      <c r="R1087" s="573" t="s">
        <v>682</v>
      </c>
      <c r="S1087" s="573">
        <v>6</v>
      </c>
      <c r="T1087" s="573" t="s">
        <v>2285</v>
      </c>
      <c r="U1087" s="573" t="s">
        <v>1894</v>
      </c>
      <c r="V1087" s="573">
        <v>147.6</v>
      </c>
      <c r="W1087" s="573">
        <v>25</v>
      </c>
      <c r="X1087" s="571">
        <v>9000</v>
      </c>
      <c r="Y1087" s="569">
        <v>14</v>
      </c>
      <c r="Z1087" s="579" t="s">
        <v>178</v>
      </c>
      <c r="AA1087" s="579" t="s">
        <v>178</v>
      </c>
      <c r="AB1087" s="584">
        <v>36510</v>
      </c>
      <c r="AC1087" s="584" t="s">
        <v>164</v>
      </c>
      <c r="AD1087" s="584">
        <v>25600</v>
      </c>
      <c r="AE1087" s="586">
        <v>0.01</v>
      </c>
      <c r="AF1087" s="661" t="str">
        <f t="shared" si="115"/>
        <v>2019-LVN-FRD-T25V-031-15</v>
      </c>
      <c r="AG1087" s="661" t="str">
        <f>IF(AND($Y1087&gt;=32,(AI1087="I"),(Y1087&lt;&gt;"~"),(COUNTIF($AN$1:$AN1087,$AN1087)=1)),"TRUE","FALSE")</f>
        <v>FALSE</v>
      </c>
      <c r="AH1087" s="661" t="str">
        <f>IF(AND($Y1087&gt;=22, (AI1087&lt;&gt;"I"),(Y1087&lt;&gt;"~"),(COUNTIF($AN$1:$AN1087,$AN1087)=1)),"TRUE","FALSE")</f>
        <v>FALSE</v>
      </c>
      <c r="AI1087" s="661" t="str">
        <f t="shared" si="117"/>
        <v>II</v>
      </c>
      <c r="AJ1087" s="662" t="str">
        <f t="shared" si="111"/>
        <v>T25V-031</v>
      </c>
      <c r="AK1087" s="662" t="str">
        <f t="shared" si="112"/>
        <v>LVN</v>
      </c>
      <c r="AL1087" s="662" t="str">
        <f t="shared" si="113"/>
        <v>FRD</v>
      </c>
      <c r="AM1087" s="662" t="str">
        <f t="shared" si="116"/>
        <v>Transit 250 Van-Sliding RH Door-RWD-2-83.2-~-3.7L-6-R2Y-101A-147.6-25-Unleaded-Unleaded</v>
      </c>
      <c r="AN1087" s="662" t="str">
        <f t="shared" si="114"/>
        <v>2019-LVN-FRD-T25V-031</v>
      </c>
    </row>
    <row r="1088" spans="1:40" s="572" customFormat="1" ht="15">
      <c r="A1088" s="570" t="s">
        <v>2312</v>
      </c>
      <c r="B1088" s="569" t="s">
        <v>2263</v>
      </c>
      <c r="C1088" s="569" t="s">
        <v>287</v>
      </c>
      <c r="D1088" s="580">
        <v>26</v>
      </c>
      <c r="E1088" s="569" t="s">
        <v>1516</v>
      </c>
      <c r="F1088" s="569" t="s">
        <v>1517</v>
      </c>
      <c r="G1088" s="569" t="s">
        <v>271</v>
      </c>
      <c r="H1088" s="569">
        <v>2018</v>
      </c>
      <c r="I1088" s="569" t="s">
        <v>2199</v>
      </c>
      <c r="J1088" s="569" t="s">
        <v>1950</v>
      </c>
      <c r="K1088" s="569" t="s">
        <v>236</v>
      </c>
      <c r="L1088" s="569">
        <v>2</v>
      </c>
      <c r="M1088" s="569">
        <v>0</v>
      </c>
      <c r="N1088" s="569" t="s">
        <v>157</v>
      </c>
      <c r="O1088" s="569">
        <v>1</v>
      </c>
      <c r="P1088" s="569">
        <v>100.8</v>
      </c>
      <c r="Q1088" s="568" t="s">
        <v>157</v>
      </c>
      <c r="R1088" s="569" t="s">
        <v>1259</v>
      </c>
      <c r="S1088" s="569">
        <v>6</v>
      </c>
      <c r="T1088" s="569" t="s">
        <v>2261</v>
      </c>
      <c r="U1088" s="569" t="s">
        <v>1894</v>
      </c>
      <c r="V1088" s="569">
        <v>129.9</v>
      </c>
      <c r="W1088" s="569">
        <v>25</v>
      </c>
      <c r="X1088" s="568">
        <v>9000</v>
      </c>
      <c r="Y1088" s="569">
        <v>14</v>
      </c>
      <c r="Z1088" s="581" t="s">
        <v>178</v>
      </c>
      <c r="AA1088" s="581" t="s">
        <v>178</v>
      </c>
      <c r="AB1088" s="585">
        <v>37800</v>
      </c>
      <c r="AC1088" s="585" t="s">
        <v>164</v>
      </c>
      <c r="AD1088" s="585">
        <v>29369</v>
      </c>
      <c r="AE1088" s="587">
        <v>0.05</v>
      </c>
      <c r="AF1088" s="661" t="str">
        <f t="shared" si="115"/>
        <v>2018-LVN-FRD-T25V-015-26</v>
      </c>
      <c r="AG1088" s="661" t="str">
        <f>IF(AND($Y1088&gt;=32,(AI1088="I"),(Y1088&lt;&gt;"~"),(COUNTIF($AN$1:$AN1088,$AN1088)=1)),"TRUE","FALSE")</f>
        <v>FALSE</v>
      </c>
      <c r="AH1088" s="661" t="str">
        <f>IF(AND($Y1088&gt;=22, (AI1088&lt;&gt;"I"),(Y1088&lt;&gt;"~"),(COUNTIF($AN$1:$AN1088,$AN1088)=1)),"TRUE","FALSE")</f>
        <v>FALSE</v>
      </c>
      <c r="AI1088" s="661" t="str">
        <f t="shared" si="117"/>
        <v>II</v>
      </c>
      <c r="AJ1088" s="662" t="str">
        <f t="shared" si="111"/>
        <v>T25V-015</v>
      </c>
      <c r="AK1088" s="662" t="str">
        <f t="shared" si="112"/>
        <v>LVN</v>
      </c>
      <c r="AL1088" s="662" t="str">
        <f t="shared" si="113"/>
        <v>FRD</v>
      </c>
      <c r="AM1088" s="662" t="str">
        <f t="shared" si="116"/>
        <v>Transit 250 Van-Sliding RH Door-RWD-2-100.8-~-3.5L EcoBoost-6-R1C-101A-129.9-25-Unleaded-Unleaded</v>
      </c>
      <c r="AN1088" s="662" t="str">
        <f t="shared" si="114"/>
        <v>2018-LVN-FRD-T25V-015</v>
      </c>
    </row>
    <row r="1089" spans="1:40" s="572" customFormat="1" ht="15">
      <c r="A1089" s="570" t="s">
        <v>2313</v>
      </c>
      <c r="B1089" s="573" t="s">
        <v>2287</v>
      </c>
      <c r="C1089" s="573" t="s">
        <v>287</v>
      </c>
      <c r="D1089" s="578">
        <v>26</v>
      </c>
      <c r="E1089" s="573" t="s">
        <v>1516</v>
      </c>
      <c r="F1089" s="573" t="s">
        <v>1517</v>
      </c>
      <c r="G1089" s="573" t="s">
        <v>271</v>
      </c>
      <c r="H1089" s="573">
        <v>2018</v>
      </c>
      <c r="I1089" s="573" t="s">
        <v>2199</v>
      </c>
      <c r="J1089" s="573" t="s">
        <v>1950</v>
      </c>
      <c r="K1089" s="573" t="s">
        <v>236</v>
      </c>
      <c r="L1089" s="573">
        <v>2</v>
      </c>
      <c r="M1089" s="573">
        <v>0</v>
      </c>
      <c r="N1089" s="573" t="s">
        <v>157</v>
      </c>
      <c r="O1089" s="573">
        <v>1</v>
      </c>
      <c r="P1089" s="573">
        <v>83.2</v>
      </c>
      <c r="Q1089" s="571" t="s">
        <v>157</v>
      </c>
      <c r="R1089" s="573" t="s">
        <v>1259</v>
      </c>
      <c r="S1089" s="573">
        <v>6</v>
      </c>
      <c r="T1089" s="573" t="s">
        <v>2282</v>
      </c>
      <c r="U1089" s="573" t="s">
        <v>1894</v>
      </c>
      <c r="V1089" s="573">
        <v>129.9</v>
      </c>
      <c r="W1089" s="573">
        <v>25</v>
      </c>
      <c r="X1089" s="571">
        <v>9000</v>
      </c>
      <c r="Y1089" s="569">
        <v>14</v>
      </c>
      <c r="Z1089" s="579" t="s">
        <v>178</v>
      </c>
      <c r="AA1089" s="579" t="s">
        <v>178</v>
      </c>
      <c r="AB1089" s="584">
        <v>37495</v>
      </c>
      <c r="AC1089" s="584" t="s">
        <v>164</v>
      </c>
      <c r="AD1089" s="584">
        <v>26930</v>
      </c>
      <c r="AE1089" s="586">
        <v>0.05</v>
      </c>
      <c r="AF1089" s="661" t="str">
        <f t="shared" si="115"/>
        <v>2018-LVN-FRD-T25V-028-26</v>
      </c>
      <c r="AG1089" s="661" t="str">
        <f>IF(AND($Y1089&gt;=32,(AI1089="I"),(Y1089&lt;&gt;"~"),(COUNTIF($AN$1:$AN1089,$AN1089)=1)),"TRUE","FALSE")</f>
        <v>FALSE</v>
      </c>
      <c r="AH1089" s="661" t="str">
        <f>IF(AND($Y1089&gt;=22, (AI1089&lt;&gt;"I"),(Y1089&lt;&gt;"~"),(COUNTIF($AN$1:$AN1089,$AN1089)=1)),"TRUE","FALSE")</f>
        <v>FALSE</v>
      </c>
      <c r="AI1089" s="661" t="str">
        <f t="shared" si="117"/>
        <v>II</v>
      </c>
      <c r="AJ1089" s="662" t="str">
        <f t="shared" si="111"/>
        <v>T25V-028</v>
      </c>
      <c r="AK1089" s="662" t="str">
        <f t="shared" si="112"/>
        <v>LVN</v>
      </c>
      <c r="AL1089" s="662" t="str">
        <f t="shared" si="113"/>
        <v>FRD</v>
      </c>
      <c r="AM1089" s="662" t="str">
        <f t="shared" si="116"/>
        <v>Transit 250 Van-Sliding RH Door-RWD-2-83.2-~-3.5L EcoBoost-6-R1Y-101A-129.9-25-Unleaded-Unleaded</v>
      </c>
      <c r="AN1089" s="662" t="str">
        <f t="shared" si="114"/>
        <v>2018-LVN-FRD-T25V-028</v>
      </c>
    </row>
    <row r="1090" spans="1:40" s="572" customFormat="1" ht="15">
      <c r="A1090" s="570" t="s">
        <v>2314</v>
      </c>
      <c r="B1090" s="569" t="s">
        <v>2253</v>
      </c>
      <c r="C1090" s="569" t="s">
        <v>287</v>
      </c>
      <c r="D1090" s="580">
        <v>26</v>
      </c>
      <c r="E1090" s="569" t="s">
        <v>1516</v>
      </c>
      <c r="F1090" s="569" t="s">
        <v>1517</v>
      </c>
      <c r="G1090" s="569" t="s">
        <v>271</v>
      </c>
      <c r="H1090" s="569">
        <v>2019</v>
      </c>
      <c r="I1090" s="569" t="s">
        <v>2199</v>
      </c>
      <c r="J1090" s="569" t="s">
        <v>1950</v>
      </c>
      <c r="K1090" s="569" t="s">
        <v>236</v>
      </c>
      <c r="L1090" s="569">
        <v>2</v>
      </c>
      <c r="M1090" s="569">
        <v>0</v>
      </c>
      <c r="N1090" s="569" t="s">
        <v>157</v>
      </c>
      <c r="O1090" s="569">
        <v>1</v>
      </c>
      <c r="P1090" s="569">
        <v>100.7</v>
      </c>
      <c r="Q1090" s="568" t="s">
        <v>157</v>
      </c>
      <c r="R1090" s="569" t="s">
        <v>1917</v>
      </c>
      <c r="S1090" s="569">
        <v>5</v>
      </c>
      <c r="T1090" s="569" t="s">
        <v>2254</v>
      </c>
      <c r="U1090" s="569" t="s">
        <v>1894</v>
      </c>
      <c r="V1090" s="569">
        <v>147.6</v>
      </c>
      <c r="W1090" s="569">
        <v>25</v>
      </c>
      <c r="X1090" s="568">
        <v>9000</v>
      </c>
      <c r="Y1090" s="569">
        <v>14</v>
      </c>
      <c r="Z1090" s="581" t="s">
        <v>728</v>
      </c>
      <c r="AA1090" s="581" t="s">
        <v>1523</v>
      </c>
      <c r="AB1090" s="585">
        <v>41655</v>
      </c>
      <c r="AC1090" s="585" t="s">
        <v>164</v>
      </c>
      <c r="AD1090" s="585">
        <v>32953</v>
      </c>
      <c r="AE1090" s="587">
        <v>0.05</v>
      </c>
      <c r="AF1090" s="661" t="str">
        <f t="shared" si="115"/>
        <v>2019-LVN-FRD-T25V-010-26</v>
      </c>
      <c r="AG1090" s="661" t="str">
        <f>IF(AND($Y1090&gt;=32,(AI1090="I"),(Y1090&lt;&gt;"~"),(COUNTIF($AN$1:$AN1090,$AN1090)=1)),"TRUE","FALSE")</f>
        <v>FALSE</v>
      </c>
      <c r="AH1090" s="661" t="str">
        <f>IF(AND($Y1090&gt;=22, (AI1090&lt;&gt;"I"),(Y1090&lt;&gt;"~"),(COUNTIF($AN$1:$AN1090,$AN1090)=1)),"TRUE","FALSE")</f>
        <v>FALSE</v>
      </c>
      <c r="AI1090" s="661" t="str">
        <f t="shared" si="117"/>
        <v>II</v>
      </c>
      <c r="AJ1090" s="662" t="str">
        <f t="shared" si="111"/>
        <v>T25V-010</v>
      </c>
      <c r="AK1090" s="662" t="str">
        <f t="shared" si="112"/>
        <v>LVN</v>
      </c>
      <c r="AL1090" s="662" t="str">
        <f t="shared" si="113"/>
        <v>FRD</v>
      </c>
      <c r="AM1090" s="662" t="str">
        <f t="shared" si="116"/>
        <v>Transit 250 Van-Sliding RH Door-RWD-2-100.7-~-3.2L-5-R2C-101A-147.6-25-Diesel-BioDiesel</v>
      </c>
      <c r="AN1090" s="662" t="str">
        <f t="shared" si="114"/>
        <v>2019-LVN-FRD-T25V-010</v>
      </c>
    </row>
    <row r="1091" spans="1:40" s="572" customFormat="1" ht="15">
      <c r="A1091" s="570" t="s">
        <v>2315</v>
      </c>
      <c r="B1091" s="573" t="s">
        <v>2256</v>
      </c>
      <c r="C1091" s="573" t="s">
        <v>287</v>
      </c>
      <c r="D1091" s="578">
        <v>26</v>
      </c>
      <c r="E1091" s="573" t="s">
        <v>1516</v>
      </c>
      <c r="F1091" s="573" t="s">
        <v>1517</v>
      </c>
      <c r="G1091" s="573" t="s">
        <v>271</v>
      </c>
      <c r="H1091" s="573">
        <v>2019</v>
      </c>
      <c r="I1091" s="573" t="s">
        <v>2199</v>
      </c>
      <c r="J1091" s="573" t="s">
        <v>1950</v>
      </c>
      <c r="K1091" s="573" t="s">
        <v>236</v>
      </c>
      <c r="L1091" s="573">
        <v>2</v>
      </c>
      <c r="M1091" s="573">
        <v>0</v>
      </c>
      <c r="N1091" s="573" t="s">
        <v>157</v>
      </c>
      <c r="O1091" s="573">
        <v>1</v>
      </c>
      <c r="P1091" s="573">
        <v>100.7</v>
      </c>
      <c r="Q1091" s="571" t="s">
        <v>157</v>
      </c>
      <c r="R1091" s="573" t="s">
        <v>1259</v>
      </c>
      <c r="S1091" s="573">
        <v>6</v>
      </c>
      <c r="T1091" s="573" t="s">
        <v>2254</v>
      </c>
      <c r="U1091" s="573" t="s">
        <v>1894</v>
      </c>
      <c r="V1091" s="573">
        <v>147.6</v>
      </c>
      <c r="W1091" s="573">
        <v>25</v>
      </c>
      <c r="X1091" s="571">
        <v>9000</v>
      </c>
      <c r="Y1091" s="569">
        <v>14</v>
      </c>
      <c r="Z1091" s="579" t="s">
        <v>178</v>
      </c>
      <c r="AA1091" s="579" t="s">
        <v>178</v>
      </c>
      <c r="AB1091" s="584">
        <v>39525</v>
      </c>
      <c r="AC1091" s="584" t="s">
        <v>164</v>
      </c>
      <c r="AD1091" s="584">
        <v>30999</v>
      </c>
      <c r="AE1091" s="586">
        <v>0.05</v>
      </c>
      <c r="AF1091" s="661" t="str">
        <f t="shared" si="115"/>
        <v>2019-LVN-FRD-T25V-011-26</v>
      </c>
      <c r="AG1091" s="661" t="str">
        <f>IF(AND($Y1091&gt;=32,(AI1091="I"),(Y1091&lt;&gt;"~"),(COUNTIF($AN$1:$AN1091,$AN1091)=1)),"TRUE","FALSE")</f>
        <v>FALSE</v>
      </c>
      <c r="AH1091" s="661" t="str">
        <f>IF(AND($Y1091&gt;=22, (AI1091&lt;&gt;"I"),(Y1091&lt;&gt;"~"),(COUNTIF($AN$1:$AN1091,$AN1091)=1)),"TRUE","FALSE")</f>
        <v>FALSE</v>
      </c>
      <c r="AI1091" s="661" t="str">
        <f t="shared" si="117"/>
        <v>II</v>
      </c>
      <c r="AJ1091" s="662" t="str">
        <f t="shared" ref="AJ1091:AJ1154" si="118">MID(A1091,14,8)</f>
        <v>T25V-011</v>
      </c>
      <c r="AK1091" s="662" t="str">
        <f t="shared" ref="AK1091:AK1154" si="119">MID(A1091,6,3)</f>
        <v>LVN</v>
      </c>
      <c r="AL1091" s="662" t="str">
        <f t="shared" ref="AL1091:AL1154" si="120">MID(A1091,10,3)</f>
        <v>FRD</v>
      </c>
      <c r="AM1091" s="662" t="str">
        <f t="shared" si="116"/>
        <v>Transit 250 Van-Sliding RH Door-RWD-2-100.7-~-3.5L EcoBoost-6-R2C-101A-147.6-25-Unleaded-Unleaded</v>
      </c>
      <c r="AN1091" s="662" t="str">
        <f t="shared" ref="AN1091:AN1154" si="121">LEFT(A1091,21)</f>
        <v>2019-LVN-FRD-T25V-011</v>
      </c>
    </row>
    <row r="1092" spans="1:40" s="572" customFormat="1" ht="15">
      <c r="A1092" s="570" t="s">
        <v>2316</v>
      </c>
      <c r="B1092" s="569" t="s">
        <v>2258</v>
      </c>
      <c r="C1092" s="569" t="s">
        <v>287</v>
      </c>
      <c r="D1092" s="580">
        <v>26</v>
      </c>
      <c r="E1092" s="569" t="s">
        <v>1516</v>
      </c>
      <c r="F1092" s="569" t="s">
        <v>1517</v>
      </c>
      <c r="G1092" s="569" t="s">
        <v>271</v>
      </c>
      <c r="H1092" s="569">
        <v>2019</v>
      </c>
      <c r="I1092" s="569" t="s">
        <v>2199</v>
      </c>
      <c r="J1092" s="569" t="s">
        <v>1950</v>
      </c>
      <c r="K1092" s="569" t="s">
        <v>236</v>
      </c>
      <c r="L1092" s="569">
        <v>2</v>
      </c>
      <c r="M1092" s="569">
        <v>0</v>
      </c>
      <c r="N1092" s="569" t="s">
        <v>157</v>
      </c>
      <c r="O1092" s="569">
        <v>1</v>
      </c>
      <c r="P1092" s="569">
        <v>100.7</v>
      </c>
      <c r="Q1092" s="568" t="s">
        <v>157</v>
      </c>
      <c r="R1092" s="569" t="s">
        <v>682</v>
      </c>
      <c r="S1092" s="569">
        <v>6</v>
      </c>
      <c r="T1092" s="569" t="s">
        <v>2254</v>
      </c>
      <c r="U1092" s="569" t="s">
        <v>1894</v>
      </c>
      <c r="V1092" s="569">
        <v>147.6</v>
      </c>
      <c r="W1092" s="569">
        <v>25</v>
      </c>
      <c r="X1092" s="568">
        <v>9000</v>
      </c>
      <c r="Y1092" s="569">
        <v>14</v>
      </c>
      <c r="Z1092" s="581" t="s">
        <v>178</v>
      </c>
      <c r="AA1092" s="581" t="s">
        <v>178</v>
      </c>
      <c r="AB1092" s="585">
        <v>37660</v>
      </c>
      <c r="AC1092" s="585" t="s">
        <v>164</v>
      </c>
      <c r="AD1092" s="585">
        <v>29289</v>
      </c>
      <c r="AE1092" s="587">
        <v>0.05</v>
      </c>
      <c r="AF1092" s="661" t="str">
        <f t="shared" si="115"/>
        <v>2019-LVN-FRD-T25V-012-26</v>
      </c>
      <c r="AG1092" s="661" t="str">
        <f>IF(AND($Y1092&gt;=32,(AI1092="I"),(Y1092&lt;&gt;"~"),(COUNTIF($AN$1:$AN1092,$AN1092)=1)),"TRUE","FALSE")</f>
        <v>FALSE</v>
      </c>
      <c r="AH1092" s="661" t="str">
        <f>IF(AND($Y1092&gt;=22, (AI1092&lt;&gt;"I"),(Y1092&lt;&gt;"~"),(COUNTIF($AN$1:$AN1092,$AN1092)=1)),"TRUE","FALSE")</f>
        <v>FALSE</v>
      </c>
      <c r="AI1092" s="661" t="str">
        <f t="shared" si="117"/>
        <v>II</v>
      </c>
      <c r="AJ1092" s="662" t="str">
        <f t="shared" si="118"/>
        <v>T25V-012</v>
      </c>
      <c r="AK1092" s="662" t="str">
        <f t="shared" si="119"/>
        <v>LVN</v>
      </c>
      <c r="AL1092" s="662" t="str">
        <f t="shared" si="120"/>
        <v>FRD</v>
      </c>
      <c r="AM1092" s="662" t="str">
        <f t="shared" si="116"/>
        <v>Transit 250 Van-Sliding RH Door-RWD-2-100.7-~-3.7L-6-R2C-101A-147.6-25-Unleaded-Unleaded</v>
      </c>
      <c r="AN1092" s="662" t="str">
        <f t="shared" si="121"/>
        <v>2019-LVN-FRD-T25V-012</v>
      </c>
    </row>
    <row r="1093" spans="1:40" s="572" customFormat="1" ht="15">
      <c r="A1093" s="570" t="s">
        <v>2317</v>
      </c>
      <c r="B1093" s="573" t="s">
        <v>2260</v>
      </c>
      <c r="C1093" s="573" t="s">
        <v>287</v>
      </c>
      <c r="D1093" s="578">
        <v>26</v>
      </c>
      <c r="E1093" s="573" t="s">
        <v>1516</v>
      </c>
      <c r="F1093" s="573" t="s">
        <v>1517</v>
      </c>
      <c r="G1093" s="573" t="s">
        <v>271</v>
      </c>
      <c r="H1093" s="573">
        <v>2019</v>
      </c>
      <c r="I1093" s="573" t="s">
        <v>2199</v>
      </c>
      <c r="J1093" s="573" t="s">
        <v>1950</v>
      </c>
      <c r="K1093" s="573" t="s">
        <v>236</v>
      </c>
      <c r="L1093" s="573">
        <v>2</v>
      </c>
      <c r="M1093" s="573">
        <v>0</v>
      </c>
      <c r="N1093" s="573" t="s">
        <v>157</v>
      </c>
      <c r="O1093" s="573">
        <v>1</v>
      </c>
      <c r="P1093" s="573">
        <v>100.8</v>
      </c>
      <c r="Q1093" s="571" t="s">
        <v>157</v>
      </c>
      <c r="R1093" s="573" t="s">
        <v>1917</v>
      </c>
      <c r="S1093" s="573">
        <v>5</v>
      </c>
      <c r="T1093" s="573" t="s">
        <v>2261</v>
      </c>
      <c r="U1093" s="573" t="s">
        <v>1894</v>
      </c>
      <c r="V1093" s="573">
        <v>129.9</v>
      </c>
      <c r="W1093" s="573">
        <v>25</v>
      </c>
      <c r="X1093" s="571">
        <v>9000</v>
      </c>
      <c r="Y1093" s="569">
        <v>14</v>
      </c>
      <c r="Z1093" s="579" t="s">
        <v>728</v>
      </c>
      <c r="AA1093" s="579" t="s">
        <v>1523</v>
      </c>
      <c r="AB1093" s="584">
        <v>39930</v>
      </c>
      <c r="AC1093" s="584" t="s">
        <v>164</v>
      </c>
      <c r="AD1093" s="584">
        <v>31323</v>
      </c>
      <c r="AE1093" s="586">
        <v>0.05</v>
      </c>
      <c r="AF1093" s="661" t="str">
        <f t="shared" si="115"/>
        <v>2019-LVN-FRD-T25V-014-26</v>
      </c>
      <c r="AG1093" s="661" t="str">
        <f>IF(AND($Y1093&gt;=32,(AI1093="I"),(Y1093&lt;&gt;"~"),(COUNTIF($AN$1:$AN1093,$AN1093)=1)),"TRUE","FALSE")</f>
        <v>FALSE</v>
      </c>
      <c r="AH1093" s="661" t="str">
        <f>IF(AND($Y1093&gt;=22, (AI1093&lt;&gt;"I"),(Y1093&lt;&gt;"~"),(COUNTIF($AN$1:$AN1093,$AN1093)=1)),"TRUE","FALSE")</f>
        <v>FALSE</v>
      </c>
      <c r="AI1093" s="661" t="str">
        <f t="shared" si="117"/>
        <v>II</v>
      </c>
      <c r="AJ1093" s="662" t="str">
        <f t="shared" si="118"/>
        <v>T25V-014</v>
      </c>
      <c r="AK1093" s="662" t="str">
        <f t="shared" si="119"/>
        <v>LVN</v>
      </c>
      <c r="AL1093" s="662" t="str">
        <f t="shared" si="120"/>
        <v>FRD</v>
      </c>
      <c r="AM1093" s="662" t="str">
        <f t="shared" si="116"/>
        <v>Transit 250 Van-Sliding RH Door-RWD-2-100.8-~-3.2L-5-R1C-101A-129.9-25-Diesel-BioDiesel</v>
      </c>
      <c r="AN1093" s="662" t="str">
        <f t="shared" si="121"/>
        <v>2019-LVN-FRD-T25V-014</v>
      </c>
    </row>
    <row r="1094" spans="1:40" s="572" customFormat="1" ht="15">
      <c r="A1094" s="570" t="s">
        <v>2318</v>
      </c>
      <c r="B1094" s="569" t="s">
        <v>2265</v>
      </c>
      <c r="C1094" s="569" t="s">
        <v>287</v>
      </c>
      <c r="D1094" s="580">
        <v>26</v>
      </c>
      <c r="E1094" s="569" t="s">
        <v>1516</v>
      </c>
      <c r="F1094" s="569" t="s">
        <v>1517</v>
      </c>
      <c r="G1094" s="569" t="s">
        <v>271</v>
      </c>
      <c r="H1094" s="569">
        <v>2019</v>
      </c>
      <c r="I1094" s="569" t="s">
        <v>2199</v>
      </c>
      <c r="J1094" s="569" t="s">
        <v>1950</v>
      </c>
      <c r="K1094" s="569" t="s">
        <v>236</v>
      </c>
      <c r="L1094" s="569">
        <v>2</v>
      </c>
      <c r="M1094" s="569">
        <v>0</v>
      </c>
      <c r="N1094" s="569" t="s">
        <v>157</v>
      </c>
      <c r="O1094" s="569">
        <v>1</v>
      </c>
      <c r="P1094" s="569">
        <v>100.8</v>
      </c>
      <c r="Q1094" s="568" t="s">
        <v>157</v>
      </c>
      <c r="R1094" s="569" t="s">
        <v>682</v>
      </c>
      <c r="S1094" s="569">
        <v>6</v>
      </c>
      <c r="T1094" s="569" t="s">
        <v>2261</v>
      </c>
      <c r="U1094" s="569" t="s">
        <v>1894</v>
      </c>
      <c r="V1094" s="569">
        <v>129.9</v>
      </c>
      <c r="W1094" s="569">
        <v>25</v>
      </c>
      <c r="X1094" s="568">
        <v>9000</v>
      </c>
      <c r="Y1094" s="569">
        <v>14</v>
      </c>
      <c r="Z1094" s="581" t="s">
        <v>178</v>
      </c>
      <c r="AA1094" s="581" t="s">
        <v>178</v>
      </c>
      <c r="AB1094" s="585">
        <v>35935</v>
      </c>
      <c r="AC1094" s="585" t="s">
        <v>164</v>
      </c>
      <c r="AD1094" s="585">
        <v>27659</v>
      </c>
      <c r="AE1094" s="587">
        <v>0.05</v>
      </c>
      <c r="AF1094" s="661" t="str">
        <f t="shared" si="115"/>
        <v>2019-LVN-FRD-T25V-016-26</v>
      </c>
      <c r="AG1094" s="661" t="str">
        <f>IF(AND($Y1094&gt;=32,(AI1094="I"),(Y1094&lt;&gt;"~"),(COUNTIF($AN$1:$AN1094,$AN1094)=1)),"TRUE","FALSE")</f>
        <v>FALSE</v>
      </c>
      <c r="AH1094" s="661" t="str">
        <f>IF(AND($Y1094&gt;=22, (AI1094&lt;&gt;"I"),(Y1094&lt;&gt;"~"),(COUNTIF($AN$1:$AN1094,$AN1094)=1)),"TRUE","FALSE")</f>
        <v>FALSE</v>
      </c>
      <c r="AI1094" s="661" t="str">
        <f t="shared" si="117"/>
        <v>II</v>
      </c>
      <c r="AJ1094" s="662" t="str">
        <f t="shared" si="118"/>
        <v>T25V-016</v>
      </c>
      <c r="AK1094" s="662" t="str">
        <f t="shared" si="119"/>
        <v>LVN</v>
      </c>
      <c r="AL1094" s="662" t="str">
        <f t="shared" si="120"/>
        <v>FRD</v>
      </c>
      <c r="AM1094" s="662" t="str">
        <f t="shared" si="116"/>
        <v>Transit 250 Van-Sliding RH Door-RWD-2-100.8-~-3.7L-6-R1C-101A-129.9-25-Unleaded-Unleaded</v>
      </c>
      <c r="AN1094" s="662" t="str">
        <f t="shared" si="121"/>
        <v>2019-LVN-FRD-T25V-016</v>
      </c>
    </row>
    <row r="1095" spans="1:40" s="572" customFormat="1" ht="15">
      <c r="A1095" s="570" t="s">
        <v>2319</v>
      </c>
      <c r="B1095" s="573" t="s">
        <v>2267</v>
      </c>
      <c r="C1095" s="573" t="s">
        <v>287</v>
      </c>
      <c r="D1095" s="578">
        <v>26</v>
      </c>
      <c r="E1095" s="573" t="s">
        <v>1516</v>
      </c>
      <c r="F1095" s="573" t="s">
        <v>1517</v>
      </c>
      <c r="G1095" s="573" t="s">
        <v>271</v>
      </c>
      <c r="H1095" s="573">
        <v>2019</v>
      </c>
      <c r="I1095" s="573" t="s">
        <v>2199</v>
      </c>
      <c r="J1095" s="573" t="s">
        <v>1950</v>
      </c>
      <c r="K1095" s="573" t="s">
        <v>236</v>
      </c>
      <c r="L1095" s="573">
        <v>2</v>
      </c>
      <c r="M1095" s="573">
        <v>0</v>
      </c>
      <c r="N1095" s="573" t="s">
        <v>157</v>
      </c>
      <c r="O1095" s="573">
        <v>1</v>
      </c>
      <c r="P1095" s="573">
        <v>109.4</v>
      </c>
      <c r="Q1095" s="571" t="s">
        <v>157</v>
      </c>
      <c r="R1095" s="573" t="s">
        <v>1917</v>
      </c>
      <c r="S1095" s="573">
        <v>5</v>
      </c>
      <c r="T1095" s="573" t="s">
        <v>2268</v>
      </c>
      <c r="U1095" s="573" t="s">
        <v>1894</v>
      </c>
      <c r="V1095" s="573">
        <v>147.6</v>
      </c>
      <c r="W1095" s="573">
        <v>25</v>
      </c>
      <c r="X1095" s="571">
        <v>9000</v>
      </c>
      <c r="Y1095" s="569">
        <v>14</v>
      </c>
      <c r="Z1095" s="579" t="s">
        <v>728</v>
      </c>
      <c r="AA1095" s="579" t="s">
        <v>1523</v>
      </c>
      <c r="AB1095" s="584">
        <v>45105</v>
      </c>
      <c r="AC1095" s="584" t="s">
        <v>164</v>
      </c>
      <c r="AD1095" s="584">
        <v>32209</v>
      </c>
      <c r="AE1095" s="586">
        <v>0.05</v>
      </c>
      <c r="AF1095" s="661" t="str">
        <f t="shared" si="115"/>
        <v>2019-LVN-FRD-T25V-018-26</v>
      </c>
      <c r="AG1095" s="661" t="str">
        <f>IF(AND($Y1095&gt;=32,(AI1095="I"),(Y1095&lt;&gt;"~"),(COUNTIF($AN$1:$AN1095,$AN1095)=1)),"TRUE","FALSE")</f>
        <v>FALSE</v>
      </c>
      <c r="AH1095" s="661" t="str">
        <f>IF(AND($Y1095&gt;=22, (AI1095&lt;&gt;"I"),(Y1095&lt;&gt;"~"),(COUNTIF($AN$1:$AN1095,$AN1095)=1)),"TRUE","FALSE")</f>
        <v>FALSE</v>
      </c>
      <c r="AI1095" s="661" t="str">
        <f t="shared" si="117"/>
        <v>II</v>
      </c>
      <c r="AJ1095" s="662" t="str">
        <f t="shared" si="118"/>
        <v>T25V-018</v>
      </c>
      <c r="AK1095" s="662" t="str">
        <f t="shared" si="119"/>
        <v>LVN</v>
      </c>
      <c r="AL1095" s="662" t="str">
        <f t="shared" si="120"/>
        <v>FRD</v>
      </c>
      <c r="AM1095" s="662" t="str">
        <f t="shared" si="116"/>
        <v>Transit 250 Van-Sliding RH Door-RWD-2-109.4-~-3.2L-5-R3X-101A-147.6-25-Diesel-BioDiesel</v>
      </c>
      <c r="AN1095" s="662" t="str">
        <f t="shared" si="121"/>
        <v>2019-LVN-FRD-T25V-018</v>
      </c>
    </row>
    <row r="1096" spans="1:40" s="572" customFormat="1" ht="15">
      <c r="A1096" s="570" t="s">
        <v>2320</v>
      </c>
      <c r="B1096" s="569" t="s">
        <v>2270</v>
      </c>
      <c r="C1096" s="569" t="s">
        <v>287</v>
      </c>
      <c r="D1096" s="580">
        <v>26</v>
      </c>
      <c r="E1096" s="569" t="s">
        <v>1516</v>
      </c>
      <c r="F1096" s="569" t="s">
        <v>1517</v>
      </c>
      <c r="G1096" s="569" t="s">
        <v>271</v>
      </c>
      <c r="H1096" s="569">
        <v>2019</v>
      </c>
      <c r="I1096" s="569" t="s">
        <v>2199</v>
      </c>
      <c r="J1096" s="569" t="s">
        <v>1950</v>
      </c>
      <c r="K1096" s="569" t="s">
        <v>236</v>
      </c>
      <c r="L1096" s="569">
        <v>2</v>
      </c>
      <c r="M1096" s="569">
        <v>0</v>
      </c>
      <c r="N1096" s="569" t="s">
        <v>157</v>
      </c>
      <c r="O1096" s="569">
        <v>1</v>
      </c>
      <c r="P1096" s="569">
        <v>109.4</v>
      </c>
      <c r="Q1096" s="568" t="s">
        <v>157</v>
      </c>
      <c r="R1096" s="569" t="s">
        <v>1259</v>
      </c>
      <c r="S1096" s="569">
        <v>6</v>
      </c>
      <c r="T1096" s="569" t="s">
        <v>2268</v>
      </c>
      <c r="U1096" s="569" t="s">
        <v>1894</v>
      </c>
      <c r="V1096" s="569">
        <v>147.6</v>
      </c>
      <c r="W1096" s="569">
        <v>25</v>
      </c>
      <c r="X1096" s="568">
        <v>9000</v>
      </c>
      <c r="Y1096" s="569">
        <v>14</v>
      </c>
      <c r="Z1096" s="581" t="s">
        <v>178</v>
      </c>
      <c r="AA1096" s="581" t="s">
        <v>178</v>
      </c>
      <c r="AB1096" s="585">
        <v>42975</v>
      </c>
      <c r="AC1096" s="585" t="s">
        <v>164</v>
      </c>
      <c r="AD1096" s="585">
        <v>34256</v>
      </c>
      <c r="AE1096" s="587">
        <v>0.05</v>
      </c>
      <c r="AF1096" s="661" t="str">
        <f t="shared" ref="AF1096:AF1159" si="122">A1096</f>
        <v>2019-LVN-FRD-T25V-019-26</v>
      </c>
      <c r="AG1096" s="661" t="str">
        <f>IF(AND($Y1096&gt;=32,(AI1096="I"),(Y1096&lt;&gt;"~"),(COUNTIF($AN$1:$AN1096,$AN1096)=1)),"TRUE","FALSE")</f>
        <v>FALSE</v>
      </c>
      <c r="AH1096" s="661" t="str">
        <f>IF(AND($Y1096&gt;=22, (AI1096&lt;&gt;"I"),(Y1096&lt;&gt;"~"),(COUNTIF($AN$1:$AN1096,$AN1096)=1)),"TRUE","FALSE")</f>
        <v>FALSE</v>
      </c>
      <c r="AI1096" s="661" t="str">
        <f t="shared" si="117"/>
        <v>II</v>
      </c>
      <c r="AJ1096" s="662" t="str">
        <f t="shared" si="118"/>
        <v>T25V-019</v>
      </c>
      <c r="AK1096" s="662" t="str">
        <f t="shared" si="119"/>
        <v>LVN</v>
      </c>
      <c r="AL1096" s="662" t="str">
        <f t="shared" si="120"/>
        <v>FRD</v>
      </c>
      <c r="AM1096" s="662" t="str">
        <f t="shared" si="116"/>
        <v>Transit 250 Van-Sliding RH Door-RWD-2-109.4-~-3.5L EcoBoost-6-R3X-101A-147.6-25-Unleaded-Unleaded</v>
      </c>
      <c r="AN1096" s="662" t="str">
        <f t="shared" si="121"/>
        <v>2019-LVN-FRD-T25V-019</v>
      </c>
    </row>
    <row r="1097" spans="1:40" s="572" customFormat="1" ht="15">
      <c r="A1097" s="570" t="s">
        <v>2321</v>
      </c>
      <c r="B1097" s="573" t="s">
        <v>2272</v>
      </c>
      <c r="C1097" s="573" t="s">
        <v>287</v>
      </c>
      <c r="D1097" s="578">
        <v>26</v>
      </c>
      <c r="E1097" s="573" t="s">
        <v>1516</v>
      </c>
      <c r="F1097" s="573" t="s">
        <v>1517</v>
      </c>
      <c r="G1097" s="573" t="s">
        <v>271</v>
      </c>
      <c r="H1097" s="573">
        <v>2019</v>
      </c>
      <c r="I1097" s="573" t="s">
        <v>2199</v>
      </c>
      <c r="J1097" s="573" t="s">
        <v>1950</v>
      </c>
      <c r="K1097" s="573" t="s">
        <v>236</v>
      </c>
      <c r="L1097" s="573">
        <v>2</v>
      </c>
      <c r="M1097" s="573">
        <v>0</v>
      </c>
      <c r="N1097" s="573" t="s">
        <v>157</v>
      </c>
      <c r="O1097" s="573">
        <v>1</v>
      </c>
      <c r="P1097" s="573">
        <v>109.4</v>
      </c>
      <c r="Q1097" s="571" t="s">
        <v>157</v>
      </c>
      <c r="R1097" s="573" t="s">
        <v>682</v>
      </c>
      <c r="S1097" s="573">
        <v>6</v>
      </c>
      <c r="T1097" s="573" t="s">
        <v>2268</v>
      </c>
      <c r="U1097" s="573" t="s">
        <v>1894</v>
      </c>
      <c r="V1097" s="573">
        <v>147.6</v>
      </c>
      <c r="W1097" s="573">
        <v>25</v>
      </c>
      <c r="X1097" s="571">
        <v>9000</v>
      </c>
      <c r="Y1097" s="569">
        <v>14</v>
      </c>
      <c r="Z1097" s="579" t="s">
        <v>178</v>
      </c>
      <c r="AA1097" s="579" t="s">
        <v>178</v>
      </c>
      <c r="AB1097" s="584">
        <v>41110</v>
      </c>
      <c r="AC1097" s="584" t="s">
        <v>164</v>
      </c>
      <c r="AD1097" s="584">
        <v>32546</v>
      </c>
      <c r="AE1097" s="586">
        <v>0.05</v>
      </c>
      <c r="AF1097" s="661" t="str">
        <f t="shared" si="122"/>
        <v>2019-LVN-FRD-T25V-020-26</v>
      </c>
      <c r="AG1097" s="661" t="str">
        <f>IF(AND($Y1097&gt;=32,(AI1097="I"),(Y1097&lt;&gt;"~"),(COUNTIF($AN$1:$AN1097,$AN1097)=1)),"TRUE","FALSE")</f>
        <v>FALSE</v>
      </c>
      <c r="AH1097" s="661" t="str">
        <f>IF(AND($Y1097&gt;=22, (AI1097&lt;&gt;"I"),(Y1097&lt;&gt;"~"),(COUNTIF($AN$1:$AN1097,$AN1097)=1)),"TRUE","FALSE")</f>
        <v>FALSE</v>
      </c>
      <c r="AI1097" s="661" t="str">
        <f t="shared" si="117"/>
        <v>II</v>
      </c>
      <c r="AJ1097" s="662" t="str">
        <f t="shared" si="118"/>
        <v>T25V-020</v>
      </c>
      <c r="AK1097" s="662" t="str">
        <f t="shared" si="119"/>
        <v>LVN</v>
      </c>
      <c r="AL1097" s="662" t="str">
        <f t="shared" si="120"/>
        <v>FRD</v>
      </c>
      <c r="AM1097" s="662" t="str">
        <f t="shared" si="116"/>
        <v>Transit 250 Van-Sliding RH Door-RWD-2-109.4-~-3.7L-6-R3X-101A-147.6-25-Unleaded-Unleaded</v>
      </c>
      <c r="AN1097" s="662" t="str">
        <f t="shared" si="121"/>
        <v>2019-LVN-FRD-T25V-020</v>
      </c>
    </row>
    <row r="1098" spans="1:40" s="572" customFormat="1" ht="15">
      <c r="A1098" s="570" t="s">
        <v>2322</v>
      </c>
      <c r="B1098" s="569" t="s">
        <v>2274</v>
      </c>
      <c r="C1098" s="569" t="s">
        <v>287</v>
      </c>
      <c r="D1098" s="580">
        <v>26</v>
      </c>
      <c r="E1098" s="569" t="s">
        <v>1516</v>
      </c>
      <c r="F1098" s="569" t="s">
        <v>1517</v>
      </c>
      <c r="G1098" s="569" t="s">
        <v>271</v>
      </c>
      <c r="H1098" s="569">
        <v>2019</v>
      </c>
      <c r="I1098" s="569" t="s">
        <v>2199</v>
      </c>
      <c r="J1098" s="569" t="s">
        <v>1950</v>
      </c>
      <c r="K1098" s="569" t="s">
        <v>236</v>
      </c>
      <c r="L1098" s="569">
        <v>2</v>
      </c>
      <c r="M1098" s="569">
        <v>0</v>
      </c>
      <c r="N1098" s="569" t="s">
        <v>157</v>
      </c>
      <c r="O1098" s="569">
        <v>1</v>
      </c>
      <c r="P1098" s="569">
        <v>110.1</v>
      </c>
      <c r="Q1098" s="568" t="s">
        <v>157</v>
      </c>
      <c r="R1098" s="569" t="s">
        <v>1917</v>
      </c>
      <c r="S1098" s="569">
        <v>5</v>
      </c>
      <c r="T1098" s="569" t="s">
        <v>2275</v>
      </c>
      <c r="U1098" s="569" t="s">
        <v>1894</v>
      </c>
      <c r="V1098" s="569">
        <v>147.6</v>
      </c>
      <c r="W1098" s="569">
        <v>25</v>
      </c>
      <c r="X1098" s="568">
        <v>9000</v>
      </c>
      <c r="Y1098" s="569">
        <v>14</v>
      </c>
      <c r="Z1098" s="581" t="s">
        <v>728</v>
      </c>
      <c r="AA1098" s="581" t="s">
        <v>1523</v>
      </c>
      <c r="AB1098" s="585">
        <v>43805</v>
      </c>
      <c r="AC1098" s="585" t="s">
        <v>164</v>
      </c>
      <c r="AD1098" s="585">
        <v>34982</v>
      </c>
      <c r="AE1098" s="587">
        <v>0.05</v>
      </c>
      <c r="AF1098" s="661" t="str">
        <f t="shared" si="122"/>
        <v>2019-LVN-FRD-T25V-022-26</v>
      </c>
      <c r="AG1098" s="661" t="str">
        <f>IF(AND($Y1098&gt;=32,(AI1098="I"),(Y1098&lt;&gt;"~"),(COUNTIF($AN$1:$AN1098,$AN1098)=1)),"TRUE","FALSE")</f>
        <v>FALSE</v>
      </c>
      <c r="AH1098" s="661" t="str">
        <f>IF(AND($Y1098&gt;=22, (AI1098&lt;&gt;"I"),(Y1098&lt;&gt;"~"),(COUNTIF($AN$1:$AN1098,$AN1098)=1)),"TRUE","FALSE")</f>
        <v>FALSE</v>
      </c>
      <c r="AI1098" s="661" t="str">
        <f t="shared" si="117"/>
        <v>II</v>
      </c>
      <c r="AJ1098" s="662" t="str">
        <f t="shared" si="118"/>
        <v>T25V-022</v>
      </c>
      <c r="AK1098" s="662" t="str">
        <f t="shared" si="119"/>
        <v>LVN</v>
      </c>
      <c r="AL1098" s="662" t="str">
        <f t="shared" si="120"/>
        <v>FRD</v>
      </c>
      <c r="AM1098" s="662" t="str">
        <f t="shared" si="116"/>
        <v>Transit 250 Van-Sliding RH Door-RWD-2-110.1-~-3.2L-5-R2X-101A-147.6-25-Diesel-BioDiesel</v>
      </c>
      <c r="AN1098" s="662" t="str">
        <f t="shared" si="121"/>
        <v>2019-LVN-FRD-T25V-022</v>
      </c>
    </row>
    <row r="1099" spans="1:40" s="572" customFormat="1" ht="15">
      <c r="A1099" s="570" t="s">
        <v>2323</v>
      </c>
      <c r="B1099" s="573" t="s">
        <v>2277</v>
      </c>
      <c r="C1099" s="573" t="s">
        <v>287</v>
      </c>
      <c r="D1099" s="578">
        <v>26</v>
      </c>
      <c r="E1099" s="573" t="s">
        <v>1516</v>
      </c>
      <c r="F1099" s="573" t="s">
        <v>1517</v>
      </c>
      <c r="G1099" s="573" t="s">
        <v>271</v>
      </c>
      <c r="H1099" s="573">
        <v>2019</v>
      </c>
      <c r="I1099" s="573" t="s">
        <v>2199</v>
      </c>
      <c r="J1099" s="573" t="s">
        <v>1950</v>
      </c>
      <c r="K1099" s="573" t="s">
        <v>236</v>
      </c>
      <c r="L1099" s="573">
        <v>2</v>
      </c>
      <c r="M1099" s="573">
        <v>0</v>
      </c>
      <c r="N1099" s="573" t="s">
        <v>157</v>
      </c>
      <c r="O1099" s="573">
        <v>1</v>
      </c>
      <c r="P1099" s="573">
        <v>110.1</v>
      </c>
      <c r="Q1099" s="571" t="s">
        <v>157</v>
      </c>
      <c r="R1099" s="573" t="s">
        <v>1259</v>
      </c>
      <c r="S1099" s="573">
        <v>6</v>
      </c>
      <c r="T1099" s="573" t="s">
        <v>2275</v>
      </c>
      <c r="U1099" s="573" t="s">
        <v>1894</v>
      </c>
      <c r="V1099" s="573">
        <v>147.6</v>
      </c>
      <c r="W1099" s="573">
        <v>25</v>
      </c>
      <c r="X1099" s="571">
        <v>9000</v>
      </c>
      <c r="Y1099" s="569">
        <v>14</v>
      </c>
      <c r="Z1099" s="579" t="s">
        <v>178</v>
      </c>
      <c r="AA1099" s="579" t="s">
        <v>178</v>
      </c>
      <c r="AB1099" s="584">
        <v>41675</v>
      </c>
      <c r="AC1099" s="584" t="s">
        <v>164</v>
      </c>
      <c r="AD1099" s="584">
        <v>33029</v>
      </c>
      <c r="AE1099" s="586">
        <v>0.05</v>
      </c>
      <c r="AF1099" s="661" t="str">
        <f t="shared" si="122"/>
        <v>2019-LVN-FRD-T25V-023-26</v>
      </c>
      <c r="AG1099" s="661" t="str">
        <f>IF(AND($Y1099&gt;=32,(AI1099="I"),(Y1099&lt;&gt;"~"),(COUNTIF($AN$1:$AN1099,$AN1099)=1)),"TRUE","FALSE")</f>
        <v>FALSE</v>
      </c>
      <c r="AH1099" s="661" t="str">
        <f>IF(AND($Y1099&gt;=22, (AI1099&lt;&gt;"I"),(Y1099&lt;&gt;"~"),(COUNTIF($AN$1:$AN1099,$AN1099)=1)),"TRUE","FALSE")</f>
        <v>FALSE</v>
      </c>
      <c r="AI1099" s="661" t="str">
        <f t="shared" si="117"/>
        <v>II</v>
      </c>
      <c r="AJ1099" s="662" t="str">
        <f t="shared" si="118"/>
        <v>T25V-023</v>
      </c>
      <c r="AK1099" s="662" t="str">
        <f t="shared" si="119"/>
        <v>LVN</v>
      </c>
      <c r="AL1099" s="662" t="str">
        <f t="shared" si="120"/>
        <v>FRD</v>
      </c>
      <c r="AM1099" s="662" t="str">
        <f t="shared" si="116"/>
        <v>Transit 250 Van-Sliding RH Door-RWD-2-110.1-~-3.5L EcoBoost-6-R2X-101A-147.6-25-Unleaded-Unleaded</v>
      </c>
      <c r="AN1099" s="662" t="str">
        <f t="shared" si="121"/>
        <v>2019-LVN-FRD-T25V-023</v>
      </c>
    </row>
    <row r="1100" spans="1:40" s="572" customFormat="1" ht="15">
      <c r="A1100" s="570" t="s">
        <v>2324</v>
      </c>
      <c r="B1100" s="569" t="s">
        <v>2279</v>
      </c>
      <c r="C1100" s="569" t="s">
        <v>287</v>
      </c>
      <c r="D1100" s="580">
        <v>26</v>
      </c>
      <c r="E1100" s="569" t="s">
        <v>1516</v>
      </c>
      <c r="F1100" s="569" t="s">
        <v>1517</v>
      </c>
      <c r="G1100" s="569" t="s">
        <v>271</v>
      </c>
      <c r="H1100" s="569">
        <v>2019</v>
      </c>
      <c r="I1100" s="569" t="s">
        <v>2199</v>
      </c>
      <c r="J1100" s="569" t="s">
        <v>1950</v>
      </c>
      <c r="K1100" s="569" t="s">
        <v>236</v>
      </c>
      <c r="L1100" s="569">
        <v>2</v>
      </c>
      <c r="M1100" s="569">
        <v>0</v>
      </c>
      <c r="N1100" s="569" t="s">
        <v>157</v>
      </c>
      <c r="O1100" s="569">
        <v>1</v>
      </c>
      <c r="P1100" s="569">
        <v>110.1</v>
      </c>
      <c r="Q1100" s="568" t="s">
        <v>157</v>
      </c>
      <c r="R1100" s="569" t="s">
        <v>682</v>
      </c>
      <c r="S1100" s="569">
        <v>6</v>
      </c>
      <c r="T1100" s="569" t="s">
        <v>2275</v>
      </c>
      <c r="U1100" s="569" t="s">
        <v>1894</v>
      </c>
      <c r="V1100" s="569">
        <v>147.6</v>
      </c>
      <c r="W1100" s="569">
        <v>25</v>
      </c>
      <c r="X1100" s="568">
        <v>9000</v>
      </c>
      <c r="Y1100" s="569">
        <v>14</v>
      </c>
      <c r="Z1100" s="581" t="s">
        <v>178</v>
      </c>
      <c r="AA1100" s="581" t="s">
        <v>178</v>
      </c>
      <c r="AB1100" s="585">
        <v>39810</v>
      </c>
      <c r="AC1100" s="585" t="s">
        <v>164</v>
      </c>
      <c r="AD1100" s="585">
        <v>31319</v>
      </c>
      <c r="AE1100" s="587">
        <v>0.05</v>
      </c>
      <c r="AF1100" s="661" t="str">
        <f t="shared" si="122"/>
        <v>2019-LVN-FRD-T25V-024-26</v>
      </c>
      <c r="AG1100" s="661" t="str">
        <f>IF(AND($Y1100&gt;=32,(AI1100="I"),(Y1100&lt;&gt;"~"),(COUNTIF($AN$1:$AN1100,$AN1100)=1)),"TRUE","FALSE")</f>
        <v>FALSE</v>
      </c>
      <c r="AH1100" s="661" t="str">
        <f>IF(AND($Y1100&gt;=22, (AI1100&lt;&gt;"I"),(Y1100&lt;&gt;"~"),(COUNTIF($AN$1:$AN1100,$AN1100)=1)),"TRUE","FALSE")</f>
        <v>FALSE</v>
      </c>
      <c r="AI1100" s="661" t="str">
        <f t="shared" si="117"/>
        <v>II</v>
      </c>
      <c r="AJ1100" s="662" t="str">
        <f t="shared" si="118"/>
        <v>T25V-024</v>
      </c>
      <c r="AK1100" s="662" t="str">
        <f t="shared" si="119"/>
        <v>LVN</v>
      </c>
      <c r="AL1100" s="662" t="str">
        <f t="shared" si="120"/>
        <v>FRD</v>
      </c>
      <c r="AM1100" s="662" t="str">
        <f t="shared" si="116"/>
        <v>Transit 250 Van-Sliding RH Door-RWD-2-110.1-~-3.7L-6-R2X-101A-147.6-25-Unleaded-Unleaded</v>
      </c>
      <c r="AN1100" s="662" t="str">
        <f t="shared" si="121"/>
        <v>2019-LVN-FRD-T25V-024</v>
      </c>
    </row>
    <row r="1101" spans="1:40" s="572" customFormat="1" ht="15">
      <c r="A1101" s="570" t="s">
        <v>2325</v>
      </c>
      <c r="B1101" s="573" t="s">
        <v>2281</v>
      </c>
      <c r="C1101" s="573" t="s">
        <v>287</v>
      </c>
      <c r="D1101" s="578">
        <v>26</v>
      </c>
      <c r="E1101" s="573" t="s">
        <v>1516</v>
      </c>
      <c r="F1101" s="573" t="s">
        <v>1517</v>
      </c>
      <c r="G1101" s="573" t="s">
        <v>271</v>
      </c>
      <c r="H1101" s="573">
        <v>2019</v>
      </c>
      <c r="I1101" s="573" t="s">
        <v>2199</v>
      </c>
      <c r="J1101" s="573" t="s">
        <v>1950</v>
      </c>
      <c r="K1101" s="573" t="s">
        <v>236</v>
      </c>
      <c r="L1101" s="573">
        <v>2</v>
      </c>
      <c r="M1101" s="573">
        <v>0</v>
      </c>
      <c r="N1101" s="573" t="s">
        <v>157</v>
      </c>
      <c r="O1101" s="573">
        <v>1</v>
      </c>
      <c r="P1101" s="573">
        <v>83.2</v>
      </c>
      <c r="Q1101" s="571" t="s">
        <v>157</v>
      </c>
      <c r="R1101" s="573" t="s">
        <v>1917</v>
      </c>
      <c r="S1101" s="573">
        <v>5</v>
      </c>
      <c r="T1101" s="573" t="s">
        <v>2282</v>
      </c>
      <c r="U1101" s="573" t="s">
        <v>1894</v>
      </c>
      <c r="V1101" s="573">
        <v>129.9</v>
      </c>
      <c r="W1101" s="573">
        <v>25</v>
      </c>
      <c r="X1101" s="571">
        <v>9000</v>
      </c>
      <c r="Y1101" s="569">
        <v>14</v>
      </c>
      <c r="Z1101" s="579" t="s">
        <v>728</v>
      </c>
      <c r="AA1101" s="579" t="s">
        <v>1523</v>
      </c>
      <c r="AB1101" s="584">
        <v>39625</v>
      </c>
      <c r="AC1101" s="584" t="s">
        <v>164</v>
      </c>
      <c r="AD1101" s="584">
        <v>28883</v>
      </c>
      <c r="AE1101" s="586">
        <v>0.05</v>
      </c>
      <c r="AF1101" s="661" t="str">
        <f t="shared" si="122"/>
        <v>2019-LVN-FRD-T25V-026-26</v>
      </c>
      <c r="AG1101" s="661" t="str">
        <f>IF(AND($Y1101&gt;=32,(AI1101="I"),(Y1101&lt;&gt;"~"),(COUNTIF($AN$1:$AN1101,$AN1101)=1)),"TRUE","FALSE")</f>
        <v>FALSE</v>
      </c>
      <c r="AH1101" s="661" t="str">
        <f>IF(AND($Y1101&gt;=22, (AI1101&lt;&gt;"I"),(Y1101&lt;&gt;"~"),(COUNTIF($AN$1:$AN1101,$AN1101)=1)),"TRUE","FALSE")</f>
        <v>FALSE</v>
      </c>
      <c r="AI1101" s="661" t="str">
        <f t="shared" si="117"/>
        <v>II</v>
      </c>
      <c r="AJ1101" s="662" t="str">
        <f t="shared" si="118"/>
        <v>T25V-026</v>
      </c>
      <c r="AK1101" s="662" t="str">
        <f t="shared" si="119"/>
        <v>LVN</v>
      </c>
      <c r="AL1101" s="662" t="str">
        <f t="shared" si="120"/>
        <v>FRD</v>
      </c>
      <c r="AM1101" s="662" t="str">
        <f t="shared" si="116"/>
        <v>Transit 250 Van-Sliding RH Door-RWD-2-83.2-~-3.2L-5-R1Y-101A-129.9-25-Diesel-BioDiesel</v>
      </c>
      <c r="AN1101" s="662" t="str">
        <f t="shared" si="121"/>
        <v>2019-LVN-FRD-T25V-026</v>
      </c>
    </row>
    <row r="1102" spans="1:40" s="572" customFormat="1" ht="15">
      <c r="A1102" s="570" t="s">
        <v>2326</v>
      </c>
      <c r="B1102" s="569" t="s">
        <v>2284</v>
      </c>
      <c r="C1102" s="569" t="s">
        <v>287</v>
      </c>
      <c r="D1102" s="580">
        <v>26</v>
      </c>
      <c r="E1102" s="569" t="s">
        <v>1516</v>
      </c>
      <c r="F1102" s="569" t="s">
        <v>1517</v>
      </c>
      <c r="G1102" s="569" t="s">
        <v>271</v>
      </c>
      <c r="H1102" s="569">
        <v>2019</v>
      </c>
      <c r="I1102" s="569" t="s">
        <v>2199</v>
      </c>
      <c r="J1102" s="569" t="s">
        <v>1950</v>
      </c>
      <c r="K1102" s="569" t="s">
        <v>236</v>
      </c>
      <c r="L1102" s="569">
        <v>2</v>
      </c>
      <c r="M1102" s="569">
        <v>0</v>
      </c>
      <c r="N1102" s="569" t="s">
        <v>157</v>
      </c>
      <c r="O1102" s="569">
        <v>1</v>
      </c>
      <c r="P1102" s="569">
        <v>83.2</v>
      </c>
      <c r="Q1102" s="568" t="s">
        <v>157</v>
      </c>
      <c r="R1102" s="569" t="s">
        <v>1917</v>
      </c>
      <c r="S1102" s="569">
        <v>5</v>
      </c>
      <c r="T1102" s="569" t="s">
        <v>2285</v>
      </c>
      <c r="U1102" s="569" t="s">
        <v>1894</v>
      </c>
      <c r="V1102" s="569">
        <v>147.6</v>
      </c>
      <c r="W1102" s="569">
        <v>25</v>
      </c>
      <c r="X1102" s="568">
        <v>9000</v>
      </c>
      <c r="Y1102" s="569">
        <v>14</v>
      </c>
      <c r="Z1102" s="581" t="s">
        <v>728</v>
      </c>
      <c r="AA1102" s="581" t="s">
        <v>1523</v>
      </c>
      <c r="AB1102" s="585">
        <v>40505</v>
      </c>
      <c r="AC1102" s="585" t="s">
        <v>164</v>
      </c>
      <c r="AD1102" s="585">
        <v>29713</v>
      </c>
      <c r="AE1102" s="587">
        <v>0.05</v>
      </c>
      <c r="AF1102" s="661" t="str">
        <f t="shared" si="122"/>
        <v>2019-LVN-FRD-T25V-027-26</v>
      </c>
      <c r="AG1102" s="661" t="str">
        <f>IF(AND($Y1102&gt;=32,(AI1102="I"),(Y1102&lt;&gt;"~"),(COUNTIF($AN$1:$AN1102,$AN1102)=1)),"TRUE","FALSE")</f>
        <v>FALSE</v>
      </c>
      <c r="AH1102" s="661" t="str">
        <f>IF(AND($Y1102&gt;=22, (AI1102&lt;&gt;"I"),(Y1102&lt;&gt;"~"),(COUNTIF($AN$1:$AN1102,$AN1102)=1)),"TRUE","FALSE")</f>
        <v>FALSE</v>
      </c>
      <c r="AI1102" s="661" t="str">
        <f t="shared" si="117"/>
        <v>II</v>
      </c>
      <c r="AJ1102" s="662" t="str">
        <f t="shared" si="118"/>
        <v>T25V-027</v>
      </c>
      <c r="AK1102" s="662" t="str">
        <f t="shared" si="119"/>
        <v>LVN</v>
      </c>
      <c r="AL1102" s="662" t="str">
        <f t="shared" si="120"/>
        <v>FRD</v>
      </c>
      <c r="AM1102" s="662" t="str">
        <f t="shared" si="116"/>
        <v>Transit 250 Van-Sliding RH Door-RWD-2-83.2-~-3.2L-5-R2Y-101A-147.6-25-Diesel-BioDiesel</v>
      </c>
      <c r="AN1102" s="662" t="str">
        <f t="shared" si="121"/>
        <v>2019-LVN-FRD-T25V-027</v>
      </c>
    </row>
    <row r="1103" spans="1:40" s="572" customFormat="1" ht="15">
      <c r="A1103" s="570" t="s">
        <v>2327</v>
      </c>
      <c r="B1103" s="573" t="s">
        <v>2289</v>
      </c>
      <c r="C1103" s="573" t="s">
        <v>287</v>
      </c>
      <c r="D1103" s="578">
        <v>26</v>
      </c>
      <c r="E1103" s="573" t="s">
        <v>1516</v>
      </c>
      <c r="F1103" s="573" t="s">
        <v>1517</v>
      </c>
      <c r="G1103" s="573" t="s">
        <v>271</v>
      </c>
      <c r="H1103" s="573">
        <v>2019</v>
      </c>
      <c r="I1103" s="573" t="s">
        <v>2199</v>
      </c>
      <c r="J1103" s="573" t="s">
        <v>1950</v>
      </c>
      <c r="K1103" s="573" t="s">
        <v>236</v>
      </c>
      <c r="L1103" s="573">
        <v>2</v>
      </c>
      <c r="M1103" s="573">
        <v>0</v>
      </c>
      <c r="N1103" s="573" t="s">
        <v>157</v>
      </c>
      <c r="O1103" s="573">
        <v>1</v>
      </c>
      <c r="P1103" s="573">
        <v>83.2</v>
      </c>
      <c r="Q1103" s="571" t="s">
        <v>157</v>
      </c>
      <c r="R1103" s="573" t="s">
        <v>1259</v>
      </c>
      <c r="S1103" s="573">
        <v>6</v>
      </c>
      <c r="T1103" s="573" t="s">
        <v>2285</v>
      </c>
      <c r="U1103" s="573" t="s">
        <v>1894</v>
      </c>
      <c r="V1103" s="573">
        <v>147.6</v>
      </c>
      <c r="W1103" s="573">
        <v>25</v>
      </c>
      <c r="X1103" s="571">
        <v>9000</v>
      </c>
      <c r="Y1103" s="569">
        <v>14</v>
      </c>
      <c r="Z1103" s="579" t="s">
        <v>178</v>
      </c>
      <c r="AA1103" s="579" t="s">
        <v>178</v>
      </c>
      <c r="AB1103" s="584">
        <v>38375</v>
      </c>
      <c r="AC1103" s="584" t="s">
        <v>164</v>
      </c>
      <c r="AD1103" s="584">
        <v>27760</v>
      </c>
      <c r="AE1103" s="586">
        <v>0.05</v>
      </c>
      <c r="AF1103" s="661" t="str">
        <f t="shared" si="122"/>
        <v>2019-LVN-FRD-T25V-029-26</v>
      </c>
      <c r="AG1103" s="661" t="str">
        <f>IF(AND($Y1103&gt;=32,(AI1103="I"),(Y1103&lt;&gt;"~"),(COUNTIF($AN$1:$AN1103,$AN1103)=1)),"TRUE","FALSE")</f>
        <v>FALSE</v>
      </c>
      <c r="AH1103" s="661" t="str">
        <f>IF(AND($Y1103&gt;=22, (AI1103&lt;&gt;"I"),(Y1103&lt;&gt;"~"),(COUNTIF($AN$1:$AN1103,$AN1103)=1)),"TRUE","FALSE")</f>
        <v>FALSE</v>
      </c>
      <c r="AI1103" s="661" t="str">
        <f t="shared" si="117"/>
        <v>II</v>
      </c>
      <c r="AJ1103" s="662" t="str">
        <f t="shared" si="118"/>
        <v>T25V-029</v>
      </c>
      <c r="AK1103" s="662" t="str">
        <f t="shared" si="119"/>
        <v>LVN</v>
      </c>
      <c r="AL1103" s="662" t="str">
        <f t="shared" si="120"/>
        <v>FRD</v>
      </c>
      <c r="AM1103" s="662" t="str">
        <f t="shared" si="116"/>
        <v>Transit 250 Van-Sliding RH Door-RWD-2-83.2-~-3.5L EcoBoost-6-R2Y-101A-147.6-25-Unleaded-Unleaded</v>
      </c>
      <c r="AN1103" s="662" t="str">
        <f t="shared" si="121"/>
        <v>2019-LVN-FRD-T25V-029</v>
      </c>
    </row>
    <row r="1104" spans="1:40" s="572" customFormat="1" ht="15">
      <c r="A1104" s="570" t="s">
        <v>2328</v>
      </c>
      <c r="B1104" s="569" t="s">
        <v>2291</v>
      </c>
      <c r="C1104" s="569" t="s">
        <v>287</v>
      </c>
      <c r="D1104" s="580">
        <v>26</v>
      </c>
      <c r="E1104" s="569" t="s">
        <v>1516</v>
      </c>
      <c r="F1104" s="569" t="s">
        <v>1517</v>
      </c>
      <c r="G1104" s="569" t="s">
        <v>271</v>
      </c>
      <c r="H1104" s="569">
        <v>2019</v>
      </c>
      <c r="I1104" s="569" t="s">
        <v>2199</v>
      </c>
      <c r="J1104" s="569" t="s">
        <v>1950</v>
      </c>
      <c r="K1104" s="569" t="s">
        <v>236</v>
      </c>
      <c r="L1104" s="569">
        <v>2</v>
      </c>
      <c r="M1104" s="569">
        <v>0</v>
      </c>
      <c r="N1104" s="569" t="s">
        <v>157</v>
      </c>
      <c r="O1104" s="569">
        <v>1</v>
      </c>
      <c r="P1104" s="569">
        <v>83.2</v>
      </c>
      <c r="Q1104" s="568" t="s">
        <v>157</v>
      </c>
      <c r="R1104" s="569" t="s">
        <v>682</v>
      </c>
      <c r="S1104" s="569">
        <v>6</v>
      </c>
      <c r="T1104" s="569" t="s">
        <v>2282</v>
      </c>
      <c r="U1104" s="569" t="s">
        <v>1894</v>
      </c>
      <c r="V1104" s="569">
        <v>129.9</v>
      </c>
      <c r="W1104" s="569">
        <v>25</v>
      </c>
      <c r="X1104" s="568">
        <v>9000</v>
      </c>
      <c r="Y1104" s="569">
        <v>14</v>
      </c>
      <c r="Z1104" s="581" t="s">
        <v>178</v>
      </c>
      <c r="AA1104" s="581" t="s">
        <v>178</v>
      </c>
      <c r="AB1104" s="585">
        <v>35630</v>
      </c>
      <c r="AC1104" s="585" t="s">
        <v>164</v>
      </c>
      <c r="AD1104" s="585">
        <v>25219</v>
      </c>
      <c r="AE1104" s="587">
        <v>0.05</v>
      </c>
      <c r="AF1104" s="661" t="str">
        <f t="shared" si="122"/>
        <v>2019-LVN-FRD-T25V-030-26</v>
      </c>
      <c r="AG1104" s="661" t="str">
        <f>IF(AND($Y1104&gt;=32,(AI1104="I"),(Y1104&lt;&gt;"~"),(COUNTIF($AN$1:$AN1104,$AN1104)=1)),"TRUE","FALSE")</f>
        <v>FALSE</v>
      </c>
      <c r="AH1104" s="661" t="str">
        <f>IF(AND($Y1104&gt;=22, (AI1104&lt;&gt;"I"),(Y1104&lt;&gt;"~"),(COUNTIF($AN$1:$AN1104,$AN1104)=1)),"TRUE","FALSE")</f>
        <v>FALSE</v>
      </c>
      <c r="AI1104" s="661" t="str">
        <f t="shared" si="117"/>
        <v>II</v>
      </c>
      <c r="AJ1104" s="662" t="str">
        <f t="shared" si="118"/>
        <v>T25V-030</v>
      </c>
      <c r="AK1104" s="662" t="str">
        <f t="shared" si="119"/>
        <v>LVN</v>
      </c>
      <c r="AL1104" s="662" t="str">
        <f t="shared" si="120"/>
        <v>FRD</v>
      </c>
      <c r="AM1104" s="662" t="str">
        <f t="shared" si="116"/>
        <v>Transit 250 Van-Sliding RH Door-RWD-2-83.2-~-3.7L-6-R1Y-101A-129.9-25-Unleaded-Unleaded</v>
      </c>
      <c r="AN1104" s="662" t="str">
        <f t="shared" si="121"/>
        <v>2019-LVN-FRD-T25V-030</v>
      </c>
    </row>
    <row r="1105" spans="1:40" s="572" customFormat="1" ht="15">
      <c r="A1105" s="570" t="s">
        <v>2329</v>
      </c>
      <c r="B1105" s="573" t="s">
        <v>2293</v>
      </c>
      <c r="C1105" s="573" t="s">
        <v>287</v>
      </c>
      <c r="D1105" s="578">
        <v>26</v>
      </c>
      <c r="E1105" s="573" t="s">
        <v>1516</v>
      </c>
      <c r="F1105" s="573" t="s">
        <v>1517</v>
      </c>
      <c r="G1105" s="573" t="s">
        <v>271</v>
      </c>
      <c r="H1105" s="573">
        <v>2019</v>
      </c>
      <c r="I1105" s="573" t="s">
        <v>2199</v>
      </c>
      <c r="J1105" s="573" t="s">
        <v>1950</v>
      </c>
      <c r="K1105" s="573" t="s">
        <v>236</v>
      </c>
      <c r="L1105" s="573">
        <v>2</v>
      </c>
      <c r="M1105" s="573">
        <v>0</v>
      </c>
      <c r="N1105" s="573" t="s">
        <v>157</v>
      </c>
      <c r="O1105" s="573">
        <v>1</v>
      </c>
      <c r="P1105" s="573">
        <v>83.2</v>
      </c>
      <c r="Q1105" s="571" t="s">
        <v>157</v>
      </c>
      <c r="R1105" s="573" t="s">
        <v>682</v>
      </c>
      <c r="S1105" s="573">
        <v>6</v>
      </c>
      <c r="T1105" s="573" t="s">
        <v>2285</v>
      </c>
      <c r="U1105" s="573" t="s">
        <v>1894</v>
      </c>
      <c r="V1105" s="573">
        <v>147.6</v>
      </c>
      <c r="W1105" s="573">
        <v>25</v>
      </c>
      <c r="X1105" s="571">
        <v>9000</v>
      </c>
      <c r="Y1105" s="569">
        <v>14</v>
      </c>
      <c r="Z1105" s="579" t="s">
        <v>178</v>
      </c>
      <c r="AA1105" s="579" t="s">
        <v>178</v>
      </c>
      <c r="AB1105" s="584">
        <v>36510</v>
      </c>
      <c r="AC1105" s="584" t="s">
        <v>164</v>
      </c>
      <c r="AD1105" s="584">
        <v>26050</v>
      </c>
      <c r="AE1105" s="586">
        <v>0.05</v>
      </c>
      <c r="AF1105" s="661" t="str">
        <f t="shared" si="122"/>
        <v>2019-LVN-FRD-T25V-031-26</v>
      </c>
      <c r="AG1105" s="661" t="str">
        <f>IF(AND($Y1105&gt;=32,(AI1105="I"),(Y1105&lt;&gt;"~"),(COUNTIF($AN$1:$AN1105,$AN1105)=1)),"TRUE","FALSE")</f>
        <v>FALSE</v>
      </c>
      <c r="AH1105" s="661" t="str">
        <f>IF(AND($Y1105&gt;=22, (AI1105&lt;&gt;"I"),(Y1105&lt;&gt;"~"),(COUNTIF($AN$1:$AN1105,$AN1105)=1)),"TRUE","FALSE")</f>
        <v>FALSE</v>
      </c>
      <c r="AI1105" s="661" t="str">
        <f t="shared" si="117"/>
        <v>II</v>
      </c>
      <c r="AJ1105" s="662" t="str">
        <f t="shared" si="118"/>
        <v>T25V-031</v>
      </c>
      <c r="AK1105" s="662" t="str">
        <f t="shared" si="119"/>
        <v>LVN</v>
      </c>
      <c r="AL1105" s="662" t="str">
        <f t="shared" si="120"/>
        <v>FRD</v>
      </c>
      <c r="AM1105" s="662" t="str">
        <f t="shared" si="116"/>
        <v>Transit 250 Van-Sliding RH Door-RWD-2-83.2-~-3.7L-6-R2Y-101A-147.6-25-Unleaded-Unleaded</v>
      </c>
      <c r="AN1105" s="662" t="str">
        <f t="shared" si="121"/>
        <v>2019-LVN-FRD-T25V-031</v>
      </c>
    </row>
    <row r="1106" spans="1:40" s="572" customFormat="1" ht="15">
      <c r="A1106" s="570" t="s">
        <v>2330</v>
      </c>
      <c r="B1106" s="569" t="s">
        <v>2253</v>
      </c>
      <c r="C1106" s="569" t="s">
        <v>280</v>
      </c>
      <c r="D1106" s="580">
        <v>27</v>
      </c>
      <c r="E1106" s="569" t="s">
        <v>1516</v>
      </c>
      <c r="F1106" s="569" t="s">
        <v>1517</v>
      </c>
      <c r="G1106" s="569" t="s">
        <v>271</v>
      </c>
      <c r="H1106" s="569">
        <v>2019</v>
      </c>
      <c r="I1106" s="569" t="s">
        <v>2199</v>
      </c>
      <c r="J1106" s="569" t="s">
        <v>1950</v>
      </c>
      <c r="K1106" s="569" t="s">
        <v>236</v>
      </c>
      <c r="L1106" s="569">
        <v>2</v>
      </c>
      <c r="M1106" s="569">
        <v>0</v>
      </c>
      <c r="N1106" s="569" t="s">
        <v>157</v>
      </c>
      <c r="O1106" s="569">
        <v>1</v>
      </c>
      <c r="P1106" s="569">
        <v>100.7</v>
      </c>
      <c r="Q1106" s="568" t="s">
        <v>157</v>
      </c>
      <c r="R1106" s="569" t="s">
        <v>1917</v>
      </c>
      <c r="S1106" s="569">
        <v>5</v>
      </c>
      <c r="T1106" s="569" t="s">
        <v>2254</v>
      </c>
      <c r="U1106" s="569" t="s">
        <v>1894</v>
      </c>
      <c r="V1106" s="569">
        <v>147.6</v>
      </c>
      <c r="W1106" s="569">
        <v>25</v>
      </c>
      <c r="X1106" s="568">
        <v>9000</v>
      </c>
      <c r="Y1106" s="569">
        <v>14</v>
      </c>
      <c r="Z1106" s="581" t="s">
        <v>728</v>
      </c>
      <c r="AA1106" s="581" t="s">
        <v>1523</v>
      </c>
      <c r="AB1106" s="585">
        <v>41655</v>
      </c>
      <c r="AC1106" s="585" t="s">
        <v>164</v>
      </c>
      <c r="AD1106" s="585">
        <v>31815.875</v>
      </c>
      <c r="AE1106" s="587">
        <v>0.03</v>
      </c>
      <c r="AF1106" s="661" t="str">
        <f t="shared" si="122"/>
        <v>2019-LVN-FRD-T25V-010-27</v>
      </c>
      <c r="AG1106" s="661" t="str">
        <f>IF(AND($Y1106&gt;=32,(AI1106="I"),(Y1106&lt;&gt;"~"),(COUNTIF($AN$1:$AN1106,$AN1106)=1)),"TRUE","FALSE")</f>
        <v>FALSE</v>
      </c>
      <c r="AH1106" s="661" t="str">
        <f>IF(AND($Y1106&gt;=22, (AI1106&lt;&gt;"I"),(Y1106&lt;&gt;"~"),(COUNTIF($AN$1:$AN1106,$AN1106)=1)),"TRUE","FALSE")</f>
        <v>FALSE</v>
      </c>
      <c r="AI1106" s="661" t="str">
        <f t="shared" si="117"/>
        <v>II</v>
      </c>
      <c r="AJ1106" s="662" t="str">
        <f t="shared" si="118"/>
        <v>T25V-010</v>
      </c>
      <c r="AK1106" s="662" t="str">
        <f t="shared" si="119"/>
        <v>LVN</v>
      </c>
      <c r="AL1106" s="662" t="str">
        <f t="shared" si="120"/>
        <v>FRD</v>
      </c>
      <c r="AM1106" s="662" t="str">
        <f t="shared" si="116"/>
        <v>Transit 250 Van-Sliding RH Door-RWD-2-100.7-~-3.2L-5-R2C-101A-147.6-25-Diesel-BioDiesel</v>
      </c>
      <c r="AN1106" s="662" t="str">
        <f t="shared" si="121"/>
        <v>2019-LVN-FRD-T25V-010</v>
      </c>
    </row>
    <row r="1107" spans="1:40" s="572" customFormat="1" ht="15">
      <c r="A1107" s="570" t="s">
        <v>2331</v>
      </c>
      <c r="B1107" s="573" t="s">
        <v>2256</v>
      </c>
      <c r="C1107" s="573" t="s">
        <v>280</v>
      </c>
      <c r="D1107" s="578">
        <v>27</v>
      </c>
      <c r="E1107" s="573" t="s">
        <v>1516</v>
      </c>
      <c r="F1107" s="573" t="s">
        <v>1517</v>
      </c>
      <c r="G1107" s="573" t="s">
        <v>271</v>
      </c>
      <c r="H1107" s="573">
        <v>2019</v>
      </c>
      <c r="I1107" s="573" t="s">
        <v>2199</v>
      </c>
      <c r="J1107" s="573" t="s">
        <v>1950</v>
      </c>
      <c r="K1107" s="573" t="s">
        <v>236</v>
      </c>
      <c r="L1107" s="573">
        <v>2</v>
      </c>
      <c r="M1107" s="573">
        <v>0</v>
      </c>
      <c r="N1107" s="573" t="s">
        <v>157</v>
      </c>
      <c r="O1107" s="573">
        <v>1</v>
      </c>
      <c r="P1107" s="573">
        <v>100.7</v>
      </c>
      <c r="Q1107" s="571" t="s">
        <v>157</v>
      </c>
      <c r="R1107" s="573" t="s">
        <v>1259</v>
      </c>
      <c r="S1107" s="573">
        <v>6</v>
      </c>
      <c r="T1107" s="573" t="s">
        <v>2254</v>
      </c>
      <c r="U1107" s="573" t="s">
        <v>1894</v>
      </c>
      <c r="V1107" s="573">
        <v>147.6</v>
      </c>
      <c r="W1107" s="573">
        <v>25</v>
      </c>
      <c r="X1107" s="571">
        <v>9000</v>
      </c>
      <c r="Y1107" s="569">
        <v>14</v>
      </c>
      <c r="Z1107" s="579" t="s">
        <v>178</v>
      </c>
      <c r="AA1107" s="579" t="s">
        <v>178</v>
      </c>
      <c r="AB1107" s="584">
        <v>39525</v>
      </c>
      <c r="AC1107" s="584" t="s">
        <v>164</v>
      </c>
      <c r="AD1107" s="584">
        <v>29921.875</v>
      </c>
      <c r="AE1107" s="586">
        <v>0.03</v>
      </c>
      <c r="AF1107" s="661" t="str">
        <f t="shared" si="122"/>
        <v>2019-LVN-FRD-T25V-011-27</v>
      </c>
      <c r="AG1107" s="661" t="str">
        <f>IF(AND($Y1107&gt;=32,(AI1107="I"),(Y1107&lt;&gt;"~"),(COUNTIF($AN$1:$AN1107,$AN1107)=1)),"TRUE","FALSE")</f>
        <v>FALSE</v>
      </c>
      <c r="AH1107" s="661" t="str">
        <f>IF(AND($Y1107&gt;=22, (AI1107&lt;&gt;"I"),(Y1107&lt;&gt;"~"),(COUNTIF($AN$1:$AN1107,$AN1107)=1)),"TRUE","FALSE")</f>
        <v>FALSE</v>
      </c>
      <c r="AI1107" s="661" t="str">
        <f t="shared" si="117"/>
        <v>II</v>
      </c>
      <c r="AJ1107" s="662" t="str">
        <f t="shared" si="118"/>
        <v>T25V-011</v>
      </c>
      <c r="AK1107" s="662" t="str">
        <f t="shared" si="119"/>
        <v>LVN</v>
      </c>
      <c r="AL1107" s="662" t="str">
        <f t="shared" si="120"/>
        <v>FRD</v>
      </c>
      <c r="AM1107" s="662" t="str">
        <f t="shared" si="116"/>
        <v>Transit 250 Van-Sliding RH Door-RWD-2-100.7-~-3.5L EcoBoost-6-R2C-101A-147.6-25-Unleaded-Unleaded</v>
      </c>
      <c r="AN1107" s="662" t="str">
        <f t="shared" si="121"/>
        <v>2019-LVN-FRD-T25V-011</v>
      </c>
    </row>
    <row r="1108" spans="1:40" s="572" customFormat="1" ht="15">
      <c r="A1108" s="570" t="s">
        <v>2332</v>
      </c>
      <c r="B1108" s="569" t="s">
        <v>2258</v>
      </c>
      <c r="C1108" s="569" t="s">
        <v>280</v>
      </c>
      <c r="D1108" s="580">
        <v>27</v>
      </c>
      <c r="E1108" s="569" t="s">
        <v>1516</v>
      </c>
      <c r="F1108" s="569" t="s">
        <v>1517</v>
      </c>
      <c r="G1108" s="569" t="s">
        <v>271</v>
      </c>
      <c r="H1108" s="569">
        <v>2019</v>
      </c>
      <c r="I1108" s="569" t="s">
        <v>2199</v>
      </c>
      <c r="J1108" s="569" t="s">
        <v>1950</v>
      </c>
      <c r="K1108" s="569" t="s">
        <v>236</v>
      </c>
      <c r="L1108" s="569">
        <v>2</v>
      </c>
      <c r="M1108" s="569">
        <v>0</v>
      </c>
      <c r="N1108" s="569" t="s">
        <v>157</v>
      </c>
      <c r="O1108" s="569">
        <v>1</v>
      </c>
      <c r="P1108" s="569">
        <v>100.7</v>
      </c>
      <c r="Q1108" s="568" t="s">
        <v>157</v>
      </c>
      <c r="R1108" s="569" t="s">
        <v>682</v>
      </c>
      <c r="S1108" s="569">
        <v>6</v>
      </c>
      <c r="T1108" s="569" t="s">
        <v>2254</v>
      </c>
      <c r="U1108" s="569" t="s">
        <v>1894</v>
      </c>
      <c r="V1108" s="569">
        <v>147.6</v>
      </c>
      <c r="W1108" s="569">
        <v>25</v>
      </c>
      <c r="X1108" s="568">
        <v>9000</v>
      </c>
      <c r="Y1108" s="569">
        <v>14</v>
      </c>
      <c r="Z1108" s="581" t="s">
        <v>178</v>
      </c>
      <c r="AA1108" s="581" t="s">
        <v>178</v>
      </c>
      <c r="AB1108" s="585">
        <v>37660</v>
      </c>
      <c r="AC1108" s="585" t="s">
        <v>164</v>
      </c>
      <c r="AD1108" s="585">
        <v>28266.333333333336</v>
      </c>
      <c r="AE1108" s="587">
        <v>0.03</v>
      </c>
      <c r="AF1108" s="661" t="str">
        <f t="shared" si="122"/>
        <v>2019-LVN-FRD-T25V-012-27</v>
      </c>
      <c r="AG1108" s="661" t="str">
        <f>IF(AND($Y1108&gt;=32,(AI1108="I"),(Y1108&lt;&gt;"~"),(COUNTIF($AN$1:$AN1108,$AN1108)=1)),"TRUE","FALSE")</f>
        <v>FALSE</v>
      </c>
      <c r="AH1108" s="661" t="str">
        <f>IF(AND($Y1108&gt;=22, (AI1108&lt;&gt;"I"),(Y1108&lt;&gt;"~"),(COUNTIF($AN$1:$AN1108,$AN1108)=1)),"TRUE","FALSE")</f>
        <v>FALSE</v>
      </c>
      <c r="AI1108" s="661" t="str">
        <f t="shared" si="117"/>
        <v>II</v>
      </c>
      <c r="AJ1108" s="662" t="str">
        <f t="shared" si="118"/>
        <v>T25V-012</v>
      </c>
      <c r="AK1108" s="662" t="str">
        <f t="shared" si="119"/>
        <v>LVN</v>
      </c>
      <c r="AL1108" s="662" t="str">
        <f t="shared" si="120"/>
        <v>FRD</v>
      </c>
      <c r="AM1108" s="662" t="str">
        <f t="shared" si="116"/>
        <v>Transit 250 Van-Sliding RH Door-RWD-2-100.7-~-3.7L-6-R2C-101A-147.6-25-Unleaded-Unleaded</v>
      </c>
      <c r="AN1108" s="662" t="str">
        <f t="shared" si="121"/>
        <v>2019-LVN-FRD-T25V-012</v>
      </c>
    </row>
    <row r="1109" spans="1:40" s="572" customFormat="1" ht="15">
      <c r="A1109" s="570" t="s">
        <v>2333</v>
      </c>
      <c r="B1109" s="573" t="s">
        <v>2260</v>
      </c>
      <c r="C1109" s="573" t="s">
        <v>280</v>
      </c>
      <c r="D1109" s="578">
        <v>27</v>
      </c>
      <c r="E1109" s="573" t="s">
        <v>1516</v>
      </c>
      <c r="F1109" s="573" t="s">
        <v>1517</v>
      </c>
      <c r="G1109" s="573" t="s">
        <v>271</v>
      </c>
      <c r="H1109" s="573">
        <v>2019</v>
      </c>
      <c r="I1109" s="573" t="s">
        <v>2199</v>
      </c>
      <c r="J1109" s="573" t="s">
        <v>1950</v>
      </c>
      <c r="K1109" s="573" t="s">
        <v>236</v>
      </c>
      <c r="L1109" s="573">
        <v>2</v>
      </c>
      <c r="M1109" s="573">
        <v>0</v>
      </c>
      <c r="N1109" s="573" t="s">
        <v>157</v>
      </c>
      <c r="O1109" s="573">
        <v>1</v>
      </c>
      <c r="P1109" s="573">
        <v>100.8</v>
      </c>
      <c r="Q1109" s="571" t="s">
        <v>157</v>
      </c>
      <c r="R1109" s="573" t="s">
        <v>1917</v>
      </c>
      <c r="S1109" s="573">
        <v>5</v>
      </c>
      <c r="T1109" s="573" t="s">
        <v>2261</v>
      </c>
      <c r="U1109" s="573" t="s">
        <v>1894</v>
      </c>
      <c r="V1109" s="573">
        <v>129.9</v>
      </c>
      <c r="W1109" s="573">
        <v>25</v>
      </c>
      <c r="X1109" s="571">
        <v>9000</v>
      </c>
      <c r="Y1109" s="569">
        <v>14</v>
      </c>
      <c r="Z1109" s="579" t="s">
        <v>728</v>
      </c>
      <c r="AA1109" s="579" t="s">
        <v>1523</v>
      </c>
      <c r="AB1109" s="584">
        <v>40460</v>
      </c>
      <c r="AC1109" s="584" t="s">
        <v>164</v>
      </c>
      <c r="AD1109" s="584">
        <v>30238.791666666664</v>
      </c>
      <c r="AE1109" s="586">
        <v>0.03</v>
      </c>
      <c r="AF1109" s="661" t="str">
        <f t="shared" si="122"/>
        <v>2019-LVN-FRD-T25V-014-27</v>
      </c>
      <c r="AG1109" s="661" t="str">
        <f>IF(AND($Y1109&gt;=32,(AI1109="I"),(Y1109&lt;&gt;"~"),(COUNTIF($AN$1:$AN1109,$AN1109)=1)),"TRUE","FALSE")</f>
        <v>FALSE</v>
      </c>
      <c r="AH1109" s="661" t="str">
        <f>IF(AND($Y1109&gt;=22, (AI1109&lt;&gt;"I"),(Y1109&lt;&gt;"~"),(COUNTIF($AN$1:$AN1109,$AN1109)=1)),"TRUE","FALSE")</f>
        <v>FALSE</v>
      </c>
      <c r="AI1109" s="661" t="str">
        <f t="shared" si="117"/>
        <v>II</v>
      </c>
      <c r="AJ1109" s="662" t="str">
        <f t="shared" si="118"/>
        <v>T25V-014</v>
      </c>
      <c r="AK1109" s="662" t="str">
        <f t="shared" si="119"/>
        <v>LVN</v>
      </c>
      <c r="AL1109" s="662" t="str">
        <f t="shared" si="120"/>
        <v>FRD</v>
      </c>
      <c r="AM1109" s="662" t="str">
        <f t="shared" si="116"/>
        <v>Transit 250 Van-Sliding RH Door-RWD-2-100.8-~-3.2L-5-R1C-101A-129.9-25-Diesel-BioDiesel</v>
      </c>
      <c r="AN1109" s="662" t="str">
        <f t="shared" si="121"/>
        <v>2019-LVN-FRD-T25V-014</v>
      </c>
    </row>
    <row r="1110" spans="1:40" s="572" customFormat="1" ht="15">
      <c r="A1110" s="570" t="s">
        <v>2333</v>
      </c>
      <c r="B1110" s="569" t="s">
        <v>2260</v>
      </c>
      <c r="C1110" s="569" t="s">
        <v>280</v>
      </c>
      <c r="D1110" s="580">
        <v>27</v>
      </c>
      <c r="E1110" s="569" t="s">
        <v>1516</v>
      </c>
      <c r="F1110" s="569" t="s">
        <v>1517</v>
      </c>
      <c r="G1110" s="569" t="s">
        <v>271</v>
      </c>
      <c r="H1110" s="569">
        <v>2019</v>
      </c>
      <c r="I1110" s="569" t="s">
        <v>2199</v>
      </c>
      <c r="J1110" s="569" t="s">
        <v>1950</v>
      </c>
      <c r="K1110" s="569" t="s">
        <v>236</v>
      </c>
      <c r="L1110" s="569">
        <v>2</v>
      </c>
      <c r="M1110" s="569">
        <v>0</v>
      </c>
      <c r="N1110" s="569" t="s">
        <v>157</v>
      </c>
      <c r="O1110" s="569">
        <v>1</v>
      </c>
      <c r="P1110" s="569">
        <v>100.8</v>
      </c>
      <c r="Q1110" s="568" t="s">
        <v>157</v>
      </c>
      <c r="R1110" s="569" t="s">
        <v>1917</v>
      </c>
      <c r="S1110" s="569">
        <v>5</v>
      </c>
      <c r="T1110" s="569" t="s">
        <v>2261</v>
      </c>
      <c r="U1110" s="569" t="s">
        <v>1894</v>
      </c>
      <c r="V1110" s="569">
        <v>129.9</v>
      </c>
      <c r="W1110" s="569">
        <v>25</v>
      </c>
      <c r="X1110" s="568">
        <v>9000</v>
      </c>
      <c r="Y1110" s="569">
        <v>14</v>
      </c>
      <c r="Z1110" s="581" t="s">
        <v>728</v>
      </c>
      <c r="AA1110" s="581" t="s">
        <v>1523</v>
      </c>
      <c r="AB1110" s="585">
        <v>42325</v>
      </c>
      <c r="AC1110" s="585" t="s">
        <v>164</v>
      </c>
      <c r="AD1110" s="585">
        <v>30238.791666666664</v>
      </c>
      <c r="AE1110" s="587">
        <v>0.03</v>
      </c>
      <c r="AF1110" s="661" t="str">
        <f t="shared" si="122"/>
        <v>2019-LVN-FRD-T25V-014-27</v>
      </c>
      <c r="AG1110" s="661" t="str">
        <f>IF(AND($Y1110&gt;=32,(AI1110="I"),(Y1110&lt;&gt;"~"),(COUNTIF($AN$1:$AN1110,$AN1110)=1)),"TRUE","FALSE")</f>
        <v>FALSE</v>
      </c>
      <c r="AH1110" s="661" t="str">
        <f>IF(AND($Y1110&gt;=22, (AI1110&lt;&gt;"I"),(Y1110&lt;&gt;"~"),(COUNTIF($AN$1:$AN1110,$AN1110)=1)),"TRUE","FALSE")</f>
        <v>FALSE</v>
      </c>
      <c r="AI1110" s="661" t="str">
        <f t="shared" si="117"/>
        <v>II</v>
      </c>
      <c r="AJ1110" s="662" t="str">
        <f t="shared" si="118"/>
        <v>T25V-014</v>
      </c>
      <c r="AK1110" s="662" t="str">
        <f t="shared" si="119"/>
        <v>LVN</v>
      </c>
      <c r="AL1110" s="662" t="str">
        <f t="shared" si="120"/>
        <v>FRD</v>
      </c>
      <c r="AM1110" s="662" t="str">
        <f t="shared" si="116"/>
        <v>Transit 250 Van-Sliding RH Door-RWD-2-100.8-~-3.2L-5-R1C-101A-129.9-25-Diesel-BioDiesel</v>
      </c>
      <c r="AN1110" s="662" t="str">
        <f t="shared" si="121"/>
        <v>2019-LVN-FRD-T25V-014</v>
      </c>
    </row>
    <row r="1111" spans="1:40" s="572" customFormat="1" ht="15">
      <c r="A1111" s="570" t="s">
        <v>2334</v>
      </c>
      <c r="B1111" s="573" t="s">
        <v>2263</v>
      </c>
      <c r="C1111" s="573" t="s">
        <v>280</v>
      </c>
      <c r="D1111" s="578">
        <v>27</v>
      </c>
      <c r="E1111" s="573" t="s">
        <v>1516</v>
      </c>
      <c r="F1111" s="573" t="s">
        <v>1517</v>
      </c>
      <c r="G1111" s="573" t="s">
        <v>271</v>
      </c>
      <c r="H1111" s="573">
        <v>2019</v>
      </c>
      <c r="I1111" s="573" t="s">
        <v>2199</v>
      </c>
      <c r="J1111" s="573" t="s">
        <v>1950</v>
      </c>
      <c r="K1111" s="573" t="s">
        <v>236</v>
      </c>
      <c r="L1111" s="573">
        <v>2</v>
      </c>
      <c r="M1111" s="573">
        <v>0</v>
      </c>
      <c r="N1111" s="573" t="s">
        <v>157</v>
      </c>
      <c r="O1111" s="573">
        <v>1</v>
      </c>
      <c r="P1111" s="573">
        <v>100.8</v>
      </c>
      <c r="Q1111" s="571" t="s">
        <v>157</v>
      </c>
      <c r="R1111" s="573" t="s">
        <v>1259</v>
      </c>
      <c r="S1111" s="573">
        <v>6</v>
      </c>
      <c r="T1111" s="573" t="s">
        <v>2261</v>
      </c>
      <c r="U1111" s="573" t="s">
        <v>1894</v>
      </c>
      <c r="V1111" s="573">
        <v>129.9</v>
      </c>
      <c r="W1111" s="573">
        <v>25</v>
      </c>
      <c r="X1111" s="571">
        <v>9000</v>
      </c>
      <c r="Y1111" s="569">
        <v>14</v>
      </c>
      <c r="Z1111" s="579" t="s">
        <v>178</v>
      </c>
      <c r="AA1111" s="579" t="s">
        <v>178</v>
      </c>
      <c r="AB1111" s="584">
        <v>40460</v>
      </c>
      <c r="AC1111" s="584" t="s">
        <v>164</v>
      </c>
      <c r="AD1111" s="584">
        <v>28345.5</v>
      </c>
      <c r="AE1111" s="586">
        <v>0.03</v>
      </c>
      <c r="AF1111" s="661" t="str">
        <f t="shared" si="122"/>
        <v>2019-LVN-FRD-T25V-015-27</v>
      </c>
      <c r="AG1111" s="661" t="str">
        <f>IF(AND($Y1111&gt;=32,(AI1111="I"),(Y1111&lt;&gt;"~"),(COUNTIF($AN$1:$AN1111,$AN1111)=1)),"TRUE","FALSE")</f>
        <v>FALSE</v>
      </c>
      <c r="AH1111" s="661" t="str">
        <f>IF(AND($Y1111&gt;=22, (AI1111&lt;&gt;"I"),(Y1111&lt;&gt;"~"),(COUNTIF($AN$1:$AN1111,$AN1111)=1)),"TRUE","FALSE")</f>
        <v>FALSE</v>
      </c>
      <c r="AI1111" s="661" t="str">
        <f t="shared" si="117"/>
        <v>II</v>
      </c>
      <c r="AJ1111" s="662" t="str">
        <f t="shared" si="118"/>
        <v>T25V-015</v>
      </c>
      <c r="AK1111" s="662" t="str">
        <f t="shared" si="119"/>
        <v>LVN</v>
      </c>
      <c r="AL1111" s="662" t="str">
        <f t="shared" si="120"/>
        <v>FRD</v>
      </c>
      <c r="AM1111" s="662" t="str">
        <f t="shared" si="116"/>
        <v>Transit 250 Van-Sliding RH Door-RWD-2-100.8-~-3.5L EcoBoost-6-R1C-101A-129.9-25-Unleaded-Unleaded</v>
      </c>
      <c r="AN1111" s="662" t="str">
        <f t="shared" si="121"/>
        <v>2019-LVN-FRD-T25V-015</v>
      </c>
    </row>
    <row r="1112" spans="1:40" s="572" customFormat="1" ht="15">
      <c r="A1112" s="570" t="s">
        <v>2334</v>
      </c>
      <c r="B1112" s="569" t="s">
        <v>2263</v>
      </c>
      <c r="C1112" s="569" t="s">
        <v>280</v>
      </c>
      <c r="D1112" s="580">
        <v>27</v>
      </c>
      <c r="E1112" s="569" t="s">
        <v>1516</v>
      </c>
      <c r="F1112" s="569" t="s">
        <v>1517</v>
      </c>
      <c r="G1112" s="569" t="s">
        <v>271</v>
      </c>
      <c r="H1112" s="569">
        <v>2019</v>
      </c>
      <c r="I1112" s="569" t="s">
        <v>2199</v>
      </c>
      <c r="J1112" s="569" t="s">
        <v>1950</v>
      </c>
      <c r="K1112" s="569" t="s">
        <v>236</v>
      </c>
      <c r="L1112" s="569">
        <v>2</v>
      </c>
      <c r="M1112" s="569">
        <v>0</v>
      </c>
      <c r="N1112" s="569" t="s">
        <v>157</v>
      </c>
      <c r="O1112" s="569">
        <v>1</v>
      </c>
      <c r="P1112" s="569">
        <v>100.8</v>
      </c>
      <c r="Q1112" s="568" t="s">
        <v>157</v>
      </c>
      <c r="R1112" s="569" t="s">
        <v>1259</v>
      </c>
      <c r="S1112" s="569">
        <v>6</v>
      </c>
      <c r="T1112" s="569" t="s">
        <v>2261</v>
      </c>
      <c r="U1112" s="569" t="s">
        <v>1894</v>
      </c>
      <c r="V1112" s="569">
        <v>129.9</v>
      </c>
      <c r="W1112" s="569">
        <v>25</v>
      </c>
      <c r="X1112" s="568">
        <v>9000</v>
      </c>
      <c r="Y1112" s="569">
        <v>14</v>
      </c>
      <c r="Z1112" s="581" t="s">
        <v>178</v>
      </c>
      <c r="AA1112" s="581" t="s">
        <v>178</v>
      </c>
      <c r="AB1112" s="585">
        <v>45755</v>
      </c>
      <c r="AC1112" s="585" t="s">
        <v>164</v>
      </c>
      <c r="AD1112" s="585">
        <v>28345.5</v>
      </c>
      <c r="AE1112" s="587">
        <v>0.03</v>
      </c>
      <c r="AF1112" s="661" t="str">
        <f t="shared" si="122"/>
        <v>2019-LVN-FRD-T25V-015-27</v>
      </c>
      <c r="AG1112" s="661" t="str">
        <f>IF(AND($Y1112&gt;=32,(AI1112="I"),(Y1112&lt;&gt;"~"),(COUNTIF($AN$1:$AN1112,$AN1112)=1)),"TRUE","FALSE")</f>
        <v>FALSE</v>
      </c>
      <c r="AH1112" s="661" t="str">
        <f>IF(AND($Y1112&gt;=22, (AI1112&lt;&gt;"I"),(Y1112&lt;&gt;"~"),(COUNTIF($AN$1:$AN1112,$AN1112)=1)),"TRUE","FALSE")</f>
        <v>FALSE</v>
      </c>
      <c r="AI1112" s="661" t="str">
        <f t="shared" si="117"/>
        <v>II</v>
      </c>
      <c r="AJ1112" s="662" t="str">
        <f t="shared" si="118"/>
        <v>T25V-015</v>
      </c>
      <c r="AK1112" s="662" t="str">
        <f t="shared" si="119"/>
        <v>LVN</v>
      </c>
      <c r="AL1112" s="662" t="str">
        <f t="shared" si="120"/>
        <v>FRD</v>
      </c>
      <c r="AM1112" s="662" t="str">
        <f t="shared" si="116"/>
        <v>Transit 250 Van-Sliding RH Door-RWD-2-100.8-~-3.5L EcoBoost-6-R1C-101A-129.9-25-Unleaded-Unleaded</v>
      </c>
      <c r="AN1112" s="662" t="str">
        <f t="shared" si="121"/>
        <v>2019-LVN-FRD-T25V-015</v>
      </c>
    </row>
    <row r="1113" spans="1:40" s="572" customFormat="1" ht="15">
      <c r="A1113" s="570" t="s">
        <v>2335</v>
      </c>
      <c r="B1113" s="573" t="s">
        <v>2265</v>
      </c>
      <c r="C1113" s="573" t="s">
        <v>280</v>
      </c>
      <c r="D1113" s="578">
        <v>27</v>
      </c>
      <c r="E1113" s="573" t="s">
        <v>1516</v>
      </c>
      <c r="F1113" s="573" t="s">
        <v>1517</v>
      </c>
      <c r="G1113" s="573" t="s">
        <v>271</v>
      </c>
      <c r="H1113" s="573">
        <v>2019</v>
      </c>
      <c r="I1113" s="573" t="s">
        <v>2199</v>
      </c>
      <c r="J1113" s="573" t="s">
        <v>1950</v>
      </c>
      <c r="K1113" s="573" t="s">
        <v>236</v>
      </c>
      <c r="L1113" s="573">
        <v>2</v>
      </c>
      <c r="M1113" s="573">
        <v>0</v>
      </c>
      <c r="N1113" s="573" t="s">
        <v>157</v>
      </c>
      <c r="O1113" s="573">
        <v>1</v>
      </c>
      <c r="P1113" s="573">
        <v>100.8</v>
      </c>
      <c r="Q1113" s="571" t="s">
        <v>157</v>
      </c>
      <c r="R1113" s="573" t="s">
        <v>682</v>
      </c>
      <c r="S1113" s="573">
        <v>6</v>
      </c>
      <c r="T1113" s="573" t="s">
        <v>2261</v>
      </c>
      <c r="U1113" s="573" t="s">
        <v>1894</v>
      </c>
      <c r="V1113" s="573">
        <v>129.9</v>
      </c>
      <c r="W1113" s="573">
        <v>25</v>
      </c>
      <c r="X1113" s="571">
        <v>9000</v>
      </c>
      <c r="Y1113" s="569">
        <v>14</v>
      </c>
      <c r="Z1113" s="579" t="s">
        <v>178</v>
      </c>
      <c r="AA1113" s="579" t="s">
        <v>178</v>
      </c>
      <c r="AB1113" s="584">
        <v>35935</v>
      </c>
      <c r="AC1113" s="584" t="s">
        <v>164</v>
      </c>
      <c r="AD1113" s="584">
        <v>26689.25</v>
      </c>
      <c r="AE1113" s="586">
        <v>0.03</v>
      </c>
      <c r="AF1113" s="661" t="str">
        <f t="shared" si="122"/>
        <v>2019-LVN-FRD-T25V-016-27</v>
      </c>
      <c r="AG1113" s="661" t="str">
        <f>IF(AND($Y1113&gt;=32,(AI1113="I"),(Y1113&lt;&gt;"~"),(COUNTIF($AN$1:$AN1113,$AN1113)=1)),"TRUE","FALSE")</f>
        <v>FALSE</v>
      </c>
      <c r="AH1113" s="661" t="str">
        <f>IF(AND($Y1113&gt;=22, (AI1113&lt;&gt;"I"),(Y1113&lt;&gt;"~"),(COUNTIF($AN$1:$AN1113,$AN1113)=1)),"TRUE","FALSE")</f>
        <v>FALSE</v>
      </c>
      <c r="AI1113" s="661" t="str">
        <f t="shared" si="117"/>
        <v>II</v>
      </c>
      <c r="AJ1113" s="662" t="str">
        <f t="shared" si="118"/>
        <v>T25V-016</v>
      </c>
      <c r="AK1113" s="662" t="str">
        <f t="shared" si="119"/>
        <v>LVN</v>
      </c>
      <c r="AL1113" s="662" t="str">
        <f t="shared" si="120"/>
        <v>FRD</v>
      </c>
      <c r="AM1113" s="662" t="str">
        <f t="shared" si="116"/>
        <v>Transit 250 Van-Sliding RH Door-RWD-2-100.8-~-3.7L-6-R1C-101A-129.9-25-Unleaded-Unleaded</v>
      </c>
      <c r="AN1113" s="662" t="str">
        <f t="shared" si="121"/>
        <v>2019-LVN-FRD-T25V-016</v>
      </c>
    </row>
    <row r="1114" spans="1:40" s="572" customFormat="1" ht="15">
      <c r="A1114" s="570" t="s">
        <v>2335</v>
      </c>
      <c r="B1114" s="569" t="s">
        <v>2265</v>
      </c>
      <c r="C1114" s="569" t="s">
        <v>280</v>
      </c>
      <c r="D1114" s="580">
        <v>27</v>
      </c>
      <c r="E1114" s="569" t="s">
        <v>1516</v>
      </c>
      <c r="F1114" s="569" t="s">
        <v>1517</v>
      </c>
      <c r="G1114" s="569" t="s">
        <v>271</v>
      </c>
      <c r="H1114" s="569">
        <v>2019</v>
      </c>
      <c r="I1114" s="569" t="s">
        <v>2199</v>
      </c>
      <c r="J1114" s="569" t="s">
        <v>1950</v>
      </c>
      <c r="K1114" s="569" t="s">
        <v>236</v>
      </c>
      <c r="L1114" s="569">
        <v>2</v>
      </c>
      <c r="M1114" s="569">
        <v>0</v>
      </c>
      <c r="N1114" s="569" t="s">
        <v>157</v>
      </c>
      <c r="O1114" s="569">
        <v>1</v>
      </c>
      <c r="P1114" s="569">
        <v>100.8</v>
      </c>
      <c r="Q1114" s="568" t="s">
        <v>157</v>
      </c>
      <c r="R1114" s="569" t="s">
        <v>682</v>
      </c>
      <c r="S1114" s="569">
        <v>6</v>
      </c>
      <c r="T1114" s="569" t="s">
        <v>2261</v>
      </c>
      <c r="U1114" s="569" t="s">
        <v>1894</v>
      </c>
      <c r="V1114" s="569">
        <v>129.9</v>
      </c>
      <c r="W1114" s="569">
        <v>25</v>
      </c>
      <c r="X1114" s="568">
        <v>9000</v>
      </c>
      <c r="Y1114" s="569">
        <v>14</v>
      </c>
      <c r="Z1114" s="581" t="s">
        <v>178</v>
      </c>
      <c r="AA1114" s="581" t="s">
        <v>178</v>
      </c>
      <c r="AB1114" s="585">
        <v>43625</v>
      </c>
      <c r="AC1114" s="585" t="s">
        <v>164</v>
      </c>
      <c r="AD1114" s="585">
        <v>26689.25</v>
      </c>
      <c r="AE1114" s="587">
        <v>0.03</v>
      </c>
      <c r="AF1114" s="661" t="str">
        <f t="shared" si="122"/>
        <v>2019-LVN-FRD-T25V-016-27</v>
      </c>
      <c r="AG1114" s="661" t="str">
        <f>IF(AND($Y1114&gt;=32,(AI1114="I"),(Y1114&lt;&gt;"~"),(COUNTIF($AN$1:$AN1114,$AN1114)=1)),"TRUE","FALSE")</f>
        <v>FALSE</v>
      </c>
      <c r="AH1114" s="661" t="str">
        <f>IF(AND($Y1114&gt;=22, (AI1114&lt;&gt;"I"),(Y1114&lt;&gt;"~"),(COUNTIF($AN$1:$AN1114,$AN1114)=1)),"TRUE","FALSE")</f>
        <v>FALSE</v>
      </c>
      <c r="AI1114" s="661" t="str">
        <f t="shared" si="117"/>
        <v>II</v>
      </c>
      <c r="AJ1114" s="662" t="str">
        <f t="shared" si="118"/>
        <v>T25V-016</v>
      </c>
      <c r="AK1114" s="662" t="str">
        <f t="shared" si="119"/>
        <v>LVN</v>
      </c>
      <c r="AL1114" s="662" t="str">
        <f t="shared" si="120"/>
        <v>FRD</v>
      </c>
      <c r="AM1114" s="662" t="str">
        <f t="shared" si="116"/>
        <v>Transit 250 Van-Sliding RH Door-RWD-2-100.8-~-3.7L-6-R1C-101A-129.9-25-Unleaded-Unleaded</v>
      </c>
      <c r="AN1114" s="662" t="str">
        <f t="shared" si="121"/>
        <v>2019-LVN-FRD-T25V-016</v>
      </c>
    </row>
    <row r="1115" spans="1:40" s="572" customFormat="1" ht="15">
      <c r="A1115" s="570" t="s">
        <v>2336</v>
      </c>
      <c r="B1115" s="573" t="s">
        <v>2267</v>
      </c>
      <c r="C1115" s="573" t="s">
        <v>280</v>
      </c>
      <c r="D1115" s="578">
        <v>27</v>
      </c>
      <c r="E1115" s="573" t="s">
        <v>1516</v>
      </c>
      <c r="F1115" s="573" t="s">
        <v>1517</v>
      </c>
      <c r="G1115" s="573" t="s">
        <v>271</v>
      </c>
      <c r="H1115" s="573">
        <v>2019</v>
      </c>
      <c r="I1115" s="573" t="s">
        <v>2199</v>
      </c>
      <c r="J1115" s="573" t="s">
        <v>1950</v>
      </c>
      <c r="K1115" s="573" t="s">
        <v>236</v>
      </c>
      <c r="L1115" s="573">
        <v>2</v>
      </c>
      <c r="M1115" s="573">
        <v>0</v>
      </c>
      <c r="N1115" s="573" t="s">
        <v>157</v>
      </c>
      <c r="O1115" s="573">
        <v>1</v>
      </c>
      <c r="P1115" s="573">
        <v>109.4</v>
      </c>
      <c r="Q1115" s="571" t="s">
        <v>157</v>
      </c>
      <c r="R1115" s="573" t="s">
        <v>1917</v>
      </c>
      <c r="S1115" s="573">
        <v>5</v>
      </c>
      <c r="T1115" s="573" t="s">
        <v>2268</v>
      </c>
      <c r="U1115" s="573" t="s">
        <v>1894</v>
      </c>
      <c r="V1115" s="573">
        <v>147.6</v>
      </c>
      <c r="W1115" s="573">
        <v>25</v>
      </c>
      <c r="X1115" s="571">
        <v>9000</v>
      </c>
      <c r="Y1115" s="569">
        <v>14</v>
      </c>
      <c r="Z1115" s="579" t="s">
        <v>728</v>
      </c>
      <c r="AA1115" s="579" t="s">
        <v>1523</v>
      </c>
      <c r="AB1115" s="584">
        <v>45105</v>
      </c>
      <c r="AC1115" s="584" t="s">
        <v>164</v>
      </c>
      <c r="AD1115" s="584">
        <v>34969</v>
      </c>
      <c r="AE1115" s="586">
        <v>0.03</v>
      </c>
      <c r="AF1115" s="661" t="str">
        <f t="shared" si="122"/>
        <v>2019-LVN-FRD-T25V-018-27</v>
      </c>
      <c r="AG1115" s="661" t="str">
        <f>IF(AND($Y1115&gt;=32,(AI1115="I"),(Y1115&lt;&gt;"~"),(COUNTIF($AN$1:$AN1115,$AN1115)=1)),"TRUE","FALSE")</f>
        <v>FALSE</v>
      </c>
      <c r="AH1115" s="661" t="str">
        <f>IF(AND($Y1115&gt;=22, (AI1115&lt;&gt;"I"),(Y1115&lt;&gt;"~"),(COUNTIF($AN$1:$AN1115,$AN1115)=1)),"TRUE","FALSE")</f>
        <v>FALSE</v>
      </c>
      <c r="AI1115" s="661" t="str">
        <f t="shared" si="117"/>
        <v>II</v>
      </c>
      <c r="AJ1115" s="662" t="str">
        <f t="shared" si="118"/>
        <v>T25V-018</v>
      </c>
      <c r="AK1115" s="662" t="str">
        <f t="shared" si="119"/>
        <v>LVN</v>
      </c>
      <c r="AL1115" s="662" t="str">
        <f t="shared" si="120"/>
        <v>FRD</v>
      </c>
      <c r="AM1115" s="662" t="str">
        <f t="shared" ref="AM1115:AM1178" si="123">CONCATENATE(I1115,"-",J1115,"-",K1115,"-",L1115,"-",P1115,"-",Q1115,"-",R1115,"-",S1115,"-",T1115,"-",U1115,"-",V1115,"-",W1115,"-",Z1115,"-",AA1115)</f>
        <v>Transit 250 Van-Sliding RH Door-RWD-2-109.4-~-3.2L-5-R3X-101A-147.6-25-Diesel-BioDiesel</v>
      </c>
      <c r="AN1115" s="662" t="str">
        <f t="shared" si="121"/>
        <v>2019-LVN-FRD-T25V-018</v>
      </c>
    </row>
    <row r="1116" spans="1:40" s="572" customFormat="1" ht="15">
      <c r="A1116" s="570" t="s">
        <v>2337</v>
      </c>
      <c r="B1116" s="569" t="s">
        <v>2270</v>
      </c>
      <c r="C1116" s="569" t="s">
        <v>280</v>
      </c>
      <c r="D1116" s="580">
        <v>27</v>
      </c>
      <c r="E1116" s="569" t="s">
        <v>1516</v>
      </c>
      <c r="F1116" s="569" t="s">
        <v>1517</v>
      </c>
      <c r="G1116" s="569" t="s">
        <v>271</v>
      </c>
      <c r="H1116" s="569">
        <v>2019</v>
      </c>
      <c r="I1116" s="569" t="s">
        <v>2199</v>
      </c>
      <c r="J1116" s="569" t="s">
        <v>1950</v>
      </c>
      <c r="K1116" s="569" t="s">
        <v>236</v>
      </c>
      <c r="L1116" s="569">
        <v>2</v>
      </c>
      <c r="M1116" s="569">
        <v>0</v>
      </c>
      <c r="N1116" s="569" t="s">
        <v>157</v>
      </c>
      <c r="O1116" s="569">
        <v>1</v>
      </c>
      <c r="P1116" s="569">
        <v>109.4</v>
      </c>
      <c r="Q1116" s="568" t="s">
        <v>157</v>
      </c>
      <c r="R1116" s="569" t="s">
        <v>1259</v>
      </c>
      <c r="S1116" s="569">
        <v>6</v>
      </c>
      <c r="T1116" s="569" t="s">
        <v>2268</v>
      </c>
      <c r="U1116" s="569" t="s">
        <v>1894</v>
      </c>
      <c r="V1116" s="569">
        <v>147.6</v>
      </c>
      <c r="W1116" s="569">
        <v>25</v>
      </c>
      <c r="X1116" s="568">
        <v>9000</v>
      </c>
      <c r="Y1116" s="569">
        <v>14</v>
      </c>
      <c r="Z1116" s="581" t="s">
        <v>178</v>
      </c>
      <c r="AA1116" s="581" t="s">
        <v>178</v>
      </c>
      <c r="AB1116" s="585">
        <v>42975</v>
      </c>
      <c r="AC1116" s="585" t="s">
        <v>164</v>
      </c>
      <c r="AD1116" s="585">
        <v>33075.708333333336</v>
      </c>
      <c r="AE1116" s="587">
        <v>0.03</v>
      </c>
      <c r="AF1116" s="661" t="str">
        <f t="shared" si="122"/>
        <v>2019-LVN-FRD-T25V-019-27</v>
      </c>
      <c r="AG1116" s="661" t="str">
        <f>IF(AND($Y1116&gt;=32,(AI1116="I"),(Y1116&lt;&gt;"~"),(COUNTIF($AN$1:$AN1116,$AN1116)=1)),"TRUE","FALSE")</f>
        <v>FALSE</v>
      </c>
      <c r="AH1116" s="661" t="str">
        <f>IF(AND($Y1116&gt;=22, (AI1116&lt;&gt;"I"),(Y1116&lt;&gt;"~"),(COUNTIF($AN$1:$AN1116,$AN1116)=1)),"TRUE","FALSE")</f>
        <v>FALSE</v>
      </c>
      <c r="AI1116" s="661" t="str">
        <f t="shared" ref="AI1116:AI1179" si="124">IF(OR((LEFT($E1116,2)="01"),AND(LEFT($E1116,2)="06",ISNUMBER(SEARCH("pas",$F1116))),AND(LEFT($E1116,2)="05",ISNUMBER(SEARCH("pas",$F1116)))),"I",IF(AND((LEFT($E1116,2)&lt;&gt;"01"),$X1116&lt;=10000),"II",IF(AND((LEFT($E1116,2)&lt;&gt;"01"),$X1116&gt;10000),"N/A")))</f>
        <v>II</v>
      </c>
      <c r="AJ1116" s="662" t="str">
        <f t="shared" si="118"/>
        <v>T25V-019</v>
      </c>
      <c r="AK1116" s="662" t="str">
        <f t="shared" si="119"/>
        <v>LVN</v>
      </c>
      <c r="AL1116" s="662" t="str">
        <f t="shared" si="120"/>
        <v>FRD</v>
      </c>
      <c r="AM1116" s="662" t="str">
        <f t="shared" si="123"/>
        <v>Transit 250 Van-Sliding RH Door-RWD-2-109.4-~-3.5L EcoBoost-6-R3X-101A-147.6-25-Unleaded-Unleaded</v>
      </c>
      <c r="AN1116" s="662" t="str">
        <f t="shared" si="121"/>
        <v>2019-LVN-FRD-T25V-019</v>
      </c>
    </row>
    <row r="1117" spans="1:40" s="572" customFormat="1" ht="15">
      <c r="A1117" s="570" t="s">
        <v>2338</v>
      </c>
      <c r="B1117" s="573" t="s">
        <v>2272</v>
      </c>
      <c r="C1117" s="573" t="s">
        <v>280</v>
      </c>
      <c r="D1117" s="578">
        <v>27</v>
      </c>
      <c r="E1117" s="573" t="s">
        <v>1516</v>
      </c>
      <c r="F1117" s="573" t="s">
        <v>1517</v>
      </c>
      <c r="G1117" s="573" t="s">
        <v>271</v>
      </c>
      <c r="H1117" s="573">
        <v>2019</v>
      </c>
      <c r="I1117" s="573" t="s">
        <v>2199</v>
      </c>
      <c r="J1117" s="573" t="s">
        <v>1950</v>
      </c>
      <c r="K1117" s="573" t="s">
        <v>236</v>
      </c>
      <c r="L1117" s="573">
        <v>2</v>
      </c>
      <c r="M1117" s="573">
        <v>0</v>
      </c>
      <c r="N1117" s="573" t="s">
        <v>157</v>
      </c>
      <c r="O1117" s="573">
        <v>1</v>
      </c>
      <c r="P1117" s="573">
        <v>109.4</v>
      </c>
      <c r="Q1117" s="571" t="s">
        <v>157</v>
      </c>
      <c r="R1117" s="573" t="s">
        <v>682</v>
      </c>
      <c r="S1117" s="573">
        <v>6</v>
      </c>
      <c r="T1117" s="573" t="s">
        <v>2268</v>
      </c>
      <c r="U1117" s="573" t="s">
        <v>1894</v>
      </c>
      <c r="V1117" s="573">
        <v>147.6</v>
      </c>
      <c r="W1117" s="573">
        <v>25</v>
      </c>
      <c r="X1117" s="571">
        <v>9000</v>
      </c>
      <c r="Y1117" s="569">
        <v>14</v>
      </c>
      <c r="Z1117" s="579" t="s">
        <v>178</v>
      </c>
      <c r="AA1117" s="579" t="s">
        <v>178</v>
      </c>
      <c r="AB1117" s="584">
        <v>41110</v>
      </c>
      <c r="AC1117" s="584" t="s">
        <v>164</v>
      </c>
      <c r="AD1117" s="584">
        <v>31419.458333333336</v>
      </c>
      <c r="AE1117" s="586">
        <v>0.03</v>
      </c>
      <c r="AF1117" s="661" t="str">
        <f t="shared" si="122"/>
        <v>2019-LVN-FRD-T25V-020-27</v>
      </c>
      <c r="AG1117" s="661" t="str">
        <f>IF(AND($Y1117&gt;=32,(AI1117="I"),(Y1117&lt;&gt;"~"),(COUNTIF($AN$1:$AN1117,$AN1117)=1)),"TRUE","FALSE")</f>
        <v>FALSE</v>
      </c>
      <c r="AH1117" s="661" t="str">
        <f>IF(AND($Y1117&gt;=22, (AI1117&lt;&gt;"I"),(Y1117&lt;&gt;"~"),(COUNTIF($AN$1:$AN1117,$AN1117)=1)),"TRUE","FALSE")</f>
        <v>FALSE</v>
      </c>
      <c r="AI1117" s="661" t="str">
        <f t="shared" si="124"/>
        <v>II</v>
      </c>
      <c r="AJ1117" s="662" t="str">
        <f t="shared" si="118"/>
        <v>T25V-020</v>
      </c>
      <c r="AK1117" s="662" t="str">
        <f t="shared" si="119"/>
        <v>LVN</v>
      </c>
      <c r="AL1117" s="662" t="str">
        <f t="shared" si="120"/>
        <v>FRD</v>
      </c>
      <c r="AM1117" s="662" t="str">
        <f t="shared" si="123"/>
        <v>Transit 250 Van-Sliding RH Door-RWD-2-109.4-~-3.7L-6-R3X-101A-147.6-25-Unleaded-Unleaded</v>
      </c>
      <c r="AN1117" s="662" t="str">
        <f t="shared" si="121"/>
        <v>2019-LVN-FRD-T25V-020</v>
      </c>
    </row>
    <row r="1118" spans="1:40" s="572" customFormat="1" ht="15">
      <c r="A1118" s="570" t="s">
        <v>2339</v>
      </c>
      <c r="B1118" s="569" t="s">
        <v>2274</v>
      </c>
      <c r="C1118" s="569" t="s">
        <v>280</v>
      </c>
      <c r="D1118" s="580">
        <v>27</v>
      </c>
      <c r="E1118" s="569" t="s">
        <v>1516</v>
      </c>
      <c r="F1118" s="569" t="s">
        <v>1517</v>
      </c>
      <c r="G1118" s="569" t="s">
        <v>271</v>
      </c>
      <c r="H1118" s="569">
        <v>2019</v>
      </c>
      <c r="I1118" s="569" t="s">
        <v>2199</v>
      </c>
      <c r="J1118" s="569" t="s">
        <v>1950</v>
      </c>
      <c r="K1118" s="569" t="s">
        <v>236</v>
      </c>
      <c r="L1118" s="569">
        <v>2</v>
      </c>
      <c r="M1118" s="569">
        <v>0</v>
      </c>
      <c r="N1118" s="569" t="s">
        <v>157</v>
      </c>
      <c r="O1118" s="569">
        <v>1</v>
      </c>
      <c r="P1118" s="569">
        <v>110.1</v>
      </c>
      <c r="Q1118" s="568" t="s">
        <v>157</v>
      </c>
      <c r="R1118" s="569" t="s">
        <v>1917</v>
      </c>
      <c r="S1118" s="569">
        <v>5</v>
      </c>
      <c r="T1118" s="569" t="s">
        <v>2275</v>
      </c>
      <c r="U1118" s="569" t="s">
        <v>1894</v>
      </c>
      <c r="V1118" s="569">
        <v>147.6</v>
      </c>
      <c r="W1118" s="569">
        <v>25</v>
      </c>
      <c r="X1118" s="568">
        <v>9000</v>
      </c>
      <c r="Y1118" s="569">
        <v>14</v>
      </c>
      <c r="Z1118" s="581" t="s">
        <v>728</v>
      </c>
      <c r="AA1118" s="581" t="s">
        <v>1523</v>
      </c>
      <c r="AB1118" s="585">
        <v>43805</v>
      </c>
      <c r="AC1118" s="585" t="s">
        <v>164</v>
      </c>
      <c r="AD1118" s="585">
        <v>33781.5</v>
      </c>
      <c r="AE1118" s="587">
        <v>0.03</v>
      </c>
      <c r="AF1118" s="661" t="str">
        <f t="shared" si="122"/>
        <v>2019-LVN-FRD-T25V-022-27</v>
      </c>
      <c r="AG1118" s="661" t="str">
        <f>IF(AND($Y1118&gt;=32,(AI1118="I"),(Y1118&lt;&gt;"~"),(COUNTIF($AN$1:$AN1118,$AN1118)=1)),"TRUE","FALSE")</f>
        <v>FALSE</v>
      </c>
      <c r="AH1118" s="661" t="str">
        <f>IF(AND($Y1118&gt;=22, (AI1118&lt;&gt;"I"),(Y1118&lt;&gt;"~"),(COUNTIF($AN$1:$AN1118,$AN1118)=1)),"TRUE","FALSE")</f>
        <v>FALSE</v>
      </c>
      <c r="AI1118" s="661" t="str">
        <f t="shared" si="124"/>
        <v>II</v>
      </c>
      <c r="AJ1118" s="662" t="str">
        <f t="shared" si="118"/>
        <v>T25V-022</v>
      </c>
      <c r="AK1118" s="662" t="str">
        <f t="shared" si="119"/>
        <v>LVN</v>
      </c>
      <c r="AL1118" s="662" t="str">
        <f t="shared" si="120"/>
        <v>FRD</v>
      </c>
      <c r="AM1118" s="662" t="str">
        <f t="shared" si="123"/>
        <v>Transit 250 Van-Sliding RH Door-RWD-2-110.1-~-3.2L-5-R2X-101A-147.6-25-Diesel-BioDiesel</v>
      </c>
      <c r="AN1118" s="662" t="str">
        <f t="shared" si="121"/>
        <v>2019-LVN-FRD-T25V-022</v>
      </c>
    </row>
    <row r="1119" spans="1:40" s="572" customFormat="1" ht="15">
      <c r="A1119" s="570" t="s">
        <v>2340</v>
      </c>
      <c r="B1119" s="573" t="s">
        <v>2277</v>
      </c>
      <c r="C1119" s="573" t="s">
        <v>280</v>
      </c>
      <c r="D1119" s="578">
        <v>27</v>
      </c>
      <c r="E1119" s="573" t="s">
        <v>1516</v>
      </c>
      <c r="F1119" s="573" t="s">
        <v>1517</v>
      </c>
      <c r="G1119" s="573" t="s">
        <v>271</v>
      </c>
      <c r="H1119" s="573">
        <v>2019</v>
      </c>
      <c r="I1119" s="573" t="s">
        <v>2199</v>
      </c>
      <c r="J1119" s="573" t="s">
        <v>1950</v>
      </c>
      <c r="K1119" s="573" t="s">
        <v>236</v>
      </c>
      <c r="L1119" s="573">
        <v>2</v>
      </c>
      <c r="M1119" s="573">
        <v>0</v>
      </c>
      <c r="N1119" s="573" t="s">
        <v>157</v>
      </c>
      <c r="O1119" s="573">
        <v>1</v>
      </c>
      <c r="P1119" s="573">
        <v>110.1</v>
      </c>
      <c r="Q1119" s="571" t="s">
        <v>157</v>
      </c>
      <c r="R1119" s="573" t="s">
        <v>1259</v>
      </c>
      <c r="S1119" s="573">
        <v>6</v>
      </c>
      <c r="T1119" s="573" t="s">
        <v>2275</v>
      </c>
      <c r="U1119" s="573" t="s">
        <v>1894</v>
      </c>
      <c r="V1119" s="573">
        <v>147.6</v>
      </c>
      <c r="W1119" s="573">
        <v>25</v>
      </c>
      <c r="X1119" s="571">
        <v>9000</v>
      </c>
      <c r="Y1119" s="569">
        <v>14</v>
      </c>
      <c r="Z1119" s="579" t="s">
        <v>178</v>
      </c>
      <c r="AA1119" s="579" t="s">
        <v>178</v>
      </c>
      <c r="AB1119" s="584">
        <v>41675</v>
      </c>
      <c r="AC1119" s="584" t="s">
        <v>164</v>
      </c>
      <c r="AD1119" s="584">
        <v>31888.208333333336</v>
      </c>
      <c r="AE1119" s="586">
        <v>0.03</v>
      </c>
      <c r="AF1119" s="661" t="str">
        <f t="shared" si="122"/>
        <v>2019-LVN-FRD-T25V-023-27</v>
      </c>
      <c r="AG1119" s="661" t="str">
        <f>IF(AND($Y1119&gt;=32,(AI1119="I"),(Y1119&lt;&gt;"~"),(COUNTIF($AN$1:$AN1119,$AN1119)=1)),"TRUE","FALSE")</f>
        <v>FALSE</v>
      </c>
      <c r="AH1119" s="661" t="str">
        <f>IF(AND($Y1119&gt;=22, (AI1119&lt;&gt;"I"),(Y1119&lt;&gt;"~"),(COUNTIF($AN$1:$AN1119,$AN1119)=1)),"TRUE","FALSE")</f>
        <v>FALSE</v>
      </c>
      <c r="AI1119" s="661" t="str">
        <f t="shared" si="124"/>
        <v>II</v>
      </c>
      <c r="AJ1119" s="662" t="str">
        <f t="shared" si="118"/>
        <v>T25V-023</v>
      </c>
      <c r="AK1119" s="662" t="str">
        <f t="shared" si="119"/>
        <v>LVN</v>
      </c>
      <c r="AL1119" s="662" t="str">
        <f t="shared" si="120"/>
        <v>FRD</v>
      </c>
      <c r="AM1119" s="662" t="str">
        <f t="shared" si="123"/>
        <v>Transit 250 Van-Sliding RH Door-RWD-2-110.1-~-3.5L EcoBoost-6-R2X-101A-147.6-25-Unleaded-Unleaded</v>
      </c>
      <c r="AN1119" s="662" t="str">
        <f t="shared" si="121"/>
        <v>2019-LVN-FRD-T25V-023</v>
      </c>
    </row>
    <row r="1120" spans="1:40" s="572" customFormat="1" ht="15">
      <c r="A1120" s="570" t="s">
        <v>2341</v>
      </c>
      <c r="B1120" s="569" t="s">
        <v>2279</v>
      </c>
      <c r="C1120" s="569" t="s">
        <v>280</v>
      </c>
      <c r="D1120" s="580">
        <v>27</v>
      </c>
      <c r="E1120" s="569" t="s">
        <v>1516</v>
      </c>
      <c r="F1120" s="569" t="s">
        <v>1517</v>
      </c>
      <c r="G1120" s="569" t="s">
        <v>271</v>
      </c>
      <c r="H1120" s="569">
        <v>2019</v>
      </c>
      <c r="I1120" s="569" t="s">
        <v>2199</v>
      </c>
      <c r="J1120" s="569" t="s">
        <v>1950</v>
      </c>
      <c r="K1120" s="569" t="s">
        <v>236</v>
      </c>
      <c r="L1120" s="569">
        <v>2</v>
      </c>
      <c r="M1120" s="569">
        <v>0</v>
      </c>
      <c r="N1120" s="569" t="s">
        <v>157</v>
      </c>
      <c r="O1120" s="569">
        <v>1</v>
      </c>
      <c r="P1120" s="569">
        <v>110.1</v>
      </c>
      <c r="Q1120" s="568" t="s">
        <v>157</v>
      </c>
      <c r="R1120" s="569" t="s">
        <v>682</v>
      </c>
      <c r="S1120" s="569">
        <v>6</v>
      </c>
      <c r="T1120" s="569" t="s">
        <v>2275</v>
      </c>
      <c r="U1120" s="569" t="s">
        <v>1894</v>
      </c>
      <c r="V1120" s="569">
        <v>147.6</v>
      </c>
      <c r="W1120" s="569">
        <v>25</v>
      </c>
      <c r="X1120" s="568">
        <v>9000</v>
      </c>
      <c r="Y1120" s="569">
        <v>14</v>
      </c>
      <c r="Z1120" s="581" t="s">
        <v>178</v>
      </c>
      <c r="AA1120" s="581" t="s">
        <v>178</v>
      </c>
      <c r="AB1120" s="585">
        <v>39810</v>
      </c>
      <c r="AC1120" s="585" t="s">
        <v>164</v>
      </c>
      <c r="AD1120" s="585">
        <v>30231.958333333336</v>
      </c>
      <c r="AE1120" s="587">
        <v>0.03</v>
      </c>
      <c r="AF1120" s="661" t="str">
        <f t="shared" si="122"/>
        <v>2019-LVN-FRD-T25V-024-27</v>
      </c>
      <c r="AG1120" s="661" t="str">
        <f>IF(AND($Y1120&gt;=32,(AI1120="I"),(Y1120&lt;&gt;"~"),(COUNTIF($AN$1:$AN1120,$AN1120)=1)),"TRUE","FALSE")</f>
        <v>FALSE</v>
      </c>
      <c r="AH1120" s="661" t="str">
        <f>IF(AND($Y1120&gt;=22, (AI1120&lt;&gt;"I"),(Y1120&lt;&gt;"~"),(COUNTIF($AN$1:$AN1120,$AN1120)=1)),"TRUE","FALSE")</f>
        <v>FALSE</v>
      </c>
      <c r="AI1120" s="661" t="str">
        <f t="shared" si="124"/>
        <v>II</v>
      </c>
      <c r="AJ1120" s="662" t="str">
        <f t="shared" si="118"/>
        <v>T25V-024</v>
      </c>
      <c r="AK1120" s="662" t="str">
        <f t="shared" si="119"/>
        <v>LVN</v>
      </c>
      <c r="AL1120" s="662" t="str">
        <f t="shared" si="120"/>
        <v>FRD</v>
      </c>
      <c r="AM1120" s="662" t="str">
        <f t="shared" si="123"/>
        <v>Transit 250 Van-Sliding RH Door-RWD-2-110.1-~-3.7L-6-R2X-101A-147.6-25-Unleaded-Unleaded</v>
      </c>
      <c r="AN1120" s="662" t="str">
        <f t="shared" si="121"/>
        <v>2019-LVN-FRD-T25V-024</v>
      </c>
    </row>
    <row r="1121" spans="1:40" s="572" customFormat="1" ht="15">
      <c r="A1121" s="570" t="s">
        <v>2342</v>
      </c>
      <c r="B1121" s="573" t="s">
        <v>2281</v>
      </c>
      <c r="C1121" s="573" t="s">
        <v>280</v>
      </c>
      <c r="D1121" s="578">
        <v>27</v>
      </c>
      <c r="E1121" s="573" t="s">
        <v>1516</v>
      </c>
      <c r="F1121" s="573" t="s">
        <v>1517</v>
      </c>
      <c r="G1121" s="573" t="s">
        <v>271</v>
      </c>
      <c r="H1121" s="573">
        <v>2019</v>
      </c>
      <c r="I1121" s="573" t="s">
        <v>2199</v>
      </c>
      <c r="J1121" s="573" t="s">
        <v>1950</v>
      </c>
      <c r="K1121" s="573" t="s">
        <v>236</v>
      </c>
      <c r="L1121" s="573">
        <v>2</v>
      </c>
      <c r="M1121" s="573">
        <v>0</v>
      </c>
      <c r="N1121" s="573" t="s">
        <v>157</v>
      </c>
      <c r="O1121" s="573">
        <v>1</v>
      </c>
      <c r="P1121" s="573">
        <v>83.2</v>
      </c>
      <c r="Q1121" s="571" t="s">
        <v>157</v>
      </c>
      <c r="R1121" s="573" t="s">
        <v>1917</v>
      </c>
      <c r="S1121" s="573">
        <v>5</v>
      </c>
      <c r="T1121" s="573" t="s">
        <v>2282</v>
      </c>
      <c r="U1121" s="573" t="s">
        <v>1894</v>
      </c>
      <c r="V1121" s="573">
        <v>129.9</v>
      </c>
      <c r="W1121" s="573">
        <v>25</v>
      </c>
      <c r="X1121" s="571">
        <v>9000</v>
      </c>
      <c r="Y1121" s="569">
        <v>14</v>
      </c>
      <c r="Z1121" s="579" t="s">
        <v>728</v>
      </c>
      <c r="AA1121" s="579" t="s">
        <v>1523</v>
      </c>
      <c r="AB1121" s="584">
        <v>39625</v>
      </c>
      <c r="AC1121" s="584" t="s">
        <v>164</v>
      </c>
      <c r="AD1121" s="584">
        <v>27877.333333333332</v>
      </c>
      <c r="AE1121" s="586">
        <v>0.03</v>
      </c>
      <c r="AF1121" s="661" t="str">
        <f t="shared" si="122"/>
        <v>2019-LVN-FRD-T25V-026-27</v>
      </c>
      <c r="AG1121" s="661" t="str">
        <f>IF(AND($Y1121&gt;=32,(AI1121="I"),(Y1121&lt;&gt;"~"),(COUNTIF($AN$1:$AN1121,$AN1121)=1)),"TRUE","FALSE")</f>
        <v>FALSE</v>
      </c>
      <c r="AH1121" s="661" t="str">
        <f>IF(AND($Y1121&gt;=22, (AI1121&lt;&gt;"I"),(Y1121&lt;&gt;"~"),(COUNTIF($AN$1:$AN1121,$AN1121)=1)),"TRUE","FALSE")</f>
        <v>FALSE</v>
      </c>
      <c r="AI1121" s="661" t="str">
        <f t="shared" si="124"/>
        <v>II</v>
      </c>
      <c r="AJ1121" s="662" t="str">
        <f t="shared" si="118"/>
        <v>T25V-026</v>
      </c>
      <c r="AK1121" s="662" t="str">
        <f t="shared" si="119"/>
        <v>LVN</v>
      </c>
      <c r="AL1121" s="662" t="str">
        <f t="shared" si="120"/>
        <v>FRD</v>
      </c>
      <c r="AM1121" s="662" t="str">
        <f t="shared" si="123"/>
        <v>Transit 250 Van-Sliding RH Door-RWD-2-83.2-~-3.2L-5-R1Y-101A-129.9-25-Diesel-BioDiesel</v>
      </c>
      <c r="AN1121" s="662" t="str">
        <f t="shared" si="121"/>
        <v>2019-LVN-FRD-T25V-026</v>
      </c>
    </row>
    <row r="1122" spans="1:40" s="572" customFormat="1" ht="15">
      <c r="A1122" s="570" t="s">
        <v>2343</v>
      </c>
      <c r="B1122" s="569" t="s">
        <v>2284</v>
      </c>
      <c r="C1122" s="569" t="s">
        <v>280</v>
      </c>
      <c r="D1122" s="580">
        <v>27</v>
      </c>
      <c r="E1122" s="569" t="s">
        <v>1516</v>
      </c>
      <c r="F1122" s="569" t="s">
        <v>1517</v>
      </c>
      <c r="G1122" s="569" t="s">
        <v>271</v>
      </c>
      <c r="H1122" s="569">
        <v>2019</v>
      </c>
      <c r="I1122" s="569" t="s">
        <v>2199</v>
      </c>
      <c r="J1122" s="569" t="s">
        <v>1950</v>
      </c>
      <c r="K1122" s="569" t="s">
        <v>236</v>
      </c>
      <c r="L1122" s="569">
        <v>2</v>
      </c>
      <c r="M1122" s="569">
        <v>0</v>
      </c>
      <c r="N1122" s="569" t="s">
        <v>157</v>
      </c>
      <c r="O1122" s="569">
        <v>1</v>
      </c>
      <c r="P1122" s="569">
        <v>83.2</v>
      </c>
      <c r="Q1122" s="568" t="s">
        <v>157</v>
      </c>
      <c r="R1122" s="569" t="s">
        <v>1917</v>
      </c>
      <c r="S1122" s="569">
        <v>5</v>
      </c>
      <c r="T1122" s="569" t="s">
        <v>2285</v>
      </c>
      <c r="U1122" s="569" t="s">
        <v>1894</v>
      </c>
      <c r="V1122" s="569">
        <v>147.6</v>
      </c>
      <c r="W1122" s="569">
        <v>25</v>
      </c>
      <c r="X1122" s="568">
        <v>9000</v>
      </c>
      <c r="Y1122" s="569">
        <v>14</v>
      </c>
      <c r="Z1122" s="581" t="s">
        <v>728</v>
      </c>
      <c r="AA1122" s="581" t="s">
        <v>1523</v>
      </c>
      <c r="AB1122" s="585">
        <v>40505</v>
      </c>
      <c r="AC1122" s="585" t="s">
        <v>164</v>
      </c>
      <c r="AD1122" s="585">
        <v>28680.458333333332</v>
      </c>
      <c r="AE1122" s="587">
        <v>0.03</v>
      </c>
      <c r="AF1122" s="661" t="str">
        <f t="shared" si="122"/>
        <v>2019-LVN-FRD-T25V-027-27</v>
      </c>
      <c r="AG1122" s="661" t="str">
        <f>IF(AND($Y1122&gt;=32,(AI1122="I"),(Y1122&lt;&gt;"~"),(COUNTIF($AN$1:$AN1122,$AN1122)=1)),"TRUE","FALSE")</f>
        <v>FALSE</v>
      </c>
      <c r="AH1122" s="661" t="str">
        <f>IF(AND($Y1122&gt;=22, (AI1122&lt;&gt;"I"),(Y1122&lt;&gt;"~"),(COUNTIF($AN$1:$AN1122,$AN1122)=1)),"TRUE","FALSE")</f>
        <v>FALSE</v>
      </c>
      <c r="AI1122" s="661" t="str">
        <f t="shared" si="124"/>
        <v>II</v>
      </c>
      <c r="AJ1122" s="662" t="str">
        <f t="shared" si="118"/>
        <v>T25V-027</v>
      </c>
      <c r="AK1122" s="662" t="str">
        <f t="shared" si="119"/>
        <v>LVN</v>
      </c>
      <c r="AL1122" s="662" t="str">
        <f t="shared" si="120"/>
        <v>FRD</v>
      </c>
      <c r="AM1122" s="662" t="str">
        <f t="shared" si="123"/>
        <v>Transit 250 Van-Sliding RH Door-RWD-2-83.2-~-3.2L-5-R2Y-101A-147.6-25-Diesel-BioDiesel</v>
      </c>
      <c r="AN1122" s="662" t="str">
        <f t="shared" si="121"/>
        <v>2019-LVN-FRD-T25V-027</v>
      </c>
    </row>
    <row r="1123" spans="1:40" s="572" customFormat="1" ht="15">
      <c r="A1123" s="570" t="s">
        <v>2344</v>
      </c>
      <c r="B1123" s="573" t="s">
        <v>2287</v>
      </c>
      <c r="C1123" s="573" t="s">
        <v>280</v>
      </c>
      <c r="D1123" s="578">
        <v>27</v>
      </c>
      <c r="E1123" s="573" t="s">
        <v>1516</v>
      </c>
      <c r="F1123" s="573" t="s">
        <v>1517</v>
      </c>
      <c r="G1123" s="573" t="s">
        <v>271</v>
      </c>
      <c r="H1123" s="573">
        <v>2019</v>
      </c>
      <c r="I1123" s="573" t="s">
        <v>2199</v>
      </c>
      <c r="J1123" s="573" t="s">
        <v>1950</v>
      </c>
      <c r="K1123" s="573" t="s">
        <v>236</v>
      </c>
      <c r="L1123" s="573">
        <v>2</v>
      </c>
      <c r="M1123" s="573">
        <v>0</v>
      </c>
      <c r="N1123" s="573" t="s">
        <v>157</v>
      </c>
      <c r="O1123" s="573">
        <v>1</v>
      </c>
      <c r="P1123" s="573">
        <v>83.2</v>
      </c>
      <c r="Q1123" s="571" t="s">
        <v>157</v>
      </c>
      <c r="R1123" s="573" t="s">
        <v>1259</v>
      </c>
      <c r="S1123" s="573">
        <v>6</v>
      </c>
      <c r="T1123" s="573" t="s">
        <v>2282</v>
      </c>
      <c r="U1123" s="573" t="s">
        <v>1894</v>
      </c>
      <c r="V1123" s="573">
        <v>129.9</v>
      </c>
      <c r="W1123" s="573">
        <v>25</v>
      </c>
      <c r="X1123" s="571">
        <v>9000</v>
      </c>
      <c r="Y1123" s="569">
        <v>14</v>
      </c>
      <c r="Z1123" s="579" t="s">
        <v>178</v>
      </c>
      <c r="AA1123" s="579" t="s">
        <v>178</v>
      </c>
      <c r="AB1123" s="584">
        <v>37495</v>
      </c>
      <c r="AC1123" s="584" t="s">
        <v>164</v>
      </c>
      <c r="AD1123" s="584">
        <v>25984.041666666668</v>
      </c>
      <c r="AE1123" s="586">
        <v>0.03</v>
      </c>
      <c r="AF1123" s="661" t="str">
        <f t="shared" si="122"/>
        <v>2019-LVN-FRD-T25V-028-27</v>
      </c>
      <c r="AG1123" s="661" t="str">
        <f>IF(AND($Y1123&gt;=32,(AI1123="I"),(Y1123&lt;&gt;"~"),(COUNTIF($AN$1:$AN1123,$AN1123)=1)),"TRUE","FALSE")</f>
        <v>FALSE</v>
      </c>
      <c r="AH1123" s="661" t="str">
        <f>IF(AND($Y1123&gt;=22, (AI1123&lt;&gt;"I"),(Y1123&lt;&gt;"~"),(COUNTIF($AN$1:$AN1123,$AN1123)=1)),"TRUE","FALSE")</f>
        <v>FALSE</v>
      </c>
      <c r="AI1123" s="661" t="str">
        <f t="shared" si="124"/>
        <v>II</v>
      </c>
      <c r="AJ1123" s="662" t="str">
        <f t="shared" si="118"/>
        <v>T25V-028</v>
      </c>
      <c r="AK1123" s="662" t="str">
        <f t="shared" si="119"/>
        <v>LVN</v>
      </c>
      <c r="AL1123" s="662" t="str">
        <f t="shared" si="120"/>
        <v>FRD</v>
      </c>
      <c r="AM1123" s="662" t="str">
        <f t="shared" si="123"/>
        <v>Transit 250 Van-Sliding RH Door-RWD-2-83.2-~-3.5L EcoBoost-6-R1Y-101A-129.9-25-Unleaded-Unleaded</v>
      </c>
      <c r="AN1123" s="662" t="str">
        <f t="shared" si="121"/>
        <v>2019-LVN-FRD-T25V-028</v>
      </c>
    </row>
    <row r="1124" spans="1:40" s="572" customFormat="1" ht="15">
      <c r="A1124" s="570" t="s">
        <v>2345</v>
      </c>
      <c r="B1124" s="569" t="s">
        <v>2289</v>
      </c>
      <c r="C1124" s="569" t="s">
        <v>280</v>
      </c>
      <c r="D1124" s="580">
        <v>27</v>
      </c>
      <c r="E1124" s="569" t="s">
        <v>1516</v>
      </c>
      <c r="F1124" s="569" t="s">
        <v>1517</v>
      </c>
      <c r="G1124" s="569" t="s">
        <v>271</v>
      </c>
      <c r="H1124" s="569">
        <v>2019</v>
      </c>
      <c r="I1124" s="569" t="s">
        <v>2199</v>
      </c>
      <c r="J1124" s="569" t="s">
        <v>1950</v>
      </c>
      <c r="K1124" s="569" t="s">
        <v>236</v>
      </c>
      <c r="L1124" s="569">
        <v>2</v>
      </c>
      <c r="M1124" s="569">
        <v>0</v>
      </c>
      <c r="N1124" s="569" t="s">
        <v>157</v>
      </c>
      <c r="O1124" s="569">
        <v>1</v>
      </c>
      <c r="P1124" s="569">
        <v>83.2</v>
      </c>
      <c r="Q1124" s="568" t="s">
        <v>157</v>
      </c>
      <c r="R1124" s="569" t="s">
        <v>1259</v>
      </c>
      <c r="S1124" s="569">
        <v>6</v>
      </c>
      <c r="T1124" s="569" t="s">
        <v>2285</v>
      </c>
      <c r="U1124" s="569" t="s">
        <v>1894</v>
      </c>
      <c r="V1124" s="569">
        <v>147.6</v>
      </c>
      <c r="W1124" s="569">
        <v>25</v>
      </c>
      <c r="X1124" s="568">
        <v>9000</v>
      </c>
      <c r="Y1124" s="569">
        <v>14</v>
      </c>
      <c r="Z1124" s="581" t="s">
        <v>178</v>
      </c>
      <c r="AA1124" s="581" t="s">
        <v>178</v>
      </c>
      <c r="AB1124" s="585">
        <v>38375</v>
      </c>
      <c r="AC1124" s="585" t="s">
        <v>164</v>
      </c>
      <c r="AD1124" s="585">
        <v>26787.166666666668</v>
      </c>
      <c r="AE1124" s="587">
        <v>0.03</v>
      </c>
      <c r="AF1124" s="661" t="str">
        <f t="shared" si="122"/>
        <v>2019-LVN-FRD-T25V-029-27</v>
      </c>
      <c r="AG1124" s="661" t="str">
        <f>IF(AND($Y1124&gt;=32,(AI1124="I"),(Y1124&lt;&gt;"~"),(COUNTIF($AN$1:$AN1124,$AN1124)=1)),"TRUE","FALSE")</f>
        <v>FALSE</v>
      </c>
      <c r="AH1124" s="661" t="str">
        <f>IF(AND($Y1124&gt;=22, (AI1124&lt;&gt;"I"),(Y1124&lt;&gt;"~"),(COUNTIF($AN$1:$AN1124,$AN1124)=1)),"TRUE","FALSE")</f>
        <v>FALSE</v>
      </c>
      <c r="AI1124" s="661" t="str">
        <f t="shared" si="124"/>
        <v>II</v>
      </c>
      <c r="AJ1124" s="662" t="str">
        <f t="shared" si="118"/>
        <v>T25V-029</v>
      </c>
      <c r="AK1124" s="662" t="str">
        <f t="shared" si="119"/>
        <v>LVN</v>
      </c>
      <c r="AL1124" s="662" t="str">
        <f t="shared" si="120"/>
        <v>FRD</v>
      </c>
      <c r="AM1124" s="662" t="str">
        <f t="shared" si="123"/>
        <v>Transit 250 Van-Sliding RH Door-RWD-2-83.2-~-3.5L EcoBoost-6-R2Y-101A-147.6-25-Unleaded-Unleaded</v>
      </c>
      <c r="AN1124" s="662" t="str">
        <f t="shared" si="121"/>
        <v>2019-LVN-FRD-T25V-029</v>
      </c>
    </row>
    <row r="1125" spans="1:40" s="572" customFormat="1" ht="15">
      <c r="A1125" s="570" t="s">
        <v>2346</v>
      </c>
      <c r="B1125" s="573" t="s">
        <v>2291</v>
      </c>
      <c r="C1125" s="573" t="s">
        <v>280</v>
      </c>
      <c r="D1125" s="578">
        <v>27</v>
      </c>
      <c r="E1125" s="573" t="s">
        <v>1516</v>
      </c>
      <c r="F1125" s="573" t="s">
        <v>1517</v>
      </c>
      <c r="G1125" s="573" t="s">
        <v>271</v>
      </c>
      <c r="H1125" s="573">
        <v>2019</v>
      </c>
      <c r="I1125" s="573" t="s">
        <v>2199</v>
      </c>
      <c r="J1125" s="573" t="s">
        <v>1950</v>
      </c>
      <c r="K1125" s="573" t="s">
        <v>236</v>
      </c>
      <c r="L1125" s="573">
        <v>2</v>
      </c>
      <c r="M1125" s="573">
        <v>0</v>
      </c>
      <c r="N1125" s="573" t="s">
        <v>157</v>
      </c>
      <c r="O1125" s="573">
        <v>1</v>
      </c>
      <c r="P1125" s="573">
        <v>83.2</v>
      </c>
      <c r="Q1125" s="571" t="s">
        <v>157</v>
      </c>
      <c r="R1125" s="573" t="s">
        <v>682</v>
      </c>
      <c r="S1125" s="573">
        <v>6</v>
      </c>
      <c r="T1125" s="573" t="s">
        <v>2282</v>
      </c>
      <c r="U1125" s="573" t="s">
        <v>1894</v>
      </c>
      <c r="V1125" s="573">
        <v>129.9</v>
      </c>
      <c r="W1125" s="573">
        <v>25</v>
      </c>
      <c r="X1125" s="571">
        <v>9000</v>
      </c>
      <c r="Y1125" s="569">
        <v>14</v>
      </c>
      <c r="Z1125" s="579" t="s">
        <v>178</v>
      </c>
      <c r="AA1125" s="579" t="s">
        <v>178</v>
      </c>
      <c r="AB1125" s="584">
        <v>35630</v>
      </c>
      <c r="AC1125" s="584" t="s">
        <v>164</v>
      </c>
      <c r="AD1125" s="584">
        <v>24327.791666666668</v>
      </c>
      <c r="AE1125" s="586">
        <v>0.03</v>
      </c>
      <c r="AF1125" s="661" t="str">
        <f t="shared" si="122"/>
        <v>2019-LVN-FRD-T25V-030-27</v>
      </c>
      <c r="AG1125" s="661" t="str">
        <f>IF(AND($Y1125&gt;=32,(AI1125="I"),(Y1125&lt;&gt;"~"),(COUNTIF($AN$1:$AN1125,$AN1125)=1)),"TRUE","FALSE")</f>
        <v>FALSE</v>
      </c>
      <c r="AH1125" s="661" t="str">
        <f>IF(AND($Y1125&gt;=22, (AI1125&lt;&gt;"I"),(Y1125&lt;&gt;"~"),(COUNTIF($AN$1:$AN1125,$AN1125)=1)),"TRUE","FALSE")</f>
        <v>FALSE</v>
      </c>
      <c r="AI1125" s="661" t="str">
        <f t="shared" si="124"/>
        <v>II</v>
      </c>
      <c r="AJ1125" s="662" t="str">
        <f t="shared" si="118"/>
        <v>T25V-030</v>
      </c>
      <c r="AK1125" s="662" t="str">
        <f t="shared" si="119"/>
        <v>LVN</v>
      </c>
      <c r="AL1125" s="662" t="str">
        <f t="shared" si="120"/>
        <v>FRD</v>
      </c>
      <c r="AM1125" s="662" t="str">
        <f t="shared" si="123"/>
        <v>Transit 250 Van-Sliding RH Door-RWD-2-83.2-~-3.7L-6-R1Y-101A-129.9-25-Unleaded-Unleaded</v>
      </c>
      <c r="AN1125" s="662" t="str">
        <f t="shared" si="121"/>
        <v>2019-LVN-FRD-T25V-030</v>
      </c>
    </row>
    <row r="1126" spans="1:40" s="572" customFormat="1" ht="15">
      <c r="A1126" s="570" t="s">
        <v>2347</v>
      </c>
      <c r="B1126" s="569" t="s">
        <v>2293</v>
      </c>
      <c r="C1126" s="569" t="s">
        <v>280</v>
      </c>
      <c r="D1126" s="580">
        <v>27</v>
      </c>
      <c r="E1126" s="569" t="s">
        <v>1516</v>
      </c>
      <c r="F1126" s="569" t="s">
        <v>1517</v>
      </c>
      <c r="G1126" s="569" t="s">
        <v>271</v>
      </c>
      <c r="H1126" s="569">
        <v>2019</v>
      </c>
      <c r="I1126" s="569" t="s">
        <v>2199</v>
      </c>
      <c r="J1126" s="569" t="s">
        <v>1950</v>
      </c>
      <c r="K1126" s="569" t="s">
        <v>236</v>
      </c>
      <c r="L1126" s="569">
        <v>2</v>
      </c>
      <c r="M1126" s="569">
        <v>0</v>
      </c>
      <c r="N1126" s="569" t="s">
        <v>157</v>
      </c>
      <c r="O1126" s="569">
        <v>1</v>
      </c>
      <c r="P1126" s="569">
        <v>83.2</v>
      </c>
      <c r="Q1126" s="568" t="s">
        <v>157</v>
      </c>
      <c r="R1126" s="569" t="s">
        <v>682</v>
      </c>
      <c r="S1126" s="569">
        <v>6</v>
      </c>
      <c r="T1126" s="569" t="s">
        <v>2285</v>
      </c>
      <c r="U1126" s="569" t="s">
        <v>1894</v>
      </c>
      <c r="V1126" s="569">
        <v>147.6</v>
      </c>
      <c r="W1126" s="569">
        <v>25</v>
      </c>
      <c r="X1126" s="568">
        <v>9000</v>
      </c>
      <c r="Y1126" s="569">
        <v>14</v>
      </c>
      <c r="Z1126" s="581" t="s">
        <v>178</v>
      </c>
      <c r="AA1126" s="581" t="s">
        <v>178</v>
      </c>
      <c r="AB1126" s="585">
        <v>36510</v>
      </c>
      <c r="AC1126" s="585" t="s">
        <v>164</v>
      </c>
      <c r="AD1126" s="585">
        <v>25130.916666666668</v>
      </c>
      <c r="AE1126" s="587">
        <v>0.03</v>
      </c>
      <c r="AF1126" s="661" t="str">
        <f t="shared" si="122"/>
        <v>2019-LVN-FRD-T25V-031-27</v>
      </c>
      <c r="AG1126" s="661" t="str">
        <f>IF(AND($Y1126&gt;=32,(AI1126="I"),(Y1126&lt;&gt;"~"),(COUNTIF($AN$1:$AN1126,$AN1126)=1)),"TRUE","FALSE")</f>
        <v>FALSE</v>
      </c>
      <c r="AH1126" s="661" t="str">
        <f>IF(AND($Y1126&gt;=22, (AI1126&lt;&gt;"I"),(Y1126&lt;&gt;"~"),(COUNTIF($AN$1:$AN1126,$AN1126)=1)),"TRUE","FALSE")</f>
        <v>FALSE</v>
      </c>
      <c r="AI1126" s="661" t="str">
        <f t="shared" si="124"/>
        <v>II</v>
      </c>
      <c r="AJ1126" s="662" t="str">
        <f t="shared" si="118"/>
        <v>T25V-031</v>
      </c>
      <c r="AK1126" s="662" t="str">
        <f t="shared" si="119"/>
        <v>LVN</v>
      </c>
      <c r="AL1126" s="662" t="str">
        <f t="shared" si="120"/>
        <v>FRD</v>
      </c>
      <c r="AM1126" s="662" t="str">
        <f t="shared" si="123"/>
        <v>Transit 250 Van-Sliding RH Door-RWD-2-83.2-~-3.7L-6-R2Y-101A-147.6-25-Unleaded-Unleaded</v>
      </c>
      <c r="AN1126" s="662" t="str">
        <f t="shared" si="121"/>
        <v>2019-LVN-FRD-T25V-031</v>
      </c>
    </row>
    <row r="1127" spans="1:40" s="572" customFormat="1" ht="15">
      <c r="A1127" s="570" t="s">
        <v>2348</v>
      </c>
      <c r="B1127" s="573" t="s">
        <v>2349</v>
      </c>
      <c r="C1127" s="573" t="s">
        <v>269</v>
      </c>
      <c r="D1127" s="578" t="s">
        <v>270</v>
      </c>
      <c r="E1127" s="573" t="s">
        <v>1516</v>
      </c>
      <c r="F1127" s="573" t="s">
        <v>1517</v>
      </c>
      <c r="G1127" s="573" t="s">
        <v>271</v>
      </c>
      <c r="H1127" s="573">
        <v>2019</v>
      </c>
      <c r="I1127" s="573" t="s">
        <v>2199</v>
      </c>
      <c r="J1127" s="573" t="s">
        <v>2014</v>
      </c>
      <c r="K1127" s="573" t="s">
        <v>236</v>
      </c>
      <c r="L1127" s="573">
        <v>2</v>
      </c>
      <c r="M1127" s="573">
        <v>0</v>
      </c>
      <c r="N1127" s="573" t="s">
        <v>157</v>
      </c>
      <c r="O1127" s="573">
        <v>1</v>
      </c>
      <c r="P1127" s="573">
        <v>83.2</v>
      </c>
      <c r="Q1127" s="571" t="s">
        <v>157</v>
      </c>
      <c r="R1127" s="573" t="s">
        <v>1917</v>
      </c>
      <c r="S1127" s="573">
        <v>5</v>
      </c>
      <c r="T1127" s="573" t="s">
        <v>2350</v>
      </c>
      <c r="U1127" s="573" t="s">
        <v>1894</v>
      </c>
      <c r="V1127" s="573">
        <v>147.6</v>
      </c>
      <c r="W1127" s="573">
        <v>25</v>
      </c>
      <c r="X1127" s="571">
        <v>9000</v>
      </c>
      <c r="Y1127" s="569">
        <v>14</v>
      </c>
      <c r="Z1127" s="579" t="s">
        <v>728</v>
      </c>
      <c r="AA1127" s="579" t="s">
        <v>1523</v>
      </c>
      <c r="AB1127" s="584">
        <v>40350</v>
      </c>
      <c r="AC1127" s="584" t="s">
        <v>164</v>
      </c>
      <c r="AD1127" s="584">
        <v>28539.833333333332</v>
      </c>
      <c r="AE1127" s="586">
        <v>0.03</v>
      </c>
      <c r="AF1127" s="661" t="str">
        <f t="shared" si="122"/>
        <v>2019-LVN-FRD-T25V-032-05</v>
      </c>
      <c r="AG1127" s="661" t="str">
        <f>IF(AND($Y1127&gt;=32,(AI1127="I"),(Y1127&lt;&gt;"~"),(COUNTIF($AN$1:$AN1127,$AN1127)=1)),"TRUE","FALSE")</f>
        <v>FALSE</v>
      </c>
      <c r="AH1127" s="661" t="str">
        <f>IF(AND($Y1127&gt;=22, (AI1127&lt;&gt;"I"),(Y1127&lt;&gt;"~"),(COUNTIF($AN$1:$AN1127,$AN1127)=1)),"TRUE","FALSE")</f>
        <v>FALSE</v>
      </c>
      <c r="AI1127" s="661" t="str">
        <f t="shared" si="124"/>
        <v>II</v>
      </c>
      <c r="AJ1127" s="662" t="str">
        <f t="shared" si="118"/>
        <v>T25V-032</v>
      </c>
      <c r="AK1127" s="662" t="str">
        <f t="shared" si="119"/>
        <v>LVN</v>
      </c>
      <c r="AL1127" s="662" t="str">
        <f t="shared" si="120"/>
        <v>FRD</v>
      </c>
      <c r="AM1127" s="662" t="str">
        <f t="shared" si="123"/>
        <v>Transit 250 Van-Swing-Out RH Door-RWD-2-83.2-~-3.2L-5-R2Z-101A-147.6-25-Diesel-BioDiesel</v>
      </c>
      <c r="AN1127" s="662" t="str">
        <f t="shared" si="121"/>
        <v>2019-LVN-FRD-T25V-032</v>
      </c>
    </row>
    <row r="1128" spans="1:40" s="572" customFormat="1" ht="15">
      <c r="A1128" s="570" t="s">
        <v>2351</v>
      </c>
      <c r="B1128" s="569" t="s">
        <v>2352</v>
      </c>
      <c r="C1128" s="569" t="s">
        <v>269</v>
      </c>
      <c r="D1128" s="580" t="s">
        <v>270</v>
      </c>
      <c r="E1128" s="569" t="s">
        <v>1516</v>
      </c>
      <c r="F1128" s="569" t="s">
        <v>1517</v>
      </c>
      <c r="G1128" s="569" t="s">
        <v>271</v>
      </c>
      <c r="H1128" s="569">
        <v>2019</v>
      </c>
      <c r="I1128" s="569" t="s">
        <v>2199</v>
      </c>
      <c r="J1128" s="569" t="s">
        <v>2014</v>
      </c>
      <c r="K1128" s="569" t="s">
        <v>236</v>
      </c>
      <c r="L1128" s="569">
        <v>2</v>
      </c>
      <c r="M1128" s="569">
        <v>0</v>
      </c>
      <c r="N1128" s="569" t="s">
        <v>157</v>
      </c>
      <c r="O1128" s="569">
        <v>1</v>
      </c>
      <c r="P1128" s="569">
        <v>83.2</v>
      </c>
      <c r="Q1128" s="568" t="s">
        <v>157</v>
      </c>
      <c r="R1128" s="569" t="s">
        <v>1259</v>
      </c>
      <c r="S1128" s="569">
        <v>6</v>
      </c>
      <c r="T1128" s="569" t="s">
        <v>2350</v>
      </c>
      <c r="U1128" s="569" t="s">
        <v>1894</v>
      </c>
      <c r="V1128" s="569">
        <v>147.6</v>
      </c>
      <c r="W1128" s="569">
        <v>25</v>
      </c>
      <c r="X1128" s="568">
        <v>9000</v>
      </c>
      <c r="Y1128" s="569">
        <v>14</v>
      </c>
      <c r="Z1128" s="581" t="s">
        <v>178</v>
      </c>
      <c r="AA1128" s="581" t="s">
        <v>178</v>
      </c>
      <c r="AB1128" s="585">
        <v>38220</v>
      </c>
      <c r="AC1128" s="585" t="s">
        <v>164</v>
      </c>
      <c r="AD1128" s="585">
        <v>26646.541666666668</v>
      </c>
      <c r="AE1128" s="587">
        <v>0.03</v>
      </c>
      <c r="AF1128" s="661" t="str">
        <f t="shared" si="122"/>
        <v>2019-LVN-FRD-T25V-033-05</v>
      </c>
      <c r="AG1128" s="661" t="str">
        <f>IF(AND($Y1128&gt;=32,(AI1128="I"),(Y1128&lt;&gt;"~"),(COUNTIF($AN$1:$AN1128,$AN1128)=1)),"TRUE","FALSE")</f>
        <v>FALSE</v>
      </c>
      <c r="AH1128" s="661" t="str">
        <f>IF(AND($Y1128&gt;=22, (AI1128&lt;&gt;"I"),(Y1128&lt;&gt;"~"),(COUNTIF($AN$1:$AN1128,$AN1128)=1)),"TRUE","FALSE")</f>
        <v>FALSE</v>
      </c>
      <c r="AI1128" s="661" t="str">
        <f t="shared" si="124"/>
        <v>II</v>
      </c>
      <c r="AJ1128" s="662" t="str">
        <f t="shared" si="118"/>
        <v>T25V-033</v>
      </c>
      <c r="AK1128" s="662" t="str">
        <f t="shared" si="119"/>
        <v>LVN</v>
      </c>
      <c r="AL1128" s="662" t="str">
        <f t="shared" si="120"/>
        <v>FRD</v>
      </c>
      <c r="AM1128" s="662" t="str">
        <f t="shared" si="123"/>
        <v>Transit 250 Van-Swing-Out RH Door-RWD-2-83.2-~-3.5L EcoBoost-6-R2Z-101A-147.6-25-Unleaded-Unleaded</v>
      </c>
      <c r="AN1128" s="662" t="str">
        <f t="shared" si="121"/>
        <v>2019-LVN-FRD-T25V-033</v>
      </c>
    </row>
    <row r="1129" spans="1:40" s="572" customFormat="1" ht="15">
      <c r="A1129" s="570" t="s">
        <v>2353</v>
      </c>
      <c r="B1129" s="573" t="s">
        <v>2354</v>
      </c>
      <c r="C1129" s="573" t="s">
        <v>269</v>
      </c>
      <c r="D1129" s="578" t="s">
        <v>270</v>
      </c>
      <c r="E1129" s="573" t="s">
        <v>1516</v>
      </c>
      <c r="F1129" s="573" t="s">
        <v>1517</v>
      </c>
      <c r="G1129" s="573" t="s">
        <v>271</v>
      </c>
      <c r="H1129" s="573">
        <v>2019</v>
      </c>
      <c r="I1129" s="573" t="s">
        <v>2199</v>
      </c>
      <c r="J1129" s="573" t="s">
        <v>2014</v>
      </c>
      <c r="K1129" s="573" t="s">
        <v>236</v>
      </c>
      <c r="L1129" s="573">
        <v>2</v>
      </c>
      <c r="M1129" s="573">
        <v>0</v>
      </c>
      <c r="N1129" s="573" t="s">
        <v>157</v>
      </c>
      <c r="O1129" s="573">
        <v>1</v>
      </c>
      <c r="P1129" s="573">
        <v>83.2</v>
      </c>
      <c r="Q1129" s="571" t="s">
        <v>157</v>
      </c>
      <c r="R1129" s="573" t="s">
        <v>682</v>
      </c>
      <c r="S1129" s="573">
        <v>6</v>
      </c>
      <c r="T1129" s="573" t="s">
        <v>2350</v>
      </c>
      <c r="U1129" s="573" t="s">
        <v>1894</v>
      </c>
      <c r="V1129" s="573">
        <v>147.6</v>
      </c>
      <c r="W1129" s="573">
        <v>25</v>
      </c>
      <c r="X1129" s="571">
        <v>9000</v>
      </c>
      <c r="Y1129" s="569">
        <v>14</v>
      </c>
      <c r="Z1129" s="579" t="s">
        <v>178</v>
      </c>
      <c r="AA1129" s="579" t="s">
        <v>178</v>
      </c>
      <c r="AB1129" s="584">
        <v>36355</v>
      </c>
      <c r="AC1129" s="584" t="s">
        <v>164</v>
      </c>
      <c r="AD1129" s="584">
        <v>24990.291666666668</v>
      </c>
      <c r="AE1129" s="586">
        <v>0.03</v>
      </c>
      <c r="AF1129" s="661" t="str">
        <f t="shared" si="122"/>
        <v>2019-LVN-FRD-T25V-034-05</v>
      </c>
      <c r="AG1129" s="661" t="str">
        <f>IF(AND($Y1129&gt;=32,(AI1129="I"),(Y1129&lt;&gt;"~"),(COUNTIF($AN$1:$AN1129,$AN1129)=1)),"TRUE","FALSE")</f>
        <v>FALSE</v>
      </c>
      <c r="AH1129" s="661" t="str">
        <f>IF(AND($Y1129&gt;=22, (AI1129&lt;&gt;"I"),(Y1129&lt;&gt;"~"),(COUNTIF($AN$1:$AN1129,$AN1129)=1)),"TRUE","FALSE")</f>
        <v>FALSE</v>
      </c>
      <c r="AI1129" s="661" t="str">
        <f t="shared" si="124"/>
        <v>II</v>
      </c>
      <c r="AJ1129" s="662" t="str">
        <f t="shared" si="118"/>
        <v>T25V-034</v>
      </c>
      <c r="AK1129" s="662" t="str">
        <f t="shared" si="119"/>
        <v>LVN</v>
      </c>
      <c r="AL1129" s="662" t="str">
        <f t="shared" si="120"/>
        <v>FRD</v>
      </c>
      <c r="AM1129" s="662" t="str">
        <f t="shared" si="123"/>
        <v>Transit 250 Van-Swing-Out RH Door-RWD-2-83.2-~-3.7L-6-R2Z-101A-147.6-25-Unleaded-Unleaded</v>
      </c>
      <c r="AN1129" s="662" t="str">
        <f t="shared" si="121"/>
        <v>2019-LVN-FRD-T25V-034</v>
      </c>
    </row>
    <row r="1130" spans="1:40" s="572" customFormat="1" ht="15">
      <c r="A1130" s="570" t="s">
        <v>2355</v>
      </c>
      <c r="B1130" s="569" t="s">
        <v>2356</v>
      </c>
      <c r="C1130" s="569" t="s">
        <v>269</v>
      </c>
      <c r="D1130" s="580" t="s">
        <v>270</v>
      </c>
      <c r="E1130" s="569" t="s">
        <v>1516</v>
      </c>
      <c r="F1130" s="569" t="s">
        <v>1517</v>
      </c>
      <c r="G1130" s="569" t="s">
        <v>271</v>
      </c>
      <c r="H1130" s="569">
        <v>2019</v>
      </c>
      <c r="I1130" s="569" t="s">
        <v>2199</v>
      </c>
      <c r="J1130" s="569" t="s">
        <v>2014</v>
      </c>
      <c r="K1130" s="569" t="s">
        <v>236</v>
      </c>
      <c r="L1130" s="569">
        <v>2</v>
      </c>
      <c r="M1130" s="569">
        <v>0</v>
      </c>
      <c r="N1130" s="569" t="s">
        <v>157</v>
      </c>
      <c r="O1130" s="569">
        <v>1</v>
      </c>
      <c r="P1130" s="569">
        <v>83.6</v>
      </c>
      <c r="Q1130" s="568" t="s">
        <v>157</v>
      </c>
      <c r="R1130" s="569" t="s">
        <v>1917</v>
      </c>
      <c r="S1130" s="569">
        <v>5</v>
      </c>
      <c r="T1130" s="569" t="s">
        <v>2357</v>
      </c>
      <c r="U1130" s="569" t="s">
        <v>1894</v>
      </c>
      <c r="V1130" s="569">
        <v>129.9</v>
      </c>
      <c r="W1130" s="569">
        <v>25</v>
      </c>
      <c r="X1130" s="568">
        <v>9000</v>
      </c>
      <c r="Y1130" s="569">
        <v>14</v>
      </c>
      <c r="Z1130" s="581" t="s">
        <v>728</v>
      </c>
      <c r="AA1130" s="581" t="s">
        <v>1523</v>
      </c>
      <c r="AB1130" s="585">
        <v>39475</v>
      </c>
      <c r="AC1130" s="585" t="s">
        <v>164</v>
      </c>
      <c r="AD1130" s="585">
        <v>27739.833333333332</v>
      </c>
      <c r="AE1130" s="587">
        <v>0.03</v>
      </c>
      <c r="AF1130" s="661" t="str">
        <f t="shared" si="122"/>
        <v>2019-LVN-FRD-T25V-036-05</v>
      </c>
      <c r="AG1130" s="661" t="str">
        <f>IF(AND($Y1130&gt;=32,(AI1130="I"),(Y1130&lt;&gt;"~"),(COUNTIF($AN$1:$AN1130,$AN1130)=1)),"TRUE","FALSE")</f>
        <v>FALSE</v>
      </c>
      <c r="AH1130" s="661" t="str">
        <f>IF(AND($Y1130&gt;=22, (AI1130&lt;&gt;"I"),(Y1130&lt;&gt;"~"),(COUNTIF($AN$1:$AN1130,$AN1130)=1)),"TRUE","FALSE")</f>
        <v>FALSE</v>
      </c>
      <c r="AI1130" s="661" t="str">
        <f t="shared" si="124"/>
        <v>II</v>
      </c>
      <c r="AJ1130" s="662" t="str">
        <f t="shared" si="118"/>
        <v>T25V-036</v>
      </c>
      <c r="AK1130" s="662" t="str">
        <f t="shared" si="119"/>
        <v>LVN</v>
      </c>
      <c r="AL1130" s="662" t="str">
        <f t="shared" si="120"/>
        <v>FRD</v>
      </c>
      <c r="AM1130" s="662" t="str">
        <f t="shared" si="123"/>
        <v>Transit 250 Van-Swing-Out RH Door-RWD-2-83.6-~-3.2L-5-R1Z-101A-129.9-25-Diesel-BioDiesel</v>
      </c>
      <c r="AN1130" s="662" t="str">
        <f t="shared" si="121"/>
        <v>2019-LVN-FRD-T25V-036</v>
      </c>
    </row>
    <row r="1131" spans="1:40" s="572" customFormat="1" ht="15">
      <c r="A1131" s="570" t="s">
        <v>2358</v>
      </c>
      <c r="B1131" s="573" t="s">
        <v>2359</v>
      </c>
      <c r="C1131" s="573" t="s">
        <v>269</v>
      </c>
      <c r="D1131" s="578" t="s">
        <v>270</v>
      </c>
      <c r="E1131" s="573" t="s">
        <v>1516</v>
      </c>
      <c r="F1131" s="573" t="s">
        <v>1517</v>
      </c>
      <c r="G1131" s="573" t="s">
        <v>271</v>
      </c>
      <c r="H1131" s="573">
        <v>2019</v>
      </c>
      <c r="I1131" s="573" t="s">
        <v>2199</v>
      </c>
      <c r="J1131" s="573" t="s">
        <v>2014</v>
      </c>
      <c r="K1131" s="573" t="s">
        <v>236</v>
      </c>
      <c r="L1131" s="573">
        <v>2</v>
      </c>
      <c r="M1131" s="573">
        <v>0</v>
      </c>
      <c r="N1131" s="573" t="s">
        <v>157</v>
      </c>
      <c r="O1131" s="573">
        <v>1</v>
      </c>
      <c r="P1131" s="573">
        <v>83.6</v>
      </c>
      <c r="Q1131" s="571" t="s">
        <v>157</v>
      </c>
      <c r="R1131" s="573" t="s">
        <v>1259</v>
      </c>
      <c r="S1131" s="573">
        <v>6</v>
      </c>
      <c r="T1131" s="573" t="s">
        <v>2357</v>
      </c>
      <c r="U1131" s="573" t="s">
        <v>1894</v>
      </c>
      <c r="V1131" s="573">
        <v>129.9</v>
      </c>
      <c r="W1131" s="573">
        <v>25</v>
      </c>
      <c r="X1131" s="571">
        <v>9000</v>
      </c>
      <c r="Y1131" s="569">
        <v>14</v>
      </c>
      <c r="Z1131" s="579" t="s">
        <v>178</v>
      </c>
      <c r="AA1131" s="579" t="s">
        <v>178</v>
      </c>
      <c r="AB1131" s="584">
        <v>37345</v>
      </c>
      <c r="AC1131" s="584" t="s">
        <v>164</v>
      </c>
      <c r="AD1131" s="584">
        <v>25846.541666666668</v>
      </c>
      <c r="AE1131" s="586">
        <v>0.03</v>
      </c>
      <c r="AF1131" s="661" t="str">
        <f t="shared" si="122"/>
        <v>2019-LVN-FRD-T25V-037-05</v>
      </c>
      <c r="AG1131" s="661" t="str">
        <f>IF(AND($Y1131&gt;=32,(AI1131="I"),(Y1131&lt;&gt;"~"),(COUNTIF($AN$1:$AN1131,$AN1131)=1)),"TRUE","FALSE")</f>
        <v>FALSE</v>
      </c>
      <c r="AH1131" s="661" t="str">
        <f>IF(AND($Y1131&gt;=22, (AI1131&lt;&gt;"I"),(Y1131&lt;&gt;"~"),(COUNTIF($AN$1:$AN1131,$AN1131)=1)),"TRUE","FALSE")</f>
        <v>FALSE</v>
      </c>
      <c r="AI1131" s="661" t="str">
        <f t="shared" si="124"/>
        <v>II</v>
      </c>
      <c r="AJ1131" s="662" t="str">
        <f t="shared" si="118"/>
        <v>T25V-037</v>
      </c>
      <c r="AK1131" s="662" t="str">
        <f t="shared" si="119"/>
        <v>LVN</v>
      </c>
      <c r="AL1131" s="662" t="str">
        <f t="shared" si="120"/>
        <v>FRD</v>
      </c>
      <c r="AM1131" s="662" t="str">
        <f t="shared" si="123"/>
        <v>Transit 250 Van-Swing-Out RH Door-RWD-2-83.6-~-3.5L EcoBoost-6-R1Z-101A-129.9-25-Unleaded-Unleaded</v>
      </c>
      <c r="AN1131" s="662" t="str">
        <f t="shared" si="121"/>
        <v>2019-LVN-FRD-T25V-037</v>
      </c>
    </row>
    <row r="1132" spans="1:40" s="572" customFormat="1" ht="15">
      <c r="A1132" s="570" t="s">
        <v>2360</v>
      </c>
      <c r="B1132" s="569" t="s">
        <v>2361</v>
      </c>
      <c r="C1132" s="569" t="s">
        <v>269</v>
      </c>
      <c r="D1132" s="580" t="s">
        <v>270</v>
      </c>
      <c r="E1132" s="569" t="s">
        <v>1516</v>
      </c>
      <c r="F1132" s="569" t="s">
        <v>1517</v>
      </c>
      <c r="G1132" s="569" t="s">
        <v>271</v>
      </c>
      <c r="H1132" s="569">
        <v>2019</v>
      </c>
      <c r="I1132" s="569" t="s">
        <v>2199</v>
      </c>
      <c r="J1132" s="569" t="s">
        <v>2014</v>
      </c>
      <c r="K1132" s="569" t="s">
        <v>236</v>
      </c>
      <c r="L1132" s="569">
        <v>2</v>
      </c>
      <c r="M1132" s="569">
        <v>0</v>
      </c>
      <c r="N1132" s="569" t="s">
        <v>157</v>
      </c>
      <c r="O1132" s="569">
        <v>1</v>
      </c>
      <c r="P1132" s="569">
        <v>83.6</v>
      </c>
      <c r="Q1132" s="568" t="s">
        <v>157</v>
      </c>
      <c r="R1132" s="569" t="s">
        <v>682</v>
      </c>
      <c r="S1132" s="569">
        <v>6</v>
      </c>
      <c r="T1132" s="569" t="s">
        <v>2357</v>
      </c>
      <c r="U1132" s="569" t="s">
        <v>1894</v>
      </c>
      <c r="V1132" s="569">
        <v>129.9</v>
      </c>
      <c r="W1132" s="569">
        <v>25</v>
      </c>
      <c r="X1132" s="568">
        <v>9000</v>
      </c>
      <c r="Y1132" s="569">
        <v>14</v>
      </c>
      <c r="Z1132" s="581" t="s">
        <v>178</v>
      </c>
      <c r="AA1132" s="581" t="s">
        <v>178</v>
      </c>
      <c r="AB1132" s="585">
        <v>35480</v>
      </c>
      <c r="AC1132" s="585" t="s">
        <v>164</v>
      </c>
      <c r="AD1132" s="585">
        <v>24190.291666666668</v>
      </c>
      <c r="AE1132" s="587">
        <v>0.03</v>
      </c>
      <c r="AF1132" s="661" t="str">
        <f t="shared" si="122"/>
        <v>2019-LVN-FRD-T25V-038-05</v>
      </c>
      <c r="AG1132" s="661" t="str">
        <f>IF(AND($Y1132&gt;=32,(AI1132="I"),(Y1132&lt;&gt;"~"),(COUNTIF($AN$1:$AN1132,$AN1132)=1)),"TRUE","FALSE")</f>
        <v>FALSE</v>
      </c>
      <c r="AH1132" s="661" t="str">
        <f>IF(AND($Y1132&gt;=22, (AI1132&lt;&gt;"I"),(Y1132&lt;&gt;"~"),(COUNTIF($AN$1:$AN1132,$AN1132)=1)),"TRUE","FALSE")</f>
        <v>FALSE</v>
      </c>
      <c r="AI1132" s="661" t="str">
        <f t="shared" si="124"/>
        <v>II</v>
      </c>
      <c r="AJ1132" s="662" t="str">
        <f t="shared" si="118"/>
        <v>T25V-038</v>
      </c>
      <c r="AK1132" s="662" t="str">
        <f t="shared" si="119"/>
        <v>LVN</v>
      </c>
      <c r="AL1132" s="662" t="str">
        <f t="shared" si="120"/>
        <v>FRD</v>
      </c>
      <c r="AM1132" s="662" t="str">
        <f t="shared" si="123"/>
        <v>Transit 250 Van-Swing-Out RH Door-RWD-2-83.6-~-3.7L-6-R1Z-101A-129.9-25-Unleaded-Unleaded</v>
      </c>
      <c r="AN1132" s="662" t="str">
        <f t="shared" si="121"/>
        <v>2019-LVN-FRD-T25V-038</v>
      </c>
    </row>
    <row r="1133" spans="1:40" s="572" customFormat="1" ht="15">
      <c r="A1133" s="570" t="s">
        <v>2362</v>
      </c>
      <c r="B1133" s="573" t="s">
        <v>2349</v>
      </c>
      <c r="C1133" s="573" t="s">
        <v>278</v>
      </c>
      <c r="D1133" s="578">
        <v>15</v>
      </c>
      <c r="E1133" s="573" t="s">
        <v>1516</v>
      </c>
      <c r="F1133" s="573" t="s">
        <v>1517</v>
      </c>
      <c r="G1133" s="573" t="s">
        <v>271</v>
      </c>
      <c r="H1133" s="573">
        <v>2019</v>
      </c>
      <c r="I1133" s="573" t="s">
        <v>2199</v>
      </c>
      <c r="J1133" s="573" t="s">
        <v>2014</v>
      </c>
      <c r="K1133" s="573" t="s">
        <v>236</v>
      </c>
      <c r="L1133" s="573">
        <v>2</v>
      </c>
      <c r="M1133" s="573">
        <v>0</v>
      </c>
      <c r="N1133" s="573" t="s">
        <v>157</v>
      </c>
      <c r="O1133" s="573">
        <v>1</v>
      </c>
      <c r="P1133" s="573">
        <v>83.2</v>
      </c>
      <c r="Q1133" s="571" t="s">
        <v>157</v>
      </c>
      <c r="R1133" s="573" t="s">
        <v>1917</v>
      </c>
      <c r="S1133" s="573">
        <v>5</v>
      </c>
      <c r="T1133" s="573" t="s">
        <v>2350</v>
      </c>
      <c r="U1133" s="573" t="s">
        <v>1894</v>
      </c>
      <c r="V1133" s="573">
        <v>147.6</v>
      </c>
      <c r="W1133" s="573">
        <v>25</v>
      </c>
      <c r="X1133" s="571">
        <v>9000</v>
      </c>
      <c r="Y1133" s="569">
        <v>14</v>
      </c>
      <c r="Z1133" s="579" t="s">
        <v>728</v>
      </c>
      <c r="AA1133" s="579" t="s">
        <v>1523</v>
      </c>
      <c r="AB1133" s="584">
        <v>40350</v>
      </c>
      <c r="AC1133" s="584" t="s">
        <v>164</v>
      </c>
      <c r="AD1133" s="584">
        <v>29100</v>
      </c>
      <c r="AE1133" s="586">
        <v>0.01</v>
      </c>
      <c r="AF1133" s="661" t="str">
        <f t="shared" si="122"/>
        <v>2019-LVN-FRD-T25V-032-15</v>
      </c>
      <c r="AG1133" s="661" t="str">
        <f>IF(AND($Y1133&gt;=32,(AI1133="I"),(Y1133&lt;&gt;"~"),(COUNTIF($AN$1:$AN1133,$AN1133)=1)),"TRUE","FALSE")</f>
        <v>FALSE</v>
      </c>
      <c r="AH1133" s="661" t="str">
        <f>IF(AND($Y1133&gt;=22, (AI1133&lt;&gt;"I"),(Y1133&lt;&gt;"~"),(COUNTIF($AN$1:$AN1133,$AN1133)=1)),"TRUE","FALSE")</f>
        <v>FALSE</v>
      </c>
      <c r="AI1133" s="661" t="str">
        <f t="shared" si="124"/>
        <v>II</v>
      </c>
      <c r="AJ1133" s="662" t="str">
        <f t="shared" si="118"/>
        <v>T25V-032</v>
      </c>
      <c r="AK1133" s="662" t="str">
        <f t="shared" si="119"/>
        <v>LVN</v>
      </c>
      <c r="AL1133" s="662" t="str">
        <f t="shared" si="120"/>
        <v>FRD</v>
      </c>
      <c r="AM1133" s="662" t="str">
        <f t="shared" si="123"/>
        <v>Transit 250 Van-Swing-Out RH Door-RWD-2-83.2-~-3.2L-5-R2Z-101A-147.6-25-Diesel-BioDiesel</v>
      </c>
      <c r="AN1133" s="662" t="str">
        <f t="shared" si="121"/>
        <v>2019-LVN-FRD-T25V-032</v>
      </c>
    </row>
    <row r="1134" spans="1:40" s="572" customFormat="1" ht="15">
      <c r="A1134" s="570" t="s">
        <v>2363</v>
      </c>
      <c r="B1134" s="569" t="s">
        <v>2352</v>
      </c>
      <c r="C1134" s="569" t="s">
        <v>278</v>
      </c>
      <c r="D1134" s="580">
        <v>15</v>
      </c>
      <c r="E1134" s="569" t="s">
        <v>1516</v>
      </c>
      <c r="F1134" s="569" t="s">
        <v>1517</v>
      </c>
      <c r="G1134" s="569" t="s">
        <v>271</v>
      </c>
      <c r="H1134" s="569">
        <v>2019</v>
      </c>
      <c r="I1134" s="569" t="s">
        <v>2199</v>
      </c>
      <c r="J1134" s="569" t="s">
        <v>2014</v>
      </c>
      <c r="K1134" s="569" t="s">
        <v>236</v>
      </c>
      <c r="L1134" s="569">
        <v>2</v>
      </c>
      <c r="M1134" s="569">
        <v>0</v>
      </c>
      <c r="N1134" s="569" t="s">
        <v>157</v>
      </c>
      <c r="O1134" s="569">
        <v>1</v>
      </c>
      <c r="P1134" s="569">
        <v>83.2</v>
      </c>
      <c r="Q1134" s="568" t="s">
        <v>157</v>
      </c>
      <c r="R1134" s="569" t="s">
        <v>1259</v>
      </c>
      <c r="S1134" s="569">
        <v>6</v>
      </c>
      <c r="T1134" s="569" t="s">
        <v>2350</v>
      </c>
      <c r="U1134" s="569" t="s">
        <v>1894</v>
      </c>
      <c r="V1134" s="569">
        <v>147.6</v>
      </c>
      <c r="W1134" s="569">
        <v>25</v>
      </c>
      <c r="X1134" s="568">
        <v>9000</v>
      </c>
      <c r="Y1134" s="569">
        <v>14</v>
      </c>
      <c r="Z1134" s="581" t="s">
        <v>178</v>
      </c>
      <c r="AA1134" s="581" t="s">
        <v>178</v>
      </c>
      <c r="AB1134" s="585">
        <v>38220</v>
      </c>
      <c r="AC1134" s="585" t="s">
        <v>164</v>
      </c>
      <c r="AD1134" s="585">
        <v>27200</v>
      </c>
      <c r="AE1134" s="587">
        <v>0.01</v>
      </c>
      <c r="AF1134" s="661" t="str">
        <f t="shared" si="122"/>
        <v>2019-LVN-FRD-T25V-033-15</v>
      </c>
      <c r="AG1134" s="661" t="str">
        <f>IF(AND($Y1134&gt;=32,(AI1134="I"),(Y1134&lt;&gt;"~"),(COUNTIF($AN$1:$AN1134,$AN1134)=1)),"TRUE","FALSE")</f>
        <v>FALSE</v>
      </c>
      <c r="AH1134" s="661" t="str">
        <f>IF(AND($Y1134&gt;=22, (AI1134&lt;&gt;"I"),(Y1134&lt;&gt;"~"),(COUNTIF($AN$1:$AN1134,$AN1134)=1)),"TRUE","FALSE")</f>
        <v>FALSE</v>
      </c>
      <c r="AI1134" s="661" t="str">
        <f t="shared" si="124"/>
        <v>II</v>
      </c>
      <c r="AJ1134" s="662" t="str">
        <f t="shared" si="118"/>
        <v>T25V-033</v>
      </c>
      <c r="AK1134" s="662" t="str">
        <f t="shared" si="119"/>
        <v>LVN</v>
      </c>
      <c r="AL1134" s="662" t="str">
        <f t="shared" si="120"/>
        <v>FRD</v>
      </c>
      <c r="AM1134" s="662" t="str">
        <f t="shared" si="123"/>
        <v>Transit 250 Van-Swing-Out RH Door-RWD-2-83.2-~-3.5L EcoBoost-6-R2Z-101A-147.6-25-Unleaded-Unleaded</v>
      </c>
      <c r="AN1134" s="662" t="str">
        <f t="shared" si="121"/>
        <v>2019-LVN-FRD-T25V-033</v>
      </c>
    </row>
    <row r="1135" spans="1:40" s="572" customFormat="1" ht="15">
      <c r="A1135" s="570" t="s">
        <v>2364</v>
      </c>
      <c r="B1135" s="573" t="s">
        <v>2354</v>
      </c>
      <c r="C1135" s="573" t="s">
        <v>278</v>
      </c>
      <c r="D1135" s="578">
        <v>15</v>
      </c>
      <c r="E1135" s="573" t="s">
        <v>1516</v>
      </c>
      <c r="F1135" s="573" t="s">
        <v>1517</v>
      </c>
      <c r="G1135" s="573" t="s">
        <v>271</v>
      </c>
      <c r="H1135" s="573">
        <v>2019</v>
      </c>
      <c r="I1135" s="573" t="s">
        <v>2199</v>
      </c>
      <c r="J1135" s="573" t="s">
        <v>2014</v>
      </c>
      <c r="K1135" s="573" t="s">
        <v>236</v>
      </c>
      <c r="L1135" s="573">
        <v>2</v>
      </c>
      <c r="M1135" s="573">
        <v>0</v>
      </c>
      <c r="N1135" s="573" t="s">
        <v>157</v>
      </c>
      <c r="O1135" s="573">
        <v>1</v>
      </c>
      <c r="P1135" s="573">
        <v>83.2</v>
      </c>
      <c r="Q1135" s="571" t="s">
        <v>157</v>
      </c>
      <c r="R1135" s="573" t="s">
        <v>682</v>
      </c>
      <c r="S1135" s="573">
        <v>6</v>
      </c>
      <c r="T1135" s="573" t="s">
        <v>2350</v>
      </c>
      <c r="U1135" s="573" t="s">
        <v>1894</v>
      </c>
      <c r="V1135" s="573">
        <v>147.6</v>
      </c>
      <c r="W1135" s="573">
        <v>25</v>
      </c>
      <c r="X1135" s="571">
        <v>9000</v>
      </c>
      <c r="Y1135" s="569">
        <v>14</v>
      </c>
      <c r="Z1135" s="579" t="s">
        <v>178</v>
      </c>
      <c r="AA1135" s="579" t="s">
        <v>178</v>
      </c>
      <c r="AB1135" s="584">
        <v>36355</v>
      </c>
      <c r="AC1135" s="584" t="s">
        <v>164</v>
      </c>
      <c r="AD1135" s="584">
        <v>25500</v>
      </c>
      <c r="AE1135" s="586">
        <v>0.01</v>
      </c>
      <c r="AF1135" s="661" t="str">
        <f t="shared" si="122"/>
        <v>2019-LVN-FRD-T25V-034-15</v>
      </c>
      <c r="AG1135" s="661" t="str">
        <f>IF(AND($Y1135&gt;=32,(AI1135="I"),(Y1135&lt;&gt;"~"),(COUNTIF($AN$1:$AN1135,$AN1135)=1)),"TRUE","FALSE")</f>
        <v>FALSE</v>
      </c>
      <c r="AH1135" s="661" t="str">
        <f>IF(AND($Y1135&gt;=22, (AI1135&lt;&gt;"I"),(Y1135&lt;&gt;"~"),(COUNTIF($AN$1:$AN1135,$AN1135)=1)),"TRUE","FALSE")</f>
        <v>FALSE</v>
      </c>
      <c r="AI1135" s="661" t="str">
        <f t="shared" si="124"/>
        <v>II</v>
      </c>
      <c r="AJ1135" s="662" t="str">
        <f t="shared" si="118"/>
        <v>T25V-034</v>
      </c>
      <c r="AK1135" s="662" t="str">
        <f t="shared" si="119"/>
        <v>LVN</v>
      </c>
      <c r="AL1135" s="662" t="str">
        <f t="shared" si="120"/>
        <v>FRD</v>
      </c>
      <c r="AM1135" s="662" t="str">
        <f t="shared" si="123"/>
        <v>Transit 250 Van-Swing-Out RH Door-RWD-2-83.2-~-3.7L-6-R2Z-101A-147.6-25-Unleaded-Unleaded</v>
      </c>
      <c r="AN1135" s="662" t="str">
        <f t="shared" si="121"/>
        <v>2019-LVN-FRD-T25V-034</v>
      </c>
    </row>
    <row r="1136" spans="1:40" s="572" customFormat="1" ht="15">
      <c r="A1136" s="570" t="s">
        <v>2365</v>
      </c>
      <c r="B1136" s="569" t="s">
        <v>2356</v>
      </c>
      <c r="C1136" s="569" t="s">
        <v>278</v>
      </c>
      <c r="D1136" s="580">
        <v>15</v>
      </c>
      <c r="E1136" s="569" t="s">
        <v>1516</v>
      </c>
      <c r="F1136" s="569" t="s">
        <v>1517</v>
      </c>
      <c r="G1136" s="569" t="s">
        <v>271</v>
      </c>
      <c r="H1136" s="569">
        <v>2019</v>
      </c>
      <c r="I1136" s="569" t="s">
        <v>2199</v>
      </c>
      <c r="J1136" s="569" t="s">
        <v>2014</v>
      </c>
      <c r="K1136" s="569" t="s">
        <v>236</v>
      </c>
      <c r="L1136" s="569">
        <v>2</v>
      </c>
      <c r="M1136" s="569">
        <v>0</v>
      </c>
      <c r="N1136" s="569" t="s">
        <v>157</v>
      </c>
      <c r="O1136" s="569">
        <v>1</v>
      </c>
      <c r="P1136" s="569">
        <v>83.6</v>
      </c>
      <c r="Q1136" s="568" t="s">
        <v>157</v>
      </c>
      <c r="R1136" s="569" t="s">
        <v>1917</v>
      </c>
      <c r="S1136" s="569">
        <v>5</v>
      </c>
      <c r="T1136" s="569" t="s">
        <v>2357</v>
      </c>
      <c r="U1136" s="569" t="s">
        <v>1894</v>
      </c>
      <c r="V1136" s="569">
        <v>129.9</v>
      </c>
      <c r="W1136" s="569">
        <v>25</v>
      </c>
      <c r="X1136" s="568">
        <v>9000</v>
      </c>
      <c r="Y1136" s="569">
        <v>14</v>
      </c>
      <c r="Z1136" s="581" t="s">
        <v>728</v>
      </c>
      <c r="AA1136" s="581" t="s">
        <v>1523</v>
      </c>
      <c r="AB1136" s="585">
        <v>39475</v>
      </c>
      <c r="AC1136" s="585" t="s">
        <v>164</v>
      </c>
      <c r="AD1136" s="585">
        <v>28300</v>
      </c>
      <c r="AE1136" s="587">
        <v>0.01</v>
      </c>
      <c r="AF1136" s="661" t="str">
        <f t="shared" si="122"/>
        <v>2019-LVN-FRD-T25V-036-15</v>
      </c>
      <c r="AG1136" s="661" t="str">
        <f>IF(AND($Y1136&gt;=32,(AI1136="I"),(Y1136&lt;&gt;"~"),(COUNTIF($AN$1:$AN1136,$AN1136)=1)),"TRUE","FALSE")</f>
        <v>FALSE</v>
      </c>
      <c r="AH1136" s="661" t="str">
        <f>IF(AND($Y1136&gt;=22, (AI1136&lt;&gt;"I"),(Y1136&lt;&gt;"~"),(COUNTIF($AN$1:$AN1136,$AN1136)=1)),"TRUE","FALSE")</f>
        <v>FALSE</v>
      </c>
      <c r="AI1136" s="661" t="str">
        <f t="shared" si="124"/>
        <v>II</v>
      </c>
      <c r="AJ1136" s="662" t="str">
        <f t="shared" si="118"/>
        <v>T25V-036</v>
      </c>
      <c r="AK1136" s="662" t="str">
        <f t="shared" si="119"/>
        <v>LVN</v>
      </c>
      <c r="AL1136" s="662" t="str">
        <f t="shared" si="120"/>
        <v>FRD</v>
      </c>
      <c r="AM1136" s="662" t="str">
        <f t="shared" si="123"/>
        <v>Transit 250 Van-Swing-Out RH Door-RWD-2-83.6-~-3.2L-5-R1Z-101A-129.9-25-Diesel-BioDiesel</v>
      </c>
      <c r="AN1136" s="662" t="str">
        <f t="shared" si="121"/>
        <v>2019-LVN-FRD-T25V-036</v>
      </c>
    </row>
    <row r="1137" spans="1:40" s="572" customFormat="1" ht="15">
      <c r="A1137" s="570" t="s">
        <v>2366</v>
      </c>
      <c r="B1137" s="573" t="s">
        <v>2359</v>
      </c>
      <c r="C1137" s="573" t="s">
        <v>278</v>
      </c>
      <c r="D1137" s="578">
        <v>15</v>
      </c>
      <c r="E1137" s="573" t="s">
        <v>1516</v>
      </c>
      <c r="F1137" s="573" t="s">
        <v>1517</v>
      </c>
      <c r="G1137" s="573" t="s">
        <v>271</v>
      </c>
      <c r="H1137" s="573">
        <v>2019</v>
      </c>
      <c r="I1137" s="573" t="s">
        <v>2199</v>
      </c>
      <c r="J1137" s="573" t="s">
        <v>2014</v>
      </c>
      <c r="K1137" s="573" t="s">
        <v>236</v>
      </c>
      <c r="L1137" s="573">
        <v>2</v>
      </c>
      <c r="M1137" s="573">
        <v>0</v>
      </c>
      <c r="N1137" s="573" t="s">
        <v>157</v>
      </c>
      <c r="O1137" s="573">
        <v>1</v>
      </c>
      <c r="P1137" s="573">
        <v>83.6</v>
      </c>
      <c r="Q1137" s="571" t="s">
        <v>157</v>
      </c>
      <c r="R1137" s="573" t="s">
        <v>1259</v>
      </c>
      <c r="S1137" s="573">
        <v>6</v>
      </c>
      <c r="T1137" s="573" t="s">
        <v>2357</v>
      </c>
      <c r="U1137" s="573" t="s">
        <v>1894</v>
      </c>
      <c r="V1137" s="573">
        <v>129.9</v>
      </c>
      <c r="W1137" s="573">
        <v>25</v>
      </c>
      <c r="X1137" s="571">
        <v>9000</v>
      </c>
      <c r="Y1137" s="569">
        <v>14</v>
      </c>
      <c r="Z1137" s="579" t="s">
        <v>178</v>
      </c>
      <c r="AA1137" s="579" t="s">
        <v>178</v>
      </c>
      <c r="AB1137" s="584">
        <v>37345</v>
      </c>
      <c r="AC1137" s="584" t="s">
        <v>164</v>
      </c>
      <c r="AD1137" s="584">
        <v>26400</v>
      </c>
      <c r="AE1137" s="586">
        <v>0.01</v>
      </c>
      <c r="AF1137" s="661" t="str">
        <f t="shared" si="122"/>
        <v>2019-LVN-FRD-T25V-037-15</v>
      </c>
      <c r="AG1137" s="661" t="str">
        <f>IF(AND($Y1137&gt;=32,(AI1137="I"),(Y1137&lt;&gt;"~"),(COUNTIF($AN$1:$AN1137,$AN1137)=1)),"TRUE","FALSE")</f>
        <v>FALSE</v>
      </c>
      <c r="AH1137" s="661" t="str">
        <f>IF(AND($Y1137&gt;=22, (AI1137&lt;&gt;"I"),(Y1137&lt;&gt;"~"),(COUNTIF($AN$1:$AN1137,$AN1137)=1)),"TRUE","FALSE")</f>
        <v>FALSE</v>
      </c>
      <c r="AI1137" s="661" t="str">
        <f t="shared" si="124"/>
        <v>II</v>
      </c>
      <c r="AJ1137" s="662" t="str">
        <f t="shared" si="118"/>
        <v>T25V-037</v>
      </c>
      <c r="AK1137" s="662" t="str">
        <f t="shared" si="119"/>
        <v>LVN</v>
      </c>
      <c r="AL1137" s="662" t="str">
        <f t="shared" si="120"/>
        <v>FRD</v>
      </c>
      <c r="AM1137" s="662" t="str">
        <f t="shared" si="123"/>
        <v>Transit 250 Van-Swing-Out RH Door-RWD-2-83.6-~-3.5L EcoBoost-6-R1Z-101A-129.9-25-Unleaded-Unleaded</v>
      </c>
      <c r="AN1137" s="662" t="str">
        <f t="shared" si="121"/>
        <v>2019-LVN-FRD-T25V-037</v>
      </c>
    </row>
    <row r="1138" spans="1:40" s="572" customFormat="1" ht="15">
      <c r="A1138" s="570" t="s">
        <v>2367</v>
      </c>
      <c r="B1138" s="569" t="s">
        <v>2361</v>
      </c>
      <c r="C1138" s="569" t="s">
        <v>278</v>
      </c>
      <c r="D1138" s="580">
        <v>15</v>
      </c>
      <c r="E1138" s="569" t="s">
        <v>1516</v>
      </c>
      <c r="F1138" s="569" t="s">
        <v>1517</v>
      </c>
      <c r="G1138" s="569" t="s">
        <v>271</v>
      </c>
      <c r="H1138" s="569">
        <v>2019</v>
      </c>
      <c r="I1138" s="569" t="s">
        <v>2199</v>
      </c>
      <c r="J1138" s="569" t="s">
        <v>2014</v>
      </c>
      <c r="K1138" s="569" t="s">
        <v>236</v>
      </c>
      <c r="L1138" s="569">
        <v>2</v>
      </c>
      <c r="M1138" s="569">
        <v>0</v>
      </c>
      <c r="N1138" s="569" t="s">
        <v>157</v>
      </c>
      <c r="O1138" s="569">
        <v>1</v>
      </c>
      <c r="P1138" s="569">
        <v>83.6</v>
      </c>
      <c r="Q1138" s="568" t="s">
        <v>157</v>
      </c>
      <c r="R1138" s="569" t="s">
        <v>682</v>
      </c>
      <c r="S1138" s="569">
        <v>6</v>
      </c>
      <c r="T1138" s="569" t="s">
        <v>2357</v>
      </c>
      <c r="U1138" s="569" t="s">
        <v>1894</v>
      </c>
      <c r="V1138" s="569">
        <v>129.9</v>
      </c>
      <c r="W1138" s="569">
        <v>25</v>
      </c>
      <c r="X1138" s="568">
        <v>9000</v>
      </c>
      <c r="Y1138" s="569">
        <v>14</v>
      </c>
      <c r="Z1138" s="581" t="s">
        <v>178</v>
      </c>
      <c r="AA1138" s="581" t="s">
        <v>178</v>
      </c>
      <c r="AB1138" s="585">
        <v>35480</v>
      </c>
      <c r="AC1138" s="585" t="s">
        <v>164</v>
      </c>
      <c r="AD1138" s="585">
        <v>24700</v>
      </c>
      <c r="AE1138" s="587">
        <v>0.01</v>
      </c>
      <c r="AF1138" s="661" t="str">
        <f t="shared" si="122"/>
        <v>2019-LVN-FRD-T25V-038-15</v>
      </c>
      <c r="AG1138" s="661" t="str">
        <f>IF(AND($Y1138&gt;=32,(AI1138="I"),(Y1138&lt;&gt;"~"),(COUNTIF($AN$1:$AN1138,$AN1138)=1)),"TRUE","FALSE")</f>
        <v>FALSE</v>
      </c>
      <c r="AH1138" s="661" t="str">
        <f>IF(AND($Y1138&gt;=22, (AI1138&lt;&gt;"I"),(Y1138&lt;&gt;"~"),(COUNTIF($AN$1:$AN1138,$AN1138)=1)),"TRUE","FALSE")</f>
        <v>FALSE</v>
      </c>
      <c r="AI1138" s="661" t="str">
        <f t="shared" si="124"/>
        <v>II</v>
      </c>
      <c r="AJ1138" s="662" t="str">
        <f t="shared" si="118"/>
        <v>T25V-038</v>
      </c>
      <c r="AK1138" s="662" t="str">
        <f t="shared" si="119"/>
        <v>LVN</v>
      </c>
      <c r="AL1138" s="662" t="str">
        <f t="shared" si="120"/>
        <v>FRD</v>
      </c>
      <c r="AM1138" s="662" t="str">
        <f t="shared" si="123"/>
        <v>Transit 250 Van-Swing-Out RH Door-RWD-2-83.6-~-3.7L-6-R1Z-101A-129.9-25-Unleaded-Unleaded</v>
      </c>
      <c r="AN1138" s="662" t="str">
        <f t="shared" si="121"/>
        <v>2019-LVN-FRD-T25V-038</v>
      </c>
    </row>
    <row r="1139" spans="1:40" s="572" customFormat="1" ht="15">
      <c r="A1139" s="570" t="s">
        <v>2368</v>
      </c>
      <c r="B1139" s="573" t="s">
        <v>2349</v>
      </c>
      <c r="C1139" s="573" t="s">
        <v>287</v>
      </c>
      <c r="D1139" s="578">
        <v>26</v>
      </c>
      <c r="E1139" s="573" t="s">
        <v>1516</v>
      </c>
      <c r="F1139" s="573" t="s">
        <v>1517</v>
      </c>
      <c r="G1139" s="573" t="s">
        <v>271</v>
      </c>
      <c r="H1139" s="573">
        <v>2019</v>
      </c>
      <c r="I1139" s="573" t="s">
        <v>2199</v>
      </c>
      <c r="J1139" s="573" t="s">
        <v>2014</v>
      </c>
      <c r="K1139" s="573" t="s">
        <v>236</v>
      </c>
      <c r="L1139" s="573">
        <v>2</v>
      </c>
      <c r="M1139" s="573">
        <v>0</v>
      </c>
      <c r="N1139" s="573" t="s">
        <v>157</v>
      </c>
      <c r="O1139" s="573">
        <v>1</v>
      </c>
      <c r="P1139" s="573">
        <v>83.2</v>
      </c>
      <c r="Q1139" s="571" t="s">
        <v>157</v>
      </c>
      <c r="R1139" s="573" t="s">
        <v>1917</v>
      </c>
      <c r="S1139" s="573">
        <v>5</v>
      </c>
      <c r="T1139" s="573" t="s">
        <v>2350</v>
      </c>
      <c r="U1139" s="573" t="s">
        <v>1894</v>
      </c>
      <c r="V1139" s="573">
        <v>147.6</v>
      </c>
      <c r="W1139" s="573">
        <v>25</v>
      </c>
      <c r="X1139" s="571">
        <v>9000</v>
      </c>
      <c r="Y1139" s="569">
        <v>14</v>
      </c>
      <c r="Z1139" s="579" t="s">
        <v>728</v>
      </c>
      <c r="AA1139" s="579" t="s">
        <v>1523</v>
      </c>
      <c r="AB1139" s="584">
        <v>40350</v>
      </c>
      <c r="AC1139" s="584" t="s">
        <v>164</v>
      </c>
      <c r="AD1139" s="584">
        <v>29568</v>
      </c>
      <c r="AE1139" s="586">
        <v>0.05</v>
      </c>
      <c r="AF1139" s="661" t="str">
        <f t="shared" si="122"/>
        <v>2019-LVN-FRD-T25V-032-26</v>
      </c>
      <c r="AG1139" s="661" t="str">
        <f>IF(AND($Y1139&gt;=32,(AI1139="I"),(Y1139&lt;&gt;"~"),(COUNTIF($AN$1:$AN1139,$AN1139)=1)),"TRUE","FALSE")</f>
        <v>FALSE</v>
      </c>
      <c r="AH1139" s="661" t="str">
        <f>IF(AND($Y1139&gt;=22, (AI1139&lt;&gt;"I"),(Y1139&lt;&gt;"~"),(COUNTIF($AN$1:$AN1139,$AN1139)=1)),"TRUE","FALSE")</f>
        <v>FALSE</v>
      </c>
      <c r="AI1139" s="661" t="str">
        <f t="shared" si="124"/>
        <v>II</v>
      </c>
      <c r="AJ1139" s="662" t="str">
        <f t="shared" si="118"/>
        <v>T25V-032</v>
      </c>
      <c r="AK1139" s="662" t="str">
        <f t="shared" si="119"/>
        <v>LVN</v>
      </c>
      <c r="AL1139" s="662" t="str">
        <f t="shared" si="120"/>
        <v>FRD</v>
      </c>
      <c r="AM1139" s="662" t="str">
        <f t="shared" si="123"/>
        <v>Transit 250 Van-Swing-Out RH Door-RWD-2-83.2-~-3.2L-5-R2Z-101A-147.6-25-Diesel-BioDiesel</v>
      </c>
      <c r="AN1139" s="662" t="str">
        <f t="shared" si="121"/>
        <v>2019-LVN-FRD-T25V-032</v>
      </c>
    </row>
    <row r="1140" spans="1:40" s="572" customFormat="1" ht="15">
      <c r="A1140" s="570" t="s">
        <v>2369</v>
      </c>
      <c r="B1140" s="569" t="s">
        <v>2352</v>
      </c>
      <c r="C1140" s="569" t="s">
        <v>287</v>
      </c>
      <c r="D1140" s="580">
        <v>26</v>
      </c>
      <c r="E1140" s="569" t="s">
        <v>1516</v>
      </c>
      <c r="F1140" s="569" t="s">
        <v>1517</v>
      </c>
      <c r="G1140" s="569" t="s">
        <v>271</v>
      </c>
      <c r="H1140" s="569">
        <v>2019</v>
      </c>
      <c r="I1140" s="569" t="s">
        <v>2199</v>
      </c>
      <c r="J1140" s="569" t="s">
        <v>2014</v>
      </c>
      <c r="K1140" s="569" t="s">
        <v>236</v>
      </c>
      <c r="L1140" s="569">
        <v>2</v>
      </c>
      <c r="M1140" s="569">
        <v>0</v>
      </c>
      <c r="N1140" s="569" t="s">
        <v>157</v>
      </c>
      <c r="O1140" s="569">
        <v>1</v>
      </c>
      <c r="P1140" s="569">
        <v>83.2</v>
      </c>
      <c r="Q1140" s="568" t="s">
        <v>157</v>
      </c>
      <c r="R1140" s="569" t="s">
        <v>1259</v>
      </c>
      <c r="S1140" s="569">
        <v>6</v>
      </c>
      <c r="T1140" s="569" t="s">
        <v>2350</v>
      </c>
      <c r="U1140" s="569" t="s">
        <v>1894</v>
      </c>
      <c r="V1140" s="569">
        <v>147.6</v>
      </c>
      <c r="W1140" s="569">
        <v>25</v>
      </c>
      <c r="X1140" s="568">
        <v>9000</v>
      </c>
      <c r="Y1140" s="569">
        <v>14</v>
      </c>
      <c r="Z1140" s="581" t="s">
        <v>178</v>
      </c>
      <c r="AA1140" s="581" t="s">
        <v>178</v>
      </c>
      <c r="AB1140" s="585">
        <v>38220</v>
      </c>
      <c r="AC1140" s="585" t="s">
        <v>164</v>
      </c>
      <c r="AD1140" s="585">
        <v>27615</v>
      </c>
      <c r="AE1140" s="587">
        <v>0.05</v>
      </c>
      <c r="AF1140" s="661" t="str">
        <f t="shared" si="122"/>
        <v>2019-LVN-FRD-T25V-033-26</v>
      </c>
      <c r="AG1140" s="661" t="str">
        <f>IF(AND($Y1140&gt;=32,(AI1140="I"),(Y1140&lt;&gt;"~"),(COUNTIF($AN$1:$AN1140,$AN1140)=1)),"TRUE","FALSE")</f>
        <v>FALSE</v>
      </c>
      <c r="AH1140" s="661" t="str">
        <f>IF(AND($Y1140&gt;=22, (AI1140&lt;&gt;"I"),(Y1140&lt;&gt;"~"),(COUNTIF($AN$1:$AN1140,$AN1140)=1)),"TRUE","FALSE")</f>
        <v>FALSE</v>
      </c>
      <c r="AI1140" s="661" t="str">
        <f t="shared" si="124"/>
        <v>II</v>
      </c>
      <c r="AJ1140" s="662" t="str">
        <f t="shared" si="118"/>
        <v>T25V-033</v>
      </c>
      <c r="AK1140" s="662" t="str">
        <f t="shared" si="119"/>
        <v>LVN</v>
      </c>
      <c r="AL1140" s="662" t="str">
        <f t="shared" si="120"/>
        <v>FRD</v>
      </c>
      <c r="AM1140" s="662" t="str">
        <f t="shared" si="123"/>
        <v>Transit 250 Van-Swing-Out RH Door-RWD-2-83.2-~-3.5L EcoBoost-6-R2Z-101A-147.6-25-Unleaded-Unleaded</v>
      </c>
      <c r="AN1140" s="662" t="str">
        <f t="shared" si="121"/>
        <v>2019-LVN-FRD-T25V-033</v>
      </c>
    </row>
    <row r="1141" spans="1:40" s="572" customFormat="1" ht="15">
      <c r="A1141" s="570" t="s">
        <v>2370</v>
      </c>
      <c r="B1141" s="573" t="s">
        <v>2354</v>
      </c>
      <c r="C1141" s="573" t="s">
        <v>287</v>
      </c>
      <c r="D1141" s="578">
        <v>26</v>
      </c>
      <c r="E1141" s="573" t="s">
        <v>1516</v>
      </c>
      <c r="F1141" s="573" t="s">
        <v>1517</v>
      </c>
      <c r="G1141" s="573" t="s">
        <v>271</v>
      </c>
      <c r="H1141" s="573">
        <v>2019</v>
      </c>
      <c r="I1141" s="573" t="s">
        <v>2199</v>
      </c>
      <c r="J1141" s="573" t="s">
        <v>2014</v>
      </c>
      <c r="K1141" s="573" t="s">
        <v>236</v>
      </c>
      <c r="L1141" s="573">
        <v>2</v>
      </c>
      <c r="M1141" s="573">
        <v>0</v>
      </c>
      <c r="N1141" s="573" t="s">
        <v>157</v>
      </c>
      <c r="O1141" s="573">
        <v>1</v>
      </c>
      <c r="P1141" s="573">
        <v>83.2</v>
      </c>
      <c r="Q1141" s="571" t="s">
        <v>157</v>
      </c>
      <c r="R1141" s="573" t="s">
        <v>682</v>
      </c>
      <c r="S1141" s="573">
        <v>6</v>
      </c>
      <c r="T1141" s="573" t="s">
        <v>2350</v>
      </c>
      <c r="U1141" s="573" t="s">
        <v>1894</v>
      </c>
      <c r="V1141" s="573">
        <v>147.6</v>
      </c>
      <c r="W1141" s="573">
        <v>25</v>
      </c>
      <c r="X1141" s="571">
        <v>9000</v>
      </c>
      <c r="Y1141" s="569">
        <v>14</v>
      </c>
      <c r="Z1141" s="579" t="s">
        <v>178</v>
      </c>
      <c r="AA1141" s="579" t="s">
        <v>178</v>
      </c>
      <c r="AB1141" s="584">
        <v>36355</v>
      </c>
      <c r="AC1141" s="584" t="s">
        <v>164</v>
      </c>
      <c r="AD1141" s="584">
        <v>25905</v>
      </c>
      <c r="AE1141" s="586">
        <v>0.05</v>
      </c>
      <c r="AF1141" s="661" t="str">
        <f t="shared" si="122"/>
        <v>2019-LVN-FRD-T25V-034-26</v>
      </c>
      <c r="AG1141" s="661" t="str">
        <f>IF(AND($Y1141&gt;=32,(AI1141="I"),(Y1141&lt;&gt;"~"),(COUNTIF($AN$1:$AN1141,$AN1141)=1)),"TRUE","FALSE")</f>
        <v>FALSE</v>
      </c>
      <c r="AH1141" s="661" t="str">
        <f>IF(AND($Y1141&gt;=22, (AI1141&lt;&gt;"I"),(Y1141&lt;&gt;"~"),(COUNTIF($AN$1:$AN1141,$AN1141)=1)),"TRUE","FALSE")</f>
        <v>FALSE</v>
      </c>
      <c r="AI1141" s="661" t="str">
        <f t="shared" si="124"/>
        <v>II</v>
      </c>
      <c r="AJ1141" s="662" t="str">
        <f t="shared" si="118"/>
        <v>T25V-034</v>
      </c>
      <c r="AK1141" s="662" t="str">
        <f t="shared" si="119"/>
        <v>LVN</v>
      </c>
      <c r="AL1141" s="662" t="str">
        <f t="shared" si="120"/>
        <v>FRD</v>
      </c>
      <c r="AM1141" s="662" t="str">
        <f t="shared" si="123"/>
        <v>Transit 250 Van-Swing-Out RH Door-RWD-2-83.2-~-3.7L-6-R2Z-101A-147.6-25-Unleaded-Unleaded</v>
      </c>
      <c r="AN1141" s="662" t="str">
        <f t="shared" si="121"/>
        <v>2019-LVN-FRD-T25V-034</v>
      </c>
    </row>
    <row r="1142" spans="1:40" s="572" customFormat="1" ht="15">
      <c r="A1142" s="570" t="s">
        <v>2371</v>
      </c>
      <c r="B1142" s="569" t="s">
        <v>2356</v>
      </c>
      <c r="C1142" s="569" t="s">
        <v>287</v>
      </c>
      <c r="D1142" s="580">
        <v>26</v>
      </c>
      <c r="E1142" s="569" t="s">
        <v>1516</v>
      </c>
      <c r="F1142" s="569" t="s">
        <v>1517</v>
      </c>
      <c r="G1142" s="569" t="s">
        <v>271</v>
      </c>
      <c r="H1142" s="569">
        <v>2019</v>
      </c>
      <c r="I1142" s="569" t="s">
        <v>2199</v>
      </c>
      <c r="J1142" s="569" t="s">
        <v>2014</v>
      </c>
      <c r="K1142" s="569" t="s">
        <v>236</v>
      </c>
      <c r="L1142" s="569">
        <v>2</v>
      </c>
      <c r="M1142" s="569">
        <v>0</v>
      </c>
      <c r="N1142" s="569" t="s">
        <v>157</v>
      </c>
      <c r="O1142" s="569">
        <v>1</v>
      </c>
      <c r="P1142" s="569">
        <v>83.6</v>
      </c>
      <c r="Q1142" s="568" t="s">
        <v>157</v>
      </c>
      <c r="R1142" s="569" t="s">
        <v>1917</v>
      </c>
      <c r="S1142" s="569">
        <v>5</v>
      </c>
      <c r="T1142" s="569" t="s">
        <v>2357</v>
      </c>
      <c r="U1142" s="569" t="s">
        <v>1894</v>
      </c>
      <c r="V1142" s="569">
        <v>129.9</v>
      </c>
      <c r="W1142" s="569">
        <v>25</v>
      </c>
      <c r="X1142" s="568">
        <v>9000</v>
      </c>
      <c r="Y1142" s="569">
        <v>14</v>
      </c>
      <c r="Z1142" s="581" t="s">
        <v>728</v>
      </c>
      <c r="AA1142" s="581" t="s">
        <v>1523</v>
      </c>
      <c r="AB1142" s="585">
        <v>39475</v>
      </c>
      <c r="AC1142" s="585" t="s">
        <v>164</v>
      </c>
      <c r="AD1142" s="585">
        <v>28742</v>
      </c>
      <c r="AE1142" s="587">
        <v>0.05</v>
      </c>
      <c r="AF1142" s="661" t="str">
        <f t="shared" si="122"/>
        <v>2019-LVN-FRD-T25V-036-26</v>
      </c>
      <c r="AG1142" s="661" t="str">
        <f>IF(AND($Y1142&gt;=32,(AI1142="I"),(Y1142&lt;&gt;"~"),(COUNTIF($AN$1:$AN1142,$AN1142)=1)),"TRUE","FALSE")</f>
        <v>FALSE</v>
      </c>
      <c r="AH1142" s="661" t="str">
        <f>IF(AND($Y1142&gt;=22, (AI1142&lt;&gt;"I"),(Y1142&lt;&gt;"~"),(COUNTIF($AN$1:$AN1142,$AN1142)=1)),"TRUE","FALSE")</f>
        <v>FALSE</v>
      </c>
      <c r="AI1142" s="661" t="str">
        <f t="shared" si="124"/>
        <v>II</v>
      </c>
      <c r="AJ1142" s="662" t="str">
        <f t="shared" si="118"/>
        <v>T25V-036</v>
      </c>
      <c r="AK1142" s="662" t="str">
        <f t="shared" si="119"/>
        <v>LVN</v>
      </c>
      <c r="AL1142" s="662" t="str">
        <f t="shared" si="120"/>
        <v>FRD</v>
      </c>
      <c r="AM1142" s="662" t="str">
        <f t="shared" si="123"/>
        <v>Transit 250 Van-Swing-Out RH Door-RWD-2-83.6-~-3.2L-5-R1Z-101A-129.9-25-Diesel-BioDiesel</v>
      </c>
      <c r="AN1142" s="662" t="str">
        <f t="shared" si="121"/>
        <v>2019-LVN-FRD-T25V-036</v>
      </c>
    </row>
    <row r="1143" spans="1:40" s="572" customFormat="1" ht="15">
      <c r="A1143" s="570" t="s">
        <v>2372</v>
      </c>
      <c r="B1143" s="573" t="s">
        <v>2359</v>
      </c>
      <c r="C1143" s="573" t="s">
        <v>287</v>
      </c>
      <c r="D1143" s="578">
        <v>26</v>
      </c>
      <c r="E1143" s="573" t="s">
        <v>1516</v>
      </c>
      <c r="F1143" s="573" t="s">
        <v>1517</v>
      </c>
      <c r="G1143" s="573" t="s">
        <v>271</v>
      </c>
      <c r="H1143" s="573">
        <v>2019</v>
      </c>
      <c r="I1143" s="573" t="s">
        <v>2199</v>
      </c>
      <c r="J1143" s="573" t="s">
        <v>2014</v>
      </c>
      <c r="K1143" s="573" t="s">
        <v>236</v>
      </c>
      <c r="L1143" s="573">
        <v>2</v>
      </c>
      <c r="M1143" s="573">
        <v>0</v>
      </c>
      <c r="N1143" s="573" t="s">
        <v>157</v>
      </c>
      <c r="O1143" s="573">
        <v>1</v>
      </c>
      <c r="P1143" s="573">
        <v>83.6</v>
      </c>
      <c r="Q1143" s="571" t="s">
        <v>157</v>
      </c>
      <c r="R1143" s="573" t="s">
        <v>1259</v>
      </c>
      <c r="S1143" s="573">
        <v>6</v>
      </c>
      <c r="T1143" s="573" t="s">
        <v>2357</v>
      </c>
      <c r="U1143" s="573" t="s">
        <v>1894</v>
      </c>
      <c r="V1143" s="573">
        <v>129.9</v>
      </c>
      <c r="W1143" s="573">
        <v>25</v>
      </c>
      <c r="X1143" s="571">
        <v>9000</v>
      </c>
      <c r="Y1143" s="569">
        <v>14</v>
      </c>
      <c r="Z1143" s="579" t="s">
        <v>178</v>
      </c>
      <c r="AA1143" s="579" t="s">
        <v>178</v>
      </c>
      <c r="AB1143" s="584">
        <v>37345</v>
      </c>
      <c r="AC1143" s="584" t="s">
        <v>164</v>
      </c>
      <c r="AD1143" s="584">
        <v>26789</v>
      </c>
      <c r="AE1143" s="586">
        <v>0.05</v>
      </c>
      <c r="AF1143" s="661" t="str">
        <f t="shared" si="122"/>
        <v>2019-LVN-FRD-T25V-037-26</v>
      </c>
      <c r="AG1143" s="661" t="str">
        <f>IF(AND($Y1143&gt;=32,(AI1143="I"),(Y1143&lt;&gt;"~"),(COUNTIF($AN$1:$AN1143,$AN1143)=1)),"TRUE","FALSE")</f>
        <v>FALSE</v>
      </c>
      <c r="AH1143" s="661" t="str">
        <f>IF(AND($Y1143&gt;=22, (AI1143&lt;&gt;"I"),(Y1143&lt;&gt;"~"),(COUNTIF($AN$1:$AN1143,$AN1143)=1)),"TRUE","FALSE")</f>
        <v>FALSE</v>
      </c>
      <c r="AI1143" s="661" t="str">
        <f t="shared" si="124"/>
        <v>II</v>
      </c>
      <c r="AJ1143" s="662" t="str">
        <f t="shared" si="118"/>
        <v>T25V-037</v>
      </c>
      <c r="AK1143" s="662" t="str">
        <f t="shared" si="119"/>
        <v>LVN</v>
      </c>
      <c r="AL1143" s="662" t="str">
        <f t="shared" si="120"/>
        <v>FRD</v>
      </c>
      <c r="AM1143" s="662" t="str">
        <f t="shared" si="123"/>
        <v>Transit 250 Van-Swing-Out RH Door-RWD-2-83.6-~-3.5L EcoBoost-6-R1Z-101A-129.9-25-Unleaded-Unleaded</v>
      </c>
      <c r="AN1143" s="662" t="str">
        <f t="shared" si="121"/>
        <v>2019-LVN-FRD-T25V-037</v>
      </c>
    </row>
    <row r="1144" spans="1:40" s="572" customFormat="1" ht="15">
      <c r="A1144" s="570" t="s">
        <v>2373</v>
      </c>
      <c r="B1144" s="569" t="s">
        <v>2361</v>
      </c>
      <c r="C1144" s="569" t="s">
        <v>287</v>
      </c>
      <c r="D1144" s="580">
        <v>26</v>
      </c>
      <c r="E1144" s="569" t="s">
        <v>1516</v>
      </c>
      <c r="F1144" s="569" t="s">
        <v>1517</v>
      </c>
      <c r="G1144" s="569" t="s">
        <v>271</v>
      </c>
      <c r="H1144" s="569">
        <v>2019</v>
      </c>
      <c r="I1144" s="569" t="s">
        <v>2199</v>
      </c>
      <c r="J1144" s="569" t="s">
        <v>2014</v>
      </c>
      <c r="K1144" s="569" t="s">
        <v>236</v>
      </c>
      <c r="L1144" s="569">
        <v>2</v>
      </c>
      <c r="M1144" s="569">
        <v>0</v>
      </c>
      <c r="N1144" s="569" t="s">
        <v>157</v>
      </c>
      <c r="O1144" s="569">
        <v>1</v>
      </c>
      <c r="P1144" s="569">
        <v>83.6</v>
      </c>
      <c r="Q1144" s="568" t="s">
        <v>157</v>
      </c>
      <c r="R1144" s="569" t="s">
        <v>682</v>
      </c>
      <c r="S1144" s="569">
        <v>6</v>
      </c>
      <c r="T1144" s="569" t="s">
        <v>2357</v>
      </c>
      <c r="U1144" s="569" t="s">
        <v>1894</v>
      </c>
      <c r="V1144" s="569">
        <v>129.9</v>
      </c>
      <c r="W1144" s="569">
        <v>25</v>
      </c>
      <c r="X1144" s="568">
        <v>9000</v>
      </c>
      <c r="Y1144" s="569">
        <v>14</v>
      </c>
      <c r="Z1144" s="581" t="s">
        <v>178</v>
      </c>
      <c r="AA1144" s="581" t="s">
        <v>178</v>
      </c>
      <c r="AB1144" s="585">
        <v>35480</v>
      </c>
      <c r="AC1144" s="585" t="s">
        <v>164</v>
      </c>
      <c r="AD1144" s="585">
        <v>25079</v>
      </c>
      <c r="AE1144" s="587">
        <v>0.05</v>
      </c>
      <c r="AF1144" s="661" t="str">
        <f t="shared" si="122"/>
        <v>2019-LVN-FRD-T25V-038-26</v>
      </c>
      <c r="AG1144" s="661" t="str">
        <f>IF(AND($Y1144&gt;=32,(AI1144="I"),(Y1144&lt;&gt;"~"),(COUNTIF($AN$1:$AN1144,$AN1144)=1)),"TRUE","FALSE")</f>
        <v>FALSE</v>
      </c>
      <c r="AH1144" s="661" t="str">
        <f>IF(AND($Y1144&gt;=22, (AI1144&lt;&gt;"I"),(Y1144&lt;&gt;"~"),(COUNTIF($AN$1:$AN1144,$AN1144)=1)),"TRUE","FALSE")</f>
        <v>FALSE</v>
      </c>
      <c r="AI1144" s="661" t="str">
        <f t="shared" si="124"/>
        <v>II</v>
      </c>
      <c r="AJ1144" s="662" t="str">
        <f t="shared" si="118"/>
        <v>T25V-038</v>
      </c>
      <c r="AK1144" s="662" t="str">
        <f t="shared" si="119"/>
        <v>LVN</v>
      </c>
      <c r="AL1144" s="662" t="str">
        <f t="shared" si="120"/>
        <v>FRD</v>
      </c>
      <c r="AM1144" s="662" t="str">
        <f t="shared" si="123"/>
        <v>Transit 250 Van-Swing-Out RH Door-RWD-2-83.6-~-3.7L-6-R1Z-101A-129.9-25-Unleaded-Unleaded</v>
      </c>
      <c r="AN1144" s="662" t="str">
        <f t="shared" si="121"/>
        <v>2019-LVN-FRD-T25V-038</v>
      </c>
    </row>
    <row r="1145" spans="1:40" s="572" customFormat="1" ht="15">
      <c r="A1145" s="570" t="s">
        <v>2374</v>
      </c>
      <c r="B1145" s="573" t="s">
        <v>2349</v>
      </c>
      <c r="C1145" s="573" t="s">
        <v>280</v>
      </c>
      <c r="D1145" s="578">
        <v>27</v>
      </c>
      <c r="E1145" s="573" t="s">
        <v>1516</v>
      </c>
      <c r="F1145" s="573" t="s">
        <v>1517</v>
      </c>
      <c r="G1145" s="573" t="s">
        <v>271</v>
      </c>
      <c r="H1145" s="573">
        <v>2019</v>
      </c>
      <c r="I1145" s="573" t="s">
        <v>2199</v>
      </c>
      <c r="J1145" s="573" t="s">
        <v>2014</v>
      </c>
      <c r="K1145" s="573" t="s">
        <v>236</v>
      </c>
      <c r="L1145" s="573">
        <v>2</v>
      </c>
      <c r="M1145" s="573">
        <v>0</v>
      </c>
      <c r="N1145" s="573" t="s">
        <v>157</v>
      </c>
      <c r="O1145" s="573">
        <v>1</v>
      </c>
      <c r="P1145" s="573">
        <v>83.2</v>
      </c>
      <c r="Q1145" s="571" t="s">
        <v>157</v>
      </c>
      <c r="R1145" s="573" t="s">
        <v>1917</v>
      </c>
      <c r="S1145" s="573">
        <v>5</v>
      </c>
      <c r="T1145" s="573" t="s">
        <v>2350</v>
      </c>
      <c r="U1145" s="573" t="s">
        <v>1894</v>
      </c>
      <c r="V1145" s="573">
        <v>147.6</v>
      </c>
      <c r="W1145" s="573">
        <v>25</v>
      </c>
      <c r="X1145" s="571">
        <v>9000</v>
      </c>
      <c r="Y1145" s="569">
        <v>14</v>
      </c>
      <c r="Z1145" s="579" t="s">
        <v>728</v>
      </c>
      <c r="AA1145" s="579" t="s">
        <v>1523</v>
      </c>
      <c r="AB1145" s="584">
        <v>40350</v>
      </c>
      <c r="AC1145" s="584" t="s">
        <v>164</v>
      </c>
      <c r="AD1145" s="584">
        <v>28539.833333333332</v>
      </c>
      <c r="AE1145" s="586">
        <v>0.03</v>
      </c>
      <c r="AF1145" s="661" t="str">
        <f t="shared" si="122"/>
        <v>2019-LVN-FRD-T25V-032-27</v>
      </c>
      <c r="AG1145" s="661" t="str">
        <f>IF(AND($Y1145&gt;=32,(AI1145="I"),(Y1145&lt;&gt;"~"),(COUNTIF($AN$1:$AN1145,$AN1145)=1)),"TRUE","FALSE")</f>
        <v>FALSE</v>
      </c>
      <c r="AH1145" s="661" t="str">
        <f>IF(AND($Y1145&gt;=22, (AI1145&lt;&gt;"I"),(Y1145&lt;&gt;"~"),(COUNTIF($AN$1:$AN1145,$AN1145)=1)),"TRUE","FALSE")</f>
        <v>FALSE</v>
      </c>
      <c r="AI1145" s="661" t="str">
        <f t="shared" si="124"/>
        <v>II</v>
      </c>
      <c r="AJ1145" s="662" t="str">
        <f t="shared" si="118"/>
        <v>T25V-032</v>
      </c>
      <c r="AK1145" s="662" t="str">
        <f t="shared" si="119"/>
        <v>LVN</v>
      </c>
      <c r="AL1145" s="662" t="str">
        <f t="shared" si="120"/>
        <v>FRD</v>
      </c>
      <c r="AM1145" s="662" t="str">
        <f t="shared" si="123"/>
        <v>Transit 250 Van-Swing-Out RH Door-RWD-2-83.2-~-3.2L-5-R2Z-101A-147.6-25-Diesel-BioDiesel</v>
      </c>
      <c r="AN1145" s="662" t="str">
        <f t="shared" si="121"/>
        <v>2019-LVN-FRD-T25V-032</v>
      </c>
    </row>
    <row r="1146" spans="1:40" s="572" customFormat="1" ht="15">
      <c r="A1146" s="570" t="s">
        <v>2375</v>
      </c>
      <c r="B1146" s="569" t="s">
        <v>2352</v>
      </c>
      <c r="C1146" s="569" t="s">
        <v>280</v>
      </c>
      <c r="D1146" s="580">
        <v>27</v>
      </c>
      <c r="E1146" s="569" t="s">
        <v>1516</v>
      </c>
      <c r="F1146" s="569" t="s">
        <v>1517</v>
      </c>
      <c r="G1146" s="569" t="s">
        <v>271</v>
      </c>
      <c r="H1146" s="569">
        <v>2019</v>
      </c>
      <c r="I1146" s="569" t="s">
        <v>2199</v>
      </c>
      <c r="J1146" s="569" t="s">
        <v>2014</v>
      </c>
      <c r="K1146" s="569" t="s">
        <v>236</v>
      </c>
      <c r="L1146" s="569">
        <v>2</v>
      </c>
      <c r="M1146" s="569">
        <v>0</v>
      </c>
      <c r="N1146" s="569" t="s">
        <v>157</v>
      </c>
      <c r="O1146" s="569">
        <v>1</v>
      </c>
      <c r="P1146" s="569">
        <v>83.2</v>
      </c>
      <c r="Q1146" s="568" t="s">
        <v>157</v>
      </c>
      <c r="R1146" s="569" t="s">
        <v>1259</v>
      </c>
      <c r="S1146" s="569">
        <v>6</v>
      </c>
      <c r="T1146" s="569" t="s">
        <v>2350</v>
      </c>
      <c r="U1146" s="569" t="s">
        <v>1894</v>
      </c>
      <c r="V1146" s="569">
        <v>147.6</v>
      </c>
      <c r="W1146" s="569">
        <v>25</v>
      </c>
      <c r="X1146" s="568">
        <v>9000</v>
      </c>
      <c r="Y1146" s="569">
        <v>14</v>
      </c>
      <c r="Z1146" s="581" t="s">
        <v>178</v>
      </c>
      <c r="AA1146" s="581" t="s">
        <v>178</v>
      </c>
      <c r="AB1146" s="585">
        <v>38220</v>
      </c>
      <c r="AC1146" s="585" t="s">
        <v>164</v>
      </c>
      <c r="AD1146" s="585">
        <v>26646.541666666668</v>
      </c>
      <c r="AE1146" s="587">
        <v>0.03</v>
      </c>
      <c r="AF1146" s="661" t="str">
        <f t="shared" si="122"/>
        <v>2019-LVN-FRD-T25V-033-27</v>
      </c>
      <c r="AG1146" s="661" t="str">
        <f>IF(AND($Y1146&gt;=32,(AI1146="I"),(Y1146&lt;&gt;"~"),(COUNTIF($AN$1:$AN1146,$AN1146)=1)),"TRUE","FALSE")</f>
        <v>FALSE</v>
      </c>
      <c r="AH1146" s="661" t="str">
        <f>IF(AND($Y1146&gt;=22, (AI1146&lt;&gt;"I"),(Y1146&lt;&gt;"~"),(COUNTIF($AN$1:$AN1146,$AN1146)=1)),"TRUE","FALSE")</f>
        <v>FALSE</v>
      </c>
      <c r="AI1146" s="661" t="str">
        <f t="shared" si="124"/>
        <v>II</v>
      </c>
      <c r="AJ1146" s="662" t="str">
        <f t="shared" si="118"/>
        <v>T25V-033</v>
      </c>
      <c r="AK1146" s="662" t="str">
        <f t="shared" si="119"/>
        <v>LVN</v>
      </c>
      <c r="AL1146" s="662" t="str">
        <f t="shared" si="120"/>
        <v>FRD</v>
      </c>
      <c r="AM1146" s="662" t="str">
        <f t="shared" si="123"/>
        <v>Transit 250 Van-Swing-Out RH Door-RWD-2-83.2-~-3.5L EcoBoost-6-R2Z-101A-147.6-25-Unleaded-Unleaded</v>
      </c>
      <c r="AN1146" s="662" t="str">
        <f t="shared" si="121"/>
        <v>2019-LVN-FRD-T25V-033</v>
      </c>
    </row>
    <row r="1147" spans="1:40" s="572" customFormat="1" ht="15">
      <c r="A1147" s="570" t="s">
        <v>2376</v>
      </c>
      <c r="B1147" s="573" t="s">
        <v>2354</v>
      </c>
      <c r="C1147" s="573" t="s">
        <v>280</v>
      </c>
      <c r="D1147" s="578">
        <v>27</v>
      </c>
      <c r="E1147" s="573" t="s">
        <v>1516</v>
      </c>
      <c r="F1147" s="573" t="s">
        <v>1517</v>
      </c>
      <c r="G1147" s="573" t="s">
        <v>271</v>
      </c>
      <c r="H1147" s="573">
        <v>2019</v>
      </c>
      <c r="I1147" s="573" t="s">
        <v>2199</v>
      </c>
      <c r="J1147" s="573" t="s">
        <v>2014</v>
      </c>
      <c r="K1147" s="573" t="s">
        <v>236</v>
      </c>
      <c r="L1147" s="573">
        <v>2</v>
      </c>
      <c r="M1147" s="573">
        <v>0</v>
      </c>
      <c r="N1147" s="573" t="s">
        <v>157</v>
      </c>
      <c r="O1147" s="573">
        <v>1</v>
      </c>
      <c r="P1147" s="573">
        <v>83.2</v>
      </c>
      <c r="Q1147" s="571" t="s">
        <v>157</v>
      </c>
      <c r="R1147" s="573" t="s">
        <v>682</v>
      </c>
      <c r="S1147" s="573">
        <v>6</v>
      </c>
      <c r="T1147" s="573" t="s">
        <v>2350</v>
      </c>
      <c r="U1147" s="573" t="s">
        <v>1894</v>
      </c>
      <c r="V1147" s="573">
        <v>147.6</v>
      </c>
      <c r="W1147" s="573">
        <v>25</v>
      </c>
      <c r="X1147" s="571">
        <v>9000</v>
      </c>
      <c r="Y1147" s="569">
        <v>14</v>
      </c>
      <c r="Z1147" s="579" t="s">
        <v>178</v>
      </c>
      <c r="AA1147" s="579" t="s">
        <v>178</v>
      </c>
      <c r="AB1147" s="584">
        <v>36355</v>
      </c>
      <c r="AC1147" s="584" t="s">
        <v>164</v>
      </c>
      <c r="AD1147" s="584">
        <v>24990.291666666668</v>
      </c>
      <c r="AE1147" s="586">
        <v>0.03</v>
      </c>
      <c r="AF1147" s="661" t="str">
        <f t="shared" si="122"/>
        <v>2019-LVN-FRD-T25V-034-27</v>
      </c>
      <c r="AG1147" s="661" t="str">
        <f>IF(AND($Y1147&gt;=32,(AI1147="I"),(Y1147&lt;&gt;"~"),(COUNTIF($AN$1:$AN1147,$AN1147)=1)),"TRUE","FALSE")</f>
        <v>FALSE</v>
      </c>
      <c r="AH1147" s="661" t="str">
        <f>IF(AND($Y1147&gt;=22, (AI1147&lt;&gt;"I"),(Y1147&lt;&gt;"~"),(COUNTIF($AN$1:$AN1147,$AN1147)=1)),"TRUE","FALSE")</f>
        <v>FALSE</v>
      </c>
      <c r="AI1147" s="661" t="str">
        <f t="shared" si="124"/>
        <v>II</v>
      </c>
      <c r="AJ1147" s="662" t="str">
        <f t="shared" si="118"/>
        <v>T25V-034</v>
      </c>
      <c r="AK1147" s="662" t="str">
        <f t="shared" si="119"/>
        <v>LVN</v>
      </c>
      <c r="AL1147" s="662" t="str">
        <f t="shared" si="120"/>
        <v>FRD</v>
      </c>
      <c r="AM1147" s="662" t="str">
        <f t="shared" si="123"/>
        <v>Transit 250 Van-Swing-Out RH Door-RWD-2-83.2-~-3.7L-6-R2Z-101A-147.6-25-Unleaded-Unleaded</v>
      </c>
      <c r="AN1147" s="662" t="str">
        <f t="shared" si="121"/>
        <v>2019-LVN-FRD-T25V-034</v>
      </c>
    </row>
    <row r="1148" spans="1:40" s="572" customFormat="1" ht="15">
      <c r="A1148" s="570" t="s">
        <v>2377</v>
      </c>
      <c r="B1148" s="569" t="s">
        <v>2356</v>
      </c>
      <c r="C1148" s="569" t="s">
        <v>280</v>
      </c>
      <c r="D1148" s="580">
        <v>27</v>
      </c>
      <c r="E1148" s="569" t="s">
        <v>1516</v>
      </c>
      <c r="F1148" s="569" t="s">
        <v>1517</v>
      </c>
      <c r="G1148" s="569" t="s">
        <v>271</v>
      </c>
      <c r="H1148" s="569">
        <v>2019</v>
      </c>
      <c r="I1148" s="569" t="s">
        <v>2199</v>
      </c>
      <c r="J1148" s="569" t="s">
        <v>2014</v>
      </c>
      <c r="K1148" s="569" t="s">
        <v>236</v>
      </c>
      <c r="L1148" s="569">
        <v>2</v>
      </c>
      <c r="M1148" s="569">
        <v>0</v>
      </c>
      <c r="N1148" s="569" t="s">
        <v>157</v>
      </c>
      <c r="O1148" s="569">
        <v>1</v>
      </c>
      <c r="P1148" s="569">
        <v>83.6</v>
      </c>
      <c r="Q1148" s="568" t="s">
        <v>157</v>
      </c>
      <c r="R1148" s="569" t="s">
        <v>1917</v>
      </c>
      <c r="S1148" s="569">
        <v>5</v>
      </c>
      <c r="T1148" s="569" t="s">
        <v>2357</v>
      </c>
      <c r="U1148" s="569" t="s">
        <v>1894</v>
      </c>
      <c r="V1148" s="569">
        <v>129.9</v>
      </c>
      <c r="W1148" s="569">
        <v>25</v>
      </c>
      <c r="X1148" s="568">
        <v>9000</v>
      </c>
      <c r="Y1148" s="569">
        <v>14</v>
      </c>
      <c r="Z1148" s="581" t="s">
        <v>728</v>
      </c>
      <c r="AA1148" s="581" t="s">
        <v>1523</v>
      </c>
      <c r="AB1148" s="585">
        <v>39475</v>
      </c>
      <c r="AC1148" s="585" t="s">
        <v>164</v>
      </c>
      <c r="AD1148" s="585">
        <v>27739.833333333332</v>
      </c>
      <c r="AE1148" s="587">
        <v>0.03</v>
      </c>
      <c r="AF1148" s="661" t="str">
        <f t="shared" si="122"/>
        <v>2019-LVN-FRD-T25V-036-27</v>
      </c>
      <c r="AG1148" s="661" t="str">
        <f>IF(AND($Y1148&gt;=32,(AI1148="I"),(Y1148&lt;&gt;"~"),(COUNTIF($AN$1:$AN1148,$AN1148)=1)),"TRUE","FALSE")</f>
        <v>FALSE</v>
      </c>
      <c r="AH1148" s="661" t="str">
        <f>IF(AND($Y1148&gt;=22, (AI1148&lt;&gt;"I"),(Y1148&lt;&gt;"~"),(COUNTIF($AN$1:$AN1148,$AN1148)=1)),"TRUE","FALSE")</f>
        <v>FALSE</v>
      </c>
      <c r="AI1148" s="661" t="str">
        <f t="shared" si="124"/>
        <v>II</v>
      </c>
      <c r="AJ1148" s="662" t="str">
        <f t="shared" si="118"/>
        <v>T25V-036</v>
      </c>
      <c r="AK1148" s="662" t="str">
        <f t="shared" si="119"/>
        <v>LVN</v>
      </c>
      <c r="AL1148" s="662" t="str">
        <f t="shared" si="120"/>
        <v>FRD</v>
      </c>
      <c r="AM1148" s="662" t="str">
        <f t="shared" si="123"/>
        <v>Transit 250 Van-Swing-Out RH Door-RWD-2-83.6-~-3.2L-5-R1Z-101A-129.9-25-Diesel-BioDiesel</v>
      </c>
      <c r="AN1148" s="662" t="str">
        <f t="shared" si="121"/>
        <v>2019-LVN-FRD-T25V-036</v>
      </c>
    </row>
    <row r="1149" spans="1:40" s="572" customFormat="1" ht="15">
      <c r="A1149" s="570" t="s">
        <v>2378</v>
      </c>
      <c r="B1149" s="573" t="s">
        <v>2359</v>
      </c>
      <c r="C1149" s="573" t="s">
        <v>280</v>
      </c>
      <c r="D1149" s="578">
        <v>27</v>
      </c>
      <c r="E1149" s="573" t="s">
        <v>1516</v>
      </c>
      <c r="F1149" s="573" t="s">
        <v>1517</v>
      </c>
      <c r="G1149" s="573" t="s">
        <v>271</v>
      </c>
      <c r="H1149" s="573">
        <v>2019</v>
      </c>
      <c r="I1149" s="573" t="s">
        <v>2199</v>
      </c>
      <c r="J1149" s="573" t="s">
        <v>2014</v>
      </c>
      <c r="K1149" s="573" t="s">
        <v>236</v>
      </c>
      <c r="L1149" s="573">
        <v>2</v>
      </c>
      <c r="M1149" s="573">
        <v>0</v>
      </c>
      <c r="N1149" s="573" t="s">
        <v>157</v>
      </c>
      <c r="O1149" s="573">
        <v>1</v>
      </c>
      <c r="P1149" s="573">
        <v>83.6</v>
      </c>
      <c r="Q1149" s="571" t="s">
        <v>157</v>
      </c>
      <c r="R1149" s="573" t="s">
        <v>1259</v>
      </c>
      <c r="S1149" s="573">
        <v>6</v>
      </c>
      <c r="T1149" s="573" t="s">
        <v>2357</v>
      </c>
      <c r="U1149" s="573" t="s">
        <v>1894</v>
      </c>
      <c r="V1149" s="573">
        <v>129.9</v>
      </c>
      <c r="W1149" s="573">
        <v>25</v>
      </c>
      <c r="X1149" s="571">
        <v>9000</v>
      </c>
      <c r="Y1149" s="569">
        <v>14</v>
      </c>
      <c r="Z1149" s="579" t="s">
        <v>178</v>
      </c>
      <c r="AA1149" s="579" t="s">
        <v>178</v>
      </c>
      <c r="AB1149" s="584">
        <v>37345</v>
      </c>
      <c r="AC1149" s="584" t="s">
        <v>164</v>
      </c>
      <c r="AD1149" s="584">
        <v>25846.541666666668</v>
      </c>
      <c r="AE1149" s="586">
        <v>0.03</v>
      </c>
      <c r="AF1149" s="661" t="str">
        <f t="shared" si="122"/>
        <v>2019-LVN-FRD-T25V-037-27</v>
      </c>
      <c r="AG1149" s="661" t="str">
        <f>IF(AND($Y1149&gt;=32,(AI1149="I"),(Y1149&lt;&gt;"~"),(COUNTIF($AN$1:$AN1149,$AN1149)=1)),"TRUE","FALSE")</f>
        <v>FALSE</v>
      </c>
      <c r="AH1149" s="661" t="str">
        <f>IF(AND($Y1149&gt;=22, (AI1149&lt;&gt;"I"),(Y1149&lt;&gt;"~"),(COUNTIF($AN$1:$AN1149,$AN1149)=1)),"TRUE","FALSE")</f>
        <v>FALSE</v>
      </c>
      <c r="AI1149" s="661" t="str">
        <f t="shared" si="124"/>
        <v>II</v>
      </c>
      <c r="AJ1149" s="662" t="str">
        <f t="shared" si="118"/>
        <v>T25V-037</v>
      </c>
      <c r="AK1149" s="662" t="str">
        <f t="shared" si="119"/>
        <v>LVN</v>
      </c>
      <c r="AL1149" s="662" t="str">
        <f t="shared" si="120"/>
        <v>FRD</v>
      </c>
      <c r="AM1149" s="662" t="str">
        <f t="shared" si="123"/>
        <v>Transit 250 Van-Swing-Out RH Door-RWD-2-83.6-~-3.5L EcoBoost-6-R1Z-101A-129.9-25-Unleaded-Unleaded</v>
      </c>
      <c r="AN1149" s="662" t="str">
        <f t="shared" si="121"/>
        <v>2019-LVN-FRD-T25V-037</v>
      </c>
    </row>
    <row r="1150" spans="1:40" s="572" customFormat="1" ht="15">
      <c r="A1150" s="570" t="s">
        <v>2379</v>
      </c>
      <c r="B1150" s="569" t="s">
        <v>2361</v>
      </c>
      <c r="C1150" s="569" t="s">
        <v>280</v>
      </c>
      <c r="D1150" s="580">
        <v>27</v>
      </c>
      <c r="E1150" s="569" t="s">
        <v>1516</v>
      </c>
      <c r="F1150" s="569" t="s">
        <v>1517</v>
      </c>
      <c r="G1150" s="569" t="s">
        <v>271</v>
      </c>
      <c r="H1150" s="569">
        <v>2019</v>
      </c>
      <c r="I1150" s="569" t="s">
        <v>2199</v>
      </c>
      <c r="J1150" s="569" t="s">
        <v>2014</v>
      </c>
      <c r="K1150" s="569" t="s">
        <v>236</v>
      </c>
      <c r="L1150" s="569">
        <v>2</v>
      </c>
      <c r="M1150" s="569">
        <v>0</v>
      </c>
      <c r="N1150" s="569" t="s">
        <v>157</v>
      </c>
      <c r="O1150" s="569">
        <v>1</v>
      </c>
      <c r="P1150" s="569">
        <v>83.6</v>
      </c>
      <c r="Q1150" s="568" t="s">
        <v>157</v>
      </c>
      <c r="R1150" s="569" t="s">
        <v>682</v>
      </c>
      <c r="S1150" s="569">
        <v>6</v>
      </c>
      <c r="T1150" s="569" t="s">
        <v>2357</v>
      </c>
      <c r="U1150" s="569" t="s">
        <v>1894</v>
      </c>
      <c r="V1150" s="569">
        <v>129.9</v>
      </c>
      <c r="W1150" s="569">
        <v>25</v>
      </c>
      <c r="X1150" s="568">
        <v>9000</v>
      </c>
      <c r="Y1150" s="569">
        <v>14</v>
      </c>
      <c r="Z1150" s="581" t="s">
        <v>178</v>
      </c>
      <c r="AA1150" s="581" t="s">
        <v>178</v>
      </c>
      <c r="AB1150" s="585">
        <v>35480</v>
      </c>
      <c r="AC1150" s="585" t="s">
        <v>164</v>
      </c>
      <c r="AD1150" s="585">
        <v>24190.291666666668</v>
      </c>
      <c r="AE1150" s="587">
        <v>0.03</v>
      </c>
      <c r="AF1150" s="661" t="str">
        <f t="shared" si="122"/>
        <v>2019-LVN-FRD-T25V-038-27</v>
      </c>
      <c r="AG1150" s="661" t="str">
        <f>IF(AND($Y1150&gt;=32,(AI1150="I"),(Y1150&lt;&gt;"~"),(COUNTIF($AN$1:$AN1150,$AN1150)=1)),"TRUE","FALSE")</f>
        <v>FALSE</v>
      </c>
      <c r="AH1150" s="661" t="str">
        <f>IF(AND($Y1150&gt;=22, (AI1150&lt;&gt;"I"),(Y1150&lt;&gt;"~"),(COUNTIF($AN$1:$AN1150,$AN1150)=1)),"TRUE","FALSE")</f>
        <v>FALSE</v>
      </c>
      <c r="AI1150" s="661" t="str">
        <f t="shared" si="124"/>
        <v>II</v>
      </c>
      <c r="AJ1150" s="662" t="str">
        <f t="shared" si="118"/>
        <v>T25V-038</v>
      </c>
      <c r="AK1150" s="662" t="str">
        <f t="shared" si="119"/>
        <v>LVN</v>
      </c>
      <c r="AL1150" s="662" t="str">
        <f t="shared" si="120"/>
        <v>FRD</v>
      </c>
      <c r="AM1150" s="662" t="str">
        <f t="shared" si="123"/>
        <v>Transit 250 Van-Swing-Out RH Door-RWD-2-83.6-~-3.7L-6-R1Z-101A-129.9-25-Unleaded-Unleaded</v>
      </c>
      <c r="AN1150" s="662" t="str">
        <f t="shared" si="121"/>
        <v>2019-LVN-FRD-T25V-038</v>
      </c>
    </row>
    <row r="1151" spans="1:40" s="572" customFormat="1" ht="30">
      <c r="A1151" s="570" t="s">
        <v>2380</v>
      </c>
      <c r="B1151" s="573" t="s">
        <v>2381</v>
      </c>
      <c r="C1151" s="573" t="s">
        <v>269</v>
      </c>
      <c r="D1151" s="578" t="s">
        <v>270</v>
      </c>
      <c r="E1151" s="573" t="s">
        <v>1516</v>
      </c>
      <c r="F1151" s="573" t="s">
        <v>1684</v>
      </c>
      <c r="G1151" s="573" t="s">
        <v>271</v>
      </c>
      <c r="H1151" s="573">
        <v>2019</v>
      </c>
      <c r="I1151" s="573" t="s">
        <v>2382</v>
      </c>
      <c r="J1151" s="573" t="s">
        <v>1686</v>
      </c>
      <c r="K1151" s="573" t="s">
        <v>236</v>
      </c>
      <c r="L1151" s="573">
        <v>2</v>
      </c>
      <c r="M1151" s="573">
        <v>0</v>
      </c>
      <c r="N1151" s="573" t="s">
        <v>157</v>
      </c>
      <c r="O1151" s="573">
        <v>1</v>
      </c>
      <c r="P1151" s="573">
        <v>86.5</v>
      </c>
      <c r="Q1151" s="571" t="s">
        <v>157</v>
      </c>
      <c r="R1151" s="573" t="s">
        <v>1917</v>
      </c>
      <c r="S1151" s="573">
        <v>5</v>
      </c>
      <c r="T1151" s="573" t="s">
        <v>2383</v>
      </c>
      <c r="U1151" s="573" t="s">
        <v>2166</v>
      </c>
      <c r="V1151" s="573">
        <v>156</v>
      </c>
      <c r="W1151" s="573">
        <v>25</v>
      </c>
      <c r="X1151" s="571">
        <v>10360</v>
      </c>
      <c r="Y1151" s="569" t="s">
        <v>164</v>
      </c>
      <c r="Z1151" s="579" t="s">
        <v>728</v>
      </c>
      <c r="AA1151" s="579" t="s">
        <v>1523</v>
      </c>
      <c r="AB1151" s="584">
        <v>37800</v>
      </c>
      <c r="AC1151" s="584" t="s">
        <v>164</v>
      </c>
      <c r="AD1151" s="584">
        <v>28291.916666666664</v>
      </c>
      <c r="AE1151" s="586">
        <v>0.03</v>
      </c>
      <c r="AF1151" s="661" t="str">
        <f t="shared" si="122"/>
        <v>2019-LVN-FRD-T3CC-003-05</v>
      </c>
      <c r="AG1151" s="661" t="str">
        <f>IF(AND($Y1151&gt;=32,(AI1151="I"),(Y1151&lt;&gt;"~"),(COUNTIF($AN$1:$AN1151,$AN1151)=1)),"TRUE","FALSE")</f>
        <v>FALSE</v>
      </c>
      <c r="AH1151" s="661" t="str">
        <f>IF(AND($Y1151&gt;=22, (AI1151&lt;&gt;"I"),(Y1151&lt;&gt;"~"),(COUNTIF($AN$1:$AN1151,$AN1151)=1)),"TRUE","FALSE")</f>
        <v>TRUE</v>
      </c>
      <c r="AI1151" s="661" t="str">
        <f t="shared" si="124"/>
        <v>N/A</v>
      </c>
      <c r="AJ1151" s="662" t="str">
        <f t="shared" si="118"/>
        <v>T3CC-003</v>
      </c>
      <c r="AK1151" s="662" t="str">
        <f t="shared" si="119"/>
        <v>LVN</v>
      </c>
      <c r="AL1151" s="662" t="str">
        <f t="shared" si="120"/>
        <v>FRD</v>
      </c>
      <c r="AM1151" s="662" t="str">
        <f t="shared" si="123"/>
        <v>Transit 350 Chassis Cab-DRW-RWD-2-86.5-~-3.2L-5-S8Z-701A-156-25-Diesel-BioDiesel</v>
      </c>
      <c r="AN1151" s="662" t="str">
        <f t="shared" si="121"/>
        <v>2019-LVN-FRD-T3CC-003</v>
      </c>
    </row>
    <row r="1152" spans="1:40" s="572" customFormat="1" ht="30">
      <c r="A1152" s="570" t="s">
        <v>2384</v>
      </c>
      <c r="B1152" s="569" t="s">
        <v>2385</v>
      </c>
      <c r="C1152" s="569" t="s">
        <v>269</v>
      </c>
      <c r="D1152" s="580" t="s">
        <v>270</v>
      </c>
      <c r="E1152" s="569" t="s">
        <v>1516</v>
      </c>
      <c r="F1152" s="569" t="s">
        <v>1684</v>
      </c>
      <c r="G1152" s="569" t="s">
        <v>271</v>
      </c>
      <c r="H1152" s="569">
        <v>2019</v>
      </c>
      <c r="I1152" s="569" t="s">
        <v>2382</v>
      </c>
      <c r="J1152" s="569" t="s">
        <v>1686</v>
      </c>
      <c r="K1152" s="569" t="s">
        <v>236</v>
      </c>
      <c r="L1152" s="569">
        <v>2</v>
      </c>
      <c r="M1152" s="569">
        <v>0</v>
      </c>
      <c r="N1152" s="569" t="s">
        <v>157</v>
      </c>
      <c r="O1152" s="569">
        <v>1</v>
      </c>
      <c r="P1152" s="569">
        <v>86.5</v>
      </c>
      <c r="Q1152" s="568" t="s">
        <v>157</v>
      </c>
      <c r="R1152" s="569" t="s">
        <v>1917</v>
      </c>
      <c r="S1152" s="569">
        <v>5</v>
      </c>
      <c r="T1152" s="569" t="s">
        <v>2386</v>
      </c>
      <c r="U1152" s="569" t="s">
        <v>2166</v>
      </c>
      <c r="V1152" s="569">
        <v>178</v>
      </c>
      <c r="W1152" s="569">
        <v>25</v>
      </c>
      <c r="X1152" s="568">
        <v>10360</v>
      </c>
      <c r="Y1152" s="569" t="s">
        <v>164</v>
      </c>
      <c r="Z1152" s="581" t="s">
        <v>728</v>
      </c>
      <c r="AA1152" s="581" t="s">
        <v>1523</v>
      </c>
      <c r="AB1152" s="585">
        <v>38545</v>
      </c>
      <c r="AC1152" s="585" t="s">
        <v>164</v>
      </c>
      <c r="AD1152" s="585">
        <v>28972.125</v>
      </c>
      <c r="AE1152" s="587">
        <v>0.03</v>
      </c>
      <c r="AF1152" s="661" t="str">
        <f t="shared" si="122"/>
        <v>2019-LVN-FRD-T3CC-004-05</v>
      </c>
      <c r="AG1152" s="661" t="str">
        <f>IF(AND($Y1152&gt;=32,(AI1152="I"),(Y1152&lt;&gt;"~"),(COUNTIF($AN$1:$AN1152,$AN1152)=1)),"TRUE","FALSE")</f>
        <v>FALSE</v>
      </c>
      <c r="AH1152" s="661" t="str">
        <f>IF(AND($Y1152&gt;=22, (AI1152&lt;&gt;"I"),(Y1152&lt;&gt;"~"),(COUNTIF($AN$1:$AN1152,$AN1152)=1)),"TRUE","FALSE")</f>
        <v>TRUE</v>
      </c>
      <c r="AI1152" s="661" t="str">
        <f t="shared" si="124"/>
        <v>N/A</v>
      </c>
      <c r="AJ1152" s="662" t="str">
        <f t="shared" si="118"/>
        <v>T3CC-004</v>
      </c>
      <c r="AK1152" s="662" t="str">
        <f t="shared" si="119"/>
        <v>LVN</v>
      </c>
      <c r="AL1152" s="662" t="str">
        <f t="shared" si="120"/>
        <v>FRD</v>
      </c>
      <c r="AM1152" s="662" t="str">
        <f t="shared" si="123"/>
        <v>Transit 350 Chassis Cab-DRW-RWD-2-86.5-~-3.2L-5-S9Z-701A-178-25-Diesel-BioDiesel</v>
      </c>
      <c r="AN1152" s="662" t="str">
        <f t="shared" si="121"/>
        <v>2019-LVN-FRD-T3CC-004</v>
      </c>
    </row>
    <row r="1153" spans="1:40" s="572" customFormat="1" ht="30">
      <c r="A1153" s="570" t="s">
        <v>2387</v>
      </c>
      <c r="B1153" s="573" t="s">
        <v>2388</v>
      </c>
      <c r="C1153" s="573" t="s">
        <v>269</v>
      </c>
      <c r="D1153" s="578" t="s">
        <v>270</v>
      </c>
      <c r="E1153" s="573" t="s">
        <v>1516</v>
      </c>
      <c r="F1153" s="573" t="s">
        <v>1684</v>
      </c>
      <c r="G1153" s="573" t="s">
        <v>271</v>
      </c>
      <c r="H1153" s="573">
        <v>2019</v>
      </c>
      <c r="I1153" s="573" t="s">
        <v>2382</v>
      </c>
      <c r="J1153" s="573" t="s">
        <v>1686</v>
      </c>
      <c r="K1153" s="573" t="s">
        <v>236</v>
      </c>
      <c r="L1153" s="573">
        <v>2</v>
      </c>
      <c r="M1153" s="573">
        <v>0</v>
      </c>
      <c r="N1153" s="573" t="s">
        <v>157</v>
      </c>
      <c r="O1153" s="573">
        <v>1</v>
      </c>
      <c r="P1153" s="573">
        <v>86.5</v>
      </c>
      <c r="Q1153" s="571" t="s">
        <v>157</v>
      </c>
      <c r="R1153" s="573" t="s">
        <v>682</v>
      </c>
      <c r="S1153" s="573">
        <v>6</v>
      </c>
      <c r="T1153" s="573" t="s">
        <v>2389</v>
      </c>
      <c r="U1153" s="573" t="s">
        <v>2166</v>
      </c>
      <c r="V1153" s="573">
        <v>156</v>
      </c>
      <c r="W1153" s="573">
        <v>25</v>
      </c>
      <c r="X1153" s="571">
        <v>9950</v>
      </c>
      <c r="Y1153" s="573">
        <v>12</v>
      </c>
      <c r="Z1153" s="579" t="s">
        <v>178</v>
      </c>
      <c r="AA1153" s="579" t="s">
        <v>178</v>
      </c>
      <c r="AB1153" s="584">
        <v>33550</v>
      </c>
      <c r="AC1153" s="584" t="s">
        <v>164</v>
      </c>
      <c r="AD1153" s="584">
        <v>24509.041666666668</v>
      </c>
      <c r="AE1153" s="586">
        <v>0.03</v>
      </c>
      <c r="AF1153" s="661" t="str">
        <f t="shared" si="122"/>
        <v>2019-LVN-FRD-T3CC-005-05</v>
      </c>
      <c r="AG1153" s="661" t="str">
        <f>IF(AND($Y1153&gt;=32,(AI1153="I"),(Y1153&lt;&gt;"~"),(COUNTIF($AN$1:$AN1153,$AN1153)=1)),"TRUE","FALSE")</f>
        <v>FALSE</v>
      </c>
      <c r="AH1153" s="661" t="str">
        <f>IF(AND($Y1153&gt;=22, (AI1153&lt;&gt;"I"),(Y1153&lt;&gt;"~"),(COUNTIF($AN$1:$AN1153,$AN1153)=1)),"TRUE","FALSE")</f>
        <v>FALSE</v>
      </c>
      <c r="AI1153" s="661" t="str">
        <f t="shared" si="124"/>
        <v>II</v>
      </c>
      <c r="AJ1153" s="662" t="str">
        <f t="shared" si="118"/>
        <v>T3CC-005</v>
      </c>
      <c r="AK1153" s="662" t="str">
        <f t="shared" si="119"/>
        <v>LVN</v>
      </c>
      <c r="AL1153" s="662" t="str">
        <f t="shared" si="120"/>
        <v>FRD</v>
      </c>
      <c r="AM1153" s="662" t="str">
        <f t="shared" si="123"/>
        <v>Transit 350 Chassis Cab-DRW-RWD-2-86.5-~-3.7L-6-F8Z-701A-156-25-Unleaded-Unleaded</v>
      </c>
      <c r="AN1153" s="662" t="str">
        <f t="shared" si="121"/>
        <v>2019-LVN-FRD-T3CC-005</v>
      </c>
    </row>
    <row r="1154" spans="1:40" s="572" customFormat="1" ht="30">
      <c r="A1154" s="570" t="s">
        <v>2390</v>
      </c>
      <c r="B1154" s="569" t="s">
        <v>2391</v>
      </c>
      <c r="C1154" s="569" t="s">
        <v>269</v>
      </c>
      <c r="D1154" s="580" t="s">
        <v>270</v>
      </c>
      <c r="E1154" s="569" t="s">
        <v>1516</v>
      </c>
      <c r="F1154" s="569" t="s">
        <v>1684</v>
      </c>
      <c r="G1154" s="569" t="s">
        <v>271</v>
      </c>
      <c r="H1154" s="569">
        <v>2019</v>
      </c>
      <c r="I1154" s="569" t="s">
        <v>2382</v>
      </c>
      <c r="J1154" s="569" t="s">
        <v>1686</v>
      </c>
      <c r="K1154" s="569" t="s">
        <v>236</v>
      </c>
      <c r="L1154" s="569">
        <v>2</v>
      </c>
      <c r="M1154" s="569">
        <v>0</v>
      </c>
      <c r="N1154" s="569" t="s">
        <v>157</v>
      </c>
      <c r="O1154" s="569">
        <v>1</v>
      </c>
      <c r="P1154" s="569">
        <v>86.5</v>
      </c>
      <c r="Q1154" s="568" t="s">
        <v>157</v>
      </c>
      <c r="R1154" s="569" t="s">
        <v>682</v>
      </c>
      <c r="S1154" s="569">
        <v>6</v>
      </c>
      <c r="T1154" s="569" t="s">
        <v>2392</v>
      </c>
      <c r="U1154" s="569" t="s">
        <v>2166</v>
      </c>
      <c r="V1154" s="569">
        <v>178</v>
      </c>
      <c r="W1154" s="569">
        <v>25</v>
      </c>
      <c r="X1154" s="568">
        <v>9950</v>
      </c>
      <c r="Y1154" s="573">
        <v>12</v>
      </c>
      <c r="Z1154" s="581" t="s">
        <v>178</v>
      </c>
      <c r="AA1154" s="581" t="s">
        <v>178</v>
      </c>
      <c r="AB1154" s="585">
        <v>34300</v>
      </c>
      <c r="AC1154" s="585" t="s">
        <v>164</v>
      </c>
      <c r="AD1154" s="585">
        <v>25194.458333333336</v>
      </c>
      <c r="AE1154" s="587">
        <v>0.03</v>
      </c>
      <c r="AF1154" s="661" t="str">
        <f t="shared" si="122"/>
        <v>2019-LVN-FRD-T3CC-006-05</v>
      </c>
      <c r="AG1154" s="661" t="str">
        <f>IF(AND($Y1154&gt;=32,(AI1154="I"),(Y1154&lt;&gt;"~"),(COUNTIF($AN$1:$AN1154,$AN1154)=1)),"TRUE","FALSE")</f>
        <v>FALSE</v>
      </c>
      <c r="AH1154" s="661" t="str">
        <f>IF(AND($Y1154&gt;=22, (AI1154&lt;&gt;"I"),(Y1154&lt;&gt;"~"),(COUNTIF($AN$1:$AN1154,$AN1154)=1)),"TRUE","FALSE")</f>
        <v>FALSE</v>
      </c>
      <c r="AI1154" s="661" t="str">
        <f t="shared" si="124"/>
        <v>II</v>
      </c>
      <c r="AJ1154" s="662" t="str">
        <f t="shared" si="118"/>
        <v>T3CC-006</v>
      </c>
      <c r="AK1154" s="662" t="str">
        <f t="shared" si="119"/>
        <v>LVN</v>
      </c>
      <c r="AL1154" s="662" t="str">
        <f t="shared" si="120"/>
        <v>FRD</v>
      </c>
      <c r="AM1154" s="662" t="str">
        <f t="shared" si="123"/>
        <v>Transit 350 Chassis Cab-DRW-RWD-2-86.5-~-3.7L-6-F9Z-701A-178-25-Unleaded-Unleaded</v>
      </c>
      <c r="AN1154" s="662" t="str">
        <f t="shared" si="121"/>
        <v>2019-LVN-FRD-T3CC-006</v>
      </c>
    </row>
    <row r="1155" spans="1:40" s="572" customFormat="1" ht="30">
      <c r="A1155" s="570" t="s">
        <v>2393</v>
      </c>
      <c r="B1155" s="573" t="s">
        <v>2394</v>
      </c>
      <c r="C1155" s="573" t="s">
        <v>269</v>
      </c>
      <c r="D1155" s="578" t="s">
        <v>270</v>
      </c>
      <c r="E1155" s="573" t="s">
        <v>1516</v>
      </c>
      <c r="F1155" s="573" t="s">
        <v>1684</v>
      </c>
      <c r="G1155" s="573" t="s">
        <v>271</v>
      </c>
      <c r="H1155" s="573">
        <v>2019</v>
      </c>
      <c r="I1155" s="573" t="s">
        <v>2382</v>
      </c>
      <c r="J1155" s="573" t="s">
        <v>1686</v>
      </c>
      <c r="K1155" s="573" t="s">
        <v>236</v>
      </c>
      <c r="L1155" s="573">
        <v>2</v>
      </c>
      <c r="M1155" s="573">
        <v>0</v>
      </c>
      <c r="N1155" s="573" t="s">
        <v>157</v>
      </c>
      <c r="O1155" s="573">
        <v>1</v>
      </c>
      <c r="P1155" s="573">
        <v>86.5</v>
      </c>
      <c r="Q1155" s="571" t="s">
        <v>157</v>
      </c>
      <c r="R1155" s="573" t="s">
        <v>682</v>
      </c>
      <c r="S1155" s="573">
        <v>6</v>
      </c>
      <c r="T1155" s="573" t="s">
        <v>2383</v>
      </c>
      <c r="U1155" s="573" t="s">
        <v>2166</v>
      </c>
      <c r="V1155" s="573">
        <v>156</v>
      </c>
      <c r="W1155" s="573">
        <v>25</v>
      </c>
      <c r="X1155" s="571">
        <v>10360</v>
      </c>
      <c r="Y1155" s="569" t="s">
        <v>164</v>
      </c>
      <c r="Z1155" s="579" t="s">
        <v>178</v>
      </c>
      <c r="AA1155" s="579" t="s">
        <v>178</v>
      </c>
      <c r="AB1155" s="584">
        <v>33805</v>
      </c>
      <c r="AC1155" s="584" t="s">
        <v>164</v>
      </c>
      <c r="AD1155" s="584">
        <v>24742.375</v>
      </c>
      <c r="AE1155" s="586">
        <v>0.03</v>
      </c>
      <c r="AF1155" s="661" t="str">
        <f t="shared" si="122"/>
        <v>2019-LVN-FRD-T3CC-007-05</v>
      </c>
      <c r="AG1155" s="661" t="str">
        <f>IF(AND($Y1155&gt;=32,(AI1155="I"),(Y1155&lt;&gt;"~"),(COUNTIF($AN$1:$AN1155,$AN1155)=1)),"TRUE","FALSE")</f>
        <v>FALSE</v>
      </c>
      <c r="AH1155" s="661" t="str">
        <f>IF(AND($Y1155&gt;=22, (AI1155&lt;&gt;"I"),(Y1155&lt;&gt;"~"),(COUNTIF($AN$1:$AN1155,$AN1155)=1)),"TRUE","FALSE")</f>
        <v>TRUE</v>
      </c>
      <c r="AI1155" s="661" t="str">
        <f t="shared" si="124"/>
        <v>N/A</v>
      </c>
      <c r="AJ1155" s="662" t="str">
        <f t="shared" ref="AJ1155:AJ1218" si="125">MID(A1155,14,8)</f>
        <v>T3CC-007</v>
      </c>
      <c r="AK1155" s="662" t="str">
        <f t="shared" ref="AK1155:AK1218" si="126">MID(A1155,6,3)</f>
        <v>LVN</v>
      </c>
      <c r="AL1155" s="662" t="str">
        <f t="shared" ref="AL1155:AL1218" si="127">MID(A1155,10,3)</f>
        <v>FRD</v>
      </c>
      <c r="AM1155" s="662" t="str">
        <f t="shared" si="123"/>
        <v>Transit 350 Chassis Cab-DRW-RWD-2-86.5-~-3.7L-6-S8Z-701A-156-25-Unleaded-Unleaded</v>
      </c>
      <c r="AN1155" s="662" t="str">
        <f t="shared" ref="AN1155:AN1218" si="128">LEFT(A1155,21)</f>
        <v>2019-LVN-FRD-T3CC-007</v>
      </c>
    </row>
    <row r="1156" spans="1:40" s="572" customFormat="1" ht="30">
      <c r="A1156" s="570" t="s">
        <v>2395</v>
      </c>
      <c r="B1156" s="569" t="s">
        <v>2396</v>
      </c>
      <c r="C1156" s="569" t="s">
        <v>269</v>
      </c>
      <c r="D1156" s="580" t="s">
        <v>270</v>
      </c>
      <c r="E1156" s="569" t="s">
        <v>1516</v>
      </c>
      <c r="F1156" s="569" t="s">
        <v>1684</v>
      </c>
      <c r="G1156" s="569" t="s">
        <v>271</v>
      </c>
      <c r="H1156" s="569">
        <v>2019</v>
      </c>
      <c r="I1156" s="569" t="s">
        <v>2382</v>
      </c>
      <c r="J1156" s="569" t="s">
        <v>1686</v>
      </c>
      <c r="K1156" s="569" t="s">
        <v>236</v>
      </c>
      <c r="L1156" s="569">
        <v>2</v>
      </c>
      <c r="M1156" s="569">
        <v>0</v>
      </c>
      <c r="N1156" s="569" t="s">
        <v>157</v>
      </c>
      <c r="O1156" s="569">
        <v>1</v>
      </c>
      <c r="P1156" s="569">
        <v>86.5</v>
      </c>
      <c r="Q1156" s="568" t="s">
        <v>157</v>
      </c>
      <c r="R1156" s="569" t="s">
        <v>682</v>
      </c>
      <c r="S1156" s="569">
        <v>6</v>
      </c>
      <c r="T1156" s="569" t="s">
        <v>2386</v>
      </c>
      <c r="U1156" s="569" t="s">
        <v>2166</v>
      </c>
      <c r="V1156" s="569">
        <v>178</v>
      </c>
      <c r="W1156" s="569">
        <v>25</v>
      </c>
      <c r="X1156" s="568">
        <v>10360</v>
      </c>
      <c r="Y1156" s="569" t="s">
        <v>164</v>
      </c>
      <c r="Z1156" s="581" t="s">
        <v>178</v>
      </c>
      <c r="AA1156" s="581" t="s">
        <v>178</v>
      </c>
      <c r="AB1156" s="585">
        <v>34550</v>
      </c>
      <c r="AC1156" s="585" t="s">
        <v>164</v>
      </c>
      <c r="AD1156" s="585">
        <v>25422.583333333336</v>
      </c>
      <c r="AE1156" s="587">
        <v>0.03</v>
      </c>
      <c r="AF1156" s="661" t="str">
        <f t="shared" si="122"/>
        <v>2019-LVN-FRD-T3CC-008-05</v>
      </c>
      <c r="AG1156" s="661" t="str">
        <f>IF(AND($Y1156&gt;=32,(AI1156="I"),(Y1156&lt;&gt;"~"),(COUNTIF($AN$1:$AN1156,$AN1156)=1)),"TRUE","FALSE")</f>
        <v>FALSE</v>
      </c>
      <c r="AH1156" s="661" t="str">
        <f>IF(AND($Y1156&gt;=22, (AI1156&lt;&gt;"I"),(Y1156&lt;&gt;"~"),(COUNTIF($AN$1:$AN1156,$AN1156)=1)),"TRUE","FALSE")</f>
        <v>TRUE</v>
      </c>
      <c r="AI1156" s="661" t="str">
        <f t="shared" si="124"/>
        <v>N/A</v>
      </c>
      <c r="AJ1156" s="662" t="str">
        <f t="shared" si="125"/>
        <v>T3CC-008</v>
      </c>
      <c r="AK1156" s="662" t="str">
        <f t="shared" si="126"/>
        <v>LVN</v>
      </c>
      <c r="AL1156" s="662" t="str">
        <f t="shared" si="127"/>
        <v>FRD</v>
      </c>
      <c r="AM1156" s="662" t="str">
        <f t="shared" si="123"/>
        <v>Transit 350 Chassis Cab-DRW-RWD-2-86.5-~-3.7L-6-S9Z-701A-178-25-Unleaded-Unleaded</v>
      </c>
      <c r="AN1156" s="662" t="str">
        <f t="shared" si="128"/>
        <v>2019-LVN-FRD-T3CC-008</v>
      </c>
    </row>
    <row r="1157" spans="1:40" s="572" customFormat="1" ht="30">
      <c r="A1157" s="570" t="s">
        <v>2397</v>
      </c>
      <c r="B1157" s="573" t="s">
        <v>2398</v>
      </c>
      <c r="C1157" s="573" t="s">
        <v>269</v>
      </c>
      <c r="D1157" s="578" t="s">
        <v>270</v>
      </c>
      <c r="E1157" s="573" t="s">
        <v>1516</v>
      </c>
      <c r="F1157" s="573" t="s">
        <v>1684</v>
      </c>
      <c r="G1157" s="573" t="s">
        <v>271</v>
      </c>
      <c r="H1157" s="573">
        <v>2019</v>
      </c>
      <c r="I1157" s="573" t="s">
        <v>2382</v>
      </c>
      <c r="J1157" s="573" t="s">
        <v>1686</v>
      </c>
      <c r="K1157" s="573" t="s">
        <v>236</v>
      </c>
      <c r="L1157" s="573">
        <v>2</v>
      </c>
      <c r="M1157" s="573">
        <v>0</v>
      </c>
      <c r="N1157" s="573" t="s">
        <v>157</v>
      </c>
      <c r="O1157" s="573">
        <v>1</v>
      </c>
      <c r="P1157" s="573">
        <v>86.8</v>
      </c>
      <c r="Q1157" s="571" t="s">
        <v>157</v>
      </c>
      <c r="R1157" s="573" t="s">
        <v>1917</v>
      </c>
      <c r="S1157" s="573">
        <v>5</v>
      </c>
      <c r="T1157" s="573" t="s">
        <v>2399</v>
      </c>
      <c r="U1157" s="573" t="s">
        <v>2166</v>
      </c>
      <c r="V1157" s="573">
        <v>138</v>
      </c>
      <c r="W1157" s="573">
        <v>25</v>
      </c>
      <c r="X1157" s="571">
        <v>10360</v>
      </c>
      <c r="Y1157" s="569" t="s">
        <v>164</v>
      </c>
      <c r="Z1157" s="579" t="s">
        <v>728</v>
      </c>
      <c r="AA1157" s="579" t="s">
        <v>1523</v>
      </c>
      <c r="AB1157" s="584">
        <v>37345</v>
      </c>
      <c r="AC1157" s="584" t="s">
        <v>164</v>
      </c>
      <c r="AD1157" s="584">
        <v>27875.25</v>
      </c>
      <c r="AE1157" s="586">
        <v>0.03</v>
      </c>
      <c r="AF1157" s="661" t="str">
        <f t="shared" si="122"/>
        <v>2019-LVN-FRD-T3CC-010-05</v>
      </c>
      <c r="AG1157" s="661" t="str">
        <f>IF(AND($Y1157&gt;=32,(AI1157="I"),(Y1157&lt;&gt;"~"),(COUNTIF($AN$1:$AN1157,$AN1157)=1)),"TRUE","FALSE")</f>
        <v>FALSE</v>
      </c>
      <c r="AH1157" s="661" t="str">
        <f>IF(AND($Y1157&gt;=22, (AI1157&lt;&gt;"I"),(Y1157&lt;&gt;"~"),(COUNTIF($AN$1:$AN1157,$AN1157)=1)),"TRUE","FALSE")</f>
        <v>TRUE</v>
      </c>
      <c r="AI1157" s="661" t="str">
        <f t="shared" si="124"/>
        <v>N/A</v>
      </c>
      <c r="AJ1157" s="662" t="str">
        <f t="shared" si="125"/>
        <v>T3CC-010</v>
      </c>
      <c r="AK1157" s="662" t="str">
        <f t="shared" si="126"/>
        <v>LVN</v>
      </c>
      <c r="AL1157" s="662" t="str">
        <f t="shared" si="127"/>
        <v>FRD</v>
      </c>
      <c r="AM1157" s="662" t="str">
        <f t="shared" si="123"/>
        <v>Transit 350 Chassis Cab-DRW-RWD-2-86.8-~-3.2L-5-S6Z-701A-138-25-Diesel-BioDiesel</v>
      </c>
      <c r="AN1157" s="662" t="str">
        <f t="shared" si="128"/>
        <v>2019-LVN-FRD-T3CC-010</v>
      </c>
    </row>
    <row r="1158" spans="1:40" s="572" customFormat="1" ht="30">
      <c r="A1158" s="570" t="s">
        <v>2400</v>
      </c>
      <c r="B1158" s="569" t="s">
        <v>2401</v>
      </c>
      <c r="C1158" s="569" t="s">
        <v>269</v>
      </c>
      <c r="D1158" s="580" t="s">
        <v>270</v>
      </c>
      <c r="E1158" s="569" t="s">
        <v>1516</v>
      </c>
      <c r="F1158" s="569" t="s">
        <v>1684</v>
      </c>
      <c r="G1158" s="569" t="s">
        <v>271</v>
      </c>
      <c r="H1158" s="569">
        <v>2019</v>
      </c>
      <c r="I1158" s="569" t="s">
        <v>2382</v>
      </c>
      <c r="J1158" s="569" t="s">
        <v>1686</v>
      </c>
      <c r="K1158" s="569" t="s">
        <v>236</v>
      </c>
      <c r="L1158" s="569">
        <v>2</v>
      </c>
      <c r="M1158" s="569">
        <v>0</v>
      </c>
      <c r="N1158" s="569" t="s">
        <v>157</v>
      </c>
      <c r="O1158" s="569">
        <v>1</v>
      </c>
      <c r="P1158" s="569">
        <v>86.8</v>
      </c>
      <c r="Q1158" s="568" t="s">
        <v>157</v>
      </c>
      <c r="R1158" s="569" t="s">
        <v>682</v>
      </c>
      <c r="S1158" s="569">
        <v>6</v>
      </c>
      <c r="T1158" s="569" t="s">
        <v>2402</v>
      </c>
      <c r="U1158" s="569" t="s">
        <v>2166</v>
      </c>
      <c r="V1158" s="569">
        <v>138</v>
      </c>
      <c r="W1158" s="569">
        <v>25</v>
      </c>
      <c r="X1158" s="568">
        <v>9950</v>
      </c>
      <c r="Y1158" s="573">
        <v>12</v>
      </c>
      <c r="Z1158" s="581" t="s">
        <v>178</v>
      </c>
      <c r="AA1158" s="581" t="s">
        <v>178</v>
      </c>
      <c r="AB1158" s="585">
        <v>33100</v>
      </c>
      <c r="AC1158" s="585" t="s">
        <v>164</v>
      </c>
      <c r="AD1158" s="585">
        <v>24097.583333333336</v>
      </c>
      <c r="AE1158" s="587">
        <v>0.03</v>
      </c>
      <c r="AF1158" s="661" t="str">
        <f t="shared" si="122"/>
        <v>2019-LVN-FRD-T3CC-011-05</v>
      </c>
      <c r="AG1158" s="661" t="str">
        <f>IF(AND($Y1158&gt;=32,(AI1158="I"),(Y1158&lt;&gt;"~"),(COUNTIF($AN$1:$AN1158,$AN1158)=1)),"TRUE","FALSE")</f>
        <v>FALSE</v>
      </c>
      <c r="AH1158" s="661" t="str">
        <f>IF(AND($Y1158&gt;=22, (AI1158&lt;&gt;"I"),(Y1158&lt;&gt;"~"),(COUNTIF($AN$1:$AN1158,$AN1158)=1)),"TRUE","FALSE")</f>
        <v>FALSE</v>
      </c>
      <c r="AI1158" s="661" t="str">
        <f t="shared" si="124"/>
        <v>II</v>
      </c>
      <c r="AJ1158" s="662" t="str">
        <f t="shared" si="125"/>
        <v>T3CC-011</v>
      </c>
      <c r="AK1158" s="662" t="str">
        <f t="shared" si="126"/>
        <v>LVN</v>
      </c>
      <c r="AL1158" s="662" t="str">
        <f t="shared" si="127"/>
        <v>FRD</v>
      </c>
      <c r="AM1158" s="662" t="str">
        <f t="shared" si="123"/>
        <v>Transit 350 Chassis Cab-DRW-RWD-2-86.8-~-3.7L-6-F6Z-701A-138-25-Unleaded-Unleaded</v>
      </c>
      <c r="AN1158" s="662" t="str">
        <f t="shared" si="128"/>
        <v>2019-LVN-FRD-T3CC-011</v>
      </c>
    </row>
    <row r="1159" spans="1:40" s="572" customFormat="1" ht="30">
      <c r="A1159" s="570" t="s">
        <v>2403</v>
      </c>
      <c r="B1159" s="573" t="s">
        <v>2404</v>
      </c>
      <c r="C1159" s="573" t="s">
        <v>269</v>
      </c>
      <c r="D1159" s="578" t="s">
        <v>270</v>
      </c>
      <c r="E1159" s="573" t="s">
        <v>1516</v>
      </c>
      <c r="F1159" s="573" t="s">
        <v>1684</v>
      </c>
      <c r="G1159" s="573" t="s">
        <v>271</v>
      </c>
      <c r="H1159" s="573">
        <v>2019</v>
      </c>
      <c r="I1159" s="573" t="s">
        <v>2382</v>
      </c>
      <c r="J1159" s="573" t="s">
        <v>1686</v>
      </c>
      <c r="K1159" s="573" t="s">
        <v>236</v>
      </c>
      <c r="L1159" s="573">
        <v>2</v>
      </c>
      <c r="M1159" s="573">
        <v>0</v>
      </c>
      <c r="N1159" s="573" t="s">
        <v>157</v>
      </c>
      <c r="O1159" s="573">
        <v>1</v>
      </c>
      <c r="P1159" s="573">
        <v>86.8</v>
      </c>
      <c r="Q1159" s="571" t="s">
        <v>157</v>
      </c>
      <c r="R1159" s="573" t="s">
        <v>682</v>
      </c>
      <c r="S1159" s="573">
        <v>6</v>
      </c>
      <c r="T1159" s="573" t="s">
        <v>2399</v>
      </c>
      <c r="U1159" s="573" t="s">
        <v>2166</v>
      </c>
      <c r="V1159" s="573">
        <v>138</v>
      </c>
      <c r="W1159" s="573">
        <v>25</v>
      </c>
      <c r="X1159" s="571">
        <v>10360</v>
      </c>
      <c r="Y1159" s="569" t="s">
        <v>164</v>
      </c>
      <c r="Z1159" s="579" t="s">
        <v>178</v>
      </c>
      <c r="AA1159" s="579" t="s">
        <v>178</v>
      </c>
      <c r="AB1159" s="584">
        <v>33350</v>
      </c>
      <c r="AC1159" s="584" t="s">
        <v>164</v>
      </c>
      <c r="AD1159" s="584">
        <v>24325.708333333336</v>
      </c>
      <c r="AE1159" s="586">
        <v>0.03</v>
      </c>
      <c r="AF1159" s="661" t="str">
        <f t="shared" si="122"/>
        <v>2019-LVN-FRD-T3CC-012-05</v>
      </c>
      <c r="AG1159" s="661" t="str">
        <f>IF(AND($Y1159&gt;=32,(AI1159="I"),(Y1159&lt;&gt;"~"),(COUNTIF($AN$1:$AN1159,$AN1159)=1)),"TRUE","FALSE")</f>
        <v>FALSE</v>
      </c>
      <c r="AH1159" s="661" t="str">
        <f>IF(AND($Y1159&gt;=22, (AI1159&lt;&gt;"I"),(Y1159&lt;&gt;"~"),(COUNTIF($AN$1:$AN1159,$AN1159)=1)),"TRUE","FALSE")</f>
        <v>TRUE</v>
      </c>
      <c r="AI1159" s="661" t="str">
        <f t="shared" si="124"/>
        <v>N/A</v>
      </c>
      <c r="AJ1159" s="662" t="str">
        <f t="shared" si="125"/>
        <v>T3CC-012</v>
      </c>
      <c r="AK1159" s="662" t="str">
        <f t="shared" si="126"/>
        <v>LVN</v>
      </c>
      <c r="AL1159" s="662" t="str">
        <f t="shared" si="127"/>
        <v>FRD</v>
      </c>
      <c r="AM1159" s="662" t="str">
        <f t="shared" si="123"/>
        <v>Transit 350 Chassis Cab-DRW-RWD-2-86.8-~-3.7L-6-S6Z-701A-138-25-Unleaded-Unleaded</v>
      </c>
      <c r="AN1159" s="662" t="str">
        <f t="shared" si="128"/>
        <v>2019-LVN-FRD-T3CC-012</v>
      </c>
    </row>
    <row r="1160" spans="1:40" s="572" customFormat="1" ht="30">
      <c r="A1160" s="570" t="s">
        <v>2405</v>
      </c>
      <c r="B1160" s="569" t="s">
        <v>2381</v>
      </c>
      <c r="C1160" s="569" t="s">
        <v>278</v>
      </c>
      <c r="D1160" s="580">
        <v>15</v>
      </c>
      <c r="E1160" s="569" t="s">
        <v>1516</v>
      </c>
      <c r="F1160" s="569" t="s">
        <v>1684</v>
      </c>
      <c r="G1160" s="569" t="s">
        <v>271</v>
      </c>
      <c r="H1160" s="569">
        <v>2019</v>
      </c>
      <c r="I1160" s="569" t="s">
        <v>2382</v>
      </c>
      <c r="J1160" s="569" t="s">
        <v>1686</v>
      </c>
      <c r="K1160" s="569" t="s">
        <v>236</v>
      </c>
      <c r="L1160" s="569">
        <v>2</v>
      </c>
      <c r="M1160" s="569">
        <v>0</v>
      </c>
      <c r="N1160" s="569" t="s">
        <v>157</v>
      </c>
      <c r="O1160" s="569">
        <v>1</v>
      </c>
      <c r="P1160" s="569">
        <v>86.5</v>
      </c>
      <c r="Q1160" s="568" t="s">
        <v>157</v>
      </c>
      <c r="R1160" s="569" t="s">
        <v>1917</v>
      </c>
      <c r="S1160" s="569">
        <v>5</v>
      </c>
      <c r="T1160" s="569" t="s">
        <v>2383</v>
      </c>
      <c r="U1160" s="569" t="s">
        <v>2166</v>
      </c>
      <c r="V1160" s="569">
        <v>156</v>
      </c>
      <c r="W1160" s="569">
        <v>25</v>
      </c>
      <c r="X1160" s="568">
        <v>10360</v>
      </c>
      <c r="Y1160" s="569" t="s">
        <v>164</v>
      </c>
      <c r="Z1160" s="581" t="s">
        <v>728</v>
      </c>
      <c r="AA1160" s="581" t="s">
        <v>1523</v>
      </c>
      <c r="AB1160" s="585">
        <v>37800</v>
      </c>
      <c r="AC1160" s="585" t="s">
        <v>164</v>
      </c>
      <c r="AD1160" s="585">
        <v>28850</v>
      </c>
      <c r="AE1160" s="587">
        <v>0.01</v>
      </c>
      <c r="AF1160" s="661" t="str">
        <f t="shared" ref="AF1160:AF1223" si="129">A1160</f>
        <v>2019-LVN-FRD-T3CC-003-15</v>
      </c>
      <c r="AG1160" s="661" t="str">
        <f>IF(AND($Y1160&gt;=32,(AI1160="I"),(Y1160&lt;&gt;"~"),(COUNTIF($AN$1:$AN1160,$AN1160)=1)),"TRUE","FALSE")</f>
        <v>FALSE</v>
      </c>
      <c r="AH1160" s="661" t="str">
        <f>IF(AND($Y1160&gt;=22, (AI1160&lt;&gt;"I"),(Y1160&lt;&gt;"~"),(COUNTIF($AN$1:$AN1160,$AN1160)=1)),"TRUE","FALSE")</f>
        <v>FALSE</v>
      </c>
      <c r="AI1160" s="661" t="str">
        <f t="shared" si="124"/>
        <v>N/A</v>
      </c>
      <c r="AJ1160" s="662" t="str">
        <f t="shared" si="125"/>
        <v>T3CC-003</v>
      </c>
      <c r="AK1160" s="662" t="str">
        <f t="shared" si="126"/>
        <v>LVN</v>
      </c>
      <c r="AL1160" s="662" t="str">
        <f t="shared" si="127"/>
        <v>FRD</v>
      </c>
      <c r="AM1160" s="662" t="str">
        <f t="shared" si="123"/>
        <v>Transit 350 Chassis Cab-DRW-RWD-2-86.5-~-3.2L-5-S8Z-701A-156-25-Diesel-BioDiesel</v>
      </c>
      <c r="AN1160" s="662" t="str">
        <f t="shared" si="128"/>
        <v>2019-LVN-FRD-T3CC-003</v>
      </c>
    </row>
    <row r="1161" spans="1:40" s="572" customFormat="1" ht="30">
      <c r="A1161" s="570" t="s">
        <v>2406</v>
      </c>
      <c r="B1161" s="573" t="s">
        <v>2385</v>
      </c>
      <c r="C1161" s="573" t="s">
        <v>278</v>
      </c>
      <c r="D1161" s="578">
        <v>15</v>
      </c>
      <c r="E1161" s="573" t="s">
        <v>1516</v>
      </c>
      <c r="F1161" s="573" t="s">
        <v>1684</v>
      </c>
      <c r="G1161" s="573" t="s">
        <v>271</v>
      </c>
      <c r="H1161" s="573">
        <v>2019</v>
      </c>
      <c r="I1161" s="573" t="s">
        <v>2382</v>
      </c>
      <c r="J1161" s="573" t="s">
        <v>1686</v>
      </c>
      <c r="K1161" s="573" t="s">
        <v>236</v>
      </c>
      <c r="L1161" s="573">
        <v>2</v>
      </c>
      <c r="M1161" s="573">
        <v>0</v>
      </c>
      <c r="N1161" s="573" t="s">
        <v>157</v>
      </c>
      <c r="O1161" s="573">
        <v>1</v>
      </c>
      <c r="P1161" s="573">
        <v>86.5</v>
      </c>
      <c r="Q1161" s="571" t="s">
        <v>157</v>
      </c>
      <c r="R1161" s="573" t="s">
        <v>1917</v>
      </c>
      <c r="S1161" s="573">
        <v>5</v>
      </c>
      <c r="T1161" s="573" t="s">
        <v>2386</v>
      </c>
      <c r="U1161" s="573" t="s">
        <v>2166</v>
      </c>
      <c r="V1161" s="573">
        <v>178</v>
      </c>
      <c r="W1161" s="573">
        <v>25</v>
      </c>
      <c r="X1161" s="571">
        <v>10360</v>
      </c>
      <c r="Y1161" s="569" t="s">
        <v>164</v>
      </c>
      <c r="Z1161" s="579" t="s">
        <v>728</v>
      </c>
      <c r="AA1161" s="579" t="s">
        <v>1523</v>
      </c>
      <c r="AB1161" s="584">
        <v>38545</v>
      </c>
      <c r="AC1161" s="584" t="s">
        <v>164</v>
      </c>
      <c r="AD1161" s="584">
        <v>29600</v>
      </c>
      <c r="AE1161" s="586">
        <v>0.01</v>
      </c>
      <c r="AF1161" s="661" t="str">
        <f t="shared" si="129"/>
        <v>2019-LVN-FRD-T3CC-004-15</v>
      </c>
      <c r="AG1161" s="661" t="str">
        <f>IF(AND($Y1161&gt;=32,(AI1161="I"),(Y1161&lt;&gt;"~"),(COUNTIF($AN$1:$AN1161,$AN1161)=1)),"TRUE","FALSE")</f>
        <v>FALSE</v>
      </c>
      <c r="AH1161" s="661" t="str">
        <f>IF(AND($Y1161&gt;=22, (AI1161&lt;&gt;"I"),(Y1161&lt;&gt;"~"),(COUNTIF($AN$1:$AN1161,$AN1161)=1)),"TRUE","FALSE")</f>
        <v>FALSE</v>
      </c>
      <c r="AI1161" s="661" t="str">
        <f t="shared" si="124"/>
        <v>N/A</v>
      </c>
      <c r="AJ1161" s="662" t="str">
        <f t="shared" si="125"/>
        <v>T3CC-004</v>
      </c>
      <c r="AK1161" s="662" t="str">
        <f t="shared" si="126"/>
        <v>LVN</v>
      </c>
      <c r="AL1161" s="662" t="str">
        <f t="shared" si="127"/>
        <v>FRD</v>
      </c>
      <c r="AM1161" s="662" t="str">
        <f t="shared" si="123"/>
        <v>Transit 350 Chassis Cab-DRW-RWD-2-86.5-~-3.2L-5-S9Z-701A-178-25-Diesel-BioDiesel</v>
      </c>
      <c r="AN1161" s="662" t="str">
        <f t="shared" si="128"/>
        <v>2019-LVN-FRD-T3CC-004</v>
      </c>
    </row>
    <row r="1162" spans="1:40" s="572" customFormat="1" ht="30">
      <c r="A1162" s="570" t="s">
        <v>2407</v>
      </c>
      <c r="B1162" s="569" t="s">
        <v>2388</v>
      </c>
      <c r="C1162" s="569" t="s">
        <v>278</v>
      </c>
      <c r="D1162" s="580">
        <v>15</v>
      </c>
      <c r="E1162" s="569" t="s">
        <v>1516</v>
      </c>
      <c r="F1162" s="569" t="s">
        <v>1684</v>
      </c>
      <c r="G1162" s="569" t="s">
        <v>271</v>
      </c>
      <c r="H1162" s="569">
        <v>2019</v>
      </c>
      <c r="I1162" s="569" t="s">
        <v>2382</v>
      </c>
      <c r="J1162" s="569" t="s">
        <v>1686</v>
      </c>
      <c r="K1162" s="569" t="s">
        <v>236</v>
      </c>
      <c r="L1162" s="569">
        <v>2</v>
      </c>
      <c r="M1162" s="569">
        <v>0</v>
      </c>
      <c r="N1162" s="569" t="s">
        <v>157</v>
      </c>
      <c r="O1162" s="569">
        <v>1</v>
      </c>
      <c r="P1162" s="569">
        <v>86.5</v>
      </c>
      <c r="Q1162" s="568" t="s">
        <v>157</v>
      </c>
      <c r="R1162" s="569" t="s">
        <v>682</v>
      </c>
      <c r="S1162" s="569">
        <v>6</v>
      </c>
      <c r="T1162" s="569" t="s">
        <v>2389</v>
      </c>
      <c r="U1162" s="569" t="s">
        <v>2166</v>
      </c>
      <c r="V1162" s="569">
        <v>156</v>
      </c>
      <c r="W1162" s="569">
        <v>25</v>
      </c>
      <c r="X1162" s="568">
        <v>9950</v>
      </c>
      <c r="Y1162" s="573">
        <v>12</v>
      </c>
      <c r="Z1162" s="581" t="s">
        <v>178</v>
      </c>
      <c r="AA1162" s="581" t="s">
        <v>178</v>
      </c>
      <c r="AB1162" s="585">
        <v>33550</v>
      </c>
      <c r="AC1162" s="585" t="s">
        <v>164</v>
      </c>
      <c r="AD1162" s="585">
        <v>25000</v>
      </c>
      <c r="AE1162" s="587">
        <v>0.01</v>
      </c>
      <c r="AF1162" s="661" t="str">
        <f t="shared" si="129"/>
        <v>2019-LVN-FRD-T3CC-005-15</v>
      </c>
      <c r="AG1162" s="661" t="str">
        <f>IF(AND($Y1162&gt;=32,(AI1162="I"),(Y1162&lt;&gt;"~"),(COUNTIF($AN$1:$AN1162,$AN1162)=1)),"TRUE","FALSE")</f>
        <v>FALSE</v>
      </c>
      <c r="AH1162" s="661" t="str">
        <f>IF(AND($Y1162&gt;=22, (AI1162&lt;&gt;"I"),(Y1162&lt;&gt;"~"),(COUNTIF($AN$1:$AN1162,$AN1162)=1)),"TRUE","FALSE")</f>
        <v>FALSE</v>
      </c>
      <c r="AI1162" s="661" t="str">
        <f t="shared" si="124"/>
        <v>II</v>
      </c>
      <c r="AJ1162" s="662" t="str">
        <f t="shared" si="125"/>
        <v>T3CC-005</v>
      </c>
      <c r="AK1162" s="662" t="str">
        <f t="shared" si="126"/>
        <v>LVN</v>
      </c>
      <c r="AL1162" s="662" t="str">
        <f t="shared" si="127"/>
        <v>FRD</v>
      </c>
      <c r="AM1162" s="662" t="str">
        <f t="shared" si="123"/>
        <v>Transit 350 Chassis Cab-DRW-RWD-2-86.5-~-3.7L-6-F8Z-701A-156-25-Unleaded-Unleaded</v>
      </c>
      <c r="AN1162" s="662" t="str">
        <f t="shared" si="128"/>
        <v>2019-LVN-FRD-T3CC-005</v>
      </c>
    </row>
    <row r="1163" spans="1:40" s="572" customFormat="1" ht="30">
      <c r="A1163" s="570" t="s">
        <v>2408</v>
      </c>
      <c r="B1163" s="573" t="s">
        <v>2391</v>
      </c>
      <c r="C1163" s="573" t="s">
        <v>278</v>
      </c>
      <c r="D1163" s="578">
        <v>15</v>
      </c>
      <c r="E1163" s="573" t="s">
        <v>1516</v>
      </c>
      <c r="F1163" s="573" t="s">
        <v>1684</v>
      </c>
      <c r="G1163" s="573" t="s">
        <v>271</v>
      </c>
      <c r="H1163" s="573">
        <v>2019</v>
      </c>
      <c r="I1163" s="573" t="s">
        <v>2382</v>
      </c>
      <c r="J1163" s="573" t="s">
        <v>1686</v>
      </c>
      <c r="K1163" s="573" t="s">
        <v>236</v>
      </c>
      <c r="L1163" s="573">
        <v>2</v>
      </c>
      <c r="M1163" s="573">
        <v>0</v>
      </c>
      <c r="N1163" s="573" t="s">
        <v>157</v>
      </c>
      <c r="O1163" s="573">
        <v>1</v>
      </c>
      <c r="P1163" s="573">
        <v>86.5</v>
      </c>
      <c r="Q1163" s="571" t="s">
        <v>157</v>
      </c>
      <c r="R1163" s="573" t="s">
        <v>682</v>
      </c>
      <c r="S1163" s="573">
        <v>6</v>
      </c>
      <c r="T1163" s="573" t="s">
        <v>2392</v>
      </c>
      <c r="U1163" s="573" t="s">
        <v>2166</v>
      </c>
      <c r="V1163" s="573">
        <v>178</v>
      </c>
      <c r="W1163" s="573">
        <v>25</v>
      </c>
      <c r="X1163" s="571">
        <v>9950</v>
      </c>
      <c r="Y1163" s="573">
        <v>12</v>
      </c>
      <c r="Z1163" s="579" t="s">
        <v>178</v>
      </c>
      <c r="AA1163" s="579" t="s">
        <v>178</v>
      </c>
      <c r="AB1163" s="584">
        <v>34300</v>
      </c>
      <c r="AC1163" s="584" t="s">
        <v>164</v>
      </c>
      <c r="AD1163" s="584">
        <v>25700</v>
      </c>
      <c r="AE1163" s="586">
        <v>0.01</v>
      </c>
      <c r="AF1163" s="661" t="str">
        <f t="shared" si="129"/>
        <v>2019-LVN-FRD-T3CC-006-15</v>
      </c>
      <c r="AG1163" s="661" t="str">
        <f>IF(AND($Y1163&gt;=32,(AI1163="I"),(Y1163&lt;&gt;"~"),(COUNTIF($AN$1:$AN1163,$AN1163)=1)),"TRUE","FALSE")</f>
        <v>FALSE</v>
      </c>
      <c r="AH1163" s="661" t="str">
        <f>IF(AND($Y1163&gt;=22, (AI1163&lt;&gt;"I"),(Y1163&lt;&gt;"~"),(COUNTIF($AN$1:$AN1163,$AN1163)=1)),"TRUE","FALSE")</f>
        <v>FALSE</v>
      </c>
      <c r="AI1163" s="661" t="str">
        <f t="shared" si="124"/>
        <v>II</v>
      </c>
      <c r="AJ1163" s="662" t="str">
        <f t="shared" si="125"/>
        <v>T3CC-006</v>
      </c>
      <c r="AK1163" s="662" t="str">
        <f t="shared" si="126"/>
        <v>LVN</v>
      </c>
      <c r="AL1163" s="662" t="str">
        <f t="shared" si="127"/>
        <v>FRD</v>
      </c>
      <c r="AM1163" s="662" t="str">
        <f t="shared" si="123"/>
        <v>Transit 350 Chassis Cab-DRW-RWD-2-86.5-~-3.7L-6-F9Z-701A-178-25-Unleaded-Unleaded</v>
      </c>
      <c r="AN1163" s="662" t="str">
        <f t="shared" si="128"/>
        <v>2019-LVN-FRD-T3CC-006</v>
      </c>
    </row>
    <row r="1164" spans="1:40" s="572" customFormat="1" ht="30">
      <c r="A1164" s="570" t="s">
        <v>2409</v>
      </c>
      <c r="B1164" s="569" t="s">
        <v>2394</v>
      </c>
      <c r="C1164" s="569" t="s">
        <v>278</v>
      </c>
      <c r="D1164" s="580">
        <v>15</v>
      </c>
      <c r="E1164" s="569" t="s">
        <v>1516</v>
      </c>
      <c r="F1164" s="569" t="s">
        <v>1684</v>
      </c>
      <c r="G1164" s="569" t="s">
        <v>271</v>
      </c>
      <c r="H1164" s="569">
        <v>2019</v>
      </c>
      <c r="I1164" s="569" t="s">
        <v>2382</v>
      </c>
      <c r="J1164" s="569" t="s">
        <v>1686</v>
      </c>
      <c r="K1164" s="569" t="s">
        <v>236</v>
      </c>
      <c r="L1164" s="569">
        <v>2</v>
      </c>
      <c r="M1164" s="569">
        <v>0</v>
      </c>
      <c r="N1164" s="569" t="s">
        <v>157</v>
      </c>
      <c r="O1164" s="569">
        <v>1</v>
      </c>
      <c r="P1164" s="569">
        <v>86.5</v>
      </c>
      <c r="Q1164" s="568" t="s">
        <v>157</v>
      </c>
      <c r="R1164" s="569" t="s">
        <v>682</v>
      </c>
      <c r="S1164" s="569">
        <v>6</v>
      </c>
      <c r="T1164" s="569" t="s">
        <v>2383</v>
      </c>
      <c r="U1164" s="569" t="s">
        <v>2166</v>
      </c>
      <c r="V1164" s="569">
        <v>156</v>
      </c>
      <c r="W1164" s="569">
        <v>25</v>
      </c>
      <c r="X1164" s="568">
        <v>10360</v>
      </c>
      <c r="Y1164" s="569" t="s">
        <v>164</v>
      </c>
      <c r="Z1164" s="581" t="s">
        <v>178</v>
      </c>
      <c r="AA1164" s="581" t="s">
        <v>178</v>
      </c>
      <c r="AB1164" s="585">
        <v>33805</v>
      </c>
      <c r="AC1164" s="585" t="s">
        <v>164</v>
      </c>
      <c r="AD1164" s="585">
        <v>25200</v>
      </c>
      <c r="AE1164" s="587">
        <v>0.01</v>
      </c>
      <c r="AF1164" s="661" t="str">
        <f t="shared" si="129"/>
        <v>2019-LVN-FRD-T3CC-007-15</v>
      </c>
      <c r="AG1164" s="661" t="str">
        <f>IF(AND($Y1164&gt;=32,(AI1164="I"),(Y1164&lt;&gt;"~"),(COUNTIF($AN$1:$AN1164,$AN1164)=1)),"TRUE","FALSE")</f>
        <v>FALSE</v>
      </c>
      <c r="AH1164" s="661" t="str">
        <f>IF(AND($Y1164&gt;=22, (AI1164&lt;&gt;"I"),(Y1164&lt;&gt;"~"),(COUNTIF($AN$1:$AN1164,$AN1164)=1)),"TRUE","FALSE")</f>
        <v>FALSE</v>
      </c>
      <c r="AI1164" s="661" t="str">
        <f t="shared" si="124"/>
        <v>N/A</v>
      </c>
      <c r="AJ1164" s="662" t="str">
        <f t="shared" si="125"/>
        <v>T3CC-007</v>
      </c>
      <c r="AK1164" s="662" t="str">
        <f t="shared" si="126"/>
        <v>LVN</v>
      </c>
      <c r="AL1164" s="662" t="str">
        <f t="shared" si="127"/>
        <v>FRD</v>
      </c>
      <c r="AM1164" s="662" t="str">
        <f t="shared" si="123"/>
        <v>Transit 350 Chassis Cab-DRW-RWD-2-86.5-~-3.7L-6-S8Z-701A-156-25-Unleaded-Unleaded</v>
      </c>
      <c r="AN1164" s="662" t="str">
        <f t="shared" si="128"/>
        <v>2019-LVN-FRD-T3CC-007</v>
      </c>
    </row>
    <row r="1165" spans="1:40" s="572" customFormat="1" ht="30">
      <c r="A1165" s="570" t="s">
        <v>2410</v>
      </c>
      <c r="B1165" s="573" t="s">
        <v>2396</v>
      </c>
      <c r="C1165" s="573" t="s">
        <v>278</v>
      </c>
      <c r="D1165" s="578">
        <v>15</v>
      </c>
      <c r="E1165" s="573" t="s">
        <v>1516</v>
      </c>
      <c r="F1165" s="573" t="s">
        <v>1684</v>
      </c>
      <c r="G1165" s="573" t="s">
        <v>271</v>
      </c>
      <c r="H1165" s="573">
        <v>2019</v>
      </c>
      <c r="I1165" s="573" t="s">
        <v>2382</v>
      </c>
      <c r="J1165" s="573" t="s">
        <v>1686</v>
      </c>
      <c r="K1165" s="573" t="s">
        <v>236</v>
      </c>
      <c r="L1165" s="573">
        <v>2</v>
      </c>
      <c r="M1165" s="573">
        <v>0</v>
      </c>
      <c r="N1165" s="573" t="s">
        <v>157</v>
      </c>
      <c r="O1165" s="573">
        <v>1</v>
      </c>
      <c r="P1165" s="573">
        <v>86.5</v>
      </c>
      <c r="Q1165" s="571" t="s">
        <v>157</v>
      </c>
      <c r="R1165" s="573" t="s">
        <v>682</v>
      </c>
      <c r="S1165" s="573">
        <v>6</v>
      </c>
      <c r="T1165" s="573" t="s">
        <v>2386</v>
      </c>
      <c r="U1165" s="573" t="s">
        <v>2166</v>
      </c>
      <c r="V1165" s="573">
        <v>178</v>
      </c>
      <c r="W1165" s="573">
        <v>25</v>
      </c>
      <c r="X1165" s="571">
        <v>10360</v>
      </c>
      <c r="Y1165" s="569" t="s">
        <v>164</v>
      </c>
      <c r="Z1165" s="579" t="s">
        <v>178</v>
      </c>
      <c r="AA1165" s="579" t="s">
        <v>178</v>
      </c>
      <c r="AB1165" s="584">
        <v>34550</v>
      </c>
      <c r="AC1165" s="584" t="s">
        <v>164</v>
      </c>
      <c r="AD1165" s="584">
        <v>25900</v>
      </c>
      <c r="AE1165" s="586">
        <v>0.01</v>
      </c>
      <c r="AF1165" s="661" t="str">
        <f t="shared" si="129"/>
        <v>2019-LVN-FRD-T3CC-008-15</v>
      </c>
      <c r="AG1165" s="661" t="str">
        <f>IF(AND($Y1165&gt;=32,(AI1165="I"),(Y1165&lt;&gt;"~"),(COUNTIF($AN$1:$AN1165,$AN1165)=1)),"TRUE","FALSE")</f>
        <v>FALSE</v>
      </c>
      <c r="AH1165" s="661" t="str">
        <f>IF(AND($Y1165&gt;=22, (AI1165&lt;&gt;"I"),(Y1165&lt;&gt;"~"),(COUNTIF($AN$1:$AN1165,$AN1165)=1)),"TRUE","FALSE")</f>
        <v>FALSE</v>
      </c>
      <c r="AI1165" s="661" t="str">
        <f t="shared" si="124"/>
        <v>N/A</v>
      </c>
      <c r="AJ1165" s="662" t="str">
        <f t="shared" si="125"/>
        <v>T3CC-008</v>
      </c>
      <c r="AK1165" s="662" t="str">
        <f t="shared" si="126"/>
        <v>LVN</v>
      </c>
      <c r="AL1165" s="662" t="str">
        <f t="shared" si="127"/>
        <v>FRD</v>
      </c>
      <c r="AM1165" s="662" t="str">
        <f t="shared" si="123"/>
        <v>Transit 350 Chassis Cab-DRW-RWD-2-86.5-~-3.7L-6-S9Z-701A-178-25-Unleaded-Unleaded</v>
      </c>
      <c r="AN1165" s="662" t="str">
        <f t="shared" si="128"/>
        <v>2019-LVN-FRD-T3CC-008</v>
      </c>
    </row>
    <row r="1166" spans="1:40" s="572" customFormat="1" ht="30">
      <c r="A1166" s="570" t="s">
        <v>2411</v>
      </c>
      <c r="B1166" s="569" t="s">
        <v>2398</v>
      </c>
      <c r="C1166" s="569" t="s">
        <v>278</v>
      </c>
      <c r="D1166" s="580">
        <v>15</v>
      </c>
      <c r="E1166" s="569" t="s">
        <v>1516</v>
      </c>
      <c r="F1166" s="569" t="s">
        <v>1684</v>
      </c>
      <c r="G1166" s="569" t="s">
        <v>271</v>
      </c>
      <c r="H1166" s="569">
        <v>2019</v>
      </c>
      <c r="I1166" s="569" t="s">
        <v>2382</v>
      </c>
      <c r="J1166" s="569" t="s">
        <v>1686</v>
      </c>
      <c r="K1166" s="569" t="s">
        <v>236</v>
      </c>
      <c r="L1166" s="569">
        <v>2</v>
      </c>
      <c r="M1166" s="569">
        <v>0</v>
      </c>
      <c r="N1166" s="569" t="s">
        <v>157</v>
      </c>
      <c r="O1166" s="569">
        <v>1</v>
      </c>
      <c r="P1166" s="569">
        <v>86.8</v>
      </c>
      <c r="Q1166" s="568" t="s">
        <v>157</v>
      </c>
      <c r="R1166" s="569" t="s">
        <v>1917</v>
      </c>
      <c r="S1166" s="569">
        <v>5</v>
      </c>
      <c r="T1166" s="569" t="s">
        <v>2399</v>
      </c>
      <c r="U1166" s="569" t="s">
        <v>2166</v>
      </c>
      <c r="V1166" s="569">
        <v>138</v>
      </c>
      <c r="W1166" s="569">
        <v>25</v>
      </c>
      <c r="X1166" s="568">
        <v>10360</v>
      </c>
      <c r="Y1166" s="569" t="s">
        <v>164</v>
      </c>
      <c r="Z1166" s="581" t="s">
        <v>728</v>
      </c>
      <c r="AA1166" s="581" t="s">
        <v>1523</v>
      </c>
      <c r="AB1166" s="585">
        <v>37345</v>
      </c>
      <c r="AC1166" s="585" t="s">
        <v>164</v>
      </c>
      <c r="AD1166" s="585">
        <v>28500</v>
      </c>
      <c r="AE1166" s="587">
        <v>0.01</v>
      </c>
      <c r="AF1166" s="661" t="str">
        <f t="shared" si="129"/>
        <v>2019-LVN-FRD-T3CC-010-15</v>
      </c>
      <c r="AG1166" s="661" t="str">
        <f>IF(AND($Y1166&gt;=32,(AI1166="I"),(Y1166&lt;&gt;"~"),(COUNTIF($AN$1:$AN1166,$AN1166)=1)),"TRUE","FALSE")</f>
        <v>FALSE</v>
      </c>
      <c r="AH1166" s="661" t="str">
        <f>IF(AND($Y1166&gt;=22, (AI1166&lt;&gt;"I"),(Y1166&lt;&gt;"~"),(COUNTIF($AN$1:$AN1166,$AN1166)=1)),"TRUE","FALSE")</f>
        <v>FALSE</v>
      </c>
      <c r="AI1166" s="661" t="str">
        <f t="shared" si="124"/>
        <v>N/A</v>
      </c>
      <c r="AJ1166" s="662" t="str">
        <f t="shared" si="125"/>
        <v>T3CC-010</v>
      </c>
      <c r="AK1166" s="662" t="str">
        <f t="shared" si="126"/>
        <v>LVN</v>
      </c>
      <c r="AL1166" s="662" t="str">
        <f t="shared" si="127"/>
        <v>FRD</v>
      </c>
      <c r="AM1166" s="662" t="str">
        <f t="shared" si="123"/>
        <v>Transit 350 Chassis Cab-DRW-RWD-2-86.8-~-3.2L-5-S6Z-701A-138-25-Diesel-BioDiesel</v>
      </c>
      <c r="AN1166" s="662" t="str">
        <f t="shared" si="128"/>
        <v>2019-LVN-FRD-T3CC-010</v>
      </c>
    </row>
    <row r="1167" spans="1:40" s="572" customFormat="1" ht="30">
      <c r="A1167" s="570" t="s">
        <v>2412</v>
      </c>
      <c r="B1167" s="573" t="s">
        <v>2401</v>
      </c>
      <c r="C1167" s="573" t="s">
        <v>278</v>
      </c>
      <c r="D1167" s="578">
        <v>15</v>
      </c>
      <c r="E1167" s="573" t="s">
        <v>1516</v>
      </c>
      <c r="F1167" s="573" t="s">
        <v>1684</v>
      </c>
      <c r="G1167" s="573" t="s">
        <v>271</v>
      </c>
      <c r="H1167" s="573">
        <v>2019</v>
      </c>
      <c r="I1167" s="573" t="s">
        <v>2382</v>
      </c>
      <c r="J1167" s="573" t="s">
        <v>1686</v>
      </c>
      <c r="K1167" s="573" t="s">
        <v>236</v>
      </c>
      <c r="L1167" s="573">
        <v>2</v>
      </c>
      <c r="M1167" s="573">
        <v>0</v>
      </c>
      <c r="N1167" s="573" t="s">
        <v>157</v>
      </c>
      <c r="O1167" s="573">
        <v>1</v>
      </c>
      <c r="P1167" s="573">
        <v>86.8</v>
      </c>
      <c r="Q1167" s="571" t="s">
        <v>157</v>
      </c>
      <c r="R1167" s="573" t="s">
        <v>682</v>
      </c>
      <c r="S1167" s="573">
        <v>6</v>
      </c>
      <c r="T1167" s="573" t="s">
        <v>2402</v>
      </c>
      <c r="U1167" s="573" t="s">
        <v>2166</v>
      </c>
      <c r="V1167" s="573">
        <v>138</v>
      </c>
      <c r="W1167" s="573">
        <v>25</v>
      </c>
      <c r="X1167" s="571">
        <v>9950</v>
      </c>
      <c r="Y1167" s="573">
        <v>12</v>
      </c>
      <c r="Z1167" s="579" t="s">
        <v>178</v>
      </c>
      <c r="AA1167" s="579" t="s">
        <v>178</v>
      </c>
      <c r="AB1167" s="584">
        <v>33100</v>
      </c>
      <c r="AC1167" s="584" t="s">
        <v>164</v>
      </c>
      <c r="AD1167" s="584">
        <v>24600</v>
      </c>
      <c r="AE1167" s="586">
        <v>0.01</v>
      </c>
      <c r="AF1167" s="661" t="str">
        <f t="shared" si="129"/>
        <v>2019-LVN-FRD-T3CC-011-15</v>
      </c>
      <c r="AG1167" s="661" t="str">
        <f>IF(AND($Y1167&gt;=32,(AI1167="I"),(Y1167&lt;&gt;"~"),(COUNTIF($AN$1:$AN1167,$AN1167)=1)),"TRUE","FALSE")</f>
        <v>FALSE</v>
      </c>
      <c r="AH1167" s="661" t="str">
        <f>IF(AND($Y1167&gt;=22, (AI1167&lt;&gt;"I"),(Y1167&lt;&gt;"~"),(COUNTIF($AN$1:$AN1167,$AN1167)=1)),"TRUE","FALSE")</f>
        <v>FALSE</v>
      </c>
      <c r="AI1167" s="661" t="str">
        <f t="shared" si="124"/>
        <v>II</v>
      </c>
      <c r="AJ1167" s="662" t="str">
        <f t="shared" si="125"/>
        <v>T3CC-011</v>
      </c>
      <c r="AK1167" s="662" t="str">
        <f t="shared" si="126"/>
        <v>LVN</v>
      </c>
      <c r="AL1167" s="662" t="str">
        <f t="shared" si="127"/>
        <v>FRD</v>
      </c>
      <c r="AM1167" s="662" t="str">
        <f t="shared" si="123"/>
        <v>Transit 350 Chassis Cab-DRW-RWD-2-86.8-~-3.7L-6-F6Z-701A-138-25-Unleaded-Unleaded</v>
      </c>
      <c r="AN1167" s="662" t="str">
        <f t="shared" si="128"/>
        <v>2019-LVN-FRD-T3CC-011</v>
      </c>
    </row>
    <row r="1168" spans="1:40" s="572" customFormat="1" ht="30">
      <c r="A1168" s="570" t="s">
        <v>2413</v>
      </c>
      <c r="B1168" s="569" t="s">
        <v>2404</v>
      </c>
      <c r="C1168" s="569" t="s">
        <v>278</v>
      </c>
      <c r="D1168" s="580">
        <v>15</v>
      </c>
      <c r="E1168" s="569" t="s">
        <v>1516</v>
      </c>
      <c r="F1168" s="569" t="s">
        <v>1684</v>
      </c>
      <c r="G1168" s="569" t="s">
        <v>271</v>
      </c>
      <c r="H1168" s="569">
        <v>2019</v>
      </c>
      <c r="I1168" s="569" t="s">
        <v>2382</v>
      </c>
      <c r="J1168" s="569" t="s">
        <v>1686</v>
      </c>
      <c r="K1168" s="569" t="s">
        <v>236</v>
      </c>
      <c r="L1168" s="569">
        <v>2</v>
      </c>
      <c r="M1168" s="569">
        <v>0</v>
      </c>
      <c r="N1168" s="569" t="s">
        <v>157</v>
      </c>
      <c r="O1168" s="569">
        <v>1</v>
      </c>
      <c r="P1168" s="569">
        <v>86.8</v>
      </c>
      <c r="Q1168" s="568" t="s">
        <v>157</v>
      </c>
      <c r="R1168" s="569" t="s">
        <v>682</v>
      </c>
      <c r="S1168" s="569">
        <v>6</v>
      </c>
      <c r="T1168" s="569" t="s">
        <v>2399</v>
      </c>
      <c r="U1168" s="569" t="s">
        <v>2166</v>
      </c>
      <c r="V1168" s="569">
        <v>138</v>
      </c>
      <c r="W1168" s="569">
        <v>25</v>
      </c>
      <c r="X1168" s="568">
        <v>10360</v>
      </c>
      <c r="Y1168" s="569" t="s">
        <v>164</v>
      </c>
      <c r="Z1168" s="581" t="s">
        <v>178</v>
      </c>
      <c r="AA1168" s="581" t="s">
        <v>178</v>
      </c>
      <c r="AB1168" s="585">
        <v>33350</v>
      </c>
      <c r="AC1168" s="585" t="s">
        <v>164</v>
      </c>
      <c r="AD1168" s="585">
        <v>24800</v>
      </c>
      <c r="AE1168" s="587">
        <v>0.01</v>
      </c>
      <c r="AF1168" s="661" t="str">
        <f t="shared" si="129"/>
        <v>2019-LVN-FRD-T3CC-012-15</v>
      </c>
      <c r="AG1168" s="661" t="str">
        <f>IF(AND($Y1168&gt;=32,(AI1168="I"),(Y1168&lt;&gt;"~"),(COUNTIF($AN$1:$AN1168,$AN1168)=1)),"TRUE","FALSE")</f>
        <v>FALSE</v>
      </c>
      <c r="AH1168" s="661" t="str">
        <f>IF(AND($Y1168&gt;=22, (AI1168&lt;&gt;"I"),(Y1168&lt;&gt;"~"),(COUNTIF($AN$1:$AN1168,$AN1168)=1)),"TRUE","FALSE")</f>
        <v>FALSE</v>
      </c>
      <c r="AI1168" s="661" t="str">
        <f t="shared" si="124"/>
        <v>N/A</v>
      </c>
      <c r="AJ1168" s="662" t="str">
        <f t="shared" si="125"/>
        <v>T3CC-012</v>
      </c>
      <c r="AK1168" s="662" t="str">
        <f t="shared" si="126"/>
        <v>LVN</v>
      </c>
      <c r="AL1168" s="662" t="str">
        <f t="shared" si="127"/>
        <v>FRD</v>
      </c>
      <c r="AM1168" s="662" t="str">
        <f t="shared" si="123"/>
        <v>Transit 350 Chassis Cab-DRW-RWD-2-86.8-~-3.7L-6-S6Z-701A-138-25-Unleaded-Unleaded</v>
      </c>
      <c r="AN1168" s="662" t="str">
        <f t="shared" si="128"/>
        <v>2019-LVN-FRD-T3CC-012</v>
      </c>
    </row>
    <row r="1169" spans="1:40" s="572" customFormat="1" ht="30">
      <c r="A1169" s="570" t="s">
        <v>2414</v>
      </c>
      <c r="B1169" s="573" t="s">
        <v>2415</v>
      </c>
      <c r="C1169" s="573" t="s">
        <v>287</v>
      </c>
      <c r="D1169" s="578">
        <v>26</v>
      </c>
      <c r="E1169" s="573" t="s">
        <v>1516</v>
      </c>
      <c r="F1169" s="573" t="s">
        <v>1684</v>
      </c>
      <c r="G1169" s="573" t="s">
        <v>271</v>
      </c>
      <c r="H1169" s="573">
        <v>2019</v>
      </c>
      <c r="I1169" s="573" t="s">
        <v>2382</v>
      </c>
      <c r="J1169" s="573" t="s">
        <v>1686</v>
      </c>
      <c r="K1169" s="573" t="s">
        <v>236</v>
      </c>
      <c r="L1169" s="573">
        <v>2</v>
      </c>
      <c r="M1169" s="573">
        <v>0</v>
      </c>
      <c r="N1169" s="573" t="s">
        <v>157</v>
      </c>
      <c r="O1169" s="573">
        <v>1</v>
      </c>
      <c r="P1169" s="573">
        <v>86.5</v>
      </c>
      <c r="Q1169" s="571" t="s">
        <v>157</v>
      </c>
      <c r="R1169" s="573" t="s">
        <v>1917</v>
      </c>
      <c r="S1169" s="573">
        <v>5</v>
      </c>
      <c r="T1169" s="573" t="s">
        <v>2389</v>
      </c>
      <c r="U1169" s="573" t="s">
        <v>2166</v>
      </c>
      <c r="V1169" s="573">
        <v>156</v>
      </c>
      <c r="W1169" s="573">
        <v>25</v>
      </c>
      <c r="X1169" s="571">
        <v>9950</v>
      </c>
      <c r="Y1169" s="573">
        <v>12</v>
      </c>
      <c r="Z1169" s="579" t="s">
        <v>728</v>
      </c>
      <c r="AA1169" s="579" t="s">
        <v>1523</v>
      </c>
      <c r="AB1169" s="584">
        <v>37545</v>
      </c>
      <c r="AC1169" s="584" t="s">
        <v>164</v>
      </c>
      <c r="AD1169" s="584">
        <v>28868</v>
      </c>
      <c r="AE1169" s="586">
        <v>0.05</v>
      </c>
      <c r="AF1169" s="661" t="str">
        <f t="shared" si="129"/>
        <v>2019-LVN-FRD-T3CC-001-26</v>
      </c>
      <c r="AG1169" s="661" t="str">
        <f>IF(AND($Y1169&gt;=32,(AI1169="I"),(Y1169&lt;&gt;"~"),(COUNTIF($AN$1:$AN1169,$AN1169)=1)),"TRUE","FALSE")</f>
        <v>FALSE</v>
      </c>
      <c r="AH1169" s="661" t="str">
        <f>IF(AND($Y1169&gt;=22, (AI1169&lt;&gt;"I"),(Y1169&lt;&gt;"~"),(COUNTIF($AN$1:$AN1169,$AN1169)=1)),"TRUE","FALSE")</f>
        <v>FALSE</v>
      </c>
      <c r="AI1169" s="661" t="str">
        <f t="shared" si="124"/>
        <v>II</v>
      </c>
      <c r="AJ1169" s="662" t="str">
        <f t="shared" si="125"/>
        <v>T3CC-001</v>
      </c>
      <c r="AK1169" s="662" t="str">
        <f t="shared" si="126"/>
        <v>LVN</v>
      </c>
      <c r="AL1169" s="662" t="str">
        <f t="shared" si="127"/>
        <v>FRD</v>
      </c>
      <c r="AM1169" s="662" t="str">
        <f t="shared" si="123"/>
        <v>Transit 350 Chassis Cab-DRW-RWD-2-86.5-~-3.2L-5-F8Z-701A-156-25-Diesel-BioDiesel</v>
      </c>
      <c r="AN1169" s="662" t="str">
        <f t="shared" si="128"/>
        <v>2019-LVN-FRD-T3CC-001</v>
      </c>
    </row>
    <row r="1170" spans="1:40" s="572" customFormat="1" ht="30">
      <c r="A1170" s="570" t="s">
        <v>2416</v>
      </c>
      <c r="B1170" s="569" t="s">
        <v>2417</v>
      </c>
      <c r="C1170" s="569" t="s">
        <v>287</v>
      </c>
      <c r="D1170" s="580">
        <v>26</v>
      </c>
      <c r="E1170" s="569" t="s">
        <v>1516</v>
      </c>
      <c r="F1170" s="569" t="s">
        <v>1684</v>
      </c>
      <c r="G1170" s="569" t="s">
        <v>271</v>
      </c>
      <c r="H1170" s="569">
        <v>2019</v>
      </c>
      <c r="I1170" s="569" t="s">
        <v>2382</v>
      </c>
      <c r="J1170" s="569" t="s">
        <v>1686</v>
      </c>
      <c r="K1170" s="569" t="s">
        <v>236</v>
      </c>
      <c r="L1170" s="569">
        <v>2</v>
      </c>
      <c r="M1170" s="569">
        <v>0</v>
      </c>
      <c r="N1170" s="569" t="s">
        <v>157</v>
      </c>
      <c r="O1170" s="569">
        <v>1</v>
      </c>
      <c r="P1170" s="569">
        <v>86.5</v>
      </c>
      <c r="Q1170" s="568" t="s">
        <v>157</v>
      </c>
      <c r="R1170" s="569" t="s">
        <v>1917</v>
      </c>
      <c r="S1170" s="569">
        <v>5</v>
      </c>
      <c r="T1170" s="569" t="s">
        <v>2392</v>
      </c>
      <c r="U1170" s="569" t="s">
        <v>2166</v>
      </c>
      <c r="V1170" s="569">
        <v>178</v>
      </c>
      <c r="W1170" s="569">
        <v>25</v>
      </c>
      <c r="X1170" s="568">
        <v>9950</v>
      </c>
      <c r="Y1170" s="573">
        <v>12</v>
      </c>
      <c r="Z1170" s="581" t="s">
        <v>728</v>
      </c>
      <c r="AA1170" s="581" t="s">
        <v>1523</v>
      </c>
      <c r="AB1170" s="585">
        <v>38295</v>
      </c>
      <c r="AC1170" s="585" t="s">
        <v>164</v>
      </c>
      <c r="AD1170" s="585">
        <v>29570</v>
      </c>
      <c r="AE1170" s="587">
        <v>0.05</v>
      </c>
      <c r="AF1170" s="661" t="str">
        <f t="shared" si="129"/>
        <v>2019-LVN-FRD-T3CC-002-26</v>
      </c>
      <c r="AG1170" s="661" t="str">
        <f>IF(AND($Y1170&gt;=32,(AI1170="I"),(Y1170&lt;&gt;"~"),(COUNTIF($AN$1:$AN1170,$AN1170)=1)),"TRUE","FALSE")</f>
        <v>FALSE</v>
      </c>
      <c r="AH1170" s="661" t="str">
        <f>IF(AND($Y1170&gt;=22, (AI1170&lt;&gt;"I"),(Y1170&lt;&gt;"~"),(COUNTIF($AN$1:$AN1170,$AN1170)=1)),"TRUE","FALSE")</f>
        <v>FALSE</v>
      </c>
      <c r="AI1170" s="661" t="str">
        <f t="shared" si="124"/>
        <v>II</v>
      </c>
      <c r="AJ1170" s="662" t="str">
        <f t="shared" si="125"/>
        <v>T3CC-002</v>
      </c>
      <c r="AK1170" s="662" t="str">
        <f t="shared" si="126"/>
        <v>LVN</v>
      </c>
      <c r="AL1170" s="662" t="str">
        <f t="shared" si="127"/>
        <v>FRD</v>
      </c>
      <c r="AM1170" s="662" t="str">
        <f t="shared" si="123"/>
        <v>Transit 350 Chassis Cab-DRW-RWD-2-86.5-~-3.2L-5-F9Z-701A-178-25-Diesel-BioDiesel</v>
      </c>
      <c r="AN1170" s="662" t="str">
        <f t="shared" si="128"/>
        <v>2019-LVN-FRD-T3CC-002</v>
      </c>
    </row>
    <row r="1171" spans="1:40" s="572" customFormat="1" ht="30">
      <c r="A1171" s="570" t="s">
        <v>2418</v>
      </c>
      <c r="B1171" s="573" t="s">
        <v>2381</v>
      </c>
      <c r="C1171" s="573" t="s">
        <v>287</v>
      </c>
      <c r="D1171" s="578">
        <v>26</v>
      </c>
      <c r="E1171" s="573" t="s">
        <v>1516</v>
      </c>
      <c r="F1171" s="573" t="s">
        <v>1684</v>
      </c>
      <c r="G1171" s="573" t="s">
        <v>271</v>
      </c>
      <c r="H1171" s="573">
        <v>2019</v>
      </c>
      <c r="I1171" s="573" t="s">
        <v>2382</v>
      </c>
      <c r="J1171" s="573" t="s">
        <v>1686</v>
      </c>
      <c r="K1171" s="573" t="s">
        <v>236</v>
      </c>
      <c r="L1171" s="573">
        <v>2</v>
      </c>
      <c r="M1171" s="573">
        <v>0</v>
      </c>
      <c r="N1171" s="573" t="s">
        <v>157</v>
      </c>
      <c r="O1171" s="573">
        <v>1</v>
      </c>
      <c r="P1171" s="573">
        <v>86.5</v>
      </c>
      <c r="Q1171" s="571" t="s">
        <v>157</v>
      </c>
      <c r="R1171" s="573" t="s">
        <v>1917</v>
      </c>
      <c r="S1171" s="573">
        <v>5</v>
      </c>
      <c r="T1171" s="573" t="s">
        <v>2383</v>
      </c>
      <c r="U1171" s="573" t="s">
        <v>2166</v>
      </c>
      <c r="V1171" s="573">
        <v>156</v>
      </c>
      <c r="W1171" s="573">
        <v>25</v>
      </c>
      <c r="X1171" s="571">
        <v>10360</v>
      </c>
      <c r="Y1171" s="569" t="s">
        <v>164</v>
      </c>
      <c r="Z1171" s="579" t="s">
        <v>728</v>
      </c>
      <c r="AA1171" s="579" t="s">
        <v>1523</v>
      </c>
      <c r="AB1171" s="584">
        <v>37800</v>
      </c>
      <c r="AC1171" s="584" t="s">
        <v>164</v>
      </c>
      <c r="AD1171" s="584">
        <v>29106</v>
      </c>
      <c r="AE1171" s="586">
        <v>0.05</v>
      </c>
      <c r="AF1171" s="661" t="str">
        <f t="shared" si="129"/>
        <v>2019-LVN-FRD-T3CC-003-26</v>
      </c>
      <c r="AG1171" s="661" t="str">
        <f>IF(AND($Y1171&gt;=32,(AI1171="I"),(Y1171&lt;&gt;"~"),(COUNTIF($AN$1:$AN1171,$AN1171)=1)),"TRUE","FALSE")</f>
        <v>FALSE</v>
      </c>
      <c r="AH1171" s="661" t="str">
        <f>IF(AND($Y1171&gt;=22, (AI1171&lt;&gt;"I"),(Y1171&lt;&gt;"~"),(COUNTIF($AN$1:$AN1171,$AN1171)=1)),"TRUE","FALSE")</f>
        <v>FALSE</v>
      </c>
      <c r="AI1171" s="661" t="str">
        <f t="shared" si="124"/>
        <v>N/A</v>
      </c>
      <c r="AJ1171" s="662" t="str">
        <f t="shared" si="125"/>
        <v>T3CC-003</v>
      </c>
      <c r="AK1171" s="662" t="str">
        <f t="shared" si="126"/>
        <v>LVN</v>
      </c>
      <c r="AL1171" s="662" t="str">
        <f t="shared" si="127"/>
        <v>FRD</v>
      </c>
      <c r="AM1171" s="662" t="str">
        <f t="shared" si="123"/>
        <v>Transit 350 Chassis Cab-DRW-RWD-2-86.5-~-3.2L-5-S8Z-701A-156-25-Diesel-BioDiesel</v>
      </c>
      <c r="AN1171" s="662" t="str">
        <f t="shared" si="128"/>
        <v>2019-LVN-FRD-T3CC-003</v>
      </c>
    </row>
    <row r="1172" spans="1:40" s="572" customFormat="1" ht="30">
      <c r="A1172" s="570" t="s">
        <v>2419</v>
      </c>
      <c r="B1172" s="569" t="s">
        <v>2385</v>
      </c>
      <c r="C1172" s="569" t="s">
        <v>287</v>
      </c>
      <c r="D1172" s="580">
        <v>26</v>
      </c>
      <c r="E1172" s="569" t="s">
        <v>1516</v>
      </c>
      <c r="F1172" s="569" t="s">
        <v>1684</v>
      </c>
      <c r="G1172" s="569" t="s">
        <v>271</v>
      </c>
      <c r="H1172" s="569">
        <v>2019</v>
      </c>
      <c r="I1172" s="569" t="s">
        <v>2382</v>
      </c>
      <c r="J1172" s="569" t="s">
        <v>1686</v>
      </c>
      <c r="K1172" s="569" t="s">
        <v>236</v>
      </c>
      <c r="L1172" s="569">
        <v>2</v>
      </c>
      <c r="M1172" s="569">
        <v>0</v>
      </c>
      <c r="N1172" s="569" t="s">
        <v>157</v>
      </c>
      <c r="O1172" s="569">
        <v>1</v>
      </c>
      <c r="P1172" s="569">
        <v>86.5</v>
      </c>
      <c r="Q1172" s="568" t="s">
        <v>157</v>
      </c>
      <c r="R1172" s="569" t="s">
        <v>1917</v>
      </c>
      <c r="S1172" s="569">
        <v>5</v>
      </c>
      <c r="T1172" s="569" t="s">
        <v>2386</v>
      </c>
      <c r="U1172" s="569" t="s">
        <v>2166</v>
      </c>
      <c r="V1172" s="569">
        <v>178</v>
      </c>
      <c r="W1172" s="569">
        <v>25</v>
      </c>
      <c r="X1172" s="568">
        <v>10360</v>
      </c>
      <c r="Y1172" s="569" t="s">
        <v>164</v>
      </c>
      <c r="Z1172" s="581" t="s">
        <v>728</v>
      </c>
      <c r="AA1172" s="581" t="s">
        <v>1523</v>
      </c>
      <c r="AB1172" s="585">
        <v>38545</v>
      </c>
      <c r="AC1172" s="585" t="s">
        <v>164</v>
      </c>
      <c r="AD1172" s="585">
        <v>29806</v>
      </c>
      <c r="AE1172" s="587">
        <v>0.05</v>
      </c>
      <c r="AF1172" s="661" t="str">
        <f t="shared" si="129"/>
        <v>2019-LVN-FRD-T3CC-004-26</v>
      </c>
      <c r="AG1172" s="661" t="str">
        <f>IF(AND($Y1172&gt;=32,(AI1172="I"),(Y1172&lt;&gt;"~"),(COUNTIF($AN$1:$AN1172,$AN1172)=1)),"TRUE","FALSE")</f>
        <v>FALSE</v>
      </c>
      <c r="AH1172" s="661" t="str">
        <f>IF(AND($Y1172&gt;=22, (AI1172&lt;&gt;"I"),(Y1172&lt;&gt;"~"),(COUNTIF($AN$1:$AN1172,$AN1172)=1)),"TRUE","FALSE")</f>
        <v>FALSE</v>
      </c>
      <c r="AI1172" s="661" t="str">
        <f t="shared" si="124"/>
        <v>N/A</v>
      </c>
      <c r="AJ1172" s="662" t="str">
        <f t="shared" si="125"/>
        <v>T3CC-004</v>
      </c>
      <c r="AK1172" s="662" t="str">
        <f t="shared" si="126"/>
        <v>LVN</v>
      </c>
      <c r="AL1172" s="662" t="str">
        <f t="shared" si="127"/>
        <v>FRD</v>
      </c>
      <c r="AM1172" s="662" t="str">
        <f t="shared" si="123"/>
        <v>Transit 350 Chassis Cab-DRW-RWD-2-86.5-~-3.2L-5-S9Z-701A-178-25-Diesel-BioDiesel</v>
      </c>
      <c r="AN1172" s="662" t="str">
        <f t="shared" si="128"/>
        <v>2019-LVN-FRD-T3CC-004</v>
      </c>
    </row>
    <row r="1173" spans="1:40" s="572" customFormat="1" ht="30">
      <c r="A1173" s="570" t="s">
        <v>2420</v>
      </c>
      <c r="B1173" s="573" t="s">
        <v>2388</v>
      </c>
      <c r="C1173" s="573" t="s">
        <v>287</v>
      </c>
      <c r="D1173" s="578">
        <v>26</v>
      </c>
      <c r="E1173" s="573" t="s">
        <v>1516</v>
      </c>
      <c r="F1173" s="573" t="s">
        <v>1684</v>
      </c>
      <c r="G1173" s="573" t="s">
        <v>271</v>
      </c>
      <c r="H1173" s="573">
        <v>2019</v>
      </c>
      <c r="I1173" s="573" t="s">
        <v>2382</v>
      </c>
      <c r="J1173" s="573" t="s">
        <v>1686</v>
      </c>
      <c r="K1173" s="573" t="s">
        <v>236</v>
      </c>
      <c r="L1173" s="573">
        <v>2</v>
      </c>
      <c r="M1173" s="573">
        <v>0</v>
      </c>
      <c r="N1173" s="573" t="s">
        <v>157</v>
      </c>
      <c r="O1173" s="573">
        <v>1</v>
      </c>
      <c r="P1173" s="573">
        <v>86.5</v>
      </c>
      <c r="Q1173" s="571" t="s">
        <v>157</v>
      </c>
      <c r="R1173" s="573" t="s">
        <v>682</v>
      </c>
      <c r="S1173" s="573">
        <v>6</v>
      </c>
      <c r="T1173" s="573" t="s">
        <v>2389</v>
      </c>
      <c r="U1173" s="573" t="s">
        <v>2166</v>
      </c>
      <c r="V1173" s="573">
        <v>156</v>
      </c>
      <c r="W1173" s="573">
        <v>25</v>
      </c>
      <c r="X1173" s="571">
        <v>9950</v>
      </c>
      <c r="Y1173" s="573">
        <v>12</v>
      </c>
      <c r="Z1173" s="579" t="s">
        <v>178</v>
      </c>
      <c r="AA1173" s="579" t="s">
        <v>178</v>
      </c>
      <c r="AB1173" s="584">
        <v>33550</v>
      </c>
      <c r="AC1173" s="584" t="s">
        <v>164</v>
      </c>
      <c r="AD1173" s="584">
        <v>25229</v>
      </c>
      <c r="AE1173" s="586">
        <v>0.05</v>
      </c>
      <c r="AF1173" s="661" t="str">
        <f t="shared" si="129"/>
        <v>2019-LVN-FRD-T3CC-005-26</v>
      </c>
      <c r="AG1173" s="661" t="str">
        <f>IF(AND($Y1173&gt;=32,(AI1173="I"),(Y1173&lt;&gt;"~"),(COUNTIF($AN$1:$AN1173,$AN1173)=1)),"TRUE","FALSE")</f>
        <v>FALSE</v>
      </c>
      <c r="AH1173" s="661" t="str">
        <f>IF(AND($Y1173&gt;=22, (AI1173&lt;&gt;"I"),(Y1173&lt;&gt;"~"),(COUNTIF($AN$1:$AN1173,$AN1173)=1)),"TRUE","FALSE")</f>
        <v>FALSE</v>
      </c>
      <c r="AI1173" s="661" t="str">
        <f t="shared" si="124"/>
        <v>II</v>
      </c>
      <c r="AJ1173" s="662" t="str">
        <f t="shared" si="125"/>
        <v>T3CC-005</v>
      </c>
      <c r="AK1173" s="662" t="str">
        <f t="shared" si="126"/>
        <v>LVN</v>
      </c>
      <c r="AL1173" s="662" t="str">
        <f t="shared" si="127"/>
        <v>FRD</v>
      </c>
      <c r="AM1173" s="662" t="str">
        <f t="shared" si="123"/>
        <v>Transit 350 Chassis Cab-DRW-RWD-2-86.5-~-3.7L-6-F8Z-701A-156-25-Unleaded-Unleaded</v>
      </c>
      <c r="AN1173" s="662" t="str">
        <f t="shared" si="128"/>
        <v>2019-LVN-FRD-T3CC-005</v>
      </c>
    </row>
    <row r="1174" spans="1:40" s="572" customFormat="1" ht="30">
      <c r="A1174" s="570" t="s">
        <v>2421</v>
      </c>
      <c r="B1174" s="569" t="s">
        <v>2391</v>
      </c>
      <c r="C1174" s="569" t="s">
        <v>287</v>
      </c>
      <c r="D1174" s="580">
        <v>26</v>
      </c>
      <c r="E1174" s="569" t="s">
        <v>1516</v>
      </c>
      <c r="F1174" s="569" t="s">
        <v>1684</v>
      </c>
      <c r="G1174" s="569" t="s">
        <v>271</v>
      </c>
      <c r="H1174" s="569">
        <v>2019</v>
      </c>
      <c r="I1174" s="569" t="s">
        <v>2382</v>
      </c>
      <c r="J1174" s="569" t="s">
        <v>1686</v>
      </c>
      <c r="K1174" s="569" t="s">
        <v>236</v>
      </c>
      <c r="L1174" s="569">
        <v>2</v>
      </c>
      <c r="M1174" s="569">
        <v>0</v>
      </c>
      <c r="N1174" s="569" t="s">
        <v>157</v>
      </c>
      <c r="O1174" s="569">
        <v>1</v>
      </c>
      <c r="P1174" s="569">
        <v>86.5</v>
      </c>
      <c r="Q1174" s="568" t="s">
        <v>157</v>
      </c>
      <c r="R1174" s="569" t="s">
        <v>682</v>
      </c>
      <c r="S1174" s="569">
        <v>6</v>
      </c>
      <c r="T1174" s="569" t="s">
        <v>2392</v>
      </c>
      <c r="U1174" s="569" t="s">
        <v>2166</v>
      </c>
      <c r="V1174" s="569">
        <v>178</v>
      </c>
      <c r="W1174" s="569">
        <v>25</v>
      </c>
      <c r="X1174" s="568">
        <v>9950</v>
      </c>
      <c r="Y1174" s="573">
        <v>12</v>
      </c>
      <c r="Z1174" s="581" t="s">
        <v>178</v>
      </c>
      <c r="AA1174" s="581" t="s">
        <v>178</v>
      </c>
      <c r="AB1174" s="585">
        <v>34300</v>
      </c>
      <c r="AC1174" s="585" t="s">
        <v>164</v>
      </c>
      <c r="AD1174" s="585">
        <v>25932</v>
      </c>
      <c r="AE1174" s="587">
        <v>0.05</v>
      </c>
      <c r="AF1174" s="661" t="str">
        <f t="shared" si="129"/>
        <v>2019-LVN-FRD-T3CC-006-26</v>
      </c>
      <c r="AG1174" s="661" t="str">
        <f>IF(AND($Y1174&gt;=32,(AI1174="I"),(Y1174&lt;&gt;"~"),(COUNTIF($AN$1:$AN1174,$AN1174)=1)),"TRUE","FALSE")</f>
        <v>FALSE</v>
      </c>
      <c r="AH1174" s="661" t="str">
        <f>IF(AND($Y1174&gt;=22, (AI1174&lt;&gt;"I"),(Y1174&lt;&gt;"~"),(COUNTIF($AN$1:$AN1174,$AN1174)=1)),"TRUE","FALSE")</f>
        <v>FALSE</v>
      </c>
      <c r="AI1174" s="661" t="str">
        <f t="shared" si="124"/>
        <v>II</v>
      </c>
      <c r="AJ1174" s="662" t="str">
        <f t="shared" si="125"/>
        <v>T3CC-006</v>
      </c>
      <c r="AK1174" s="662" t="str">
        <f t="shared" si="126"/>
        <v>LVN</v>
      </c>
      <c r="AL1174" s="662" t="str">
        <f t="shared" si="127"/>
        <v>FRD</v>
      </c>
      <c r="AM1174" s="662" t="str">
        <f t="shared" si="123"/>
        <v>Transit 350 Chassis Cab-DRW-RWD-2-86.5-~-3.7L-6-F9Z-701A-178-25-Unleaded-Unleaded</v>
      </c>
      <c r="AN1174" s="662" t="str">
        <f t="shared" si="128"/>
        <v>2019-LVN-FRD-T3CC-006</v>
      </c>
    </row>
    <row r="1175" spans="1:40" s="572" customFormat="1" ht="30">
      <c r="A1175" s="570" t="s">
        <v>2422</v>
      </c>
      <c r="B1175" s="573" t="s">
        <v>2394</v>
      </c>
      <c r="C1175" s="573" t="s">
        <v>287</v>
      </c>
      <c r="D1175" s="578">
        <v>26</v>
      </c>
      <c r="E1175" s="573" t="s">
        <v>1516</v>
      </c>
      <c r="F1175" s="573" t="s">
        <v>1684</v>
      </c>
      <c r="G1175" s="573" t="s">
        <v>271</v>
      </c>
      <c r="H1175" s="573">
        <v>2019</v>
      </c>
      <c r="I1175" s="573" t="s">
        <v>2382</v>
      </c>
      <c r="J1175" s="573" t="s">
        <v>1686</v>
      </c>
      <c r="K1175" s="573" t="s">
        <v>236</v>
      </c>
      <c r="L1175" s="573">
        <v>2</v>
      </c>
      <c r="M1175" s="573">
        <v>0</v>
      </c>
      <c r="N1175" s="573" t="s">
        <v>157</v>
      </c>
      <c r="O1175" s="573">
        <v>1</v>
      </c>
      <c r="P1175" s="573">
        <v>86.5</v>
      </c>
      <c r="Q1175" s="571" t="s">
        <v>157</v>
      </c>
      <c r="R1175" s="573" t="s">
        <v>682</v>
      </c>
      <c r="S1175" s="573">
        <v>6</v>
      </c>
      <c r="T1175" s="573" t="s">
        <v>2383</v>
      </c>
      <c r="U1175" s="573" t="s">
        <v>2166</v>
      </c>
      <c r="V1175" s="573">
        <v>156</v>
      </c>
      <c r="W1175" s="573">
        <v>25</v>
      </c>
      <c r="X1175" s="571">
        <v>10360</v>
      </c>
      <c r="Y1175" s="569" t="s">
        <v>164</v>
      </c>
      <c r="Z1175" s="579" t="s">
        <v>178</v>
      </c>
      <c r="AA1175" s="579" t="s">
        <v>178</v>
      </c>
      <c r="AB1175" s="584">
        <v>33805</v>
      </c>
      <c r="AC1175" s="584" t="s">
        <v>164</v>
      </c>
      <c r="AD1175" s="584">
        <v>25467</v>
      </c>
      <c r="AE1175" s="586">
        <v>0.05</v>
      </c>
      <c r="AF1175" s="661" t="str">
        <f t="shared" si="129"/>
        <v>2019-LVN-FRD-T3CC-007-26</v>
      </c>
      <c r="AG1175" s="661" t="str">
        <f>IF(AND($Y1175&gt;=32,(AI1175="I"),(Y1175&lt;&gt;"~"),(COUNTIF($AN$1:$AN1175,$AN1175)=1)),"TRUE","FALSE")</f>
        <v>FALSE</v>
      </c>
      <c r="AH1175" s="661" t="str">
        <f>IF(AND($Y1175&gt;=22, (AI1175&lt;&gt;"I"),(Y1175&lt;&gt;"~"),(COUNTIF($AN$1:$AN1175,$AN1175)=1)),"TRUE","FALSE")</f>
        <v>FALSE</v>
      </c>
      <c r="AI1175" s="661" t="str">
        <f t="shared" si="124"/>
        <v>N/A</v>
      </c>
      <c r="AJ1175" s="662" t="str">
        <f t="shared" si="125"/>
        <v>T3CC-007</v>
      </c>
      <c r="AK1175" s="662" t="str">
        <f t="shared" si="126"/>
        <v>LVN</v>
      </c>
      <c r="AL1175" s="662" t="str">
        <f t="shared" si="127"/>
        <v>FRD</v>
      </c>
      <c r="AM1175" s="662" t="str">
        <f t="shared" si="123"/>
        <v>Transit 350 Chassis Cab-DRW-RWD-2-86.5-~-3.7L-6-S8Z-701A-156-25-Unleaded-Unleaded</v>
      </c>
      <c r="AN1175" s="662" t="str">
        <f t="shared" si="128"/>
        <v>2019-LVN-FRD-T3CC-007</v>
      </c>
    </row>
    <row r="1176" spans="1:40" s="572" customFormat="1" ht="30">
      <c r="A1176" s="570" t="s">
        <v>2423</v>
      </c>
      <c r="B1176" s="569" t="s">
        <v>2396</v>
      </c>
      <c r="C1176" s="569" t="s">
        <v>287</v>
      </c>
      <c r="D1176" s="580">
        <v>26</v>
      </c>
      <c r="E1176" s="569" t="s">
        <v>1516</v>
      </c>
      <c r="F1176" s="569" t="s">
        <v>1684</v>
      </c>
      <c r="G1176" s="569" t="s">
        <v>271</v>
      </c>
      <c r="H1176" s="569">
        <v>2019</v>
      </c>
      <c r="I1176" s="569" t="s">
        <v>2382</v>
      </c>
      <c r="J1176" s="569" t="s">
        <v>1686</v>
      </c>
      <c r="K1176" s="569" t="s">
        <v>236</v>
      </c>
      <c r="L1176" s="569">
        <v>2</v>
      </c>
      <c r="M1176" s="569">
        <v>0</v>
      </c>
      <c r="N1176" s="569" t="s">
        <v>157</v>
      </c>
      <c r="O1176" s="569">
        <v>1</v>
      </c>
      <c r="P1176" s="569">
        <v>86.5</v>
      </c>
      <c r="Q1176" s="568" t="s">
        <v>157</v>
      </c>
      <c r="R1176" s="569" t="s">
        <v>682</v>
      </c>
      <c r="S1176" s="569">
        <v>6</v>
      </c>
      <c r="T1176" s="569" t="s">
        <v>2386</v>
      </c>
      <c r="U1176" s="569" t="s">
        <v>2166</v>
      </c>
      <c r="V1176" s="569">
        <v>178</v>
      </c>
      <c r="W1176" s="569">
        <v>25</v>
      </c>
      <c r="X1176" s="568">
        <v>10360</v>
      </c>
      <c r="Y1176" s="569" t="s">
        <v>164</v>
      </c>
      <c r="Z1176" s="581" t="s">
        <v>178</v>
      </c>
      <c r="AA1176" s="581" t="s">
        <v>178</v>
      </c>
      <c r="AB1176" s="585">
        <v>34550</v>
      </c>
      <c r="AC1176" s="585" t="s">
        <v>164</v>
      </c>
      <c r="AD1176" s="585">
        <v>26167</v>
      </c>
      <c r="AE1176" s="587">
        <v>0.05</v>
      </c>
      <c r="AF1176" s="661" t="str">
        <f t="shared" si="129"/>
        <v>2019-LVN-FRD-T3CC-008-26</v>
      </c>
      <c r="AG1176" s="661" t="str">
        <f>IF(AND($Y1176&gt;=32,(AI1176="I"),(Y1176&lt;&gt;"~"),(COUNTIF($AN$1:$AN1176,$AN1176)=1)),"TRUE","FALSE")</f>
        <v>FALSE</v>
      </c>
      <c r="AH1176" s="661" t="str">
        <f>IF(AND($Y1176&gt;=22, (AI1176&lt;&gt;"I"),(Y1176&lt;&gt;"~"),(COUNTIF($AN$1:$AN1176,$AN1176)=1)),"TRUE","FALSE")</f>
        <v>FALSE</v>
      </c>
      <c r="AI1176" s="661" t="str">
        <f t="shared" si="124"/>
        <v>N/A</v>
      </c>
      <c r="AJ1176" s="662" t="str">
        <f t="shared" si="125"/>
        <v>T3CC-008</v>
      </c>
      <c r="AK1176" s="662" t="str">
        <f t="shared" si="126"/>
        <v>LVN</v>
      </c>
      <c r="AL1176" s="662" t="str">
        <f t="shared" si="127"/>
        <v>FRD</v>
      </c>
      <c r="AM1176" s="662" t="str">
        <f t="shared" si="123"/>
        <v>Transit 350 Chassis Cab-DRW-RWD-2-86.5-~-3.7L-6-S9Z-701A-178-25-Unleaded-Unleaded</v>
      </c>
      <c r="AN1176" s="662" t="str">
        <f t="shared" si="128"/>
        <v>2019-LVN-FRD-T3CC-008</v>
      </c>
    </row>
    <row r="1177" spans="1:40" s="572" customFormat="1" ht="30">
      <c r="A1177" s="570" t="s">
        <v>2424</v>
      </c>
      <c r="B1177" s="573" t="s">
        <v>2425</v>
      </c>
      <c r="C1177" s="573" t="s">
        <v>287</v>
      </c>
      <c r="D1177" s="578">
        <v>26</v>
      </c>
      <c r="E1177" s="573" t="s">
        <v>1516</v>
      </c>
      <c r="F1177" s="573" t="s">
        <v>1684</v>
      </c>
      <c r="G1177" s="573" t="s">
        <v>271</v>
      </c>
      <c r="H1177" s="573">
        <v>2019</v>
      </c>
      <c r="I1177" s="573" t="s">
        <v>2382</v>
      </c>
      <c r="J1177" s="573" t="s">
        <v>1686</v>
      </c>
      <c r="K1177" s="573" t="s">
        <v>236</v>
      </c>
      <c r="L1177" s="573">
        <v>2</v>
      </c>
      <c r="M1177" s="573">
        <v>0</v>
      </c>
      <c r="N1177" s="573" t="s">
        <v>157</v>
      </c>
      <c r="O1177" s="573">
        <v>1</v>
      </c>
      <c r="P1177" s="573">
        <v>86.8</v>
      </c>
      <c r="Q1177" s="571" t="s">
        <v>157</v>
      </c>
      <c r="R1177" s="573" t="s">
        <v>1917</v>
      </c>
      <c r="S1177" s="573">
        <v>5</v>
      </c>
      <c r="T1177" s="573" t="s">
        <v>2402</v>
      </c>
      <c r="U1177" s="573" t="s">
        <v>2166</v>
      </c>
      <c r="V1177" s="573">
        <v>138</v>
      </c>
      <c r="W1177" s="573">
        <v>25</v>
      </c>
      <c r="X1177" s="571">
        <v>9950</v>
      </c>
      <c r="Y1177" s="573">
        <v>12</v>
      </c>
      <c r="Z1177" s="579" t="s">
        <v>728</v>
      </c>
      <c r="AA1177" s="579" t="s">
        <v>1523</v>
      </c>
      <c r="AB1177" s="584">
        <v>37095</v>
      </c>
      <c r="AC1177" s="584" t="s">
        <v>164</v>
      </c>
      <c r="AD1177" s="584">
        <v>28445</v>
      </c>
      <c r="AE1177" s="586">
        <v>0.05</v>
      </c>
      <c r="AF1177" s="661" t="str">
        <f t="shared" si="129"/>
        <v>2019-LVN-FRD-T3CC-009-26</v>
      </c>
      <c r="AG1177" s="661" t="str">
        <f>IF(AND($Y1177&gt;=32,(AI1177="I"),(Y1177&lt;&gt;"~"),(COUNTIF($AN$1:$AN1177,$AN1177)=1)),"TRUE","FALSE")</f>
        <v>FALSE</v>
      </c>
      <c r="AH1177" s="661" t="str">
        <f>IF(AND($Y1177&gt;=22, (AI1177&lt;&gt;"I"),(Y1177&lt;&gt;"~"),(COUNTIF($AN$1:$AN1177,$AN1177)=1)),"TRUE","FALSE")</f>
        <v>FALSE</v>
      </c>
      <c r="AI1177" s="661" t="str">
        <f t="shared" si="124"/>
        <v>II</v>
      </c>
      <c r="AJ1177" s="662" t="str">
        <f t="shared" si="125"/>
        <v>T3CC-009</v>
      </c>
      <c r="AK1177" s="662" t="str">
        <f t="shared" si="126"/>
        <v>LVN</v>
      </c>
      <c r="AL1177" s="662" t="str">
        <f t="shared" si="127"/>
        <v>FRD</v>
      </c>
      <c r="AM1177" s="662" t="str">
        <f t="shared" si="123"/>
        <v>Transit 350 Chassis Cab-DRW-RWD-2-86.8-~-3.2L-5-F6Z-701A-138-25-Diesel-BioDiesel</v>
      </c>
      <c r="AN1177" s="662" t="str">
        <f t="shared" si="128"/>
        <v>2019-LVN-FRD-T3CC-009</v>
      </c>
    </row>
    <row r="1178" spans="1:40" s="572" customFormat="1" ht="30">
      <c r="A1178" s="570" t="s">
        <v>2426</v>
      </c>
      <c r="B1178" s="569" t="s">
        <v>2398</v>
      </c>
      <c r="C1178" s="569" t="s">
        <v>287</v>
      </c>
      <c r="D1178" s="580">
        <v>26</v>
      </c>
      <c r="E1178" s="569" t="s">
        <v>1516</v>
      </c>
      <c r="F1178" s="569" t="s">
        <v>1684</v>
      </c>
      <c r="G1178" s="569" t="s">
        <v>271</v>
      </c>
      <c r="H1178" s="569">
        <v>2019</v>
      </c>
      <c r="I1178" s="569" t="s">
        <v>2382</v>
      </c>
      <c r="J1178" s="569" t="s">
        <v>1686</v>
      </c>
      <c r="K1178" s="569" t="s">
        <v>236</v>
      </c>
      <c r="L1178" s="569">
        <v>2</v>
      </c>
      <c r="M1178" s="569">
        <v>0</v>
      </c>
      <c r="N1178" s="569" t="s">
        <v>157</v>
      </c>
      <c r="O1178" s="569">
        <v>1</v>
      </c>
      <c r="P1178" s="569">
        <v>86.8</v>
      </c>
      <c r="Q1178" s="568" t="s">
        <v>157</v>
      </c>
      <c r="R1178" s="569" t="s">
        <v>1917</v>
      </c>
      <c r="S1178" s="569">
        <v>5</v>
      </c>
      <c r="T1178" s="569" t="s">
        <v>2399</v>
      </c>
      <c r="U1178" s="569" t="s">
        <v>2166</v>
      </c>
      <c r="V1178" s="569">
        <v>138</v>
      </c>
      <c r="W1178" s="569">
        <v>25</v>
      </c>
      <c r="X1178" s="568">
        <v>10360</v>
      </c>
      <c r="Y1178" s="569" t="s">
        <v>164</v>
      </c>
      <c r="Z1178" s="581" t="s">
        <v>728</v>
      </c>
      <c r="AA1178" s="581" t="s">
        <v>1523</v>
      </c>
      <c r="AB1178" s="585">
        <v>37345</v>
      </c>
      <c r="AC1178" s="585" t="s">
        <v>164</v>
      </c>
      <c r="AD1178" s="585">
        <v>28680</v>
      </c>
      <c r="AE1178" s="587">
        <v>0.05</v>
      </c>
      <c r="AF1178" s="661" t="str">
        <f t="shared" si="129"/>
        <v>2019-LVN-FRD-T3CC-010-26</v>
      </c>
      <c r="AG1178" s="661" t="str">
        <f>IF(AND($Y1178&gt;=32,(AI1178="I"),(Y1178&lt;&gt;"~"),(COUNTIF($AN$1:$AN1178,$AN1178)=1)),"TRUE","FALSE")</f>
        <v>FALSE</v>
      </c>
      <c r="AH1178" s="661" t="str">
        <f>IF(AND($Y1178&gt;=22, (AI1178&lt;&gt;"I"),(Y1178&lt;&gt;"~"),(COUNTIF($AN$1:$AN1178,$AN1178)=1)),"TRUE","FALSE")</f>
        <v>FALSE</v>
      </c>
      <c r="AI1178" s="661" t="str">
        <f t="shared" si="124"/>
        <v>N/A</v>
      </c>
      <c r="AJ1178" s="662" t="str">
        <f t="shared" si="125"/>
        <v>T3CC-010</v>
      </c>
      <c r="AK1178" s="662" t="str">
        <f t="shared" si="126"/>
        <v>LVN</v>
      </c>
      <c r="AL1178" s="662" t="str">
        <f t="shared" si="127"/>
        <v>FRD</v>
      </c>
      <c r="AM1178" s="662" t="str">
        <f t="shared" si="123"/>
        <v>Transit 350 Chassis Cab-DRW-RWD-2-86.8-~-3.2L-5-S6Z-701A-138-25-Diesel-BioDiesel</v>
      </c>
      <c r="AN1178" s="662" t="str">
        <f t="shared" si="128"/>
        <v>2019-LVN-FRD-T3CC-010</v>
      </c>
    </row>
    <row r="1179" spans="1:40" s="572" customFormat="1" ht="30">
      <c r="A1179" s="570" t="s">
        <v>2427</v>
      </c>
      <c r="B1179" s="573" t="s">
        <v>2401</v>
      </c>
      <c r="C1179" s="573" t="s">
        <v>287</v>
      </c>
      <c r="D1179" s="578">
        <v>26</v>
      </c>
      <c r="E1179" s="573" t="s">
        <v>1516</v>
      </c>
      <c r="F1179" s="573" t="s">
        <v>1684</v>
      </c>
      <c r="G1179" s="573" t="s">
        <v>271</v>
      </c>
      <c r="H1179" s="573">
        <v>2019</v>
      </c>
      <c r="I1179" s="573" t="s">
        <v>2382</v>
      </c>
      <c r="J1179" s="573" t="s">
        <v>1686</v>
      </c>
      <c r="K1179" s="573" t="s">
        <v>236</v>
      </c>
      <c r="L1179" s="573">
        <v>2</v>
      </c>
      <c r="M1179" s="573">
        <v>0</v>
      </c>
      <c r="N1179" s="573" t="s">
        <v>157</v>
      </c>
      <c r="O1179" s="573">
        <v>1</v>
      </c>
      <c r="P1179" s="573">
        <v>86.8</v>
      </c>
      <c r="Q1179" s="571" t="s">
        <v>157</v>
      </c>
      <c r="R1179" s="573" t="s">
        <v>682</v>
      </c>
      <c r="S1179" s="573">
        <v>6</v>
      </c>
      <c r="T1179" s="573" t="s">
        <v>2402</v>
      </c>
      <c r="U1179" s="573" t="s">
        <v>2166</v>
      </c>
      <c r="V1179" s="573">
        <v>138</v>
      </c>
      <c r="W1179" s="573">
        <v>25</v>
      </c>
      <c r="X1179" s="571">
        <v>9950</v>
      </c>
      <c r="Y1179" s="573">
        <v>12</v>
      </c>
      <c r="Z1179" s="579" t="s">
        <v>178</v>
      </c>
      <c r="AA1179" s="579" t="s">
        <v>178</v>
      </c>
      <c r="AB1179" s="584">
        <v>33100</v>
      </c>
      <c r="AC1179" s="584" t="s">
        <v>164</v>
      </c>
      <c r="AD1179" s="584">
        <v>24807</v>
      </c>
      <c r="AE1179" s="586">
        <v>0.05</v>
      </c>
      <c r="AF1179" s="661" t="str">
        <f t="shared" si="129"/>
        <v>2019-LVN-FRD-T3CC-011-26</v>
      </c>
      <c r="AG1179" s="661" t="str">
        <f>IF(AND($Y1179&gt;=32,(AI1179="I"),(Y1179&lt;&gt;"~"),(COUNTIF($AN$1:$AN1179,$AN1179)=1)),"TRUE","FALSE")</f>
        <v>FALSE</v>
      </c>
      <c r="AH1179" s="661" t="str">
        <f>IF(AND($Y1179&gt;=22, (AI1179&lt;&gt;"I"),(Y1179&lt;&gt;"~"),(COUNTIF($AN$1:$AN1179,$AN1179)=1)),"TRUE","FALSE")</f>
        <v>FALSE</v>
      </c>
      <c r="AI1179" s="661" t="str">
        <f t="shared" si="124"/>
        <v>II</v>
      </c>
      <c r="AJ1179" s="662" t="str">
        <f t="shared" si="125"/>
        <v>T3CC-011</v>
      </c>
      <c r="AK1179" s="662" t="str">
        <f t="shared" si="126"/>
        <v>LVN</v>
      </c>
      <c r="AL1179" s="662" t="str">
        <f t="shared" si="127"/>
        <v>FRD</v>
      </c>
      <c r="AM1179" s="662" t="str">
        <f t="shared" ref="AM1179:AM1242" si="130">CONCATENATE(I1179,"-",J1179,"-",K1179,"-",L1179,"-",P1179,"-",Q1179,"-",R1179,"-",S1179,"-",T1179,"-",U1179,"-",V1179,"-",W1179,"-",Z1179,"-",AA1179)</f>
        <v>Transit 350 Chassis Cab-DRW-RWD-2-86.8-~-3.7L-6-F6Z-701A-138-25-Unleaded-Unleaded</v>
      </c>
      <c r="AN1179" s="662" t="str">
        <f t="shared" si="128"/>
        <v>2019-LVN-FRD-T3CC-011</v>
      </c>
    </row>
    <row r="1180" spans="1:40" s="572" customFormat="1" ht="30">
      <c r="A1180" s="570" t="s">
        <v>2428</v>
      </c>
      <c r="B1180" s="569" t="s">
        <v>2404</v>
      </c>
      <c r="C1180" s="569" t="s">
        <v>287</v>
      </c>
      <c r="D1180" s="580">
        <v>26</v>
      </c>
      <c r="E1180" s="569" t="s">
        <v>1516</v>
      </c>
      <c r="F1180" s="569" t="s">
        <v>1684</v>
      </c>
      <c r="G1180" s="569" t="s">
        <v>271</v>
      </c>
      <c r="H1180" s="569">
        <v>2019</v>
      </c>
      <c r="I1180" s="569" t="s">
        <v>2382</v>
      </c>
      <c r="J1180" s="569" t="s">
        <v>1686</v>
      </c>
      <c r="K1180" s="569" t="s">
        <v>236</v>
      </c>
      <c r="L1180" s="569">
        <v>2</v>
      </c>
      <c r="M1180" s="569">
        <v>0</v>
      </c>
      <c r="N1180" s="569" t="s">
        <v>157</v>
      </c>
      <c r="O1180" s="569">
        <v>1</v>
      </c>
      <c r="P1180" s="569">
        <v>86.8</v>
      </c>
      <c r="Q1180" s="568" t="s">
        <v>157</v>
      </c>
      <c r="R1180" s="569" t="s">
        <v>682</v>
      </c>
      <c r="S1180" s="569">
        <v>6</v>
      </c>
      <c r="T1180" s="569" t="s">
        <v>2399</v>
      </c>
      <c r="U1180" s="569" t="s">
        <v>2166</v>
      </c>
      <c r="V1180" s="569">
        <v>138</v>
      </c>
      <c r="W1180" s="569">
        <v>25</v>
      </c>
      <c r="X1180" s="568">
        <v>10360</v>
      </c>
      <c r="Y1180" s="569" t="s">
        <v>164</v>
      </c>
      <c r="Z1180" s="581" t="s">
        <v>178</v>
      </c>
      <c r="AA1180" s="581" t="s">
        <v>178</v>
      </c>
      <c r="AB1180" s="585">
        <v>33350</v>
      </c>
      <c r="AC1180" s="585" t="s">
        <v>164</v>
      </c>
      <c r="AD1180" s="585">
        <v>25042</v>
      </c>
      <c r="AE1180" s="587">
        <v>0.05</v>
      </c>
      <c r="AF1180" s="661" t="str">
        <f t="shared" si="129"/>
        <v>2019-LVN-FRD-T3CC-012-26</v>
      </c>
      <c r="AG1180" s="661" t="str">
        <f>IF(AND($Y1180&gt;=32,(AI1180="I"),(Y1180&lt;&gt;"~"),(COUNTIF($AN$1:$AN1180,$AN1180)=1)),"TRUE","FALSE")</f>
        <v>FALSE</v>
      </c>
      <c r="AH1180" s="661" t="str">
        <f>IF(AND($Y1180&gt;=22, (AI1180&lt;&gt;"I"),(Y1180&lt;&gt;"~"),(COUNTIF($AN$1:$AN1180,$AN1180)=1)),"TRUE","FALSE")</f>
        <v>FALSE</v>
      </c>
      <c r="AI1180" s="661" t="str">
        <f t="shared" ref="AI1180:AI1243" si="131">IF(OR((LEFT($E1180,2)="01"),AND(LEFT($E1180,2)="06",ISNUMBER(SEARCH("pas",$F1180))),AND(LEFT($E1180,2)="05",ISNUMBER(SEARCH("pas",$F1180)))),"I",IF(AND((LEFT($E1180,2)&lt;&gt;"01"),$X1180&lt;=10000),"II",IF(AND((LEFT($E1180,2)&lt;&gt;"01"),$X1180&gt;10000),"N/A")))</f>
        <v>N/A</v>
      </c>
      <c r="AJ1180" s="662" t="str">
        <f t="shared" si="125"/>
        <v>T3CC-012</v>
      </c>
      <c r="AK1180" s="662" t="str">
        <f t="shared" si="126"/>
        <v>LVN</v>
      </c>
      <c r="AL1180" s="662" t="str">
        <f t="shared" si="127"/>
        <v>FRD</v>
      </c>
      <c r="AM1180" s="662" t="str">
        <f t="shared" si="130"/>
        <v>Transit 350 Chassis Cab-DRW-RWD-2-86.8-~-3.7L-6-S6Z-701A-138-25-Unleaded-Unleaded</v>
      </c>
      <c r="AN1180" s="662" t="str">
        <f t="shared" si="128"/>
        <v>2019-LVN-FRD-T3CC-012</v>
      </c>
    </row>
    <row r="1181" spans="1:40" s="572" customFormat="1" ht="30">
      <c r="A1181" s="570" t="s">
        <v>2429</v>
      </c>
      <c r="B1181" s="573" t="s">
        <v>2381</v>
      </c>
      <c r="C1181" s="573" t="s">
        <v>280</v>
      </c>
      <c r="D1181" s="578">
        <v>27</v>
      </c>
      <c r="E1181" s="573" t="s">
        <v>1516</v>
      </c>
      <c r="F1181" s="573" t="s">
        <v>1684</v>
      </c>
      <c r="G1181" s="573" t="s">
        <v>271</v>
      </c>
      <c r="H1181" s="573">
        <v>2019</v>
      </c>
      <c r="I1181" s="573" t="s">
        <v>2382</v>
      </c>
      <c r="J1181" s="573" t="s">
        <v>1686</v>
      </c>
      <c r="K1181" s="573" t="s">
        <v>236</v>
      </c>
      <c r="L1181" s="573">
        <v>2</v>
      </c>
      <c r="M1181" s="573">
        <v>0</v>
      </c>
      <c r="N1181" s="573" t="s">
        <v>157</v>
      </c>
      <c r="O1181" s="573">
        <v>1</v>
      </c>
      <c r="P1181" s="573">
        <v>86.5</v>
      </c>
      <c r="Q1181" s="571" t="s">
        <v>157</v>
      </c>
      <c r="R1181" s="573" t="s">
        <v>1917</v>
      </c>
      <c r="S1181" s="573">
        <v>5</v>
      </c>
      <c r="T1181" s="573" t="s">
        <v>2383</v>
      </c>
      <c r="U1181" s="573" t="s">
        <v>2166</v>
      </c>
      <c r="V1181" s="573">
        <v>156</v>
      </c>
      <c r="W1181" s="573">
        <v>25</v>
      </c>
      <c r="X1181" s="571">
        <v>10360</v>
      </c>
      <c r="Y1181" s="569" t="s">
        <v>164</v>
      </c>
      <c r="Z1181" s="579" t="s">
        <v>728</v>
      </c>
      <c r="AA1181" s="579" t="s">
        <v>1523</v>
      </c>
      <c r="AB1181" s="584">
        <v>37800</v>
      </c>
      <c r="AC1181" s="584" t="s">
        <v>164</v>
      </c>
      <c r="AD1181" s="584">
        <v>28291.916666666664</v>
      </c>
      <c r="AE1181" s="586">
        <v>0.03</v>
      </c>
      <c r="AF1181" s="661" t="str">
        <f t="shared" si="129"/>
        <v>2019-LVN-FRD-T3CC-003-27</v>
      </c>
      <c r="AG1181" s="661" t="str">
        <f>IF(AND($Y1181&gt;=32,(AI1181="I"),(Y1181&lt;&gt;"~"),(COUNTIF($AN$1:$AN1181,$AN1181)=1)),"TRUE","FALSE")</f>
        <v>FALSE</v>
      </c>
      <c r="AH1181" s="661" t="str">
        <f>IF(AND($Y1181&gt;=22, (AI1181&lt;&gt;"I"),(Y1181&lt;&gt;"~"),(COUNTIF($AN$1:$AN1181,$AN1181)=1)),"TRUE","FALSE")</f>
        <v>FALSE</v>
      </c>
      <c r="AI1181" s="661" t="str">
        <f t="shared" si="131"/>
        <v>N/A</v>
      </c>
      <c r="AJ1181" s="662" t="str">
        <f t="shared" si="125"/>
        <v>T3CC-003</v>
      </c>
      <c r="AK1181" s="662" t="str">
        <f t="shared" si="126"/>
        <v>LVN</v>
      </c>
      <c r="AL1181" s="662" t="str">
        <f t="shared" si="127"/>
        <v>FRD</v>
      </c>
      <c r="AM1181" s="662" t="str">
        <f t="shared" si="130"/>
        <v>Transit 350 Chassis Cab-DRW-RWD-2-86.5-~-3.2L-5-S8Z-701A-156-25-Diesel-BioDiesel</v>
      </c>
      <c r="AN1181" s="662" t="str">
        <f t="shared" si="128"/>
        <v>2019-LVN-FRD-T3CC-003</v>
      </c>
    </row>
    <row r="1182" spans="1:40" s="572" customFormat="1" ht="30">
      <c r="A1182" s="570" t="s">
        <v>2430</v>
      </c>
      <c r="B1182" s="569" t="s">
        <v>2385</v>
      </c>
      <c r="C1182" s="569" t="s">
        <v>280</v>
      </c>
      <c r="D1182" s="580">
        <v>27</v>
      </c>
      <c r="E1182" s="569" t="s">
        <v>1516</v>
      </c>
      <c r="F1182" s="569" t="s">
        <v>1684</v>
      </c>
      <c r="G1182" s="569" t="s">
        <v>271</v>
      </c>
      <c r="H1182" s="569">
        <v>2019</v>
      </c>
      <c r="I1182" s="569" t="s">
        <v>2382</v>
      </c>
      <c r="J1182" s="569" t="s">
        <v>1686</v>
      </c>
      <c r="K1182" s="569" t="s">
        <v>236</v>
      </c>
      <c r="L1182" s="569">
        <v>2</v>
      </c>
      <c r="M1182" s="569">
        <v>0</v>
      </c>
      <c r="N1182" s="569" t="s">
        <v>157</v>
      </c>
      <c r="O1182" s="569">
        <v>1</v>
      </c>
      <c r="P1182" s="569">
        <v>86.5</v>
      </c>
      <c r="Q1182" s="568" t="s">
        <v>157</v>
      </c>
      <c r="R1182" s="569" t="s">
        <v>1917</v>
      </c>
      <c r="S1182" s="569">
        <v>5</v>
      </c>
      <c r="T1182" s="569" t="s">
        <v>2386</v>
      </c>
      <c r="U1182" s="569" t="s">
        <v>2166</v>
      </c>
      <c r="V1182" s="569">
        <v>178</v>
      </c>
      <c r="W1182" s="569">
        <v>25</v>
      </c>
      <c r="X1182" s="568">
        <v>10360</v>
      </c>
      <c r="Y1182" s="569" t="s">
        <v>164</v>
      </c>
      <c r="Z1182" s="581" t="s">
        <v>728</v>
      </c>
      <c r="AA1182" s="581" t="s">
        <v>1523</v>
      </c>
      <c r="AB1182" s="585">
        <v>38545</v>
      </c>
      <c r="AC1182" s="585" t="s">
        <v>164</v>
      </c>
      <c r="AD1182" s="585">
        <v>28972.125</v>
      </c>
      <c r="AE1182" s="587">
        <v>0.03</v>
      </c>
      <c r="AF1182" s="661" t="str">
        <f t="shared" si="129"/>
        <v>2019-LVN-FRD-T3CC-004-27</v>
      </c>
      <c r="AG1182" s="661" t="str">
        <f>IF(AND($Y1182&gt;=32,(AI1182="I"),(Y1182&lt;&gt;"~"),(COUNTIF($AN$1:$AN1182,$AN1182)=1)),"TRUE","FALSE")</f>
        <v>FALSE</v>
      </c>
      <c r="AH1182" s="661" t="str">
        <f>IF(AND($Y1182&gt;=22, (AI1182&lt;&gt;"I"),(Y1182&lt;&gt;"~"),(COUNTIF($AN$1:$AN1182,$AN1182)=1)),"TRUE","FALSE")</f>
        <v>FALSE</v>
      </c>
      <c r="AI1182" s="661" t="str">
        <f t="shared" si="131"/>
        <v>N/A</v>
      </c>
      <c r="AJ1182" s="662" t="str">
        <f t="shared" si="125"/>
        <v>T3CC-004</v>
      </c>
      <c r="AK1182" s="662" t="str">
        <f t="shared" si="126"/>
        <v>LVN</v>
      </c>
      <c r="AL1182" s="662" t="str">
        <f t="shared" si="127"/>
        <v>FRD</v>
      </c>
      <c r="AM1182" s="662" t="str">
        <f t="shared" si="130"/>
        <v>Transit 350 Chassis Cab-DRW-RWD-2-86.5-~-3.2L-5-S9Z-701A-178-25-Diesel-BioDiesel</v>
      </c>
      <c r="AN1182" s="662" t="str">
        <f t="shared" si="128"/>
        <v>2019-LVN-FRD-T3CC-004</v>
      </c>
    </row>
    <row r="1183" spans="1:40" s="572" customFormat="1" ht="30">
      <c r="A1183" s="570" t="s">
        <v>2431</v>
      </c>
      <c r="B1183" s="573" t="s">
        <v>2388</v>
      </c>
      <c r="C1183" s="573" t="s">
        <v>280</v>
      </c>
      <c r="D1183" s="578">
        <v>27</v>
      </c>
      <c r="E1183" s="573" t="s">
        <v>1516</v>
      </c>
      <c r="F1183" s="573" t="s">
        <v>1684</v>
      </c>
      <c r="G1183" s="573" t="s">
        <v>271</v>
      </c>
      <c r="H1183" s="573">
        <v>2019</v>
      </c>
      <c r="I1183" s="573" t="s">
        <v>2382</v>
      </c>
      <c r="J1183" s="573" t="s">
        <v>1686</v>
      </c>
      <c r="K1183" s="573" t="s">
        <v>236</v>
      </c>
      <c r="L1183" s="573">
        <v>2</v>
      </c>
      <c r="M1183" s="573">
        <v>0</v>
      </c>
      <c r="N1183" s="573" t="s">
        <v>157</v>
      </c>
      <c r="O1183" s="573">
        <v>1</v>
      </c>
      <c r="P1183" s="573">
        <v>86.5</v>
      </c>
      <c r="Q1183" s="571" t="s">
        <v>157</v>
      </c>
      <c r="R1183" s="573" t="s">
        <v>682</v>
      </c>
      <c r="S1183" s="573">
        <v>6</v>
      </c>
      <c r="T1183" s="573" t="s">
        <v>2389</v>
      </c>
      <c r="U1183" s="573" t="s">
        <v>2166</v>
      </c>
      <c r="V1183" s="573">
        <v>156</v>
      </c>
      <c r="W1183" s="573">
        <v>25</v>
      </c>
      <c r="X1183" s="571">
        <v>9950</v>
      </c>
      <c r="Y1183" s="573">
        <v>12</v>
      </c>
      <c r="Z1183" s="579" t="s">
        <v>178</v>
      </c>
      <c r="AA1183" s="579" t="s">
        <v>178</v>
      </c>
      <c r="AB1183" s="584">
        <v>33550</v>
      </c>
      <c r="AC1183" s="584" t="s">
        <v>164</v>
      </c>
      <c r="AD1183" s="584">
        <v>24509.041666666668</v>
      </c>
      <c r="AE1183" s="586">
        <v>0.03</v>
      </c>
      <c r="AF1183" s="661" t="str">
        <f t="shared" si="129"/>
        <v>2019-LVN-FRD-T3CC-005-27</v>
      </c>
      <c r="AG1183" s="661" t="str">
        <f>IF(AND($Y1183&gt;=32,(AI1183="I"),(Y1183&lt;&gt;"~"),(COUNTIF($AN$1:$AN1183,$AN1183)=1)),"TRUE","FALSE")</f>
        <v>FALSE</v>
      </c>
      <c r="AH1183" s="661" t="str">
        <f>IF(AND($Y1183&gt;=22, (AI1183&lt;&gt;"I"),(Y1183&lt;&gt;"~"),(COUNTIF($AN$1:$AN1183,$AN1183)=1)),"TRUE","FALSE")</f>
        <v>FALSE</v>
      </c>
      <c r="AI1183" s="661" t="str">
        <f t="shared" si="131"/>
        <v>II</v>
      </c>
      <c r="AJ1183" s="662" t="str">
        <f t="shared" si="125"/>
        <v>T3CC-005</v>
      </c>
      <c r="AK1183" s="662" t="str">
        <f t="shared" si="126"/>
        <v>LVN</v>
      </c>
      <c r="AL1183" s="662" t="str">
        <f t="shared" si="127"/>
        <v>FRD</v>
      </c>
      <c r="AM1183" s="662" t="str">
        <f t="shared" si="130"/>
        <v>Transit 350 Chassis Cab-DRW-RWD-2-86.5-~-3.7L-6-F8Z-701A-156-25-Unleaded-Unleaded</v>
      </c>
      <c r="AN1183" s="662" t="str">
        <f t="shared" si="128"/>
        <v>2019-LVN-FRD-T3CC-005</v>
      </c>
    </row>
    <row r="1184" spans="1:40" s="572" customFormat="1" ht="30">
      <c r="A1184" s="570" t="s">
        <v>2432</v>
      </c>
      <c r="B1184" s="569" t="s">
        <v>2391</v>
      </c>
      <c r="C1184" s="569" t="s">
        <v>280</v>
      </c>
      <c r="D1184" s="580">
        <v>27</v>
      </c>
      <c r="E1184" s="569" t="s">
        <v>1516</v>
      </c>
      <c r="F1184" s="569" t="s">
        <v>1684</v>
      </c>
      <c r="G1184" s="569" t="s">
        <v>271</v>
      </c>
      <c r="H1184" s="569">
        <v>2019</v>
      </c>
      <c r="I1184" s="569" t="s">
        <v>2382</v>
      </c>
      <c r="J1184" s="569" t="s">
        <v>1686</v>
      </c>
      <c r="K1184" s="569" t="s">
        <v>236</v>
      </c>
      <c r="L1184" s="569">
        <v>2</v>
      </c>
      <c r="M1184" s="569">
        <v>0</v>
      </c>
      <c r="N1184" s="569" t="s">
        <v>157</v>
      </c>
      <c r="O1184" s="569">
        <v>1</v>
      </c>
      <c r="P1184" s="569">
        <v>86.5</v>
      </c>
      <c r="Q1184" s="568" t="s">
        <v>157</v>
      </c>
      <c r="R1184" s="569" t="s">
        <v>682</v>
      </c>
      <c r="S1184" s="569">
        <v>6</v>
      </c>
      <c r="T1184" s="569" t="s">
        <v>2392</v>
      </c>
      <c r="U1184" s="569" t="s">
        <v>2166</v>
      </c>
      <c r="V1184" s="569">
        <v>178</v>
      </c>
      <c r="W1184" s="569">
        <v>25</v>
      </c>
      <c r="X1184" s="568">
        <v>9950</v>
      </c>
      <c r="Y1184" s="573">
        <v>12</v>
      </c>
      <c r="Z1184" s="581" t="s">
        <v>178</v>
      </c>
      <c r="AA1184" s="581" t="s">
        <v>178</v>
      </c>
      <c r="AB1184" s="585">
        <v>34300</v>
      </c>
      <c r="AC1184" s="585" t="s">
        <v>164</v>
      </c>
      <c r="AD1184" s="585">
        <v>25194.458333333336</v>
      </c>
      <c r="AE1184" s="587">
        <v>0.03</v>
      </c>
      <c r="AF1184" s="661" t="str">
        <f t="shared" si="129"/>
        <v>2019-LVN-FRD-T3CC-006-27</v>
      </c>
      <c r="AG1184" s="661" t="str">
        <f>IF(AND($Y1184&gt;=32,(AI1184="I"),(Y1184&lt;&gt;"~"),(COUNTIF($AN$1:$AN1184,$AN1184)=1)),"TRUE","FALSE")</f>
        <v>FALSE</v>
      </c>
      <c r="AH1184" s="661" t="str">
        <f>IF(AND($Y1184&gt;=22, (AI1184&lt;&gt;"I"),(Y1184&lt;&gt;"~"),(COUNTIF($AN$1:$AN1184,$AN1184)=1)),"TRUE","FALSE")</f>
        <v>FALSE</v>
      </c>
      <c r="AI1184" s="661" t="str">
        <f t="shared" si="131"/>
        <v>II</v>
      </c>
      <c r="AJ1184" s="662" t="str">
        <f t="shared" si="125"/>
        <v>T3CC-006</v>
      </c>
      <c r="AK1184" s="662" t="str">
        <f t="shared" si="126"/>
        <v>LVN</v>
      </c>
      <c r="AL1184" s="662" t="str">
        <f t="shared" si="127"/>
        <v>FRD</v>
      </c>
      <c r="AM1184" s="662" t="str">
        <f t="shared" si="130"/>
        <v>Transit 350 Chassis Cab-DRW-RWD-2-86.5-~-3.7L-6-F9Z-701A-178-25-Unleaded-Unleaded</v>
      </c>
      <c r="AN1184" s="662" t="str">
        <f t="shared" si="128"/>
        <v>2019-LVN-FRD-T3CC-006</v>
      </c>
    </row>
    <row r="1185" spans="1:40" s="572" customFormat="1" ht="30">
      <c r="A1185" s="570" t="s">
        <v>2433</v>
      </c>
      <c r="B1185" s="573" t="s">
        <v>2394</v>
      </c>
      <c r="C1185" s="573" t="s">
        <v>280</v>
      </c>
      <c r="D1185" s="578">
        <v>27</v>
      </c>
      <c r="E1185" s="573" t="s">
        <v>1516</v>
      </c>
      <c r="F1185" s="573" t="s">
        <v>1684</v>
      </c>
      <c r="G1185" s="573" t="s">
        <v>271</v>
      </c>
      <c r="H1185" s="573">
        <v>2019</v>
      </c>
      <c r="I1185" s="573" t="s">
        <v>2382</v>
      </c>
      <c r="J1185" s="573" t="s">
        <v>1686</v>
      </c>
      <c r="K1185" s="573" t="s">
        <v>236</v>
      </c>
      <c r="L1185" s="573">
        <v>2</v>
      </c>
      <c r="M1185" s="573">
        <v>0</v>
      </c>
      <c r="N1185" s="573" t="s">
        <v>157</v>
      </c>
      <c r="O1185" s="573">
        <v>1</v>
      </c>
      <c r="P1185" s="573">
        <v>86.5</v>
      </c>
      <c r="Q1185" s="571" t="s">
        <v>157</v>
      </c>
      <c r="R1185" s="573" t="s">
        <v>682</v>
      </c>
      <c r="S1185" s="573">
        <v>6</v>
      </c>
      <c r="T1185" s="573" t="s">
        <v>2383</v>
      </c>
      <c r="U1185" s="573" t="s">
        <v>2166</v>
      </c>
      <c r="V1185" s="573">
        <v>156</v>
      </c>
      <c r="W1185" s="573">
        <v>25</v>
      </c>
      <c r="X1185" s="571">
        <v>10360</v>
      </c>
      <c r="Y1185" s="569" t="s">
        <v>164</v>
      </c>
      <c r="Z1185" s="579" t="s">
        <v>178</v>
      </c>
      <c r="AA1185" s="579" t="s">
        <v>178</v>
      </c>
      <c r="AB1185" s="584">
        <v>33805</v>
      </c>
      <c r="AC1185" s="584" t="s">
        <v>164</v>
      </c>
      <c r="AD1185" s="584">
        <v>24742.375</v>
      </c>
      <c r="AE1185" s="586">
        <v>0.03</v>
      </c>
      <c r="AF1185" s="661" t="str">
        <f t="shared" si="129"/>
        <v>2019-LVN-FRD-T3CC-007-27</v>
      </c>
      <c r="AG1185" s="661" t="str">
        <f>IF(AND($Y1185&gt;=32,(AI1185="I"),(Y1185&lt;&gt;"~"),(COUNTIF($AN$1:$AN1185,$AN1185)=1)),"TRUE","FALSE")</f>
        <v>FALSE</v>
      </c>
      <c r="AH1185" s="661" t="str">
        <f>IF(AND($Y1185&gt;=22, (AI1185&lt;&gt;"I"),(Y1185&lt;&gt;"~"),(COUNTIF($AN$1:$AN1185,$AN1185)=1)),"TRUE","FALSE")</f>
        <v>FALSE</v>
      </c>
      <c r="AI1185" s="661" t="str">
        <f t="shared" si="131"/>
        <v>N/A</v>
      </c>
      <c r="AJ1185" s="662" t="str">
        <f t="shared" si="125"/>
        <v>T3CC-007</v>
      </c>
      <c r="AK1185" s="662" t="str">
        <f t="shared" si="126"/>
        <v>LVN</v>
      </c>
      <c r="AL1185" s="662" t="str">
        <f t="shared" si="127"/>
        <v>FRD</v>
      </c>
      <c r="AM1185" s="662" t="str">
        <f t="shared" si="130"/>
        <v>Transit 350 Chassis Cab-DRW-RWD-2-86.5-~-3.7L-6-S8Z-701A-156-25-Unleaded-Unleaded</v>
      </c>
      <c r="AN1185" s="662" t="str">
        <f t="shared" si="128"/>
        <v>2019-LVN-FRD-T3CC-007</v>
      </c>
    </row>
    <row r="1186" spans="1:40" s="572" customFormat="1" ht="30">
      <c r="A1186" s="570" t="s">
        <v>2434</v>
      </c>
      <c r="B1186" s="569" t="s">
        <v>2396</v>
      </c>
      <c r="C1186" s="569" t="s">
        <v>280</v>
      </c>
      <c r="D1186" s="580">
        <v>27</v>
      </c>
      <c r="E1186" s="569" t="s">
        <v>1516</v>
      </c>
      <c r="F1186" s="569" t="s">
        <v>1684</v>
      </c>
      <c r="G1186" s="569" t="s">
        <v>271</v>
      </c>
      <c r="H1186" s="569">
        <v>2019</v>
      </c>
      <c r="I1186" s="569" t="s">
        <v>2382</v>
      </c>
      <c r="J1186" s="569" t="s">
        <v>1686</v>
      </c>
      <c r="K1186" s="569" t="s">
        <v>236</v>
      </c>
      <c r="L1186" s="569">
        <v>2</v>
      </c>
      <c r="M1186" s="569">
        <v>0</v>
      </c>
      <c r="N1186" s="569" t="s">
        <v>157</v>
      </c>
      <c r="O1186" s="569">
        <v>1</v>
      </c>
      <c r="P1186" s="569">
        <v>86.5</v>
      </c>
      <c r="Q1186" s="568" t="s">
        <v>157</v>
      </c>
      <c r="R1186" s="569" t="s">
        <v>682</v>
      </c>
      <c r="S1186" s="569">
        <v>6</v>
      </c>
      <c r="T1186" s="569" t="s">
        <v>2386</v>
      </c>
      <c r="U1186" s="569" t="s">
        <v>2166</v>
      </c>
      <c r="V1186" s="569">
        <v>178</v>
      </c>
      <c r="W1186" s="569">
        <v>25</v>
      </c>
      <c r="X1186" s="568">
        <v>10360</v>
      </c>
      <c r="Y1186" s="569" t="s">
        <v>164</v>
      </c>
      <c r="Z1186" s="581" t="s">
        <v>178</v>
      </c>
      <c r="AA1186" s="581" t="s">
        <v>178</v>
      </c>
      <c r="AB1186" s="585">
        <v>34550</v>
      </c>
      <c r="AC1186" s="585" t="s">
        <v>164</v>
      </c>
      <c r="AD1186" s="585">
        <v>25422.583333333336</v>
      </c>
      <c r="AE1186" s="587">
        <v>0.03</v>
      </c>
      <c r="AF1186" s="661" t="str">
        <f t="shared" si="129"/>
        <v>2019-LVN-FRD-T3CC-008-27</v>
      </c>
      <c r="AG1186" s="661" t="str">
        <f>IF(AND($Y1186&gt;=32,(AI1186="I"),(Y1186&lt;&gt;"~"),(COUNTIF($AN$1:$AN1186,$AN1186)=1)),"TRUE","FALSE")</f>
        <v>FALSE</v>
      </c>
      <c r="AH1186" s="661" t="str">
        <f>IF(AND($Y1186&gt;=22, (AI1186&lt;&gt;"I"),(Y1186&lt;&gt;"~"),(COUNTIF($AN$1:$AN1186,$AN1186)=1)),"TRUE","FALSE")</f>
        <v>FALSE</v>
      </c>
      <c r="AI1186" s="661" t="str">
        <f t="shared" si="131"/>
        <v>N/A</v>
      </c>
      <c r="AJ1186" s="662" t="str">
        <f t="shared" si="125"/>
        <v>T3CC-008</v>
      </c>
      <c r="AK1186" s="662" t="str">
        <f t="shared" si="126"/>
        <v>LVN</v>
      </c>
      <c r="AL1186" s="662" t="str">
        <f t="shared" si="127"/>
        <v>FRD</v>
      </c>
      <c r="AM1186" s="662" t="str">
        <f t="shared" si="130"/>
        <v>Transit 350 Chassis Cab-DRW-RWD-2-86.5-~-3.7L-6-S9Z-701A-178-25-Unleaded-Unleaded</v>
      </c>
      <c r="AN1186" s="662" t="str">
        <f t="shared" si="128"/>
        <v>2019-LVN-FRD-T3CC-008</v>
      </c>
    </row>
    <row r="1187" spans="1:40" s="572" customFormat="1" ht="30">
      <c r="A1187" s="570" t="s">
        <v>2435</v>
      </c>
      <c r="B1187" s="573" t="s">
        <v>2398</v>
      </c>
      <c r="C1187" s="573" t="s">
        <v>280</v>
      </c>
      <c r="D1187" s="578">
        <v>27</v>
      </c>
      <c r="E1187" s="573" t="s">
        <v>1516</v>
      </c>
      <c r="F1187" s="573" t="s">
        <v>1684</v>
      </c>
      <c r="G1187" s="573" t="s">
        <v>271</v>
      </c>
      <c r="H1187" s="573">
        <v>2019</v>
      </c>
      <c r="I1187" s="573" t="s">
        <v>2382</v>
      </c>
      <c r="J1187" s="573" t="s">
        <v>1686</v>
      </c>
      <c r="K1187" s="573" t="s">
        <v>236</v>
      </c>
      <c r="L1187" s="573">
        <v>2</v>
      </c>
      <c r="M1187" s="573">
        <v>0</v>
      </c>
      <c r="N1187" s="573" t="s">
        <v>157</v>
      </c>
      <c r="O1187" s="573">
        <v>1</v>
      </c>
      <c r="P1187" s="573">
        <v>86.8</v>
      </c>
      <c r="Q1187" s="571" t="s">
        <v>157</v>
      </c>
      <c r="R1187" s="573" t="s">
        <v>1917</v>
      </c>
      <c r="S1187" s="573">
        <v>5</v>
      </c>
      <c r="T1187" s="573" t="s">
        <v>2399</v>
      </c>
      <c r="U1187" s="573" t="s">
        <v>2166</v>
      </c>
      <c r="V1187" s="573">
        <v>138</v>
      </c>
      <c r="W1187" s="573">
        <v>25</v>
      </c>
      <c r="X1187" s="571">
        <v>10360</v>
      </c>
      <c r="Y1187" s="569" t="s">
        <v>164</v>
      </c>
      <c r="Z1187" s="579" t="s">
        <v>728</v>
      </c>
      <c r="AA1187" s="579" t="s">
        <v>1523</v>
      </c>
      <c r="AB1187" s="584">
        <v>37345</v>
      </c>
      <c r="AC1187" s="584" t="s">
        <v>164</v>
      </c>
      <c r="AD1187" s="584">
        <v>27875.25</v>
      </c>
      <c r="AE1187" s="586">
        <v>0.03</v>
      </c>
      <c r="AF1187" s="661" t="str">
        <f t="shared" si="129"/>
        <v>2019-LVN-FRD-T3CC-010-27</v>
      </c>
      <c r="AG1187" s="661" t="str">
        <f>IF(AND($Y1187&gt;=32,(AI1187="I"),(Y1187&lt;&gt;"~"),(COUNTIF($AN$1:$AN1187,$AN1187)=1)),"TRUE","FALSE")</f>
        <v>FALSE</v>
      </c>
      <c r="AH1187" s="661" t="str">
        <f>IF(AND($Y1187&gt;=22, (AI1187&lt;&gt;"I"),(Y1187&lt;&gt;"~"),(COUNTIF($AN$1:$AN1187,$AN1187)=1)),"TRUE","FALSE")</f>
        <v>FALSE</v>
      </c>
      <c r="AI1187" s="661" t="str">
        <f t="shared" si="131"/>
        <v>N/A</v>
      </c>
      <c r="AJ1187" s="662" t="str">
        <f t="shared" si="125"/>
        <v>T3CC-010</v>
      </c>
      <c r="AK1187" s="662" t="str">
        <f t="shared" si="126"/>
        <v>LVN</v>
      </c>
      <c r="AL1187" s="662" t="str">
        <f t="shared" si="127"/>
        <v>FRD</v>
      </c>
      <c r="AM1187" s="662" t="str">
        <f t="shared" si="130"/>
        <v>Transit 350 Chassis Cab-DRW-RWD-2-86.8-~-3.2L-5-S6Z-701A-138-25-Diesel-BioDiesel</v>
      </c>
      <c r="AN1187" s="662" t="str">
        <f t="shared" si="128"/>
        <v>2019-LVN-FRD-T3CC-010</v>
      </c>
    </row>
    <row r="1188" spans="1:40" s="572" customFormat="1" ht="30">
      <c r="A1188" s="570" t="s">
        <v>2436</v>
      </c>
      <c r="B1188" s="569" t="s">
        <v>2401</v>
      </c>
      <c r="C1188" s="569" t="s">
        <v>280</v>
      </c>
      <c r="D1188" s="580">
        <v>27</v>
      </c>
      <c r="E1188" s="569" t="s">
        <v>1516</v>
      </c>
      <c r="F1188" s="569" t="s">
        <v>1684</v>
      </c>
      <c r="G1188" s="569" t="s">
        <v>271</v>
      </c>
      <c r="H1188" s="569">
        <v>2019</v>
      </c>
      <c r="I1188" s="569" t="s">
        <v>2382</v>
      </c>
      <c r="J1188" s="569" t="s">
        <v>1686</v>
      </c>
      <c r="K1188" s="569" t="s">
        <v>236</v>
      </c>
      <c r="L1188" s="569">
        <v>2</v>
      </c>
      <c r="M1188" s="569">
        <v>0</v>
      </c>
      <c r="N1188" s="569" t="s">
        <v>157</v>
      </c>
      <c r="O1188" s="569">
        <v>1</v>
      </c>
      <c r="P1188" s="569">
        <v>86.8</v>
      </c>
      <c r="Q1188" s="568" t="s">
        <v>157</v>
      </c>
      <c r="R1188" s="569" t="s">
        <v>682</v>
      </c>
      <c r="S1188" s="569">
        <v>6</v>
      </c>
      <c r="T1188" s="569" t="s">
        <v>2402</v>
      </c>
      <c r="U1188" s="569" t="s">
        <v>2166</v>
      </c>
      <c r="V1188" s="569">
        <v>138</v>
      </c>
      <c r="W1188" s="569">
        <v>25</v>
      </c>
      <c r="X1188" s="568">
        <v>9950</v>
      </c>
      <c r="Y1188" s="573">
        <v>12</v>
      </c>
      <c r="Z1188" s="581" t="s">
        <v>178</v>
      </c>
      <c r="AA1188" s="581" t="s">
        <v>178</v>
      </c>
      <c r="AB1188" s="585">
        <v>33100</v>
      </c>
      <c r="AC1188" s="585" t="s">
        <v>164</v>
      </c>
      <c r="AD1188" s="585">
        <v>24097.583333333336</v>
      </c>
      <c r="AE1188" s="587">
        <v>0.03</v>
      </c>
      <c r="AF1188" s="661" t="str">
        <f t="shared" si="129"/>
        <v>2019-LVN-FRD-T3CC-011-27</v>
      </c>
      <c r="AG1188" s="661" t="str">
        <f>IF(AND($Y1188&gt;=32,(AI1188="I"),(Y1188&lt;&gt;"~"),(COUNTIF($AN$1:$AN1188,$AN1188)=1)),"TRUE","FALSE")</f>
        <v>FALSE</v>
      </c>
      <c r="AH1188" s="661" t="str">
        <f>IF(AND($Y1188&gt;=22, (AI1188&lt;&gt;"I"),(Y1188&lt;&gt;"~"),(COUNTIF($AN$1:$AN1188,$AN1188)=1)),"TRUE","FALSE")</f>
        <v>FALSE</v>
      </c>
      <c r="AI1188" s="661" t="str">
        <f t="shared" si="131"/>
        <v>II</v>
      </c>
      <c r="AJ1188" s="662" t="str">
        <f t="shared" si="125"/>
        <v>T3CC-011</v>
      </c>
      <c r="AK1188" s="662" t="str">
        <f t="shared" si="126"/>
        <v>LVN</v>
      </c>
      <c r="AL1188" s="662" t="str">
        <f t="shared" si="127"/>
        <v>FRD</v>
      </c>
      <c r="AM1188" s="662" t="str">
        <f t="shared" si="130"/>
        <v>Transit 350 Chassis Cab-DRW-RWD-2-86.8-~-3.7L-6-F6Z-701A-138-25-Unleaded-Unleaded</v>
      </c>
      <c r="AN1188" s="662" t="str">
        <f t="shared" si="128"/>
        <v>2019-LVN-FRD-T3CC-011</v>
      </c>
    </row>
    <row r="1189" spans="1:40" s="572" customFormat="1" ht="30">
      <c r="A1189" s="570" t="s">
        <v>2437</v>
      </c>
      <c r="B1189" s="573" t="s">
        <v>2404</v>
      </c>
      <c r="C1189" s="573" t="s">
        <v>280</v>
      </c>
      <c r="D1189" s="578">
        <v>27</v>
      </c>
      <c r="E1189" s="573" t="s">
        <v>1516</v>
      </c>
      <c r="F1189" s="573" t="s">
        <v>1684</v>
      </c>
      <c r="G1189" s="573" t="s">
        <v>271</v>
      </c>
      <c r="H1189" s="573">
        <v>2019</v>
      </c>
      <c r="I1189" s="573" t="s">
        <v>2382</v>
      </c>
      <c r="J1189" s="573" t="s">
        <v>1686</v>
      </c>
      <c r="K1189" s="573" t="s">
        <v>236</v>
      </c>
      <c r="L1189" s="573">
        <v>2</v>
      </c>
      <c r="M1189" s="573">
        <v>0</v>
      </c>
      <c r="N1189" s="573" t="s">
        <v>157</v>
      </c>
      <c r="O1189" s="573">
        <v>1</v>
      </c>
      <c r="P1189" s="573">
        <v>86.8</v>
      </c>
      <c r="Q1189" s="571" t="s">
        <v>157</v>
      </c>
      <c r="R1189" s="573" t="s">
        <v>682</v>
      </c>
      <c r="S1189" s="573">
        <v>6</v>
      </c>
      <c r="T1189" s="573" t="s">
        <v>2399</v>
      </c>
      <c r="U1189" s="573" t="s">
        <v>2166</v>
      </c>
      <c r="V1189" s="573">
        <v>138</v>
      </c>
      <c r="W1189" s="573">
        <v>25</v>
      </c>
      <c r="X1189" s="571">
        <v>10360</v>
      </c>
      <c r="Y1189" s="569" t="s">
        <v>164</v>
      </c>
      <c r="Z1189" s="579" t="s">
        <v>178</v>
      </c>
      <c r="AA1189" s="579" t="s">
        <v>178</v>
      </c>
      <c r="AB1189" s="584">
        <v>33350</v>
      </c>
      <c r="AC1189" s="584" t="s">
        <v>164</v>
      </c>
      <c r="AD1189" s="584">
        <v>24325.708333333336</v>
      </c>
      <c r="AE1189" s="586">
        <v>0.03</v>
      </c>
      <c r="AF1189" s="661" t="str">
        <f t="shared" si="129"/>
        <v>2019-LVN-FRD-T3CC-012-27</v>
      </c>
      <c r="AG1189" s="661" t="str">
        <f>IF(AND($Y1189&gt;=32,(AI1189="I"),(Y1189&lt;&gt;"~"),(COUNTIF($AN$1:$AN1189,$AN1189)=1)),"TRUE","FALSE")</f>
        <v>FALSE</v>
      </c>
      <c r="AH1189" s="661" t="str">
        <f>IF(AND($Y1189&gt;=22, (AI1189&lt;&gt;"I"),(Y1189&lt;&gt;"~"),(COUNTIF($AN$1:$AN1189,$AN1189)=1)),"TRUE","FALSE")</f>
        <v>FALSE</v>
      </c>
      <c r="AI1189" s="661" t="str">
        <f t="shared" si="131"/>
        <v>N/A</v>
      </c>
      <c r="AJ1189" s="662" t="str">
        <f t="shared" si="125"/>
        <v>T3CC-012</v>
      </c>
      <c r="AK1189" s="662" t="str">
        <f t="shared" si="126"/>
        <v>LVN</v>
      </c>
      <c r="AL1189" s="662" t="str">
        <f t="shared" si="127"/>
        <v>FRD</v>
      </c>
      <c r="AM1189" s="662" t="str">
        <f t="shared" si="130"/>
        <v>Transit 350 Chassis Cab-DRW-RWD-2-86.8-~-3.7L-6-S6Z-701A-138-25-Unleaded-Unleaded</v>
      </c>
      <c r="AN1189" s="662" t="str">
        <f t="shared" si="128"/>
        <v>2019-LVN-FRD-T3CC-012</v>
      </c>
    </row>
    <row r="1190" spans="1:40" s="572" customFormat="1" ht="30">
      <c r="A1190" s="570" t="s">
        <v>2438</v>
      </c>
      <c r="B1190" s="569" t="s">
        <v>2439</v>
      </c>
      <c r="C1190" s="569" t="s">
        <v>269</v>
      </c>
      <c r="D1190" s="580" t="s">
        <v>270</v>
      </c>
      <c r="E1190" s="569" t="s">
        <v>1516</v>
      </c>
      <c r="F1190" s="569" t="s">
        <v>1684</v>
      </c>
      <c r="G1190" s="569" t="s">
        <v>271</v>
      </c>
      <c r="H1190" s="569">
        <v>2019</v>
      </c>
      <c r="I1190" s="569" t="s">
        <v>2382</v>
      </c>
      <c r="J1190" s="569" t="s">
        <v>1757</v>
      </c>
      <c r="K1190" s="569" t="s">
        <v>236</v>
      </c>
      <c r="L1190" s="569">
        <v>2</v>
      </c>
      <c r="M1190" s="569">
        <v>0</v>
      </c>
      <c r="N1190" s="569" t="s">
        <v>157</v>
      </c>
      <c r="O1190" s="569">
        <v>1</v>
      </c>
      <c r="P1190" s="569">
        <v>87.3</v>
      </c>
      <c r="Q1190" s="568" t="s">
        <v>157</v>
      </c>
      <c r="R1190" s="569" t="s">
        <v>682</v>
      </c>
      <c r="S1190" s="569">
        <v>6</v>
      </c>
      <c r="T1190" s="569" t="s">
        <v>2440</v>
      </c>
      <c r="U1190" s="569" t="s">
        <v>2166</v>
      </c>
      <c r="V1190" s="569">
        <v>138</v>
      </c>
      <c r="W1190" s="569">
        <v>25</v>
      </c>
      <c r="X1190" s="568">
        <v>9500</v>
      </c>
      <c r="Y1190" s="573">
        <v>12</v>
      </c>
      <c r="Z1190" s="581" t="s">
        <v>178</v>
      </c>
      <c r="AA1190" s="581" t="s">
        <v>178</v>
      </c>
      <c r="AB1190" s="585">
        <v>32150</v>
      </c>
      <c r="AC1190" s="585" t="s">
        <v>164</v>
      </c>
      <c r="AD1190" s="585">
        <v>23228.833333333336</v>
      </c>
      <c r="AE1190" s="587">
        <v>0.03</v>
      </c>
      <c r="AF1190" s="661" t="str">
        <f t="shared" si="129"/>
        <v>2019-LVN-FRD-T3CC-014-05</v>
      </c>
      <c r="AG1190" s="661" t="str">
        <f>IF(AND($Y1190&gt;=32,(AI1190="I"),(Y1190&lt;&gt;"~"),(COUNTIF($AN$1:$AN1190,$AN1190)=1)),"TRUE","FALSE")</f>
        <v>FALSE</v>
      </c>
      <c r="AH1190" s="661" t="str">
        <f>IF(AND($Y1190&gt;=22, (AI1190&lt;&gt;"I"),(Y1190&lt;&gt;"~"),(COUNTIF($AN$1:$AN1190,$AN1190)=1)),"TRUE","FALSE")</f>
        <v>FALSE</v>
      </c>
      <c r="AI1190" s="661" t="str">
        <f t="shared" si="131"/>
        <v>II</v>
      </c>
      <c r="AJ1190" s="662" t="str">
        <f t="shared" si="125"/>
        <v>T3CC-014</v>
      </c>
      <c r="AK1190" s="662" t="str">
        <f t="shared" si="126"/>
        <v>LVN</v>
      </c>
      <c r="AL1190" s="662" t="str">
        <f t="shared" si="127"/>
        <v>FRD</v>
      </c>
      <c r="AM1190" s="662" t="str">
        <f t="shared" si="130"/>
        <v>Transit 350 Chassis Cab-SRW-RWD-2-87.3-~-3.7L-6-W5Z-701A-138-25-Unleaded-Unleaded</v>
      </c>
      <c r="AN1190" s="662" t="str">
        <f t="shared" si="128"/>
        <v>2019-LVN-FRD-T3CC-014</v>
      </c>
    </row>
    <row r="1191" spans="1:40" s="572" customFormat="1" ht="30">
      <c r="A1191" s="570" t="s">
        <v>2441</v>
      </c>
      <c r="B1191" s="573" t="s">
        <v>2442</v>
      </c>
      <c r="C1191" s="573" t="s">
        <v>269</v>
      </c>
      <c r="D1191" s="578" t="s">
        <v>270</v>
      </c>
      <c r="E1191" s="573" t="s">
        <v>1516</v>
      </c>
      <c r="F1191" s="573" t="s">
        <v>1684</v>
      </c>
      <c r="G1191" s="573" t="s">
        <v>271</v>
      </c>
      <c r="H1191" s="573">
        <v>2019</v>
      </c>
      <c r="I1191" s="573" t="s">
        <v>2382</v>
      </c>
      <c r="J1191" s="573" t="s">
        <v>1757</v>
      </c>
      <c r="K1191" s="573" t="s">
        <v>236</v>
      </c>
      <c r="L1191" s="573">
        <v>2</v>
      </c>
      <c r="M1191" s="573">
        <v>0</v>
      </c>
      <c r="N1191" s="573" t="s">
        <v>157</v>
      </c>
      <c r="O1191" s="573">
        <v>1</v>
      </c>
      <c r="P1191" s="573">
        <v>87</v>
      </c>
      <c r="Q1191" s="571" t="s">
        <v>157</v>
      </c>
      <c r="R1191" s="573" t="s">
        <v>682</v>
      </c>
      <c r="S1191" s="573">
        <v>6</v>
      </c>
      <c r="T1191" s="573" t="s">
        <v>2443</v>
      </c>
      <c r="U1191" s="573" t="s">
        <v>2166</v>
      </c>
      <c r="V1191" s="573">
        <v>156</v>
      </c>
      <c r="W1191" s="573">
        <v>25</v>
      </c>
      <c r="X1191" s="571">
        <v>9500</v>
      </c>
      <c r="Y1191" s="573">
        <v>12</v>
      </c>
      <c r="Z1191" s="579" t="s">
        <v>178</v>
      </c>
      <c r="AA1191" s="579" t="s">
        <v>178</v>
      </c>
      <c r="AB1191" s="584">
        <v>32350</v>
      </c>
      <c r="AC1191" s="584" t="s">
        <v>164</v>
      </c>
      <c r="AD1191" s="584">
        <v>23412.166666666668</v>
      </c>
      <c r="AE1191" s="586">
        <v>0.03</v>
      </c>
      <c r="AF1191" s="661" t="str">
        <f t="shared" si="129"/>
        <v>2019-LVN-FRD-T3CC-016-05</v>
      </c>
      <c r="AG1191" s="661" t="str">
        <f>IF(AND($Y1191&gt;=32,(AI1191="I"),(Y1191&lt;&gt;"~"),(COUNTIF($AN$1:$AN1191,$AN1191)=1)),"TRUE","FALSE")</f>
        <v>FALSE</v>
      </c>
      <c r="AH1191" s="661" t="str">
        <f>IF(AND($Y1191&gt;=22, (AI1191&lt;&gt;"I"),(Y1191&lt;&gt;"~"),(COUNTIF($AN$1:$AN1191,$AN1191)=1)),"TRUE","FALSE")</f>
        <v>FALSE</v>
      </c>
      <c r="AI1191" s="661" t="str">
        <f t="shared" si="131"/>
        <v>II</v>
      </c>
      <c r="AJ1191" s="662" t="str">
        <f t="shared" si="125"/>
        <v>T3CC-016</v>
      </c>
      <c r="AK1191" s="662" t="str">
        <f t="shared" si="126"/>
        <v>LVN</v>
      </c>
      <c r="AL1191" s="662" t="str">
        <f t="shared" si="127"/>
        <v>FRD</v>
      </c>
      <c r="AM1191" s="662" t="str">
        <f t="shared" si="130"/>
        <v>Transit 350 Chassis Cab-SRW-RWD-2-87-~-3.7L-6-W7Z-701A-156-25-Unleaded-Unleaded</v>
      </c>
      <c r="AN1191" s="662" t="str">
        <f t="shared" si="128"/>
        <v>2019-LVN-FRD-T3CC-016</v>
      </c>
    </row>
    <row r="1192" spans="1:40" s="572" customFormat="1" ht="30">
      <c r="A1192" s="570" t="s">
        <v>2444</v>
      </c>
      <c r="B1192" s="569" t="s">
        <v>2439</v>
      </c>
      <c r="C1192" s="569" t="s">
        <v>278</v>
      </c>
      <c r="D1192" s="580">
        <v>15</v>
      </c>
      <c r="E1192" s="569" t="s">
        <v>1516</v>
      </c>
      <c r="F1192" s="569" t="s">
        <v>1684</v>
      </c>
      <c r="G1192" s="569" t="s">
        <v>271</v>
      </c>
      <c r="H1192" s="569">
        <v>2019</v>
      </c>
      <c r="I1192" s="569" t="s">
        <v>2382</v>
      </c>
      <c r="J1192" s="569" t="s">
        <v>1757</v>
      </c>
      <c r="K1192" s="569" t="s">
        <v>236</v>
      </c>
      <c r="L1192" s="569">
        <v>2</v>
      </c>
      <c r="M1192" s="569">
        <v>0</v>
      </c>
      <c r="N1192" s="569" t="s">
        <v>157</v>
      </c>
      <c r="O1192" s="569">
        <v>1</v>
      </c>
      <c r="P1192" s="569">
        <v>87.3</v>
      </c>
      <c r="Q1192" s="568" t="s">
        <v>157</v>
      </c>
      <c r="R1192" s="569" t="s">
        <v>682</v>
      </c>
      <c r="S1192" s="569">
        <v>6</v>
      </c>
      <c r="T1192" s="569" t="s">
        <v>2440</v>
      </c>
      <c r="U1192" s="569" t="s">
        <v>2166</v>
      </c>
      <c r="V1192" s="569">
        <v>138</v>
      </c>
      <c r="W1192" s="569">
        <v>25</v>
      </c>
      <c r="X1192" s="568">
        <v>9500</v>
      </c>
      <c r="Y1192" s="573">
        <v>12</v>
      </c>
      <c r="Z1192" s="581" t="s">
        <v>178</v>
      </c>
      <c r="AA1192" s="581" t="s">
        <v>178</v>
      </c>
      <c r="AB1192" s="585">
        <v>32150</v>
      </c>
      <c r="AC1192" s="585" t="s">
        <v>164</v>
      </c>
      <c r="AD1192" s="585">
        <v>23700</v>
      </c>
      <c r="AE1192" s="587">
        <v>0.01</v>
      </c>
      <c r="AF1192" s="661" t="str">
        <f t="shared" si="129"/>
        <v>2019-LVN-FRD-T3CC-014-15</v>
      </c>
      <c r="AG1192" s="661" t="str">
        <f>IF(AND($Y1192&gt;=32,(AI1192="I"),(Y1192&lt;&gt;"~"),(COUNTIF($AN$1:$AN1192,$AN1192)=1)),"TRUE","FALSE")</f>
        <v>FALSE</v>
      </c>
      <c r="AH1192" s="661" t="str">
        <f>IF(AND($Y1192&gt;=22, (AI1192&lt;&gt;"I"),(Y1192&lt;&gt;"~"),(COUNTIF($AN$1:$AN1192,$AN1192)=1)),"TRUE","FALSE")</f>
        <v>FALSE</v>
      </c>
      <c r="AI1192" s="661" t="str">
        <f t="shared" si="131"/>
        <v>II</v>
      </c>
      <c r="AJ1192" s="662" t="str">
        <f t="shared" si="125"/>
        <v>T3CC-014</v>
      </c>
      <c r="AK1192" s="662" t="str">
        <f t="shared" si="126"/>
        <v>LVN</v>
      </c>
      <c r="AL1192" s="662" t="str">
        <f t="shared" si="127"/>
        <v>FRD</v>
      </c>
      <c r="AM1192" s="662" t="str">
        <f t="shared" si="130"/>
        <v>Transit 350 Chassis Cab-SRW-RWD-2-87.3-~-3.7L-6-W5Z-701A-138-25-Unleaded-Unleaded</v>
      </c>
      <c r="AN1192" s="662" t="str">
        <f t="shared" si="128"/>
        <v>2019-LVN-FRD-T3CC-014</v>
      </c>
    </row>
    <row r="1193" spans="1:40" s="572" customFormat="1" ht="30">
      <c r="A1193" s="570" t="s">
        <v>2445</v>
      </c>
      <c r="B1193" s="573" t="s">
        <v>2442</v>
      </c>
      <c r="C1193" s="573" t="s">
        <v>278</v>
      </c>
      <c r="D1193" s="578">
        <v>15</v>
      </c>
      <c r="E1193" s="573" t="s">
        <v>1516</v>
      </c>
      <c r="F1193" s="573" t="s">
        <v>1684</v>
      </c>
      <c r="G1193" s="573" t="s">
        <v>271</v>
      </c>
      <c r="H1193" s="573">
        <v>2019</v>
      </c>
      <c r="I1193" s="573" t="s">
        <v>2382</v>
      </c>
      <c r="J1193" s="573" t="s">
        <v>1757</v>
      </c>
      <c r="K1193" s="573" t="s">
        <v>236</v>
      </c>
      <c r="L1193" s="573">
        <v>2</v>
      </c>
      <c r="M1193" s="573">
        <v>0</v>
      </c>
      <c r="N1193" s="573" t="s">
        <v>157</v>
      </c>
      <c r="O1193" s="573">
        <v>1</v>
      </c>
      <c r="P1193" s="573">
        <v>87</v>
      </c>
      <c r="Q1193" s="571" t="s">
        <v>157</v>
      </c>
      <c r="R1193" s="573" t="s">
        <v>682</v>
      </c>
      <c r="S1193" s="573">
        <v>6</v>
      </c>
      <c r="T1193" s="573" t="s">
        <v>2443</v>
      </c>
      <c r="U1193" s="573" t="s">
        <v>2166</v>
      </c>
      <c r="V1193" s="573">
        <v>156</v>
      </c>
      <c r="W1193" s="573">
        <v>25</v>
      </c>
      <c r="X1193" s="571">
        <v>9500</v>
      </c>
      <c r="Y1193" s="573">
        <v>12</v>
      </c>
      <c r="Z1193" s="579" t="s">
        <v>178</v>
      </c>
      <c r="AA1193" s="579" t="s">
        <v>178</v>
      </c>
      <c r="AB1193" s="584">
        <v>32350</v>
      </c>
      <c r="AC1193" s="584" t="s">
        <v>164</v>
      </c>
      <c r="AD1193" s="584">
        <v>23900</v>
      </c>
      <c r="AE1193" s="586">
        <v>0.01</v>
      </c>
      <c r="AF1193" s="661" t="str">
        <f t="shared" si="129"/>
        <v>2019-LVN-FRD-T3CC-016-15</v>
      </c>
      <c r="AG1193" s="661" t="str">
        <f>IF(AND($Y1193&gt;=32,(AI1193="I"),(Y1193&lt;&gt;"~"),(COUNTIF($AN$1:$AN1193,$AN1193)=1)),"TRUE","FALSE")</f>
        <v>FALSE</v>
      </c>
      <c r="AH1193" s="661" t="str">
        <f>IF(AND($Y1193&gt;=22, (AI1193&lt;&gt;"I"),(Y1193&lt;&gt;"~"),(COUNTIF($AN$1:$AN1193,$AN1193)=1)),"TRUE","FALSE")</f>
        <v>FALSE</v>
      </c>
      <c r="AI1193" s="661" t="str">
        <f t="shared" si="131"/>
        <v>II</v>
      </c>
      <c r="AJ1193" s="662" t="str">
        <f t="shared" si="125"/>
        <v>T3CC-016</v>
      </c>
      <c r="AK1193" s="662" t="str">
        <f t="shared" si="126"/>
        <v>LVN</v>
      </c>
      <c r="AL1193" s="662" t="str">
        <f t="shared" si="127"/>
        <v>FRD</v>
      </c>
      <c r="AM1193" s="662" t="str">
        <f t="shared" si="130"/>
        <v>Transit 350 Chassis Cab-SRW-RWD-2-87-~-3.7L-6-W7Z-701A-156-25-Unleaded-Unleaded</v>
      </c>
      <c r="AN1193" s="662" t="str">
        <f t="shared" si="128"/>
        <v>2019-LVN-FRD-T3CC-016</v>
      </c>
    </row>
    <row r="1194" spans="1:40" s="572" customFormat="1" ht="30">
      <c r="A1194" s="570" t="s">
        <v>2446</v>
      </c>
      <c r="B1194" s="569" t="s">
        <v>2447</v>
      </c>
      <c r="C1194" s="569" t="s">
        <v>287</v>
      </c>
      <c r="D1194" s="580">
        <v>26</v>
      </c>
      <c r="E1194" s="569" t="s">
        <v>1516</v>
      </c>
      <c r="F1194" s="569" t="s">
        <v>1684</v>
      </c>
      <c r="G1194" s="569" t="s">
        <v>271</v>
      </c>
      <c r="H1194" s="569">
        <v>2019</v>
      </c>
      <c r="I1194" s="569" t="s">
        <v>2382</v>
      </c>
      <c r="J1194" s="569" t="s">
        <v>1757</v>
      </c>
      <c r="K1194" s="569" t="s">
        <v>236</v>
      </c>
      <c r="L1194" s="569">
        <v>2</v>
      </c>
      <c r="M1194" s="569">
        <v>0</v>
      </c>
      <c r="N1194" s="569" t="s">
        <v>157</v>
      </c>
      <c r="O1194" s="569">
        <v>1</v>
      </c>
      <c r="P1194" s="569">
        <v>87.3</v>
      </c>
      <c r="Q1194" s="568" t="s">
        <v>157</v>
      </c>
      <c r="R1194" s="569" t="s">
        <v>1917</v>
      </c>
      <c r="S1194" s="569">
        <v>5</v>
      </c>
      <c r="T1194" s="569" t="s">
        <v>2440</v>
      </c>
      <c r="U1194" s="569" t="s">
        <v>2166</v>
      </c>
      <c r="V1194" s="569">
        <v>138</v>
      </c>
      <c r="W1194" s="569">
        <v>25</v>
      </c>
      <c r="X1194" s="568">
        <v>9500</v>
      </c>
      <c r="Y1194" s="573">
        <v>12</v>
      </c>
      <c r="Z1194" s="581" t="s">
        <v>728</v>
      </c>
      <c r="AA1194" s="581" t="s">
        <v>1523</v>
      </c>
      <c r="AB1194" s="585">
        <v>36145</v>
      </c>
      <c r="AC1194" s="585" t="s">
        <v>164</v>
      </c>
      <c r="AD1194" s="585">
        <v>27555</v>
      </c>
      <c r="AE1194" s="587">
        <v>0.05</v>
      </c>
      <c r="AF1194" s="661" t="str">
        <f t="shared" si="129"/>
        <v>2019-LVN-FRD-T3CC-013-26</v>
      </c>
      <c r="AG1194" s="661" t="str">
        <f>IF(AND($Y1194&gt;=32,(AI1194="I"),(Y1194&lt;&gt;"~"),(COUNTIF($AN$1:$AN1194,$AN1194)=1)),"TRUE","FALSE")</f>
        <v>FALSE</v>
      </c>
      <c r="AH1194" s="661" t="str">
        <f>IF(AND($Y1194&gt;=22, (AI1194&lt;&gt;"I"),(Y1194&lt;&gt;"~"),(COUNTIF($AN$1:$AN1194,$AN1194)=1)),"TRUE","FALSE")</f>
        <v>FALSE</v>
      </c>
      <c r="AI1194" s="661" t="str">
        <f t="shared" si="131"/>
        <v>II</v>
      </c>
      <c r="AJ1194" s="662" t="str">
        <f t="shared" si="125"/>
        <v>T3CC-013</v>
      </c>
      <c r="AK1194" s="662" t="str">
        <f t="shared" si="126"/>
        <v>LVN</v>
      </c>
      <c r="AL1194" s="662" t="str">
        <f t="shared" si="127"/>
        <v>FRD</v>
      </c>
      <c r="AM1194" s="662" t="str">
        <f t="shared" si="130"/>
        <v>Transit 350 Chassis Cab-SRW-RWD-2-87.3-~-3.2L-5-W5Z-701A-138-25-Diesel-BioDiesel</v>
      </c>
      <c r="AN1194" s="662" t="str">
        <f t="shared" si="128"/>
        <v>2019-LVN-FRD-T3CC-013</v>
      </c>
    </row>
    <row r="1195" spans="1:40" s="572" customFormat="1" ht="30">
      <c r="A1195" s="570" t="s">
        <v>2448</v>
      </c>
      <c r="B1195" s="573" t="s">
        <v>2439</v>
      </c>
      <c r="C1195" s="573" t="s">
        <v>287</v>
      </c>
      <c r="D1195" s="578">
        <v>26</v>
      </c>
      <c r="E1195" s="573" t="s">
        <v>1516</v>
      </c>
      <c r="F1195" s="573" t="s">
        <v>1684</v>
      </c>
      <c r="G1195" s="573" t="s">
        <v>271</v>
      </c>
      <c r="H1195" s="573">
        <v>2019</v>
      </c>
      <c r="I1195" s="573" t="s">
        <v>2382</v>
      </c>
      <c r="J1195" s="573" t="s">
        <v>1757</v>
      </c>
      <c r="K1195" s="573" t="s">
        <v>236</v>
      </c>
      <c r="L1195" s="573">
        <v>2</v>
      </c>
      <c r="M1195" s="573">
        <v>0</v>
      </c>
      <c r="N1195" s="573" t="s">
        <v>157</v>
      </c>
      <c r="O1195" s="573">
        <v>1</v>
      </c>
      <c r="P1195" s="573">
        <v>87.3</v>
      </c>
      <c r="Q1195" s="571" t="s">
        <v>157</v>
      </c>
      <c r="R1195" s="573" t="s">
        <v>682</v>
      </c>
      <c r="S1195" s="573">
        <v>6</v>
      </c>
      <c r="T1195" s="573" t="s">
        <v>2440</v>
      </c>
      <c r="U1195" s="573" t="s">
        <v>2166</v>
      </c>
      <c r="V1195" s="573">
        <v>138</v>
      </c>
      <c r="W1195" s="573">
        <v>25</v>
      </c>
      <c r="X1195" s="571">
        <v>9500</v>
      </c>
      <c r="Y1195" s="573">
        <v>12</v>
      </c>
      <c r="Z1195" s="579" t="s">
        <v>178</v>
      </c>
      <c r="AA1195" s="579" t="s">
        <v>178</v>
      </c>
      <c r="AB1195" s="584">
        <v>32150</v>
      </c>
      <c r="AC1195" s="584" t="s">
        <v>164</v>
      </c>
      <c r="AD1195" s="584">
        <v>23917</v>
      </c>
      <c r="AE1195" s="586">
        <v>0.05</v>
      </c>
      <c r="AF1195" s="661" t="str">
        <f t="shared" si="129"/>
        <v>2019-LVN-FRD-T3CC-014-26</v>
      </c>
      <c r="AG1195" s="661" t="str">
        <f>IF(AND($Y1195&gt;=32,(AI1195="I"),(Y1195&lt;&gt;"~"),(COUNTIF($AN$1:$AN1195,$AN1195)=1)),"TRUE","FALSE")</f>
        <v>FALSE</v>
      </c>
      <c r="AH1195" s="661" t="str">
        <f>IF(AND($Y1195&gt;=22, (AI1195&lt;&gt;"I"),(Y1195&lt;&gt;"~"),(COUNTIF($AN$1:$AN1195,$AN1195)=1)),"TRUE","FALSE")</f>
        <v>FALSE</v>
      </c>
      <c r="AI1195" s="661" t="str">
        <f t="shared" si="131"/>
        <v>II</v>
      </c>
      <c r="AJ1195" s="662" t="str">
        <f t="shared" si="125"/>
        <v>T3CC-014</v>
      </c>
      <c r="AK1195" s="662" t="str">
        <f t="shared" si="126"/>
        <v>LVN</v>
      </c>
      <c r="AL1195" s="662" t="str">
        <f t="shared" si="127"/>
        <v>FRD</v>
      </c>
      <c r="AM1195" s="662" t="str">
        <f t="shared" si="130"/>
        <v>Transit 350 Chassis Cab-SRW-RWD-2-87.3-~-3.7L-6-W5Z-701A-138-25-Unleaded-Unleaded</v>
      </c>
      <c r="AN1195" s="662" t="str">
        <f t="shared" si="128"/>
        <v>2019-LVN-FRD-T3CC-014</v>
      </c>
    </row>
    <row r="1196" spans="1:40" s="572" customFormat="1" ht="30">
      <c r="A1196" s="570" t="s">
        <v>2449</v>
      </c>
      <c r="B1196" s="569" t="s">
        <v>2450</v>
      </c>
      <c r="C1196" s="569" t="s">
        <v>287</v>
      </c>
      <c r="D1196" s="580">
        <v>26</v>
      </c>
      <c r="E1196" s="569" t="s">
        <v>1516</v>
      </c>
      <c r="F1196" s="569" t="s">
        <v>1684</v>
      </c>
      <c r="G1196" s="569" t="s">
        <v>271</v>
      </c>
      <c r="H1196" s="569">
        <v>2019</v>
      </c>
      <c r="I1196" s="569" t="s">
        <v>2382</v>
      </c>
      <c r="J1196" s="569" t="s">
        <v>1757</v>
      </c>
      <c r="K1196" s="569" t="s">
        <v>236</v>
      </c>
      <c r="L1196" s="569">
        <v>2</v>
      </c>
      <c r="M1196" s="569">
        <v>0</v>
      </c>
      <c r="N1196" s="569" t="s">
        <v>157</v>
      </c>
      <c r="O1196" s="569">
        <v>1</v>
      </c>
      <c r="P1196" s="569">
        <v>87</v>
      </c>
      <c r="Q1196" s="568" t="s">
        <v>157</v>
      </c>
      <c r="R1196" s="569" t="s">
        <v>1917</v>
      </c>
      <c r="S1196" s="569">
        <v>5</v>
      </c>
      <c r="T1196" s="569" t="s">
        <v>2443</v>
      </c>
      <c r="U1196" s="569" t="s">
        <v>2166</v>
      </c>
      <c r="V1196" s="569">
        <v>156</v>
      </c>
      <c r="W1196" s="569">
        <v>25</v>
      </c>
      <c r="X1196" s="568">
        <v>9500</v>
      </c>
      <c r="Y1196" s="573">
        <v>12</v>
      </c>
      <c r="Z1196" s="581" t="s">
        <v>728</v>
      </c>
      <c r="AA1196" s="581" t="s">
        <v>1523</v>
      </c>
      <c r="AB1196" s="585">
        <v>36345</v>
      </c>
      <c r="AC1196" s="585" t="s">
        <v>164</v>
      </c>
      <c r="AD1196" s="585">
        <v>27743</v>
      </c>
      <c r="AE1196" s="587">
        <v>0.05</v>
      </c>
      <c r="AF1196" s="661" t="str">
        <f t="shared" si="129"/>
        <v>2019-LVN-FRD-T3CC-015-26</v>
      </c>
      <c r="AG1196" s="661" t="str">
        <f>IF(AND($Y1196&gt;=32,(AI1196="I"),(Y1196&lt;&gt;"~"),(COUNTIF($AN$1:$AN1196,$AN1196)=1)),"TRUE","FALSE")</f>
        <v>FALSE</v>
      </c>
      <c r="AH1196" s="661" t="str">
        <f>IF(AND($Y1196&gt;=22, (AI1196&lt;&gt;"I"),(Y1196&lt;&gt;"~"),(COUNTIF($AN$1:$AN1196,$AN1196)=1)),"TRUE","FALSE")</f>
        <v>FALSE</v>
      </c>
      <c r="AI1196" s="661" t="str">
        <f t="shared" si="131"/>
        <v>II</v>
      </c>
      <c r="AJ1196" s="662" t="str">
        <f t="shared" si="125"/>
        <v>T3CC-015</v>
      </c>
      <c r="AK1196" s="662" t="str">
        <f t="shared" si="126"/>
        <v>LVN</v>
      </c>
      <c r="AL1196" s="662" t="str">
        <f t="shared" si="127"/>
        <v>FRD</v>
      </c>
      <c r="AM1196" s="662" t="str">
        <f t="shared" si="130"/>
        <v>Transit 350 Chassis Cab-SRW-RWD-2-87-~-3.2L-5-W7Z-701A-156-25-Diesel-BioDiesel</v>
      </c>
      <c r="AN1196" s="662" t="str">
        <f t="shared" si="128"/>
        <v>2019-LVN-FRD-T3CC-015</v>
      </c>
    </row>
    <row r="1197" spans="1:40" s="572" customFormat="1" ht="30">
      <c r="A1197" s="570" t="s">
        <v>2451</v>
      </c>
      <c r="B1197" s="573" t="s">
        <v>2442</v>
      </c>
      <c r="C1197" s="573" t="s">
        <v>287</v>
      </c>
      <c r="D1197" s="578">
        <v>26</v>
      </c>
      <c r="E1197" s="573" t="s">
        <v>1516</v>
      </c>
      <c r="F1197" s="573" t="s">
        <v>1684</v>
      </c>
      <c r="G1197" s="573" t="s">
        <v>271</v>
      </c>
      <c r="H1197" s="573">
        <v>2019</v>
      </c>
      <c r="I1197" s="573" t="s">
        <v>2382</v>
      </c>
      <c r="J1197" s="573" t="s">
        <v>1757</v>
      </c>
      <c r="K1197" s="573" t="s">
        <v>236</v>
      </c>
      <c r="L1197" s="573">
        <v>2</v>
      </c>
      <c r="M1197" s="573">
        <v>0</v>
      </c>
      <c r="N1197" s="573" t="s">
        <v>157</v>
      </c>
      <c r="O1197" s="573">
        <v>1</v>
      </c>
      <c r="P1197" s="573">
        <v>87</v>
      </c>
      <c r="Q1197" s="571" t="s">
        <v>157</v>
      </c>
      <c r="R1197" s="573" t="s">
        <v>682</v>
      </c>
      <c r="S1197" s="573">
        <v>6</v>
      </c>
      <c r="T1197" s="573" t="s">
        <v>2443</v>
      </c>
      <c r="U1197" s="573" t="s">
        <v>2166</v>
      </c>
      <c r="V1197" s="573">
        <v>156</v>
      </c>
      <c r="W1197" s="573">
        <v>25</v>
      </c>
      <c r="X1197" s="571">
        <v>9500</v>
      </c>
      <c r="Y1197" s="573">
        <v>12</v>
      </c>
      <c r="Z1197" s="579" t="s">
        <v>178</v>
      </c>
      <c r="AA1197" s="579" t="s">
        <v>178</v>
      </c>
      <c r="AB1197" s="584">
        <v>32350</v>
      </c>
      <c r="AC1197" s="584" t="s">
        <v>164</v>
      </c>
      <c r="AD1197" s="584">
        <v>24104</v>
      </c>
      <c r="AE1197" s="586">
        <v>0.05</v>
      </c>
      <c r="AF1197" s="661" t="str">
        <f t="shared" si="129"/>
        <v>2019-LVN-FRD-T3CC-016-26</v>
      </c>
      <c r="AG1197" s="661" t="str">
        <f>IF(AND($Y1197&gt;=32,(AI1197="I"),(Y1197&lt;&gt;"~"),(COUNTIF($AN$1:$AN1197,$AN1197)=1)),"TRUE","FALSE")</f>
        <v>FALSE</v>
      </c>
      <c r="AH1197" s="661" t="str">
        <f>IF(AND($Y1197&gt;=22, (AI1197&lt;&gt;"I"),(Y1197&lt;&gt;"~"),(COUNTIF($AN$1:$AN1197,$AN1197)=1)),"TRUE","FALSE")</f>
        <v>FALSE</v>
      </c>
      <c r="AI1197" s="661" t="str">
        <f t="shared" si="131"/>
        <v>II</v>
      </c>
      <c r="AJ1197" s="662" t="str">
        <f t="shared" si="125"/>
        <v>T3CC-016</v>
      </c>
      <c r="AK1197" s="662" t="str">
        <f t="shared" si="126"/>
        <v>LVN</v>
      </c>
      <c r="AL1197" s="662" t="str">
        <f t="shared" si="127"/>
        <v>FRD</v>
      </c>
      <c r="AM1197" s="662" t="str">
        <f t="shared" si="130"/>
        <v>Transit 350 Chassis Cab-SRW-RWD-2-87-~-3.7L-6-W7Z-701A-156-25-Unleaded-Unleaded</v>
      </c>
      <c r="AN1197" s="662" t="str">
        <f t="shared" si="128"/>
        <v>2019-LVN-FRD-T3CC-016</v>
      </c>
    </row>
    <row r="1198" spans="1:40" s="572" customFormat="1" ht="30">
      <c r="A1198" s="570" t="s">
        <v>2452</v>
      </c>
      <c r="B1198" s="569" t="s">
        <v>2439</v>
      </c>
      <c r="C1198" s="569" t="s">
        <v>280</v>
      </c>
      <c r="D1198" s="580">
        <v>27</v>
      </c>
      <c r="E1198" s="569" t="s">
        <v>1516</v>
      </c>
      <c r="F1198" s="569" t="s">
        <v>1684</v>
      </c>
      <c r="G1198" s="569" t="s">
        <v>271</v>
      </c>
      <c r="H1198" s="569">
        <v>2019</v>
      </c>
      <c r="I1198" s="569" t="s">
        <v>2382</v>
      </c>
      <c r="J1198" s="569" t="s">
        <v>1757</v>
      </c>
      <c r="K1198" s="569" t="s">
        <v>236</v>
      </c>
      <c r="L1198" s="569">
        <v>2</v>
      </c>
      <c r="M1198" s="569">
        <v>0</v>
      </c>
      <c r="N1198" s="569" t="s">
        <v>157</v>
      </c>
      <c r="O1198" s="569">
        <v>1</v>
      </c>
      <c r="P1198" s="569">
        <v>87.3</v>
      </c>
      <c r="Q1198" s="568" t="s">
        <v>157</v>
      </c>
      <c r="R1198" s="569" t="s">
        <v>682</v>
      </c>
      <c r="S1198" s="569">
        <v>6</v>
      </c>
      <c r="T1198" s="569" t="s">
        <v>2440</v>
      </c>
      <c r="U1198" s="569" t="s">
        <v>2166</v>
      </c>
      <c r="V1198" s="569">
        <v>138</v>
      </c>
      <c r="W1198" s="569">
        <v>25</v>
      </c>
      <c r="X1198" s="568">
        <v>9500</v>
      </c>
      <c r="Y1198" s="573">
        <v>12</v>
      </c>
      <c r="Z1198" s="581" t="s">
        <v>178</v>
      </c>
      <c r="AA1198" s="581" t="s">
        <v>178</v>
      </c>
      <c r="AB1198" s="585">
        <v>32150</v>
      </c>
      <c r="AC1198" s="585" t="s">
        <v>164</v>
      </c>
      <c r="AD1198" s="585">
        <v>23228.833333333336</v>
      </c>
      <c r="AE1198" s="587">
        <v>0.03</v>
      </c>
      <c r="AF1198" s="661" t="str">
        <f t="shared" si="129"/>
        <v>2019-LVN-FRD-T3CC-014-27</v>
      </c>
      <c r="AG1198" s="661" t="str">
        <f>IF(AND($Y1198&gt;=32,(AI1198="I"),(Y1198&lt;&gt;"~"),(COUNTIF($AN$1:$AN1198,$AN1198)=1)),"TRUE","FALSE")</f>
        <v>FALSE</v>
      </c>
      <c r="AH1198" s="661" t="str">
        <f>IF(AND($Y1198&gt;=22, (AI1198&lt;&gt;"I"),(Y1198&lt;&gt;"~"),(COUNTIF($AN$1:$AN1198,$AN1198)=1)),"TRUE","FALSE")</f>
        <v>FALSE</v>
      </c>
      <c r="AI1198" s="661" t="str">
        <f t="shared" si="131"/>
        <v>II</v>
      </c>
      <c r="AJ1198" s="662" t="str">
        <f t="shared" si="125"/>
        <v>T3CC-014</v>
      </c>
      <c r="AK1198" s="662" t="str">
        <f t="shared" si="126"/>
        <v>LVN</v>
      </c>
      <c r="AL1198" s="662" t="str">
        <f t="shared" si="127"/>
        <v>FRD</v>
      </c>
      <c r="AM1198" s="662" t="str">
        <f t="shared" si="130"/>
        <v>Transit 350 Chassis Cab-SRW-RWD-2-87.3-~-3.7L-6-W5Z-701A-138-25-Unleaded-Unleaded</v>
      </c>
      <c r="AN1198" s="662" t="str">
        <f t="shared" si="128"/>
        <v>2019-LVN-FRD-T3CC-014</v>
      </c>
    </row>
    <row r="1199" spans="1:40" s="572" customFormat="1" ht="30">
      <c r="A1199" s="570" t="s">
        <v>2453</v>
      </c>
      <c r="B1199" s="573" t="s">
        <v>2442</v>
      </c>
      <c r="C1199" s="573" t="s">
        <v>280</v>
      </c>
      <c r="D1199" s="578">
        <v>27</v>
      </c>
      <c r="E1199" s="573" t="s">
        <v>1516</v>
      </c>
      <c r="F1199" s="573" t="s">
        <v>1684</v>
      </c>
      <c r="G1199" s="573" t="s">
        <v>271</v>
      </c>
      <c r="H1199" s="573">
        <v>2019</v>
      </c>
      <c r="I1199" s="573" t="s">
        <v>2382</v>
      </c>
      <c r="J1199" s="573" t="s">
        <v>1757</v>
      </c>
      <c r="K1199" s="573" t="s">
        <v>236</v>
      </c>
      <c r="L1199" s="573">
        <v>2</v>
      </c>
      <c r="M1199" s="573">
        <v>0</v>
      </c>
      <c r="N1199" s="573" t="s">
        <v>157</v>
      </c>
      <c r="O1199" s="573">
        <v>1</v>
      </c>
      <c r="P1199" s="573">
        <v>87</v>
      </c>
      <c r="Q1199" s="571" t="s">
        <v>157</v>
      </c>
      <c r="R1199" s="573" t="s">
        <v>682</v>
      </c>
      <c r="S1199" s="573">
        <v>6</v>
      </c>
      <c r="T1199" s="573" t="s">
        <v>2443</v>
      </c>
      <c r="U1199" s="573" t="s">
        <v>2166</v>
      </c>
      <c r="V1199" s="573">
        <v>156</v>
      </c>
      <c r="W1199" s="573">
        <v>25</v>
      </c>
      <c r="X1199" s="571">
        <v>9500</v>
      </c>
      <c r="Y1199" s="573">
        <v>12</v>
      </c>
      <c r="Z1199" s="579" t="s">
        <v>178</v>
      </c>
      <c r="AA1199" s="579" t="s">
        <v>178</v>
      </c>
      <c r="AB1199" s="584">
        <v>32350</v>
      </c>
      <c r="AC1199" s="584" t="s">
        <v>164</v>
      </c>
      <c r="AD1199" s="584">
        <v>23412.166666666668</v>
      </c>
      <c r="AE1199" s="586">
        <v>0.03</v>
      </c>
      <c r="AF1199" s="661" t="str">
        <f t="shared" si="129"/>
        <v>2019-LVN-FRD-T3CC-016-27</v>
      </c>
      <c r="AG1199" s="661" t="str">
        <f>IF(AND($Y1199&gt;=32,(AI1199="I"),(Y1199&lt;&gt;"~"),(COUNTIF($AN$1:$AN1199,$AN1199)=1)),"TRUE","FALSE")</f>
        <v>FALSE</v>
      </c>
      <c r="AH1199" s="661" t="str">
        <f>IF(AND($Y1199&gt;=22, (AI1199&lt;&gt;"I"),(Y1199&lt;&gt;"~"),(COUNTIF($AN$1:$AN1199,$AN1199)=1)),"TRUE","FALSE")</f>
        <v>FALSE</v>
      </c>
      <c r="AI1199" s="661" t="str">
        <f t="shared" si="131"/>
        <v>II</v>
      </c>
      <c r="AJ1199" s="662" t="str">
        <f t="shared" si="125"/>
        <v>T3CC-016</v>
      </c>
      <c r="AK1199" s="662" t="str">
        <f t="shared" si="126"/>
        <v>LVN</v>
      </c>
      <c r="AL1199" s="662" t="str">
        <f t="shared" si="127"/>
        <v>FRD</v>
      </c>
      <c r="AM1199" s="662" t="str">
        <f t="shared" si="130"/>
        <v>Transit 350 Chassis Cab-SRW-RWD-2-87-~-3.7L-6-W7Z-701A-156-25-Unleaded-Unleaded</v>
      </c>
      <c r="AN1199" s="662" t="str">
        <f t="shared" si="128"/>
        <v>2019-LVN-FRD-T3CC-016</v>
      </c>
    </row>
    <row r="1200" spans="1:40" s="572" customFormat="1" ht="15">
      <c r="A1200" s="570" t="s">
        <v>2454</v>
      </c>
      <c r="B1200" s="569" t="s">
        <v>2455</v>
      </c>
      <c r="C1200" s="569" t="s">
        <v>269</v>
      </c>
      <c r="D1200" s="580" t="s">
        <v>270</v>
      </c>
      <c r="E1200" s="569" t="s">
        <v>1516</v>
      </c>
      <c r="F1200" s="569" t="s">
        <v>1684</v>
      </c>
      <c r="G1200" s="569" t="s">
        <v>271</v>
      </c>
      <c r="H1200" s="569">
        <v>2019</v>
      </c>
      <c r="I1200" s="569" t="s">
        <v>2456</v>
      </c>
      <c r="J1200" s="569" t="s">
        <v>1686</v>
      </c>
      <c r="K1200" s="569" t="s">
        <v>236</v>
      </c>
      <c r="L1200" s="569">
        <v>2</v>
      </c>
      <c r="M1200" s="569">
        <v>0</v>
      </c>
      <c r="N1200" s="569" t="s">
        <v>157</v>
      </c>
      <c r="O1200" s="569">
        <v>1</v>
      </c>
      <c r="P1200" s="569">
        <v>82.6</v>
      </c>
      <c r="Q1200" s="568" t="s">
        <v>157</v>
      </c>
      <c r="R1200" s="569" t="s">
        <v>682</v>
      </c>
      <c r="S1200" s="569">
        <v>6</v>
      </c>
      <c r="T1200" s="569" t="s">
        <v>2457</v>
      </c>
      <c r="U1200" s="569" t="s">
        <v>2183</v>
      </c>
      <c r="V1200" s="569">
        <v>138</v>
      </c>
      <c r="W1200" s="569">
        <v>25</v>
      </c>
      <c r="X1200" s="568">
        <v>9950</v>
      </c>
      <c r="Y1200" s="573">
        <v>12</v>
      </c>
      <c r="Z1200" s="581" t="s">
        <v>178</v>
      </c>
      <c r="AA1200" s="581" t="s">
        <v>178</v>
      </c>
      <c r="AB1200" s="585">
        <v>32525</v>
      </c>
      <c r="AC1200" s="585" t="s">
        <v>164</v>
      </c>
      <c r="AD1200" s="585">
        <v>23572.583333333336</v>
      </c>
      <c r="AE1200" s="587">
        <v>0.03</v>
      </c>
      <c r="AF1200" s="661" t="str">
        <f t="shared" si="129"/>
        <v>2019-LVN-FRD-T3CW-002-05</v>
      </c>
      <c r="AG1200" s="661" t="str">
        <f>IF(AND($Y1200&gt;=32,(AI1200="I"),(Y1200&lt;&gt;"~"),(COUNTIF($AN$1:$AN1200,$AN1200)=1)),"TRUE","FALSE")</f>
        <v>FALSE</v>
      </c>
      <c r="AH1200" s="661" t="str">
        <f>IF(AND($Y1200&gt;=22, (AI1200&lt;&gt;"I"),(Y1200&lt;&gt;"~"),(COUNTIF($AN$1:$AN1200,$AN1200)=1)),"TRUE","FALSE")</f>
        <v>FALSE</v>
      </c>
      <c r="AI1200" s="661" t="str">
        <f t="shared" si="131"/>
        <v>II</v>
      </c>
      <c r="AJ1200" s="662" t="str">
        <f t="shared" si="125"/>
        <v>T3CW-002</v>
      </c>
      <c r="AK1200" s="662" t="str">
        <f t="shared" si="126"/>
        <v>LVN</v>
      </c>
      <c r="AL1200" s="662" t="str">
        <f t="shared" si="127"/>
        <v>FRD</v>
      </c>
      <c r="AM1200" s="662" t="str">
        <f t="shared" si="130"/>
        <v>Transit 350 Cutaway-DRW-RWD-2-82.6-~-3.7L-6-F6P-501A-138-25-Unleaded-Unleaded</v>
      </c>
      <c r="AN1200" s="662" t="str">
        <f t="shared" si="128"/>
        <v>2019-LVN-FRD-T3CW-002</v>
      </c>
    </row>
    <row r="1201" spans="1:40" s="572" customFormat="1" ht="15">
      <c r="A1201" s="570" t="s">
        <v>2458</v>
      </c>
      <c r="B1201" s="573" t="s">
        <v>2459</v>
      </c>
      <c r="C1201" s="573" t="s">
        <v>269</v>
      </c>
      <c r="D1201" s="578" t="s">
        <v>270</v>
      </c>
      <c r="E1201" s="573" t="s">
        <v>1516</v>
      </c>
      <c r="F1201" s="573" t="s">
        <v>1684</v>
      </c>
      <c r="G1201" s="573" t="s">
        <v>271</v>
      </c>
      <c r="H1201" s="573">
        <v>2019</v>
      </c>
      <c r="I1201" s="573" t="s">
        <v>2456</v>
      </c>
      <c r="J1201" s="573" t="s">
        <v>1686</v>
      </c>
      <c r="K1201" s="573" t="s">
        <v>236</v>
      </c>
      <c r="L1201" s="573">
        <v>2</v>
      </c>
      <c r="M1201" s="573">
        <v>0</v>
      </c>
      <c r="N1201" s="573" t="s">
        <v>157</v>
      </c>
      <c r="O1201" s="573">
        <v>1</v>
      </c>
      <c r="P1201" s="573">
        <v>86.5</v>
      </c>
      <c r="Q1201" s="571" t="s">
        <v>157</v>
      </c>
      <c r="R1201" s="573" t="s">
        <v>1917</v>
      </c>
      <c r="S1201" s="573">
        <v>5</v>
      </c>
      <c r="T1201" s="573" t="s">
        <v>2460</v>
      </c>
      <c r="U1201" s="573" t="s">
        <v>2183</v>
      </c>
      <c r="V1201" s="573">
        <v>156</v>
      </c>
      <c r="W1201" s="573">
        <v>25</v>
      </c>
      <c r="X1201" s="571">
        <v>10360</v>
      </c>
      <c r="Y1201" s="569" t="s">
        <v>164</v>
      </c>
      <c r="Z1201" s="579" t="s">
        <v>728</v>
      </c>
      <c r="AA1201" s="579" t="s">
        <v>1523</v>
      </c>
      <c r="AB1201" s="584">
        <v>37220</v>
      </c>
      <c r="AC1201" s="584" t="s">
        <v>164</v>
      </c>
      <c r="AD1201" s="584">
        <v>27761.708333333336</v>
      </c>
      <c r="AE1201" s="586">
        <v>0.03</v>
      </c>
      <c r="AF1201" s="661" t="str">
        <f t="shared" si="129"/>
        <v>2019-LVN-FRD-T3CW-005-05</v>
      </c>
      <c r="AG1201" s="661" t="str">
        <f>IF(AND($Y1201&gt;=32,(AI1201="I"),(Y1201&lt;&gt;"~"),(COUNTIF($AN$1:$AN1201,$AN1201)=1)),"TRUE","FALSE")</f>
        <v>FALSE</v>
      </c>
      <c r="AH1201" s="661" t="str">
        <f>IF(AND($Y1201&gt;=22, (AI1201&lt;&gt;"I"),(Y1201&lt;&gt;"~"),(COUNTIF($AN$1:$AN1201,$AN1201)=1)),"TRUE","FALSE")</f>
        <v>TRUE</v>
      </c>
      <c r="AI1201" s="661" t="str">
        <f t="shared" si="131"/>
        <v>N/A</v>
      </c>
      <c r="AJ1201" s="662" t="str">
        <f t="shared" si="125"/>
        <v>T3CW-005</v>
      </c>
      <c r="AK1201" s="662" t="str">
        <f t="shared" si="126"/>
        <v>LVN</v>
      </c>
      <c r="AL1201" s="662" t="str">
        <f t="shared" si="127"/>
        <v>FRD</v>
      </c>
      <c r="AM1201" s="662" t="str">
        <f t="shared" si="130"/>
        <v>Transit 350 Cutaway-DRW-RWD-2-86.5-~-3.2L-5-S8P-501A-156-25-Diesel-BioDiesel</v>
      </c>
      <c r="AN1201" s="662" t="str">
        <f t="shared" si="128"/>
        <v>2019-LVN-FRD-T3CW-005</v>
      </c>
    </row>
    <row r="1202" spans="1:40" s="572" customFormat="1" ht="15">
      <c r="A1202" s="570" t="s">
        <v>2461</v>
      </c>
      <c r="B1202" s="569" t="s">
        <v>2462</v>
      </c>
      <c r="C1202" s="569" t="s">
        <v>269</v>
      </c>
      <c r="D1202" s="580" t="s">
        <v>270</v>
      </c>
      <c r="E1202" s="569" t="s">
        <v>1516</v>
      </c>
      <c r="F1202" s="569" t="s">
        <v>1684</v>
      </c>
      <c r="G1202" s="569" t="s">
        <v>271</v>
      </c>
      <c r="H1202" s="569">
        <v>2019</v>
      </c>
      <c r="I1202" s="569" t="s">
        <v>2456</v>
      </c>
      <c r="J1202" s="569" t="s">
        <v>1686</v>
      </c>
      <c r="K1202" s="569" t="s">
        <v>236</v>
      </c>
      <c r="L1202" s="569">
        <v>2</v>
      </c>
      <c r="M1202" s="569">
        <v>0</v>
      </c>
      <c r="N1202" s="569" t="s">
        <v>157</v>
      </c>
      <c r="O1202" s="569">
        <v>1</v>
      </c>
      <c r="P1202" s="569">
        <v>86.5</v>
      </c>
      <c r="Q1202" s="568" t="s">
        <v>157</v>
      </c>
      <c r="R1202" s="569" t="s">
        <v>1917</v>
      </c>
      <c r="S1202" s="569">
        <v>5</v>
      </c>
      <c r="T1202" s="569" t="s">
        <v>2463</v>
      </c>
      <c r="U1202" s="569" t="s">
        <v>2183</v>
      </c>
      <c r="V1202" s="569">
        <v>178</v>
      </c>
      <c r="W1202" s="569">
        <v>25</v>
      </c>
      <c r="X1202" s="568">
        <v>10360</v>
      </c>
      <c r="Y1202" s="569" t="s">
        <v>164</v>
      </c>
      <c r="Z1202" s="581" t="s">
        <v>728</v>
      </c>
      <c r="AA1202" s="581" t="s">
        <v>1523</v>
      </c>
      <c r="AB1202" s="585">
        <v>37970</v>
      </c>
      <c r="AC1202" s="585" t="s">
        <v>164</v>
      </c>
      <c r="AD1202" s="585">
        <v>28447.125</v>
      </c>
      <c r="AE1202" s="587">
        <v>0.03</v>
      </c>
      <c r="AF1202" s="661" t="str">
        <f t="shared" si="129"/>
        <v>2019-LVN-FRD-T3CW-006-05</v>
      </c>
      <c r="AG1202" s="661" t="str">
        <f>IF(AND($Y1202&gt;=32,(AI1202="I"),(Y1202&lt;&gt;"~"),(COUNTIF($AN$1:$AN1202,$AN1202)=1)),"TRUE","FALSE")</f>
        <v>FALSE</v>
      </c>
      <c r="AH1202" s="661" t="str">
        <f>IF(AND($Y1202&gt;=22, (AI1202&lt;&gt;"I"),(Y1202&lt;&gt;"~"),(COUNTIF($AN$1:$AN1202,$AN1202)=1)),"TRUE","FALSE")</f>
        <v>TRUE</v>
      </c>
      <c r="AI1202" s="661" t="str">
        <f t="shared" si="131"/>
        <v>N/A</v>
      </c>
      <c r="AJ1202" s="662" t="str">
        <f t="shared" si="125"/>
        <v>T3CW-006</v>
      </c>
      <c r="AK1202" s="662" t="str">
        <f t="shared" si="126"/>
        <v>LVN</v>
      </c>
      <c r="AL1202" s="662" t="str">
        <f t="shared" si="127"/>
        <v>FRD</v>
      </c>
      <c r="AM1202" s="662" t="str">
        <f t="shared" si="130"/>
        <v>Transit 350 Cutaway-DRW-RWD-2-86.5-~-3.2L-5-S9P-501A-178-25-Diesel-BioDiesel</v>
      </c>
      <c r="AN1202" s="662" t="str">
        <f t="shared" si="128"/>
        <v>2019-LVN-FRD-T3CW-006</v>
      </c>
    </row>
    <row r="1203" spans="1:40" s="572" customFormat="1" ht="15">
      <c r="A1203" s="570" t="s">
        <v>2464</v>
      </c>
      <c r="B1203" s="573" t="s">
        <v>2465</v>
      </c>
      <c r="C1203" s="573" t="s">
        <v>269</v>
      </c>
      <c r="D1203" s="578" t="s">
        <v>270</v>
      </c>
      <c r="E1203" s="573" t="s">
        <v>1516</v>
      </c>
      <c r="F1203" s="573" t="s">
        <v>1684</v>
      </c>
      <c r="G1203" s="573" t="s">
        <v>271</v>
      </c>
      <c r="H1203" s="573">
        <v>2019</v>
      </c>
      <c r="I1203" s="573" t="s">
        <v>2456</v>
      </c>
      <c r="J1203" s="573" t="s">
        <v>1686</v>
      </c>
      <c r="K1203" s="573" t="s">
        <v>236</v>
      </c>
      <c r="L1203" s="573">
        <v>2</v>
      </c>
      <c r="M1203" s="573">
        <v>0</v>
      </c>
      <c r="N1203" s="573" t="s">
        <v>157</v>
      </c>
      <c r="O1203" s="573">
        <v>1</v>
      </c>
      <c r="P1203" s="573">
        <v>86.5</v>
      </c>
      <c r="Q1203" s="571" t="s">
        <v>157</v>
      </c>
      <c r="R1203" s="573" t="s">
        <v>682</v>
      </c>
      <c r="S1203" s="573">
        <v>6</v>
      </c>
      <c r="T1203" s="573" t="s">
        <v>2466</v>
      </c>
      <c r="U1203" s="573" t="s">
        <v>2183</v>
      </c>
      <c r="V1203" s="573">
        <v>156</v>
      </c>
      <c r="W1203" s="573">
        <v>25</v>
      </c>
      <c r="X1203" s="571">
        <v>9950</v>
      </c>
      <c r="Y1203" s="573">
        <v>12</v>
      </c>
      <c r="Z1203" s="579" t="s">
        <v>178</v>
      </c>
      <c r="AA1203" s="579" t="s">
        <v>178</v>
      </c>
      <c r="AB1203" s="584">
        <v>32975</v>
      </c>
      <c r="AC1203" s="584" t="s">
        <v>164</v>
      </c>
      <c r="AD1203" s="584">
        <v>23984.041666666668</v>
      </c>
      <c r="AE1203" s="586">
        <v>0.03</v>
      </c>
      <c r="AF1203" s="661" t="str">
        <f t="shared" si="129"/>
        <v>2019-LVN-FRD-T3CW-007-05</v>
      </c>
      <c r="AG1203" s="661" t="str">
        <f>IF(AND($Y1203&gt;=32,(AI1203="I"),(Y1203&lt;&gt;"~"),(COUNTIF($AN$1:$AN1203,$AN1203)=1)),"TRUE","FALSE")</f>
        <v>FALSE</v>
      </c>
      <c r="AH1203" s="661" t="str">
        <f>IF(AND($Y1203&gt;=22, (AI1203&lt;&gt;"I"),(Y1203&lt;&gt;"~"),(COUNTIF($AN$1:$AN1203,$AN1203)=1)),"TRUE","FALSE")</f>
        <v>FALSE</v>
      </c>
      <c r="AI1203" s="661" t="str">
        <f t="shared" si="131"/>
        <v>II</v>
      </c>
      <c r="AJ1203" s="662" t="str">
        <f t="shared" si="125"/>
        <v>T3CW-007</v>
      </c>
      <c r="AK1203" s="662" t="str">
        <f t="shared" si="126"/>
        <v>LVN</v>
      </c>
      <c r="AL1203" s="662" t="str">
        <f t="shared" si="127"/>
        <v>FRD</v>
      </c>
      <c r="AM1203" s="662" t="str">
        <f t="shared" si="130"/>
        <v>Transit 350 Cutaway-DRW-RWD-2-86.5-~-3.7L-6-F8P-501A-156-25-Unleaded-Unleaded</v>
      </c>
      <c r="AN1203" s="662" t="str">
        <f t="shared" si="128"/>
        <v>2019-LVN-FRD-T3CW-007</v>
      </c>
    </row>
    <row r="1204" spans="1:40" s="572" customFormat="1" ht="15">
      <c r="A1204" s="570" t="s">
        <v>2467</v>
      </c>
      <c r="B1204" s="569" t="s">
        <v>2468</v>
      </c>
      <c r="C1204" s="569" t="s">
        <v>269</v>
      </c>
      <c r="D1204" s="580" t="s">
        <v>270</v>
      </c>
      <c r="E1204" s="569" t="s">
        <v>1516</v>
      </c>
      <c r="F1204" s="569" t="s">
        <v>1684</v>
      </c>
      <c r="G1204" s="569" t="s">
        <v>271</v>
      </c>
      <c r="H1204" s="569">
        <v>2019</v>
      </c>
      <c r="I1204" s="569" t="s">
        <v>2456</v>
      </c>
      <c r="J1204" s="569" t="s">
        <v>1686</v>
      </c>
      <c r="K1204" s="569" t="s">
        <v>236</v>
      </c>
      <c r="L1204" s="569">
        <v>2</v>
      </c>
      <c r="M1204" s="569">
        <v>0</v>
      </c>
      <c r="N1204" s="569" t="s">
        <v>157</v>
      </c>
      <c r="O1204" s="569">
        <v>1</v>
      </c>
      <c r="P1204" s="569">
        <v>86.5</v>
      </c>
      <c r="Q1204" s="568" t="s">
        <v>157</v>
      </c>
      <c r="R1204" s="569" t="s">
        <v>682</v>
      </c>
      <c r="S1204" s="569">
        <v>6</v>
      </c>
      <c r="T1204" s="569" t="s">
        <v>2469</v>
      </c>
      <c r="U1204" s="569" t="s">
        <v>2183</v>
      </c>
      <c r="V1204" s="569">
        <v>178</v>
      </c>
      <c r="W1204" s="569">
        <v>25</v>
      </c>
      <c r="X1204" s="568">
        <v>9950</v>
      </c>
      <c r="Y1204" s="573">
        <v>12</v>
      </c>
      <c r="Z1204" s="581" t="s">
        <v>178</v>
      </c>
      <c r="AA1204" s="581" t="s">
        <v>178</v>
      </c>
      <c r="AB1204" s="585">
        <v>33725</v>
      </c>
      <c r="AC1204" s="585" t="s">
        <v>164</v>
      </c>
      <c r="AD1204" s="585">
        <v>24669.458333333336</v>
      </c>
      <c r="AE1204" s="587">
        <v>0.03</v>
      </c>
      <c r="AF1204" s="661" t="str">
        <f t="shared" si="129"/>
        <v>2019-LVN-FRD-T3CW-008-05</v>
      </c>
      <c r="AG1204" s="661" t="str">
        <f>IF(AND($Y1204&gt;=32,(AI1204="I"),(Y1204&lt;&gt;"~"),(COUNTIF($AN$1:$AN1204,$AN1204)=1)),"TRUE","FALSE")</f>
        <v>FALSE</v>
      </c>
      <c r="AH1204" s="661" t="str">
        <f>IF(AND($Y1204&gt;=22, (AI1204&lt;&gt;"I"),(Y1204&lt;&gt;"~"),(COUNTIF($AN$1:$AN1204,$AN1204)=1)),"TRUE","FALSE")</f>
        <v>FALSE</v>
      </c>
      <c r="AI1204" s="661" t="str">
        <f t="shared" si="131"/>
        <v>II</v>
      </c>
      <c r="AJ1204" s="662" t="str">
        <f t="shared" si="125"/>
        <v>T3CW-008</v>
      </c>
      <c r="AK1204" s="662" t="str">
        <f t="shared" si="126"/>
        <v>LVN</v>
      </c>
      <c r="AL1204" s="662" t="str">
        <f t="shared" si="127"/>
        <v>FRD</v>
      </c>
      <c r="AM1204" s="662" t="str">
        <f t="shared" si="130"/>
        <v>Transit 350 Cutaway-DRW-RWD-2-86.5-~-3.7L-6-F9P-501A-178-25-Unleaded-Unleaded</v>
      </c>
      <c r="AN1204" s="662" t="str">
        <f t="shared" si="128"/>
        <v>2019-LVN-FRD-T3CW-008</v>
      </c>
    </row>
    <row r="1205" spans="1:40" s="572" customFormat="1" ht="15">
      <c r="A1205" s="570" t="s">
        <v>2470</v>
      </c>
      <c r="B1205" s="573" t="s">
        <v>2471</v>
      </c>
      <c r="C1205" s="573" t="s">
        <v>269</v>
      </c>
      <c r="D1205" s="578" t="s">
        <v>270</v>
      </c>
      <c r="E1205" s="573" t="s">
        <v>1516</v>
      </c>
      <c r="F1205" s="573" t="s">
        <v>1684</v>
      </c>
      <c r="G1205" s="573" t="s">
        <v>271</v>
      </c>
      <c r="H1205" s="573">
        <v>2019</v>
      </c>
      <c r="I1205" s="573" t="s">
        <v>2456</v>
      </c>
      <c r="J1205" s="573" t="s">
        <v>1686</v>
      </c>
      <c r="K1205" s="573" t="s">
        <v>236</v>
      </c>
      <c r="L1205" s="573">
        <v>2</v>
      </c>
      <c r="M1205" s="573">
        <v>0</v>
      </c>
      <c r="N1205" s="573" t="s">
        <v>157</v>
      </c>
      <c r="O1205" s="573">
        <v>1</v>
      </c>
      <c r="P1205" s="573">
        <v>86.5</v>
      </c>
      <c r="Q1205" s="571" t="s">
        <v>157</v>
      </c>
      <c r="R1205" s="573" t="s">
        <v>682</v>
      </c>
      <c r="S1205" s="573">
        <v>6</v>
      </c>
      <c r="T1205" s="573" t="s">
        <v>2460</v>
      </c>
      <c r="U1205" s="573" t="s">
        <v>2183</v>
      </c>
      <c r="V1205" s="573">
        <v>156</v>
      </c>
      <c r="W1205" s="573">
        <v>25</v>
      </c>
      <c r="X1205" s="571">
        <v>10360</v>
      </c>
      <c r="Y1205" s="569" t="s">
        <v>164</v>
      </c>
      <c r="Z1205" s="579" t="s">
        <v>178</v>
      </c>
      <c r="AA1205" s="579" t="s">
        <v>178</v>
      </c>
      <c r="AB1205" s="584">
        <v>33225</v>
      </c>
      <c r="AC1205" s="584" t="s">
        <v>164</v>
      </c>
      <c r="AD1205" s="584">
        <v>24212.166666666668</v>
      </c>
      <c r="AE1205" s="586">
        <v>0.03</v>
      </c>
      <c r="AF1205" s="661" t="str">
        <f t="shared" si="129"/>
        <v>2019-LVN-FRD-T3CW-009-05</v>
      </c>
      <c r="AG1205" s="661" t="str">
        <f>IF(AND($Y1205&gt;=32,(AI1205="I"),(Y1205&lt;&gt;"~"),(COUNTIF($AN$1:$AN1205,$AN1205)=1)),"TRUE","FALSE")</f>
        <v>FALSE</v>
      </c>
      <c r="AH1205" s="661" t="str">
        <f>IF(AND($Y1205&gt;=22, (AI1205&lt;&gt;"I"),(Y1205&lt;&gt;"~"),(COUNTIF($AN$1:$AN1205,$AN1205)=1)),"TRUE","FALSE")</f>
        <v>TRUE</v>
      </c>
      <c r="AI1205" s="661" t="str">
        <f t="shared" si="131"/>
        <v>N/A</v>
      </c>
      <c r="AJ1205" s="662" t="str">
        <f t="shared" si="125"/>
        <v>T3CW-009</v>
      </c>
      <c r="AK1205" s="662" t="str">
        <f t="shared" si="126"/>
        <v>LVN</v>
      </c>
      <c r="AL1205" s="662" t="str">
        <f t="shared" si="127"/>
        <v>FRD</v>
      </c>
      <c r="AM1205" s="662" t="str">
        <f t="shared" si="130"/>
        <v>Transit 350 Cutaway-DRW-RWD-2-86.5-~-3.7L-6-S8P-501A-156-25-Unleaded-Unleaded</v>
      </c>
      <c r="AN1205" s="662" t="str">
        <f t="shared" si="128"/>
        <v>2019-LVN-FRD-T3CW-009</v>
      </c>
    </row>
    <row r="1206" spans="1:40" s="572" customFormat="1" ht="15">
      <c r="A1206" s="570" t="s">
        <v>2472</v>
      </c>
      <c r="B1206" s="569" t="s">
        <v>2473</v>
      </c>
      <c r="C1206" s="569" t="s">
        <v>269</v>
      </c>
      <c r="D1206" s="580" t="s">
        <v>270</v>
      </c>
      <c r="E1206" s="569" t="s">
        <v>1516</v>
      </c>
      <c r="F1206" s="569" t="s">
        <v>1684</v>
      </c>
      <c r="G1206" s="569" t="s">
        <v>271</v>
      </c>
      <c r="H1206" s="569">
        <v>2019</v>
      </c>
      <c r="I1206" s="569" t="s">
        <v>2456</v>
      </c>
      <c r="J1206" s="569" t="s">
        <v>1686</v>
      </c>
      <c r="K1206" s="569" t="s">
        <v>236</v>
      </c>
      <c r="L1206" s="569">
        <v>2</v>
      </c>
      <c r="M1206" s="569">
        <v>0</v>
      </c>
      <c r="N1206" s="569" t="s">
        <v>157</v>
      </c>
      <c r="O1206" s="569">
        <v>1</v>
      </c>
      <c r="P1206" s="569">
        <v>86.5</v>
      </c>
      <c r="Q1206" s="568" t="s">
        <v>157</v>
      </c>
      <c r="R1206" s="569" t="s">
        <v>682</v>
      </c>
      <c r="S1206" s="569">
        <v>6</v>
      </c>
      <c r="T1206" s="569" t="s">
        <v>2463</v>
      </c>
      <c r="U1206" s="569" t="s">
        <v>2183</v>
      </c>
      <c r="V1206" s="569">
        <v>178</v>
      </c>
      <c r="W1206" s="569">
        <v>25</v>
      </c>
      <c r="X1206" s="568">
        <v>10360</v>
      </c>
      <c r="Y1206" s="569" t="s">
        <v>164</v>
      </c>
      <c r="Z1206" s="581" t="s">
        <v>178</v>
      </c>
      <c r="AA1206" s="581" t="s">
        <v>178</v>
      </c>
      <c r="AB1206" s="585">
        <v>33975</v>
      </c>
      <c r="AC1206" s="585" t="s">
        <v>164</v>
      </c>
      <c r="AD1206" s="585">
        <v>24897.583333333336</v>
      </c>
      <c r="AE1206" s="587">
        <v>0.03</v>
      </c>
      <c r="AF1206" s="661" t="str">
        <f t="shared" si="129"/>
        <v>2019-LVN-FRD-T3CW-010-05</v>
      </c>
      <c r="AG1206" s="661" t="str">
        <f>IF(AND($Y1206&gt;=32,(AI1206="I"),(Y1206&lt;&gt;"~"),(COUNTIF($AN$1:$AN1206,$AN1206)=1)),"TRUE","FALSE")</f>
        <v>FALSE</v>
      </c>
      <c r="AH1206" s="661" t="str">
        <f>IF(AND($Y1206&gt;=22, (AI1206&lt;&gt;"I"),(Y1206&lt;&gt;"~"),(COUNTIF($AN$1:$AN1206,$AN1206)=1)),"TRUE","FALSE")</f>
        <v>TRUE</v>
      </c>
      <c r="AI1206" s="661" t="str">
        <f t="shared" si="131"/>
        <v>N/A</v>
      </c>
      <c r="AJ1206" s="662" t="str">
        <f t="shared" si="125"/>
        <v>T3CW-010</v>
      </c>
      <c r="AK1206" s="662" t="str">
        <f t="shared" si="126"/>
        <v>LVN</v>
      </c>
      <c r="AL1206" s="662" t="str">
        <f t="shared" si="127"/>
        <v>FRD</v>
      </c>
      <c r="AM1206" s="662" t="str">
        <f t="shared" si="130"/>
        <v>Transit 350 Cutaway-DRW-RWD-2-86.5-~-3.7L-6-S9P-501A-178-25-Unleaded-Unleaded</v>
      </c>
      <c r="AN1206" s="662" t="str">
        <f t="shared" si="128"/>
        <v>2019-LVN-FRD-T3CW-010</v>
      </c>
    </row>
    <row r="1207" spans="1:40" s="572" customFormat="1" ht="15">
      <c r="A1207" s="570" t="s">
        <v>2474</v>
      </c>
      <c r="B1207" s="573" t="s">
        <v>2475</v>
      </c>
      <c r="C1207" s="573" t="s">
        <v>269</v>
      </c>
      <c r="D1207" s="578" t="s">
        <v>270</v>
      </c>
      <c r="E1207" s="573" t="s">
        <v>1516</v>
      </c>
      <c r="F1207" s="573" t="s">
        <v>1684</v>
      </c>
      <c r="G1207" s="573" t="s">
        <v>271</v>
      </c>
      <c r="H1207" s="573">
        <v>2019</v>
      </c>
      <c r="I1207" s="573" t="s">
        <v>2456</v>
      </c>
      <c r="J1207" s="573" t="s">
        <v>1686</v>
      </c>
      <c r="K1207" s="573" t="s">
        <v>236</v>
      </c>
      <c r="L1207" s="573">
        <v>2</v>
      </c>
      <c r="M1207" s="573">
        <v>0</v>
      </c>
      <c r="N1207" s="573" t="s">
        <v>157</v>
      </c>
      <c r="O1207" s="573">
        <v>1</v>
      </c>
      <c r="P1207" s="573">
        <v>86.8</v>
      </c>
      <c r="Q1207" s="571" t="s">
        <v>157</v>
      </c>
      <c r="R1207" s="573" t="s">
        <v>1917</v>
      </c>
      <c r="S1207" s="573">
        <v>5</v>
      </c>
      <c r="T1207" s="573" t="s">
        <v>2476</v>
      </c>
      <c r="U1207" s="573" t="s">
        <v>2183</v>
      </c>
      <c r="V1207" s="573">
        <v>138</v>
      </c>
      <c r="W1207" s="573">
        <v>25</v>
      </c>
      <c r="X1207" s="571">
        <v>10360</v>
      </c>
      <c r="Y1207" s="569" t="s">
        <v>164</v>
      </c>
      <c r="Z1207" s="579" t="s">
        <v>728</v>
      </c>
      <c r="AA1207" s="579" t="s">
        <v>1523</v>
      </c>
      <c r="AB1207" s="584">
        <v>36775</v>
      </c>
      <c r="AC1207" s="584" t="s">
        <v>164</v>
      </c>
      <c r="AD1207" s="584">
        <v>27354.416666666668</v>
      </c>
      <c r="AE1207" s="586">
        <v>0.03</v>
      </c>
      <c r="AF1207" s="661" t="str">
        <f t="shared" si="129"/>
        <v>2019-LVN-FRD-T3CW-011-05</v>
      </c>
      <c r="AG1207" s="661" t="str">
        <f>IF(AND($Y1207&gt;=32,(AI1207="I"),(Y1207&lt;&gt;"~"),(COUNTIF($AN$1:$AN1207,$AN1207)=1)),"TRUE","FALSE")</f>
        <v>FALSE</v>
      </c>
      <c r="AH1207" s="661" t="str">
        <f>IF(AND($Y1207&gt;=22, (AI1207&lt;&gt;"I"),(Y1207&lt;&gt;"~"),(COUNTIF($AN$1:$AN1207,$AN1207)=1)),"TRUE","FALSE")</f>
        <v>TRUE</v>
      </c>
      <c r="AI1207" s="661" t="str">
        <f t="shared" si="131"/>
        <v>N/A</v>
      </c>
      <c r="AJ1207" s="662" t="str">
        <f t="shared" si="125"/>
        <v>T3CW-011</v>
      </c>
      <c r="AK1207" s="662" t="str">
        <f t="shared" si="126"/>
        <v>LVN</v>
      </c>
      <c r="AL1207" s="662" t="str">
        <f t="shared" si="127"/>
        <v>FRD</v>
      </c>
      <c r="AM1207" s="662" t="str">
        <f t="shared" si="130"/>
        <v>Transit 350 Cutaway-DRW-RWD-2-86.8-~-3.2L-5-S6P-501A-138-25-Diesel-BioDiesel</v>
      </c>
      <c r="AN1207" s="662" t="str">
        <f t="shared" si="128"/>
        <v>2019-LVN-FRD-T3CW-011</v>
      </c>
    </row>
    <row r="1208" spans="1:40" s="572" customFormat="1" ht="15">
      <c r="A1208" s="570" t="s">
        <v>2477</v>
      </c>
      <c r="B1208" s="569" t="s">
        <v>2478</v>
      </c>
      <c r="C1208" s="569" t="s">
        <v>269</v>
      </c>
      <c r="D1208" s="580" t="s">
        <v>270</v>
      </c>
      <c r="E1208" s="569" t="s">
        <v>1516</v>
      </c>
      <c r="F1208" s="569" t="s">
        <v>1684</v>
      </c>
      <c r="G1208" s="569" t="s">
        <v>271</v>
      </c>
      <c r="H1208" s="569">
        <v>2019</v>
      </c>
      <c r="I1208" s="569" t="s">
        <v>2456</v>
      </c>
      <c r="J1208" s="569" t="s">
        <v>1686</v>
      </c>
      <c r="K1208" s="569" t="s">
        <v>236</v>
      </c>
      <c r="L1208" s="569">
        <v>2</v>
      </c>
      <c r="M1208" s="569">
        <v>0</v>
      </c>
      <c r="N1208" s="569" t="s">
        <v>157</v>
      </c>
      <c r="O1208" s="569">
        <v>1</v>
      </c>
      <c r="P1208" s="569">
        <v>86.8</v>
      </c>
      <c r="Q1208" s="568" t="s">
        <v>157</v>
      </c>
      <c r="R1208" s="569" t="s">
        <v>682</v>
      </c>
      <c r="S1208" s="569">
        <v>6</v>
      </c>
      <c r="T1208" s="569" t="s">
        <v>2476</v>
      </c>
      <c r="U1208" s="569" t="s">
        <v>2183</v>
      </c>
      <c r="V1208" s="569">
        <v>138</v>
      </c>
      <c r="W1208" s="569">
        <v>25</v>
      </c>
      <c r="X1208" s="568">
        <v>10360</v>
      </c>
      <c r="Y1208" s="569" t="s">
        <v>164</v>
      </c>
      <c r="Z1208" s="581" t="s">
        <v>178</v>
      </c>
      <c r="AA1208" s="581" t="s">
        <v>178</v>
      </c>
      <c r="AB1208" s="585">
        <v>32780</v>
      </c>
      <c r="AC1208" s="585" t="s">
        <v>164</v>
      </c>
      <c r="AD1208" s="585">
        <v>23804.875</v>
      </c>
      <c r="AE1208" s="587">
        <v>0.03</v>
      </c>
      <c r="AF1208" s="661" t="str">
        <f t="shared" si="129"/>
        <v>2019-LVN-FRD-T3CW-012-05</v>
      </c>
      <c r="AG1208" s="661" t="str">
        <f>IF(AND($Y1208&gt;=32,(AI1208="I"),(Y1208&lt;&gt;"~"),(COUNTIF($AN$1:$AN1208,$AN1208)=1)),"TRUE","FALSE")</f>
        <v>FALSE</v>
      </c>
      <c r="AH1208" s="661" t="str">
        <f>IF(AND($Y1208&gt;=22, (AI1208&lt;&gt;"I"),(Y1208&lt;&gt;"~"),(COUNTIF($AN$1:$AN1208,$AN1208)=1)),"TRUE","FALSE")</f>
        <v>TRUE</v>
      </c>
      <c r="AI1208" s="661" t="str">
        <f t="shared" si="131"/>
        <v>N/A</v>
      </c>
      <c r="AJ1208" s="662" t="str">
        <f t="shared" si="125"/>
        <v>T3CW-012</v>
      </c>
      <c r="AK1208" s="662" t="str">
        <f t="shared" si="126"/>
        <v>LVN</v>
      </c>
      <c r="AL1208" s="662" t="str">
        <f t="shared" si="127"/>
        <v>FRD</v>
      </c>
      <c r="AM1208" s="662" t="str">
        <f t="shared" si="130"/>
        <v>Transit 350 Cutaway-DRW-RWD-2-86.8-~-3.7L-6-S6P-501A-138-25-Unleaded-Unleaded</v>
      </c>
      <c r="AN1208" s="662" t="str">
        <f t="shared" si="128"/>
        <v>2019-LVN-FRD-T3CW-012</v>
      </c>
    </row>
    <row r="1209" spans="1:40" s="572" customFormat="1" ht="15">
      <c r="A1209" s="570" t="s">
        <v>2479</v>
      </c>
      <c r="B1209" s="573" t="s">
        <v>2455</v>
      </c>
      <c r="C1209" s="573" t="s">
        <v>278</v>
      </c>
      <c r="D1209" s="578">
        <v>15</v>
      </c>
      <c r="E1209" s="573" t="s">
        <v>1516</v>
      </c>
      <c r="F1209" s="573" t="s">
        <v>1684</v>
      </c>
      <c r="G1209" s="573" t="s">
        <v>271</v>
      </c>
      <c r="H1209" s="573">
        <v>2019</v>
      </c>
      <c r="I1209" s="573" t="s">
        <v>2456</v>
      </c>
      <c r="J1209" s="573" t="s">
        <v>1686</v>
      </c>
      <c r="K1209" s="573" t="s">
        <v>236</v>
      </c>
      <c r="L1209" s="573">
        <v>2</v>
      </c>
      <c r="M1209" s="573">
        <v>0</v>
      </c>
      <c r="N1209" s="573" t="s">
        <v>157</v>
      </c>
      <c r="O1209" s="573">
        <v>1</v>
      </c>
      <c r="P1209" s="573">
        <v>82.6</v>
      </c>
      <c r="Q1209" s="571" t="s">
        <v>157</v>
      </c>
      <c r="R1209" s="573" t="s">
        <v>682</v>
      </c>
      <c r="S1209" s="573">
        <v>6</v>
      </c>
      <c r="T1209" s="573" t="s">
        <v>2457</v>
      </c>
      <c r="U1209" s="573" t="s">
        <v>2183</v>
      </c>
      <c r="V1209" s="573">
        <v>138</v>
      </c>
      <c r="W1209" s="573">
        <v>25</v>
      </c>
      <c r="X1209" s="571">
        <v>9950</v>
      </c>
      <c r="Y1209" s="573">
        <v>12</v>
      </c>
      <c r="Z1209" s="579" t="s">
        <v>178</v>
      </c>
      <c r="AA1209" s="579" t="s">
        <v>178</v>
      </c>
      <c r="AB1209" s="584">
        <v>32525</v>
      </c>
      <c r="AC1209" s="584" t="s">
        <v>164</v>
      </c>
      <c r="AD1209" s="584">
        <v>24000</v>
      </c>
      <c r="AE1209" s="586">
        <v>0.01</v>
      </c>
      <c r="AF1209" s="661" t="str">
        <f t="shared" si="129"/>
        <v>2019-LVN-FRD-T3CW-002-15</v>
      </c>
      <c r="AG1209" s="661" t="str">
        <f>IF(AND($Y1209&gt;=32,(AI1209="I"),(Y1209&lt;&gt;"~"),(COUNTIF($AN$1:$AN1209,$AN1209)=1)),"TRUE","FALSE")</f>
        <v>FALSE</v>
      </c>
      <c r="AH1209" s="661" t="str">
        <f>IF(AND($Y1209&gt;=22, (AI1209&lt;&gt;"I"),(Y1209&lt;&gt;"~"),(COUNTIF($AN$1:$AN1209,$AN1209)=1)),"TRUE","FALSE")</f>
        <v>FALSE</v>
      </c>
      <c r="AI1209" s="661" t="str">
        <f t="shared" si="131"/>
        <v>II</v>
      </c>
      <c r="AJ1209" s="662" t="str">
        <f t="shared" si="125"/>
        <v>T3CW-002</v>
      </c>
      <c r="AK1209" s="662" t="str">
        <f t="shared" si="126"/>
        <v>LVN</v>
      </c>
      <c r="AL1209" s="662" t="str">
        <f t="shared" si="127"/>
        <v>FRD</v>
      </c>
      <c r="AM1209" s="662" t="str">
        <f t="shared" si="130"/>
        <v>Transit 350 Cutaway-DRW-RWD-2-82.6-~-3.7L-6-F6P-501A-138-25-Unleaded-Unleaded</v>
      </c>
      <c r="AN1209" s="662" t="str">
        <f t="shared" si="128"/>
        <v>2019-LVN-FRD-T3CW-002</v>
      </c>
    </row>
    <row r="1210" spans="1:40" s="572" customFormat="1" ht="15">
      <c r="A1210" s="570" t="s">
        <v>2480</v>
      </c>
      <c r="B1210" s="569" t="s">
        <v>2459</v>
      </c>
      <c r="C1210" s="569" t="s">
        <v>278</v>
      </c>
      <c r="D1210" s="580">
        <v>15</v>
      </c>
      <c r="E1210" s="569" t="s">
        <v>1516</v>
      </c>
      <c r="F1210" s="569" t="s">
        <v>1684</v>
      </c>
      <c r="G1210" s="569" t="s">
        <v>271</v>
      </c>
      <c r="H1210" s="569">
        <v>2019</v>
      </c>
      <c r="I1210" s="569" t="s">
        <v>2456</v>
      </c>
      <c r="J1210" s="569" t="s">
        <v>1686</v>
      </c>
      <c r="K1210" s="569" t="s">
        <v>236</v>
      </c>
      <c r="L1210" s="569">
        <v>2</v>
      </c>
      <c r="M1210" s="569">
        <v>0</v>
      </c>
      <c r="N1210" s="569" t="s">
        <v>157</v>
      </c>
      <c r="O1210" s="569">
        <v>1</v>
      </c>
      <c r="P1210" s="569">
        <v>86.5</v>
      </c>
      <c r="Q1210" s="568" t="s">
        <v>157</v>
      </c>
      <c r="R1210" s="569" t="s">
        <v>1917</v>
      </c>
      <c r="S1210" s="569">
        <v>5</v>
      </c>
      <c r="T1210" s="569" t="s">
        <v>2460</v>
      </c>
      <c r="U1210" s="569" t="s">
        <v>2183</v>
      </c>
      <c r="V1210" s="569">
        <v>156</v>
      </c>
      <c r="W1210" s="569">
        <v>25</v>
      </c>
      <c r="X1210" s="568">
        <v>10360</v>
      </c>
      <c r="Y1210" s="569" t="s">
        <v>164</v>
      </c>
      <c r="Z1210" s="581" t="s">
        <v>728</v>
      </c>
      <c r="AA1210" s="581" t="s">
        <v>1523</v>
      </c>
      <c r="AB1210" s="585">
        <v>37220</v>
      </c>
      <c r="AC1210" s="585" t="s">
        <v>164</v>
      </c>
      <c r="AD1210" s="585">
        <v>28300</v>
      </c>
      <c r="AE1210" s="587">
        <v>0.01</v>
      </c>
      <c r="AF1210" s="661" t="str">
        <f t="shared" si="129"/>
        <v>2019-LVN-FRD-T3CW-005-15</v>
      </c>
      <c r="AG1210" s="661" t="str">
        <f>IF(AND($Y1210&gt;=32,(AI1210="I"),(Y1210&lt;&gt;"~"),(COUNTIF($AN$1:$AN1210,$AN1210)=1)),"TRUE","FALSE")</f>
        <v>FALSE</v>
      </c>
      <c r="AH1210" s="661" t="str">
        <f>IF(AND($Y1210&gt;=22, (AI1210&lt;&gt;"I"),(Y1210&lt;&gt;"~"),(COUNTIF($AN$1:$AN1210,$AN1210)=1)),"TRUE","FALSE")</f>
        <v>FALSE</v>
      </c>
      <c r="AI1210" s="661" t="str">
        <f t="shared" si="131"/>
        <v>N/A</v>
      </c>
      <c r="AJ1210" s="662" t="str">
        <f t="shared" si="125"/>
        <v>T3CW-005</v>
      </c>
      <c r="AK1210" s="662" t="str">
        <f t="shared" si="126"/>
        <v>LVN</v>
      </c>
      <c r="AL1210" s="662" t="str">
        <f t="shared" si="127"/>
        <v>FRD</v>
      </c>
      <c r="AM1210" s="662" t="str">
        <f t="shared" si="130"/>
        <v>Transit 350 Cutaway-DRW-RWD-2-86.5-~-3.2L-5-S8P-501A-156-25-Diesel-BioDiesel</v>
      </c>
      <c r="AN1210" s="662" t="str">
        <f t="shared" si="128"/>
        <v>2019-LVN-FRD-T3CW-005</v>
      </c>
    </row>
    <row r="1211" spans="1:40" s="572" customFormat="1" ht="15">
      <c r="A1211" s="570" t="s">
        <v>2481</v>
      </c>
      <c r="B1211" s="573" t="s">
        <v>2462</v>
      </c>
      <c r="C1211" s="573" t="s">
        <v>278</v>
      </c>
      <c r="D1211" s="578">
        <v>15</v>
      </c>
      <c r="E1211" s="573" t="s">
        <v>1516</v>
      </c>
      <c r="F1211" s="573" t="s">
        <v>1684</v>
      </c>
      <c r="G1211" s="573" t="s">
        <v>271</v>
      </c>
      <c r="H1211" s="573">
        <v>2019</v>
      </c>
      <c r="I1211" s="573" t="s">
        <v>2456</v>
      </c>
      <c r="J1211" s="573" t="s">
        <v>1686</v>
      </c>
      <c r="K1211" s="573" t="s">
        <v>236</v>
      </c>
      <c r="L1211" s="573">
        <v>2</v>
      </c>
      <c r="M1211" s="573">
        <v>0</v>
      </c>
      <c r="N1211" s="573" t="s">
        <v>157</v>
      </c>
      <c r="O1211" s="573">
        <v>1</v>
      </c>
      <c r="P1211" s="573">
        <v>86.5</v>
      </c>
      <c r="Q1211" s="571" t="s">
        <v>157</v>
      </c>
      <c r="R1211" s="573" t="s">
        <v>1917</v>
      </c>
      <c r="S1211" s="573">
        <v>5</v>
      </c>
      <c r="T1211" s="573" t="s">
        <v>2463</v>
      </c>
      <c r="U1211" s="573" t="s">
        <v>2183</v>
      </c>
      <c r="V1211" s="573">
        <v>178</v>
      </c>
      <c r="W1211" s="573">
        <v>25</v>
      </c>
      <c r="X1211" s="571">
        <v>10360</v>
      </c>
      <c r="Y1211" s="569" t="s">
        <v>164</v>
      </c>
      <c r="Z1211" s="579" t="s">
        <v>728</v>
      </c>
      <c r="AA1211" s="579" t="s">
        <v>1523</v>
      </c>
      <c r="AB1211" s="584">
        <v>37970</v>
      </c>
      <c r="AC1211" s="584" t="s">
        <v>164</v>
      </c>
      <c r="AD1211" s="584">
        <v>29000</v>
      </c>
      <c r="AE1211" s="586">
        <v>0.01</v>
      </c>
      <c r="AF1211" s="661" t="str">
        <f t="shared" si="129"/>
        <v>2019-LVN-FRD-T3CW-006-15</v>
      </c>
      <c r="AG1211" s="661" t="str">
        <f>IF(AND($Y1211&gt;=32,(AI1211="I"),(Y1211&lt;&gt;"~"),(COUNTIF($AN$1:$AN1211,$AN1211)=1)),"TRUE","FALSE")</f>
        <v>FALSE</v>
      </c>
      <c r="AH1211" s="661" t="str">
        <f>IF(AND($Y1211&gt;=22, (AI1211&lt;&gt;"I"),(Y1211&lt;&gt;"~"),(COUNTIF($AN$1:$AN1211,$AN1211)=1)),"TRUE","FALSE")</f>
        <v>FALSE</v>
      </c>
      <c r="AI1211" s="661" t="str">
        <f t="shared" si="131"/>
        <v>N/A</v>
      </c>
      <c r="AJ1211" s="662" t="str">
        <f t="shared" si="125"/>
        <v>T3CW-006</v>
      </c>
      <c r="AK1211" s="662" t="str">
        <f t="shared" si="126"/>
        <v>LVN</v>
      </c>
      <c r="AL1211" s="662" t="str">
        <f t="shared" si="127"/>
        <v>FRD</v>
      </c>
      <c r="AM1211" s="662" t="str">
        <f t="shared" si="130"/>
        <v>Transit 350 Cutaway-DRW-RWD-2-86.5-~-3.2L-5-S9P-501A-178-25-Diesel-BioDiesel</v>
      </c>
      <c r="AN1211" s="662" t="str">
        <f t="shared" si="128"/>
        <v>2019-LVN-FRD-T3CW-006</v>
      </c>
    </row>
    <row r="1212" spans="1:40" s="572" customFormat="1" ht="15">
      <c r="A1212" s="570" t="s">
        <v>2482</v>
      </c>
      <c r="B1212" s="569" t="s">
        <v>2465</v>
      </c>
      <c r="C1212" s="569" t="s">
        <v>278</v>
      </c>
      <c r="D1212" s="580">
        <v>15</v>
      </c>
      <c r="E1212" s="569" t="s">
        <v>1516</v>
      </c>
      <c r="F1212" s="569" t="s">
        <v>1684</v>
      </c>
      <c r="G1212" s="569" t="s">
        <v>271</v>
      </c>
      <c r="H1212" s="569">
        <v>2019</v>
      </c>
      <c r="I1212" s="569" t="s">
        <v>2456</v>
      </c>
      <c r="J1212" s="569" t="s">
        <v>1686</v>
      </c>
      <c r="K1212" s="569" t="s">
        <v>236</v>
      </c>
      <c r="L1212" s="569">
        <v>2</v>
      </c>
      <c r="M1212" s="569">
        <v>0</v>
      </c>
      <c r="N1212" s="569" t="s">
        <v>157</v>
      </c>
      <c r="O1212" s="569">
        <v>1</v>
      </c>
      <c r="P1212" s="569">
        <v>86.5</v>
      </c>
      <c r="Q1212" s="568" t="s">
        <v>157</v>
      </c>
      <c r="R1212" s="569" t="s">
        <v>682</v>
      </c>
      <c r="S1212" s="569">
        <v>6</v>
      </c>
      <c r="T1212" s="569" t="s">
        <v>2466</v>
      </c>
      <c r="U1212" s="569" t="s">
        <v>2183</v>
      </c>
      <c r="V1212" s="569">
        <v>156</v>
      </c>
      <c r="W1212" s="569">
        <v>25</v>
      </c>
      <c r="X1212" s="568">
        <v>9950</v>
      </c>
      <c r="Y1212" s="573">
        <v>12</v>
      </c>
      <c r="Z1212" s="581" t="s">
        <v>178</v>
      </c>
      <c r="AA1212" s="581" t="s">
        <v>178</v>
      </c>
      <c r="AB1212" s="585">
        <v>32975</v>
      </c>
      <c r="AC1212" s="585" t="s">
        <v>164</v>
      </c>
      <c r="AD1212" s="585">
        <v>24500</v>
      </c>
      <c r="AE1212" s="587">
        <v>0.01</v>
      </c>
      <c r="AF1212" s="661" t="str">
        <f t="shared" si="129"/>
        <v>2019-LVN-FRD-T3CW-007-15</v>
      </c>
      <c r="AG1212" s="661" t="str">
        <f>IF(AND($Y1212&gt;=32,(AI1212="I"),(Y1212&lt;&gt;"~"),(COUNTIF($AN$1:$AN1212,$AN1212)=1)),"TRUE","FALSE")</f>
        <v>FALSE</v>
      </c>
      <c r="AH1212" s="661" t="str">
        <f>IF(AND($Y1212&gt;=22, (AI1212&lt;&gt;"I"),(Y1212&lt;&gt;"~"),(COUNTIF($AN$1:$AN1212,$AN1212)=1)),"TRUE","FALSE")</f>
        <v>FALSE</v>
      </c>
      <c r="AI1212" s="661" t="str">
        <f t="shared" si="131"/>
        <v>II</v>
      </c>
      <c r="AJ1212" s="662" t="str">
        <f t="shared" si="125"/>
        <v>T3CW-007</v>
      </c>
      <c r="AK1212" s="662" t="str">
        <f t="shared" si="126"/>
        <v>LVN</v>
      </c>
      <c r="AL1212" s="662" t="str">
        <f t="shared" si="127"/>
        <v>FRD</v>
      </c>
      <c r="AM1212" s="662" t="str">
        <f t="shared" si="130"/>
        <v>Transit 350 Cutaway-DRW-RWD-2-86.5-~-3.7L-6-F8P-501A-156-25-Unleaded-Unleaded</v>
      </c>
      <c r="AN1212" s="662" t="str">
        <f t="shared" si="128"/>
        <v>2019-LVN-FRD-T3CW-007</v>
      </c>
    </row>
    <row r="1213" spans="1:40" s="572" customFormat="1" ht="15">
      <c r="A1213" s="570" t="s">
        <v>2483</v>
      </c>
      <c r="B1213" s="573" t="s">
        <v>2468</v>
      </c>
      <c r="C1213" s="573" t="s">
        <v>278</v>
      </c>
      <c r="D1213" s="578">
        <v>15</v>
      </c>
      <c r="E1213" s="573" t="s">
        <v>1516</v>
      </c>
      <c r="F1213" s="573" t="s">
        <v>1684</v>
      </c>
      <c r="G1213" s="573" t="s">
        <v>271</v>
      </c>
      <c r="H1213" s="573">
        <v>2019</v>
      </c>
      <c r="I1213" s="573" t="s">
        <v>2456</v>
      </c>
      <c r="J1213" s="573" t="s">
        <v>1686</v>
      </c>
      <c r="K1213" s="573" t="s">
        <v>236</v>
      </c>
      <c r="L1213" s="573">
        <v>2</v>
      </c>
      <c r="M1213" s="573">
        <v>0</v>
      </c>
      <c r="N1213" s="573" t="s">
        <v>157</v>
      </c>
      <c r="O1213" s="573">
        <v>1</v>
      </c>
      <c r="P1213" s="573">
        <v>86.5</v>
      </c>
      <c r="Q1213" s="571" t="s">
        <v>157</v>
      </c>
      <c r="R1213" s="573" t="s">
        <v>682</v>
      </c>
      <c r="S1213" s="573">
        <v>6</v>
      </c>
      <c r="T1213" s="573" t="s">
        <v>2469</v>
      </c>
      <c r="U1213" s="573" t="s">
        <v>2183</v>
      </c>
      <c r="V1213" s="573">
        <v>178</v>
      </c>
      <c r="W1213" s="573">
        <v>25</v>
      </c>
      <c r="X1213" s="571">
        <v>9950</v>
      </c>
      <c r="Y1213" s="573">
        <v>12</v>
      </c>
      <c r="Z1213" s="579" t="s">
        <v>178</v>
      </c>
      <c r="AA1213" s="579" t="s">
        <v>178</v>
      </c>
      <c r="AB1213" s="584">
        <v>33725</v>
      </c>
      <c r="AC1213" s="584" t="s">
        <v>164</v>
      </c>
      <c r="AD1213" s="584">
        <v>25100</v>
      </c>
      <c r="AE1213" s="586">
        <v>0.01</v>
      </c>
      <c r="AF1213" s="661" t="str">
        <f t="shared" si="129"/>
        <v>2019-LVN-FRD-T3CW-008-15</v>
      </c>
      <c r="AG1213" s="661" t="str">
        <f>IF(AND($Y1213&gt;=32,(AI1213="I"),(Y1213&lt;&gt;"~"),(COUNTIF($AN$1:$AN1213,$AN1213)=1)),"TRUE","FALSE")</f>
        <v>FALSE</v>
      </c>
      <c r="AH1213" s="661" t="str">
        <f>IF(AND($Y1213&gt;=22, (AI1213&lt;&gt;"I"),(Y1213&lt;&gt;"~"),(COUNTIF($AN$1:$AN1213,$AN1213)=1)),"TRUE","FALSE")</f>
        <v>FALSE</v>
      </c>
      <c r="AI1213" s="661" t="str">
        <f t="shared" si="131"/>
        <v>II</v>
      </c>
      <c r="AJ1213" s="662" t="str">
        <f t="shared" si="125"/>
        <v>T3CW-008</v>
      </c>
      <c r="AK1213" s="662" t="str">
        <f t="shared" si="126"/>
        <v>LVN</v>
      </c>
      <c r="AL1213" s="662" t="str">
        <f t="shared" si="127"/>
        <v>FRD</v>
      </c>
      <c r="AM1213" s="662" t="str">
        <f t="shared" si="130"/>
        <v>Transit 350 Cutaway-DRW-RWD-2-86.5-~-3.7L-6-F9P-501A-178-25-Unleaded-Unleaded</v>
      </c>
      <c r="AN1213" s="662" t="str">
        <f t="shared" si="128"/>
        <v>2019-LVN-FRD-T3CW-008</v>
      </c>
    </row>
    <row r="1214" spans="1:40" s="572" customFormat="1" ht="15">
      <c r="A1214" s="570" t="s">
        <v>2484</v>
      </c>
      <c r="B1214" s="569" t="s">
        <v>2471</v>
      </c>
      <c r="C1214" s="569" t="s">
        <v>278</v>
      </c>
      <c r="D1214" s="580">
        <v>15</v>
      </c>
      <c r="E1214" s="569" t="s">
        <v>1516</v>
      </c>
      <c r="F1214" s="569" t="s">
        <v>1684</v>
      </c>
      <c r="G1214" s="569" t="s">
        <v>271</v>
      </c>
      <c r="H1214" s="569">
        <v>2019</v>
      </c>
      <c r="I1214" s="569" t="s">
        <v>2456</v>
      </c>
      <c r="J1214" s="569" t="s">
        <v>1686</v>
      </c>
      <c r="K1214" s="569" t="s">
        <v>236</v>
      </c>
      <c r="L1214" s="569">
        <v>2</v>
      </c>
      <c r="M1214" s="569">
        <v>0</v>
      </c>
      <c r="N1214" s="569" t="s">
        <v>157</v>
      </c>
      <c r="O1214" s="569">
        <v>1</v>
      </c>
      <c r="P1214" s="569">
        <v>86.5</v>
      </c>
      <c r="Q1214" s="568" t="s">
        <v>157</v>
      </c>
      <c r="R1214" s="569" t="s">
        <v>682</v>
      </c>
      <c r="S1214" s="569">
        <v>6</v>
      </c>
      <c r="T1214" s="569" t="s">
        <v>2460</v>
      </c>
      <c r="U1214" s="569" t="s">
        <v>2183</v>
      </c>
      <c r="V1214" s="569">
        <v>156</v>
      </c>
      <c r="W1214" s="569">
        <v>25</v>
      </c>
      <c r="X1214" s="568">
        <v>10360</v>
      </c>
      <c r="Y1214" s="569" t="s">
        <v>164</v>
      </c>
      <c r="Z1214" s="581" t="s">
        <v>178</v>
      </c>
      <c r="AA1214" s="581" t="s">
        <v>178</v>
      </c>
      <c r="AB1214" s="585">
        <v>33225</v>
      </c>
      <c r="AC1214" s="585" t="s">
        <v>164</v>
      </c>
      <c r="AD1214" s="585">
        <v>24700</v>
      </c>
      <c r="AE1214" s="587">
        <v>0.01</v>
      </c>
      <c r="AF1214" s="661" t="str">
        <f t="shared" si="129"/>
        <v>2019-LVN-FRD-T3CW-009-15</v>
      </c>
      <c r="AG1214" s="661" t="str">
        <f>IF(AND($Y1214&gt;=32,(AI1214="I"),(Y1214&lt;&gt;"~"),(COUNTIF($AN$1:$AN1214,$AN1214)=1)),"TRUE","FALSE")</f>
        <v>FALSE</v>
      </c>
      <c r="AH1214" s="661" t="str">
        <f>IF(AND($Y1214&gt;=22, (AI1214&lt;&gt;"I"),(Y1214&lt;&gt;"~"),(COUNTIF($AN$1:$AN1214,$AN1214)=1)),"TRUE","FALSE")</f>
        <v>FALSE</v>
      </c>
      <c r="AI1214" s="661" t="str">
        <f t="shared" si="131"/>
        <v>N/A</v>
      </c>
      <c r="AJ1214" s="662" t="str">
        <f t="shared" si="125"/>
        <v>T3CW-009</v>
      </c>
      <c r="AK1214" s="662" t="str">
        <f t="shared" si="126"/>
        <v>LVN</v>
      </c>
      <c r="AL1214" s="662" t="str">
        <f t="shared" si="127"/>
        <v>FRD</v>
      </c>
      <c r="AM1214" s="662" t="str">
        <f t="shared" si="130"/>
        <v>Transit 350 Cutaway-DRW-RWD-2-86.5-~-3.7L-6-S8P-501A-156-25-Unleaded-Unleaded</v>
      </c>
      <c r="AN1214" s="662" t="str">
        <f t="shared" si="128"/>
        <v>2019-LVN-FRD-T3CW-009</v>
      </c>
    </row>
    <row r="1215" spans="1:40" s="572" customFormat="1" ht="15">
      <c r="A1215" s="570" t="s">
        <v>2485</v>
      </c>
      <c r="B1215" s="573" t="s">
        <v>2473</v>
      </c>
      <c r="C1215" s="573" t="s">
        <v>278</v>
      </c>
      <c r="D1215" s="578">
        <v>15</v>
      </c>
      <c r="E1215" s="573" t="s">
        <v>1516</v>
      </c>
      <c r="F1215" s="573" t="s">
        <v>1684</v>
      </c>
      <c r="G1215" s="573" t="s">
        <v>271</v>
      </c>
      <c r="H1215" s="573">
        <v>2019</v>
      </c>
      <c r="I1215" s="573" t="s">
        <v>2456</v>
      </c>
      <c r="J1215" s="573" t="s">
        <v>1686</v>
      </c>
      <c r="K1215" s="573" t="s">
        <v>236</v>
      </c>
      <c r="L1215" s="573">
        <v>2</v>
      </c>
      <c r="M1215" s="573">
        <v>0</v>
      </c>
      <c r="N1215" s="573" t="s">
        <v>157</v>
      </c>
      <c r="O1215" s="573">
        <v>1</v>
      </c>
      <c r="P1215" s="573">
        <v>86.5</v>
      </c>
      <c r="Q1215" s="571" t="s">
        <v>157</v>
      </c>
      <c r="R1215" s="573" t="s">
        <v>682</v>
      </c>
      <c r="S1215" s="573">
        <v>6</v>
      </c>
      <c r="T1215" s="573" t="s">
        <v>2463</v>
      </c>
      <c r="U1215" s="573" t="s">
        <v>2183</v>
      </c>
      <c r="V1215" s="573">
        <v>178</v>
      </c>
      <c r="W1215" s="573">
        <v>25</v>
      </c>
      <c r="X1215" s="571">
        <v>10360</v>
      </c>
      <c r="Y1215" s="569" t="s">
        <v>164</v>
      </c>
      <c r="Z1215" s="579" t="s">
        <v>178</v>
      </c>
      <c r="AA1215" s="579" t="s">
        <v>178</v>
      </c>
      <c r="AB1215" s="584">
        <v>33975</v>
      </c>
      <c r="AC1215" s="584" t="s">
        <v>164</v>
      </c>
      <c r="AD1215" s="584">
        <v>25400</v>
      </c>
      <c r="AE1215" s="586">
        <v>0.01</v>
      </c>
      <c r="AF1215" s="661" t="str">
        <f t="shared" si="129"/>
        <v>2019-LVN-FRD-T3CW-010-15</v>
      </c>
      <c r="AG1215" s="661" t="str">
        <f>IF(AND($Y1215&gt;=32,(AI1215="I"),(Y1215&lt;&gt;"~"),(COUNTIF($AN$1:$AN1215,$AN1215)=1)),"TRUE","FALSE")</f>
        <v>FALSE</v>
      </c>
      <c r="AH1215" s="661" t="str">
        <f>IF(AND($Y1215&gt;=22, (AI1215&lt;&gt;"I"),(Y1215&lt;&gt;"~"),(COUNTIF($AN$1:$AN1215,$AN1215)=1)),"TRUE","FALSE")</f>
        <v>FALSE</v>
      </c>
      <c r="AI1215" s="661" t="str">
        <f t="shared" si="131"/>
        <v>N/A</v>
      </c>
      <c r="AJ1215" s="662" t="str">
        <f t="shared" si="125"/>
        <v>T3CW-010</v>
      </c>
      <c r="AK1215" s="662" t="str">
        <f t="shared" si="126"/>
        <v>LVN</v>
      </c>
      <c r="AL1215" s="662" t="str">
        <f t="shared" si="127"/>
        <v>FRD</v>
      </c>
      <c r="AM1215" s="662" t="str">
        <f t="shared" si="130"/>
        <v>Transit 350 Cutaway-DRW-RWD-2-86.5-~-3.7L-6-S9P-501A-178-25-Unleaded-Unleaded</v>
      </c>
      <c r="AN1215" s="662" t="str">
        <f t="shared" si="128"/>
        <v>2019-LVN-FRD-T3CW-010</v>
      </c>
    </row>
    <row r="1216" spans="1:40" s="572" customFormat="1" ht="15">
      <c r="A1216" s="570" t="s">
        <v>2486</v>
      </c>
      <c r="B1216" s="569" t="s">
        <v>2475</v>
      </c>
      <c r="C1216" s="569" t="s">
        <v>278</v>
      </c>
      <c r="D1216" s="580">
        <v>15</v>
      </c>
      <c r="E1216" s="569" t="s">
        <v>1516</v>
      </c>
      <c r="F1216" s="569" t="s">
        <v>1684</v>
      </c>
      <c r="G1216" s="569" t="s">
        <v>271</v>
      </c>
      <c r="H1216" s="569">
        <v>2019</v>
      </c>
      <c r="I1216" s="569" t="s">
        <v>2456</v>
      </c>
      <c r="J1216" s="569" t="s">
        <v>1686</v>
      </c>
      <c r="K1216" s="569" t="s">
        <v>236</v>
      </c>
      <c r="L1216" s="569">
        <v>2</v>
      </c>
      <c r="M1216" s="569">
        <v>0</v>
      </c>
      <c r="N1216" s="569" t="s">
        <v>157</v>
      </c>
      <c r="O1216" s="569">
        <v>1</v>
      </c>
      <c r="P1216" s="569">
        <v>86.8</v>
      </c>
      <c r="Q1216" s="568" t="s">
        <v>157</v>
      </c>
      <c r="R1216" s="569" t="s">
        <v>1917</v>
      </c>
      <c r="S1216" s="569">
        <v>5</v>
      </c>
      <c r="T1216" s="569" t="s">
        <v>2476</v>
      </c>
      <c r="U1216" s="569" t="s">
        <v>2183</v>
      </c>
      <c r="V1216" s="569">
        <v>138</v>
      </c>
      <c r="W1216" s="569">
        <v>25</v>
      </c>
      <c r="X1216" s="568">
        <v>10360</v>
      </c>
      <c r="Y1216" s="569" t="s">
        <v>164</v>
      </c>
      <c r="Z1216" s="581" t="s">
        <v>728</v>
      </c>
      <c r="AA1216" s="581" t="s">
        <v>1523</v>
      </c>
      <c r="AB1216" s="585">
        <v>36775</v>
      </c>
      <c r="AC1216" s="585" t="s">
        <v>164</v>
      </c>
      <c r="AD1216" s="585">
        <v>27900</v>
      </c>
      <c r="AE1216" s="587">
        <v>0.01</v>
      </c>
      <c r="AF1216" s="661" t="str">
        <f t="shared" si="129"/>
        <v>2019-LVN-FRD-T3CW-011-15</v>
      </c>
      <c r="AG1216" s="661" t="str">
        <f>IF(AND($Y1216&gt;=32,(AI1216="I"),(Y1216&lt;&gt;"~"),(COUNTIF($AN$1:$AN1216,$AN1216)=1)),"TRUE","FALSE")</f>
        <v>FALSE</v>
      </c>
      <c r="AH1216" s="661" t="str">
        <f>IF(AND($Y1216&gt;=22, (AI1216&lt;&gt;"I"),(Y1216&lt;&gt;"~"),(COUNTIF($AN$1:$AN1216,$AN1216)=1)),"TRUE","FALSE")</f>
        <v>FALSE</v>
      </c>
      <c r="AI1216" s="661" t="str">
        <f t="shared" si="131"/>
        <v>N/A</v>
      </c>
      <c r="AJ1216" s="662" t="str">
        <f t="shared" si="125"/>
        <v>T3CW-011</v>
      </c>
      <c r="AK1216" s="662" t="str">
        <f t="shared" si="126"/>
        <v>LVN</v>
      </c>
      <c r="AL1216" s="662" t="str">
        <f t="shared" si="127"/>
        <v>FRD</v>
      </c>
      <c r="AM1216" s="662" t="str">
        <f t="shared" si="130"/>
        <v>Transit 350 Cutaway-DRW-RWD-2-86.8-~-3.2L-5-S6P-501A-138-25-Diesel-BioDiesel</v>
      </c>
      <c r="AN1216" s="662" t="str">
        <f t="shared" si="128"/>
        <v>2019-LVN-FRD-T3CW-011</v>
      </c>
    </row>
    <row r="1217" spans="1:40" s="572" customFormat="1" ht="15">
      <c r="A1217" s="570" t="s">
        <v>2487</v>
      </c>
      <c r="B1217" s="573" t="s">
        <v>2478</v>
      </c>
      <c r="C1217" s="573" t="s">
        <v>278</v>
      </c>
      <c r="D1217" s="578">
        <v>15</v>
      </c>
      <c r="E1217" s="573" t="s">
        <v>1516</v>
      </c>
      <c r="F1217" s="573" t="s">
        <v>1684</v>
      </c>
      <c r="G1217" s="573" t="s">
        <v>271</v>
      </c>
      <c r="H1217" s="573">
        <v>2019</v>
      </c>
      <c r="I1217" s="573" t="s">
        <v>2456</v>
      </c>
      <c r="J1217" s="573" t="s">
        <v>1686</v>
      </c>
      <c r="K1217" s="573" t="s">
        <v>236</v>
      </c>
      <c r="L1217" s="573">
        <v>2</v>
      </c>
      <c r="M1217" s="573">
        <v>0</v>
      </c>
      <c r="N1217" s="573" t="s">
        <v>157</v>
      </c>
      <c r="O1217" s="573">
        <v>1</v>
      </c>
      <c r="P1217" s="573">
        <v>86.8</v>
      </c>
      <c r="Q1217" s="571" t="s">
        <v>157</v>
      </c>
      <c r="R1217" s="573" t="s">
        <v>682</v>
      </c>
      <c r="S1217" s="573">
        <v>6</v>
      </c>
      <c r="T1217" s="573" t="s">
        <v>2476</v>
      </c>
      <c r="U1217" s="573" t="s">
        <v>2183</v>
      </c>
      <c r="V1217" s="573">
        <v>138</v>
      </c>
      <c r="W1217" s="573">
        <v>25</v>
      </c>
      <c r="X1217" s="571">
        <v>10360</v>
      </c>
      <c r="Y1217" s="569" t="s">
        <v>164</v>
      </c>
      <c r="Z1217" s="579" t="s">
        <v>178</v>
      </c>
      <c r="AA1217" s="579" t="s">
        <v>178</v>
      </c>
      <c r="AB1217" s="584">
        <v>32780</v>
      </c>
      <c r="AC1217" s="584" t="s">
        <v>164</v>
      </c>
      <c r="AD1217" s="584">
        <v>24300</v>
      </c>
      <c r="AE1217" s="586">
        <v>0.01</v>
      </c>
      <c r="AF1217" s="661" t="str">
        <f t="shared" si="129"/>
        <v>2019-LVN-FRD-T3CW-012-15</v>
      </c>
      <c r="AG1217" s="661" t="str">
        <f>IF(AND($Y1217&gt;=32,(AI1217="I"),(Y1217&lt;&gt;"~"),(COUNTIF($AN$1:$AN1217,$AN1217)=1)),"TRUE","FALSE")</f>
        <v>FALSE</v>
      </c>
      <c r="AH1217" s="661" t="str">
        <f>IF(AND($Y1217&gt;=22, (AI1217&lt;&gt;"I"),(Y1217&lt;&gt;"~"),(COUNTIF($AN$1:$AN1217,$AN1217)=1)),"TRUE","FALSE")</f>
        <v>FALSE</v>
      </c>
      <c r="AI1217" s="661" t="str">
        <f t="shared" si="131"/>
        <v>N/A</v>
      </c>
      <c r="AJ1217" s="662" t="str">
        <f t="shared" si="125"/>
        <v>T3CW-012</v>
      </c>
      <c r="AK1217" s="662" t="str">
        <f t="shared" si="126"/>
        <v>LVN</v>
      </c>
      <c r="AL1217" s="662" t="str">
        <f t="shared" si="127"/>
        <v>FRD</v>
      </c>
      <c r="AM1217" s="662" t="str">
        <f t="shared" si="130"/>
        <v>Transit 350 Cutaway-DRW-RWD-2-86.8-~-3.7L-6-S6P-501A-138-25-Unleaded-Unleaded</v>
      </c>
      <c r="AN1217" s="662" t="str">
        <f t="shared" si="128"/>
        <v>2019-LVN-FRD-T3CW-012</v>
      </c>
    </row>
    <row r="1218" spans="1:40" s="572" customFormat="1" ht="15">
      <c r="A1218" s="570" t="s">
        <v>2488</v>
      </c>
      <c r="B1218" s="569" t="s">
        <v>2489</v>
      </c>
      <c r="C1218" s="569" t="s">
        <v>287</v>
      </c>
      <c r="D1218" s="580">
        <v>26</v>
      </c>
      <c r="E1218" s="569" t="s">
        <v>1516</v>
      </c>
      <c r="F1218" s="569" t="s">
        <v>1684</v>
      </c>
      <c r="G1218" s="569" t="s">
        <v>271</v>
      </c>
      <c r="H1218" s="569">
        <v>2019</v>
      </c>
      <c r="I1218" s="569" t="s">
        <v>2456</v>
      </c>
      <c r="J1218" s="569" t="s">
        <v>1686</v>
      </c>
      <c r="K1218" s="569" t="s">
        <v>236</v>
      </c>
      <c r="L1218" s="569">
        <v>2</v>
      </c>
      <c r="M1218" s="569">
        <v>0</v>
      </c>
      <c r="N1218" s="569" t="s">
        <v>157</v>
      </c>
      <c r="O1218" s="569">
        <v>1</v>
      </c>
      <c r="P1218" s="569">
        <v>82.6</v>
      </c>
      <c r="Q1218" s="568" t="s">
        <v>157</v>
      </c>
      <c r="R1218" s="569" t="s">
        <v>1917</v>
      </c>
      <c r="S1218" s="569">
        <v>5</v>
      </c>
      <c r="T1218" s="569" t="s">
        <v>2457</v>
      </c>
      <c r="U1218" s="569" t="s">
        <v>2183</v>
      </c>
      <c r="V1218" s="569">
        <v>138</v>
      </c>
      <c r="W1218" s="569">
        <v>25</v>
      </c>
      <c r="X1218" s="568">
        <v>9950</v>
      </c>
      <c r="Y1218" s="573">
        <v>12</v>
      </c>
      <c r="Z1218" s="581" t="s">
        <v>728</v>
      </c>
      <c r="AA1218" s="581" t="s">
        <v>1523</v>
      </c>
      <c r="AB1218" s="585">
        <v>36520</v>
      </c>
      <c r="AC1218" s="585" t="s">
        <v>164</v>
      </c>
      <c r="AD1218" s="585">
        <v>27906</v>
      </c>
      <c r="AE1218" s="587">
        <v>0.05</v>
      </c>
      <c r="AF1218" s="661" t="str">
        <f t="shared" si="129"/>
        <v>2019-LVN-FRD-T3CW-001-26</v>
      </c>
      <c r="AG1218" s="661" t="str">
        <f>IF(AND($Y1218&gt;=32,(AI1218="I"),(Y1218&lt;&gt;"~"),(COUNTIF($AN$1:$AN1218,$AN1218)=1)),"TRUE","FALSE")</f>
        <v>FALSE</v>
      </c>
      <c r="AH1218" s="661" t="str">
        <f>IF(AND($Y1218&gt;=22, (AI1218&lt;&gt;"I"),(Y1218&lt;&gt;"~"),(COUNTIF($AN$1:$AN1218,$AN1218)=1)),"TRUE","FALSE")</f>
        <v>FALSE</v>
      </c>
      <c r="AI1218" s="661" t="str">
        <f t="shared" si="131"/>
        <v>II</v>
      </c>
      <c r="AJ1218" s="662" t="str">
        <f t="shared" si="125"/>
        <v>T3CW-001</v>
      </c>
      <c r="AK1218" s="662" t="str">
        <f t="shared" si="126"/>
        <v>LVN</v>
      </c>
      <c r="AL1218" s="662" t="str">
        <f t="shared" si="127"/>
        <v>FRD</v>
      </c>
      <c r="AM1218" s="662" t="str">
        <f t="shared" si="130"/>
        <v>Transit 350 Cutaway-DRW-RWD-2-82.6-~-3.2L-5-F6P-501A-138-25-Diesel-BioDiesel</v>
      </c>
      <c r="AN1218" s="662" t="str">
        <f t="shared" si="128"/>
        <v>2019-LVN-FRD-T3CW-001</v>
      </c>
    </row>
    <row r="1219" spans="1:40" s="572" customFormat="1" ht="15">
      <c r="A1219" s="570" t="s">
        <v>2490</v>
      </c>
      <c r="B1219" s="573" t="s">
        <v>2455</v>
      </c>
      <c r="C1219" s="573" t="s">
        <v>287</v>
      </c>
      <c r="D1219" s="578">
        <v>26</v>
      </c>
      <c r="E1219" s="573" t="s">
        <v>1516</v>
      </c>
      <c r="F1219" s="573" t="s">
        <v>1684</v>
      </c>
      <c r="G1219" s="573" t="s">
        <v>271</v>
      </c>
      <c r="H1219" s="573">
        <v>2019</v>
      </c>
      <c r="I1219" s="573" t="s">
        <v>2456</v>
      </c>
      <c r="J1219" s="573" t="s">
        <v>1686</v>
      </c>
      <c r="K1219" s="573" t="s">
        <v>236</v>
      </c>
      <c r="L1219" s="573">
        <v>2</v>
      </c>
      <c r="M1219" s="573">
        <v>0</v>
      </c>
      <c r="N1219" s="573" t="s">
        <v>157</v>
      </c>
      <c r="O1219" s="573">
        <v>1</v>
      </c>
      <c r="P1219" s="573">
        <v>82.6</v>
      </c>
      <c r="Q1219" s="571" t="s">
        <v>157</v>
      </c>
      <c r="R1219" s="573" t="s">
        <v>682</v>
      </c>
      <c r="S1219" s="573">
        <v>6</v>
      </c>
      <c r="T1219" s="573" t="s">
        <v>2457</v>
      </c>
      <c r="U1219" s="573" t="s">
        <v>2183</v>
      </c>
      <c r="V1219" s="573">
        <v>138</v>
      </c>
      <c r="W1219" s="573">
        <v>25</v>
      </c>
      <c r="X1219" s="571">
        <v>9950</v>
      </c>
      <c r="Y1219" s="573">
        <v>12</v>
      </c>
      <c r="Z1219" s="579" t="s">
        <v>178</v>
      </c>
      <c r="AA1219" s="579" t="s">
        <v>178</v>
      </c>
      <c r="AB1219" s="584">
        <v>32525</v>
      </c>
      <c r="AC1219" s="584" t="s">
        <v>164</v>
      </c>
      <c r="AD1219" s="584">
        <v>24268</v>
      </c>
      <c r="AE1219" s="586">
        <v>0.05</v>
      </c>
      <c r="AF1219" s="661" t="str">
        <f t="shared" si="129"/>
        <v>2019-LVN-FRD-T3CW-002-26</v>
      </c>
      <c r="AG1219" s="661" t="str">
        <f>IF(AND($Y1219&gt;=32,(AI1219="I"),(Y1219&lt;&gt;"~"),(COUNTIF($AN$1:$AN1219,$AN1219)=1)),"TRUE","FALSE")</f>
        <v>FALSE</v>
      </c>
      <c r="AH1219" s="661" t="str">
        <f>IF(AND($Y1219&gt;=22, (AI1219&lt;&gt;"I"),(Y1219&lt;&gt;"~"),(COUNTIF($AN$1:$AN1219,$AN1219)=1)),"TRUE","FALSE")</f>
        <v>FALSE</v>
      </c>
      <c r="AI1219" s="661" t="str">
        <f t="shared" si="131"/>
        <v>II</v>
      </c>
      <c r="AJ1219" s="662" t="str">
        <f t="shared" ref="AJ1219:AJ1282" si="132">MID(A1219,14,8)</f>
        <v>T3CW-002</v>
      </c>
      <c r="AK1219" s="662" t="str">
        <f t="shared" ref="AK1219:AK1282" si="133">MID(A1219,6,3)</f>
        <v>LVN</v>
      </c>
      <c r="AL1219" s="662" t="str">
        <f t="shared" ref="AL1219:AL1282" si="134">MID(A1219,10,3)</f>
        <v>FRD</v>
      </c>
      <c r="AM1219" s="662" t="str">
        <f t="shared" si="130"/>
        <v>Transit 350 Cutaway-DRW-RWD-2-82.6-~-3.7L-6-F6P-501A-138-25-Unleaded-Unleaded</v>
      </c>
      <c r="AN1219" s="662" t="str">
        <f t="shared" ref="AN1219:AN1282" si="135">LEFT(A1219,21)</f>
        <v>2019-LVN-FRD-T3CW-002</v>
      </c>
    </row>
    <row r="1220" spans="1:40" s="572" customFormat="1" ht="15">
      <c r="A1220" s="570" t="s">
        <v>2491</v>
      </c>
      <c r="B1220" s="569" t="s">
        <v>2492</v>
      </c>
      <c r="C1220" s="569" t="s">
        <v>287</v>
      </c>
      <c r="D1220" s="580">
        <v>26</v>
      </c>
      <c r="E1220" s="569" t="s">
        <v>1516</v>
      </c>
      <c r="F1220" s="569" t="s">
        <v>1684</v>
      </c>
      <c r="G1220" s="569" t="s">
        <v>271</v>
      </c>
      <c r="H1220" s="569">
        <v>2019</v>
      </c>
      <c r="I1220" s="569" t="s">
        <v>2456</v>
      </c>
      <c r="J1220" s="569" t="s">
        <v>1686</v>
      </c>
      <c r="K1220" s="569" t="s">
        <v>236</v>
      </c>
      <c r="L1220" s="569">
        <v>2</v>
      </c>
      <c r="M1220" s="569">
        <v>0</v>
      </c>
      <c r="N1220" s="569" t="s">
        <v>157</v>
      </c>
      <c r="O1220" s="569">
        <v>1</v>
      </c>
      <c r="P1220" s="569">
        <v>86.5</v>
      </c>
      <c r="Q1220" s="568" t="s">
        <v>157</v>
      </c>
      <c r="R1220" s="569" t="s">
        <v>1917</v>
      </c>
      <c r="S1220" s="569">
        <v>5</v>
      </c>
      <c r="T1220" s="569" t="s">
        <v>2466</v>
      </c>
      <c r="U1220" s="569" t="s">
        <v>2183</v>
      </c>
      <c r="V1220" s="569">
        <v>156</v>
      </c>
      <c r="W1220" s="569">
        <v>25</v>
      </c>
      <c r="X1220" s="568">
        <v>9950</v>
      </c>
      <c r="Y1220" s="573">
        <v>12</v>
      </c>
      <c r="Z1220" s="581" t="s">
        <v>728</v>
      </c>
      <c r="AA1220" s="581" t="s">
        <v>1523</v>
      </c>
      <c r="AB1220" s="585">
        <v>36970</v>
      </c>
      <c r="AC1220" s="585" t="s">
        <v>164</v>
      </c>
      <c r="AD1220" s="585">
        <v>28328</v>
      </c>
      <c r="AE1220" s="587">
        <v>0.05</v>
      </c>
      <c r="AF1220" s="661" t="str">
        <f t="shared" si="129"/>
        <v>2019-LVN-FRD-T3CW-003-26</v>
      </c>
      <c r="AG1220" s="661" t="str">
        <f>IF(AND($Y1220&gt;=32,(AI1220="I"),(Y1220&lt;&gt;"~"),(COUNTIF($AN$1:$AN1220,$AN1220)=1)),"TRUE","FALSE")</f>
        <v>FALSE</v>
      </c>
      <c r="AH1220" s="661" t="str">
        <f>IF(AND($Y1220&gt;=22, (AI1220&lt;&gt;"I"),(Y1220&lt;&gt;"~"),(COUNTIF($AN$1:$AN1220,$AN1220)=1)),"TRUE","FALSE")</f>
        <v>FALSE</v>
      </c>
      <c r="AI1220" s="661" t="str">
        <f t="shared" si="131"/>
        <v>II</v>
      </c>
      <c r="AJ1220" s="662" t="str">
        <f t="shared" si="132"/>
        <v>T3CW-003</v>
      </c>
      <c r="AK1220" s="662" t="str">
        <f t="shared" si="133"/>
        <v>LVN</v>
      </c>
      <c r="AL1220" s="662" t="str">
        <f t="shared" si="134"/>
        <v>FRD</v>
      </c>
      <c r="AM1220" s="662" t="str">
        <f t="shared" si="130"/>
        <v>Transit 350 Cutaway-DRW-RWD-2-86.5-~-3.2L-5-F8P-501A-156-25-Diesel-BioDiesel</v>
      </c>
      <c r="AN1220" s="662" t="str">
        <f t="shared" si="135"/>
        <v>2019-LVN-FRD-T3CW-003</v>
      </c>
    </row>
    <row r="1221" spans="1:40" s="572" customFormat="1" ht="15">
      <c r="A1221" s="570" t="s">
        <v>2493</v>
      </c>
      <c r="B1221" s="573" t="s">
        <v>2494</v>
      </c>
      <c r="C1221" s="573" t="s">
        <v>287</v>
      </c>
      <c r="D1221" s="578">
        <v>26</v>
      </c>
      <c r="E1221" s="573" t="s">
        <v>1516</v>
      </c>
      <c r="F1221" s="573" t="s">
        <v>1684</v>
      </c>
      <c r="G1221" s="573" t="s">
        <v>271</v>
      </c>
      <c r="H1221" s="573">
        <v>2019</v>
      </c>
      <c r="I1221" s="573" t="s">
        <v>2456</v>
      </c>
      <c r="J1221" s="573" t="s">
        <v>1686</v>
      </c>
      <c r="K1221" s="573" t="s">
        <v>236</v>
      </c>
      <c r="L1221" s="573">
        <v>2</v>
      </c>
      <c r="M1221" s="573">
        <v>0</v>
      </c>
      <c r="N1221" s="573" t="s">
        <v>157</v>
      </c>
      <c r="O1221" s="573">
        <v>1</v>
      </c>
      <c r="P1221" s="573">
        <v>86.5</v>
      </c>
      <c r="Q1221" s="571" t="s">
        <v>157</v>
      </c>
      <c r="R1221" s="573" t="s">
        <v>1917</v>
      </c>
      <c r="S1221" s="573">
        <v>5</v>
      </c>
      <c r="T1221" s="573" t="s">
        <v>2469</v>
      </c>
      <c r="U1221" s="573" t="s">
        <v>2183</v>
      </c>
      <c r="V1221" s="573">
        <v>178</v>
      </c>
      <c r="W1221" s="573">
        <v>25</v>
      </c>
      <c r="X1221" s="571">
        <v>9950</v>
      </c>
      <c r="Y1221" s="573">
        <v>12</v>
      </c>
      <c r="Z1221" s="579" t="s">
        <v>728</v>
      </c>
      <c r="AA1221" s="579" t="s">
        <v>1523</v>
      </c>
      <c r="AB1221" s="584">
        <v>37720</v>
      </c>
      <c r="AC1221" s="584" t="s">
        <v>164</v>
      </c>
      <c r="AD1221" s="584">
        <v>29032</v>
      </c>
      <c r="AE1221" s="586">
        <v>0.05</v>
      </c>
      <c r="AF1221" s="661" t="str">
        <f t="shared" si="129"/>
        <v>2019-LVN-FRD-T3CW-004-26</v>
      </c>
      <c r="AG1221" s="661" t="str">
        <f>IF(AND($Y1221&gt;=32,(AI1221="I"),(Y1221&lt;&gt;"~"),(COUNTIF($AN$1:$AN1221,$AN1221)=1)),"TRUE","FALSE")</f>
        <v>FALSE</v>
      </c>
      <c r="AH1221" s="661" t="str">
        <f>IF(AND($Y1221&gt;=22, (AI1221&lt;&gt;"I"),(Y1221&lt;&gt;"~"),(COUNTIF($AN$1:$AN1221,$AN1221)=1)),"TRUE","FALSE")</f>
        <v>FALSE</v>
      </c>
      <c r="AI1221" s="661" t="str">
        <f t="shared" si="131"/>
        <v>II</v>
      </c>
      <c r="AJ1221" s="662" t="str">
        <f t="shared" si="132"/>
        <v>T3CW-004</v>
      </c>
      <c r="AK1221" s="662" t="str">
        <f t="shared" si="133"/>
        <v>LVN</v>
      </c>
      <c r="AL1221" s="662" t="str">
        <f t="shared" si="134"/>
        <v>FRD</v>
      </c>
      <c r="AM1221" s="662" t="str">
        <f t="shared" si="130"/>
        <v>Transit 350 Cutaway-DRW-RWD-2-86.5-~-3.2L-5-F9P-501A-178-25-Diesel-BioDiesel</v>
      </c>
      <c r="AN1221" s="662" t="str">
        <f t="shared" si="135"/>
        <v>2019-LVN-FRD-T3CW-004</v>
      </c>
    </row>
    <row r="1222" spans="1:40" s="572" customFormat="1" ht="15">
      <c r="A1222" s="570" t="s">
        <v>2495</v>
      </c>
      <c r="B1222" s="569" t="s">
        <v>2459</v>
      </c>
      <c r="C1222" s="569" t="s">
        <v>287</v>
      </c>
      <c r="D1222" s="580">
        <v>26</v>
      </c>
      <c r="E1222" s="569" t="s">
        <v>1516</v>
      </c>
      <c r="F1222" s="569" t="s">
        <v>1684</v>
      </c>
      <c r="G1222" s="569" t="s">
        <v>271</v>
      </c>
      <c r="H1222" s="569">
        <v>2019</v>
      </c>
      <c r="I1222" s="569" t="s">
        <v>2456</v>
      </c>
      <c r="J1222" s="569" t="s">
        <v>1686</v>
      </c>
      <c r="K1222" s="569" t="s">
        <v>236</v>
      </c>
      <c r="L1222" s="569">
        <v>2</v>
      </c>
      <c r="M1222" s="569">
        <v>0</v>
      </c>
      <c r="N1222" s="569" t="s">
        <v>157</v>
      </c>
      <c r="O1222" s="569">
        <v>1</v>
      </c>
      <c r="P1222" s="569">
        <v>86.5</v>
      </c>
      <c r="Q1222" s="568" t="s">
        <v>157</v>
      </c>
      <c r="R1222" s="569" t="s">
        <v>1917</v>
      </c>
      <c r="S1222" s="569">
        <v>5</v>
      </c>
      <c r="T1222" s="569" t="s">
        <v>2460</v>
      </c>
      <c r="U1222" s="569" t="s">
        <v>2183</v>
      </c>
      <c r="V1222" s="569">
        <v>156</v>
      </c>
      <c r="W1222" s="569">
        <v>25</v>
      </c>
      <c r="X1222" s="568">
        <v>10360</v>
      </c>
      <c r="Y1222" s="569" t="s">
        <v>164</v>
      </c>
      <c r="Z1222" s="581" t="s">
        <v>728</v>
      </c>
      <c r="AA1222" s="581" t="s">
        <v>1523</v>
      </c>
      <c r="AB1222" s="585">
        <v>37220</v>
      </c>
      <c r="AC1222" s="585" t="s">
        <v>164</v>
      </c>
      <c r="AD1222" s="585">
        <v>28562</v>
      </c>
      <c r="AE1222" s="587">
        <v>0.05</v>
      </c>
      <c r="AF1222" s="661" t="str">
        <f t="shared" si="129"/>
        <v>2019-LVN-FRD-T3CW-005-26</v>
      </c>
      <c r="AG1222" s="661" t="str">
        <f>IF(AND($Y1222&gt;=32,(AI1222="I"),(Y1222&lt;&gt;"~"),(COUNTIF($AN$1:$AN1222,$AN1222)=1)),"TRUE","FALSE")</f>
        <v>FALSE</v>
      </c>
      <c r="AH1222" s="661" t="str">
        <f>IF(AND($Y1222&gt;=22, (AI1222&lt;&gt;"I"),(Y1222&lt;&gt;"~"),(COUNTIF($AN$1:$AN1222,$AN1222)=1)),"TRUE","FALSE")</f>
        <v>FALSE</v>
      </c>
      <c r="AI1222" s="661" t="str">
        <f t="shared" si="131"/>
        <v>N/A</v>
      </c>
      <c r="AJ1222" s="662" t="str">
        <f t="shared" si="132"/>
        <v>T3CW-005</v>
      </c>
      <c r="AK1222" s="662" t="str">
        <f t="shared" si="133"/>
        <v>LVN</v>
      </c>
      <c r="AL1222" s="662" t="str">
        <f t="shared" si="134"/>
        <v>FRD</v>
      </c>
      <c r="AM1222" s="662" t="str">
        <f t="shared" si="130"/>
        <v>Transit 350 Cutaway-DRW-RWD-2-86.5-~-3.2L-5-S8P-501A-156-25-Diesel-BioDiesel</v>
      </c>
      <c r="AN1222" s="662" t="str">
        <f t="shared" si="135"/>
        <v>2019-LVN-FRD-T3CW-005</v>
      </c>
    </row>
    <row r="1223" spans="1:40" s="572" customFormat="1" ht="15">
      <c r="A1223" s="570" t="s">
        <v>2496</v>
      </c>
      <c r="B1223" s="573" t="s">
        <v>2462</v>
      </c>
      <c r="C1223" s="573" t="s">
        <v>287</v>
      </c>
      <c r="D1223" s="578">
        <v>26</v>
      </c>
      <c r="E1223" s="573" t="s">
        <v>1516</v>
      </c>
      <c r="F1223" s="573" t="s">
        <v>1684</v>
      </c>
      <c r="G1223" s="573" t="s">
        <v>271</v>
      </c>
      <c r="H1223" s="573">
        <v>2019</v>
      </c>
      <c r="I1223" s="573" t="s">
        <v>2456</v>
      </c>
      <c r="J1223" s="573" t="s">
        <v>1686</v>
      </c>
      <c r="K1223" s="573" t="s">
        <v>236</v>
      </c>
      <c r="L1223" s="573">
        <v>2</v>
      </c>
      <c r="M1223" s="573">
        <v>0</v>
      </c>
      <c r="N1223" s="573" t="s">
        <v>157</v>
      </c>
      <c r="O1223" s="573">
        <v>1</v>
      </c>
      <c r="P1223" s="573">
        <v>86.5</v>
      </c>
      <c r="Q1223" s="571" t="s">
        <v>157</v>
      </c>
      <c r="R1223" s="573" t="s">
        <v>1917</v>
      </c>
      <c r="S1223" s="573">
        <v>5</v>
      </c>
      <c r="T1223" s="573" t="s">
        <v>2463</v>
      </c>
      <c r="U1223" s="573" t="s">
        <v>2183</v>
      </c>
      <c r="V1223" s="573">
        <v>178</v>
      </c>
      <c r="W1223" s="573">
        <v>25</v>
      </c>
      <c r="X1223" s="571">
        <v>10360</v>
      </c>
      <c r="Y1223" s="569" t="s">
        <v>164</v>
      </c>
      <c r="Z1223" s="579" t="s">
        <v>728</v>
      </c>
      <c r="AA1223" s="579" t="s">
        <v>1523</v>
      </c>
      <c r="AB1223" s="584">
        <v>37970</v>
      </c>
      <c r="AC1223" s="584" t="s">
        <v>164</v>
      </c>
      <c r="AD1223" s="584">
        <v>29266</v>
      </c>
      <c r="AE1223" s="586">
        <v>0.05</v>
      </c>
      <c r="AF1223" s="661" t="str">
        <f t="shared" si="129"/>
        <v>2019-LVN-FRD-T3CW-006-26</v>
      </c>
      <c r="AG1223" s="661" t="str">
        <f>IF(AND($Y1223&gt;=32,(AI1223="I"),(Y1223&lt;&gt;"~"),(COUNTIF($AN$1:$AN1223,$AN1223)=1)),"TRUE","FALSE")</f>
        <v>FALSE</v>
      </c>
      <c r="AH1223" s="661" t="str">
        <f>IF(AND($Y1223&gt;=22, (AI1223&lt;&gt;"I"),(Y1223&lt;&gt;"~"),(COUNTIF($AN$1:$AN1223,$AN1223)=1)),"TRUE","FALSE")</f>
        <v>FALSE</v>
      </c>
      <c r="AI1223" s="661" t="str">
        <f t="shared" si="131"/>
        <v>N/A</v>
      </c>
      <c r="AJ1223" s="662" t="str">
        <f t="shared" si="132"/>
        <v>T3CW-006</v>
      </c>
      <c r="AK1223" s="662" t="str">
        <f t="shared" si="133"/>
        <v>LVN</v>
      </c>
      <c r="AL1223" s="662" t="str">
        <f t="shared" si="134"/>
        <v>FRD</v>
      </c>
      <c r="AM1223" s="662" t="str">
        <f t="shared" si="130"/>
        <v>Transit 350 Cutaway-DRW-RWD-2-86.5-~-3.2L-5-S9P-501A-178-25-Diesel-BioDiesel</v>
      </c>
      <c r="AN1223" s="662" t="str">
        <f t="shared" si="135"/>
        <v>2019-LVN-FRD-T3CW-006</v>
      </c>
    </row>
    <row r="1224" spans="1:40" s="572" customFormat="1" ht="15">
      <c r="A1224" s="570" t="s">
        <v>2497</v>
      </c>
      <c r="B1224" s="569" t="s">
        <v>2465</v>
      </c>
      <c r="C1224" s="569" t="s">
        <v>287</v>
      </c>
      <c r="D1224" s="580">
        <v>26</v>
      </c>
      <c r="E1224" s="569" t="s">
        <v>1516</v>
      </c>
      <c r="F1224" s="569" t="s">
        <v>1684</v>
      </c>
      <c r="G1224" s="569" t="s">
        <v>271</v>
      </c>
      <c r="H1224" s="569">
        <v>2019</v>
      </c>
      <c r="I1224" s="569" t="s">
        <v>2456</v>
      </c>
      <c r="J1224" s="569" t="s">
        <v>1686</v>
      </c>
      <c r="K1224" s="569" t="s">
        <v>236</v>
      </c>
      <c r="L1224" s="569">
        <v>2</v>
      </c>
      <c r="M1224" s="569">
        <v>0</v>
      </c>
      <c r="N1224" s="569" t="s">
        <v>157</v>
      </c>
      <c r="O1224" s="569">
        <v>1</v>
      </c>
      <c r="P1224" s="569">
        <v>86.5</v>
      </c>
      <c r="Q1224" s="568" t="s">
        <v>157</v>
      </c>
      <c r="R1224" s="569" t="s">
        <v>682</v>
      </c>
      <c r="S1224" s="569">
        <v>6</v>
      </c>
      <c r="T1224" s="569" t="s">
        <v>2466</v>
      </c>
      <c r="U1224" s="569" t="s">
        <v>2183</v>
      </c>
      <c r="V1224" s="569">
        <v>156</v>
      </c>
      <c r="W1224" s="569">
        <v>25</v>
      </c>
      <c r="X1224" s="568">
        <v>9950</v>
      </c>
      <c r="Y1224" s="573">
        <v>12</v>
      </c>
      <c r="Z1224" s="581" t="s">
        <v>178</v>
      </c>
      <c r="AA1224" s="581" t="s">
        <v>178</v>
      </c>
      <c r="AB1224" s="585">
        <v>32975</v>
      </c>
      <c r="AC1224" s="585" t="s">
        <v>164</v>
      </c>
      <c r="AD1224" s="585">
        <v>24689</v>
      </c>
      <c r="AE1224" s="587">
        <v>0.05</v>
      </c>
      <c r="AF1224" s="661" t="str">
        <f t="shared" ref="AF1224:AF1287" si="136">A1224</f>
        <v>2019-LVN-FRD-T3CW-007-26</v>
      </c>
      <c r="AG1224" s="661" t="str">
        <f>IF(AND($Y1224&gt;=32,(AI1224="I"),(Y1224&lt;&gt;"~"),(COUNTIF($AN$1:$AN1224,$AN1224)=1)),"TRUE","FALSE")</f>
        <v>FALSE</v>
      </c>
      <c r="AH1224" s="661" t="str">
        <f>IF(AND($Y1224&gt;=22, (AI1224&lt;&gt;"I"),(Y1224&lt;&gt;"~"),(COUNTIF($AN$1:$AN1224,$AN1224)=1)),"TRUE","FALSE")</f>
        <v>FALSE</v>
      </c>
      <c r="AI1224" s="661" t="str">
        <f t="shared" si="131"/>
        <v>II</v>
      </c>
      <c r="AJ1224" s="662" t="str">
        <f t="shared" si="132"/>
        <v>T3CW-007</v>
      </c>
      <c r="AK1224" s="662" t="str">
        <f t="shared" si="133"/>
        <v>LVN</v>
      </c>
      <c r="AL1224" s="662" t="str">
        <f t="shared" si="134"/>
        <v>FRD</v>
      </c>
      <c r="AM1224" s="662" t="str">
        <f t="shared" si="130"/>
        <v>Transit 350 Cutaway-DRW-RWD-2-86.5-~-3.7L-6-F8P-501A-156-25-Unleaded-Unleaded</v>
      </c>
      <c r="AN1224" s="662" t="str">
        <f t="shared" si="135"/>
        <v>2019-LVN-FRD-T3CW-007</v>
      </c>
    </row>
    <row r="1225" spans="1:40" s="572" customFormat="1" ht="15">
      <c r="A1225" s="570" t="s">
        <v>2498</v>
      </c>
      <c r="B1225" s="573" t="s">
        <v>2468</v>
      </c>
      <c r="C1225" s="573" t="s">
        <v>287</v>
      </c>
      <c r="D1225" s="578">
        <v>26</v>
      </c>
      <c r="E1225" s="573" t="s">
        <v>1516</v>
      </c>
      <c r="F1225" s="573" t="s">
        <v>1684</v>
      </c>
      <c r="G1225" s="573" t="s">
        <v>271</v>
      </c>
      <c r="H1225" s="573">
        <v>2019</v>
      </c>
      <c r="I1225" s="573" t="s">
        <v>2456</v>
      </c>
      <c r="J1225" s="573" t="s">
        <v>1686</v>
      </c>
      <c r="K1225" s="573" t="s">
        <v>236</v>
      </c>
      <c r="L1225" s="573">
        <v>2</v>
      </c>
      <c r="M1225" s="573">
        <v>0</v>
      </c>
      <c r="N1225" s="573" t="s">
        <v>157</v>
      </c>
      <c r="O1225" s="573">
        <v>1</v>
      </c>
      <c r="P1225" s="573">
        <v>86.5</v>
      </c>
      <c r="Q1225" s="571" t="s">
        <v>157</v>
      </c>
      <c r="R1225" s="573" t="s">
        <v>682</v>
      </c>
      <c r="S1225" s="573">
        <v>6</v>
      </c>
      <c r="T1225" s="573" t="s">
        <v>2469</v>
      </c>
      <c r="U1225" s="573" t="s">
        <v>2183</v>
      </c>
      <c r="V1225" s="573">
        <v>178</v>
      </c>
      <c r="W1225" s="573">
        <v>25</v>
      </c>
      <c r="X1225" s="571">
        <v>9950</v>
      </c>
      <c r="Y1225" s="573">
        <v>12</v>
      </c>
      <c r="Z1225" s="579" t="s">
        <v>178</v>
      </c>
      <c r="AA1225" s="579" t="s">
        <v>178</v>
      </c>
      <c r="AB1225" s="584">
        <v>33725</v>
      </c>
      <c r="AC1225" s="584" t="s">
        <v>164</v>
      </c>
      <c r="AD1225" s="584">
        <v>25393</v>
      </c>
      <c r="AE1225" s="586">
        <v>0.05</v>
      </c>
      <c r="AF1225" s="661" t="str">
        <f t="shared" si="136"/>
        <v>2019-LVN-FRD-T3CW-008-26</v>
      </c>
      <c r="AG1225" s="661" t="str">
        <f>IF(AND($Y1225&gt;=32,(AI1225="I"),(Y1225&lt;&gt;"~"),(COUNTIF($AN$1:$AN1225,$AN1225)=1)),"TRUE","FALSE")</f>
        <v>FALSE</v>
      </c>
      <c r="AH1225" s="661" t="str">
        <f>IF(AND($Y1225&gt;=22, (AI1225&lt;&gt;"I"),(Y1225&lt;&gt;"~"),(COUNTIF($AN$1:$AN1225,$AN1225)=1)),"TRUE","FALSE")</f>
        <v>FALSE</v>
      </c>
      <c r="AI1225" s="661" t="str">
        <f t="shared" si="131"/>
        <v>II</v>
      </c>
      <c r="AJ1225" s="662" t="str">
        <f t="shared" si="132"/>
        <v>T3CW-008</v>
      </c>
      <c r="AK1225" s="662" t="str">
        <f t="shared" si="133"/>
        <v>LVN</v>
      </c>
      <c r="AL1225" s="662" t="str">
        <f t="shared" si="134"/>
        <v>FRD</v>
      </c>
      <c r="AM1225" s="662" t="str">
        <f t="shared" si="130"/>
        <v>Transit 350 Cutaway-DRW-RWD-2-86.5-~-3.7L-6-F9P-501A-178-25-Unleaded-Unleaded</v>
      </c>
      <c r="AN1225" s="662" t="str">
        <f t="shared" si="135"/>
        <v>2019-LVN-FRD-T3CW-008</v>
      </c>
    </row>
    <row r="1226" spans="1:40" s="572" customFormat="1" ht="15">
      <c r="A1226" s="570" t="s">
        <v>2499</v>
      </c>
      <c r="B1226" s="569" t="s">
        <v>2471</v>
      </c>
      <c r="C1226" s="569" t="s">
        <v>287</v>
      </c>
      <c r="D1226" s="580">
        <v>26</v>
      </c>
      <c r="E1226" s="569" t="s">
        <v>1516</v>
      </c>
      <c r="F1226" s="569" t="s">
        <v>1684</v>
      </c>
      <c r="G1226" s="569" t="s">
        <v>271</v>
      </c>
      <c r="H1226" s="569">
        <v>2019</v>
      </c>
      <c r="I1226" s="569" t="s">
        <v>2456</v>
      </c>
      <c r="J1226" s="569" t="s">
        <v>1686</v>
      </c>
      <c r="K1226" s="569" t="s">
        <v>236</v>
      </c>
      <c r="L1226" s="569">
        <v>2</v>
      </c>
      <c r="M1226" s="569">
        <v>0</v>
      </c>
      <c r="N1226" s="569" t="s">
        <v>157</v>
      </c>
      <c r="O1226" s="569">
        <v>1</v>
      </c>
      <c r="P1226" s="569">
        <v>86.5</v>
      </c>
      <c r="Q1226" s="568" t="s">
        <v>157</v>
      </c>
      <c r="R1226" s="569" t="s">
        <v>682</v>
      </c>
      <c r="S1226" s="569">
        <v>6</v>
      </c>
      <c r="T1226" s="569" t="s">
        <v>2460</v>
      </c>
      <c r="U1226" s="569" t="s">
        <v>2183</v>
      </c>
      <c r="V1226" s="569">
        <v>156</v>
      </c>
      <c r="W1226" s="569">
        <v>25</v>
      </c>
      <c r="X1226" s="568">
        <v>10360</v>
      </c>
      <c r="Y1226" s="569" t="s">
        <v>164</v>
      </c>
      <c r="Z1226" s="581" t="s">
        <v>178</v>
      </c>
      <c r="AA1226" s="581" t="s">
        <v>178</v>
      </c>
      <c r="AB1226" s="585">
        <v>33225</v>
      </c>
      <c r="AC1226" s="585" t="s">
        <v>164</v>
      </c>
      <c r="AD1226" s="585">
        <v>24924</v>
      </c>
      <c r="AE1226" s="587">
        <v>0.05</v>
      </c>
      <c r="AF1226" s="661" t="str">
        <f t="shared" si="136"/>
        <v>2019-LVN-FRD-T3CW-009-26</v>
      </c>
      <c r="AG1226" s="661" t="str">
        <f>IF(AND($Y1226&gt;=32,(AI1226="I"),(Y1226&lt;&gt;"~"),(COUNTIF($AN$1:$AN1226,$AN1226)=1)),"TRUE","FALSE")</f>
        <v>FALSE</v>
      </c>
      <c r="AH1226" s="661" t="str">
        <f>IF(AND($Y1226&gt;=22, (AI1226&lt;&gt;"I"),(Y1226&lt;&gt;"~"),(COUNTIF($AN$1:$AN1226,$AN1226)=1)),"TRUE","FALSE")</f>
        <v>FALSE</v>
      </c>
      <c r="AI1226" s="661" t="str">
        <f t="shared" si="131"/>
        <v>N/A</v>
      </c>
      <c r="AJ1226" s="662" t="str">
        <f t="shared" si="132"/>
        <v>T3CW-009</v>
      </c>
      <c r="AK1226" s="662" t="str">
        <f t="shared" si="133"/>
        <v>LVN</v>
      </c>
      <c r="AL1226" s="662" t="str">
        <f t="shared" si="134"/>
        <v>FRD</v>
      </c>
      <c r="AM1226" s="662" t="str">
        <f t="shared" si="130"/>
        <v>Transit 350 Cutaway-DRW-RWD-2-86.5-~-3.7L-6-S8P-501A-156-25-Unleaded-Unleaded</v>
      </c>
      <c r="AN1226" s="662" t="str">
        <f t="shared" si="135"/>
        <v>2019-LVN-FRD-T3CW-009</v>
      </c>
    </row>
    <row r="1227" spans="1:40" s="572" customFormat="1" ht="15">
      <c r="A1227" s="570" t="s">
        <v>2500</v>
      </c>
      <c r="B1227" s="573" t="s">
        <v>2473</v>
      </c>
      <c r="C1227" s="573" t="s">
        <v>287</v>
      </c>
      <c r="D1227" s="578">
        <v>26</v>
      </c>
      <c r="E1227" s="573" t="s">
        <v>1516</v>
      </c>
      <c r="F1227" s="573" t="s">
        <v>1684</v>
      </c>
      <c r="G1227" s="573" t="s">
        <v>271</v>
      </c>
      <c r="H1227" s="573">
        <v>2019</v>
      </c>
      <c r="I1227" s="573" t="s">
        <v>2456</v>
      </c>
      <c r="J1227" s="573" t="s">
        <v>1686</v>
      </c>
      <c r="K1227" s="573" t="s">
        <v>236</v>
      </c>
      <c r="L1227" s="573">
        <v>2</v>
      </c>
      <c r="M1227" s="573">
        <v>0</v>
      </c>
      <c r="N1227" s="573" t="s">
        <v>157</v>
      </c>
      <c r="O1227" s="573">
        <v>1</v>
      </c>
      <c r="P1227" s="573">
        <v>86.5</v>
      </c>
      <c r="Q1227" s="571" t="s">
        <v>157</v>
      </c>
      <c r="R1227" s="573" t="s">
        <v>682</v>
      </c>
      <c r="S1227" s="573">
        <v>6</v>
      </c>
      <c r="T1227" s="573" t="s">
        <v>2463</v>
      </c>
      <c r="U1227" s="573" t="s">
        <v>2183</v>
      </c>
      <c r="V1227" s="573">
        <v>178</v>
      </c>
      <c r="W1227" s="573">
        <v>25</v>
      </c>
      <c r="X1227" s="571">
        <v>10360</v>
      </c>
      <c r="Y1227" s="569" t="s">
        <v>164</v>
      </c>
      <c r="Z1227" s="579" t="s">
        <v>178</v>
      </c>
      <c r="AA1227" s="579" t="s">
        <v>178</v>
      </c>
      <c r="AB1227" s="584">
        <v>33975</v>
      </c>
      <c r="AC1227" s="584" t="s">
        <v>164</v>
      </c>
      <c r="AD1227" s="584">
        <v>25627</v>
      </c>
      <c r="AE1227" s="586">
        <v>0.05</v>
      </c>
      <c r="AF1227" s="661" t="str">
        <f t="shared" si="136"/>
        <v>2019-LVN-FRD-T3CW-010-26</v>
      </c>
      <c r="AG1227" s="661" t="str">
        <f>IF(AND($Y1227&gt;=32,(AI1227="I"),(Y1227&lt;&gt;"~"),(COUNTIF($AN$1:$AN1227,$AN1227)=1)),"TRUE","FALSE")</f>
        <v>FALSE</v>
      </c>
      <c r="AH1227" s="661" t="str">
        <f>IF(AND($Y1227&gt;=22, (AI1227&lt;&gt;"I"),(Y1227&lt;&gt;"~"),(COUNTIF($AN$1:$AN1227,$AN1227)=1)),"TRUE","FALSE")</f>
        <v>FALSE</v>
      </c>
      <c r="AI1227" s="661" t="str">
        <f t="shared" si="131"/>
        <v>N/A</v>
      </c>
      <c r="AJ1227" s="662" t="str">
        <f t="shared" si="132"/>
        <v>T3CW-010</v>
      </c>
      <c r="AK1227" s="662" t="str">
        <f t="shared" si="133"/>
        <v>LVN</v>
      </c>
      <c r="AL1227" s="662" t="str">
        <f t="shared" si="134"/>
        <v>FRD</v>
      </c>
      <c r="AM1227" s="662" t="str">
        <f t="shared" si="130"/>
        <v>Transit 350 Cutaway-DRW-RWD-2-86.5-~-3.7L-6-S9P-501A-178-25-Unleaded-Unleaded</v>
      </c>
      <c r="AN1227" s="662" t="str">
        <f t="shared" si="135"/>
        <v>2019-LVN-FRD-T3CW-010</v>
      </c>
    </row>
    <row r="1228" spans="1:40" s="572" customFormat="1" ht="15">
      <c r="A1228" s="570" t="s">
        <v>2501</v>
      </c>
      <c r="B1228" s="569" t="s">
        <v>2475</v>
      </c>
      <c r="C1228" s="569" t="s">
        <v>287</v>
      </c>
      <c r="D1228" s="580">
        <v>26</v>
      </c>
      <c r="E1228" s="569" t="s">
        <v>1516</v>
      </c>
      <c r="F1228" s="569" t="s">
        <v>1684</v>
      </c>
      <c r="G1228" s="569" t="s">
        <v>271</v>
      </c>
      <c r="H1228" s="569">
        <v>2019</v>
      </c>
      <c r="I1228" s="569" t="s">
        <v>2456</v>
      </c>
      <c r="J1228" s="569" t="s">
        <v>1686</v>
      </c>
      <c r="K1228" s="569" t="s">
        <v>236</v>
      </c>
      <c r="L1228" s="569">
        <v>2</v>
      </c>
      <c r="M1228" s="569">
        <v>0</v>
      </c>
      <c r="N1228" s="569" t="s">
        <v>157</v>
      </c>
      <c r="O1228" s="569">
        <v>1</v>
      </c>
      <c r="P1228" s="569">
        <v>86.8</v>
      </c>
      <c r="Q1228" s="568" t="s">
        <v>157</v>
      </c>
      <c r="R1228" s="569" t="s">
        <v>1917</v>
      </c>
      <c r="S1228" s="569">
        <v>5</v>
      </c>
      <c r="T1228" s="569" t="s">
        <v>2476</v>
      </c>
      <c r="U1228" s="569" t="s">
        <v>2183</v>
      </c>
      <c r="V1228" s="569">
        <v>138</v>
      </c>
      <c r="W1228" s="569">
        <v>25</v>
      </c>
      <c r="X1228" s="568">
        <v>10360</v>
      </c>
      <c r="Y1228" s="569" t="s">
        <v>164</v>
      </c>
      <c r="Z1228" s="581" t="s">
        <v>728</v>
      </c>
      <c r="AA1228" s="581" t="s">
        <v>1523</v>
      </c>
      <c r="AB1228" s="585">
        <v>36775</v>
      </c>
      <c r="AC1228" s="585" t="s">
        <v>164</v>
      </c>
      <c r="AD1228" s="585">
        <v>28146</v>
      </c>
      <c r="AE1228" s="587">
        <v>0.05</v>
      </c>
      <c r="AF1228" s="661" t="str">
        <f t="shared" si="136"/>
        <v>2019-LVN-FRD-T3CW-011-26</v>
      </c>
      <c r="AG1228" s="661" t="str">
        <f>IF(AND($Y1228&gt;=32,(AI1228="I"),(Y1228&lt;&gt;"~"),(COUNTIF($AN$1:$AN1228,$AN1228)=1)),"TRUE","FALSE")</f>
        <v>FALSE</v>
      </c>
      <c r="AH1228" s="661" t="str">
        <f>IF(AND($Y1228&gt;=22, (AI1228&lt;&gt;"I"),(Y1228&lt;&gt;"~"),(COUNTIF($AN$1:$AN1228,$AN1228)=1)),"TRUE","FALSE")</f>
        <v>FALSE</v>
      </c>
      <c r="AI1228" s="661" t="str">
        <f t="shared" si="131"/>
        <v>N/A</v>
      </c>
      <c r="AJ1228" s="662" t="str">
        <f t="shared" si="132"/>
        <v>T3CW-011</v>
      </c>
      <c r="AK1228" s="662" t="str">
        <f t="shared" si="133"/>
        <v>LVN</v>
      </c>
      <c r="AL1228" s="662" t="str">
        <f t="shared" si="134"/>
        <v>FRD</v>
      </c>
      <c r="AM1228" s="662" t="str">
        <f t="shared" si="130"/>
        <v>Transit 350 Cutaway-DRW-RWD-2-86.8-~-3.2L-5-S6P-501A-138-25-Diesel-BioDiesel</v>
      </c>
      <c r="AN1228" s="662" t="str">
        <f t="shared" si="135"/>
        <v>2019-LVN-FRD-T3CW-011</v>
      </c>
    </row>
    <row r="1229" spans="1:40" s="572" customFormat="1" ht="15">
      <c r="A1229" s="570" t="s">
        <v>2502</v>
      </c>
      <c r="B1229" s="573" t="s">
        <v>2478</v>
      </c>
      <c r="C1229" s="573" t="s">
        <v>287</v>
      </c>
      <c r="D1229" s="578">
        <v>26</v>
      </c>
      <c r="E1229" s="573" t="s">
        <v>1516</v>
      </c>
      <c r="F1229" s="573" t="s">
        <v>1684</v>
      </c>
      <c r="G1229" s="573" t="s">
        <v>271</v>
      </c>
      <c r="H1229" s="573">
        <v>2019</v>
      </c>
      <c r="I1229" s="573" t="s">
        <v>2456</v>
      </c>
      <c r="J1229" s="573" t="s">
        <v>1686</v>
      </c>
      <c r="K1229" s="573" t="s">
        <v>236</v>
      </c>
      <c r="L1229" s="573">
        <v>2</v>
      </c>
      <c r="M1229" s="573">
        <v>0</v>
      </c>
      <c r="N1229" s="573" t="s">
        <v>157</v>
      </c>
      <c r="O1229" s="573">
        <v>1</v>
      </c>
      <c r="P1229" s="573">
        <v>86.8</v>
      </c>
      <c r="Q1229" s="571" t="s">
        <v>157</v>
      </c>
      <c r="R1229" s="573" t="s">
        <v>682</v>
      </c>
      <c r="S1229" s="573">
        <v>6</v>
      </c>
      <c r="T1229" s="573" t="s">
        <v>2476</v>
      </c>
      <c r="U1229" s="573" t="s">
        <v>2183</v>
      </c>
      <c r="V1229" s="573">
        <v>138</v>
      </c>
      <c r="W1229" s="573">
        <v>25</v>
      </c>
      <c r="X1229" s="571">
        <v>10360</v>
      </c>
      <c r="Y1229" s="569" t="s">
        <v>164</v>
      </c>
      <c r="Z1229" s="579" t="s">
        <v>178</v>
      </c>
      <c r="AA1229" s="579" t="s">
        <v>178</v>
      </c>
      <c r="AB1229" s="584">
        <v>32780</v>
      </c>
      <c r="AC1229" s="584" t="s">
        <v>164</v>
      </c>
      <c r="AD1229" s="584">
        <v>24507</v>
      </c>
      <c r="AE1229" s="586">
        <v>0.05</v>
      </c>
      <c r="AF1229" s="661" t="str">
        <f t="shared" si="136"/>
        <v>2019-LVN-FRD-T3CW-012-26</v>
      </c>
      <c r="AG1229" s="661" t="str">
        <f>IF(AND($Y1229&gt;=32,(AI1229="I"),(Y1229&lt;&gt;"~"),(COUNTIF($AN$1:$AN1229,$AN1229)=1)),"TRUE","FALSE")</f>
        <v>FALSE</v>
      </c>
      <c r="AH1229" s="661" t="str">
        <f>IF(AND($Y1229&gt;=22, (AI1229&lt;&gt;"I"),(Y1229&lt;&gt;"~"),(COUNTIF($AN$1:$AN1229,$AN1229)=1)),"TRUE","FALSE")</f>
        <v>FALSE</v>
      </c>
      <c r="AI1229" s="661" t="str">
        <f t="shared" si="131"/>
        <v>N/A</v>
      </c>
      <c r="AJ1229" s="662" t="str">
        <f t="shared" si="132"/>
        <v>T3CW-012</v>
      </c>
      <c r="AK1229" s="662" t="str">
        <f t="shared" si="133"/>
        <v>LVN</v>
      </c>
      <c r="AL1229" s="662" t="str">
        <f t="shared" si="134"/>
        <v>FRD</v>
      </c>
      <c r="AM1229" s="662" t="str">
        <f t="shared" si="130"/>
        <v>Transit 350 Cutaway-DRW-RWD-2-86.8-~-3.7L-6-S6P-501A-138-25-Unleaded-Unleaded</v>
      </c>
      <c r="AN1229" s="662" t="str">
        <f t="shared" si="135"/>
        <v>2019-LVN-FRD-T3CW-012</v>
      </c>
    </row>
    <row r="1230" spans="1:40" s="572" customFormat="1" ht="15">
      <c r="A1230" s="570" t="s">
        <v>2503</v>
      </c>
      <c r="B1230" s="569" t="s">
        <v>2455</v>
      </c>
      <c r="C1230" s="569" t="s">
        <v>280</v>
      </c>
      <c r="D1230" s="580">
        <v>27</v>
      </c>
      <c r="E1230" s="569" t="s">
        <v>1516</v>
      </c>
      <c r="F1230" s="569" t="s">
        <v>1684</v>
      </c>
      <c r="G1230" s="569" t="s">
        <v>271</v>
      </c>
      <c r="H1230" s="569">
        <v>2019</v>
      </c>
      <c r="I1230" s="569" t="s">
        <v>2456</v>
      </c>
      <c r="J1230" s="569" t="s">
        <v>1686</v>
      </c>
      <c r="K1230" s="569" t="s">
        <v>236</v>
      </c>
      <c r="L1230" s="569">
        <v>2</v>
      </c>
      <c r="M1230" s="569">
        <v>0</v>
      </c>
      <c r="N1230" s="569" t="s">
        <v>157</v>
      </c>
      <c r="O1230" s="569">
        <v>1</v>
      </c>
      <c r="P1230" s="569">
        <v>82.6</v>
      </c>
      <c r="Q1230" s="568" t="s">
        <v>157</v>
      </c>
      <c r="R1230" s="569" t="s">
        <v>682</v>
      </c>
      <c r="S1230" s="569">
        <v>6</v>
      </c>
      <c r="T1230" s="569" t="s">
        <v>2457</v>
      </c>
      <c r="U1230" s="569" t="s">
        <v>2183</v>
      </c>
      <c r="V1230" s="569">
        <v>138</v>
      </c>
      <c r="W1230" s="569">
        <v>25</v>
      </c>
      <c r="X1230" s="568">
        <v>9950</v>
      </c>
      <c r="Y1230" s="573">
        <v>12</v>
      </c>
      <c r="Z1230" s="581" t="s">
        <v>178</v>
      </c>
      <c r="AA1230" s="581" t="s">
        <v>178</v>
      </c>
      <c r="AB1230" s="585">
        <v>32525</v>
      </c>
      <c r="AC1230" s="585" t="s">
        <v>164</v>
      </c>
      <c r="AD1230" s="585">
        <v>23572.583333333336</v>
      </c>
      <c r="AE1230" s="587">
        <v>0.03</v>
      </c>
      <c r="AF1230" s="661" t="str">
        <f t="shared" si="136"/>
        <v>2019-LVN-FRD-T3CW-002-27</v>
      </c>
      <c r="AG1230" s="661" t="str">
        <f>IF(AND($Y1230&gt;=32,(AI1230="I"),(Y1230&lt;&gt;"~"),(COUNTIF($AN$1:$AN1230,$AN1230)=1)),"TRUE","FALSE")</f>
        <v>FALSE</v>
      </c>
      <c r="AH1230" s="661" t="str">
        <f>IF(AND($Y1230&gt;=22, (AI1230&lt;&gt;"I"),(Y1230&lt;&gt;"~"),(COUNTIF($AN$1:$AN1230,$AN1230)=1)),"TRUE","FALSE")</f>
        <v>FALSE</v>
      </c>
      <c r="AI1230" s="661" t="str">
        <f t="shared" si="131"/>
        <v>II</v>
      </c>
      <c r="AJ1230" s="662" t="str">
        <f t="shared" si="132"/>
        <v>T3CW-002</v>
      </c>
      <c r="AK1230" s="662" t="str">
        <f t="shared" si="133"/>
        <v>LVN</v>
      </c>
      <c r="AL1230" s="662" t="str">
        <f t="shared" si="134"/>
        <v>FRD</v>
      </c>
      <c r="AM1230" s="662" t="str">
        <f t="shared" si="130"/>
        <v>Transit 350 Cutaway-DRW-RWD-2-82.6-~-3.7L-6-F6P-501A-138-25-Unleaded-Unleaded</v>
      </c>
      <c r="AN1230" s="662" t="str">
        <f t="shared" si="135"/>
        <v>2019-LVN-FRD-T3CW-002</v>
      </c>
    </row>
    <row r="1231" spans="1:40" s="572" customFormat="1" ht="15">
      <c r="A1231" s="570" t="s">
        <v>2504</v>
      </c>
      <c r="B1231" s="573" t="s">
        <v>2459</v>
      </c>
      <c r="C1231" s="573" t="s">
        <v>280</v>
      </c>
      <c r="D1231" s="578">
        <v>27</v>
      </c>
      <c r="E1231" s="573" t="s">
        <v>1516</v>
      </c>
      <c r="F1231" s="573" t="s">
        <v>1684</v>
      </c>
      <c r="G1231" s="573" t="s">
        <v>271</v>
      </c>
      <c r="H1231" s="573">
        <v>2019</v>
      </c>
      <c r="I1231" s="573" t="s">
        <v>2456</v>
      </c>
      <c r="J1231" s="573" t="s">
        <v>1686</v>
      </c>
      <c r="K1231" s="573" t="s">
        <v>236</v>
      </c>
      <c r="L1231" s="573">
        <v>2</v>
      </c>
      <c r="M1231" s="573">
        <v>0</v>
      </c>
      <c r="N1231" s="573" t="s">
        <v>157</v>
      </c>
      <c r="O1231" s="573">
        <v>1</v>
      </c>
      <c r="P1231" s="573">
        <v>86.5</v>
      </c>
      <c r="Q1231" s="571" t="s">
        <v>157</v>
      </c>
      <c r="R1231" s="573" t="s">
        <v>1917</v>
      </c>
      <c r="S1231" s="573">
        <v>5</v>
      </c>
      <c r="T1231" s="573" t="s">
        <v>2460</v>
      </c>
      <c r="U1231" s="573" t="s">
        <v>2183</v>
      </c>
      <c r="V1231" s="573">
        <v>156</v>
      </c>
      <c r="W1231" s="573">
        <v>25</v>
      </c>
      <c r="X1231" s="571">
        <v>10360</v>
      </c>
      <c r="Y1231" s="569" t="s">
        <v>164</v>
      </c>
      <c r="Z1231" s="579" t="s">
        <v>728</v>
      </c>
      <c r="AA1231" s="579" t="s">
        <v>1523</v>
      </c>
      <c r="AB1231" s="584">
        <v>37220</v>
      </c>
      <c r="AC1231" s="584" t="s">
        <v>164</v>
      </c>
      <c r="AD1231" s="584">
        <v>27761.708333333336</v>
      </c>
      <c r="AE1231" s="586">
        <v>0.03</v>
      </c>
      <c r="AF1231" s="661" t="str">
        <f t="shared" si="136"/>
        <v>2019-LVN-FRD-T3CW-005-27</v>
      </c>
      <c r="AG1231" s="661" t="str">
        <f>IF(AND($Y1231&gt;=32,(AI1231="I"),(Y1231&lt;&gt;"~"),(COUNTIF($AN$1:$AN1231,$AN1231)=1)),"TRUE","FALSE")</f>
        <v>FALSE</v>
      </c>
      <c r="AH1231" s="661" t="str">
        <f>IF(AND($Y1231&gt;=22, (AI1231&lt;&gt;"I"),(Y1231&lt;&gt;"~"),(COUNTIF($AN$1:$AN1231,$AN1231)=1)),"TRUE","FALSE")</f>
        <v>FALSE</v>
      </c>
      <c r="AI1231" s="661" t="str">
        <f t="shared" si="131"/>
        <v>N/A</v>
      </c>
      <c r="AJ1231" s="662" t="str">
        <f t="shared" si="132"/>
        <v>T3CW-005</v>
      </c>
      <c r="AK1231" s="662" t="str">
        <f t="shared" si="133"/>
        <v>LVN</v>
      </c>
      <c r="AL1231" s="662" t="str">
        <f t="shared" si="134"/>
        <v>FRD</v>
      </c>
      <c r="AM1231" s="662" t="str">
        <f t="shared" si="130"/>
        <v>Transit 350 Cutaway-DRW-RWD-2-86.5-~-3.2L-5-S8P-501A-156-25-Diesel-BioDiesel</v>
      </c>
      <c r="AN1231" s="662" t="str">
        <f t="shared" si="135"/>
        <v>2019-LVN-FRD-T3CW-005</v>
      </c>
    </row>
    <row r="1232" spans="1:40" s="572" customFormat="1" ht="15">
      <c r="A1232" s="570" t="s">
        <v>2505</v>
      </c>
      <c r="B1232" s="569" t="s">
        <v>2462</v>
      </c>
      <c r="C1232" s="569" t="s">
        <v>280</v>
      </c>
      <c r="D1232" s="580">
        <v>27</v>
      </c>
      <c r="E1232" s="569" t="s">
        <v>1516</v>
      </c>
      <c r="F1232" s="569" t="s">
        <v>1684</v>
      </c>
      <c r="G1232" s="569" t="s">
        <v>271</v>
      </c>
      <c r="H1232" s="569">
        <v>2019</v>
      </c>
      <c r="I1232" s="569" t="s">
        <v>2456</v>
      </c>
      <c r="J1232" s="569" t="s">
        <v>1686</v>
      </c>
      <c r="K1232" s="569" t="s">
        <v>236</v>
      </c>
      <c r="L1232" s="569">
        <v>2</v>
      </c>
      <c r="M1232" s="569">
        <v>0</v>
      </c>
      <c r="N1232" s="569" t="s">
        <v>157</v>
      </c>
      <c r="O1232" s="569">
        <v>1</v>
      </c>
      <c r="P1232" s="569">
        <v>86.5</v>
      </c>
      <c r="Q1232" s="568" t="s">
        <v>157</v>
      </c>
      <c r="R1232" s="569" t="s">
        <v>1917</v>
      </c>
      <c r="S1232" s="569">
        <v>5</v>
      </c>
      <c r="T1232" s="569" t="s">
        <v>2463</v>
      </c>
      <c r="U1232" s="569" t="s">
        <v>2183</v>
      </c>
      <c r="V1232" s="569">
        <v>178</v>
      </c>
      <c r="W1232" s="569">
        <v>25</v>
      </c>
      <c r="X1232" s="568">
        <v>10360</v>
      </c>
      <c r="Y1232" s="569" t="s">
        <v>164</v>
      </c>
      <c r="Z1232" s="581" t="s">
        <v>728</v>
      </c>
      <c r="AA1232" s="581" t="s">
        <v>1523</v>
      </c>
      <c r="AB1232" s="585">
        <v>37970</v>
      </c>
      <c r="AC1232" s="585" t="s">
        <v>164</v>
      </c>
      <c r="AD1232" s="585">
        <v>28447.125</v>
      </c>
      <c r="AE1232" s="587">
        <v>0.03</v>
      </c>
      <c r="AF1232" s="661" t="str">
        <f t="shared" si="136"/>
        <v>2019-LVN-FRD-T3CW-006-27</v>
      </c>
      <c r="AG1232" s="661" t="str">
        <f>IF(AND($Y1232&gt;=32,(AI1232="I"),(Y1232&lt;&gt;"~"),(COUNTIF($AN$1:$AN1232,$AN1232)=1)),"TRUE","FALSE")</f>
        <v>FALSE</v>
      </c>
      <c r="AH1232" s="661" t="str">
        <f>IF(AND($Y1232&gt;=22, (AI1232&lt;&gt;"I"),(Y1232&lt;&gt;"~"),(COUNTIF($AN$1:$AN1232,$AN1232)=1)),"TRUE","FALSE")</f>
        <v>FALSE</v>
      </c>
      <c r="AI1232" s="661" t="str">
        <f t="shared" si="131"/>
        <v>N/A</v>
      </c>
      <c r="AJ1232" s="662" t="str">
        <f t="shared" si="132"/>
        <v>T3CW-006</v>
      </c>
      <c r="AK1232" s="662" t="str">
        <f t="shared" si="133"/>
        <v>LVN</v>
      </c>
      <c r="AL1232" s="662" t="str">
        <f t="shared" si="134"/>
        <v>FRD</v>
      </c>
      <c r="AM1232" s="662" t="str">
        <f t="shared" si="130"/>
        <v>Transit 350 Cutaway-DRW-RWD-2-86.5-~-3.2L-5-S9P-501A-178-25-Diesel-BioDiesel</v>
      </c>
      <c r="AN1232" s="662" t="str">
        <f t="shared" si="135"/>
        <v>2019-LVN-FRD-T3CW-006</v>
      </c>
    </row>
    <row r="1233" spans="1:40" s="572" customFormat="1" ht="15">
      <c r="A1233" s="570" t="s">
        <v>2506</v>
      </c>
      <c r="B1233" s="573" t="s">
        <v>2465</v>
      </c>
      <c r="C1233" s="573" t="s">
        <v>280</v>
      </c>
      <c r="D1233" s="578">
        <v>27</v>
      </c>
      <c r="E1233" s="573" t="s">
        <v>1516</v>
      </c>
      <c r="F1233" s="573" t="s">
        <v>1684</v>
      </c>
      <c r="G1233" s="573" t="s">
        <v>271</v>
      </c>
      <c r="H1233" s="573">
        <v>2019</v>
      </c>
      <c r="I1233" s="573" t="s">
        <v>2456</v>
      </c>
      <c r="J1233" s="573" t="s">
        <v>1686</v>
      </c>
      <c r="K1233" s="573" t="s">
        <v>236</v>
      </c>
      <c r="L1233" s="573">
        <v>2</v>
      </c>
      <c r="M1233" s="573">
        <v>0</v>
      </c>
      <c r="N1233" s="573" t="s">
        <v>157</v>
      </c>
      <c r="O1233" s="573">
        <v>1</v>
      </c>
      <c r="P1233" s="573">
        <v>86.5</v>
      </c>
      <c r="Q1233" s="571" t="s">
        <v>157</v>
      </c>
      <c r="R1233" s="573" t="s">
        <v>682</v>
      </c>
      <c r="S1233" s="573">
        <v>6</v>
      </c>
      <c r="T1233" s="573" t="s">
        <v>2466</v>
      </c>
      <c r="U1233" s="573" t="s">
        <v>2183</v>
      </c>
      <c r="V1233" s="573">
        <v>156</v>
      </c>
      <c r="W1233" s="573">
        <v>25</v>
      </c>
      <c r="X1233" s="571">
        <v>9950</v>
      </c>
      <c r="Y1233" s="573">
        <v>12</v>
      </c>
      <c r="Z1233" s="579" t="s">
        <v>178</v>
      </c>
      <c r="AA1233" s="579" t="s">
        <v>178</v>
      </c>
      <c r="AB1233" s="584">
        <v>32975</v>
      </c>
      <c r="AC1233" s="584" t="s">
        <v>164</v>
      </c>
      <c r="AD1233" s="584">
        <v>23984.041666666668</v>
      </c>
      <c r="AE1233" s="586">
        <v>0.03</v>
      </c>
      <c r="AF1233" s="661" t="str">
        <f t="shared" si="136"/>
        <v>2019-LVN-FRD-T3CW-007-27</v>
      </c>
      <c r="AG1233" s="661" t="str">
        <f>IF(AND($Y1233&gt;=32,(AI1233="I"),(Y1233&lt;&gt;"~"),(COUNTIF($AN$1:$AN1233,$AN1233)=1)),"TRUE","FALSE")</f>
        <v>FALSE</v>
      </c>
      <c r="AH1233" s="661" t="str">
        <f>IF(AND($Y1233&gt;=22, (AI1233&lt;&gt;"I"),(Y1233&lt;&gt;"~"),(COUNTIF($AN$1:$AN1233,$AN1233)=1)),"TRUE","FALSE")</f>
        <v>FALSE</v>
      </c>
      <c r="AI1233" s="661" t="str">
        <f t="shared" si="131"/>
        <v>II</v>
      </c>
      <c r="AJ1233" s="662" t="str">
        <f t="shared" si="132"/>
        <v>T3CW-007</v>
      </c>
      <c r="AK1233" s="662" t="str">
        <f t="shared" si="133"/>
        <v>LVN</v>
      </c>
      <c r="AL1233" s="662" t="str">
        <f t="shared" si="134"/>
        <v>FRD</v>
      </c>
      <c r="AM1233" s="662" t="str">
        <f t="shared" si="130"/>
        <v>Transit 350 Cutaway-DRW-RWD-2-86.5-~-3.7L-6-F8P-501A-156-25-Unleaded-Unleaded</v>
      </c>
      <c r="AN1233" s="662" t="str">
        <f t="shared" si="135"/>
        <v>2019-LVN-FRD-T3CW-007</v>
      </c>
    </row>
    <row r="1234" spans="1:40" s="572" customFormat="1" ht="15">
      <c r="A1234" s="570" t="s">
        <v>2507</v>
      </c>
      <c r="B1234" s="569" t="s">
        <v>2468</v>
      </c>
      <c r="C1234" s="569" t="s">
        <v>280</v>
      </c>
      <c r="D1234" s="580">
        <v>27</v>
      </c>
      <c r="E1234" s="569" t="s">
        <v>1516</v>
      </c>
      <c r="F1234" s="569" t="s">
        <v>1684</v>
      </c>
      <c r="G1234" s="569" t="s">
        <v>271</v>
      </c>
      <c r="H1234" s="569">
        <v>2019</v>
      </c>
      <c r="I1234" s="569" t="s">
        <v>2456</v>
      </c>
      <c r="J1234" s="569" t="s">
        <v>1686</v>
      </c>
      <c r="K1234" s="569" t="s">
        <v>236</v>
      </c>
      <c r="L1234" s="569">
        <v>2</v>
      </c>
      <c r="M1234" s="569">
        <v>0</v>
      </c>
      <c r="N1234" s="569" t="s">
        <v>157</v>
      </c>
      <c r="O1234" s="569">
        <v>1</v>
      </c>
      <c r="P1234" s="569">
        <v>86.5</v>
      </c>
      <c r="Q1234" s="568" t="s">
        <v>157</v>
      </c>
      <c r="R1234" s="569" t="s">
        <v>682</v>
      </c>
      <c r="S1234" s="569">
        <v>6</v>
      </c>
      <c r="T1234" s="569" t="s">
        <v>2469</v>
      </c>
      <c r="U1234" s="569" t="s">
        <v>2183</v>
      </c>
      <c r="V1234" s="569">
        <v>178</v>
      </c>
      <c r="W1234" s="569">
        <v>25</v>
      </c>
      <c r="X1234" s="568">
        <v>9950</v>
      </c>
      <c r="Y1234" s="573">
        <v>12</v>
      </c>
      <c r="Z1234" s="581" t="s">
        <v>178</v>
      </c>
      <c r="AA1234" s="581" t="s">
        <v>178</v>
      </c>
      <c r="AB1234" s="585">
        <v>33725</v>
      </c>
      <c r="AC1234" s="585" t="s">
        <v>164</v>
      </c>
      <c r="AD1234" s="585">
        <v>24669.458333333336</v>
      </c>
      <c r="AE1234" s="587">
        <v>0.03</v>
      </c>
      <c r="AF1234" s="661" t="str">
        <f t="shared" si="136"/>
        <v>2019-LVN-FRD-T3CW-008-27</v>
      </c>
      <c r="AG1234" s="661" t="str">
        <f>IF(AND($Y1234&gt;=32,(AI1234="I"),(Y1234&lt;&gt;"~"),(COUNTIF($AN$1:$AN1234,$AN1234)=1)),"TRUE","FALSE")</f>
        <v>FALSE</v>
      </c>
      <c r="AH1234" s="661" t="str">
        <f>IF(AND($Y1234&gt;=22, (AI1234&lt;&gt;"I"),(Y1234&lt;&gt;"~"),(COUNTIF($AN$1:$AN1234,$AN1234)=1)),"TRUE","FALSE")</f>
        <v>FALSE</v>
      </c>
      <c r="AI1234" s="661" t="str">
        <f t="shared" si="131"/>
        <v>II</v>
      </c>
      <c r="AJ1234" s="662" t="str">
        <f t="shared" si="132"/>
        <v>T3CW-008</v>
      </c>
      <c r="AK1234" s="662" t="str">
        <f t="shared" si="133"/>
        <v>LVN</v>
      </c>
      <c r="AL1234" s="662" t="str">
        <f t="shared" si="134"/>
        <v>FRD</v>
      </c>
      <c r="AM1234" s="662" t="str">
        <f t="shared" si="130"/>
        <v>Transit 350 Cutaway-DRW-RWD-2-86.5-~-3.7L-6-F9P-501A-178-25-Unleaded-Unleaded</v>
      </c>
      <c r="AN1234" s="662" t="str">
        <f t="shared" si="135"/>
        <v>2019-LVN-FRD-T3CW-008</v>
      </c>
    </row>
    <row r="1235" spans="1:40" s="572" customFormat="1" ht="15">
      <c r="A1235" s="570" t="s">
        <v>2508</v>
      </c>
      <c r="B1235" s="573" t="s">
        <v>2471</v>
      </c>
      <c r="C1235" s="573" t="s">
        <v>280</v>
      </c>
      <c r="D1235" s="578">
        <v>27</v>
      </c>
      <c r="E1235" s="573" t="s">
        <v>1516</v>
      </c>
      <c r="F1235" s="573" t="s">
        <v>1684</v>
      </c>
      <c r="G1235" s="573" t="s">
        <v>271</v>
      </c>
      <c r="H1235" s="573">
        <v>2019</v>
      </c>
      <c r="I1235" s="573" t="s">
        <v>2456</v>
      </c>
      <c r="J1235" s="573" t="s">
        <v>1686</v>
      </c>
      <c r="K1235" s="573" t="s">
        <v>236</v>
      </c>
      <c r="L1235" s="573">
        <v>2</v>
      </c>
      <c r="M1235" s="573">
        <v>0</v>
      </c>
      <c r="N1235" s="573" t="s">
        <v>157</v>
      </c>
      <c r="O1235" s="573">
        <v>1</v>
      </c>
      <c r="P1235" s="573">
        <v>86.5</v>
      </c>
      <c r="Q1235" s="571" t="s">
        <v>157</v>
      </c>
      <c r="R1235" s="573" t="s">
        <v>682</v>
      </c>
      <c r="S1235" s="573">
        <v>6</v>
      </c>
      <c r="T1235" s="573" t="s">
        <v>2460</v>
      </c>
      <c r="U1235" s="573" t="s">
        <v>2183</v>
      </c>
      <c r="V1235" s="573">
        <v>156</v>
      </c>
      <c r="W1235" s="573">
        <v>25</v>
      </c>
      <c r="X1235" s="571">
        <v>10360</v>
      </c>
      <c r="Y1235" s="569" t="s">
        <v>164</v>
      </c>
      <c r="Z1235" s="579" t="s">
        <v>178</v>
      </c>
      <c r="AA1235" s="579" t="s">
        <v>178</v>
      </c>
      <c r="AB1235" s="584">
        <v>33225</v>
      </c>
      <c r="AC1235" s="584" t="s">
        <v>164</v>
      </c>
      <c r="AD1235" s="584">
        <v>24212.166666666668</v>
      </c>
      <c r="AE1235" s="586">
        <v>0.03</v>
      </c>
      <c r="AF1235" s="661" t="str">
        <f t="shared" si="136"/>
        <v>2019-LVN-FRD-T3CW-009-27</v>
      </c>
      <c r="AG1235" s="661" t="str">
        <f>IF(AND($Y1235&gt;=32,(AI1235="I"),(Y1235&lt;&gt;"~"),(COUNTIF($AN$1:$AN1235,$AN1235)=1)),"TRUE","FALSE")</f>
        <v>FALSE</v>
      </c>
      <c r="AH1235" s="661" t="str">
        <f>IF(AND($Y1235&gt;=22, (AI1235&lt;&gt;"I"),(Y1235&lt;&gt;"~"),(COUNTIF($AN$1:$AN1235,$AN1235)=1)),"TRUE","FALSE")</f>
        <v>FALSE</v>
      </c>
      <c r="AI1235" s="661" t="str">
        <f t="shared" si="131"/>
        <v>N/A</v>
      </c>
      <c r="AJ1235" s="662" t="str">
        <f t="shared" si="132"/>
        <v>T3CW-009</v>
      </c>
      <c r="AK1235" s="662" t="str">
        <f t="shared" si="133"/>
        <v>LVN</v>
      </c>
      <c r="AL1235" s="662" t="str">
        <f t="shared" si="134"/>
        <v>FRD</v>
      </c>
      <c r="AM1235" s="662" t="str">
        <f t="shared" si="130"/>
        <v>Transit 350 Cutaway-DRW-RWD-2-86.5-~-3.7L-6-S8P-501A-156-25-Unleaded-Unleaded</v>
      </c>
      <c r="AN1235" s="662" t="str">
        <f t="shared" si="135"/>
        <v>2019-LVN-FRD-T3CW-009</v>
      </c>
    </row>
    <row r="1236" spans="1:40" s="572" customFormat="1" ht="15">
      <c r="A1236" s="570" t="s">
        <v>2509</v>
      </c>
      <c r="B1236" s="569" t="s">
        <v>2473</v>
      </c>
      <c r="C1236" s="569" t="s">
        <v>280</v>
      </c>
      <c r="D1236" s="580">
        <v>27</v>
      </c>
      <c r="E1236" s="569" t="s">
        <v>1516</v>
      </c>
      <c r="F1236" s="569" t="s">
        <v>1684</v>
      </c>
      <c r="G1236" s="569" t="s">
        <v>271</v>
      </c>
      <c r="H1236" s="569">
        <v>2019</v>
      </c>
      <c r="I1236" s="569" t="s">
        <v>2456</v>
      </c>
      <c r="J1236" s="569" t="s">
        <v>1686</v>
      </c>
      <c r="K1236" s="569" t="s">
        <v>236</v>
      </c>
      <c r="L1236" s="569">
        <v>2</v>
      </c>
      <c r="M1236" s="569">
        <v>0</v>
      </c>
      <c r="N1236" s="569" t="s">
        <v>157</v>
      </c>
      <c r="O1236" s="569">
        <v>1</v>
      </c>
      <c r="P1236" s="569">
        <v>86.5</v>
      </c>
      <c r="Q1236" s="568" t="s">
        <v>157</v>
      </c>
      <c r="R1236" s="569" t="s">
        <v>682</v>
      </c>
      <c r="S1236" s="569">
        <v>6</v>
      </c>
      <c r="T1236" s="569" t="s">
        <v>2463</v>
      </c>
      <c r="U1236" s="569" t="s">
        <v>2183</v>
      </c>
      <c r="V1236" s="569">
        <v>178</v>
      </c>
      <c r="W1236" s="569">
        <v>25</v>
      </c>
      <c r="X1236" s="568">
        <v>10360</v>
      </c>
      <c r="Y1236" s="569" t="s">
        <v>164</v>
      </c>
      <c r="Z1236" s="581" t="s">
        <v>178</v>
      </c>
      <c r="AA1236" s="581" t="s">
        <v>178</v>
      </c>
      <c r="AB1236" s="585">
        <v>33975</v>
      </c>
      <c r="AC1236" s="585" t="s">
        <v>164</v>
      </c>
      <c r="AD1236" s="585">
        <v>24897.583333333336</v>
      </c>
      <c r="AE1236" s="587">
        <v>0.03</v>
      </c>
      <c r="AF1236" s="661" t="str">
        <f t="shared" si="136"/>
        <v>2019-LVN-FRD-T3CW-010-27</v>
      </c>
      <c r="AG1236" s="661" t="str">
        <f>IF(AND($Y1236&gt;=32,(AI1236="I"),(Y1236&lt;&gt;"~"),(COUNTIF($AN$1:$AN1236,$AN1236)=1)),"TRUE","FALSE")</f>
        <v>FALSE</v>
      </c>
      <c r="AH1236" s="661" t="str">
        <f>IF(AND($Y1236&gt;=22, (AI1236&lt;&gt;"I"),(Y1236&lt;&gt;"~"),(COUNTIF($AN$1:$AN1236,$AN1236)=1)),"TRUE","FALSE")</f>
        <v>FALSE</v>
      </c>
      <c r="AI1236" s="661" t="str">
        <f t="shared" si="131"/>
        <v>N/A</v>
      </c>
      <c r="AJ1236" s="662" t="str">
        <f t="shared" si="132"/>
        <v>T3CW-010</v>
      </c>
      <c r="AK1236" s="662" t="str">
        <f t="shared" si="133"/>
        <v>LVN</v>
      </c>
      <c r="AL1236" s="662" t="str">
        <f t="shared" si="134"/>
        <v>FRD</v>
      </c>
      <c r="AM1236" s="662" t="str">
        <f t="shared" si="130"/>
        <v>Transit 350 Cutaway-DRW-RWD-2-86.5-~-3.7L-6-S9P-501A-178-25-Unleaded-Unleaded</v>
      </c>
      <c r="AN1236" s="662" t="str">
        <f t="shared" si="135"/>
        <v>2019-LVN-FRD-T3CW-010</v>
      </c>
    </row>
    <row r="1237" spans="1:40" s="572" customFormat="1" ht="15">
      <c r="A1237" s="570" t="s">
        <v>2510</v>
      </c>
      <c r="B1237" s="573" t="s">
        <v>2475</v>
      </c>
      <c r="C1237" s="573" t="s">
        <v>280</v>
      </c>
      <c r="D1237" s="578">
        <v>27</v>
      </c>
      <c r="E1237" s="573" t="s">
        <v>1516</v>
      </c>
      <c r="F1237" s="573" t="s">
        <v>1684</v>
      </c>
      <c r="G1237" s="573" t="s">
        <v>271</v>
      </c>
      <c r="H1237" s="573">
        <v>2019</v>
      </c>
      <c r="I1237" s="573" t="s">
        <v>2456</v>
      </c>
      <c r="J1237" s="573" t="s">
        <v>1686</v>
      </c>
      <c r="K1237" s="573" t="s">
        <v>236</v>
      </c>
      <c r="L1237" s="573">
        <v>2</v>
      </c>
      <c r="M1237" s="573">
        <v>0</v>
      </c>
      <c r="N1237" s="573" t="s">
        <v>157</v>
      </c>
      <c r="O1237" s="573">
        <v>1</v>
      </c>
      <c r="P1237" s="573">
        <v>86.8</v>
      </c>
      <c r="Q1237" s="571" t="s">
        <v>157</v>
      </c>
      <c r="R1237" s="573" t="s">
        <v>1917</v>
      </c>
      <c r="S1237" s="573">
        <v>5</v>
      </c>
      <c r="T1237" s="573" t="s">
        <v>2476</v>
      </c>
      <c r="U1237" s="573" t="s">
        <v>2183</v>
      </c>
      <c r="V1237" s="573">
        <v>138</v>
      </c>
      <c r="W1237" s="573">
        <v>25</v>
      </c>
      <c r="X1237" s="571">
        <v>10360</v>
      </c>
      <c r="Y1237" s="569" t="s">
        <v>164</v>
      </c>
      <c r="Z1237" s="579" t="s">
        <v>728</v>
      </c>
      <c r="AA1237" s="579" t="s">
        <v>1523</v>
      </c>
      <c r="AB1237" s="584">
        <v>36775</v>
      </c>
      <c r="AC1237" s="584" t="s">
        <v>164</v>
      </c>
      <c r="AD1237" s="584">
        <v>27354.416666666668</v>
      </c>
      <c r="AE1237" s="586">
        <v>0.03</v>
      </c>
      <c r="AF1237" s="661" t="str">
        <f t="shared" si="136"/>
        <v>2019-LVN-FRD-T3CW-011-27</v>
      </c>
      <c r="AG1237" s="661" t="str">
        <f>IF(AND($Y1237&gt;=32,(AI1237="I"),(Y1237&lt;&gt;"~"),(COUNTIF($AN$1:$AN1237,$AN1237)=1)),"TRUE","FALSE")</f>
        <v>FALSE</v>
      </c>
      <c r="AH1237" s="661" t="str">
        <f>IF(AND($Y1237&gt;=22, (AI1237&lt;&gt;"I"),(Y1237&lt;&gt;"~"),(COUNTIF($AN$1:$AN1237,$AN1237)=1)),"TRUE","FALSE")</f>
        <v>FALSE</v>
      </c>
      <c r="AI1237" s="661" t="str">
        <f t="shared" si="131"/>
        <v>N/A</v>
      </c>
      <c r="AJ1237" s="662" t="str">
        <f t="shared" si="132"/>
        <v>T3CW-011</v>
      </c>
      <c r="AK1237" s="662" t="str">
        <f t="shared" si="133"/>
        <v>LVN</v>
      </c>
      <c r="AL1237" s="662" t="str">
        <f t="shared" si="134"/>
        <v>FRD</v>
      </c>
      <c r="AM1237" s="662" t="str">
        <f t="shared" si="130"/>
        <v>Transit 350 Cutaway-DRW-RWD-2-86.8-~-3.2L-5-S6P-501A-138-25-Diesel-BioDiesel</v>
      </c>
      <c r="AN1237" s="662" t="str">
        <f t="shared" si="135"/>
        <v>2019-LVN-FRD-T3CW-011</v>
      </c>
    </row>
    <row r="1238" spans="1:40" s="572" customFormat="1" ht="15">
      <c r="A1238" s="570" t="s">
        <v>2511</v>
      </c>
      <c r="B1238" s="569" t="s">
        <v>2478</v>
      </c>
      <c r="C1238" s="569" t="s">
        <v>280</v>
      </c>
      <c r="D1238" s="580">
        <v>27</v>
      </c>
      <c r="E1238" s="569" t="s">
        <v>1516</v>
      </c>
      <c r="F1238" s="569" t="s">
        <v>1684</v>
      </c>
      <c r="G1238" s="569" t="s">
        <v>271</v>
      </c>
      <c r="H1238" s="569">
        <v>2019</v>
      </c>
      <c r="I1238" s="569" t="s">
        <v>2456</v>
      </c>
      <c r="J1238" s="569" t="s">
        <v>1686</v>
      </c>
      <c r="K1238" s="569" t="s">
        <v>236</v>
      </c>
      <c r="L1238" s="569">
        <v>2</v>
      </c>
      <c r="M1238" s="569">
        <v>0</v>
      </c>
      <c r="N1238" s="569" t="s">
        <v>157</v>
      </c>
      <c r="O1238" s="569">
        <v>1</v>
      </c>
      <c r="P1238" s="569">
        <v>86.8</v>
      </c>
      <c r="Q1238" s="568" t="s">
        <v>157</v>
      </c>
      <c r="R1238" s="569" t="s">
        <v>682</v>
      </c>
      <c r="S1238" s="569">
        <v>6</v>
      </c>
      <c r="T1238" s="569" t="s">
        <v>2476</v>
      </c>
      <c r="U1238" s="569" t="s">
        <v>2183</v>
      </c>
      <c r="V1238" s="569">
        <v>138</v>
      </c>
      <c r="W1238" s="569">
        <v>25</v>
      </c>
      <c r="X1238" s="568">
        <v>10360</v>
      </c>
      <c r="Y1238" s="569" t="s">
        <v>164</v>
      </c>
      <c r="Z1238" s="581" t="s">
        <v>178</v>
      </c>
      <c r="AA1238" s="581" t="s">
        <v>178</v>
      </c>
      <c r="AB1238" s="585">
        <v>32780</v>
      </c>
      <c r="AC1238" s="585" t="s">
        <v>164</v>
      </c>
      <c r="AD1238" s="585">
        <v>23804.875</v>
      </c>
      <c r="AE1238" s="587">
        <v>0.03</v>
      </c>
      <c r="AF1238" s="661" t="str">
        <f t="shared" si="136"/>
        <v>2019-LVN-FRD-T3CW-012-27</v>
      </c>
      <c r="AG1238" s="661" t="str">
        <f>IF(AND($Y1238&gt;=32,(AI1238="I"),(Y1238&lt;&gt;"~"),(COUNTIF($AN$1:$AN1238,$AN1238)=1)),"TRUE","FALSE")</f>
        <v>FALSE</v>
      </c>
      <c r="AH1238" s="661" t="str">
        <f>IF(AND($Y1238&gt;=22, (AI1238&lt;&gt;"I"),(Y1238&lt;&gt;"~"),(COUNTIF($AN$1:$AN1238,$AN1238)=1)),"TRUE","FALSE")</f>
        <v>FALSE</v>
      </c>
      <c r="AI1238" s="661" t="str">
        <f t="shared" si="131"/>
        <v>N/A</v>
      </c>
      <c r="AJ1238" s="662" t="str">
        <f t="shared" si="132"/>
        <v>T3CW-012</v>
      </c>
      <c r="AK1238" s="662" t="str">
        <f t="shared" si="133"/>
        <v>LVN</v>
      </c>
      <c r="AL1238" s="662" t="str">
        <f t="shared" si="134"/>
        <v>FRD</v>
      </c>
      <c r="AM1238" s="662" t="str">
        <f t="shared" si="130"/>
        <v>Transit 350 Cutaway-DRW-RWD-2-86.8-~-3.7L-6-S6P-501A-138-25-Unleaded-Unleaded</v>
      </c>
      <c r="AN1238" s="662" t="str">
        <f t="shared" si="135"/>
        <v>2019-LVN-FRD-T3CW-012</v>
      </c>
    </row>
    <row r="1239" spans="1:40" s="572" customFormat="1" ht="15">
      <c r="A1239" s="570" t="s">
        <v>2512</v>
      </c>
      <c r="B1239" s="573" t="s">
        <v>2513</v>
      </c>
      <c r="C1239" s="573" t="s">
        <v>269</v>
      </c>
      <c r="D1239" s="578" t="s">
        <v>270</v>
      </c>
      <c r="E1239" s="573" t="s">
        <v>1516</v>
      </c>
      <c r="F1239" s="573" t="s">
        <v>1684</v>
      </c>
      <c r="G1239" s="573" t="s">
        <v>271</v>
      </c>
      <c r="H1239" s="573">
        <v>2019</v>
      </c>
      <c r="I1239" s="573" t="s">
        <v>2456</v>
      </c>
      <c r="J1239" s="573" t="s">
        <v>1757</v>
      </c>
      <c r="K1239" s="573" t="s">
        <v>236</v>
      </c>
      <c r="L1239" s="573">
        <v>2</v>
      </c>
      <c r="M1239" s="573">
        <v>0</v>
      </c>
      <c r="N1239" s="573" t="s">
        <v>157</v>
      </c>
      <c r="O1239" s="573">
        <v>1</v>
      </c>
      <c r="P1239" s="573">
        <v>87</v>
      </c>
      <c r="Q1239" s="571" t="s">
        <v>157</v>
      </c>
      <c r="R1239" s="573" t="s">
        <v>682</v>
      </c>
      <c r="S1239" s="573">
        <v>6</v>
      </c>
      <c r="T1239" s="573" t="s">
        <v>2514</v>
      </c>
      <c r="U1239" s="573" t="s">
        <v>2183</v>
      </c>
      <c r="V1239" s="573">
        <v>156</v>
      </c>
      <c r="W1239" s="573">
        <v>25</v>
      </c>
      <c r="X1239" s="571">
        <v>9500</v>
      </c>
      <c r="Y1239" s="573">
        <v>12</v>
      </c>
      <c r="Z1239" s="579" t="s">
        <v>178</v>
      </c>
      <c r="AA1239" s="579" t="s">
        <v>178</v>
      </c>
      <c r="AB1239" s="584">
        <v>31775</v>
      </c>
      <c r="AC1239" s="584" t="s">
        <v>164</v>
      </c>
      <c r="AD1239" s="584">
        <v>22887.166666666668</v>
      </c>
      <c r="AE1239" s="586">
        <v>0.03</v>
      </c>
      <c r="AF1239" s="661" t="str">
        <f t="shared" si="136"/>
        <v>2019-LVN-FRD-T3CW-016-05</v>
      </c>
      <c r="AG1239" s="661" t="str">
        <f>IF(AND($Y1239&gt;=32,(AI1239="I"),(Y1239&lt;&gt;"~"),(COUNTIF($AN$1:$AN1239,$AN1239)=1)),"TRUE","FALSE")</f>
        <v>FALSE</v>
      </c>
      <c r="AH1239" s="661" t="str">
        <f>IF(AND($Y1239&gt;=22, (AI1239&lt;&gt;"I"),(Y1239&lt;&gt;"~"),(COUNTIF($AN$1:$AN1239,$AN1239)=1)),"TRUE","FALSE")</f>
        <v>FALSE</v>
      </c>
      <c r="AI1239" s="661" t="str">
        <f t="shared" si="131"/>
        <v>II</v>
      </c>
      <c r="AJ1239" s="662" t="str">
        <f t="shared" si="132"/>
        <v>T3CW-016</v>
      </c>
      <c r="AK1239" s="662" t="str">
        <f t="shared" si="133"/>
        <v>LVN</v>
      </c>
      <c r="AL1239" s="662" t="str">
        <f t="shared" si="134"/>
        <v>FRD</v>
      </c>
      <c r="AM1239" s="662" t="str">
        <f t="shared" si="130"/>
        <v>Transit 350 Cutaway-SRW-RWD-2-87-~-3.7L-6-W7P-501A-156-25-Unleaded-Unleaded</v>
      </c>
      <c r="AN1239" s="662" t="str">
        <f t="shared" si="135"/>
        <v>2019-LVN-FRD-T3CW-016</v>
      </c>
    </row>
    <row r="1240" spans="1:40" s="572" customFormat="1" ht="15">
      <c r="A1240" s="570" t="s">
        <v>2515</v>
      </c>
      <c r="B1240" s="569" t="s">
        <v>2516</v>
      </c>
      <c r="C1240" s="569" t="s">
        <v>278</v>
      </c>
      <c r="D1240" s="580">
        <v>15</v>
      </c>
      <c r="E1240" s="569" t="s">
        <v>1516</v>
      </c>
      <c r="F1240" s="569" t="s">
        <v>1684</v>
      </c>
      <c r="G1240" s="569" t="s">
        <v>271</v>
      </c>
      <c r="H1240" s="569">
        <v>2019</v>
      </c>
      <c r="I1240" s="569" t="s">
        <v>2456</v>
      </c>
      <c r="J1240" s="569" t="s">
        <v>1757</v>
      </c>
      <c r="K1240" s="569" t="s">
        <v>236</v>
      </c>
      <c r="L1240" s="569">
        <v>2</v>
      </c>
      <c r="M1240" s="569">
        <v>0</v>
      </c>
      <c r="N1240" s="569" t="s">
        <v>157</v>
      </c>
      <c r="O1240" s="569">
        <v>1</v>
      </c>
      <c r="P1240" s="569">
        <v>87.3</v>
      </c>
      <c r="Q1240" s="568" t="s">
        <v>157</v>
      </c>
      <c r="R1240" s="569" t="s">
        <v>682</v>
      </c>
      <c r="S1240" s="569">
        <v>6</v>
      </c>
      <c r="T1240" s="569" t="s">
        <v>2517</v>
      </c>
      <c r="U1240" s="569" t="s">
        <v>2183</v>
      </c>
      <c r="V1240" s="569">
        <v>138</v>
      </c>
      <c r="W1240" s="569">
        <v>25</v>
      </c>
      <c r="X1240" s="568">
        <v>9500</v>
      </c>
      <c r="Y1240" s="573">
        <v>12</v>
      </c>
      <c r="Z1240" s="581" t="s">
        <v>178</v>
      </c>
      <c r="AA1240" s="581" t="s">
        <v>178</v>
      </c>
      <c r="AB1240" s="585">
        <v>31575</v>
      </c>
      <c r="AC1240" s="585" t="s">
        <v>164</v>
      </c>
      <c r="AD1240" s="585">
        <v>23100</v>
      </c>
      <c r="AE1240" s="587">
        <v>0.01</v>
      </c>
      <c r="AF1240" s="661" t="str">
        <f t="shared" si="136"/>
        <v>2019-LVN-FRD-T3CW-014-15</v>
      </c>
      <c r="AG1240" s="661" t="str">
        <f>IF(AND($Y1240&gt;=32,(AI1240="I"),(Y1240&lt;&gt;"~"),(COUNTIF($AN$1:$AN1240,$AN1240)=1)),"TRUE","FALSE")</f>
        <v>FALSE</v>
      </c>
      <c r="AH1240" s="661" t="str">
        <f>IF(AND($Y1240&gt;=22, (AI1240&lt;&gt;"I"),(Y1240&lt;&gt;"~"),(COUNTIF($AN$1:$AN1240,$AN1240)=1)),"TRUE","FALSE")</f>
        <v>FALSE</v>
      </c>
      <c r="AI1240" s="661" t="str">
        <f t="shared" si="131"/>
        <v>II</v>
      </c>
      <c r="AJ1240" s="662" t="str">
        <f t="shared" si="132"/>
        <v>T3CW-014</v>
      </c>
      <c r="AK1240" s="662" t="str">
        <f t="shared" si="133"/>
        <v>LVN</v>
      </c>
      <c r="AL1240" s="662" t="str">
        <f t="shared" si="134"/>
        <v>FRD</v>
      </c>
      <c r="AM1240" s="662" t="str">
        <f t="shared" si="130"/>
        <v>Transit 350 Cutaway-SRW-RWD-2-87.3-~-3.7L-6-W5P-501A-138-25-Unleaded-Unleaded</v>
      </c>
      <c r="AN1240" s="662" t="str">
        <f t="shared" si="135"/>
        <v>2019-LVN-FRD-T3CW-014</v>
      </c>
    </row>
    <row r="1241" spans="1:40" s="572" customFormat="1" ht="15">
      <c r="A1241" s="570" t="s">
        <v>2518</v>
      </c>
      <c r="B1241" s="573" t="s">
        <v>2513</v>
      </c>
      <c r="C1241" s="573" t="s">
        <v>278</v>
      </c>
      <c r="D1241" s="578">
        <v>15</v>
      </c>
      <c r="E1241" s="573" t="s">
        <v>1516</v>
      </c>
      <c r="F1241" s="573" t="s">
        <v>1684</v>
      </c>
      <c r="G1241" s="573" t="s">
        <v>271</v>
      </c>
      <c r="H1241" s="573">
        <v>2019</v>
      </c>
      <c r="I1241" s="573" t="s">
        <v>2456</v>
      </c>
      <c r="J1241" s="573" t="s">
        <v>1757</v>
      </c>
      <c r="K1241" s="573" t="s">
        <v>236</v>
      </c>
      <c r="L1241" s="573">
        <v>2</v>
      </c>
      <c r="M1241" s="573">
        <v>0</v>
      </c>
      <c r="N1241" s="573" t="s">
        <v>157</v>
      </c>
      <c r="O1241" s="573">
        <v>1</v>
      </c>
      <c r="P1241" s="573">
        <v>87</v>
      </c>
      <c r="Q1241" s="571" t="s">
        <v>157</v>
      </c>
      <c r="R1241" s="573" t="s">
        <v>682</v>
      </c>
      <c r="S1241" s="573">
        <v>6</v>
      </c>
      <c r="T1241" s="573" t="s">
        <v>2514</v>
      </c>
      <c r="U1241" s="573" t="s">
        <v>2183</v>
      </c>
      <c r="V1241" s="573">
        <v>156</v>
      </c>
      <c r="W1241" s="573">
        <v>25</v>
      </c>
      <c r="X1241" s="571">
        <v>9500</v>
      </c>
      <c r="Y1241" s="573">
        <v>12</v>
      </c>
      <c r="Z1241" s="579" t="s">
        <v>178</v>
      </c>
      <c r="AA1241" s="579" t="s">
        <v>178</v>
      </c>
      <c r="AB1241" s="584">
        <v>31775</v>
      </c>
      <c r="AC1241" s="584" t="s">
        <v>164</v>
      </c>
      <c r="AD1241" s="584">
        <v>23300</v>
      </c>
      <c r="AE1241" s="586">
        <v>0.01</v>
      </c>
      <c r="AF1241" s="661" t="str">
        <f t="shared" si="136"/>
        <v>2019-LVN-FRD-T3CW-016-15</v>
      </c>
      <c r="AG1241" s="661" t="str">
        <f>IF(AND($Y1241&gt;=32,(AI1241="I"),(Y1241&lt;&gt;"~"),(COUNTIF($AN$1:$AN1241,$AN1241)=1)),"TRUE","FALSE")</f>
        <v>FALSE</v>
      </c>
      <c r="AH1241" s="661" t="str">
        <f>IF(AND($Y1241&gt;=22, (AI1241&lt;&gt;"I"),(Y1241&lt;&gt;"~"),(COUNTIF($AN$1:$AN1241,$AN1241)=1)),"TRUE","FALSE")</f>
        <v>FALSE</v>
      </c>
      <c r="AI1241" s="661" t="str">
        <f t="shared" si="131"/>
        <v>II</v>
      </c>
      <c r="AJ1241" s="662" t="str">
        <f t="shared" si="132"/>
        <v>T3CW-016</v>
      </c>
      <c r="AK1241" s="662" t="str">
        <f t="shared" si="133"/>
        <v>LVN</v>
      </c>
      <c r="AL1241" s="662" t="str">
        <f t="shared" si="134"/>
        <v>FRD</v>
      </c>
      <c r="AM1241" s="662" t="str">
        <f t="shared" si="130"/>
        <v>Transit 350 Cutaway-SRW-RWD-2-87-~-3.7L-6-W7P-501A-156-25-Unleaded-Unleaded</v>
      </c>
      <c r="AN1241" s="662" t="str">
        <f t="shared" si="135"/>
        <v>2019-LVN-FRD-T3CW-016</v>
      </c>
    </row>
    <row r="1242" spans="1:40" s="572" customFormat="1" ht="15">
      <c r="A1242" s="570" t="s">
        <v>2519</v>
      </c>
      <c r="B1242" s="569" t="s">
        <v>2520</v>
      </c>
      <c r="C1242" s="569" t="s">
        <v>287</v>
      </c>
      <c r="D1242" s="580">
        <v>26</v>
      </c>
      <c r="E1242" s="569" t="s">
        <v>1516</v>
      </c>
      <c r="F1242" s="569" t="s">
        <v>1684</v>
      </c>
      <c r="G1242" s="569" t="s">
        <v>271</v>
      </c>
      <c r="H1242" s="569">
        <v>2019</v>
      </c>
      <c r="I1242" s="569" t="s">
        <v>2456</v>
      </c>
      <c r="J1242" s="569" t="s">
        <v>1757</v>
      </c>
      <c r="K1242" s="569" t="s">
        <v>236</v>
      </c>
      <c r="L1242" s="569">
        <v>2</v>
      </c>
      <c r="M1242" s="569">
        <v>0</v>
      </c>
      <c r="N1242" s="569" t="s">
        <v>157</v>
      </c>
      <c r="O1242" s="569">
        <v>1</v>
      </c>
      <c r="P1242" s="569">
        <v>87.3</v>
      </c>
      <c r="Q1242" s="568" t="s">
        <v>157</v>
      </c>
      <c r="R1242" s="569" t="s">
        <v>1917</v>
      </c>
      <c r="S1242" s="569">
        <v>5</v>
      </c>
      <c r="T1242" s="569" t="s">
        <v>2517</v>
      </c>
      <c r="U1242" s="569" t="s">
        <v>2183</v>
      </c>
      <c r="V1242" s="569">
        <v>138</v>
      </c>
      <c r="W1242" s="569">
        <v>25</v>
      </c>
      <c r="X1242" s="568">
        <v>9500</v>
      </c>
      <c r="Y1242" s="573">
        <v>12</v>
      </c>
      <c r="Z1242" s="581" t="s">
        <v>728</v>
      </c>
      <c r="AA1242" s="581" t="s">
        <v>1523</v>
      </c>
      <c r="AB1242" s="585">
        <v>35770</v>
      </c>
      <c r="AC1242" s="585" t="s">
        <v>164</v>
      </c>
      <c r="AD1242" s="585">
        <v>27203</v>
      </c>
      <c r="AE1242" s="587">
        <v>0.05</v>
      </c>
      <c r="AF1242" s="661" t="str">
        <f t="shared" si="136"/>
        <v>2019-LVN-FRD-T3CW-013-26</v>
      </c>
      <c r="AG1242" s="661" t="str">
        <f>IF(AND($Y1242&gt;=32,(AI1242="I"),(Y1242&lt;&gt;"~"),(COUNTIF($AN$1:$AN1242,$AN1242)=1)),"TRUE","FALSE")</f>
        <v>FALSE</v>
      </c>
      <c r="AH1242" s="661" t="str">
        <f>IF(AND($Y1242&gt;=22, (AI1242&lt;&gt;"I"),(Y1242&lt;&gt;"~"),(COUNTIF($AN$1:$AN1242,$AN1242)=1)),"TRUE","FALSE")</f>
        <v>FALSE</v>
      </c>
      <c r="AI1242" s="661" t="str">
        <f t="shared" si="131"/>
        <v>II</v>
      </c>
      <c r="AJ1242" s="662" t="str">
        <f t="shared" si="132"/>
        <v>T3CW-013</v>
      </c>
      <c r="AK1242" s="662" t="str">
        <f t="shared" si="133"/>
        <v>LVN</v>
      </c>
      <c r="AL1242" s="662" t="str">
        <f t="shared" si="134"/>
        <v>FRD</v>
      </c>
      <c r="AM1242" s="662" t="str">
        <f t="shared" si="130"/>
        <v>Transit 350 Cutaway-SRW-RWD-2-87.3-~-3.2L-5-W5P-501A-138-25-Diesel-BioDiesel</v>
      </c>
      <c r="AN1242" s="662" t="str">
        <f t="shared" si="135"/>
        <v>2019-LVN-FRD-T3CW-013</v>
      </c>
    </row>
    <row r="1243" spans="1:40" s="572" customFormat="1" ht="15">
      <c r="A1243" s="570" t="s">
        <v>2521</v>
      </c>
      <c r="B1243" s="573" t="s">
        <v>2516</v>
      </c>
      <c r="C1243" s="573" t="s">
        <v>287</v>
      </c>
      <c r="D1243" s="578">
        <v>26</v>
      </c>
      <c r="E1243" s="573" t="s">
        <v>1516</v>
      </c>
      <c r="F1243" s="573" t="s">
        <v>1684</v>
      </c>
      <c r="G1243" s="573" t="s">
        <v>271</v>
      </c>
      <c r="H1243" s="573">
        <v>2019</v>
      </c>
      <c r="I1243" s="573" t="s">
        <v>2456</v>
      </c>
      <c r="J1243" s="573" t="s">
        <v>1757</v>
      </c>
      <c r="K1243" s="573" t="s">
        <v>236</v>
      </c>
      <c r="L1243" s="573">
        <v>2</v>
      </c>
      <c r="M1243" s="573">
        <v>0</v>
      </c>
      <c r="N1243" s="573" t="s">
        <v>157</v>
      </c>
      <c r="O1243" s="573">
        <v>1</v>
      </c>
      <c r="P1243" s="573">
        <v>87.3</v>
      </c>
      <c r="Q1243" s="571" t="s">
        <v>157</v>
      </c>
      <c r="R1243" s="573" t="s">
        <v>682</v>
      </c>
      <c r="S1243" s="573">
        <v>6</v>
      </c>
      <c r="T1243" s="573" t="s">
        <v>2517</v>
      </c>
      <c r="U1243" s="573" t="s">
        <v>2183</v>
      </c>
      <c r="V1243" s="573">
        <v>138</v>
      </c>
      <c r="W1243" s="573">
        <v>25</v>
      </c>
      <c r="X1243" s="571">
        <v>9500</v>
      </c>
      <c r="Y1243" s="573">
        <v>12</v>
      </c>
      <c r="Z1243" s="579" t="s">
        <v>178</v>
      </c>
      <c r="AA1243" s="579" t="s">
        <v>178</v>
      </c>
      <c r="AB1243" s="584">
        <v>31775</v>
      </c>
      <c r="AC1243" s="584" t="s">
        <v>164</v>
      </c>
      <c r="AD1243" s="584">
        <v>23564</v>
      </c>
      <c r="AE1243" s="586">
        <v>0.05</v>
      </c>
      <c r="AF1243" s="661" t="str">
        <f t="shared" si="136"/>
        <v>2019-LVN-FRD-T3CW-014-26</v>
      </c>
      <c r="AG1243" s="661" t="str">
        <f>IF(AND($Y1243&gt;=32,(AI1243="I"),(Y1243&lt;&gt;"~"),(COUNTIF($AN$1:$AN1243,$AN1243)=1)),"TRUE","FALSE")</f>
        <v>FALSE</v>
      </c>
      <c r="AH1243" s="661" t="str">
        <f>IF(AND($Y1243&gt;=22, (AI1243&lt;&gt;"I"),(Y1243&lt;&gt;"~"),(COUNTIF($AN$1:$AN1243,$AN1243)=1)),"TRUE","FALSE")</f>
        <v>FALSE</v>
      </c>
      <c r="AI1243" s="661" t="str">
        <f t="shared" si="131"/>
        <v>II</v>
      </c>
      <c r="AJ1243" s="662" t="str">
        <f t="shared" si="132"/>
        <v>T3CW-014</v>
      </c>
      <c r="AK1243" s="662" t="str">
        <f t="shared" si="133"/>
        <v>LVN</v>
      </c>
      <c r="AL1243" s="662" t="str">
        <f t="shared" si="134"/>
        <v>FRD</v>
      </c>
      <c r="AM1243" s="662" t="str">
        <f t="shared" ref="AM1243:AM1306" si="137">CONCATENATE(I1243,"-",J1243,"-",K1243,"-",L1243,"-",P1243,"-",Q1243,"-",R1243,"-",S1243,"-",T1243,"-",U1243,"-",V1243,"-",W1243,"-",Z1243,"-",AA1243)</f>
        <v>Transit 350 Cutaway-SRW-RWD-2-87.3-~-3.7L-6-W5P-501A-138-25-Unleaded-Unleaded</v>
      </c>
      <c r="AN1243" s="662" t="str">
        <f t="shared" si="135"/>
        <v>2019-LVN-FRD-T3CW-014</v>
      </c>
    </row>
    <row r="1244" spans="1:40" s="572" customFormat="1" ht="15">
      <c r="A1244" s="570" t="s">
        <v>2522</v>
      </c>
      <c r="B1244" s="569" t="s">
        <v>2523</v>
      </c>
      <c r="C1244" s="569" t="s">
        <v>287</v>
      </c>
      <c r="D1244" s="580">
        <v>26</v>
      </c>
      <c r="E1244" s="569" t="s">
        <v>1516</v>
      </c>
      <c r="F1244" s="569" t="s">
        <v>1684</v>
      </c>
      <c r="G1244" s="569" t="s">
        <v>271</v>
      </c>
      <c r="H1244" s="569">
        <v>2019</v>
      </c>
      <c r="I1244" s="569" t="s">
        <v>2456</v>
      </c>
      <c r="J1244" s="569" t="s">
        <v>1757</v>
      </c>
      <c r="K1244" s="569" t="s">
        <v>236</v>
      </c>
      <c r="L1244" s="569">
        <v>2</v>
      </c>
      <c r="M1244" s="569">
        <v>0</v>
      </c>
      <c r="N1244" s="569" t="s">
        <v>157</v>
      </c>
      <c r="O1244" s="569">
        <v>1</v>
      </c>
      <c r="P1244" s="569">
        <v>87</v>
      </c>
      <c r="Q1244" s="568" t="s">
        <v>157</v>
      </c>
      <c r="R1244" s="569" t="s">
        <v>1917</v>
      </c>
      <c r="S1244" s="569">
        <v>5</v>
      </c>
      <c r="T1244" s="569" t="s">
        <v>2514</v>
      </c>
      <c r="U1244" s="569" t="s">
        <v>2183</v>
      </c>
      <c r="V1244" s="569">
        <v>156</v>
      </c>
      <c r="W1244" s="569">
        <v>25</v>
      </c>
      <c r="X1244" s="568">
        <v>9500</v>
      </c>
      <c r="Y1244" s="573">
        <v>12</v>
      </c>
      <c r="Z1244" s="581" t="s">
        <v>728</v>
      </c>
      <c r="AA1244" s="581" t="s">
        <v>1523</v>
      </c>
      <c r="AB1244" s="585">
        <v>35570</v>
      </c>
      <c r="AC1244" s="585" t="s">
        <v>164</v>
      </c>
      <c r="AD1244" s="585">
        <v>27015</v>
      </c>
      <c r="AE1244" s="587">
        <v>0.05</v>
      </c>
      <c r="AF1244" s="661" t="str">
        <f t="shared" si="136"/>
        <v>2019-LVN-FRD-T3CW-015-26</v>
      </c>
      <c r="AG1244" s="661" t="str">
        <f>IF(AND($Y1244&gt;=32,(AI1244="I"),(Y1244&lt;&gt;"~"),(COUNTIF($AN$1:$AN1244,$AN1244)=1)),"TRUE","FALSE")</f>
        <v>FALSE</v>
      </c>
      <c r="AH1244" s="661" t="str">
        <f>IF(AND($Y1244&gt;=22, (AI1244&lt;&gt;"I"),(Y1244&lt;&gt;"~"),(COUNTIF($AN$1:$AN1244,$AN1244)=1)),"TRUE","FALSE")</f>
        <v>FALSE</v>
      </c>
      <c r="AI1244" s="661" t="str">
        <f t="shared" ref="AI1244:AI1307" si="138">IF(OR((LEFT($E1244,2)="01"),AND(LEFT($E1244,2)="06",ISNUMBER(SEARCH("pas",$F1244))),AND(LEFT($E1244,2)="05",ISNUMBER(SEARCH("pas",$F1244)))),"I",IF(AND((LEFT($E1244,2)&lt;&gt;"01"),$X1244&lt;=10000),"II",IF(AND((LEFT($E1244,2)&lt;&gt;"01"),$X1244&gt;10000),"N/A")))</f>
        <v>II</v>
      </c>
      <c r="AJ1244" s="662" t="str">
        <f t="shared" si="132"/>
        <v>T3CW-015</v>
      </c>
      <c r="AK1244" s="662" t="str">
        <f t="shared" si="133"/>
        <v>LVN</v>
      </c>
      <c r="AL1244" s="662" t="str">
        <f t="shared" si="134"/>
        <v>FRD</v>
      </c>
      <c r="AM1244" s="662" t="str">
        <f t="shared" si="137"/>
        <v>Transit 350 Cutaway-SRW-RWD-2-87-~-3.2L-5-W7P-501A-156-25-Diesel-BioDiesel</v>
      </c>
      <c r="AN1244" s="662" t="str">
        <f t="shared" si="135"/>
        <v>2019-LVN-FRD-T3CW-015</v>
      </c>
    </row>
    <row r="1245" spans="1:40" s="572" customFormat="1" ht="15">
      <c r="A1245" s="570" t="s">
        <v>2524</v>
      </c>
      <c r="B1245" s="573" t="s">
        <v>2513</v>
      </c>
      <c r="C1245" s="573" t="s">
        <v>287</v>
      </c>
      <c r="D1245" s="578">
        <v>26</v>
      </c>
      <c r="E1245" s="573" t="s">
        <v>1516</v>
      </c>
      <c r="F1245" s="573" t="s">
        <v>1684</v>
      </c>
      <c r="G1245" s="573" t="s">
        <v>271</v>
      </c>
      <c r="H1245" s="573">
        <v>2019</v>
      </c>
      <c r="I1245" s="573" t="s">
        <v>2456</v>
      </c>
      <c r="J1245" s="573" t="s">
        <v>1757</v>
      </c>
      <c r="K1245" s="573" t="s">
        <v>236</v>
      </c>
      <c r="L1245" s="573">
        <v>2</v>
      </c>
      <c r="M1245" s="573">
        <v>0</v>
      </c>
      <c r="N1245" s="573" t="s">
        <v>157</v>
      </c>
      <c r="O1245" s="573">
        <v>1</v>
      </c>
      <c r="P1245" s="573">
        <v>87</v>
      </c>
      <c r="Q1245" s="571" t="s">
        <v>157</v>
      </c>
      <c r="R1245" s="573" t="s">
        <v>682</v>
      </c>
      <c r="S1245" s="573">
        <v>6</v>
      </c>
      <c r="T1245" s="573" t="s">
        <v>2514</v>
      </c>
      <c r="U1245" s="573" t="s">
        <v>2183</v>
      </c>
      <c r="V1245" s="573">
        <v>156</v>
      </c>
      <c r="W1245" s="573">
        <v>25</v>
      </c>
      <c r="X1245" s="571">
        <v>9500</v>
      </c>
      <c r="Y1245" s="573">
        <v>12</v>
      </c>
      <c r="Z1245" s="579" t="s">
        <v>178</v>
      </c>
      <c r="AA1245" s="579" t="s">
        <v>178</v>
      </c>
      <c r="AB1245" s="584">
        <v>31775</v>
      </c>
      <c r="AC1245" s="584" t="s">
        <v>164</v>
      </c>
      <c r="AD1245" s="584">
        <v>23377</v>
      </c>
      <c r="AE1245" s="586">
        <v>0.05</v>
      </c>
      <c r="AF1245" s="661" t="str">
        <f t="shared" si="136"/>
        <v>2019-LVN-FRD-T3CW-016-26</v>
      </c>
      <c r="AG1245" s="661" t="str">
        <f>IF(AND($Y1245&gt;=32,(AI1245="I"),(Y1245&lt;&gt;"~"),(COUNTIF($AN$1:$AN1245,$AN1245)=1)),"TRUE","FALSE")</f>
        <v>FALSE</v>
      </c>
      <c r="AH1245" s="661" t="str">
        <f>IF(AND($Y1245&gt;=22, (AI1245&lt;&gt;"I"),(Y1245&lt;&gt;"~"),(COUNTIF($AN$1:$AN1245,$AN1245)=1)),"TRUE","FALSE")</f>
        <v>FALSE</v>
      </c>
      <c r="AI1245" s="661" t="str">
        <f t="shared" si="138"/>
        <v>II</v>
      </c>
      <c r="AJ1245" s="662" t="str">
        <f t="shared" si="132"/>
        <v>T3CW-016</v>
      </c>
      <c r="AK1245" s="662" t="str">
        <f t="shared" si="133"/>
        <v>LVN</v>
      </c>
      <c r="AL1245" s="662" t="str">
        <f t="shared" si="134"/>
        <v>FRD</v>
      </c>
      <c r="AM1245" s="662" t="str">
        <f t="shared" si="137"/>
        <v>Transit 350 Cutaway-SRW-RWD-2-87-~-3.7L-6-W7P-501A-156-25-Unleaded-Unleaded</v>
      </c>
      <c r="AN1245" s="662" t="str">
        <f t="shared" si="135"/>
        <v>2019-LVN-FRD-T3CW-016</v>
      </c>
    </row>
    <row r="1246" spans="1:40" s="572" customFormat="1" ht="15">
      <c r="A1246" s="570" t="s">
        <v>2525</v>
      </c>
      <c r="B1246" s="569" t="s">
        <v>2513</v>
      </c>
      <c r="C1246" s="569" t="s">
        <v>280</v>
      </c>
      <c r="D1246" s="580">
        <v>27</v>
      </c>
      <c r="E1246" s="569" t="s">
        <v>1516</v>
      </c>
      <c r="F1246" s="569" t="s">
        <v>1684</v>
      </c>
      <c r="G1246" s="569" t="s">
        <v>271</v>
      </c>
      <c r="H1246" s="569">
        <v>2019</v>
      </c>
      <c r="I1246" s="569" t="s">
        <v>2456</v>
      </c>
      <c r="J1246" s="569" t="s">
        <v>1757</v>
      </c>
      <c r="K1246" s="569" t="s">
        <v>236</v>
      </c>
      <c r="L1246" s="569">
        <v>2</v>
      </c>
      <c r="M1246" s="569">
        <v>0</v>
      </c>
      <c r="N1246" s="569" t="s">
        <v>157</v>
      </c>
      <c r="O1246" s="569">
        <v>1</v>
      </c>
      <c r="P1246" s="569">
        <v>87</v>
      </c>
      <c r="Q1246" s="568" t="s">
        <v>157</v>
      </c>
      <c r="R1246" s="569" t="s">
        <v>682</v>
      </c>
      <c r="S1246" s="569">
        <v>6</v>
      </c>
      <c r="T1246" s="569" t="s">
        <v>2514</v>
      </c>
      <c r="U1246" s="569" t="s">
        <v>2183</v>
      </c>
      <c r="V1246" s="569">
        <v>156</v>
      </c>
      <c r="W1246" s="569">
        <v>25</v>
      </c>
      <c r="X1246" s="568">
        <v>9500</v>
      </c>
      <c r="Y1246" s="573">
        <v>12</v>
      </c>
      <c r="Z1246" s="581" t="s">
        <v>178</v>
      </c>
      <c r="AA1246" s="581" t="s">
        <v>178</v>
      </c>
      <c r="AB1246" s="585">
        <v>31775</v>
      </c>
      <c r="AC1246" s="585" t="s">
        <v>164</v>
      </c>
      <c r="AD1246" s="585">
        <v>22887.166666666668</v>
      </c>
      <c r="AE1246" s="587">
        <v>0.03</v>
      </c>
      <c r="AF1246" s="661" t="str">
        <f t="shared" si="136"/>
        <v>2019-LVN-FRD-T3CW-016-27</v>
      </c>
      <c r="AG1246" s="661" t="str">
        <f>IF(AND($Y1246&gt;=32,(AI1246="I"),(Y1246&lt;&gt;"~"),(COUNTIF($AN$1:$AN1246,$AN1246)=1)),"TRUE","FALSE")</f>
        <v>FALSE</v>
      </c>
      <c r="AH1246" s="661" t="str">
        <f>IF(AND($Y1246&gt;=22, (AI1246&lt;&gt;"I"),(Y1246&lt;&gt;"~"),(COUNTIF($AN$1:$AN1246,$AN1246)=1)),"TRUE","FALSE")</f>
        <v>FALSE</v>
      </c>
      <c r="AI1246" s="661" t="str">
        <f t="shared" si="138"/>
        <v>II</v>
      </c>
      <c r="AJ1246" s="662" t="str">
        <f t="shared" si="132"/>
        <v>T3CW-016</v>
      </c>
      <c r="AK1246" s="662" t="str">
        <f t="shared" si="133"/>
        <v>LVN</v>
      </c>
      <c r="AL1246" s="662" t="str">
        <f t="shared" si="134"/>
        <v>FRD</v>
      </c>
      <c r="AM1246" s="662" t="str">
        <f t="shared" si="137"/>
        <v>Transit 350 Cutaway-SRW-RWD-2-87-~-3.7L-6-W7P-501A-156-25-Unleaded-Unleaded</v>
      </c>
      <c r="AN1246" s="662" t="str">
        <f t="shared" si="135"/>
        <v>2019-LVN-FRD-T3CW-016</v>
      </c>
    </row>
    <row r="1247" spans="1:40" s="572" customFormat="1" ht="15">
      <c r="A1247" s="570" t="s">
        <v>2526</v>
      </c>
      <c r="B1247" s="573" t="s">
        <v>2527</v>
      </c>
      <c r="C1247" s="573" t="s">
        <v>269</v>
      </c>
      <c r="D1247" s="578" t="s">
        <v>270</v>
      </c>
      <c r="E1247" s="573" t="s">
        <v>1516</v>
      </c>
      <c r="F1247" s="573" t="s">
        <v>1571</v>
      </c>
      <c r="G1247" s="573" t="s">
        <v>271</v>
      </c>
      <c r="H1247" s="573">
        <v>2019</v>
      </c>
      <c r="I1247" s="573" t="s">
        <v>2528</v>
      </c>
      <c r="J1247" s="573" t="s">
        <v>2529</v>
      </c>
      <c r="K1247" s="573" t="s">
        <v>236</v>
      </c>
      <c r="L1247" s="573">
        <v>2</v>
      </c>
      <c r="M1247" s="573">
        <v>0</v>
      </c>
      <c r="N1247" s="573" t="s">
        <v>157</v>
      </c>
      <c r="O1247" s="573">
        <v>1</v>
      </c>
      <c r="P1247" s="573">
        <v>109.4</v>
      </c>
      <c r="Q1247" s="571" t="s">
        <v>157</v>
      </c>
      <c r="R1247" s="573" t="s">
        <v>1917</v>
      </c>
      <c r="S1247" s="573">
        <v>5</v>
      </c>
      <c r="T1247" s="573" t="s">
        <v>2530</v>
      </c>
      <c r="U1247" s="573" t="s">
        <v>1894</v>
      </c>
      <c r="V1247" s="573">
        <v>147.6</v>
      </c>
      <c r="W1247" s="573">
        <v>25</v>
      </c>
      <c r="X1247" s="571">
        <v>9950</v>
      </c>
      <c r="Y1247" s="573">
        <v>12</v>
      </c>
      <c r="Z1247" s="579" t="s">
        <v>728</v>
      </c>
      <c r="AA1247" s="579" t="s">
        <v>1523</v>
      </c>
      <c r="AB1247" s="584">
        <v>47245</v>
      </c>
      <c r="AC1247" s="584" t="s">
        <v>164</v>
      </c>
      <c r="AD1247" s="584">
        <v>36925.25</v>
      </c>
      <c r="AE1247" s="586">
        <v>0.03</v>
      </c>
      <c r="AF1247" s="661" t="str">
        <f t="shared" si="136"/>
        <v>2019-LVN-FRD-T35H-001-05</v>
      </c>
      <c r="AG1247" s="661" t="str">
        <f>IF(AND($Y1247&gt;=32,(AI1247="I"),(Y1247&lt;&gt;"~"),(COUNTIF($AN$1:$AN1247,$AN1247)=1)),"TRUE","FALSE")</f>
        <v>FALSE</v>
      </c>
      <c r="AH1247" s="661" t="str">
        <f>IF(AND($Y1247&gt;=22, (AI1247&lt;&gt;"I"),(Y1247&lt;&gt;"~"),(COUNTIF($AN$1:$AN1247,$AN1247)=1)),"TRUE","FALSE")</f>
        <v>FALSE</v>
      </c>
      <c r="AI1247" s="661" t="str">
        <f t="shared" si="138"/>
        <v>II</v>
      </c>
      <c r="AJ1247" s="662" t="str">
        <f t="shared" si="132"/>
        <v>T35H-001</v>
      </c>
      <c r="AK1247" s="662" t="str">
        <f t="shared" si="133"/>
        <v>LVN</v>
      </c>
      <c r="AL1247" s="662" t="str">
        <f t="shared" si="134"/>
        <v>FRD</v>
      </c>
      <c r="AM1247" s="662" t="str">
        <f t="shared" si="137"/>
        <v>Transit 350 HD Van-EL Dual Door-RWD-2-109.4-~-3.2L-5-F4U-101A-147.6-25-Diesel-BioDiesel</v>
      </c>
      <c r="AN1247" s="662" t="str">
        <f t="shared" si="135"/>
        <v>2019-LVN-FRD-T35H-001</v>
      </c>
    </row>
    <row r="1248" spans="1:40" s="572" customFormat="1" ht="15">
      <c r="A1248" s="570" t="s">
        <v>2531</v>
      </c>
      <c r="B1248" s="569" t="s">
        <v>2532</v>
      </c>
      <c r="C1248" s="569" t="s">
        <v>269</v>
      </c>
      <c r="D1248" s="580" t="s">
        <v>270</v>
      </c>
      <c r="E1248" s="569" t="s">
        <v>1516</v>
      </c>
      <c r="F1248" s="569" t="s">
        <v>1571</v>
      </c>
      <c r="G1248" s="569" t="s">
        <v>271</v>
      </c>
      <c r="H1248" s="569">
        <v>2019</v>
      </c>
      <c r="I1248" s="569" t="s">
        <v>2528</v>
      </c>
      <c r="J1248" s="569" t="s">
        <v>2529</v>
      </c>
      <c r="K1248" s="569" t="s">
        <v>236</v>
      </c>
      <c r="L1248" s="569">
        <v>2</v>
      </c>
      <c r="M1248" s="569">
        <v>0</v>
      </c>
      <c r="N1248" s="569" t="s">
        <v>157</v>
      </c>
      <c r="O1248" s="569">
        <v>1</v>
      </c>
      <c r="P1248" s="569">
        <v>109.4</v>
      </c>
      <c r="Q1248" s="568" t="s">
        <v>157</v>
      </c>
      <c r="R1248" s="569" t="s">
        <v>1917</v>
      </c>
      <c r="S1248" s="569">
        <v>5</v>
      </c>
      <c r="T1248" s="569" t="s">
        <v>2533</v>
      </c>
      <c r="U1248" s="569" t="s">
        <v>1894</v>
      </c>
      <c r="V1248" s="569">
        <v>147.6</v>
      </c>
      <c r="W1248" s="569">
        <v>25</v>
      </c>
      <c r="X1248" s="568">
        <v>10360</v>
      </c>
      <c r="Y1248" s="569" t="s">
        <v>164</v>
      </c>
      <c r="Z1248" s="581" t="s">
        <v>728</v>
      </c>
      <c r="AA1248" s="581" t="s">
        <v>1523</v>
      </c>
      <c r="AB1248" s="585">
        <v>47595</v>
      </c>
      <c r="AC1248" s="585" t="s">
        <v>164</v>
      </c>
      <c r="AD1248" s="585">
        <v>37245.041666666664</v>
      </c>
      <c r="AE1248" s="587">
        <v>0.03</v>
      </c>
      <c r="AF1248" s="661" t="str">
        <f t="shared" si="136"/>
        <v>2019-LVN-FRD-T35H-002-05</v>
      </c>
      <c r="AG1248" s="661" t="str">
        <f>IF(AND($Y1248&gt;=32,(AI1248="I"),(Y1248&lt;&gt;"~"),(COUNTIF($AN$1:$AN1248,$AN1248)=1)),"TRUE","FALSE")</f>
        <v>FALSE</v>
      </c>
      <c r="AH1248" s="661" t="str">
        <f>IF(AND($Y1248&gt;=22, (AI1248&lt;&gt;"I"),(Y1248&lt;&gt;"~"),(COUNTIF($AN$1:$AN1248,$AN1248)=1)),"TRUE","FALSE")</f>
        <v>TRUE</v>
      </c>
      <c r="AI1248" s="661" t="str">
        <f t="shared" si="138"/>
        <v>N/A</v>
      </c>
      <c r="AJ1248" s="662" t="str">
        <f t="shared" si="132"/>
        <v>T35H-002</v>
      </c>
      <c r="AK1248" s="662" t="str">
        <f t="shared" si="133"/>
        <v>LVN</v>
      </c>
      <c r="AL1248" s="662" t="str">
        <f t="shared" si="134"/>
        <v>FRD</v>
      </c>
      <c r="AM1248" s="662" t="str">
        <f t="shared" si="137"/>
        <v>Transit 350 HD Van-EL Dual Door-RWD-2-109.4-~-3.2L-5-S4U-101A-147.6-25-Diesel-BioDiesel</v>
      </c>
      <c r="AN1248" s="662" t="str">
        <f t="shared" si="135"/>
        <v>2019-LVN-FRD-T35H-002</v>
      </c>
    </row>
    <row r="1249" spans="1:40" s="572" customFormat="1" ht="15">
      <c r="A1249" s="570" t="s">
        <v>2534</v>
      </c>
      <c r="B1249" s="573" t="s">
        <v>2535</v>
      </c>
      <c r="C1249" s="573" t="s">
        <v>269</v>
      </c>
      <c r="D1249" s="578" t="s">
        <v>270</v>
      </c>
      <c r="E1249" s="573" t="s">
        <v>1516</v>
      </c>
      <c r="F1249" s="573" t="s">
        <v>1571</v>
      </c>
      <c r="G1249" s="573" t="s">
        <v>271</v>
      </c>
      <c r="H1249" s="573">
        <v>2019</v>
      </c>
      <c r="I1249" s="573" t="s">
        <v>2528</v>
      </c>
      <c r="J1249" s="573" t="s">
        <v>2529</v>
      </c>
      <c r="K1249" s="573" t="s">
        <v>236</v>
      </c>
      <c r="L1249" s="573">
        <v>2</v>
      </c>
      <c r="M1249" s="573">
        <v>0</v>
      </c>
      <c r="N1249" s="573" t="s">
        <v>157</v>
      </c>
      <c r="O1249" s="573">
        <v>1</v>
      </c>
      <c r="P1249" s="573">
        <v>109.4</v>
      </c>
      <c r="Q1249" s="571" t="s">
        <v>157</v>
      </c>
      <c r="R1249" s="573" t="s">
        <v>1259</v>
      </c>
      <c r="S1249" s="573">
        <v>6</v>
      </c>
      <c r="T1249" s="573" t="s">
        <v>2530</v>
      </c>
      <c r="U1249" s="573" t="s">
        <v>1894</v>
      </c>
      <c r="V1249" s="573">
        <v>147.6</v>
      </c>
      <c r="W1249" s="573">
        <v>25</v>
      </c>
      <c r="X1249" s="571">
        <v>9950</v>
      </c>
      <c r="Y1249" s="573">
        <v>12</v>
      </c>
      <c r="Z1249" s="579" t="s">
        <v>178</v>
      </c>
      <c r="AA1249" s="579" t="s">
        <v>178</v>
      </c>
      <c r="AB1249" s="584">
        <v>45115</v>
      </c>
      <c r="AC1249" s="584" t="s">
        <v>164</v>
      </c>
      <c r="AD1249" s="584">
        <v>35031.958333333336</v>
      </c>
      <c r="AE1249" s="586">
        <v>0.03</v>
      </c>
      <c r="AF1249" s="661" t="str">
        <f t="shared" si="136"/>
        <v>2019-LVN-FRD-T35H-003-05</v>
      </c>
      <c r="AG1249" s="661" t="str">
        <f>IF(AND($Y1249&gt;=32,(AI1249="I"),(Y1249&lt;&gt;"~"),(COUNTIF($AN$1:$AN1249,$AN1249)=1)),"TRUE","FALSE")</f>
        <v>FALSE</v>
      </c>
      <c r="AH1249" s="661" t="str">
        <f>IF(AND($Y1249&gt;=22, (AI1249&lt;&gt;"I"),(Y1249&lt;&gt;"~"),(COUNTIF($AN$1:$AN1249,$AN1249)=1)),"TRUE","FALSE")</f>
        <v>FALSE</v>
      </c>
      <c r="AI1249" s="661" t="str">
        <f t="shared" si="138"/>
        <v>II</v>
      </c>
      <c r="AJ1249" s="662" t="str">
        <f t="shared" si="132"/>
        <v>T35H-003</v>
      </c>
      <c r="AK1249" s="662" t="str">
        <f t="shared" si="133"/>
        <v>LVN</v>
      </c>
      <c r="AL1249" s="662" t="str">
        <f t="shared" si="134"/>
        <v>FRD</v>
      </c>
      <c r="AM1249" s="662" t="str">
        <f t="shared" si="137"/>
        <v>Transit 350 HD Van-EL Dual Door-RWD-2-109.4-~-3.5L EcoBoost-6-F4U-101A-147.6-25-Unleaded-Unleaded</v>
      </c>
      <c r="AN1249" s="662" t="str">
        <f t="shared" si="135"/>
        <v>2019-LVN-FRD-T35H-003</v>
      </c>
    </row>
    <row r="1250" spans="1:40" s="572" customFormat="1" ht="15">
      <c r="A1250" s="570" t="s">
        <v>2536</v>
      </c>
      <c r="B1250" s="569" t="s">
        <v>2537</v>
      </c>
      <c r="C1250" s="569" t="s">
        <v>269</v>
      </c>
      <c r="D1250" s="580" t="s">
        <v>270</v>
      </c>
      <c r="E1250" s="569" t="s">
        <v>1516</v>
      </c>
      <c r="F1250" s="569" t="s">
        <v>1571</v>
      </c>
      <c r="G1250" s="569" t="s">
        <v>271</v>
      </c>
      <c r="H1250" s="569">
        <v>2019</v>
      </c>
      <c r="I1250" s="569" t="s">
        <v>2528</v>
      </c>
      <c r="J1250" s="569" t="s">
        <v>2529</v>
      </c>
      <c r="K1250" s="569" t="s">
        <v>236</v>
      </c>
      <c r="L1250" s="569">
        <v>2</v>
      </c>
      <c r="M1250" s="569">
        <v>0</v>
      </c>
      <c r="N1250" s="569" t="s">
        <v>157</v>
      </c>
      <c r="O1250" s="569">
        <v>1</v>
      </c>
      <c r="P1250" s="569">
        <v>109.4</v>
      </c>
      <c r="Q1250" s="568" t="s">
        <v>157</v>
      </c>
      <c r="R1250" s="569" t="s">
        <v>1259</v>
      </c>
      <c r="S1250" s="569">
        <v>6</v>
      </c>
      <c r="T1250" s="569" t="s">
        <v>2533</v>
      </c>
      <c r="U1250" s="569" t="s">
        <v>1894</v>
      </c>
      <c r="V1250" s="569">
        <v>147.6</v>
      </c>
      <c r="W1250" s="569">
        <v>25</v>
      </c>
      <c r="X1250" s="568">
        <v>10360</v>
      </c>
      <c r="Y1250" s="569" t="s">
        <v>164</v>
      </c>
      <c r="Z1250" s="581" t="s">
        <v>178</v>
      </c>
      <c r="AA1250" s="581" t="s">
        <v>178</v>
      </c>
      <c r="AB1250" s="585">
        <v>45465</v>
      </c>
      <c r="AC1250" s="585" t="s">
        <v>164</v>
      </c>
      <c r="AD1250" s="585">
        <v>35351.75</v>
      </c>
      <c r="AE1250" s="587">
        <v>0.03</v>
      </c>
      <c r="AF1250" s="661" t="str">
        <f t="shared" si="136"/>
        <v>2019-LVN-FRD-T35H-004-05</v>
      </c>
      <c r="AG1250" s="661" t="str">
        <f>IF(AND($Y1250&gt;=32,(AI1250="I"),(Y1250&lt;&gt;"~"),(COUNTIF($AN$1:$AN1250,$AN1250)=1)),"TRUE","FALSE")</f>
        <v>FALSE</v>
      </c>
      <c r="AH1250" s="661" t="str">
        <f>IF(AND($Y1250&gt;=22, (AI1250&lt;&gt;"I"),(Y1250&lt;&gt;"~"),(COUNTIF($AN$1:$AN1250,$AN1250)=1)),"TRUE","FALSE")</f>
        <v>TRUE</v>
      </c>
      <c r="AI1250" s="661" t="str">
        <f t="shared" si="138"/>
        <v>N/A</v>
      </c>
      <c r="AJ1250" s="662" t="str">
        <f t="shared" si="132"/>
        <v>T35H-004</v>
      </c>
      <c r="AK1250" s="662" t="str">
        <f t="shared" si="133"/>
        <v>LVN</v>
      </c>
      <c r="AL1250" s="662" t="str">
        <f t="shared" si="134"/>
        <v>FRD</v>
      </c>
      <c r="AM1250" s="662" t="str">
        <f t="shared" si="137"/>
        <v>Transit 350 HD Van-EL Dual Door-RWD-2-109.4-~-3.5L EcoBoost-6-S4U-101A-147.6-25-Unleaded-Unleaded</v>
      </c>
      <c r="AN1250" s="662" t="str">
        <f t="shared" si="135"/>
        <v>2019-LVN-FRD-T35H-004</v>
      </c>
    </row>
    <row r="1251" spans="1:40" s="572" customFormat="1" ht="15">
      <c r="A1251" s="570" t="s">
        <v>2538</v>
      </c>
      <c r="B1251" s="573" t="s">
        <v>2539</v>
      </c>
      <c r="C1251" s="573" t="s">
        <v>269</v>
      </c>
      <c r="D1251" s="578" t="s">
        <v>270</v>
      </c>
      <c r="E1251" s="573" t="s">
        <v>1516</v>
      </c>
      <c r="F1251" s="573" t="s">
        <v>1571</v>
      </c>
      <c r="G1251" s="573" t="s">
        <v>271</v>
      </c>
      <c r="H1251" s="573">
        <v>2019</v>
      </c>
      <c r="I1251" s="573" t="s">
        <v>2528</v>
      </c>
      <c r="J1251" s="573" t="s">
        <v>2529</v>
      </c>
      <c r="K1251" s="573" t="s">
        <v>236</v>
      </c>
      <c r="L1251" s="573">
        <v>2</v>
      </c>
      <c r="M1251" s="573">
        <v>0</v>
      </c>
      <c r="N1251" s="573" t="s">
        <v>157</v>
      </c>
      <c r="O1251" s="573">
        <v>1</v>
      </c>
      <c r="P1251" s="573">
        <v>109.4</v>
      </c>
      <c r="Q1251" s="571" t="s">
        <v>157</v>
      </c>
      <c r="R1251" s="573" t="s">
        <v>682</v>
      </c>
      <c r="S1251" s="573">
        <v>6</v>
      </c>
      <c r="T1251" s="573" t="s">
        <v>2530</v>
      </c>
      <c r="U1251" s="573" t="s">
        <v>1894</v>
      </c>
      <c r="V1251" s="573">
        <v>147.6</v>
      </c>
      <c r="W1251" s="573">
        <v>25</v>
      </c>
      <c r="X1251" s="571">
        <v>9500</v>
      </c>
      <c r="Y1251" s="573">
        <v>12</v>
      </c>
      <c r="Z1251" s="579" t="s">
        <v>178</v>
      </c>
      <c r="AA1251" s="579" t="s">
        <v>178</v>
      </c>
      <c r="AB1251" s="584">
        <v>43250</v>
      </c>
      <c r="AC1251" s="584" t="s">
        <v>164</v>
      </c>
      <c r="AD1251" s="584">
        <v>33375.708333333336</v>
      </c>
      <c r="AE1251" s="586">
        <v>0.03</v>
      </c>
      <c r="AF1251" s="661" t="str">
        <f t="shared" si="136"/>
        <v>2019-LVN-FRD-T35H-005-05</v>
      </c>
      <c r="AG1251" s="661" t="str">
        <f>IF(AND($Y1251&gt;=32,(AI1251="I"),(Y1251&lt;&gt;"~"),(COUNTIF($AN$1:$AN1251,$AN1251)=1)),"TRUE","FALSE")</f>
        <v>FALSE</v>
      </c>
      <c r="AH1251" s="661" t="str">
        <f>IF(AND($Y1251&gt;=22, (AI1251&lt;&gt;"I"),(Y1251&lt;&gt;"~"),(COUNTIF($AN$1:$AN1251,$AN1251)=1)),"TRUE","FALSE")</f>
        <v>FALSE</v>
      </c>
      <c r="AI1251" s="661" t="str">
        <f t="shared" si="138"/>
        <v>II</v>
      </c>
      <c r="AJ1251" s="662" t="str">
        <f t="shared" si="132"/>
        <v>T35H-005</v>
      </c>
      <c r="AK1251" s="662" t="str">
        <f t="shared" si="133"/>
        <v>LVN</v>
      </c>
      <c r="AL1251" s="662" t="str">
        <f t="shared" si="134"/>
        <v>FRD</v>
      </c>
      <c r="AM1251" s="662" t="str">
        <f t="shared" si="137"/>
        <v>Transit 350 HD Van-EL Dual Door-RWD-2-109.4-~-3.7L-6-F4U-101A-147.6-25-Unleaded-Unleaded</v>
      </c>
      <c r="AN1251" s="662" t="str">
        <f t="shared" si="135"/>
        <v>2019-LVN-FRD-T35H-005</v>
      </c>
    </row>
    <row r="1252" spans="1:40" s="572" customFormat="1" ht="15">
      <c r="A1252" s="570" t="s">
        <v>2540</v>
      </c>
      <c r="B1252" s="569" t="s">
        <v>2541</v>
      </c>
      <c r="C1252" s="569" t="s">
        <v>269</v>
      </c>
      <c r="D1252" s="580" t="s">
        <v>270</v>
      </c>
      <c r="E1252" s="569" t="s">
        <v>1516</v>
      </c>
      <c r="F1252" s="569" t="s">
        <v>1571</v>
      </c>
      <c r="G1252" s="569" t="s">
        <v>271</v>
      </c>
      <c r="H1252" s="569">
        <v>2019</v>
      </c>
      <c r="I1252" s="569" t="s">
        <v>2528</v>
      </c>
      <c r="J1252" s="569" t="s">
        <v>2529</v>
      </c>
      <c r="K1252" s="569" t="s">
        <v>236</v>
      </c>
      <c r="L1252" s="569">
        <v>2</v>
      </c>
      <c r="M1252" s="569">
        <v>0</v>
      </c>
      <c r="N1252" s="569" t="s">
        <v>157</v>
      </c>
      <c r="O1252" s="569">
        <v>1</v>
      </c>
      <c r="P1252" s="569">
        <v>109.4</v>
      </c>
      <c r="Q1252" s="568" t="s">
        <v>157</v>
      </c>
      <c r="R1252" s="569" t="s">
        <v>682</v>
      </c>
      <c r="S1252" s="569">
        <v>6</v>
      </c>
      <c r="T1252" s="569" t="s">
        <v>2533</v>
      </c>
      <c r="U1252" s="569" t="s">
        <v>1894</v>
      </c>
      <c r="V1252" s="569">
        <v>147.6</v>
      </c>
      <c r="W1252" s="569">
        <v>25</v>
      </c>
      <c r="X1252" s="568">
        <v>10360</v>
      </c>
      <c r="Y1252" s="569" t="s">
        <v>164</v>
      </c>
      <c r="Z1252" s="581" t="s">
        <v>178</v>
      </c>
      <c r="AA1252" s="581" t="s">
        <v>178</v>
      </c>
      <c r="AB1252" s="585">
        <v>43600</v>
      </c>
      <c r="AC1252" s="585" t="s">
        <v>164</v>
      </c>
      <c r="AD1252" s="585">
        <v>33695.5</v>
      </c>
      <c r="AE1252" s="587">
        <v>0.03</v>
      </c>
      <c r="AF1252" s="661" t="str">
        <f t="shared" si="136"/>
        <v>2019-LVN-FRD-T35H-006-05</v>
      </c>
      <c r="AG1252" s="661" t="str">
        <f>IF(AND($Y1252&gt;=32,(AI1252="I"),(Y1252&lt;&gt;"~"),(COUNTIF($AN$1:$AN1252,$AN1252)=1)),"TRUE","FALSE")</f>
        <v>FALSE</v>
      </c>
      <c r="AH1252" s="661" t="str">
        <f>IF(AND($Y1252&gt;=22, (AI1252&lt;&gt;"I"),(Y1252&lt;&gt;"~"),(COUNTIF($AN$1:$AN1252,$AN1252)=1)),"TRUE","FALSE")</f>
        <v>TRUE</v>
      </c>
      <c r="AI1252" s="661" t="str">
        <f t="shared" si="138"/>
        <v>N/A</v>
      </c>
      <c r="AJ1252" s="662" t="str">
        <f t="shared" si="132"/>
        <v>T35H-006</v>
      </c>
      <c r="AK1252" s="662" t="str">
        <f t="shared" si="133"/>
        <v>LVN</v>
      </c>
      <c r="AL1252" s="662" t="str">
        <f t="shared" si="134"/>
        <v>FRD</v>
      </c>
      <c r="AM1252" s="662" t="str">
        <f t="shared" si="137"/>
        <v>Transit 350 HD Van-EL Dual Door-RWD-2-109.4-~-3.7L-6-S4U-101A-147.6-25-Unleaded-Unleaded</v>
      </c>
      <c r="AN1252" s="662" t="str">
        <f t="shared" si="135"/>
        <v>2019-LVN-FRD-T35H-006</v>
      </c>
    </row>
    <row r="1253" spans="1:40" s="572" customFormat="1" ht="15">
      <c r="A1253" s="570" t="s">
        <v>2542</v>
      </c>
      <c r="B1253" s="573" t="s">
        <v>2527</v>
      </c>
      <c r="C1253" s="573" t="s">
        <v>278</v>
      </c>
      <c r="D1253" s="578">
        <v>15</v>
      </c>
      <c r="E1253" s="573" t="s">
        <v>1516</v>
      </c>
      <c r="F1253" s="573" t="s">
        <v>1571</v>
      </c>
      <c r="G1253" s="573" t="s">
        <v>271</v>
      </c>
      <c r="H1253" s="573">
        <v>2019</v>
      </c>
      <c r="I1253" s="573" t="s">
        <v>2528</v>
      </c>
      <c r="J1253" s="573" t="s">
        <v>2529</v>
      </c>
      <c r="K1253" s="573" t="s">
        <v>236</v>
      </c>
      <c r="L1253" s="573">
        <v>2</v>
      </c>
      <c r="M1253" s="573">
        <v>0</v>
      </c>
      <c r="N1253" s="573" t="s">
        <v>157</v>
      </c>
      <c r="O1253" s="573">
        <v>1</v>
      </c>
      <c r="P1253" s="573">
        <v>109.4</v>
      </c>
      <c r="Q1253" s="571" t="s">
        <v>157</v>
      </c>
      <c r="R1253" s="573" t="s">
        <v>1917</v>
      </c>
      <c r="S1253" s="573">
        <v>5</v>
      </c>
      <c r="T1253" s="573" t="s">
        <v>2530</v>
      </c>
      <c r="U1253" s="573" t="s">
        <v>1894</v>
      </c>
      <c r="V1253" s="573">
        <v>147.6</v>
      </c>
      <c r="W1253" s="573">
        <v>25</v>
      </c>
      <c r="X1253" s="571">
        <v>9950</v>
      </c>
      <c r="Y1253" s="573">
        <v>12</v>
      </c>
      <c r="Z1253" s="579" t="s">
        <v>728</v>
      </c>
      <c r="AA1253" s="579" t="s">
        <v>1523</v>
      </c>
      <c r="AB1253" s="584">
        <v>47245</v>
      </c>
      <c r="AC1253" s="584" t="s">
        <v>164</v>
      </c>
      <c r="AD1253" s="584">
        <v>37700</v>
      </c>
      <c r="AE1253" s="586">
        <v>0.01</v>
      </c>
      <c r="AF1253" s="661" t="str">
        <f t="shared" si="136"/>
        <v>2019-LVN-FRD-T35H-001-15</v>
      </c>
      <c r="AG1253" s="661" t="str">
        <f>IF(AND($Y1253&gt;=32,(AI1253="I"),(Y1253&lt;&gt;"~"),(COUNTIF($AN$1:$AN1253,$AN1253)=1)),"TRUE","FALSE")</f>
        <v>FALSE</v>
      </c>
      <c r="AH1253" s="661" t="str">
        <f>IF(AND($Y1253&gt;=22, (AI1253&lt;&gt;"I"),(Y1253&lt;&gt;"~"),(COUNTIF($AN$1:$AN1253,$AN1253)=1)),"TRUE","FALSE")</f>
        <v>FALSE</v>
      </c>
      <c r="AI1253" s="661" t="str">
        <f t="shared" si="138"/>
        <v>II</v>
      </c>
      <c r="AJ1253" s="662" t="str">
        <f t="shared" si="132"/>
        <v>T35H-001</v>
      </c>
      <c r="AK1253" s="662" t="str">
        <f t="shared" si="133"/>
        <v>LVN</v>
      </c>
      <c r="AL1253" s="662" t="str">
        <f t="shared" si="134"/>
        <v>FRD</v>
      </c>
      <c r="AM1253" s="662" t="str">
        <f t="shared" si="137"/>
        <v>Transit 350 HD Van-EL Dual Door-RWD-2-109.4-~-3.2L-5-F4U-101A-147.6-25-Diesel-BioDiesel</v>
      </c>
      <c r="AN1253" s="662" t="str">
        <f t="shared" si="135"/>
        <v>2019-LVN-FRD-T35H-001</v>
      </c>
    </row>
    <row r="1254" spans="1:40" s="572" customFormat="1" ht="15">
      <c r="A1254" s="570" t="s">
        <v>2543</v>
      </c>
      <c r="B1254" s="569" t="s">
        <v>2532</v>
      </c>
      <c r="C1254" s="569" t="s">
        <v>278</v>
      </c>
      <c r="D1254" s="580">
        <v>15</v>
      </c>
      <c r="E1254" s="569" t="s">
        <v>1516</v>
      </c>
      <c r="F1254" s="569" t="s">
        <v>1571</v>
      </c>
      <c r="G1254" s="569" t="s">
        <v>271</v>
      </c>
      <c r="H1254" s="569">
        <v>2019</v>
      </c>
      <c r="I1254" s="569" t="s">
        <v>2528</v>
      </c>
      <c r="J1254" s="569" t="s">
        <v>2529</v>
      </c>
      <c r="K1254" s="569" t="s">
        <v>236</v>
      </c>
      <c r="L1254" s="569">
        <v>2</v>
      </c>
      <c r="M1254" s="569">
        <v>0</v>
      </c>
      <c r="N1254" s="569" t="s">
        <v>157</v>
      </c>
      <c r="O1254" s="569">
        <v>1</v>
      </c>
      <c r="P1254" s="569">
        <v>109.4</v>
      </c>
      <c r="Q1254" s="568" t="s">
        <v>157</v>
      </c>
      <c r="R1254" s="569" t="s">
        <v>1917</v>
      </c>
      <c r="S1254" s="569">
        <v>5</v>
      </c>
      <c r="T1254" s="569" t="s">
        <v>2533</v>
      </c>
      <c r="U1254" s="569" t="s">
        <v>1894</v>
      </c>
      <c r="V1254" s="569">
        <v>147.6</v>
      </c>
      <c r="W1254" s="569">
        <v>25</v>
      </c>
      <c r="X1254" s="568">
        <v>10360</v>
      </c>
      <c r="Y1254" s="569" t="s">
        <v>164</v>
      </c>
      <c r="Z1254" s="581" t="s">
        <v>728</v>
      </c>
      <c r="AA1254" s="581" t="s">
        <v>1523</v>
      </c>
      <c r="AB1254" s="585">
        <v>47595</v>
      </c>
      <c r="AC1254" s="585" t="s">
        <v>164</v>
      </c>
      <c r="AD1254" s="585">
        <v>38000</v>
      </c>
      <c r="AE1254" s="587">
        <v>0.01</v>
      </c>
      <c r="AF1254" s="661" t="str">
        <f t="shared" si="136"/>
        <v>2019-LVN-FRD-T35H-002-15</v>
      </c>
      <c r="AG1254" s="661" t="str">
        <f>IF(AND($Y1254&gt;=32,(AI1254="I"),(Y1254&lt;&gt;"~"),(COUNTIF($AN$1:$AN1254,$AN1254)=1)),"TRUE","FALSE")</f>
        <v>FALSE</v>
      </c>
      <c r="AH1254" s="661" t="str">
        <f>IF(AND($Y1254&gt;=22, (AI1254&lt;&gt;"I"),(Y1254&lt;&gt;"~"),(COUNTIF($AN$1:$AN1254,$AN1254)=1)),"TRUE","FALSE")</f>
        <v>FALSE</v>
      </c>
      <c r="AI1254" s="661" t="str">
        <f t="shared" si="138"/>
        <v>N/A</v>
      </c>
      <c r="AJ1254" s="662" t="str">
        <f t="shared" si="132"/>
        <v>T35H-002</v>
      </c>
      <c r="AK1254" s="662" t="str">
        <f t="shared" si="133"/>
        <v>LVN</v>
      </c>
      <c r="AL1254" s="662" t="str">
        <f t="shared" si="134"/>
        <v>FRD</v>
      </c>
      <c r="AM1254" s="662" t="str">
        <f t="shared" si="137"/>
        <v>Transit 350 HD Van-EL Dual Door-RWD-2-109.4-~-3.2L-5-S4U-101A-147.6-25-Diesel-BioDiesel</v>
      </c>
      <c r="AN1254" s="662" t="str">
        <f t="shared" si="135"/>
        <v>2019-LVN-FRD-T35H-002</v>
      </c>
    </row>
    <row r="1255" spans="1:40" s="572" customFormat="1" ht="15">
      <c r="A1255" s="570" t="s">
        <v>2544</v>
      </c>
      <c r="B1255" s="573" t="s">
        <v>2535</v>
      </c>
      <c r="C1255" s="573" t="s">
        <v>278</v>
      </c>
      <c r="D1255" s="578">
        <v>15</v>
      </c>
      <c r="E1255" s="573" t="s">
        <v>1516</v>
      </c>
      <c r="F1255" s="573" t="s">
        <v>1571</v>
      </c>
      <c r="G1255" s="573" t="s">
        <v>271</v>
      </c>
      <c r="H1255" s="573">
        <v>2019</v>
      </c>
      <c r="I1255" s="573" t="s">
        <v>2528</v>
      </c>
      <c r="J1255" s="573" t="s">
        <v>2529</v>
      </c>
      <c r="K1255" s="573" t="s">
        <v>236</v>
      </c>
      <c r="L1255" s="573">
        <v>2</v>
      </c>
      <c r="M1255" s="573">
        <v>0</v>
      </c>
      <c r="N1255" s="573" t="s">
        <v>157</v>
      </c>
      <c r="O1255" s="573">
        <v>1</v>
      </c>
      <c r="P1255" s="573">
        <v>109.4</v>
      </c>
      <c r="Q1255" s="571" t="s">
        <v>157</v>
      </c>
      <c r="R1255" s="573" t="s">
        <v>1259</v>
      </c>
      <c r="S1255" s="573">
        <v>6</v>
      </c>
      <c r="T1255" s="573" t="s">
        <v>2530</v>
      </c>
      <c r="U1255" s="573" t="s">
        <v>1894</v>
      </c>
      <c r="V1255" s="573">
        <v>147.6</v>
      </c>
      <c r="W1255" s="573">
        <v>25</v>
      </c>
      <c r="X1255" s="571">
        <v>9950</v>
      </c>
      <c r="Y1255" s="573">
        <v>12</v>
      </c>
      <c r="Z1255" s="579" t="s">
        <v>178</v>
      </c>
      <c r="AA1255" s="579" t="s">
        <v>178</v>
      </c>
      <c r="AB1255" s="584">
        <v>45115</v>
      </c>
      <c r="AC1255" s="584" t="s">
        <v>164</v>
      </c>
      <c r="AD1255" s="584">
        <v>35700</v>
      </c>
      <c r="AE1255" s="586">
        <v>0.01</v>
      </c>
      <c r="AF1255" s="661" t="str">
        <f t="shared" si="136"/>
        <v>2019-LVN-FRD-T35H-003-15</v>
      </c>
      <c r="AG1255" s="661" t="str">
        <f>IF(AND($Y1255&gt;=32,(AI1255="I"),(Y1255&lt;&gt;"~"),(COUNTIF($AN$1:$AN1255,$AN1255)=1)),"TRUE","FALSE")</f>
        <v>FALSE</v>
      </c>
      <c r="AH1255" s="661" t="str">
        <f>IF(AND($Y1255&gt;=22, (AI1255&lt;&gt;"I"),(Y1255&lt;&gt;"~"),(COUNTIF($AN$1:$AN1255,$AN1255)=1)),"TRUE","FALSE")</f>
        <v>FALSE</v>
      </c>
      <c r="AI1255" s="661" t="str">
        <f t="shared" si="138"/>
        <v>II</v>
      </c>
      <c r="AJ1255" s="662" t="str">
        <f t="shared" si="132"/>
        <v>T35H-003</v>
      </c>
      <c r="AK1255" s="662" t="str">
        <f t="shared" si="133"/>
        <v>LVN</v>
      </c>
      <c r="AL1255" s="662" t="str">
        <f t="shared" si="134"/>
        <v>FRD</v>
      </c>
      <c r="AM1255" s="662" t="str">
        <f t="shared" si="137"/>
        <v>Transit 350 HD Van-EL Dual Door-RWD-2-109.4-~-3.5L EcoBoost-6-F4U-101A-147.6-25-Unleaded-Unleaded</v>
      </c>
      <c r="AN1255" s="662" t="str">
        <f t="shared" si="135"/>
        <v>2019-LVN-FRD-T35H-003</v>
      </c>
    </row>
    <row r="1256" spans="1:40" s="572" customFormat="1" ht="15">
      <c r="A1256" s="570" t="s">
        <v>2545</v>
      </c>
      <c r="B1256" s="569" t="s">
        <v>2537</v>
      </c>
      <c r="C1256" s="569" t="s">
        <v>278</v>
      </c>
      <c r="D1256" s="580">
        <v>15</v>
      </c>
      <c r="E1256" s="569" t="s">
        <v>1516</v>
      </c>
      <c r="F1256" s="569" t="s">
        <v>1571</v>
      </c>
      <c r="G1256" s="569" t="s">
        <v>271</v>
      </c>
      <c r="H1256" s="569">
        <v>2019</v>
      </c>
      <c r="I1256" s="569" t="s">
        <v>2528</v>
      </c>
      <c r="J1256" s="569" t="s">
        <v>2529</v>
      </c>
      <c r="K1256" s="569" t="s">
        <v>236</v>
      </c>
      <c r="L1256" s="569">
        <v>2</v>
      </c>
      <c r="M1256" s="569">
        <v>0</v>
      </c>
      <c r="N1256" s="569" t="s">
        <v>157</v>
      </c>
      <c r="O1256" s="569">
        <v>1</v>
      </c>
      <c r="P1256" s="569">
        <v>109.4</v>
      </c>
      <c r="Q1256" s="568" t="s">
        <v>157</v>
      </c>
      <c r="R1256" s="569" t="s">
        <v>1259</v>
      </c>
      <c r="S1256" s="569">
        <v>6</v>
      </c>
      <c r="T1256" s="569" t="s">
        <v>2533</v>
      </c>
      <c r="U1256" s="569" t="s">
        <v>1894</v>
      </c>
      <c r="V1256" s="569">
        <v>147.6</v>
      </c>
      <c r="W1256" s="569">
        <v>25</v>
      </c>
      <c r="X1256" s="568">
        <v>10360</v>
      </c>
      <c r="Y1256" s="569" t="s">
        <v>164</v>
      </c>
      <c r="Z1256" s="581" t="s">
        <v>178</v>
      </c>
      <c r="AA1256" s="581" t="s">
        <v>178</v>
      </c>
      <c r="AB1256" s="585">
        <v>45465</v>
      </c>
      <c r="AC1256" s="585" t="s">
        <v>164</v>
      </c>
      <c r="AD1256" s="585">
        <v>36100</v>
      </c>
      <c r="AE1256" s="587">
        <v>0.01</v>
      </c>
      <c r="AF1256" s="661" t="str">
        <f t="shared" si="136"/>
        <v>2019-LVN-FRD-T35H-004-15</v>
      </c>
      <c r="AG1256" s="661" t="str">
        <f>IF(AND($Y1256&gt;=32,(AI1256="I"),(Y1256&lt;&gt;"~"),(COUNTIF($AN$1:$AN1256,$AN1256)=1)),"TRUE","FALSE")</f>
        <v>FALSE</v>
      </c>
      <c r="AH1256" s="661" t="str">
        <f>IF(AND($Y1256&gt;=22, (AI1256&lt;&gt;"I"),(Y1256&lt;&gt;"~"),(COUNTIF($AN$1:$AN1256,$AN1256)=1)),"TRUE","FALSE")</f>
        <v>FALSE</v>
      </c>
      <c r="AI1256" s="661" t="str">
        <f t="shared" si="138"/>
        <v>N/A</v>
      </c>
      <c r="AJ1256" s="662" t="str">
        <f t="shared" si="132"/>
        <v>T35H-004</v>
      </c>
      <c r="AK1256" s="662" t="str">
        <f t="shared" si="133"/>
        <v>LVN</v>
      </c>
      <c r="AL1256" s="662" t="str">
        <f t="shared" si="134"/>
        <v>FRD</v>
      </c>
      <c r="AM1256" s="662" t="str">
        <f t="shared" si="137"/>
        <v>Transit 350 HD Van-EL Dual Door-RWD-2-109.4-~-3.5L EcoBoost-6-S4U-101A-147.6-25-Unleaded-Unleaded</v>
      </c>
      <c r="AN1256" s="662" t="str">
        <f t="shared" si="135"/>
        <v>2019-LVN-FRD-T35H-004</v>
      </c>
    </row>
    <row r="1257" spans="1:40" s="572" customFormat="1" ht="15">
      <c r="A1257" s="570" t="s">
        <v>2546</v>
      </c>
      <c r="B1257" s="573" t="s">
        <v>2539</v>
      </c>
      <c r="C1257" s="573" t="s">
        <v>278</v>
      </c>
      <c r="D1257" s="578">
        <v>15</v>
      </c>
      <c r="E1257" s="573" t="s">
        <v>1516</v>
      </c>
      <c r="F1257" s="573" t="s">
        <v>1571</v>
      </c>
      <c r="G1257" s="573" t="s">
        <v>271</v>
      </c>
      <c r="H1257" s="573">
        <v>2019</v>
      </c>
      <c r="I1257" s="573" t="s">
        <v>2528</v>
      </c>
      <c r="J1257" s="573" t="s">
        <v>2529</v>
      </c>
      <c r="K1257" s="573" t="s">
        <v>236</v>
      </c>
      <c r="L1257" s="573">
        <v>2</v>
      </c>
      <c r="M1257" s="573">
        <v>0</v>
      </c>
      <c r="N1257" s="573" t="s">
        <v>157</v>
      </c>
      <c r="O1257" s="573">
        <v>1</v>
      </c>
      <c r="P1257" s="573">
        <v>109.4</v>
      </c>
      <c r="Q1257" s="571" t="s">
        <v>157</v>
      </c>
      <c r="R1257" s="573" t="s">
        <v>682</v>
      </c>
      <c r="S1257" s="573">
        <v>6</v>
      </c>
      <c r="T1257" s="573" t="s">
        <v>2530</v>
      </c>
      <c r="U1257" s="573" t="s">
        <v>1894</v>
      </c>
      <c r="V1257" s="573">
        <v>147.6</v>
      </c>
      <c r="W1257" s="573">
        <v>25</v>
      </c>
      <c r="X1257" s="571">
        <v>9950</v>
      </c>
      <c r="Y1257" s="573">
        <v>12</v>
      </c>
      <c r="Z1257" s="579" t="s">
        <v>178</v>
      </c>
      <c r="AA1257" s="579" t="s">
        <v>178</v>
      </c>
      <c r="AB1257" s="584">
        <v>43250</v>
      </c>
      <c r="AC1257" s="584" t="s">
        <v>164</v>
      </c>
      <c r="AD1257" s="584">
        <v>34000</v>
      </c>
      <c r="AE1257" s="586">
        <v>0.01</v>
      </c>
      <c r="AF1257" s="661" t="str">
        <f t="shared" si="136"/>
        <v>2019-LVN-FRD-T35H-005-15</v>
      </c>
      <c r="AG1257" s="661" t="str">
        <f>IF(AND($Y1257&gt;=32,(AI1257="I"),(Y1257&lt;&gt;"~"),(COUNTIF($AN$1:$AN1257,$AN1257)=1)),"TRUE","FALSE")</f>
        <v>FALSE</v>
      </c>
      <c r="AH1257" s="661" t="str">
        <f>IF(AND($Y1257&gt;=22, (AI1257&lt;&gt;"I"),(Y1257&lt;&gt;"~"),(COUNTIF($AN$1:$AN1257,$AN1257)=1)),"TRUE","FALSE")</f>
        <v>FALSE</v>
      </c>
      <c r="AI1257" s="661" t="str">
        <f t="shared" si="138"/>
        <v>II</v>
      </c>
      <c r="AJ1257" s="662" t="str">
        <f t="shared" si="132"/>
        <v>T35H-005</v>
      </c>
      <c r="AK1257" s="662" t="str">
        <f t="shared" si="133"/>
        <v>LVN</v>
      </c>
      <c r="AL1257" s="662" t="str">
        <f t="shared" si="134"/>
        <v>FRD</v>
      </c>
      <c r="AM1257" s="662" t="str">
        <f t="shared" si="137"/>
        <v>Transit 350 HD Van-EL Dual Door-RWD-2-109.4-~-3.7L-6-F4U-101A-147.6-25-Unleaded-Unleaded</v>
      </c>
      <c r="AN1257" s="662" t="str">
        <f t="shared" si="135"/>
        <v>2019-LVN-FRD-T35H-005</v>
      </c>
    </row>
    <row r="1258" spans="1:40" s="572" customFormat="1" ht="15">
      <c r="A1258" s="570" t="s">
        <v>2547</v>
      </c>
      <c r="B1258" s="569" t="s">
        <v>2541</v>
      </c>
      <c r="C1258" s="569" t="s">
        <v>278</v>
      </c>
      <c r="D1258" s="580">
        <v>15</v>
      </c>
      <c r="E1258" s="569" t="s">
        <v>1516</v>
      </c>
      <c r="F1258" s="569" t="s">
        <v>1571</v>
      </c>
      <c r="G1258" s="569" t="s">
        <v>271</v>
      </c>
      <c r="H1258" s="569">
        <v>2019</v>
      </c>
      <c r="I1258" s="569" t="s">
        <v>2528</v>
      </c>
      <c r="J1258" s="569" t="s">
        <v>2529</v>
      </c>
      <c r="K1258" s="569" t="s">
        <v>236</v>
      </c>
      <c r="L1258" s="569">
        <v>2</v>
      </c>
      <c r="M1258" s="569">
        <v>0</v>
      </c>
      <c r="N1258" s="569" t="s">
        <v>157</v>
      </c>
      <c r="O1258" s="569">
        <v>1</v>
      </c>
      <c r="P1258" s="569">
        <v>109.4</v>
      </c>
      <c r="Q1258" s="568" t="s">
        <v>157</v>
      </c>
      <c r="R1258" s="569" t="s">
        <v>682</v>
      </c>
      <c r="S1258" s="569">
        <v>6</v>
      </c>
      <c r="T1258" s="569" t="s">
        <v>2533</v>
      </c>
      <c r="U1258" s="569" t="s">
        <v>1894</v>
      </c>
      <c r="V1258" s="569">
        <v>147.6</v>
      </c>
      <c r="W1258" s="569">
        <v>25</v>
      </c>
      <c r="X1258" s="568">
        <v>10360</v>
      </c>
      <c r="Y1258" s="569" t="s">
        <v>164</v>
      </c>
      <c r="Z1258" s="581" t="s">
        <v>178</v>
      </c>
      <c r="AA1258" s="581" t="s">
        <v>178</v>
      </c>
      <c r="AB1258" s="585">
        <v>43600</v>
      </c>
      <c r="AC1258" s="585" t="s">
        <v>164</v>
      </c>
      <c r="AD1258" s="585">
        <v>34400</v>
      </c>
      <c r="AE1258" s="587">
        <v>0.01</v>
      </c>
      <c r="AF1258" s="661" t="str">
        <f t="shared" si="136"/>
        <v>2019-LVN-FRD-T35H-006-15</v>
      </c>
      <c r="AG1258" s="661" t="str">
        <f>IF(AND($Y1258&gt;=32,(AI1258="I"),(Y1258&lt;&gt;"~"),(COUNTIF($AN$1:$AN1258,$AN1258)=1)),"TRUE","FALSE")</f>
        <v>FALSE</v>
      </c>
      <c r="AH1258" s="661" t="str">
        <f>IF(AND($Y1258&gt;=22, (AI1258&lt;&gt;"I"),(Y1258&lt;&gt;"~"),(COUNTIF($AN$1:$AN1258,$AN1258)=1)),"TRUE","FALSE")</f>
        <v>FALSE</v>
      </c>
      <c r="AI1258" s="661" t="str">
        <f t="shared" si="138"/>
        <v>N/A</v>
      </c>
      <c r="AJ1258" s="662" t="str">
        <f t="shared" si="132"/>
        <v>T35H-006</v>
      </c>
      <c r="AK1258" s="662" t="str">
        <f t="shared" si="133"/>
        <v>LVN</v>
      </c>
      <c r="AL1258" s="662" t="str">
        <f t="shared" si="134"/>
        <v>FRD</v>
      </c>
      <c r="AM1258" s="662" t="str">
        <f t="shared" si="137"/>
        <v>Transit 350 HD Van-EL Dual Door-RWD-2-109.4-~-3.7L-6-S4U-101A-147.6-25-Unleaded-Unleaded</v>
      </c>
      <c r="AN1258" s="662" t="str">
        <f t="shared" si="135"/>
        <v>2019-LVN-FRD-T35H-006</v>
      </c>
    </row>
    <row r="1259" spans="1:40" s="572" customFormat="1" ht="15">
      <c r="A1259" s="570" t="s">
        <v>2548</v>
      </c>
      <c r="B1259" s="573" t="s">
        <v>2527</v>
      </c>
      <c r="C1259" s="573" t="s">
        <v>287</v>
      </c>
      <c r="D1259" s="578">
        <v>26</v>
      </c>
      <c r="E1259" s="573" t="s">
        <v>1516</v>
      </c>
      <c r="F1259" s="573" t="s">
        <v>1571</v>
      </c>
      <c r="G1259" s="573" t="s">
        <v>271</v>
      </c>
      <c r="H1259" s="573">
        <v>2019</v>
      </c>
      <c r="I1259" s="573" t="s">
        <v>2528</v>
      </c>
      <c r="J1259" s="573" t="s">
        <v>2529</v>
      </c>
      <c r="K1259" s="573" t="s">
        <v>236</v>
      </c>
      <c r="L1259" s="573">
        <v>2</v>
      </c>
      <c r="M1259" s="573">
        <v>0</v>
      </c>
      <c r="N1259" s="573" t="s">
        <v>157</v>
      </c>
      <c r="O1259" s="573">
        <v>1</v>
      </c>
      <c r="P1259" s="573">
        <v>109.4</v>
      </c>
      <c r="Q1259" s="571" t="s">
        <v>157</v>
      </c>
      <c r="R1259" s="573" t="s">
        <v>1917</v>
      </c>
      <c r="S1259" s="573">
        <v>5</v>
      </c>
      <c r="T1259" s="573" t="s">
        <v>2530</v>
      </c>
      <c r="U1259" s="573" t="s">
        <v>1894</v>
      </c>
      <c r="V1259" s="573">
        <v>147.6</v>
      </c>
      <c r="W1259" s="573">
        <v>25</v>
      </c>
      <c r="X1259" s="571">
        <v>9950</v>
      </c>
      <c r="Y1259" s="573">
        <v>12</v>
      </c>
      <c r="Z1259" s="579" t="s">
        <v>728</v>
      </c>
      <c r="AA1259" s="579" t="s">
        <v>1523</v>
      </c>
      <c r="AB1259" s="584">
        <v>47245</v>
      </c>
      <c r="AC1259" s="584" t="s">
        <v>164</v>
      </c>
      <c r="AD1259" s="584">
        <v>38232</v>
      </c>
      <c r="AE1259" s="586">
        <v>0.05</v>
      </c>
      <c r="AF1259" s="661" t="str">
        <f t="shared" si="136"/>
        <v>2019-LVN-FRD-T35H-001-26</v>
      </c>
      <c r="AG1259" s="661" t="str">
        <f>IF(AND($Y1259&gt;=32,(AI1259="I"),(Y1259&lt;&gt;"~"),(COUNTIF($AN$1:$AN1259,$AN1259)=1)),"TRUE","FALSE")</f>
        <v>FALSE</v>
      </c>
      <c r="AH1259" s="661" t="str">
        <f>IF(AND($Y1259&gt;=22, (AI1259&lt;&gt;"I"),(Y1259&lt;&gt;"~"),(COUNTIF($AN$1:$AN1259,$AN1259)=1)),"TRUE","FALSE")</f>
        <v>FALSE</v>
      </c>
      <c r="AI1259" s="661" t="str">
        <f t="shared" si="138"/>
        <v>II</v>
      </c>
      <c r="AJ1259" s="662" t="str">
        <f t="shared" si="132"/>
        <v>T35H-001</v>
      </c>
      <c r="AK1259" s="662" t="str">
        <f t="shared" si="133"/>
        <v>LVN</v>
      </c>
      <c r="AL1259" s="662" t="str">
        <f t="shared" si="134"/>
        <v>FRD</v>
      </c>
      <c r="AM1259" s="662" t="str">
        <f t="shared" si="137"/>
        <v>Transit 350 HD Van-EL Dual Door-RWD-2-109.4-~-3.2L-5-F4U-101A-147.6-25-Diesel-BioDiesel</v>
      </c>
      <c r="AN1259" s="662" t="str">
        <f t="shared" si="135"/>
        <v>2019-LVN-FRD-T35H-001</v>
      </c>
    </row>
    <row r="1260" spans="1:40" s="572" customFormat="1" ht="15">
      <c r="A1260" s="570" t="s">
        <v>2549</v>
      </c>
      <c r="B1260" s="569" t="s">
        <v>2532</v>
      </c>
      <c r="C1260" s="569" t="s">
        <v>287</v>
      </c>
      <c r="D1260" s="580">
        <v>26</v>
      </c>
      <c r="E1260" s="569" t="s">
        <v>1516</v>
      </c>
      <c r="F1260" s="569" t="s">
        <v>1571</v>
      </c>
      <c r="G1260" s="569" t="s">
        <v>271</v>
      </c>
      <c r="H1260" s="569">
        <v>2019</v>
      </c>
      <c r="I1260" s="569" t="s">
        <v>2528</v>
      </c>
      <c r="J1260" s="569" t="s">
        <v>2529</v>
      </c>
      <c r="K1260" s="569" t="s">
        <v>236</v>
      </c>
      <c r="L1260" s="569">
        <v>2</v>
      </c>
      <c r="M1260" s="569">
        <v>0</v>
      </c>
      <c r="N1260" s="569" t="s">
        <v>157</v>
      </c>
      <c r="O1260" s="569">
        <v>1</v>
      </c>
      <c r="P1260" s="569">
        <v>109.4</v>
      </c>
      <c r="Q1260" s="568" t="s">
        <v>157</v>
      </c>
      <c r="R1260" s="569" t="s">
        <v>1917</v>
      </c>
      <c r="S1260" s="569">
        <v>5</v>
      </c>
      <c r="T1260" s="569" t="s">
        <v>2533</v>
      </c>
      <c r="U1260" s="569" t="s">
        <v>1894</v>
      </c>
      <c r="V1260" s="569">
        <v>147.6</v>
      </c>
      <c r="W1260" s="569">
        <v>25</v>
      </c>
      <c r="X1260" s="568">
        <v>10360</v>
      </c>
      <c r="Y1260" s="569" t="s">
        <v>164</v>
      </c>
      <c r="Z1260" s="581" t="s">
        <v>728</v>
      </c>
      <c r="AA1260" s="581" t="s">
        <v>1523</v>
      </c>
      <c r="AB1260" s="585">
        <v>47595</v>
      </c>
      <c r="AC1260" s="585" t="s">
        <v>164</v>
      </c>
      <c r="AD1260" s="585">
        <v>38561</v>
      </c>
      <c r="AE1260" s="587">
        <v>0.05</v>
      </c>
      <c r="AF1260" s="661" t="str">
        <f t="shared" si="136"/>
        <v>2019-LVN-FRD-T35H-002-26</v>
      </c>
      <c r="AG1260" s="661" t="str">
        <f>IF(AND($Y1260&gt;=32,(AI1260="I"),(Y1260&lt;&gt;"~"),(COUNTIF($AN$1:$AN1260,$AN1260)=1)),"TRUE","FALSE")</f>
        <v>FALSE</v>
      </c>
      <c r="AH1260" s="661" t="str">
        <f>IF(AND($Y1260&gt;=22, (AI1260&lt;&gt;"I"),(Y1260&lt;&gt;"~"),(COUNTIF($AN$1:$AN1260,$AN1260)=1)),"TRUE","FALSE")</f>
        <v>FALSE</v>
      </c>
      <c r="AI1260" s="661" t="str">
        <f t="shared" si="138"/>
        <v>N/A</v>
      </c>
      <c r="AJ1260" s="662" t="str">
        <f t="shared" si="132"/>
        <v>T35H-002</v>
      </c>
      <c r="AK1260" s="662" t="str">
        <f t="shared" si="133"/>
        <v>LVN</v>
      </c>
      <c r="AL1260" s="662" t="str">
        <f t="shared" si="134"/>
        <v>FRD</v>
      </c>
      <c r="AM1260" s="662" t="str">
        <f t="shared" si="137"/>
        <v>Transit 350 HD Van-EL Dual Door-RWD-2-109.4-~-3.2L-5-S4U-101A-147.6-25-Diesel-BioDiesel</v>
      </c>
      <c r="AN1260" s="662" t="str">
        <f t="shared" si="135"/>
        <v>2019-LVN-FRD-T35H-002</v>
      </c>
    </row>
    <row r="1261" spans="1:40" s="572" customFormat="1" ht="15">
      <c r="A1261" s="570" t="s">
        <v>2550</v>
      </c>
      <c r="B1261" s="573" t="s">
        <v>2535</v>
      </c>
      <c r="C1261" s="573" t="s">
        <v>287</v>
      </c>
      <c r="D1261" s="578">
        <v>26</v>
      </c>
      <c r="E1261" s="573" t="s">
        <v>1516</v>
      </c>
      <c r="F1261" s="573" t="s">
        <v>1571</v>
      </c>
      <c r="G1261" s="573" t="s">
        <v>271</v>
      </c>
      <c r="H1261" s="573">
        <v>2019</v>
      </c>
      <c r="I1261" s="573" t="s">
        <v>2528</v>
      </c>
      <c r="J1261" s="573" t="s">
        <v>2529</v>
      </c>
      <c r="K1261" s="573" t="s">
        <v>236</v>
      </c>
      <c r="L1261" s="573">
        <v>2</v>
      </c>
      <c r="M1261" s="573">
        <v>0</v>
      </c>
      <c r="N1261" s="573" t="s">
        <v>157</v>
      </c>
      <c r="O1261" s="573">
        <v>1</v>
      </c>
      <c r="P1261" s="573">
        <v>109.4</v>
      </c>
      <c r="Q1261" s="571" t="s">
        <v>157</v>
      </c>
      <c r="R1261" s="573" t="s">
        <v>1259</v>
      </c>
      <c r="S1261" s="573">
        <v>6</v>
      </c>
      <c r="T1261" s="573" t="s">
        <v>2530</v>
      </c>
      <c r="U1261" s="573" t="s">
        <v>1894</v>
      </c>
      <c r="V1261" s="573">
        <v>147.6</v>
      </c>
      <c r="W1261" s="573">
        <v>25</v>
      </c>
      <c r="X1261" s="571">
        <v>9950</v>
      </c>
      <c r="Y1261" s="573">
        <v>12</v>
      </c>
      <c r="Z1261" s="579" t="s">
        <v>178</v>
      </c>
      <c r="AA1261" s="579" t="s">
        <v>178</v>
      </c>
      <c r="AB1261" s="584">
        <v>45115</v>
      </c>
      <c r="AC1261" s="584" t="s">
        <v>164</v>
      </c>
      <c r="AD1261" s="584">
        <v>36278</v>
      </c>
      <c r="AE1261" s="586">
        <v>0.05</v>
      </c>
      <c r="AF1261" s="661" t="str">
        <f t="shared" si="136"/>
        <v>2019-LVN-FRD-T35H-003-26</v>
      </c>
      <c r="AG1261" s="661" t="str">
        <f>IF(AND($Y1261&gt;=32,(AI1261="I"),(Y1261&lt;&gt;"~"),(COUNTIF($AN$1:$AN1261,$AN1261)=1)),"TRUE","FALSE")</f>
        <v>FALSE</v>
      </c>
      <c r="AH1261" s="661" t="str">
        <f>IF(AND($Y1261&gt;=22, (AI1261&lt;&gt;"I"),(Y1261&lt;&gt;"~"),(COUNTIF($AN$1:$AN1261,$AN1261)=1)),"TRUE","FALSE")</f>
        <v>FALSE</v>
      </c>
      <c r="AI1261" s="661" t="str">
        <f t="shared" si="138"/>
        <v>II</v>
      </c>
      <c r="AJ1261" s="662" t="str">
        <f t="shared" si="132"/>
        <v>T35H-003</v>
      </c>
      <c r="AK1261" s="662" t="str">
        <f t="shared" si="133"/>
        <v>LVN</v>
      </c>
      <c r="AL1261" s="662" t="str">
        <f t="shared" si="134"/>
        <v>FRD</v>
      </c>
      <c r="AM1261" s="662" t="str">
        <f t="shared" si="137"/>
        <v>Transit 350 HD Van-EL Dual Door-RWD-2-109.4-~-3.5L EcoBoost-6-F4U-101A-147.6-25-Unleaded-Unleaded</v>
      </c>
      <c r="AN1261" s="662" t="str">
        <f t="shared" si="135"/>
        <v>2019-LVN-FRD-T35H-003</v>
      </c>
    </row>
    <row r="1262" spans="1:40" s="572" customFormat="1" ht="15">
      <c r="A1262" s="570" t="s">
        <v>2551</v>
      </c>
      <c r="B1262" s="569" t="s">
        <v>2537</v>
      </c>
      <c r="C1262" s="569" t="s">
        <v>287</v>
      </c>
      <c r="D1262" s="580">
        <v>26</v>
      </c>
      <c r="E1262" s="569" t="s">
        <v>1516</v>
      </c>
      <c r="F1262" s="569" t="s">
        <v>1571</v>
      </c>
      <c r="G1262" s="569" t="s">
        <v>271</v>
      </c>
      <c r="H1262" s="569">
        <v>2019</v>
      </c>
      <c r="I1262" s="569" t="s">
        <v>2528</v>
      </c>
      <c r="J1262" s="569" t="s">
        <v>2529</v>
      </c>
      <c r="K1262" s="569" t="s">
        <v>236</v>
      </c>
      <c r="L1262" s="569">
        <v>2</v>
      </c>
      <c r="M1262" s="569">
        <v>0</v>
      </c>
      <c r="N1262" s="569" t="s">
        <v>157</v>
      </c>
      <c r="O1262" s="569">
        <v>1</v>
      </c>
      <c r="P1262" s="569">
        <v>109.4</v>
      </c>
      <c r="Q1262" s="568" t="s">
        <v>157</v>
      </c>
      <c r="R1262" s="569" t="s">
        <v>1259</v>
      </c>
      <c r="S1262" s="569">
        <v>6</v>
      </c>
      <c r="T1262" s="569" t="s">
        <v>2533</v>
      </c>
      <c r="U1262" s="569" t="s">
        <v>1894</v>
      </c>
      <c r="V1262" s="569">
        <v>147.6</v>
      </c>
      <c r="W1262" s="569">
        <v>25</v>
      </c>
      <c r="X1262" s="568">
        <v>10360</v>
      </c>
      <c r="Y1262" s="569" t="s">
        <v>164</v>
      </c>
      <c r="Z1262" s="581" t="s">
        <v>178</v>
      </c>
      <c r="AA1262" s="581" t="s">
        <v>178</v>
      </c>
      <c r="AB1262" s="585">
        <v>45465</v>
      </c>
      <c r="AC1262" s="585" t="s">
        <v>164</v>
      </c>
      <c r="AD1262" s="585">
        <v>36608</v>
      </c>
      <c r="AE1262" s="587">
        <v>0.05</v>
      </c>
      <c r="AF1262" s="661" t="str">
        <f t="shared" si="136"/>
        <v>2019-LVN-FRD-T35H-004-26</v>
      </c>
      <c r="AG1262" s="661" t="str">
        <f>IF(AND($Y1262&gt;=32,(AI1262="I"),(Y1262&lt;&gt;"~"),(COUNTIF($AN$1:$AN1262,$AN1262)=1)),"TRUE","FALSE")</f>
        <v>FALSE</v>
      </c>
      <c r="AH1262" s="661" t="str">
        <f>IF(AND($Y1262&gt;=22, (AI1262&lt;&gt;"I"),(Y1262&lt;&gt;"~"),(COUNTIF($AN$1:$AN1262,$AN1262)=1)),"TRUE","FALSE")</f>
        <v>FALSE</v>
      </c>
      <c r="AI1262" s="661" t="str">
        <f t="shared" si="138"/>
        <v>N/A</v>
      </c>
      <c r="AJ1262" s="662" t="str">
        <f t="shared" si="132"/>
        <v>T35H-004</v>
      </c>
      <c r="AK1262" s="662" t="str">
        <f t="shared" si="133"/>
        <v>LVN</v>
      </c>
      <c r="AL1262" s="662" t="str">
        <f t="shared" si="134"/>
        <v>FRD</v>
      </c>
      <c r="AM1262" s="662" t="str">
        <f t="shared" si="137"/>
        <v>Transit 350 HD Van-EL Dual Door-RWD-2-109.4-~-3.5L EcoBoost-6-S4U-101A-147.6-25-Unleaded-Unleaded</v>
      </c>
      <c r="AN1262" s="662" t="str">
        <f t="shared" si="135"/>
        <v>2019-LVN-FRD-T35H-004</v>
      </c>
    </row>
    <row r="1263" spans="1:40" s="572" customFormat="1" ht="15">
      <c r="A1263" s="570" t="s">
        <v>2552</v>
      </c>
      <c r="B1263" s="573" t="s">
        <v>2539</v>
      </c>
      <c r="C1263" s="573" t="s">
        <v>287</v>
      </c>
      <c r="D1263" s="578">
        <v>26</v>
      </c>
      <c r="E1263" s="573" t="s">
        <v>1516</v>
      </c>
      <c r="F1263" s="573" t="s">
        <v>1571</v>
      </c>
      <c r="G1263" s="573" t="s">
        <v>271</v>
      </c>
      <c r="H1263" s="573">
        <v>2019</v>
      </c>
      <c r="I1263" s="573" t="s">
        <v>2528</v>
      </c>
      <c r="J1263" s="573" t="s">
        <v>2529</v>
      </c>
      <c r="K1263" s="573" t="s">
        <v>236</v>
      </c>
      <c r="L1263" s="573">
        <v>2</v>
      </c>
      <c r="M1263" s="573">
        <v>0</v>
      </c>
      <c r="N1263" s="573" t="s">
        <v>157</v>
      </c>
      <c r="O1263" s="573">
        <v>1</v>
      </c>
      <c r="P1263" s="573">
        <v>109.4</v>
      </c>
      <c r="Q1263" s="571" t="s">
        <v>157</v>
      </c>
      <c r="R1263" s="573" t="s">
        <v>682</v>
      </c>
      <c r="S1263" s="573">
        <v>6</v>
      </c>
      <c r="T1263" s="573" t="s">
        <v>2530</v>
      </c>
      <c r="U1263" s="573" t="s">
        <v>1894</v>
      </c>
      <c r="V1263" s="573">
        <v>147.6</v>
      </c>
      <c r="W1263" s="573">
        <v>25</v>
      </c>
      <c r="X1263" s="571">
        <v>9500</v>
      </c>
      <c r="Y1263" s="573">
        <v>12</v>
      </c>
      <c r="Z1263" s="579" t="s">
        <v>178</v>
      </c>
      <c r="AA1263" s="579" t="s">
        <v>178</v>
      </c>
      <c r="AB1263" s="584">
        <v>43250</v>
      </c>
      <c r="AC1263" s="584" t="s">
        <v>164</v>
      </c>
      <c r="AD1263" s="584">
        <v>34568</v>
      </c>
      <c r="AE1263" s="586">
        <v>0.05</v>
      </c>
      <c r="AF1263" s="661" t="str">
        <f t="shared" si="136"/>
        <v>2019-LVN-FRD-T35H-005-26</v>
      </c>
      <c r="AG1263" s="661" t="str">
        <f>IF(AND($Y1263&gt;=32,(AI1263="I"),(Y1263&lt;&gt;"~"),(COUNTIF($AN$1:$AN1263,$AN1263)=1)),"TRUE","FALSE")</f>
        <v>FALSE</v>
      </c>
      <c r="AH1263" s="661" t="str">
        <f>IF(AND($Y1263&gt;=22, (AI1263&lt;&gt;"I"),(Y1263&lt;&gt;"~"),(COUNTIF($AN$1:$AN1263,$AN1263)=1)),"TRUE","FALSE")</f>
        <v>FALSE</v>
      </c>
      <c r="AI1263" s="661" t="str">
        <f t="shared" si="138"/>
        <v>II</v>
      </c>
      <c r="AJ1263" s="662" t="str">
        <f t="shared" si="132"/>
        <v>T35H-005</v>
      </c>
      <c r="AK1263" s="662" t="str">
        <f t="shared" si="133"/>
        <v>LVN</v>
      </c>
      <c r="AL1263" s="662" t="str">
        <f t="shared" si="134"/>
        <v>FRD</v>
      </c>
      <c r="AM1263" s="662" t="str">
        <f t="shared" si="137"/>
        <v>Transit 350 HD Van-EL Dual Door-RWD-2-109.4-~-3.7L-6-F4U-101A-147.6-25-Unleaded-Unleaded</v>
      </c>
      <c r="AN1263" s="662" t="str">
        <f t="shared" si="135"/>
        <v>2019-LVN-FRD-T35H-005</v>
      </c>
    </row>
    <row r="1264" spans="1:40" s="572" customFormat="1" ht="15">
      <c r="A1264" s="570" t="s">
        <v>2553</v>
      </c>
      <c r="B1264" s="569" t="s">
        <v>2541</v>
      </c>
      <c r="C1264" s="569" t="s">
        <v>287</v>
      </c>
      <c r="D1264" s="580">
        <v>26</v>
      </c>
      <c r="E1264" s="569" t="s">
        <v>1516</v>
      </c>
      <c r="F1264" s="569" t="s">
        <v>1571</v>
      </c>
      <c r="G1264" s="569" t="s">
        <v>271</v>
      </c>
      <c r="H1264" s="569">
        <v>2019</v>
      </c>
      <c r="I1264" s="569" t="s">
        <v>2528</v>
      </c>
      <c r="J1264" s="569" t="s">
        <v>2529</v>
      </c>
      <c r="K1264" s="569" t="s">
        <v>236</v>
      </c>
      <c r="L1264" s="569">
        <v>2</v>
      </c>
      <c r="M1264" s="569">
        <v>0</v>
      </c>
      <c r="N1264" s="569" t="s">
        <v>157</v>
      </c>
      <c r="O1264" s="569">
        <v>1</v>
      </c>
      <c r="P1264" s="569">
        <v>109.4</v>
      </c>
      <c r="Q1264" s="568" t="s">
        <v>157</v>
      </c>
      <c r="R1264" s="569" t="s">
        <v>682</v>
      </c>
      <c r="S1264" s="569">
        <v>6</v>
      </c>
      <c r="T1264" s="569" t="s">
        <v>2533</v>
      </c>
      <c r="U1264" s="569" t="s">
        <v>1894</v>
      </c>
      <c r="V1264" s="569">
        <v>147.6</v>
      </c>
      <c r="W1264" s="569">
        <v>25</v>
      </c>
      <c r="X1264" s="568">
        <v>9500</v>
      </c>
      <c r="Y1264" s="573">
        <v>12</v>
      </c>
      <c r="Z1264" s="581" t="s">
        <v>178</v>
      </c>
      <c r="AA1264" s="581" t="s">
        <v>178</v>
      </c>
      <c r="AB1264" s="585">
        <v>43600</v>
      </c>
      <c r="AC1264" s="585" t="s">
        <v>164</v>
      </c>
      <c r="AD1264" s="585">
        <v>34898</v>
      </c>
      <c r="AE1264" s="587">
        <v>0.05</v>
      </c>
      <c r="AF1264" s="661" t="str">
        <f t="shared" si="136"/>
        <v>2019-LVN-FRD-T35H-006-26</v>
      </c>
      <c r="AG1264" s="661" t="str">
        <f>IF(AND($Y1264&gt;=32,(AI1264="I"),(Y1264&lt;&gt;"~"),(COUNTIF($AN$1:$AN1264,$AN1264)=1)),"TRUE","FALSE")</f>
        <v>FALSE</v>
      </c>
      <c r="AH1264" s="661" t="str">
        <f>IF(AND($Y1264&gt;=22, (AI1264&lt;&gt;"I"),(Y1264&lt;&gt;"~"),(COUNTIF($AN$1:$AN1264,$AN1264)=1)),"TRUE","FALSE")</f>
        <v>FALSE</v>
      </c>
      <c r="AI1264" s="661" t="str">
        <f t="shared" si="138"/>
        <v>II</v>
      </c>
      <c r="AJ1264" s="662" t="str">
        <f t="shared" si="132"/>
        <v>T35H-006</v>
      </c>
      <c r="AK1264" s="662" t="str">
        <f t="shared" si="133"/>
        <v>LVN</v>
      </c>
      <c r="AL1264" s="662" t="str">
        <f t="shared" si="134"/>
        <v>FRD</v>
      </c>
      <c r="AM1264" s="662" t="str">
        <f t="shared" si="137"/>
        <v>Transit 350 HD Van-EL Dual Door-RWD-2-109.4-~-3.7L-6-S4U-101A-147.6-25-Unleaded-Unleaded</v>
      </c>
      <c r="AN1264" s="662" t="str">
        <f t="shared" si="135"/>
        <v>2019-LVN-FRD-T35H-006</v>
      </c>
    </row>
    <row r="1265" spans="1:40" s="572" customFormat="1" ht="15">
      <c r="A1265" s="570" t="s">
        <v>2554</v>
      </c>
      <c r="B1265" s="573" t="s">
        <v>2527</v>
      </c>
      <c r="C1265" s="573" t="s">
        <v>280</v>
      </c>
      <c r="D1265" s="578">
        <v>27</v>
      </c>
      <c r="E1265" s="573" t="s">
        <v>1516</v>
      </c>
      <c r="F1265" s="573" t="s">
        <v>1571</v>
      </c>
      <c r="G1265" s="573" t="s">
        <v>271</v>
      </c>
      <c r="H1265" s="573">
        <v>2019</v>
      </c>
      <c r="I1265" s="573" t="s">
        <v>2528</v>
      </c>
      <c r="J1265" s="573" t="s">
        <v>2529</v>
      </c>
      <c r="K1265" s="573" t="s">
        <v>236</v>
      </c>
      <c r="L1265" s="573">
        <v>2</v>
      </c>
      <c r="M1265" s="573">
        <v>0</v>
      </c>
      <c r="N1265" s="573" t="s">
        <v>157</v>
      </c>
      <c r="O1265" s="573">
        <v>1</v>
      </c>
      <c r="P1265" s="573">
        <v>109.4</v>
      </c>
      <c r="Q1265" s="571" t="s">
        <v>157</v>
      </c>
      <c r="R1265" s="573" t="s">
        <v>1917</v>
      </c>
      <c r="S1265" s="573">
        <v>5</v>
      </c>
      <c r="T1265" s="573" t="s">
        <v>2530</v>
      </c>
      <c r="U1265" s="573" t="s">
        <v>1894</v>
      </c>
      <c r="V1265" s="573">
        <v>147.6</v>
      </c>
      <c r="W1265" s="573">
        <v>25</v>
      </c>
      <c r="X1265" s="571">
        <v>9950</v>
      </c>
      <c r="Y1265" s="573">
        <v>12</v>
      </c>
      <c r="Z1265" s="579" t="s">
        <v>728</v>
      </c>
      <c r="AA1265" s="579" t="s">
        <v>1523</v>
      </c>
      <c r="AB1265" s="584">
        <v>47245</v>
      </c>
      <c r="AC1265" s="584" t="s">
        <v>164</v>
      </c>
      <c r="AD1265" s="584">
        <v>36925.25</v>
      </c>
      <c r="AE1265" s="586">
        <v>0.03</v>
      </c>
      <c r="AF1265" s="661" t="str">
        <f t="shared" si="136"/>
        <v>2019-LVN-FRD-T35H-001-27</v>
      </c>
      <c r="AG1265" s="661" t="str">
        <f>IF(AND($Y1265&gt;=32,(AI1265="I"),(Y1265&lt;&gt;"~"),(COUNTIF($AN$1:$AN1265,$AN1265)=1)),"TRUE","FALSE")</f>
        <v>FALSE</v>
      </c>
      <c r="AH1265" s="661" t="str">
        <f>IF(AND($Y1265&gt;=22, (AI1265&lt;&gt;"I"),(Y1265&lt;&gt;"~"),(COUNTIF($AN$1:$AN1265,$AN1265)=1)),"TRUE","FALSE")</f>
        <v>FALSE</v>
      </c>
      <c r="AI1265" s="661" t="str">
        <f t="shared" si="138"/>
        <v>II</v>
      </c>
      <c r="AJ1265" s="662" t="str">
        <f t="shared" si="132"/>
        <v>T35H-001</v>
      </c>
      <c r="AK1265" s="662" t="str">
        <f t="shared" si="133"/>
        <v>LVN</v>
      </c>
      <c r="AL1265" s="662" t="str">
        <f t="shared" si="134"/>
        <v>FRD</v>
      </c>
      <c r="AM1265" s="662" t="str">
        <f t="shared" si="137"/>
        <v>Transit 350 HD Van-EL Dual Door-RWD-2-109.4-~-3.2L-5-F4U-101A-147.6-25-Diesel-BioDiesel</v>
      </c>
      <c r="AN1265" s="662" t="str">
        <f t="shared" si="135"/>
        <v>2019-LVN-FRD-T35H-001</v>
      </c>
    </row>
    <row r="1266" spans="1:40" s="572" customFormat="1" ht="15">
      <c r="A1266" s="570" t="s">
        <v>2555</v>
      </c>
      <c r="B1266" s="569" t="s">
        <v>2532</v>
      </c>
      <c r="C1266" s="569" t="s">
        <v>280</v>
      </c>
      <c r="D1266" s="580">
        <v>27</v>
      </c>
      <c r="E1266" s="569" t="s">
        <v>1516</v>
      </c>
      <c r="F1266" s="569" t="s">
        <v>1571</v>
      </c>
      <c r="G1266" s="569" t="s">
        <v>271</v>
      </c>
      <c r="H1266" s="569">
        <v>2019</v>
      </c>
      <c r="I1266" s="569" t="s">
        <v>2528</v>
      </c>
      <c r="J1266" s="569" t="s">
        <v>2529</v>
      </c>
      <c r="K1266" s="569" t="s">
        <v>236</v>
      </c>
      <c r="L1266" s="569">
        <v>2</v>
      </c>
      <c r="M1266" s="569">
        <v>0</v>
      </c>
      <c r="N1266" s="569" t="s">
        <v>157</v>
      </c>
      <c r="O1266" s="569">
        <v>1</v>
      </c>
      <c r="P1266" s="569">
        <v>109.4</v>
      </c>
      <c r="Q1266" s="568" t="s">
        <v>157</v>
      </c>
      <c r="R1266" s="569" t="s">
        <v>1917</v>
      </c>
      <c r="S1266" s="569">
        <v>5</v>
      </c>
      <c r="T1266" s="569" t="s">
        <v>2533</v>
      </c>
      <c r="U1266" s="569" t="s">
        <v>1894</v>
      </c>
      <c r="V1266" s="569">
        <v>147.6</v>
      </c>
      <c r="W1266" s="569">
        <v>25</v>
      </c>
      <c r="X1266" s="568">
        <v>10360</v>
      </c>
      <c r="Y1266" s="569" t="s">
        <v>164</v>
      </c>
      <c r="Z1266" s="581" t="s">
        <v>728</v>
      </c>
      <c r="AA1266" s="581" t="s">
        <v>1523</v>
      </c>
      <c r="AB1266" s="585">
        <v>47595</v>
      </c>
      <c r="AC1266" s="585" t="s">
        <v>164</v>
      </c>
      <c r="AD1266" s="585">
        <v>37245.041666666664</v>
      </c>
      <c r="AE1266" s="587">
        <v>0.03</v>
      </c>
      <c r="AF1266" s="661" t="str">
        <f t="shared" si="136"/>
        <v>2019-LVN-FRD-T35H-002-27</v>
      </c>
      <c r="AG1266" s="661" t="str">
        <f>IF(AND($Y1266&gt;=32,(AI1266="I"),(Y1266&lt;&gt;"~"),(COUNTIF($AN$1:$AN1266,$AN1266)=1)),"TRUE","FALSE")</f>
        <v>FALSE</v>
      </c>
      <c r="AH1266" s="661" t="str">
        <f>IF(AND($Y1266&gt;=22, (AI1266&lt;&gt;"I"),(Y1266&lt;&gt;"~"),(COUNTIF($AN$1:$AN1266,$AN1266)=1)),"TRUE","FALSE")</f>
        <v>FALSE</v>
      </c>
      <c r="AI1266" s="661" t="str">
        <f t="shared" si="138"/>
        <v>N/A</v>
      </c>
      <c r="AJ1266" s="662" t="str">
        <f t="shared" si="132"/>
        <v>T35H-002</v>
      </c>
      <c r="AK1266" s="662" t="str">
        <f t="shared" si="133"/>
        <v>LVN</v>
      </c>
      <c r="AL1266" s="662" t="str">
        <f t="shared" si="134"/>
        <v>FRD</v>
      </c>
      <c r="AM1266" s="662" t="str">
        <f t="shared" si="137"/>
        <v>Transit 350 HD Van-EL Dual Door-RWD-2-109.4-~-3.2L-5-S4U-101A-147.6-25-Diesel-BioDiesel</v>
      </c>
      <c r="AN1266" s="662" t="str">
        <f t="shared" si="135"/>
        <v>2019-LVN-FRD-T35H-002</v>
      </c>
    </row>
    <row r="1267" spans="1:40" s="572" customFormat="1" ht="15">
      <c r="A1267" s="570" t="s">
        <v>2556</v>
      </c>
      <c r="B1267" s="573" t="s">
        <v>2535</v>
      </c>
      <c r="C1267" s="573" t="s">
        <v>280</v>
      </c>
      <c r="D1267" s="578">
        <v>27</v>
      </c>
      <c r="E1267" s="573" t="s">
        <v>1516</v>
      </c>
      <c r="F1267" s="573" t="s">
        <v>1571</v>
      </c>
      <c r="G1267" s="573" t="s">
        <v>271</v>
      </c>
      <c r="H1267" s="573">
        <v>2019</v>
      </c>
      <c r="I1267" s="573" t="s">
        <v>2528</v>
      </c>
      <c r="J1267" s="573" t="s">
        <v>2529</v>
      </c>
      <c r="K1267" s="573" t="s">
        <v>236</v>
      </c>
      <c r="L1267" s="573">
        <v>2</v>
      </c>
      <c r="M1267" s="573">
        <v>0</v>
      </c>
      <c r="N1267" s="573" t="s">
        <v>157</v>
      </c>
      <c r="O1267" s="573">
        <v>1</v>
      </c>
      <c r="P1267" s="573">
        <v>109.4</v>
      </c>
      <c r="Q1267" s="571" t="s">
        <v>157</v>
      </c>
      <c r="R1267" s="573" t="s">
        <v>1259</v>
      </c>
      <c r="S1267" s="573">
        <v>6</v>
      </c>
      <c r="T1267" s="573" t="s">
        <v>2530</v>
      </c>
      <c r="U1267" s="573" t="s">
        <v>1894</v>
      </c>
      <c r="V1267" s="573">
        <v>147.6</v>
      </c>
      <c r="W1267" s="573">
        <v>25</v>
      </c>
      <c r="X1267" s="571">
        <v>9950</v>
      </c>
      <c r="Y1267" s="573">
        <v>12</v>
      </c>
      <c r="Z1267" s="579" t="s">
        <v>178</v>
      </c>
      <c r="AA1267" s="579" t="s">
        <v>178</v>
      </c>
      <c r="AB1267" s="584">
        <v>45115</v>
      </c>
      <c r="AC1267" s="584" t="s">
        <v>164</v>
      </c>
      <c r="AD1267" s="584">
        <v>35031.958333333336</v>
      </c>
      <c r="AE1267" s="586">
        <v>0.03</v>
      </c>
      <c r="AF1267" s="661" t="str">
        <f t="shared" si="136"/>
        <v>2019-LVN-FRD-T35H-003-27</v>
      </c>
      <c r="AG1267" s="661" t="str">
        <f>IF(AND($Y1267&gt;=32,(AI1267="I"),(Y1267&lt;&gt;"~"),(COUNTIF($AN$1:$AN1267,$AN1267)=1)),"TRUE","FALSE")</f>
        <v>FALSE</v>
      </c>
      <c r="AH1267" s="661" t="str">
        <f>IF(AND($Y1267&gt;=22, (AI1267&lt;&gt;"I"),(Y1267&lt;&gt;"~"),(COUNTIF($AN$1:$AN1267,$AN1267)=1)),"TRUE","FALSE")</f>
        <v>FALSE</v>
      </c>
      <c r="AI1267" s="661" t="str">
        <f t="shared" si="138"/>
        <v>II</v>
      </c>
      <c r="AJ1267" s="662" t="str">
        <f t="shared" si="132"/>
        <v>T35H-003</v>
      </c>
      <c r="AK1267" s="662" t="str">
        <f t="shared" si="133"/>
        <v>LVN</v>
      </c>
      <c r="AL1267" s="662" t="str">
        <f t="shared" si="134"/>
        <v>FRD</v>
      </c>
      <c r="AM1267" s="662" t="str">
        <f t="shared" si="137"/>
        <v>Transit 350 HD Van-EL Dual Door-RWD-2-109.4-~-3.5L EcoBoost-6-F4U-101A-147.6-25-Unleaded-Unleaded</v>
      </c>
      <c r="AN1267" s="662" t="str">
        <f t="shared" si="135"/>
        <v>2019-LVN-FRD-T35H-003</v>
      </c>
    </row>
    <row r="1268" spans="1:40" s="572" customFormat="1" ht="15">
      <c r="A1268" s="570" t="s">
        <v>2557</v>
      </c>
      <c r="B1268" s="569" t="s">
        <v>2537</v>
      </c>
      <c r="C1268" s="569" t="s">
        <v>280</v>
      </c>
      <c r="D1268" s="580">
        <v>27</v>
      </c>
      <c r="E1268" s="569" t="s">
        <v>1516</v>
      </c>
      <c r="F1268" s="569" t="s">
        <v>1571</v>
      </c>
      <c r="G1268" s="569" t="s">
        <v>271</v>
      </c>
      <c r="H1268" s="569">
        <v>2019</v>
      </c>
      <c r="I1268" s="569" t="s">
        <v>2528</v>
      </c>
      <c r="J1268" s="569" t="s">
        <v>2529</v>
      </c>
      <c r="K1268" s="569" t="s">
        <v>236</v>
      </c>
      <c r="L1268" s="569">
        <v>2</v>
      </c>
      <c r="M1268" s="569">
        <v>0</v>
      </c>
      <c r="N1268" s="569" t="s">
        <v>157</v>
      </c>
      <c r="O1268" s="569">
        <v>1</v>
      </c>
      <c r="P1268" s="569">
        <v>109.4</v>
      </c>
      <c r="Q1268" s="568" t="s">
        <v>157</v>
      </c>
      <c r="R1268" s="569" t="s">
        <v>1259</v>
      </c>
      <c r="S1268" s="569">
        <v>6</v>
      </c>
      <c r="T1268" s="569" t="s">
        <v>2533</v>
      </c>
      <c r="U1268" s="569" t="s">
        <v>1894</v>
      </c>
      <c r="V1268" s="569">
        <v>147.6</v>
      </c>
      <c r="W1268" s="569">
        <v>25</v>
      </c>
      <c r="X1268" s="568">
        <v>10360</v>
      </c>
      <c r="Y1268" s="569" t="s">
        <v>164</v>
      </c>
      <c r="Z1268" s="581" t="s">
        <v>178</v>
      </c>
      <c r="AA1268" s="581" t="s">
        <v>178</v>
      </c>
      <c r="AB1268" s="585">
        <v>45465</v>
      </c>
      <c r="AC1268" s="585" t="s">
        <v>164</v>
      </c>
      <c r="AD1268" s="585">
        <v>35351.75</v>
      </c>
      <c r="AE1268" s="587">
        <v>0.03</v>
      </c>
      <c r="AF1268" s="661" t="str">
        <f t="shared" si="136"/>
        <v>2019-LVN-FRD-T35H-004-27</v>
      </c>
      <c r="AG1268" s="661" t="str">
        <f>IF(AND($Y1268&gt;=32,(AI1268="I"),(Y1268&lt;&gt;"~"),(COUNTIF($AN$1:$AN1268,$AN1268)=1)),"TRUE","FALSE")</f>
        <v>FALSE</v>
      </c>
      <c r="AH1268" s="661" t="str">
        <f>IF(AND($Y1268&gt;=22, (AI1268&lt;&gt;"I"),(Y1268&lt;&gt;"~"),(COUNTIF($AN$1:$AN1268,$AN1268)=1)),"TRUE","FALSE")</f>
        <v>FALSE</v>
      </c>
      <c r="AI1268" s="661" t="str">
        <f t="shared" si="138"/>
        <v>N/A</v>
      </c>
      <c r="AJ1268" s="662" t="str">
        <f t="shared" si="132"/>
        <v>T35H-004</v>
      </c>
      <c r="AK1268" s="662" t="str">
        <f t="shared" si="133"/>
        <v>LVN</v>
      </c>
      <c r="AL1268" s="662" t="str">
        <f t="shared" si="134"/>
        <v>FRD</v>
      </c>
      <c r="AM1268" s="662" t="str">
        <f t="shared" si="137"/>
        <v>Transit 350 HD Van-EL Dual Door-RWD-2-109.4-~-3.5L EcoBoost-6-S4U-101A-147.6-25-Unleaded-Unleaded</v>
      </c>
      <c r="AN1268" s="662" t="str">
        <f t="shared" si="135"/>
        <v>2019-LVN-FRD-T35H-004</v>
      </c>
    </row>
    <row r="1269" spans="1:40" s="572" customFormat="1" ht="15">
      <c r="A1269" s="570" t="s">
        <v>2558</v>
      </c>
      <c r="B1269" s="573" t="s">
        <v>2539</v>
      </c>
      <c r="C1269" s="573" t="s">
        <v>280</v>
      </c>
      <c r="D1269" s="578">
        <v>27</v>
      </c>
      <c r="E1269" s="573" t="s">
        <v>1516</v>
      </c>
      <c r="F1269" s="573" t="s">
        <v>1571</v>
      </c>
      <c r="G1269" s="573" t="s">
        <v>271</v>
      </c>
      <c r="H1269" s="573">
        <v>2019</v>
      </c>
      <c r="I1269" s="573" t="s">
        <v>2528</v>
      </c>
      <c r="J1269" s="573" t="s">
        <v>2529</v>
      </c>
      <c r="K1269" s="573" t="s">
        <v>236</v>
      </c>
      <c r="L1269" s="573">
        <v>2</v>
      </c>
      <c r="M1269" s="573">
        <v>0</v>
      </c>
      <c r="N1269" s="573" t="s">
        <v>157</v>
      </c>
      <c r="O1269" s="573">
        <v>1</v>
      </c>
      <c r="P1269" s="573">
        <v>109.4</v>
      </c>
      <c r="Q1269" s="571" t="s">
        <v>157</v>
      </c>
      <c r="R1269" s="573" t="s">
        <v>682</v>
      </c>
      <c r="S1269" s="573">
        <v>6</v>
      </c>
      <c r="T1269" s="573" t="s">
        <v>2530</v>
      </c>
      <c r="U1269" s="573" t="s">
        <v>1894</v>
      </c>
      <c r="V1269" s="573">
        <v>147.6</v>
      </c>
      <c r="W1269" s="573">
        <v>25</v>
      </c>
      <c r="X1269" s="571">
        <v>9500</v>
      </c>
      <c r="Y1269" s="573">
        <v>12</v>
      </c>
      <c r="Z1269" s="579" t="s">
        <v>178</v>
      </c>
      <c r="AA1269" s="579" t="s">
        <v>178</v>
      </c>
      <c r="AB1269" s="584">
        <v>43250</v>
      </c>
      <c r="AC1269" s="584" t="s">
        <v>164</v>
      </c>
      <c r="AD1269" s="584">
        <v>33375.708333333336</v>
      </c>
      <c r="AE1269" s="586">
        <v>0.03</v>
      </c>
      <c r="AF1269" s="661" t="str">
        <f t="shared" si="136"/>
        <v>2019-LVN-FRD-T35H-005-27</v>
      </c>
      <c r="AG1269" s="661" t="str">
        <f>IF(AND($Y1269&gt;=32,(AI1269="I"),(Y1269&lt;&gt;"~"),(COUNTIF($AN$1:$AN1269,$AN1269)=1)),"TRUE","FALSE")</f>
        <v>FALSE</v>
      </c>
      <c r="AH1269" s="661" t="str">
        <f>IF(AND($Y1269&gt;=22, (AI1269&lt;&gt;"I"),(Y1269&lt;&gt;"~"),(COUNTIF($AN$1:$AN1269,$AN1269)=1)),"TRUE","FALSE")</f>
        <v>FALSE</v>
      </c>
      <c r="AI1269" s="661" t="str">
        <f t="shared" si="138"/>
        <v>II</v>
      </c>
      <c r="AJ1269" s="662" t="str">
        <f t="shared" si="132"/>
        <v>T35H-005</v>
      </c>
      <c r="AK1269" s="662" t="str">
        <f t="shared" si="133"/>
        <v>LVN</v>
      </c>
      <c r="AL1269" s="662" t="str">
        <f t="shared" si="134"/>
        <v>FRD</v>
      </c>
      <c r="AM1269" s="662" t="str">
        <f t="shared" si="137"/>
        <v>Transit 350 HD Van-EL Dual Door-RWD-2-109.4-~-3.7L-6-F4U-101A-147.6-25-Unleaded-Unleaded</v>
      </c>
      <c r="AN1269" s="662" t="str">
        <f t="shared" si="135"/>
        <v>2019-LVN-FRD-T35H-005</v>
      </c>
    </row>
    <row r="1270" spans="1:40" s="572" customFormat="1" ht="15">
      <c r="A1270" s="570" t="s">
        <v>2559</v>
      </c>
      <c r="B1270" s="569" t="s">
        <v>2541</v>
      </c>
      <c r="C1270" s="569" t="s">
        <v>280</v>
      </c>
      <c r="D1270" s="580">
        <v>27</v>
      </c>
      <c r="E1270" s="569" t="s">
        <v>1516</v>
      </c>
      <c r="F1270" s="569" t="s">
        <v>1571</v>
      </c>
      <c r="G1270" s="569" t="s">
        <v>271</v>
      </c>
      <c r="H1270" s="569">
        <v>2019</v>
      </c>
      <c r="I1270" s="569" t="s">
        <v>2528</v>
      </c>
      <c r="J1270" s="569" t="s">
        <v>2529</v>
      </c>
      <c r="K1270" s="569" t="s">
        <v>236</v>
      </c>
      <c r="L1270" s="569">
        <v>2</v>
      </c>
      <c r="M1270" s="569">
        <v>0</v>
      </c>
      <c r="N1270" s="569" t="s">
        <v>157</v>
      </c>
      <c r="O1270" s="569">
        <v>1</v>
      </c>
      <c r="P1270" s="569">
        <v>109.4</v>
      </c>
      <c r="Q1270" s="568" t="s">
        <v>157</v>
      </c>
      <c r="R1270" s="569" t="s">
        <v>682</v>
      </c>
      <c r="S1270" s="569">
        <v>6</v>
      </c>
      <c r="T1270" s="569" t="s">
        <v>2533</v>
      </c>
      <c r="U1270" s="569" t="s">
        <v>1894</v>
      </c>
      <c r="V1270" s="569">
        <v>147.6</v>
      </c>
      <c r="W1270" s="569">
        <v>25</v>
      </c>
      <c r="X1270" s="568">
        <v>10360</v>
      </c>
      <c r="Y1270" s="569" t="s">
        <v>164</v>
      </c>
      <c r="Z1270" s="581" t="s">
        <v>178</v>
      </c>
      <c r="AA1270" s="581" t="s">
        <v>178</v>
      </c>
      <c r="AB1270" s="585">
        <v>43600</v>
      </c>
      <c r="AC1270" s="585" t="s">
        <v>164</v>
      </c>
      <c r="AD1270" s="585">
        <v>33695.5</v>
      </c>
      <c r="AE1270" s="587">
        <v>0.03</v>
      </c>
      <c r="AF1270" s="661" t="str">
        <f t="shared" si="136"/>
        <v>2019-LVN-FRD-T35H-006-27</v>
      </c>
      <c r="AG1270" s="661" t="str">
        <f>IF(AND($Y1270&gt;=32,(AI1270="I"),(Y1270&lt;&gt;"~"),(COUNTIF($AN$1:$AN1270,$AN1270)=1)),"TRUE","FALSE")</f>
        <v>FALSE</v>
      </c>
      <c r="AH1270" s="661" t="str">
        <f>IF(AND($Y1270&gt;=22, (AI1270&lt;&gt;"I"),(Y1270&lt;&gt;"~"),(COUNTIF($AN$1:$AN1270,$AN1270)=1)),"TRUE","FALSE")</f>
        <v>FALSE</v>
      </c>
      <c r="AI1270" s="661" t="str">
        <f t="shared" si="138"/>
        <v>N/A</v>
      </c>
      <c r="AJ1270" s="662" t="str">
        <f t="shared" si="132"/>
        <v>T35H-006</v>
      </c>
      <c r="AK1270" s="662" t="str">
        <f t="shared" si="133"/>
        <v>LVN</v>
      </c>
      <c r="AL1270" s="662" t="str">
        <f t="shared" si="134"/>
        <v>FRD</v>
      </c>
      <c r="AM1270" s="662" t="str">
        <f t="shared" si="137"/>
        <v>Transit 350 HD Van-EL Dual Door-RWD-2-109.4-~-3.7L-6-S4U-101A-147.6-25-Unleaded-Unleaded</v>
      </c>
      <c r="AN1270" s="662" t="str">
        <f t="shared" si="135"/>
        <v>2019-LVN-FRD-T35H-006</v>
      </c>
    </row>
    <row r="1271" spans="1:40" s="572" customFormat="1" ht="15">
      <c r="A1271" s="570" t="s">
        <v>2560</v>
      </c>
      <c r="B1271" s="573" t="s">
        <v>2561</v>
      </c>
      <c r="C1271" s="573" t="s">
        <v>269</v>
      </c>
      <c r="D1271" s="578" t="s">
        <v>270</v>
      </c>
      <c r="E1271" s="573" t="s">
        <v>1516</v>
      </c>
      <c r="F1271" s="573" t="s">
        <v>1571</v>
      </c>
      <c r="G1271" s="573" t="s">
        <v>271</v>
      </c>
      <c r="H1271" s="573">
        <v>2019</v>
      </c>
      <c r="I1271" s="573" t="s">
        <v>2528</v>
      </c>
      <c r="J1271" s="573" t="s">
        <v>2562</v>
      </c>
      <c r="K1271" s="573" t="s">
        <v>236</v>
      </c>
      <c r="L1271" s="573">
        <v>2</v>
      </c>
      <c r="M1271" s="573">
        <v>0</v>
      </c>
      <c r="N1271" s="573" t="s">
        <v>157</v>
      </c>
      <c r="O1271" s="573">
        <v>1</v>
      </c>
      <c r="P1271" s="573">
        <v>109.4</v>
      </c>
      <c r="Q1271" s="571" t="s">
        <v>157</v>
      </c>
      <c r="R1271" s="573" t="s">
        <v>1917</v>
      </c>
      <c r="S1271" s="573">
        <v>5</v>
      </c>
      <c r="T1271" s="573" t="s">
        <v>2563</v>
      </c>
      <c r="U1271" s="573" t="s">
        <v>1894</v>
      </c>
      <c r="V1271" s="573">
        <v>147.6</v>
      </c>
      <c r="W1271" s="573">
        <v>25</v>
      </c>
      <c r="X1271" s="571">
        <v>9950</v>
      </c>
      <c r="Y1271" s="573">
        <v>12</v>
      </c>
      <c r="Z1271" s="579" t="s">
        <v>728</v>
      </c>
      <c r="AA1271" s="579" t="s">
        <v>1523</v>
      </c>
      <c r="AB1271" s="584">
        <v>46595</v>
      </c>
      <c r="AC1271" s="584" t="s">
        <v>164</v>
      </c>
      <c r="AD1271" s="584">
        <v>36331.5</v>
      </c>
      <c r="AE1271" s="586">
        <v>0.03</v>
      </c>
      <c r="AF1271" s="661" t="str">
        <f t="shared" si="136"/>
        <v>2019-LVN-FRD-T35H-007-05</v>
      </c>
      <c r="AG1271" s="661" t="str">
        <f>IF(AND($Y1271&gt;=32,(AI1271="I"),(Y1271&lt;&gt;"~"),(COUNTIF($AN$1:$AN1271,$AN1271)=1)),"TRUE","FALSE")</f>
        <v>FALSE</v>
      </c>
      <c r="AH1271" s="661" t="str">
        <f>IF(AND($Y1271&gt;=22, (AI1271&lt;&gt;"I"),(Y1271&lt;&gt;"~"),(COUNTIF($AN$1:$AN1271,$AN1271)=1)),"TRUE","FALSE")</f>
        <v>FALSE</v>
      </c>
      <c r="AI1271" s="661" t="str">
        <f t="shared" si="138"/>
        <v>II</v>
      </c>
      <c r="AJ1271" s="662" t="str">
        <f t="shared" si="132"/>
        <v>T35H-007</v>
      </c>
      <c r="AK1271" s="662" t="str">
        <f t="shared" si="133"/>
        <v>LVN</v>
      </c>
      <c r="AL1271" s="662" t="str">
        <f t="shared" si="134"/>
        <v>FRD</v>
      </c>
      <c r="AM1271" s="662" t="str">
        <f t="shared" si="137"/>
        <v>Transit 350 HD Van-EL Sliding RH Door-RWD-2-109.4-~-3.2L-5-F4X-101A-147.6-25-Diesel-BioDiesel</v>
      </c>
      <c r="AN1271" s="662" t="str">
        <f t="shared" si="135"/>
        <v>2019-LVN-FRD-T35H-007</v>
      </c>
    </row>
    <row r="1272" spans="1:40" s="572" customFormat="1" ht="15">
      <c r="A1272" s="570" t="s">
        <v>2564</v>
      </c>
      <c r="B1272" s="569" t="s">
        <v>2565</v>
      </c>
      <c r="C1272" s="569" t="s">
        <v>269</v>
      </c>
      <c r="D1272" s="580" t="s">
        <v>270</v>
      </c>
      <c r="E1272" s="569" t="s">
        <v>1516</v>
      </c>
      <c r="F1272" s="569" t="s">
        <v>1571</v>
      </c>
      <c r="G1272" s="569" t="s">
        <v>271</v>
      </c>
      <c r="H1272" s="569">
        <v>2019</v>
      </c>
      <c r="I1272" s="569" t="s">
        <v>2528</v>
      </c>
      <c r="J1272" s="569" t="s">
        <v>2562</v>
      </c>
      <c r="K1272" s="569" t="s">
        <v>236</v>
      </c>
      <c r="L1272" s="569">
        <v>2</v>
      </c>
      <c r="M1272" s="569">
        <v>0</v>
      </c>
      <c r="N1272" s="569" t="s">
        <v>157</v>
      </c>
      <c r="O1272" s="569">
        <v>1</v>
      </c>
      <c r="P1272" s="569">
        <v>109.4</v>
      </c>
      <c r="Q1272" s="568" t="s">
        <v>157</v>
      </c>
      <c r="R1272" s="569" t="s">
        <v>1917</v>
      </c>
      <c r="S1272" s="569">
        <v>5</v>
      </c>
      <c r="T1272" s="569" t="s">
        <v>2566</v>
      </c>
      <c r="U1272" s="569" t="s">
        <v>1894</v>
      </c>
      <c r="V1272" s="569">
        <v>147.6</v>
      </c>
      <c r="W1272" s="569">
        <v>25</v>
      </c>
      <c r="X1272" s="568">
        <v>10360</v>
      </c>
      <c r="Y1272" s="569" t="s">
        <v>164</v>
      </c>
      <c r="Z1272" s="581" t="s">
        <v>728</v>
      </c>
      <c r="AA1272" s="581" t="s">
        <v>1523</v>
      </c>
      <c r="AB1272" s="585">
        <v>46945</v>
      </c>
      <c r="AC1272" s="585" t="s">
        <v>164</v>
      </c>
      <c r="AD1272" s="585">
        <v>36650.25</v>
      </c>
      <c r="AE1272" s="587">
        <v>0.03</v>
      </c>
      <c r="AF1272" s="661" t="str">
        <f t="shared" si="136"/>
        <v>2019-LVN-FRD-T35H-008-05</v>
      </c>
      <c r="AG1272" s="661" t="str">
        <f>IF(AND($Y1272&gt;=32,(AI1272="I"),(Y1272&lt;&gt;"~"),(COUNTIF($AN$1:$AN1272,$AN1272)=1)),"TRUE","FALSE")</f>
        <v>FALSE</v>
      </c>
      <c r="AH1272" s="661" t="str">
        <f>IF(AND($Y1272&gt;=22, (AI1272&lt;&gt;"I"),(Y1272&lt;&gt;"~"),(COUNTIF($AN$1:$AN1272,$AN1272)=1)),"TRUE","FALSE")</f>
        <v>TRUE</v>
      </c>
      <c r="AI1272" s="661" t="str">
        <f t="shared" si="138"/>
        <v>N/A</v>
      </c>
      <c r="AJ1272" s="662" t="str">
        <f t="shared" si="132"/>
        <v>T35H-008</v>
      </c>
      <c r="AK1272" s="662" t="str">
        <f t="shared" si="133"/>
        <v>LVN</v>
      </c>
      <c r="AL1272" s="662" t="str">
        <f t="shared" si="134"/>
        <v>FRD</v>
      </c>
      <c r="AM1272" s="662" t="str">
        <f t="shared" si="137"/>
        <v>Transit 350 HD Van-EL Sliding RH Door-RWD-2-109.4-~-3.2L-5-S4X-101A-147.6-25-Diesel-BioDiesel</v>
      </c>
      <c r="AN1272" s="662" t="str">
        <f t="shared" si="135"/>
        <v>2019-LVN-FRD-T35H-008</v>
      </c>
    </row>
    <row r="1273" spans="1:40" s="572" customFormat="1" ht="15">
      <c r="A1273" s="570" t="s">
        <v>2567</v>
      </c>
      <c r="B1273" s="573" t="s">
        <v>2568</v>
      </c>
      <c r="C1273" s="573" t="s">
        <v>269</v>
      </c>
      <c r="D1273" s="578" t="s">
        <v>270</v>
      </c>
      <c r="E1273" s="573" t="s">
        <v>1516</v>
      </c>
      <c r="F1273" s="573" t="s">
        <v>1571</v>
      </c>
      <c r="G1273" s="573" t="s">
        <v>271</v>
      </c>
      <c r="H1273" s="573">
        <v>2019</v>
      </c>
      <c r="I1273" s="573" t="s">
        <v>2528</v>
      </c>
      <c r="J1273" s="573" t="s">
        <v>2562</v>
      </c>
      <c r="K1273" s="573" t="s">
        <v>236</v>
      </c>
      <c r="L1273" s="573">
        <v>2</v>
      </c>
      <c r="M1273" s="573">
        <v>0</v>
      </c>
      <c r="N1273" s="573" t="s">
        <v>157</v>
      </c>
      <c r="O1273" s="573">
        <v>1</v>
      </c>
      <c r="P1273" s="573">
        <v>109.4</v>
      </c>
      <c r="Q1273" s="571" t="s">
        <v>157</v>
      </c>
      <c r="R1273" s="573" t="s">
        <v>1259</v>
      </c>
      <c r="S1273" s="573">
        <v>6</v>
      </c>
      <c r="T1273" s="573" t="s">
        <v>2563</v>
      </c>
      <c r="U1273" s="573" t="s">
        <v>1894</v>
      </c>
      <c r="V1273" s="573">
        <v>147.6</v>
      </c>
      <c r="W1273" s="573">
        <v>25</v>
      </c>
      <c r="X1273" s="571">
        <v>9950</v>
      </c>
      <c r="Y1273" s="573">
        <v>12</v>
      </c>
      <c r="Z1273" s="579" t="s">
        <v>178</v>
      </c>
      <c r="AA1273" s="579" t="s">
        <v>178</v>
      </c>
      <c r="AB1273" s="584">
        <v>44465</v>
      </c>
      <c r="AC1273" s="584" t="s">
        <v>164</v>
      </c>
      <c r="AD1273" s="584">
        <v>34438.208333333336</v>
      </c>
      <c r="AE1273" s="586">
        <v>0.03</v>
      </c>
      <c r="AF1273" s="661" t="str">
        <f t="shared" si="136"/>
        <v>2019-LVN-FRD-T35H-009-05</v>
      </c>
      <c r="AG1273" s="661" t="str">
        <f>IF(AND($Y1273&gt;=32,(AI1273="I"),(Y1273&lt;&gt;"~"),(COUNTIF($AN$1:$AN1273,$AN1273)=1)),"TRUE","FALSE")</f>
        <v>FALSE</v>
      </c>
      <c r="AH1273" s="661" t="str">
        <f>IF(AND($Y1273&gt;=22, (AI1273&lt;&gt;"I"),(Y1273&lt;&gt;"~"),(COUNTIF($AN$1:$AN1273,$AN1273)=1)),"TRUE","FALSE")</f>
        <v>FALSE</v>
      </c>
      <c r="AI1273" s="661" t="str">
        <f t="shared" si="138"/>
        <v>II</v>
      </c>
      <c r="AJ1273" s="662" t="str">
        <f t="shared" si="132"/>
        <v>T35H-009</v>
      </c>
      <c r="AK1273" s="662" t="str">
        <f t="shared" si="133"/>
        <v>LVN</v>
      </c>
      <c r="AL1273" s="662" t="str">
        <f t="shared" si="134"/>
        <v>FRD</v>
      </c>
      <c r="AM1273" s="662" t="str">
        <f t="shared" si="137"/>
        <v>Transit 350 HD Van-EL Sliding RH Door-RWD-2-109.4-~-3.5L EcoBoost-6-F4X-101A-147.6-25-Unleaded-Unleaded</v>
      </c>
      <c r="AN1273" s="662" t="str">
        <f t="shared" si="135"/>
        <v>2019-LVN-FRD-T35H-009</v>
      </c>
    </row>
    <row r="1274" spans="1:40" s="572" customFormat="1" ht="15">
      <c r="A1274" s="570" t="s">
        <v>2569</v>
      </c>
      <c r="B1274" s="569" t="s">
        <v>2570</v>
      </c>
      <c r="C1274" s="569" t="s">
        <v>269</v>
      </c>
      <c r="D1274" s="580" t="s">
        <v>270</v>
      </c>
      <c r="E1274" s="569" t="s">
        <v>1516</v>
      </c>
      <c r="F1274" s="569" t="s">
        <v>1571</v>
      </c>
      <c r="G1274" s="569" t="s">
        <v>271</v>
      </c>
      <c r="H1274" s="569">
        <v>2019</v>
      </c>
      <c r="I1274" s="569" t="s">
        <v>2528</v>
      </c>
      <c r="J1274" s="569" t="s">
        <v>2562</v>
      </c>
      <c r="K1274" s="569" t="s">
        <v>236</v>
      </c>
      <c r="L1274" s="569">
        <v>2</v>
      </c>
      <c r="M1274" s="569">
        <v>0</v>
      </c>
      <c r="N1274" s="569" t="s">
        <v>157</v>
      </c>
      <c r="O1274" s="569">
        <v>1</v>
      </c>
      <c r="P1274" s="569">
        <v>109.4</v>
      </c>
      <c r="Q1274" s="568" t="s">
        <v>157</v>
      </c>
      <c r="R1274" s="569" t="s">
        <v>1259</v>
      </c>
      <c r="S1274" s="569">
        <v>6</v>
      </c>
      <c r="T1274" s="569" t="s">
        <v>2566</v>
      </c>
      <c r="U1274" s="569" t="s">
        <v>1894</v>
      </c>
      <c r="V1274" s="569">
        <v>147.6</v>
      </c>
      <c r="W1274" s="569">
        <v>25</v>
      </c>
      <c r="X1274" s="568">
        <v>10360</v>
      </c>
      <c r="Y1274" s="569" t="s">
        <v>164</v>
      </c>
      <c r="Z1274" s="581" t="s">
        <v>178</v>
      </c>
      <c r="AA1274" s="581" t="s">
        <v>178</v>
      </c>
      <c r="AB1274" s="585">
        <v>44815</v>
      </c>
      <c r="AC1274" s="585" t="s">
        <v>164</v>
      </c>
      <c r="AD1274" s="585">
        <v>34756.958333333336</v>
      </c>
      <c r="AE1274" s="587">
        <v>0.03</v>
      </c>
      <c r="AF1274" s="661" t="str">
        <f t="shared" si="136"/>
        <v>2019-LVN-FRD-T35H-010-05</v>
      </c>
      <c r="AG1274" s="661" t="str">
        <f>IF(AND($Y1274&gt;=32,(AI1274="I"),(Y1274&lt;&gt;"~"),(COUNTIF($AN$1:$AN1274,$AN1274)=1)),"TRUE","FALSE")</f>
        <v>FALSE</v>
      </c>
      <c r="AH1274" s="661" t="str">
        <f>IF(AND($Y1274&gt;=22, (AI1274&lt;&gt;"I"),(Y1274&lt;&gt;"~"),(COUNTIF($AN$1:$AN1274,$AN1274)=1)),"TRUE","FALSE")</f>
        <v>TRUE</v>
      </c>
      <c r="AI1274" s="661" t="str">
        <f t="shared" si="138"/>
        <v>N/A</v>
      </c>
      <c r="AJ1274" s="662" t="str">
        <f t="shared" si="132"/>
        <v>T35H-010</v>
      </c>
      <c r="AK1274" s="662" t="str">
        <f t="shared" si="133"/>
        <v>LVN</v>
      </c>
      <c r="AL1274" s="662" t="str">
        <f t="shared" si="134"/>
        <v>FRD</v>
      </c>
      <c r="AM1274" s="662" t="str">
        <f t="shared" si="137"/>
        <v>Transit 350 HD Van-EL Sliding RH Door-RWD-2-109.4-~-3.5L EcoBoost-6-S4X-101A-147.6-25-Unleaded-Unleaded</v>
      </c>
      <c r="AN1274" s="662" t="str">
        <f t="shared" si="135"/>
        <v>2019-LVN-FRD-T35H-010</v>
      </c>
    </row>
    <row r="1275" spans="1:40" s="572" customFormat="1" ht="15">
      <c r="A1275" s="570" t="s">
        <v>2571</v>
      </c>
      <c r="B1275" s="573" t="s">
        <v>2572</v>
      </c>
      <c r="C1275" s="573" t="s">
        <v>269</v>
      </c>
      <c r="D1275" s="578" t="s">
        <v>270</v>
      </c>
      <c r="E1275" s="573" t="s">
        <v>1516</v>
      </c>
      <c r="F1275" s="573" t="s">
        <v>1571</v>
      </c>
      <c r="G1275" s="573" t="s">
        <v>271</v>
      </c>
      <c r="H1275" s="573">
        <v>2019</v>
      </c>
      <c r="I1275" s="573" t="s">
        <v>2528</v>
      </c>
      <c r="J1275" s="573" t="s">
        <v>2562</v>
      </c>
      <c r="K1275" s="573" t="s">
        <v>236</v>
      </c>
      <c r="L1275" s="573">
        <v>2</v>
      </c>
      <c r="M1275" s="573">
        <v>0</v>
      </c>
      <c r="N1275" s="573" t="s">
        <v>157</v>
      </c>
      <c r="O1275" s="573">
        <v>1</v>
      </c>
      <c r="P1275" s="573">
        <v>109.4</v>
      </c>
      <c r="Q1275" s="571" t="s">
        <v>157</v>
      </c>
      <c r="R1275" s="573" t="s">
        <v>682</v>
      </c>
      <c r="S1275" s="573">
        <v>6</v>
      </c>
      <c r="T1275" s="573" t="s">
        <v>2563</v>
      </c>
      <c r="U1275" s="573" t="s">
        <v>1894</v>
      </c>
      <c r="V1275" s="573">
        <v>147.6</v>
      </c>
      <c r="W1275" s="573">
        <v>25</v>
      </c>
      <c r="X1275" s="571">
        <v>9950</v>
      </c>
      <c r="Y1275" s="573">
        <v>12</v>
      </c>
      <c r="Z1275" s="579" t="s">
        <v>178</v>
      </c>
      <c r="AA1275" s="579" t="s">
        <v>178</v>
      </c>
      <c r="AB1275" s="584">
        <v>42600</v>
      </c>
      <c r="AC1275" s="584" t="s">
        <v>164</v>
      </c>
      <c r="AD1275" s="584">
        <v>32781.958333333336</v>
      </c>
      <c r="AE1275" s="586">
        <v>0.03</v>
      </c>
      <c r="AF1275" s="661" t="str">
        <f t="shared" si="136"/>
        <v>2019-LVN-FRD-T35H-020-05</v>
      </c>
      <c r="AG1275" s="661" t="str">
        <f>IF(AND($Y1275&gt;=32,(AI1275="I"),(Y1275&lt;&gt;"~"),(COUNTIF($AN$1:$AN1275,$AN1275)=1)),"TRUE","FALSE")</f>
        <v>FALSE</v>
      </c>
      <c r="AH1275" s="661" t="str">
        <f>IF(AND($Y1275&gt;=22, (AI1275&lt;&gt;"I"),(Y1275&lt;&gt;"~"),(COUNTIF($AN$1:$AN1275,$AN1275)=1)),"TRUE","FALSE")</f>
        <v>FALSE</v>
      </c>
      <c r="AI1275" s="661" t="str">
        <f t="shared" si="138"/>
        <v>II</v>
      </c>
      <c r="AJ1275" s="662" t="str">
        <f t="shared" si="132"/>
        <v>T35H-020</v>
      </c>
      <c r="AK1275" s="662" t="str">
        <f t="shared" si="133"/>
        <v>LVN</v>
      </c>
      <c r="AL1275" s="662" t="str">
        <f t="shared" si="134"/>
        <v>FRD</v>
      </c>
      <c r="AM1275" s="662" t="str">
        <f t="shared" si="137"/>
        <v>Transit 350 HD Van-EL Sliding RH Door-RWD-2-109.4-~-3.7L-6-F4X-101A-147.6-25-Unleaded-Unleaded</v>
      </c>
      <c r="AN1275" s="662" t="str">
        <f t="shared" si="135"/>
        <v>2019-LVN-FRD-T35H-020</v>
      </c>
    </row>
    <row r="1276" spans="1:40" s="572" customFormat="1" ht="15">
      <c r="A1276" s="570" t="s">
        <v>2573</v>
      </c>
      <c r="B1276" s="569" t="s">
        <v>2574</v>
      </c>
      <c r="C1276" s="569" t="s">
        <v>269</v>
      </c>
      <c r="D1276" s="580" t="s">
        <v>270</v>
      </c>
      <c r="E1276" s="569" t="s">
        <v>1516</v>
      </c>
      <c r="F1276" s="569" t="s">
        <v>1571</v>
      </c>
      <c r="G1276" s="569" t="s">
        <v>271</v>
      </c>
      <c r="H1276" s="569">
        <v>2019</v>
      </c>
      <c r="I1276" s="569" t="s">
        <v>2528</v>
      </c>
      <c r="J1276" s="569" t="s">
        <v>2562</v>
      </c>
      <c r="K1276" s="569" t="s">
        <v>236</v>
      </c>
      <c r="L1276" s="569">
        <v>2</v>
      </c>
      <c r="M1276" s="569">
        <v>0</v>
      </c>
      <c r="N1276" s="569" t="s">
        <v>157</v>
      </c>
      <c r="O1276" s="569">
        <v>1</v>
      </c>
      <c r="P1276" s="569">
        <v>109.4</v>
      </c>
      <c r="Q1276" s="568" t="s">
        <v>157</v>
      </c>
      <c r="R1276" s="569" t="s">
        <v>682</v>
      </c>
      <c r="S1276" s="569">
        <v>6</v>
      </c>
      <c r="T1276" s="569" t="s">
        <v>2566</v>
      </c>
      <c r="U1276" s="569" t="s">
        <v>1894</v>
      </c>
      <c r="V1276" s="569">
        <v>147.6</v>
      </c>
      <c r="W1276" s="569">
        <v>25</v>
      </c>
      <c r="X1276" s="568">
        <v>10360</v>
      </c>
      <c r="Y1276" s="569" t="s">
        <v>164</v>
      </c>
      <c r="Z1276" s="581" t="s">
        <v>178</v>
      </c>
      <c r="AA1276" s="581" t="s">
        <v>178</v>
      </c>
      <c r="AB1276" s="585">
        <v>42950</v>
      </c>
      <c r="AC1276" s="585" t="s">
        <v>164</v>
      </c>
      <c r="AD1276" s="585">
        <v>33100.708333333336</v>
      </c>
      <c r="AE1276" s="587">
        <v>0.03</v>
      </c>
      <c r="AF1276" s="661" t="str">
        <f t="shared" si="136"/>
        <v>2019-LVN-FRD-T35H-011-05</v>
      </c>
      <c r="AG1276" s="661" t="str">
        <f>IF(AND($Y1276&gt;=32,(AI1276="I"),(Y1276&lt;&gt;"~"),(COUNTIF($AN$1:$AN1276,$AN1276)=1)),"TRUE","FALSE")</f>
        <v>FALSE</v>
      </c>
      <c r="AH1276" s="661" t="str">
        <f>IF(AND($Y1276&gt;=22, (AI1276&lt;&gt;"I"),(Y1276&lt;&gt;"~"),(COUNTIF($AN$1:$AN1276,$AN1276)=1)),"TRUE","FALSE")</f>
        <v>TRUE</v>
      </c>
      <c r="AI1276" s="661" t="str">
        <f t="shared" si="138"/>
        <v>N/A</v>
      </c>
      <c r="AJ1276" s="662" t="str">
        <f t="shared" si="132"/>
        <v>T35H-011</v>
      </c>
      <c r="AK1276" s="662" t="str">
        <f t="shared" si="133"/>
        <v>LVN</v>
      </c>
      <c r="AL1276" s="662" t="str">
        <f t="shared" si="134"/>
        <v>FRD</v>
      </c>
      <c r="AM1276" s="662" t="str">
        <f t="shared" si="137"/>
        <v>Transit 350 HD Van-EL Sliding RH Door-RWD-2-109.4-~-3.7L-6-S4X-101A-147.6-25-Unleaded-Unleaded</v>
      </c>
      <c r="AN1276" s="662" t="str">
        <f t="shared" si="135"/>
        <v>2019-LVN-FRD-T35H-011</v>
      </c>
    </row>
    <row r="1277" spans="1:40" s="572" customFormat="1" ht="15">
      <c r="A1277" s="570" t="s">
        <v>2575</v>
      </c>
      <c r="B1277" s="573" t="s">
        <v>2561</v>
      </c>
      <c r="C1277" s="573" t="s">
        <v>278</v>
      </c>
      <c r="D1277" s="578">
        <v>15</v>
      </c>
      <c r="E1277" s="573" t="s">
        <v>1516</v>
      </c>
      <c r="F1277" s="573" t="s">
        <v>1571</v>
      </c>
      <c r="G1277" s="573" t="s">
        <v>271</v>
      </c>
      <c r="H1277" s="573">
        <v>2019</v>
      </c>
      <c r="I1277" s="573" t="s">
        <v>2528</v>
      </c>
      <c r="J1277" s="573" t="s">
        <v>2562</v>
      </c>
      <c r="K1277" s="573" t="s">
        <v>236</v>
      </c>
      <c r="L1277" s="573">
        <v>2</v>
      </c>
      <c r="M1277" s="573">
        <v>0</v>
      </c>
      <c r="N1277" s="573" t="s">
        <v>157</v>
      </c>
      <c r="O1277" s="573">
        <v>1</v>
      </c>
      <c r="P1277" s="573">
        <v>109.4</v>
      </c>
      <c r="Q1277" s="571" t="s">
        <v>157</v>
      </c>
      <c r="R1277" s="573" t="s">
        <v>1917</v>
      </c>
      <c r="S1277" s="573">
        <v>5</v>
      </c>
      <c r="T1277" s="573" t="s">
        <v>2563</v>
      </c>
      <c r="U1277" s="573" t="s">
        <v>1894</v>
      </c>
      <c r="V1277" s="573">
        <v>147.6</v>
      </c>
      <c r="W1277" s="573">
        <v>25</v>
      </c>
      <c r="X1277" s="571">
        <v>9950</v>
      </c>
      <c r="Y1277" s="573">
        <v>12</v>
      </c>
      <c r="Z1277" s="579" t="s">
        <v>728</v>
      </c>
      <c r="AA1277" s="579" t="s">
        <v>1523</v>
      </c>
      <c r="AB1277" s="584">
        <v>46595</v>
      </c>
      <c r="AC1277" s="584" t="s">
        <v>164</v>
      </c>
      <c r="AD1277" s="584">
        <v>37100</v>
      </c>
      <c r="AE1277" s="586">
        <v>0.01</v>
      </c>
      <c r="AF1277" s="661" t="str">
        <f t="shared" si="136"/>
        <v>2019-LVN-FRD-T35H-007-15</v>
      </c>
      <c r="AG1277" s="661" t="str">
        <f>IF(AND($Y1277&gt;=32,(AI1277="I"),(Y1277&lt;&gt;"~"),(COUNTIF($AN$1:$AN1277,$AN1277)=1)),"TRUE","FALSE")</f>
        <v>FALSE</v>
      </c>
      <c r="AH1277" s="661" t="str">
        <f>IF(AND($Y1277&gt;=22, (AI1277&lt;&gt;"I"),(Y1277&lt;&gt;"~"),(COUNTIF($AN$1:$AN1277,$AN1277)=1)),"TRUE","FALSE")</f>
        <v>FALSE</v>
      </c>
      <c r="AI1277" s="661" t="str">
        <f t="shared" si="138"/>
        <v>II</v>
      </c>
      <c r="AJ1277" s="662" t="str">
        <f t="shared" si="132"/>
        <v>T35H-007</v>
      </c>
      <c r="AK1277" s="662" t="str">
        <f t="shared" si="133"/>
        <v>LVN</v>
      </c>
      <c r="AL1277" s="662" t="str">
        <f t="shared" si="134"/>
        <v>FRD</v>
      </c>
      <c r="AM1277" s="662" t="str">
        <f t="shared" si="137"/>
        <v>Transit 350 HD Van-EL Sliding RH Door-RWD-2-109.4-~-3.2L-5-F4X-101A-147.6-25-Diesel-BioDiesel</v>
      </c>
      <c r="AN1277" s="662" t="str">
        <f t="shared" si="135"/>
        <v>2019-LVN-FRD-T35H-007</v>
      </c>
    </row>
    <row r="1278" spans="1:40" s="572" customFormat="1" ht="15">
      <c r="A1278" s="570" t="s">
        <v>2576</v>
      </c>
      <c r="B1278" s="569" t="s">
        <v>2565</v>
      </c>
      <c r="C1278" s="569" t="s">
        <v>278</v>
      </c>
      <c r="D1278" s="580">
        <v>15</v>
      </c>
      <c r="E1278" s="569" t="s">
        <v>1516</v>
      </c>
      <c r="F1278" s="569" t="s">
        <v>1571</v>
      </c>
      <c r="G1278" s="569" t="s">
        <v>271</v>
      </c>
      <c r="H1278" s="569">
        <v>2019</v>
      </c>
      <c r="I1278" s="569" t="s">
        <v>2528</v>
      </c>
      <c r="J1278" s="569" t="s">
        <v>2562</v>
      </c>
      <c r="K1278" s="569" t="s">
        <v>236</v>
      </c>
      <c r="L1278" s="569">
        <v>2</v>
      </c>
      <c r="M1278" s="569">
        <v>0</v>
      </c>
      <c r="N1278" s="569" t="s">
        <v>157</v>
      </c>
      <c r="O1278" s="569">
        <v>1</v>
      </c>
      <c r="P1278" s="569">
        <v>109.4</v>
      </c>
      <c r="Q1278" s="568" t="s">
        <v>157</v>
      </c>
      <c r="R1278" s="569" t="s">
        <v>1917</v>
      </c>
      <c r="S1278" s="569">
        <v>5</v>
      </c>
      <c r="T1278" s="569" t="s">
        <v>2566</v>
      </c>
      <c r="U1278" s="569" t="s">
        <v>1894</v>
      </c>
      <c r="V1278" s="569">
        <v>147.6</v>
      </c>
      <c r="W1278" s="569">
        <v>25</v>
      </c>
      <c r="X1278" s="568">
        <v>10360</v>
      </c>
      <c r="Y1278" s="569" t="s">
        <v>164</v>
      </c>
      <c r="Z1278" s="581" t="s">
        <v>728</v>
      </c>
      <c r="AA1278" s="581" t="s">
        <v>1523</v>
      </c>
      <c r="AB1278" s="585">
        <v>46945</v>
      </c>
      <c r="AC1278" s="585" t="s">
        <v>164</v>
      </c>
      <c r="AD1278" s="585">
        <v>37400</v>
      </c>
      <c r="AE1278" s="587">
        <v>0.01</v>
      </c>
      <c r="AF1278" s="661" t="str">
        <f t="shared" si="136"/>
        <v>2019-LVN-FRD-T35H-008-15</v>
      </c>
      <c r="AG1278" s="661" t="str">
        <f>IF(AND($Y1278&gt;=32,(AI1278="I"),(Y1278&lt;&gt;"~"),(COUNTIF($AN$1:$AN1278,$AN1278)=1)),"TRUE","FALSE")</f>
        <v>FALSE</v>
      </c>
      <c r="AH1278" s="661" t="str">
        <f>IF(AND($Y1278&gt;=22, (AI1278&lt;&gt;"I"),(Y1278&lt;&gt;"~"),(COUNTIF($AN$1:$AN1278,$AN1278)=1)),"TRUE","FALSE")</f>
        <v>FALSE</v>
      </c>
      <c r="AI1278" s="661" t="str">
        <f t="shared" si="138"/>
        <v>N/A</v>
      </c>
      <c r="AJ1278" s="662" t="str">
        <f t="shared" si="132"/>
        <v>T35H-008</v>
      </c>
      <c r="AK1278" s="662" t="str">
        <f t="shared" si="133"/>
        <v>LVN</v>
      </c>
      <c r="AL1278" s="662" t="str">
        <f t="shared" si="134"/>
        <v>FRD</v>
      </c>
      <c r="AM1278" s="662" t="str">
        <f t="shared" si="137"/>
        <v>Transit 350 HD Van-EL Sliding RH Door-RWD-2-109.4-~-3.2L-5-S4X-101A-147.6-25-Diesel-BioDiesel</v>
      </c>
      <c r="AN1278" s="662" t="str">
        <f t="shared" si="135"/>
        <v>2019-LVN-FRD-T35H-008</v>
      </c>
    </row>
    <row r="1279" spans="1:40" s="572" customFormat="1" ht="15">
      <c r="A1279" s="570" t="s">
        <v>2577</v>
      </c>
      <c r="B1279" s="573" t="s">
        <v>2568</v>
      </c>
      <c r="C1279" s="573" t="s">
        <v>278</v>
      </c>
      <c r="D1279" s="578">
        <v>15</v>
      </c>
      <c r="E1279" s="573" t="s">
        <v>1516</v>
      </c>
      <c r="F1279" s="573" t="s">
        <v>1571</v>
      </c>
      <c r="G1279" s="573" t="s">
        <v>271</v>
      </c>
      <c r="H1279" s="573">
        <v>2019</v>
      </c>
      <c r="I1279" s="573" t="s">
        <v>2528</v>
      </c>
      <c r="J1279" s="573" t="s">
        <v>2562</v>
      </c>
      <c r="K1279" s="573" t="s">
        <v>236</v>
      </c>
      <c r="L1279" s="573">
        <v>2</v>
      </c>
      <c r="M1279" s="573">
        <v>0</v>
      </c>
      <c r="N1279" s="573" t="s">
        <v>157</v>
      </c>
      <c r="O1279" s="573">
        <v>1</v>
      </c>
      <c r="P1279" s="573">
        <v>109.4</v>
      </c>
      <c r="Q1279" s="571" t="s">
        <v>157</v>
      </c>
      <c r="R1279" s="573" t="s">
        <v>1259</v>
      </c>
      <c r="S1279" s="573">
        <v>6</v>
      </c>
      <c r="T1279" s="573" t="s">
        <v>2563</v>
      </c>
      <c r="U1279" s="573" t="s">
        <v>1894</v>
      </c>
      <c r="V1279" s="573">
        <v>147.6</v>
      </c>
      <c r="W1279" s="573">
        <v>25</v>
      </c>
      <c r="X1279" s="571">
        <v>9950</v>
      </c>
      <c r="Y1279" s="573">
        <v>12</v>
      </c>
      <c r="Z1279" s="579" t="s">
        <v>178</v>
      </c>
      <c r="AA1279" s="579" t="s">
        <v>178</v>
      </c>
      <c r="AB1279" s="584">
        <v>44465</v>
      </c>
      <c r="AC1279" s="584" t="s">
        <v>164</v>
      </c>
      <c r="AD1279" s="584">
        <v>35100</v>
      </c>
      <c r="AE1279" s="586">
        <v>0.01</v>
      </c>
      <c r="AF1279" s="661" t="str">
        <f t="shared" si="136"/>
        <v>2019-LVN-FRD-T35H-009-15</v>
      </c>
      <c r="AG1279" s="661" t="str">
        <f>IF(AND($Y1279&gt;=32,(AI1279="I"),(Y1279&lt;&gt;"~"),(COUNTIF($AN$1:$AN1279,$AN1279)=1)),"TRUE","FALSE")</f>
        <v>FALSE</v>
      </c>
      <c r="AH1279" s="661" t="str">
        <f>IF(AND($Y1279&gt;=22, (AI1279&lt;&gt;"I"),(Y1279&lt;&gt;"~"),(COUNTIF($AN$1:$AN1279,$AN1279)=1)),"TRUE","FALSE")</f>
        <v>FALSE</v>
      </c>
      <c r="AI1279" s="661" t="str">
        <f t="shared" si="138"/>
        <v>II</v>
      </c>
      <c r="AJ1279" s="662" t="str">
        <f t="shared" si="132"/>
        <v>T35H-009</v>
      </c>
      <c r="AK1279" s="662" t="str">
        <f t="shared" si="133"/>
        <v>LVN</v>
      </c>
      <c r="AL1279" s="662" t="str">
        <f t="shared" si="134"/>
        <v>FRD</v>
      </c>
      <c r="AM1279" s="662" t="str">
        <f t="shared" si="137"/>
        <v>Transit 350 HD Van-EL Sliding RH Door-RWD-2-109.4-~-3.5L EcoBoost-6-F4X-101A-147.6-25-Unleaded-Unleaded</v>
      </c>
      <c r="AN1279" s="662" t="str">
        <f t="shared" si="135"/>
        <v>2019-LVN-FRD-T35H-009</v>
      </c>
    </row>
    <row r="1280" spans="1:40" s="572" customFormat="1" ht="15">
      <c r="A1280" s="570" t="s">
        <v>2578</v>
      </c>
      <c r="B1280" s="569" t="s">
        <v>2570</v>
      </c>
      <c r="C1280" s="569" t="s">
        <v>278</v>
      </c>
      <c r="D1280" s="580">
        <v>15</v>
      </c>
      <c r="E1280" s="569" t="s">
        <v>1516</v>
      </c>
      <c r="F1280" s="569" t="s">
        <v>1571</v>
      </c>
      <c r="G1280" s="569" t="s">
        <v>271</v>
      </c>
      <c r="H1280" s="569">
        <v>2019</v>
      </c>
      <c r="I1280" s="569" t="s">
        <v>2528</v>
      </c>
      <c r="J1280" s="569" t="s">
        <v>2562</v>
      </c>
      <c r="K1280" s="569" t="s">
        <v>236</v>
      </c>
      <c r="L1280" s="569">
        <v>2</v>
      </c>
      <c r="M1280" s="569">
        <v>0</v>
      </c>
      <c r="N1280" s="569" t="s">
        <v>157</v>
      </c>
      <c r="O1280" s="569">
        <v>1</v>
      </c>
      <c r="P1280" s="569">
        <v>109.4</v>
      </c>
      <c r="Q1280" s="568" t="s">
        <v>157</v>
      </c>
      <c r="R1280" s="569" t="s">
        <v>1259</v>
      </c>
      <c r="S1280" s="569">
        <v>6</v>
      </c>
      <c r="T1280" s="569" t="s">
        <v>2566</v>
      </c>
      <c r="U1280" s="569" t="s">
        <v>1894</v>
      </c>
      <c r="V1280" s="569">
        <v>147.6</v>
      </c>
      <c r="W1280" s="569">
        <v>25</v>
      </c>
      <c r="X1280" s="568">
        <v>10360</v>
      </c>
      <c r="Y1280" s="569" t="s">
        <v>164</v>
      </c>
      <c r="Z1280" s="581" t="s">
        <v>178</v>
      </c>
      <c r="AA1280" s="581" t="s">
        <v>178</v>
      </c>
      <c r="AB1280" s="585">
        <v>44815</v>
      </c>
      <c r="AC1280" s="585" t="s">
        <v>164</v>
      </c>
      <c r="AD1280" s="585">
        <v>35500</v>
      </c>
      <c r="AE1280" s="587">
        <v>0.01</v>
      </c>
      <c r="AF1280" s="661" t="str">
        <f t="shared" si="136"/>
        <v>2019-LVN-FRD-T35H-010-15</v>
      </c>
      <c r="AG1280" s="661" t="str">
        <f>IF(AND($Y1280&gt;=32,(AI1280="I"),(Y1280&lt;&gt;"~"),(COUNTIF($AN$1:$AN1280,$AN1280)=1)),"TRUE","FALSE")</f>
        <v>FALSE</v>
      </c>
      <c r="AH1280" s="661" t="str">
        <f>IF(AND($Y1280&gt;=22, (AI1280&lt;&gt;"I"),(Y1280&lt;&gt;"~"),(COUNTIF($AN$1:$AN1280,$AN1280)=1)),"TRUE","FALSE")</f>
        <v>FALSE</v>
      </c>
      <c r="AI1280" s="661" t="str">
        <f t="shared" si="138"/>
        <v>N/A</v>
      </c>
      <c r="AJ1280" s="662" t="str">
        <f t="shared" si="132"/>
        <v>T35H-010</v>
      </c>
      <c r="AK1280" s="662" t="str">
        <f t="shared" si="133"/>
        <v>LVN</v>
      </c>
      <c r="AL1280" s="662" t="str">
        <f t="shared" si="134"/>
        <v>FRD</v>
      </c>
      <c r="AM1280" s="662" t="str">
        <f t="shared" si="137"/>
        <v>Transit 350 HD Van-EL Sliding RH Door-RWD-2-109.4-~-3.5L EcoBoost-6-S4X-101A-147.6-25-Unleaded-Unleaded</v>
      </c>
      <c r="AN1280" s="662" t="str">
        <f t="shared" si="135"/>
        <v>2019-LVN-FRD-T35H-010</v>
      </c>
    </row>
    <row r="1281" spans="1:40" s="572" customFormat="1" ht="15">
      <c r="A1281" s="570" t="s">
        <v>2579</v>
      </c>
      <c r="B1281" s="573" t="s">
        <v>2572</v>
      </c>
      <c r="C1281" s="573" t="s">
        <v>278</v>
      </c>
      <c r="D1281" s="578">
        <v>15</v>
      </c>
      <c r="E1281" s="573" t="s">
        <v>1516</v>
      </c>
      <c r="F1281" s="573" t="s">
        <v>1571</v>
      </c>
      <c r="G1281" s="573" t="s">
        <v>271</v>
      </c>
      <c r="H1281" s="573">
        <v>2019</v>
      </c>
      <c r="I1281" s="573" t="s">
        <v>2528</v>
      </c>
      <c r="J1281" s="573" t="s">
        <v>2562</v>
      </c>
      <c r="K1281" s="573" t="s">
        <v>236</v>
      </c>
      <c r="L1281" s="573">
        <v>2</v>
      </c>
      <c r="M1281" s="573">
        <v>0</v>
      </c>
      <c r="N1281" s="573" t="s">
        <v>157</v>
      </c>
      <c r="O1281" s="573">
        <v>1</v>
      </c>
      <c r="P1281" s="573">
        <v>109.4</v>
      </c>
      <c r="Q1281" s="571" t="s">
        <v>157</v>
      </c>
      <c r="R1281" s="573" t="s">
        <v>682</v>
      </c>
      <c r="S1281" s="573">
        <v>6</v>
      </c>
      <c r="T1281" s="573" t="s">
        <v>2563</v>
      </c>
      <c r="U1281" s="573" t="s">
        <v>1894</v>
      </c>
      <c r="V1281" s="573">
        <v>147.6</v>
      </c>
      <c r="W1281" s="573">
        <v>25</v>
      </c>
      <c r="X1281" s="571">
        <v>9500</v>
      </c>
      <c r="Y1281" s="573">
        <v>12</v>
      </c>
      <c r="Z1281" s="579" t="s">
        <v>178</v>
      </c>
      <c r="AA1281" s="579" t="s">
        <v>178</v>
      </c>
      <c r="AB1281" s="584">
        <v>42600</v>
      </c>
      <c r="AC1281" s="584" t="s">
        <v>164</v>
      </c>
      <c r="AD1281" s="584">
        <v>33500</v>
      </c>
      <c r="AE1281" s="586">
        <v>0.01</v>
      </c>
      <c r="AF1281" s="661" t="str">
        <f t="shared" si="136"/>
        <v>2019-LVN-FRD-T35H-020-15</v>
      </c>
      <c r="AG1281" s="661" t="str">
        <f>IF(AND($Y1281&gt;=32,(AI1281="I"),(Y1281&lt;&gt;"~"),(COUNTIF($AN$1:$AN1281,$AN1281)=1)),"TRUE","FALSE")</f>
        <v>FALSE</v>
      </c>
      <c r="AH1281" s="661" t="str">
        <f>IF(AND($Y1281&gt;=22, (AI1281&lt;&gt;"I"),(Y1281&lt;&gt;"~"),(COUNTIF($AN$1:$AN1281,$AN1281)=1)),"TRUE","FALSE")</f>
        <v>FALSE</v>
      </c>
      <c r="AI1281" s="661" t="str">
        <f t="shared" si="138"/>
        <v>II</v>
      </c>
      <c r="AJ1281" s="662" t="str">
        <f t="shared" si="132"/>
        <v>T35H-020</v>
      </c>
      <c r="AK1281" s="662" t="str">
        <f t="shared" si="133"/>
        <v>LVN</v>
      </c>
      <c r="AL1281" s="662" t="str">
        <f t="shared" si="134"/>
        <v>FRD</v>
      </c>
      <c r="AM1281" s="662" t="str">
        <f t="shared" si="137"/>
        <v>Transit 350 HD Van-EL Sliding RH Door-RWD-2-109.4-~-3.7L-6-F4X-101A-147.6-25-Unleaded-Unleaded</v>
      </c>
      <c r="AN1281" s="662" t="str">
        <f t="shared" si="135"/>
        <v>2019-LVN-FRD-T35H-020</v>
      </c>
    </row>
    <row r="1282" spans="1:40" s="572" customFormat="1" ht="15">
      <c r="A1282" s="570" t="s">
        <v>2580</v>
      </c>
      <c r="B1282" s="569" t="s">
        <v>2574</v>
      </c>
      <c r="C1282" s="569" t="s">
        <v>278</v>
      </c>
      <c r="D1282" s="580">
        <v>15</v>
      </c>
      <c r="E1282" s="569" t="s">
        <v>1516</v>
      </c>
      <c r="F1282" s="569" t="s">
        <v>1571</v>
      </c>
      <c r="G1282" s="569" t="s">
        <v>271</v>
      </c>
      <c r="H1282" s="569">
        <v>2019</v>
      </c>
      <c r="I1282" s="569" t="s">
        <v>2528</v>
      </c>
      <c r="J1282" s="569" t="s">
        <v>2562</v>
      </c>
      <c r="K1282" s="569" t="s">
        <v>236</v>
      </c>
      <c r="L1282" s="569">
        <v>2</v>
      </c>
      <c r="M1282" s="569">
        <v>0</v>
      </c>
      <c r="N1282" s="569" t="s">
        <v>157</v>
      </c>
      <c r="O1282" s="569">
        <v>1</v>
      </c>
      <c r="P1282" s="569">
        <v>109.4</v>
      </c>
      <c r="Q1282" s="568" t="s">
        <v>157</v>
      </c>
      <c r="R1282" s="569" t="s">
        <v>682</v>
      </c>
      <c r="S1282" s="569">
        <v>6</v>
      </c>
      <c r="T1282" s="569" t="s">
        <v>2566</v>
      </c>
      <c r="U1282" s="569" t="s">
        <v>1894</v>
      </c>
      <c r="V1282" s="569">
        <v>147.6</v>
      </c>
      <c r="W1282" s="569">
        <v>25</v>
      </c>
      <c r="X1282" s="568">
        <v>10360</v>
      </c>
      <c r="Y1282" s="569" t="s">
        <v>164</v>
      </c>
      <c r="Z1282" s="581" t="s">
        <v>178</v>
      </c>
      <c r="AA1282" s="581" t="s">
        <v>178</v>
      </c>
      <c r="AB1282" s="585">
        <v>42950</v>
      </c>
      <c r="AC1282" s="585" t="s">
        <v>164</v>
      </c>
      <c r="AD1282" s="585">
        <v>33700</v>
      </c>
      <c r="AE1282" s="587">
        <v>0.01</v>
      </c>
      <c r="AF1282" s="661" t="str">
        <f t="shared" si="136"/>
        <v>2019-LVN-FRD-T35H-011-15</v>
      </c>
      <c r="AG1282" s="661" t="str">
        <f>IF(AND($Y1282&gt;=32,(AI1282="I"),(Y1282&lt;&gt;"~"),(COUNTIF($AN$1:$AN1282,$AN1282)=1)),"TRUE","FALSE")</f>
        <v>FALSE</v>
      </c>
      <c r="AH1282" s="661" t="str">
        <f>IF(AND($Y1282&gt;=22, (AI1282&lt;&gt;"I"),(Y1282&lt;&gt;"~"),(COUNTIF($AN$1:$AN1282,$AN1282)=1)),"TRUE","FALSE")</f>
        <v>FALSE</v>
      </c>
      <c r="AI1282" s="661" t="str">
        <f t="shared" si="138"/>
        <v>N/A</v>
      </c>
      <c r="AJ1282" s="662" t="str">
        <f t="shared" si="132"/>
        <v>T35H-011</v>
      </c>
      <c r="AK1282" s="662" t="str">
        <f t="shared" si="133"/>
        <v>LVN</v>
      </c>
      <c r="AL1282" s="662" t="str">
        <f t="shared" si="134"/>
        <v>FRD</v>
      </c>
      <c r="AM1282" s="662" t="str">
        <f t="shared" si="137"/>
        <v>Transit 350 HD Van-EL Sliding RH Door-RWD-2-109.4-~-3.7L-6-S4X-101A-147.6-25-Unleaded-Unleaded</v>
      </c>
      <c r="AN1282" s="662" t="str">
        <f t="shared" si="135"/>
        <v>2019-LVN-FRD-T35H-011</v>
      </c>
    </row>
    <row r="1283" spans="1:40" s="572" customFormat="1" ht="15">
      <c r="A1283" s="570" t="s">
        <v>2581</v>
      </c>
      <c r="B1283" s="573" t="s">
        <v>2561</v>
      </c>
      <c r="C1283" s="573" t="s">
        <v>287</v>
      </c>
      <c r="D1283" s="578">
        <v>26</v>
      </c>
      <c r="E1283" s="573" t="s">
        <v>1516</v>
      </c>
      <c r="F1283" s="573" t="s">
        <v>1571</v>
      </c>
      <c r="G1283" s="573" t="s">
        <v>271</v>
      </c>
      <c r="H1283" s="573">
        <v>2019</v>
      </c>
      <c r="I1283" s="573" t="s">
        <v>2528</v>
      </c>
      <c r="J1283" s="573" t="s">
        <v>2562</v>
      </c>
      <c r="K1283" s="573" t="s">
        <v>236</v>
      </c>
      <c r="L1283" s="573">
        <v>2</v>
      </c>
      <c r="M1283" s="573">
        <v>0</v>
      </c>
      <c r="N1283" s="573" t="s">
        <v>157</v>
      </c>
      <c r="O1283" s="573">
        <v>1</v>
      </c>
      <c r="P1283" s="573">
        <v>109.4</v>
      </c>
      <c r="Q1283" s="571" t="s">
        <v>157</v>
      </c>
      <c r="R1283" s="573" t="s">
        <v>1917</v>
      </c>
      <c r="S1283" s="573">
        <v>5</v>
      </c>
      <c r="T1283" s="573" t="s">
        <v>2563</v>
      </c>
      <c r="U1283" s="573" t="s">
        <v>1894</v>
      </c>
      <c r="V1283" s="573">
        <v>147.6</v>
      </c>
      <c r="W1283" s="573">
        <v>25</v>
      </c>
      <c r="X1283" s="571">
        <v>9950</v>
      </c>
      <c r="Y1283" s="573">
        <v>12</v>
      </c>
      <c r="Z1283" s="579" t="s">
        <v>728</v>
      </c>
      <c r="AA1283" s="579" t="s">
        <v>1523</v>
      </c>
      <c r="AB1283" s="584">
        <v>46595</v>
      </c>
      <c r="AC1283" s="584" t="s">
        <v>164</v>
      </c>
      <c r="AD1283" s="584">
        <v>37617</v>
      </c>
      <c r="AE1283" s="586">
        <v>0.05</v>
      </c>
      <c r="AF1283" s="661" t="str">
        <f t="shared" si="136"/>
        <v>2019-LVN-FRD-T35H-007-26</v>
      </c>
      <c r="AG1283" s="661" t="str">
        <f>IF(AND($Y1283&gt;=32,(AI1283="I"),(Y1283&lt;&gt;"~"),(COUNTIF($AN$1:$AN1283,$AN1283)=1)),"TRUE","FALSE")</f>
        <v>FALSE</v>
      </c>
      <c r="AH1283" s="661" t="str">
        <f>IF(AND($Y1283&gt;=22, (AI1283&lt;&gt;"I"),(Y1283&lt;&gt;"~"),(COUNTIF($AN$1:$AN1283,$AN1283)=1)),"TRUE","FALSE")</f>
        <v>FALSE</v>
      </c>
      <c r="AI1283" s="661" t="str">
        <f t="shared" si="138"/>
        <v>II</v>
      </c>
      <c r="AJ1283" s="662" t="str">
        <f t="shared" ref="AJ1283:AJ1346" si="139">MID(A1283,14,8)</f>
        <v>T35H-007</v>
      </c>
      <c r="AK1283" s="662" t="str">
        <f t="shared" ref="AK1283:AK1346" si="140">MID(A1283,6,3)</f>
        <v>LVN</v>
      </c>
      <c r="AL1283" s="662" t="str">
        <f t="shared" ref="AL1283:AL1346" si="141">MID(A1283,10,3)</f>
        <v>FRD</v>
      </c>
      <c r="AM1283" s="662" t="str">
        <f t="shared" si="137"/>
        <v>Transit 350 HD Van-EL Sliding RH Door-RWD-2-109.4-~-3.2L-5-F4X-101A-147.6-25-Diesel-BioDiesel</v>
      </c>
      <c r="AN1283" s="662" t="str">
        <f t="shared" ref="AN1283:AN1346" si="142">LEFT(A1283,21)</f>
        <v>2019-LVN-FRD-T35H-007</v>
      </c>
    </row>
    <row r="1284" spans="1:40" s="572" customFormat="1" ht="15">
      <c r="A1284" s="570" t="s">
        <v>2582</v>
      </c>
      <c r="B1284" s="569" t="s">
        <v>2565</v>
      </c>
      <c r="C1284" s="569" t="s">
        <v>287</v>
      </c>
      <c r="D1284" s="580">
        <v>26</v>
      </c>
      <c r="E1284" s="569" t="s">
        <v>1516</v>
      </c>
      <c r="F1284" s="569" t="s">
        <v>1571</v>
      </c>
      <c r="G1284" s="569" t="s">
        <v>271</v>
      </c>
      <c r="H1284" s="569">
        <v>2019</v>
      </c>
      <c r="I1284" s="569" t="s">
        <v>2528</v>
      </c>
      <c r="J1284" s="569" t="s">
        <v>2562</v>
      </c>
      <c r="K1284" s="569" t="s">
        <v>236</v>
      </c>
      <c r="L1284" s="569">
        <v>2</v>
      </c>
      <c r="M1284" s="569">
        <v>0</v>
      </c>
      <c r="N1284" s="569" t="s">
        <v>157</v>
      </c>
      <c r="O1284" s="569">
        <v>1</v>
      </c>
      <c r="P1284" s="569">
        <v>109.4</v>
      </c>
      <c r="Q1284" s="568" t="s">
        <v>157</v>
      </c>
      <c r="R1284" s="569" t="s">
        <v>1917</v>
      </c>
      <c r="S1284" s="569">
        <v>5</v>
      </c>
      <c r="T1284" s="569" t="s">
        <v>2566</v>
      </c>
      <c r="U1284" s="569" t="s">
        <v>1894</v>
      </c>
      <c r="V1284" s="569">
        <v>147.6</v>
      </c>
      <c r="W1284" s="569">
        <v>25</v>
      </c>
      <c r="X1284" s="568">
        <v>10360</v>
      </c>
      <c r="Y1284" s="569" t="s">
        <v>164</v>
      </c>
      <c r="Z1284" s="581" t="s">
        <v>728</v>
      </c>
      <c r="AA1284" s="581" t="s">
        <v>1523</v>
      </c>
      <c r="AB1284" s="585">
        <v>46945</v>
      </c>
      <c r="AC1284" s="585" t="s">
        <v>164</v>
      </c>
      <c r="AD1284" s="585">
        <v>37948</v>
      </c>
      <c r="AE1284" s="587">
        <v>0.05</v>
      </c>
      <c r="AF1284" s="661" t="str">
        <f t="shared" si="136"/>
        <v>2019-LVN-FRD-T35H-008-26</v>
      </c>
      <c r="AG1284" s="661" t="str">
        <f>IF(AND($Y1284&gt;=32,(AI1284="I"),(Y1284&lt;&gt;"~"),(COUNTIF($AN$1:$AN1284,$AN1284)=1)),"TRUE","FALSE")</f>
        <v>FALSE</v>
      </c>
      <c r="AH1284" s="661" t="str">
        <f>IF(AND($Y1284&gt;=22, (AI1284&lt;&gt;"I"),(Y1284&lt;&gt;"~"),(COUNTIF($AN$1:$AN1284,$AN1284)=1)),"TRUE","FALSE")</f>
        <v>FALSE</v>
      </c>
      <c r="AI1284" s="661" t="str">
        <f t="shared" si="138"/>
        <v>N/A</v>
      </c>
      <c r="AJ1284" s="662" t="str">
        <f t="shared" si="139"/>
        <v>T35H-008</v>
      </c>
      <c r="AK1284" s="662" t="str">
        <f t="shared" si="140"/>
        <v>LVN</v>
      </c>
      <c r="AL1284" s="662" t="str">
        <f t="shared" si="141"/>
        <v>FRD</v>
      </c>
      <c r="AM1284" s="662" t="str">
        <f t="shared" si="137"/>
        <v>Transit 350 HD Van-EL Sliding RH Door-RWD-2-109.4-~-3.2L-5-S4X-101A-147.6-25-Diesel-BioDiesel</v>
      </c>
      <c r="AN1284" s="662" t="str">
        <f t="shared" si="142"/>
        <v>2019-LVN-FRD-T35H-008</v>
      </c>
    </row>
    <row r="1285" spans="1:40" s="572" customFormat="1" ht="15">
      <c r="A1285" s="570" t="s">
        <v>2583</v>
      </c>
      <c r="B1285" s="573" t="s">
        <v>2568</v>
      </c>
      <c r="C1285" s="573" t="s">
        <v>287</v>
      </c>
      <c r="D1285" s="578">
        <v>26</v>
      </c>
      <c r="E1285" s="573" t="s">
        <v>1516</v>
      </c>
      <c r="F1285" s="573" t="s">
        <v>1571</v>
      </c>
      <c r="G1285" s="573" t="s">
        <v>271</v>
      </c>
      <c r="H1285" s="573">
        <v>2019</v>
      </c>
      <c r="I1285" s="573" t="s">
        <v>2528</v>
      </c>
      <c r="J1285" s="573" t="s">
        <v>2562</v>
      </c>
      <c r="K1285" s="573" t="s">
        <v>236</v>
      </c>
      <c r="L1285" s="573">
        <v>2</v>
      </c>
      <c r="M1285" s="573">
        <v>0</v>
      </c>
      <c r="N1285" s="573" t="s">
        <v>157</v>
      </c>
      <c r="O1285" s="573">
        <v>1</v>
      </c>
      <c r="P1285" s="573">
        <v>109.4</v>
      </c>
      <c r="Q1285" s="571" t="s">
        <v>157</v>
      </c>
      <c r="R1285" s="573" t="s">
        <v>1259</v>
      </c>
      <c r="S1285" s="573">
        <v>6</v>
      </c>
      <c r="T1285" s="573" t="s">
        <v>2563</v>
      </c>
      <c r="U1285" s="573" t="s">
        <v>1894</v>
      </c>
      <c r="V1285" s="573">
        <v>147.6</v>
      </c>
      <c r="W1285" s="573">
        <v>25</v>
      </c>
      <c r="X1285" s="571">
        <v>9950</v>
      </c>
      <c r="Y1285" s="573">
        <v>12</v>
      </c>
      <c r="Z1285" s="579" t="s">
        <v>178</v>
      </c>
      <c r="AA1285" s="579" t="s">
        <v>178</v>
      </c>
      <c r="AB1285" s="584">
        <v>44465</v>
      </c>
      <c r="AC1285" s="584" t="s">
        <v>164</v>
      </c>
      <c r="AD1285" s="584">
        <v>35664</v>
      </c>
      <c r="AE1285" s="586">
        <v>0.05</v>
      </c>
      <c r="AF1285" s="661" t="str">
        <f t="shared" si="136"/>
        <v>2019-LVN-FRD-T35H-009-26</v>
      </c>
      <c r="AG1285" s="661" t="str">
        <f>IF(AND($Y1285&gt;=32,(AI1285="I"),(Y1285&lt;&gt;"~"),(COUNTIF($AN$1:$AN1285,$AN1285)=1)),"TRUE","FALSE")</f>
        <v>FALSE</v>
      </c>
      <c r="AH1285" s="661" t="str">
        <f>IF(AND($Y1285&gt;=22, (AI1285&lt;&gt;"I"),(Y1285&lt;&gt;"~"),(COUNTIF($AN$1:$AN1285,$AN1285)=1)),"TRUE","FALSE")</f>
        <v>FALSE</v>
      </c>
      <c r="AI1285" s="661" t="str">
        <f t="shared" si="138"/>
        <v>II</v>
      </c>
      <c r="AJ1285" s="662" t="str">
        <f t="shared" si="139"/>
        <v>T35H-009</v>
      </c>
      <c r="AK1285" s="662" t="str">
        <f t="shared" si="140"/>
        <v>LVN</v>
      </c>
      <c r="AL1285" s="662" t="str">
        <f t="shared" si="141"/>
        <v>FRD</v>
      </c>
      <c r="AM1285" s="662" t="str">
        <f t="shared" si="137"/>
        <v>Transit 350 HD Van-EL Sliding RH Door-RWD-2-109.4-~-3.5L EcoBoost-6-F4X-101A-147.6-25-Unleaded-Unleaded</v>
      </c>
      <c r="AN1285" s="662" t="str">
        <f t="shared" si="142"/>
        <v>2019-LVN-FRD-T35H-009</v>
      </c>
    </row>
    <row r="1286" spans="1:40" s="572" customFormat="1" ht="15">
      <c r="A1286" s="570" t="s">
        <v>2584</v>
      </c>
      <c r="B1286" s="569" t="s">
        <v>2570</v>
      </c>
      <c r="C1286" s="569" t="s">
        <v>287</v>
      </c>
      <c r="D1286" s="580">
        <v>26</v>
      </c>
      <c r="E1286" s="569" t="s">
        <v>1516</v>
      </c>
      <c r="F1286" s="569" t="s">
        <v>1571</v>
      </c>
      <c r="G1286" s="569" t="s">
        <v>271</v>
      </c>
      <c r="H1286" s="569">
        <v>2019</v>
      </c>
      <c r="I1286" s="569" t="s">
        <v>2528</v>
      </c>
      <c r="J1286" s="569" t="s">
        <v>2562</v>
      </c>
      <c r="K1286" s="569" t="s">
        <v>236</v>
      </c>
      <c r="L1286" s="569">
        <v>2</v>
      </c>
      <c r="M1286" s="569">
        <v>0</v>
      </c>
      <c r="N1286" s="569" t="s">
        <v>157</v>
      </c>
      <c r="O1286" s="569">
        <v>1</v>
      </c>
      <c r="P1286" s="569">
        <v>109.4</v>
      </c>
      <c r="Q1286" s="568" t="s">
        <v>157</v>
      </c>
      <c r="R1286" s="569" t="s">
        <v>1259</v>
      </c>
      <c r="S1286" s="569">
        <v>6</v>
      </c>
      <c r="T1286" s="569" t="s">
        <v>2566</v>
      </c>
      <c r="U1286" s="569" t="s">
        <v>1894</v>
      </c>
      <c r="V1286" s="569">
        <v>147.6</v>
      </c>
      <c r="W1286" s="569">
        <v>25</v>
      </c>
      <c r="X1286" s="568">
        <v>10360</v>
      </c>
      <c r="Y1286" s="569" t="s">
        <v>164</v>
      </c>
      <c r="Z1286" s="581" t="s">
        <v>178</v>
      </c>
      <c r="AA1286" s="581" t="s">
        <v>178</v>
      </c>
      <c r="AB1286" s="585">
        <v>44815</v>
      </c>
      <c r="AC1286" s="585" t="s">
        <v>164</v>
      </c>
      <c r="AD1286" s="585">
        <v>35994</v>
      </c>
      <c r="AE1286" s="587">
        <v>0.05</v>
      </c>
      <c r="AF1286" s="661" t="str">
        <f t="shared" si="136"/>
        <v>2019-LVN-FRD-T35H-010-26</v>
      </c>
      <c r="AG1286" s="661" t="str">
        <f>IF(AND($Y1286&gt;=32,(AI1286="I"),(Y1286&lt;&gt;"~"),(COUNTIF($AN$1:$AN1286,$AN1286)=1)),"TRUE","FALSE")</f>
        <v>FALSE</v>
      </c>
      <c r="AH1286" s="661" t="str">
        <f>IF(AND($Y1286&gt;=22, (AI1286&lt;&gt;"I"),(Y1286&lt;&gt;"~"),(COUNTIF($AN$1:$AN1286,$AN1286)=1)),"TRUE","FALSE")</f>
        <v>FALSE</v>
      </c>
      <c r="AI1286" s="661" t="str">
        <f t="shared" si="138"/>
        <v>N/A</v>
      </c>
      <c r="AJ1286" s="662" t="str">
        <f t="shared" si="139"/>
        <v>T35H-010</v>
      </c>
      <c r="AK1286" s="662" t="str">
        <f t="shared" si="140"/>
        <v>LVN</v>
      </c>
      <c r="AL1286" s="662" t="str">
        <f t="shared" si="141"/>
        <v>FRD</v>
      </c>
      <c r="AM1286" s="662" t="str">
        <f t="shared" si="137"/>
        <v>Transit 350 HD Van-EL Sliding RH Door-RWD-2-109.4-~-3.5L EcoBoost-6-S4X-101A-147.6-25-Unleaded-Unleaded</v>
      </c>
      <c r="AN1286" s="662" t="str">
        <f t="shared" si="142"/>
        <v>2019-LVN-FRD-T35H-010</v>
      </c>
    </row>
    <row r="1287" spans="1:40" s="572" customFormat="1" ht="15">
      <c r="A1287" s="570" t="s">
        <v>2585</v>
      </c>
      <c r="B1287" s="573" t="s">
        <v>2572</v>
      </c>
      <c r="C1287" s="573" t="s">
        <v>287</v>
      </c>
      <c r="D1287" s="578">
        <v>26</v>
      </c>
      <c r="E1287" s="573" t="s">
        <v>1516</v>
      </c>
      <c r="F1287" s="573" t="s">
        <v>1571</v>
      </c>
      <c r="G1287" s="573" t="s">
        <v>271</v>
      </c>
      <c r="H1287" s="573">
        <v>2019</v>
      </c>
      <c r="I1287" s="573" t="s">
        <v>2528</v>
      </c>
      <c r="J1287" s="573" t="s">
        <v>2562</v>
      </c>
      <c r="K1287" s="573" t="s">
        <v>236</v>
      </c>
      <c r="L1287" s="573">
        <v>2</v>
      </c>
      <c r="M1287" s="573">
        <v>0</v>
      </c>
      <c r="N1287" s="573" t="s">
        <v>157</v>
      </c>
      <c r="O1287" s="573">
        <v>1</v>
      </c>
      <c r="P1287" s="573">
        <v>109.4</v>
      </c>
      <c r="Q1287" s="571" t="s">
        <v>157</v>
      </c>
      <c r="R1287" s="573" t="s">
        <v>682</v>
      </c>
      <c r="S1287" s="573">
        <v>6</v>
      </c>
      <c r="T1287" s="573" t="s">
        <v>2563</v>
      </c>
      <c r="U1287" s="573" t="s">
        <v>1894</v>
      </c>
      <c r="V1287" s="573">
        <v>147.6</v>
      </c>
      <c r="W1287" s="573">
        <v>25</v>
      </c>
      <c r="X1287" s="571">
        <v>9500</v>
      </c>
      <c r="Y1287" s="573">
        <v>12</v>
      </c>
      <c r="Z1287" s="579" t="s">
        <v>178</v>
      </c>
      <c r="AA1287" s="579" t="s">
        <v>178</v>
      </c>
      <c r="AB1287" s="584">
        <v>42600</v>
      </c>
      <c r="AC1287" s="584" t="s">
        <v>164</v>
      </c>
      <c r="AD1287" s="584">
        <v>33954</v>
      </c>
      <c r="AE1287" s="586">
        <v>0.05</v>
      </c>
      <c r="AF1287" s="661" t="str">
        <f t="shared" si="136"/>
        <v>2019-LVN-FRD-T35H-020-26</v>
      </c>
      <c r="AG1287" s="661" t="str">
        <f>IF(AND($Y1287&gt;=32,(AI1287="I"),(Y1287&lt;&gt;"~"),(COUNTIF($AN$1:$AN1287,$AN1287)=1)),"TRUE","FALSE")</f>
        <v>FALSE</v>
      </c>
      <c r="AH1287" s="661" t="str">
        <f>IF(AND($Y1287&gt;=22, (AI1287&lt;&gt;"I"),(Y1287&lt;&gt;"~"),(COUNTIF($AN$1:$AN1287,$AN1287)=1)),"TRUE","FALSE")</f>
        <v>FALSE</v>
      </c>
      <c r="AI1287" s="661" t="str">
        <f t="shared" si="138"/>
        <v>II</v>
      </c>
      <c r="AJ1287" s="662" t="str">
        <f t="shared" si="139"/>
        <v>T35H-020</v>
      </c>
      <c r="AK1287" s="662" t="str">
        <f t="shared" si="140"/>
        <v>LVN</v>
      </c>
      <c r="AL1287" s="662" t="str">
        <f t="shared" si="141"/>
        <v>FRD</v>
      </c>
      <c r="AM1287" s="662" t="str">
        <f t="shared" si="137"/>
        <v>Transit 350 HD Van-EL Sliding RH Door-RWD-2-109.4-~-3.7L-6-F4X-101A-147.6-25-Unleaded-Unleaded</v>
      </c>
      <c r="AN1287" s="662" t="str">
        <f t="shared" si="142"/>
        <v>2019-LVN-FRD-T35H-020</v>
      </c>
    </row>
    <row r="1288" spans="1:40" s="572" customFormat="1" ht="15">
      <c r="A1288" s="570" t="s">
        <v>2586</v>
      </c>
      <c r="B1288" s="569" t="s">
        <v>2574</v>
      </c>
      <c r="C1288" s="569" t="s">
        <v>287</v>
      </c>
      <c r="D1288" s="580">
        <v>26</v>
      </c>
      <c r="E1288" s="569" t="s">
        <v>1516</v>
      </c>
      <c r="F1288" s="569" t="s">
        <v>1571</v>
      </c>
      <c r="G1288" s="569" t="s">
        <v>271</v>
      </c>
      <c r="H1288" s="569">
        <v>2019</v>
      </c>
      <c r="I1288" s="569" t="s">
        <v>2528</v>
      </c>
      <c r="J1288" s="569" t="s">
        <v>2562</v>
      </c>
      <c r="K1288" s="569" t="s">
        <v>236</v>
      </c>
      <c r="L1288" s="569">
        <v>2</v>
      </c>
      <c r="M1288" s="569">
        <v>0</v>
      </c>
      <c r="N1288" s="569" t="s">
        <v>157</v>
      </c>
      <c r="O1288" s="569">
        <v>1</v>
      </c>
      <c r="P1288" s="569">
        <v>109.4</v>
      </c>
      <c r="Q1288" s="568" t="s">
        <v>157</v>
      </c>
      <c r="R1288" s="569" t="s">
        <v>682</v>
      </c>
      <c r="S1288" s="569">
        <v>6</v>
      </c>
      <c r="T1288" s="569" t="s">
        <v>2566</v>
      </c>
      <c r="U1288" s="569" t="s">
        <v>1894</v>
      </c>
      <c r="V1288" s="569">
        <v>147.6</v>
      </c>
      <c r="W1288" s="569">
        <v>25</v>
      </c>
      <c r="X1288" s="568">
        <v>9500</v>
      </c>
      <c r="Y1288" s="573">
        <v>12</v>
      </c>
      <c r="Z1288" s="581" t="s">
        <v>178</v>
      </c>
      <c r="AA1288" s="581" t="s">
        <v>178</v>
      </c>
      <c r="AB1288" s="585">
        <v>42950</v>
      </c>
      <c r="AC1288" s="585" t="s">
        <v>164</v>
      </c>
      <c r="AD1288" s="585">
        <v>34284</v>
      </c>
      <c r="AE1288" s="587">
        <v>0.05</v>
      </c>
      <c r="AF1288" s="661" t="str">
        <f t="shared" ref="AF1288:AF1351" si="143">A1288</f>
        <v>2019-LVN-FRD-T35H-011-26</v>
      </c>
      <c r="AG1288" s="661" t="str">
        <f>IF(AND($Y1288&gt;=32,(AI1288="I"),(Y1288&lt;&gt;"~"),(COUNTIF($AN$1:$AN1288,$AN1288)=1)),"TRUE","FALSE")</f>
        <v>FALSE</v>
      </c>
      <c r="AH1288" s="661" t="str">
        <f>IF(AND($Y1288&gt;=22, (AI1288&lt;&gt;"I"),(Y1288&lt;&gt;"~"),(COUNTIF($AN$1:$AN1288,$AN1288)=1)),"TRUE","FALSE")</f>
        <v>FALSE</v>
      </c>
      <c r="AI1288" s="661" t="str">
        <f t="shared" si="138"/>
        <v>II</v>
      </c>
      <c r="AJ1288" s="662" t="str">
        <f t="shared" si="139"/>
        <v>T35H-011</v>
      </c>
      <c r="AK1288" s="662" t="str">
        <f t="shared" si="140"/>
        <v>LVN</v>
      </c>
      <c r="AL1288" s="662" t="str">
        <f t="shared" si="141"/>
        <v>FRD</v>
      </c>
      <c r="AM1288" s="662" t="str">
        <f t="shared" si="137"/>
        <v>Transit 350 HD Van-EL Sliding RH Door-RWD-2-109.4-~-3.7L-6-S4X-101A-147.6-25-Unleaded-Unleaded</v>
      </c>
      <c r="AN1288" s="662" t="str">
        <f t="shared" si="142"/>
        <v>2019-LVN-FRD-T35H-011</v>
      </c>
    </row>
    <row r="1289" spans="1:40" s="572" customFormat="1" ht="15">
      <c r="A1289" s="570" t="s">
        <v>2587</v>
      </c>
      <c r="B1289" s="573" t="s">
        <v>2561</v>
      </c>
      <c r="C1289" s="573" t="s">
        <v>280</v>
      </c>
      <c r="D1289" s="578">
        <v>27</v>
      </c>
      <c r="E1289" s="573" t="s">
        <v>1516</v>
      </c>
      <c r="F1289" s="573" t="s">
        <v>1571</v>
      </c>
      <c r="G1289" s="573" t="s">
        <v>271</v>
      </c>
      <c r="H1289" s="573">
        <v>2019</v>
      </c>
      <c r="I1289" s="573" t="s">
        <v>2528</v>
      </c>
      <c r="J1289" s="573" t="s">
        <v>2562</v>
      </c>
      <c r="K1289" s="573" t="s">
        <v>236</v>
      </c>
      <c r="L1289" s="573">
        <v>2</v>
      </c>
      <c r="M1289" s="573">
        <v>0</v>
      </c>
      <c r="N1289" s="573" t="s">
        <v>157</v>
      </c>
      <c r="O1289" s="573">
        <v>1</v>
      </c>
      <c r="P1289" s="573">
        <v>109.4</v>
      </c>
      <c r="Q1289" s="571" t="s">
        <v>157</v>
      </c>
      <c r="R1289" s="573" t="s">
        <v>1917</v>
      </c>
      <c r="S1289" s="573">
        <v>5</v>
      </c>
      <c r="T1289" s="573" t="s">
        <v>2563</v>
      </c>
      <c r="U1289" s="573" t="s">
        <v>1894</v>
      </c>
      <c r="V1289" s="573">
        <v>147.6</v>
      </c>
      <c r="W1289" s="573">
        <v>25</v>
      </c>
      <c r="X1289" s="571">
        <v>9950</v>
      </c>
      <c r="Y1289" s="573">
        <v>12</v>
      </c>
      <c r="Z1289" s="579" t="s">
        <v>728</v>
      </c>
      <c r="AA1289" s="579" t="s">
        <v>1523</v>
      </c>
      <c r="AB1289" s="584">
        <v>46595</v>
      </c>
      <c r="AC1289" s="584" t="s">
        <v>164</v>
      </c>
      <c r="AD1289" s="584">
        <v>36331.5</v>
      </c>
      <c r="AE1289" s="586">
        <v>0.03</v>
      </c>
      <c r="AF1289" s="661" t="str">
        <f t="shared" si="143"/>
        <v>2019-LVN-FRD-T35H-007-27</v>
      </c>
      <c r="AG1289" s="661" t="str">
        <f>IF(AND($Y1289&gt;=32,(AI1289="I"),(Y1289&lt;&gt;"~"),(COUNTIF($AN$1:$AN1289,$AN1289)=1)),"TRUE","FALSE")</f>
        <v>FALSE</v>
      </c>
      <c r="AH1289" s="661" t="str">
        <f>IF(AND($Y1289&gt;=22, (AI1289&lt;&gt;"I"),(Y1289&lt;&gt;"~"),(COUNTIF($AN$1:$AN1289,$AN1289)=1)),"TRUE","FALSE")</f>
        <v>FALSE</v>
      </c>
      <c r="AI1289" s="661" t="str">
        <f t="shared" si="138"/>
        <v>II</v>
      </c>
      <c r="AJ1289" s="662" t="str">
        <f t="shared" si="139"/>
        <v>T35H-007</v>
      </c>
      <c r="AK1289" s="662" t="str">
        <f t="shared" si="140"/>
        <v>LVN</v>
      </c>
      <c r="AL1289" s="662" t="str">
        <f t="shared" si="141"/>
        <v>FRD</v>
      </c>
      <c r="AM1289" s="662" t="str">
        <f t="shared" si="137"/>
        <v>Transit 350 HD Van-EL Sliding RH Door-RWD-2-109.4-~-3.2L-5-F4X-101A-147.6-25-Diesel-BioDiesel</v>
      </c>
      <c r="AN1289" s="662" t="str">
        <f t="shared" si="142"/>
        <v>2019-LVN-FRD-T35H-007</v>
      </c>
    </row>
    <row r="1290" spans="1:40" s="572" customFormat="1" ht="15">
      <c r="A1290" s="570" t="s">
        <v>2588</v>
      </c>
      <c r="B1290" s="569" t="s">
        <v>2565</v>
      </c>
      <c r="C1290" s="569" t="s">
        <v>280</v>
      </c>
      <c r="D1290" s="580">
        <v>27</v>
      </c>
      <c r="E1290" s="569" t="s">
        <v>1516</v>
      </c>
      <c r="F1290" s="569" t="s">
        <v>1571</v>
      </c>
      <c r="G1290" s="569" t="s">
        <v>271</v>
      </c>
      <c r="H1290" s="569">
        <v>2019</v>
      </c>
      <c r="I1290" s="569" t="s">
        <v>2528</v>
      </c>
      <c r="J1290" s="569" t="s">
        <v>2562</v>
      </c>
      <c r="K1290" s="569" t="s">
        <v>236</v>
      </c>
      <c r="L1290" s="569">
        <v>2</v>
      </c>
      <c r="M1290" s="569">
        <v>0</v>
      </c>
      <c r="N1290" s="569" t="s">
        <v>157</v>
      </c>
      <c r="O1290" s="569">
        <v>1</v>
      </c>
      <c r="P1290" s="569">
        <v>109.4</v>
      </c>
      <c r="Q1290" s="568" t="s">
        <v>157</v>
      </c>
      <c r="R1290" s="569" t="s">
        <v>1917</v>
      </c>
      <c r="S1290" s="569">
        <v>5</v>
      </c>
      <c r="T1290" s="569" t="s">
        <v>2566</v>
      </c>
      <c r="U1290" s="569" t="s">
        <v>1894</v>
      </c>
      <c r="V1290" s="569">
        <v>147.6</v>
      </c>
      <c r="W1290" s="569">
        <v>25</v>
      </c>
      <c r="X1290" s="568">
        <v>10360</v>
      </c>
      <c r="Y1290" s="569" t="s">
        <v>164</v>
      </c>
      <c r="Z1290" s="581" t="s">
        <v>728</v>
      </c>
      <c r="AA1290" s="581" t="s">
        <v>1523</v>
      </c>
      <c r="AB1290" s="585">
        <v>46945</v>
      </c>
      <c r="AC1290" s="585" t="s">
        <v>164</v>
      </c>
      <c r="AD1290" s="585">
        <v>36650.25</v>
      </c>
      <c r="AE1290" s="587">
        <v>0.03</v>
      </c>
      <c r="AF1290" s="661" t="str">
        <f t="shared" si="143"/>
        <v>2019-LVN-FRD-T35H-008-27</v>
      </c>
      <c r="AG1290" s="661" t="str">
        <f>IF(AND($Y1290&gt;=32,(AI1290="I"),(Y1290&lt;&gt;"~"),(COUNTIF($AN$1:$AN1290,$AN1290)=1)),"TRUE","FALSE")</f>
        <v>FALSE</v>
      </c>
      <c r="AH1290" s="661" t="str">
        <f>IF(AND($Y1290&gt;=22, (AI1290&lt;&gt;"I"),(Y1290&lt;&gt;"~"),(COUNTIF($AN$1:$AN1290,$AN1290)=1)),"TRUE","FALSE")</f>
        <v>FALSE</v>
      </c>
      <c r="AI1290" s="661" t="str">
        <f t="shared" si="138"/>
        <v>N/A</v>
      </c>
      <c r="AJ1290" s="662" t="str">
        <f t="shared" si="139"/>
        <v>T35H-008</v>
      </c>
      <c r="AK1290" s="662" t="str">
        <f t="shared" si="140"/>
        <v>LVN</v>
      </c>
      <c r="AL1290" s="662" t="str">
        <f t="shared" si="141"/>
        <v>FRD</v>
      </c>
      <c r="AM1290" s="662" t="str">
        <f t="shared" si="137"/>
        <v>Transit 350 HD Van-EL Sliding RH Door-RWD-2-109.4-~-3.2L-5-S4X-101A-147.6-25-Diesel-BioDiesel</v>
      </c>
      <c r="AN1290" s="662" t="str">
        <f t="shared" si="142"/>
        <v>2019-LVN-FRD-T35H-008</v>
      </c>
    </row>
    <row r="1291" spans="1:40" s="572" customFormat="1" ht="15">
      <c r="A1291" s="570" t="s">
        <v>2589</v>
      </c>
      <c r="B1291" s="573" t="s">
        <v>2568</v>
      </c>
      <c r="C1291" s="573" t="s">
        <v>280</v>
      </c>
      <c r="D1291" s="578">
        <v>27</v>
      </c>
      <c r="E1291" s="573" t="s">
        <v>1516</v>
      </c>
      <c r="F1291" s="573" t="s">
        <v>1571</v>
      </c>
      <c r="G1291" s="573" t="s">
        <v>271</v>
      </c>
      <c r="H1291" s="573">
        <v>2019</v>
      </c>
      <c r="I1291" s="573" t="s">
        <v>2528</v>
      </c>
      <c r="J1291" s="573" t="s">
        <v>2562</v>
      </c>
      <c r="K1291" s="573" t="s">
        <v>236</v>
      </c>
      <c r="L1291" s="573">
        <v>2</v>
      </c>
      <c r="M1291" s="573">
        <v>0</v>
      </c>
      <c r="N1291" s="573" t="s">
        <v>157</v>
      </c>
      <c r="O1291" s="573">
        <v>1</v>
      </c>
      <c r="P1291" s="573">
        <v>109.4</v>
      </c>
      <c r="Q1291" s="571" t="s">
        <v>157</v>
      </c>
      <c r="R1291" s="573" t="s">
        <v>1259</v>
      </c>
      <c r="S1291" s="573">
        <v>6</v>
      </c>
      <c r="T1291" s="573" t="s">
        <v>2563</v>
      </c>
      <c r="U1291" s="573" t="s">
        <v>1894</v>
      </c>
      <c r="V1291" s="573">
        <v>147.6</v>
      </c>
      <c r="W1291" s="573">
        <v>25</v>
      </c>
      <c r="X1291" s="571">
        <v>9950</v>
      </c>
      <c r="Y1291" s="573">
        <v>12</v>
      </c>
      <c r="Z1291" s="579" t="s">
        <v>178</v>
      </c>
      <c r="AA1291" s="579" t="s">
        <v>178</v>
      </c>
      <c r="AB1291" s="584">
        <v>44465</v>
      </c>
      <c r="AC1291" s="584" t="s">
        <v>164</v>
      </c>
      <c r="AD1291" s="584">
        <v>34438.208333333336</v>
      </c>
      <c r="AE1291" s="586">
        <v>0.03</v>
      </c>
      <c r="AF1291" s="661" t="str">
        <f t="shared" si="143"/>
        <v>2019-LVN-FRD-T35H-009-27</v>
      </c>
      <c r="AG1291" s="661" t="str">
        <f>IF(AND($Y1291&gt;=32,(AI1291="I"),(Y1291&lt;&gt;"~"),(COUNTIF($AN$1:$AN1291,$AN1291)=1)),"TRUE","FALSE")</f>
        <v>FALSE</v>
      </c>
      <c r="AH1291" s="661" t="str">
        <f>IF(AND($Y1291&gt;=22, (AI1291&lt;&gt;"I"),(Y1291&lt;&gt;"~"),(COUNTIF($AN$1:$AN1291,$AN1291)=1)),"TRUE","FALSE")</f>
        <v>FALSE</v>
      </c>
      <c r="AI1291" s="661" t="str">
        <f t="shared" si="138"/>
        <v>II</v>
      </c>
      <c r="AJ1291" s="662" t="str">
        <f t="shared" si="139"/>
        <v>T35H-009</v>
      </c>
      <c r="AK1291" s="662" t="str">
        <f t="shared" si="140"/>
        <v>LVN</v>
      </c>
      <c r="AL1291" s="662" t="str">
        <f t="shared" si="141"/>
        <v>FRD</v>
      </c>
      <c r="AM1291" s="662" t="str">
        <f t="shared" si="137"/>
        <v>Transit 350 HD Van-EL Sliding RH Door-RWD-2-109.4-~-3.5L EcoBoost-6-F4X-101A-147.6-25-Unleaded-Unleaded</v>
      </c>
      <c r="AN1291" s="662" t="str">
        <f t="shared" si="142"/>
        <v>2019-LVN-FRD-T35H-009</v>
      </c>
    </row>
    <row r="1292" spans="1:40" s="572" customFormat="1" ht="15">
      <c r="A1292" s="570" t="s">
        <v>2590</v>
      </c>
      <c r="B1292" s="569" t="s">
        <v>2570</v>
      </c>
      <c r="C1292" s="569" t="s">
        <v>280</v>
      </c>
      <c r="D1292" s="580">
        <v>27</v>
      </c>
      <c r="E1292" s="569" t="s">
        <v>1516</v>
      </c>
      <c r="F1292" s="569" t="s">
        <v>1571</v>
      </c>
      <c r="G1292" s="569" t="s">
        <v>271</v>
      </c>
      <c r="H1292" s="569">
        <v>2019</v>
      </c>
      <c r="I1292" s="569" t="s">
        <v>2528</v>
      </c>
      <c r="J1292" s="569" t="s">
        <v>2562</v>
      </c>
      <c r="K1292" s="569" t="s">
        <v>236</v>
      </c>
      <c r="L1292" s="569">
        <v>2</v>
      </c>
      <c r="M1292" s="569">
        <v>0</v>
      </c>
      <c r="N1292" s="569" t="s">
        <v>157</v>
      </c>
      <c r="O1292" s="569">
        <v>1</v>
      </c>
      <c r="P1292" s="569">
        <v>109.4</v>
      </c>
      <c r="Q1292" s="568" t="s">
        <v>157</v>
      </c>
      <c r="R1292" s="569" t="s">
        <v>1259</v>
      </c>
      <c r="S1292" s="569">
        <v>6</v>
      </c>
      <c r="T1292" s="569" t="s">
        <v>2566</v>
      </c>
      <c r="U1292" s="569" t="s">
        <v>1894</v>
      </c>
      <c r="V1292" s="569">
        <v>147.6</v>
      </c>
      <c r="W1292" s="569">
        <v>25</v>
      </c>
      <c r="X1292" s="568">
        <v>10360</v>
      </c>
      <c r="Y1292" s="569" t="s">
        <v>164</v>
      </c>
      <c r="Z1292" s="581" t="s">
        <v>178</v>
      </c>
      <c r="AA1292" s="581" t="s">
        <v>178</v>
      </c>
      <c r="AB1292" s="585">
        <v>44815</v>
      </c>
      <c r="AC1292" s="585" t="s">
        <v>164</v>
      </c>
      <c r="AD1292" s="585">
        <v>34756.958333333336</v>
      </c>
      <c r="AE1292" s="587">
        <v>0.03</v>
      </c>
      <c r="AF1292" s="661" t="str">
        <f t="shared" si="143"/>
        <v>2019-LVN-FRD-T35H-010-27</v>
      </c>
      <c r="AG1292" s="661" t="str">
        <f>IF(AND($Y1292&gt;=32,(AI1292="I"),(Y1292&lt;&gt;"~"),(COUNTIF($AN$1:$AN1292,$AN1292)=1)),"TRUE","FALSE")</f>
        <v>FALSE</v>
      </c>
      <c r="AH1292" s="661" t="str">
        <f>IF(AND($Y1292&gt;=22, (AI1292&lt;&gt;"I"),(Y1292&lt;&gt;"~"),(COUNTIF($AN$1:$AN1292,$AN1292)=1)),"TRUE","FALSE")</f>
        <v>FALSE</v>
      </c>
      <c r="AI1292" s="661" t="str">
        <f t="shared" si="138"/>
        <v>N/A</v>
      </c>
      <c r="AJ1292" s="662" t="str">
        <f t="shared" si="139"/>
        <v>T35H-010</v>
      </c>
      <c r="AK1292" s="662" t="str">
        <f t="shared" si="140"/>
        <v>LVN</v>
      </c>
      <c r="AL1292" s="662" t="str">
        <f t="shared" si="141"/>
        <v>FRD</v>
      </c>
      <c r="AM1292" s="662" t="str">
        <f t="shared" si="137"/>
        <v>Transit 350 HD Van-EL Sliding RH Door-RWD-2-109.4-~-3.5L EcoBoost-6-S4X-101A-147.6-25-Unleaded-Unleaded</v>
      </c>
      <c r="AN1292" s="662" t="str">
        <f t="shared" si="142"/>
        <v>2019-LVN-FRD-T35H-010</v>
      </c>
    </row>
    <row r="1293" spans="1:40" s="572" customFormat="1" ht="15">
      <c r="A1293" s="570" t="s">
        <v>2591</v>
      </c>
      <c r="B1293" s="573" t="s">
        <v>2572</v>
      </c>
      <c r="C1293" s="573" t="s">
        <v>280</v>
      </c>
      <c r="D1293" s="578">
        <v>27</v>
      </c>
      <c r="E1293" s="573" t="s">
        <v>1516</v>
      </c>
      <c r="F1293" s="573" t="s">
        <v>1571</v>
      </c>
      <c r="G1293" s="573" t="s">
        <v>271</v>
      </c>
      <c r="H1293" s="573">
        <v>2019</v>
      </c>
      <c r="I1293" s="573" t="s">
        <v>2528</v>
      </c>
      <c r="J1293" s="573" t="s">
        <v>2562</v>
      </c>
      <c r="K1293" s="573" t="s">
        <v>236</v>
      </c>
      <c r="L1293" s="573">
        <v>2</v>
      </c>
      <c r="M1293" s="573">
        <v>0</v>
      </c>
      <c r="N1293" s="573" t="s">
        <v>157</v>
      </c>
      <c r="O1293" s="573">
        <v>1</v>
      </c>
      <c r="P1293" s="573">
        <v>109.4</v>
      </c>
      <c r="Q1293" s="571" t="s">
        <v>157</v>
      </c>
      <c r="R1293" s="573" t="s">
        <v>682</v>
      </c>
      <c r="S1293" s="573">
        <v>6</v>
      </c>
      <c r="T1293" s="573" t="s">
        <v>2563</v>
      </c>
      <c r="U1293" s="573" t="s">
        <v>1894</v>
      </c>
      <c r="V1293" s="573">
        <v>147.6</v>
      </c>
      <c r="W1293" s="573">
        <v>25</v>
      </c>
      <c r="X1293" s="571">
        <v>9950</v>
      </c>
      <c r="Y1293" s="573">
        <v>12</v>
      </c>
      <c r="Z1293" s="579" t="s">
        <v>178</v>
      </c>
      <c r="AA1293" s="579" t="s">
        <v>178</v>
      </c>
      <c r="AB1293" s="584">
        <v>42600</v>
      </c>
      <c r="AC1293" s="584" t="s">
        <v>164</v>
      </c>
      <c r="AD1293" s="584">
        <v>32781.958333333336</v>
      </c>
      <c r="AE1293" s="586">
        <v>0.03</v>
      </c>
      <c r="AF1293" s="661" t="str">
        <f t="shared" si="143"/>
        <v>2019-LVN-FRD-T35H-020-27</v>
      </c>
      <c r="AG1293" s="661" t="str">
        <f>IF(AND($Y1293&gt;=32,(AI1293="I"),(Y1293&lt;&gt;"~"),(COUNTIF($AN$1:$AN1293,$AN1293)=1)),"TRUE","FALSE")</f>
        <v>FALSE</v>
      </c>
      <c r="AH1293" s="661" t="str">
        <f>IF(AND($Y1293&gt;=22, (AI1293&lt;&gt;"I"),(Y1293&lt;&gt;"~"),(COUNTIF($AN$1:$AN1293,$AN1293)=1)),"TRUE","FALSE")</f>
        <v>FALSE</v>
      </c>
      <c r="AI1293" s="661" t="str">
        <f t="shared" si="138"/>
        <v>II</v>
      </c>
      <c r="AJ1293" s="662" t="str">
        <f t="shared" si="139"/>
        <v>T35H-020</v>
      </c>
      <c r="AK1293" s="662" t="str">
        <f t="shared" si="140"/>
        <v>LVN</v>
      </c>
      <c r="AL1293" s="662" t="str">
        <f t="shared" si="141"/>
        <v>FRD</v>
      </c>
      <c r="AM1293" s="662" t="str">
        <f t="shared" si="137"/>
        <v>Transit 350 HD Van-EL Sliding RH Door-RWD-2-109.4-~-3.7L-6-F4X-101A-147.6-25-Unleaded-Unleaded</v>
      </c>
      <c r="AN1293" s="662" t="str">
        <f t="shared" si="142"/>
        <v>2019-LVN-FRD-T35H-020</v>
      </c>
    </row>
    <row r="1294" spans="1:40" s="572" customFormat="1" ht="15">
      <c r="A1294" s="570" t="s">
        <v>2592</v>
      </c>
      <c r="B1294" s="569" t="s">
        <v>2574</v>
      </c>
      <c r="C1294" s="569" t="s">
        <v>280</v>
      </c>
      <c r="D1294" s="580">
        <v>27</v>
      </c>
      <c r="E1294" s="569" t="s">
        <v>1516</v>
      </c>
      <c r="F1294" s="569" t="s">
        <v>1571</v>
      </c>
      <c r="G1294" s="569" t="s">
        <v>271</v>
      </c>
      <c r="H1294" s="569">
        <v>2019</v>
      </c>
      <c r="I1294" s="569" t="s">
        <v>2528</v>
      </c>
      <c r="J1294" s="569" t="s">
        <v>2562</v>
      </c>
      <c r="K1294" s="569" t="s">
        <v>236</v>
      </c>
      <c r="L1294" s="569">
        <v>2</v>
      </c>
      <c r="M1294" s="569">
        <v>0</v>
      </c>
      <c r="N1294" s="569" t="s">
        <v>157</v>
      </c>
      <c r="O1294" s="569">
        <v>1</v>
      </c>
      <c r="P1294" s="569">
        <v>109.4</v>
      </c>
      <c r="Q1294" s="568" t="s">
        <v>157</v>
      </c>
      <c r="R1294" s="569" t="s">
        <v>682</v>
      </c>
      <c r="S1294" s="569">
        <v>6</v>
      </c>
      <c r="T1294" s="569" t="s">
        <v>2566</v>
      </c>
      <c r="U1294" s="569" t="s">
        <v>1894</v>
      </c>
      <c r="V1294" s="569">
        <v>147.6</v>
      </c>
      <c r="W1294" s="569">
        <v>25</v>
      </c>
      <c r="X1294" s="568">
        <v>10360</v>
      </c>
      <c r="Y1294" s="569" t="s">
        <v>164</v>
      </c>
      <c r="Z1294" s="581" t="s">
        <v>178</v>
      </c>
      <c r="AA1294" s="581" t="s">
        <v>178</v>
      </c>
      <c r="AB1294" s="585">
        <v>42950</v>
      </c>
      <c r="AC1294" s="585" t="s">
        <v>164</v>
      </c>
      <c r="AD1294" s="585">
        <v>33100.708333333336</v>
      </c>
      <c r="AE1294" s="587">
        <v>0.03</v>
      </c>
      <c r="AF1294" s="661" t="str">
        <f t="shared" si="143"/>
        <v>2019-LVN-FRD-T35H-011-27</v>
      </c>
      <c r="AG1294" s="661" t="str">
        <f>IF(AND($Y1294&gt;=32,(AI1294="I"),(Y1294&lt;&gt;"~"),(COUNTIF($AN$1:$AN1294,$AN1294)=1)),"TRUE","FALSE")</f>
        <v>FALSE</v>
      </c>
      <c r="AH1294" s="661" t="str">
        <f>IF(AND($Y1294&gt;=22, (AI1294&lt;&gt;"I"),(Y1294&lt;&gt;"~"),(COUNTIF($AN$1:$AN1294,$AN1294)=1)),"TRUE","FALSE")</f>
        <v>FALSE</v>
      </c>
      <c r="AI1294" s="661" t="str">
        <f t="shared" si="138"/>
        <v>N/A</v>
      </c>
      <c r="AJ1294" s="662" t="str">
        <f t="shared" si="139"/>
        <v>T35H-011</v>
      </c>
      <c r="AK1294" s="662" t="str">
        <f t="shared" si="140"/>
        <v>LVN</v>
      </c>
      <c r="AL1294" s="662" t="str">
        <f t="shared" si="141"/>
        <v>FRD</v>
      </c>
      <c r="AM1294" s="662" t="str">
        <f t="shared" si="137"/>
        <v>Transit 350 HD Van-EL Sliding RH Door-RWD-2-109.4-~-3.7L-6-S4X-101A-147.6-25-Unleaded-Unleaded</v>
      </c>
      <c r="AN1294" s="662" t="str">
        <f t="shared" si="142"/>
        <v>2019-LVN-FRD-T35H-011</v>
      </c>
    </row>
    <row r="1295" spans="1:40" s="572" customFormat="1" ht="30">
      <c r="A1295" s="570" t="s">
        <v>2593</v>
      </c>
      <c r="B1295" s="573" t="s">
        <v>2594</v>
      </c>
      <c r="C1295" s="573" t="s">
        <v>269</v>
      </c>
      <c r="D1295" s="578" t="s">
        <v>270</v>
      </c>
      <c r="E1295" s="573" t="s">
        <v>1516</v>
      </c>
      <c r="F1295" s="573" t="s">
        <v>1897</v>
      </c>
      <c r="G1295" s="573" t="s">
        <v>271</v>
      </c>
      <c r="H1295" s="573">
        <v>2019</v>
      </c>
      <c r="I1295" s="573" t="s">
        <v>2595</v>
      </c>
      <c r="J1295" s="573" t="s">
        <v>1201</v>
      </c>
      <c r="K1295" s="573" t="s">
        <v>236</v>
      </c>
      <c r="L1295" s="573">
        <v>15</v>
      </c>
      <c r="M1295" s="573">
        <v>3</v>
      </c>
      <c r="N1295" s="573" t="s">
        <v>2596</v>
      </c>
      <c r="O1295" s="573" t="s">
        <v>2597</v>
      </c>
      <c r="P1295" s="573">
        <v>107.7</v>
      </c>
      <c r="Q1295" s="571" t="s">
        <v>157</v>
      </c>
      <c r="R1295" s="573" t="s">
        <v>2598</v>
      </c>
      <c r="S1295" s="573">
        <v>6</v>
      </c>
      <c r="T1295" s="573" t="s">
        <v>2599</v>
      </c>
      <c r="U1295" s="573" t="s">
        <v>434</v>
      </c>
      <c r="V1295" s="573">
        <v>147.6</v>
      </c>
      <c r="W1295" s="573">
        <v>25</v>
      </c>
      <c r="X1295" s="571">
        <v>10360</v>
      </c>
      <c r="Y1295" s="569" t="s">
        <v>164</v>
      </c>
      <c r="Z1295" s="579" t="s">
        <v>178</v>
      </c>
      <c r="AA1295" s="579" t="s">
        <v>178</v>
      </c>
      <c r="AB1295" s="584">
        <v>45165</v>
      </c>
      <c r="AC1295" s="584" t="s">
        <v>164</v>
      </c>
      <c r="AD1295" s="584">
        <v>35125.708333333336</v>
      </c>
      <c r="AE1295" s="586">
        <v>0.03</v>
      </c>
      <c r="AF1295" s="661" t="str">
        <f t="shared" si="143"/>
        <v>2019-LVN-FRD-T35H-015-05</v>
      </c>
      <c r="AG1295" s="661" t="str">
        <f>IF(AND($Y1295&gt;=32,(AI1295="I"),(Y1295&lt;&gt;"~"),(COUNTIF($AN$1:$AN1295,$AN1295)=1)),"TRUE","FALSE")</f>
        <v>FALSE</v>
      </c>
      <c r="AH1295" s="661" t="str">
        <f>IF(AND($Y1295&gt;=22, (AI1295&lt;&gt;"I"),(Y1295&lt;&gt;"~"),(COUNTIF($AN$1:$AN1295,$AN1295)=1)),"TRUE","FALSE")</f>
        <v>TRUE</v>
      </c>
      <c r="AI1295" s="661" t="str">
        <f t="shared" si="138"/>
        <v>N/A</v>
      </c>
      <c r="AJ1295" s="662" t="str">
        <f t="shared" si="139"/>
        <v>T35H-015</v>
      </c>
      <c r="AK1295" s="662" t="str">
        <f t="shared" si="140"/>
        <v>LVN</v>
      </c>
      <c r="AL1295" s="662" t="str">
        <f t="shared" si="141"/>
        <v>FRD</v>
      </c>
      <c r="AM1295" s="662" t="str">
        <f t="shared" si="137"/>
        <v>Transit 350 HD Wagon-XL-RWD-15-107.7-~-3.7L -6-U4X-301A-147.6-25-Unleaded-Unleaded</v>
      </c>
      <c r="AN1295" s="662" t="str">
        <f t="shared" si="142"/>
        <v>2019-LVN-FRD-T35H-015</v>
      </c>
    </row>
    <row r="1296" spans="1:40" s="572" customFormat="1" ht="30">
      <c r="A1296" s="570" t="s">
        <v>2600</v>
      </c>
      <c r="B1296" s="569" t="s">
        <v>2601</v>
      </c>
      <c r="C1296" s="569" t="s">
        <v>1889</v>
      </c>
      <c r="D1296" s="580">
        <v>25</v>
      </c>
      <c r="E1296" s="569" t="s">
        <v>1516</v>
      </c>
      <c r="F1296" s="569" t="s">
        <v>1607</v>
      </c>
      <c r="G1296" s="569" t="s">
        <v>271</v>
      </c>
      <c r="H1296" s="569">
        <v>2019</v>
      </c>
      <c r="I1296" s="569" t="s">
        <v>2595</v>
      </c>
      <c r="J1296" s="569" t="s">
        <v>1201</v>
      </c>
      <c r="K1296" s="569" t="s">
        <v>236</v>
      </c>
      <c r="L1296" s="569">
        <v>14</v>
      </c>
      <c r="M1296" s="569">
        <v>0</v>
      </c>
      <c r="N1296" s="569" t="s">
        <v>164</v>
      </c>
      <c r="O1296" s="569" t="s">
        <v>2602</v>
      </c>
      <c r="P1296" s="569">
        <v>110</v>
      </c>
      <c r="Q1296" s="568" t="s">
        <v>164</v>
      </c>
      <c r="R1296" s="569" t="s">
        <v>682</v>
      </c>
      <c r="S1296" s="569">
        <v>6</v>
      </c>
      <c r="T1296" s="569" t="s">
        <v>2599</v>
      </c>
      <c r="U1296" s="569" t="s">
        <v>434</v>
      </c>
      <c r="V1296" s="569">
        <v>148</v>
      </c>
      <c r="W1296" s="569">
        <v>25</v>
      </c>
      <c r="X1296" s="568">
        <v>10360</v>
      </c>
      <c r="Y1296" s="569" t="s">
        <v>164</v>
      </c>
      <c r="Z1296" s="581" t="s">
        <v>2603</v>
      </c>
      <c r="AA1296" s="581" t="s">
        <v>450</v>
      </c>
      <c r="AB1296" s="585">
        <v>44700</v>
      </c>
      <c r="AC1296" s="585">
        <v>60893</v>
      </c>
      <c r="AD1296" s="585">
        <v>47477</v>
      </c>
      <c r="AE1296" s="587">
        <v>0.05</v>
      </c>
      <c r="AF1296" s="661" t="str">
        <f t="shared" si="143"/>
        <v>2019-LVN-FRD-T35H-018-25</v>
      </c>
      <c r="AG1296" s="661" t="str">
        <f>IF(AND($Y1296&gt;=32,(AI1296="I"),(Y1296&lt;&gt;"~"),(COUNTIF($AN$1:$AN1296,$AN1296)=1)),"TRUE","FALSE")</f>
        <v>FALSE</v>
      </c>
      <c r="AH1296" s="661" t="str">
        <f>IF(AND($Y1296&gt;=22, (AI1296&lt;&gt;"I"),(Y1296&lt;&gt;"~"),(COUNTIF($AN$1:$AN1296,$AN1296)=1)),"TRUE","FALSE")</f>
        <v>TRUE</v>
      </c>
      <c r="AI1296" s="661" t="str">
        <f t="shared" si="138"/>
        <v>N/A</v>
      </c>
      <c r="AJ1296" s="662" t="str">
        <f t="shared" si="139"/>
        <v>T35H-018</v>
      </c>
      <c r="AK1296" s="662" t="str">
        <f t="shared" si="140"/>
        <v>LVN</v>
      </c>
      <c r="AL1296" s="662" t="str">
        <f t="shared" si="141"/>
        <v>FRD</v>
      </c>
      <c r="AM1296" s="662" t="str">
        <f t="shared" si="137"/>
        <v>Transit 350 HD Wagon-XL-RWD-14-110-N/A-3.7L-6-U4X-301A-148-25-GAS-E85</v>
      </c>
      <c r="AN1296" s="662" t="str">
        <f t="shared" si="142"/>
        <v>2019-LVN-FRD-T35H-018</v>
      </c>
    </row>
    <row r="1297" spans="1:40" s="572" customFormat="1" ht="30">
      <c r="A1297" s="570" t="s">
        <v>2604</v>
      </c>
      <c r="B1297" s="573" t="s">
        <v>2605</v>
      </c>
      <c r="C1297" s="573" t="s">
        <v>1889</v>
      </c>
      <c r="D1297" s="578">
        <v>25</v>
      </c>
      <c r="E1297" s="573" t="s">
        <v>1516</v>
      </c>
      <c r="F1297" s="573" t="s">
        <v>1607</v>
      </c>
      <c r="G1297" s="573" t="s">
        <v>271</v>
      </c>
      <c r="H1297" s="573">
        <v>2019</v>
      </c>
      <c r="I1297" s="573" t="s">
        <v>2595</v>
      </c>
      <c r="J1297" s="573" t="s">
        <v>1201</v>
      </c>
      <c r="K1297" s="573" t="s">
        <v>236</v>
      </c>
      <c r="L1297" s="573">
        <v>15</v>
      </c>
      <c r="M1297" s="573">
        <v>0</v>
      </c>
      <c r="N1297" s="573" t="s">
        <v>164</v>
      </c>
      <c r="O1297" s="573" t="s">
        <v>2606</v>
      </c>
      <c r="P1297" s="573">
        <v>110</v>
      </c>
      <c r="Q1297" s="571" t="s">
        <v>164</v>
      </c>
      <c r="R1297" s="573" t="s">
        <v>682</v>
      </c>
      <c r="S1297" s="573">
        <v>6</v>
      </c>
      <c r="T1297" s="573" t="s">
        <v>2599</v>
      </c>
      <c r="U1297" s="573" t="s">
        <v>434</v>
      </c>
      <c r="V1297" s="573">
        <v>148</v>
      </c>
      <c r="W1297" s="573">
        <v>25</v>
      </c>
      <c r="X1297" s="571">
        <v>10360</v>
      </c>
      <c r="Y1297" s="569" t="s">
        <v>164</v>
      </c>
      <c r="Z1297" s="579" t="s">
        <v>2603</v>
      </c>
      <c r="AA1297" s="579" t="s">
        <v>450</v>
      </c>
      <c r="AB1297" s="584">
        <v>44700</v>
      </c>
      <c r="AC1297" s="584">
        <v>56803</v>
      </c>
      <c r="AD1297" s="584">
        <v>43387</v>
      </c>
      <c r="AE1297" s="586">
        <v>0.05</v>
      </c>
      <c r="AF1297" s="661" t="str">
        <f t="shared" si="143"/>
        <v>2019-LVN-FRD-T35H-019-25</v>
      </c>
      <c r="AG1297" s="661" t="str">
        <f>IF(AND($Y1297&gt;=32,(AI1297="I"),(Y1297&lt;&gt;"~"),(COUNTIF($AN$1:$AN1297,$AN1297)=1)),"TRUE","FALSE")</f>
        <v>FALSE</v>
      </c>
      <c r="AH1297" s="661" t="str">
        <f>IF(AND($Y1297&gt;=22, (AI1297&lt;&gt;"I"),(Y1297&lt;&gt;"~"),(COUNTIF($AN$1:$AN1297,$AN1297)=1)),"TRUE","FALSE")</f>
        <v>TRUE</v>
      </c>
      <c r="AI1297" s="661" t="str">
        <f t="shared" si="138"/>
        <v>N/A</v>
      </c>
      <c r="AJ1297" s="662" t="str">
        <f t="shared" si="139"/>
        <v>T35H-019</v>
      </c>
      <c r="AK1297" s="662" t="str">
        <f t="shared" si="140"/>
        <v>LVN</v>
      </c>
      <c r="AL1297" s="662" t="str">
        <f t="shared" si="141"/>
        <v>FRD</v>
      </c>
      <c r="AM1297" s="662" t="str">
        <f t="shared" si="137"/>
        <v>Transit 350 HD Wagon-XL-RWD-15-110-N/A-3.7L-6-U4X-301A-148-25-GAS-E85</v>
      </c>
      <c r="AN1297" s="662" t="str">
        <f t="shared" si="142"/>
        <v>2019-LVN-FRD-T35H-019</v>
      </c>
    </row>
    <row r="1298" spans="1:40" s="572" customFormat="1" ht="30">
      <c r="A1298" s="570" t="s">
        <v>2607</v>
      </c>
      <c r="B1298" s="569" t="s">
        <v>2608</v>
      </c>
      <c r="C1298" s="569" t="s">
        <v>1889</v>
      </c>
      <c r="D1298" s="580">
        <v>25</v>
      </c>
      <c r="E1298" s="569" t="s">
        <v>1516</v>
      </c>
      <c r="F1298" s="569" t="s">
        <v>1897</v>
      </c>
      <c r="G1298" s="569" t="s">
        <v>271</v>
      </c>
      <c r="H1298" s="569">
        <v>2019</v>
      </c>
      <c r="I1298" s="569" t="s">
        <v>2595</v>
      </c>
      <c r="J1298" s="569" t="s">
        <v>1201</v>
      </c>
      <c r="K1298" s="569" t="s">
        <v>236</v>
      </c>
      <c r="L1298" s="569">
        <v>10</v>
      </c>
      <c r="M1298" s="569">
        <v>3</v>
      </c>
      <c r="N1298" s="569" t="s">
        <v>1898</v>
      </c>
      <c r="O1298" s="569" t="s">
        <v>2597</v>
      </c>
      <c r="P1298" s="569">
        <v>110</v>
      </c>
      <c r="Q1298" s="568" t="s">
        <v>164</v>
      </c>
      <c r="R1298" s="569" t="s">
        <v>682</v>
      </c>
      <c r="S1298" s="569">
        <v>6</v>
      </c>
      <c r="T1298" s="569" t="s">
        <v>2599</v>
      </c>
      <c r="U1298" s="569" t="s">
        <v>434</v>
      </c>
      <c r="V1298" s="569">
        <v>148</v>
      </c>
      <c r="W1298" s="569">
        <v>25</v>
      </c>
      <c r="X1298" s="568">
        <v>10360</v>
      </c>
      <c r="Y1298" s="569" t="s">
        <v>164</v>
      </c>
      <c r="Z1298" s="581" t="s">
        <v>2603</v>
      </c>
      <c r="AA1298" s="581" t="s">
        <v>450</v>
      </c>
      <c r="AB1298" s="585">
        <v>44700</v>
      </c>
      <c r="AC1298" s="585">
        <v>66720</v>
      </c>
      <c r="AD1298" s="585">
        <v>53304</v>
      </c>
      <c r="AE1298" s="587">
        <v>0.05</v>
      </c>
      <c r="AF1298" s="661" t="str">
        <f t="shared" si="143"/>
        <v>2019-LVN-FRD-T35H-016-25</v>
      </c>
      <c r="AG1298" s="661" t="str">
        <f>IF(AND($Y1298&gt;=32,(AI1298="I"),(Y1298&lt;&gt;"~"),(COUNTIF($AN$1:$AN1298,$AN1298)=1)),"TRUE","FALSE")</f>
        <v>FALSE</v>
      </c>
      <c r="AH1298" s="661" t="str">
        <f>IF(AND($Y1298&gt;=22, (AI1298&lt;&gt;"I"),(Y1298&lt;&gt;"~"),(COUNTIF($AN$1:$AN1298,$AN1298)=1)),"TRUE","FALSE")</f>
        <v>TRUE</v>
      </c>
      <c r="AI1298" s="661" t="str">
        <f t="shared" si="138"/>
        <v>N/A</v>
      </c>
      <c r="AJ1298" s="662" t="str">
        <f t="shared" si="139"/>
        <v>T35H-016</v>
      </c>
      <c r="AK1298" s="662" t="str">
        <f t="shared" si="140"/>
        <v>LVN</v>
      </c>
      <c r="AL1298" s="662" t="str">
        <f t="shared" si="141"/>
        <v>FRD</v>
      </c>
      <c r="AM1298" s="662" t="str">
        <f t="shared" si="137"/>
        <v>Transit 350 HD Wagon-XL-RWD-10-110-N/A-3.7L-6-U4X-301A-148-25-GAS-E85</v>
      </c>
      <c r="AN1298" s="662" t="str">
        <f t="shared" si="142"/>
        <v>2019-LVN-FRD-T35H-016</v>
      </c>
    </row>
    <row r="1299" spans="1:40" s="572" customFormat="1" ht="30">
      <c r="A1299" s="570" t="s">
        <v>2609</v>
      </c>
      <c r="B1299" s="573" t="s">
        <v>2610</v>
      </c>
      <c r="C1299" s="573" t="s">
        <v>1889</v>
      </c>
      <c r="D1299" s="578">
        <v>25</v>
      </c>
      <c r="E1299" s="573" t="s">
        <v>1516</v>
      </c>
      <c r="F1299" s="573" t="s">
        <v>1897</v>
      </c>
      <c r="G1299" s="573" t="s">
        <v>271</v>
      </c>
      <c r="H1299" s="573">
        <v>2019</v>
      </c>
      <c r="I1299" s="573" t="s">
        <v>2595</v>
      </c>
      <c r="J1299" s="573" t="s">
        <v>1201</v>
      </c>
      <c r="K1299" s="573" t="s">
        <v>236</v>
      </c>
      <c r="L1299" s="573">
        <v>11</v>
      </c>
      <c r="M1299" s="573">
        <v>2</v>
      </c>
      <c r="N1299" s="573" t="s">
        <v>1898</v>
      </c>
      <c r="O1299" s="573" t="s">
        <v>2611</v>
      </c>
      <c r="P1299" s="573">
        <v>110</v>
      </c>
      <c r="Q1299" s="571" t="s">
        <v>164</v>
      </c>
      <c r="R1299" s="573" t="s">
        <v>682</v>
      </c>
      <c r="S1299" s="573">
        <v>6</v>
      </c>
      <c r="T1299" s="573" t="s">
        <v>2599</v>
      </c>
      <c r="U1299" s="573" t="s">
        <v>434</v>
      </c>
      <c r="V1299" s="573">
        <v>148</v>
      </c>
      <c r="W1299" s="573">
        <v>25</v>
      </c>
      <c r="X1299" s="571">
        <v>10360</v>
      </c>
      <c r="Y1299" s="569" t="s">
        <v>164</v>
      </c>
      <c r="Z1299" s="579" t="s">
        <v>2603</v>
      </c>
      <c r="AA1299" s="579" t="s">
        <v>450</v>
      </c>
      <c r="AB1299" s="584">
        <v>44700</v>
      </c>
      <c r="AC1299" s="584">
        <v>61785</v>
      </c>
      <c r="AD1299" s="584">
        <v>48369</v>
      </c>
      <c r="AE1299" s="586">
        <v>0.05</v>
      </c>
      <c r="AF1299" s="661" t="str">
        <f t="shared" si="143"/>
        <v>2019-LVN-FRD-T35H-017-25</v>
      </c>
      <c r="AG1299" s="661" t="str">
        <f>IF(AND($Y1299&gt;=32,(AI1299="I"),(Y1299&lt;&gt;"~"),(COUNTIF($AN$1:$AN1299,$AN1299)=1)),"TRUE","FALSE")</f>
        <v>FALSE</v>
      </c>
      <c r="AH1299" s="661" t="str">
        <f>IF(AND($Y1299&gt;=22, (AI1299&lt;&gt;"I"),(Y1299&lt;&gt;"~"),(COUNTIF($AN$1:$AN1299,$AN1299)=1)),"TRUE","FALSE")</f>
        <v>TRUE</v>
      </c>
      <c r="AI1299" s="661" t="str">
        <f t="shared" si="138"/>
        <v>N/A</v>
      </c>
      <c r="AJ1299" s="662" t="str">
        <f t="shared" si="139"/>
        <v>T35H-017</v>
      </c>
      <c r="AK1299" s="662" t="str">
        <f t="shared" si="140"/>
        <v>LVN</v>
      </c>
      <c r="AL1299" s="662" t="str">
        <f t="shared" si="141"/>
        <v>FRD</v>
      </c>
      <c r="AM1299" s="662" t="str">
        <f t="shared" si="137"/>
        <v>Transit 350 HD Wagon-XL-RWD-11-110-N/A-3.7L-6-U4X-301A-148-25-GAS-E85</v>
      </c>
      <c r="AN1299" s="662" t="str">
        <f t="shared" si="142"/>
        <v>2019-LVN-FRD-T35H-017</v>
      </c>
    </row>
    <row r="1300" spans="1:40" s="572" customFormat="1" ht="30">
      <c r="A1300" s="570" t="s">
        <v>2612</v>
      </c>
      <c r="B1300" s="569" t="s">
        <v>2594</v>
      </c>
      <c r="C1300" s="569" t="s">
        <v>280</v>
      </c>
      <c r="D1300" s="580">
        <v>27</v>
      </c>
      <c r="E1300" s="569" t="s">
        <v>1516</v>
      </c>
      <c r="F1300" s="569" t="s">
        <v>1897</v>
      </c>
      <c r="G1300" s="569" t="s">
        <v>271</v>
      </c>
      <c r="H1300" s="569">
        <v>2019</v>
      </c>
      <c r="I1300" s="569" t="s">
        <v>2595</v>
      </c>
      <c r="J1300" s="569" t="s">
        <v>1201</v>
      </c>
      <c r="K1300" s="569" t="s">
        <v>236</v>
      </c>
      <c r="L1300" s="569">
        <v>15</v>
      </c>
      <c r="M1300" s="569">
        <v>3</v>
      </c>
      <c r="N1300" s="569" t="s">
        <v>2596</v>
      </c>
      <c r="O1300" s="569" t="s">
        <v>2597</v>
      </c>
      <c r="P1300" s="569">
        <v>107.7</v>
      </c>
      <c r="Q1300" s="568" t="s">
        <v>157</v>
      </c>
      <c r="R1300" s="569" t="s">
        <v>2598</v>
      </c>
      <c r="S1300" s="569">
        <v>6</v>
      </c>
      <c r="T1300" s="569" t="s">
        <v>2599</v>
      </c>
      <c r="U1300" s="569" t="s">
        <v>434</v>
      </c>
      <c r="V1300" s="569">
        <v>147.6</v>
      </c>
      <c r="W1300" s="569">
        <v>25</v>
      </c>
      <c r="X1300" s="568">
        <v>10360</v>
      </c>
      <c r="Y1300" s="569" t="s">
        <v>164</v>
      </c>
      <c r="Z1300" s="581" t="s">
        <v>178</v>
      </c>
      <c r="AA1300" s="581" t="s">
        <v>178</v>
      </c>
      <c r="AB1300" s="585">
        <v>45165</v>
      </c>
      <c r="AC1300" s="585" t="s">
        <v>164</v>
      </c>
      <c r="AD1300" s="585">
        <v>35125.708333333336</v>
      </c>
      <c r="AE1300" s="587">
        <v>0.03</v>
      </c>
      <c r="AF1300" s="661" t="str">
        <f t="shared" si="143"/>
        <v>2019-LVN-FRD-T35H-015-27</v>
      </c>
      <c r="AG1300" s="661" t="str">
        <f>IF(AND($Y1300&gt;=32,(AI1300="I"),(Y1300&lt;&gt;"~"),(COUNTIF($AN$1:$AN1300,$AN1300)=1)),"TRUE","FALSE")</f>
        <v>FALSE</v>
      </c>
      <c r="AH1300" s="661" t="str">
        <f>IF(AND($Y1300&gt;=22, (AI1300&lt;&gt;"I"),(Y1300&lt;&gt;"~"),(COUNTIF($AN$1:$AN1300,$AN1300)=1)),"TRUE","FALSE")</f>
        <v>FALSE</v>
      </c>
      <c r="AI1300" s="661" t="str">
        <f t="shared" si="138"/>
        <v>N/A</v>
      </c>
      <c r="AJ1300" s="662" t="str">
        <f t="shared" si="139"/>
        <v>T35H-015</v>
      </c>
      <c r="AK1300" s="662" t="str">
        <f t="shared" si="140"/>
        <v>LVN</v>
      </c>
      <c r="AL1300" s="662" t="str">
        <f t="shared" si="141"/>
        <v>FRD</v>
      </c>
      <c r="AM1300" s="662" t="str">
        <f t="shared" si="137"/>
        <v>Transit 350 HD Wagon-XL-RWD-15-107.7-~-3.7L -6-U4X-301A-147.6-25-Unleaded-Unleaded</v>
      </c>
      <c r="AN1300" s="662" t="str">
        <f t="shared" si="142"/>
        <v>2019-LVN-FRD-T35H-015</v>
      </c>
    </row>
    <row r="1301" spans="1:40" s="572" customFormat="1" ht="30">
      <c r="A1301" s="570" t="s">
        <v>2613</v>
      </c>
      <c r="B1301" s="573" t="s">
        <v>2614</v>
      </c>
      <c r="C1301" s="573" t="s">
        <v>1889</v>
      </c>
      <c r="D1301" s="578">
        <v>25</v>
      </c>
      <c r="E1301" s="573" t="s">
        <v>1516</v>
      </c>
      <c r="F1301" s="573" t="s">
        <v>1607</v>
      </c>
      <c r="G1301" s="573" t="s">
        <v>271</v>
      </c>
      <c r="H1301" s="573">
        <v>2019</v>
      </c>
      <c r="I1301" s="573" t="s">
        <v>2615</v>
      </c>
      <c r="J1301" s="573" t="s">
        <v>1201</v>
      </c>
      <c r="K1301" s="573" t="s">
        <v>236</v>
      </c>
      <c r="L1301" s="573">
        <v>12</v>
      </c>
      <c r="M1301" s="573">
        <v>0</v>
      </c>
      <c r="N1301" s="573" t="s">
        <v>164</v>
      </c>
      <c r="O1301" s="573" t="s">
        <v>2616</v>
      </c>
      <c r="P1301" s="573">
        <v>100.7</v>
      </c>
      <c r="Q1301" s="571" t="s">
        <v>164</v>
      </c>
      <c r="R1301" s="573" t="s">
        <v>682</v>
      </c>
      <c r="S1301" s="573">
        <v>6</v>
      </c>
      <c r="T1301" s="573" t="s">
        <v>2617</v>
      </c>
      <c r="U1301" s="573" t="s">
        <v>434</v>
      </c>
      <c r="V1301" s="573">
        <v>148</v>
      </c>
      <c r="W1301" s="573">
        <v>25</v>
      </c>
      <c r="X1301" s="571">
        <v>9000</v>
      </c>
      <c r="Y1301" s="573">
        <v>12</v>
      </c>
      <c r="Z1301" s="579" t="s">
        <v>450</v>
      </c>
      <c r="AA1301" s="579" t="s">
        <v>178</v>
      </c>
      <c r="AB1301" s="584">
        <v>43325</v>
      </c>
      <c r="AC1301" s="584">
        <v>49096</v>
      </c>
      <c r="AD1301" s="584">
        <v>35902</v>
      </c>
      <c r="AE1301" s="586">
        <v>0.05</v>
      </c>
      <c r="AF1301" s="661" t="str">
        <f t="shared" si="143"/>
        <v>2019-LVN-FRD-T35W-064-25</v>
      </c>
      <c r="AG1301" s="661" t="str">
        <f>IF(AND($Y1301&gt;=32,(AI1301="I"),(Y1301&lt;&gt;"~"),(COUNTIF($AN$1:$AN1301,$AN1301)=1)),"TRUE","FALSE")</f>
        <v>FALSE</v>
      </c>
      <c r="AH1301" s="661" t="str">
        <f>IF(AND($Y1301&gt;=22, (AI1301&lt;&gt;"I"),(Y1301&lt;&gt;"~"),(COUNTIF($AN$1:$AN1301,$AN1301)=1)),"TRUE","FALSE")</f>
        <v>FALSE</v>
      </c>
      <c r="AI1301" s="661" t="str">
        <f t="shared" si="138"/>
        <v>II</v>
      </c>
      <c r="AJ1301" s="662" t="str">
        <f t="shared" si="139"/>
        <v>T35W-064</v>
      </c>
      <c r="AK1301" s="662" t="str">
        <f t="shared" si="140"/>
        <v>LVN</v>
      </c>
      <c r="AL1301" s="662" t="str">
        <f t="shared" si="141"/>
        <v>FRD</v>
      </c>
      <c r="AM1301" s="662" t="str">
        <f t="shared" si="137"/>
        <v>Transit 350 MR Wagon-XL-RWD-12-100.7-N/A-3.7L-6-X2C-301A-148-25-E85-Unleaded</v>
      </c>
      <c r="AN1301" s="662" t="str">
        <f t="shared" si="142"/>
        <v>2019-LVN-FRD-T35W-064</v>
      </c>
    </row>
    <row r="1302" spans="1:40" s="572" customFormat="1" ht="30">
      <c r="A1302" s="570" t="s">
        <v>2618</v>
      </c>
      <c r="B1302" s="569" t="s">
        <v>2619</v>
      </c>
      <c r="C1302" s="569" t="s">
        <v>1889</v>
      </c>
      <c r="D1302" s="580">
        <v>25</v>
      </c>
      <c r="E1302" s="569" t="s">
        <v>1516</v>
      </c>
      <c r="F1302" s="569" t="s">
        <v>1897</v>
      </c>
      <c r="G1302" s="569" t="s">
        <v>271</v>
      </c>
      <c r="H1302" s="569">
        <v>2019</v>
      </c>
      <c r="I1302" s="569" t="s">
        <v>2615</v>
      </c>
      <c r="J1302" s="569" t="s">
        <v>1201</v>
      </c>
      <c r="K1302" s="569" t="s">
        <v>236</v>
      </c>
      <c r="L1302" s="569">
        <v>10</v>
      </c>
      <c r="M1302" s="569">
        <v>2</v>
      </c>
      <c r="N1302" s="569" t="s">
        <v>1898</v>
      </c>
      <c r="O1302" s="569" t="s">
        <v>2620</v>
      </c>
      <c r="P1302" s="569">
        <v>100.7</v>
      </c>
      <c r="Q1302" s="568" t="s">
        <v>164</v>
      </c>
      <c r="R1302" s="569" t="s">
        <v>682</v>
      </c>
      <c r="S1302" s="569">
        <v>6</v>
      </c>
      <c r="T1302" s="569" t="s">
        <v>2617</v>
      </c>
      <c r="U1302" s="569" t="s">
        <v>434</v>
      </c>
      <c r="V1302" s="569">
        <v>148</v>
      </c>
      <c r="W1302" s="569">
        <v>25</v>
      </c>
      <c r="X1302" s="568">
        <v>9000</v>
      </c>
      <c r="Y1302" s="573">
        <v>12</v>
      </c>
      <c r="Z1302" s="581" t="s">
        <v>450</v>
      </c>
      <c r="AA1302" s="581" t="s">
        <v>178</v>
      </c>
      <c r="AB1302" s="585">
        <v>42380</v>
      </c>
      <c r="AC1302" s="585">
        <v>60463</v>
      </c>
      <c r="AD1302" s="585">
        <v>47321</v>
      </c>
      <c r="AE1302" s="587">
        <v>0.05</v>
      </c>
      <c r="AF1302" s="661" t="str">
        <f t="shared" si="143"/>
        <v>2019-LVN-FRD-T35W-063-25</v>
      </c>
      <c r="AG1302" s="661" t="str">
        <f>IF(AND($Y1302&gt;=32,(AI1302="I"),(Y1302&lt;&gt;"~"),(COUNTIF($AN$1:$AN1302,$AN1302)=1)),"TRUE","FALSE")</f>
        <v>FALSE</v>
      </c>
      <c r="AH1302" s="661" t="str">
        <f>IF(AND($Y1302&gt;=22, (AI1302&lt;&gt;"I"),(Y1302&lt;&gt;"~"),(COUNTIF($AN$1:$AN1302,$AN1302)=1)),"TRUE","FALSE")</f>
        <v>FALSE</v>
      </c>
      <c r="AI1302" s="661" t="str">
        <f t="shared" si="138"/>
        <v>II</v>
      </c>
      <c r="AJ1302" s="662" t="str">
        <f t="shared" si="139"/>
        <v>T35W-063</v>
      </c>
      <c r="AK1302" s="662" t="str">
        <f t="shared" si="140"/>
        <v>LVN</v>
      </c>
      <c r="AL1302" s="662" t="str">
        <f t="shared" si="141"/>
        <v>FRD</v>
      </c>
      <c r="AM1302" s="662" t="str">
        <f t="shared" si="137"/>
        <v>Transit 350 MR Wagon-XL-RWD-10-100.7-N/A-3.7L-6-X2C-301A-148-25-E85-Unleaded</v>
      </c>
      <c r="AN1302" s="662" t="str">
        <f t="shared" si="142"/>
        <v>2019-LVN-FRD-T35W-063</v>
      </c>
    </row>
    <row r="1303" spans="1:40" s="572" customFormat="1" ht="30">
      <c r="A1303" s="570" t="s">
        <v>2618</v>
      </c>
      <c r="B1303" s="573" t="s">
        <v>2619</v>
      </c>
      <c r="C1303" s="573" t="s">
        <v>1889</v>
      </c>
      <c r="D1303" s="578">
        <v>25</v>
      </c>
      <c r="E1303" s="573" t="s">
        <v>1516</v>
      </c>
      <c r="F1303" s="573" t="s">
        <v>1897</v>
      </c>
      <c r="G1303" s="573" t="s">
        <v>271</v>
      </c>
      <c r="H1303" s="573">
        <v>2019</v>
      </c>
      <c r="I1303" s="573" t="s">
        <v>2615</v>
      </c>
      <c r="J1303" s="573" t="s">
        <v>1201</v>
      </c>
      <c r="K1303" s="573" t="s">
        <v>236</v>
      </c>
      <c r="L1303" s="573">
        <v>10</v>
      </c>
      <c r="M1303" s="573">
        <v>2</v>
      </c>
      <c r="N1303" s="573" t="s">
        <v>1898</v>
      </c>
      <c r="O1303" s="573" t="s">
        <v>2621</v>
      </c>
      <c r="P1303" s="573">
        <v>100.7</v>
      </c>
      <c r="Q1303" s="571" t="s">
        <v>164</v>
      </c>
      <c r="R1303" s="573" t="s">
        <v>682</v>
      </c>
      <c r="S1303" s="573">
        <v>6</v>
      </c>
      <c r="T1303" s="573" t="s">
        <v>2617</v>
      </c>
      <c r="U1303" s="573" t="s">
        <v>434</v>
      </c>
      <c r="V1303" s="573">
        <v>148</v>
      </c>
      <c r="W1303" s="573">
        <v>25</v>
      </c>
      <c r="X1303" s="571">
        <v>9000</v>
      </c>
      <c r="Y1303" s="573">
        <v>12</v>
      </c>
      <c r="Z1303" s="579" t="s">
        <v>450</v>
      </c>
      <c r="AA1303" s="579" t="s">
        <v>178</v>
      </c>
      <c r="AB1303" s="584">
        <v>42380</v>
      </c>
      <c r="AC1303" s="584">
        <v>58373</v>
      </c>
      <c r="AD1303" s="584">
        <v>45231</v>
      </c>
      <c r="AE1303" s="586">
        <v>0.05</v>
      </c>
      <c r="AF1303" s="661" t="str">
        <f t="shared" si="143"/>
        <v>2019-LVN-FRD-T35W-063-25</v>
      </c>
      <c r="AG1303" s="661" t="str">
        <f>IF(AND($Y1303&gt;=32,(AI1303="I"),(Y1303&lt;&gt;"~"),(COUNTIF($AN$1:$AN1303,$AN1303)=1)),"TRUE","FALSE")</f>
        <v>FALSE</v>
      </c>
      <c r="AH1303" s="661" t="str">
        <f>IF(AND($Y1303&gt;=22, (AI1303&lt;&gt;"I"),(Y1303&lt;&gt;"~"),(COUNTIF($AN$1:$AN1303,$AN1303)=1)),"TRUE","FALSE")</f>
        <v>FALSE</v>
      </c>
      <c r="AI1303" s="661" t="str">
        <f t="shared" si="138"/>
        <v>II</v>
      </c>
      <c r="AJ1303" s="662" t="str">
        <f t="shared" si="139"/>
        <v>T35W-063</v>
      </c>
      <c r="AK1303" s="662" t="str">
        <f t="shared" si="140"/>
        <v>LVN</v>
      </c>
      <c r="AL1303" s="662" t="str">
        <f t="shared" si="141"/>
        <v>FRD</v>
      </c>
      <c r="AM1303" s="662" t="str">
        <f t="shared" si="137"/>
        <v>Transit 350 MR Wagon-XL-RWD-10-100.7-N/A-3.7L-6-X2C-301A-148-25-E85-Unleaded</v>
      </c>
      <c r="AN1303" s="662" t="str">
        <f t="shared" si="142"/>
        <v>2019-LVN-FRD-T35W-063</v>
      </c>
    </row>
    <row r="1304" spans="1:40" s="572" customFormat="1" ht="30">
      <c r="A1304" s="570" t="s">
        <v>2622</v>
      </c>
      <c r="B1304" s="569" t="s">
        <v>2623</v>
      </c>
      <c r="C1304" s="569" t="s">
        <v>1889</v>
      </c>
      <c r="D1304" s="580">
        <v>25</v>
      </c>
      <c r="E1304" s="569" t="s">
        <v>1516</v>
      </c>
      <c r="F1304" s="569" t="s">
        <v>1897</v>
      </c>
      <c r="G1304" s="569" t="s">
        <v>271</v>
      </c>
      <c r="H1304" s="569">
        <v>2019</v>
      </c>
      <c r="I1304" s="569" t="s">
        <v>2615</v>
      </c>
      <c r="J1304" s="569" t="s">
        <v>1201</v>
      </c>
      <c r="K1304" s="569" t="s">
        <v>236</v>
      </c>
      <c r="L1304" s="569">
        <v>8</v>
      </c>
      <c r="M1304" s="569">
        <v>2</v>
      </c>
      <c r="N1304" s="569" t="s">
        <v>1900</v>
      </c>
      <c r="O1304" s="569" t="s">
        <v>2624</v>
      </c>
      <c r="P1304" s="569">
        <v>100.7</v>
      </c>
      <c r="Q1304" s="568" t="s">
        <v>164</v>
      </c>
      <c r="R1304" s="569" t="s">
        <v>682</v>
      </c>
      <c r="S1304" s="569">
        <v>6</v>
      </c>
      <c r="T1304" s="569" t="s">
        <v>2617</v>
      </c>
      <c r="U1304" s="569" t="s">
        <v>434</v>
      </c>
      <c r="V1304" s="569">
        <v>148</v>
      </c>
      <c r="W1304" s="569">
        <v>25</v>
      </c>
      <c r="X1304" s="568">
        <v>9000</v>
      </c>
      <c r="Y1304" s="573">
        <v>12</v>
      </c>
      <c r="Z1304" s="581" t="s">
        <v>450</v>
      </c>
      <c r="AA1304" s="581" t="s">
        <v>178</v>
      </c>
      <c r="AB1304" s="585">
        <v>42380</v>
      </c>
      <c r="AC1304" s="585">
        <v>58210</v>
      </c>
      <c r="AD1304" s="585">
        <v>45068</v>
      </c>
      <c r="AE1304" s="587">
        <v>0.05</v>
      </c>
      <c r="AF1304" s="661" t="str">
        <f t="shared" si="143"/>
        <v>2019-LVN-FRD-T35W-065-25</v>
      </c>
      <c r="AG1304" s="661" t="str">
        <f>IF(AND($Y1304&gt;=32,(AI1304="I"),(Y1304&lt;&gt;"~"),(COUNTIF($AN$1:$AN1304,$AN1304)=1)),"TRUE","FALSE")</f>
        <v>FALSE</v>
      </c>
      <c r="AH1304" s="661" t="str">
        <f>IF(AND($Y1304&gt;=22, (AI1304&lt;&gt;"I"),(Y1304&lt;&gt;"~"),(COUNTIF($AN$1:$AN1304,$AN1304)=1)),"TRUE","FALSE")</f>
        <v>FALSE</v>
      </c>
      <c r="AI1304" s="661" t="str">
        <f t="shared" si="138"/>
        <v>II</v>
      </c>
      <c r="AJ1304" s="662" t="str">
        <f t="shared" si="139"/>
        <v>T35W-065</v>
      </c>
      <c r="AK1304" s="662" t="str">
        <f t="shared" si="140"/>
        <v>LVN</v>
      </c>
      <c r="AL1304" s="662" t="str">
        <f t="shared" si="141"/>
        <v>FRD</v>
      </c>
      <c r="AM1304" s="662" t="str">
        <f t="shared" si="137"/>
        <v>Transit 350 MR Wagon-XL-RWD-8-100.7-N/A-3.7L-6-X2C-301A-148-25-E85-Unleaded</v>
      </c>
      <c r="AN1304" s="662" t="str">
        <f t="shared" si="142"/>
        <v>2019-LVN-FRD-T35W-065</v>
      </c>
    </row>
    <row r="1305" spans="1:40" s="572" customFormat="1" ht="30">
      <c r="A1305" s="570" t="s">
        <v>2622</v>
      </c>
      <c r="B1305" s="573" t="s">
        <v>2623</v>
      </c>
      <c r="C1305" s="573" t="s">
        <v>1889</v>
      </c>
      <c r="D1305" s="578">
        <v>25</v>
      </c>
      <c r="E1305" s="573" t="s">
        <v>1516</v>
      </c>
      <c r="F1305" s="573" t="s">
        <v>1897</v>
      </c>
      <c r="G1305" s="573" t="s">
        <v>271</v>
      </c>
      <c r="H1305" s="573">
        <v>2019</v>
      </c>
      <c r="I1305" s="573" t="s">
        <v>2615</v>
      </c>
      <c r="J1305" s="573" t="s">
        <v>1201</v>
      </c>
      <c r="K1305" s="573" t="s">
        <v>236</v>
      </c>
      <c r="L1305" s="573">
        <v>8</v>
      </c>
      <c r="M1305" s="573">
        <v>2</v>
      </c>
      <c r="N1305" s="573" t="s">
        <v>1898</v>
      </c>
      <c r="O1305" s="573" t="s">
        <v>2625</v>
      </c>
      <c r="P1305" s="573">
        <v>100.7</v>
      </c>
      <c r="Q1305" s="571" t="s">
        <v>164</v>
      </c>
      <c r="R1305" s="573" t="s">
        <v>682</v>
      </c>
      <c r="S1305" s="573">
        <v>6</v>
      </c>
      <c r="T1305" s="573" t="s">
        <v>2617</v>
      </c>
      <c r="U1305" s="573" t="s">
        <v>434</v>
      </c>
      <c r="V1305" s="573">
        <v>148</v>
      </c>
      <c r="W1305" s="573">
        <v>25</v>
      </c>
      <c r="X1305" s="571">
        <v>9000</v>
      </c>
      <c r="Y1305" s="573">
        <v>12</v>
      </c>
      <c r="Z1305" s="579" t="s">
        <v>450</v>
      </c>
      <c r="AA1305" s="579" t="s">
        <v>178</v>
      </c>
      <c r="AB1305" s="584">
        <v>42380</v>
      </c>
      <c r="AC1305" s="584">
        <v>57743</v>
      </c>
      <c r="AD1305" s="584">
        <v>44601</v>
      </c>
      <c r="AE1305" s="586">
        <v>0.05</v>
      </c>
      <c r="AF1305" s="661" t="str">
        <f t="shared" si="143"/>
        <v>2019-LVN-FRD-T35W-065-25</v>
      </c>
      <c r="AG1305" s="661" t="str">
        <f>IF(AND($Y1305&gt;=32,(AI1305="I"),(Y1305&lt;&gt;"~"),(COUNTIF($AN$1:$AN1305,$AN1305)=1)),"TRUE","FALSE")</f>
        <v>FALSE</v>
      </c>
      <c r="AH1305" s="661" t="str">
        <f>IF(AND($Y1305&gt;=22, (AI1305&lt;&gt;"I"),(Y1305&lt;&gt;"~"),(COUNTIF($AN$1:$AN1305,$AN1305)=1)),"TRUE","FALSE")</f>
        <v>FALSE</v>
      </c>
      <c r="AI1305" s="661" t="str">
        <f t="shared" si="138"/>
        <v>II</v>
      </c>
      <c r="AJ1305" s="662" t="str">
        <f t="shared" si="139"/>
        <v>T35W-065</v>
      </c>
      <c r="AK1305" s="662" t="str">
        <f t="shared" si="140"/>
        <v>LVN</v>
      </c>
      <c r="AL1305" s="662" t="str">
        <f t="shared" si="141"/>
        <v>FRD</v>
      </c>
      <c r="AM1305" s="662" t="str">
        <f t="shared" si="137"/>
        <v>Transit 350 MR Wagon-XL-RWD-8-100.7-N/A-3.7L-6-X2C-301A-148-25-E85-Unleaded</v>
      </c>
      <c r="AN1305" s="662" t="str">
        <f t="shared" si="142"/>
        <v>2019-LVN-FRD-T35W-065</v>
      </c>
    </row>
    <row r="1306" spans="1:40" s="572" customFormat="1" ht="15">
      <c r="A1306" s="570" t="s">
        <v>2626</v>
      </c>
      <c r="B1306" s="569" t="s">
        <v>2627</v>
      </c>
      <c r="C1306" s="569" t="s">
        <v>269</v>
      </c>
      <c r="D1306" s="580" t="s">
        <v>270</v>
      </c>
      <c r="E1306" s="569" t="s">
        <v>1516</v>
      </c>
      <c r="F1306" s="569" t="s">
        <v>1571</v>
      </c>
      <c r="G1306" s="569" t="s">
        <v>271</v>
      </c>
      <c r="H1306" s="569">
        <v>2019</v>
      </c>
      <c r="I1306" s="569" t="s">
        <v>2628</v>
      </c>
      <c r="J1306" s="569" t="s">
        <v>1916</v>
      </c>
      <c r="K1306" s="569" t="s">
        <v>236</v>
      </c>
      <c r="L1306" s="569">
        <v>2</v>
      </c>
      <c r="M1306" s="569">
        <v>0</v>
      </c>
      <c r="N1306" s="569" t="s">
        <v>157</v>
      </c>
      <c r="O1306" s="569">
        <v>1</v>
      </c>
      <c r="P1306" s="569">
        <v>100.7</v>
      </c>
      <c r="Q1306" s="568" t="s">
        <v>157</v>
      </c>
      <c r="R1306" s="569" t="s">
        <v>1259</v>
      </c>
      <c r="S1306" s="569">
        <v>6</v>
      </c>
      <c r="T1306" s="569" t="s">
        <v>2629</v>
      </c>
      <c r="U1306" s="569" t="s">
        <v>1894</v>
      </c>
      <c r="V1306" s="569">
        <v>147.6</v>
      </c>
      <c r="W1306" s="569">
        <v>25</v>
      </c>
      <c r="X1306" s="568">
        <v>9500</v>
      </c>
      <c r="Y1306" s="573">
        <v>12</v>
      </c>
      <c r="Z1306" s="581" t="s">
        <v>178</v>
      </c>
      <c r="AA1306" s="581" t="s">
        <v>178</v>
      </c>
      <c r="AB1306" s="585">
        <v>41425</v>
      </c>
      <c r="AC1306" s="585" t="s">
        <v>164</v>
      </c>
      <c r="AD1306" s="585">
        <v>31658</v>
      </c>
      <c r="AE1306" s="587">
        <v>0.03</v>
      </c>
      <c r="AF1306" s="661" t="str">
        <f t="shared" si="143"/>
        <v>2019-LVN-FRD-T35V-001-05</v>
      </c>
      <c r="AG1306" s="661" t="str">
        <f>IF(AND($Y1306&gt;=32,(AI1306="I"),(Y1306&lt;&gt;"~"),(COUNTIF($AN$1:$AN1306,$AN1306)=1)),"TRUE","FALSE")</f>
        <v>FALSE</v>
      </c>
      <c r="AH1306" s="661" t="str">
        <f>IF(AND($Y1306&gt;=22, (AI1306&lt;&gt;"I"),(Y1306&lt;&gt;"~"),(COUNTIF($AN$1:$AN1306,$AN1306)=1)),"TRUE","FALSE")</f>
        <v>FALSE</v>
      </c>
      <c r="AI1306" s="661" t="str">
        <f t="shared" si="138"/>
        <v>II</v>
      </c>
      <c r="AJ1306" s="662" t="str">
        <f t="shared" si="139"/>
        <v>T35V-001</v>
      </c>
      <c r="AK1306" s="662" t="str">
        <f t="shared" si="140"/>
        <v>LVN</v>
      </c>
      <c r="AL1306" s="662" t="str">
        <f t="shared" si="141"/>
        <v>FRD</v>
      </c>
      <c r="AM1306" s="662" t="str">
        <f t="shared" si="137"/>
        <v>Transit 350 Van-Dual Door-RWD-2-100.7-~-3.5L EcoBoost-6-W2D-101A-147.6-25-Unleaded-Unleaded</v>
      </c>
      <c r="AN1306" s="662" t="str">
        <f t="shared" si="142"/>
        <v>2019-LVN-FRD-T35V-001</v>
      </c>
    </row>
    <row r="1307" spans="1:40" s="572" customFormat="1" ht="15">
      <c r="A1307" s="570" t="s">
        <v>2626</v>
      </c>
      <c r="B1307" s="573" t="s">
        <v>2627</v>
      </c>
      <c r="C1307" s="573" t="s">
        <v>269</v>
      </c>
      <c r="D1307" s="578" t="s">
        <v>270</v>
      </c>
      <c r="E1307" s="573" t="s">
        <v>1516</v>
      </c>
      <c r="F1307" s="573" t="s">
        <v>1571</v>
      </c>
      <c r="G1307" s="573" t="s">
        <v>271</v>
      </c>
      <c r="H1307" s="573">
        <v>2019</v>
      </c>
      <c r="I1307" s="573" t="s">
        <v>2628</v>
      </c>
      <c r="J1307" s="573" t="s">
        <v>1916</v>
      </c>
      <c r="K1307" s="573" t="s">
        <v>236</v>
      </c>
      <c r="L1307" s="573">
        <v>2</v>
      </c>
      <c r="M1307" s="573">
        <v>0</v>
      </c>
      <c r="N1307" s="573" t="s">
        <v>157</v>
      </c>
      <c r="O1307" s="573">
        <v>1</v>
      </c>
      <c r="P1307" s="573">
        <v>100.7</v>
      </c>
      <c r="Q1307" s="571" t="s">
        <v>157</v>
      </c>
      <c r="R1307" s="573" t="s">
        <v>682</v>
      </c>
      <c r="S1307" s="573">
        <v>6</v>
      </c>
      <c r="T1307" s="573" t="s">
        <v>2629</v>
      </c>
      <c r="U1307" s="573" t="s">
        <v>1894</v>
      </c>
      <c r="V1307" s="573">
        <v>147.6</v>
      </c>
      <c r="W1307" s="573">
        <v>25</v>
      </c>
      <c r="X1307" s="571">
        <v>9500</v>
      </c>
      <c r="Y1307" s="573">
        <v>12</v>
      </c>
      <c r="Z1307" s="579" t="s">
        <v>178</v>
      </c>
      <c r="AA1307" s="579" t="s">
        <v>178</v>
      </c>
      <c r="AB1307" s="584">
        <v>39560</v>
      </c>
      <c r="AC1307" s="584" t="s">
        <v>164</v>
      </c>
      <c r="AD1307" s="584">
        <v>30001.75</v>
      </c>
      <c r="AE1307" s="586">
        <v>0.03</v>
      </c>
      <c r="AF1307" s="661" t="str">
        <f t="shared" si="143"/>
        <v>2019-LVN-FRD-T35V-001-05</v>
      </c>
      <c r="AG1307" s="661" t="str">
        <f>IF(AND($Y1307&gt;=32,(AI1307="I"),(Y1307&lt;&gt;"~"),(COUNTIF($AN$1:$AN1307,$AN1307)=1)),"TRUE","FALSE")</f>
        <v>FALSE</v>
      </c>
      <c r="AH1307" s="661" t="str">
        <f>IF(AND($Y1307&gt;=22, (AI1307&lt;&gt;"I"),(Y1307&lt;&gt;"~"),(COUNTIF($AN$1:$AN1307,$AN1307)=1)),"TRUE","FALSE")</f>
        <v>FALSE</v>
      </c>
      <c r="AI1307" s="661" t="str">
        <f t="shared" si="138"/>
        <v>II</v>
      </c>
      <c r="AJ1307" s="662" t="str">
        <f t="shared" si="139"/>
        <v>T35V-001</v>
      </c>
      <c r="AK1307" s="662" t="str">
        <f t="shared" si="140"/>
        <v>LVN</v>
      </c>
      <c r="AL1307" s="662" t="str">
        <f t="shared" si="141"/>
        <v>FRD</v>
      </c>
      <c r="AM1307" s="662" t="str">
        <f t="shared" ref="AM1307:AM1370" si="144">CONCATENATE(I1307,"-",J1307,"-",K1307,"-",L1307,"-",P1307,"-",Q1307,"-",R1307,"-",S1307,"-",T1307,"-",U1307,"-",V1307,"-",W1307,"-",Z1307,"-",AA1307)</f>
        <v>Transit 350 Van-Dual Door-RWD-2-100.7-~-3.7L-6-W2D-101A-147.6-25-Unleaded-Unleaded</v>
      </c>
      <c r="AN1307" s="662" t="str">
        <f t="shared" si="142"/>
        <v>2019-LVN-FRD-T35V-001</v>
      </c>
    </row>
    <row r="1308" spans="1:40" s="572" customFormat="1" ht="15">
      <c r="A1308" s="570" t="s">
        <v>2630</v>
      </c>
      <c r="B1308" s="569" t="s">
        <v>2631</v>
      </c>
      <c r="C1308" s="569" t="s">
        <v>269</v>
      </c>
      <c r="D1308" s="580" t="s">
        <v>270</v>
      </c>
      <c r="E1308" s="569" t="s">
        <v>1516</v>
      </c>
      <c r="F1308" s="569" t="s">
        <v>1571</v>
      </c>
      <c r="G1308" s="569" t="s">
        <v>271</v>
      </c>
      <c r="H1308" s="569">
        <v>2019</v>
      </c>
      <c r="I1308" s="569" t="s">
        <v>2628</v>
      </c>
      <c r="J1308" s="569" t="s">
        <v>1916</v>
      </c>
      <c r="K1308" s="569" t="s">
        <v>236</v>
      </c>
      <c r="L1308" s="569">
        <v>2</v>
      </c>
      <c r="M1308" s="569">
        <v>0</v>
      </c>
      <c r="N1308" s="569" t="s">
        <v>157</v>
      </c>
      <c r="O1308" s="569">
        <v>1</v>
      </c>
      <c r="P1308" s="569">
        <v>100.8</v>
      </c>
      <c r="Q1308" s="568" t="s">
        <v>157</v>
      </c>
      <c r="R1308" s="569" t="s">
        <v>1259</v>
      </c>
      <c r="S1308" s="569">
        <v>6</v>
      </c>
      <c r="T1308" s="569" t="s">
        <v>2632</v>
      </c>
      <c r="U1308" s="569" t="s">
        <v>1894</v>
      </c>
      <c r="V1308" s="569">
        <v>129.9</v>
      </c>
      <c r="W1308" s="569">
        <v>25</v>
      </c>
      <c r="X1308" s="568">
        <v>9500</v>
      </c>
      <c r="Y1308" s="573">
        <v>12</v>
      </c>
      <c r="Z1308" s="581" t="s">
        <v>178</v>
      </c>
      <c r="AA1308" s="581" t="s">
        <v>178</v>
      </c>
      <c r="AB1308" s="585">
        <v>39700</v>
      </c>
      <c r="AC1308" s="585" t="s">
        <v>164</v>
      </c>
      <c r="AD1308" s="585">
        <v>30081.958333333336</v>
      </c>
      <c r="AE1308" s="587">
        <v>0.03</v>
      </c>
      <c r="AF1308" s="661" t="str">
        <f t="shared" si="143"/>
        <v>2019-LVN-FRD-T35V-003-05</v>
      </c>
      <c r="AG1308" s="661" t="str">
        <f>IF(AND($Y1308&gt;=32,(AI1308="I"),(Y1308&lt;&gt;"~"),(COUNTIF($AN$1:$AN1308,$AN1308)=1)),"TRUE","FALSE")</f>
        <v>FALSE</v>
      </c>
      <c r="AH1308" s="661" t="str">
        <f>IF(AND($Y1308&gt;=22, (AI1308&lt;&gt;"I"),(Y1308&lt;&gt;"~"),(COUNTIF($AN$1:$AN1308,$AN1308)=1)),"TRUE","FALSE")</f>
        <v>FALSE</v>
      </c>
      <c r="AI1308" s="661" t="str">
        <f t="shared" ref="AI1308:AI1371" si="145">IF(OR((LEFT($E1308,2)="01"),AND(LEFT($E1308,2)="06",ISNUMBER(SEARCH("pas",$F1308))),AND(LEFT($E1308,2)="05",ISNUMBER(SEARCH("pas",$F1308)))),"I",IF(AND((LEFT($E1308,2)&lt;&gt;"01"),$X1308&lt;=10000),"II",IF(AND((LEFT($E1308,2)&lt;&gt;"01"),$X1308&gt;10000),"N/A")))</f>
        <v>II</v>
      </c>
      <c r="AJ1308" s="662" t="str">
        <f t="shared" si="139"/>
        <v>T35V-003</v>
      </c>
      <c r="AK1308" s="662" t="str">
        <f t="shared" si="140"/>
        <v>LVN</v>
      </c>
      <c r="AL1308" s="662" t="str">
        <f t="shared" si="141"/>
        <v>FRD</v>
      </c>
      <c r="AM1308" s="662" t="str">
        <f t="shared" si="144"/>
        <v>Transit 350 Van-Dual Door-RWD-2-100.8-~-3.5L EcoBoost-6-W1D-101A-129.9-25-Unleaded-Unleaded</v>
      </c>
      <c r="AN1308" s="662" t="str">
        <f t="shared" si="142"/>
        <v>2019-LVN-FRD-T35V-003</v>
      </c>
    </row>
    <row r="1309" spans="1:40" s="572" customFormat="1" ht="15">
      <c r="A1309" s="570" t="s">
        <v>2633</v>
      </c>
      <c r="B1309" s="573" t="s">
        <v>2634</v>
      </c>
      <c r="C1309" s="573" t="s">
        <v>269</v>
      </c>
      <c r="D1309" s="578" t="s">
        <v>270</v>
      </c>
      <c r="E1309" s="573" t="s">
        <v>1516</v>
      </c>
      <c r="F1309" s="573" t="s">
        <v>1571</v>
      </c>
      <c r="G1309" s="573" t="s">
        <v>271</v>
      </c>
      <c r="H1309" s="573">
        <v>2019</v>
      </c>
      <c r="I1309" s="573" t="s">
        <v>2628</v>
      </c>
      <c r="J1309" s="573" t="s">
        <v>1916</v>
      </c>
      <c r="K1309" s="573" t="s">
        <v>236</v>
      </c>
      <c r="L1309" s="573">
        <v>2</v>
      </c>
      <c r="M1309" s="573">
        <v>0</v>
      </c>
      <c r="N1309" s="573" t="s">
        <v>157</v>
      </c>
      <c r="O1309" s="573">
        <v>1</v>
      </c>
      <c r="P1309" s="573">
        <v>100.8</v>
      </c>
      <c r="Q1309" s="571" t="s">
        <v>157</v>
      </c>
      <c r="R1309" s="573" t="s">
        <v>682</v>
      </c>
      <c r="S1309" s="573">
        <v>6</v>
      </c>
      <c r="T1309" s="573" t="s">
        <v>2632</v>
      </c>
      <c r="U1309" s="573" t="s">
        <v>1894</v>
      </c>
      <c r="V1309" s="573">
        <v>129.9</v>
      </c>
      <c r="W1309" s="573">
        <v>25</v>
      </c>
      <c r="X1309" s="571">
        <v>9500</v>
      </c>
      <c r="Y1309" s="573">
        <v>12</v>
      </c>
      <c r="Z1309" s="579" t="s">
        <v>178</v>
      </c>
      <c r="AA1309" s="579" t="s">
        <v>178</v>
      </c>
      <c r="AB1309" s="584">
        <v>37835</v>
      </c>
      <c r="AC1309" s="584" t="s">
        <v>164</v>
      </c>
      <c r="AD1309" s="584">
        <v>28425.708333333336</v>
      </c>
      <c r="AE1309" s="586">
        <v>0.03</v>
      </c>
      <c r="AF1309" s="661" t="str">
        <f t="shared" si="143"/>
        <v>2019-LVN-FRD-T35V-004-05</v>
      </c>
      <c r="AG1309" s="661" t="str">
        <f>IF(AND($Y1309&gt;=32,(AI1309="I"),(Y1309&lt;&gt;"~"),(COUNTIF($AN$1:$AN1309,$AN1309)=1)),"TRUE","FALSE")</f>
        <v>FALSE</v>
      </c>
      <c r="AH1309" s="661" t="str">
        <f>IF(AND($Y1309&gt;=22, (AI1309&lt;&gt;"I"),(Y1309&lt;&gt;"~"),(COUNTIF($AN$1:$AN1309,$AN1309)=1)),"TRUE","FALSE")</f>
        <v>FALSE</v>
      </c>
      <c r="AI1309" s="661" t="str">
        <f t="shared" si="145"/>
        <v>II</v>
      </c>
      <c r="AJ1309" s="662" t="str">
        <f t="shared" si="139"/>
        <v>T35V-004</v>
      </c>
      <c r="AK1309" s="662" t="str">
        <f t="shared" si="140"/>
        <v>LVN</v>
      </c>
      <c r="AL1309" s="662" t="str">
        <f t="shared" si="141"/>
        <v>FRD</v>
      </c>
      <c r="AM1309" s="662" t="str">
        <f t="shared" si="144"/>
        <v>Transit 350 Van-Dual Door-RWD-2-100.8-~-3.7L-6-W1D-101A-129.9-25-Unleaded-Unleaded</v>
      </c>
      <c r="AN1309" s="662" t="str">
        <f t="shared" si="142"/>
        <v>2019-LVN-FRD-T35V-004</v>
      </c>
    </row>
    <row r="1310" spans="1:40" s="572" customFormat="1" ht="15">
      <c r="A1310" s="570" t="s">
        <v>2635</v>
      </c>
      <c r="B1310" s="569" t="s">
        <v>2636</v>
      </c>
      <c r="C1310" s="569" t="s">
        <v>269</v>
      </c>
      <c r="D1310" s="580" t="s">
        <v>270</v>
      </c>
      <c r="E1310" s="569" t="s">
        <v>1516</v>
      </c>
      <c r="F1310" s="569" t="s">
        <v>1571</v>
      </c>
      <c r="G1310" s="569" t="s">
        <v>271</v>
      </c>
      <c r="H1310" s="569">
        <v>2019</v>
      </c>
      <c r="I1310" s="569" t="s">
        <v>2628</v>
      </c>
      <c r="J1310" s="569" t="s">
        <v>1916</v>
      </c>
      <c r="K1310" s="569" t="s">
        <v>236</v>
      </c>
      <c r="L1310" s="569">
        <v>2</v>
      </c>
      <c r="M1310" s="569">
        <v>0</v>
      </c>
      <c r="N1310" s="569" t="s">
        <v>157</v>
      </c>
      <c r="O1310" s="569">
        <v>1</v>
      </c>
      <c r="P1310" s="569">
        <v>109.4</v>
      </c>
      <c r="Q1310" s="568" t="s">
        <v>157</v>
      </c>
      <c r="R1310" s="569" t="s">
        <v>1917</v>
      </c>
      <c r="S1310" s="569">
        <v>5</v>
      </c>
      <c r="T1310" s="569" t="s">
        <v>2637</v>
      </c>
      <c r="U1310" s="569" t="s">
        <v>1894</v>
      </c>
      <c r="V1310" s="569">
        <v>147.6</v>
      </c>
      <c r="W1310" s="569">
        <v>25</v>
      </c>
      <c r="X1310" s="568">
        <v>9500</v>
      </c>
      <c r="Y1310" s="573">
        <v>12</v>
      </c>
      <c r="Z1310" s="581" t="s">
        <v>728</v>
      </c>
      <c r="AA1310" s="581" t="s">
        <v>1523</v>
      </c>
      <c r="AB1310" s="585">
        <v>47005</v>
      </c>
      <c r="AC1310" s="585" t="s">
        <v>164</v>
      </c>
      <c r="AD1310" s="585">
        <v>36706.5</v>
      </c>
      <c r="AE1310" s="587">
        <v>0.03</v>
      </c>
      <c r="AF1310" s="661" t="str">
        <f t="shared" si="143"/>
        <v>2019-LVN-FRD-T35V-005-05</v>
      </c>
      <c r="AG1310" s="661" t="str">
        <f>IF(AND($Y1310&gt;=32,(AI1310="I"),(Y1310&lt;&gt;"~"),(COUNTIF($AN$1:$AN1310,$AN1310)=1)),"TRUE","FALSE")</f>
        <v>FALSE</v>
      </c>
      <c r="AH1310" s="661" t="str">
        <f>IF(AND($Y1310&gt;=22, (AI1310&lt;&gt;"I"),(Y1310&lt;&gt;"~"),(COUNTIF($AN$1:$AN1310,$AN1310)=1)),"TRUE","FALSE")</f>
        <v>FALSE</v>
      </c>
      <c r="AI1310" s="661" t="str">
        <f t="shared" si="145"/>
        <v>II</v>
      </c>
      <c r="AJ1310" s="662" t="str">
        <f t="shared" si="139"/>
        <v>T35V-005</v>
      </c>
      <c r="AK1310" s="662" t="str">
        <f t="shared" si="140"/>
        <v>LVN</v>
      </c>
      <c r="AL1310" s="662" t="str">
        <f t="shared" si="141"/>
        <v>FRD</v>
      </c>
      <c r="AM1310" s="662" t="str">
        <f t="shared" si="144"/>
        <v>Transit 350 Van-Dual Door-RWD-2-109.4-~-3.2L-5-W3U-101A-147.6-25-Diesel-BioDiesel</v>
      </c>
      <c r="AN1310" s="662" t="str">
        <f t="shared" si="142"/>
        <v>2019-LVN-FRD-T35V-005</v>
      </c>
    </row>
    <row r="1311" spans="1:40" s="572" customFormat="1" ht="15">
      <c r="A1311" s="570" t="s">
        <v>2638</v>
      </c>
      <c r="B1311" s="573" t="s">
        <v>2639</v>
      </c>
      <c r="C1311" s="573" t="s">
        <v>269</v>
      </c>
      <c r="D1311" s="578" t="s">
        <v>270</v>
      </c>
      <c r="E1311" s="573" t="s">
        <v>1516</v>
      </c>
      <c r="F1311" s="573" t="s">
        <v>1571</v>
      </c>
      <c r="G1311" s="573" t="s">
        <v>271</v>
      </c>
      <c r="H1311" s="573">
        <v>2019</v>
      </c>
      <c r="I1311" s="573" t="s">
        <v>2628</v>
      </c>
      <c r="J1311" s="573" t="s">
        <v>1916</v>
      </c>
      <c r="K1311" s="573" t="s">
        <v>236</v>
      </c>
      <c r="L1311" s="573">
        <v>2</v>
      </c>
      <c r="M1311" s="573">
        <v>0</v>
      </c>
      <c r="N1311" s="573" t="s">
        <v>157</v>
      </c>
      <c r="O1311" s="573">
        <v>1</v>
      </c>
      <c r="P1311" s="573">
        <v>109.4</v>
      </c>
      <c r="Q1311" s="571" t="s">
        <v>157</v>
      </c>
      <c r="R1311" s="573" t="s">
        <v>1259</v>
      </c>
      <c r="S1311" s="573">
        <v>6</v>
      </c>
      <c r="T1311" s="573" t="s">
        <v>2637</v>
      </c>
      <c r="U1311" s="573" t="s">
        <v>1894</v>
      </c>
      <c r="V1311" s="573">
        <v>147.6</v>
      </c>
      <c r="W1311" s="573">
        <v>25</v>
      </c>
      <c r="X1311" s="571">
        <v>9500</v>
      </c>
      <c r="Y1311" s="573">
        <v>12</v>
      </c>
      <c r="Z1311" s="579" t="s">
        <v>178</v>
      </c>
      <c r="AA1311" s="579" t="s">
        <v>178</v>
      </c>
      <c r="AB1311" s="584">
        <v>44875</v>
      </c>
      <c r="AC1311" s="584" t="s">
        <v>164</v>
      </c>
      <c r="AD1311" s="584">
        <v>34813.208333333336</v>
      </c>
      <c r="AE1311" s="586">
        <v>0.03</v>
      </c>
      <c r="AF1311" s="661" t="str">
        <f t="shared" si="143"/>
        <v>2019-LVN-FRD-T35V-006-05</v>
      </c>
      <c r="AG1311" s="661" t="str">
        <f>IF(AND($Y1311&gt;=32,(AI1311="I"),(Y1311&lt;&gt;"~"),(COUNTIF($AN$1:$AN1311,$AN1311)=1)),"TRUE","FALSE")</f>
        <v>FALSE</v>
      </c>
      <c r="AH1311" s="661" t="str">
        <f>IF(AND($Y1311&gt;=22, (AI1311&lt;&gt;"I"),(Y1311&lt;&gt;"~"),(COUNTIF($AN$1:$AN1311,$AN1311)=1)),"TRUE","FALSE")</f>
        <v>FALSE</v>
      </c>
      <c r="AI1311" s="661" t="str">
        <f t="shared" si="145"/>
        <v>II</v>
      </c>
      <c r="AJ1311" s="662" t="str">
        <f t="shared" si="139"/>
        <v>T35V-006</v>
      </c>
      <c r="AK1311" s="662" t="str">
        <f t="shared" si="140"/>
        <v>LVN</v>
      </c>
      <c r="AL1311" s="662" t="str">
        <f t="shared" si="141"/>
        <v>FRD</v>
      </c>
      <c r="AM1311" s="662" t="str">
        <f t="shared" si="144"/>
        <v>Transit 350 Van-Dual Door-RWD-2-109.4-~-3.5L EcoBoost-6-W3U-101A-147.6-25-Unleaded-Unleaded</v>
      </c>
      <c r="AN1311" s="662" t="str">
        <f t="shared" si="142"/>
        <v>2019-LVN-FRD-T35V-006</v>
      </c>
    </row>
    <row r="1312" spans="1:40" s="572" customFormat="1" ht="15">
      <c r="A1312" s="570" t="s">
        <v>2640</v>
      </c>
      <c r="B1312" s="569" t="s">
        <v>2641</v>
      </c>
      <c r="C1312" s="569" t="s">
        <v>269</v>
      </c>
      <c r="D1312" s="580" t="s">
        <v>270</v>
      </c>
      <c r="E1312" s="569" t="s">
        <v>1516</v>
      </c>
      <c r="F1312" s="569" t="s">
        <v>1571</v>
      </c>
      <c r="G1312" s="569" t="s">
        <v>271</v>
      </c>
      <c r="H1312" s="569">
        <v>2019</v>
      </c>
      <c r="I1312" s="569" t="s">
        <v>2628</v>
      </c>
      <c r="J1312" s="569" t="s">
        <v>1916</v>
      </c>
      <c r="K1312" s="569" t="s">
        <v>236</v>
      </c>
      <c r="L1312" s="569">
        <v>2</v>
      </c>
      <c r="M1312" s="569">
        <v>0</v>
      </c>
      <c r="N1312" s="569" t="s">
        <v>157</v>
      </c>
      <c r="O1312" s="569">
        <v>1</v>
      </c>
      <c r="P1312" s="569">
        <v>109.4</v>
      </c>
      <c r="Q1312" s="568" t="s">
        <v>157</v>
      </c>
      <c r="R1312" s="569" t="s">
        <v>682</v>
      </c>
      <c r="S1312" s="569">
        <v>6</v>
      </c>
      <c r="T1312" s="569" t="s">
        <v>2637</v>
      </c>
      <c r="U1312" s="569" t="s">
        <v>1894</v>
      </c>
      <c r="V1312" s="569">
        <v>147.6</v>
      </c>
      <c r="W1312" s="569">
        <v>25</v>
      </c>
      <c r="X1312" s="568">
        <v>9500</v>
      </c>
      <c r="Y1312" s="573">
        <v>12</v>
      </c>
      <c r="Z1312" s="581" t="s">
        <v>178</v>
      </c>
      <c r="AA1312" s="581" t="s">
        <v>178</v>
      </c>
      <c r="AB1312" s="585">
        <v>43010</v>
      </c>
      <c r="AC1312" s="585" t="s">
        <v>164</v>
      </c>
      <c r="AD1312" s="585">
        <v>33156.958333333336</v>
      </c>
      <c r="AE1312" s="587">
        <v>0.03</v>
      </c>
      <c r="AF1312" s="661" t="str">
        <f t="shared" si="143"/>
        <v>2019-LVN-FRD-T35V-007-05</v>
      </c>
      <c r="AG1312" s="661" t="str">
        <f>IF(AND($Y1312&gt;=32,(AI1312="I"),(Y1312&lt;&gt;"~"),(COUNTIF($AN$1:$AN1312,$AN1312)=1)),"TRUE","FALSE")</f>
        <v>FALSE</v>
      </c>
      <c r="AH1312" s="661" t="str">
        <f>IF(AND($Y1312&gt;=22, (AI1312&lt;&gt;"I"),(Y1312&lt;&gt;"~"),(COUNTIF($AN$1:$AN1312,$AN1312)=1)),"TRUE","FALSE")</f>
        <v>FALSE</v>
      </c>
      <c r="AI1312" s="661" t="str">
        <f t="shared" si="145"/>
        <v>II</v>
      </c>
      <c r="AJ1312" s="662" t="str">
        <f t="shared" si="139"/>
        <v>T35V-007</v>
      </c>
      <c r="AK1312" s="662" t="str">
        <f t="shared" si="140"/>
        <v>LVN</v>
      </c>
      <c r="AL1312" s="662" t="str">
        <f t="shared" si="141"/>
        <v>FRD</v>
      </c>
      <c r="AM1312" s="662" t="str">
        <f t="shared" si="144"/>
        <v>Transit 350 Van-Dual Door-RWD-2-109.4-~-3.7L-6-W3U-101A-147.6-25-Unleaded-Unleaded</v>
      </c>
      <c r="AN1312" s="662" t="str">
        <f t="shared" si="142"/>
        <v>2019-LVN-FRD-T35V-007</v>
      </c>
    </row>
    <row r="1313" spans="1:40" s="572" customFormat="1" ht="15">
      <c r="A1313" s="570" t="s">
        <v>2642</v>
      </c>
      <c r="B1313" s="573" t="s">
        <v>2643</v>
      </c>
      <c r="C1313" s="573" t="s">
        <v>269</v>
      </c>
      <c r="D1313" s="578" t="s">
        <v>270</v>
      </c>
      <c r="E1313" s="573" t="s">
        <v>1516</v>
      </c>
      <c r="F1313" s="573" t="s">
        <v>1571</v>
      </c>
      <c r="G1313" s="573" t="s">
        <v>271</v>
      </c>
      <c r="H1313" s="573">
        <v>2019</v>
      </c>
      <c r="I1313" s="573" t="s">
        <v>2628</v>
      </c>
      <c r="J1313" s="573" t="s">
        <v>1916</v>
      </c>
      <c r="K1313" s="573" t="s">
        <v>236</v>
      </c>
      <c r="L1313" s="573">
        <v>2</v>
      </c>
      <c r="M1313" s="573">
        <v>0</v>
      </c>
      <c r="N1313" s="573" t="s">
        <v>157</v>
      </c>
      <c r="O1313" s="573">
        <v>1</v>
      </c>
      <c r="P1313" s="573">
        <v>110.1</v>
      </c>
      <c r="Q1313" s="571" t="s">
        <v>157</v>
      </c>
      <c r="R1313" s="573" t="s">
        <v>1259</v>
      </c>
      <c r="S1313" s="573">
        <v>6</v>
      </c>
      <c r="T1313" s="573" t="s">
        <v>2644</v>
      </c>
      <c r="U1313" s="573" t="s">
        <v>1894</v>
      </c>
      <c r="V1313" s="573">
        <v>147.6</v>
      </c>
      <c r="W1313" s="573">
        <v>25</v>
      </c>
      <c r="X1313" s="571">
        <v>9500</v>
      </c>
      <c r="Y1313" s="573">
        <v>12</v>
      </c>
      <c r="Z1313" s="579" t="s">
        <v>178</v>
      </c>
      <c r="AA1313" s="579" t="s">
        <v>178</v>
      </c>
      <c r="AB1313" s="584">
        <v>43575</v>
      </c>
      <c r="AC1313" s="584" t="s">
        <v>164</v>
      </c>
      <c r="AD1313" s="584">
        <v>33623.625</v>
      </c>
      <c r="AE1313" s="586">
        <v>0.03</v>
      </c>
      <c r="AF1313" s="661" t="str">
        <f t="shared" si="143"/>
        <v>2019-LVN-FRD-T35V-008-05</v>
      </c>
      <c r="AG1313" s="661" t="str">
        <f>IF(AND($Y1313&gt;=32,(AI1313="I"),(Y1313&lt;&gt;"~"),(COUNTIF($AN$1:$AN1313,$AN1313)=1)),"TRUE","FALSE")</f>
        <v>FALSE</v>
      </c>
      <c r="AH1313" s="661" t="str">
        <f>IF(AND($Y1313&gt;=22, (AI1313&lt;&gt;"I"),(Y1313&lt;&gt;"~"),(COUNTIF($AN$1:$AN1313,$AN1313)=1)),"TRUE","FALSE")</f>
        <v>FALSE</v>
      </c>
      <c r="AI1313" s="661" t="str">
        <f t="shared" si="145"/>
        <v>II</v>
      </c>
      <c r="AJ1313" s="662" t="str">
        <f t="shared" si="139"/>
        <v>T35V-008</v>
      </c>
      <c r="AK1313" s="662" t="str">
        <f t="shared" si="140"/>
        <v>LVN</v>
      </c>
      <c r="AL1313" s="662" t="str">
        <f t="shared" si="141"/>
        <v>FRD</v>
      </c>
      <c r="AM1313" s="662" t="str">
        <f t="shared" si="144"/>
        <v>Transit 350 Van-Dual Door-RWD-2-110.1-~-3.5L EcoBoost-6-W2U-101A-147.6-25-Unleaded-Unleaded</v>
      </c>
      <c r="AN1313" s="662" t="str">
        <f t="shared" si="142"/>
        <v>2019-LVN-FRD-T35V-008</v>
      </c>
    </row>
    <row r="1314" spans="1:40" s="572" customFormat="1" ht="15">
      <c r="A1314" s="570" t="s">
        <v>2645</v>
      </c>
      <c r="B1314" s="569" t="s">
        <v>2646</v>
      </c>
      <c r="C1314" s="569" t="s">
        <v>269</v>
      </c>
      <c r="D1314" s="580" t="s">
        <v>270</v>
      </c>
      <c r="E1314" s="569" t="s">
        <v>1516</v>
      </c>
      <c r="F1314" s="569" t="s">
        <v>1571</v>
      </c>
      <c r="G1314" s="569" t="s">
        <v>271</v>
      </c>
      <c r="H1314" s="569">
        <v>2019</v>
      </c>
      <c r="I1314" s="569" t="s">
        <v>2628</v>
      </c>
      <c r="J1314" s="569" t="s">
        <v>1916</v>
      </c>
      <c r="K1314" s="569" t="s">
        <v>236</v>
      </c>
      <c r="L1314" s="569">
        <v>2</v>
      </c>
      <c r="M1314" s="569">
        <v>0</v>
      </c>
      <c r="N1314" s="569" t="s">
        <v>157</v>
      </c>
      <c r="O1314" s="569">
        <v>1</v>
      </c>
      <c r="P1314" s="569">
        <v>110.1</v>
      </c>
      <c r="Q1314" s="568" t="s">
        <v>157</v>
      </c>
      <c r="R1314" s="569" t="s">
        <v>682</v>
      </c>
      <c r="S1314" s="569">
        <v>6</v>
      </c>
      <c r="T1314" s="569" t="s">
        <v>2644</v>
      </c>
      <c r="U1314" s="569" t="s">
        <v>1894</v>
      </c>
      <c r="V1314" s="569">
        <v>147.6</v>
      </c>
      <c r="W1314" s="569">
        <v>25</v>
      </c>
      <c r="X1314" s="568">
        <v>9500</v>
      </c>
      <c r="Y1314" s="573">
        <v>12</v>
      </c>
      <c r="Z1314" s="581" t="s">
        <v>178</v>
      </c>
      <c r="AA1314" s="581" t="s">
        <v>178</v>
      </c>
      <c r="AB1314" s="585">
        <v>41710</v>
      </c>
      <c r="AC1314" s="585" t="s">
        <v>164</v>
      </c>
      <c r="AD1314" s="585">
        <v>31967.375</v>
      </c>
      <c r="AE1314" s="587">
        <v>0.03</v>
      </c>
      <c r="AF1314" s="661" t="str">
        <f t="shared" si="143"/>
        <v>2019-LVN-FRD-T35V-009-05</v>
      </c>
      <c r="AG1314" s="661" t="str">
        <f>IF(AND($Y1314&gt;=32,(AI1314="I"),(Y1314&lt;&gt;"~"),(COUNTIF($AN$1:$AN1314,$AN1314)=1)),"TRUE","FALSE")</f>
        <v>FALSE</v>
      </c>
      <c r="AH1314" s="661" t="str">
        <f>IF(AND($Y1314&gt;=22, (AI1314&lt;&gt;"I"),(Y1314&lt;&gt;"~"),(COUNTIF($AN$1:$AN1314,$AN1314)=1)),"TRUE","FALSE")</f>
        <v>FALSE</v>
      </c>
      <c r="AI1314" s="661" t="str">
        <f t="shared" si="145"/>
        <v>II</v>
      </c>
      <c r="AJ1314" s="662" t="str">
        <f t="shared" si="139"/>
        <v>T35V-009</v>
      </c>
      <c r="AK1314" s="662" t="str">
        <f t="shared" si="140"/>
        <v>LVN</v>
      </c>
      <c r="AL1314" s="662" t="str">
        <f t="shared" si="141"/>
        <v>FRD</v>
      </c>
      <c r="AM1314" s="662" t="str">
        <f t="shared" si="144"/>
        <v>Transit 350 Van-Dual Door-RWD-2-110.1-~-3.7L-6-W2U-101A-147.6-25-Unleaded-Unleaded</v>
      </c>
      <c r="AN1314" s="662" t="str">
        <f t="shared" si="142"/>
        <v>2019-LVN-FRD-T35V-009</v>
      </c>
    </row>
    <row r="1315" spans="1:40" s="572" customFormat="1" ht="15">
      <c r="A1315" s="570" t="s">
        <v>2647</v>
      </c>
      <c r="B1315" s="573" t="s">
        <v>2627</v>
      </c>
      <c r="C1315" s="573" t="s">
        <v>278</v>
      </c>
      <c r="D1315" s="578">
        <v>15</v>
      </c>
      <c r="E1315" s="573" t="s">
        <v>1516</v>
      </c>
      <c r="F1315" s="573" t="s">
        <v>1571</v>
      </c>
      <c r="G1315" s="573" t="s">
        <v>271</v>
      </c>
      <c r="H1315" s="573">
        <v>2019</v>
      </c>
      <c r="I1315" s="573" t="s">
        <v>2628</v>
      </c>
      <c r="J1315" s="573" t="s">
        <v>1916</v>
      </c>
      <c r="K1315" s="573" t="s">
        <v>236</v>
      </c>
      <c r="L1315" s="573">
        <v>2</v>
      </c>
      <c r="M1315" s="573">
        <v>0</v>
      </c>
      <c r="N1315" s="573" t="s">
        <v>157</v>
      </c>
      <c r="O1315" s="573">
        <v>1</v>
      </c>
      <c r="P1315" s="573">
        <v>100.7</v>
      </c>
      <c r="Q1315" s="571" t="s">
        <v>157</v>
      </c>
      <c r="R1315" s="573" t="s">
        <v>1259</v>
      </c>
      <c r="S1315" s="573">
        <v>6</v>
      </c>
      <c r="T1315" s="573" t="s">
        <v>2629</v>
      </c>
      <c r="U1315" s="573" t="s">
        <v>1894</v>
      </c>
      <c r="V1315" s="573">
        <v>147.6</v>
      </c>
      <c r="W1315" s="573">
        <v>25</v>
      </c>
      <c r="X1315" s="571">
        <v>9500</v>
      </c>
      <c r="Y1315" s="573">
        <v>12</v>
      </c>
      <c r="Z1315" s="579" t="s">
        <v>178</v>
      </c>
      <c r="AA1315" s="579" t="s">
        <v>178</v>
      </c>
      <c r="AB1315" s="584">
        <v>41425</v>
      </c>
      <c r="AC1315" s="584" t="s">
        <v>164</v>
      </c>
      <c r="AD1315" s="584">
        <v>32300</v>
      </c>
      <c r="AE1315" s="586">
        <v>0.01</v>
      </c>
      <c r="AF1315" s="661" t="str">
        <f t="shared" si="143"/>
        <v>2019-LVN-FRD-T35V-001-15</v>
      </c>
      <c r="AG1315" s="661" t="str">
        <f>IF(AND($Y1315&gt;=32,(AI1315="I"),(Y1315&lt;&gt;"~"),(COUNTIF($AN$1:$AN1315,$AN1315)=1)),"TRUE","FALSE")</f>
        <v>FALSE</v>
      </c>
      <c r="AH1315" s="661" t="str">
        <f>IF(AND($Y1315&gt;=22, (AI1315&lt;&gt;"I"),(Y1315&lt;&gt;"~"),(COUNTIF($AN$1:$AN1315,$AN1315)=1)),"TRUE","FALSE")</f>
        <v>FALSE</v>
      </c>
      <c r="AI1315" s="661" t="str">
        <f t="shared" si="145"/>
        <v>II</v>
      </c>
      <c r="AJ1315" s="662" t="str">
        <f t="shared" si="139"/>
        <v>T35V-001</v>
      </c>
      <c r="AK1315" s="662" t="str">
        <f t="shared" si="140"/>
        <v>LVN</v>
      </c>
      <c r="AL1315" s="662" t="str">
        <f t="shared" si="141"/>
        <v>FRD</v>
      </c>
      <c r="AM1315" s="662" t="str">
        <f t="shared" si="144"/>
        <v>Transit 350 Van-Dual Door-RWD-2-100.7-~-3.5L EcoBoost-6-W2D-101A-147.6-25-Unleaded-Unleaded</v>
      </c>
      <c r="AN1315" s="662" t="str">
        <f t="shared" si="142"/>
        <v>2019-LVN-FRD-T35V-001</v>
      </c>
    </row>
    <row r="1316" spans="1:40" s="572" customFormat="1" ht="15">
      <c r="A1316" s="570" t="s">
        <v>2648</v>
      </c>
      <c r="B1316" s="569" t="s">
        <v>2649</v>
      </c>
      <c r="C1316" s="569" t="s">
        <v>278</v>
      </c>
      <c r="D1316" s="580">
        <v>15</v>
      </c>
      <c r="E1316" s="569" t="s">
        <v>1516</v>
      </c>
      <c r="F1316" s="569" t="s">
        <v>1571</v>
      </c>
      <c r="G1316" s="569" t="s">
        <v>271</v>
      </c>
      <c r="H1316" s="569">
        <v>2019</v>
      </c>
      <c r="I1316" s="569" t="s">
        <v>2628</v>
      </c>
      <c r="J1316" s="569" t="s">
        <v>1916</v>
      </c>
      <c r="K1316" s="569" t="s">
        <v>236</v>
      </c>
      <c r="L1316" s="569">
        <v>2</v>
      </c>
      <c r="M1316" s="569">
        <v>0</v>
      </c>
      <c r="N1316" s="569" t="s">
        <v>157</v>
      </c>
      <c r="O1316" s="569">
        <v>1</v>
      </c>
      <c r="P1316" s="569">
        <v>100.7</v>
      </c>
      <c r="Q1316" s="568" t="s">
        <v>157</v>
      </c>
      <c r="R1316" s="569" t="s">
        <v>682</v>
      </c>
      <c r="S1316" s="569">
        <v>6</v>
      </c>
      <c r="T1316" s="569" t="s">
        <v>2629</v>
      </c>
      <c r="U1316" s="569" t="s">
        <v>1894</v>
      </c>
      <c r="V1316" s="569">
        <v>147.6</v>
      </c>
      <c r="W1316" s="569">
        <v>25</v>
      </c>
      <c r="X1316" s="568">
        <v>9500</v>
      </c>
      <c r="Y1316" s="573">
        <v>12</v>
      </c>
      <c r="Z1316" s="581" t="s">
        <v>178</v>
      </c>
      <c r="AA1316" s="581" t="s">
        <v>178</v>
      </c>
      <c r="AB1316" s="585">
        <v>39560</v>
      </c>
      <c r="AC1316" s="585" t="s">
        <v>164</v>
      </c>
      <c r="AD1316" s="585">
        <v>30600</v>
      </c>
      <c r="AE1316" s="587">
        <v>0.01</v>
      </c>
      <c r="AF1316" s="661" t="str">
        <f t="shared" si="143"/>
        <v>2019-LVN-FRD-T35V-002-15</v>
      </c>
      <c r="AG1316" s="661" t="str">
        <f>IF(AND($Y1316&gt;=32,(AI1316="I"),(Y1316&lt;&gt;"~"),(COUNTIF($AN$1:$AN1316,$AN1316)=1)),"TRUE","FALSE")</f>
        <v>FALSE</v>
      </c>
      <c r="AH1316" s="661" t="str">
        <f>IF(AND($Y1316&gt;=22, (AI1316&lt;&gt;"I"),(Y1316&lt;&gt;"~"),(COUNTIF($AN$1:$AN1316,$AN1316)=1)),"TRUE","FALSE")</f>
        <v>FALSE</v>
      </c>
      <c r="AI1316" s="661" t="str">
        <f t="shared" si="145"/>
        <v>II</v>
      </c>
      <c r="AJ1316" s="662" t="str">
        <f t="shared" si="139"/>
        <v>T35V-002</v>
      </c>
      <c r="AK1316" s="662" t="str">
        <f t="shared" si="140"/>
        <v>LVN</v>
      </c>
      <c r="AL1316" s="662" t="str">
        <f t="shared" si="141"/>
        <v>FRD</v>
      </c>
      <c r="AM1316" s="662" t="str">
        <f t="shared" si="144"/>
        <v>Transit 350 Van-Dual Door-RWD-2-100.7-~-3.7L-6-W2D-101A-147.6-25-Unleaded-Unleaded</v>
      </c>
      <c r="AN1316" s="662" t="str">
        <f t="shared" si="142"/>
        <v>2019-LVN-FRD-T35V-002</v>
      </c>
    </row>
    <row r="1317" spans="1:40" s="572" customFormat="1" ht="15">
      <c r="A1317" s="570" t="s">
        <v>2650</v>
      </c>
      <c r="B1317" s="573" t="s">
        <v>2631</v>
      </c>
      <c r="C1317" s="573" t="s">
        <v>278</v>
      </c>
      <c r="D1317" s="578">
        <v>15</v>
      </c>
      <c r="E1317" s="573" t="s">
        <v>1516</v>
      </c>
      <c r="F1317" s="573" t="s">
        <v>1571</v>
      </c>
      <c r="G1317" s="573" t="s">
        <v>271</v>
      </c>
      <c r="H1317" s="573">
        <v>2019</v>
      </c>
      <c r="I1317" s="573" t="s">
        <v>2628</v>
      </c>
      <c r="J1317" s="573" t="s">
        <v>1916</v>
      </c>
      <c r="K1317" s="573" t="s">
        <v>236</v>
      </c>
      <c r="L1317" s="573">
        <v>2</v>
      </c>
      <c r="M1317" s="573">
        <v>0</v>
      </c>
      <c r="N1317" s="573" t="s">
        <v>157</v>
      </c>
      <c r="O1317" s="573">
        <v>1</v>
      </c>
      <c r="P1317" s="573">
        <v>100.8</v>
      </c>
      <c r="Q1317" s="571" t="s">
        <v>157</v>
      </c>
      <c r="R1317" s="573" t="s">
        <v>1259</v>
      </c>
      <c r="S1317" s="573">
        <v>6</v>
      </c>
      <c r="T1317" s="573" t="s">
        <v>2632</v>
      </c>
      <c r="U1317" s="573" t="s">
        <v>1894</v>
      </c>
      <c r="V1317" s="573">
        <v>129.9</v>
      </c>
      <c r="W1317" s="573">
        <v>25</v>
      </c>
      <c r="X1317" s="571">
        <v>9500</v>
      </c>
      <c r="Y1317" s="573">
        <v>12</v>
      </c>
      <c r="Z1317" s="579" t="s">
        <v>178</v>
      </c>
      <c r="AA1317" s="579" t="s">
        <v>178</v>
      </c>
      <c r="AB1317" s="584">
        <v>39700</v>
      </c>
      <c r="AC1317" s="584" t="s">
        <v>164</v>
      </c>
      <c r="AD1317" s="584">
        <v>30700</v>
      </c>
      <c r="AE1317" s="586">
        <v>0.01</v>
      </c>
      <c r="AF1317" s="661" t="str">
        <f t="shared" si="143"/>
        <v>2019-LVN-FRD-T35V-003-15</v>
      </c>
      <c r="AG1317" s="661" t="str">
        <f>IF(AND($Y1317&gt;=32,(AI1317="I"),(Y1317&lt;&gt;"~"),(COUNTIF($AN$1:$AN1317,$AN1317)=1)),"TRUE","FALSE")</f>
        <v>FALSE</v>
      </c>
      <c r="AH1317" s="661" t="str">
        <f>IF(AND($Y1317&gt;=22, (AI1317&lt;&gt;"I"),(Y1317&lt;&gt;"~"),(COUNTIF($AN$1:$AN1317,$AN1317)=1)),"TRUE","FALSE")</f>
        <v>FALSE</v>
      </c>
      <c r="AI1317" s="661" t="str">
        <f t="shared" si="145"/>
        <v>II</v>
      </c>
      <c r="AJ1317" s="662" t="str">
        <f t="shared" si="139"/>
        <v>T35V-003</v>
      </c>
      <c r="AK1317" s="662" t="str">
        <f t="shared" si="140"/>
        <v>LVN</v>
      </c>
      <c r="AL1317" s="662" t="str">
        <f t="shared" si="141"/>
        <v>FRD</v>
      </c>
      <c r="AM1317" s="662" t="str">
        <f t="shared" si="144"/>
        <v>Transit 350 Van-Dual Door-RWD-2-100.8-~-3.5L EcoBoost-6-W1D-101A-129.9-25-Unleaded-Unleaded</v>
      </c>
      <c r="AN1317" s="662" t="str">
        <f t="shared" si="142"/>
        <v>2019-LVN-FRD-T35V-003</v>
      </c>
    </row>
    <row r="1318" spans="1:40" s="572" customFormat="1" ht="15">
      <c r="A1318" s="570" t="s">
        <v>2651</v>
      </c>
      <c r="B1318" s="569" t="s">
        <v>2634</v>
      </c>
      <c r="C1318" s="569" t="s">
        <v>278</v>
      </c>
      <c r="D1318" s="580">
        <v>15</v>
      </c>
      <c r="E1318" s="569" t="s">
        <v>1516</v>
      </c>
      <c r="F1318" s="569" t="s">
        <v>1571</v>
      </c>
      <c r="G1318" s="569" t="s">
        <v>271</v>
      </c>
      <c r="H1318" s="569">
        <v>2019</v>
      </c>
      <c r="I1318" s="569" t="s">
        <v>2628</v>
      </c>
      <c r="J1318" s="569" t="s">
        <v>1916</v>
      </c>
      <c r="K1318" s="569" t="s">
        <v>236</v>
      </c>
      <c r="L1318" s="569">
        <v>2</v>
      </c>
      <c r="M1318" s="569">
        <v>0</v>
      </c>
      <c r="N1318" s="569" t="s">
        <v>157</v>
      </c>
      <c r="O1318" s="569">
        <v>1</v>
      </c>
      <c r="P1318" s="569">
        <v>100.8</v>
      </c>
      <c r="Q1318" s="568" t="s">
        <v>157</v>
      </c>
      <c r="R1318" s="569" t="s">
        <v>682</v>
      </c>
      <c r="S1318" s="569">
        <v>6</v>
      </c>
      <c r="T1318" s="569" t="s">
        <v>2632</v>
      </c>
      <c r="U1318" s="569" t="s">
        <v>1894</v>
      </c>
      <c r="V1318" s="569">
        <v>129.9</v>
      </c>
      <c r="W1318" s="569">
        <v>25</v>
      </c>
      <c r="X1318" s="568">
        <v>9500</v>
      </c>
      <c r="Y1318" s="573">
        <v>12</v>
      </c>
      <c r="Z1318" s="581" t="s">
        <v>178</v>
      </c>
      <c r="AA1318" s="581" t="s">
        <v>178</v>
      </c>
      <c r="AB1318" s="585">
        <v>37835</v>
      </c>
      <c r="AC1318" s="585" t="s">
        <v>164</v>
      </c>
      <c r="AD1318" s="585">
        <v>29000</v>
      </c>
      <c r="AE1318" s="587">
        <v>0.01</v>
      </c>
      <c r="AF1318" s="661" t="str">
        <f t="shared" si="143"/>
        <v>2019-LVN-FRD-T35V-004-15</v>
      </c>
      <c r="AG1318" s="661" t="str">
        <f>IF(AND($Y1318&gt;=32,(AI1318="I"),(Y1318&lt;&gt;"~"),(COUNTIF($AN$1:$AN1318,$AN1318)=1)),"TRUE","FALSE")</f>
        <v>FALSE</v>
      </c>
      <c r="AH1318" s="661" t="str">
        <f>IF(AND($Y1318&gt;=22, (AI1318&lt;&gt;"I"),(Y1318&lt;&gt;"~"),(COUNTIF($AN$1:$AN1318,$AN1318)=1)),"TRUE","FALSE")</f>
        <v>FALSE</v>
      </c>
      <c r="AI1318" s="661" t="str">
        <f t="shared" si="145"/>
        <v>II</v>
      </c>
      <c r="AJ1318" s="662" t="str">
        <f t="shared" si="139"/>
        <v>T35V-004</v>
      </c>
      <c r="AK1318" s="662" t="str">
        <f t="shared" si="140"/>
        <v>LVN</v>
      </c>
      <c r="AL1318" s="662" t="str">
        <f t="shared" si="141"/>
        <v>FRD</v>
      </c>
      <c r="AM1318" s="662" t="str">
        <f t="shared" si="144"/>
        <v>Transit 350 Van-Dual Door-RWD-2-100.8-~-3.7L-6-W1D-101A-129.9-25-Unleaded-Unleaded</v>
      </c>
      <c r="AN1318" s="662" t="str">
        <f t="shared" si="142"/>
        <v>2019-LVN-FRD-T35V-004</v>
      </c>
    </row>
    <row r="1319" spans="1:40" s="572" customFormat="1" ht="15">
      <c r="A1319" s="570" t="s">
        <v>2652</v>
      </c>
      <c r="B1319" s="573" t="s">
        <v>2636</v>
      </c>
      <c r="C1319" s="573" t="s">
        <v>278</v>
      </c>
      <c r="D1319" s="578">
        <v>15</v>
      </c>
      <c r="E1319" s="573" t="s">
        <v>1516</v>
      </c>
      <c r="F1319" s="573" t="s">
        <v>1571</v>
      </c>
      <c r="G1319" s="573" t="s">
        <v>271</v>
      </c>
      <c r="H1319" s="573">
        <v>2019</v>
      </c>
      <c r="I1319" s="573" t="s">
        <v>2628</v>
      </c>
      <c r="J1319" s="573" t="s">
        <v>1916</v>
      </c>
      <c r="K1319" s="573" t="s">
        <v>236</v>
      </c>
      <c r="L1319" s="573">
        <v>2</v>
      </c>
      <c r="M1319" s="573">
        <v>0</v>
      </c>
      <c r="N1319" s="573" t="s">
        <v>157</v>
      </c>
      <c r="O1319" s="573">
        <v>1</v>
      </c>
      <c r="P1319" s="573">
        <v>109.4</v>
      </c>
      <c r="Q1319" s="571" t="s">
        <v>157</v>
      </c>
      <c r="R1319" s="573" t="s">
        <v>1917</v>
      </c>
      <c r="S1319" s="573">
        <v>5</v>
      </c>
      <c r="T1319" s="573" t="s">
        <v>2637</v>
      </c>
      <c r="U1319" s="573" t="s">
        <v>1894</v>
      </c>
      <c r="V1319" s="573">
        <v>147.6</v>
      </c>
      <c r="W1319" s="573">
        <v>25</v>
      </c>
      <c r="X1319" s="571">
        <v>9500</v>
      </c>
      <c r="Y1319" s="573">
        <v>12</v>
      </c>
      <c r="Z1319" s="579" t="s">
        <v>728</v>
      </c>
      <c r="AA1319" s="579" t="s">
        <v>1523</v>
      </c>
      <c r="AB1319" s="584">
        <v>47005</v>
      </c>
      <c r="AC1319" s="584" t="s">
        <v>164</v>
      </c>
      <c r="AD1319" s="584">
        <v>37500</v>
      </c>
      <c r="AE1319" s="586">
        <v>0.01</v>
      </c>
      <c r="AF1319" s="661" t="str">
        <f t="shared" si="143"/>
        <v>2019-LVN-FRD-T35V-005-15</v>
      </c>
      <c r="AG1319" s="661" t="str">
        <f>IF(AND($Y1319&gt;=32,(AI1319="I"),(Y1319&lt;&gt;"~"),(COUNTIF($AN$1:$AN1319,$AN1319)=1)),"TRUE","FALSE")</f>
        <v>FALSE</v>
      </c>
      <c r="AH1319" s="661" t="str">
        <f>IF(AND($Y1319&gt;=22, (AI1319&lt;&gt;"I"),(Y1319&lt;&gt;"~"),(COUNTIF($AN$1:$AN1319,$AN1319)=1)),"TRUE","FALSE")</f>
        <v>FALSE</v>
      </c>
      <c r="AI1319" s="661" t="str">
        <f t="shared" si="145"/>
        <v>II</v>
      </c>
      <c r="AJ1319" s="662" t="str">
        <f t="shared" si="139"/>
        <v>T35V-005</v>
      </c>
      <c r="AK1319" s="662" t="str">
        <f t="shared" si="140"/>
        <v>LVN</v>
      </c>
      <c r="AL1319" s="662" t="str">
        <f t="shared" si="141"/>
        <v>FRD</v>
      </c>
      <c r="AM1319" s="662" t="str">
        <f t="shared" si="144"/>
        <v>Transit 350 Van-Dual Door-RWD-2-109.4-~-3.2L-5-W3U-101A-147.6-25-Diesel-BioDiesel</v>
      </c>
      <c r="AN1319" s="662" t="str">
        <f t="shared" si="142"/>
        <v>2019-LVN-FRD-T35V-005</v>
      </c>
    </row>
    <row r="1320" spans="1:40" s="572" customFormat="1" ht="15">
      <c r="A1320" s="570" t="s">
        <v>2653</v>
      </c>
      <c r="B1320" s="569" t="s">
        <v>2639</v>
      </c>
      <c r="C1320" s="569" t="s">
        <v>278</v>
      </c>
      <c r="D1320" s="580">
        <v>15</v>
      </c>
      <c r="E1320" s="569" t="s">
        <v>1516</v>
      </c>
      <c r="F1320" s="569" t="s">
        <v>1571</v>
      </c>
      <c r="G1320" s="569" t="s">
        <v>271</v>
      </c>
      <c r="H1320" s="569">
        <v>2019</v>
      </c>
      <c r="I1320" s="569" t="s">
        <v>2628</v>
      </c>
      <c r="J1320" s="569" t="s">
        <v>1916</v>
      </c>
      <c r="K1320" s="569" t="s">
        <v>236</v>
      </c>
      <c r="L1320" s="569">
        <v>2</v>
      </c>
      <c r="M1320" s="569">
        <v>0</v>
      </c>
      <c r="N1320" s="569" t="s">
        <v>157</v>
      </c>
      <c r="O1320" s="569">
        <v>1</v>
      </c>
      <c r="P1320" s="569">
        <v>109.4</v>
      </c>
      <c r="Q1320" s="568" t="s">
        <v>157</v>
      </c>
      <c r="R1320" s="569" t="s">
        <v>1259</v>
      </c>
      <c r="S1320" s="569">
        <v>6</v>
      </c>
      <c r="T1320" s="569" t="s">
        <v>2637</v>
      </c>
      <c r="U1320" s="569" t="s">
        <v>1894</v>
      </c>
      <c r="V1320" s="569">
        <v>147.6</v>
      </c>
      <c r="W1320" s="569">
        <v>25</v>
      </c>
      <c r="X1320" s="568">
        <v>9500</v>
      </c>
      <c r="Y1320" s="573">
        <v>12</v>
      </c>
      <c r="Z1320" s="581" t="s">
        <v>178</v>
      </c>
      <c r="AA1320" s="581" t="s">
        <v>178</v>
      </c>
      <c r="AB1320" s="585">
        <v>44875</v>
      </c>
      <c r="AC1320" s="585" t="s">
        <v>164</v>
      </c>
      <c r="AD1320" s="585">
        <v>35500</v>
      </c>
      <c r="AE1320" s="587">
        <v>0.01</v>
      </c>
      <c r="AF1320" s="661" t="str">
        <f t="shared" si="143"/>
        <v>2019-LVN-FRD-T35V-006-15</v>
      </c>
      <c r="AG1320" s="661" t="str">
        <f>IF(AND($Y1320&gt;=32,(AI1320="I"),(Y1320&lt;&gt;"~"),(COUNTIF($AN$1:$AN1320,$AN1320)=1)),"TRUE","FALSE")</f>
        <v>FALSE</v>
      </c>
      <c r="AH1320" s="661" t="str">
        <f>IF(AND($Y1320&gt;=22, (AI1320&lt;&gt;"I"),(Y1320&lt;&gt;"~"),(COUNTIF($AN$1:$AN1320,$AN1320)=1)),"TRUE","FALSE")</f>
        <v>FALSE</v>
      </c>
      <c r="AI1320" s="661" t="str">
        <f t="shared" si="145"/>
        <v>II</v>
      </c>
      <c r="AJ1320" s="662" t="str">
        <f t="shared" si="139"/>
        <v>T35V-006</v>
      </c>
      <c r="AK1320" s="662" t="str">
        <f t="shared" si="140"/>
        <v>LVN</v>
      </c>
      <c r="AL1320" s="662" t="str">
        <f t="shared" si="141"/>
        <v>FRD</v>
      </c>
      <c r="AM1320" s="662" t="str">
        <f t="shared" si="144"/>
        <v>Transit 350 Van-Dual Door-RWD-2-109.4-~-3.5L EcoBoost-6-W3U-101A-147.6-25-Unleaded-Unleaded</v>
      </c>
      <c r="AN1320" s="662" t="str">
        <f t="shared" si="142"/>
        <v>2019-LVN-FRD-T35V-006</v>
      </c>
    </row>
    <row r="1321" spans="1:40" s="572" customFormat="1" ht="15">
      <c r="A1321" s="570" t="s">
        <v>2654</v>
      </c>
      <c r="B1321" s="573" t="s">
        <v>2641</v>
      </c>
      <c r="C1321" s="573" t="s">
        <v>278</v>
      </c>
      <c r="D1321" s="578">
        <v>15</v>
      </c>
      <c r="E1321" s="573" t="s">
        <v>1516</v>
      </c>
      <c r="F1321" s="573" t="s">
        <v>1571</v>
      </c>
      <c r="G1321" s="573" t="s">
        <v>271</v>
      </c>
      <c r="H1321" s="573">
        <v>2019</v>
      </c>
      <c r="I1321" s="573" t="s">
        <v>2628</v>
      </c>
      <c r="J1321" s="573" t="s">
        <v>1916</v>
      </c>
      <c r="K1321" s="573" t="s">
        <v>236</v>
      </c>
      <c r="L1321" s="573">
        <v>2</v>
      </c>
      <c r="M1321" s="573">
        <v>0</v>
      </c>
      <c r="N1321" s="573" t="s">
        <v>157</v>
      </c>
      <c r="O1321" s="573">
        <v>1</v>
      </c>
      <c r="P1321" s="573">
        <v>109.4</v>
      </c>
      <c r="Q1321" s="571" t="s">
        <v>157</v>
      </c>
      <c r="R1321" s="573" t="s">
        <v>682</v>
      </c>
      <c r="S1321" s="573">
        <v>6</v>
      </c>
      <c r="T1321" s="573" t="s">
        <v>2637</v>
      </c>
      <c r="U1321" s="573" t="s">
        <v>1894</v>
      </c>
      <c r="V1321" s="573">
        <v>147.6</v>
      </c>
      <c r="W1321" s="573">
        <v>25</v>
      </c>
      <c r="X1321" s="571">
        <v>9500</v>
      </c>
      <c r="Y1321" s="573">
        <v>12</v>
      </c>
      <c r="Z1321" s="579" t="s">
        <v>178</v>
      </c>
      <c r="AA1321" s="579" t="s">
        <v>178</v>
      </c>
      <c r="AB1321" s="584">
        <v>43010</v>
      </c>
      <c r="AC1321" s="584" t="s">
        <v>164</v>
      </c>
      <c r="AD1321" s="584">
        <v>33850</v>
      </c>
      <c r="AE1321" s="586">
        <v>0.01</v>
      </c>
      <c r="AF1321" s="661" t="str">
        <f t="shared" si="143"/>
        <v>2019-LVN-FRD-T35V-007-15</v>
      </c>
      <c r="AG1321" s="661" t="str">
        <f>IF(AND($Y1321&gt;=32,(AI1321="I"),(Y1321&lt;&gt;"~"),(COUNTIF($AN$1:$AN1321,$AN1321)=1)),"TRUE","FALSE")</f>
        <v>FALSE</v>
      </c>
      <c r="AH1321" s="661" t="str">
        <f>IF(AND($Y1321&gt;=22, (AI1321&lt;&gt;"I"),(Y1321&lt;&gt;"~"),(COUNTIF($AN$1:$AN1321,$AN1321)=1)),"TRUE","FALSE")</f>
        <v>FALSE</v>
      </c>
      <c r="AI1321" s="661" t="str">
        <f t="shared" si="145"/>
        <v>II</v>
      </c>
      <c r="AJ1321" s="662" t="str">
        <f t="shared" si="139"/>
        <v>T35V-007</v>
      </c>
      <c r="AK1321" s="662" t="str">
        <f t="shared" si="140"/>
        <v>LVN</v>
      </c>
      <c r="AL1321" s="662" t="str">
        <f t="shared" si="141"/>
        <v>FRD</v>
      </c>
      <c r="AM1321" s="662" t="str">
        <f t="shared" si="144"/>
        <v>Transit 350 Van-Dual Door-RWD-2-109.4-~-3.7L-6-W3U-101A-147.6-25-Unleaded-Unleaded</v>
      </c>
      <c r="AN1321" s="662" t="str">
        <f t="shared" si="142"/>
        <v>2019-LVN-FRD-T35V-007</v>
      </c>
    </row>
    <row r="1322" spans="1:40" s="572" customFormat="1" ht="15">
      <c r="A1322" s="570" t="s">
        <v>2655</v>
      </c>
      <c r="B1322" s="569" t="s">
        <v>2643</v>
      </c>
      <c r="C1322" s="569" t="s">
        <v>278</v>
      </c>
      <c r="D1322" s="580">
        <v>15</v>
      </c>
      <c r="E1322" s="569" t="s">
        <v>1516</v>
      </c>
      <c r="F1322" s="569" t="s">
        <v>1571</v>
      </c>
      <c r="G1322" s="569" t="s">
        <v>271</v>
      </c>
      <c r="H1322" s="569">
        <v>2019</v>
      </c>
      <c r="I1322" s="569" t="s">
        <v>2628</v>
      </c>
      <c r="J1322" s="569" t="s">
        <v>1916</v>
      </c>
      <c r="K1322" s="569" t="s">
        <v>236</v>
      </c>
      <c r="L1322" s="569">
        <v>2</v>
      </c>
      <c r="M1322" s="569">
        <v>0</v>
      </c>
      <c r="N1322" s="569" t="s">
        <v>157</v>
      </c>
      <c r="O1322" s="569">
        <v>1</v>
      </c>
      <c r="P1322" s="569">
        <v>110.1</v>
      </c>
      <c r="Q1322" s="568" t="s">
        <v>157</v>
      </c>
      <c r="R1322" s="569" t="s">
        <v>1259</v>
      </c>
      <c r="S1322" s="569">
        <v>6</v>
      </c>
      <c r="T1322" s="569" t="s">
        <v>2644</v>
      </c>
      <c r="U1322" s="569" t="s">
        <v>1894</v>
      </c>
      <c r="V1322" s="569">
        <v>147.6</v>
      </c>
      <c r="W1322" s="569">
        <v>25</v>
      </c>
      <c r="X1322" s="568">
        <v>9500</v>
      </c>
      <c r="Y1322" s="573">
        <v>12</v>
      </c>
      <c r="Z1322" s="581" t="s">
        <v>178</v>
      </c>
      <c r="AA1322" s="581" t="s">
        <v>178</v>
      </c>
      <c r="AB1322" s="585">
        <v>43575</v>
      </c>
      <c r="AC1322" s="585" t="s">
        <v>164</v>
      </c>
      <c r="AD1322" s="585">
        <v>34300</v>
      </c>
      <c r="AE1322" s="587">
        <v>0.01</v>
      </c>
      <c r="AF1322" s="661" t="str">
        <f t="shared" si="143"/>
        <v>2019-LVN-FRD-T35V-008-15</v>
      </c>
      <c r="AG1322" s="661" t="str">
        <f>IF(AND($Y1322&gt;=32,(AI1322="I"),(Y1322&lt;&gt;"~"),(COUNTIF($AN$1:$AN1322,$AN1322)=1)),"TRUE","FALSE")</f>
        <v>FALSE</v>
      </c>
      <c r="AH1322" s="661" t="str">
        <f>IF(AND($Y1322&gt;=22, (AI1322&lt;&gt;"I"),(Y1322&lt;&gt;"~"),(COUNTIF($AN$1:$AN1322,$AN1322)=1)),"TRUE","FALSE")</f>
        <v>FALSE</v>
      </c>
      <c r="AI1322" s="661" t="str">
        <f t="shared" si="145"/>
        <v>II</v>
      </c>
      <c r="AJ1322" s="662" t="str">
        <f t="shared" si="139"/>
        <v>T35V-008</v>
      </c>
      <c r="AK1322" s="662" t="str">
        <f t="shared" si="140"/>
        <v>LVN</v>
      </c>
      <c r="AL1322" s="662" t="str">
        <f t="shared" si="141"/>
        <v>FRD</v>
      </c>
      <c r="AM1322" s="662" t="str">
        <f t="shared" si="144"/>
        <v>Transit 350 Van-Dual Door-RWD-2-110.1-~-3.5L EcoBoost-6-W2U-101A-147.6-25-Unleaded-Unleaded</v>
      </c>
      <c r="AN1322" s="662" t="str">
        <f t="shared" si="142"/>
        <v>2019-LVN-FRD-T35V-008</v>
      </c>
    </row>
    <row r="1323" spans="1:40" s="572" customFormat="1" ht="15">
      <c r="A1323" s="570" t="s">
        <v>2656</v>
      </c>
      <c r="B1323" s="573" t="s">
        <v>2646</v>
      </c>
      <c r="C1323" s="573" t="s">
        <v>278</v>
      </c>
      <c r="D1323" s="578">
        <v>15</v>
      </c>
      <c r="E1323" s="573" t="s">
        <v>1516</v>
      </c>
      <c r="F1323" s="573" t="s">
        <v>1571</v>
      </c>
      <c r="G1323" s="573" t="s">
        <v>271</v>
      </c>
      <c r="H1323" s="573">
        <v>2019</v>
      </c>
      <c r="I1323" s="573" t="s">
        <v>2628</v>
      </c>
      <c r="J1323" s="573" t="s">
        <v>1916</v>
      </c>
      <c r="K1323" s="573" t="s">
        <v>236</v>
      </c>
      <c r="L1323" s="573">
        <v>2</v>
      </c>
      <c r="M1323" s="573">
        <v>0</v>
      </c>
      <c r="N1323" s="573" t="s">
        <v>157</v>
      </c>
      <c r="O1323" s="573">
        <v>1</v>
      </c>
      <c r="P1323" s="573">
        <v>110.1</v>
      </c>
      <c r="Q1323" s="571" t="s">
        <v>157</v>
      </c>
      <c r="R1323" s="573" t="s">
        <v>682</v>
      </c>
      <c r="S1323" s="573">
        <v>6</v>
      </c>
      <c r="T1323" s="573" t="s">
        <v>2644</v>
      </c>
      <c r="U1323" s="573" t="s">
        <v>1894</v>
      </c>
      <c r="V1323" s="573">
        <v>147.6</v>
      </c>
      <c r="W1323" s="573">
        <v>25</v>
      </c>
      <c r="X1323" s="571">
        <v>9500</v>
      </c>
      <c r="Y1323" s="573">
        <v>12</v>
      </c>
      <c r="Z1323" s="579" t="s">
        <v>178</v>
      </c>
      <c r="AA1323" s="579" t="s">
        <v>178</v>
      </c>
      <c r="AB1323" s="584">
        <v>41710</v>
      </c>
      <c r="AC1323" s="584" t="s">
        <v>164</v>
      </c>
      <c r="AD1323" s="584">
        <v>32600</v>
      </c>
      <c r="AE1323" s="586">
        <v>0.01</v>
      </c>
      <c r="AF1323" s="661" t="str">
        <f t="shared" si="143"/>
        <v>2019-LVN-FRD-T35V-009-15</v>
      </c>
      <c r="AG1323" s="661" t="str">
        <f>IF(AND($Y1323&gt;=32,(AI1323="I"),(Y1323&lt;&gt;"~"),(COUNTIF($AN$1:$AN1323,$AN1323)=1)),"TRUE","FALSE")</f>
        <v>FALSE</v>
      </c>
      <c r="AH1323" s="661" t="str">
        <f>IF(AND($Y1323&gt;=22, (AI1323&lt;&gt;"I"),(Y1323&lt;&gt;"~"),(COUNTIF($AN$1:$AN1323,$AN1323)=1)),"TRUE","FALSE")</f>
        <v>FALSE</v>
      </c>
      <c r="AI1323" s="661" t="str">
        <f t="shared" si="145"/>
        <v>II</v>
      </c>
      <c r="AJ1323" s="662" t="str">
        <f t="shared" si="139"/>
        <v>T35V-009</v>
      </c>
      <c r="AK1323" s="662" t="str">
        <f t="shared" si="140"/>
        <v>LVN</v>
      </c>
      <c r="AL1323" s="662" t="str">
        <f t="shared" si="141"/>
        <v>FRD</v>
      </c>
      <c r="AM1323" s="662" t="str">
        <f t="shared" si="144"/>
        <v>Transit 350 Van-Dual Door-RWD-2-110.1-~-3.7L-6-W2U-101A-147.6-25-Unleaded-Unleaded</v>
      </c>
      <c r="AN1323" s="662" t="str">
        <f t="shared" si="142"/>
        <v>2019-LVN-FRD-T35V-009</v>
      </c>
    </row>
    <row r="1324" spans="1:40" s="572" customFormat="1" ht="15">
      <c r="A1324" s="570" t="s">
        <v>2657</v>
      </c>
      <c r="B1324" s="569" t="s">
        <v>2627</v>
      </c>
      <c r="C1324" s="569" t="s">
        <v>287</v>
      </c>
      <c r="D1324" s="580">
        <v>26</v>
      </c>
      <c r="E1324" s="569" t="s">
        <v>1516</v>
      </c>
      <c r="F1324" s="569" t="s">
        <v>1571</v>
      </c>
      <c r="G1324" s="569" t="s">
        <v>271</v>
      </c>
      <c r="H1324" s="569">
        <v>2019</v>
      </c>
      <c r="I1324" s="569" t="s">
        <v>2628</v>
      </c>
      <c r="J1324" s="569" t="s">
        <v>1916</v>
      </c>
      <c r="K1324" s="569" t="s">
        <v>236</v>
      </c>
      <c r="L1324" s="569">
        <v>2</v>
      </c>
      <c r="M1324" s="569">
        <v>0</v>
      </c>
      <c r="N1324" s="569" t="s">
        <v>157</v>
      </c>
      <c r="O1324" s="569">
        <v>1</v>
      </c>
      <c r="P1324" s="569">
        <v>100.7</v>
      </c>
      <c r="Q1324" s="568" t="s">
        <v>157</v>
      </c>
      <c r="R1324" s="569" t="s">
        <v>1259</v>
      </c>
      <c r="S1324" s="569">
        <v>6</v>
      </c>
      <c r="T1324" s="569" t="s">
        <v>2629</v>
      </c>
      <c r="U1324" s="569" t="s">
        <v>1894</v>
      </c>
      <c r="V1324" s="569">
        <v>147.6</v>
      </c>
      <c r="W1324" s="569">
        <v>25</v>
      </c>
      <c r="X1324" s="568">
        <v>9500</v>
      </c>
      <c r="Y1324" s="573">
        <v>12</v>
      </c>
      <c r="Z1324" s="581" t="s">
        <v>178</v>
      </c>
      <c r="AA1324" s="581" t="s">
        <v>178</v>
      </c>
      <c r="AB1324" s="585">
        <v>41425</v>
      </c>
      <c r="AC1324" s="585" t="s">
        <v>164</v>
      </c>
      <c r="AD1324" s="585">
        <v>32793</v>
      </c>
      <c r="AE1324" s="587">
        <v>0.05</v>
      </c>
      <c r="AF1324" s="661" t="str">
        <f t="shared" si="143"/>
        <v>2019-LVN-FRD-T35V-001-26</v>
      </c>
      <c r="AG1324" s="661" t="str">
        <f>IF(AND($Y1324&gt;=32,(AI1324="I"),(Y1324&lt;&gt;"~"),(COUNTIF($AN$1:$AN1324,$AN1324)=1)),"TRUE","FALSE")</f>
        <v>FALSE</v>
      </c>
      <c r="AH1324" s="661" t="str">
        <f>IF(AND($Y1324&gt;=22, (AI1324&lt;&gt;"I"),(Y1324&lt;&gt;"~"),(COUNTIF($AN$1:$AN1324,$AN1324)=1)),"TRUE","FALSE")</f>
        <v>FALSE</v>
      </c>
      <c r="AI1324" s="661" t="str">
        <f t="shared" si="145"/>
        <v>II</v>
      </c>
      <c r="AJ1324" s="662" t="str">
        <f t="shared" si="139"/>
        <v>T35V-001</v>
      </c>
      <c r="AK1324" s="662" t="str">
        <f t="shared" si="140"/>
        <v>LVN</v>
      </c>
      <c r="AL1324" s="662" t="str">
        <f t="shared" si="141"/>
        <v>FRD</v>
      </c>
      <c r="AM1324" s="662" t="str">
        <f t="shared" si="144"/>
        <v>Transit 350 Van-Dual Door-RWD-2-100.7-~-3.5L EcoBoost-6-W2D-101A-147.6-25-Unleaded-Unleaded</v>
      </c>
      <c r="AN1324" s="662" t="str">
        <f t="shared" si="142"/>
        <v>2019-LVN-FRD-T35V-001</v>
      </c>
    </row>
    <row r="1325" spans="1:40" s="572" customFormat="1" ht="15">
      <c r="A1325" s="570" t="s">
        <v>2657</v>
      </c>
      <c r="B1325" s="573" t="s">
        <v>2627</v>
      </c>
      <c r="C1325" s="573" t="s">
        <v>287</v>
      </c>
      <c r="D1325" s="578">
        <v>26</v>
      </c>
      <c r="E1325" s="573" t="s">
        <v>1516</v>
      </c>
      <c r="F1325" s="573" t="s">
        <v>1571</v>
      </c>
      <c r="G1325" s="573" t="s">
        <v>271</v>
      </c>
      <c r="H1325" s="573">
        <v>2019</v>
      </c>
      <c r="I1325" s="573" t="s">
        <v>2628</v>
      </c>
      <c r="J1325" s="573" t="s">
        <v>1916</v>
      </c>
      <c r="K1325" s="573" t="s">
        <v>236</v>
      </c>
      <c r="L1325" s="573">
        <v>2</v>
      </c>
      <c r="M1325" s="573">
        <v>0</v>
      </c>
      <c r="N1325" s="573" t="s">
        <v>157</v>
      </c>
      <c r="O1325" s="573">
        <v>1</v>
      </c>
      <c r="P1325" s="573">
        <v>100.7</v>
      </c>
      <c r="Q1325" s="571" t="s">
        <v>157</v>
      </c>
      <c r="R1325" s="573" t="s">
        <v>682</v>
      </c>
      <c r="S1325" s="573">
        <v>6</v>
      </c>
      <c r="T1325" s="573" t="s">
        <v>2629</v>
      </c>
      <c r="U1325" s="573" t="s">
        <v>1894</v>
      </c>
      <c r="V1325" s="573">
        <v>147.6</v>
      </c>
      <c r="W1325" s="573">
        <v>25</v>
      </c>
      <c r="X1325" s="571">
        <v>9500</v>
      </c>
      <c r="Y1325" s="573">
        <v>12</v>
      </c>
      <c r="Z1325" s="579" t="s">
        <v>178</v>
      </c>
      <c r="AA1325" s="579" t="s">
        <v>178</v>
      </c>
      <c r="AB1325" s="584">
        <v>39560</v>
      </c>
      <c r="AC1325" s="584" t="s">
        <v>164</v>
      </c>
      <c r="AD1325" s="584">
        <v>31083</v>
      </c>
      <c r="AE1325" s="586">
        <v>0.05</v>
      </c>
      <c r="AF1325" s="661" t="str">
        <f t="shared" si="143"/>
        <v>2019-LVN-FRD-T35V-001-26</v>
      </c>
      <c r="AG1325" s="661" t="str">
        <f>IF(AND($Y1325&gt;=32,(AI1325="I"),(Y1325&lt;&gt;"~"),(COUNTIF($AN$1:$AN1325,$AN1325)=1)),"TRUE","FALSE")</f>
        <v>FALSE</v>
      </c>
      <c r="AH1325" s="661" t="str">
        <f>IF(AND($Y1325&gt;=22, (AI1325&lt;&gt;"I"),(Y1325&lt;&gt;"~"),(COUNTIF($AN$1:$AN1325,$AN1325)=1)),"TRUE","FALSE")</f>
        <v>FALSE</v>
      </c>
      <c r="AI1325" s="661" t="str">
        <f t="shared" si="145"/>
        <v>II</v>
      </c>
      <c r="AJ1325" s="662" t="str">
        <f t="shared" si="139"/>
        <v>T35V-001</v>
      </c>
      <c r="AK1325" s="662" t="str">
        <f t="shared" si="140"/>
        <v>LVN</v>
      </c>
      <c r="AL1325" s="662" t="str">
        <f t="shared" si="141"/>
        <v>FRD</v>
      </c>
      <c r="AM1325" s="662" t="str">
        <f t="shared" si="144"/>
        <v>Transit 350 Van-Dual Door-RWD-2-100.7-~-3.7L-6-W2D-101A-147.6-25-Unleaded-Unleaded</v>
      </c>
      <c r="AN1325" s="662" t="str">
        <f t="shared" si="142"/>
        <v>2019-LVN-FRD-T35V-001</v>
      </c>
    </row>
    <row r="1326" spans="1:40" s="572" customFormat="1" ht="15">
      <c r="A1326" s="570" t="s">
        <v>2658</v>
      </c>
      <c r="B1326" s="569" t="s">
        <v>2631</v>
      </c>
      <c r="C1326" s="569" t="s">
        <v>287</v>
      </c>
      <c r="D1326" s="580">
        <v>26</v>
      </c>
      <c r="E1326" s="569" t="s">
        <v>1516</v>
      </c>
      <c r="F1326" s="569" t="s">
        <v>1571</v>
      </c>
      <c r="G1326" s="569" t="s">
        <v>271</v>
      </c>
      <c r="H1326" s="569">
        <v>2019</v>
      </c>
      <c r="I1326" s="569" t="s">
        <v>2628</v>
      </c>
      <c r="J1326" s="569" t="s">
        <v>1916</v>
      </c>
      <c r="K1326" s="569" t="s">
        <v>236</v>
      </c>
      <c r="L1326" s="569">
        <v>2</v>
      </c>
      <c r="M1326" s="569">
        <v>0</v>
      </c>
      <c r="N1326" s="569" t="s">
        <v>157</v>
      </c>
      <c r="O1326" s="569">
        <v>1</v>
      </c>
      <c r="P1326" s="569">
        <v>100.8</v>
      </c>
      <c r="Q1326" s="568" t="s">
        <v>157</v>
      </c>
      <c r="R1326" s="569" t="s">
        <v>1259</v>
      </c>
      <c r="S1326" s="569">
        <v>6</v>
      </c>
      <c r="T1326" s="569" t="s">
        <v>2632</v>
      </c>
      <c r="U1326" s="569" t="s">
        <v>1894</v>
      </c>
      <c r="V1326" s="569">
        <v>129.9</v>
      </c>
      <c r="W1326" s="569">
        <v>25</v>
      </c>
      <c r="X1326" s="568">
        <v>9500</v>
      </c>
      <c r="Y1326" s="573">
        <v>12</v>
      </c>
      <c r="Z1326" s="581" t="s">
        <v>178</v>
      </c>
      <c r="AA1326" s="581" t="s">
        <v>178</v>
      </c>
      <c r="AB1326" s="585">
        <v>39700</v>
      </c>
      <c r="AC1326" s="585" t="s">
        <v>164</v>
      </c>
      <c r="AD1326" s="585">
        <v>31163</v>
      </c>
      <c r="AE1326" s="587">
        <v>0.05</v>
      </c>
      <c r="AF1326" s="661" t="str">
        <f t="shared" si="143"/>
        <v>2019-LVN-FRD-T35V-003-26</v>
      </c>
      <c r="AG1326" s="661" t="str">
        <f>IF(AND($Y1326&gt;=32,(AI1326="I"),(Y1326&lt;&gt;"~"),(COUNTIF($AN$1:$AN1326,$AN1326)=1)),"TRUE","FALSE")</f>
        <v>FALSE</v>
      </c>
      <c r="AH1326" s="661" t="str">
        <f>IF(AND($Y1326&gt;=22, (AI1326&lt;&gt;"I"),(Y1326&lt;&gt;"~"),(COUNTIF($AN$1:$AN1326,$AN1326)=1)),"TRUE","FALSE")</f>
        <v>FALSE</v>
      </c>
      <c r="AI1326" s="661" t="str">
        <f t="shared" si="145"/>
        <v>II</v>
      </c>
      <c r="AJ1326" s="662" t="str">
        <f t="shared" si="139"/>
        <v>T35V-003</v>
      </c>
      <c r="AK1326" s="662" t="str">
        <f t="shared" si="140"/>
        <v>LVN</v>
      </c>
      <c r="AL1326" s="662" t="str">
        <f t="shared" si="141"/>
        <v>FRD</v>
      </c>
      <c r="AM1326" s="662" t="str">
        <f t="shared" si="144"/>
        <v>Transit 350 Van-Dual Door-RWD-2-100.8-~-3.5L EcoBoost-6-W1D-101A-129.9-25-Unleaded-Unleaded</v>
      </c>
      <c r="AN1326" s="662" t="str">
        <f t="shared" si="142"/>
        <v>2019-LVN-FRD-T35V-003</v>
      </c>
    </row>
    <row r="1327" spans="1:40" s="572" customFormat="1" ht="15">
      <c r="A1327" s="570" t="s">
        <v>2659</v>
      </c>
      <c r="B1327" s="573" t="s">
        <v>2634</v>
      </c>
      <c r="C1327" s="573" t="s">
        <v>287</v>
      </c>
      <c r="D1327" s="578">
        <v>26</v>
      </c>
      <c r="E1327" s="573" t="s">
        <v>1516</v>
      </c>
      <c r="F1327" s="573" t="s">
        <v>1571</v>
      </c>
      <c r="G1327" s="573" t="s">
        <v>271</v>
      </c>
      <c r="H1327" s="573">
        <v>2019</v>
      </c>
      <c r="I1327" s="573" t="s">
        <v>2628</v>
      </c>
      <c r="J1327" s="573" t="s">
        <v>1916</v>
      </c>
      <c r="K1327" s="573" t="s">
        <v>236</v>
      </c>
      <c r="L1327" s="573">
        <v>2</v>
      </c>
      <c r="M1327" s="573">
        <v>0</v>
      </c>
      <c r="N1327" s="573" t="s">
        <v>157</v>
      </c>
      <c r="O1327" s="573">
        <v>1</v>
      </c>
      <c r="P1327" s="573">
        <v>100.8</v>
      </c>
      <c r="Q1327" s="571" t="s">
        <v>157</v>
      </c>
      <c r="R1327" s="573" t="s">
        <v>682</v>
      </c>
      <c r="S1327" s="573">
        <v>6</v>
      </c>
      <c r="T1327" s="573" t="s">
        <v>2632</v>
      </c>
      <c r="U1327" s="573" t="s">
        <v>1894</v>
      </c>
      <c r="V1327" s="573">
        <v>129.9</v>
      </c>
      <c r="W1327" s="573">
        <v>25</v>
      </c>
      <c r="X1327" s="571">
        <v>9500</v>
      </c>
      <c r="Y1327" s="573">
        <v>12</v>
      </c>
      <c r="Z1327" s="579" t="s">
        <v>178</v>
      </c>
      <c r="AA1327" s="579" t="s">
        <v>178</v>
      </c>
      <c r="AB1327" s="584">
        <v>37835</v>
      </c>
      <c r="AC1327" s="584" t="s">
        <v>164</v>
      </c>
      <c r="AD1327" s="584">
        <v>29453</v>
      </c>
      <c r="AE1327" s="586">
        <v>0.05</v>
      </c>
      <c r="AF1327" s="661" t="str">
        <f t="shared" si="143"/>
        <v>2019-LVN-FRD-T35V-004-26</v>
      </c>
      <c r="AG1327" s="661" t="str">
        <f>IF(AND($Y1327&gt;=32,(AI1327="I"),(Y1327&lt;&gt;"~"),(COUNTIF($AN$1:$AN1327,$AN1327)=1)),"TRUE","FALSE")</f>
        <v>FALSE</v>
      </c>
      <c r="AH1327" s="661" t="str">
        <f>IF(AND($Y1327&gt;=22, (AI1327&lt;&gt;"I"),(Y1327&lt;&gt;"~"),(COUNTIF($AN$1:$AN1327,$AN1327)=1)),"TRUE","FALSE")</f>
        <v>FALSE</v>
      </c>
      <c r="AI1327" s="661" t="str">
        <f t="shared" si="145"/>
        <v>II</v>
      </c>
      <c r="AJ1327" s="662" t="str">
        <f t="shared" si="139"/>
        <v>T35V-004</v>
      </c>
      <c r="AK1327" s="662" t="str">
        <f t="shared" si="140"/>
        <v>LVN</v>
      </c>
      <c r="AL1327" s="662" t="str">
        <f t="shared" si="141"/>
        <v>FRD</v>
      </c>
      <c r="AM1327" s="662" t="str">
        <f t="shared" si="144"/>
        <v>Transit 350 Van-Dual Door-RWD-2-100.8-~-3.7L-6-W1D-101A-129.9-25-Unleaded-Unleaded</v>
      </c>
      <c r="AN1327" s="662" t="str">
        <f t="shared" si="142"/>
        <v>2019-LVN-FRD-T35V-004</v>
      </c>
    </row>
    <row r="1328" spans="1:40" s="572" customFormat="1" ht="15">
      <c r="A1328" s="570" t="s">
        <v>2660</v>
      </c>
      <c r="B1328" s="569" t="s">
        <v>2636</v>
      </c>
      <c r="C1328" s="569" t="s">
        <v>287</v>
      </c>
      <c r="D1328" s="580">
        <v>26</v>
      </c>
      <c r="E1328" s="569" t="s">
        <v>1516</v>
      </c>
      <c r="F1328" s="569" t="s">
        <v>1571</v>
      </c>
      <c r="G1328" s="569" t="s">
        <v>271</v>
      </c>
      <c r="H1328" s="569">
        <v>2019</v>
      </c>
      <c r="I1328" s="569" t="s">
        <v>2628</v>
      </c>
      <c r="J1328" s="569" t="s">
        <v>1916</v>
      </c>
      <c r="K1328" s="569" t="s">
        <v>236</v>
      </c>
      <c r="L1328" s="569">
        <v>2</v>
      </c>
      <c r="M1328" s="569">
        <v>0</v>
      </c>
      <c r="N1328" s="569" t="s">
        <v>157</v>
      </c>
      <c r="O1328" s="569">
        <v>1</v>
      </c>
      <c r="P1328" s="569">
        <v>109.4</v>
      </c>
      <c r="Q1328" s="568" t="s">
        <v>157</v>
      </c>
      <c r="R1328" s="569" t="s">
        <v>1917</v>
      </c>
      <c r="S1328" s="569">
        <v>5</v>
      </c>
      <c r="T1328" s="569" t="s">
        <v>2637</v>
      </c>
      <c r="U1328" s="569" t="s">
        <v>1894</v>
      </c>
      <c r="V1328" s="569">
        <v>147.6</v>
      </c>
      <c r="W1328" s="569">
        <v>25</v>
      </c>
      <c r="X1328" s="568">
        <v>9500</v>
      </c>
      <c r="Y1328" s="573">
        <v>12</v>
      </c>
      <c r="Z1328" s="581" t="s">
        <v>728</v>
      </c>
      <c r="AA1328" s="581" t="s">
        <v>1523</v>
      </c>
      <c r="AB1328" s="585">
        <v>47005</v>
      </c>
      <c r="AC1328" s="585" t="s">
        <v>164</v>
      </c>
      <c r="AD1328" s="585">
        <v>38004</v>
      </c>
      <c r="AE1328" s="587">
        <v>0.05</v>
      </c>
      <c r="AF1328" s="661" t="str">
        <f t="shared" si="143"/>
        <v>2019-LVN-FRD-T35V-005-26</v>
      </c>
      <c r="AG1328" s="661" t="str">
        <f>IF(AND($Y1328&gt;=32,(AI1328="I"),(Y1328&lt;&gt;"~"),(COUNTIF($AN$1:$AN1328,$AN1328)=1)),"TRUE","FALSE")</f>
        <v>FALSE</v>
      </c>
      <c r="AH1328" s="661" t="str">
        <f>IF(AND($Y1328&gt;=22, (AI1328&lt;&gt;"I"),(Y1328&lt;&gt;"~"),(COUNTIF($AN$1:$AN1328,$AN1328)=1)),"TRUE","FALSE")</f>
        <v>FALSE</v>
      </c>
      <c r="AI1328" s="661" t="str">
        <f t="shared" si="145"/>
        <v>II</v>
      </c>
      <c r="AJ1328" s="662" t="str">
        <f t="shared" si="139"/>
        <v>T35V-005</v>
      </c>
      <c r="AK1328" s="662" t="str">
        <f t="shared" si="140"/>
        <v>LVN</v>
      </c>
      <c r="AL1328" s="662" t="str">
        <f t="shared" si="141"/>
        <v>FRD</v>
      </c>
      <c r="AM1328" s="662" t="str">
        <f t="shared" si="144"/>
        <v>Transit 350 Van-Dual Door-RWD-2-109.4-~-3.2L-5-W3U-101A-147.6-25-Diesel-BioDiesel</v>
      </c>
      <c r="AN1328" s="662" t="str">
        <f t="shared" si="142"/>
        <v>2019-LVN-FRD-T35V-005</v>
      </c>
    </row>
    <row r="1329" spans="1:40" s="572" customFormat="1" ht="15">
      <c r="A1329" s="570" t="s">
        <v>2661</v>
      </c>
      <c r="B1329" s="573" t="s">
        <v>2639</v>
      </c>
      <c r="C1329" s="573" t="s">
        <v>287</v>
      </c>
      <c r="D1329" s="578">
        <v>26</v>
      </c>
      <c r="E1329" s="573" t="s">
        <v>1516</v>
      </c>
      <c r="F1329" s="573" t="s">
        <v>1571</v>
      </c>
      <c r="G1329" s="573" t="s">
        <v>271</v>
      </c>
      <c r="H1329" s="573">
        <v>2019</v>
      </c>
      <c r="I1329" s="573" t="s">
        <v>2628</v>
      </c>
      <c r="J1329" s="573" t="s">
        <v>1916</v>
      </c>
      <c r="K1329" s="573" t="s">
        <v>236</v>
      </c>
      <c r="L1329" s="573">
        <v>2</v>
      </c>
      <c r="M1329" s="573">
        <v>0</v>
      </c>
      <c r="N1329" s="573" t="s">
        <v>157</v>
      </c>
      <c r="O1329" s="573">
        <v>1</v>
      </c>
      <c r="P1329" s="573">
        <v>109.4</v>
      </c>
      <c r="Q1329" s="571" t="s">
        <v>157</v>
      </c>
      <c r="R1329" s="573" t="s">
        <v>1259</v>
      </c>
      <c r="S1329" s="573">
        <v>6</v>
      </c>
      <c r="T1329" s="573" t="s">
        <v>2637</v>
      </c>
      <c r="U1329" s="573" t="s">
        <v>1894</v>
      </c>
      <c r="V1329" s="573">
        <v>147.6</v>
      </c>
      <c r="W1329" s="573">
        <v>25</v>
      </c>
      <c r="X1329" s="571">
        <v>9500</v>
      </c>
      <c r="Y1329" s="573">
        <v>12</v>
      </c>
      <c r="Z1329" s="579" t="s">
        <v>178</v>
      </c>
      <c r="AA1329" s="579" t="s">
        <v>178</v>
      </c>
      <c r="AB1329" s="584">
        <v>44875</v>
      </c>
      <c r="AC1329" s="584" t="s">
        <v>164</v>
      </c>
      <c r="AD1329" s="584">
        <v>36050</v>
      </c>
      <c r="AE1329" s="586">
        <v>0.05</v>
      </c>
      <c r="AF1329" s="661" t="str">
        <f t="shared" si="143"/>
        <v>2019-LVN-FRD-T35V-006-26</v>
      </c>
      <c r="AG1329" s="661" t="str">
        <f>IF(AND($Y1329&gt;=32,(AI1329="I"),(Y1329&lt;&gt;"~"),(COUNTIF($AN$1:$AN1329,$AN1329)=1)),"TRUE","FALSE")</f>
        <v>FALSE</v>
      </c>
      <c r="AH1329" s="661" t="str">
        <f>IF(AND($Y1329&gt;=22, (AI1329&lt;&gt;"I"),(Y1329&lt;&gt;"~"),(COUNTIF($AN$1:$AN1329,$AN1329)=1)),"TRUE","FALSE")</f>
        <v>FALSE</v>
      </c>
      <c r="AI1329" s="661" t="str">
        <f t="shared" si="145"/>
        <v>II</v>
      </c>
      <c r="AJ1329" s="662" t="str">
        <f t="shared" si="139"/>
        <v>T35V-006</v>
      </c>
      <c r="AK1329" s="662" t="str">
        <f t="shared" si="140"/>
        <v>LVN</v>
      </c>
      <c r="AL1329" s="662" t="str">
        <f t="shared" si="141"/>
        <v>FRD</v>
      </c>
      <c r="AM1329" s="662" t="str">
        <f t="shared" si="144"/>
        <v>Transit 350 Van-Dual Door-RWD-2-109.4-~-3.5L EcoBoost-6-W3U-101A-147.6-25-Unleaded-Unleaded</v>
      </c>
      <c r="AN1329" s="662" t="str">
        <f t="shared" si="142"/>
        <v>2019-LVN-FRD-T35V-006</v>
      </c>
    </row>
    <row r="1330" spans="1:40" s="572" customFormat="1" ht="15">
      <c r="A1330" s="570" t="s">
        <v>2662</v>
      </c>
      <c r="B1330" s="569" t="s">
        <v>2641</v>
      </c>
      <c r="C1330" s="569" t="s">
        <v>287</v>
      </c>
      <c r="D1330" s="580">
        <v>26</v>
      </c>
      <c r="E1330" s="569" t="s">
        <v>1516</v>
      </c>
      <c r="F1330" s="569" t="s">
        <v>1571</v>
      </c>
      <c r="G1330" s="569" t="s">
        <v>271</v>
      </c>
      <c r="H1330" s="569">
        <v>2019</v>
      </c>
      <c r="I1330" s="569" t="s">
        <v>2628</v>
      </c>
      <c r="J1330" s="569" t="s">
        <v>1916</v>
      </c>
      <c r="K1330" s="569" t="s">
        <v>236</v>
      </c>
      <c r="L1330" s="569">
        <v>2</v>
      </c>
      <c r="M1330" s="569">
        <v>0</v>
      </c>
      <c r="N1330" s="569" t="s">
        <v>157</v>
      </c>
      <c r="O1330" s="569">
        <v>1</v>
      </c>
      <c r="P1330" s="569">
        <v>109.4</v>
      </c>
      <c r="Q1330" s="568" t="s">
        <v>157</v>
      </c>
      <c r="R1330" s="569" t="s">
        <v>682</v>
      </c>
      <c r="S1330" s="569">
        <v>6</v>
      </c>
      <c r="T1330" s="569" t="s">
        <v>2637</v>
      </c>
      <c r="U1330" s="569" t="s">
        <v>1894</v>
      </c>
      <c r="V1330" s="569">
        <v>147.6</v>
      </c>
      <c r="W1330" s="569">
        <v>25</v>
      </c>
      <c r="X1330" s="568">
        <v>9500</v>
      </c>
      <c r="Y1330" s="573">
        <v>12</v>
      </c>
      <c r="Z1330" s="581" t="s">
        <v>178</v>
      </c>
      <c r="AA1330" s="581" t="s">
        <v>178</v>
      </c>
      <c r="AB1330" s="585">
        <v>43010</v>
      </c>
      <c r="AC1330" s="585" t="s">
        <v>164</v>
      </c>
      <c r="AD1330" s="585">
        <v>34340</v>
      </c>
      <c r="AE1330" s="587">
        <v>0.05</v>
      </c>
      <c r="AF1330" s="661" t="str">
        <f t="shared" si="143"/>
        <v>2019-LVN-FRD-T35V-007-26</v>
      </c>
      <c r="AG1330" s="661" t="str">
        <f>IF(AND($Y1330&gt;=32,(AI1330="I"),(Y1330&lt;&gt;"~"),(COUNTIF($AN$1:$AN1330,$AN1330)=1)),"TRUE","FALSE")</f>
        <v>FALSE</v>
      </c>
      <c r="AH1330" s="661" t="str">
        <f>IF(AND($Y1330&gt;=22, (AI1330&lt;&gt;"I"),(Y1330&lt;&gt;"~"),(COUNTIF($AN$1:$AN1330,$AN1330)=1)),"TRUE","FALSE")</f>
        <v>FALSE</v>
      </c>
      <c r="AI1330" s="661" t="str">
        <f t="shared" si="145"/>
        <v>II</v>
      </c>
      <c r="AJ1330" s="662" t="str">
        <f t="shared" si="139"/>
        <v>T35V-007</v>
      </c>
      <c r="AK1330" s="662" t="str">
        <f t="shared" si="140"/>
        <v>LVN</v>
      </c>
      <c r="AL1330" s="662" t="str">
        <f t="shared" si="141"/>
        <v>FRD</v>
      </c>
      <c r="AM1330" s="662" t="str">
        <f t="shared" si="144"/>
        <v>Transit 350 Van-Dual Door-RWD-2-109.4-~-3.7L-6-W3U-101A-147.6-25-Unleaded-Unleaded</v>
      </c>
      <c r="AN1330" s="662" t="str">
        <f t="shared" si="142"/>
        <v>2019-LVN-FRD-T35V-007</v>
      </c>
    </row>
    <row r="1331" spans="1:40" s="572" customFormat="1" ht="15">
      <c r="A1331" s="570" t="s">
        <v>2663</v>
      </c>
      <c r="B1331" s="573" t="s">
        <v>2643</v>
      </c>
      <c r="C1331" s="573" t="s">
        <v>287</v>
      </c>
      <c r="D1331" s="578">
        <v>26</v>
      </c>
      <c r="E1331" s="573" t="s">
        <v>1516</v>
      </c>
      <c r="F1331" s="573" t="s">
        <v>1571</v>
      </c>
      <c r="G1331" s="573" t="s">
        <v>271</v>
      </c>
      <c r="H1331" s="573">
        <v>2019</v>
      </c>
      <c r="I1331" s="573" t="s">
        <v>2628</v>
      </c>
      <c r="J1331" s="573" t="s">
        <v>1916</v>
      </c>
      <c r="K1331" s="573" t="s">
        <v>236</v>
      </c>
      <c r="L1331" s="573">
        <v>2</v>
      </c>
      <c r="M1331" s="573">
        <v>0</v>
      </c>
      <c r="N1331" s="573" t="s">
        <v>157</v>
      </c>
      <c r="O1331" s="573">
        <v>1</v>
      </c>
      <c r="P1331" s="573">
        <v>110.1</v>
      </c>
      <c r="Q1331" s="571" t="s">
        <v>157</v>
      </c>
      <c r="R1331" s="573" t="s">
        <v>1259</v>
      </c>
      <c r="S1331" s="573">
        <v>6</v>
      </c>
      <c r="T1331" s="573" t="s">
        <v>2644</v>
      </c>
      <c r="U1331" s="573" t="s">
        <v>1894</v>
      </c>
      <c r="V1331" s="573">
        <v>147.6</v>
      </c>
      <c r="W1331" s="573">
        <v>25</v>
      </c>
      <c r="X1331" s="571">
        <v>9500</v>
      </c>
      <c r="Y1331" s="573">
        <v>12</v>
      </c>
      <c r="Z1331" s="579" t="s">
        <v>178</v>
      </c>
      <c r="AA1331" s="579" t="s">
        <v>178</v>
      </c>
      <c r="AB1331" s="584">
        <v>43575</v>
      </c>
      <c r="AC1331" s="584" t="s">
        <v>164</v>
      </c>
      <c r="AD1331" s="584">
        <v>34822</v>
      </c>
      <c r="AE1331" s="586">
        <v>0.05</v>
      </c>
      <c r="AF1331" s="661" t="str">
        <f t="shared" si="143"/>
        <v>2019-LVN-FRD-T35V-008-26</v>
      </c>
      <c r="AG1331" s="661" t="str">
        <f>IF(AND($Y1331&gt;=32,(AI1331="I"),(Y1331&lt;&gt;"~"),(COUNTIF($AN$1:$AN1331,$AN1331)=1)),"TRUE","FALSE")</f>
        <v>FALSE</v>
      </c>
      <c r="AH1331" s="661" t="str">
        <f>IF(AND($Y1331&gt;=22, (AI1331&lt;&gt;"I"),(Y1331&lt;&gt;"~"),(COUNTIF($AN$1:$AN1331,$AN1331)=1)),"TRUE","FALSE")</f>
        <v>FALSE</v>
      </c>
      <c r="AI1331" s="661" t="str">
        <f t="shared" si="145"/>
        <v>II</v>
      </c>
      <c r="AJ1331" s="662" t="str">
        <f t="shared" si="139"/>
        <v>T35V-008</v>
      </c>
      <c r="AK1331" s="662" t="str">
        <f t="shared" si="140"/>
        <v>LVN</v>
      </c>
      <c r="AL1331" s="662" t="str">
        <f t="shared" si="141"/>
        <v>FRD</v>
      </c>
      <c r="AM1331" s="662" t="str">
        <f t="shared" si="144"/>
        <v>Transit 350 Van-Dual Door-RWD-2-110.1-~-3.5L EcoBoost-6-W2U-101A-147.6-25-Unleaded-Unleaded</v>
      </c>
      <c r="AN1331" s="662" t="str">
        <f t="shared" si="142"/>
        <v>2019-LVN-FRD-T35V-008</v>
      </c>
    </row>
    <row r="1332" spans="1:40" s="572" customFormat="1" ht="15">
      <c r="A1332" s="570" t="s">
        <v>2664</v>
      </c>
      <c r="B1332" s="569" t="s">
        <v>2646</v>
      </c>
      <c r="C1332" s="569" t="s">
        <v>287</v>
      </c>
      <c r="D1332" s="580">
        <v>26</v>
      </c>
      <c r="E1332" s="569" t="s">
        <v>1516</v>
      </c>
      <c r="F1332" s="569" t="s">
        <v>1571</v>
      </c>
      <c r="G1332" s="569" t="s">
        <v>271</v>
      </c>
      <c r="H1332" s="569">
        <v>2019</v>
      </c>
      <c r="I1332" s="569" t="s">
        <v>2628</v>
      </c>
      <c r="J1332" s="569" t="s">
        <v>1916</v>
      </c>
      <c r="K1332" s="569" t="s">
        <v>236</v>
      </c>
      <c r="L1332" s="569">
        <v>2</v>
      </c>
      <c r="M1332" s="569">
        <v>0</v>
      </c>
      <c r="N1332" s="569" t="s">
        <v>157</v>
      </c>
      <c r="O1332" s="569">
        <v>1</v>
      </c>
      <c r="P1332" s="569">
        <v>110.1</v>
      </c>
      <c r="Q1332" s="568" t="s">
        <v>157</v>
      </c>
      <c r="R1332" s="569" t="s">
        <v>682</v>
      </c>
      <c r="S1332" s="569">
        <v>6</v>
      </c>
      <c r="T1332" s="569" t="s">
        <v>2644</v>
      </c>
      <c r="U1332" s="569" t="s">
        <v>1894</v>
      </c>
      <c r="V1332" s="569">
        <v>147.6</v>
      </c>
      <c r="W1332" s="569">
        <v>25</v>
      </c>
      <c r="X1332" s="568">
        <v>9500</v>
      </c>
      <c r="Y1332" s="573">
        <v>12</v>
      </c>
      <c r="Z1332" s="581" t="s">
        <v>178</v>
      </c>
      <c r="AA1332" s="581" t="s">
        <v>178</v>
      </c>
      <c r="AB1332" s="585">
        <v>41710</v>
      </c>
      <c r="AC1332" s="585" t="s">
        <v>164</v>
      </c>
      <c r="AD1332" s="585">
        <v>33112</v>
      </c>
      <c r="AE1332" s="587">
        <v>0.05</v>
      </c>
      <c r="AF1332" s="661" t="str">
        <f t="shared" si="143"/>
        <v>2019-LVN-FRD-T35V-009-26</v>
      </c>
      <c r="AG1332" s="661" t="str">
        <f>IF(AND($Y1332&gt;=32,(AI1332="I"),(Y1332&lt;&gt;"~"),(COUNTIF($AN$1:$AN1332,$AN1332)=1)),"TRUE","FALSE")</f>
        <v>FALSE</v>
      </c>
      <c r="AH1332" s="661" t="str">
        <f>IF(AND($Y1332&gt;=22, (AI1332&lt;&gt;"I"),(Y1332&lt;&gt;"~"),(COUNTIF($AN$1:$AN1332,$AN1332)=1)),"TRUE","FALSE")</f>
        <v>FALSE</v>
      </c>
      <c r="AI1332" s="661" t="str">
        <f t="shared" si="145"/>
        <v>II</v>
      </c>
      <c r="AJ1332" s="662" t="str">
        <f t="shared" si="139"/>
        <v>T35V-009</v>
      </c>
      <c r="AK1332" s="662" t="str">
        <f t="shared" si="140"/>
        <v>LVN</v>
      </c>
      <c r="AL1332" s="662" t="str">
        <f t="shared" si="141"/>
        <v>FRD</v>
      </c>
      <c r="AM1332" s="662" t="str">
        <f t="shared" si="144"/>
        <v>Transit 350 Van-Dual Door-RWD-2-110.1-~-3.7L-6-W2U-101A-147.6-25-Unleaded-Unleaded</v>
      </c>
      <c r="AN1332" s="662" t="str">
        <f t="shared" si="142"/>
        <v>2019-LVN-FRD-T35V-009</v>
      </c>
    </row>
    <row r="1333" spans="1:40" s="572" customFormat="1" ht="15">
      <c r="A1333" s="570" t="s">
        <v>2665</v>
      </c>
      <c r="B1333" s="573" t="s">
        <v>2627</v>
      </c>
      <c r="C1333" s="573" t="s">
        <v>280</v>
      </c>
      <c r="D1333" s="578">
        <v>27</v>
      </c>
      <c r="E1333" s="573" t="s">
        <v>1516</v>
      </c>
      <c r="F1333" s="573" t="s">
        <v>1571</v>
      </c>
      <c r="G1333" s="573" t="s">
        <v>271</v>
      </c>
      <c r="H1333" s="573">
        <v>2019</v>
      </c>
      <c r="I1333" s="573" t="s">
        <v>2628</v>
      </c>
      <c r="J1333" s="573" t="s">
        <v>1916</v>
      </c>
      <c r="K1333" s="573" t="s">
        <v>236</v>
      </c>
      <c r="L1333" s="573">
        <v>2</v>
      </c>
      <c r="M1333" s="573">
        <v>0</v>
      </c>
      <c r="N1333" s="573" t="s">
        <v>157</v>
      </c>
      <c r="O1333" s="573">
        <v>1</v>
      </c>
      <c r="P1333" s="573">
        <v>100.7</v>
      </c>
      <c r="Q1333" s="571" t="s">
        <v>157</v>
      </c>
      <c r="R1333" s="573" t="s">
        <v>1259</v>
      </c>
      <c r="S1333" s="573">
        <v>6</v>
      </c>
      <c r="T1333" s="573" t="s">
        <v>2629</v>
      </c>
      <c r="U1333" s="573" t="s">
        <v>1894</v>
      </c>
      <c r="V1333" s="573">
        <v>147.6</v>
      </c>
      <c r="W1333" s="573">
        <v>25</v>
      </c>
      <c r="X1333" s="571">
        <v>9500</v>
      </c>
      <c r="Y1333" s="573">
        <v>12</v>
      </c>
      <c r="Z1333" s="579" t="s">
        <v>178</v>
      </c>
      <c r="AA1333" s="579" t="s">
        <v>178</v>
      </c>
      <c r="AB1333" s="584">
        <v>41425</v>
      </c>
      <c r="AC1333" s="584" t="s">
        <v>164</v>
      </c>
      <c r="AD1333" s="584">
        <v>31658</v>
      </c>
      <c r="AE1333" s="586">
        <v>0.03</v>
      </c>
      <c r="AF1333" s="661" t="str">
        <f t="shared" si="143"/>
        <v>2019-LVN-FRD-T35V-001-27</v>
      </c>
      <c r="AG1333" s="661" t="str">
        <f>IF(AND($Y1333&gt;=32,(AI1333="I"),(Y1333&lt;&gt;"~"),(COUNTIF($AN$1:$AN1333,$AN1333)=1)),"TRUE","FALSE")</f>
        <v>FALSE</v>
      </c>
      <c r="AH1333" s="661" t="str">
        <f>IF(AND($Y1333&gt;=22, (AI1333&lt;&gt;"I"),(Y1333&lt;&gt;"~"),(COUNTIF($AN$1:$AN1333,$AN1333)=1)),"TRUE","FALSE")</f>
        <v>FALSE</v>
      </c>
      <c r="AI1333" s="661" t="str">
        <f t="shared" si="145"/>
        <v>II</v>
      </c>
      <c r="AJ1333" s="662" t="str">
        <f t="shared" si="139"/>
        <v>T35V-001</v>
      </c>
      <c r="AK1333" s="662" t="str">
        <f t="shared" si="140"/>
        <v>LVN</v>
      </c>
      <c r="AL1333" s="662" t="str">
        <f t="shared" si="141"/>
        <v>FRD</v>
      </c>
      <c r="AM1333" s="662" t="str">
        <f t="shared" si="144"/>
        <v>Transit 350 Van-Dual Door-RWD-2-100.7-~-3.5L EcoBoost-6-W2D-101A-147.6-25-Unleaded-Unleaded</v>
      </c>
      <c r="AN1333" s="662" t="str">
        <f t="shared" si="142"/>
        <v>2019-LVN-FRD-T35V-001</v>
      </c>
    </row>
    <row r="1334" spans="1:40" s="572" customFormat="1" ht="15">
      <c r="A1334" s="570" t="s">
        <v>2665</v>
      </c>
      <c r="B1334" s="569" t="s">
        <v>2627</v>
      </c>
      <c r="C1334" s="569" t="s">
        <v>280</v>
      </c>
      <c r="D1334" s="580">
        <v>27</v>
      </c>
      <c r="E1334" s="569" t="s">
        <v>1516</v>
      </c>
      <c r="F1334" s="569" t="s">
        <v>1571</v>
      </c>
      <c r="G1334" s="569" t="s">
        <v>271</v>
      </c>
      <c r="H1334" s="569">
        <v>2019</v>
      </c>
      <c r="I1334" s="569" t="s">
        <v>2628</v>
      </c>
      <c r="J1334" s="569" t="s">
        <v>1916</v>
      </c>
      <c r="K1334" s="569" t="s">
        <v>236</v>
      </c>
      <c r="L1334" s="569">
        <v>2</v>
      </c>
      <c r="M1334" s="569">
        <v>0</v>
      </c>
      <c r="N1334" s="569" t="s">
        <v>157</v>
      </c>
      <c r="O1334" s="569">
        <v>1</v>
      </c>
      <c r="P1334" s="569">
        <v>100.7</v>
      </c>
      <c r="Q1334" s="568" t="s">
        <v>157</v>
      </c>
      <c r="R1334" s="569" t="s">
        <v>682</v>
      </c>
      <c r="S1334" s="569">
        <v>6</v>
      </c>
      <c r="T1334" s="569" t="s">
        <v>2629</v>
      </c>
      <c r="U1334" s="569" t="s">
        <v>1894</v>
      </c>
      <c r="V1334" s="569">
        <v>147.6</v>
      </c>
      <c r="W1334" s="569">
        <v>25</v>
      </c>
      <c r="X1334" s="568">
        <v>9500</v>
      </c>
      <c r="Y1334" s="573">
        <v>12</v>
      </c>
      <c r="Z1334" s="581" t="s">
        <v>178</v>
      </c>
      <c r="AA1334" s="581" t="s">
        <v>178</v>
      </c>
      <c r="AB1334" s="585">
        <v>39560</v>
      </c>
      <c r="AC1334" s="585" t="s">
        <v>164</v>
      </c>
      <c r="AD1334" s="585">
        <v>30001.75</v>
      </c>
      <c r="AE1334" s="587">
        <v>0.03</v>
      </c>
      <c r="AF1334" s="661" t="str">
        <f t="shared" si="143"/>
        <v>2019-LVN-FRD-T35V-001-27</v>
      </c>
      <c r="AG1334" s="661" t="str">
        <f>IF(AND($Y1334&gt;=32,(AI1334="I"),(Y1334&lt;&gt;"~"),(COUNTIF($AN$1:$AN1334,$AN1334)=1)),"TRUE","FALSE")</f>
        <v>FALSE</v>
      </c>
      <c r="AH1334" s="661" t="str">
        <f>IF(AND($Y1334&gt;=22, (AI1334&lt;&gt;"I"),(Y1334&lt;&gt;"~"),(COUNTIF($AN$1:$AN1334,$AN1334)=1)),"TRUE","FALSE")</f>
        <v>FALSE</v>
      </c>
      <c r="AI1334" s="661" t="str">
        <f t="shared" si="145"/>
        <v>II</v>
      </c>
      <c r="AJ1334" s="662" t="str">
        <f t="shared" si="139"/>
        <v>T35V-001</v>
      </c>
      <c r="AK1334" s="662" t="str">
        <f t="shared" si="140"/>
        <v>LVN</v>
      </c>
      <c r="AL1334" s="662" t="str">
        <f t="shared" si="141"/>
        <v>FRD</v>
      </c>
      <c r="AM1334" s="662" t="str">
        <f t="shared" si="144"/>
        <v>Transit 350 Van-Dual Door-RWD-2-100.7-~-3.7L-6-W2D-101A-147.6-25-Unleaded-Unleaded</v>
      </c>
      <c r="AN1334" s="662" t="str">
        <f t="shared" si="142"/>
        <v>2019-LVN-FRD-T35V-001</v>
      </c>
    </row>
    <row r="1335" spans="1:40" s="572" customFormat="1" ht="15">
      <c r="A1335" s="570" t="s">
        <v>2666</v>
      </c>
      <c r="B1335" s="573" t="s">
        <v>2631</v>
      </c>
      <c r="C1335" s="573" t="s">
        <v>280</v>
      </c>
      <c r="D1335" s="578">
        <v>27</v>
      </c>
      <c r="E1335" s="573" t="s">
        <v>1516</v>
      </c>
      <c r="F1335" s="573" t="s">
        <v>1571</v>
      </c>
      <c r="G1335" s="573" t="s">
        <v>271</v>
      </c>
      <c r="H1335" s="573">
        <v>2019</v>
      </c>
      <c r="I1335" s="573" t="s">
        <v>2628</v>
      </c>
      <c r="J1335" s="573" t="s">
        <v>1916</v>
      </c>
      <c r="K1335" s="573" t="s">
        <v>236</v>
      </c>
      <c r="L1335" s="573">
        <v>2</v>
      </c>
      <c r="M1335" s="573">
        <v>0</v>
      </c>
      <c r="N1335" s="573" t="s">
        <v>157</v>
      </c>
      <c r="O1335" s="573">
        <v>1</v>
      </c>
      <c r="P1335" s="573">
        <v>100.8</v>
      </c>
      <c r="Q1335" s="571" t="s">
        <v>157</v>
      </c>
      <c r="R1335" s="573" t="s">
        <v>1259</v>
      </c>
      <c r="S1335" s="573">
        <v>6</v>
      </c>
      <c r="T1335" s="573" t="s">
        <v>2632</v>
      </c>
      <c r="U1335" s="573" t="s">
        <v>1894</v>
      </c>
      <c r="V1335" s="573">
        <v>129.9</v>
      </c>
      <c r="W1335" s="573">
        <v>25</v>
      </c>
      <c r="X1335" s="571">
        <v>9500</v>
      </c>
      <c r="Y1335" s="573">
        <v>12</v>
      </c>
      <c r="Z1335" s="579" t="s">
        <v>178</v>
      </c>
      <c r="AA1335" s="579" t="s">
        <v>178</v>
      </c>
      <c r="AB1335" s="584">
        <v>39700</v>
      </c>
      <c r="AC1335" s="584" t="s">
        <v>164</v>
      </c>
      <c r="AD1335" s="584">
        <v>30081.958333333336</v>
      </c>
      <c r="AE1335" s="586">
        <v>0.03</v>
      </c>
      <c r="AF1335" s="661" t="str">
        <f t="shared" si="143"/>
        <v>2019-LVN-FRD-T35V-003-27</v>
      </c>
      <c r="AG1335" s="661" t="str">
        <f>IF(AND($Y1335&gt;=32,(AI1335="I"),(Y1335&lt;&gt;"~"),(COUNTIF($AN$1:$AN1335,$AN1335)=1)),"TRUE","FALSE")</f>
        <v>FALSE</v>
      </c>
      <c r="AH1335" s="661" t="str">
        <f>IF(AND($Y1335&gt;=22, (AI1335&lt;&gt;"I"),(Y1335&lt;&gt;"~"),(COUNTIF($AN$1:$AN1335,$AN1335)=1)),"TRUE","FALSE")</f>
        <v>FALSE</v>
      </c>
      <c r="AI1335" s="661" t="str">
        <f t="shared" si="145"/>
        <v>II</v>
      </c>
      <c r="AJ1335" s="662" t="str">
        <f t="shared" si="139"/>
        <v>T35V-003</v>
      </c>
      <c r="AK1335" s="662" t="str">
        <f t="shared" si="140"/>
        <v>LVN</v>
      </c>
      <c r="AL1335" s="662" t="str">
        <f t="shared" si="141"/>
        <v>FRD</v>
      </c>
      <c r="AM1335" s="662" t="str">
        <f t="shared" si="144"/>
        <v>Transit 350 Van-Dual Door-RWD-2-100.8-~-3.5L EcoBoost-6-W1D-101A-129.9-25-Unleaded-Unleaded</v>
      </c>
      <c r="AN1335" s="662" t="str">
        <f t="shared" si="142"/>
        <v>2019-LVN-FRD-T35V-003</v>
      </c>
    </row>
    <row r="1336" spans="1:40" s="572" customFormat="1" ht="15">
      <c r="A1336" s="570" t="s">
        <v>2667</v>
      </c>
      <c r="B1336" s="569" t="s">
        <v>2634</v>
      </c>
      <c r="C1336" s="569" t="s">
        <v>280</v>
      </c>
      <c r="D1336" s="580">
        <v>27</v>
      </c>
      <c r="E1336" s="569" t="s">
        <v>1516</v>
      </c>
      <c r="F1336" s="569" t="s">
        <v>1571</v>
      </c>
      <c r="G1336" s="569" t="s">
        <v>271</v>
      </c>
      <c r="H1336" s="569">
        <v>2019</v>
      </c>
      <c r="I1336" s="569" t="s">
        <v>2628</v>
      </c>
      <c r="J1336" s="569" t="s">
        <v>1916</v>
      </c>
      <c r="K1336" s="569" t="s">
        <v>236</v>
      </c>
      <c r="L1336" s="569">
        <v>2</v>
      </c>
      <c r="M1336" s="569">
        <v>0</v>
      </c>
      <c r="N1336" s="569" t="s">
        <v>157</v>
      </c>
      <c r="O1336" s="569">
        <v>1</v>
      </c>
      <c r="P1336" s="569">
        <v>100.8</v>
      </c>
      <c r="Q1336" s="568" t="s">
        <v>157</v>
      </c>
      <c r="R1336" s="569" t="s">
        <v>682</v>
      </c>
      <c r="S1336" s="569">
        <v>6</v>
      </c>
      <c r="T1336" s="569" t="s">
        <v>2632</v>
      </c>
      <c r="U1336" s="569" t="s">
        <v>1894</v>
      </c>
      <c r="V1336" s="569">
        <v>129.9</v>
      </c>
      <c r="W1336" s="569">
        <v>25</v>
      </c>
      <c r="X1336" s="568">
        <v>9500</v>
      </c>
      <c r="Y1336" s="573">
        <v>12</v>
      </c>
      <c r="Z1336" s="581" t="s">
        <v>178</v>
      </c>
      <c r="AA1336" s="581" t="s">
        <v>178</v>
      </c>
      <c r="AB1336" s="585">
        <v>37835</v>
      </c>
      <c r="AC1336" s="585" t="s">
        <v>164</v>
      </c>
      <c r="AD1336" s="585">
        <v>28425.708333333336</v>
      </c>
      <c r="AE1336" s="587">
        <v>0.03</v>
      </c>
      <c r="AF1336" s="661" t="str">
        <f t="shared" si="143"/>
        <v>2019-LVN-FRD-T35V-004-27</v>
      </c>
      <c r="AG1336" s="661" t="str">
        <f>IF(AND($Y1336&gt;=32,(AI1336="I"),(Y1336&lt;&gt;"~"),(COUNTIF($AN$1:$AN1336,$AN1336)=1)),"TRUE","FALSE")</f>
        <v>FALSE</v>
      </c>
      <c r="AH1336" s="661" t="str">
        <f>IF(AND($Y1336&gt;=22, (AI1336&lt;&gt;"I"),(Y1336&lt;&gt;"~"),(COUNTIF($AN$1:$AN1336,$AN1336)=1)),"TRUE","FALSE")</f>
        <v>FALSE</v>
      </c>
      <c r="AI1336" s="661" t="str">
        <f t="shared" si="145"/>
        <v>II</v>
      </c>
      <c r="AJ1336" s="662" t="str">
        <f t="shared" si="139"/>
        <v>T35V-004</v>
      </c>
      <c r="AK1336" s="662" t="str">
        <f t="shared" si="140"/>
        <v>LVN</v>
      </c>
      <c r="AL1336" s="662" t="str">
        <f t="shared" si="141"/>
        <v>FRD</v>
      </c>
      <c r="AM1336" s="662" t="str">
        <f t="shared" si="144"/>
        <v>Transit 350 Van-Dual Door-RWD-2-100.8-~-3.7L-6-W1D-101A-129.9-25-Unleaded-Unleaded</v>
      </c>
      <c r="AN1336" s="662" t="str">
        <f t="shared" si="142"/>
        <v>2019-LVN-FRD-T35V-004</v>
      </c>
    </row>
    <row r="1337" spans="1:40" s="572" customFormat="1" ht="15">
      <c r="A1337" s="570" t="s">
        <v>2668</v>
      </c>
      <c r="B1337" s="573" t="s">
        <v>2636</v>
      </c>
      <c r="C1337" s="573" t="s">
        <v>280</v>
      </c>
      <c r="D1337" s="578">
        <v>27</v>
      </c>
      <c r="E1337" s="573" t="s">
        <v>1516</v>
      </c>
      <c r="F1337" s="573" t="s">
        <v>1571</v>
      </c>
      <c r="G1337" s="573" t="s">
        <v>271</v>
      </c>
      <c r="H1337" s="573">
        <v>2019</v>
      </c>
      <c r="I1337" s="573" t="s">
        <v>2628</v>
      </c>
      <c r="J1337" s="573" t="s">
        <v>1916</v>
      </c>
      <c r="K1337" s="573" t="s">
        <v>236</v>
      </c>
      <c r="L1337" s="573">
        <v>2</v>
      </c>
      <c r="M1337" s="573">
        <v>0</v>
      </c>
      <c r="N1337" s="573" t="s">
        <v>157</v>
      </c>
      <c r="O1337" s="573">
        <v>1</v>
      </c>
      <c r="P1337" s="573">
        <v>109.4</v>
      </c>
      <c r="Q1337" s="571" t="s">
        <v>157</v>
      </c>
      <c r="R1337" s="573" t="s">
        <v>1917</v>
      </c>
      <c r="S1337" s="573">
        <v>5</v>
      </c>
      <c r="T1337" s="573" t="s">
        <v>2637</v>
      </c>
      <c r="U1337" s="573" t="s">
        <v>1894</v>
      </c>
      <c r="V1337" s="573">
        <v>147.6</v>
      </c>
      <c r="W1337" s="573">
        <v>25</v>
      </c>
      <c r="X1337" s="571">
        <v>9500</v>
      </c>
      <c r="Y1337" s="573">
        <v>12</v>
      </c>
      <c r="Z1337" s="579" t="s">
        <v>728</v>
      </c>
      <c r="AA1337" s="579" t="s">
        <v>1523</v>
      </c>
      <c r="AB1337" s="584">
        <v>47005</v>
      </c>
      <c r="AC1337" s="584" t="s">
        <v>164</v>
      </c>
      <c r="AD1337" s="584">
        <v>36706.5</v>
      </c>
      <c r="AE1337" s="586">
        <v>0.03</v>
      </c>
      <c r="AF1337" s="661" t="str">
        <f t="shared" si="143"/>
        <v>2019-LVN-FRD-T35V-005-27</v>
      </c>
      <c r="AG1337" s="661" t="str">
        <f>IF(AND($Y1337&gt;=32,(AI1337="I"),(Y1337&lt;&gt;"~"),(COUNTIF($AN$1:$AN1337,$AN1337)=1)),"TRUE","FALSE")</f>
        <v>FALSE</v>
      </c>
      <c r="AH1337" s="661" t="str">
        <f>IF(AND($Y1337&gt;=22, (AI1337&lt;&gt;"I"),(Y1337&lt;&gt;"~"),(COUNTIF($AN$1:$AN1337,$AN1337)=1)),"TRUE","FALSE")</f>
        <v>FALSE</v>
      </c>
      <c r="AI1337" s="661" t="str">
        <f t="shared" si="145"/>
        <v>II</v>
      </c>
      <c r="AJ1337" s="662" t="str">
        <f t="shared" si="139"/>
        <v>T35V-005</v>
      </c>
      <c r="AK1337" s="662" t="str">
        <f t="shared" si="140"/>
        <v>LVN</v>
      </c>
      <c r="AL1337" s="662" t="str">
        <f t="shared" si="141"/>
        <v>FRD</v>
      </c>
      <c r="AM1337" s="662" t="str">
        <f t="shared" si="144"/>
        <v>Transit 350 Van-Dual Door-RWD-2-109.4-~-3.2L-5-W3U-101A-147.6-25-Diesel-BioDiesel</v>
      </c>
      <c r="AN1337" s="662" t="str">
        <f t="shared" si="142"/>
        <v>2019-LVN-FRD-T35V-005</v>
      </c>
    </row>
    <row r="1338" spans="1:40" s="572" customFormat="1" ht="15">
      <c r="A1338" s="570" t="s">
        <v>2669</v>
      </c>
      <c r="B1338" s="569" t="s">
        <v>2639</v>
      </c>
      <c r="C1338" s="569" t="s">
        <v>280</v>
      </c>
      <c r="D1338" s="580">
        <v>27</v>
      </c>
      <c r="E1338" s="569" t="s">
        <v>1516</v>
      </c>
      <c r="F1338" s="569" t="s">
        <v>1571</v>
      </c>
      <c r="G1338" s="569" t="s">
        <v>271</v>
      </c>
      <c r="H1338" s="569">
        <v>2019</v>
      </c>
      <c r="I1338" s="569" t="s">
        <v>2628</v>
      </c>
      <c r="J1338" s="569" t="s">
        <v>1916</v>
      </c>
      <c r="K1338" s="569" t="s">
        <v>236</v>
      </c>
      <c r="L1338" s="569">
        <v>2</v>
      </c>
      <c r="M1338" s="569">
        <v>0</v>
      </c>
      <c r="N1338" s="569" t="s">
        <v>157</v>
      </c>
      <c r="O1338" s="569">
        <v>1</v>
      </c>
      <c r="P1338" s="569">
        <v>109.4</v>
      </c>
      <c r="Q1338" s="568" t="s">
        <v>157</v>
      </c>
      <c r="R1338" s="569" t="s">
        <v>1259</v>
      </c>
      <c r="S1338" s="569">
        <v>6</v>
      </c>
      <c r="T1338" s="569" t="s">
        <v>2637</v>
      </c>
      <c r="U1338" s="569" t="s">
        <v>1894</v>
      </c>
      <c r="V1338" s="569">
        <v>147.6</v>
      </c>
      <c r="W1338" s="569">
        <v>25</v>
      </c>
      <c r="X1338" s="568">
        <v>9500</v>
      </c>
      <c r="Y1338" s="573">
        <v>12</v>
      </c>
      <c r="Z1338" s="581" t="s">
        <v>178</v>
      </c>
      <c r="AA1338" s="581" t="s">
        <v>178</v>
      </c>
      <c r="AB1338" s="585">
        <v>44875</v>
      </c>
      <c r="AC1338" s="585" t="s">
        <v>164</v>
      </c>
      <c r="AD1338" s="585">
        <v>34813.208333333336</v>
      </c>
      <c r="AE1338" s="587">
        <v>0.03</v>
      </c>
      <c r="AF1338" s="661" t="str">
        <f t="shared" si="143"/>
        <v>2019-LVN-FRD-T35V-006-27</v>
      </c>
      <c r="AG1338" s="661" t="str">
        <f>IF(AND($Y1338&gt;=32,(AI1338="I"),(Y1338&lt;&gt;"~"),(COUNTIF($AN$1:$AN1338,$AN1338)=1)),"TRUE","FALSE")</f>
        <v>FALSE</v>
      </c>
      <c r="AH1338" s="661" t="str">
        <f>IF(AND($Y1338&gt;=22, (AI1338&lt;&gt;"I"),(Y1338&lt;&gt;"~"),(COUNTIF($AN$1:$AN1338,$AN1338)=1)),"TRUE","FALSE")</f>
        <v>FALSE</v>
      </c>
      <c r="AI1338" s="661" t="str">
        <f t="shared" si="145"/>
        <v>II</v>
      </c>
      <c r="AJ1338" s="662" t="str">
        <f t="shared" si="139"/>
        <v>T35V-006</v>
      </c>
      <c r="AK1338" s="662" t="str">
        <f t="shared" si="140"/>
        <v>LVN</v>
      </c>
      <c r="AL1338" s="662" t="str">
        <f t="shared" si="141"/>
        <v>FRD</v>
      </c>
      <c r="AM1338" s="662" t="str">
        <f t="shared" si="144"/>
        <v>Transit 350 Van-Dual Door-RWD-2-109.4-~-3.5L EcoBoost-6-W3U-101A-147.6-25-Unleaded-Unleaded</v>
      </c>
      <c r="AN1338" s="662" t="str">
        <f t="shared" si="142"/>
        <v>2019-LVN-FRD-T35V-006</v>
      </c>
    </row>
    <row r="1339" spans="1:40" s="572" customFormat="1" ht="15">
      <c r="A1339" s="570" t="s">
        <v>2670</v>
      </c>
      <c r="B1339" s="573" t="s">
        <v>2641</v>
      </c>
      <c r="C1339" s="573" t="s">
        <v>280</v>
      </c>
      <c r="D1339" s="578">
        <v>27</v>
      </c>
      <c r="E1339" s="573" t="s">
        <v>1516</v>
      </c>
      <c r="F1339" s="573" t="s">
        <v>1571</v>
      </c>
      <c r="G1339" s="573" t="s">
        <v>271</v>
      </c>
      <c r="H1339" s="573">
        <v>2019</v>
      </c>
      <c r="I1339" s="573" t="s">
        <v>2628</v>
      </c>
      <c r="J1339" s="573" t="s">
        <v>1916</v>
      </c>
      <c r="K1339" s="573" t="s">
        <v>236</v>
      </c>
      <c r="L1339" s="573">
        <v>2</v>
      </c>
      <c r="M1339" s="573">
        <v>0</v>
      </c>
      <c r="N1339" s="573" t="s">
        <v>157</v>
      </c>
      <c r="O1339" s="573">
        <v>1</v>
      </c>
      <c r="P1339" s="573">
        <v>109.4</v>
      </c>
      <c r="Q1339" s="571" t="s">
        <v>157</v>
      </c>
      <c r="R1339" s="573" t="s">
        <v>682</v>
      </c>
      <c r="S1339" s="573">
        <v>6</v>
      </c>
      <c r="T1339" s="573" t="s">
        <v>2637</v>
      </c>
      <c r="U1339" s="573" t="s">
        <v>1894</v>
      </c>
      <c r="V1339" s="573">
        <v>147.6</v>
      </c>
      <c r="W1339" s="573">
        <v>25</v>
      </c>
      <c r="X1339" s="571">
        <v>9500</v>
      </c>
      <c r="Y1339" s="573">
        <v>12</v>
      </c>
      <c r="Z1339" s="579" t="s">
        <v>178</v>
      </c>
      <c r="AA1339" s="579" t="s">
        <v>178</v>
      </c>
      <c r="AB1339" s="584">
        <v>43010</v>
      </c>
      <c r="AC1339" s="584" t="s">
        <v>164</v>
      </c>
      <c r="AD1339" s="584">
        <v>33156.958333333336</v>
      </c>
      <c r="AE1339" s="586">
        <v>0.03</v>
      </c>
      <c r="AF1339" s="661" t="str">
        <f t="shared" si="143"/>
        <v>2019-LVN-FRD-T35V-007-27</v>
      </c>
      <c r="AG1339" s="661" t="str">
        <f>IF(AND($Y1339&gt;=32,(AI1339="I"),(Y1339&lt;&gt;"~"),(COUNTIF($AN$1:$AN1339,$AN1339)=1)),"TRUE","FALSE")</f>
        <v>FALSE</v>
      </c>
      <c r="AH1339" s="661" t="str">
        <f>IF(AND($Y1339&gt;=22, (AI1339&lt;&gt;"I"),(Y1339&lt;&gt;"~"),(COUNTIF($AN$1:$AN1339,$AN1339)=1)),"TRUE","FALSE")</f>
        <v>FALSE</v>
      </c>
      <c r="AI1339" s="661" t="str">
        <f t="shared" si="145"/>
        <v>II</v>
      </c>
      <c r="AJ1339" s="662" t="str">
        <f t="shared" si="139"/>
        <v>T35V-007</v>
      </c>
      <c r="AK1339" s="662" t="str">
        <f t="shared" si="140"/>
        <v>LVN</v>
      </c>
      <c r="AL1339" s="662" t="str">
        <f t="shared" si="141"/>
        <v>FRD</v>
      </c>
      <c r="AM1339" s="662" t="str">
        <f t="shared" si="144"/>
        <v>Transit 350 Van-Dual Door-RWD-2-109.4-~-3.7L-6-W3U-101A-147.6-25-Unleaded-Unleaded</v>
      </c>
      <c r="AN1339" s="662" t="str">
        <f t="shared" si="142"/>
        <v>2019-LVN-FRD-T35V-007</v>
      </c>
    </row>
    <row r="1340" spans="1:40" s="572" customFormat="1" ht="15">
      <c r="A1340" s="570" t="s">
        <v>2671</v>
      </c>
      <c r="B1340" s="569" t="s">
        <v>2643</v>
      </c>
      <c r="C1340" s="569" t="s">
        <v>280</v>
      </c>
      <c r="D1340" s="580">
        <v>27</v>
      </c>
      <c r="E1340" s="569" t="s">
        <v>1516</v>
      </c>
      <c r="F1340" s="569" t="s">
        <v>1571</v>
      </c>
      <c r="G1340" s="569" t="s">
        <v>271</v>
      </c>
      <c r="H1340" s="569">
        <v>2019</v>
      </c>
      <c r="I1340" s="569" t="s">
        <v>2628</v>
      </c>
      <c r="J1340" s="569" t="s">
        <v>1916</v>
      </c>
      <c r="K1340" s="569" t="s">
        <v>236</v>
      </c>
      <c r="L1340" s="569">
        <v>2</v>
      </c>
      <c r="M1340" s="569">
        <v>0</v>
      </c>
      <c r="N1340" s="569" t="s">
        <v>157</v>
      </c>
      <c r="O1340" s="569">
        <v>1</v>
      </c>
      <c r="P1340" s="569">
        <v>110.1</v>
      </c>
      <c r="Q1340" s="568" t="s">
        <v>157</v>
      </c>
      <c r="R1340" s="569" t="s">
        <v>1259</v>
      </c>
      <c r="S1340" s="569">
        <v>6</v>
      </c>
      <c r="T1340" s="569" t="s">
        <v>2644</v>
      </c>
      <c r="U1340" s="569" t="s">
        <v>1894</v>
      </c>
      <c r="V1340" s="569">
        <v>147.6</v>
      </c>
      <c r="W1340" s="569">
        <v>25</v>
      </c>
      <c r="X1340" s="568">
        <v>9500</v>
      </c>
      <c r="Y1340" s="573">
        <v>12</v>
      </c>
      <c r="Z1340" s="581" t="s">
        <v>178</v>
      </c>
      <c r="AA1340" s="581" t="s">
        <v>178</v>
      </c>
      <c r="AB1340" s="585">
        <v>43575</v>
      </c>
      <c r="AC1340" s="585" t="s">
        <v>164</v>
      </c>
      <c r="AD1340" s="585">
        <v>33623.625</v>
      </c>
      <c r="AE1340" s="587">
        <v>0.03</v>
      </c>
      <c r="AF1340" s="661" t="str">
        <f t="shared" si="143"/>
        <v>2019-LVN-FRD-T35V-008-27</v>
      </c>
      <c r="AG1340" s="661" t="str">
        <f>IF(AND($Y1340&gt;=32,(AI1340="I"),(Y1340&lt;&gt;"~"),(COUNTIF($AN$1:$AN1340,$AN1340)=1)),"TRUE","FALSE")</f>
        <v>FALSE</v>
      </c>
      <c r="AH1340" s="661" t="str">
        <f>IF(AND($Y1340&gt;=22, (AI1340&lt;&gt;"I"),(Y1340&lt;&gt;"~"),(COUNTIF($AN$1:$AN1340,$AN1340)=1)),"TRUE","FALSE")</f>
        <v>FALSE</v>
      </c>
      <c r="AI1340" s="661" t="str">
        <f t="shared" si="145"/>
        <v>II</v>
      </c>
      <c r="AJ1340" s="662" t="str">
        <f t="shared" si="139"/>
        <v>T35V-008</v>
      </c>
      <c r="AK1340" s="662" t="str">
        <f t="shared" si="140"/>
        <v>LVN</v>
      </c>
      <c r="AL1340" s="662" t="str">
        <f t="shared" si="141"/>
        <v>FRD</v>
      </c>
      <c r="AM1340" s="662" t="str">
        <f t="shared" si="144"/>
        <v>Transit 350 Van-Dual Door-RWD-2-110.1-~-3.5L EcoBoost-6-W2U-101A-147.6-25-Unleaded-Unleaded</v>
      </c>
      <c r="AN1340" s="662" t="str">
        <f t="shared" si="142"/>
        <v>2019-LVN-FRD-T35V-008</v>
      </c>
    </row>
    <row r="1341" spans="1:40" s="572" customFormat="1" ht="15">
      <c r="A1341" s="570" t="s">
        <v>2672</v>
      </c>
      <c r="B1341" s="573" t="s">
        <v>2646</v>
      </c>
      <c r="C1341" s="573" t="s">
        <v>280</v>
      </c>
      <c r="D1341" s="578">
        <v>27</v>
      </c>
      <c r="E1341" s="573" t="s">
        <v>1516</v>
      </c>
      <c r="F1341" s="573" t="s">
        <v>1571</v>
      </c>
      <c r="G1341" s="573" t="s">
        <v>271</v>
      </c>
      <c r="H1341" s="573">
        <v>2019</v>
      </c>
      <c r="I1341" s="573" t="s">
        <v>2628</v>
      </c>
      <c r="J1341" s="573" t="s">
        <v>1916</v>
      </c>
      <c r="K1341" s="573" t="s">
        <v>236</v>
      </c>
      <c r="L1341" s="573">
        <v>2</v>
      </c>
      <c r="M1341" s="573">
        <v>0</v>
      </c>
      <c r="N1341" s="573" t="s">
        <v>157</v>
      </c>
      <c r="O1341" s="573">
        <v>1</v>
      </c>
      <c r="P1341" s="573">
        <v>110.1</v>
      </c>
      <c r="Q1341" s="571" t="s">
        <v>157</v>
      </c>
      <c r="R1341" s="573" t="s">
        <v>682</v>
      </c>
      <c r="S1341" s="573">
        <v>6</v>
      </c>
      <c r="T1341" s="573" t="s">
        <v>2644</v>
      </c>
      <c r="U1341" s="573" t="s">
        <v>1894</v>
      </c>
      <c r="V1341" s="573">
        <v>147.6</v>
      </c>
      <c r="W1341" s="573">
        <v>25</v>
      </c>
      <c r="X1341" s="571">
        <v>9500</v>
      </c>
      <c r="Y1341" s="573">
        <v>12</v>
      </c>
      <c r="Z1341" s="579" t="s">
        <v>178</v>
      </c>
      <c r="AA1341" s="579" t="s">
        <v>178</v>
      </c>
      <c r="AB1341" s="584">
        <v>41710</v>
      </c>
      <c r="AC1341" s="584" t="s">
        <v>164</v>
      </c>
      <c r="AD1341" s="584">
        <v>31967.375</v>
      </c>
      <c r="AE1341" s="586">
        <v>0.03</v>
      </c>
      <c r="AF1341" s="661" t="str">
        <f t="shared" si="143"/>
        <v>2019-LVN-FRD-T35V-009-27</v>
      </c>
      <c r="AG1341" s="661" t="str">
        <f>IF(AND($Y1341&gt;=32,(AI1341="I"),(Y1341&lt;&gt;"~"),(COUNTIF($AN$1:$AN1341,$AN1341)=1)),"TRUE","FALSE")</f>
        <v>FALSE</v>
      </c>
      <c r="AH1341" s="661" t="str">
        <f>IF(AND($Y1341&gt;=22, (AI1341&lt;&gt;"I"),(Y1341&lt;&gt;"~"),(COUNTIF($AN$1:$AN1341,$AN1341)=1)),"TRUE","FALSE")</f>
        <v>FALSE</v>
      </c>
      <c r="AI1341" s="661" t="str">
        <f t="shared" si="145"/>
        <v>II</v>
      </c>
      <c r="AJ1341" s="662" t="str">
        <f t="shared" si="139"/>
        <v>T35V-009</v>
      </c>
      <c r="AK1341" s="662" t="str">
        <f t="shared" si="140"/>
        <v>LVN</v>
      </c>
      <c r="AL1341" s="662" t="str">
        <f t="shared" si="141"/>
        <v>FRD</v>
      </c>
      <c r="AM1341" s="662" t="str">
        <f t="shared" si="144"/>
        <v>Transit 350 Van-Dual Door-RWD-2-110.1-~-3.7L-6-W2U-101A-147.6-25-Unleaded-Unleaded</v>
      </c>
      <c r="AN1341" s="662" t="str">
        <f t="shared" si="142"/>
        <v>2019-LVN-FRD-T35V-009</v>
      </c>
    </row>
    <row r="1342" spans="1:40" s="572" customFormat="1" ht="15">
      <c r="A1342" s="570" t="s">
        <v>2673</v>
      </c>
      <c r="B1342" s="569" t="s">
        <v>2674</v>
      </c>
      <c r="C1342" s="569" t="s">
        <v>269</v>
      </c>
      <c r="D1342" s="580" t="s">
        <v>270</v>
      </c>
      <c r="E1342" s="569" t="s">
        <v>1516</v>
      </c>
      <c r="F1342" s="569" t="s">
        <v>1571</v>
      </c>
      <c r="G1342" s="569" t="s">
        <v>271</v>
      </c>
      <c r="H1342" s="569">
        <v>2019</v>
      </c>
      <c r="I1342" s="569" t="s">
        <v>2628</v>
      </c>
      <c r="J1342" s="569" t="s">
        <v>1950</v>
      </c>
      <c r="K1342" s="569" t="s">
        <v>236</v>
      </c>
      <c r="L1342" s="569">
        <v>2</v>
      </c>
      <c r="M1342" s="569">
        <v>0</v>
      </c>
      <c r="N1342" s="569" t="s">
        <v>157</v>
      </c>
      <c r="O1342" s="569">
        <v>1</v>
      </c>
      <c r="P1342" s="569">
        <v>100.7</v>
      </c>
      <c r="Q1342" s="568" t="s">
        <v>157</v>
      </c>
      <c r="R1342" s="569" t="s">
        <v>1259</v>
      </c>
      <c r="S1342" s="569">
        <v>6</v>
      </c>
      <c r="T1342" s="569" t="s">
        <v>2675</v>
      </c>
      <c r="U1342" s="569" t="s">
        <v>1894</v>
      </c>
      <c r="V1342" s="569">
        <v>147.6</v>
      </c>
      <c r="W1342" s="569">
        <v>25</v>
      </c>
      <c r="X1342" s="568">
        <v>9500</v>
      </c>
      <c r="Y1342" s="573">
        <v>12</v>
      </c>
      <c r="Z1342" s="581" t="s">
        <v>178</v>
      </c>
      <c r="AA1342" s="581" t="s">
        <v>178</v>
      </c>
      <c r="AB1342" s="585">
        <v>40775</v>
      </c>
      <c r="AC1342" s="585" t="s">
        <v>164</v>
      </c>
      <c r="AD1342" s="585">
        <v>31064.25</v>
      </c>
      <c r="AE1342" s="587">
        <v>0.03</v>
      </c>
      <c r="AF1342" s="661" t="str">
        <f t="shared" si="143"/>
        <v>2019-LVN-FRD-T35V-010-05</v>
      </c>
      <c r="AG1342" s="661" t="str">
        <f>IF(AND($Y1342&gt;=32,(AI1342="I"),(Y1342&lt;&gt;"~"),(COUNTIF($AN$1:$AN1342,$AN1342)=1)),"TRUE","FALSE")</f>
        <v>FALSE</v>
      </c>
      <c r="AH1342" s="661" t="str">
        <f>IF(AND($Y1342&gt;=22, (AI1342&lt;&gt;"I"),(Y1342&lt;&gt;"~"),(COUNTIF($AN$1:$AN1342,$AN1342)=1)),"TRUE","FALSE")</f>
        <v>FALSE</v>
      </c>
      <c r="AI1342" s="661" t="str">
        <f t="shared" si="145"/>
        <v>II</v>
      </c>
      <c r="AJ1342" s="662" t="str">
        <f t="shared" si="139"/>
        <v>T35V-010</v>
      </c>
      <c r="AK1342" s="662" t="str">
        <f t="shared" si="140"/>
        <v>LVN</v>
      </c>
      <c r="AL1342" s="662" t="str">
        <f t="shared" si="141"/>
        <v>FRD</v>
      </c>
      <c r="AM1342" s="662" t="str">
        <f t="shared" si="144"/>
        <v>Transit 350 Van-Sliding RH Door-RWD-2-100.7-~-3.5L EcoBoost-6-W2C-101A-147.6-25-Unleaded-Unleaded</v>
      </c>
      <c r="AN1342" s="662" t="str">
        <f t="shared" si="142"/>
        <v>2019-LVN-FRD-T35V-010</v>
      </c>
    </row>
    <row r="1343" spans="1:40" s="572" customFormat="1" ht="15">
      <c r="A1343" s="570" t="s">
        <v>2676</v>
      </c>
      <c r="B1343" s="573" t="s">
        <v>2677</v>
      </c>
      <c r="C1343" s="573" t="s">
        <v>269</v>
      </c>
      <c r="D1343" s="578" t="s">
        <v>270</v>
      </c>
      <c r="E1343" s="573" t="s">
        <v>1516</v>
      </c>
      <c r="F1343" s="573" t="s">
        <v>1571</v>
      </c>
      <c r="G1343" s="573" t="s">
        <v>271</v>
      </c>
      <c r="H1343" s="573">
        <v>2019</v>
      </c>
      <c r="I1343" s="573" t="s">
        <v>2628</v>
      </c>
      <c r="J1343" s="573" t="s">
        <v>1950</v>
      </c>
      <c r="K1343" s="573" t="s">
        <v>236</v>
      </c>
      <c r="L1343" s="573">
        <v>2</v>
      </c>
      <c r="M1343" s="573">
        <v>0</v>
      </c>
      <c r="N1343" s="573" t="s">
        <v>157</v>
      </c>
      <c r="O1343" s="573">
        <v>1</v>
      </c>
      <c r="P1343" s="573">
        <v>100.7</v>
      </c>
      <c r="Q1343" s="571" t="s">
        <v>157</v>
      </c>
      <c r="R1343" s="573" t="s">
        <v>682</v>
      </c>
      <c r="S1343" s="573">
        <v>6</v>
      </c>
      <c r="T1343" s="573" t="s">
        <v>2675</v>
      </c>
      <c r="U1343" s="573" t="s">
        <v>1894</v>
      </c>
      <c r="V1343" s="573">
        <v>147.6</v>
      </c>
      <c r="W1343" s="573">
        <v>25</v>
      </c>
      <c r="X1343" s="571">
        <v>9500</v>
      </c>
      <c r="Y1343" s="573">
        <v>12</v>
      </c>
      <c r="Z1343" s="579" t="s">
        <v>178</v>
      </c>
      <c r="AA1343" s="579" t="s">
        <v>178</v>
      </c>
      <c r="AB1343" s="584">
        <v>38910</v>
      </c>
      <c r="AC1343" s="584" t="s">
        <v>164</v>
      </c>
      <c r="AD1343" s="584">
        <v>29407.291666666668</v>
      </c>
      <c r="AE1343" s="586">
        <v>0.03</v>
      </c>
      <c r="AF1343" s="661" t="str">
        <f t="shared" si="143"/>
        <v>2019-LVN-FRD-T35V-011-05</v>
      </c>
      <c r="AG1343" s="661" t="str">
        <f>IF(AND($Y1343&gt;=32,(AI1343="I"),(Y1343&lt;&gt;"~"),(COUNTIF($AN$1:$AN1343,$AN1343)=1)),"TRUE","FALSE")</f>
        <v>FALSE</v>
      </c>
      <c r="AH1343" s="661" t="str">
        <f>IF(AND($Y1343&gt;=22, (AI1343&lt;&gt;"I"),(Y1343&lt;&gt;"~"),(COUNTIF($AN$1:$AN1343,$AN1343)=1)),"TRUE","FALSE")</f>
        <v>FALSE</v>
      </c>
      <c r="AI1343" s="661" t="str">
        <f t="shared" si="145"/>
        <v>II</v>
      </c>
      <c r="AJ1343" s="662" t="str">
        <f t="shared" si="139"/>
        <v>T35V-011</v>
      </c>
      <c r="AK1343" s="662" t="str">
        <f t="shared" si="140"/>
        <v>LVN</v>
      </c>
      <c r="AL1343" s="662" t="str">
        <f t="shared" si="141"/>
        <v>FRD</v>
      </c>
      <c r="AM1343" s="662" t="str">
        <f t="shared" si="144"/>
        <v>Transit 350 Van-Sliding RH Door-RWD-2-100.7-~-3.7L-6-W2C-101A-147.6-25-Unleaded-Unleaded</v>
      </c>
      <c r="AN1343" s="662" t="str">
        <f t="shared" si="142"/>
        <v>2019-LVN-FRD-T35V-011</v>
      </c>
    </row>
    <row r="1344" spans="1:40" s="572" customFormat="1" ht="15">
      <c r="A1344" s="570" t="s">
        <v>2678</v>
      </c>
      <c r="B1344" s="569" t="s">
        <v>2679</v>
      </c>
      <c r="C1344" s="569" t="s">
        <v>269</v>
      </c>
      <c r="D1344" s="580" t="s">
        <v>270</v>
      </c>
      <c r="E1344" s="569" t="s">
        <v>1516</v>
      </c>
      <c r="F1344" s="569" t="s">
        <v>1571</v>
      </c>
      <c r="G1344" s="569" t="s">
        <v>271</v>
      </c>
      <c r="H1344" s="569">
        <v>2019</v>
      </c>
      <c r="I1344" s="569" t="s">
        <v>2628</v>
      </c>
      <c r="J1344" s="569" t="s">
        <v>1950</v>
      </c>
      <c r="K1344" s="569" t="s">
        <v>236</v>
      </c>
      <c r="L1344" s="569">
        <v>2</v>
      </c>
      <c r="M1344" s="569">
        <v>0</v>
      </c>
      <c r="N1344" s="569" t="s">
        <v>157</v>
      </c>
      <c r="O1344" s="569">
        <v>1</v>
      </c>
      <c r="P1344" s="569">
        <v>100.8</v>
      </c>
      <c r="Q1344" s="568" t="s">
        <v>157</v>
      </c>
      <c r="R1344" s="569" t="s">
        <v>1259</v>
      </c>
      <c r="S1344" s="569">
        <v>6</v>
      </c>
      <c r="T1344" s="569" t="s">
        <v>2680</v>
      </c>
      <c r="U1344" s="569" t="s">
        <v>1894</v>
      </c>
      <c r="V1344" s="569">
        <v>129.9</v>
      </c>
      <c r="W1344" s="569">
        <v>25</v>
      </c>
      <c r="X1344" s="568">
        <v>9500</v>
      </c>
      <c r="Y1344" s="573">
        <v>12</v>
      </c>
      <c r="Z1344" s="581" t="s">
        <v>178</v>
      </c>
      <c r="AA1344" s="581" t="s">
        <v>178</v>
      </c>
      <c r="AB1344" s="585">
        <v>39050</v>
      </c>
      <c r="AC1344" s="585" t="s">
        <v>164</v>
      </c>
      <c r="AD1344" s="585">
        <v>29488.208333333336</v>
      </c>
      <c r="AE1344" s="587">
        <v>0.03</v>
      </c>
      <c r="AF1344" s="661" t="str">
        <f t="shared" si="143"/>
        <v>2019-LVN-FRD-T35V-013-05</v>
      </c>
      <c r="AG1344" s="661" t="str">
        <f>IF(AND($Y1344&gt;=32,(AI1344="I"),(Y1344&lt;&gt;"~"),(COUNTIF($AN$1:$AN1344,$AN1344)=1)),"TRUE","FALSE")</f>
        <v>FALSE</v>
      </c>
      <c r="AH1344" s="661" t="str">
        <f>IF(AND($Y1344&gt;=22, (AI1344&lt;&gt;"I"),(Y1344&lt;&gt;"~"),(COUNTIF($AN$1:$AN1344,$AN1344)=1)),"TRUE","FALSE")</f>
        <v>FALSE</v>
      </c>
      <c r="AI1344" s="661" t="str">
        <f t="shared" si="145"/>
        <v>II</v>
      </c>
      <c r="AJ1344" s="662" t="str">
        <f t="shared" si="139"/>
        <v>T35V-013</v>
      </c>
      <c r="AK1344" s="662" t="str">
        <f t="shared" si="140"/>
        <v>LVN</v>
      </c>
      <c r="AL1344" s="662" t="str">
        <f t="shared" si="141"/>
        <v>FRD</v>
      </c>
      <c r="AM1344" s="662" t="str">
        <f t="shared" si="144"/>
        <v>Transit 350 Van-Sliding RH Door-RWD-2-100.8-~-3.5L EcoBoost-6-W9C-101A-129.9-25-Unleaded-Unleaded</v>
      </c>
      <c r="AN1344" s="662" t="str">
        <f t="shared" si="142"/>
        <v>2019-LVN-FRD-T35V-013</v>
      </c>
    </row>
    <row r="1345" spans="1:40" s="572" customFormat="1" ht="15">
      <c r="A1345" s="570" t="s">
        <v>2681</v>
      </c>
      <c r="B1345" s="573" t="s">
        <v>2682</v>
      </c>
      <c r="C1345" s="573" t="s">
        <v>269</v>
      </c>
      <c r="D1345" s="578" t="s">
        <v>270</v>
      </c>
      <c r="E1345" s="573" t="s">
        <v>1516</v>
      </c>
      <c r="F1345" s="573" t="s">
        <v>1571</v>
      </c>
      <c r="G1345" s="573" t="s">
        <v>271</v>
      </c>
      <c r="H1345" s="573">
        <v>2019</v>
      </c>
      <c r="I1345" s="573" t="s">
        <v>2628</v>
      </c>
      <c r="J1345" s="573" t="s">
        <v>1950</v>
      </c>
      <c r="K1345" s="573" t="s">
        <v>236</v>
      </c>
      <c r="L1345" s="573">
        <v>2</v>
      </c>
      <c r="M1345" s="573">
        <v>0</v>
      </c>
      <c r="N1345" s="573" t="s">
        <v>157</v>
      </c>
      <c r="O1345" s="573">
        <v>1</v>
      </c>
      <c r="P1345" s="573">
        <v>100.8</v>
      </c>
      <c r="Q1345" s="571" t="s">
        <v>157</v>
      </c>
      <c r="R1345" s="573" t="s">
        <v>682</v>
      </c>
      <c r="S1345" s="573">
        <v>6</v>
      </c>
      <c r="T1345" s="573" t="s">
        <v>2680</v>
      </c>
      <c r="U1345" s="573" t="s">
        <v>1894</v>
      </c>
      <c r="V1345" s="573">
        <v>129.9</v>
      </c>
      <c r="W1345" s="573">
        <v>25</v>
      </c>
      <c r="X1345" s="571">
        <v>9500</v>
      </c>
      <c r="Y1345" s="573">
        <v>12</v>
      </c>
      <c r="Z1345" s="579" t="s">
        <v>178</v>
      </c>
      <c r="AA1345" s="579" t="s">
        <v>178</v>
      </c>
      <c r="AB1345" s="584">
        <v>37185</v>
      </c>
      <c r="AC1345" s="584" t="s">
        <v>164</v>
      </c>
      <c r="AD1345" s="584">
        <v>27831.958333333336</v>
      </c>
      <c r="AE1345" s="586">
        <v>0.03</v>
      </c>
      <c r="AF1345" s="661" t="str">
        <f t="shared" si="143"/>
        <v>2019-LVN-FRD-T35V-014-05</v>
      </c>
      <c r="AG1345" s="661" t="str">
        <f>IF(AND($Y1345&gt;=32,(AI1345="I"),(Y1345&lt;&gt;"~"),(COUNTIF($AN$1:$AN1345,$AN1345)=1)),"TRUE","FALSE")</f>
        <v>FALSE</v>
      </c>
      <c r="AH1345" s="661" t="str">
        <f>IF(AND($Y1345&gt;=22, (AI1345&lt;&gt;"I"),(Y1345&lt;&gt;"~"),(COUNTIF($AN$1:$AN1345,$AN1345)=1)),"TRUE","FALSE")</f>
        <v>FALSE</v>
      </c>
      <c r="AI1345" s="661" t="str">
        <f t="shared" si="145"/>
        <v>II</v>
      </c>
      <c r="AJ1345" s="662" t="str">
        <f t="shared" si="139"/>
        <v>T35V-014</v>
      </c>
      <c r="AK1345" s="662" t="str">
        <f t="shared" si="140"/>
        <v>LVN</v>
      </c>
      <c r="AL1345" s="662" t="str">
        <f t="shared" si="141"/>
        <v>FRD</v>
      </c>
      <c r="AM1345" s="662" t="str">
        <f t="shared" si="144"/>
        <v>Transit 350 Van-Sliding RH Door-RWD-2-100.8-~-3.7L-6-W9C-101A-129.9-25-Unleaded-Unleaded</v>
      </c>
      <c r="AN1345" s="662" t="str">
        <f t="shared" si="142"/>
        <v>2019-LVN-FRD-T35V-014</v>
      </c>
    </row>
    <row r="1346" spans="1:40" s="572" customFormat="1" ht="15">
      <c r="A1346" s="570" t="s">
        <v>2683</v>
      </c>
      <c r="B1346" s="569" t="s">
        <v>2684</v>
      </c>
      <c r="C1346" s="569" t="s">
        <v>269</v>
      </c>
      <c r="D1346" s="580" t="s">
        <v>270</v>
      </c>
      <c r="E1346" s="569" t="s">
        <v>1516</v>
      </c>
      <c r="F1346" s="569" t="s">
        <v>1571</v>
      </c>
      <c r="G1346" s="569" t="s">
        <v>271</v>
      </c>
      <c r="H1346" s="569">
        <v>2019</v>
      </c>
      <c r="I1346" s="569" t="s">
        <v>2628</v>
      </c>
      <c r="J1346" s="569" t="s">
        <v>1950</v>
      </c>
      <c r="K1346" s="569" t="s">
        <v>236</v>
      </c>
      <c r="L1346" s="569">
        <v>2</v>
      </c>
      <c r="M1346" s="569">
        <v>0</v>
      </c>
      <c r="N1346" s="569" t="s">
        <v>157</v>
      </c>
      <c r="O1346" s="569">
        <v>1</v>
      </c>
      <c r="P1346" s="569">
        <v>109.4</v>
      </c>
      <c r="Q1346" s="568" t="s">
        <v>157</v>
      </c>
      <c r="R1346" s="569" t="s">
        <v>1917</v>
      </c>
      <c r="S1346" s="569">
        <v>5</v>
      </c>
      <c r="T1346" s="569" t="s">
        <v>2685</v>
      </c>
      <c r="U1346" s="569" t="s">
        <v>1894</v>
      </c>
      <c r="V1346" s="569">
        <v>147.6</v>
      </c>
      <c r="W1346" s="569">
        <v>25</v>
      </c>
      <c r="X1346" s="568">
        <v>9500</v>
      </c>
      <c r="Y1346" s="573">
        <v>12</v>
      </c>
      <c r="Z1346" s="581" t="s">
        <v>728</v>
      </c>
      <c r="AA1346" s="581" t="s">
        <v>1523</v>
      </c>
      <c r="AB1346" s="585">
        <v>46355</v>
      </c>
      <c r="AC1346" s="585" t="s">
        <v>164</v>
      </c>
      <c r="AD1346" s="585">
        <v>36110.666666666664</v>
      </c>
      <c r="AE1346" s="587">
        <v>0.03</v>
      </c>
      <c r="AF1346" s="661" t="str">
        <f t="shared" si="143"/>
        <v>2019-LVN-FRD-T35V-015-05</v>
      </c>
      <c r="AG1346" s="661" t="str">
        <f>IF(AND($Y1346&gt;=32,(AI1346="I"),(Y1346&lt;&gt;"~"),(COUNTIF($AN$1:$AN1346,$AN1346)=1)),"TRUE","FALSE")</f>
        <v>FALSE</v>
      </c>
      <c r="AH1346" s="661" t="str">
        <f>IF(AND($Y1346&gt;=22, (AI1346&lt;&gt;"I"),(Y1346&lt;&gt;"~"),(COUNTIF($AN$1:$AN1346,$AN1346)=1)),"TRUE","FALSE")</f>
        <v>FALSE</v>
      </c>
      <c r="AI1346" s="661" t="str">
        <f t="shared" si="145"/>
        <v>II</v>
      </c>
      <c r="AJ1346" s="662" t="str">
        <f t="shared" si="139"/>
        <v>T35V-015</v>
      </c>
      <c r="AK1346" s="662" t="str">
        <f t="shared" si="140"/>
        <v>LVN</v>
      </c>
      <c r="AL1346" s="662" t="str">
        <f t="shared" si="141"/>
        <v>FRD</v>
      </c>
      <c r="AM1346" s="662" t="str">
        <f t="shared" si="144"/>
        <v>Transit 350 Van-Sliding RH Door-RWD-2-109.4-~-3.2L-5-W3X-101A-147.6-25-Diesel-BioDiesel</v>
      </c>
      <c r="AN1346" s="662" t="str">
        <f t="shared" si="142"/>
        <v>2019-LVN-FRD-T35V-015</v>
      </c>
    </row>
    <row r="1347" spans="1:40" s="572" customFormat="1" ht="15">
      <c r="A1347" s="570" t="s">
        <v>2686</v>
      </c>
      <c r="B1347" s="573" t="s">
        <v>2687</v>
      </c>
      <c r="C1347" s="573" t="s">
        <v>269</v>
      </c>
      <c r="D1347" s="578" t="s">
        <v>270</v>
      </c>
      <c r="E1347" s="573" t="s">
        <v>1516</v>
      </c>
      <c r="F1347" s="573" t="s">
        <v>1571</v>
      </c>
      <c r="G1347" s="573" t="s">
        <v>271</v>
      </c>
      <c r="H1347" s="573">
        <v>2019</v>
      </c>
      <c r="I1347" s="573" t="s">
        <v>2628</v>
      </c>
      <c r="J1347" s="573" t="s">
        <v>1950</v>
      </c>
      <c r="K1347" s="573" t="s">
        <v>236</v>
      </c>
      <c r="L1347" s="573">
        <v>2</v>
      </c>
      <c r="M1347" s="573">
        <v>0</v>
      </c>
      <c r="N1347" s="573" t="s">
        <v>157</v>
      </c>
      <c r="O1347" s="573">
        <v>1</v>
      </c>
      <c r="P1347" s="573">
        <v>109.4</v>
      </c>
      <c r="Q1347" s="571" t="s">
        <v>157</v>
      </c>
      <c r="R1347" s="573" t="s">
        <v>1259</v>
      </c>
      <c r="S1347" s="573">
        <v>6</v>
      </c>
      <c r="T1347" s="573" t="s">
        <v>2685</v>
      </c>
      <c r="U1347" s="573" t="s">
        <v>1894</v>
      </c>
      <c r="V1347" s="573">
        <v>147.6</v>
      </c>
      <c r="W1347" s="573">
        <v>25</v>
      </c>
      <c r="X1347" s="571">
        <v>9500</v>
      </c>
      <c r="Y1347" s="573">
        <v>12</v>
      </c>
      <c r="Z1347" s="579" t="s">
        <v>178</v>
      </c>
      <c r="AA1347" s="579" t="s">
        <v>178</v>
      </c>
      <c r="AB1347" s="584">
        <v>44225</v>
      </c>
      <c r="AC1347" s="584" t="s">
        <v>164</v>
      </c>
      <c r="AD1347" s="584">
        <v>34217.375</v>
      </c>
      <c r="AE1347" s="586">
        <v>0.03</v>
      </c>
      <c r="AF1347" s="661" t="str">
        <f t="shared" si="143"/>
        <v>2019-LVN-FRD-T35V-016-05</v>
      </c>
      <c r="AG1347" s="661" t="str">
        <f>IF(AND($Y1347&gt;=32,(AI1347="I"),(Y1347&lt;&gt;"~"),(COUNTIF($AN$1:$AN1347,$AN1347)=1)),"TRUE","FALSE")</f>
        <v>FALSE</v>
      </c>
      <c r="AH1347" s="661" t="str">
        <f>IF(AND($Y1347&gt;=22, (AI1347&lt;&gt;"I"),(Y1347&lt;&gt;"~"),(COUNTIF($AN$1:$AN1347,$AN1347)=1)),"TRUE","FALSE")</f>
        <v>FALSE</v>
      </c>
      <c r="AI1347" s="661" t="str">
        <f t="shared" si="145"/>
        <v>II</v>
      </c>
      <c r="AJ1347" s="662" t="str">
        <f t="shared" ref="AJ1347:AJ1410" si="146">MID(A1347,14,8)</f>
        <v>T35V-016</v>
      </c>
      <c r="AK1347" s="662" t="str">
        <f t="shared" ref="AK1347:AK1410" si="147">MID(A1347,6,3)</f>
        <v>LVN</v>
      </c>
      <c r="AL1347" s="662" t="str">
        <f t="shared" ref="AL1347:AL1410" si="148">MID(A1347,10,3)</f>
        <v>FRD</v>
      </c>
      <c r="AM1347" s="662" t="str">
        <f t="shared" si="144"/>
        <v>Transit 350 Van-Sliding RH Door-RWD-2-109.4-~-3.5L EcoBoost-6-W3X-101A-147.6-25-Unleaded-Unleaded</v>
      </c>
      <c r="AN1347" s="662" t="str">
        <f t="shared" ref="AN1347:AN1410" si="149">LEFT(A1347,21)</f>
        <v>2019-LVN-FRD-T35V-016</v>
      </c>
    </row>
    <row r="1348" spans="1:40" s="572" customFormat="1" ht="15">
      <c r="A1348" s="570" t="s">
        <v>2688</v>
      </c>
      <c r="B1348" s="569" t="s">
        <v>2689</v>
      </c>
      <c r="C1348" s="569" t="s">
        <v>269</v>
      </c>
      <c r="D1348" s="580" t="s">
        <v>270</v>
      </c>
      <c r="E1348" s="569" t="s">
        <v>1516</v>
      </c>
      <c r="F1348" s="569" t="s">
        <v>1571</v>
      </c>
      <c r="G1348" s="569" t="s">
        <v>271</v>
      </c>
      <c r="H1348" s="569">
        <v>2019</v>
      </c>
      <c r="I1348" s="569" t="s">
        <v>2628</v>
      </c>
      <c r="J1348" s="569" t="s">
        <v>1950</v>
      </c>
      <c r="K1348" s="569" t="s">
        <v>236</v>
      </c>
      <c r="L1348" s="569">
        <v>2</v>
      </c>
      <c r="M1348" s="569">
        <v>0</v>
      </c>
      <c r="N1348" s="569" t="s">
        <v>157</v>
      </c>
      <c r="O1348" s="569">
        <v>1</v>
      </c>
      <c r="P1348" s="569">
        <v>109.4</v>
      </c>
      <c r="Q1348" s="568" t="s">
        <v>157</v>
      </c>
      <c r="R1348" s="569" t="s">
        <v>682</v>
      </c>
      <c r="S1348" s="569">
        <v>6</v>
      </c>
      <c r="T1348" s="569" t="s">
        <v>2685</v>
      </c>
      <c r="U1348" s="569" t="s">
        <v>1894</v>
      </c>
      <c r="V1348" s="569">
        <v>147.6</v>
      </c>
      <c r="W1348" s="569">
        <v>25</v>
      </c>
      <c r="X1348" s="568">
        <v>9500</v>
      </c>
      <c r="Y1348" s="573">
        <v>12</v>
      </c>
      <c r="Z1348" s="581" t="s">
        <v>178</v>
      </c>
      <c r="AA1348" s="581" t="s">
        <v>178</v>
      </c>
      <c r="AB1348" s="585">
        <v>42360</v>
      </c>
      <c r="AC1348" s="585" t="s">
        <v>164</v>
      </c>
      <c r="AD1348" s="585">
        <v>32561.125</v>
      </c>
      <c r="AE1348" s="587">
        <v>0.03</v>
      </c>
      <c r="AF1348" s="661" t="str">
        <f t="shared" si="143"/>
        <v>2019-LVN-FRD-T35V-030-05</v>
      </c>
      <c r="AG1348" s="661" t="str">
        <f>IF(AND($Y1348&gt;=32,(AI1348="I"),(Y1348&lt;&gt;"~"),(COUNTIF($AN$1:$AN1348,$AN1348)=1)),"TRUE","FALSE")</f>
        <v>FALSE</v>
      </c>
      <c r="AH1348" s="661" t="str">
        <f>IF(AND($Y1348&gt;=22, (AI1348&lt;&gt;"I"),(Y1348&lt;&gt;"~"),(COUNTIF($AN$1:$AN1348,$AN1348)=1)),"TRUE","FALSE")</f>
        <v>FALSE</v>
      </c>
      <c r="AI1348" s="661" t="str">
        <f t="shared" si="145"/>
        <v>II</v>
      </c>
      <c r="AJ1348" s="662" t="str">
        <f t="shared" si="146"/>
        <v>T35V-030</v>
      </c>
      <c r="AK1348" s="662" t="str">
        <f t="shared" si="147"/>
        <v>LVN</v>
      </c>
      <c r="AL1348" s="662" t="str">
        <f t="shared" si="148"/>
        <v>FRD</v>
      </c>
      <c r="AM1348" s="662" t="str">
        <f t="shared" si="144"/>
        <v>Transit 350 Van-Sliding RH Door-RWD-2-109.4-~-3.7L-6-W3X-101A-147.6-25-Unleaded-Unleaded</v>
      </c>
      <c r="AN1348" s="662" t="str">
        <f t="shared" si="149"/>
        <v>2019-LVN-FRD-T35V-030</v>
      </c>
    </row>
    <row r="1349" spans="1:40" s="572" customFormat="1" ht="15">
      <c r="A1349" s="570" t="s">
        <v>2690</v>
      </c>
      <c r="B1349" s="573" t="s">
        <v>2691</v>
      </c>
      <c r="C1349" s="573" t="s">
        <v>269</v>
      </c>
      <c r="D1349" s="578" t="s">
        <v>270</v>
      </c>
      <c r="E1349" s="573" t="s">
        <v>1516</v>
      </c>
      <c r="F1349" s="573" t="s">
        <v>1571</v>
      </c>
      <c r="G1349" s="573" t="s">
        <v>271</v>
      </c>
      <c r="H1349" s="573">
        <v>2019</v>
      </c>
      <c r="I1349" s="573" t="s">
        <v>2628</v>
      </c>
      <c r="J1349" s="573" t="s">
        <v>1950</v>
      </c>
      <c r="K1349" s="573" t="s">
        <v>236</v>
      </c>
      <c r="L1349" s="573">
        <v>2</v>
      </c>
      <c r="M1349" s="573">
        <v>0</v>
      </c>
      <c r="N1349" s="573" t="s">
        <v>157</v>
      </c>
      <c r="O1349" s="573">
        <v>1</v>
      </c>
      <c r="P1349" s="573">
        <v>110.1</v>
      </c>
      <c r="Q1349" s="571" t="s">
        <v>157</v>
      </c>
      <c r="R1349" s="573" t="s">
        <v>1917</v>
      </c>
      <c r="S1349" s="573">
        <v>6</v>
      </c>
      <c r="T1349" s="573" t="s">
        <v>2692</v>
      </c>
      <c r="U1349" s="573" t="s">
        <v>1894</v>
      </c>
      <c r="V1349" s="573">
        <v>147.6</v>
      </c>
      <c r="W1349" s="573">
        <v>25</v>
      </c>
      <c r="X1349" s="571">
        <v>9250</v>
      </c>
      <c r="Y1349" s="573">
        <v>12</v>
      </c>
      <c r="Z1349" s="579" t="s">
        <v>728</v>
      </c>
      <c r="AA1349" s="579" t="s">
        <v>1523</v>
      </c>
      <c r="AB1349" s="584">
        <v>45055</v>
      </c>
      <c r="AC1349" s="584" t="s">
        <v>164</v>
      </c>
      <c r="AD1349" s="584">
        <v>34923.166666666664</v>
      </c>
      <c r="AE1349" s="586">
        <v>0.03</v>
      </c>
      <c r="AF1349" s="661" t="str">
        <f t="shared" si="143"/>
        <v>2019-LVN-FRD-T35V-029-05</v>
      </c>
      <c r="AG1349" s="661" t="str">
        <f>IF(AND($Y1349&gt;=32,(AI1349="I"),(Y1349&lt;&gt;"~"),(COUNTIF($AN$1:$AN1349,$AN1349)=1)),"TRUE","FALSE")</f>
        <v>FALSE</v>
      </c>
      <c r="AH1349" s="661" t="str">
        <f>IF(AND($Y1349&gt;=22, (AI1349&lt;&gt;"I"),(Y1349&lt;&gt;"~"),(COUNTIF($AN$1:$AN1349,$AN1349)=1)),"TRUE","FALSE")</f>
        <v>FALSE</v>
      </c>
      <c r="AI1349" s="661" t="str">
        <f t="shared" si="145"/>
        <v>II</v>
      </c>
      <c r="AJ1349" s="662" t="str">
        <f t="shared" si="146"/>
        <v>T35V-029</v>
      </c>
      <c r="AK1349" s="662" t="str">
        <f t="shared" si="147"/>
        <v>LVN</v>
      </c>
      <c r="AL1349" s="662" t="str">
        <f t="shared" si="148"/>
        <v>FRD</v>
      </c>
      <c r="AM1349" s="662" t="str">
        <f t="shared" si="144"/>
        <v>Transit 350 Van-Sliding RH Door-RWD-2-110.1-~-3.2L-6-W2X-101A-147.6-25-Diesel-BioDiesel</v>
      </c>
      <c r="AN1349" s="662" t="str">
        <f t="shared" si="149"/>
        <v>2019-LVN-FRD-T35V-029</v>
      </c>
    </row>
    <row r="1350" spans="1:40" s="572" customFormat="1" ht="15">
      <c r="A1350" s="570" t="s">
        <v>2693</v>
      </c>
      <c r="B1350" s="569" t="s">
        <v>2694</v>
      </c>
      <c r="C1350" s="569" t="s">
        <v>269</v>
      </c>
      <c r="D1350" s="580" t="s">
        <v>270</v>
      </c>
      <c r="E1350" s="569" t="s">
        <v>1516</v>
      </c>
      <c r="F1350" s="569" t="s">
        <v>1571</v>
      </c>
      <c r="G1350" s="569" t="s">
        <v>271</v>
      </c>
      <c r="H1350" s="569">
        <v>2019</v>
      </c>
      <c r="I1350" s="569" t="s">
        <v>2628</v>
      </c>
      <c r="J1350" s="569" t="s">
        <v>1950</v>
      </c>
      <c r="K1350" s="569" t="s">
        <v>236</v>
      </c>
      <c r="L1350" s="569">
        <v>2</v>
      </c>
      <c r="M1350" s="569">
        <v>0</v>
      </c>
      <c r="N1350" s="569" t="s">
        <v>157</v>
      </c>
      <c r="O1350" s="569">
        <v>1</v>
      </c>
      <c r="P1350" s="569">
        <v>110.1</v>
      </c>
      <c r="Q1350" s="568" t="s">
        <v>157</v>
      </c>
      <c r="R1350" s="569" t="s">
        <v>1259</v>
      </c>
      <c r="S1350" s="569">
        <v>6</v>
      </c>
      <c r="T1350" s="569" t="s">
        <v>2692</v>
      </c>
      <c r="U1350" s="569" t="s">
        <v>1894</v>
      </c>
      <c r="V1350" s="569">
        <v>147.6</v>
      </c>
      <c r="W1350" s="569">
        <v>25</v>
      </c>
      <c r="X1350" s="568">
        <v>9500</v>
      </c>
      <c r="Y1350" s="573">
        <v>12</v>
      </c>
      <c r="Z1350" s="581" t="s">
        <v>178</v>
      </c>
      <c r="AA1350" s="581" t="s">
        <v>178</v>
      </c>
      <c r="AB1350" s="585">
        <v>42925</v>
      </c>
      <c r="AC1350" s="585" t="s">
        <v>164</v>
      </c>
      <c r="AD1350" s="585">
        <v>33029.875</v>
      </c>
      <c r="AE1350" s="587">
        <v>0.03</v>
      </c>
      <c r="AF1350" s="661" t="str">
        <f t="shared" si="143"/>
        <v>2019-LVN-FRD-T35V-017-05</v>
      </c>
      <c r="AG1350" s="661" t="str">
        <f>IF(AND($Y1350&gt;=32,(AI1350="I"),(Y1350&lt;&gt;"~"),(COUNTIF($AN$1:$AN1350,$AN1350)=1)),"TRUE","FALSE")</f>
        <v>FALSE</v>
      </c>
      <c r="AH1350" s="661" t="str">
        <f>IF(AND($Y1350&gt;=22, (AI1350&lt;&gt;"I"),(Y1350&lt;&gt;"~"),(COUNTIF($AN$1:$AN1350,$AN1350)=1)),"TRUE","FALSE")</f>
        <v>FALSE</v>
      </c>
      <c r="AI1350" s="661" t="str">
        <f t="shared" si="145"/>
        <v>II</v>
      </c>
      <c r="AJ1350" s="662" t="str">
        <f t="shared" si="146"/>
        <v>T35V-017</v>
      </c>
      <c r="AK1350" s="662" t="str">
        <f t="shared" si="147"/>
        <v>LVN</v>
      </c>
      <c r="AL1350" s="662" t="str">
        <f t="shared" si="148"/>
        <v>FRD</v>
      </c>
      <c r="AM1350" s="662" t="str">
        <f t="shared" si="144"/>
        <v>Transit 350 Van-Sliding RH Door-RWD-2-110.1-~-3.5L EcoBoost-6-W2X-101A-147.6-25-Unleaded-Unleaded</v>
      </c>
      <c r="AN1350" s="662" t="str">
        <f t="shared" si="149"/>
        <v>2019-LVN-FRD-T35V-017</v>
      </c>
    </row>
    <row r="1351" spans="1:40" s="572" customFormat="1" ht="15">
      <c r="A1351" s="570" t="s">
        <v>2695</v>
      </c>
      <c r="B1351" s="573" t="s">
        <v>2696</v>
      </c>
      <c r="C1351" s="573" t="s">
        <v>269</v>
      </c>
      <c r="D1351" s="578" t="s">
        <v>270</v>
      </c>
      <c r="E1351" s="573" t="s">
        <v>1516</v>
      </c>
      <c r="F1351" s="573" t="s">
        <v>1571</v>
      </c>
      <c r="G1351" s="573" t="s">
        <v>271</v>
      </c>
      <c r="H1351" s="573">
        <v>2019</v>
      </c>
      <c r="I1351" s="573" t="s">
        <v>2628</v>
      </c>
      <c r="J1351" s="573" t="s">
        <v>1950</v>
      </c>
      <c r="K1351" s="573" t="s">
        <v>236</v>
      </c>
      <c r="L1351" s="573">
        <v>2</v>
      </c>
      <c r="M1351" s="573">
        <v>0</v>
      </c>
      <c r="N1351" s="573" t="s">
        <v>157</v>
      </c>
      <c r="O1351" s="573">
        <v>1</v>
      </c>
      <c r="P1351" s="573">
        <v>110.1</v>
      </c>
      <c r="Q1351" s="571" t="s">
        <v>157</v>
      </c>
      <c r="R1351" s="573" t="s">
        <v>682</v>
      </c>
      <c r="S1351" s="573">
        <v>6</v>
      </c>
      <c r="T1351" s="573" t="s">
        <v>2692</v>
      </c>
      <c r="U1351" s="573" t="s">
        <v>1894</v>
      </c>
      <c r="V1351" s="573">
        <v>147.6</v>
      </c>
      <c r="W1351" s="573">
        <v>25</v>
      </c>
      <c r="X1351" s="571">
        <v>9500</v>
      </c>
      <c r="Y1351" s="573">
        <v>12</v>
      </c>
      <c r="Z1351" s="579" t="s">
        <v>178</v>
      </c>
      <c r="AA1351" s="579" t="s">
        <v>178</v>
      </c>
      <c r="AB1351" s="584">
        <v>41060</v>
      </c>
      <c r="AC1351" s="584" t="s">
        <v>164</v>
      </c>
      <c r="AD1351" s="584">
        <v>31373.625</v>
      </c>
      <c r="AE1351" s="586">
        <v>0.03</v>
      </c>
      <c r="AF1351" s="661" t="str">
        <f t="shared" si="143"/>
        <v>2019-LVN-FRD-T35V-018-05</v>
      </c>
      <c r="AG1351" s="661" t="str">
        <f>IF(AND($Y1351&gt;=32,(AI1351="I"),(Y1351&lt;&gt;"~"),(COUNTIF($AN$1:$AN1351,$AN1351)=1)),"TRUE","FALSE")</f>
        <v>FALSE</v>
      </c>
      <c r="AH1351" s="661" t="str">
        <f>IF(AND($Y1351&gt;=22, (AI1351&lt;&gt;"I"),(Y1351&lt;&gt;"~"),(COUNTIF($AN$1:$AN1351,$AN1351)=1)),"TRUE","FALSE")</f>
        <v>FALSE</v>
      </c>
      <c r="AI1351" s="661" t="str">
        <f t="shared" si="145"/>
        <v>II</v>
      </c>
      <c r="AJ1351" s="662" t="str">
        <f t="shared" si="146"/>
        <v>T35V-018</v>
      </c>
      <c r="AK1351" s="662" t="str">
        <f t="shared" si="147"/>
        <v>LVN</v>
      </c>
      <c r="AL1351" s="662" t="str">
        <f t="shared" si="148"/>
        <v>FRD</v>
      </c>
      <c r="AM1351" s="662" t="str">
        <f t="shared" si="144"/>
        <v>Transit 350 Van-Sliding RH Door-RWD-2-110.1-~-3.7L-6-W2X-101A-147.6-25-Unleaded-Unleaded</v>
      </c>
      <c r="AN1351" s="662" t="str">
        <f t="shared" si="149"/>
        <v>2019-LVN-FRD-T35V-018</v>
      </c>
    </row>
    <row r="1352" spans="1:40" s="572" customFormat="1" ht="15">
      <c r="A1352" s="570" t="s">
        <v>2697</v>
      </c>
      <c r="B1352" s="569" t="s">
        <v>2698</v>
      </c>
      <c r="C1352" s="569" t="s">
        <v>269</v>
      </c>
      <c r="D1352" s="580" t="s">
        <v>270</v>
      </c>
      <c r="E1352" s="569" t="s">
        <v>1516</v>
      </c>
      <c r="F1352" s="569" t="s">
        <v>1571</v>
      </c>
      <c r="G1352" s="569" t="s">
        <v>271</v>
      </c>
      <c r="H1352" s="569">
        <v>2019</v>
      </c>
      <c r="I1352" s="569" t="s">
        <v>2628</v>
      </c>
      <c r="J1352" s="569" t="s">
        <v>1950</v>
      </c>
      <c r="K1352" s="569" t="s">
        <v>236</v>
      </c>
      <c r="L1352" s="569">
        <v>2</v>
      </c>
      <c r="M1352" s="569">
        <v>0</v>
      </c>
      <c r="N1352" s="569" t="s">
        <v>157</v>
      </c>
      <c r="O1352" s="569">
        <v>1</v>
      </c>
      <c r="P1352" s="569">
        <v>83.2</v>
      </c>
      <c r="Q1352" s="568" t="s">
        <v>157</v>
      </c>
      <c r="R1352" s="569" t="s">
        <v>1259</v>
      </c>
      <c r="S1352" s="569">
        <v>6</v>
      </c>
      <c r="T1352" s="569" t="s">
        <v>2699</v>
      </c>
      <c r="U1352" s="569" t="s">
        <v>1894</v>
      </c>
      <c r="V1352" s="569">
        <v>147.6</v>
      </c>
      <c r="W1352" s="569">
        <v>25</v>
      </c>
      <c r="X1352" s="568">
        <v>9500</v>
      </c>
      <c r="Y1352" s="573">
        <v>12</v>
      </c>
      <c r="Z1352" s="581" t="s">
        <v>178</v>
      </c>
      <c r="AA1352" s="581" t="s">
        <v>178</v>
      </c>
      <c r="AB1352" s="585">
        <v>40430</v>
      </c>
      <c r="AC1352" s="585" t="s">
        <v>164</v>
      </c>
      <c r="AD1352" s="585">
        <v>28666.333333333336</v>
      </c>
      <c r="AE1352" s="587">
        <v>0.03</v>
      </c>
      <c r="AF1352" s="661" t="str">
        <f t="shared" ref="AF1352:AF1415" si="150">A1352</f>
        <v>2019-LVN-FRD-T35V-020-05</v>
      </c>
      <c r="AG1352" s="661" t="str">
        <f>IF(AND($Y1352&gt;=32,(AI1352="I"),(Y1352&lt;&gt;"~"),(COUNTIF($AN$1:$AN1352,$AN1352)=1)),"TRUE","FALSE")</f>
        <v>FALSE</v>
      </c>
      <c r="AH1352" s="661" t="str">
        <f>IF(AND($Y1352&gt;=22, (AI1352&lt;&gt;"I"),(Y1352&lt;&gt;"~"),(COUNTIF($AN$1:$AN1352,$AN1352)=1)),"TRUE","FALSE")</f>
        <v>FALSE</v>
      </c>
      <c r="AI1352" s="661" t="str">
        <f t="shared" si="145"/>
        <v>II</v>
      </c>
      <c r="AJ1352" s="662" t="str">
        <f t="shared" si="146"/>
        <v>T35V-020</v>
      </c>
      <c r="AK1352" s="662" t="str">
        <f t="shared" si="147"/>
        <v>LVN</v>
      </c>
      <c r="AL1352" s="662" t="str">
        <f t="shared" si="148"/>
        <v>FRD</v>
      </c>
      <c r="AM1352" s="662" t="str">
        <f t="shared" si="144"/>
        <v>Transit 350 Van-Sliding RH Door-RWD-2-83.2-~-3.5L EcoBoost-6-W2Y-101A-147.6-25-Unleaded-Unleaded</v>
      </c>
      <c r="AN1352" s="662" t="str">
        <f t="shared" si="149"/>
        <v>2019-LVN-FRD-T35V-020</v>
      </c>
    </row>
    <row r="1353" spans="1:40" s="572" customFormat="1" ht="15">
      <c r="A1353" s="570" t="s">
        <v>2700</v>
      </c>
      <c r="B1353" s="573" t="s">
        <v>2701</v>
      </c>
      <c r="C1353" s="573" t="s">
        <v>269</v>
      </c>
      <c r="D1353" s="578" t="s">
        <v>270</v>
      </c>
      <c r="E1353" s="573" t="s">
        <v>1516</v>
      </c>
      <c r="F1353" s="573" t="s">
        <v>1571</v>
      </c>
      <c r="G1353" s="573" t="s">
        <v>271</v>
      </c>
      <c r="H1353" s="573">
        <v>2019</v>
      </c>
      <c r="I1353" s="573" t="s">
        <v>2628</v>
      </c>
      <c r="J1353" s="573" t="s">
        <v>1950</v>
      </c>
      <c r="K1353" s="573" t="s">
        <v>236</v>
      </c>
      <c r="L1353" s="573">
        <v>2</v>
      </c>
      <c r="M1353" s="573">
        <v>0</v>
      </c>
      <c r="N1353" s="573" t="s">
        <v>157</v>
      </c>
      <c r="O1353" s="573">
        <v>1</v>
      </c>
      <c r="P1353" s="573">
        <v>83.2</v>
      </c>
      <c r="Q1353" s="571" t="s">
        <v>157</v>
      </c>
      <c r="R1353" s="573" t="s">
        <v>682</v>
      </c>
      <c r="S1353" s="573">
        <v>6</v>
      </c>
      <c r="T1353" s="573" t="s">
        <v>2699</v>
      </c>
      <c r="U1353" s="573" t="s">
        <v>1894</v>
      </c>
      <c r="V1353" s="573">
        <v>147.6</v>
      </c>
      <c r="W1353" s="573">
        <v>25</v>
      </c>
      <c r="X1353" s="571">
        <v>9500</v>
      </c>
      <c r="Y1353" s="573">
        <v>12</v>
      </c>
      <c r="Z1353" s="579" t="s">
        <v>178</v>
      </c>
      <c r="AA1353" s="579" t="s">
        <v>178</v>
      </c>
      <c r="AB1353" s="584">
        <v>38565</v>
      </c>
      <c r="AC1353" s="584" t="s">
        <v>164</v>
      </c>
      <c r="AD1353" s="584">
        <v>27010.083333333336</v>
      </c>
      <c r="AE1353" s="586">
        <v>0.03</v>
      </c>
      <c r="AF1353" s="661" t="str">
        <f t="shared" si="150"/>
        <v>2019-LVN-FRD-T35V-021-05</v>
      </c>
      <c r="AG1353" s="661" t="str">
        <f>IF(AND($Y1353&gt;=32,(AI1353="I"),(Y1353&lt;&gt;"~"),(COUNTIF($AN$1:$AN1353,$AN1353)=1)),"TRUE","FALSE")</f>
        <v>FALSE</v>
      </c>
      <c r="AH1353" s="661" t="str">
        <f>IF(AND($Y1353&gt;=22, (AI1353&lt;&gt;"I"),(Y1353&lt;&gt;"~"),(COUNTIF($AN$1:$AN1353,$AN1353)=1)),"TRUE","FALSE")</f>
        <v>FALSE</v>
      </c>
      <c r="AI1353" s="661" t="str">
        <f t="shared" si="145"/>
        <v>II</v>
      </c>
      <c r="AJ1353" s="662" t="str">
        <f t="shared" si="146"/>
        <v>T35V-021</v>
      </c>
      <c r="AK1353" s="662" t="str">
        <f t="shared" si="147"/>
        <v>LVN</v>
      </c>
      <c r="AL1353" s="662" t="str">
        <f t="shared" si="148"/>
        <v>FRD</v>
      </c>
      <c r="AM1353" s="662" t="str">
        <f t="shared" si="144"/>
        <v>Transit 350 Van-Sliding RH Door-RWD-2-83.2-~-3.7L-6-W2Y-101A-147.6-25-Unleaded-Unleaded</v>
      </c>
      <c r="AN1353" s="662" t="str">
        <f t="shared" si="149"/>
        <v>2019-LVN-FRD-T35V-021</v>
      </c>
    </row>
    <row r="1354" spans="1:40" s="572" customFormat="1" ht="15">
      <c r="A1354" s="570" t="s">
        <v>2702</v>
      </c>
      <c r="B1354" s="569" t="s">
        <v>2703</v>
      </c>
      <c r="C1354" s="569" t="s">
        <v>269</v>
      </c>
      <c r="D1354" s="580" t="s">
        <v>270</v>
      </c>
      <c r="E1354" s="569" t="s">
        <v>1516</v>
      </c>
      <c r="F1354" s="569" t="s">
        <v>1571</v>
      </c>
      <c r="G1354" s="569" t="s">
        <v>271</v>
      </c>
      <c r="H1354" s="569">
        <v>2019</v>
      </c>
      <c r="I1354" s="569" t="s">
        <v>2628</v>
      </c>
      <c r="J1354" s="569" t="s">
        <v>1950</v>
      </c>
      <c r="K1354" s="569" t="s">
        <v>236</v>
      </c>
      <c r="L1354" s="569">
        <v>2</v>
      </c>
      <c r="M1354" s="569">
        <v>0</v>
      </c>
      <c r="N1354" s="569" t="s">
        <v>157</v>
      </c>
      <c r="O1354" s="569">
        <v>1</v>
      </c>
      <c r="P1354" s="569">
        <v>83.6</v>
      </c>
      <c r="Q1354" s="568" t="s">
        <v>157</v>
      </c>
      <c r="R1354" s="569" t="s">
        <v>1259</v>
      </c>
      <c r="S1354" s="569">
        <v>6</v>
      </c>
      <c r="T1354" s="569" t="s">
        <v>2704</v>
      </c>
      <c r="U1354" s="569" t="s">
        <v>1894</v>
      </c>
      <c r="V1354" s="569">
        <v>129.9</v>
      </c>
      <c r="W1354" s="569">
        <v>25</v>
      </c>
      <c r="X1354" s="568">
        <v>9500</v>
      </c>
      <c r="Y1354" s="573">
        <v>12</v>
      </c>
      <c r="Z1354" s="581" t="s">
        <v>178</v>
      </c>
      <c r="AA1354" s="581" t="s">
        <v>178</v>
      </c>
      <c r="AB1354" s="585">
        <v>39550</v>
      </c>
      <c r="AC1354" s="585" t="s">
        <v>164</v>
      </c>
      <c r="AD1354" s="585">
        <v>27861.125</v>
      </c>
      <c r="AE1354" s="587">
        <v>0.03</v>
      </c>
      <c r="AF1354" s="661" t="str">
        <f t="shared" si="150"/>
        <v>2019-LVN-FRD-T35V-022-05</v>
      </c>
      <c r="AG1354" s="661" t="str">
        <f>IF(AND($Y1354&gt;=32,(AI1354="I"),(Y1354&lt;&gt;"~"),(COUNTIF($AN$1:$AN1354,$AN1354)=1)),"TRUE","FALSE")</f>
        <v>FALSE</v>
      </c>
      <c r="AH1354" s="661" t="str">
        <f>IF(AND($Y1354&gt;=22, (AI1354&lt;&gt;"I"),(Y1354&lt;&gt;"~"),(COUNTIF($AN$1:$AN1354,$AN1354)=1)),"TRUE","FALSE")</f>
        <v>FALSE</v>
      </c>
      <c r="AI1354" s="661" t="str">
        <f t="shared" si="145"/>
        <v>II</v>
      </c>
      <c r="AJ1354" s="662" t="str">
        <f t="shared" si="146"/>
        <v>T35V-022</v>
      </c>
      <c r="AK1354" s="662" t="str">
        <f t="shared" si="147"/>
        <v>LVN</v>
      </c>
      <c r="AL1354" s="662" t="str">
        <f t="shared" si="148"/>
        <v>FRD</v>
      </c>
      <c r="AM1354" s="662" t="str">
        <f t="shared" si="144"/>
        <v>Transit 350 Van-Sliding RH Door-RWD-2-83.6-~-3.5L EcoBoost-6-W1Y-101A-129.9-25-Unleaded-Unleaded</v>
      </c>
      <c r="AN1354" s="662" t="str">
        <f t="shared" si="149"/>
        <v>2019-LVN-FRD-T35V-022</v>
      </c>
    </row>
    <row r="1355" spans="1:40" s="572" customFormat="1" ht="15">
      <c r="A1355" s="570" t="s">
        <v>2705</v>
      </c>
      <c r="B1355" s="573" t="s">
        <v>2706</v>
      </c>
      <c r="C1355" s="573" t="s">
        <v>269</v>
      </c>
      <c r="D1355" s="578" t="s">
        <v>270</v>
      </c>
      <c r="E1355" s="573" t="s">
        <v>1516</v>
      </c>
      <c r="F1355" s="573" t="s">
        <v>1571</v>
      </c>
      <c r="G1355" s="573" t="s">
        <v>271</v>
      </c>
      <c r="H1355" s="573">
        <v>2019</v>
      </c>
      <c r="I1355" s="573" t="s">
        <v>2628</v>
      </c>
      <c r="J1355" s="573" t="s">
        <v>1950</v>
      </c>
      <c r="K1355" s="573" t="s">
        <v>236</v>
      </c>
      <c r="L1355" s="573">
        <v>2</v>
      </c>
      <c r="M1355" s="573">
        <v>0</v>
      </c>
      <c r="N1355" s="573" t="s">
        <v>157</v>
      </c>
      <c r="O1355" s="573">
        <v>1</v>
      </c>
      <c r="P1355" s="573">
        <v>83.6</v>
      </c>
      <c r="Q1355" s="571" t="s">
        <v>157</v>
      </c>
      <c r="R1355" s="573" t="s">
        <v>682</v>
      </c>
      <c r="S1355" s="573">
        <v>6</v>
      </c>
      <c r="T1355" s="573" t="s">
        <v>2704</v>
      </c>
      <c r="U1355" s="573" t="s">
        <v>1894</v>
      </c>
      <c r="V1355" s="573">
        <v>129.9</v>
      </c>
      <c r="W1355" s="573">
        <v>25</v>
      </c>
      <c r="X1355" s="571">
        <v>9500</v>
      </c>
      <c r="Y1355" s="573">
        <v>12</v>
      </c>
      <c r="Z1355" s="579" t="s">
        <v>178</v>
      </c>
      <c r="AA1355" s="579" t="s">
        <v>178</v>
      </c>
      <c r="AB1355" s="584">
        <v>37685</v>
      </c>
      <c r="AC1355" s="584" t="s">
        <v>164</v>
      </c>
      <c r="AD1355" s="584">
        <v>26204.875</v>
      </c>
      <c r="AE1355" s="586">
        <v>0.03</v>
      </c>
      <c r="AF1355" s="661" t="str">
        <f t="shared" si="150"/>
        <v>2019-LVN-FRD-T35V-023-05</v>
      </c>
      <c r="AG1355" s="661" t="str">
        <f>IF(AND($Y1355&gt;=32,(AI1355="I"),(Y1355&lt;&gt;"~"),(COUNTIF($AN$1:$AN1355,$AN1355)=1)),"TRUE","FALSE")</f>
        <v>FALSE</v>
      </c>
      <c r="AH1355" s="661" t="str">
        <f>IF(AND($Y1355&gt;=22, (AI1355&lt;&gt;"I"),(Y1355&lt;&gt;"~"),(COUNTIF($AN$1:$AN1355,$AN1355)=1)),"TRUE","FALSE")</f>
        <v>FALSE</v>
      </c>
      <c r="AI1355" s="661" t="str">
        <f t="shared" si="145"/>
        <v>II</v>
      </c>
      <c r="AJ1355" s="662" t="str">
        <f t="shared" si="146"/>
        <v>T35V-023</v>
      </c>
      <c r="AK1355" s="662" t="str">
        <f t="shared" si="147"/>
        <v>LVN</v>
      </c>
      <c r="AL1355" s="662" t="str">
        <f t="shared" si="148"/>
        <v>FRD</v>
      </c>
      <c r="AM1355" s="662" t="str">
        <f t="shared" si="144"/>
        <v>Transit 350 Van-Sliding RH Door-RWD-2-83.6-~-3.7L-6-W1Y-101A-129.9-25-Unleaded-Unleaded</v>
      </c>
      <c r="AN1355" s="662" t="str">
        <f t="shared" si="149"/>
        <v>2019-LVN-FRD-T35V-023</v>
      </c>
    </row>
    <row r="1356" spans="1:40" s="572" customFormat="1" ht="15">
      <c r="A1356" s="570" t="s">
        <v>2707</v>
      </c>
      <c r="B1356" s="569" t="s">
        <v>2674</v>
      </c>
      <c r="C1356" s="569" t="s">
        <v>278</v>
      </c>
      <c r="D1356" s="580">
        <v>15</v>
      </c>
      <c r="E1356" s="569" t="s">
        <v>1516</v>
      </c>
      <c r="F1356" s="569" t="s">
        <v>1571</v>
      </c>
      <c r="G1356" s="569" t="s">
        <v>271</v>
      </c>
      <c r="H1356" s="569">
        <v>2019</v>
      </c>
      <c r="I1356" s="569" t="s">
        <v>2628</v>
      </c>
      <c r="J1356" s="569" t="s">
        <v>1950</v>
      </c>
      <c r="K1356" s="569" t="s">
        <v>236</v>
      </c>
      <c r="L1356" s="569">
        <v>2</v>
      </c>
      <c r="M1356" s="569">
        <v>0</v>
      </c>
      <c r="N1356" s="569" t="s">
        <v>157</v>
      </c>
      <c r="O1356" s="569">
        <v>1</v>
      </c>
      <c r="P1356" s="569">
        <v>100.7</v>
      </c>
      <c r="Q1356" s="568" t="s">
        <v>157</v>
      </c>
      <c r="R1356" s="569" t="s">
        <v>1259</v>
      </c>
      <c r="S1356" s="569">
        <v>6</v>
      </c>
      <c r="T1356" s="569" t="s">
        <v>2675</v>
      </c>
      <c r="U1356" s="569" t="s">
        <v>1894</v>
      </c>
      <c r="V1356" s="569">
        <v>147.6</v>
      </c>
      <c r="W1356" s="569">
        <v>25</v>
      </c>
      <c r="X1356" s="568">
        <v>9500</v>
      </c>
      <c r="Y1356" s="573">
        <v>12</v>
      </c>
      <c r="Z1356" s="581" t="s">
        <v>178</v>
      </c>
      <c r="AA1356" s="581" t="s">
        <v>178</v>
      </c>
      <c r="AB1356" s="585">
        <v>40775</v>
      </c>
      <c r="AC1356" s="585" t="s">
        <v>164</v>
      </c>
      <c r="AD1356" s="585">
        <v>31700</v>
      </c>
      <c r="AE1356" s="587">
        <v>0.01</v>
      </c>
      <c r="AF1356" s="661" t="str">
        <f t="shared" si="150"/>
        <v>2019-LVN-FRD-T35V-010-15</v>
      </c>
      <c r="AG1356" s="661" t="str">
        <f>IF(AND($Y1356&gt;=32,(AI1356="I"),(Y1356&lt;&gt;"~"),(COUNTIF($AN$1:$AN1356,$AN1356)=1)),"TRUE","FALSE")</f>
        <v>FALSE</v>
      </c>
      <c r="AH1356" s="661" t="str">
        <f>IF(AND($Y1356&gt;=22, (AI1356&lt;&gt;"I"),(Y1356&lt;&gt;"~"),(COUNTIF($AN$1:$AN1356,$AN1356)=1)),"TRUE","FALSE")</f>
        <v>FALSE</v>
      </c>
      <c r="AI1356" s="661" t="str">
        <f t="shared" si="145"/>
        <v>II</v>
      </c>
      <c r="AJ1356" s="662" t="str">
        <f t="shared" si="146"/>
        <v>T35V-010</v>
      </c>
      <c r="AK1356" s="662" t="str">
        <f t="shared" si="147"/>
        <v>LVN</v>
      </c>
      <c r="AL1356" s="662" t="str">
        <f t="shared" si="148"/>
        <v>FRD</v>
      </c>
      <c r="AM1356" s="662" t="str">
        <f t="shared" si="144"/>
        <v>Transit 350 Van-Sliding RH Door-RWD-2-100.7-~-3.5L EcoBoost-6-W2C-101A-147.6-25-Unleaded-Unleaded</v>
      </c>
      <c r="AN1356" s="662" t="str">
        <f t="shared" si="149"/>
        <v>2019-LVN-FRD-T35V-010</v>
      </c>
    </row>
    <row r="1357" spans="1:40" s="572" customFormat="1" ht="15">
      <c r="A1357" s="570" t="s">
        <v>2708</v>
      </c>
      <c r="B1357" s="573" t="s">
        <v>2677</v>
      </c>
      <c r="C1357" s="573" t="s">
        <v>278</v>
      </c>
      <c r="D1357" s="578">
        <v>15</v>
      </c>
      <c r="E1357" s="573" t="s">
        <v>1516</v>
      </c>
      <c r="F1357" s="573" t="s">
        <v>1571</v>
      </c>
      <c r="G1357" s="573" t="s">
        <v>271</v>
      </c>
      <c r="H1357" s="573">
        <v>2019</v>
      </c>
      <c r="I1357" s="573" t="s">
        <v>2628</v>
      </c>
      <c r="J1357" s="573" t="s">
        <v>1950</v>
      </c>
      <c r="K1357" s="573" t="s">
        <v>236</v>
      </c>
      <c r="L1357" s="573">
        <v>2</v>
      </c>
      <c r="M1357" s="573">
        <v>0</v>
      </c>
      <c r="N1357" s="573" t="s">
        <v>157</v>
      </c>
      <c r="O1357" s="573">
        <v>1</v>
      </c>
      <c r="P1357" s="573">
        <v>100.7</v>
      </c>
      <c r="Q1357" s="571" t="s">
        <v>157</v>
      </c>
      <c r="R1357" s="573" t="s">
        <v>682</v>
      </c>
      <c r="S1357" s="573">
        <v>6</v>
      </c>
      <c r="T1357" s="573" t="s">
        <v>2675</v>
      </c>
      <c r="U1357" s="573" t="s">
        <v>1894</v>
      </c>
      <c r="V1357" s="573">
        <v>147.6</v>
      </c>
      <c r="W1357" s="573">
        <v>25</v>
      </c>
      <c r="X1357" s="571">
        <v>9500</v>
      </c>
      <c r="Y1357" s="573">
        <v>12</v>
      </c>
      <c r="Z1357" s="579" t="s">
        <v>178</v>
      </c>
      <c r="AA1357" s="579" t="s">
        <v>178</v>
      </c>
      <c r="AB1357" s="584">
        <v>38910</v>
      </c>
      <c r="AC1357" s="584" t="s">
        <v>164</v>
      </c>
      <c r="AD1357" s="584">
        <v>30000</v>
      </c>
      <c r="AE1357" s="586">
        <v>0.01</v>
      </c>
      <c r="AF1357" s="661" t="str">
        <f t="shared" si="150"/>
        <v>2019-LVN-FRD-T35V-011-15</v>
      </c>
      <c r="AG1357" s="661" t="str">
        <f>IF(AND($Y1357&gt;=32,(AI1357="I"),(Y1357&lt;&gt;"~"),(COUNTIF($AN$1:$AN1357,$AN1357)=1)),"TRUE","FALSE")</f>
        <v>FALSE</v>
      </c>
      <c r="AH1357" s="661" t="str">
        <f>IF(AND($Y1357&gt;=22, (AI1357&lt;&gt;"I"),(Y1357&lt;&gt;"~"),(COUNTIF($AN$1:$AN1357,$AN1357)=1)),"TRUE","FALSE")</f>
        <v>FALSE</v>
      </c>
      <c r="AI1357" s="661" t="str">
        <f t="shared" si="145"/>
        <v>II</v>
      </c>
      <c r="AJ1357" s="662" t="str">
        <f t="shared" si="146"/>
        <v>T35V-011</v>
      </c>
      <c r="AK1357" s="662" t="str">
        <f t="shared" si="147"/>
        <v>LVN</v>
      </c>
      <c r="AL1357" s="662" t="str">
        <f t="shared" si="148"/>
        <v>FRD</v>
      </c>
      <c r="AM1357" s="662" t="str">
        <f t="shared" si="144"/>
        <v>Transit 350 Van-Sliding RH Door-RWD-2-100.7-~-3.7L-6-W2C-101A-147.6-25-Unleaded-Unleaded</v>
      </c>
      <c r="AN1357" s="662" t="str">
        <f t="shared" si="149"/>
        <v>2019-LVN-FRD-T35V-011</v>
      </c>
    </row>
    <row r="1358" spans="1:40" s="572" customFormat="1" ht="15">
      <c r="A1358" s="570" t="s">
        <v>2709</v>
      </c>
      <c r="B1358" s="569" t="s">
        <v>2679</v>
      </c>
      <c r="C1358" s="569" t="s">
        <v>278</v>
      </c>
      <c r="D1358" s="580">
        <v>15</v>
      </c>
      <c r="E1358" s="569" t="s">
        <v>1516</v>
      </c>
      <c r="F1358" s="569" t="s">
        <v>1571</v>
      </c>
      <c r="G1358" s="569" t="s">
        <v>271</v>
      </c>
      <c r="H1358" s="569">
        <v>2019</v>
      </c>
      <c r="I1358" s="569" t="s">
        <v>2628</v>
      </c>
      <c r="J1358" s="569" t="s">
        <v>1950</v>
      </c>
      <c r="K1358" s="569" t="s">
        <v>236</v>
      </c>
      <c r="L1358" s="569">
        <v>2</v>
      </c>
      <c r="M1358" s="569">
        <v>0</v>
      </c>
      <c r="N1358" s="569" t="s">
        <v>157</v>
      </c>
      <c r="O1358" s="569">
        <v>1</v>
      </c>
      <c r="P1358" s="569">
        <v>100.8</v>
      </c>
      <c r="Q1358" s="568" t="s">
        <v>157</v>
      </c>
      <c r="R1358" s="569" t="s">
        <v>1259</v>
      </c>
      <c r="S1358" s="569">
        <v>6</v>
      </c>
      <c r="T1358" s="569" t="s">
        <v>2680</v>
      </c>
      <c r="U1358" s="569" t="s">
        <v>1894</v>
      </c>
      <c r="V1358" s="569">
        <v>129.9</v>
      </c>
      <c r="W1358" s="569">
        <v>25</v>
      </c>
      <c r="X1358" s="568">
        <v>9500</v>
      </c>
      <c r="Y1358" s="573">
        <v>12</v>
      </c>
      <c r="Z1358" s="581" t="s">
        <v>178</v>
      </c>
      <c r="AA1358" s="581" t="s">
        <v>178</v>
      </c>
      <c r="AB1358" s="585">
        <v>39050</v>
      </c>
      <c r="AC1358" s="585" t="s">
        <v>164</v>
      </c>
      <c r="AD1358" s="585">
        <v>30100</v>
      </c>
      <c r="AE1358" s="587">
        <v>0.01</v>
      </c>
      <c r="AF1358" s="661" t="str">
        <f t="shared" si="150"/>
        <v>2019-LVN-FRD-T35V-013-15</v>
      </c>
      <c r="AG1358" s="661" t="str">
        <f>IF(AND($Y1358&gt;=32,(AI1358="I"),(Y1358&lt;&gt;"~"),(COUNTIF($AN$1:$AN1358,$AN1358)=1)),"TRUE","FALSE")</f>
        <v>FALSE</v>
      </c>
      <c r="AH1358" s="661" t="str">
        <f>IF(AND($Y1358&gt;=22, (AI1358&lt;&gt;"I"),(Y1358&lt;&gt;"~"),(COUNTIF($AN$1:$AN1358,$AN1358)=1)),"TRUE","FALSE")</f>
        <v>FALSE</v>
      </c>
      <c r="AI1358" s="661" t="str">
        <f t="shared" si="145"/>
        <v>II</v>
      </c>
      <c r="AJ1358" s="662" t="str">
        <f t="shared" si="146"/>
        <v>T35V-013</v>
      </c>
      <c r="AK1358" s="662" t="str">
        <f t="shared" si="147"/>
        <v>LVN</v>
      </c>
      <c r="AL1358" s="662" t="str">
        <f t="shared" si="148"/>
        <v>FRD</v>
      </c>
      <c r="AM1358" s="662" t="str">
        <f t="shared" si="144"/>
        <v>Transit 350 Van-Sliding RH Door-RWD-2-100.8-~-3.5L EcoBoost-6-W9C-101A-129.9-25-Unleaded-Unleaded</v>
      </c>
      <c r="AN1358" s="662" t="str">
        <f t="shared" si="149"/>
        <v>2019-LVN-FRD-T35V-013</v>
      </c>
    </row>
    <row r="1359" spans="1:40" s="572" customFormat="1" ht="15">
      <c r="A1359" s="570" t="s">
        <v>2710</v>
      </c>
      <c r="B1359" s="573" t="s">
        <v>2682</v>
      </c>
      <c r="C1359" s="573" t="s">
        <v>278</v>
      </c>
      <c r="D1359" s="578">
        <v>15</v>
      </c>
      <c r="E1359" s="573" t="s">
        <v>1516</v>
      </c>
      <c r="F1359" s="573" t="s">
        <v>1571</v>
      </c>
      <c r="G1359" s="573" t="s">
        <v>271</v>
      </c>
      <c r="H1359" s="573">
        <v>2019</v>
      </c>
      <c r="I1359" s="573" t="s">
        <v>2628</v>
      </c>
      <c r="J1359" s="573" t="s">
        <v>1950</v>
      </c>
      <c r="K1359" s="573" t="s">
        <v>236</v>
      </c>
      <c r="L1359" s="573">
        <v>2</v>
      </c>
      <c r="M1359" s="573">
        <v>0</v>
      </c>
      <c r="N1359" s="573" t="s">
        <v>157</v>
      </c>
      <c r="O1359" s="573">
        <v>1</v>
      </c>
      <c r="P1359" s="573">
        <v>100.8</v>
      </c>
      <c r="Q1359" s="571" t="s">
        <v>157</v>
      </c>
      <c r="R1359" s="573" t="s">
        <v>682</v>
      </c>
      <c r="S1359" s="573">
        <v>6</v>
      </c>
      <c r="T1359" s="573" t="s">
        <v>2680</v>
      </c>
      <c r="U1359" s="573" t="s">
        <v>1894</v>
      </c>
      <c r="V1359" s="573">
        <v>129.9</v>
      </c>
      <c r="W1359" s="573">
        <v>25</v>
      </c>
      <c r="X1359" s="571">
        <v>9500</v>
      </c>
      <c r="Y1359" s="573">
        <v>12</v>
      </c>
      <c r="Z1359" s="579" t="s">
        <v>178</v>
      </c>
      <c r="AA1359" s="579" t="s">
        <v>178</v>
      </c>
      <c r="AB1359" s="584">
        <v>37185</v>
      </c>
      <c r="AC1359" s="584" t="s">
        <v>164</v>
      </c>
      <c r="AD1359" s="584">
        <v>28400</v>
      </c>
      <c r="AE1359" s="586">
        <v>0.01</v>
      </c>
      <c r="AF1359" s="661" t="str">
        <f t="shared" si="150"/>
        <v>2019-LVN-FRD-T35V-014-15</v>
      </c>
      <c r="AG1359" s="661" t="str">
        <f>IF(AND($Y1359&gt;=32,(AI1359="I"),(Y1359&lt;&gt;"~"),(COUNTIF($AN$1:$AN1359,$AN1359)=1)),"TRUE","FALSE")</f>
        <v>FALSE</v>
      </c>
      <c r="AH1359" s="661" t="str">
        <f>IF(AND($Y1359&gt;=22, (AI1359&lt;&gt;"I"),(Y1359&lt;&gt;"~"),(COUNTIF($AN$1:$AN1359,$AN1359)=1)),"TRUE","FALSE")</f>
        <v>FALSE</v>
      </c>
      <c r="AI1359" s="661" t="str">
        <f t="shared" si="145"/>
        <v>II</v>
      </c>
      <c r="AJ1359" s="662" t="str">
        <f t="shared" si="146"/>
        <v>T35V-014</v>
      </c>
      <c r="AK1359" s="662" t="str">
        <f t="shared" si="147"/>
        <v>LVN</v>
      </c>
      <c r="AL1359" s="662" t="str">
        <f t="shared" si="148"/>
        <v>FRD</v>
      </c>
      <c r="AM1359" s="662" t="str">
        <f t="shared" si="144"/>
        <v>Transit 350 Van-Sliding RH Door-RWD-2-100.8-~-3.7L-6-W9C-101A-129.9-25-Unleaded-Unleaded</v>
      </c>
      <c r="AN1359" s="662" t="str">
        <f t="shared" si="149"/>
        <v>2019-LVN-FRD-T35V-014</v>
      </c>
    </row>
    <row r="1360" spans="1:40" s="572" customFormat="1" ht="15">
      <c r="A1360" s="570" t="s">
        <v>2711</v>
      </c>
      <c r="B1360" s="569" t="s">
        <v>2684</v>
      </c>
      <c r="C1360" s="569" t="s">
        <v>278</v>
      </c>
      <c r="D1360" s="580">
        <v>15</v>
      </c>
      <c r="E1360" s="569" t="s">
        <v>1516</v>
      </c>
      <c r="F1360" s="569" t="s">
        <v>1571</v>
      </c>
      <c r="G1360" s="569" t="s">
        <v>271</v>
      </c>
      <c r="H1360" s="569">
        <v>2019</v>
      </c>
      <c r="I1360" s="569" t="s">
        <v>2628</v>
      </c>
      <c r="J1360" s="569" t="s">
        <v>1950</v>
      </c>
      <c r="K1360" s="569" t="s">
        <v>236</v>
      </c>
      <c r="L1360" s="569">
        <v>2</v>
      </c>
      <c r="M1360" s="569">
        <v>0</v>
      </c>
      <c r="N1360" s="569" t="s">
        <v>157</v>
      </c>
      <c r="O1360" s="569">
        <v>1</v>
      </c>
      <c r="P1360" s="569">
        <v>109.4</v>
      </c>
      <c r="Q1360" s="568" t="s">
        <v>157</v>
      </c>
      <c r="R1360" s="569" t="s">
        <v>1917</v>
      </c>
      <c r="S1360" s="569">
        <v>5</v>
      </c>
      <c r="T1360" s="569" t="s">
        <v>2685</v>
      </c>
      <c r="U1360" s="569" t="s">
        <v>1894</v>
      </c>
      <c r="V1360" s="569">
        <v>147.6</v>
      </c>
      <c r="W1360" s="569">
        <v>25</v>
      </c>
      <c r="X1360" s="568">
        <v>9500</v>
      </c>
      <c r="Y1360" s="573">
        <v>12</v>
      </c>
      <c r="Z1360" s="581" t="s">
        <v>728</v>
      </c>
      <c r="AA1360" s="581" t="s">
        <v>1523</v>
      </c>
      <c r="AB1360" s="585">
        <v>46355</v>
      </c>
      <c r="AC1360" s="585" t="s">
        <v>164</v>
      </c>
      <c r="AD1360" s="585">
        <v>36900</v>
      </c>
      <c r="AE1360" s="587">
        <v>0.01</v>
      </c>
      <c r="AF1360" s="661" t="str">
        <f t="shared" si="150"/>
        <v>2019-LVN-FRD-T35V-015-15</v>
      </c>
      <c r="AG1360" s="661" t="str">
        <f>IF(AND($Y1360&gt;=32,(AI1360="I"),(Y1360&lt;&gt;"~"),(COUNTIF($AN$1:$AN1360,$AN1360)=1)),"TRUE","FALSE")</f>
        <v>FALSE</v>
      </c>
      <c r="AH1360" s="661" t="str">
        <f>IF(AND($Y1360&gt;=22, (AI1360&lt;&gt;"I"),(Y1360&lt;&gt;"~"),(COUNTIF($AN$1:$AN1360,$AN1360)=1)),"TRUE","FALSE")</f>
        <v>FALSE</v>
      </c>
      <c r="AI1360" s="661" t="str">
        <f t="shared" si="145"/>
        <v>II</v>
      </c>
      <c r="AJ1360" s="662" t="str">
        <f t="shared" si="146"/>
        <v>T35V-015</v>
      </c>
      <c r="AK1360" s="662" t="str">
        <f t="shared" si="147"/>
        <v>LVN</v>
      </c>
      <c r="AL1360" s="662" t="str">
        <f t="shared" si="148"/>
        <v>FRD</v>
      </c>
      <c r="AM1360" s="662" t="str">
        <f t="shared" si="144"/>
        <v>Transit 350 Van-Sliding RH Door-RWD-2-109.4-~-3.2L-5-W3X-101A-147.6-25-Diesel-BioDiesel</v>
      </c>
      <c r="AN1360" s="662" t="str">
        <f t="shared" si="149"/>
        <v>2019-LVN-FRD-T35V-015</v>
      </c>
    </row>
    <row r="1361" spans="1:40" s="572" customFormat="1" ht="15">
      <c r="A1361" s="570" t="s">
        <v>2712</v>
      </c>
      <c r="B1361" s="573" t="s">
        <v>2687</v>
      </c>
      <c r="C1361" s="573" t="s">
        <v>278</v>
      </c>
      <c r="D1361" s="578">
        <v>15</v>
      </c>
      <c r="E1361" s="573" t="s">
        <v>1516</v>
      </c>
      <c r="F1361" s="573" t="s">
        <v>1571</v>
      </c>
      <c r="G1361" s="573" t="s">
        <v>271</v>
      </c>
      <c r="H1361" s="573">
        <v>2019</v>
      </c>
      <c r="I1361" s="573" t="s">
        <v>2628</v>
      </c>
      <c r="J1361" s="573" t="s">
        <v>1950</v>
      </c>
      <c r="K1361" s="573" t="s">
        <v>236</v>
      </c>
      <c r="L1361" s="573">
        <v>2</v>
      </c>
      <c r="M1361" s="573">
        <v>0</v>
      </c>
      <c r="N1361" s="573" t="s">
        <v>157</v>
      </c>
      <c r="O1361" s="573">
        <v>1</v>
      </c>
      <c r="P1361" s="573">
        <v>109.4</v>
      </c>
      <c r="Q1361" s="571" t="s">
        <v>157</v>
      </c>
      <c r="R1361" s="573" t="s">
        <v>1259</v>
      </c>
      <c r="S1361" s="573">
        <v>6</v>
      </c>
      <c r="T1361" s="573" t="s">
        <v>2685</v>
      </c>
      <c r="U1361" s="573" t="s">
        <v>1894</v>
      </c>
      <c r="V1361" s="573">
        <v>147.6</v>
      </c>
      <c r="W1361" s="573">
        <v>25</v>
      </c>
      <c r="X1361" s="571">
        <v>9500</v>
      </c>
      <c r="Y1361" s="573">
        <v>12</v>
      </c>
      <c r="Z1361" s="579" t="s">
        <v>178</v>
      </c>
      <c r="AA1361" s="579" t="s">
        <v>178</v>
      </c>
      <c r="AB1361" s="584">
        <v>44225</v>
      </c>
      <c r="AC1361" s="584" t="s">
        <v>164</v>
      </c>
      <c r="AD1361" s="584">
        <v>34900</v>
      </c>
      <c r="AE1361" s="586">
        <v>0.01</v>
      </c>
      <c r="AF1361" s="661" t="str">
        <f t="shared" si="150"/>
        <v>2019-LVN-FRD-T35V-016-15</v>
      </c>
      <c r="AG1361" s="661" t="str">
        <f>IF(AND($Y1361&gt;=32,(AI1361="I"),(Y1361&lt;&gt;"~"),(COUNTIF($AN$1:$AN1361,$AN1361)=1)),"TRUE","FALSE")</f>
        <v>FALSE</v>
      </c>
      <c r="AH1361" s="661" t="str">
        <f>IF(AND($Y1361&gt;=22, (AI1361&lt;&gt;"I"),(Y1361&lt;&gt;"~"),(COUNTIF($AN$1:$AN1361,$AN1361)=1)),"TRUE","FALSE")</f>
        <v>FALSE</v>
      </c>
      <c r="AI1361" s="661" t="str">
        <f t="shared" si="145"/>
        <v>II</v>
      </c>
      <c r="AJ1361" s="662" t="str">
        <f t="shared" si="146"/>
        <v>T35V-016</v>
      </c>
      <c r="AK1361" s="662" t="str">
        <f t="shared" si="147"/>
        <v>LVN</v>
      </c>
      <c r="AL1361" s="662" t="str">
        <f t="shared" si="148"/>
        <v>FRD</v>
      </c>
      <c r="AM1361" s="662" t="str">
        <f t="shared" si="144"/>
        <v>Transit 350 Van-Sliding RH Door-RWD-2-109.4-~-3.5L EcoBoost-6-W3X-101A-147.6-25-Unleaded-Unleaded</v>
      </c>
      <c r="AN1361" s="662" t="str">
        <f t="shared" si="149"/>
        <v>2019-LVN-FRD-T35V-016</v>
      </c>
    </row>
    <row r="1362" spans="1:40" s="572" customFormat="1" ht="15">
      <c r="A1362" s="570" t="s">
        <v>2713</v>
      </c>
      <c r="B1362" s="569" t="s">
        <v>2689</v>
      </c>
      <c r="C1362" s="569" t="s">
        <v>278</v>
      </c>
      <c r="D1362" s="580">
        <v>15</v>
      </c>
      <c r="E1362" s="569" t="s">
        <v>1516</v>
      </c>
      <c r="F1362" s="569" t="s">
        <v>1571</v>
      </c>
      <c r="G1362" s="569" t="s">
        <v>271</v>
      </c>
      <c r="H1362" s="569">
        <v>2019</v>
      </c>
      <c r="I1362" s="569" t="s">
        <v>2628</v>
      </c>
      <c r="J1362" s="569" t="s">
        <v>1950</v>
      </c>
      <c r="K1362" s="569" t="s">
        <v>236</v>
      </c>
      <c r="L1362" s="569">
        <v>2</v>
      </c>
      <c r="M1362" s="569">
        <v>0</v>
      </c>
      <c r="N1362" s="569" t="s">
        <v>157</v>
      </c>
      <c r="O1362" s="569">
        <v>1</v>
      </c>
      <c r="P1362" s="569">
        <v>109.4</v>
      </c>
      <c r="Q1362" s="568" t="s">
        <v>157</v>
      </c>
      <c r="R1362" s="569" t="s">
        <v>682</v>
      </c>
      <c r="S1362" s="569">
        <v>6</v>
      </c>
      <c r="T1362" s="569" t="s">
        <v>2685</v>
      </c>
      <c r="U1362" s="569" t="s">
        <v>1894</v>
      </c>
      <c r="V1362" s="569">
        <v>147.6</v>
      </c>
      <c r="W1362" s="569">
        <v>25</v>
      </c>
      <c r="X1362" s="568">
        <v>9500</v>
      </c>
      <c r="Y1362" s="573">
        <v>12</v>
      </c>
      <c r="Z1362" s="581" t="s">
        <v>178</v>
      </c>
      <c r="AA1362" s="581" t="s">
        <v>178</v>
      </c>
      <c r="AB1362" s="585">
        <v>42360</v>
      </c>
      <c r="AC1362" s="585" t="s">
        <v>164</v>
      </c>
      <c r="AD1362" s="585">
        <v>33300</v>
      </c>
      <c r="AE1362" s="587">
        <v>0.01</v>
      </c>
      <c r="AF1362" s="661" t="str">
        <f t="shared" si="150"/>
        <v>2019-LVN-FRD-T35V-030-15</v>
      </c>
      <c r="AG1362" s="661" t="str">
        <f>IF(AND($Y1362&gt;=32,(AI1362="I"),(Y1362&lt;&gt;"~"),(COUNTIF($AN$1:$AN1362,$AN1362)=1)),"TRUE","FALSE")</f>
        <v>FALSE</v>
      </c>
      <c r="AH1362" s="661" t="str">
        <f>IF(AND($Y1362&gt;=22, (AI1362&lt;&gt;"I"),(Y1362&lt;&gt;"~"),(COUNTIF($AN$1:$AN1362,$AN1362)=1)),"TRUE","FALSE")</f>
        <v>FALSE</v>
      </c>
      <c r="AI1362" s="661" t="str">
        <f t="shared" si="145"/>
        <v>II</v>
      </c>
      <c r="AJ1362" s="662" t="str">
        <f t="shared" si="146"/>
        <v>T35V-030</v>
      </c>
      <c r="AK1362" s="662" t="str">
        <f t="shared" si="147"/>
        <v>LVN</v>
      </c>
      <c r="AL1362" s="662" t="str">
        <f t="shared" si="148"/>
        <v>FRD</v>
      </c>
      <c r="AM1362" s="662" t="str">
        <f t="shared" si="144"/>
        <v>Transit 350 Van-Sliding RH Door-RWD-2-109.4-~-3.7L-6-W3X-101A-147.6-25-Unleaded-Unleaded</v>
      </c>
      <c r="AN1362" s="662" t="str">
        <f t="shared" si="149"/>
        <v>2019-LVN-FRD-T35V-030</v>
      </c>
    </row>
    <row r="1363" spans="1:40" s="572" customFormat="1" ht="15">
      <c r="A1363" s="570" t="s">
        <v>2714</v>
      </c>
      <c r="B1363" s="573" t="s">
        <v>2715</v>
      </c>
      <c r="C1363" s="573" t="s">
        <v>278</v>
      </c>
      <c r="D1363" s="578">
        <v>15</v>
      </c>
      <c r="E1363" s="573" t="s">
        <v>1516</v>
      </c>
      <c r="F1363" s="573" t="s">
        <v>1571</v>
      </c>
      <c r="G1363" s="573" t="s">
        <v>271</v>
      </c>
      <c r="H1363" s="573">
        <v>2019</v>
      </c>
      <c r="I1363" s="573" t="s">
        <v>2628</v>
      </c>
      <c r="J1363" s="573" t="s">
        <v>1950</v>
      </c>
      <c r="K1363" s="573" t="s">
        <v>236</v>
      </c>
      <c r="L1363" s="573">
        <v>2</v>
      </c>
      <c r="M1363" s="573">
        <v>0</v>
      </c>
      <c r="N1363" s="573" t="s">
        <v>157</v>
      </c>
      <c r="O1363" s="573">
        <v>1</v>
      </c>
      <c r="P1363" s="573">
        <v>110.1</v>
      </c>
      <c r="Q1363" s="571" t="s">
        <v>157</v>
      </c>
      <c r="R1363" s="573" t="s">
        <v>1917</v>
      </c>
      <c r="S1363" s="573">
        <v>6</v>
      </c>
      <c r="T1363" s="573" t="s">
        <v>2692</v>
      </c>
      <c r="U1363" s="573" t="s">
        <v>1894</v>
      </c>
      <c r="V1363" s="573">
        <v>147.6</v>
      </c>
      <c r="W1363" s="573">
        <v>25</v>
      </c>
      <c r="X1363" s="571">
        <v>9500</v>
      </c>
      <c r="Y1363" s="573">
        <v>12</v>
      </c>
      <c r="Z1363" s="579" t="s">
        <v>178</v>
      </c>
      <c r="AA1363" s="579" t="s">
        <v>178</v>
      </c>
      <c r="AB1363" s="584">
        <v>45055</v>
      </c>
      <c r="AC1363" s="584" t="s">
        <v>164</v>
      </c>
      <c r="AD1363" s="584">
        <v>35600</v>
      </c>
      <c r="AE1363" s="586">
        <v>0.01</v>
      </c>
      <c r="AF1363" s="661" t="str">
        <f t="shared" si="150"/>
        <v>2019-LVN-FRD-T35V-031-15</v>
      </c>
      <c r="AG1363" s="661" t="str">
        <f>IF(AND($Y1363&gt;=32,(AI1363="I"),(Y1363&lt;&gt;"~"),(COUNTIF($AN$1:$AN1363,$AN1363)=1)),"TRUE","FALSE")</f>
        <v>FALSE</v>
      </c>
      <c r="AH1363" s="661" t="str">
        <f>IF(AND($Y1363&gt;=22, (AI1363&lt;&gt;"I"),(Y1363&lt;&gt;"~"),(COUNTIF($AN$1:$AN1363,$AN1363)=1)),"TRUE","FALSE")</f>
        <v>FALSE</v>
      </c>
      <c r="AI1363" s="661" t="str">
        <f t="shared" si="145"/>
        <v>II</v>
      </c>
      <c r="AJ1363" s="662" t="str">
        <f t="shared" si="146"/>
        <v>T35V-031</v>
      </c>
      <c r="AK1363" s="662" t="str">
        <f t="shared" si="147"/>
        <v>LVN</v>
      </c>
      <c r="AL1363" s="662" t="str">
        <f t="shared" si="148"/>
        <v>FRD</v>
      </c>
      <c r="AM1363" s="662" t="str">
        <f t="shared" si="144"/>
        <v>Transit 350 Van-Sliding RH Door-RWD-2-110.1-~-3.2L-6-W2X-101A-147.6-25-Unleaded-Unleaded</v>
      </c>
      <c r="AN1363" s="662" t="str">
        <f t="shared" si="149"/>
        <v>2019-LVN-FRD-T35V-031</v>
      </c>
    </row>
    <row r="1364" spans="1:40" s="572" customFormat="1" ht="15">
      <c r="A1364" s="570" t="s">
        <v>2716</v>
      </c>
      <c r="B1364" s="569" t="s">
        <v>2694</v>
      </c>
      <c r="C1364" s="569" t="s">
        <v>278</v>
      </c>
      <c r="D1364" s="580">
        <v>15</v>
      </c>
      <c r="E1364" s="569" t="s">
        <v>1516</v>
      </c>
      <c r="F1364" s="569" t="s">
        <v>1571</v>
      </c>
      <c r="G1364" s="569" t="s">
        <v>271</v>
      </c>
      <c r="H1364" s="569">
        <v>2019</v>
      </c>
      <c r="I1364" s="569" t="s">
        <v>2628</v>
      </c>
      <c r="J1364" s="569" t="s">
        <v>1950</v>
      </c>
      <c r="K1364" s="569" t="s">
        <v>236</v>
      </c>
      <c r="L1364" s="569">
        <v>2</v>
      </c>
      <c r="M1364" s="569">
        <v>0</v>
      </c>
      <c r="N1364" s="569" t="s">
        <v>157</v>
      </c>
      <c r="O1364" s="569">
        <v>1</v>
      </c>
      <c r="P1364" s="569">
        <v>110.1</v>
      </c>
      <c r="Q1364" s="568" t="s">
        <v>157</v>
      </c>
      <c r="R1364" s="569" t="s">
        <v>1259</v>
      </c>
      <c r="S1364" s="569">
        <v>6</v>
      </c>
      <c r="T1364" s="569" t="s">
        <v>2692</v>
      </c>
      <c r="U1364" s="569" t="s">
        <v>1894</v>
      </c>
      <c r="V1364" s="569">
        <v>147.6</v>
      </c>
      <c r="W1364" s="569">
        <v>25</v>
      </c>
      <c r="X1364" s="568">
        <v>9500</v>
      </c>
      <c r="Y1364" s="573">
        <v>12</v>
      </c>
      <c r="Z1364" s="581" t="s">
        <v>178</v>
      </c>
      <c r="AA1364" s="581" t="s">
        <v>178</v>
      </c>
      <c r="AB1364" s="585">
        <v>42925</v>
      </c>
      <c r="AC1364" s="585" t="s">
        <v>164</v>
      </c>
      <c r="AD1364" s="585">
        <v>33700</v>
      </c>
      <c r="AE1364" s="587">
        <v>0.01</v>
      </c>
      <c r="AF1364" s="661" t="str">
        <f t="shared" si="150"/>
        <v>2019-LVN-FRD-T35V-017-15</v>
      </c>
      <c r="AG1364" s="661" t="str">
        <f>IF(AND($Y1364&gt;=32,(AI1364="I"),(Y1364&lt;&gt;"~"),(COUNTIF($AN$1:$AN1364,$AN1364)=1)),"TRUE","FALSE")</f>
        <v>FALSE</v>
      </c>
      <c r="AH1364" s="661" t="str">
        <f>IF(AND($Y1364&gt;=22, (AI1364&lt;&gt;"I"),(Y1364&lt;&gt;"~"),(COUNTIF($AN$1:$AN1364,$AN1364)=1)),"TRUE","FALSE")</f>
        <v>FALSE</v>
      </c>
      <c r="AI1364" s="661" t="str">
        <f t="shared" si="145"/>
        <v>II</v>
      </c>
      <c r="AJ1364" s="662" t="str">
        <f t="shared" si="146"/>
        <v>T35V-017</v>
      </c>
      <c r="AK1364" s="662" t="str">
        <f t="shared" si="147"/>
        <v>LVN</v>
      </c>
      <c r="AL1364" s="662" t="str">
        <f t="shared" si="148"/>
        <v>FRD</v>
      </c>
      <c r="AM1364" s="662" t="str">
        <f t="shared" si="144"/>
        <v>Transit 350 Van-Sliding RH Door-RWD-2-110.1-~-3.5L EcoBoost-6-W2X-101A-147.6-25-Unleaded-Unleaded</v>
      </c>
      <c r="AN1364" s="662" t="str">
        <f t="shared" si="149"/>
        <v>2019-LVN-FRD-T35V-017</v>
      </c>
    </row>
    <row r="1365" spans="1:40" s="572" customFormat="1" ht="15">
      <c r="A1365" s="570" t="s">
        <v>2717</v>
      </c>
      <c r="B1365" s="573" t="s">
        <v>2696</v>
      </c>
      <c r="C1365" s="573" t="s">
        <v>278</v>
      </c>
      <c r="D1365" s="578">
        <v>15</v>
      </c>
      <c r="E1365" s="573" t="s">
        <v>1516</v>
      </c>
      <c r="F1365" s="573" t="s">
        <v>1571</v>
      </c>
      <c r="G1365" s="573" t="s">
        <v>271</v>
      </c>
      <c r="H1365" s="573">
        <v>2019</v>
      </c>
      <c r="I1365" s="573" t="s">
        <v>2628</v>
      </c>
      <c r="J1365" s="573" t="s">
        <v>1950</v>
      </c>
      <c r="K1365" s="573" t="s">
        <v>236</v>
      </c>
      <c r="L1365" s="573">
        <v>2</v>
      </c>
      <c r="M1365" s="573">
        <v>0</v>
      </c>
      <c r="N1365" s="573" t="s">
        <v>157</v>
      </c>
      <c r="O1365" s="573">
        <v>1</v>
      </c>
      <c r="P1365" s="573">
        <v>110.1</v>
      </c>
      <c r="Q1365" s="571" t="s">
        <v>157</v>
      </c>
      <c r="R1365" s="573" t="s">
        <v>682</v>
      </c>
      <c r="S1365" s="573">
        <v>6</v>
      </c>
      <c r="T1365" s="573" t="s">
        <v>2692</v>
      </c>
      <c r="U1365" s="573" t="s">
        <v>1894</v>
      </c>
      <c r="V1365" s="573">
        <v>147.6</v>
      </c>
      <c r="W1365" s="573">
        <v>25</v>
      </c>
      <c r="X1365" s="571">
        <v>9500</v>
      </c>
      <c r="Y1365" s="573">
        <v>12</v>
      </c>
      <c r="Z1365" s="579" t="s">
        <v>178</v>
      </c>
      <c r="AA1365" s="579" t="s">
        <v>178</v>
      </c>
      <c r="AB1365" s="584">
        <v>41060</v>
      </c>
      <c r="AC1365" s="584" t="s">
        <v>164</v>
      </c>
      <c r="AD1365" s="584">
        <v>32000</v>
      </c>
      <c r="AE1365" s="586">
        <v>0.01</v>
      </c>
      <c r="AF1365" s="661" t="str">
        <f t="shared" si="150"/>
        <v>2019-LVN-FRD-T35V-018-15</v>
      </c>
      <c r="AG1365" s="661" t="str">
        <f>IF(AND($Y1365&gt;=32,(AI1365="I"),(Y1365&lt;&gt;"~"),(COUNTIF($AN$1:$AN1365,$AN1365)=1)),"TRUE","FALSE")</f>
        <v>FALSE</v>
      </c>
      <c r="AH1365" s="661" t="str">
        <f>IF(AND($Y1365&gt;=22, (AI1365&lt;&gt;"I"),(Y1365&lt;&gt;"~"),(COUNTIF($AN$1:$AN1365,$AN1365)=1)),"TRUE","FALSE")</f>
        <v>FALSE</v>
      </c>
      <c r="AI1365" s="661" t="str">
        <f t="shared" si="145"/>
        <v>II</v>
      </c>
      <c r="AJ1365" s="662" t="str">
        <f t="shared" si="146"/>
        <v>T35V-018</v>
      </c>
      <c r="AK1365" s="662" t="str">
        <f t="shared" si="147"/>
        <v>LVN</v>
      </c>
      <c r="AL1365" s="662" t="str">
        <f t="shared" si="148"/>
        <v>FRD</v>
      </c>
      <c r="AM1365" s="662" t="str">
        <f t="shared" si="144"/>
        <v>Transit 350 Van-Sliding RH Door-RWD-2-110.1-~-3.7L-6-W2X-101A-147.6-25-Unleaded-Unleaded</v>
      </c>
      <c r="AN1365" s="662" t="str">
        <f t="shared" si="149"/>
        <v>2019-LVN-FRD-T35V-018</v>
      </c>
    </row>
    <row r="1366" spans="1:40" s="572" customFormat="1" ht="15">
      <c r="A1366" s="570" t="s">
        <v>2718</v>
      </c>
      <c r="B1366" s="569" t="s">
        <v>2698</v>
      </c>
      <c r="C1366" s="569" t="s">
        <v>278</v>
      </c>
      <c r="D1366" s="580">
        <v>15</v>
      </c>
      <c r="E1366" s="569" t="s">
        <v>1516</v>
      </c>
      <c r="F1366" s="569" t="s">
        <v>1571</v>
      </c>
      <c r="G1366" s="569" t="s">
        <v>271</v>
      </c>
      <c r="H1366" s="569">
        <v>2019</v>
      </c>
      <c r="I1366" s="569" t="s">
        <v>2628</v>
      </c>
      <c r="J1366" s="569" t="s">
        <v>1950</v>
      </c>
      <c r="K1366" s="569" t="s">
        <v>236</v>
      </c>
      <c r="L1366" s="569">
        <v>2</v>
      </c>
      <c r="M1366" s="569">
        <v>0</v>
      </c>
      <c r="N1366" s="569" t="s">
        <v>157</v>
      </c>
      <c r="O1366" s="569">
        <v>1</v>
      </c>
      <c r="P1366" s="569">
        <v>83.2</v>
      </c>
      <c r="Q1366" s="568" t="s">
        <v>157</v>
      </c>
      <c r="R1366" s="569" t="s">
        <v>1259</v>
      </c>
      <c r="S1366" s="569">
        <v>6</v>
      </c>
      <c r="T1366" s="569" t="s">
        <v>2699</v>
      </c>
      <c r="U1366" s="569" t="s">
        <v>1894</v>
      </c>
      <c r="V1366" s="569">
        <v>147.6</v>
      </c>
      <c r="W1366" s="569">
        <v>25</v>
      </c>
      <c r="X1366" s="568">
        <v>9500</v>
      </c>
      <c r="Y1366" s="573">
        <v>12</v>
      </c>
      <c r="Z1366" s="581" t="s">
        <v>178</v>
      </c>
      <c r="AA1366" s="581" t="s">
        <v>178</v>
      </c>
      <c r="AB1366" s="585">
        <v>40430</v>
      </c>
      <c r="AC1366" s="585" t="s">
        <v>164</v>
      </c>
      <c r="AD1366" s="585">
        <v>29250</v>
      </c>
      <c r="AE1366" s="587">
        <v>0.01</v>
      </c>
      <c r="AF1366" s="661" t="str">
        <f t="shared" si="150"/>
        <v>2019-LVN-FRD-T35V-020-15</v>
      </c>
      <c r="AG1366" s="661" t="str">
        <f>IF(AND($Y1366&gt;=32,(AI1366="I"),(Y1366&lt;&gt;"~"),(COUNTIF($AN$1:$AN1366,$AN1366)=1)),"TRUE","FALSE")</f>
        <v>FALSE</v>
      </c>
      <c r="AH1366" s="661" t="str">
        <f>IF(AND($Y1366&gt;=22, (AI1366&lt;&gt;"I"),(Y1366&lt;&gt;"~"),(COUNTIF($AN$1:$AN1366,$AN1366)=1)),"TRUE","FALSE")</f>
        <v>FALSE</v>
      </c>
      <c r="AI1366" s="661" t="str">
        <f t="shared" si="145"/>
        <v>II</v>
      </c>
      <c r="AJ1366" s="662" t="str">
        <f t="shared" si="146"/>
        <v>T35V-020</v>
      </c>
      <c r="AK1366" s="662" t="str">
        <f t="shared" si="147"/>
        <v>LVN</v>
      </c>
      <c r="AL1366" s="662" t="str">
        <f t="shared" si="148"/>
        <v>FRD</v>
      </c>
      <c r="AM1366" s="662" t="str">
        <f t="shared" si="144"/>
        <v>Transit 350 Van-Sliding RH Door-RWD-2-83.2-~-3.5L EcoBoost-6-W2Y-101A-147.6-25-Unleaded-Unleaded</v>
      </c>
      <c r="AN1366" s="662" t="str">
        <f t="shared" si="149"/>
        <v>2019-LVN-FRD-T35V-020</v>
      </c>
    </row>
    <row r="1367" spans="1:40" s="572" customFormat="1" ht="15">
      <c r="A1367" s="570" t="s">
        <v>2719</v>
      </c>
      <c r="B1367" s="573" t="s">
        <v>2701</v>
      </c>
      <c r="C1367" s="573" t="s">
        <v>278</v>
      </c>
      <c r="D1367" s="578">
        <v>15</v>
      </c>
      <c r="E1367" s="573" t="s">
        <v>1516</v>
      </c>
      <c r="F1367" s="573" t="s">
        <v>1571</v>
      </c>
      <c r="G1367" s="573" t="s">
        <v>271</v>
      </c>
      <c r="H1367" s="573">
        <v>2019</v>
      </c>
      <c r="I1367" s="573" t="s">
        <v>2628</v>
      </c>
      <c r="J1367" s="573" t="s">
        <v>1950</v>
      </c>
      <c r="K1367" s="573" t="s">
        <v>236</v>
      </c>
      <c r="L1367" s="573">
        <v>2</v>
      </c>
      <c r="M1367" s="573">
        <v>0</v>
      </c>
      <c r="N1367" s="573" t="s">
        <v>157</v>
      </c>
      <c r="O1367" s="573">
        <v>1</v>
      </c>
      <c r="P1367" s="573">
        <v>83.2</v>
      </c>
      <c r="Q1367" s="571" t="s">
        <v>157</v>
      </c>
      <c r="R1367" s="573" t="s">
        <v>682</v>
      </c>
      <c r="S1367" s="573">
        <v>6</v>
      </c>
      <c r="T1367" s="573" t="s">
        <v>2699</v>
      </c>
      <c r="U1367" s="573" t="s">
        <v>1894</v>
      </c>
      <c r="V1367" s="573">
        <v>147.6</v>
      </c>
      <c r="W1367" s="573">
        <v>25</v>
      </c>
      <c r="X1367" s="571">
        <v>9500</v>
      </c>
      <c r="Y1367" s="573">
        <v>12</v>
      </c>
      <c r="Z1367" s="579" t="s">
        <v>178</v>
      </c>
      <c r="AA1367" s="579" t="s">
        <v>178</v>
      </c>
      <c r="AB1367" s="584">
        <v>38565</v>
      </c>
      <c r="AC1367" s="584" t="s">
        <v>164</v>
      </c>
      <c r="AD1367" s="584">
        <v>27550</v>
      </c>
      <c r="AE1367" s="586">
        <v>0.01</v>
      </c>
      <c r="AF1367" s="661" t="str">
        <f t="shared" si="150"/>
        <v>2019-LVN-FRD-T35V-021-15</v>
      </c>
      <c r="AG1367" s="661" t="str">
        <f>IF(AND($Y1367&gt;=32,(AI1367="I"),(Y1367&lt;&gt;"~"),(COUNTIF($AN$1:$AN1367,$AN1367)=1)),"TRUE","FALSE")</f>
        <v>FALSE</v>
      </c>
      <c r="AH1367" s="661" t="str">
        <f>IF(AND($Y1367&gt;=22, (AI1367&lt;&gt;"I"),(Y1367&lt;&gt;"~"),(COUNTIF($AN$1:$AN1367,$AN1367)=1)),"TRUE","FALSE")</f>
        <v>FALSE</v>
      </c>
      <c r="AI1367" s="661" t="str">
        <f t="shared" si="145"/>
        <v>II</v>
      </c>
      <c r="AJ1367" s="662" t="str">
        <f t="shared" si="146"/>
        <v>T35V-021</v>
      </c>
      <c r="AK1367" s="662" t="str">
        <f t="shared" si="147"/>
        <v>LVN</v>
      </c>
      <c r="AL1367" s="662" t="str">
        <f t="shared" si="148"/>
        <v>FRD</v>
      </c>
      <c r="AM1367" s="662" t="str">
        <f t="shared" si="144"/>
        <v>Transit 350 Van-Sliding RH Door-RWD-2-83.2-~-3.7L-6-W2Y-101A-147.6-25-Unleaded-Unleaded</v>
      </c>
      <c r="AN1367" s="662" t="str">
        <f t="shared" si="149"/>
        <v>2019-LVN-FRD-T35V-021</v>
      </c>
    </row>
    <row r="1368" spans="1:40" s="572" customFormat="1" ht="15">
      <c r="A1368" s="570" t="s">
        <v>2720</v>
      </c>
      <c r="B1368" s="569" t="s">
        <v>2703</v>
      </c>
      <c r="C1368" s="569" t="s">
        <v>278</v>
      </c>
      <c r="D1368" s="580">
        <v>15</v>
      </c>
      <c r="E1368" s="569" t="s">
        <v>1516</v>
      </c>
      <c r="F1368" s="569" t="s">
        <v>1571</v>
      </c>
      <c r="G1368" s="569" t="s">
        <v>271</v>
      </c>
      <c r="H1368" s="569">
        <v>2019</v>
      </c>
      <c r="I1368" s="569" t="s">
        <v>2628</v>
      </c>
      <c r="J1368" s="569" t="s">
        <v>1950</v>
      </c>
      <c r="K1368" s="569" t="s">
        <v>236</v>
      </c>
      <c r="L1368" s="569">
        <v>2</v>
      </c>
      <c r="M1368" s="569">
        <v>0</v>
      </c>
      <c r="N1368" s="569" t="s">
        <v>157</v>
      </c>
      <c r="O1368" s="569">
        <v>1</v>
      </c>
      <c r="P1368" s="569">
        <v>83.6</v>
      </c>
      <c r="Q1368" s="568" t="s">
        <v>157</v>
      </c>
      <c r="R1368" s="569" t="s">
        <v>1259</v>
      </c>
      <c r="S1368" s="569">
        <v>6</v>
      </c>
      <c r="T1368" s="569" t="s">
        <v>2704</v>
      </c>
      <c r="U1368" s="569" t="s">
        <v>1894</v>
      </c>
      <c r="V1368" s="569">
        <v>129.9</v>
      </c>
      <c r="W1368" s="569">
        <v>25</v>
      </c>
      <c r="X1368" s="568">
        <v>9500</v>
      </c>
      <c r="Y1368" s="573">
        <v>12</v>
      </c>
      <c r="Z1368" s="581" t="s">
        <v>178</v>
      </c>
      <c r="AA1368" s="581" t="s">
        <v>178</v>
      </c>
      <c r="AB1368" s="585">
        <v>39550</v>
      </c>
      <c r="AC1368" s="585" t="s">
        <v>164</v>
      </c>
      <c r="AD1368" s="585">
        <v>28400</v>
      </c>
      <c r="AE1368" s="587">
        <v>0.01</v>
      </c>
      <c r="AF1368" s="661" t="str">
        <f t="shared" si="150"/>
        <v>2019-LVN-FRD-T35V-022-15</v>
      </c>
      <c r="AG1368" s="661" t="str">
        <f>IF(AND($Y1368&gt;=32,(AI1368="I"),(Y1368&lt;&gt;"~"),(COUNTIF($AN$1:$AN1368,$AN1368)=1)),"TRUE","FALSE")</f>
        <v>FALSE</v>
      </c>
      <c r="AH1368" s="661" t="str">
        <f>IF(AND($Y1368&gt;=22, (AI1368&lt;&gt;"I"),(Y1368&lt;&gt;"~"),(COUNTIF($AN$1:$AN1368,$AN1368)=1)),"TRUE","FALSE")</f>
        <v>FALSE</v>
      </c>
      <c r="AI1368" s="661" t="str">
        <f t="shared" si="145"/>
        <v>II</v>
      </c>
      <c r="AJ1368" s="662" t="str">
        <f t="shared" si="146"/>
        <v>T35V-022</v>
      </c>
      <c r="AK1368" s="662" t="str">
        <f t="shared" si="147"/>
        <v>LVN</v>
      </c>
      <c r="AL1368" s="662" t="str">
        <f t="shared" si="148"/>
        <v>FRD</v>
      </c>
      <c r="AM1368" s="662" t="str">
        <f t="shared" si="144"/>
        <v>Transit 350 Van-Sliding RH Door-RWD-2-83.6-~-3.5L EcoBoost-6-W1Y-101A-129.9-25-Unleaded-Unleaded</v>
      </c>
      <c r="AN1368" s="662" t="str">
        <f t="shared" si="149"/>
        <v>2019-LVN-FRD-T35V-022</v>
      </c>
    </row>
    <row r="1369" spans="1:40" s="572" customFormat="1" ht="15">
      <c r="A1369" s="570" t="s">
        <v>2721</v>
      </c>
      <c r="B1369" s="573" t="s">
        <v>2706</v>
      </c>
      <c r="C1369" s="573" t="s">
        <v>278</v>
      </c>
      <c r="D1369" s="578">
        <v>15</v>
      </c>
      <c r="E1369" s="573" t="s">
        <v>1516</v>
      </c>
      <c r="F1369" s="573" t="s">
        <v>1571</v>
      </c>
      <c r="G1369" s="573" t="s">
        <v>271</v>
      </c>
      <c r="H1369" s="573">
        <v>2019</v>
      </c>
      <c r="I1369" s="573" t="s">
        <v>2628</v>
      </c>
      <c r="J1369" s="573" t="s">
        <v>1950</v>
      </c>
      <c r="K1369" s="573" t="s">
        <v>236</v>
      </c>
      <c r="L1369" s="573">
        <v>2</v>
      </c>
      <c r="M1369" s="573">
        <v>0</v>
      </c>
      <c r="N1369" s="573" t="s">
        <v>157</v>
      </c>
      <c r="O1369" s="573">
        <v>1</v>
      </c>
      <c r="P1369" s="573">
        <v>83.6</v>
      </c>
      <c r="Q1369" s="571" t="s">
        <v>157</v>
      </c>
      <c r="R1369" s="573" t="s">
        <v>682</v>
      </c>
      <c r="S1369" s="573">
        <v>6</v>
      </c>
      <c r="T1369" s="573" t="s">
        <v>2704</v>
      </c>
      <c r="U1369" s="573" t="s">
        <v>1894</v>
      </c>
      <c r="V1369" s="573">
        <v>129.9</v>
      </c>
      <c r="W1369" s="573">
        <v>25</v>
      </c>
      <c r="X1369" s="571">
        <v>9500</v>
      </c>
      <c r="Y1369" s="573">
        <v>12</v>
      </c>
      <c r="Z1369" s="579" t="s">
        <v>178</v>
      </c>
      <c r="AA1369" s="579" t="s">
        <v>178</v>
      </c>
      <c r="AB1369" s="584">
        <v>37685</v>
      </c>
      <c r="AC1369" s="584" t="s">
        <v>164</v>
      </c>
      <c r="AD1369" s="584">
        <v>26700</v>
      </c>
      <c r="AE1369" s="586">
        <v>0.01</v>
      </c>
      <c r="AF1369" s="661" t="str">
        <f t="shared" si="150"/>
        <v>2019-LVN-FRD-T35V-023-15</v>
      </c>
      <c r="AG1369" s="661" t="str">
        <f>IF(AND($Y1369&gt;=32,(AI1369="I"),(Y1369&lt;&gt;"~"),(COUNTIF($AN$1:$AN1369,$AN1369)=1)),"TRUE","FALSE")</f>
        <v>FALSE</v>
      </c>
      <c r="AH1369" s="661" t="str">
        <f>IF(AND($Y1369&gt;=22, (AI1369&lt;&gt;"I"),(Y1369&lt;&gt;"~"),(COUNTIF($AN$1:$AN1369,$AN1369)=1)),"TRUE","FALSE")</f>
        <v>FALSE</v>
      </c>
      <c r="AI1369" s="661" t="str">
        <f t="shared" si="145"/>
        <v>II</v>
      </c>
      <c r="AJ1369" s="662" t="str">
        <f t="shared" si="146"/>
        <v>T35V-023</v>
      </c>
      <c r="AK1369" s="662" t="str">
        <f t="shared" si="147"/>
        <v>LVN</v>
      </c>
      <c r="AL1369" s="662" t="str">
        <f t="shared" si="148"/>
        <v>FRD</v>
      </c>
      <c r="AM1369" s="662" t="str">
        <f t="shared" si="144"/>
        <v>Transit 350 Van-Sliding RH Door-RWD-2-83.6-~-3.7L-6-W1Y-101A-129.9-25-Unleaded-Unleaded</v>
      </c>
      <c r="AN1369" s="662" t="str">
        <f t="shared" si="149"/>
        <v>2019-LVN-FRD-T35V-023</v>
      </c>
    </row>
    <row r="1370" spans="1:40" s="572" customFormat="1" ht="15">
      <c r="A1370" s="570" t="s">
        <v>2722</v>
      </c>
      <c r="B1370" s="569" t="s">
        <v>2674</v>
      </c>
      <c r="C1370" s="569" t="s">
        <v>287</v>
      </c>
      <c r="D1370" s="580">
        <v>26</v>
      </c>
      <c r="E1370" s="569" t="s">
        <v>1516</v>
      </c>
      <c r="F1370" s="569" t="s">
        <v>1571</v>
      </c>
      <c r="G1370" s="569" t="s">
        <v>271</v>
      </c>
      <c r="H1370" s="569">
        <v>2019</v>
      </c>
      <c r="I1370" s="569" t="s">
        <v>2628</v>
      </c>
      <c r="J1370" s="569" t="s">
        <v>1950</v>
      </c>
      <c r="K1370" s="569" t="s">
        <v>236</v>
      </c>
      <c r="L1370" s="569">
        <v>2</v>
      </c>
      <c r="M1370" s="569">
        <v>0</v>
      </c>
      <c r="N1370" s="569" t="s">
        <v>157</v>
      </c>
      <c r="O1370" s="569">
        <v>1</v>
      </c>
      <c r="P1370" s="569">
        <v>100.7</v>
      </c>
      <c r="Q1370" s="568" t="s">
        <v>157</v>
      </c>
      <c r="R1370" s="569" t="s">
        <v>1259</v>
      </c>
      <c r="S1370" s="569">
        <v>6</v>
      </c>
      <c r="T1370" s="569" t="s">
        <v>2675</v>
      </c>
      <c r="U1370" s="569" t="s">
        <v>1894</v>
      </c>
      <c r="V1370" s="569">
        <v>147.6</v>
      </c>
      <c r="W1370" s="569">
        <v>25</v>
      </c>
      <c r="X1370" s="568">
        <v>9500</v>
      </c>
      <c r="Y1370" s="573">
        <v>12</v>
      </c>
      <c r="Z1370" s="581" t="s">
        <v>178</v>
      </c>
      <c r="AA1370" s="581" t="s">
        <v>178</v>
      </c>
      <c r="AB1370" s="585">
        <v>40775</v>
      </c>
      <c r="AC1370" s="585" t="s">
        <v>164</v>
      </c>
      <c r="AD1370" s="585">
        <v>32178</v>
      </c>
      <c r="AE1370" s="587">
        <v>0.05</v>
      </c>
      <c r="AF1370" s="661" t="str">
        <f t="shared" si="150"/>
        <v>2019-LVN-FRD-T35V-010-26</v>
      </c>
      <c r="AG1370" s="661" t="str">
        <f>IF(AND($Y1370&gt;=32,(AI1370="I"),(Y1370&lt;&gt;"~"),(COUNTIF($AN$1:$AN1370,$AN1370)=1)),"TRUE","FALSE")</f>
        <v>FALSE</v>
      </c>
      <c r="AH1370" s="661" t="str">
        <f>IF(AND($Y1370&gt;=22, (AI1370&lt;&gt;"I"),(Y1370&lt;&gt;"~"),(COUNTIF($AN$1:$AN1370,$AN1370)=1)),"TRUE","FALSE")</f>
        <v>FALSE</v>
      </c>
      <c r="AI1370" s="661" t="str">
        <f t="shared" si="145"/>
        <v>II</v>
      </c>
      <c r="AJ1370" s="662" t="str">
        <f t="shared" si="146"/>
        <v>T35V-010</v>
      </c>
      <c r="AK1370" s="662" t="str">
        <f t="shared" si="147"/>
        <v>LVN</v>
      </c>
      <c r="AL1370" s="662" t="str">
        <f t="shared" si="148"/>
        <v>FRD</v>
      </c>
      <c r="AM1370" s="662" t="str">
        <f t="shared" si="144"/>
        <v>Transit 350 Van-Sliding RH Door-RWD-2-100.7-~-3.5L EcoBoost-6-W2C-101A-147.6-25-Unleaded-Unleaded</v>
      </c>
      <c r="AN1370" s="662" t="str">
        <f t="shared" si="149"/>
        <v>2019-LVN-FRD-T35V-010</v>
      </c>
    </row>
    <row r="1371" spans="1:40" s="572" customFormat="1" ht="15">
      <c r="A1371" s="570" t="s">
        <v>2723</v>
      </c>
      <c r="B1371" s="573" t="s">
        <v>2677</v>
      </c>
      <c r="C1371" s="573" t="s">
        <v>287</v>
      </c>
      <c r="D1371" s="578">
        <v>26</v>
      </c>
      <c r="E1371" s="573" t="s">
        <v>1516</v>
      </c>
      <c r="F1371" s="573" t="s">
        <v>1571</v>
      </c>
      <c r="G1371" s="573" t="s">
        <v>271</v>
      </c>
      <c r="H1371" s="573">
        <v>2019</v>
      </c>
      <c r="I1371" s="573" t="s">
        <v>2628</v>
      </c>
      <c r="J1371" s="573" t="s">
        <v>1950</v>
      </c>
      <c r="K1371" s="573" t="s">
        <v>236</v>
      </c>
      <c r="L1371" s="573">
        <v>2</v>
      </c>
      <c r="M1371" s="573">
        <v>0</v>
      </c>
      <c r="N1371" s="573" t="s">
        <v>157</v>
      </c>
      <c r="O1371" s="573">
        <v>1</v>
      </c>
      <c r="P1371" s="573">
        <v>100.7</v>
      </c>
      <c r="Q1371" s="571" t="s">
        <v>157</v>
      </c>
      <c r="R1371" s="573" t="s">
        <v>682</v>
      </c>
      <c r="S1371" s="573">
        <v>6</v>
      </c>
      <c r="T1371" s="573" t="s">
        <v>2675</v>
      </c>
      <c r="U1371" s="573" t="s">
        <v>1894</v>
      </c>
      <c r="V1371" s="573">
        <v>147.6</v>
      </c>
      <c r="W1371" s="573">
        <v>25</v>
      </c>
      <c r="X1371" s="571">
        <v>9500</v>
      </c>
      <c r="Y1371" s="573">
        <v>12</v>
      </c>
      <c r="Z1371" s="579" t="s">
        <v>178</v>
      </c>
      <c r="AA1371" s="579" t="s">
        <v>178</v>
      </c>
      <c r="AB1371" s="584">
        <v>38910</v>
      </c>
      <c r="AC1371" s="584" t="s">
        <v>164</v>
      </c>
      <c r="AD1371" s="584">
        <v>30468</v>
      </c>
      <c r="AE1371" s="586">
        <v>0.05</v>
      </c>
      <c r="AF1371" s="661" t="str">
        <f t="shared" si="150"/>
        <v>2019-LVN-FRD-T35V-011-26</v>
      </c>
      <c r="AG1371" s="661" t="str">
        <f>IF(AND($Y1371&gt;=32,(AI1371="I"),(Y1371&lt;&gt;"~"),(COUNTIF($AN$1:$AN1371,$AN1371)=1)),"TRUE","FALSE")</f>
        <v>FALSE</v>
      </c>
      <c r="AH1371" s="661" t="str">
        <f>IF(AND($Y1371&gt;=22, (AI1371&lt;&gt;"I"),(Y1371&lt;&gt;"~"),(COUNTIF($AN$1:$AN1371,$AN1371)=1)),"TRUE","FALSE")</f>
        <v>FALSE</v>
      </c>
      <c r="AI1371" s="661" t="str">
        <f t="shared" si="145"/>
        <v>II</v>
      </c>
      <c r="AJ1371" s="662" t="str">
        <f t="shared" si="146"/>
        <v>T35V-011</v>
      </c>
      <c r="AK1371" s="662" t="str">
        <f t="shared" si="147"/>
        <v>LVN</v>
      </c>
      <c r="AL1371" s="662" t="str">
        <f t="shared" si="148"/>
        <v>FRD</v>
      </c>
      <c r="AM1371" s="662" t="str">
        <f t="shared" ref="AM1371:AM1434" si="151">CONCATENATE(I1371,"-",J1371,"-",K1371,"-",L1371,"-",P1371,"-",Q1371,"-",R1371,"-",S1371,"-",T1371,"-",U1371,"-",V1371,"-",W1371,"-",Z1371,"-",AA1371)</f>
        <v>Transit 350 Van-Sliding RH Door-RWD-2-100.7-~-3.7L-6-W2C-101A-147.6-25-Unleaded-Unleaded</v>
      </c>
      <c r="AN1371" s="662" t="str">
        <f t="shared" si="149"/>
        <v>2019-LVN-FRD-T35V-011</v>
      </c>
    </row>
    <row r="1372" spans="1:40" s="572" customFormat="1" ht="15">
      <c r="A1372" s="570" t="s">
        <v>2724</v>
      </c>
      <c r="B1372" s="569" t="s">
        <v>2679</v>
      </c>
      <c r="C1372" s="569" t="s">
        <v>287</v>
      </c>
      <c r="D1372" s="580">
        <v>26</v>
      </c>
      <c r="E1372" s="569" t="s">
        <v>1516</v>
      </c>
      <c r="F1372" s="569" t="s">
        <v>1571</v>
      </c>
      <c r="G1372" s="569" t="s">
        <v>271</v>
      </c>
      <c r="H1372" s="569">
        <v>2019</v>
      </c>
      <c r="I1372" s="569" t="s">
        <v>2628</v>
      </c>
      <c r="J1372" s="569" t="s">
        <v>1950</v>
      </c>
      <c r="K1372" s="569" t="s">
        <v>236</v>
      </c>
      <c r="L1372" s="569">
        <v>2</v>
      </c>
      <c r="M1372" s="569">
        <v>0</v>
      </c>
      <c r="N1372" s="569" t="s">
        <v>157</v>
      </c>
      <c r="O1372" s="569">
        <v>1</v>
      </c>
      <c r="P1372" s="569">
        <v>100.8</v>
      </c>
      <c r="Q1372" s="568" t="s">
        <v>157</v>
      </c>
      <c r="R1372" s="569" t="s">
        <v>1259</v>
      </c>
      <c r="S1372" s="569">
        <v>6</v>
      </c>
      <c r="T1372" s="569" t="s">
        <v>2680</v>
      </c>
      <c r="U1372" s="569" t="s">
        <v>1894</v>
      </c>
      <c r="V1372" s="569">
        <v>129.9</v>
      </c>
      <c r="W1372" s="569">
        <v>25</v>
      </c>
      <c r="X1372" s="568">
        <v>9500</v>
      </c>
      <c r="Y1372" s="573">
        <v>12</v>
      </c>
      <c r="Z1372" s="581" t="s">
        <v>178</v>
      </c>
      <c r="AA1372" s="581" t="s">
        <v>178</v>
      </c>
      <c r="AB1372" s="585">
        <v>39050</v>
      </c>
      <c r="AC1372" s="585" t="s">
        <v>164</v>
      </c>
      <c r="AD1372" s="585">
        <v>30551</v>
      </c>
      <c r="AE1372" s="587">
        <v>0.05</v>
      </c>
      <c r="AF1372" s="661" t="str">
        <f t="shared" si="150"/>
        <v>2019-LVN-FRD-T35V-013-26</v>
      </c>
      <c r="AG1372" s="661" t="str">
        <f>IF(AND($Y1372&gt;=32,(AI1372="I"),(Y1372&lt;&gt;"~"),(COUNTIF($AN$1:$AN1372,$AN1372)=1)),"TRUE","FALSE")</f>
        <v>FALSE</v>
      </c>
      <c r="AH1372" s="661" t="str">
        <f>IF(AND($Y1372&gt;=22, (AI1372&lt;&gt;"I"),(Y1372&lt;&gt;"~"),(COUNTIF($AN$1:$AN1372,$AN1372)=1)),"TRUE","FALSE")</f>
        <v>FALSE</v>
      </c>
      <c r="AI1372" s="661" t="str">
        <f t="shared" ref="AI1372:AI1435" si="152">IF(OR((LEFT($E1372,2)="01"),AND(LEFT($E1372,2)="06",ISNUMBER(SEARCH("pas",$F1372))),AND(LEFT($E1372,2)="05",ISNUMBER(SEARCH("pas",$F1372)))),"I",IF(AND((LEFT($E1372,2)&lt;&gt;"01"),$X1372&lt;=10000),"II",IF(AND((LEFT($E1372,2)&lt;&gt;"01"),$X1372&gt;10000),"N/A")))</f>
        <v>II</v>
      </c>
      <c r="AJ1372" s="662" t="str">
        <f t="shared" si="146"/>
        <v>T35V-013</v>
      </c>
      <c r="AK1372" s="662" t="str">
        <f t="shared" si="147"/>
        <v>LVN</v>
      </c>
      <c r="AL1372" s="662" t="str">
        <f t="shared" si="148"/>
        <v>FRD</v>
      </c>
      <c r="AM1372" s="662" t="str">
        <f t="shared" si="151"/>
        <v>Transit 350 Van-Sliding RH Door-RWD-2-100.8-~-3.5L EcoBoost-6-W9C-101A-129.9-25-Unleaded-Unleaded</v>
      </c>
      <c r="AN1372" s="662" t="str">
        <f t="shared" si="149"/>
        <v>2019-LVN-FRD-T35V-013</v>
      </c>
    </row>
    <row r="1373" spans="1:40" s="572" customFormat="1" ht="15">
      <c r="A1373" s="570" t="s">
        <v>2725</v>
      </c>
      <c r="B1373" s="573" t="s">
        <v>2682</v>
      </c>
      <c r="C1373" s="573" t="s">
        <v>287</v>
      </c>
      <c r="D1373" s="578">
        <v>26</v>
      </c>
      <c r="E1373" s="573" t="s">
        <v>1516</v>
      </c>
      <c r="F1373" s="573" t="s">
        <v>1571</v>
      </c>
      <c r="G1373" s="573" t="s">
        <v>271</v>
      </c>
      <c r="H1373" s="573">
        <v>2019</v>
      </c>
      <c r="I1373" s="573" t="s">
        <v>2628</v>
      </c>
      <c r="J1373" s="573" t="s">
        <v>1950</v>
      </c>
      <c r="K1373" s="573" t="s">
        <v>236</v>
      </c>
      <c r="L1373" s="573">
        <v>2</v>
      </c>
      <c r="M1373" s="573">
        <v>0</v>
      </c>
      <c r="N1373" s="573" t="s">
        <v>157</v>
      </c>
      <c r="O1373" s="573">
        <v>1</v>
      </c>
      <c r="P1373" s="573">
        <v>100.8</v>
      </c>
      <c r="Q1373" s="571" t="s">
        <v>157</v>
      </c>
      <c r="R1373" s="573" t="s">
        <v>682</v>
      </c>
      <c r="S1373" s="573">
        <v>6</v>
      </c>
      <c r="T1373" s="573" t="s">
        <v>2680</v>
      </c>
      <c r="U1373" s="573" t="s">
        <v>1894</v>
      </c>
      <c r="V1373" s="573">
        <v>129.9</v>
      </c>
      <c r="W1373" s="573">
        <v>25</v>
      </c>
      <c r="X1373" s="571">
        <v>9500</v>
      </c>
      <c r="Y1373" s="573">
        <v>12</v>
      </c>
      <c r="Z1373" s="579" t="s">
        <v>178</v>
      </c>
      <c r="AA1373" s="579" t="s">
        <v>178</v>
      </c>
      <c r="AB1373" s="584">
        <v>37185</v>
      </c>
      <c r="AC1373" s="584" t="s">
        <v>164</v>
      </c>
      <c r="AD1373" s="584">
        <v>28841</v>
      </c>
      <c r="AE1373" s="586">
        <v>0.05</v>
      </c>
      <c r="AF1373" s="661" t="str">
        <f t="shared" si="150"/>
        <v>2019-LVN-FRD-T35V-014-26</v>
      </c>
      <c r="AG1373" s="661" t="str">
        <f>IF(AND($Y1373&gt;=32,(AI1373="I"),(Y1373&lt;&gt;"~"),(COUNTIF($AN$1:$AN1373,$AN1373)=1)),"TRUE","FALSE")</f>
        <v>FALSE</v>
      </c>
      <c r="AH1373" s="661" t="str">
        <f>IF(AND($Y1373&gt;=22, (AI1373&lt;&gt;"I"),(Y1373&lt;&gt;"~"),(COUNTIF($AN$1:$AN1373,$AN1373)=1)),"TRUE","FALSE")</f>
        <v>FALSE</v>
      </c>
      <c r="AI1373" s="661" t="str">
        <f t="shared" si="152"/>
        <v>II</v>
      </c>
      <c r="AJ1373" s="662" t="str">
        <f t="shared" si="146"/>
        <v>T35V-014</v>
      </c>
      <c r="AK1373" s="662" t="str">
        <f t="shared" si="147"/>
        <v>LVN</v>
      </c>
      <c r="AL1373" s="662" t="str">
        <f t="shared" si="148"/>
        <v>FRD</v>
      </c>
      <c r="AM1373" s="662" t="str">
        <f t="shared" si="151"/>
        <v>Transit 350 Van-Sliding RH Door-RWD-2-100.8-~-3.7L-6-W9C-101A-129.9-25-Unleaded-Unleaded</v>
      </c>
      <c r="AN1373" s="662" t="str">
        <f t="shared" si="149"/>
        <v>2019-LVN-FRD-T35V-014</v>
      </c>
    </row>
    <row r="1374" spans="1:40" s="572" customFormat="1" ht="15">
      <c r="A1374" s="570" t="s">
        <v>2726</v>
      </c>
      <c r="B1374" s="569" t="s">
        <v>2684</v>
      </c>
      <c r="C1374" s="569" t="s">
        <v>287</v>
      </c>
      <c r="D1374" s="580">
        <v>26</v>
      </c>
      <c r="E1374" s="569" t="s">
        <v>1516</v>
      </c>
      <c r="F1374" s="569" t="s">
        <v>1571</v>
      </c>
      <c r="G1374" s="569" t="s">
        <v>271</v>
      </c>
      <c r="H1374" s="569">
        <v>2019</v>
      </c>
      <c r="I1374" s="569" t="s">
        <v>2628</v>
      </c>
      <c r="J1374" s="569" t="s">
        <v>1950</v>
      </c>
      <c r="K1374" s="569" t="s">
        <v>236</v>
      </c>
      <c r="L1374" s="569">
        <v>2</v>
      </c>
      <c r="M1374" s="569">
        <v>0</v>
      </c>
      <c r="N1374" s="569" t="s">
        <v>157</v>
      </c>
      <c r="O1374" s="569">
        <v>1</v>
      </c>
      <c r="P1374" s="569">
        <v>109.4</v>
      </c>
      <c r="Q1374" s="568" t="s">
        <v>157</v>
      </c>
      <c r="R1374" s="569" t="s">
        <v>1917</v>
      </c>
      <c r="S1374" s="569">
        <v>5</v>
      </c>
      <c r="T1374" s="569" t="s">
        <v>2685</v>
      </c>
      <c r="U1374" s="569" t="s">
        <v>1894</v>
      </c>
      <c r="V1374" s="569">
        <v>147.6</v>
      </c>
      <c r="W1374" s="569">
        <v>25</v>
      </c>
      <c r="X1374" s="568">
        <v>9500</v>
      </c>
      <c r="Y1374" s="573">
        <v>12</v>
      </c>
      <c r="Z1374" s="581" t="s">
        <v>728</v>
      </c>
      <c r="AA1374" s="581" t="s">
        <v>1523</v>
      </c>
      <c r="AB1374" s="585">
        <v>46355</v>
      </c>
      <c r="AC1374" s="585" t="s">
        <v>164</v>
      </c>
      <c r="AD1374" s="585">
        <v>37390</v>
      </c>
      <c r="AE1374" s="587">
        <v>0.05</v>
      </c>
      <c r="AF1374" s="661" t="str">
        <f t="shared" si="150"/>
        <v>2019-LVN-FRD-T35V-015-26</v>
      </c>
      <c r="AG1374" s="661" t="str">
        <f>IF(AND($Y1374&gt;=32,(AI1374="I"),(Y1374&lt;&gt;"~"),(COUNTIF($AN$1:$AN1374,$AN1374)=1)),"TRUE","FALSE")</f>
        <v>FALSE</v>
      </c>
      <c r="AH1374" s="661" t="str">
        <f>IF(AND($Y1374&gt;=22, (AI1374&lt;&gt;"I"),(Y1374&lt;&gt;"~"),(COUNTIF($AN$1:$AN1374,$AN1374)=1)),"TRUE","FALSE")</f>
        <v>FALSE</v>
      </c>
      <c r="AI1374" s="661" t="str">
        <f t="shared" si="152"/>
        <v>II</v>
      </c>
      <c r="AJ1374" s="662" t="str">
        <f t="shared" si="146"/>
        <v>T35V-015</v>
      </c>
      <c r="AK1374" s="662" t="str">
        <f t="shared" si="147"/>
        <v>LVN</v>
      </c>
      <c r="AL1374" s="662" t="str">
        <f t="shared" si="148"/>
        <v>FRD</v>
      </c>
      <c r="AM1374" s="662" t="str">
        <f t="shared" si="151"/>
        <v>Transit 350 Van-Sliding RH Door-RWD-2-109.4-~-3.2L-5-W3X-101A-147.6-25-Diesel-BioDiesel</v>
      </c>
      <c r="AN1374" s="662" t="str">
        <f t="shared" si="149"/>
        <v>2019-LVN-FRD-T35V-015</v>
      </c>
    </row>
    <row r="1375" spans="1:40" s="572" customFormat="1" ht="15">
      <c r="A1375" s="570" t="s">
        <v>2727</v>
      </c>
      <c r="B1375" s="573" t="s">
        <v>2687</v>
      </c>
      <c r="C1375" s="573" t="s">
        <v>287</v>
      </c>
      <c r="D1375" s="578">
        <v>26</v>
      </c>
      <c r="E1375" s="573" t="s">
        <v>1516</v>
      </c>
      <c r="F1375" s="573" t="s">
        <v>1571</v>
      </c>
      <c r="G1375" s="573" t="s">
        <v>271</v>
      </c>
      <c r="H1375" s="573">
        <v>2019</v>
      </c>
      <c r="I1375" s="573" t="s">
        <v>2628</v>
      </c>
      <c r="J1375" s="573" t="s">
        <v>1950</v>
      </c>
      <c r="K1375" s="573" t="s">
        <v>236</v>
      </c>
      <c r="L1375" s="573">
        <v>2</v>
      </c>
      <c r="M1375" s="573">
        <v>0</v>
      </c>
      <c r="N1375" s="573" t="s">
        <v>157</v>
      </c>
      <c r="O1375" s="573">
        <v>1</v>
      </c>
      <c r="P1375" s="573">
        <v>109.4</v>
      </c>
      <c r="Q1375" s="571" t="s">
        <v>157</v>
      </c>
      <c r="R1375" s="573" t="s">
        <v>1259</v>
      </c>
      <c r="S1375" s="573">
        <v>6</v>
      </c>
      <c r="T1375" s="573" t="s">
        <v>2685</v>
      </c>
      <c r="U1375" s="573" t="s">
        <v>1894</v>
      </c>
      <c r="V1375" s="573">
        <v>147.6</v>
      </c>
      <c r="W1375" s="573">
        <v>25</v>
      </c>
      <c r="X1375" s="571">
        <v>9500</v>
      </c>
      <c r="Y1375" s="573">
        <v>12</v>
      </c>
      <c r="Z1375" s="579" t="s">
        <v>178</v>
      </c>
      <c r="AA1375" s="579" t="s">
        <v>178</v>
      </c>
      <c r="AB1375" s="584">
        <v>44225</v>
      </c>
      <c r="AC1375" s="584" t="s">
        <v>164</v>
      </c>
      <c r="AD1375" s="584">
        <v>35437</v>
      </c>
      <c r="AE1375" s="586">
        <v>0.05</v>
      </c>
      <c r="AF1375" s="661" t="str">
        <f t="shared" si="150"/>
        <v>2019-LVN-FRD-T35V-016-26</v>
      </c>
      <c r="AG1375" s="661" t="str">
        <f>IF(AND($Y1375&gt;=32,(AI1375="I"),(Y1375&lt;&gt;"~"),(COUNTIF($AN$1:$AN1375,$AN1375)=1)),"TRUE","FALSE")</f>
        <v>FALSE</v>
      </c>
      <c r="AH1375" s="661" t="str">
        <f>IF(AND($Y1375&gt;=22, (AI1375&lt;&gt;"I"),(Y1375&lt;&gt;"~"),(COUNTIF($AN$1:$AN1375,$AN1375)=1)),"TRUE","FALSE")</f>
        <v>FALSE</v>
      </c>
      <c r="AI1375" s="661" t="str">
        <f t="shared" si="152"/>
        <v>II</v>
      </c>
      <c r="AJ1375" s="662" t="str">
        <f t="shared" si="146"/>
        <v>T35V-016</v>
      </c>
      <c r="AK1375" s="662" t="str">
        <f t="shared" si="147"/>
        <v>LVN</v>
      </c>
      <c r="AL1375" s="662" t="str">
        <f t="shared" si="148"/>
        <v>FRD</v>
      </c>
      <c r="AM1375" s="662" t="str">
        <f t="shared" si="151"/>
        <v>Transit 350 Van-Sliding RH Door-RWD-2-109.4-~-3.5L EcoBoost-6-W3X-101A-147.6-25-Unleaded-Unleaded</v>
      </c>
      <c r="AN1375" s="662" t="str">
        <f t="shared" si="149"/>
        <v>2019-LVN-FRD-T35V-016</v>
      </c>
    </row>
    <row r="1376" spans="1:40" s="572" customFormat="1" ht="15">
      <c r="A1376" s="570" t="s">
        <v>2728</v>
      </c>
      <c r="B1376" s="569" t="s">
        <v>2689</v>
      </c>
      <c r="C1376" s="569" t="s">
        <v>287</v>
      </c>
      <c r="D1376" s="580">
        <v>26</v>
      </c>
      <c r="E1376" s="569" t="s">
        <v>1516</v>
      </c>
      <c r="F1376" s="569" t="s">
        <v>1571</v>
      </c>
      <c r="G1376" s="569" t="s">
        <v>271</v>
      </c>
      <c r="H1376" s="569">
        <v>2019</v>
      </c>
      <c r="I1376" s="569" t="s">
        <v>2628</v>
      </c>
      <c r="J1376" s="569" t="s">
        <v>1950</v>
      </c>
      <c r="K1376" s="569" t="s">
        <v>236</v>
      </c>
      <c r="L1376" s="569">
        <v>2</v>
      </c>
      <c r="M1376" s="569">
        <v>0</v>
      </c>
      <c r="N1376" s="569" t="s">
        <v>157</v>
      </c>
      <c r="O1376" s="569">
        <v>1</v>
      </c>
      <c r="P1376" s="569">
        <v>109.4</v>
      </c>
      <c r="Q1376" s="568" t="s">
        <v>157</v>
      </c>
      <c r="R1376" s="569" t="s">
        <v>682</v>
      </c>
      <c r="S1376" s="569">
        <v>6</v>
      </c>
      <c r="T1376" s="569" t="s">
        <v>2685</v>
      </c>
      <c r="U1376" s="569" t="s">
        <v>1894</v>
      </c>
      <c r="V1376" s="569">
        <v>147.6</v>
      </c>
      <c r="W1376" s="569">
        <v>25</v>
      </c>
      <c r="X1376" s="568">
        <v>9500</v>
      </c>
      <c r="Y1376" s="573">
        <v>12</v>
      </c>
      <c r="Z1376" s="581" t="s">
        <v>178</v>
      </c>
      <c r="AA1376" s="581" t="s">
        <v>178</v>
      </c>
      <c r="AB1376" s="585">
        <v>42360</v>
      </c>
      <c r="AC1376" s="585" t="s">
        <v>164</v>
      </c>
      <c r="AD1376" s="585">
        <v>33727</v>
      </c>
      <c r="AE1376" s="587">
        <v>0.05</v>
      </c>
      <c r="AF1376" s="661" t="str">
        <f t="shared" si="150"/>
        <v>2019-LVN-FRD-T35V-030-26</v>
      </c>
      <c r="AG1376" s="661" t="str">
        <f>IF(AND($Y1376&gt;=32,(AI1376="I"),(Y1376&lt;&gt;"~"),(COUNTIF($AN$1:$AN1376,$AN1376)=1)),"TRUE","FALSE")</f>
        <v>FALSE</v>
      </c>
      <c r="AH1376" s="661" t="str">
        <f>IF(AND($Y1376&gt;=22, (AI1376&lt;&gt;"I"),(Y1376&lt;&gt;"~"),(COUNTIF($AN$1:$AN1376,$AN1376)=1)),"TRUE","FALSE")</f>
        <v>FALSE</v>
      </c>
      <c r="AI1376" s="661" t="str">
        <f t="shared" si="152"/>
        <v>II</v>
      </c>
      <c r="AJ1376" s="662" t="str">
        <f t="shared" si="146"/>
        <v>T35V-030</v>
      </c>
      <c r="AK1376" s="662" t="str">
        <f t="shared" si="147"/>
        <v>LVN</v>
      </c>
      <c r="AL1376" s="662" t="str">
        <f t="shared" si="148"/>
        <v>FRD</v>
      </c>
      <c r="AM1376" s="662" t="str">
        <f t="shared" si="151"/>
        <v>Transit 350 Van-Sliding RH Door-RWD-2-109.4-~-3.7L-6-W3X-101A-147.6-25-Unleaded-Unleaded</v>
      </c>
      <c r="AN1376" s="662" t="str">
        <f t="shared" si="149"/>
        <v>2019-LVN-FRD-T35V-030</v>
      </c>
    </row>
    <row r="1377" spans="1:40" s="572" customFormat="1" ht="15">
      <c r="A1377" s="570" t="s">
        <v>2729</v>
      </c>
      <c r="B1377" s="573" t="s">
        <v>2694</v>
      </c>
      <c r="C1377" s="573" t="s">
        <v>287</v>
      </c>
      <c r="D1377" s="578">
        <v>26</v>
      </c>
      <c r="E1377" s="573" t="s">
        <v>1516</v>
      </c>
      <c r="F1377" s="573" t="s">
        <v>1571</v>
      </c>
      <c r="G1377" s="573" t="s">
        <v>271</v>
      </c>
      <c r="H1377" s="573">
        <v>2019</v>
      </c>
      <c r="I1377" s="573" t="s">
        <v>2628</v>
      </c>
      <c r="J1377" s="573" t="s">
        <v>1950</v>
      </c>
      <c r="K1377" s="573" t="s">
        <v>236</v>
      </c>
      <c r="L1377" s="573">
        <v>2</v>
      </c>
      <c r="M1377" s="573">
        <v>0</v>
      </c>
      <c r="N1377" s="573" t="s">
        <v>157</v>
      </c>
      <c r="O1377" s="573">
        <v>1</v>
      </c>
      <c r="P1377" s="573">
        <v>110.1</v>
      </c>
      <c r="Q1377" s="571" t="s">
        <v>157</v>
      </c>
      <c r="R1377" s="573" t="s">
        <v>1259</v>
      </c>
      <c r="S1377" s="573">
        <v>6</v>
      </c>
      <c r="T1377" s="573" t="s">
        <v>2692</v>
      </c>
      <c r="U1377" s="573" t="s">
        <v>1894</v>
      </c>
      <c r="V1377" s="573">
        <v>147.6</v>
      </c>
      <c r="W1377" s="573">
        <v>25</v>
      </c>
      <c r="X1377" s="571">
        <v>9500</v>
      </c>
      <c r="Y1377" s="573">
        <v>12</v>
      </c>
      <c r="Z1377" s="579" t="s">
        <v>178</v>
      </c>
      <c r="AA1377" s="579" t="s">
        <v>178</v>
      </c>
      <c r="AB1377" s="584">
        <v>42925</v>
      </c>
      <c r="AC1377" s="584" t="s">
        <v>164</v>
      </c>
      <c r="AD1377" s="584">
        <v>34210</v>
      </c>
      <c r="AE1377" s="586">
        <v>0.05</v>
      </c>
      <c r="AF1377" s="661" t="str">
        <f t="shared" si="150"/>
        <v>2019-LVN-FRD-T35V-017-26</v>
      </c>
      <c r="AG1377" s="661" t="str">
        <f>IF(AND($Y1377&gt;=32,(AI1377="I"),(Y1377&lt;&gt;"~"),(COUNTIF($AN$1:$AN1377,$AN1377)=1)),"TRUE","FALSE")</f>
        <v>FALSE</v>
      </c>
      <c r="AH1377" s="661" t="str">
        <f>IF(AND($Y1377&gt;=22, (AI1377&lt;&gt;"I"),(Y1377&lt;&gt;"~"),(COUNTIF($AN$1:$AN1377,$AN1377)=1)),"TRUE","FALSE")</f>
        <v>FALSE</v>
      </c>
      <c r="AI1377" s="661" t="str">
        <f t="shared" si="152"/>
        <v>II</v>
      </c>
      <c r="AJ1377" s="662" t="str">
        <f t="shared" si="146"/>
        <v>T35V-017</v>
      </c>
      <c r="AK1377" s="662" t="str">
        <f t="shared" si="147"/>
        <v>LVN</v>
      </c>
      <c r="AL1377" s="662" t="str">
        <f t="shared" si="148"/>
        <v>FRD</v>
      </c>
      <c r="AM1377" s="662" t="str">
        <f t="shared" si="151"/>
        <v>Transit 350 Van-Sliding RH Door-RWD-2-110.1-~-3.5L EcoBoost-6-W2X-101A-147.6-25-Unleaded-Unleaded</v>
      </c>
      <c r="AN1377" s="662" t="str">
        <f t="shared" si="149"/>
        <v>2019-LVN-FRD-T35V-017</v>
      </c>
    </row>
    <row r="1378" spans="1:40" s="572" customFormat="1" ht="15">
      <c r="A1378" s="570" t="s">
        <v>2730</v>
      </c>
      <c r="B1378" s="569" t="s">
        <v>2696</v>
      </c>
      <c r="C1378" s="569" t="s">
        <v>287</v>
      </c>
      <c r="D1378" s="580">
        <v>26</v>
      </c>
      <c r="E1378" s="569" t="s">
        <v>1516</v>
      </c>
      <c r="F1378" s="569" t="s">
        <v>1571</v>
      </c>
      <c r="G1378" s="569" t="s">
        <v>271</v>
      </c>
      <c r="H1378" s="569">
        <v>2019</v>
      </c>
      <c r="I1378" s="569" t="s">
        <v>2628</v>
      </c>
      <c r="J1378" s="569" t="s">
        <v>1950</v>
      </c>
      <c r="K1378" s="569" t="s">
        <v>236</v>
      </c>
      <c r="L1378" s="569">
        <v>2</v>
      </c>
      <c r="M1378" s="569">
        <v>0</v>
      </c>
      <c r="N1378" s="569" t="s">
        <v>157</v>
      </c>
      <c r="O1378" s="569">
        <v>1</v>
      </c>
      <c r="P1378" s="569">
        <v>110.1</v>
      </c>
      <c r="Q1378" s="568" t="s">
        <v>157</v>
      </c>
      <c r="R1378" s="569" t="s">
        <v>682</v>
      </c>
      <c r="S1378" s="569">
        <v>6</v>
      </c>
      <c r="T1378" s="569" t="s">
        <v>2692</v>
      </c>
      <c r="U1378" s="569" t="s">
        <v>1894</v>
      </c>
      <c r="V1378" s="569">
        <v>147.6</v>
      </c>
      <c r="W1378" s="569">
        <v>25</v>
      </c>
      <c r="X1378" s="568">
        <v>9500</v>
      </c>
      <c r="Y1378" s="573">
        <v>12</v>
      </c>
      <c r="Z1378" s="581" t="s">
        <v>178</v>
      </c>
      <c r="AA1378" s="581" t="s">
        <v>178</v>
      </c>
      <c r="AB1378" s="585">
        <v>41060</v>
      </c>
      <c r="AC1378" s="585" t="s">
        <v>164</v>
      </c>
      <c r="AD1378" s="585">
        <v>32500</v>
      </c>
      <c r="AE1378" s="587">
        <v>0.05</v>
      </c>
      <c r="AF1378" s="661" t="str">
        <f t="shared" si="150"/>
        <v>2019-LVN-FRD-T35V-018-26</v>
      </c>
      <c r="AG1378" s="661" t="str">
        <f>IF(AND($Y1378&gt;=32,(AI1378="I"),(Y1378&lt;&gt;"~"),(COUNTIF($AN$1:$AN1378,$AN1378)=1)),"TRUE","FALSE")</f>
        <v>FALSE</v>
      </c>
      <c r="AH1378" s="661" t="str">
        <f>IF(AND($Y1378&gt;=22, (AI1378&lt;&gt;"I"),(Y1378&lt;&gt;"~"),(COUNTIF($AN$1:$AN1378,$AN1378)=1)),"TRUE","FALSE")</f>
        <v>FALSE</v>
      </c>
      <c r="AI1378" s="661" t="str">
        <f t="shared" si="152"/>
        <v>II</v>
      </c>
      <c r="AJ1378" s="662" t="str">
        <f t="shared" si="146"/>
        <v>T35V-018</v>
      </c>
      <c r="AK1378" s="662" t="str">
        <f t="shared" si="147"/>
        <v>LVN</v>
      </c>
      <c r="AL1378" s="662" t="str">
        <f t="shared" si="148"/>
        <v>FRD</v>
      </c>
      <c r="AM1378" s="662" t="str">
        <f t="shared" si="151"/>
        <v>Transit 350 Van-Sliding RH Door-RWD-2-110.1-~-3.7L-6-W2X-101A-147.6-25-Unleaded-Unleaded</v>
      </c>
      <c r="AN1378" s="662" t="str">
        <f t="shared" si="149"/>
        <v>2019-LVN-FRD-T35V-018</v>
      </c>
    </row>
    <row r="1379" spans="1:40" s="572" customFormat="1" ht="15">
      <c r="A1379" s="570" t="s">
        <v>2731</v>
      </c>
      <c r="B1379" s="573" t="s">
        <v>2701</v>
      </c>
      <c r="C1379" s="573" t="s">
        <v>287</v>
      </c>
      <c r="D1379" s="578">
        <v>26</v>
      </c>
      <c r="E1379" s="573" t="s">
        <v>1516</v>
      </c>
      <c r="F1379" s="573" t="s">
        <v>1571</v>
      </c>
      <c r="G1379" s="573" t="s">
        <v>271</v>
      </c>
      <c r="H1379" s="573">
        <v>2019</v>
      </c>
      <c r="I1379" s="573" t="s">
        <v>2628</v>
      </c>
      <c r="J1379" s="573" t="s">
        <v>1950</v>
      </c>
      <c r="K1379" s="573" t="s">
        <v>236</v>
      </c>
      <c r="L1379" s="573">
        <v>2</v>
      </c>
      <c r="M1379" s="573">
        <v>0</v>
      </c>
      <c r="N1379" s="573" t="s">
        <v>157</v>
      </c>
      <c r="O1379" s="573">
        <v>1</v>
      </c>
      <c r="P1379" s="573">
        <v>83.2</v>
      </c>
      <c r="Q1379" s="571" t="s">
        <v>157</v>
      </c>
      <c r="R1379" s="573" t="s">
        <v>682</v>
      </c>
      <c r="S1379" s="573">
        <v>6</v>
      </c>
      <c r="T1379" s="573" t="s">
        <v>2699</v>
      </c>
      <c r="U1379" s="573" t="s">
        <v>1894</v>
      </c>
      <c r="V1379" s="573">
        <v>147.6</v>
      </c>
      <c r="W1379" s="573">
        <v>25</v>
      </c>
      <c r="X1379" s="571">
        <v>9500</v>
      </c>
      <c r="Y1379" s="573">
        <v>12</v>
      </c>
      <c r="Z1379" s="579" t="s">
        <v>178</v>
      </c>
      <c r="AA1379" s="579" t="s">
        <v>178</v>
      </c>
      <c r="AB1379" s="584">
        <v>38565</v>
      </c>
      <c r="AC1379" s="584" t="s">
        <v>164</v>
      </c>
      <c r="AD1379" s="584">
        <v>27991</v>
      </c>
      <c r="AE1379" s="586">
        <v>0.05</v>
      </c>
      <c r="AF1379" s="661" t="str">
        <f t="shared" si="150"/>
        <v>2019-LVN-FRD-T35V-021-26</v>
      </c>
      <c r="AG1379" s="661" t="str">
        <f>IF(AND($Y1379&gt;=32,(AI1379="I"),(Y1379&lt;&gt;"~"),(COUNTIF($AN$1:$AN1379,$AN1379)=1)),"TRUE","FALSE")</f>
        <v>FALSE</v>
      </c>
      <c r="AH1379" s="661" t="str">
        <f>IF(AND($Y1379&gt;=22, (AI1379&lt;&gt;"I"),(Y1379&lt;&gt;"~"),(COUNTIF($AN$1:$AN1379,$AN1379)=1)),"TRUE","FALSE")</f>
        <v>FALSE</v>
      </c>
      <c r="AI1379" s="661" t="str">
        <f t="shared" si="152"/>
        <v>II</v>
      </c>
      <c r="AJ1379" s="662" t="str">
        <f t="shared" si="146"/>
        <v>T35V-021</v>
      </c>
      <c r="AK1379" s="662" t="str">
        <f t="shared" si="147"/>
        <v>LVN</v>
      </c>
      <c r="AL1379" s="662" t="str">
        <f t="shared" si="148"/>
        <v>FRD</v>
      </c>
      <c r="AM1379" s="662" t="str">
        <f t="shared" si="151"/>
        <v>Transit 350 Van-Sliding RH Door-RWD-2-83.2-~-3.7L-6-W2Y-101A-147.6-25-Unleaded-Unleaded</v>
      </c>
      <c r="AN1379" s="662" t="str">
        <f t="shared" si="149"/>
        <v>2019-LVN-FRD-T35V-021</v>
      </c>
    </row>
    <row r="1380" spans="1:40" s="572" customFormat="1" ht="15">
      <c r="A1380" s="570" t="s">
        <v>2732</v>
      </c>
      <c r="B1380" s="569" t="s">
        <v>2706</v>
      </c>
      <c r="C1380" s="569" t="s">
        <v>287</v>
      </c>
      <c r="D1380" s="580">
        <v>26</v>
      </c>
      <c r="E1380" s="569" t="s">
        <v>1516</v>
      </c>
      <c r="F1380" s="569" t="s">
        <v>1571</v>
      </c>
      <c r="G1380" s="569" t="s">
        <v>271</v>
      </c>
      <c r="H1380" s="569">
        <v>2019</v>
      </c>
      <c r="I1380" s="569" t="s">
        <v>2628</v>
      </c>
      <c r="J1380" s="569" t="s">
        <v>1950</v>
      </c>
      <c r="K1380" s="569" t="s">
        <v>236</v>
      </c>
      <c r="L1380" s="569">
        <v>2</v>
      </c>
      <c r="M1380" s="569">
        <v>0</v>
      </c>
      <c r="N1380" s="569" t="s">
        <v>157</v>
      </c>
      <c r="O1380" s="569">
        <v>1</v>
      </c>
      <c r="P1380" s="569">
        <v>83.6</v>
      </c>
      <c r="Q1380" s="568" t="s">
        <v>157</v>
      </c>
      <c r="R1380" s="569" t="s">
        <v>682</v>
      </c>
      <c r="S1380" s="569">
        <v>6</v>
      </c>
      <c r="T1380" s="569" t="s">
        <v>2704</v>
      </c>
      <c r="U1380" s="569" t="s">
        <v>1894</v>
      </c>
      <c r="V1380" s="569">
        <v>129.9</v>
      </c>
      <c r="W1380" s="569">
        <v>25</v>
      </c>
      <c r="X1380" s="568">
        <v>9500</v>
      </c>
      <c r="Y1380" s="573">
        <v>12</v>
      </c>
      <c r="Z1380" s="581" t="s">
        <v>178</v>
      </c>
      <c r="AA1380" s="581" t="s">
        <v>178</v>
      </c>
      <c r="AB1380" s="585">
        <v>37685</v>
      </c>
      <c r="AC1380" s="585" t="s">
        <v>164</v>
      </c>
      <c r="AD1380" s="585">
        <v>27160</v>
      </c>
      <c r="AE1380" s="587">
        <v>0.05</v>
      </c>
      <c r="AF1380" s="661" t="str">
        <f t="shared" si="150"/>
        <v>2019-LVN-FRD-T35V-023-26</v>
      </c>
      <c r="AG1380" s="661" t="str">
        <f>IF(AND($Y1380&gt;=32,(AI1380="I"),(Y1380&lt;&gt;"~"),(COUNTIF($AN$1:$AN1380,$AN1380)=1)),"TRUE","FALSE")</f>
        <v>FALSE</v>
      </c>
      <c r="AH1380" s="661" t="str">
        <f>IF(AND($Y1380&gt;=22, (AI1380&lt;&gt;"I"),(Y1380&lt;&gt;"~"),(COUNTIF($AN$1:$AN1380,$AN1380)=1)),"TRUE","FALSE")</f>
        <v>FALSE</v>
      </c>
      <c r="AI1380" s="661" t="str">
        <f t="shared" si="152"/>
        <v>II</v>
      </c>
      <c r="AJ1380" s="662" t="str">
        <f t="shared" si="146"/>
        <v>T35V-023</v>
      </c>
      <c r="AK1380" s="662" t="str">
        <f t="shared" si="147"/>
        <v>LVN</v>
      </c>
      <c r="AL1380" s="662" t="str">
        <f t="shared" si="148"/>
        <v>FRD</v>
      </c>
      <c r="AM1380" s="662" t="str">
        <f t="shared" si="151"/>
        <v>Transit 350 Van-Sliding RH Door-RWD-2-83.6-~-3.7L-6-W1Y-101A-129.9-25-Unleaded-Unleaded</v>
      </c>
      <c r="AN1380" s="662" t="str">
        <f t="shared" si="149"/>
        <v>2019-LVN-FRD-T35V-023</v>
      </c>
    </row>
    <row r="1381" spans="1:40" s="572" customFormat="1" ht="15">
      <c r="A1381" s="570" t="s">
        <v>2733</v>
      </c>
      <c r="B1381" s="573" t="s">
        <v>2674</v>
      </c>
      <c r="C1381" s="573" t="s">
        <v>280</v>
      </c>
      <c r="D1381" s="578">
        <v>27</v>
      </c>
      <c r="E1381" s="573" t="s">
        <v>1516</v>
      </c>
      <c r="F1381" s="573" t="s">
        <v>1571</v>
      </c>
      <c r="G1381" s="573" t="s">
        <v>271</v>
      </c>
      <c r="H1381" s="573">
        <v>2019</v>
      </c>
      <c r="I1381" s="573" t="s">
        <v>2628</v>
      </c>
      <c r="J1381" s="573" t="s">
        <v>1950</v>
      </c>
      <c r="K1381" s="573" t="s">
        <v>236</v>
      </c>
      <c r="L1381" s="573">
        <v>2</v>
      </c>
      <c r="M1381" s="573">
        <v>0</v>
      </c>
      <c r="N1381" s="573" t="s">
        <v>157</v>
      </c>
      <c r="O1381" s="573">
        <v>1</v>
      </c>
      <c r="P1381" s="573">
        <v>100.7</v>
      </c>
      <c r="Q1381" s="571" t="s">
        <v>157</v>
      </c>
      <c r="R1381" s="573" t="s">
        <v>1259</v>
      </c>
      <c r="S1381" s="573">
        <v>6</v>
      </c>
      <c r="T1381" s="573" t="s">
        <v>2675</v>
      </c>
      <c r="U1381" s="573" t="s">
        <v>1894</v>
      </c>
      <c r="V1381" s="573">
        <v>147.6</v>
      </c>
      <c r="W1381" s="573">
        <v>25</v>
      </c>
      <c r="X1381" s="571">
        <v>9500</v>
      </c>
      <c r="Y1381" s="573">
        <v>12</v>
      </c>
      <c r="Z1381" s="579" t="s">
        <v>178</v>
      </c>
      <c r="AA1381" s="579" t="s">
        <v>178</v>
      </c>
      <c r="AB1381" s="584">
        <v>40775</v>
      </c>
      <c r="AC1381" s="584" t="s">
        <v>164</v>
      </c>
      <c r="AD1381" s="584">
        <v>31064.25</v>
      </c>
      <c r="AE1381" s="586">
        <v>0.03</v>
      </c>
      <c r="AF1381" s="661" t="str">
        <f t="shared" si="150"/>
        <v>2019-LVN-FRD-T35V-010-27</v>
      </c>
      <c r="AG1381" s="661" t="str">
        <f>IF(AND($Y1381&gt;=32,(AI1381="I"),(Y1381&lt;&gt;"~"),(COUNTIF($AN$1:$AN1381,$AN1381)=1)),"TRUE","FALSE")</f>
        <v>FALSE</v>
      </c>
      <c r="AH1381" s="661" t="str">
        <f>IF(AND($Y1381&gt;=22, (AI1381&lt;&gt;"I"),(Y1381&lt;&gt;"~"),(COUNTIF($AN$1:$AN1381,$AN1381)=1)),"TRUE","FALSE")</f>
        <v>FALSE</v>
      </c>
      <c r="AI1381" s="661" t="str">
        <f t="shared" si="152"/>
        <v>II</v>
      </c>
      <c r="AJ1381" s="662" t="str">
        <f t="shared" si="146"/>
        <v>T35V-010</v>
      </c>
      <c r="AK1381" s="662" t="str">
        <f t="shared" si="147"/>
        <v>LVN</v>
      </c>
      <c r="AL1381" s="662" t="str">
        <f t="shared" si="148"/>
        <v>FRD</v>
      </c>
      <c r="AM1381" s="662" t="str">
        <f t="shared" si="151"/>
        <v>Transit 350 Van-Sliding RH Door-RWD-2-100.7-~-3.5L EcoBoost-6-W2C-101A-147.6-25-Unleaded-Unleaded</v>
      </c>
      <c r="AN1381" s="662" t="str">
        <f t="shared" si="149"/>
        <v>2019-LVN-FRD-T35V-010</v>
      </c>
    </row>
    <row r="1382" spans="1:40" s="572" customFormat="1" ht="15">
      <c r="A1382" s="570" t="s">
        <v>2734</v>
      </c>
      <c r="B1382" s="569" t="s">
        <v>2677</v>
      </c>
      <c r="C1382" s="569" t="s">
        <v>280</v>
      </c>
      <c r="D1382" s="580">
        <v>27</v>
      </c>
      <c r="E1382" s="569" t="s">
        <v>1516</v>
      </c>
      <c r="F1382" s="569" t="s">
        <v>1571</v>
      </c>
      <c r="G1382" s="569" t="s">
        <v>271</v>
      </c>
      <c r="H1382" s="569">
        <v>2019</v>
      </c>
      <c r="I1382" s="569" t="s">
        <v>2628</v>
      </c>
      <c r="J1382" s="569" t="s">
        <v>1950</v>
      </c>
      <c r="K1382" s="569" t="s">
        <v>236</v>
      </c>
      <c r="L1382" s="569">
        <v>2</v>
      </c>
      <c r="M1382" s="569">
        <v>0</v>
      </c>
      <c r="N1382" s="569" t="s">
        <v>157</v>
      </c>
      <c r="O1382" s="569">
        <v>1</v>
      </c>
      <c r="P1382" s="569">
        <v>100.7</v>
      </c>
      <c r="Q1382" s="568" t="s">
        <v>157</v>
      </c>
      <c r="R1382" s="569" t="s">
        <v>682</v>
      </c>
      <c r="S1382" s="569">
        <v>6</v>
      </c>
      <c r="T1382" s="569" t="s">
        <v>2675</v>
      </c>
      <c r="U1382" s="569" t="s">
        <v>1894</v>
      </c>
      <c r="V1382" s="569">
        <v>147.6</v>
      </c>
      <c r="W1382" s="569">
        <v>25</v>
      </c>
      <c r="X1382" s="568">
        <v>9500</v>
      </c>
      <c r="Y1382" s="573">
        <v>12</v>
      </c>
      <c r="Z1382" s="581" t="s">
        <v>178</v>
      </c>
      <c r="AA1382" s="581" t="s">
        <v>178</v>
      </c>
      <c r="AB1382" s="585">
        <v>38910</v>
      </c>
      <c r="AC1382" s="585" t="s">
        <v>164</v>
      </c>
      <c r="AD1382" s="585">
        <v>29407.291666666668</v>
      </c>
      <c r="AE1382" s="587">
        <v>0.03</v>
      </c>
      <c r="AF1382" s="661" t="str">
        <f t="shared" si="150"/>
        <v>2019-LVN-FRD-T35V-011-27</v>
      </c>
      <c r="AG1382" s="661" t="str">
        <f>IF(AND($Y1382&gt;=32,(AI1382="I"),(Y1382&lt;&gt;"~"),(COUNTIF($AN$1:$AN1382,$AN1382)=1)),"TRUE","FALSE")</f>
        <v>FALSE</v>
      </c>
      <c r="AH1382" s="661" t="str">
        <f>IF(AND($Y1382&gt;=22, (AI1382&lt;&gt;"I"),(Y1382&lt;&gt;"~"),(COUNTIF($AN$1:$AN1382,$AN1382)=1)),"TRUE","FALSE")</f>
        <v>FALSE</v>
      </c>
      <c r="AI1382" s="661" t="str">
        <f t="shared" si="152"/>
        <v>II</v>
      </c>
      <c r="AJ1382" s="662" t="str">
        <f t="shared" si="146"/>
        <v>T35V-011</v>
      </c>
      <c r="AK1382" s="662" t="str">
        <f t="shared" si="147"/>
        <v>LVN</v>
      </c>
      <c r="AL1382" s="662" t="str">
        <f t="shared" si="148"/>
        <v>FRD</v>
      </c>
      <c r="AM1382" s="662" t="str">
        <f t="shared" si="151"/>
        <v>Transit 350 Van-Sliding RH Door-RWD-2-100.7-~-3.7L-6-W2C-101A-147.6-25-Unleaded-Unleaded</v>
      </c>
      <c r="AN1382" s="662" t="str">
        <f t="shared" si="149"/>
        <v>2019-LVN-FRD-T35V-011</v>
      </c>
    </row>
    <row r="1383" spans="1:40" s="572" customFormat="1" ht="15">
      <c r="A1383" s="570" t="s">
        <v>2735</v>
      </c>
      <c r="B1383" s="573" t="s">
        <v>2679</v>
      </c>
      <c r="C1383" s="573" t="s">
        <v>280</v>
      </c>
      <c r="D1383" s="578">
        <v>27</v>
      </c>
      <c r="E1383" s="573" t="s">
        <v>1516</v>
      </c>
      <c r="F1383" s="573" t="s">
        <v>1571</v>
      </c>
      <c r="G1383" s="573" t="s">
        <v>271</v>
      </c>
      <c r="H1383" s="573">
        <v>2019</v>
      </c>
      <c r="I1383" s="573" t="s">
        <v>2628</v>
      </c>
      <c r="J1383" s="573" t="s">
        <v>1950</v>
      </c>
      <c r="K1383" s="573" t="s">
        <v>236</v>
      </c>
      <c r="L1383" s="573">
        <v>2</v>
      </c>
      <c r="M1383" s="573">
        <v>0</v>
      </c>
      <c r="N1383" s="573" t="s">
        <v>157</v>
      </c>
      <c r="O1383" s="573">
        <v>1</v>
      </c>
      <c r="P1383" s="573">
        <v>100.8</v>
      </c>
      <c r="Q1383" s="571" t="s">
        <v>157</v>
      </c>
      <c r="R1383" s="573" t="s">
        <v>1259</v>
      </c>
      <c r="S1383" s="573">
        <v>6</v>
      </c>
      <c r="T1383" s="573" t="s">
        <v>2680</v>
      </c>
      <c r="U1383" s="573" t="s">
        <v>1894</v>
      </c>
      <c r="V1383" s="573">
        <v>129.9</v>
      </c>
      <c r="W1383" s="573">
        <v>25</v>
      </c>
      <c r="X1383" s="571">
        <v>9500</v>
      </c>
      <c r="Y1383" s="573">
        <v>12</v>
      </c>
      <c r="Z1383" s="579" t="s">
        <v>178</v>
      </c>
      <c r="AA1383" s="579" t="s">
        <v>178</v>
      </c>
      <c r="AB1383" s="584">
        <v>39050</v>
      </c>
      <c r="AC1383" s="584" t="s">
        <v>164</v>
      </c>
      <c r="AD1383" s="584">
        <v>29488.208333333336</v>
      </c>
      <c r="AE1383" s="586">
        <v>0.03</v>
      </c>
      <c r="AF1383" s="661" t="str">
        <f t="shared" si="150"/>
        <v>2019-LVN-FRD-T35V-013-27</v>
      </c>
      <c r="AG1383" s="661" t="str">
        <f>IF(AND($Y1383&gt;=32,(AI1383="I"),(Y1383&lt;&gt;"~"),(COUNTIF($AN$1:$AN1383,$AN1383)=1)),"TRUE","FALSE")</f>
        <v>FALSE</v>
      </c>
      <c r="AH1383" s="661" t="str">
        <f>IF(AND($Y1383&gt;=22, (AI1383&lt;&gt;"I"),(Y1383&lt;&gt;"~"),(COUNTIF($AN$1:$AN1383,$AN1383)=1)),"TRUE","FALSE")</f>
        <v>FALSE</v>
      </c>
      <c r="AI1383" s="661" t="str">
        <f t="shared" si="152"/>
        <v>II</v>
      </c>
      <c r="AJ1383" s="662" t="str">
        <f t="shared" si="146"/>
        <v>T35V-013</v>
      </c>
      <c r="AK1383" s="662" t="str">
        <f t="shared" si="147"/>
        <v>LVN</v>
      </c>
      <c r="AL1383" s="662" t="str">
        <f t="shared" si="148"/>
        <v>FRD</v>
      </c>
      <c r="AM1383" s="662" t="str">
        <f t="shared" si="151"/>
        <v>Transit 350 Van-Sliding RH Door-RWD-2-100.8-~-3.5L EcoBoost-6-W9C-101A-129.9-25-Unleaded-Unleaded</v>
      </c>
      <c r="AN1383" s="662" t="str">
        <f t="shared" si="149"/>
        <v>2019-LVN-FRD-T35V-013</v>
      </c>
    </row>
    <row r="1384" spans="1:40" s="572" customFormat="1" ht="15">
      <c r="A1384" s="570" t="s">
        <v>2736</v>
      </c>
      <c r="B1384" s="569" t="s">
        <v>2682</v>
      </c>
      <c r="C1384" s="569" t="s">
        <v>280</v>
      </c>
      <c r="D1384" s="580">
        <v>27</v>
      </c>
      <c r="E1384" s="569" t="s">
        <v>1516</v>
      </c>
      <c r="F1384" s="569" t="s">
        <v>1571</v>
      </c>
      <c r="G1384" s="569" t="s">
        <v>271</v>
      </c>
      <c r="H1384" s="569">
        <v>2019</v>
      </c>
      <c r="I1384" s="569" t="s">
        <v>2628</v>
      </c>
      <c r="J1384" s="569" t="s">
        <v>1950</v>
      </c>
      <c r="K1384" s="569" t="s">
        <v>236</v>
      </c>
      <c r="L1384" s="569">
        <v>2</v>
      </c>
      <c r="M1384" s="569">
        <v>0</v>
      </c>
      <c r="N1384" s="569" t="s">
        <v>157</v>
      </c>
      <c r="O1384" s="569">
        <v>1</v>
      </c>
      <c r="P1384" s="569">
        <v>100.8</v>
      </c>
      <c r="Q1384" s="568" t="s">
        <v>157</v>
      </c>
      <c r="R1384" s="569" t="s">
        <v>682</v>
      </c>
      <c r="S1384" s="569">
        <v>6</v>
      </c>
      <c r="T1384" s="569" t="s">
        <v>2680</v>
      </c>
      <c r="U1384" s="569" t="s">
        <v>1894</v>
      </c>
      <c r="V1384" s="569">
        <v>129.9</v>
      </c>
      <c r="W1384" s="569">
        <v>25</v>
      </c>
      <c r="X1384" s="568">
        <v>9500</v>
      </c>
      <c r="Y1384" s="573">
        <v>12</v>
      </c>
      <c r="Z1384" s="581" t="s">
        <v>178</v>
      </c>
      <c r="AA1384" s="581" t="s">
        <v>178</v>
      </c>
      <c r="AB1384" s="585">
        <v>37185</v>
      </c>
      <c r="AC1384" s="585" t="s">
        <v>164</v>
      </c>
      <c r="AD1384" s="585">
        <v>27831.958333333336</v>
      </c>
      <c r="AE1384" s="587">
        <v>0.03</v>
      </c>
      <c r="AF1384" s="661" t="str">
        <f t="shared" si="150"/>
        <v>2019-LVN-FRD-T35V-014-27</v>
      </c>
      <c r="AG1384" s="661" t="str">
        <f>IF(AND($Y1384&gt;=32,(AI1384="I"),(Y1384&lt;&gt;"~"),(COUNTIF($AN$1:$AN1384,$AN1384)=1)),"TRUE","FALSE")</f>
        <v>FALSE</v>
      </c>
      <c r="AH1384" s="661" t="str">
        <f>IF(AND($Y1384&gt;=22, (AI1384&lt;&gt;"I"),(Y1384&lt;&gt;"~"),(COUNTIF($AN$1:$AN1384,$AN1384)=1)),"TRUE","FALSE")</f>
        <v>FALSE</v>
      </c>
      <c r="AI1384" s="661" t="str">
        <f t="shared" si="152"/>
        <v>II</v>
      </c>
      <c r="AJ1384" s="662" t="str">
        <f t="shared" si="146"/>
        <v>T35V-014</v>
      </c>
      <c r="AK1384" s="662" t="str">
        <f t="shared" si="147"/>
        <v>LVN</v>
      </c>
      <c r="AL1384" s="662" t="str">
        <f t="shared" si="148"/>
        <v>FRD</v>
      </c>
      <c r="AM1384" s="662" t="str">
        <f t="shared" si="151"/>
        <v>Transit 350 Van-Sliding RH Door-RWD-2-100.8-~-3.7L-6-W9C-101A-129.9-25-Unleaded-Unleaded</v>
      </c>
      <c r="AN1384" s="662" t="str">
        <f t="shared" si="149"/>
        <v>2019-LVN-FRD-T35V-014</v>
      </c>
    </row>
    <row r="1385" spans="1:40" s="572" customFormat="1" ht="15">
      <c r="A1385" s="570" t="s">
        <v>2737</v>
      </c>
      <c r="B1385" s="573" t="s">
        <v>2684</v>
      </c>
      <c r="C1385" s="573" t="s">
        <v>280</v>
      </c>
      <c r="D1385" s="578">
        <v>27</v>
      </c>
      <c r="E1385" s="573" t="s">
        <v>1516</v>
      </c>
      <c r="F1385" s="573" t="s">
        <v>1571</v>
      </c>
      <c r="G1385" s="573" t="s">
        <v>271</v>
      </c>
      <c r="H1385" s="573">
        <v>2019</v>
      </c>
      <c r="I1385" s="573" t="s">
        <v>2628</v>
      </c>
      <c r="J1385" s="573" t="s">
        <v>1950</v>
      </c>
      <c r="K1385" s="573" t="s">
        <v>236</v>
      </c>
      <c r="L1385" s="573">
        <v>2</v>
      </c>
      <c r="M1385" s="573">
        <v>0</v>
      </c>
      <c r="N1385" s="573" t="s">
        <v>157</v>
      </c>
      <c r="O1385" s="573">
        <v>1</v>
      </c>
      <c r="P1385" s="573">
        <v>109.4</v>
      </c>
      <c r="Q1385" s="571" t="s">
        <v>157</v>
      </c>
      <c r="R1385" s="573" t="s">
        <v>1917</v>
      </c>
      <c r="S1385" s="573">
        <v>5</v>
      </c>
      <c r="T1385" s="573" t="s">
        <v>2685</v>
      </c>
      <c r="U1385" s="573" t="s">
        <v>1894</v>
      </c>
      <c r="V1385" s="573">
        <v>147.6</v>
      </c>
      <c r="W1385" s="573">
        <v>25</v>
      </c>
      <c r="X1385" s="571">
        <v>9500</v>
      </c>
      <c r="Y1385" s="573">
        <v>12</v>
      </c>
      <c r="Z1385" s="579" t="s">
        <v>728</v>
      </c>
      <c r="AA1385" s="579" t="s">
        <v>1523</v>
      </c>
      <c r="AB1385" s="584">
        <v>46355</v>
      </c>
      <c r="AC1385" s="584" t="s">
        <v>164</v>
      </c>
      <c r="AD1385" s="584">
        <v>36110.666666666664</v>
      </c>
      <c r="AE1385" s="586">
        <v>0.03</v>
      </c>
      <c r="AF1385" s="661" t="str">
        <f t="shared" si="150"/>
        <v>2019-LVN-FRD-T35V-015-27</v>
      </c>
      <c r="AG1385" s="661" t="str">
        <f>IF(AND($Y1385&gt;=32,(AI1385="I"),(Y1385&lt;&gt;"~"),(COUNTIF($AN$1:$AN1385,$AN1385)=1)),"TRUE","FALSE")</f>
        <v>FALSE</v>
      </c>
      <c r="AH1385" s="661" t="str">
        <f>IF(AND($Y1385&gt;=22, (AI1385&lt;&gt;"I"),(Y1385&lt;&gt;"~"),(COUNTIF($AN$1:$AN1385,$AN1385)=1)),"TRUE","FALSE")</f>
        <v>FALSE</v>
      </c>
      <c r="AI1385" s="661" t="str">
        <f t="shared" si="152"/>
        <v>II</v>
      </c>
      <c r="AJ1385" s="662" t="str">
        <f t="shared" si="146"/>
        <v>T35V-015</v>
      </c>
      <c r="AK1385" s="662" t="str">
        <f t="shared" si="147"/>
        <v>LVN</v>
      </c>
      <c r="AL1385" s="662" t="str">
        <f t="shared" si="148"/>
        <v>FRD</v>
      </c>
      <c r="AM1385" s="662" t="str">
        <f t="shared" si="151"/>
        <v>Transit 350 Van-Sliding RH Door-RWD-2-109.4-~-3.2L-5-W3X-101A-147.6-25-Diesel-BioDiesel</v>
      </c>
      <c r="AN1385" s="662" t="str">
        <f t="shared" si="149"/>
        <v>2019-LVN-FRD-T35V-015</v>
      </c>
    </row>
    <row r="1386" spans="1:40" s="572" customFormat="1" ht="15">
      <c r="A1386" s="570" t="s">
        <v>2738</v>
      </c>
      <c r="B1386" s="569" t="s">
        <v>2687</v>
      </c>
      <c r="C1386" s="569" t="s">
        <v>280</v>
      </c>
      <c r="D1386" s="580">
        <v>27</v>
      </c>
      <c r="E1386" s="569" t="s">
        <v>1516</v>
      </c>
      <c r="F1386" s="569" t="s">
        <v>1571</v>
      </c>
      <c r="G1386" s="569" t="s">
        <v>271</v>
      </c>
      <c r="H1386" s="569">
        <v>2019</v>
      </c>
      <c r="I1386" s="569" t="s">
        <v>2628</v>
      </c>
      <c r="J1386" s="569" t="s">
        <v>1950</v>
      </c>
      <c r="K1386" s="569" t="s">
        <v>236</v>
      </c>
      <c r="L1386" s="569">
        <v>2</v>
      </c>
      <c r="M1386" s="569">
        <v>0</v>
      </c>
      <c r="N1386" s="569" t="s">
        <v>157</v>
      </c>
      <c r="O1386" s="569">
        <v>1</v>
      </c>
      <c r="P1386" s="569">
        <v>109.4</v>
      </c>
      <c r="Q1386" s="568" t="s">
        <v>157</v>
      </c>
      <c r="R1386" s="569" t="s">
        <v>1259</v>
      </c>
      <c r="S1386" s="569">
        <v>6</v>
      </c>
      <c r="T1386" s="569" t="s">
        <v>2685</v>
      </c>
      <c r="U1386" s="569" t="s">
        <v>1894</v>
      </c>
      <c r="V1386" s="569">
        <v>147.6</v>
      </c>
      <c r="W1386" s="569">
        <v>25</v>
      </c>
      <c r="X1386" s="568">
        <v>9500</v>
      </c>
      <c r="Y1386" s="573">
        <v>12</v>
      </c>
      <c r="Z1386" s="581" t="s">
        <v>178</v>
      </c>
      <c r="AA1386" s="581" t="s">
        <v>178</v>
      </c>
      <c r="AB1386" s="585">
        <v>44225</v>
      </c>
      <c r="AC1386" s="585" t="s">
        <v>164</v>
      </c>
      <c r="AD1386" s="585">
        <v>34217.375</v>
      </c>
      <c r="AE1386" s="587">
        <v>0.03</v>
      </c>
      <c r="AF1386" s="661" t="str">
        <f t="shared" si="150"/>
        <v>2019-LVN-FRD-T35V-016-27</v>
      </c>
      <c r="AG1386" s="661" t="str">
        <f>IF(AND($Y1386&gt;=32,(AI1386="I"),(Y1386&lt;&gt;"~"),(COUNTIF($AN$1:$AN1386,$AN1386)=1)),"TRUE","FALSE")</f>
        <v>FALSE</v>
      </c>
      <c r="AH1386" s="661" t="str">
        <f>IF(AND($Y1386&gt;=22, (AI1386&lt;&gt;"I"),(Y1386&lt;&gt;"~"),(COUNTIF($AN$1:$AN1386,$AN1386)=1)),"TRUE","FALSE")</f>
        <v>FALSE</v>
      </c>
      <c r="AI1386" s="661" t="str">
        <f t="shared" si="152"/>
        <v>II</v>
      </c>
      <c r="AJ1386" s="662" t="str">
        <f t="shared" si="146"/>
        <v>T35V-016</v>
      </c>
      <c r="AK1386" s="662" t="str">
        <f t="shared" si="147"/>
        <v>LVN</v>
      </c>
      <c r="AL1386" s="662" t="str">
        <f t="shared" si="148"/>
        <v>FRD</v>
      </c>
      <c r="AM1386" s="662" t="str">
        <f t="shared" si="151"/>
        <v>Transit 350 Van-Sliding RH Door-RWD-2-109.4-~-3.5L EcoBoost-6-W3X-101A-147.6-25-Unleaded-Unleaded</v>
      </c>
      <c r="AN1386" s="662" t="str">
        <f t="shared" si="149"/>
        <v>2019-LVN-FRD-T35V-016</v>
      </c>
    </row>
    <row r="1387" spans="1:40" s="572" customFormat="1" ht="15">
      <c r="A1387" s="570" t="s">
        <v>2739</v>
      </c>
      <c r="B1387" s="573" t="s">
        <v>2689</v>
      </c>
      <c r="C1387" s="573" t="s">
        <v>280</v>
      </c>
      <c r="D1387" s="578">
        <v>27</v>
      </c>
      <c r="E1387" s="573" t="s">
        <v>1516</v>
      </c>
      <c r="F1387" s="573" t="s">
        <v>1571</v>
      </c>
      <c r="G1387" s="573" t="s">
        <v>271</v>
      </c>
      <c r="H1387" s="573">
        <v>2019</v>
      </c>
      <c r="I1387" s="573" t="s">
        <v>2628</v>
      </c>
      <c r="J1387" s="573" t="s">
        <v>1950</v>
      </c>
      <c r="K1387" s="573" t="s">
        <v>236</v>
      </c>
      <c r="L1387" s="573">
        <v>2</v>
      </c>
      <c r="M1387" s="573">
        <v>0</v>
      </c>
      <c r="N1387" s="573" t="s">
        <v>157</v>
      </c>
      <c r="O1387" s="573">
        <v>1</v>
      </c>
      <c r="P1387" s="573">
        <v>109.4</v>
      </c>
      <c r="Q1387" s="571" t="s">
        <v>157</v>
      </c>
      <c r="R1387" s="573" t="s">
        <v>682</v>
      </c>
      <c r="S1387" s="573">
        <v>6</v>
      </c>
      <c r="T1387" s="573" t="s">
        <v>2685</v>
      </c>
      <c r="U1387" s="573" t="s">
        <v>1894</v>
      </c>
      <c r="V1387" s="573">
        <v>147.6</v>
      </c>
      <c r="W1387" s="573">
        <v>25</v>
      </c>
      <c r="X1387" s="571">
        <v>9500</v>
      </c>
      <c r="Y1387" s="573">
        <v>12</v>
      </c>
      <c r="Z1387" s="579" t="s">
        <v>178</v>
      </c>
      <c r="AA1387" s="579" t="s">
        <v>178</v>
      </c>
      <c r="AB1387" s="584">
        <v>42360</v>
      </c>
      <c r="AC1387" s="584" t="s">
        <v>164</v>
      </c>
      <c r="AD1387" s="584">
        <v>32561.125</v>
      </c>
      <c r="AE1387" s="586">
        <v>0.03</v>
      </c>
      <c r="AF1387" s="661" t="str">
        <f t="shared" si="150"/>
        <v>2019-LVN-FRD-T35V-030-27</v>
      </c>
      <c r="AG1387" s="661" t="str">
        <f>IF(AND($Y1387&gt;=32,(AI1387="I"),(Y1387&lt;&gt;"~"),(COUNTIF($AN$1:$AN1387,$AN1387)=1)),"TRUE","FALSE")</f>
        <v>FALSE</v>
      </c>
      <c r="AH1387" s="661" t="str">
        <f>IF(AND($Y1387&gt;=22, (AI1387&lt;&gt;"I"),(Y1387&lt;&gt;"~"),(COUNTIF($AN$1:$AN1387,$AN1387)=1)),"TRUE","FALSE")</f>
        <v>FALSE</v>
      </c>
      <c r="AI1387" s="661" t="str">
        <f t="shared" si="152"/>
        <v>II</v>
      </c>
      <c r="AJ1387" s="662" t="str">
        <f t="shared" si="146"/>
        <v>T35V-030</v>
      </c>
      <c r="AK1387" s="662" t="str">
        <f t="shared" si="147"/>
        <v>LVN</v>
      </c>
      <c r="AL1387" s="662" t="str">
        <f t="shared" si="148"/>
        <v>FRD</v>
      </c>
      <c r="AM1387" s="662" t="str">
        <f t="shared" si="151"/>
        <v>Transit 350 Van-Sliding RH Door-RWD-2-109.4-~-3.7L-6-W3X-101A-147.6-25-Unleaded-Unleaded</v>
      </c>
      <c r="AN1387" s="662" t="str">
        <f t="shared" si="149"/>
        <v>2019-LVN-FRD-T35V-030</v>
      </c>
    </row>
    <row r="1388" spans="1:40" s="572" customFormat="1" ht="15">
      <c r="A1388" s="570" t="s">
        <v>2740</v>
      </c>
      <c r="B1388" s="569" t="s">
        <v>2691</v>
      </c>
      <c r="C1388" s="569" t="s">
        <v>280</v>
      </c>
      <c r="D1388" s="580">
        <v>27</v>
      </c>
      <c r="E1388" s="569" t="s">
        <v>1516</v>
      </c>
      <c r="F1388" s="569" t="s">
        <v>1571</v>
      </c>
      <c r="G1388" s="569" t="s">
        <v>271</v>
      </c>
      <c r="H1388" s="569">
        <v>2019</v>
      </c>
      <c r="I1388" s="569" t="s">
        <v>2628</v>
      </c>
      <c r="J1388" s="569" t="s">
        <v>1950</v>
      </c>
      <c r="K1388" s="569" t="s">
        <v>236</v>
      </c>
      <c r="L1388" s="569">
        <v>2</v>
      </c>
      <c r="M1388" s="569">
        <v>0</v>
      </c>
      <c r="N1388" s="569" t="s">
        <v>157</v>
      </c>
      <c r="O1388" s="569">
        <v>1</v>
      </c>
      <c r="P1388" s="569">
        <v>110.1</v>
      </c>
      <c r="Q1388" s="568" t="s">
        <v>157</v>
      </c>
      <c r="R1388" s="569" t="s">
        <v>1917</v>
      </c>
      <c r="S1388" s="569">
        <v>6</v>
      </c>
      <c r="T1388" s="569" t="s">
        <v>2692</v>
      </c>
      <c r="U1388" s="569" t="s">
        <v>1894</v>
      </c>
      <c r="V1388" s="569">
        <v>147.6</v>
      </c>
      <c r="W1388" s="569">
        <v>25</v>
      </c>
      <c r="X1388" s="568">
        <v>9250</v>
      </c>
      <c r="Y1388" s="573">
        <v>12</v>
      </c>
      <c r="Z1388" s="581" t="s">
        <v>728</v>
      </c>
      <c r="AA1388" s="581" t="s">
        <v>1523</v>
      </c>
      <c r="AB1388" s="585">
        <v>45055</v>
      </c>
      <c r="AC1388" s="585" t="s">
        <v>164</v>
      </c>
      <c r="AD1388" s="585">
        <v>34923.166666666664</v>
      </c>
      <c r="AE1388" s="587">
        <v>0.03</v>
      </c>
      <c r="AF1388" s="661" t="str">
        <f t="shared" si="150"/>
        <v>2019-LVN-FRD-T35V-029-27</v>
      </c>
      <c r="AG1388" s="661" t="str">
        <f>IF(AND($Y1388&gt;=32,(AI1388="I"),(Y1388&lt;&gt;"~"),(COUNTIF($AN$1:$AN1388,$AN1388)=1)),"TRUE","FALSE")</f>
        <v>FALSE</v>
      </c>
      <c r="AH1388" s="661" t="str">
        <f>IF(AND($Y1388&gt;=22, (AI1388&lt;&gt;"I"),(Y1388&lt;&gt;"~"),(COUNTIF($AN$1:$AN1388,$AN1388)=1)),"TRUE","FALSE")</f>
        <v>FALSE</v>
      </c>
      <c r="AI1388" s="661" t="str">
        <f t="shared" si="152"/>
        <v>II</v>
      </c>
      <c r="AJ1388" s="662" t="str">
        <f t="shared" si="146"/>
        <v>T35V-029</v>
      </c>
      <c r="AK1388" s="662" t="str">
        <f t="shared" si="147"/>
        <v>LVN</v>
      </c>
      <c r="AL1388" s="662" t="str">
        <f t="shared" si="148"/>
        <v>FRD</v>
      </c>
      <c r="AM1388" s="662" t="str">
        <f t="shared" si="151"/>
        <v>Transit 350 Van-Sliding RH Door-RWD-2-110.1-~-3.2L-6-W2X-101A-147.6-25-Diesel-BioDiesel</v>
      </c>
      <c r="AN1388" s="662" t="str">
        <f t="shared" si="149"/>
        <v>2019-LVN-FRD-T35V-029</v>
      </c>
    </row>
    <row r="1389" spans="1:40" s="572" customFormat="1" ht="15">
      <c r="A1389" s="570" t="s">
        <v>2741</v>
      </c>
      <c r="B1389" s="573" t="s">
        <v>2694</v>
      </c>
      <c r="C1389" s="573" t="s">
        <v>280</v>
      </c>
      <c r="D1389" s="578">
        <v>27</v>
      </c>
      <c r="E1389" s="573" t="s">
        <v>1516</v>
      </c>
      <c r="F1389" s="573" t="s">
        <v>1571</v>
      </c>
      <c r="G1389" s="573" t="s">
        <v>271</v>
      </c>
      <c r="H1389" s="573">
        <v>2019</v>
      </c>
      <c r="I1389" s="573" t="s">
        <v>2628</v>
      </c>
      <c r="J1389" s="573" t="s">
        <v>1950</v>
      </c>
      <c r="K1389" s="573" t="s">
        <v>236</v>
      </c>
      <c r="L1389" s="573">
        <v>2</v>
      </c>
      <c r="M1389" s="573">
        <v>0</v>
      </c>
      <c r="N1389" s="573" t="s">
        <v>157</v>
      </c>
      <c r="O1389" s="573">
        <v>1</v>
      </c>
      <c r="P1389" s="573">
        <v>110.1</v>
      </c>
      <c r="Q1389" s="571" t="s">
        <v>157</v>
      </c>
      <c r="R1389" s="573" t="s">
        <v>1259</v>
      </c>
      <c r="S1389" s="573">
        <v>6</v>
      </c>
      <c r="T1389" s="573" t="s">
        <v>2692</v>
      </c>
      <c r="U1389" s="573" t="s">
        <v>1894</v>
      </c>
      <c r="V1389" s="573">
        <v>147.6</v>
      </c>
      <c r="W1389" s="573">
        <v>25</v>
      </c>
      <c r="X1389" s="571">
        <v>9500</v>
      </c>
      <c r="Y1389" s="573">
        <v>12</v>
      </c>
      <c r="Z1389" s="579" t="s">
        <v>178</v>
      </c>
      <c r="AA1389" s="579" t="s">
        <v>178</v>
      </c>
      <c r="AB1389" s="584">
        <v>42925</v>
      </c>
      <c r="AC1389" s="584" t="s">
        <v>164</v>
      </c>
      <c r="AD1389" s="584">
        <v>33029.875</v>
      </c>
      <c r="AE1389" s="586">
        <v>0.03</v>
      </c>
      <c r="AF1389" s="661" t="str">
        <f t="shared" si="150"/>
        <v>2019-LVN-FRD-T35V-017-27</v>
      </c>
      <c r="AG1389" s="661" t="str">
        <f>IF(AND($Y1389&gt;=32,(AI1389="I"),(Y1389&lt;&gt;"~"),(COUNTIF($AN$1:$AN1389,$AN1389)=1)),"TRUE","FALSE")</f>
        <v>FALSE</v>
      </c>
      <c r="AH1389" s="661" t="str">
        <f>IF(AND($Y1389&gt;=22, (AI1389&lt;&gt;"I"),(Y1389&lt;&gt;"~"),(COUNTIF($AN$1:$AN1389,$AN1389)=1)),"TRUE","FALSE")</f>
        <v>FALSE</v>
      </c>
      <c r="AI1389" s="661" t="str">
        <f t="shared" si="152"/>
        <v>II</v>
      </c>
      <c r="AJ1389" s="662" t="str">
        <f t="shared" si="146"/>
        <v>T35V-017</v>
      </c>
      <c r="AK1389" s="662" t="str">
        <f t="shared" si="147"/>
        <v>LVN</v>
      </c>
      <c r="AL1389" s="662" t="str">
        <f t="shared" si="148"/>
        <v>FRD</v>
      </c>
      <c r="AM1389" s="662" t="str">
        <f t="shared" si="151"/>
        <v>Transit 350 Van-Sliding RH Door-RWD-2-110.1-~-3.5L EcoBoost-6-W2X-101A-147.6-25-Unleaded-Unleaded</v>
      </c>
      <c r="AN1389" s="662" t="str">
        <f t="shared" si="149"/>
        <v>2019-LVN-FRD-T35V-017</v>
      </c>
    </row>
    <row r="1390" spans="1:40" s="572" customFormat="1" ht="15">
      <c r="A1390" s="570" t="s">
        <v>2742</v>
      </c>
      <c r="B1390" s="569" t="s">
        <v>2696</v>
      </c>
      <c r="C1390" s="569" t="s">
        <v>280</v>
      </c>
      <c r="D1390" s="580">
        <v>27</v>
      </c>
      <c r="E1390" s="569" t="s">
        <v>1516</v>
      </c>
      <c r="F1390" s="569" t="s">
        <v>1571</v>
      </c>
      <c r="G1390" s="569" t="s">
        <v>271</v>
      </c>
      <c r="H1390" s="569">
        <v>2019</v>
      </c>
      <c r="I1390" s="569" t="s">
        <v>2628</v>
      </c>
      <c r="J1390" s="569" t="s">
        <v>1950</v>
      </c>
      <c r="K1390" s="569" t="s">
        <v>236</v>
      </c>
      <c r="L1390" s="569">
        <v>2</v>
      </c>
      <c r="M1390" s="569">
        <v>0</v>
      </c>
      <c r="N1390" s="569" t="s">
        <v>157</v>
      </c>
      <c r="O1390" s="569">
        <v>1</v>
      </c>
      <c r="P1390" s="569">
        <v>110.1</v>
      </c>
      <c r="Q1390" s="568" t="s">
        <v>157</v>
      </c>
      <c r="R1390" s="569" t="s">
        <v>682</v>
      </c>
      <c r="S1390" s="569">
        <v>6</v>
      </c>
      <c r="T1390" s="569" t="s">
        <v>2692</v>
      </c>
      <c r="U1390" s="569" t="s">
        <v>1894</v>
      </c>
      <c r="V1390" s="569">
        <v>147.6</v>
      </c>
      <c r="W1390" s="569">
        <v>25</v>
      </c>
      <c r="X1390" s="568">
        <v>9500</v>
      </c>
      <c r="Y1390" s="573">
        <v>12</v>
      </c>
      <c r="Z1390" s="581" t="s">
        <v>178</v>
      </c>
      <c r="AA1390" s="581" t="s">
        <v>178</v>
      </c>
      <c r="AB1390" s="585">
        <v>41060</v>
      </c>
      <c r="AC1390" s="585" t="s">
        <v>164</v>
      </c>
      <c r="AD1390" s="585">
        <v>31373.625</v>
      </c>
      <c r="AE1390" s="587">
        <v>0.03</v>
      </c>
      <c r="AF1390" s="661" t="str">
        <f t="shared" si="150"/>
        <v>2019-LVN-FRD-T35V-018-27</v>
      </c>
      <c r="AG1390" s="661" t="str">
        <f>IF(AND($Y1390&gt;=32,(AI1390="I"),(Y1390&lt;&gt;"~"),(COUNTIF($AN$1:$AN1390,$AN1390)=1)),"TRUE","FALSE")</f>
        <v>FALSE</v>
      </c>
      <c r="AH1390" s="661" t="str">
        <f>IF(AND($Y1390&gt;=22, (AI1390&lt;&gt;"I"),(Y1390&lt;&gt;"~"),(COUNTIF($AN$1:$AN1390,$AN1390)=1)),"TRUE","FALSE")</f>
        <v>FALSE</v>
      </c>
      <c r="AI1390" s="661" t="str">
        <f t="shared" si="152"/>
        <v>II</v>
      </c>
      <c r="AJ1390" s="662" t="str">
        <f t="shared" si="146"/>
        <v>T35V-018</v>
      </c>
      <c r="AK1390" s="662" t="str">
        <f t="shared" si="147"/>
        <v>LVN</v>
      </c>
      <c r="AL1390" s="662" t="str">
        <f t="shared" si="148"/>
        <v>FRD</v>
      </c>
      <c r="AM1390" s="662" t="str">
        <f t="shared" si="151"/>
        <v>Transit 350 Van-Sliding RH Door-RWD-2-110.1-~-3.7L-6-W2X-101A-147.6-25-Unleaded-Unleaded</v>
      </c>
      <c r="AN1390" s="662" t="str">
        <f t="shared" si="149"/>
        <v>2019-LVN-FRD-T35V-018</v>
      </c>
    </row>
    <row r="1391" spans="1:40" s="572" customFormat="1" ht="15">
      <c r="A1391" s="570" t="s">
        <v>2743</v>
      </c>
      <c r="B1391" s="573" t="s">
        <v>2698</v>
      </c>
      <c r="C1391" s="573" t="s">
        <v>280</v>
      </c>
      <c r="D1391" s="578">
        <v>27</v>
      </c>
      <c r="E1391" s="573" t="s">
        <v>1516</v>
      </c>
      <c r="F1391" s="573" t="s">
        <v>1571</v>
      </c>
      <c r="G1391" s="573" t="s">
        <v>271</v>
      </c>
      <c r="H1391" s="573">
        <v>2019</v>
      </c>
      <c r="I1391" s="573" t="s">
        <v>2628</v>
      </c>
      <c r="J1391" s="573" t="s">
        <v>1950</v>
      </c>
      <c r="K1391" s="573" t="s">
        <v>236</v>
      </c>
      <c r="L1391" s="573">
        <v>2</v>
      </c>
      <c r="M1391" s="573">
        <v>0</v>
      </c>
      <c r="N1391" s="573" t="s">
        <v>157</v>
      </c>
      <c r="O1391" s="573">
        <v>1</v>
      </c>
      <c r="P1391" s="573">
        <v>83.2</v>
      </c>
      <c r="Q1391" s="571" t="s">
        <v>157</v>
      </c>
      <c r="R1391" s="573" t="s">
        <v>1259</v>
      </c>
      <c r="S1391" s="573">
        <v>6</v>
      </c>
      <c r="T1391" s="573" t="s">
        <v>2699</v>
      </c>
      <c r="U1391" s="573" t="s">
        <v>1894</v>
      </c>
      <c r="V1391" s="573">
        <v>147.6</v>
      </c>
      <c r="W1391" s="573">
        <v>25</v>
      </c>
      <c r="X1391" s="571">
        <v>9500</v>
      </c>
      <c r="Y1391" s="573">
        <v>12</v>
      </c>
      <c r="Z1391" s="579" t="s">
        <v>178</v>
      </c>
      <c r="AA1391" s="579" t="s">
        <v>178</v>
      </c>
      <c r="AB1391" s="584">
        <v>40430</v>
      </c>
      <c r="AC1391" s="584" t="s">
        <v>164</v>
      </c>
      <c r="AD1391" s="584">
        <v>28666.333333333336</v>
      </c>
      <c r="AE1391" s="586">
        <v>0.03</v>
      </c>
      <c r="AF1391" s="661" t="str">
        <f t="shared" si="150"/>
        <v>2019-LVN-FRD-T35V-020-27</v>
      </c>
      <c r="AG1391" s="661" t="str">
        <f>IF(AND($Y1391&gt;=32,(AI1391="I"),(Y1391&lt;&gt;"~"),(COUNTIF($AN$1:$AN1391,$AN1391)=1)),"TRUE","FALSE")</f>
        <v>FALSE</v>
      </c>
      <c r="AH1391" s="661" t="str">
        <f>IF(AND($Y1391&gt;=22, (AI1391&lt;&gt;"I"),(Y1391&lt;&gt;"~"),(COUNTIF($AN$1:$AN1391,$AN1391)=1)),"TRUE","FALSE")</f>
        <v>FALSE</v>
      </c>
      <c r="AI1391" s="661" t="str">
        <f t="shared" si="152"/>
        <v>II</v>
      </c>
      <c r="AJ1391" s="662" t="str">
        <f t="shared" si="146"/>
        <v>T35V-020</v>
      </c>
      <c r="AK1391" s="662" t="str">
        <f t="shared" si="147"/>
        <v>LVN</v>
      </c>
      <c r="AL1391" s="662" t="str">
        <f t="shared" si="148"/>
        <v>FRD</v>
      </c>
      <c r="AM1391" s="662" t="str">
        <f t="shared" si="151"/>
        <v>Transit 350 Van-Sliding RH Door-RWD-2-83.2-~-3.5L EcoBoost-6-W2Y-101A-147.6-25-Unleaded-Unleaded</v>
      </c>
      <c r="AN1391" s="662" t="str">
        <f t="shared" si="149"/>
        <v>2019-LVN-FRD-T35V-020</v>
      </c>
    </row>
    <row r="1392" spans="1:40" s="572" customFormat="1" ht="15">
      <c r="A1392" s="570" t="s">
        <v>2744</v>
      </c>
      <c r="B1392" s="569" t="s">
        <v>2701</v>
      </c>
      <c r="C1392" s="569" t="s">
        <v>280</v>
      </c>
      <c r="D1392" s="580">
        <v>27</v>
      </c>
      <c r="E1392" s="569" t="s">
        <v>1516</v>
      </c>
      <c r="F1392" s="569" t="s">
        <v>1571</v>
      </c>
      <c r="G1392" s="569" t="s">
        <v>271</v>
      </c>
      <c r="H1392" s="569">
        <v>2019</v>
      </c>
      <c r="I1392" s="569" t="s">
        <v>2628</v>
      </c>
      <c r="J1392" s="569" t="s">
        <v>1950</v>
      </c>
      <c r="K1392" s="569" t="s">
        <v>236</v>
      </c>
      <c r="L1392" s="569">
        <v>2</v>
      </c>
      <c r="M1392" s="569">
        <v>0</v>
      </c>
      <c r="N1392" s="569" t="s">
        <v>157</v>
      </c>
      <c r="O1392" s="569">
        <v>1</v>
      </c>
      <c r="P1392" s="569">
        <v>83.2</v>
      </c>
      <c r="Q1392" s="568" t="s">
        <v>157</v>
      </c>
      <c r="R1392" s="569" t="s">
        <v>682</v>
      </c>
      <c r="S1392" s="569">
        <v>6</v>
      </c>
      <c r="T1392" s="569" t="s">
        <v>2699</v>
      </c>
      <c r="U1392" s="569" t="s">
        <v>1894</v>
      </c>
      <c r="V1392" s="569">
        <v>147.6</v>
      </c>
      <c r="W1392" s="569">
        <v>25</v>
      </c>
      <c r="X1392" s="568">
        <v>9500</v>
      </c>
      <c r="Y1392" s="573">
        <v>12</v>
      </c>
      <c r="Z1392" s="581" t="s">
        <v>178</v>
      </c>
      <c r="AA1392" s="581" t="s">
        <v>178</v>
      </c>
      <c r="AB1392" s="585">
        <v>38565</v>
      </c>
      <c r="AC1392" s="585" t="s">
        <v>164</v>
      </c>
      <c r="AD1392" s="585">
        <v>27010.083333333336</v>
      </c>
      <c r="AE1392" s="587">
        <v>0.03</v>
      </c>
      <c r="AF1392" s="661" t="str">
        <f t="shared" si="150"/>
        <v>2019-LVN-FRD-T35V-021-27</v>
      </c>
      <c r="AG1392" s="661" t="str">
        <f>IF(AND($Y1392&gt;=32,(AI1392="I"),(Y1392&lt;&gt;"~"),(COUNTIF($AN$1:$AN1392,$AN1392)=1)),"TRUE","FALSE")</f>
        <v>FALSE</v>
      </c>
      <c r="AH1392" s="661" t="str">
        <f>IF(AND($Y1392&gt;=22, (AI1392&lt;&gt;"I"),(Y1392&lt;&gt;"~"),(COUNTIF($AN$1:$AN1392,$AN1392)=1)),"TRUE","FALSE")</f>
        <v>FALSE</v>
      </c>
      <c r="AI1392" s="661" t="str">
        <f t="shared" si="152"/>
        <v>II</v>
      </c>
      <c r="AJ1392" s="662" t="str">
        <f t="shared" si="146"/>
        <v>T35V-021</v>
      </c>
      <c r="AK1392" s="662" t="str">
        <f t="shared" si="147"/>
        <v>LVN</v>
      </c>
      <c r="AL1392" s="662" t="str">
        <f t="shared" si="148"/>
        <v>FRD</v>
      </c>
      <c r="AM1392" s="662" t="str">
        <f t="shared" si="151"/>
        <v>Transit 350 Van-Sliding RH Door-RWD-2-83.2-~-3.7L-6-W2Y-101A-147.6-25-Unleaded-Unleaded</v>
      </c>
      <c r="AN1392" s="662" t="str">
        <f t="shared" si="149"/>
        <v>2019-LVN-FRD-T35V-021</v>
      </c>
    </row>
    <row r="1393" spans="1:40" s="572" customFormat="1" ht="15">
      <c r="A1393" s="570" t="s">
        <v>2745</v>
      </c>
      <c r="B1393" s="573" t="s">
        <v>2703</v>
      </c>
      <c r="C1393" s="573" t="s">
        <v>280</v>
      </c>
      <c r="D1393" s="578">
        <v>27</v>
      </c>
      <c r="E1393" s="573" t="s">
        <v>1516</v>
      </c>
      <c r="F1393" s="573" t="s">
        <v>1571</v>
      </c>
      <c r="G1393" s="573" t="s">
        <v>271</v>
      </c>
      <c r="H1393" s="573">
        <v>2019</v>
      </c>
      <c r="I1393" s="573" t="s">
        <v>2628</v>
      </c>
      <c r="J1393" s="573" t="s">
        <v>1950</v>
      </c>
      <c r="K1393" s="573" t="s">
        <v>236</v>
      </c>
      <c r="L1393" s="573">
        <v>2</v>
      </c>
      <c r="M1393" s="573">
        <v>0</v>
      </c>
      <c r="N1393" s="573" t="s">
        <v>157</v>
      </c>
      <c r="O1393" s="573">
        <v>1</v>
      </c>
      <c r="P1393" s="573">
        <v>83.6</v>
      </c>
      <c r="Q1393" s="571" t="s">
        <v>157</v>
      </c>
      <c r="R1393" s="573" t="s">
        <v>1259</v>
      </c>
      <c r="S1393" s="573">
        <v>6</v>
      </c>
      <c r="T1393" s="573" t="s">
        <v>2704</v>
      </c>
      <c r="U1393" s="573" t="s">
        <v>1894</v>
      </c>
      <c r="V1393" s="573">
        <v>129.9</v>
      </c>
      <c r="W1393" s="573">
        <v>25</v>
      </c>
      <c r="X1393" s="571">
        <v>9500</v>
      </c>
      <c r="Y1393" s="573">
        <v>12</v>
      </c>
      <c r="Z1393" s="579" t="s">
        <v>178</v>
      </c>
      <c r="AA1393" s="579" t="s">
        <v>178</v>
      </c>
      <c r="AB1393" s="584">
        <v>39550</v>
      </c>
      <c r="AC1393" s="584" t="s">
        <v>164</v>
      </c>
      <c r="AD1393" s="584">
        <v>27861.125</v>
      </c>
      <c r="AE1393" s="586">
        <v>0.03</v>
      </c>
      <c r="AF1393" s="661" t="str">
        <f t="shared" si="150"/>
        <v>2019-LVN-FRD-T35V-022-27</v>
      </c>
      <c r="AG1393" s="661" t="str">
        <f>IF(AND($Y1393&gt;=32,(AI1393="I"),(Y1393&lt;&gt;"~"),(COUNTIF($AN$1:$AN1393,$AN1393)=1)),"TRUE","FALSE")</f>
        <v>FALSE</v>
      </c>
      <c r="AH1393" s="661" t="str">
        <f>IF(AND($Y1393&gt;=22, (AI1393&lt;&gt;"I"),(Y1393&lt;&gt;"~"),(COUNTIF($AN$1:$AN1393,$AN1393)=1)),"TRUE","FALSE")</f>
        <v>FALSE</v>
      </c>
      <c r="AI1393" s="661" t="str">
        <f t="shared" si="152"/>
        <v>II</v>
      </c>
      <c r="AJ1393" s="662" t="str">
        <f t="shared" si="146"/>
        <v>T35V-022</v>
      </c>
      <c r="AK1393" s="662" t="str">
        <f t="shared" si="147"/>
        <v>LVN</v>
      </c>
      <c r="AL1393" s="662" t="str">
        <f t="shared" si="148"/>
        <v>FRD</v>
      </c>
      <c r="AM1393" s="662" t="str">
        <f t="shared" si="151"/>
        <v>Transit 350 Van-Sliding RH Door-RWD-2-83.6-~-3.5L EcoBoost-6-W1Y-101A-129.9-25-Unleaded-Unleaded</v>
      </c>
      <c r="AN1393" s="662" t="str">
        <f t="shared" si="149"/>
        <v>2019-LVN-FRD-T35V-022</v>
      </c>
    </row>
    <row r="1394" spans="1:40" s="572" customFormat="1" ht="15">
      <c r="A1394" s="570" t="s">
        <v>2746</v>
      </c>
      <c r="B1394" s="569" t="s">
        <v>2706</v>
      </c>
      <c r="C1394" s="569" t="s">
        <v>280</v>
      </c>
      <c r="D1394" s="580">
        <v>27</v>
      </c>
      <c r="E1394" s="569" t="s">
        <v>1516</v>
      </c>
      <c r="F1394" s="569" t="s">
        <v>1571</v>
      </c>
      <c r="G1394" s="569" t="s">
        <v>271</v>
      </c>
      <c r="H1394" s="569">
        <v>2019</v>
      </c>
      <c r="I1394" s="569" t="s">
        <v>2628</v>
      </c>
      <c r="J1394" s="569" t="s">
        <v>1950</v>
      </c>
      <c r="K1394" s="569" t="s">
        <v>236</v>
      </c>
      <c r="L1394" s="569">
        <v>2</v>
      </c>
      <c r="M1394" s="569">
        <v>0</v>
      </c>
      <c r="N1394" s="569" t="s">
        <v>157</v>
      </c>
      <c r="O1394" s="569">
        <v>1</v>
      </c>
      <c r="P1394" s="569">
        <v>83.6</v>
      </c>
      <c r="Q1394" s="568" t="s">
        <v>157</v>
      </c>
      <c r="R1394" s="569" t="s">
        <v>682</v>
      </c>
      <c r="S1394" s="569">
        <v>6</v>
      </c>
      <c r="T1394" s="569" t="s">
        <v>2704</v>
      </c>
      <c r="U1394" s="569" t="s">
        <v>1894</v>
      </c>
      <c r="V1394" s="569">
        <v>129.9</v>
      </c>
      <c r="W1394" s="569">
        <v>25</v>
      </c>
      <c r="X1394" s="568">
        <v>9500</v>
      </c>
      <c r="Y1394" s="573">
        <v>12</v>
      </c>
      <c r="Z1394" s="581" t="s">
        <v>178</v>
      </c>
      <c r="AA1394" s="581" t="s">
        <v>178</v>
      </c>
      <c r="AB1394" s="585">
        <v>37685</v>
      </c>
      <c r="AC1394" s="585" t="s">
        <v>164</v>
      </c>
      <c r="AD1394" s="585">
        <v>26204.875</v>
      </c>
      <c r="AE1394" s="587">
        <v>0.03</v>
      </c>
      <c r="AF1394" s="661" t="str">
        <f t="shared" si="150"/>
        <v>2019-LVN-FRD-T35V-023-27</v>
      </c>
      <c r="AG1394" s="661" t="str">
        <f>IF(AND($Y1394&gt;=32,(AI1394="I"),(Y1394&lt;&gt;"~"),(COUNTIF($AN$1:$AN1394,$AN1394)=1)),"TRUE","FALSE")</f>
        <v>FALSE</v>
      </c>
      <c r="AH1394" s="661" t="str">
        <f>IF(AND($Y1394&gt;=22, (AI1394&lt;&gt;"I"),(Y1394&lt;&gt;"~"),(COUNTIF($AN$1:$AN1394,$AN1394)=1)),"TRUE","FALSE")</f>
        <v>FALSE</v>
      </c>
      <c r="AI1394" s="661" t="str">
        <f t="shared" si="152"/>
        <v>II</v>
      </c>
      <c r="AJ1394" s="662" t="str">
        <f t="shared" si="146"/>
        <v>T35V-023</v>
      </c>
      <c r="AK1394" s="662" t="str">
        <f t="shared" si="147"/>
        <v>LVN</v>
      </c>
      <c r="AL1394" s="662" t="str">
        <f t="shared" si="148"/>
        <v>FRD</v>
      </c>
      <c r="AM1394" s="662" t="str">
        <f t="shared" si="151"/>
        <v>Transit 350 Van-Sliding RH Door-RWD-2-83.6-~-3.7L-6-W1Y-101A-129.9-25-Unleaded-Unleaded</v>
      </c>
      <c r="AN1394" s="662" t="str">
        <f t="shared" si="149"/>
        <v>2019-LVN-FRD-T35V-023</v>
      </c>
    </row>
    <row r="1395" spans="1:40" s="572" customFormat="1" ht="15">
      <c r="A1395" s="570" t="s">
        <v>2747</v>
      </c>
      <c r="B1395" s="573" t="s">
        <v>2748</v>
      </c>
      <c r="C1395" s="573" t="s">
        <v>269</v>
      </c>
      <c r="D1395" s="578" t="s">
        <v>270</v>
      </c>
      <c r="E1395" s="573" t="s">
        <v>1516</v>
      </c>
      <c r="F1395" s="573" t="s">
        <v>1571</v>
      </c>
      <c r="G1395" s="573" t="s">
        <v>271</v>
      </c>
      <c r="H1395" s="573">
        <v>2019</v>
      </c>
      <c r="I1395" s="573" t="s">
        <v>2628</v>
      </c>
      <c r="J1395" s="573" t="s">
        <v>2014</v>
      </c>
      <c r="K1395" s="573" t="s">
        <v>236</v>
      </c>
      <c r="L1395" s="573">
        <v>2</v>
      </c>
      <c r="M1395" s="573">
        <v>0</v>
      </c>
      <c r="N1395" s="573" t="s">
        <v>157</v>
      </c>
      <c r="O1395" s="573">
        <v>1</v>
      </c>
      <c r="P1395" s="573">
        <v>83.2</v>
      </c>
      <c r="Q1395" s="571" t="s">
        <v>157</v>
      </c>
      <c r="R1395" s="573" t="s">
        <v>1259</v>
      </c>
      <c r="S1395" s="573">
        <v>6</v>
      </c>
      <c r="T1395" s="573" t="s">
        <v>2749</v>
      </c>
      <c r="U1395" s="573" t="s">
        <v>1894</v>
      </c>
      <c r="V1395" s="573">
        <v>129.9</v>
      </c>
      <c r="W1395" s="573">
        <v>25</v>
      </c>
      <c r="X1395" s="571">
        <v>9500</v>
      </c>
      <c r="Y1395" s="573">
        <v>12</v>
      </c>
      <c r="Z1395" s="579" t="s">
        <v>178</v>
      </c>
      <c r="AA1395" s="579" t="s">
        <v>178</v>
      </c>
      <c r="AB1395" s="584">
        <v>39400</v>
      </c>
      <c r="AC1395" s="584" t="s">
        <v>164</v>
      </c>
      <c r="AD1395" s="584">
        <v>27724.666666666668</v>
      </c>
      <c r="AE1395" s="586">
        <v>0.03</v>
      </c>
      <c r="AF1395" s="661" t="str">
        <f t="shared" si="150"/>
        <v>2019-LVN-FRD-T35V-024-05</v>
      </c>
      <c r="AG1395" s="661" t="str">
        <f>IF(AND($Y1395&gt;=32,(AI1395="I"),(Y1395&lt;&gt;"~"),(COUNTIF($AN$1:$AN1395,$AN1395)=1)),"TRUE","FALSE")</f>
        <v>FALSE</v>
      </c>
      <c r="AH1395" s="661" t="str">
        <f>IF(AND($Y1395&gt;=22, (AI1395&lt;&gt;"I"),(Y1395&lt;&gt;"~"),(COUNTIF($AN$1:$AN1395,$AN1395)=1)),"TRUE","FALSE")</f>
        <v>FALSE</v>
      </c>
      <c r="AI1395" s="661" t="str">
        <f t="shared" si="152"/>
        <v>II</v>
      </c>
      <c r="AJ1395" s="662" t="str">
        <f t="shared" si="146"/>
        <v>T35V-024</v>
      </c>
      <c r="AK1395" s="662" t="str">
        <f t="shared" si="147"/>
        <v>LVN</v>
      </c>
      <c r="AL1395" s="662" t="str">
        <f t="shared" si="148"/>
        <v>FRD</v>
      </c>
      <c r="AM1395" s="662" t="str">
        <f t="shared" si="151"/>
        <v>Transit 350 Van-Swing-Out RH Door-RWD-2-83.2-~-3.5L EcoBoost-6-W1Z-101A-129.9-25-Unleaded-Unleaded</v>
      </c>
      <c r="AN1395" s="662" t="str">
        <f t="shared" si="149"/>
        <v>2019-LVN-FRD-T35V-024</v>
      </c>
    </row>
    <row r="1396" spans="1:40" s="572" customFormat="1" ht="15">
      <c r="A1396" s="570" t="s">
        <v>2750</v>
      </c>
      <c r="B1396" s="569" t="s">
        <v>2751</v>
      </c>
      <c r="C1396" s="569" t="s">
        <v>269</v>
      </c>
      <c r="D1396" s="580" t="s">
        <v>270</v>
      </c>
      <c r="E1396" s="569" t="s">
        <v>1516</v>
      </c>
      <c r="F1396" s="569" t="s">
        <v>1571</v>
      </c>
      <c r="G1396" s="569" t="s">
        <v>271</v>
      </c>
      <c r="H1396" s="569">
        <v>2019</v>
      </c>
      <c r="I1396" s="569" t="s">
        <v>2628</v>
      </c>
      <c r="J1396" s="569" t="s">
        <v>2014</v>
      </c>
      <c r="K1396" s="569" t="s">
        <v>236</v>
      </c>
      <c r="L1396" s="569">
        <v>2</v>
      </c>
      <c r="M1396" s="569">
        <v>0</v>
      </c>
      <c r="N1396" s="569" t="s">
        <v>157</v>
      </c>
      <c r="O1396" s="569">
        <v>1</v>
      </c>
      <c r="P1396" s="569">
        <v>83.2</v>
      </c>
      <c r="Q1396" s="568" t="s">
        <v>157</v>
      </c>
      <c r="R1396" s="569" t="s">
        <v>1259</v>
      </c>
      <c r="S1396" s="569">
        <v>6</v>
      </c>
      <c r="T1396" s="569" t="s">
        <v>2752</v>
      </c>
      <c r="U1396" s="569" t="s">
        <v>1894</v>
      </c>
      <c r="V1396" s="569">
        <v>147.6</v>
      </c>
      <c r="W1396" s="569">
        <v>25</v>
      </c>
      <c r="X1396" s="568">
        <v>9500</v>
      </c>
      <c r="Y1396" s="573">
        <v>12</v>
      </c>
      <c r="Z1396" s="581" t="s">
        <v>178</v>
      </c>
      <c r="AA1396" s="581" t="s">
        <v>178</v>
      </c>
      <c r="AB1396" s="585">
        <v>40280</v>
      </c>
      <c r="AC1396" s="585" t="s">
        <v>164</v>
      </c>
      <c r="AD1396" s="585">
        <v>28528.833333333336</v>
      </c>
      <c r="AE1396" s="587">
        <v>0.03</v>
      </c>
      <c r="AF1396" s="661" t="str">
        <f t="shared" si="150"/>
        <v>2019-LVN-FRD-T35V-025-05</v>
      </c>
      <c r="AG1396" s="661" t="str">
        <f>IF(AND($Y1396&gt;=32,(AI1396="I"),(Y1396&lt;&gt;"~"),(COUNTIF($AN$1:$AN1396,$AN1396)=1)),"TRUE","FALSE")</f>
        <v>FALSE</v>
      </c>
      <c r="AH1396" s="661" t="str">
        <f>IF(AND($Y1396&gt;=22, (AI1396&lt;&gt;"I"),(Y1396&lt;&gt;"~"),(COUNTIF($AN$1:$AN1396,$AN1396)=1)),"TRUE","FALSE")</f>
        <v>FALSE</v>
      </c>
      <c r="AI1396" s="661" t="str">
        <f t="shared" si="152"/>
        <v>II</v>
      </c>
      <c r="AJ1396" s="662" t="str">
        <f t="shared" si="146"/>
        <v>T35V-025</v>
      </c>
      <c r="AK1396" s="662" t="str">
        <f t="shared" si="147"/>
        <v>LVN</v>
      </c>
      <c r="AL1396" s="662" t="str">
        <f t="shared" si="148"/>
        <v>FRD</v>
      </c>
      <c r="AM1396" s="662" t="str">
        <f t="shared" si="151"/>
        <v>Transit 350 Van-Swing-Out RH Door-RWD-2-83.2-~-3.5L EcoBoost-6-W2Z-101A-147.6-25-Unleaded-Unleaded</v>
      </c>
      <c r="AN1396" s="662" t="str">
        <f t="shared" si="149"/>
        <v>2019-LVN-FRD-T35V-025</v>
      </c>
    </row>
    <row r="1397" spans="1:40" s="572" customFormat="1" ht="15">
      <c r="A1397" s="570" t="s">
        <v>2753</v>
      </c>
      <c r="B1397" s="573" t="s">
        <v>2754</v>
      </c>
      <c r="C1397" s="573" t="s">
        <v>269</v>
      </c>
      <c r="D1397" s="578" t="s">
        <v>270</v>
      </c>
      <c r="E1397" s="573" t="s">
        <v>1516</v>
      </c>
      <c r="F1397" s="573" t="s">
        <v>1571</v>
      </c>
      <c r="G1397" s="573" t="s">
        <v>271</v>
      </c>
      <c r="H1397" s="573">
        <v>2019</v>
      </c>
      <c r="I1397" s="573" t="s">
        <v>2628</v>
      </c>
      <c r="J1397" s="573" t="s">
        <v>2014</v>
      </c>
      <c r="K1397" s="573" t="s">
        <v>236</v>
      </c>
      <c r="L1397" s="573">
        <v>2</v>
      </c>
      <c r="M1397" s="573">
        <v>0</v>
      </c>
      <c r="N1397" s="573" t="s">
        <v>157</v>
      </c>
      <c r="O1397" s="573">
        <v>1</v>
      </c>
      <c r="P1397" s="573">
        <v>83.2</v>
      </c>
      <c r="Q1397" s="571" t="s">
        <v>157</v>
      </c>
      <c r="R1397" s="573" t="s">
        <v>682</v>
      </c>
      <c r="S1397" s="573">
        <v>6</v>
      </c>
      <c r="T1397" s="573" t="s">
        <v>2749</v>
      </c>
      <c r="U1397" s="573" t="s">
        <v>1894</v>
      </c>
      <c r="V1397" s="573">
        <v>129.9</v>
      </c>
      <c r="W1397" s="573">
        <v>25</v>
      </c>
      <c r="X1397" s="571">
        <v>9500</v>
      </c>
      <c r="Y1397" s="573">
        <v>12</v>
      </c>
      <c r="Z1397" s="579" t="s">
        <v>178</v>
      </c>
      <c r="AA1397" s="579" t="s">
        <v>178</v>
      </c>
      <c r="AB1397" s="584">
        <v>37535</v>
      </c>
      <c r="AC1397" s="584" t="s">
        <v>164</v>
      </c>
      <c r="AD1397" s="584">
        <v>26068.416666666668</v>
      </c>
      <c r="AE1397" s="586">
        <v>0.03</v>
      </c>
      <c r="AF1397" s="661" t="str">
        <f t="shared" si="150"/>
        <v>2019-LVN-FRD-T35V-026-05</v>
      </c>
      <c r="AG1397" s="661" t="str">
        <f>IF(AND($Y1397&gt;=32,(AI1397="I"),(Y1397&lt;&gt;"~"),(COUNTIF($AN$1:$AN1397,$AN1397)=1)),"TRUE","FALSE")</f>
        <v>FALSE</v>
      </c>
      <c r="AH1397" s="661" t="str">
        <f>IF(AND($Y1397&gt;=22, (AI1397&lt;&gt;"I"),(Y1397&lt;&gt;"~"),(COUNTIF($AN$1:$AN1397,$AN1397)=1)),"TRUE","FALSE")</f>
        <v>FALSE</v>
      </c>
      <c r="AI1397" s="661" t="str">
        <f t="shared" si="152"/>
        <v>II</v>
      </c>
      <c r="AJ1397" s="662" t="str">
        <f t="shared" si="146"/>
        <v>T35V-026</v>
      </c>
      <c r="AK1397" s="662" t="str">
        <f t="shared" si="147"/>
        <v>LVN</v>
      </c>
      <c r="AL1397" s="662" t="str">
        <f t="shared" si="148"/>
        <v>FRD</v>
      </c>
      <c r="AM1397" s="662" t="str">
        <f t="shared" si="151"/>
        <v>Transit 350 Van-Swing-Out RH Door-RWD-2-83.2-~-3.7L-6-W1Z-101A-129.9-25-Unleaded-Unleaded</v>
      </c>
      <c r="AN1397" s="662" t="str">
        <f t="shared" si="149"/>
        <v>2019-LVN-FRD-T35V-026</v>
      </c>
    </row>
    <row r="1398" spans="1:40" s="572" customFormat="1" ht="15">
      <c r="A1398" s="570" t="s">
        <v>2755</v>
      </c>
      <c r="B1398" s="569" t="s">
        <v>2756</v>
      </c>
      <c r="C1398" s="569" t="s">
        <v>269</v>
      </c>
      <c r="D1398" s="580" t="s">
        <v>270</v>
      </c>
      <c r="E1398" s="569" t="s">
        <v>1516</v>
      </c>
      <c r="F1398" s="569" t="s">
        <v>1571</v>
      </c>
      <c r="G1398" s="569" t="s">
        <v>271</v>
      </c>
      <c r="H1398" s="569">
        <v>2019</v>
      </c>
      <c r="I1398" s="569" t="s">
        <v>2628</v>
      </c>
      <c r="J1398" s="569" t="s">
        <v>2014</v>
      </c>
      <c r="K1398" s="569" t="s">
        <v>236</v>
      </c>
      <c r="L1398" s="569">
        <v>2</v>
      </c>
      <c r="M1398" s="569">
        <v>0</v>
      </c>
      <c r="N1398" s="569" t="s">
        <v>157</v>
      </c>
      <c r="O1398" s="569">
        <v>1</v>
      </c>
      <c r="P1398" s="569">
        <v>83.2</v>
      </c>
      <c r="Q1398" s="568" t="s">
        <v>157</v>
      </c>
      <c r="R1398" s="569" t="s">
        <v>682</v>
      </c>
      <c r="S1398" s="569">
        <v>6</v>
      </c>
      <c r="T1398" s="569" t="s">
        <v>2752</v>
      </c>
      <c r="U1398" s="569" t="s">
        <v>1894</v>
      </c>
      <c r="V1398" s="569">
        <v>147.6</v>
      </c>
      <c r="W1398" s="569">
        <v>25</v>
      </c>
      <c r="X1398" s="568">
        <v>9500</v>
      </c>
      <c r="Y1398" s="573">
        <v>12</v>
      </c>
      <c r="Z1398" s="581" t="s">
        <v>178</v>
      </c>
      <c r="AA1398" s="581" t="s">
        <v>178</v>
      </c>
      <c r="AB1398" s="585">
        <v>38415</v>
      </c>
      <c r="AC1398" s="585" t="s">
        <v>164</v>
      </c>
      <c r="AD1398" s="585">
        <v>26872.583333333336</v>
      </c>
      <c r="AE1398" s="587">
        <v>0.03</v>
      </c>
      <c r="AF1398" s="661" t="str">
        <f t="shared" si="150"/>
        <v>2019-LVN-FRD-T35V-027-05</v>
      </c>
      <c r="AG1398" s="661" t="str">
        <f>IF(AND($Y1398&gt;=32,(AI1398="I"),(Y1398&lt;&gt;"~"),(COUNTIF($AN$1:$AN1398,$AN1398)=1)),"TRUE","FALSE")</f>
        <v>FALSE</v>
      </c>
      <c r="AH1398" s="661" t="str">
        <f>IF(AND($Y1398&gt;=22, (AI1398&lt;&gt;"I"),(Y1398&lt;&gt;"~"),(COUNTIF($AN$1:$AN1398,$AN1398)=1)),"TRUE","FALSE")</f>
        <v>FALSE</v>
      </c>
      <c r="AI1398" s="661" t="str">
        <f t="shared" si="152"/>
        <v>II</v>
      </c>
      <c r="AJ1398" s="662" t="str">
        <f t="shared" si="146"/>
        <v>T35V-027</v>
      </c>
      <c r="AK1398" s="662" t="str">
        <f t="shared" si="147"/>
        <v>LVN</v>
      </c>
      <c r="AL1398" s="662" t="str">
        <f t="shared" si="148"/>
        <v>FRD</v>
      </c>
      <c r="AM1398" s="662" t="str">
        <f t="shared" si="151"/>
        <v>Transit 350 Van-Swing-Out RH Door-RWD-2-83.2-~-3.7L-6-W2Z-101A-147.6-25-Unleaded-Unleaded</v>
      </c>
      <c r="AN1398" s="662" t="str">
        <f t="shared" si="149"/>
        <v>2019-LVN-FRD-T35V-027</v>
      </c>
    </row>
    <row r="1399" spans="1:40" s="572" customFormat="1" ht="15">
      <c r="A1399" s="570" t="s">
        <v>2757</v>
      </c>
      <c r="B1399" s="573" t="s">
        <v>2748</v>
      </c>
      <c r="C1399" s="573" t="s">
        <v>278</v>
      </c>
      <c r="D1399" s="578">
        <v>15</v>
      </c>
      <c r="E1399" s="573" t="s">
        <v>1516</v>
      </c>
      <c r="F1399" s="573" t="s">
        <v>1571</v>
      </c>
      <c r="G1399" s="573" t="s">
        <v>271</v>
      </c>
      <c r="H1399" s="573">
        <v>2019</v>
      </c>
      <c r="I1399" s="573" t="s">
        <v>2628</v>
      </c>
      <c r="J1399" s="573" t="s">
        <v>2014</v>
      </c>
      <c r="K1399" s="573" t="s">
        <v>236</v>
      </c>
      <c r="L1399" s="573">
        <v>2</v>
      </c>
      <c r="M1399" s="573">
        <v>0</v>
      </c>
      <c r="N1399" s="573" t="s">
        <v>157</v>
      </c>
      <c r="O1399" s="573">
        <v>1</v>
      </c>
      <c r="P1399" s="573">
        <v>83.2</v>
      </c>
      <c r="Q1399" s="571" t="s">
        <v>157</v>
      </c>
      <c r="R1399" s="573" t="s">
        <v>1259</v>
      </c>
      <c r="S1399" s="573">
        <v>6</v>
      </c>
      <c r="T1399" s="573" t="s">
        <v>2749</v>
      </c>
      <c r="U1399" s="573" t="s">
        <v>1894</v>
      </c>
      <c r="V1399" s="573">
        <v>129.9</v>
      </c>
      <c r="W1399" s="573">
        <v>25</v>
      </c>
      <c r="X1399" s="571">
        <v>9500</v>
      </c>
      <c r="Y1399" s="573">
        <v>12</v>
      </c>
      <c r="Z1399" s="579" t="s">
        <v>178</v>
      </c>
      <c r="AA1399" s="579" t="s">
        <v>178</v>
      </c>
      <c r="AB1399" s="584">
        <v>39400</v>
      </c>
      <c r="AC1399" s="584" t="s">
        <v>164</v>
      </c>
      <c r="AD1399" s="584">
        <v>28300</v>
      </c>
      <c r="AE1399" s="586">
        <v>0.01</v>
      </c>
      <c r="AF1399" s="661" t="str">
        <f t="shared" si="150"/>
        <v>2019-LVN-FRD-T35V-024-15</v>
      </c>
      <c r="AG1399" s="661" t="str">
        <f>IF(AND($Y1399&gt;=32,(AI1399="I"),(Y1399&lt;&gt;"~"),(COUNTIF($AN$1:$AN1399,$AN1399)=1)),"TRUE","FALSE")</f>
        <v>FALSE</v>
      </c>
      <c r="AH1399" s="661" t="str">
        <f>IF(AND($Y1399&gt;=22, (AI1399&lt;&gt;"I"),(Y1399&lt;&gt;"~"),(COUNTIF($AN$1:$AN1399,$AN1399)=1)),"TRUE","FALSE")</f>
        <v>FALSE</v>
      </c>
      <c r="AI1399" s="661" t="str">
        <f t="shared" si="152"/>
        <v>II</v>
      </c>
      <c r="AJ1399" s="662" t="str">
        <f t="shared" si="146"/>
        <v>T35V-024</v>
      </c>
      <c r="AK1399" s="662" t="str">
        <f t="shared" si="147"/>
        <v>LVN</v>
      </c>
      <c r="AL1399" s="662" t="str">
        <f t="shared" si="148"/>
        <v>FRD</v>
      </c>
      <c r="AM1399" s="662" t="str">
        <f t="shared" si="151"/>
        <v>Transit 350 Van-Swing-Out RH Door-RWD-2-83.2-~-3.5L EcoBoost-6-W1Z-101A-129.9-25-Unleaded-Unleaded</v>
      </c>
      <c r="AN1399" s="662" t="str">
        <f t="shared" si="149"/>
        <v>2019-LVN-FRD-T35V-024</v>
      </c>
    </row>
    <row r="1400" spans="1:40" s="572" customFormat="1" ht="15">
      <c r="A1400" s="570" t="s">
        <v>2758</v>
      </c>
      <c r="B1400" s="569" t="s">
        <v>2751</v>
      </c>
      <c r="C1400" s="569" t="s">
        <v>278</v>
      </c>
      <c r="D1400" s="580">
        <v>15</v>
      </c>
      <c r="E1400" s="569" t="s">
        <v>1516</v>
      </c>
      <c r="F1400" s="569" t="s">
        <v>1571</v>
      </c>
      <c r="G1400" s="569" t="s">
        <v>271</v>
      </c>
      <c r="H1400" s="569">
        <v>2019</v>
      </c>
      <c r="I1400" s="569" t="s">
        <v>2628</v>
      </c>
      <c r="J1400" s="569" t="s">
        <v>2014</v>
      </c>
      <c r="K1400" s="569" t="s">
        <v>236</v>
      </c>
      <c r="L1400" s="569">
        <v>2</v>
      </c>
      <c r="M1400" s="569">
        <v>0</v>
      </c>
      <c r="N1400" s="569" t="s">
        <v>157</v>
      </c>
      <c r="O1400" s="569">
        <v>1</v>
      </c>
      <c r="P1400" s="569">
        <v>83.2</v>
      </c>
      <c r="Q1400" s="568" t="s">
        <v>157</v>
      </c>
      <c r="R1400" s="569" t="s">
        <v>1259</v>
      </c>
      <c r="S1400" s="569">
        <v>6</v>
      </c>
      <c r="T1400" s="569" t="s">
        <v>2752</v>
      </c>
      <c r="U1400" s="569" t="s">
        <v>1894</v>
      </c>
      <c r="V1400" s="569">
        <v>147.6</v>
      </c>
      <c r="W1400" s="569">
        <v>25</v>
      </c>
      <c r="X1400" s="568">
        <v>9500</v>
      </c>
      <c r="Y1400" s="573">
        <v>12</v>
      </c>
      <c r="Z1400" s="581" t="s">
        <v>178</v>
      </c>
      <c r="AA1400" s="581" t="s">
        <v>178</v>
      </c>
      <c r="AB1400" s="585">
        <v>40280</v>
      </c>
      <c r="AC1400" s="585" t="s">
        <v>164</v>
      </c>
      <c r="AD1400" s="585">
        <v>29100</v>
      </c>
      <c r="AE1400" s="587">
        <v>0.01</v>
      </c>
      <c r="AF1400" s="661" t="str">
        <f t="shared" si="150"/>
        <v>2019-LVN-FRD-T35V-025-15</v>
      </c>
      <c r="AG1400" s="661" t="str">
        <f>IF(AND($Y1400&gt;=32,(AI1400="I"),(Y1400&lt;&gt;"~"),(COUNTIF($AN$1:$AN1400,$AN1400)=1)),"TRUE","FALSE")</f>
        <v>FALSE</v>
      </c>
      <c r="AH1400" s="661" t="str">
        <f>IF(AND($Y1400&gt;=22, (AI1400&lt;&gt;"I"),(Y1400&lt;&gt;"~"),(COUNTIF($AN$1:$AN1400,$AN1400)=1)),"TRUE","FALSE")</f>
        <v>FALSE</v>
      </c>
      <c r="AI1400" s="661" t="str">
        <f t="shared" si="152"/>
        <v>II</v>
      </c>
      <c r="AJ1400" s="662" t="str">
        <f t="shared" si="146"/>
        <v>T35V-025</v>
      </c>
      <c r="AK1400" s="662" t="str">
        <f t="shared" si="147"/>
        <v>LVN</v>
      </c>
      <c r="AL1400" s="662" t="str">
        <f t="shared" si="148"/>
        <v>FRD</v>
      </c>
      <c r="AM1400" s="662" t="str">
        <f t="shared" si="151"/>
        <v>Transit 350 Van-Swing-Out RH Door-RWD-2-83.2-~-3.5L EcoBoost-6-W2Z-101A-147.6-25-Unleaded-Unleaded</v>
      </c>
      <c r="AN1400" s="662" t="str">
        <f t="shared" si="149"/>
        <v>2019-LVN-FRD-T35V-025</v>
      </c>
    </row>
    <row r="1401" spans="1:40" s="572" customFormat="1" ht="15">
      <c r="A1401" s="570" t="s">
        <v>2759</v>
      </c>
      <c r="B1401" s="573" t="s">
        <v>2754</v>
      </c>
      <c r="C1401" s="573" t="s">
        <v>278</v>
      </c>
      <c r="D1401" s="578">
        <v>15</v>
      </c>
      <c r="E1401" s="573" t="s">
        <v>1516</v>
      </c>
      <c r="F1401" s="573" t="s">
        <v>1571</v>
      </c>
      <c r="G1401" s="573" t="s">
        <v>271</v>
      </c>
      <c r="H1401" s="573">
        <v>2019</v>
      </c>
      <c r="I1401" s="573" t="s">
        <v>2628</v>
      </c>
      <c r="J1401" s="573" t="s">
        <v>2014</v>
      </c>
      <c r="K1401" s="573" t="s">
        <v>236</v>
      </c>
      <c r="L1401" s="573">
        <v>2</v>
      </c>
      <c r="M1401" s="573">
        <v>0</v>
      </c>
      <c r="N1401" s="573" t="s">
        <v>157</v>
      </c>
      <c r="O1401" s="573">
        <v>1</v>
      </c>
      <c r="P1401" s="573">
        <v>83.2</v>
      </c>
      <c r="Q1401" s="571" t="s">
        <v>157</v>
      </c>
      <c r="R1401" s="573" t="s">
        <v>682</v>
      </c>
      <c r="S1401" s="573">
        <v>6</v>
      </c>
      <c r="T1401" s="573" t="s">
        <v>2749</v>
      </c>
      <c r="U1401" s="573" t="s">
        <v>1894</v>
      </c>
      <c r="V1401" s="573">
        <v>129.9</v>
      </c>
      <c r="W1401" s="573">
        <v>25</v>
      </c>
      <c r="X1401" s="571">
        <v>9500</v>
      </c>
      <c r="Y1401" s="573">
        <v>12</v>
      </c>
      <c r="Z1401" s="579" t="s">
        <v>178</v>
      </c>
      <c r="AA1401" s="579" t="s">
        <v>178</v>
      </c>
      <c r="AB1401" s="584">
        <v>37535</v>
      </c>
      <c r="AC1401" s="584" t="s">
        <v>164</v>
      </c>
      <c r="AD1401" s="584">
        <v>26550</v>
      </c>
      <c r="AE1401" s="586">
        <v>0.01</v>
      </c>
      <c r="AF1401" s="661" t="str">
        <f t="shared" si="150"/>
        <v>2019-LVN-FRD-T35V-026-15</v>
      </c>
      <c r="AG1401" s="661" t="str">
        <f>IF(AND($Y1401&gt;=32,(AI1401="I"),(Y1401&lt;&gt;"~"),(COUNTIF($AN$1:$AN1401,$AN1401)=1)),"TRUE","FALSE")</f>
        <v>FALSE</v>
      </c>
      <c r="AH1401" s="661" t="str">
        <f>IF(AND($Y1401&gt;=22, (AI1401&lt;&gt;"I"),(Y1401&lt;&gt;"~"),(COUNTIF($AN$1:$AN1401,$AN1401)=1)),"TRUE","FALSE")</f>
        <v>FALSE</v>
      </c>
      <c r="AI1401" s="661" t="str">
        <f t="shared" si="152"/>
        <v>II</v>
      </c>
      <c r="AJ1401" s="662" t="str">
        <f t="shared" si="146"/>
        <v>T35V-026</v>
      </c>
      <c r="AK1401" s="662" t="str">
        <f t="shared" si="147"/>
        <v>LVN</v>
      </c>
      <c r="AL1401" s="662" t="str">
        <f t="shared" si="148"/>
        <v>FRD</v>
      </c>
      <c r="AM1401" s="662" t="str">
        <f t="shared" si="151"/>
        <v>Transit 350 Van-Swing-Out RH Door-RWD-2-83.2-~-3.7L-6-W1Z-101A-129.9-25-Unleaded-Unleaded</v>
      </c>
      <c r="AN1401" s="662" t="str">
        <f t="shared" si="149"/>
        <v>2019-LVN-FRD-T35V-026</v>
      </c>
    </row>
    <row r="1402" spans="1:40" s="572" customFormat="1" ht="15">
      <c r="A1402" s="570" t="s">
        <v>2760</v>
      </c>
      <c r="B1402" s="569" t="s">
        <v>2756</v>
      </c>
      <c r="C1402" s="569" t="s">
        <v>278</v>
      </c>
      <c r="D1402" s="580">
        <v>15</v>
      </c>
      <c r="E1402" s="569" t="s">
        <v>1516</v>
      </c>
      <c r="F1402" s="569" t="s">
        <v>1571</v>
      </c>
      <c r="G1402" s="569" t="s">
        <v>271</v>
      </c>
      <c r="H1402" s="569">
        <v>2019</v>
      </c>
      <c r="I1402" s="569" t="s">
        <v>2628</v>
      </c>
      <c r="J1402" s="569" t="s">
        <v>2014</v>
      </c>
      <c r="K1402" s="569" t="s">
        <v>236</v>
      </c>
      <c r="L1402" s="569">
        <v>2</v>
      </c>
      <c r="M1402" s="569">
        <v>0</v>
      </c>
      <c r="N1402" s="569" t="s">
        <v>157</v>
      </c>
      <c r="O1402" s="569">
        <v>1</v>
      </c>
      <c r="P1402" s="569">
        <v>83.2</v>
      </c>
      <c r="Q1402" s="568" t="s">
        <v>157</v>
      </c>
      <c r="R1402" s="569" t="s">
        <v>682</v>
      </c>
      <c r="S1402" s="569">
        <v>6</v>
      </c>
      <c r="T1402" s="569" t="s">
        <v>2752</v>
      </c>
      <c r="U1402" s="569" t="s">
        <v>1894</v>
      </c>
      <c r="V1402" s="569">
        <v>147.6</v>
      </c>
      <c r="W1402" s="569">
        <v>25</v>
      </c>
      <c r="X1402" s="568">
        <v>9500</v>
      </c>
      <c r="Y1402" s="573">
        <v>12</v>
      </c>
      <c r="Z1402" s="581" t="s">
        <v>178</v>
      </c>
      <c r="AA1402" s="581" t="s">
        <v>178</v>
      </c>
      <c r="AB1402" s="585">
        <v>38415</v>
      </c>
      <c r="AC1402" s="585" t="s">
        <v>164</v>
      </c>
      <c r="AD1402" s="585">
        <v>27400</v>
      </c>
      <c r="AE1402" s="587">
        <v>0.01</v>
      </c>
      <c r="AF1402" s="661" t="str">
        <f t="shared" si="150"/>
        <v>2019-LVN-FRD-T35V-027-15</v>
      </c>
      <c r="AG1402" s="661" t="str">
        <f>IF(AND($Y1402&gt;=32,(AI1402="I"),(Y1402&lt;&gt;"~"),(COUNTIF($AN$1:$AN1402,$AN1402)=1)),"TRUE","FALSE")</f>
        <v>FALSE</v>
      </c>
      <c r="AH1402" s="661" t="str">
        <f>IF(AND($Y1402&gt;=22, (AI1402&lt;&gt;"I"),(Y1402&lt;&gt;"~"),(COUNTIF($AN$1:$AN1402,$AN1402)=1)),"TRUE","FALSE")</f>
        <v>FALSE</v>
      </c>
      <c r="AI1402" s="661" t="str">
        <f t="shared" si="152"/>
        <v>II</v>
      </c>
      <c r="AJ1402" s="662" t="str">
        <f t="shared" si="146"/>
        <v>T35V-027</v>
      </c>
      <c r="AK1402" s="662" t="str">
        <f t="shared" si="147"/>
        <v>LVN</v>
      </c>
      <c r="AL1402" s="662" t="str">
        <f t="shared" si="148"/>
        <v>FRD</v>
      </c>
      <c r="AM1402" s="662" t="str">
        <f t="shared" si="151"/>
        <v>Transit 350 Van-Swing-Out RH Door-RWD-2-83.2-~-3.7L-6-W2Z-101A-147.6-25-Unleaded-Unleaded</v>
      </c>
      <c r="AN1402" s="662" t="str">
        <f t="shared" si="149"/>
        <v>2019-LVN-FRD-T35V-027</v>
      </c>
    </row>
    <row r="1403" spans="1:40" s="572" customFormat="1" ht="15">
      <c r="A1403" s="570" t="s">
        <v>2761</v>
      </c>
      <c r="B1403" s="573" t="s">
        <v>2754</v>
      </c>
      <c r="C1403" s="573" t="s">
        <v>287</v>
      </c>
      <c r="D1403" s="578">
        <v>26</v>
      </c>
      <c r="E1403" s="573" t="s">
        <v>1516</v>
      </c>
      <c r="F1403" s="573" t="s">
        <v>1571</v>
      </c>
      <c r="G1403" s="573" t="s">
        <v>271</v>
      </c>
      <c r="H1403" s="573">
        <v>2019</v>
      </c>
      <c r="I1403" s="573" t="s">
        <v>2628</v>
      </c>
      <c r="J1403" s="573" t="s">
        <v>2014</v>
      </c>
      <c r="K1403" s="573" t="s">
        <v>236</v>
      </c>
      <c r="L1403" s="573">
        <v>2</v>
      </c>
      <c r="M1403" s="573">
        <v>0</v>
      </c>
      <c r="N1403" s="573" t="s">
        <v>157</v>
      </c>
      <c r="O1403" s="573">
        <v>1</v>
      </c>
      <c r="P1403" s="573">
        <v>83.2</v>
      </c>
      <c r="Q1403" s="571" t="s">
        <v>157</v>
      </c>
      <c r="R1403" s="573" t="s">
        <v>682</v>
      </c>
      <c r="S1403" s="573">
        <v>6</v>
      </c>
      <c r="T1403" s="573" t="s">
        <v>2749</v>
      </c>
      <c r="U1403" s="573" t="s">
        <v>1894</v>
      </c>
      <c r="V1403" s="573">
        <v>129.9</v>
      </c>
      <c r="W1403" s="573">
        <v>25</v>
      </c>
      <c r="X1403" s="571">
        <v>9500</v>
      </c>
      <c r="Y1403" s="573">
        <v>12</v>
      </c>
      <c r="Z1403" s="579" t="s">
        <v>178</v>
      </c>
      <c r="AA1403" s="579" t="s">
        <v>178</v>
      </c>
      <c r="AB1403" s="584">
        <v>37535</v>
      </c>
      <c r="AC1403" s="584" t="s">
        <v>164</v>
      </c>
      <c r="AD1403" s="584">
        <v>27018</v>
      </c>
      <c r="AE1403" s="586">
        <v>0.05</v>
      </c>
      <c r="AF1403" s="661" t="str">
        <f t="shared" si="150"/>
        <v>2019-LVN-FRD-T35V-026-26</v>
      </c>
      <c r="AG1403" s="661" t="str">
        <f>IF(AND($Y1403&gt;=32,(AI1403="I"),(Y1403&lt;&gt;"~"),(COUNTIF($AN$1:$AN1403,$AN1403)=1)),"TRUE","FALSE")</f>
        <v>FALSE</v>
      </c>
      <c r="AH1403" s="661" t="str">
        <f>IF(AND($Y1403&gt;=22, (AI1403&lt;&gt;"I"),(Y1403&lt;&gt;"~"),(COUNTIF($AN$1:$AN1403,$AN1403)=1)),"TRUE","FALSE")</f>
        <v>FALSE</v>
      </c>
      <c r="AI1403" s="661" t="str">
        <f t="shared" si="152"/>
        <v>II</v>
      </c>
      <c r="AJ1403" s="662" t="str">
        <f t="shared" si="146"/>
        <v>T35V-026</v>
      </c>
      <c r="AK1403" s="662" t="str">
        <f t="shared" si="147"/>
        <v>LVN</v>
      </c>
      <c r="AL1403" s="662" t="str">
        <f t="shared" si="148"/>
        <v>FRD</v>
      </c>
      <c r="AM1403" s="662" t="str">
        <f t="shared" si="151"/>
        <v>Transit 350 Van-Swing-Out RH Door-RWD-2-83.2-~-3.7L-6-W1Z-101A-129.9-25-Unleaded-Unleaded</v>
      </c>
      <c r="AN1403" s="662" t="str">
        <f t="shared" si="149"/>
        <v>2019-LVN-FRD-T35V-026</v>
      </c>
    </row>
    <row r="1404" spans="1:40" s="572" customFormat="1" ht="15">
      <c r="A1404" s="570" t="s">
        <v>2762</v>
      </c>
      <c r="B1404" s="569" t="s">
        <v>2756</v>
      </c>
      <c r="C1404" s="569" t="s">
        <v>287</v>
      </c>
      <c r="D1404" s="580">
        <v>26</v>
      </c>
      <c r="E1404" s="569" t="s">
        <v>1516</v>
      </c>
      <c r="F1404" s="569" t="s">
        <v>1571</v>
      </c>
      <c r="G1404" s="569" t="s">
        <v>271</v>
      </c>
      <c r="H1404" s="569">
        <v>2019</v>
      </c>
      <c r="I1404" s="569" t="s">
        <v>2628</v>
      </c>
      <c r="J1404" s="569" t="s">
        <v>2014</v>
      </c>
      <c r="K1404" s="569" t="s">
        <v>236</v>
      </c>
      <c r="L1404" s="569">
        <v>2</v>
      </c>
      <c r="M1404" s="569">
        <v>0</v>
      </c>
      <c r="N1404" s="569" t="s">
        <v>157</v>
      </c>
      <c r="O1404" s="569">
        <v>1</v>
      </c>
      <c r="P1404" s="569">
        <v>83.2</v>
      </c>
      <c r="Q1404" s="568" t="s">
        <v>157</v>
      </c>
      <c r="R1404" s="569" t="s">
        <v>682</v>
      </c>
      <c r="S1404" s="569">
        <v>6</v>
      </c>
      <c r="T1404" s="569" t="s">
        <v>2752</v>
      </c>
      <c r="U1404" s="569" t="s">
        <v>1894</v>
      </c>
      <c r="V1404" s="569">
        <v>147.6</v>
      </c>
      <c r="W1404" s="569">
        <v>25</v>
      </c>
      <c r="X1404" s="568">
        <v>9500</v>
      </c>
      <c r="Y1404" s="573">
        <v>12</v>
      </c>
      <c r="Z1404" s="581" t="s">
        <v>178</v>
      </c>
      <c r="AA1404" s="581" t="s">
        <v>178</v>
      </c>
      <c r="AB1404" s="585">
        <v>38415</v>
      </c>
      <c r="AC1404" s="585" t="s">
        <v>164</v>
      </c>
      <c r="AD1404" s="585">
        <v>27849</v>
      </c>
      <c r="AE1404" s="587">
        <v>0.05</v>
      </c>
      <c r="AF1404" s="661" t="str">
        <f t="shared" si="150"/>
        <v>2019-LVN-FRD-T35V-027-26</v>
      </c>
      <c r="AG1404" s="661" t="str">
        <f>IF(AND($Y1404&gt;=32,(AI1404="I"),(Y1404&lt;&gt;"~"),(COUNTIF($AN$1:$AN1404,$AN1404)=1)),"TRUE","FALSE")</f>
        <v>FALSE</v>
      </c>
      <c r="AH1404" s="661" t="str">
        <f>IF(AND($Y1404&gt;=22, (AI1404&lt;&gt;"I"),(Y1404&lt;&gt;"~"),(COUNTIF($AN$1:$AN1404,$AN1404)=1)),"TRUE","FALSE")</f>
        <v>FALSE</v>
      </c>
      <c r="AI1404" s="661" t="str">
        <f t="shared" si="152"/>
        <v>II</v>
      </c>
      <c r="AJ1404" s="662" t="str">
        <f t="shared" si="146"/>
        <v>T35V-027</v>
      </c>
      <c r="AK1404" s="662" t="str">
        <f t="shared" si="147"/>
        <v>LVN</v>
      </c>
      <c r="AL1404" s="662" t="str">
        <f t="shared" si="148"/>
        <v>FRD</v>
      </c>
      <c r="AM1404" s="662" t="str">
        <f t="shared" si="151"/>
        <v>Transit 350 Van-Swing-Out RH Door-RWD-2-83.2-~-3.7L-6-W2Z-101A-147.6-25-Unleaded-Unleaded</v>
      </c>
      <c r="AN1404" s="662" t="str">
        <f t="shared" si="149"/>
        <v>2019-LVN-FRD-T35V-027</v>
      </c>
    </row>
    <row r="1405" spans="1:40" s="572" customFormat="1" ht="15">
      <c r="A1405" s="570" t="s">
        <v>2763</v>
      </c>
      <c r="B1405" s="573" t="s">
        <v>2748</v>
      </c>
      <c r="C1405" s="573" t="s">
        <v>280</v>
      </c>
      <c r="D1405" s="578">
        <v>27</v>
      </c>
      <c r="E1405" s="573" t="s">
        <v>1516</v>
      </c>
      <c r="F1405" s="573" t="s">
        <v>1571</v>
      </c>
      <c r="G1405" s="573" t="s">
        <v>271</v>
      </c>
      <c r="H1405" s="573">
        <v>2019</v>
      </c>
      <c r="I1405" s="573" t="s">
        <v>2628</v>
      </c>
      <c r="J1405" s="573" t="s">
        <v>2014</v>
      </c>
      <c r="K1405" s="573" t="s">
        <v>236</v>
      </c>
      <c r="L1405" s="573">
        <v>2</v>
      </c>
      <c r="M1405" s="573">
        <v>0</v>
      </c>
      <c r="N1405" s="573" t="s">
        <v>157</v>
      </c>
      <c r="O1405" s="573">
        <v>1</v>
      </c>
      <c r="P1405" s="573">
        <v>83.2</v>
      </c>
      <c r="Q1405" s="571" t="s">
        <v>157</v>
      </c>
      <c r="R1405" s="573" t="s">
        <v>1259</v>
      </c>
      <c r="S1405" s="573">
        <v>6</v>
      </c>
      <c r="T1405" s="573" t="s">
        <v>2749</v>
      </c>
      <c r="U1405" s="573" t="s">
        <v>1894</v>
      </c>
      <c r="V1405" s="573">
        <v>129.9</v>
      </c>
      <c r="W1405" s="573">
        <v>25</v>
      </c>
      <c r="X1405" s="571">
        <v>9500</v>
      </c>
      <c r="Y1405" s="573">
        <v>12</v>
      </c>
      <c r="Z1405" s="579" t="s">
        <v>178</v>
      </c>
      <c r="AA1405" s="579" t="s">
        <v>178</v>
      </c>
      <c r="AB1405" s="584">
        <v>39400</v>
      </c>
      <c r="AC1405" s="584" t="s">
        <v>164</v>
      </c>
      <c r="AD1405" s="584">
        <v>27724.666666666668</v>
      </c>
      <c r="AE1405" s="586">
        <v>0.03</v>
      </c>
      <c r="AF1405" s="661" t="str">
        <f t="shared" si="150"/>
        <v>2019-LVN-FRD-T35V-024-27</v>
      </c>
      <c r="AG1405" s="661" t="str">
        <f>IF(AND($Y1405&gt;=32,(AI1405="I"),(Y1405&lt;&gt;"~"),(COUNTIF($AN$1:$AN1405,$AN1405)=1)),"TRUE","FALSE")</f>
        <v>FALSE</v>
      </c>
      <c r="AH1405" s="661" t="str">
        <f>IF(AND($Y1405&gt;=22, (AI1405&lt;&gt;"I"),(Y1405&lt;&gt;"~"),(COUNTIF($AN$1:$AN1405,$AN1405)=1)),"TRUE","FALSE")</f>
        <v>FALSE</v>
      </c>
      <c r="AI1405" s="661" t="str">
        <f t="shared" si="152"/>
        <v>II</v>
      </c>
      <c r="AJ1405" s="662" t="str">
        <f t="shared" si="146"/>
        <v>T35V-024</v>
      </c>
      <c r="AK1405" s="662" t="str">
        <f t="shared" si="147"/>
        <v>LVN</v>
      </c>
      <c r="AL1405" s="662" t="str">
        <f t="shared" si="148"/>
        <v>FRD</v>
      </c>
      <c r="AM1405" s="662" t="str">
        <f t="shared" si="151"/>
        <v>Transit 350 Van-Swing-Out RH Door-RWD-2-83.2-~-3.5L EcoBoost-6-W1Z-101A-129.9-25-Unleaded-Unleaded</v>
      </c>
      <c r="AN1405" s="662" t="str">
        <f t="shared" si="149"/>
        <v>2019-LVN-FRD-T35V-024</v>
      </c>
    </row>
    <row r="1406" spans="1:40" s="572" customFormat="1" ht="15">
      <c r="A1406" s="570" t="s">
        <v>2764</v>
      </c>
      <c r="B1406" s="569" t="s">
        <v>2751</v>
      </c>
      <c r="C1406" s="569" t="s">
        <v>280</v>
      </c>
      <c r="D1406" s="580">
        <v>27</v>
      </c>
      <c r="E1406" s="569" t="s">
        <v>1516</v>
      </c>
      <c r="F1406" s="569" t="s">
        <v>1571</v>
      </c>
      <c r="G1406" s="569" t="s">
        <v>271</v>
      </c>
      <c r="H1406" s="569">
        <v>2019</v>
      </c>
      <c r="I1406" s="569" t="s">
        <v>2628</v>
      </c>
      <c r="J1406" s="569" t="s">
        <v>2014</v>
      </c>
      <c r="K1406" s="569" t="s">
        <v>236</v>
      </c>
      <c r="L1406" s="569">
        <v>2</v>
      </c>
      <c r="M1406" s="569">
        <v>0</v>
      </c>
      <c r="N1406" s="569" t="s">
        <v>157</v>
      </c>
      <c r="O1406" s="569">
        <v>1</v>
      </c>
      <c r="P1406" s="569">
        <v>83.2</v>
      </c>
      <c r="Q1406" s="568" t="s">
        <v>157</v>
      </c>
      <c r="R1406" s="569" t="s">
        <v>1259</v>
      </c>
      <c r="S1406" s="569">
        <v>6</v>
      </c>
      <c r="T1406" s="569" t="s">
        <v>2752</v>
      </c>
      <c r="U1406" s="569" t="s">
        <v>1894</v>
      </c>
      <c r="V1406" s="569">
        <v>147.6</v>
      </c>
      <c r="W1406" s="569">
        <v>25</v>
      </c>
      <c r="X1406" s="568">
        <v>9500</v>
      </c>
      <c r="Y1406" s="573">
        <v>12</v>
      </c>
      <c r="Z1406" s="581" t="s">
        <v>178</v>
      </c>
      <c r="AA1406" s="581" t="s">
        <v>178</v>
      </c>
      <c r="AB1406" s="585">
        <v>40280</v>
      </c>
      <c r="AC1406" s="585" t="s">
        <v>164</v>
      </c>
      <c r="AD1406" s="585">
        <v>28528.833333333336</v>
      </c>
      <c r="AE1406" s="587">
        <v>0.03</v>
      </c>
      <c r="AF1406" s="661" t="str">
        <f t="shared" si="150"/>
        <v>2019-LVN-FRD-T35V-025-27</v>
      </c>
      <c r="AG1406" s="661" t="str">
        <f>IF(AND($Y1406&gt;=32,(AI1406="I"),(Y1406&lt;&gt;"~"),(COUNTIF($AN$1:$AN1406,$AN1406)=1)),"TRUE","FALSE")</f>
        <v>FALSE</v>
      </c>
      <c r="AH1406" s="661" t="str">
        <f>IF(AND($Y1406&gt;=22, (AI1406&lt;&gt;"I"),(Y1406&lt;&gt;"~"),(COUNTIF($AN$1:$AN1406,$AN1406)=1)),"TRUE","FALSE")</f>
        <v>FALSE</v>
      </c>
      <c r="AI1406" s="661" t="str">
        <f t="shared" si="152"/>
        <v>II</v>
      </c>
      <c r="AJ1406" s="662" t="str">
        <f t="shared" si="146"/>
        <v>T35V-025</v>
      </c>
      <c r="AK1406" s="662" t="str">
        <f t="shared" si="147"/>
        <v>LVN</v>
      </c>
      <c r="AL1406" s="662" t="str">
        <f t="shared" si="148"/>
        <v>FRD</v>
      </c>
      <c r="AM1406" s="662" t="str">
        <f t="shared" si="151"/>
        <v>Transit 350 Van-Swing-Out RH Door-RWD-2-83.2-~-3.5L EcoBoost-6-W2Z-101A-147.6-25-Unleaded-Unleaded</v>
      </c>
      <c r="AN1406" s="662" t="str">
        <f t="shared" si="149"/>
        <v>2019-LVN-FRD-T35V-025</v>
      </c>
    </row>
    <row r="1407" spans="1:40" s="572" customFormat="1" ht="15">
      <c r="A1407" s="570" t="s">
        <v>2765</v>
      </c>
      <c r="B1407" s="573" t="s">
        <v>2754</v>
      </c>
      <c r="C1407" s="573" t="s">
        <v>280</v>
      </c>
      <c r="D1407" s="578">
        <v>27</v>
      </c>
      <c r="E1407" s="573" t="s">
        <v>1516</v>
      </c>
      <c r="F1407" s="573" t="s">
        <v>1571</v>
      </c>
      <c r="G1407" s="573" t="s">
        <v>271</v>
      </c>
      <c r="H1407" s="573">
        <v>2019</v>
      </c>
      <c r="I1407" s="573" t="s">
        <v>2628</v>
      </c>
      <c r="J1407" s="573" t="s">
        <v>2014</v>
      </c>
      <c r="K1407" s="573" t="s">
        <v>236</v>
      </c>
      <c r="L1407" s="573">
        <v>2</v>
      </c>
      <c r="M1407" s="573">
        <v>0</v>
      </c>
      <c r="N1407" s="573" t="s">
        <v>157</v>
      </c>
      <c r="O1407" s="573">
        <v>1</v>
      </c>
      <c r="P1407" s="573">
        <v>83.2</v>
      </c>
      <c r="Q1407" s="571" t="s">
        <v>157</v>
      </c>
      <c r="R1407" s="573" t="s">
        <v>682</v>
      </c>
      <c r="S1407" s="573">
        <v>6</v>
      </c>
      <c r="T1407" s="573" t="s">
        <v>2749</v>
      </c>
      <c r="U1407" s="573" t="s">
        <v>1894</v>
      </c>
      <c r="V1407" s="573">
        <v>129.9</v>
      </c>
      <c r="W1407" s="573">
        <v>25</v>
      </c>
      <c r="X1407" s="571">
        <v>9500</v>
      </c>
      <c r="Y1407" s="573">
        <v>12</v>
      </c>
      <c r="Z1407" s="579" t="s">
        <v>178</v>
      </c>
      <c r="AA1407" s="579" t="s">
        <v>178</v>
      </c>
      <c r="AB1407" s="584">
        <v>37535</v>
      </c>
      <c r="AC1407" s="584" t="s">
        <v>164</v>
      </c>
      <c r="AD1407" s="584">
        <v>26068.416666666668</v>
      </c>
      <c r="AE1407" s="586">
        <v>0.03</v>
      </c>
      <c r="AF1407" s="661" t="str">
        <f t="shared" si="150"/>
        <v>2019-LVN-FRD-T35V-026-27</v>
      </c>
      <c r="AG1407" s="661" t="str">
        <f>IF(AND($Y1407&gt;=32,(AI1407="I"),(Y1407&lt;&gt;"~"),(COUNTIF($AN$1:$AN1407,$AN1407)=1)),"TRUE","FALSE")</f>
        <v>FALSE</v>
      </c>
      <c r="AH1407" s="661" t="str">
        <f>IF(AND($Y1407&gt;=22, (AI1407&lt;&gt;"I"),(Y1407&lt;&gt;"~"),(COUNTIF($AN$1:$AN1407,$AN1407)=1)),"TRUE","FALSE")</f>
        <v>FALSE</v>
      </c>
      <c r="AI1407" s="661" t="str">
        <f t="shared" si="152"/>
        <v>II</v>
      </c>
      <c r="AJ1407" s="662" t="str">
        <f t="shared" si="146"/>
        <v>T35V-026</v>
      </c>
      <c r="AK1407" s="662" t="str">
        <f t="shared" si="147"/>
        <v>LVN</v>
      </c>
      <c r="AL1407" s="662" t="str">
        <f t="shared" si="148"/>
        <v>FRD</v>
      </c>
      <c r="AM1407" s="662" t="str">
        <f t="shared" si="151"/>
        <v>Transit 350 Van-Swing-Out RH Door-RWD-2-83.2-~-3.7L-6-W1Z-101A-129.9-25-Unleaded-Unleaded</v>
      </c>
      <c r="AN1407" s="662" t="str">
        <f t="shared" si="149"/>
        <v>2019-LVN-FRD-T35V-026</v>
      </c>
    </row>
    <row r="1408" spans="1:40" s="572" customFormat="1" ht="15">
      <c r="A1408" s="570" t="s">
        <v>2766</v>
      </c>
      <c r="B1408" s="569" t="s">
        <v>2756</v>
      </c>
      <c r="C1408" s="569" t="s">
        <v>280</v>
      </c>
      <c r="D1408" s="580">
        <v>27</v>
      </c>
      <c r="E1408" s="569" t="s">
        <v>1516</v>
      </c>
      <c r="F1408" s="569" t="s">
        <v>1571</v>
      </c>
      <c r="G1408" s="569" t="s">
        <v>271</v>
      </c>
      <c r="H1408" s="569">
        <v>2019</v>
      </c>
      <c r="I1408" s="569" t="s">
        <v>2628</v>
      </c>
      <c r="J1408" s="569" t="s">
        <v>2014</v>
      </c>
      <c r="K1408" s="569" t="s">
        <v>236</v>
      </c>
      <c r="L1408" s="569">
        <v>2</v>
      </c>
      <c r="M1408" s="569">
        <v>0</v>
      </c>
      <c r="N1408" s="569" t="s">
        <v>157</v>
      </c>
      <c r="O1408" s="569">
        <v>1</v>
      </c>
      <c r="P1408" s="569">
        <v>83.2</v>
      </c>
      <c r="Q1408" s="568" t="s">
        <v>157</v>
      </c>
      <c r="R1408" s="569" t="s">
        <v>682</v>
      </c>
      <c r="S1408" s="569">
        <v>6</v>
      </c>
      <c r="T1408" s="569" t="s">
        <v>2752</v>
      </c>
      <c r="U1408" s="569" t="s">
        <v>1894</v>
      </c>
      <c r="V1408" s="569">
        <v>147.6</v>
      </c>
      <c r="W1408" s="569">
        <v>25</v>
      </c>
      <c r="X1408" s="568">
        <v>9500</v>
      </c>
      <c r="Y1408" s="573">
        <v>12</v>
      </c>
      <c r="Z1408" s="581" t="s">
        <v>178</v>
      </c>
      <c r="AA1408" s="581" t="s">
        <v>178</v>
      </c>
      <c r="AB1408" s="585">
        <v>38415</v>
      </c>
      <c r="AC1408" s="585" t="s">
        <v>164</v>
      </c>
      <c r="AD1408" s="585">
        <v>26872.583333333336</v>
      </c>
      <c r="AE1408" s="587">
        <v>0.03</v>
      </c>
      <c r="AF1408" s="661" t="str">
        <f t="shared" si="150"/>
        <v>2019-LVN-FRD-T35V-027-27</v>
      </c>
      <c r="AG1408" s="661" t="str">
        <f>IF(AND($Y1408&gt;=32,(AI1408="I"),(Y1408&lt;&gt;"~"),(COUNTIF($AN$1:$AN1408,$AN1408)=1)),"TRUE","FALSE")</f>
        <v>FALSE</v>
      </c>
      <c r="AH1408" s="661" t="str">
        <f>IF(AND($Y1408&gt;=22, (AI1408&lt;&gt;"I"),(Y1408&lt;&gt;"~"),(COUNTIF($AN$1:$AN1408,$AN1408)=1)),"TRUE","FALSE")</f>
        <v>FALSE</v>
      </c>
      <c r="AI1408" s="661" t="str">
        <f t="shared" si="152"/>
        <v>II</v>
      </c>
      <c r="AJ1408" s="662" t="str">
        <f t="shared" si="146"/>
        <v>T35V-027</v>
      </c>
      <c r="AK1408" s="662" t="str">
        <f t="shared" si="147"/>
        <v>LVN</v>
      </c>
      <c r="AL1408" s="662" t="str">
        <f t="shared" si="148"/>
        <v>FRD</v>
      </c>
      <c r="AM1408" s="662" t="str">
        <f t="shared" si="151"/>
        <v>Transit 350 Van-Swing-Out RH Door-RWD-2-83.2-~-3.7L-6-W2Z-101A-147.6-25-Unleaded-Unleaded</v>
      </c>
      <c r="AN1408" s="662" t="str">
        <f t="shared" si="149"/>
        <v>2019-LVN-FRD-T35V-027</v>
      </c>
    </row>
    <row r="1409" spans="1:40" s="572" customFormat="1" ht="15">
      <c r="A1409" s="570" t="s">
        <v>2767</v>
      </c>
      <c r="B1409" s="573" t="s">
        <v>2768</v>
      </c>
      <c r="C1409" s="573" t="s">
        <v>269</v>
      </c>
      <c r="D1409" s="578" t="s">
        <v>270</v>
      </c>
      <c r="E1409" s="573" t="s">
        <v>1516</v>
      </c>
      <c r="F1409" s="573" t="s">
        <v>1607</v>
      </c>
      <c r="G1409" s="573" t="s">
        <v>271</v>
      </c>
      <c r="H1409" s="573">
        <v>2019</v>
      </c>
      <c r="I1409" s="573" t="s">
        <v>2769</v>
      </c>
      <c r="J1409" s="573" t="s">
        <v>2048</v>
      </c>
      <c r="K1409" s="573" t="s">
        <v>236</v>
      </c>
      <c r="L1409" s="573">
        <v>12</v>
      </c>
      <c r="M1409" s="573">
        <v>0</v>
      </c>
      <c r="N1409" s="573" t="s">
        <v>157</v>
      </c>
      <c r="O1409" s="573">
        <v>4</v>
      </c>
      <c r="P1409" s="573">
        <v>108.6</v>
      </c>
      <c r="Q1409" s="571" t="s">
        <v>157</v>
      </c>
      <c r="R1409" s="573" t="s">
        <v>1917</v>
      </c>
      <c r="S1409" s="573">
        <v>5</v>
      </c>
      <c r="T1409" s="573" t="s">
        <v>2770</v>
      </c>
      <c r="U1409" s="573" t="s">
        <v>434</v>
      </c>
      <c r="V1409" s="573">
        <v>147.6</v>
      </c>
      <c r="W1409" s="573">
        <v>25</v>
      </c>
      <c r="X1409" s="571">
        <v>9250</v>
      </c>
      <c r="Y1409" s="573">
        <v>12</v>
      </c>
      <c r="Z1409" s="579" t="s">
        <v>728</v>
      </c>
      <c r="AA1409" s="579" t="s">
        <v>1523</v>
      </c>
      <c r="AB1409" s="584">
        <v>48010</v>
      </c>
      <c r="AC1409" s="584" t="s">
        <v>164</v>
      </c>
      <c r="AD1409" s="584">
        <v>37624.208333333336</v>
      </c>
      <c r="AE1409" s="586">
        <v>0.03</v>
      </c>
      <c r="AF1409" s="661" t="str">
        <f t="shared" si="150"/>
        <v>2019-LVN-FRD-T35W-001-05</v>
      </c>
      <c r="AG1409" s="661" t="str">
        <f>IF(AND($Y1409&gt;=32,(AI1409="I"),(Y1409&lt;&gt;"~"),(COUNTIF($AN$1:$AN1409,$AN1409)=1)),"TRUE","FALSE")</f>
        <v>FALSE</v>
      </c>
      <c r="AH1409" s="661" t="str">
        <f>IF(AND($Y1409&gt;=22, (AI1409&lt;&gt;"I"),(Y1409&lt;&gt;"~"),(COUNTIF($AN$1:$AN1409,$AN1409)=1)),"TRUE","FALSE")</f>
        <v>FALSE</v>
      </c>
      <c r="AI1409" s="661" t="str">
        <f t="shared" si="152"/>
        <v>II</v>
      </c>
      <c r="AJ1409" s="662" t="str">
        <f t="shared" si="146"/>
        <v>T35W-001</v>
      </c>
      <c r="AK1409" s="662" t="str">
        <f t="shared" si="147"/>
        <v>LVN</v>
      </c>
      <c r="AL1409" s="662" t="str">
        <f t="shared" si="148"/>
        <v>FRD</v>
      </c>
      <c r="AM1409" s="662" t="str">
        <f t="shared" si="151"/>
        <v>Transit 350 Wagon-XL Sliding RH Door-RWD-12-108.6-~-3.2L-5-X2X-301A-147.6-25-Diesel-BioDiesel</v>
      </c>
      <c r="AN1409" s="662" t="str">
        <f t="shared" si="149"/>
        <v>2019-LVN-FRD-T35W-001</v>
      </c>
    </row>
    <row r="1410" spans="1:40" s="572" customFormat="1" ht="15">
      <c r="A1410" s="570" t="s">
        <v>2771</v>
      </c>
      <c r="B1410" s="569" t="s">
        <v>2772</v>
      </c>
      <c r="C1410" s="569" t="s">
        <v>269</v>
      </c>
      <c r="D1410" s="580" t="s">
        <v>270</v>
      </c>
      <c r="E1410" s="569" t="s">
        <v>1516</v>
      </c>
      <c r="F1410" s="569" t="s">
        <v>1607</v>
      </c>
      <c r="G1410" s="569" t="s">
        <v>271</v>
      </c>
      <c r="H1410" s="569">
        <v>2019</v>
      </c>
      <c r="I1410" s="569" t="s">
        <v>2769</v>
      </c>
      <c r="J1410" s="569" t="s">
        <v>2048</v>
      </c>
      <c r="K1410" s="569" t="s">
        <v>236</v>
      </c>
      <c r="L1410" s="569">
        <v>12</v>
      </c>
      <c r="M1410" s="569">
        <v>0</v>
      </c>
      <c r="N1410" s="569" t="s">
        <v>157</v>
      </c>
      <c r="O1410" s="569">
        <v>4</v>
      </c>
      <c r="P1410" s="569">
        <v>108.6</v>
      </c>
      <c r="Q1410" s="568" t="s">
        <v>157</v>
      </c>
      <c r="R1410" s="569" t="s">
        <v>1259</v>
      </c>
      <c r="S1410" s="569">
        <v>6</v>
      </c>
      <c r="T1410" s="569" t="s">
        <v>2770</v>
      </c>
      <c r="U1410" s="569" t="s">
        <v>434</v>
      </c>
      <c r="V1410" s="569">
        <v>147.6</v>
      </c>
      <c r="W1410" s="569">
        <v>25</v>
      </c>
      <c r="X1410" s="568">
        <v>9000</v>
      </c>
      <c r="Y1410" s="569">
        <v>12</v>
      </c>
      <c r="Z1410" s="581" t="s">
        <v>178</v>
      </c>
      <c r="AA1410" s="581" t="s">
        <v>178</v>
      </c>
      <c r="AB1410" s="585">
        <v>45880</v>
      </c>
      <c r="AC1410" s="585" t="s">
        <v>164</v>
      </c>
      <c r="AD1410" s="585">
        <v>35730.916666666672</v>
      </c>
      <c r="AE1410" s="587">
        <v>0.03</v>
      </c>
      <c r="AF1410" s="661" t="str">
        <f t="shared" si="150"/>
        <v>2019-LVN-FRD-T35W-002-05</v>
      </c>
      <c r="AG1410" s="661" t="str">
        <f>IF(AND($Y1410&gt;=32,(AI1410="I"),(Y1410&lt;&gt;"~"),(COUNTIF($AN$1:$AN1410,$AN1410)=1)),"TRUE","FALSE")</f>
        <v>FALSE</v>
      </c>
      <c r="AH1410" s="661" t="str">
        <f>IF(AND($Y1410&gt;=22, (AI1410&lt;&gt;"I"),(Y1410&lt;&gt;"~"),(COUNTIF($AN$1:$AN1410,$AN1410)=1)),"TRUE","FALSE")</f>
        <v>FALSE</v>
      </c>
      <c r="AI1410" s="661" t="str">
        <f t="shared" si="152"/>
        <v>II</v>
      </c>
      <c r="AJ1410" s="662" t="str">
        <f t="shared" si="146"/>
        <v>T35W-002</v>
      </c>
      <c r="AK1410" s="662" t="str">
        <f t="shared" si="147"/>
        <v>LVN</v>
      </c>
      <c r="AL1410" s="662" t="str">
        <f t="shared" si="148"/>
        <v>FRD</v>
      </c>
      <c r="AM1410" s="662" t="str">
        <f t="shared" si="151"/>
        <v>Transit 350 Wagon-XL Sliding RH Door-RWD-12-108.6-~-3.5L EcoBoost-6-X2X-301A-147.6-25-Unleaded-Unleaded</v>
      </c>
      <c r="AN1410" s="662" t="str">
        <f t="shared" si="149"/>
        <v>2019-LVN-FRD-T35W-002</v>
      </c>
    </row>
    <row r="1411" spans="1:40" s="572" customFormat="1" ht="15">
      <c r="A1411" s="570" t="s">
        <v>2773</v>
      </c>
      <c r="B1411" s="573" t="s">
        <v>2774</v>
      </c>
      <c r="C1411" s="573" t="s">
        <v>269</v>
      </c>
      <c r="D1411" s="578" t="s">
        <v>270</v>
      </c>
      <c r="E1411" s="573" t="s">
        <v>1516</v>
      </c>
      <c r="F1411" s="573" t="s">
        <v>1607</v>
      </c>
      <c r="G1411" s="573" t="s">
        <v>271</v>
      </c>
      <c r="H1411" s="573">
        <v>2019</v>
      </c>
      <c r="I1411" s="573" t="s">
        <v>2769</v>
      </c>
      <c r="J1411" s="573" t="s">
        <v>2048</v>
      </c>
      <c r="K1411" s="573" t="s">
        <v>236</v>
      </c>
      <c r="L1411" s="573">
        <v>12</v>
      </c>
      <c r="M1411" s="573">
        <v>0</v>
      </c>
      <c r="N1411" s="573" t="s">
        <v>157</v>
      </c>
      <c r="O1411" s="573">
        <v>4</v>
      </c>
      <c r="P1411" s="573">
        <v>108.6</v>
      </c>
      <c r="Q1411" s="571" t="s">
        <v>157</v>
      </c>
      <c r="R1411" s="573" t="s">
        <v>682</v>
      </c>
      <c r="S1411" s="573">
        <v>6</v>
      </c>
      <c r="T1411" s="573" t="s">
        <v>2770</v>
      </c>
      <c r="U1411" s="573" t="s">
        <v>434</v>
      </c>
      <c r="V1411" s="573">
        <v>147.6</v>
      </c>
      <c r="W1411" s="573">
        <v>25</v>
      </c>
      <c r="X1411" s="571">
        <v>9000</v>
      </c>
      <c r="Y1411" s="573">
        <v>12</v>
      </c>
      <c r="Z1411" s="579" t="s">
        <v>178</v>
      </c>
      <c r="AA1411" s="579" t="s">
        <v>178</v>
      </c>
      <c r="AB1411" s="584">
        <v>44015</v>
      </c>
      <c r="AC1411" s="584" t="s">
        <v>164</v>
      </c>
      <c r="AD1411" s="584">
        <v>34074.666666666672</v>
      </c>
      <c r="AE1411" s="586">
        <v>0.03</v>
      </c>
      <c r="AF1411" s="661" t="str">
        <f t="shared" si="150"/>
        <v>2019-LVN-FRD-T35W-003-05</v>
      </c>
      <c r="AG1411" s="661" t="str">
        <f>IF(AND($Y1411&gt;=32,(AI1411="I"),(Y1411&lt;&gt;"~"),(COUNTIF($AN$1:$AN1411,$AN1411)=1)),"TRUE","FALSE")</f>
        <v>FALSE</v>
      </c>
      <c r="AH1411" s="661" t="str">
        <f>IF(AND($Y1411&gt;=22, (AI1411&lt;&gt;"I"),(Y1411&lt;&gt;"~"),(COUNTIF($AN$1:$AN1411,$AN1411)=1)),"TRUE","FALSE")</f>
        <v>FALSE</v>
      </c>
      <c r="AI1411" s="661" t="str">
        <f t="shared" si="152"/>
        <v>II</v>
      </c>
      <c r="AJ1411" s="662" t="str">
        <f t="shared" ref="AJ1411:AJ1474" si="153">MID(A1411,14,8)</f>
        <v>T35W-003</v>
      </c>
      <c r="AK1411" s="662" t="str">
        <f t="shared" ref="AK1411:AK1474" si="154">MID(A1411,6,3)</f>
        <v>LVN</v>
      </c>
      <c r="AL1411" s="662" t="str">
        <f t="shared" ref="AL1411:AL1474" si="155">MID(A1411,10,3)</f>
        <v>FRD</v>
      </c>
      <c r="AM1411" s="662" t="str">
        <f t="shared" si="151"/>
        <v>Transit 350 Wagon-XL Sliding RH Door-RWD-12-108.6-~-3.7L-6-X2X-301A-147.6-25-Unleaded-Unleaded</v>
      </c>
      <c r="AN1411" s="662" t="str">
        <f t="shared" ref="AN1411:AN1474" si="156">LEFT(A1411,21)</f>
        <v>2019-LVN-FRD-T35W-003</v>
      </c>
    </row>
    <row r="1412" spans="1:40" s="572" customFormat="1" ht="15">
      <c r="A1412" s="570" t="s">
        <v>2775</v>
      </c>
      <c r="B1412" s="569" t="s">
        <v>2776</v>
      </c>
      <c r="C1412" s="569" t="s">
        <v>269</v>
      </c>
      <c r="D1412" s="580" t="s">
        <v>270</v>
      </c>
      <c r="E1412" s="569" t="s">
        <v>1516</v>
      </c>
      <c r="F1412" s="569" t="s">
        <v>1607</v>
      </c>
      <c r="G1412" s="569" t="s">
        <v>271</v>
      </c>
      <c r="H1412" s="569">
        <v>2019</v>
      </c>
      <c r="I1412" s="569" t="s">
        <v>2769</v>
      </c>
      <c r="J1412" s="569" t="s">
        <v>2048</v>
      </c>
      <c r="K1412" s="569" t="s">
        <v>236</v>
      </c>
      <c r="L1412" s="569">
        <v>12</v>
      </c>
      <c r="M1412" s="569">
        <v>0</v>
      </c>
      <c r="N1412" s="569" t="s">
        <v>157</v>
      </c>
      <c r="O1412" s="569">
        <v>4</v>
      </c>
      <c r="P1412" s="569">
        <v>82.4</v>
      </c>
      <c r="Q1412" s="568" t="s">
        <v>157</v>
      </c>
      <c r="R1412" s="569" t="s">
        <v>1917</v>
      </c>
      <c r="S1412" s="569">
        <v>5</v>
      </c>
      <c r="T1412" s="569" t="s">
        <v>2777</v>
      </c>
      <c r="U1412" s="569" t="s">
        <v>434</v>
      </c>
      <c r="V1412" s="569">
        <v>147.6</v>
      </c>
      <c r="W1412" s="569">
        <v>25</v>
      </c>
      <c r="X1412" s="568">
        <v>9250</v>
      </c>
      <c r="Y1412" s="569">
        <v>12</v>
      </c>
      <c r="Z1412" s="581" t="s">
        <v>728</v>
      </c>
      <c r="AA1412" s="581" t="s">
        <v>1523</v>
      </c>
      <c r="AB1412" s="585">
        <v>45110</v>
      </c>
      <c r="AC1412" s="585" t="s">
        <v>164</v>
      </c>
      <c r="AD1412" s="585">
        <v>32890.875</v>
      </c>
      <c r="AE1412" s="587">
        <v>0.03</v>
      </c>
      <c r="AF1412" s="661" t="str">
        <f t="shared" si="150"/>
        <v>2019-LVN-FRD-T35W-005-05</v>
      </c>
      <c r="AG1412" s="661" t="str">
        <f>IF(AND($Y1412&gt;=32,(AI1412="I"),(Y1412&lt;&gt;"~"),(COUNTIF($AN$1:$AN1412,$AN1412)=1)),"TRUE","FALSE")</f>
        <v>FALSE</v>
      </c>
      <c r="AH1412" s="661" t="str">
        <f>IF(AND($Y1412&gt;=22, (AI1412&lt;&gt;"I"),(Y1412&lt;&gt;"~"),(COUNTIF($AN$1:$AN1412,$AN1412)=1)),"TRUE","FALSE")</f>
        <v>FALSE</v>
      </c>
      <c r="AI1412" s="661" t="str">
        <f t="shared" si="152"/>
        <v>II</v>
      </c>
      <c r="AJ1412" s="662" t="str">
        <f t="shared" si="153"/>
        <v>T35W-005</v>
      </c>
      <c r="AK1412" s="662" t="str">
        <f t="shared" si="154"/>
        <v>LVN</v>
      </c>
      <c r="AL1412" s="662" t="str">
        <f t="shared" si="155"/>
        <v>FRD</v>
      </c>
      <c r="AM1412" s="662" t="str">
        <f t="shared" si="151"/>
        <v>Transit 350 Wagon-XL Sliding RH Door-RWD-12-82.4-~-3.2L-5-X2Y-301A-147.6-25-Diesel-BioDiesel</v>
      </c>
      <c r="AN1412" s="662" t="str">
        <f t="shared" si="156"/>
        <v>2019-LVN-FRD-T35W-005</v>
      </c>
    </row>
    <row r="1413" spans="1:40" s="572" customFormat="1" ht="15">
      <c r="A1413" s="570" t="s">
        <v>2778</v>
      </c>
      <c r="B1413" s="573" t="s">
        <v>2779</v>
      </c>
      <c r="C1413" s="573" t="s">
        <v>269</v>
      </c>
      <c r="D1413" s="578" t="s">
        <v>270</v>
      </c>
      <c r="E1413" s="573" t="s">
        <v>1516</v>
      </c>
      <c r="F1413" s="573" t="s">
        <v>1607</v>
      </c>
      <c r="G1413" s="573" t="s">
        <v>271</v>
      </c>
      <c r="H1413" s="573">
        <v>2019</v>
      </c>
      <c r="I1413" s="573" t="s">
        <v>2769</v>
      </c>
      <c r="J1413" s="573" t="s">
        <v>2048</v>
      </c>
      <c r="K1413" s="573" t="s">
        <v>236</v>
      </c>
      <c r="L1413" s="573">
        <v>12</v>
      </c>
      <c r="M1413" s="573">
        <v>0</v>
      </c>
      <c r="N1413" s="573" t="s">
        <v>157</v>
      </c>
      <c r="O1413" s="573">
        <v>4</v>
      </c>
      <c r="P1413" s="573">
        <v>82.4</v>
      </c>
      <c r="Q1413" s="571" t="s">
        <v>157</v>
      </c>
      <c r="R1413" s="573" t="s">
        <v>1259</v>
      </c>
      <c r="S1413" s="573">
        <v>6</v>
      </c>
      <c r="T1413" s="573" t="s">
        <v>2777</v>
      </c>
      <c r="U1413" s="573" t="s">
        <v>434</v>
      </c>
      <c r="V1413" s="573">
        <v>147.6</v>
      </c>
      <c r="W1413" s="573">
        <v>25</v>
      </c>
      <c r="X1413" s="571">
        <v>9000</v>
      </c>
      <c r="Y1413" s="573">
        <v>12</v>
      </c>
      <c r="Z1413" s="579" t="s">
        <v>178</v>
      </c>
      <c r="AA1413" s="579" t="s">
        <v>178</v>
      </c>
      <c r="AB1413" s="584">
        <v>42980</v>
      </c>
      <c r="AC1413" s="584" t="s">
        <v>164</v>
      </c>
      <c r="AD1413" s="584">
        <v>30997.583333333336</v>
      </c>
      <c r="AE1413" s="586">
        <v>0.03</v>
      </c>
      <c r="AF1413" s="661" t="str">
        <f t="shared" si="150"/>
        <v>2019-LVN-FRD-T35W-066-05</v>
      </c>
      <c r="AG1413" s="661" t="str">
        <f>IF(AND($Y1413&gt;=32,(AI1413="I"),(Y1413&lt;&gt;"~"),(COUNTIF($AN$1:$AN1413,$AN1413)=1)),"TRUE","FALSE")</f>
        <v>FALSE</v>
      </c>
      <c r="AH1413" s="661" t="str">
        <f>IF(AND($Y1413&gt;=22, (AI1413&lt;&gt;"I"),(Y1413&lt;&gt;"~"),(COUNTIF($AN$1:$AN1413,$AN1413)=1)),"TRUE","FALSE")</f>
        <v>FALSE</v>
      </c>
      <c r="AI1413" s="661" t="str">
        <f t="shared" si="152"/>
        <v>II</v>
      </c>
      <c r="AJ1413" s="662" t="str">
        <f t="shared" si="153"/>
        <v>T35W-066</v>
      </c>
      <c r="AK1413" s="662" t="str">
        <f t="shared" si="154"/>
        <v>LVN</v>
      </c>
      <c r="AL1413" s="662" t="str">
        <f t="shared" si="155"/>
        <v>FRD</v>
      </c>
      <c r="AM1413" s="662" t="str">
        <f t="shared" si="151"/>
        <v>Transit 350 Wagon-XL Sliding RH Door-RWD-12-82.4-~-3.5L EcoBoost-6-X2Y-301A-147.6-25-Unleaded-Unleaded</v>
      </c>
      <c r="AN1413" s="662" t="str">
        <f t="shared" si="156"/>
        <v>2019-LVN-FRD-T35W-066</v>
      </c>
    </row>
    <row r="1414" spans="1:40" s="572" customFormat="1" ht="15">
      <c r="A1414" s="570" t="s">
        <v>2780</v>
      </c>
      <c r="B1414" s="569" t="s">
        <v>2781</v>
      </c>
      <c r="C1414" s="569" t="s">
        <v>269</v>
      </c>
      <c r="D1414" s="580" t="s">
        <v>270</v>
      </c>
      <c r="E1414" s="569" t="s">
        <v>1516</v>
      </c>
      <c r="F1414" s="569" t="s">
        <v>1607</v>
      </c>
      <c r="G1414" s="569" t="s">
        <v>271</v>
      </c>
      <c r="H1414" s="569">
        <v>2019</v>
      </c>
      <c r="I1414" s="569" t="s">
        <v>2769</v>
      </c>
      <c r="J1414" s="569" t="s">
        <v>2048</v>
      </c>
      <c r="K1414" s="569" t="s">
        <v>236</v>
      </c>
      <c r="L1414" s="569">
        <v>12</v>
      </c>
      <c r="M1414" s="569">
        <v>0</v>
      </c>
      <c r="N1414" s="569" t="s">
        <v>157</v>
      </c>
      <c r="O1414" s="569">
        <v>4</v>
      </c>
      <c r="P1414" s="569">
        <v>82.4</v>
      </c>
      <c r="Q1414" s="568" t="s">
        <v>157</v>
      </c>
      <c r="R1414" s="569" t="s">
        <v>682</v>
      </c>
      <c r="S1414" s="569">
        <v>6</v>
      </c>
      <c r="T1414" s="569" t="s">
        <v>2777</v>
      </c>
      <c r="U1414" s="569" t="s">
        <v>434</v>
      </c>
      <c r="V1414" s="569">
        <v>147.6</v>
      </c>
      <c r="W1414" s="569">
        <v>25</v>
      </c>
      <c r="X1414" s="568">
        <v>9000</v>
      </c>
      <c r="Y1414" s="569">
        <v>12</v>
      </c>
      <c r="Z1414" s="581" t="s">
        <v>178</v>
      </c>
      <c r="AA1414" s="581" t="s">
        <v>178</v>
      </c>
      <c r="AB1414" s="585">
        <v>41115</v>
      </c>
      <c r="AC1414" s="585" t="s">
        <v>164</v>
      </c>
      <c r="AD1414" s="585">
        <v>29341.333333333336</v>
      </c>
      <c r="AE1414" s="587">
        <v>0.03</v>
      </c>
      <c r="AF1414" s="661" t="str">
        <f t="shared" si="150"/>
        <v>2019-LVN-FRD-T35W-075-05</v>
      </c>
      <c r="AG1414" s="661" t="str">
        <f>IF(AND($Y1414&gt;=32,(AI1414="I"),(Y1414&lt;&gt;"~"),(COUNTIF($AN$1:$AN1414,$AN1414)=1)),"TRUE","FALSE")</f>
        <v>FALSE</v>
      </c>
      <c r="AH1414" s="661" t="str">
        <f>IF(AND($Y1414&gt;=22, (AI1414&lt;&gt;"I"),(Y1414&lt;&gt;"~"),(COUNTIF($AN$1:$AN1414,$AN1414)=1)),"TRUE","FALSE")</f>
        <v>FALSE</v>
      </c>
      <c r="AI1414" s="661" t="str">
        <f t="shared" si="152"/>
        <v>II</v>
      </c>
      <c r="AJ1414" s="662" t="str">
        <f t="shared" si="153"/>
        <v>T35W-075</v>
      </c>
      <c r="AK1414" s="662" t="str">
        <f t="shared" si="154"/>
        <v>LVN</v>
      </c>
      <c r="AL1414" s="662" t="str">
        <f t="shared" si="155"/>
        <v>FRD</v>
      </c>
      <c r="AM1414" s="662" t="str">
        <f t="shared" si="151"/>
        <v>Transit 350 Wagon-XL Sliding RH Door-RWD-12-82.4-~-3.7L-6-X2Y-301A-147.6-25-Unleaded-Unleaded</v>
      </c>
      <c r="AN1414" s="662" t="str">
        <f t="shared" si="156"/>
        <v>2019-LVN-FRD-T35W-075</v>
      </c>
    </row>
    <row r="1415" spans="1:40" s="572" customFormat="1" ht="15">
      <c r="A1415" s="570" t="s">
        <v>2782</v>
      </c>
      <c r="B1415" s="573" t="s">
        <v>2783</v>
      </c>
      <c r="C1415" s="573" t="s">
        <v>269</v>
      </c>
      <c r="D1415" s="578" t="s">
        <v>270</v>
      </c>
      <c r="E1415" s="573" t="s">
        <v>1516</v>
      </c>
      <c r="F1415" s="573" t="s">
        <v>1607</v>
      </c>
      <c r="G1415" s="573" t="s">
        <v>271</v>
      </c>
      <c r="H1415" s="573">
        <v>2019</v>
      </c>
      <c r="I1415" s="573" t="s">
        <v>2769</v>
      </c>
      <c r="J1415" s="573" t="s">
        <v>2048</v>
      </c>
      <c r="K1415" s="573" t="s">
        <v>236</v>
      </c>
      <c r="L1415" s="573">
        <v>12</v>
      </c>
      <c r="M1415" s="573">
        <v>0</v>
      </c>
      <c r="N1415" s="573" t="s">
        <v>157</v>
      </c>
      <c r="O1415" s="573">
        <v>4</v>
      </c>
      <c r="P1415" s="573">
        <v>99.2</v>
      </c>
      <c r="Q1415" s="571" t="s">
        <v>157</v>
      </c>
      <c r="R1415" s="573" t="s">
        <v>1917</v>
      </c>
      <c r="S1415" s="573">
        <v>5</v>
      </c>
      <c r="T1415" s="573" t="s">
        <v>2617</v>
      </c>
      <c r="U1415" s="573" t="s">
        <v>434</v>
      </c>
      <c r="V1415" s="573">
        <v>147.6</v>
      </c>
      <c r="W1415" s="573">
        <v>25</v>
      </c>
      <c r="X1415" s="571">
        <v>9250</v>
      </c>
      <c r="Y1415" s="573">
        <v>12</v>
      </c>
      <c r="Z1415" s="579" t="s">
        <v>728</v>
      </c>
      <c r="AA1415" s="579" t="s">
        <v>1523</v>
      </c>
      <c r="AB1415" s="584">
        <v>46560</v>
      </c>
      <c r="AC1415" s="584" t="s">
        <v>164</v>
      </c>
      <c r="AD1415" s="584">
        <v>36299.208333333336</v>
      </c>
      <c r="AE1415" s="586">
        <v>0.03</v>
      </c>
      <c r="AF1415" s="661" t="str">
        <f t="shared" si="150"/>
        <v>2019-LVN-FRD-T35W-006-05</v>
      </c>
      <c r="AG1415" s="661" t="str">
        <f>IF(AND($Y1415&gt;=32,(AI1415="I"),(Y1415&lt;&gt;"~"),(COUNTIF($AN$1:$AN1415,$AN1415)=1)),"TRUE","FALSE")</f>
        <v>FALSE</v>
      </c>
      <c r="AH1415" s="661" t="str">
        <f>IF(AND($Y1415&gt;=22, (AI1415&lt;&gt;"I"),(Y1415&lt;&gt;"~"),(COUNTIF($AN$1:$AN1415,$AN1415)=1)),"TRUE","FALSE")</f>
        <v>FALSE</v>
      </c>
      <c r="AI1415" s="661" t="str">
        <f t="shared" si="152"/>
        <v>II</v>
      </c>
      <c r="AJ1415" s="662" t="str">
        <f t="shared" si="153"/>
        <v>T35W-006</v>
      </c>
      <c r="AK1415" s="662" t="str">
        <f t="shared" si="154"/>
        <v>LVN</v>
      </c>
      <c r="AL1415" s="662" t="str">
        <f t="shared" si="155"/>
        <v>FRD</v>
      </c>
      <c r="AM1415" s="662" t="str">
        <f t="shared" si="151"/>
        <v>Transit 350 Wagon-XL Sliding RH Door-RWD-12-99.2-~-3.2L-5-X2C-301A-147.6-25-Diesel-BioDiesel</v>
      </c>
      <c r="AN1415" s="662" t="str">
        <f t="shared" si="156"/>
        <v>2019-LVN-FRD-T35W-006</v>
      </c>
    </row>
    <row r="1416" spans="1:40" s="572" customFormat="1" ht="15">
      <c r="A1416" s="570" t="s">
        <v>2784</v>
      </c>
      <c r="B1416" s="569" t="s">
        <v>2785</v>
      </c>
      <c r="C1416" s="569" t="s">
        <v>269</v>
      </c>
      <c r="D1416" s="580" t="s">
        <v>270</v>
      </c>
      <c r="E1416" s="569" t="s">
        <v>1516</v>
      </c>
      <c r="F1416" s="569" t="s">
        <v>1607</v>
      </c>
      <c r="G1416" s="569" t="s">
        <v>271</v>
      </c>
      <c r="H1416" s="569">
        <v>2019</v>
      </c>
      <c r="I1416" s="569" t="s">
        <v>2769</v>
      </c>
      <c r="J1416" s="569" t="s">
        <v>2048</v>
      </c>
      <c r="K1416" s="569" t="s">
        <v>236</v>
      </c>
      <c r="L1416" s="569">
        <v>12</v>
      </c>
      <c r="M1416" s="569">
        <v>0</v>
      </c>
      <c r="N1416" s="569" t="s">
        <v>157</v>
      </c>
      <c r="O1416" s="569">
        <v>4</v>
      </c>
      <c r="P1416" s="569">
        <v>99.2</v>
      </c>
      <c r="Q1416" s="568" t="s">
        <v>157</v>
      </c>
      <c r="R1416" s="569" t="s">
        <v>1259</v>
      </c>
      <c r="S1416" s="569">
        <v>6</v>
      </c>
      <c r="T1416" s="569" t="s">
        <v>2617</v>
      </c>
      <c r="U1416" s="569" t="s">
        <v>434</v>
      </c>
      <c r="V1416" s="569">
        <v>147.6</v>
      </c>
      <c r="W1416" s="569">
        <v>25</v>
      </c>
      <c r="X1416" s="568">
        <v>9000</v>
      </c>
      <c r="Y1416" s="569">
        <v>12</v>
      </c>
      <c r="Z1416" s="581" t="s">
        <v>178</v>
      </c>
      <c r="AA1416" s="581" t="s">
        <v>178</v>
      </c>
      <c r="AB1416" s="585">
        <v>44430</v>
      </c>
      <c r="AC1416" s="585" t="s">
        <v>164</v>
      </c>
      <c r="AD1416" s="585">
        <v>34405.916666666672</v>
      </c>
      <c r="AE1416" s="587">
        <v>0.03</v>
      </c>
      <c r="AF1416" s="661" t="str">
        <f t="shared" ref="AF1416:AF1479" si="157">A1416</f>
        <v>2019-LVN-FRD-T35W-007-05</v>
      </c>
      <c r="AG1416" s="661" t="str">
        <f>IF(AND($Y1416&gt;=32,(AI1416="I"),(Y1416&lt;&gt;"~"),(COUNTIF($AN$1:$AN1416,$AN1416)=1)),"TRUE","FALSE")</f>
        <v>FALSE</v>
      </c>
      <c r="AH1416" s="661" t="str">
        <f>IF(AND($Y1416&gt;=22, (AI1416&lt;&gt;"I"),(Y1416&lt;&gt;"~"),(COUNTIF($AN$1:$AN1416,$AN1416)=1)),"TRUE","FALSE")</f>
        <v>FALSE</v>
      </c>
      <c r="AI1416" s="661" t="str">
        <f t="shared" si="152"/>
        <v>II</v>
      </c>
      <c r="AJ1416" s="662" t="str">
        <f t="shared" si="153"/>
        <v>T35W-007</v>
      </c>
      <c r="AK1416" s="662" t="str">
        <f t="shared" si="154"/>
        <v>LVN</v>
      </c>
      <c r="AL1416" s="662" t="str">
        <f t="shared" si="155"/>
        <v>FRD</v>
      </c>
      <c r="AM1416" s="662" t="str">
        <f t="shared" si="151"/>
        <v>Transit 350 Wagon-XL Sliding RH Door-RWD-12-99.2-~-3.5L EcoBoost-6-X2C-301A-147.6-25-Unleaded-Unleaded</v>
      </c>
      <c r="AN1416" s="662" t="str">
        <f t="shared" si="156"/>
        <v>2019-LVN-FRD-T35W-007</v>
      </c>
    </row>
    <row r="1417" spans="1:40" s="572" customFormat="1" ht="15">
      <c r="A1417" s="570" t="s">
        <v>2786</v>
      </c>
      <c r="B1417" s="573" t="s">
        <v>2787</v>
      </c>
      <c r="C1417" s="573" t="s">
        <v>269</v>
      </c>
      <c r="D1417" s="578" t="s">
        <v>270</v>
      </c>
      <c r="E1417" s="573" t="s">
        <v>1516</v>
      </c>
      <c r="F1417" s="573" t="s">
        <v>1607</v>
      </c>
      <c r="G1417" s="573" t="s">
        <v>271</v>
      </c>
      <c r="H1417" s="573">
        <v>2019</v>
      </c>
      <c r="I1417" s="573" t="s">
        <v>2769</v>
      </c>
      <c r="J1417" s="573" t="s">
        <v>2048</v>
      </c>
      <c r="K1417" s="573" t="s">
        <v>236</v>
      </c>
      <c r="L1417" s="573">
        <v>12</v>
      </c>
      <c r="M1417" s="573">
        <v>0</v>
      </c>
      <c r="N1417" s="573" t="s">
        <v>157</v>
      </c>
      <c r="O1417" s="573">
        <v>4</v>
      </c>
      <c r="P1417" s="573">
        <v>99.2</v>
      </c>
      <c r="Q1417" s="571" t="s">
        <v>157</v>
      </c>
      <c r="R1417" s="573" t="s">
        <v>682</v>
      </c>
      <c r="S1417" s="573">
        <v>6</v>
      </c>
      <c r="T1417" s="573" t="s">
        <v>2617</v>
      </c>
      <c r="U1417" s="573" t="s">
        <v>434</v>
      </c>
      <c r="V1417" s="573">
        <v>147.6</v>
      </c>
      <c r="W1417" s="573">
        <v>25</v>
      </c>
      <c r="X1417" s="571">
        <v>9000</v>
      </c>
      <c r="Y1417" s="573">
        <v>12</v>
      </c>
      <c r="Z1417" s="579" t="s">
        <v>178</v>
      </c>
      <c r="AA1417" s="579" t="s">
        <v>178</v>
      </c>
      <c r="AB1417" s="584">
        <v>42565</v>
      </c>
      <c r="AC1417" s="584" t="s">
        <v>164</v>
      </c>
      <c r="AD1417" s="584">
        <v>33933</v>
      </c>
      <c r="AE1417" s="586">
        <v>0.03</v>
      </c>
      <c r="AF1417" s="661" t="str">
        <f t="shared" si="157"/>
        <v>2019-LVN-FRD-T35W-008-05</v>
      </c>
      <c r="AG1417" s="661" t="str">
        <f>IF(AND($Y1417&gt;=32,(AI1417="I"),(Y1417&lt;&gt;"~"),(COUNTIF($AN$1:$AN1417,$AN1417)=1)),"TRUE","FALSE")</f>
        <v>FALSE</v>
      </c>
      <c r="AH1417" s="661" t="str">
        <f>IF(AND($Y1417&gt;=22, (AI1417&lt;&gt;"I"),(Y1417&lt;&gt;"~"),(COUNTIF($AN$1:$AN1417,$AN1417)=1)),"TRUE","FALSE")</f>
        <v>FALSE</v>
      </c>
      <c r="AI1417" s="661" t="str">
        <f t="shared" si="152"/>
        <v>II</v>
      </c>
      <c r="AJ1417" s="662" t="str">
        <f t="shared" si="153"/>
        <v>T35W-008</v>
      </c>
      <c r="AK1417" s="662" t="str">
        <f t="shared" si="154"/>
        <v>LVN</v>
      </c>
      <c r="AL1417" s="662" t="str">
        <f t="shared" si="155"/>
        <v>FRD</v>
      </c>
      <c r="AM1417" s="662" t="str">
        <f t="shared" si="151"/>
        <v>Transit 350 Wagon-XL Sliding RH Door-RWD-12-99.2-~-3.7L-6-X2C-301A-147.6-25-Unleaded-Unleaded</v>
      </c>
      <c r="AN1417" s="662" t="str">
        <f t="shared" si="156"/>
        <v>2019-LVN-FRD-T35W-008</v>
      </c>
    </row>
    <row r="1418" spans="1:40" s="572" customFormat="1" ht="15">
      <c r="A1418" s="570" t="s">
        <v>2788</v>
      </c>
      <c r="B1418" s="569" t="s">
        <v>2789</v>
      </c>
      <c r="C1418" s="569" t="s">
        <v>269</v>
      </c>
      <c r="D1418" s="580" t="s">
        <v>270</v>
      </c>
      <c r="E1418" s="569" t="s">
        <v>1516</v>
      </c>
      <c r="F1418" s="569" t="s">
        <v>1607</v>
      </c>
      <c r="G1418" s="569" t="s">
        <v>271</v>
      </c>
      <c r="H1418" s="569">
        <v>2019</v>
      </c>
      <c r="I1418" s="569" t="s">
        <v>2769</v>
      </c>
      <c r="J1418" s="569" t="s">
        <v>2048</v>
      </c>
      <c r="K1418" s="569" t="s">
        <v>236</v>
      </c>
      <c r="L1418" s="569">
        <v>15</v>
      </c>
      <c r="M1418" s="569">
        <v>0</v>
      </c>
      <c r="N1418" s="569" t="s">
        <v>157</v>
      </c>
      <c r="O1418" s="569">
        <v>5</v>
      </c>
      <c r="P1418" s="569">
        <v>107.7</v>
      </c>
      <c r="Q1418" s="568" t="s">
        <v>157</v>
      </c>
      <c r="R1418" s="569" t="s">
        <v>1917</v>
      </c>
      <c r="S1418" s="569">
        <v>5</v>
      </c>
      <c r="T1418" s="569" t="s">
        <v>2599</v>
      </c>
      <c r="U1418" s="569" t="s">
        <v>434</v>
      </c>
      <c r="V1418" s="569">
        <v>147.6</v>
      </c>
      <c r="W1418" s="569">
        <v>25</v>
      </c>
      <c r="X1418" s="568">
        <v>10360</v>
      </c>
      <c r="Y1418" s="569" t="s">
        <v>164</v>
      </c>
      <c r="Z1418" s="581" t="s">
        <v>728</v>
      </c>
      <c r="AA1418" s="581" t="s">
        <v>1523</v>
      </c>
      <c r="AB1418" s="585">
        <v>49160</v>
      </c>
      <c r="AC1418" s="585" t="s">
        <v>164</v>
      </c>
      <c r="AD1418" s="585">
        <v>38675.25</v>
      </c>
      <c r="AE1418" s="587">
        <v>0.03</v>
      </c>
      <c r="AF1418" s="661" t="str">
        <f t="shared" si="157"/>
        <v>2019-LVN-FRD-T35W-010-05</v>
      </c>
      <c r="AG1418" s="661" t="str">
        <f>IF(AND($Y1418&gt;=32,(AI1418="I"),(Y1418&lt;&gt;"~"),(COUNTIF($AN$1:$AN1418,$AN1418)=1)),"TRUE","FALSE")</f>
        <v>FALSE</v>
      </c>
      <c r="AH1418" s="661" t="str">
        <f>IF(AND($Y1418&gt;=22, (AI1418&lt;&gt;"I"),(Y1418&lt;&gt;"~"),(COUNTIF($AN$1:$AN1418,$AN1418)=1)),"TRUE","FALSE")</f>
        <v>TRUE</v>
      </c>
      <c r="AI1418" s="661" t="str">
        <f t="shared" si="152"/>
        <v>N/A</v>
      </c>
      <c r="AJ1418" s="662" t="str">
        <f t="shared" si="153"/>
        <v>T35W-010</v>
      </c>
      <c r="AK1418" s="662" t="str">
        <f t="shared" si="154"/>
        <v>LVN</v>
      </c>
      <c r="AL1418" s="662" t="str">
        <f t="shared" si="155"/>
        <v>FRD</v>
      </c>
      <c r="AM1418" s="662" t="str">
        <f t="shared" si="151"/>
        <v>Transit 350 Wagon-XL Sliding RH Door-RWD-15-107.7-~-3.2L-5-U4X-301A-147.6-25-Diesel-BioDiesel</v>
      </c>
      <c r="AN1418" s="662" t="str">
        <f t="shared" si="156"/>
        <v>2019-LVN-FRD-T35W-010</v>
      </c>
    </row>
    <row r="1419" spans="1:40" s="572" customFormat="1" ht="15">
      <c r="A1419" s="570" t="s">
        <v>2790</v>
      </c>
      <c r="B1419" s="573" t="s">
        <v>2791</v>
      </c>
      <c r="C1419" s="573" t="s">
        <v>269</v>
      </c>
      <c r="D1419" s="578" t="s">
        <v>270</v>
      </c>
      <c r="E1419" s="573" t="s">
        <v>1516</v>
      </c>
      <c r="F1419" s="573" t="s">
        <v>1607</v>
      </c>
      <c r="G1419" s="573" t="s">
        <v>271</v>
      </c>
      <c r="H1419" s="573">
        <v>2019</v>
      </c>
      <c r="I1419" s="573" t="s">
        <v>2769</v>
      </c>
      <c r="J1419" s="573" t="s">
        <v>2048</v>
      </c>
      <c r="K1419" s="573" t="s">
        <v>236</v>
      </c>
      <c r="L1419" s="573">
        <v>15</v>
      </c>
      <c r="M1419" s="573">
        <v>0</v>
      </c>
      <c r="N1419" s="573" t="s">
        <v>157</v>
      </c>
      <c r="O1419" s="573">
        <v>5</v>
      </c>
      <c r="P1419" s="573">
        <v>107.7</v>
      </c>
      <c r="Q1419" s="571" t="s">
        <v>157</v>
      </c>
      <c r="R1419" s="573" t="s">
        <v>1259</v>
      </c>
      <c r="S1419" s="573">
        <v>6</v>
      </c>
      <c r="T1419" s="573" t="s">
        <v>2599</v>
      </c>
      <c r="U1419" s="573" t="s">
        <v>434</v>
      </c>
      <c r="V1419" s="573">
        <v>147.6</v>
      </c>
      <c r="W1419" s="573">
        <v>25</v>
      </c>
      <c r="X1419" s="571">
        <v>10360</v>
      </c>
      <c r="Y1419" s="569" t="s">
        <v>164</v>
      </c>
      <c r="Z1419" s="579" t="s">
        <v>178</v>
      </c>
      <c r="AA1419" s="579" t="s">
        <v>178</v>
      </c>
      <c r="AB1419" s="584">
        <v>47030</v>
      </c>
      <c r="AC1419" s="584" t="s">
        <v>164</v>
      </c>
      <c r="AD1419" s="584">
        <v>36781.958333333336</v>
      </c>
      <c r="AE1419" s="586">
        <v>0.03</v>
      </c>
      <c r="AF1419" s="661" t="str">
        <f t="shared" si="157"/>
        <v>2019-LVN-FRD-T35W-011-05</v>
      </c>
      <c r="AG1419" s="661" t="str">
        <f>IF(AND($Y1419&gt;=32,(AI1419="I"),(Y1419&lt;&gt;"~"),(COUNTIF($AN$1:$AN1419,$AN1419)=1)),"TRUE","FALSE")</f>
        <v>FALSE</v>
      </c>
      <c r="AH1419" s="661" t="str">
        <f>IF(AND($Y1419&gt;=22, (AI1419&lt;&gt;"I"),(Y1419&lt;&gt;"~"),(COUNTIF($AN$1:$AN1419,$AN1419)=1)),"TRUE","FALSE")</f>
        <v>TRUE</v>
      </c>
      <c r="AI1419" s="661" t="str">
        <f t="shared" si="152"/>
        <v>N/A</v>
      </c>
      <c r="AJ1419" s="662" t="str">
        <f t="shared" si="153"/>
        <v>T35W-011</v>
      </c>
      <c r="AK1419" s="662" t="str">
        <f t="shared" si="154"/>
        <v>LVN</v>
      </c>
      <c r="AL1419" s="662" t="str">
        <f t="shared" si="155"/>
        <v>FRD</v>
      </c>
      <c r="AM1419" s="662" t="str">
        <f t="shared" si="151"/>
        <v>Transit 350 Wagon-XL Sliding RH Door-RWD-15-107.7-~-3.5L EcoBoost-6-U4X-301A-147.6-25-Unleaded-Unleaded</v>
      </c>
      <c r="AN1419" s="662" t="str">
        <f t="shared" si="156"/>
        <v>2019-LVN-FRD-T35W-011</v>
      </c>
    </row>
    <row r="1420" spans="1:40" s="572" customFormat="1" ht="15">
      <c r="A1420" s="570" t="s">
        <v>2792</v>
      </c>
      <c r="B1420" s="569" t="s">
        <v>2793</v>
      </c>
      <c r="C1420" s="569" t="s">
        <v>269</v>
      </c>
      <c r="D1420" s="580" t="s">
        <v>270</v>
      </c>
      <c r="E1420" s="569" t="s">
        <v>1516</v>
      </c>
      <c r="F1420" s="569" t="s">
        <v>1607</v>
      </c>
      <c r="G1420" s="569" t="s">
        <v>271</v>
      </c>
      <c r="H1420" s="569">
        <v>2019</v>
      </c>
      <c r="I1420" s="569" t="s">
        <v>2769</v>
      </c>
      <c r="J1420" s="569" t="s">
        <v>2048</v>
      </c>
      <c r="K1420" s="569" t="s">
        <v>236</v>
      </c>
      <c r="L1420" s="569">
        <v>15</v>
      </c>
      <c r="M1420" s="569">
        <v>0</v>
      </c>
      <c r="N1420" s="569" t="s">
        <v>157</v>
      </c>
      <c r="O1420" s="569">
        <v>5</v>
      </c>
      <c r="P1420" s="569">
        <v>107.7</v>
      </c>
      <c r="Q1420" s="568" t="s">
        <v>157</v>
      </c>
      <c r="R1420" s="569" t="s">
        <v>682</v>
      </c>
      <c r="S1420" s="569">
        <v>6</v>
      </c>
      <c r="T1420" s="569" t="s">
        <v>2599</v>
      </c>
      <c r="U1420" s="569" t="s">
        <v>434</v>
      </c>
      <c r="V1420" s="569">
        <v>147.6</v>
      </c>
      <c r="W1420" s="569">
        <v>25</v>
      </c>
      <c r="X1420" s="568">
        <v>10360</v>
      </c>
      <c r="Y1420" s="569" t="s">
        <v>164</v>
      </c>
      <c r="Z1420" s="581" t="s">
        <v>178</v>
      </c>
      <c r="AA1420" s="581" t="s">
        <v>178</v>
      </c>
      <c r="AB1420" s="585">
        <v>45165</v>
      </c>
      <c r="AC1420" s="585" t="s">
        <v>164</v>
      </c>
      <c r="AD1420" s="585">
        <v>35125.708333333336</v>
      </c>
      <c r="AE1420" s="587">
        <v>0.03</v>
      </c>
      <c r="AF1420" s="661" t="str">
        <f t="shared" si="157"/>
        <v>2019-LVN-FRD-T35W-012-05</v>
      </c>
      <c r="AG1420" s="661" t="str">
        <f>IF(AND($Y1420&gt;=32,(AI1420="I"),(Y1420&lt;&gt;"~"),(COUNTIF($AN$1:$AN1420,$AN1420)=1)),"TRUE","FALSE")</f>
        <v>FALSE</v>
      </c>
      <c r="AH1420" s="661" t="str">
        <f>IF(AND($Y1420&gt;=22, (AI1420&lt;&gt;"I"),(Y1420&lt;&gt;"~"),(COUNTIF($AN$1:$AN1420,$AN1420)=1)),"TRUE","FALSE")</f>
        <v>TRUE</v>
      </c>
      <c r="AI1420" s="661" t="str">
        <f t="shared" si="152"/>
        <v>N/A</v>
      </c>
      <c r="AJ1420" s="662" t="str">
        <f t="shared" si="153"/>
        <v>T35W-012</v>
      </c>
      <c r="AK1420" s="662" t="str">
        <f t="shared" si="154"/>
        <v>LVN</v>
      </c>
      <c r="AL1420" s="662" t="str">
        <f t="shared" si="155"/>
        <v>FRD</v>
      </c>
      <c r="AM1420" s="662" t="str">
        <f t="shared" si="151"/>
        <v>Transit 350 Wagon-XL Sliding RH Door-RWD-15-107.7-~-3.7L-6-U4X-301A-147.6-25-Unleaded-Unleaded</v>
      </c>
      <c r="AN1420" s="662" t="str">
        <f t="shared" si="156"/>
        <v>2019-LVN-FRD-T35W-012</v>
      </c>
    </row>
    <row r="1421" spans="1:40" s="572" customFormat="1" ht="15">
      <c r="A1421" s="570" t="s">
        <v>2794</v>
      </c>
      <c r="B1421" s="573" t="s">
        <v>2795</v>
      </c>
      <c r="C1421" s="573" t="s">
        <v>269</v>
      </c>
      <c r="D1421" s="578" t="s">
        <v>270</v>
      </c>
      <c r="E1421" s="573" t="s">
        <v>1516</v>
      </c>
      <c r="F1421" s="573" t="s">
        <v>1607</v>
      </c>
      <c r="G1421" s="573" t="s">
        <v>271</v>
      </c>
      <c r="H1421" s="573">
        <v>2019</v>
      </c>
      <c r="I1421" s="573" t="s">
        <v>2769</v>
      </c>
      <c r="J1421" s="573" t="s">
        <v>2048</v>
      </c>
      <c r="K1421" s="573" t="s">
        <v>236</v>
      </c>
      <c r="L1421" s="573">
        <v>15</v>
      </c>
      <c r="M1421" s="573">
        <v>0</v>
      </c>
      <c r="N1421" s="573" t="s">
        <v>157</v>
      </c>
      <c r="O1421" s="573">
        <v>5</v>
      </c>
      <c r="P1421" s="573">
        <v>108.6</v>
      </c>
      <c r="Q1421" s="571" t="s">
        <v>157</v>
      </c>
      <c r="R1421" s="573" t="s">
        <v>1917</v>
      </c>
      <c r="S1421" s="573">
        <v>5</v>
      </c>
      <c r="T1421" s="573" t="s">
        <v>2770</v>
      </c>
      <c r="U1421" s="573" t="s">
        <v>434</v>
      </c>
      <c r="V1421" s="573">
        <v>147.6</v>
      </c>
      <c r="W1421" s="573">
        <v>25</v>
      </c>
      <c r="X1421" s="571">
        <v>9400</v>
      </c>
      <c r="Y1421" s="573">
        <v>12</v>
      </c>
      <c r="Z1421" s="579" t="s">
        <v>728</v>
      </c>
      <c r="AA1421" s="579" t="s">
        <v>1523</v>
      </c>
      <c r="AB1421" s="584">
        <v>49505</v>
      </c>
      <c r="AC1421" s="584" t="s">
        <v>164</v>
      </c>
      <c r="AD1421" s="584">
        <v>38952.333333333336</v>
      </c>
      <c r="AE1421" s="586">
        <v>0.03</v>
      </c>
      <c r="AF1421" s="661" t="str">
        <f t="shared" si="157"/>
        <v>2019-LVN-FRD-T35W-013-05</v>
      </c>
      <c r="AG1421" s="661" t="str">
        <f>IF(AND($Y1421&gt;=32,(AI1421="I"),(Y1421&lt;&gt;"~"),(COUNTIF($AN$1:$AN1421,$AN1421)=1)),"TRUE","FALSE")</f>
        <v>FALSE</v>
      </c>
      <c r="AH1421" s="661" t="str">
        <f>IF(AND($Y1421&gt;=22, (AI1421&lt;&gt;"I"),(Y1421&lt;&gt;"~"),(COUNTIF($AN$1:$AN1421,$AN1421)=1)),"TRUE","FALSE")</f>
        <v>FALSE</v>
      </c>
      <c r="AI1421" s="661" t="str">
        <f t="shared" si="152"/>
        <v>II</v>
      </c>
      <c r="AJ1421" s="662" t="str">
        <f t="shared" si="153"/>
        <v>T35W-013</v>
      </c>
      <c r="AK1421" s="662" t="str">
        <f t="shared" si="154"/>
        <v>LVN</v>
      </c>
      <c r="AL1421" s="662" t="str">
        <f t="shared" si="155"/>
        <v>FRD</v>
      </c>
      <c r="AM1421" s="662" t="str">
        <f t="shared" si="151"/>
        <v>Transit 350 Wagon-XL Sliding RH Door-RWD-15-108.6-~-3.2L-5-X2X-301A-147.6-25-Diesel-BioDiesel</v>
      </c>
      <c r="AN1421" s="662" t="str">
        <f t="shared" si="156"/>
        <v>2019-LVN-FRD-T35W-013</v>
      </c>
    </row>
    <row r="1422" spans="1:40" s="572" customFormat="1" ht="15">
      <c r="A1422" s="570" t="s">
        <v>2796</v>
      </c>
      <c r="B1422" s="569" t="s">
        <v>2797</v>
      </c>
      <c r="C1422" s="569" t="s">
        <v>269</v>
      </c>
      <c r="D1422" s="580" t="s">
        <v>270</v>
      </c>
      <c r="E1422" s="569" t="s">
        <v>1516</v>
      </c>
      <c r="F1422" s="569" t="s">
        <v>1607</v>
      </c>
      <c r="G1422" s="569" t="s">
        <v>271</v>
      </c>
      <c r="H1422" s="569">
        <v>2019</v>
      </c>
      <c r="I1422" s="569" t="s">
        <v>2769</v>
      </c>
      <c r="J1422" s="569" t="s">
        <v>2048</v>
      </c>
      <c r="K1422" s="569" t="s">
        <v>236</v>
      </c>
      <c r="L1422" s="569">
        <v>15</v>
      </c>
      <c r="M1422" s="569">
        <v>0</v>
      </c>
      <c r="N1422" s="569" t="s">
        <v>157</v>
      </c>
      <c r="O1422" s="569">
        <v>5</v>
      </c>
      <c r="P1422" s="569">
        <v>108.6</v>
      </c>
      <c r="Q1422" s="568" t="s">
        <v>157</v>
      </c>
      <c r="R1422" s="569" t="s">
        <v>1259</v>
      </c>
      <c r="S1422" s="569">
        <v>6</v>
      </c>
      <c r="T1422" s="569" t="s">
        <v>2770</v>
      </c>
      <c r="U1422" s="569" t="s">
        <v>434</v>
      </c>
      <c r="V1422" s="569">
        <v>147.6</v>
      </c>
      <c r="W1422" s="569">
        <v>25</v>
      </c>
      <c r="X1422" s="568">
        <v>9150</v>
      </c>
      <c r="Y1422" s="569">
        <v>12</v>
      </c>
      <c r="Z1422" s="581" t="s">
        <v>178</v>
      </c>
      <c r="AA1422" s="581" t="s">
        <v>178</v>
      </c>
      <c r="AB1422" s="585">
        <v>47375</v>
      </c>
      <c r="AC1422" s="585" t="s">
        <v>164</v>
      </c>
      <c r="AD1422" s="585">
        <v>37059.041666666672</v>
      </c>
      <c r="AE1422" s="587">
        <v>0.03</v>
      </c>
      <c r="AF1422" s="661" t="str">
        <f t="shared" si="157"/>
        <v>2019-LVN-FRD-T35W-014-05</v>
      </c>
      <c r="AG1422" s="661" t="str">
        <f>IF(AND($Y1422&gt;=32,(AI1422="I"),(Y1422&lt;&gt;"~"),(COUNTIF($AN$1:$AN1422,$AN1422)=1)),"TRUE","FALSE")</f>
        <v>FALSE</v>
      </c>
      <c r="AH1422" s="661" t="str">
        <f>IF(AND($Y1422&gt;=22, (AI1422&lt;&gt;"I"),(Y1422&lt;&gt;"~"),(COUNTIF($AN$1:$AN1422,$AN1422)=1)),"TRUE","FALSE")</f>
        <v>FALSE</v>
      </c>
      <c r="AI1422" s="661" t="str">
        <f t="shared" si="152"/>
        <v>II</v>
      </c>
      <c r="AJ1422" s="662" t="str">
        <f t="shared" si="153"/>
        <v>T35W-014</v>
      </c>
      <c r="AK1422" s="662" t="str">
        <f t="shared" si="154"/>
        <v>LVN</v>
      </c>
      <c r="AL1422" s="662" t="str">
        <f t="shared" si="155"/>
        <v>FRD</v>
      </c>
      <c r="AM1422" s="662" t="str">
        <f t="shared" si="151"/>
        <v>Transit 350 Wagon-XL Sliding RH Door-RWD-15-108.6-~-3.5L EcoBoost-6-X2X-301A-147.6-25-Unleaded-Unleaded</v>
      </c>
      <c r="AN1422" s="662" t="str">
        <f t="shared" si="156"/>
        <v>2019-LVN-FRD-T35W-014</v>
      </c>
    </row>
    <row r="1423" spans="1:40" s="572" customFormat="1" ht="15">
      <c r="A1423" s="570" t="s">
        <v>2798</v>
      </c>
      <c r="B1423" s="573" t="s">
        <v>2799</v>
      </c>
      <c r="C1423" s="573" t="s">
        <v>269</v>
      </c>
      <c r="D1423" s="578" t="s">
        <v>270</v>
      </c>
      <c r="E1423" s="573" t="s">
        <v>1516</v>
      </c>
      <c r="F1423" s="573" t="s">
        <v>1607</v>
      </c>
      <c r="G1423" s="573" t="s">
        <v>271</v>
      </c>
      <c r="H1423" s="573">
        <v>2019</v>
      </c>
      <c r="I1423" s="573" t="s">
        <v>2769</v>
      </c>
      <c r="J1423" s="573" t="s">
        <v>2048</v>
      </c>
      <c r="K1423" s="573" t="s">
        <v>236</v>
      </c>
      <c r="L1423" s="573">
        <v>15</v>
      </c>
      <c r="M1423" s="573">
        <v>0</v>
      </c>
      <c r="N1423" s="573" t="s">
        <v>157</v>
      </c>
      <c r="O1423" s="573">
        <v>5</v>
      </c>
      <c r="P1423" s="573">
        <v>108.6</v>
      </c>
      <c r="Q1423" s="571" t="s">
        <v>157</v>
      </c>
      <c r="R1423" s="573" t="s">
        <v>682</v>
      </c>
      <c r="S1423" s="573">
        <v>6</v>
      </c>
      <c r="T1423" s="573" t="s">
        <v>2770</v>
      </c>
      <c r="U1423" s="573" t="s">
        <v>434</v>
      </c>
      <c r="V1423" s="573">
        <v>147.6</v>
      </c>
      <c r="W1423" s="573">
        <v>25</v>
      </c>
      <c r="X1423" s="571">
        <v>9150</v>
      </c>
      <c r="Y1423" s="573">
        <v>12</v>
      </c>
      <c r="Z1423" s="579" t="s">
        <v>178</v>
      </c>
      <c r="AA1423" s="579" t="s">
        <v>178</v>
      </c>
      <c r="AB1423" s="584">
        <v>45510</v>
      </c>
      <c r="AC1423" s="584" t="s">
        <v>164</v>
      </c>
      <c r="AD1423" s="584">
        <v>35402.791666666672</v>
      </c>
      <c r="AE1423" s="586">
        <v>0.03</v>
      </c>
      <c r="AF1423" s="661" t="str">
        <f t="shared" si="157"/>
        <v>2019-LVN-FRD-T35W-015-05</v>
      </c>
      <c r="AG1423" s="661" t="str">
        <f>IF(AND($Y1423&gt;=32,(AI1423="I"),(Y1423&lt;&gt;"~"),(COUNTIF($AN$1:$AN1423,$AN1423)=1)),"TRUE","FALSE")</f>
        <v>FALSE</v>
      </c>
      <c r="AH1423" s="661" t="str">
        <f>IF(AND($Y1423&gt;=22, (AI1423&lt;&gt;"I"),(Y1423&lt;&gt;"~"),(COUNTIF($AN$1:$AN1423,$AN1423)=1)),"TRUE","FALSE")</f>
        <v>FALSE</v>
      </c>
      <c r="AI1423" s="661" t="str">
        <f t="shared" si="152"/>
        <v>II</v>
      </c>
      <c r="AJ1423" s="662" t="str">
        <f t="shared" si="153"/>
        <v>T35W-015</v>
      </c>
      <c r="AK1423" s="662" t="str">
        <f t="shared" si="154"/>
        <v>LVN</v>
      </c>
      <c r="AL1423" s="662" t="str">
        <f t="shared" si="155"/>
        <v>FRD</v>
      </c>
      <c r="AM1423" s="662" t="str">
        <f t="shared" si="151"/>
        <v>Transit 350 Wagon-XL Sliding RH Door-RWD-15-108.6-~-3.7L-6-X2X-301A-147.6-25-Unleaded-Unleaded</v>
      </c>
      <c r="AN1423" s="662" t="str">
        <f t="shared" si="156"/>
        <v>2019-LVN-FRD-T35W-015</v>
      </c>
    </row>
    <row r="1424" spans="1:40" s="572" customFormat="1" ht="15">
      <c r="A1424" s="570" t="s">
        <v>2800</v>
      </c>
      <c r="B1424" s="569" t="s">
        <v>2801</v>
      </c>
      <c r="C1424" s="569" t="s">
        <v>269</v>
      </c>
      <c r="D1424" s="580" t="s">
        <v>270</v>
      </c>
      <c r="E1424" s="569" t="s">
        <v>1516</v>
      </c>
      <c r="F1424" s="569" t="s">
        <v>1607</v>
      </c>
      <c r="G1424" s="569" t="s">
        <v>271</v>
      </c>
      <c r="H1424" s="569">
        <v>2019</v>
      </c>
      <c r="I1424" s="569" t="s">
        <v>2769</v>
      </c>
      <c r="J1424" s="569" t="s">
        <v>2048</v>
      </c>
      <c r="K1424" s="569" t="s">
        <v>236</v>
      </c>
      <c r="L1424" s="569">
        <v>15</v>
      </c>
      <c r="M1424" s="569">
        <v>0</v>
      </c>
      <c r="N1424" s="569" t="s">
        <v>157</v>
      </c>
      <c r="O1424" s="569">
        <v>5</v>
      </c>
      <c r="P1424" s="569">
        <v>82.4</v>
      </c>
      <c r="Q1424" s="568" t="s">
        <v>157</v>
      </c>
      <c r="R1424" s="569" t="s">
        <v>1917</v>
      </c>
      <c r="S1424" s="569">
        <v>5</v>
      </c>
      <c r="T1424" s="569" t="s">
        <v>2777</v>
      </c>
      <c r="U1424" s="569" t="s">
        <v>434</v>
      </c>
      <c r="V1424" s="569">
        <v>147.6</v>
      </c>
      <c r="W1424" s="569">
        <v>25</v>
      </c>
      <c r="X1424" s="568">
        <v>9250</v>
      </c>
      <c r="Y1424" s="569">
        <v>12</v>
      </c>
      <c r="Z1424" s="581" t="s">
        <v>728</v>
      </c>
      <c r="AA1424" s="581" t="s">
        <v>1523</v>
      </c>
      <c r="AB1424" s="585">
        <v>46605</v>
      </c>
      <c r="AC1424" s="585" t="s">
        <v>164</v>
      </c>
      <c r="AD1424" s="585">
        <v>34219</v>
      </c>
      <c r="AE1424" s="587">
        <v>0.03</v>
      </c>
      <c r="AF1424" s="661" t="str">
        <f t="shared" si="157"/>
        <v>2019-LVN-FRD-T35W-067-05</v>
      </c>
      <c r="AG1424" s="661" t="str">
        <f>IF(AND($Y1424&gt;=32,(AI1424="I"),(Y1424&lt;&gt;"~"),(COUNTIF($AN$1:$AN1424,$AN1424)=1)),"TRUE","FALSE")</f>
        <v>FALSE</v>
      </c>
      <c r="AH1424" s="661" t="str">
        <f>IF(AND($Y1424&gt;=22, (AI1424&lt;&gt;"I"),(Y1424&lt;&gt;"~"),(COUNTIF($AN$1:$AN1424,$AN1424)=1)),"TRUE","FALSE")</f>
        <v>FALSE</v>
      </c>
      <c r="AI1424" s="661" t="str">
        <f t="shared" si="152"/>
        <v>II</v>
      </c>
      <c r="AJ1424" s="662" t="str">
        <f t="shared" si="153"/>
        <v>T35W-067</v>
      </c>
      <c r="AK1424" s="662" t="str">
        <f t="shared" si="154"/>
        <v>LVN</v>
      </c>
      <c r="AL1424" s="662" t="str">
        <f t="shared" si="155"/>
        <v>FRD</v>
      </c>
      <c r="AM1424" s="662" t="str">
        <f t="shared" si="151"/>
        <v>Transit 350 Wagon-XL Sliding RH Door-RWD-15-82.4-~-3.2L-5-X2Y-301A-147.6-25-Diesel-BioDiesel</v>
      </c>
      <c r="AN1424" s="662" t="str">
        <f t="shared" si="156"/>
        <v>2019-LVN-FRD-T35W-067</v>
      </c>
    </row>
    <row r="1425" spans="1:40" s="572" customFormat="1" ht="15">
      <c r="A1425" s="570" t="s">
        <v>2802</v>
      </c>
      <c r="B1425" s="573" t="s">
        <v>2803</v>
      </c>
      <c r="C1425" s="573" t="s">
        <v>269</v>
      </c>
      <c r="D1425" s="578" t="s">
        <v>270</v>
      </c>
      <c r="E1425" s="573" t="s">
        <v>1516</v>
      </c>
      <c r="F1425" s="573" t="s">
        <v>1607</v>
      </c>
      <c r="G1425" s="573" t="s">
        <v>271</v>
      </c>
      <c r="H1425" s="573">
        <v>2019</v>
      </c>
      <c r="I1425" s="573" t="s">
        <v>2769</v>
      </c>
      <c r="J1425" s="573" t="s">
        <v>2048</v>
      </c>
      <c r="K1425" s="573" t="s">
        <v>236</v>
      </c>
      <c r="L1425" s="573">
        <v>15</v>
      </c>
      <c r="M1425" s="573">
        <v>0</v>
      </c>
      <c r="N1425" s="573" t="s">
        <v>157</v>
      </c>
      <c r="O1425" s="573">
        <v>5</v>
      </c>
      <c r="P1425" s="573">
        <v>82.4</v>
      </c>
      <c r="Q1425" s="571" t="s">
        <v>157</v>
      </c>
      <c r="R1425" s="573" t="s">
        <v>1259</v>
      </c>
      <c r="S1425" s="573">
        <v>6</v>
      </c>
      <c r="T1425" s="573" t="s">
        <v>2777</v>
      </c>
      <c r="U1425" s="573" t="s">
        <v>434</v>
      </c>
      <c r="V1425" s="573">
        <v>147.6</v>
      </c>
      <c r="W1425" s="573">
        <v>25</v>
      </c>
      <c r="X1425" s="571">
        <v>9000</v>
      </c>
      <c r="Y1425" s="573">
        <v>12</v>
      </c>
      <c r="Z1425" s="579" t="s">
        <v>178</v>
      </c>
      <c r="AA1425" s="579" t="s">
        <v>178</v>
      </c>
      <c r="AB1425" s="584">
        <v>44475</v>
      </c>
      <c r="AC1425" s="584" t="s">
        <v>164</v>
      </c>
      <c r="AD1425" s="584">
        <v>32325.708333333336</v>
      </c>
      <c r="AE1425" s="586">
        <v>0.03</v>
      </c>
      <c r="AF1425" s="661" t="str">
        <f t="shared" si="157"/>
        <v>2019-LVN-FRD-T35W-017-05</v>
      </c>
      <c r="AG1425" s="661" t="str">
        <f>IF(AND($Y1425&gt;=32,(AI1425="I"),(Y1425&lt;&gt;"~"),(COUNTIF($AN$1:$AN1425,$AN1425)=1)),"TRUE","FALSE")</f>
        <v>FALSE</v>
      </c>
      <c r="AH1425" s="661" t="str">
        <f>IF(AND($Y1425&gt;=22, (AI1425&lt;&gt;"I"),(Y1425&lt;&gt;"~"),(COUNTIF($AN$1:$AN1425,$AN1425)=1)),"TRUE","FALSE")</f>
        <v>FALSE</v>
      </c>
      <c r="AI1425" s="661" t="str">
        <f t="shared" si="152"/>
        <v>II</v>
      </c>
      <c r="AJ1425" s="662" t="str">
        <f t="shared" si="153"/>
        <v>T35W-017</v>
      </c>
      <c r="AK1425" s="662" t="str">
        <f t="shared" si="154"/>
        <v>LVN</v>
      </c>
      <c r="AL1425" s="662" t="str">
        <f t="shared" si="155"/>
        <v>FRD</v>
      </c>
      <c r="AM1425" s="662" t="str">
        <f t="shared" si="151"/>
        <v>Transit 350 Wagon-XL Sliding RH Door-RWD-15-82.4-~-3.5L EcoBoost-6-X2Y-301A-147.6-25-Unleaded-Unleaded</v>
      </c>
      <c r="AN1425" s="662" t="str">
        <f t="shared" si="156"/>
        <v>2019-LVN-FRD-T35W-017</v>
      </c>
    </row>
    <row r="1426" spans="1:40" s="572" customFormat="1" ht="15">
      <c r="A1426" s="570" t="s">
        <v>2804</v>
      </c>
      <c r="B1426" s="569" t="s">
        <v>2805</v>
      </c>
      <c r="C1426" s="569" t="s">
        <v>269</v>
      </c>
      <c r="D1426" s="580" t="s">
        <v>270</v>
      </c>
      <c r="E1426" s="569" t="s">
        <v>1516</v>
      </c>
      <c r="F1426" s="569" t="s">
        <v>1607</v>
      </c>
      <c r="G1426" s="569" t="s">
        <v>271</v>
      </c>
      <c r="H1426" s="569">
        <v>2019</v>
      </c>
      <c r="I1426" s="569" t="s">
        <v>2769</v>
      </c>
      <c r="J1426" s="569" t="s">
        <v>2048</v>
      </c>
      <c r="K1426" s="569" t="s">
        <v>236</v>
      </c>
      <c r="L1426" s="569">
        <v>15</v>
      </c>
      <c r="M1426" s="569">
        <v>0</v>
      </c>
      <c r="N1426" s="569" t="s">
        <v>157</v>
      </c>
      <c r="O1426" s="569">
        <v>5</v>
      </c>
      <c r="P1426" s="569">
        <v>82.4</v>
      </c>
      <c r="Q1426" s="568" t="s">
        <v>157</v>
      </c>
      <c r="R1426" s="569" t="s">
        <v>682</v>
      </c>
      <c r="S1426" s="569">
        <v>6</v>
      </c>
      <c r="T1426" s="569" t="s">
        <v>2777</v>
      </c>
      <c r="U1426" s="569" t="s">
        <v>434</v>
      </c>
      <c r="V1426" s="569">
        <v>147.6</v>
      </c>
      <c r="W1426" s="569">
        <v>25</v>
      </c>
      <c r="X1426" s="568">
        <v>9000</v>
      </c>
      <c r="Y1426" s="569">
        <v>12</v>
      </c>
      <c r="Z1426" s="581" t="s">
        <v>178</v>
      </c>
      <c r="AA1426" s="581" t="s">
        <v>178</v>
      </c>
      <c r="AB1426" s="585">
        <v>42610</v>
      </c>
      <c r="AC1426" s="585" t="s">
        <v>164</v>
      </c>
      <c r="AD1426" s="585">
        <v>30669.458333333336</v>
      </c>
      <c r="AE1426" s="587">
        <v>0.03</v>
      </c>
      <c r="AF1426" s="661" t="str">
        <f t="shared" si="157"/>
        <v>2019-LVN-FRD-T35W-068-05</v>
      </c>
      <c r="AG1426" s="661" t="str">
        <f>IF(AND($Y1426&gt;=32,(AI1426="I"),(Y1426&lt;&gt;"~"),(COUNTIF($AN$1:$AN1426,$AN1426)=1)),"TRUE","FALSE")</f>
        <v>FALSE</v>
      </c>
      <c r="AH1426" s="661" t="str">
        <f>IF(AND($Y1426&gt;=22, (AI1426&lt;&gt;"I"),(Y1426&lt;&gt;"~"),(COUNTIF($AN$1:$AN1426,$AN1426)=1)),"TRUE","FALSE")</f>
        <v>FALSE</v>
      </c>
      <c r="AI1426" s="661" t="str">
        <f t="shared" si="152"/>
        <v>II</v>
      </c>
      <c r="AJ1426" s="662" t="str">
        <f t="shared" si="153"/>
        <v>T35W-068</v>
      </c>
      <c r="AK1426" s="662" t="str">
        <f t="shared" si="154"/>
        <v>LVN</v>
      </c>
      <c r="AL1426" s="662" t="str">
        <f t="shared" si="155"/>
        <v>FRD</v>
      </c>
      <c r="AM1426" s="662" t="str">
        <f t="shared" si="151"/>
        <v>Transit 350 Wagon-XL Sliding RH Door-RWD-15-82.4-~-3.7L-6-X2Y-301A-147.6-25-Unleaded-Unleaded</v>
      </c>
      <c r="AN1426" s="662" t="str">
        <f t="shared" si="156"/>
        <v>2019-LVN-FRD-T35W-068</v>
      </c>
    </row>
    <row r="1427" spans="1:40" s="572" customFormat="1" ht="15">
      <c r="A1427" s="570" t="s">
        <v>2806</v>
      </c>
      <c r="B1427" s="573" t="s">
        <v>2807</v>
      </c>
      <c r="C1427" s="573" t="s">
        <v>269</v>
      </c>
      <c r="D1427" s="578" t="s">
        <v>270</v>
      </c>
      <c r="E1427" s="573" t="s">
        <v>1516</v>
      </c>
      <c r="F1427" s="573" t="s">
        <v>1607</v>
      </c>
      <c r="G1427" s="573" t="s">
        <v>271</v>
      </c>
      <c r="H1427" s="573">
        <v>2019</v>
      </c>
      <c r="I1427" s="573" t="s">
        <v>2769</v>
      </c>
      <c r="J1427" s="573" t="s">
        <v>2048</v>
      </c>
      <c r="K1427" s="573" t="s">
        <v>236</v>
      </c>
      <c r="L1427" s="573">
        <v>15</v>
      </c>
      <c r="M1427" s="573">
        <v>0</v>
      </c>
      <c r="N1427" s="573" t="s">
        <v>157</v>
      </c>
      <c r="O1427" s="573">
        <v>5</v>
      </c>
      <c r="P1427" s="573">
        <v>99.2</v>
      </c>
      <c r="Q1427" s="571" t="s">
        <v>157</v>
      </c>
      <c r="R1427" s="573" t="s">
        <v>1917</v>
      </c>
      <c r="S1427" s="573">
        <v>5</v>
      </c>
      <c r="T1427" s="573" t="s">
        <v>2617</v>
      </c>
      <c r="U1427" s="573" t="s">
        <v>434</v>
      </c>
      <c r="V1427" s="573">
        <v>147.6</v>
      </c>
      <c r="W1427" s="573">
        <v>25</v>
      </c>
      <c r="X1427" s="571">
        <v>9400</v>
      </c>
      <c r="Y1427" s="573">
        <v>12</v>
      </c>
      <c r="Z1427" s="579" t="s">
        <v>728</v>
      </c>
      <c r="AA1427" s="579" t="s">
        <v>1523</v>
      </c>
      <c r="AB1427" s="584">
        <v>48055</v>
      </c>
      <c r="AC1427" s="584" t="s">
        <v>164</v>
      </c>
      <c r="AD1427" s="584">
        <v>37627.333333333336</v>
      </c>
      <c r="AE1427" s="586">
        <v>0.03</v>
      </c>
      <c r="AF1427" s="661" t="str">
        <f t="shared" si="157"/>
        <v>2019-LVN-FRD-T35W-018-05</v>
      </c>
      <c r="AG1427" s="661" t="str">
        <f>IF(AND($Y1427&gt;=32,(AI1427="I"),(Y1427&lt;&gt;"~"),(COUNTIF($AN$1:$AN1427,$AN1427)=1)),"TRUE","FALSE")</f>
        <v>FALSE</v>
      </c>
      <c r="AH1427" s="661" t="str">
        <f>IF(AND($Y1427&gt;=22, (AI1427&lt;&gt;"I"),(Y1427&lt;&gt;"~"),(COUNTIF($AN$1:$AN1427,$AN1427)=1)),"TRUE","FALSE")</f>
        <v>FALSE</v>
      </c>
      <c r="AI1427" s="661" t="str">
        <f t="shared" si="152"/>
        <v>II</v>
      </c>
      <c r="AJ1427" s="662" t="str">
        <f t="shared" si="153"/>
        <v>T35W-018</v>
      </c>
      <c r="AK1427" s="662" t="str">
        <f t="shared" si="154"/>
        <v>LVN</v>
      </c>
      <c r="AL1427" s="662" t="str">
        <f t="shared" si="155"/>
        <v>FRD</v>
      </c>
      <c r="AM1427" s="662" t="str">
        <f t="shared" si="151"/>
        <v>Transit 350 Wagon-XL Sliding RH Door-RWD-15-99.2-~-3.2L-5-X2C-301A-147.6-25-Diesel-BioDiesel</v>
      </c>
      <c r="AN1427" s="662" t="str">
        <f t="shared" si="156"/>
        <v>2019-LVN-FRD-T35W-018</v>
      </c>
    </row>
    <row r="1428" spans="1:40" s="572" customFormat="1" ht="15">
      <c r="A1428" s="570" t="s">
        <v>2808</v>
      </c>
      <c r="B1428" s="569" t="s">
        <v>2809</v>
      </c>
      <c r="C1428" s="569" t="s">
        <v>269</v>
      </c>
      <c r="D1428" s="580" t="s">
        <v>270</v>
      </c>
      <c r="E1428" s="569" t="s">
        <v>1516</v>
      </c>
      <c r="F1428" s="569" t="s">
        <v>1607</v>
      </c>
      <c r="G1428" s="569" t="s">
        <v>271</v>
      </c>
      <c r="H1428" s="569">
        <v>2019</v>
      </c>
      <c r="I1428" s="569" t="s">
        <v>2769</v>
      </c>
      <c r="J1428" s="569" t="s">
        <v>2048</v>
      </c>
      <c r="K1428" s="569" t="s">
        <v>236</v>
      </c>
      <c r="L1428" s="569">
        <v>15</v>
      </c>
      <c r="M1428" s="569">
        <v>0</v>
      </c>
      <c r="N1428" s="569" t="s">
        <v>157</v>
      </c>
      <c r="O1428" s="569">
        <v>5</v>
      </c>
      <c r="P1428" s="569">
        <v>99.2</v>
      </c>
      <c r="Q1428" s="568" t="s">
        <v>157</v>
      </c>
      <c r="R1428" s="569" t="s">
        <v>1259</v>
      </c>
      <c r="S1428" s="569">
        <v>6</v>
      </c>
      <c r="T1428" s="569" t="s">
        <v>2617</v>
      </c>
      <c r="U1428" s="569" t="s">
        <v>434</v>
      </c>
      <c r="V1428" s="569">
        <v>147.6</v>
      </c>
      <c r="W1428" s="569">
        <v>25</v>
      </c>
      <c r="X1428" s="568">
        <v>9150</v>
      </c>
      <c r="Y1428" s="569">
        <v>12</v>
      </c>
      <c r="Z1428" s="581" t="s">
        <v>178</v>
      </c>
      <c r="AA1428" s="581" t="s">
        <v>178</v>
      </c>
      <c r="AB1428" s="585">
        <v>45925</v>
      </c>
      <c r="AC1428" s="585" t="s">
        <v>164</v>
      </c>
      <c r="AD1428" s="585">
        <v>35734.041666666672</v>
      </c>
      <c r="AE1428" s="587">
        <v>0.03</v>
      </c>
      <c r="AF1428" s="661" t="str">
        <f t="shared" si="157"/>
        <v>2019-LVN-FRD-T35W-019-05</v>
      </c>
      <c r="AG1428" s="661" t="str">
        <f>IF(AND($Y1428&gt;=32,(AI1428="I"),(Y1428&lt;&gt;"~"),(COUNTIF($AN$1:$AN1428,$AN1428)=1)),"TRUE","FALSE")</f>
        <v>FALSE</v>
      </c>
      <c r="AH1428" s="661" t="str">
        <f>IF(AND($Y1428&gt;=22, (AI1428&lt;&gt;"I"),(Y1428&lt;&gt;"~"),(COUNTIF($AN$1:$AN1428,$AN1428)=1)),"TRUE","FALSE")</f>
        <v>FALSE</v>
      </c>
      <c r="AI1428" s="661" t="str">
        <f t="shared" si="152"/>
        <v>II</v>
      </c>
      <c r="AJ1428" s="662" t="str">
        <f t="shared" si="153"/>
        <v>T35W-019</v>
      </c>
      <c r="AK1428" s="662" t="str">
        <f t="shared" si="154"/>
        <v>LVN</v>
      </c>
      <c r="AL1428" s="662" t="str">
        <f t="shared" si="155"/>
        <v>FRD</v>
      </c>
      <c r="AM1428" s="662" t="str">
        <f t="shared" si="151"/>
        <v>Transit 350 Wagon-XL Sliding RH Door-RWD-15-99.2-~-3.5L EcoBoost-6-X2C-301A-147.6-25-Unleaded-Unleaded</v>
      </c>
      <c r="AN1428" s="662" t="str">
        <f t="shared" si="156"/>
        <v>2019-LVN-FRD-T35W-019</v>
      </c>
    </row>
    <row r="1429" spans="1:40" s="572" customFormat="1" ht="15">
      <c r="A1429" s="570" t="s">
        <v>2810</v>
      </c>
      <c r="B1429" s="573" t="s">
        <v>2811</v>
      </c>
      <c r="C1429" s="573" t="s">
        <v>269</v>
      </c>
      <c r="D1429" s="578" t="s">
        <v>270</v>
      </c>
      <c r="E1429" s="573" t="s">
        <v>1516</v>
      </c>
      <c r="F1429" s="573" t="s">
        <v>1607</v>
      </c>
      <c r="G1429" s="573" t="s">
        <v>271</v>
      </c>
      <c r="H1429" s="573">
        <v>2019</v>
      </c>
      <c r="I1429" s="573" t="s">
        <v>2769</v>
      </c>
      <c r="J1429" s="573" t="s">
        <v>2048</v>
      </c>
      <c r="K1429" s="573" t="s">
        <v>236</v>
      </c>
      <c r="L1429" s="573">
        <v>15</v>
      </c>
      <c r="M1429" s="573">
        <v>0</v>
      </c>
      <c r="N1429" s="573" t="s">
        <v>157</v>
      </c>
      <c r="O1429" s="573">
        <v>5</v>
      </c>
      <c r="P1429" s="573">
        <v>99.2</v>
      </c>
      <c r="Q1429" s="571" t="s">
        <v>157</v>
      </c>
      <c r="R1429" s="573" t="s">
        <v>682</v>
      </c>
      <c r="S1429" s="573">
        <v>6</v>
      </c>
      <c r="T1429" s="573" t="s">
        <v>2617</v>
      </c>
      <c r="U1429" s="573" t="s">
        <v>434</v>
      </c>
      <c r="V1429" s="573">
        <v>147.6</v>
      </c>
      <c r="W1429" s="573">
        <v>25</v>
      </c>
      <c r="X1429" s="571">
        <v>9150</v>
      </c>
      <c r="Y1429" s="573">
        <v>12</v>
      </c>
      <c r="Z1429" s="579" t="s">
        <v>178</v>
      </c>
      <c r="AA1429" s="579" t="s">
        <v>178</v>
      </c>
      <c r="AB1429" s="584">
        <v>44060</v>
      </c>
      <c r="AC1429" s="584" t="s">
        <v>164</v>
      </c>
      <c r="AD1429" s="584">
        <v>34077.791666666672</v>
      </c>
      <c r="AE1429" s="586">
        <v>0.03</v>
      </c>
      <c r="AF1429" s="661" t="str">
        <f t="shared" si="157"/>
        <v>2019-LVN-FRD-T35W-020-05</v>
      </c>
      <c r="AG1429" s="661" t="str">
        <f>IF(AND($Y1429&gt;=32,(AI1429="I"),(Y1429&lt;&gt;"~"),(COUNTIF($AN$1:$AN1429,$AN1429)=1)),"TRUE","FALSE")</f>
        <v>FALSE</v>
      </c>
      <c r="AH1429" s="661" t="str">
        <f>IF(AND($Y1429&gt;=22, (AI1429&lt;&gt;"I"),(Y1429&lt;&gt;"~"),(COUNTIF($AN$1:$AN1429,$AN1429)=1)),"TRUE","FALSE")</f>
        <v>FALSE</v>
      </c>
      <c r="AI1429" s="661" t="str">
        <f t="shared" si="152"/>
        <v>II</v>
      </c>
      <c r="AJ1429" s="662" t="str">
        <f t="shared" si="153"/>
        <v>T35W-020</v>
      </c>
      <c r="AK1429" s="662" t="str">
        <f t="shared" si="154"/>
        <v>LVN</v>
      </c>
      <c r="AL1429" s="662" t="str">
        <f t="shared" si="155"/>
        <v>FRD</v>
      </c>
      <c r="AM1429" s="662" t="str">
        <f t="shared" si="151"/>
        <v>Transit 350 Wagon-XL Sliding RH Door-RWD-15-99.2-~-3.7L-6-X2C-301A-147.6-25-Unleaded-Unleaded</v>
      </c>
      <c r="AN1429" s="662" t="str">
        <f t="shared" si="156"/>
        <v>2019-LVN-FRD-T35W-020</v>
      </c>
    </row>
    <row r="1430" spans="1:40" s="572" customFormat="1" ht="15">
      <c r="A1430" s="570" t="s">
        <v>2812</v>
      </c>
      <c r="B1430" s="569" t="s">
        <v>2768</v>
      </c>
      <c r="C1430" s="569" t="s">
        <v>278</v>
      </c>
      <c r="D1430" s="580">
        <v>15</v>
      </c>
      <c r="E1430" s="569" t="s">
        <v>1516</v>
      </c>
      <c r="F1430" s="569" t="s">
        <v>1607</v>
      </c>
      <c r="G1430" s="569" t="s">
        <v>271</v>
      </c>
      <c r="H1430" s="569">
        <v>2019</v>
      </c>
      <c r="I1430" s="569" t="s">
        <v>2769</v>
      </c>
      <c r="J1430" s="569" t="s">
        <v>2048</v>
      </c>
      <c r="K1430" s="569" t="s">
        <v>236</v>
      </c>
      <c r="L1430" s="569">
        <v>12</v>
      </c>
      <c r="M1430" s="569">
        <v>0</v>
      </c>
      <c r="N1430" s="569" t="s">
        <v>157</v>
      </c>
      <c r="O1430" s="569">
        <v>4</v>
      </c>
      <c r="P1430" s="569">
        <v>108.6</v>
      </c>
      <c r="Q1430" s="568" t="s">
        <v>157</v>
      </c>
      <c r="R1430" s="569" t="s">
        <v>1917</v>
      </c>
      <c r="S1430" s="569">
        <v>5</v>
      </c>
      <c r="T1430" s="569" t="s">
        <v>2770</v>
      </c>
      <c r="U1430" s="569" t="s">
        <v>434</v>
      </c>
      <c r="V1430" s="569">
        <v>147.6</v>
      </c>
      <c r="W1430" s="569">
        <v>25</v>
      </c>
      <c r="X1430" s="568">
        <v>9250</v>
      </c>
      <c r="Y1430" s="569">
        <v>12</v>
      </c>
      <c r="Z1430" s="581" t="s">
        <v>728</v>
      </c>
      <c r="AA1430" s="581" t="s">
        <v>1523</v>
      </c>
      <c r="AB1430" s="585">
        <v>48010</v>
      </c>
      <c r="AC1430" s="585" t="s">
        <v>164</v>
      </c>
      <c r="AD1430" s="585">
        <v>38400</v>
      </c>
      <c r="AE1430" s="587">
        <v>0.01</v>
      </c>
      <c r="AF1430" s="661" t="str">
        <f t="shared" si="157"/>
        <v>2019-LVN-FRD-T35W-001-15</v>
      </c>
      <c r="AG1430" s="661" t="str">
        <f>IF(AND($Y1430&gt;=32,(AI1430="I"),(Y1430&lt;&gt;"~"),(COUNTIF($AN$1:$AN1430,$AN1430)=1)),"TRUE","FALSE")</f>
        <v>FALSE</v>
      </c>
      <c r="AH1430" s="661" t="str">
        <f>IF(AND($Y1430&gt;=22, (AI1430&lt;&gt;"I"),(Y1430&lt;&gt;"~"),(COUNTIF($AN$1:$AN1430,$AN1430)=1)),"TRUE","FALSE")</f>
        <v>FALSE</v>
      </c>
      <c r="AI1430" s="661" t="str">
        <f t="shared" si="152"/>
        <v>II</v>
      </c>
      <c r="AJ1430" s="662" t="str">
        <f t="shared" si="153"/>
        <v>T35W-001</v>
      </c>
      <c r="AK1430" s="662" t="str">
        <f t="shared" si="154"/>
        <v>LVN</v>
      </c>
      <c r="AL1430" s="662" t="str">
        <f t="shared" si="155"/>
        <v>FRD</v>
      </c>
      <c r="AM1430" s="662" t="str">
        <f t="shared" si="151"/>
        <v>Transit 350 Wagon-XL Sliding RH Door-RWD-12-108.6-~-3.2L-5-X2X-301A-147.6-25-Diesel-BioDiesel</v>
      </c>
      <c r="AN1430" s="662" t="str">
        <f t="shared" si="156"/>
        <v>2019-LVN-FRD-T35W-001</v>
      </c>
    </row>
    <row r="1431" spans="1:40" s="572" customFormat="1" ht="15">
      <c r="A1431" s="570" t="s">
        <v>2813</v>
      </c>
      <c r="B1431" s="573" t="s">
        <v>2772</v>
      </c>
      <c r="C1431" s="573" t="s">
        <v>278</v>
      </c>
      <c r="D1431" s="578">
        <v>15</v>
      </c>
      <c r="E1431" s="573" t="s">
        <v>1516</v>
      </c>
      <c r="F1431" s="573" t="s">
        <v>1607</v>
      </c>
      <c r="G1431" s="573" t="s">
        <v>271</v>
      </c>
      <c r="H1431" s="573">
        <v>2019</v>
      </c>
      <c r="I1431" s="573" t="s">
        <v>2769</v>
      </c>
      <c r="J1431" s="573" t="s">
        <v>2048</v>
      </c>
      <c r="K1431" s="573" t="s">
        <v>236</v>
      </c>
      <c r="L1431" s="573">
        <v>12</v>
      </c>
      <c r="M1431" s="573">
        <v>0</v>
      </c>
      <c r="N1431" s="573" t="s">
        <v>157</v>
      </c>
      <c r="O1431" s="573">
        <v>4</v>
      </c>
      <c r="P1431" s="573">
        <v>108.6</v>
      </c>
      <c r="Q1431" s="571" t="s">
        <v>157</v>
      </c>
      <c r="R1431" s="573" t="s">
        <v>1259</v>
      </c>
      <c r="S1431" s="573">
        <v>6</v>
      </c>
      <c r="T1431" s="573" t="s">
        <v>2770</v>
      </c>
      <c r="U1431" s="573" t="s">
        <v>434</v>
      </c>
      <c r="V1431" s="573">
        <v>147.6</v>
      </c>
      <c r="W1431" s="573">
        <v>25</v>
      </c>
      <c r="X1431" s="571">
        <v>9000</v>
      </c>
      <c r="Y1431" s="573">
        <v>12</v>
      </c>
      <c r="Z1431" s="579" t="s">
        <v>178</v>
      </c>
      <c r="AA1431" s="579" t="s">
        <v>178</v>
      </c>
      <c r="AB1431" s="584">
        <v>45880</v>
      </c>
      <c r="AC1431" s="584" t="s">
        <v>164</v>
      </c>
      <c r="AD1431" s="584">
        <v>36500</v>
      </c>
      <c r="AE1431" s="586">
        <v>0.01</v>
      </c>
      <c r="AF1431" s="661" t="str">
        <f t="shared" si="157"/>
        <v>2019-LVN-FRD-T35W-002-15</v>
      </c>
      <c r="AG1431" s="661" t="str">
        <f>IF(AND($Y1431&gt;=32,(AI1431="I"),(Y1431&lt;&gt;"~"),(COUNTIF($AN$1:$AN1431,$AN1431)=1)),"TRUE","FALSE")</f>
        <v>FALSE</v>
      </c>
      <c r="AH1431" s="661" t="str">
        <f>IF(AND($Y1431&gt;=22, (AI1431&lt;&gt;"I"),(Y1431&lt;&gt;"~"),(COUNTIF($AN$1:$AN1431,$AN1431)=1)),"TRUE","FALSE")</f>
        <v>FALSE</v>
      </c>
      <c r="AI1431" s="661" t="str">
        <f t="shared" si="152"/>
        <v>II</v>
      </c>
      <c r="AJ1431" s="662" t="str">
        <f t="shared" si="153"/>
        <v>T35W-002</v>
      </c>
      <c r="AK1431" s="662" t="str">
        <f t="shared" si="154"/>
        <v>LVN</v>
      </c>
      <c r="AL1431" s="662" t="str">
        <f t="shared" si="155"/>
        <v>FRD</v>
      </c>
      <c r="AM1431" s="662" t="str">
        <f t="shared" si="151"/>
        <v>Transit 350 Wagon-XL Sliding RH Door-RWD-12-108.6-~-3.5L EcoBoost-6-X2X-301A-147.6-25-Unleaded-Unleaded</v>
      </c>
      <c r="AN1431" s="662" t="str">
        <f t="shared" si="156"/>
        <v>2019-LVN-FRD-T35W-002</v>
      </c>
    </row>
    <row r="1432" spans="1:40" s="572" customFormat="1" ht="15">
      <c r="A1432" s="570" t="s">
        <v>2814</v>
      </c>
      <c r="B1432" s="569" t="s">
        <v>2774</v>
      </c>
      <c r="C1432" s="569" t="s">
        <v>278</v>
      </c>
      <c r="D1432" s="580">
        <v>15</v>
      </c>
      <c r="E1432" s="569" t="s">
        <v>1516</v>
      </c>
      <c r="F1432" s="569" t="s">
        <v>1607</v>
      </c>
      <c r="G1432" s="569" t="s">
        <v>271</v>
      </c>
      <c r="H1432" s="569">
        <v>2019</v>
      </c>
      <c r="I1432" s="569" t="s">
        <v>2769</v>
      </c>
      <c r="J1432" s="569" t="s">
        <v>2048</v>
      </c>
      <c r="K1432" s="569" t="s">
        <v>236</v>
      </c>
      <c r="L1432" s="569">
        <v>12</v>
      </c>
      <c r="M1432" s="569">
        <v>0</v>
      </c>
      <c r="N1432" s="569" t="s">
        <v>157</v>
      </c>
      <c r="O1432" s="569">
        <v>4</v>
      </c>
      <c r="P1432" s="569">
        <v>108.6</v>
      </c>
      <c r="Q1432" s="568" t="s">
        <v>157</v>
      </c>
      <c r="R1432" s="569" t="s">
        <v>682</v>
      </c>
      <c r="S1432" s="569">
        <v>6</v>
      </c>
      <c r="T1432" s="569" t="s">
        <v>2770</v>
      </c>
      <c r="U1432" s="569" t="s">
        <v>434</v>
      </c>
      <c r="V1432" s="569">
        <v>147.6</v>
      </c>
      <c r="W1432" s="569">
        <v>25</v>
      </c>
      <c r="X1432" s="568">
        <v>9000</v>
      </c>
      <c r="Y1432" s="569">
        <v>12</v>
      </c>
      <c r="Z1432" s="581" t="s">
        <v>178</v>
      </c>
      <c r="AA1432" s="581" t="s">
        <v>178</v>
      </c>
      <c r="AB1432" s="585">
        <v>44015</v>
      </c>
      <c r="AC1432" s="585" t="s">
        <v>164</v>
      </c>
      <c r="AD1432" s="585">
        <v>34800</v>
      </c>
      <c r="AE1432" s="587">
        <v>0.01</v>
      </c>
      <c r="AF1432" s="661" t="str">
        <f t="shared" si="157"/>
        <v>2019-LVN-FRD-T35W-003-15</v>
      </c>
      <c r="AG1432" s="661" t="str">
        <f>IF(AND($Y1432&gt;=32,(AI1432="I"),(Y1432&lt;&gt;"~"),(COUNTIF($AN$1:$AN1432,$AN1432)=1)),"TRUE","FALSE")</f>
        <v>FALSE</v>
      </c>
      <c r="AH1432" s="661" t="str">
        <f>IF(AND($Y1432&gt;=22, (AI1432&lt;&gt;"I"),(Y1432&lt;&gt;"~"),(COUNTIF($AN$1:$AN1432,$AN1432)=1)),"TRUE","FALSE")</f>
        <v>FALSE</v>
      </c>
      <c r="AI1432" s="661" t="str">
        <f t="shared" si="152"/>
        <v>II</v>
      </c>
      <c r="AJ1432" s="662" t="str">
        <f t="shared" si="153"/>
        <v>T35W-003</v>
      </c>
      <c r="AK1432" s="662" t="str">
        <f t="shared" si="154"/>
        <v>LVN</v>
      </c>
      <c r="AL1432" s="662" t="str">
        <f t="shared" si="155"/>
        <v>FRD</v>
      </c>
      <c r="AM1432" s="662" t="str">
        <f t="shared" si="151"/>
        <v>Transit 350 Wagon-XL Sliding RH Door-RWD-12-108.6-~-3.7L-6-X2X-301A-147.6-25-Unleaded-Unleaded</v>
      </c>
      <c r="AN1432" s="662" t="str">
        <f t="shared" si="156"/>
        <v>2019-LVN-FRD-T35W-003</v>
      </c>
    </row>
    <row r="1433" spans="1:40" s="572" customFormat="1" ht="15">
      <c r="A1433" s="570" t="s">
        <v>2815</v>
      </c>
      <c r="B1433" s="573" t="s">
        <v>2776</v>
      </c>
      <c r="C1433" s="573" t="s">
        <v>278</v>
      </c>
      <c r="D1433" s="578">
        <v>15</v>
      </c>
      <c r="E1433" s="573" t="s">
        <v>1516</v>
      </c>
      <c r="F1433" s="573" t="s">
        <v>1607</v>
      </c>
      <c r="G1433" s="573" t="s">
        <v>271</v>
      </c>
      <c r="H1433" s="573">
        <v>2019</v>
      </c>
      <c r="I1433" s="573" t="s">
        <v>2769</v>
      </c>
      <c r="J1433" s="573" t="s">
        <v>2048</v>
      </c>
      <c r="K1433" s="573" t="s">
        <v>236</v>
      </c>
      <c r="L1433" s="573">
        <v>12</v>
      </c>
      <c r="M1433" s="573">
        <v>0</v>
      </c>
      <c r="N1433" s="573" t="s">
        <v>157</v>
      </c>
      <c r="O1433" s="573">
        <v>4</v>
      </c>
      <c r="P1433" s="573">
        <v>82.4</v>
      </c>
      <c r="Q1433" s="571" t="s">
        <v>157</v>
      </c>
      <c r="R1433" s="573" t="s">
        <v>1917</v>
      </c>
      <c r="S1433" s="573">
        <v>5</v>
      </c>
      <c r="T1433" s="573" t="s">
        <v>2777</v>
      </c>
      <c r="U1433" s="573" t="s">
        <v>434</v>
      </c>
      <c r="V1433" s="573">
        <v>147.6</v>
      </c>
      <c r="W1433" s="573">
        <v>25</v>
      </c>
      <c r="X1433" s="571">
        <v>9000</v>
      </c>
      <c r="Y1433" s="573">
        <v>12</v>
      </c>
      <c r="Z1433" s="579" t="s">
        <v>728</v>
      </c>
      <c r="AA1433" s="579" t="s">
        <v>1523</v>
      </c>
      <c r="AB1433" s="584">
        <v>45110</v>
      </c>
      <c r="AC1433" s="584" t="s">
        <v>164</v>
      </c>
      <c r="AD1433" s="584">
        <v>33600</v>
      </c>
      <c r="AE1433" s="586">
        <v>0.01</v>
      </c>
      <c r="AF1433" s="661" t="str">
        <f t="shared" si="157"/>
        <v>2019-LVN-FRD-T35W-005-15</v>
      </c>
      <c r="AG1433" s="661" t="str">
        <f>IF(AND($Y1433&gt;=32,(AI1433="I"),(Y1433&lt;&gt;"~"),(COUNTIF($AN$1:$AN1433,$AN1433)=1)),"TRUE","FALSE")</f>
        <v>FALSE</v>
      </c>
      <c r="AH1433" s="661" t="str">
        <f>IF(AND($Y1433&gt;=22, (AI1433&lt;&gt;"I"),(Y1433&lt;&gt;"~"),(COUNTIF($AN$1:$AN1433,$AN1433)=1)),"TRUE","FALSE")</f>
        <v>FALSE</v>
      </c>
      <c r="AI1433" s="661" t="str">
        <f t="shared" si="152"/>
        <v>II</v>
      </c>
      <c r="AJ1433" s="662" t="str">
        <f t="shared" si="153"/>
        <v>T35W-005</v>
      </c>
      <c r="AK1433" s="662" t="str">
        <f t="shared" si="154"/>
        <v>LVN</v>
      </c>
      <c r="AL1433" s="662" t="str">
        <f t="shared" si="155"/>
        <v>FRD</v>
      </c>
      <c r="AM1433" s="662" t="str">
        <f t="shared" si="151"/>
        <v>Transit 350 Wagon-XL Sliding RH Door-RWD-12-82.4-~-3.2L-5-X2Y-301A-147.6-25-Diesel-BioDiesel</v>
      </c>
      <c r="AN1433" s="662" t="str">
        <f t="shared" si="156"/>
        <v>2019-LVN-FRD-T35W-005</v>
      </c>
    </row>
    <row r="1434" spans="1:40" s="572" customFormat="1" ht="15">
      <c r="A1434" s="570" t="s">
        <v>2816</v>
      </c>
      <c r="B1434" s="569" t="s">
        <v>2781</v>
      </c>
      <c r="C1434" s="569" t="s">
        <v>278</v>
      </c>
      <c r="D1434" s="580">
        <v>15</v>
      </c>
      <c r="E1434" s="569" t="s">
        <v>1516</v>
      </c>
      <c r="F1434" s="569" t="s">
        <v>1607</v>
      </c>
      <c r="G1434" s="569" t="s">
        <v>271</v>
      </c>
      <c r="H1434" s="569">
        <v>2019</v>
      </c>
      <c r="I1434" s="569" t="s">
        <v>2769</v>
      </c>
      <c r="J1434" s="569" t="s">
        <v>2048</v>
      </c>
      <c r="K1434" s="569" t="s">
        <v>236</v>
      </c>
      <c r="L1434" s="569">
        <v>12</v>
      </c>
      <c r="M1434" s="569">
        <v>0</v>
      </c>
      <c r="N1434" s="569" t="s">
        <v>157</v>
      </c>
      <c r="O1434" s="569">
        <v>4</v>
      </c>
      <c r="P1434" s="569">
        <v>82.4</v>
      </c>
      <c r="Q1434" s="568" t="s">
        <v>157</v>
      </c>
      <c r="R1434" s="569" t="s">
        <v>682</v>
      </c>
      <c r="S1434" s="569">
        <v>6</v>
      </c>
      <c r="T1434" s="569" t="s">
        <v>2777</v>
      </c>
      <c r="U1434" s="569" t="s">
        <v>434</v>
      </c>
      <c r="V1434" s="569">
        <v>147.6</v>
      </c>
      <c r="W1434" s="569">
        <v>25</v>
      </c>
      <c r="X1434" s="568">
        <v>9000</v>
      </c>
      <c r="Y1434" s="569">
        <v>12</v>
      </c>
      <c r="Z1434" s="581" t="s">
        <v>178</v>
      </c>
      <c r="AA1434" s="581" t="s">
        <v>178</v>
      </c>
      <c r="AB1434" s="585">
        <v>41115</v>
      </c>
      <c r="AC1434" s="585" t="s">
        <v>164</v>
      </c>
      <c r="AD1434" s="585">
        <v>29900</v>
      </c>
      <c r="AE1434" s="587">
        <v>0.01</v>
      </c>
      <c r="AF1434" s="661" t="str">
        <f t="shared" si="157"/>
        <v>2019-LVN-FRD-T35W-075-15</v>
      </c>
      <c r="AG1434" s="661" t="str">
        <f>IF(AND($Y1434&gt;=32,(AI1434="I"),(Y1434&lt;&gt;"~"),(COUNTIF($AN$1:$AN1434,$AN1434)=1)),"TRUE","FALSE")</f>
        <v>FALSE</v>
      </c>
      <c r="AH1434" s="661" t="str">
        <f>IF(AND($Y1434&gt;=22, (AI1434&lt;&gt;"I"),(Y1434&lt;&gt;"~"),(COUNTIF($AN$1:$AN1434,$AN1434)=1)),"TRUE","FALSE")</f>
        <v>FALSE</v>
      </c>
      <c r="AI1434" s="661" t="str">
        <f t="shared" si="152"/>
        <v>II</v>
      </c>
      <c r="AJ1434" s="662" t="str">
        <f t="shared" si="153"/>
        <v>T35W-075</v>
      </c>
      <c r="AK1434" s="662" t="str">
        <f t="shared" si="154"/>
        <v>LVN</v>
      </c>
      <c r="AL1434" s="662" t="str">
        <f t="shared" si="155"/>
        <v>FRD</v>
      </c>
      <c r="AM1434" s="662" t="str">
        <f t="shared" si="151"/>
        <v>Transit 350 Wagon-XL Sliding RH Door-RWD-12-82.4-~-3.7L-6-X2Y-301A-147.6-25-Unleaded-Unleaded</v>
      </c>
      <c r="AN1434" s="662" t="str">
        <f t="shared" si="156"/>
        <v>2019-LVN-FRD-T35W-075</v>
      </c>
    </row>
    <row r="1435" spans="1:40" s="572" customFormat="1" ht="15">
      <c r="A1435" s="570" t="s">
        <v>2817</v>
      </c>
      <c r="B1435" s="573" t="s">
        <v>2783</v>
      </c>
      <c r="C1435" s="573" t="s">
        <v>278</v>
      </c>
      <c r="D1435" s="578">
        <v>15</v>
      </c>
      <c r="E1435" s="573" t="s">
        <v>1516</v>
      </c>
      <c r="F1435" s="573" t="s">
        <v>1607</v>
      </c>
      <c r="G1435" s="573" t="s">
        <v>271</v>
      </c>
      <c r="H1435" s="573">
        <v>2019</v>
      </c>
      <c r="I1435" s="573" t="s">
        <v>2769</v>
      </c>
      <c r="J1435" s="573" t="s">
        <v>2048</v>
      </c>
      <c r="K1435" s="573" t="s">
        <v>236</v>
      </c>
      <c r="L1435" s="573">
        <v>12</v>
      </c>
      <c r="M1435" s="573">
        <v>0</v>
      </c>
      <c r="N1435" s="573" t="s">
        <v>157</v>
      </c>
      <c r="O1435" s="573">
        <v>4</v>
      </c>
      <c r="P1435" s="573">
        <v>99.2</v>
      </c>
      <c r="Q1435" s="571" t="s">
        <v>157</v>
      </c>
      <c r="R1435" s="573" t="s">
        <v>1917</v>
      </c>
      <c r="S1435" s="573">
        <v>5</v>
      </c>
      <c r="T1435" s="573" t="s">
        <v>2617</v>
      </c>
      <c r="U1435" s="573" t="s">
        <v>434</v>
      </c>
      <c r="V1435" s="573">
        <v>147.6</v>
      </c>
      <c r="W1435" s="573">
        <v>25</v>
      </c>
      <c r="X1435" s="571">
        <v>9250</v>
      </c>
      <c r="Y1435" s="573">
        <v>12</v>
      </c>
      <c r="Z1435" s="579" t="s">
        <v>728</v>
      </c>
      <c r="AA1435" s="579" t="s">
        <v>1523</v>
      </c>
      <c r="AB1435" s="584">
        <v>46560</v>
      </c>
      <c r="AC1435" s="584" t="s">
        <v>164</v>
      </c>
      <c r="AD1435" s="584">
        <v>37100</v>
      </c>
      <c r="AE1435" s="586">
        <v>0.01</v>
      </c>
      <c r="AF1435" s="661" t="str">
        <f t="shared" si="157"/>
        <v>2019-LVN-FRD-T35W-006-15</v>
      </c>
      <c r="AG1435" s="661" t="str">
        <f>IF(AND($Y1435&gt;=32,(AI1435="I"),(Y1435&lt;&gt;"~"),(COUNTIF($AN$1:$AN1435,$AN1435)=1)),"TRUE","FALSE")</f>
        <v>FALSE</v>
      </c>
      <c r="AH1435" s="661" t="str">
        <f>IF(AND($Y1435&gt;=22, (AI1435&lt;&gt;"I"),(Y1435&lt;&gt;"~"),(COUNTIF($AN$1:$AN1435,$AN1435)=1)),"TRUE","FALSE")</f>
        <v>FALSE</v>
      </c>
      <c r="AI1435" s="661" t="str">
        <f t="shared" si="152"/>
        <v>II</v>
      </c>
      <c r="AJ1435" s="662" t="str">
        <f t="shared" si="153"/>
        <v>T35W-006</v>
      </c>
      <c r="AK1435" s="662" t="str">
        <f t="shared" si="154"/>
        <v>LVN</v>
      </c>
      <c r="AL1435" s="662" t="str">
        <f t="shared" si="155"/>
        <v>FRD</v>
      </c>
      <c r="AM1435" s="662" t="str">
        <f t="shared" ref="AM1435:AM1498" si="158">CONCATENATE(I1435,"-",J1435,"-",K1435,"-",L1435,"-",P1435,"-",Q1435,"-",R1435,"-",S1435,"-",T1435,"-",U1435,"-",V1435,"-",W1435,"-",Z1435,"-",AA1435)</f>
        <v>Transit 350 Wagon-XL Sliding RH Door-RWD-12-99.2-~-3.2L-5-X2C-301A-147.6-25-Diesel-BioDiesel</v>
      </c>
      <c r="AN1435" s="662" t="str">
        <f t="shared" si="156"/>
        <v>2019-LVN-FRD-T35W-006</v>
      </c>
    </row>
    <row r="1436" spans="1:40" s="572" customFormat="1" ht="15">
      <c r="A1436" s="570" t="s">
        <v>2818</v>
      </c>
      <c r="B1436" s="569" t="s">
        <v>2785</v>
      </c>
      <c r="C1436" s="569" t="s">
        <v>278</v>
      </c>
      <c r="D1436" s="580">
        <v>15</v>
      </c>
      <c r="E1436" s="569" t="s">
        <v>1516</v>
      </c>
      <c r="F1436" s="569" t="s">
        <v>1607</v>
      </c>
      <c r="G1436" s="569" t="s">
        <v>271</v>
      </c>
      <c r="H1436" s="569">
        <v>2019</v>
      </c>
      <c r="I1436" s="569" t="s">
        <v>2769</v>
      </c>
      <c r="J1436" s="569" t="s">
        <v>2048</v>
      </c>
      <c r="K1436" s="569" t="s">
        <v>236</v>
      </c>
      <c r="L1436" s="569">
        <v>12</v>
      </c>
      <c r="M1436" s="569">
        <v>0</v>
      </c>
      <c r="N1436" s="569" t="s">
        <v>157</v>
      </c>
      <c r="O1436" s="569">
        <v>4</v>
      </c>
      <c r="P1436" s="569">
        <v>99.2</v>
      </c>
      <c r="Q1436" s="568" t="s">
        <v>157</v>
      </c>
      <c r="R1436" s="569" t="s">
        <v>1259</v>
      </c>
      <c r="S1436" s="569">
        <v>6</v>
      </c>
      <c r="T1436" s="569" t="s">
        <v>2617</v>
      </c>
      <c r="U1436" s="569" t="s">
        <v>434</v>
      </c>
      <c r="V1436" s="569">
        <v>147.6</v>
      </c>
      <c r="W1436" s="569">
        <v>25</v>
      </c>
      <c r="X1436" s="568">
        <v>9000</v>
      </c>
      <c r="Y1436" s="569">
        <v>12</v>
      </c>
      <c r="Z1436" s="581" t="s">
        <v>178</v>
      </c>
      <c r="AA1436" s="581" t="s">
        <v>178</v>
      </c>
      <c r="AB1436" s="585">
        <v>44430</v>
      </c>
      <c r="AC1436" s="585" t="s">
        <v>164</v>
      </c>
      <c r="AD1436" s="585">
        <v>35100</v>
      </c>
      <c r="AE1436" s="587">
        <v>0.01</v>
      </c>
      <c r="AF1436" s="661" t="str">
        <f t="shared" si="157"/>
        <v>2019-LVN-FRD-T35W-007-15</v>
      </c>
      <c r="AG1436" s="661" t="str">
        <f>IF(AND($Y1436&gt;=32,(AI1436="I"),(Y1436&lt;&gt;"~"),(COUNTIF($AN$1:$AN1436,$AN1436)=1)),"TRUE","FALSE")</f>
        <v>FALSE</v>
      </c>
      <c r="AH1436" s="661" t="str">
        <f>IF(AND($Y1436&gt;=22, (AI1436&lt;&gt;"I"),(Y1436&lt;&gt;"~"),(COUNTIF($AN$1:$AN1436,$AN1436)=1)),"TRUE","FALSE")</f>
        <v>FALSE</v>
      </c>
      <c r="AI1436" s="661" t="str">
        <f t="shared" ref="AI1436:AI1499" si="159">IF(OR((LEFT($E1436,2)="01"),AND(LEFT($E1436,2)="06",ISNUMBER(SEARCH("pas",$F1436))),AND(LEFT($E1436,2)="05",ISNUMBER(SEARCH("pas",$F1436)))),"I",IF(AND((LEFT($E1436,2)&lt;&gt;"01"),$X1436&lt;=10000),"II",IF(AND((LEFT($E1436,2)&lt;&gt;"01"),$X1436&gt;10000),"N/A")))</f>
        <v>II</v>
      </c>
      <c r="AJ1436" s="662" t="str">
        <f t="shared" si="153"/>
        <v>T35W-007</v>
      </c>
      <c r="AK1436" s="662" t="str">
        <f t="shared" si="154"/>
        <v>LVN</v>
      </c>
      <c r="AL1436" s="662" t="str">
        <f t="shared" si="155"/>
        <v>FRD</v>
      </c>
      <c r="AM1436" s="662" t="str">
        <f t="shared" si="158"/>
        <v>Transit 350 Wagon-XL Sliding RH Door-RWD-12-99.2-~-3.5L EcoBoost-6-X2C-301A-147.6-25-Unleaded-Unleaded</v>
      </c>
      <c r="AN1436" s="662" t="str">
        <f t="shared" si="156"/>
        <v>2019-LVN-FRD-T35W-007</v>
      </c>
    </row>
    <row r="1437" spans="1:40" s="572" customFormat="1" ht="15">
      <c r="A1437" s="570" t="s">
        <v>2819</v>
      </c>
      <c r="B1437" s="573" t="s">
        <v>2787</v>
      </c>
      <c r="C1437" s="573" t="s">
        <v>278</v>
      </c>
      <c r="D1437" s="578">
        <v>15</v>
      </c>
      <c r="E1437" s="573" t="s">
        <v>1516</v>
      </c>
      <c r="F1437" s="573" t="s">
        <v>1607</v>
      </c>
      <c r="G1437" s="573" t="s">
        <v>271</v>
      </c>
      <c r="H1437" s="573">
        <v>2019</v>
      </c>
      <c r="I1437" s="573" t="s">
        <v>2769</v>
      </c>
      <c r="J1437" s="573" t="s">
        <v>2048</v>
      </c>
      <c r="K1437" s="573" t="s">
        <v>236</v>
      </c>
      <c r="L1437" s="573">
        <v>12</v>
      </c>
      <c r="M1437" s="573">
        <v>0</v>
      </c>
      <c r="N1437" s="573" t="s">
        <v>157</v>
      </c>
      <c r="O1437" s="573">
        <v>4</v>
      </c>
      <c r="P1437" s="573">
        <v>99.2</v>
      </c>
      <c r="Q1437" s="571" t="s">
        <v>157</v>
      </c>
      <c r="R1437" s="573" t="s">
        <v>682</v>
      </c>
      <c r="S1437" s="573">
        <v>6</v>
      </c>
      <c r="T1437" s="573" t="s">
        <v>2617</v>
      </c>
      <c r="U1437" s="573" t="s">
        <v>434</v>
      </c>
      <c r="V1437" s="573">
        <v>147.6</v>
      </c>
      <c r="W1437" s="573">
        <v>25</v>
      </c>
      <c r="X1437" s="571">
        <v>9000</v>
      </c>
      <c r="Y1437" s="573">
        <v>12</v>
      </c>
      <c r="Z1437" s="579" t="s">
        <v>178</v>
      </c>
      <c r="AA1437" s="579" t="s">
        <v>178</v>
      </c>
      <c r="AB1437" s="584">
        <v>42565</v>
      </c>
      <c r="AC1437" s="584" t="s">
        <v>164</v>
      </c>
      <c r="AD1437" s="584">
        <v>33400</v>
      </c>
      <c r="AE1437" s="586">
        <v>0.01</v>
      </c>
      <c r="AF1437" s="661" t="str">
        <f t="shared" si="157"/>
        <v>2019-LVN-FRD-T35W-008-15</v>
      </c>
      <c r="AG1437" s="661" t="str">
        <f>IF(AND($Y1437&gt;=32,(AI1437="I"),(Y1437&lt;&gt;"~"),(COUNTIF($AN$1:$AN1437,$AN1437)=1)),"TRUE","FALSE")</f>
        <v>FALSE</v>
      </c>
      <c r="AH1437" s="661" t="str">
        <f>IF(AND($Y1437&gt;=22, (AI1437&lt;&gt;"I"),(Y1437&lt;&gt;"~"),(COUNTIF($AN$1:$AN1437,$AN1437)=1)),"TRUE","FALSE")</f>
        <v>FALSE</v>
      </c>
      <c r="AI1437" s="661" t="str">
        <f t="shared" si="159"/>
        <v>II</v>
      </c>
      <c r="AJ1437" s="662" t="str">
        <f t="shared" si="153"/>
        <v>T35W-008</v>
      </c>
      <c r="AK1437" s="662" t="str">
        <f t="shared" si="154"/>
        <v>LVN</v>
      </c>
      <c r="AL1437" s="662" t="str">
        <f t="shared" si="155"/>
        <v>FRD</v>
      </c>
      <c r="AM1437" s="662" t="str">
        <f t="shared" si="158"/>
        <v>Transit 350 Wagon-XL Sliding RH Door-RWD-12-99.2-~-3.7L-6-X2C-301A-147.6-25-Unleaded-Unleaded</v>
      </c>
      <c r="AN1437" s="662" t="str">
        <f t="shared" si="156"/>
        <v>2019-LVN-FRD-T35W-008</v>
      </c>
    </row>
    <row r="1438" spans="1:40" s="572" customFormat="1" ht="15">
      <c r="A1438" s="570" t="s">
        <v>2820</v>
      </c>
      <c r="B1438" s="569" t="s">
        <v>2789</v>
      </c>
      <c r="C1438" s="569" t="s">
        <v>278</v>
      </c>
      <c r="D1438" s="580">
        <v>15</v>
      </c>
      <c r="E1438" s="569" t="s">
        <v>1516</v>
      </c>
      <c r="F1438" s="569" t="s">
        <v>1607</v>
      </c>
      <c r="G1438" s="569" t="s">
        <v>271</v>
      </c>
      <c r="H1438" s="569">
        <v>2019</v>
      </c>
      <c r="I1438" s="569" t="s">
        <v>2769</v>
      </c>
      <c r="J1438" s="569" t="s">
        <v>2048</v>
      </c>
      <c r="K1438" s="569" t="s">
        <v>236</v>
      </c>
      <c r="L1438" s="569">
        <v>15</v>
      </c>
      <c r="M1438" s="569">
        <v>0</v>
      </c>
      <c r="N1438" s="569" t="s">
        <v>157</v>
      </c>
      <c r="O1438" s="569">
        <v>5</v>
      </c>
      <c r="P1438" s="569">
        <v>107.7</v>
      </c>
      <c r="Q1438" s="568" t="s">
        <v>157</v>
      </c>
      <c r="R1438" s="569" t="s">
        <v>1917</v>
      </c>
      <c r="S1438" s="569">
        <v>5</v>
      </c>
      <c r="T1438" s="569" t="s">
        <v>2599</v>
      </c>
      <c r="U1438" s="569" t="s">
        <v>434</v>
      </c>
      <c r="V1438" s="569">
        <v>147.6</v>
      </c>
      <c r="W1438" s="569">
        <v>25</v>
      </c>
      <c r="X1438" s="568">
        <v>10360</v>
      </c>
      <c r="Y1438" s="569" t="s">
        <v>164</v>
      </c>
      <c r="Z1438" s="581" t="s">
        <v>728</v>
      </c>
      <c r="AA1438" s="581" t="s">
        <v>1523</v>
      </c>
      <c r="AB1438" s="585">
        <v>49160</v>
      </c>
      <c r="AC1438" s="585" t="s">
        <v>164</v>
      </c>
      <c r="AD1438" s="585">
        <v>39500</v>
      </c>
      <c r="AE1438" s="587">
        <v>0.01</v>
      </c>
      <c r="AF1438" s="661" t="str">
        <f t="shared" si="157"/>
        <v>2019-LVN-FRD-T35W-010-15</v>
      </c>
      <c r="AG1438" s="661" t="str">
        <f>IF(AND($Y1438&gt;=32,(AI1438="I"),(Y1438&lt;&gt;"~"),(COUNTIF($AN$1:$AN1438,$AN1438)=1)),"TRUE","FALSE")</f>
        <v>FALSE</v>
      </c>
      <c r="AH1438" s="661" t="str">
        <f>IF(AND($Y1438&gt;=22, (AI1438&lt;&gt;"I"),(Y1438&lt;&gt;"~"),(COUNTIF($AN$1:$AN1438,$AN1438)=1)),"TRUE","FALSE")</f>
        <v>FALSE</v>
      </c>
      <c r="AI1438" s="661" t="str">
        <f t="shared" si="159"/>
        <v>N/A</v>
      </c>
      <c r="AJ1438" s="662" t="str">
        <f t="shared" si="153"/>
        <v>T35W-010</v>
      </c>
      <c r="AK1438" s="662" t="str">
        <f t="shared" si="154"/>
        <v>LVN</v>
      </c>
      <c r="AL1438" s="662" t="str">
        <f t="shared" si="155"/>
        <v>FRD</v>
      </c>
      <c r="AM1438" s="662" t="str">
        <f t="shared" si="158"/>
        <v>Transit 350 Wagon-XL Sliding RH Door-RWD-15-107.7-~-3.2L-5-U4X-301A-147.6-25-Diesel-BioDiesel</v>
      </c>
      <c r="AN1438" s="662" t="str">
        <f t="shared" si="156"/>
        <v>2019-LVN-FRD-T35W-010</v>
      </c>
    </row>
    <row r="1439" spans="1:40" s="572" customFormat="1" ht="15">
      <c r="A1439" s="570" t="s">
        <v>2821</v>
      </c>
      <c r="B1439" s="573" t="s">
        <v>2791</v>
      </c>
      <c r="C1439" s="573" t="s">
        <v>278</v>
      </c>
      <c r="D1439" s="578">
        <v>15</v>
      </c>
      <c r="E1439" s="573" t="s">
        <v>1516</v>
      </c>
      <c r="F1439" s="573" t="s">
        <v>1607</v>
      </c>
      <c r="G1439" s="573" t="s">
        <v>271</v>
      </c>
      <c r="H1439" s="573">
        <v>2019</v>
      </c>
      <c r="I1439" s="573" t="s">
        <v>2769</v>
      </c>
      <c r="J1439" s="573" t="s">
        <v>2048</v>
      </c>
      <c r="K1439" s="573" t="s">
        <v>236</v>
      </c>
      <c r="L1439" s="573">
        <v>15</v>
      </c>
      <c r="M1439" s="573">
        <v>0</v>
      </c>
      <c r="N1439" s="573" t="s">
        <v>157</v>
      </c>
      <c r="O1439" s="573">
        <v>5</v>
      </c>
      <c r="P1439" s="573">
        <v>107.7</v>
      </c>
      <c r="Q1439" s="571" t="s">
        <v>157</v>
      </c>
      <c r="R1439" s="573" t="s">
        <v>1259</v>
      </c>
      <c r="S1439" s="573">
        <v>6</v>
      </c>
      <c r="T1439" s="573" t="s">
        <v>2599</v>
      </c>
      <c r="U1439" s="573" t="s">
        <v>434</v>
      </c>
      <c r="V1439" s="573">
        <v>147.6</v>
      </c>
      <c r="W1439" s="573">
        <v>25</v>
      </c>
      <c r="X1439" s="571">
        <v>10360</v>
      </c>
      <c r="Y1439" s="569" t="s">
        <v>164</v>
      </c>
      <c r="Z1439" s="579" t="s">
        <v>178</v>
      </c>
      <c r="AA1439" s="579" t="s">
        <v>178</v>
      </c>
      <c r="AB1439" s="584">
        <v>47030</v>
      </c>
      <c r="AC1439" s="584" t="s">
        <v>164</v>
      </c>
      <c r="AD1439" s="584">
        <v>37500</v>
      </c>
      <c r="AE1439" s="586">
        <v>0.01</v>
      </c>
      <c r="AF1439" s="661" t="str">
        <f t="shared" si="157"/>
        <v>2019-LVN-FRD-T35W-011-15</v>
      </c>
      <c r="AG1439" s="661" t="str">
        <f>IF(AND($Y1439&gt;=32,(AI1439="I"),(Y1439&lt;&gt;"~"),(COUNTIF($AN$1:$AN1439,$AN1439)=1)),"TRUE","FALSE")</f>
        <v>FALSE</v>
      </c>
      <c r="AH1439" s="661" t="str">
        <f>IF(AND($Y1439&gt;=22, (AI1439&lt;&gt;"I"),(Y1439&lt;&gt;"~"),(COUNTIF($AN$1:$AN1439,$AN1439)=1)),"TRUE","FALSE")</f>
        <v>FALSE</v>
      </c>
      <c r="AI1439" s="661" t="str">
        <f t="shared" si="159"/>
        <v>N/A</v>
      </c>
      <c r="AJ1439" s="662" t="str">
        <f t="shared" si="153"/>
        <v>T35W-011</v>
      </c>
      <c r="AK1439" s="662" t="str">
        <f t="shared" si="154"/>
        <v>LVN</v>
      </c>
      <c r="AL1439" s="662" t="str">
        <f t="shared" si="155"/>
        <v>FRD</v>
      </c>
      <c r="AM1439" s="662" t="str">
        <f t="shared" si="158"/>
        <v>Transit 350 Wagon-XL Sliding RH Door-RWD-15-107.7-~-3.5L EcoBoost-6-U4X-301A-147.6-25-Unleaded-Unleaded</v>
      </c>
      <c r="AN1439" s="662" t="str">
        <f t="shared" si="156"/>
        <v>2019-LVN-FRD-T35W-011</v>
      </c>
    </row>
    <row r="1440" spans="1:40" s="572" customFormat="1" ht="15">
      <c r="A1440" s="570" t="s">
        <v>2822</v>
      </c>
      <c r="B1440" s="569" t="s">
        <v>2793</v>
      </c>
      <c r="C1440" s="569" t="s">
        <v>278</v>
      </c>
      <c r="D1440" s="580">
        <v>15</v>
      </c>
      <c r="E1440" s="569" t="s">
        <v>1516</v>
      </c>
      <c r="F1440" s="569" t="s">
        <v>1607</v>
      </c>
      <c r="G1440" s="569" t="s">
        <v>271</v>
      </c>
      <c r="H1440" s="569">
        <v>2019</v>
      </c>
      <c r="I1440" s="569" t="s">
        <v>2769</v>
      </c>
      <c r="J1440" s="569" t="s">
        <v>2048</v>
      </c>
      <c r="K1440" s="569" t="s">
        <v>236</v>
      </c>
      <c r="L1440" s="569">
        <v>15</v>
      </c>
      <c r="M1440" s="569">
        <v>0</v>
      </c>
      <c r="N1440" s="569" t="s">
        <v>157</v>
      </c>
      <c r="O1440" s="569">
        <v>5</v>
      </c>
      <c r="P1440" s="569">
        <v>107.7</v>
      </c>
      <c r="Q1440" s="568" t="s">
        <v>157</v>
      </c>
      <c r="R1440" s="569" t="s">
        <v>682</v>
      </c>
      <c r="S1440" s="569">
        <v>6</v>
      </c>
      <c r="T1440" s="569" t="s">
        <v>2599</v>
      </c>
      <c r="U1440" s="569" t="s">
        <v>434</v>
      </c>
      <c r="V1440" s="569">
        <v>147.6</v>
      </c>
      <c r="W1440" s="569">
        <v>25</v>
      </c>
      <c r="X1440" s="568">
        <v>10360</v>
      </c>
      <c r="Y1440" s="569" t="s">
        <v>164</v>
      </c>
      <c r="Z1440" s="581" t="s">
        <v>178</v>
      </c>
      <c r="AA1440" s="581" t="s">
        <v>178</v>
      </c>
      <c r="AB1440" s="585">
        <v>45165</v>
      </c>
      <c r="AC1440" s="585" t="s">
        <v>164</v>
      </c>
      <c r="AD1440" s="585">
        <v>35900</v>
      </c>
      <c r="AE1440" s="587">
        <v>0.01</v>
      </c>
      <c r="AF1440" s="661" t="str">
        <f t="shared" si="157"/>
        <v>2019-LVN-FRD-T35W-012-15</v>
      </c>
      <c r="AG1440" s="661" t="str">
        <f>IF(AND($Y1440&gt;=32,(AI1440="I"),(Y1440&lt;&gt;"~"),(COUNTIF($AN$1:$AN1440,$AN1440)=1)),"TRUE","FALSE")</f>
        <v>FALSE</v>
      </c>
      <c r="AH1440" s="661" t="str">
        <f>IF(AND($Y1440&gt;=22, (AI1440&lt;&gt;"I"),(Y1440&lt;&gt;"~"),(COUNTIF($AN$1:$AN1440,$AN1440)=1)),"TRUE","FALSE")</f>
        <v>FALSE</v>
      </c>
      <c r="AI1440" s="661" t="str">
        <f t="shared" si="159"/>
        <v>N/A</v>
      </c>
      <c r="AJ1440" s="662" t="str">
        <f t="shared" si="153"/>
        <v>T35W-012</v>
      </c>
      <c r="AK1440" s="662" t="str">
        <f t="shared" si="154"/>
        <v>LVN</v>
      </c>
      <c r="AL1440" s="662" t="str">
        <f t="shared" si="155"/>
        <v>FRD</v>
      </c>
      <c r="AM1440" s="662" t="str">
        <f t="shared" si="158"/>
        <v>Transit 350 Wagon-XL Sliding RH Door-RWD-15-107.7-~-3.7L-6-U4X-301A-147.6-25-Unleaded-Unleaded</v>
      </c>
      <c r="AN1440" s="662" t="str">
        <f t="shared" si="156"/>
        <v>2019-LVN-FRD-T35W-012</v>
      </c>
    </row>
    <row r="1441" spans="1:40" s="572" customFormat="1" ht="15">
      <c r="A1441" s="570" t="s">
        <v>2823</v>
      </c>
      <c r="B1441" s="573" t="s">
        <v>2795</v>
      </c>
      <c r="C1441" s="573" t="s">
        <v>278</v>
      </c>
      <c r="D1441" s="578">
        <v>15</v>
      </c>
      <c r="E1441" s="573" t="s">
        <v>1516</v>
      </c>
      <c r="F1441" s="573" t="s">
        <v>1607</v>
      </c>
      <c r="G1441" s="573" t="s">
        <v>271</v>
      </c>
      <c r="H1441" s="573">
        <v>2019</v>
      </c>
      <c r="I1441" s="573" t="s">
        <v>2769</v>
      </c>
      <c r="J1441" s="573" t="s">
        <v>2048</v>
      </c>
      <c r="K1441" s="573" t="s">
        <v>236</v>
      </c>
      <c r="L1441" s="573">
        <v>15</v>
      </c>
      <c r="M1441" s="573">
        <v>0</v>
      </c>
      <c r="N1441" s="573" t="s">
        <v>157</v>
      </c>
      <c r="O1441" s="573">
        <v>5</v>
      </c>
      <c r="P1441" s="573">
        <v>108.6</v>
      </c>
      <c r="Q1441" s="571" t="s">
        <v>157</v>
      </c>
      <c r="R1441" s="573" t="s">
        <v>1917</v>
      </c>
      <c r="S1441" s="573">
        <v>5</v>
      </c>
      <c r="T1441" s="573" t="s">
        <v>2770</v>
      </c>
      <c r="U1441" s="573" t="s">
        <v>434</v>
      </c>
      <c r="V1441" s="573">
        <v>147.6</v>
      </c>
      <c r="W1441" s="573">
        <v>25</v>
      </c>
      <c r="X1441" s="571">
        <v>9400</v>
      </c>
      <c r="Y1441" s="573">
        <v>12</v>
      </c>
      <c r="Z1441" s="579" t="s">
        <v>728</v>
      </c>
      <c r="AA1441" s="579" t="s">
        <v>1523</v>
      </c>
      <c r="AB1441" s="584">
        <v>49505</v>
      </c>
      <c r="AC1441" s="584" t="s">
        <v>164</v>
      </c>
      <c r="AD1441" s="584">
        <v>39800</v>
      </c>
      <c r="AE1441" s="586">
        <v>0.01</v>
      </c>
      <c r="AF1441" s="661" t="str">
        <f t="shared" si="157"/>
        <v>2019-LVN-FRD-T35W-013-15</v>
      </c>
      <c r="AG1441" s="661" t="str">
        <f>IF(AND($Y1441&gt;=32,(AI1441="I"),(Y1441&lt;&gt;"~"),(COUNTIF($AN$1:$AN1441,$AN1441)=1)),"TRUE","FALSE")</f>
        <v>FALSE</v>
      </c>
      <c r="AH1441" s="661" t="str">
        <f>IF(AND($Y1441&gt;=22, (AI1441&lt;&gt;"I"),(Y1441&lt;&gt;"~"),(COUNTIF($AN$1:$AN1441,$AN1441)=1)),"TRUE","FALSE")</f>
        <v>FALSE</v>
      </c>
      <c r="AI1441" s="661" t="str">
        <f t="shared" si="159"/>
        <v>II</v>
      </c>
      <c r="AJ1441" s="662" t="str">
        <f t="shared" si="153"/>
        <v>T35W-013</v>
      </c>
      <c r="AK1441" s="662" t="str">
        <f t="shared" si="154"/>
        <v>LVN</v>
      </c>
      <c r="AL1441" s="662" t="str">
        <f t="shared" si="155"/>
        <v>FRD</v>
      </c>
      <c r="AM1441" s="662" t="str">
        <f t="shared" si="158"/>
        <v>Transit 350 Wagon-XL Sliding RH Door-RWD-15-108.6-~-3.2L-5-X2X-301A-147.6-25-Diesel-BioDiesel</v>
      </c>
      <c r="AN1441" s="662" t="str">
        <f t="shared" si="156"/>
        <v>2019-LVN-FRD-T35W-013</v>
      </c>
    </row>
    <row r="1442" spans="1:40" s="572" customFormat="1" ht="15">
      <c r="A1442" s="570" t="s">
        <v>2824</v>
      </c>
      <c r="B1442" s="569" t="s">
        <v>2797</v>
      </c>
      <c r="C1442" s="569" t="s">
        <v>278</v>
      </c>
      <c r="D1442" s="580">
        <v>15</v>
      </c>
      <c r="E1442" s="569" t="s">
        <v>1516</v>
      </c>
      <c r="F1442" s="569" t="s">
        <v>1607</v>
      </c>
      <c r="G1442" s="569" t="s">
        <v>271</v>
      </c>
      <c r="H1442" s="569">
        <v>2019</v>
      </c>
      <c r="I1442" s="569" t="s">
        <v>2769</v>
      </c>
      <c r="J1442" s="569" t="s">
        <v>2048</v>
      </c>
      <c r="K1442" s="569" t="s">
        <v>236</v>
      </c>
      <c r="L1442" s="569">
        <v>15</v>
      </c>
      <c r="M1442" s="569">
        <v>0</v>
      </c>
      <c r="N1442" s="569" t="s">
        <v>157</v>
      </c>
      <c r="O1442" s="569">
        <v>5</v>
      </c>
      <c r="P1442" s="569">
        <v>108.6</v>
      </c>
      <c r="Q1442" s="568" t="s">
        <v>157</v>
      </c>
      <c r="R1442" s="569" t="s">
        <v>1259</v>
      </c>
      <c r="S1442" s="569">
        <v>6</v>
      </c>
      <c r="T1442" s="569" t="s">
        <v>2770</v>
      </c>
      <c r="U1442" s="569" t="s">
        <v>434</v>
      </c>
      <c r="V1442" s="569">
        <v>147.6</v>
      </c>
      <c r="W1442" s="569">
        <v>25</v>
      </c>
      <c r="X1442" s="568">
        <v>9150</v>
      </c>
      <c r="Y1442" s="569">
        <v>12</v>
      </c>
      <c r="Z1442" s="581" t="s">
        <v>178</v>
      </c>
      <c r="AA1442" s="581" t="s">
        <v>178</v>
      </c>
      <c r="AB1442" s="585">
        <v>47375</v>
      </c>
      <c r="AC1442" s="585" t="s">
        <v>164</v>
      </c>
      <c r="AD1442" s="585">
        <v>37800</v>
      </c>
      <c r="AE1442" s="587">
        <v>0.01</v>
      </c>
      <c r="AF1442" s="661" t="str">
        <f t="shared" si="157"/>
        <v>2019-LVN-FRD-T35W-014-15</v>
      </c>
      <c r="AG1442" s="661" t="str">
        <f>IF(AND($Y1442&gt;=32,(AI1442="I"),(Y1442&lt;&gt;"~"),(COUNTIF($AN$1:$AN1442,$AN1442)=1)),"TRUE","FALSE")</f>
        <v>FALSE</v>
      </c>
      <c r="AH1442" s="661" t="str">
        <f>IF(AND($Y1442&gt;=22, (AI1442&lt;&gt;"I"),(Y1442&lt;&gt;"~"),(COUNTIF($AN$1:$AN1442,$AN1442)=1)),"TRUE","FALSE")</f>
        <v>FALSE</v>
      </c>
      <c r="AI1442" s="661" t="str">
        <f t="shared" si="159"/>
        <v>II</v>
      </c>
      <c r="AJ1442" s="662" t="str">
        <f t="shared" si="153"/>
        <v>T35W-014</v>
      </c>
      <c r="AK1442" s="662" t="str">
        <f t="shared" si="154"/>
        <v>LVN</v>
      </c>
      <c r="AL1442" s="662" t="str">
        <f t="shared" si="155"/>
        <v>FRD</v>
      </c>
      <c r="AM1442" s="662" t="str">
        <f t="shared" si="158"/>
        <v>Transit 350 Wagon-XL Sliding RH Door-RWD-15-108.6-~-3.5L EcoBoost-6-X2X-301A-147.6-25-Unleaded-Unleaded</v>
      </c>
      <c r="AN1442" s="662" t="str">
        <f t="shared" si="156"/>
        <v>2019-LVN-FRD-T35W-014</v>
      </c>
    </row>
    <row r="1443" spans="1:40" s="572" customFormat="1" ht="15">
      <c r="A1443" s="570" t="s">
        <v>2825</v>
      </c>
      <c r="B1443" s="573" t="s">
        <v>2799</v>
      </c>
      <c r="C1443" s="573" t="s">
        <v>278</v>
      </c>
      <c r="D1443" s="578">
        <v>15</v>
      </c>
      <c r="E1443" s="573" t="s">
        <v>1516</v>
      </c>
      <c r="F1443" s="573" t="s">
        <v>1607</v>
      </c>
      <c r="G1443" s="573" t="s">
        <v>271</v>
      </c>
      <c r="H1443" s="573">
        <v>2019</v>
      </c>
      <c r="I1443" s="573" t="s">
        <v>2769</v>
      </c>
      <c r="J1443" s="573" t="s">
        <v>2048</v>
      </c>
      <c r="K1443" s="573" t="s">
        <v>236</v>
      </c>
      <c r="L1443" s="573">
        <v>15</v>
      </c>
      <c r="M1443" s="573">
        <v>0</v>
      </c>
      <c r="N1443" s="573" t="s">
        <v>157</v>
      </c>
      <c r="O1443" s="573">
        <v>5</v>
      </c>
      <c r="P1443" s="573">
        <v>108.6</v>
      </c>
      <c r="Q1443" s="571" t="s">
        <v>157</v>
      </c>
      <c r="R1443" s="573" t="s">
        <v>682</v>
      </c>
      <c r="S1443" s="573">
        <v>6</v>
      </c>
      <c r="T1443" s="573" t="s">
        <v>2770</v>
      </c>
      <c r="U1443" s="573" t="s">
        <v>434</v>
      </c>
      <c r="V1443" s="573">
        <v>147.6</v>
      </c>
      <c r="W1443" s="573">
        <v>25</v>
      </c>
      <c r="X1443" s="571">
        <v>9150</v>
      </c>
      <c r="Y1443" s="573">
        <v>12</v>
      </c>
      <c r="Z1443" s="579" t="s">
        <v>178</v>
      </c>
      <c r="AA1443" s="579" t="s">
        <v>178</v>
      </c>
      <c r="AB1443" s="584">
        <v>45510</v>
      </c>
      <c r="AC1443" s="584" t="s">
        <v>164</v>
      </c>
      <c r="AD1443" s="584">
        <v>36100</v>
      </c>
      <c r="AE1443" s="586">
        <v>0.01</v>
      </c>
      <c r="AF1443" s="661" t="str">
        <f t="shared" si="157"/>
        <v>2019-LVN-FRD-T35W-015-15</v>
      </c>
      <c r="AG1443" s="661" t="str">
        <f>IF(AND($Y1443&gt;=32,(AI1443="I"),(Y1443&lt;&gt;"~"),(COUNTIF($AN$1:$AN1443,$AN1443)=1)),"TRUE","FALSE")</f>
        <v>FALSE</v>
      </c>
      <c r="AH1443" s="661" t="str">
        <f>IF(AND($Y1443&gt;=22, (AI1443&lt;&gt;"I"),(Y1443&lt;&gt;"~"),(COUNTIF($AN$1:$AN1443,$AN1443)=1)),"TRUE","FALSE")</f>
        <v>FALSE</v>
      </c>
      <c r="AI1443" s="661" t="str">
        <f t="shared" si="159"/>
        <v>II</v>
      </c>
      <c r="AJ1443" s="662" t="str">
        <f t="shared" si="153"/>
        <v>T35W-015</v>
      </c>
      <c r="AK1443" s="662" t="str">
        <f t="shared" si="154"/>
        <v>LVN</v>
      </c>
      <c r="AL1443" s="662" t="str">
        <f t="shared" si="155"/>
        <v>FRD</v>
      </c>
      <c r="AM1443" s="662" t="str">
        <f t="shared" si="158"/>
        <v>Transit 350 Wagon-XL Sliding RH Door-RWD-15-108.6-~-3.7L-6-X2X-301A-147.6-25-Unleaded-Unleaded</v>
      </c>
      <c r="AN1443" s="662" t="str">
        <f t="shared" si="156"/>
        <v>2019-LVN-FRD-T35W-015</v>
      </c>
    </row>
    <row r="1444" spans="1:40" s="572" customFormat="1" ht="15">
      <c r="A1444" s="570" t="s">
        <v>2826</v>
      </c>
      <c r="B1444" s="569" t="s">
        <v>2803</v>
      </c>
      <c r="C1444" s="569" t="s">
        <v>278</v>
      </c>
      <c r="D1444" s="580">
        <v>15</v>
      </c>
      <c r="E1444" s="569" t="s">
        <v>1516</v>
      </c>
      <c r="F1444" s="569" t="s">
        <v>1607</v>
      </c>
      <c r="G1444" s="569" t="s">
        <v>271</v>
      </c>
      <c r="H1444" s="569">
        <v>2019</v>
      </c>
      <c r="I1444" s="569" t="s">
        <v>2769</v>
      </c>
      <c r="J1444" s="569" t="s">
        <v>2048</v>
      </c>
      <c r="K1444" s="569" t="s">
        <v>236</v>
      </c>
      <c r="L1444" s="569">
        <v>15</v>
      </c>
      <c r="M1444" s="569">
        <v>0</v>
      </c>
      <c r="N1444" s="569" t="s">
        <v>157</v>
      </c>
      <c r="O1444" s="569">
        <v>5</v>
      </c>
      <c r="P1444" s="569">
        <v>82.4</v>
      </c>
      <c r="Q1444" s="568" t="s">
        <v>157</v>
      </c>
      <c r="R1444" s="569" t="s">
        <v>1259</v>
      </c>
      <c r="S1444" s="569">
        <v>6</v>
      </c>
      <c r="T1444" s="569" t="s">
        <v>2777</v>
      </c>
      <c r="U1444" s="569" t="s">
        <v>434</v>
      </c>
      <c r="V1444" s="569">
        <v>147.6</v>
      </c>
      <c r="W1444" s="569">
        <v>25</v>
      </c>
      <c r="X1444" s="568">
        <v>9000</v>
      </c>
      <c r="Y1444" s="569">
        <v>12</v>
      </c>
      <c r="Z1444" s="581" t="s">
        <v>178</v>
      </c>
      <c r="AA1444" s="581" t="s">
        <v>178</v>
      </c>
      <c r="AB1444" s="585">
        <v>44475</v>
      </c>
      <c r="AC1444" s="585" t="s">
        <v>164</v>
      </c>
      <c r="AD1444" s="585">
        <v>33000</v>
      </c>
      <c r="AE1444" s="587">
        <v>0.01</v>
      </c>
      <c r="AF1444" s="661" t="str">
        <f t="shared" si="157"/>
        <v>2019-LVN-FRD-T35W-017-15</v>
      </c>
      <c r="AG1444" s="661" t="str">
        <f>IF(AND($Y1444&gt;=32,(AI1444="I"),(Y1444&lt;&gt;"~"),(COUNTIF($AN$1:$AN1444,$AN1444)=1)),"TRUE","FALSE")</f>
        <v>FALSE</v>
      </c>
      <c r="AH1444" s="661" t="str">
        <f>IF(AND($Y1444&gt;=22, (AI1444&lt;&gt;"I"),(Y1444&lt;&gt;"~"),(COUNTIF($AN$1:$AN1444,$AN1444)=1)),"TRUE","FALSE")</f>
        <v>FALSE</v>
      </c>
      <c r="AI1444" s="661" t="str">
        <f t="shared" si="159"/>
        <v>II</v>
      </c>
      <c r="AJ1444" s="662" t="str">
        <f t="shared" si="153"/>
        <v>T35W-017</v>
      </c>
      <c r="AK1444" s="662" t="str">
        <f t="shared" si="154"/>
        <v>LVN</v>
      </c>
      <c r="AL1444" s="662" t="str">
        <f t="shared" si="155"/>
        <v>FRD</v>
      </c>
      <c r="AM1444" s="662" t="str">
        <f t="shared" si="158"/>
        <v>Transit 350 Wagon-XL Sliding RH Door-RWD-15-82.4-~-3.5L EcoBoost-6-X2Y-301A-147.6-25-Unleaded-Unleaded</v>
      </c>
      <c r="AN1444" s="662" t="str">
        <f t="shared" si="156"/>
        <v>2019-LVN-FRD-T35W-017</v>
      </c>
    </row>
    <row r="1445" spans="1:40" s="572" customFormat="1" ht="15">
      <c r="A1445" s="570" t="s">
        <v>2827</v>
      </c>
      <c r="B1445" s="573" t="s">
        <v>2807</v>
      </c>
      <c r="C1445" s="573" t="s">
        <v>278</v>
      </c>
      <c r="D1445" s="578">
        <v>15</v>
      </c>
      <c r="E1445" s="573" t="s">
        <v>1516</v>
      </c>
      <c r="F1445" s="573" t="s">
        <v>1607</v>
      </c>
      <c r="G1445" s="573" t="s">
        <v>271</v>
      </c>
      <c r="H1445" s="573">
        <v>2019</v>
      </c>
      <c r="I1445" s="573" t="s">
        <v>2769</v>
      </c>
      <c r="J1445" s="573" t="s">
        <v>2048</v>
      </c>
      <c r="K1445" s="573" t="s">
        <v>236</v>
      </c>
      <c r="L1445" s="573">
        <v>15</v>
      </c>
      <c r="M1445" s="573">
        <v>0</v>
      </c>
      <c r="N1445" s="573" t="s">
        <v>157</v>
      </c>
      <c r="O1445" s="573">
        <v>5</v>
      </c>
      <c r="P1445" s="573">
        <v>99.2</v>
      </c>
      <c r="Q1445" s="571" t="s">
        <v>157</v>
      </c>
      <c r="R1445" s="573" t="s">
        <v>1917</v>
      </c>
      <c r="S1445" s="573">
        <v>5</v>
      </c>
      <c r="T1445" s="573" t="s">
        <v>2617</v>
      </c>
      <c r="U1445" s="573" t="s">
        <v>434</v>
      </c>
      <c r="V1445" s="573">
        <v>147.6</v>
      </c>
      <c r="W1445" s="573">
        <v>25</v>
      </c>
      <c r="X1445" s="571">
        <v>9400</v>
      </c>
      <c r="Y1445" s="573">
        <v>12</v>
      </c>
      <c r="Z1445" s="579" t="s">
        <v>728</v>
      </c>
      <c r="AA1445" s="579" t="s">
        <v>1523</v>
      </c>
      <c r="AB1445" s="584">
        <v>48055</v>
      </c>
      <c r="AC1445" s="584" t="s">
        <v>164</v>
      </c>
      <c r="AD1445" s="584">
        <v>38400</v>
      </c>
      <c r="AE1445" s="586">
        <v>0.01</v>
      </c>
      <c r="AF1445" s="661" t="str">
        <f t="shared" si="157"/>
        <v>2019-LVN-FRD-T35W-018-15</v>
      </c>
      <c r="AG1445" s="661" t="str">
        <f>IF(AND($Y1445&gt;=32,(AI1445="I"),(Y1445&lt;&gt;"~"),(COUNTIF($AN$1:$AN1445,$AN1445)=1)),"TRUE","FALSE")</f>
        <v>FALSE</v>
      </c>
      <c r="AH1445" s="661" t="str">
        <f>IF(AND($Y1445&gt;=22, (AI1445&lt;&gt;"I"),(Y1445&lt;&gt;"~"),(COUNTIF($AN$1:$AN1445,$AN1445)=1)),"TRUE","FALSE")</f>
        <v>FALSE</v>
      </c>
      <c r="AI1445" s="661" t="str">
        <f t="shared" si="159"/>
        <v>II</v>
      </c>
      <c r="AJ1445" s="662" t="str">
        <f t="shared" si="153"/>
        <v>T35W-018</v>
      </c>
      <c r="AK1445" s="662" t="str">
        <f t="shared" si="154"/>
        <v>LVN</v>
      </c>
      <c r="AL1445" s="662" t="str">
        <f t="shared" si="155"/>
        <v>FRD</v>
      </c>
      <c r="AM1445" s="662" t="str">
        <f t="shared" si="158"/>
        <v>Transit 350 Wagon-XL Sliding RH Door-RWD-15-99.2-~-3.2L-5-X2C-301A-147.6-25-Diesel-BioDiesel</v>
      </c>
      <c r="AN1445" s="662" t="str">
        <f t="shared" si="156"/>
        <v>2019-LVN-FRD-T35W-018</v>
      </c>
    </row>
    <row r="1446" spans="1:40" s="572" customFormat="1" ht="15">
      <c r="A1446" s="570" t="s">
        <v>2828</v>
      </c>
      <c r="B1446" s="569" t="s">
        <v>2809</v>
      </c>
      <c r="C1446" s="569" t="s">
        <v>278</v>
      </c>
      <c r="D1446" s="580">
        <v>15</v>
      </c>
      <c r="E1446" s="569" t="s">
        <v>1516</v>
      </c>
      <c r="F1446" s="569" t="s">
        <v>1607</v>
      </c>
      <c r="G1446" s="569" t="s">
        <v>271</v>
      </c>
      <c r="H1446" s="569">
        <v>2019</v>
      </c>
      <c r="I1446" s="569" t="s">
        <v>2769</v>
      </c>
      <c r="J1446" s="569" t="s">
        <v>2048</v>
      </c>
      <c r="K1446" s="569" t="s">
        <v>236</v>
      </c>
      <c r="L1446" s="569">
        <v>15</v>
      </c>
      <c r="M1446" s="569">
        <v>0</v>
      </c>
      <c r="N1446" s="569" t="s">
        <v>157</v>
      </c>
      <c r="O1446" s="569">
        <v>5</v>
      </c>
      <c r="P1446" s="569">
        <v>99.2</v>
      </c>
      <c r="Q1446" s="568" t="s">
        <v>157</v>
      </c>
      <c r="R1446" s="569" t="s">
        <v>1259</v>
      </c>
      <c r="S1446" s="569">
        <v>6</v>
      </c>
      <c r="T1446" s="569" t="s">
        <v>2617</v>
      </c>
      <c r="U1446" s="569" t="s">
        <v>434</v>
      </c>
      <c r="V1446" s="569">
        <v>147.6</v>
      </c>
      <c r="W1446" s="569">
        <v>25</v>
      </c>
      <c r="X1446" s="568">
        <v>9150</v>
      </c>
      <c r="Y1446" s="569">
        <v>12</v>
      </c>
      <c r="Z1446" s="581" t="s">
        <v>178</v>
      </c>
      <c r="AA1446" s="581" t="s">
        <v>178</v>
      </c>
      <c r="AB1446" s="585">
        <v>45925</v>
      </c>
      <c r="AC1446" s="585" t="s">
        <v>164</v>
      </c>
      <c r="AD1446" s="585">
        <v>36500</v>
      </c>
      <c r="AE1446" s="587">
        <v>0.01</v>
      </c>
      <c r="AF1446" s="661" t="str">
        <f t="shared" si="157"/>
        <v>2019-LVN-FRD-T35W-019-15</v>
      </c>
      <c r="AG1446" s="661" t="str">
        <f>IF(AND($Y1446&gt;=32,(AI1446="I"),(Y1446&lt;&gt;"~"),(COUNTIF($AN$1:$AN1446,$AN1446)=1)),"TRUE","FALSE")</f>
        <v>FALSE</v>
      </c>
      <c r="AH1446" s="661" t="str">
        <f>IF(AND($Y1446&gt;=22, (AI1446&lt;&gt;"I"),(Y1446&lt;&gt;"~"),(COUNTIF($AN$1:$AN1446,$AN1446)=1)),"TRUE","FALSE")</f>
        <v>FALSE</v>
      </c>
      <c r="AI1446" s="661" t="str">
        <f t="shared" si="159"/>
        <v>II</v>
      </c>
      <c r="AJ1446" s="662" t="str">
        <f t="shared" si="153"/>
        <v>T35W-019</v>
      </c>
      <c r="AK1446" s="662" t="str">
        <f t="shared" si="154"/>
        <v>LVN</v>
      </c>
      <c r="AL1446" s="662" t="str">
        <f t="shared" si="155"/>
        <v>FRD</v>
      </c>
      <c r="AM1446" s="662" t="str">
        <f t="shared" si="158"/>
        <v>Transit 350 Wagon-XL Sliding RH Door-RWD-15-99.2-~-3.5L EcoBoost-6-X2C-301A-147.6-25-Unleaded-Unleaded</v>
      </c>
      <c r="AN1446" s="662" t="str">
        <f t="shared" si="156"/>
        <v>2019-LVN-FRD-T35W-019</v>
      </c>
    </row>
    <row r="1447" spans="1:40" s="572" customFormat="1" ht="15">
      <c r="A1447" s="570" t="s">
        <v>2829</v>
      </c>
      <c r="B1447" s="573" t="s">
        <v>2811</v>
      </c>
      <c r="C1447" s="573" t="s">
        <v>278</v>
      </c>
      <c r="D1447" s="578">
        <v>15</v>
      </c>
      <c r="E1447" s="573" t="s">
        <v>1516</v>
      </c>
      <c r="F1447" s="573" t="s">
        <v>1607</v>
      </c>
      <c r="G1447" s="573" t="s">
        <v>271</v>
      </c>
      <c r="H1447" s="573">
        <v>2019</v>
      </c>
      <c r="I1447" s="573" t="s">
        <v>2769</v>
      </c>
      <c r="J1447" s="573" t="s">
        <v>2048</v>
      </c>
      <c r="K1447" s="573" t="s">
        <v>236</v>
      </c>
      <c r="L1447" s="573">
        <v>15</v>
      </c>
      <c r="M1447" s="573">
        <v>0</v>
      </c>
      <c r="N1447" s="573" t="s">
        <v>157</v>
      </c>
      <c r="O1447" s="573">
        <v>5</v>
      </c>
      <c r="P1447" s="573">
        <v>99.2</v>
      </c>
      <c r="Q1447" s="571" t="s">
        <v>157</v>
      </c>
      <c r="R1447" s="573" t="s">
        <v>682</v>
      </c>
      <c r="S1447" s="573">
        <v>6</v>
      </c>
      <c r="T1447" s="573" t="s">
        <v>2617</v>
      </c>
      <c r="U1447" s="573" t="s">
        <v>434</v>
      </c>
      <c r="V1447" s="573">
        <v>147.6</v>
      </c>
      <c r="W1447" s="573">
        <v>25</v>
      </c>
      <c r="X1447" s="571">
        <v>9150</v>
      </c>
      <c r="Y1447" s="573">
        <v>12</v>
      </c>
      <c r="Z1447" s="579" t="s">
        <v>178</v>
      </c>
      <c r="AA1447" s="579" t="s">
        <v>178</v>
      </c>
      <c r="AB1447" s="584">
        <v>44060</v>
      </c>
      <c r="AC1447" s="584" t="s">
        <v>164</v>
      </c>
      <c r="AD1447" s="584">
        <v>34800</v>
      </c>
      <c r="AE1447" s="586">
        <v>0.01</v>
      </c>
      <c r="AF1447" s="661" t="str">
        <f t="shared" si="157"/>
        <v>2019-LVN-FRD-T35W-020-15</v>
      </c>
      <c r="AG1447" s="661" t="str">
        <f>IF(AND($Y1447&gt;=32,(AI1447="I"),(Y1447&lt;&gt;"~"),(COUNTIF($AN$1:$AN1447,$AN1447)=1)),"TRUE","FALSE")</f>
        <v>FALSE</v>
      </c>
      <c r="AH1447" s="661" t="str">
        <f>IF(AND($Y1447&gt;=22, (AI1447&lt;&gt;"I"),(Y1447&lt;&gt;"~"),(COUNTIF($AN$1:$AN1447,$AN1447)=1)),"TRUE","FALSE")</f>
        <v>FALSE</v>
      </c>
      <c r="AI1447" s="661" t="str">
        <f t="shared" si="159"/>
        <v>II</v>
      </c>
      <c r="AJ1447" s="662" t="str">
        <f t="shared" si="153"/>
        <v>T35W-020</v>
      </c>
      <c r="AK1447" s="662" t="str">
        <f t="shared" si="154"/>
        <v>LVN</v>
      </c>
      <c r="AL1447" s="662" t="str">
        <f t="shared" si="155"/>
        <v>FRD</v>
      </c>
      <c r="AM1447" s="662" t="str">
        <f t="shared" si="158"/>
        <v>Transit 350 Wagon-XL Sliding RH Door-RWD-15-99.2-~-3.7L-6-X2C-301A-147.6-25-Unleaded-Unleaded</v>
      </c>
      <c r="AN1447" s="662" t="str">
        <f t="shared" si="156"/>
        <v>2019-LVN-FRD-T35W-020</v>
      </c>
    </row>
    <row r="1448" spans="1:40" s="572" customFormat="1" ht="15">
      <c r="A1448" s="570" t="s">
        <v>2830</v>
      </c>
      <c r="B1448" s="569" t="s">
        <v>2768</v>
      </c>
      <c r="C1448" s="569" t="s">
        <v>287</v>
      </c>
      <c r="D1448" s="580">
        <v>26</v>
      </c>
      <c r="E1448" s="569" t="s">
        <v>1516</v>
      </c>
      <c r="F1448" s="569" t="s">
        <v>1607</v>
      </c>
      <c r="G1448" s="569" t="s">
        <v>271</v>
      </c>
      <c r="H1448" s="569">
        <v>2019</v>
      </c>
      <c r="I1448" s="569" t="s">
        <v>2769</v>
      </c>
      <c r="J1448" s="569" t="s">
        <v>2048</v>
      </c>
      <c r="K1448" s="569" t="s">
        <v>236</v>
      </c>
      <c r="L1448" s="569">
        <v>12</v>
      </c>
      <c r="M1448" s="569">
        <v>0</v>
      </c>
      <c r="N1448" s="569" t="s">
        <v>157</v>
      </c>
      <c r="O1448" s="569">
        <v>4</v>
      </c>
      <c r="P1448" s="569">
        <v>108.6</v>
      </c>
      <c r="Q1448" s="568" t="s">
        <v>157</v>
      </c>
      <c r="R1448" s="569" t="s">
        <v>1917</v>
      </c>
      <c r="S1448" s="569">
        <v>5</v>
      </c>
      <c r="T1448" s="569" t="s">
        <v>2770</v>
      </c>
      <c r="U1448" s="569" t="s">
        <v>434</v>
      </c>
      <c r="V1448" s="569">
        <v>147.6</v>
      </c>
      <c r="W1448" s="569">
        <v>25</v>
      </c>
      <c r="X1448" s="568">
        <v>9250</v>
      </c>
      <c r="Y1448" s="569">
        <v>12</v>
      </c>
      <c r="Z1448" s="581" t="s">
        <v>728</v>
      </c>
      <c r="AA1448" s="581" t="s">
        <v>1523</v>
      </c>
      <c r="AB1448" s="585">
        <v>48010</v>
      </c>
      <c r="AC1448" s="585" t="s">
        <v>164</v>
      </c>
      <c r="AD1448" s="585">
        <v>38679</v>
      </c>
      <c r="AE1448" s="587">
        <v>0.05</v>
      </c>
      <c r="AF1448" s="661" t="str">
        <f t="shared" si="157"/>
        <v>2019-LVN-FRD-T35W-001-26</v>
      </c>
      <c r="AG1448" s="661" t="str">
        <f>IF(AND($Y1448&gt;=32,(AI1448="I"),(Y1448&lt;&gt;"~"),(COUNTIF($AN$1:$AN1448,$AN1448)=1)),"TRUE","FALSE")</f>
        <v>FALSE</v>
      </c>
      <c r="AH1448" s="661" t="str">
        <f>IF(AND($Y1448&gt;=22, (AI1448&lt;&gt;"I"),(Y1448&lt;&gt;"~"),(COUNTIF($AN$1:$AN1448,$AN1448)=1)),"TRUE","FALSE")</f>
        <v>FALSE</v>
      </c>
      <c r="AI1448" s="661" t="str">
        <f t="shared" si="159"/>
        <v>II</v>
      </c>
      <c r="AJ1448" s="662" t="str">
        <f t="shared" si="153"/>
        <v>T35W-001</v>
      </c>
      <c r="AK1448" s="662" t="str">
        <f t="shared" si="154"/>
        <v>LVN</v>
      </c>
      <c r="AL1448" s="662" t="str">
        <f t="shared" si="155"/>
        <v>FRD</v>
      </c>
      <c r="AM1448" s="662" t="str">
        <f t="shared" si="158"/>
        <v>Transit 350 Wagon-XL Sliding RH Door-RWD-12-108.6-~-3.2L-5-X2X-301A-147.6-25-Diesel-BioDiesel</v>
      </c>
      <c r="AN1448" s="662" t="str">
        <f t="shared" si="156"/>
        <v>2019-LVN-FRD-T35W-001</v>
      </c>
    </row>
    <row r="1449" spans="1:40" s="572" customFormat="1" ht="15">
      <c r="A1449" s="570" t="s">
        <v>2831</v>
      </c>
      <c r="B1449" s="573" t="s">
        <v>2772</v>
      </c>
      <c r="C1449" s="573" t="s">
        <v>287</v>
      </c>
      <c r="D1449" s="578">
        <v>26</v>
      </c>
      <c r="E1449" s="573" t="s">
        <v>1516</v>
      </c>
      <c r="F1449" s="573" t="s">
        <v>1607</v>
      </c>
      <c r="G1449" s="573" t="s">
        <v>271</v>
      </c>
      <c r="H1449" s="573">
        <v>2019</v>
      </c>
      <c r="I1449" s="573" t="s">
        <v>2769</v>
      </c>
      <c r="J1449" s="573" t="s">
        <v>2048</v>
      </c>
      <c r="K1449" s="573" t="s">
        <v>236</v>
      </c>
      <c r="L1449" s="573">
        <v>12</v>
      </c>
      <c r="M1449" s="573">
        <v>0</v>
      </c>
      <c r="N1449" s="573" t="s">
        <v>157</v>
      </c>
      <c r="O1449" s="573">
        <v>4</v>
      </c>
      <c r="P1449" s="573">
        <v>108.6</v>
      </c>
      <c r="Q1449" s="571" t="s">
        <v>157</v>
      </c>
      <c r="R1449" s="573" t="s">
        <v>1259</v>
      </c>
      <c r="S1449" s="573">
        <v>6</v>
      </c>
      <c r="T1449" s="573" t="s">
        <v>2770</v>
      </c>
      <c r="U1449" s="573" t="s">
        <v>434</v>
      </c>
      <c r="V1449" s="573">
        <v>147.6</v>
      </c>
      <c r="W1449" s="573">
        <v>25</v>
      </c>
      <c r="X1449" s="571">
        <v>9000</v>
      </c>
      <c r="Y1449" s="573">
        <v>12</v>
      </c>
      <c r="Z1449" s="579" t="s">
        <v>178</v>
      </c>
      <c r="AA1449" s="579" t="s">
        <v>178</v>
      </c>
      <c r="AB1449" s="584">
        <v>45880</v>
      </c>
      <c r="AC1449" s="584" t="s">
        <v>164</v>
      </c>
      <c r="AD1449" s="584">
        <v>36739</v>
      </c>
      <c r="AE1449" s="586">
        <v>0.05</v>
      </c>
      <c r="AF1449" s="661" t="str">
        <f t="shared" si="157"/>
        <v>2019-LVN-FRD-T35W-002-26</v>
      </c>
      <c r="AG1449" s="661" t="str">
        <f>IF(AND($Y1449&gt;=32,(AI1449="I"),(Y1449&lt;&gt;"~"),(COUNTIF($AN$1:$AN1449,$AN1449)=1)),"TRUE","FALSE")</f>
        <v>FALSE</v>
      </c>
      <c r="AH1449" s="661" t="str">
        <f>IF(AND($Y1449&gt;=22, (AI1449&lt;&gt;"I"),(Y1449&lt;&gt;"~"),(COUNTIF($AN$1:$AN1449,$AN1449)=1)),"TRUE","FALSE")</f>
        <v>FALSE</v>
      </c>
      <c r="AI1449" s="661" t="str">
        <f t="shared" si="159"/>
        <v>II</v>
      </c>
      <c r="AJ1449" s="662" t="str">
        <f t="shared" si="153"/>
        <v>T35W-002</v>
      </c>
      <c r="AK1449" s="662" t="str">
        <f t="shared" si="154"/>
        <v>LVN</v>
      </c>
      <c r="AL1449" s="662" t="str">
        <f t="shared" si="155"/>
        <v>FRD</v>
      </c>
      <c r="AM1449" s="662" t="str">
        <f t="shared" si="158"/>
        <v>Transit 350 Wagon-XL Sliding RH Door-RWD-12-108.6-~-3.5L EcoBoost-6-X2X-301A-147.6-25-Unleaded-Unleaded</v>
      </c>
      <c r="AN1449" s="662" t="str">
        <f t="shared" si="156"/>
        <v>2019-LVN-FRD-T35W-002</v>
      </c>
    </row>
    <row r="1450" spans="1:40" s="572" customFormat="1" ht="15">
      <c r="A1450" s="570" t="s">
        <v>2832</v>
      </c>
      <c r="B1450" s="569" t="s">
        <v>2774</v>
      </c>
      <c r="C1450" s="569" t="s">
        <v>287</v>
      </c>
      <c r="D1450" s="580">
        <v>26</v>
      </c>
      <c r="E1450" s="569" t="s">
        <v>1516</v>
      </c>
      <c r="F1450" s="569" t="s">
        <v>1607</v>
      </c>
      <c r="G1450" s="569" t="s">
        <v>271</v>
      </c>
      <c r="H1450" s="569">
        <v>2019</v>
      </c>
      <c r="I1450" s="569" t="s">
        <v>2769</v>
      </c>
      <c r="J1450" s="569" t="s">
        <v>2048</v>
      </c>
      <c r="K1450" s="569" t="s">
        <v>236</v>
      </c>
      <c r="L1450" s="569">
        <v>12</v>
      </c>
      <c r="M1450" s="569">
        <v>0</v>
      </c>
      <c r="N1450" s="569" t="s">
        <v>157</v>
      </c>
      <c r="O1450" s="569">
        <v>4</v>
      </c>
      <c r="P1450" s="569">
        <v>108.6</v>
      </c>
      <c r="Q1450" s="568" t="s">
        <v>157</v>
      </c>
      <c r="R1450" s="569" t="s">
        <v>682</v>
      </c>
      <c r="S1450" s="569">
        <v>6</v>
      </c>
      <c r="T1450" s="569" t="s">
        <v>2770</v>
      </c>
      <c r="U1450" s="569" t="s">
        <v>434</v>
      </c>
      <c r="V1450" s="569">
        <v>147.6</v>
      </c>
      <c r="W1450" s="569">
        <v>25</v>
      </c>
      <c r="X1450" s="568">
        <v>9000</v>
      </c>
      <c r="Y1450" s="569">
        <v>12</v>
      </c>
      <c r="Z1450" s="581" t="s">
        <v>178</v>
      </c>
      <c r="AA1450" s="581" t="s">
        <v>178</v>
      </c>
      <c r="AB1450" s="585">
        <v>44015</v>
      </c>
      <c r="AC1450" s="585" t="s">
        <v>164</v>
      </c>
      <c r="AD1450" s="585">
        <v>35041</v>
      </c>
      <c r="AE1450" s="587">
        <v>0.05</v>
      </c>
      <c r="AF1450" s="661" t="str">
        <f t="shared" si="157"/>
        <v>2019-LVN-FRD-T35W-003-26</v>
      </c>
      <c r="AG1450" s="661" t="str">
        <f>IF(AND($Y1450&gt;=32,(AI1450="I"),(Y1450&lt;&gt;"~"),(COUNTIF($AN$1:$AN1450,$AN1450)=1)),"TRUE","FALSE")</f>
        <v>FALSE</v>
      </c>
      <c r="AH1450" s="661" t="str">
        <f>IF(AND($Y1450&gt;=22, (AI1450&lt;&gt;"I"),(Y1450&lt;&gt;"~"),(COUNTIF($AN$1:$AN1450,$AN1450)=1)),"TRUE","FALSE")</f>
        <v>FALSE</v>
      </c>
      <c r="AI1450" s="661" t="str">
        <f t="shared" si="159"/>
        <v>II</v>
      </c>
      <c r="AJ1450" s="662" t="str">
        <f t="shared" si="153"/>
        <v>T35W-003</v>
      </c>
      <c r="AK1450" s="662" t="str">
        <f t="shared" si="154"/>
        <v>LVN</v>
      </c>
      <c r="AL1450" s="662" t="str">
        <f t="shared" si="155"/>
        <v>FRD</v>
      </c>
      <c r="AM1450" s="662" t="str">
        <f t="shared" si="158"/>
        <v>Transit 350 Wagon-XL Sliding RH Door-RWD-12-108.6-~-3.7L-6-X2X-301A-147.6-25-Unleaded-Unleaded</v>
      </c>
      <c r="AN1450" s="662" t="str">
        <f t="shared" si="156"/>
        <v>2019-LVN-FRD-T35W-003</v>
      </c>
    </row>
    <row r="1451" spans="1:40" s="572" customFormat="1" ht="15">
      <c r="A1451" s="570" t="s">
        <v>2833</v>
      </c>
      <c r="B1451" s="573" t="s">
        <v>2776</v>
      </c>
      <c r="C1451" s="573" t="s">
        <v>287</v>
      </c>
      <c r="D1451" s="578">
        <v>26</v>
      </c>
      <c r="E1451" s="573" t="s">
        <v>1516</v>
      </c>
      <c r="F1451" s="573" t="s">
        <v>1607</v>
      </c>
      <c r="G1451" s="573" t="s">
        <v>271</v>
      </c>
      <c r="H1451" s="573">
        <v>2019</v>
      </c>
      <c r="I1451" s="573" t="s">
        <v>2769</v>
      </c>
      <c r="J1451" s="573" t="s">
        <v>2048</v>
      </c>
      <c r="K1451" s="573" t="s">
        <v>236</v>
      </c>
      <c r="L1451" s="573">
        <v>12</v>
      </c>
      <c r="M1451" s="573">
        <v>0</v>
      </c>
      <c r="N1451" s="573" t="s">
        <v>157</v>
      </c>
      <c r="O1451" s="573">
        <v>4</v>
      </c>
      <c r="P1451" s="573">
        <v>82.4</v>
      </c>
      <c r="Q1451" s="571" t="s">
        <v>157</v>
      </c>
      <c r="R1451" s="573" t="s">
        <v>1917</v>
      </c>
      <c r="S1451" s="573">
        <v>5</v>
      </c>
      <c r="T1451" s="573" t="s">
        <v>2777</v>
      </c>
      <c r="U1451" s="573" t="s">
        <v>434</v>
      </c>
      <c r="V1451" s="573">
        <v>147.6</v>
      </c>
      <c r="W1451" s="573">
        <v>25</v>
      </c>
      <c r="X1451" s="571">
        <v>9000</v>
      </c>
      <c r="Y1451" s="573">
        <v>12</v>
      </c>
      <c r="Z1451" s="579" t="s">
        <v>728</v>
      </c>
      <c r="AA1451" s="579" t="s">
        <v>1523</v>
      </c>
      <c r="AB1451" s="584">
        <v>45110</v>
      </c>
      <c r="AC1451" s="584" t="s">
        <v>164</v>
      </c>
      <c r="AD1451" s="584">
        <v>33823</v>
      </c>
      <c r="AE1451" s="586">
        <v>0.05</v>
      </c>
      <c r="AF1451" s="661" t="str">
        <f t="shared" si="157"/>
        <v>2019-LVN-FRD-T35W-005-26</v>
      </c>
      <c r="AG1451" s="661" t="str">
        <f>IF(AND($Y1451&gt;=32,(AI1451="I"),(Y1451&lt;&gt;"~"),(COUNTIF($AN$1:$AN1451,$AN1451)=1)),"TRUE","FALSE")</f>
        <v>FALSE</v>
      </c>
      <c r="AH1451" s="661" t="str">
        <f>IF(AND($Y1451&gt;=22, (AI1451&lt;&gt;"I"),(Y1451&lt;&gt;"~"),(COUNTIF($AN$1:$AN1451,$AN1451)=1)),"TRUE","FALSE")</f>
        <v>FALSE</v>
      </c>
      <c r="AI1451" s="661" t="str">
        <f t="shared" si="159"/>
        <v>II</v>
      </c>
      <c r="AJ1451" s="662" t="str">
        <f t="shared" si="153"/>
        <v>T35W-005</v>
      </c>
      <c r="AK1451" s="662" t="str">
        <f t="shared" si="154"/>
        <v>LVN</v>
      </c>
      <c r="AL1451" s="662" t="str">
        <f t="shared" si="155"/>
        <v>FRD</v>
      </c>
      <c r="AM1451" s="662" t="str">
        <f t="shared" si="158"/>
        <v>Transit 350 Wagon-XL Sliding RH Door-RWD-12-82.4-~-3.2L-5-X2Y-301A-147.6-25-Diesel-BioDiesel</v>
      </c>
      <c r="AN1451" s="662" t="str">
        <f t="shared" si="156"/>
        <v>2019-LVN-FRD-T35W-005</v>
      </c>
    </row>
    <row r="1452" spans="1:40" s="572" customFormat="1" ht="15">
      <c r="A1452" s="570" t="s">
        <v>2834</v>
      </c>
      <c r="B1452" s="569" t="s">
        <v>2835</v>
      </c>
      <c r="C1452" s="569" t="s">
        <v>287</v>
      </c>
      <c r="D1452" s="580">
        <v>26</v>
      </c>
      <c r="E1452" s="569" t="s">
        <v>1516</v>
      </c>
      <c r="F1452" s="569" t="s">
        <v>1607</v>
      </c>
      <c r="G1452" s="569" t="s">
        <v>271</v>
      </c>
      <c r="H1452" s="569">
        <v>2019</v>
      </c>
      <c r="I1452" s="569" t="s">
        <v>2769</v>
      </c>
      <c r="J1452" s="569" t="s">
        <v>2048</v>
      </c>
      <c r="K1452" s="569" t="s">
        <v>236</v>
      </c>
      <c r="L1452" s="569">
        <v>12</v>
      </c>
      <c r="M1452" s="569">
        <v>0</v>
      </c>
      <c r="N1452" s="569" t="s">
        <v>157</v>
      </c>
      <c r="O1452" s="569">
        <v>4</v>
      </c>
      <c r="P1452" s="569">
        <v>82.4</v>
      </c>
      <c r="Q1452" s="568" t="s">
        <v>157</v>
      </c>
      <c r="R1452" s="569" t="s">
        <v>316</v>
      </c>
      <c r="S1452" s="569">
        <v>6</v>
      </c>
      <c r="T1452" s="569" t="s">
        <v>2777</v>
      </c>
      <c r="U1452" s="569" t="s">
        <v>434</v>
      </c>
      <c r="V1452" s="569">
        <v>147.6</v>
      </c>
      <c r="W1452" s="569">
        <v>25</v>
      </c>
      <c r="X1452" s="568">
        <v>9000</v>
      </c>
      <c r="Y1452" s="569">
        <v>12</v>
      </c>
      <c r="Z1452" s="581" t="s">
        <v>728</v>
      </c>
      <c r="AA1452" s="581" t="s">
        <v>1523</v>
      </c>
      <c r="AB1452" s="585">
        <v>42980</v>
      </c>
      <c r="AC1452" s="585" t="s">
        <v>164</v>
      </c>
      <c r="AD1452" s="585">
        <v>31883</v>
      </c>
      <c r="AE1452" s="587">
        <v>0.05</v>
      </c>
      <c r="AF1452" s="661" t="str">
        <f t="shared" si="157"/>
        <v>2019-LVN-FRD-T35W-074-26</v>
      </c>
      <c r="AG1452" s="661" t="str">
        <f>IF(AND($Y1452&gt;=32,(AI1452="I"),(Y1452&lt;&gt;"~"),(COUNTIF($AN$1:$AN1452,$AN1452)=1)),"TRUE","FALSE")</f>
        <v>FALSE</v>
      </c>
      <c r="AH1452" s="661" t="str">
        <f>IF(AND($Y1452&gt;=22, (AI1452&lt;&gt;"I"),(Y1452&lt;&gt;"~"),(COUNTIF($AN$1:$AN1452,$AN1452)=1)),"TRUE","FALSE")</f>
        <v>FALSE</v>
      </c>
      <c r="AI1452" s="661" t="str">
        <f t="shared" si="159"/>
        <v>II</v>
      </c>
      <c r="AJ1452" s="662" t="str">
        <f t="shared" si="153"/>
        <v>T35W-074</v>
      </c>
      <c r="AK1452" s="662" t="str">
        <f t="shared" si="154"/>
        <v>LVN</v>
      </c>
      <c r="AL1452" s="662" t="str">
        <f t="shared" si="155"/>
        <v>FRD</v>
      </c>
      <c r="AM1452" s="662" t="str">
        <f t="shared" si="158"/>
        <v>Transit 350 Wagon-XL Sliding RH Door-RWD-12-82.4-~-3.5L-6-X2Y-301A-147.6-25-Diesel-BioDiesel</v>
      </c>
      <c r="AN1452" s="662" t="str">
        <f t="shared" si="156"/>
        <v>2019-LVN-FRD-T35W-074</v>
      </c>
    </row>
    <row r="1453" spans="1:40" s="572" customFormat="1" ht="15">
      <c r="A1453" s="570" t="s">
        <v>2836</v>
      </c>
      <c r="B1453" s="573" t="s">
        <v>2781</v>
      </c>
      <c r="C1453" s="573" t="s">
        <v>287</v>
      </c>
      <c r="D1453" s="578">
        <v>26</v>
      </c>
      <c r="E1453" s="573" t="s">
        <v>1516</v>
      </c>
      <c r="F1453" s="573" t="s">
        <v>1607</v>
      </c>
      <c r="G1453" s="573" t="s">
        <v>271</v>
      </c>
      <c r="H1453" s="573">
        <v>2019</v>
      </c>
      <c r="I1453" s="573" t="s">
        <v>2769</v>
      </c>
      <c r="J1453" s="573" t="s">
        <v>2048</v>
      </c>
      <c r="K1453" s="573" t="s">
        <v>236</v>
      </c>
      <c r="L1453" s="573">
        <v>12</v>
      </c>
      <c r="M1453" s="573">
        <v>0</v>
      </c>
      <c r="N1453" s="573" t="s">
        <v>157</v>
      </c>
      <c r="O1453" s="573">
        <v>4</v>
      </c>
      <c r="P1453" s="573">
        <v>82.4</v>
      </c>
      <c r="Q1453" s="571" t="s">
        <v>157</v>
      </c>
      <c r="R1453" s="573" t="s">
        <v>682</v>
      </c>
      <c r="S1453" s="573">
        <v>6</v>
      </c>
      <c r="T1453" s="573" t="s">
        <v>2777</v>
      </c>
      <c r="U1453" s="573" t="s">
        <v>434</v>
      </c>
      <c r="V1453" s="573">
        <v>147.6</v>
      </c>
      <c r="W1453" s="573">
        <v>25</v>
      </c>
      <c r="X1453" s="571">
        <v>9000</v>
      </c>
      <c r="Y1453" s="573">
        <v>12</v>
      </c>
      <c r="Z1453" s="579" t="s">
        <v>178</v>
      </c>
      <c r="AA1453" s="579" t="s">
        <v>178</v>
      </c>
      <c r="AB1453" s="584">
        <v>41115</v>
      </c>
      <c r="AC1453" s="584" t="s">
        <v>164</v>
      </c>
      <c r="AD1453" s="584">
        <v>30185</v>
      </c>
      <c r="AE1453" s="586">
        <v>0.05</v>
      </c>
      <c r="AF1453" s="661" t="str">
        <f t="shared" si="157"/>
        <v>2019-LVN-FRD-T35W-075-26</v>
      </c>
      <c r="AG1453" s="661" t="str">
        <f>IF(AND($Y1453&gt;=32,(AI1453="I"),(Y1453&lt;&gt;"~"),(COUNTIF($AN$1:$AN1453,$AN1453)=1)),"TRUE","FALSE")</f>
        <v>FALSE</v>
      </c>
      <c r="AH1453" s="661" t="str">
        <f>IF(AND($Y1453&gt;=22, (AI1453&lt;&gt;"I"),(Y1453&lt;&gt;"~"),(COUNTIF($AN$1:$AN1453,$AN1453)=1)),"TRUE","FALSE")</f>
        <v>FALSE</v>
      </c>
      <c r="AI1453" s="661" t="str">
        <f t="shared" si="159"/>
        <v>II</v>
      </c>
      <c r="AJ1453" s="662" t="str">
        <f t="shared" si="153"/>
        <v>T35W-075</v>
      </c>
      <c r="AK1453" s="662" t="str">
        <f t="shared" si="154"/>
        <v>LVN</v>
      </c>
      <c r="AL1453" s="662" t="str">
        <f t="shared" si="155"/>
        <v>FRD</v>
      </c>
      <c r="AM1453" s="662" t="str">
        <f t="shared" si="158"/>
        <v>Transit 350 Wagon-XL Sliding RH Door-RWD-12-82.4-~-3.7L-6-X2Y-301A-147.6-25-Unleaded-Unleaded</v>
      </c>
      <c r="AN1453" s="662" t="str">
        <f t="shared" si="156"/>
        <v>2019-LVN-FRD-T35W-075</v>
      </c>
    </row>
    <row r="1454" spans="1:40" s="572" customFormat="1" ht="15">
      <c r="A1454" s="570" t="s">
        <v>2837</v>
      </c>
      <c r="B1454" s="569" t="s">
        <v>2783</v>
      </c>
      <c r="C1454" s="569" t="s">
        <v>287</v>
      </c>
      <c r="D1454" s="580">
        <v>26</v>
      </c>
      <c r="E1454" s="569" t="s">
        <v>1516</v>
      </c>
      <c r="F1454" s="569" t="s">
        <v>1607</v>
      </c>
      <c r="G1454" s="569" t="s">
        <v>271</v>
      </c>
      <c r="H1454" s="569">
        <v>2019</v>
      </c>
      <c r="I1454" s="569" t="s">
        <v>2769</v>
      </c>
      <c r="J1454" s="569" t="s">
        <v>2048</v>
      </c>
      <c r="K1454" s="569" t="s">
        <v>236</v>
      </c>
      <c r="L1454" s="569">
        <v>12</v>
      </c>
      <c r="M1454" s="569">
        <v>0</v>
      </c>
      <c r="N1454" s="569" t="s">
        <v>157</v>
      </c>
      <c r="O1454" s="569">
        <v>4</v>
      </c>
      <c r="P1454" s="569">
        <v>99.2</v>
      </c>
      <c r="Q1454" s="568" t="s">
        <v>157</v>
      </c>
      <c r="R1454" s="569" t="s">
        <v>1917</v>
      </c>
      <c r="S1454" s="569">
        <v>5</v>
      </c>
      <c r="T1454" s="569" t="s">
        <v>2617</v>
      </c>
      <c r="U1454" s="569" t="s">
        <v>434</v>
      </c>
      <c r="V1454" s="569">
        <v>147.6</v>
      </c>
      <c r="W1454" s="569">
        <v>25</v>
      </c>
      <c r="X1454" s="568">
        <v>9250</v>
      </c>
      <c r="Y1454" s="569">
        <v>12</v>
      </c>
      <c r="Z1454" s="581" t="s">
        <v>728</v>
      </c>
      <c r="AA1454" s="581" t="s">
        <v>1523</v>
      </c>
      <c r="AB1454" s="585">
        <v>46560</v>
      </c>
      <c r="AC1454" s="585" t="s">
        <v>164</v>
      </c>
      <c r="AD1454" s="585">
        <v>37319</v>
      </c>
      <c r="AE1454" s="587">
        <v>0.05</v>
      </c>
      <c r="AF1454" s="661" t="str">
        <f t="shared" si="157"/>
        <v>2019-LVN-FRD-T35W-006-26</v>
      </c>
      <c r="AG1454" s="661" t="str">
        <f>IF(AND($Y1454&gt;=32,(AI1454="I"),(Y1454&lt;&gt;"~"),(COUNTIF($AN$1:$AN1454,$AN1454)=1)),"TRUE","FALSE")</f>
        <v>FALSE</v>
      </c>
      <c r="AH1454" s="661" t="str">
        <f>IF(AND($Y1454&gt;=22, (AI1454&lt;&gt;"I"),(Y1454&lt;&gt;"~"),(COUNTIF($AN$1:$AN1454,$AN1454)=1)),"TRUE","FALSE")</f>
        <v>FALSE</v>
      </c>
      <c r="AI1454" s="661" t="str">
        <f t="shared" si="159"/>
        <v>II</v>
      </c>
      <c r="AJ1454" s="662" t="str">
        <f t="shared" si="153"/>
        <v>T35W-006</v>
      </c>
      <c r="AK1454" s="662" t="str">
        <f t="shared" si="154"/>
        <v>LVN</v>
      </c>
      <c r="AL1454" s="662" t="str">
        <f t="shared" si="155"/>
        <v>FRD</v>
      </c>
      <c r="AM1454" s="662" t="str">
        <f t="shared" si="158"/>
        <v>Transit 350 Wagon-XL Sliding RH Door-RWD-12-99.2-~-3.2L-5-X2C-301A-147.6-25-Diesel-BioDiesel</v>
      </c>
      <c r="AN1454" s="662" t="str">
        <f t="shared" si="156"/>
        <v>2019-LVN-FRD-T35W-006</v>
      </c>
    </row>
    <row r="1455" spans="1:40" s="572" customFormat="1" ht="15">
      <c r="A1455" s="570" t="s">
        <v>2838</v>
      </c>
      <c r="B1455" s="573" t="s">
        <v>2785</v>
      </c>
      <c r="C1455" s="573" t="s">
        <v>287</v>
      </c>
      <c r="D1455" s="578">
        <v>26</v>
      </c>
      <c r="E1455" s="573" t="s">
        <v>1516</v>
      </c>
      <c r="F1455" s="573" t="s">
        <v>1607</v>
      </c>
      <c r="G1455" s="573" t="s">
        <v>271</v>
      </c>
      <c r="H1455" s="573">
        <v>2019</v>
      </c>
      <c r="I1455" s="573" t="s">
        <v>2769</v>
      </c>
      <c r="J1455" s="573" t="s">
        <v>2048</v>
      </c>
      <c r="K1455" s="573" t="s">
        <v>236</v>
      </c>
      <c r="L1455" s="573">
        <v>12</v>
      </c>
      <c r="M1455" s="573">
        <v>0</v>
      </c>
      <c r="N1455" s="573" t="s">
        <v>157</v>
      </c>
      <c r="O1455" s="573">
        <v>4</v>
      </c>
      <c r="P1455" s="573">
        <v>99.2</v>
      </c>
      <c r="Q1455" s="571" t="s">
        <v>157</v>
      </c>
      <c r="R1455" s="573" t="s">
        <v>1259</v>
      </c>
      <c r="S1455" s="573">
        <v>6</v>
      </c>
      <c r="T1455" s="573" t="s">
        <v>2617</v>
      </c>
      <c r="U1455" s="573" t="s">
        <v>434</v>
      </c>
      <c r="V1455" s="573">
        <v>147.6</v>
      </c>
      <c r="W1455" s="573">
        <v>25</v>
      </c>
      <c r="X1455" s="571">
        <v>9000</v>
      </c>
      <c r="Y1455" s="573">
        <v>12</v>
      </c>
      <c r="Z1455" s="579" t="s">
        <v>178</v>
      </c>
      <c r="AA1455" s="579" t="s">
        <v>178</v>
      </c>
      <c r="AB1455" s="584">
        <v>44430</v>
      </c>
      <c r="AC1455" s="584" t="s">
        <v>164</v>
      </c>
      <c r="AD1455" s="584">
        <v>35380</v>
      </c>
      <c r="AE1455" s="586">
        <v>0.05</v>
      </c>
      <c r="AF1455" s="661" t="str">
        <f t="shared" si="157"/>
        <v>2019-LVN-FRD-T35W-007-26</v>
      </c>
      <c r="AG1455" s="661" t="str">
        <f>IF(AND($Y1455&gt;=32,(AI1455="I"),(Y1455&lt;&gt;"~"),(COUNTIF($AN$1:$AN1455,$AN1455)=1)),"TRUE","FALSE")</f>
        <v>FALSE</v>
      </c>
      <c r="AH1455" s="661" t="str">
        <f>IF(AND($Y1455&gt;=22, (AI1455&lt;&gt;"I"),(Y1455&lt;&gt;"~"),(COUNTIF($AN$1:$AN1455,$AN1455)=1)),"TRUE","FALSE")</f>
        <v>FALSE</v>
      </c>
      <c r="AI1455" s="661" t="str">
        <f t="shared" si="159"/>
        <v>II</v>
      </c>
      <c r="AJ1455" s="662" t="str">
        <f t="shared" si="153"/>
        <v>T35W-007</v>
      </c>
      <c r="AK1455" s="662" t="str">
        <f t="shared" si="154"/>
        <v>LVN</v>
      </c>
      <c r="AL1455" s="662" t="str">
        <f t="shared" si="155"/>
        <v>FRD</v>
      </c>
      <c r="AM1455" s="662" t="str">
        <f t="shared" si="158"/>
        <v>Transit 350 Wagon-XL Sliding RH Door-RWD-12-99.2-~-3.5L EcoBoost-6-X2C-301A-147.6-25-Unleaded-Unleaded</v>
      </c>
      <c r="AN1455" s="662" t="str">
        <f t="shared" si="156"/>
        <v>2019-LVN-FRD-T35W-007</v>
      </c>
    </row>
    <row r="1456" spans="1:40" s="572" customFormat="1" ht="15">
      <c r="A1456" s="570" t="s">
        <v>2839</v>
      </c>
      <c r="B1456" s="569" t="s">
        <v>2787</v>
      </c>
      <c r="C1456" s="569" t="s">
        <v>287</v>
      </c>
      <c r="D1456" s="580">
        <v>26</v>
      </c>
      <c r="E1456" s="569" t="s">
        <v>1516</v>
      </c>
      <c r="F1456" s="569" t="s">
        <v>1607</v>
      </c>
      <c r="G1456" s="569" t="s">
        <v>271</v>
      </c>
      <c r="H1456" s="569">
        <v>2019</v>
      </c>
      <c r="I1456" s="569" t="s">
        <v>2769</v>
      </c>
      <c r="J1456" s="569" t="s">
        <v>2048</v>
      </c>
      <c r="K1456" s="569" t="s">
        <v>236</v>
      </c>
      <c r="L1456" s="569">
        <v>12</v>
      </c>
      <c r="M1456" s="569">
        <v>0</v>
      </c>
      <c r="N1456" s="569" t="s">
        <v>157</v>
      </c>
      <c r="O1456" s="569">
        <v>4</v>
      </c>
      <c r="P1456" s="569">
        <v>99.2</v>
      </c>
      <c r="Q1456" s="568" t="s">
        <v>157</v>
      </c>
      <c r="R1456" s="569" t="s">
        <v>682</v>
      </c>
      <c r="S1456" s="569">
        <v>6</v>
      </c>
      <c r="T1456" s="569" t="s">
        <v>2617</v>
      </c>
      <c r="U1456" s="569" t="s">
        <v>434</v>
      </c>
      <c r="V1456" s="569">
        <v>147.6</v>
      </c>
      <c r="W1456" s="569">
        <v>25</v>
      </c>
      <c r="X1456" s="568">
        <v>9000</v>
      </c>
      <c r="Y1456" s="569">
        <v>12</v>
      </c>
      <c r="Z1456" s="581" t="s">
        <v>178</v>
      </c>
      <c r="AA1456" s="581" t="s">
        <v>178</v>
      </c>
      <c r="AB1456" s="585">
        <v>44060</v>
      </c>
      <c r="AC1456" s="585" t="s">
        <v>164</v>
      </c>
      <c r="AD1456" s="585">
        <v>33682</v>
      </c>
      <c r="AE1456" s="587">
        <v>0.05</v>
      </c>
      <c r="AF1456" s="661" t="str">
        <f t="shared" si="157"/>
        <v>2019-LVN-FRD-T35W-008-26</v>
      </c>
      <c r="AG1456" s="661" t="str">
        <f>IF(AND($Y1456&gt;=32,(AI1456="I"),(Y1456&lt;&gt;"~"),(COUNTIF($AN$1:$AN1456,$AN1456)=1)),"TRUE","FALSE")</f>
        <v>FALSE</v>
      </c>
      <c r="AH1456" s="661" t="str">
        <f>IF(AND($Y1456&gt;=22, (AI1456&lt;&gt;"I"),(Y1456&lt;&gt;"~"),(COUNTIF($AN$1:$AN1456,$AN1456)=1)),"TRUE","FALSE")</f>
        <v>FALSE</v>
      </c>
      <c r="AI1456" s="661" t="str">
        <f t="shared" si="159"/>
        <v>II</v>
      </c>
      <c r="AJ1456" s="662" t="str">
        <f t="shared" si="153"/>
        <v>T35W-008</v>
      </c>
      <c r="AK1456" s="662" t="str">
        <f t="shared" si="154"/>
        <v>LVN</v>
      </c>
      <c r="AL1456" s="662" t="str">
        <f t="shared" si="155"/>
        <v>FRD</v>
      </c>
      <c r="AM1456" s="662" t="str">
        <f t="shared" si="158"/>
        <v>Transit 350 Wagon-XL Sliding RH Door-RWD-12-99.2-~-3.7L-6-X2C-301A-147.6-25-Unleaded-Unleaded</v>
      </c>
      <c r="AN1456" s="662" t="str">
        <f t="shared" si="156"/>
        <v>2019-LVN-FRD-T35W-008</v>
      </c>
    </row>
    <row r="1457" spans="1:40" s="572" customFormat="1" ht="15">
      <c r="A1457" s="570" t="s">
        <v>2840</v>
      </c>
      <c r="B1457" s="573" t="s">
        <v>2789</v>
      </c>
      <c r="C1457" s="573" t="s">
        <v>287</v>
      </c>
      <c r="D1457" s="578">
        <v>26</v>
      </c>
      <c r="E1457" s="573" t="s">
        <v>1516</v>
      </c>
      <c r="F1457" s="573" t="s">
        <v>1607</v>
      </c>
      <c r="G1457" s="573" t="s">
        <v>271</v>
      </c>
      <c r="H1457" s="573">
        <v>2019</v>
      </c>
      <c r="I1457" s="573" t="s">
        <v>2769</v>
      </c>
      <c r="J1457" s="573" t="s">
        <v>2048</v>
      </c>
      <c r="K1457" s="573" t="s">
        <v>236</v>
      </c>
      <c r="L1457" s="573">
        <v>15</v>
      </c>
      <c r="M1457" s="573">
        <v>0</v>
      </c>
      <c r="N1457" s="573" t="s">
        <v>157</v>
      </c>
      <c r="O1457" s="573">
        <v>5</v>
      </c>
      <c r="P1457" s="573">
        <v>107.7</v>
      </c>
      <c r="Q1457" s="571" t="s">
        <v>157</v>
      </c>
      <c r="R1457" s="573" t="s">
        <v>1917</v>
      </c>
      <c r="S1457" s="573">
        <v>5</v>
      </c>
      <c r="T1457" s="573" t="s">
        <v>2599</v>
      </c>
      <c r="U1457" s="573" t="s">
        <v>434</v>
      </c>
      <c r="V1457" s="573">
        <v>147.6</v>
      </c>
      <c r="W1457" s="573">
        <v>25</v>
      </c>
      <c r="X1457" s="571">
        <v>10360</v>
      </c>
      <c r="Y1457" s="569" t="s">
        <v>164</v>
      </c>
      <c r="Z1457" s="579" t="s">
        <v>728</v>
      </c>
      <c r="AA1457" s="579" t="s">
        <v>1523</v>
      </c>
      <c r="AB1457" s="584">
        <v>49160</v>
      </c>
      <c r="AC1457" s="584" t="s">
        <v>164</v>
      </c>
      <c r="AD1457" s="584">
        <v>39757</v>
      </c>
      <c r="AE1457" s="586">
        <v>0.05</v>
      </c>
      <c r="AF1457" s="661" t="str">
        <f t="shared" si="157"/>
        <v>2019-LVN-FRD-T35W-010-26</v>
      </c>
      <c r="AG1457" s="661" t="str">
        <f>IF(AND($Y1457&gt;=32,(AI1457="I"),(Y1457&lt;&gt;"~"),(COUNTIF($AN$1:$AN1457,$AN1457)=1)),"TRUE","FALSE")</f>
        <v>FALSE</v>
      </c>
      <c r="AH1457" s="661" t="str">
        <f>IF(AND($Y1457&gt;=22, (AI1457&lt;&gt;"I"),(Y1457&lt;&gt;"~"),(COUNTIF($AN$1:$AN1457,$AN1457)=1)),"TRUE","FALSE")</f>
        <v>FALSE</v>
      </c>
      <c r="AI1457" s="661" t="str">
        <f t="shared" si="159"/>
        <v>N/A</v>
      </c>
      <c r="AJ1457" s="662" t="str">
        <f t="shared" si="153"/>
        <v>T35W-010</v>
      </c>
      <c r="AK1457" s="662" t="str">
        <f t="shared" si="154"/>
        <v>LVN</v>
      </c>
      <c r="AL1457" s="662" t="str">
        <f t="shared" si="155"/>
        <v>FRD</v>
      </c>
      <c r="AM1457" s="662" t="str">
        <f t="shared" si="158"/>
        <v>Transit 350 Wagon-XL Sliding RH Door-RWD-15-107.7-~-3.2L-5-U4X-301A-147.6-25-Diesel-BioDiesel</v>
      </c>
      <c r="AN1457" s="662" t="str">
        <f t="shared" si="156"/>
        <v>2019-LVN-FRD-T35W-010</v>
      </c>
    </row>
    <row r="1458" spans="1:40" s="572" customFormat="1" ht="15">
      <c r="A1458" s="570" t="s">
        <v>2841</v>
      </c>
      <c r="B1458" s="569" t="s">
        <v>2791</v>
      </c>
      <c r="C1458" s="569" t="s">
        <v>287</v>
      </c>
      <c r="D1458" s="580">
        <v>26</v>
      </c>
      <c r="E1458" s="569" t="s">
        <v>1516</v>
      </c>
      <c r="F1458" s="569" t="s">
        <v>1607</v>
      </c>
      <c r="G1458" s="569" t="s">
        <v>271</v>
      </c>
      <c r="H1458" s="569">
        <v>2019</v>
      </c>
      <c r="I1458" s="569" t="s">
        <v>2769</v>
      </c>
      <c r="J1458" s="569" t="s">
        <v>2048</v>
      </c>
      <c r="K1458" s="569" t="s">
        <v>236</v>
      </c>
      <c r="L1458" s="569">
        <v>15</v>
      </c>
      <c r="M1458" s="569">
        <v>0</v>
      </c>
      <c r="N1458" s="569" t="s">
        <v>157</v>
      </c>
      <c r="O1458" s="569">
        <v>5</v>
      </c>
      <c r="P1458" s="569">
        <v>107.7</v>
      </c>
      <c r="Q1458" s="568" t="s">
        <v>157</v>
      </c>
      <c r="R1458" s="569" t="s">
        <v>1259</v>
      </c>
      <c r="S1458" s="569">
        <v>6</v>
      </c>
      <c r="T1458" s="569" t="s">
        <v>2599</v>
      </c>
      <c r="U1458" s="569" t="s">
        <v>434</v>
      </c>
      <c r="V1458" s="569">
        <v>147.6</v>
      </c>
      <c r="W1458" s="569">
        <v>25</v>
      </c>
      <c r="X1458" s="568">
        <v>10360</v>
      </c>
      <c r="Y1458" s="569" t="s">
        <v>164</v>
      </c>
      <c r="Z1458" s="581" t="s">
        <v>178</v>
      </c>
      <c r="AA1458" s="581" t="s">
        <v>178</v>
      </c>
      <c r="AB1458" s="585">
        <v>47030</v>
      </c>
      <c r="AC1458" s="585" t="s">
        <v>164</v>
      </c>
      <c r="AD1458" s="585">
        <v>37818</v>
      </c>
      <c r="AE1458" s="587">
        <v>0.05</v>
      </c>
      <c r="AF1458" s="661" t="str">
        <f t="shared" si="157"/>
        <v>2019-LVN-FRD-T35W-011-26</v>
      </c>
      <c r="AG1458" s="661" t="str">
        <f>IF(AND($Y1458&gt;=32,(AI1458="I"),(Y1458&lt;&gt;"~"),(COUNTIF($AN$1:$AN1458,$AN1458)=1)),"TRUE","FALSE")</f>
        <v>FALSE</v>
      </c>
      <c r="AH1458" s="661" t="str">
        <f>IF(AND($Y1458&gt;=22, (AI1458&lt;&gt;"I"),(Y1458&lt;&gt;"~"),(COUNTIF($AN$1:$AN1458,$AN1458)=1)),"TRUE","FALSE")</f>
        <v>FALSE</v>
      </c>
      <c r="AI1458" s="661" t="str">
        <f t="shared" si="159"/>
        <v>N/A</v>
      </c>
      <c r="AJ1458" s="662" t="str">
        <f t="shared" si="153"/>
        <v>T35W-011</v>
      </c>
      <c r="AK1458" s="662" t="str">
        <f t="shared" si="154"/>
        <v>LVN</v>
      </c>
      <c r="AL1458" s="662" t="str">
        <f t="shared" si="155"/>
        <v>FRD</v>
      </c>
      <c r="AM1458" s="662" t="str">
        <f t="shared" si="158"/>
        <v>Transit 350 Wagon-XL Sliding RH Door-RWD-15-107.7-~-3.5L EcoBoost-6-U4X-301A-147.6-25-Unleaded-Unleaded</v>
      </c>
      <c r="AN1458" s="662" t="str">
        <f t="shared" si="156"/>
        <v>2019-LVN-FRD-T35W-011</v>
      </c>
    </row>
    <row r="1459" spans="1:40" s="572" customFormat="1" ht="15">
      <c r="A1459" s="570" t="s">
        <v>2842</v>
      </c>
      <c r="B1459" s="573" t="s">
        <v>2793</v>
      </c>
      <c r="C1459" s="573" t="s">
        <v>287</v>
      </c>
      <c r="D1459" s="578">
        <v>26</v>
      </c>
      <c r="E1459" s="573" t="s">
        <v>1516</v>
      </c>
      <c r="F1459" s="573" t="s">
        <v>1607</v>
      </c>
      <c r="G1459" s="573" t="s">
        <v>271</v>
      </c>
      <c r="H1459" s="573">
        <v>2019</v>
      </c>
      <c r="I1459" s="573" t="s">
        <v>2769</v>
      </c>
      <c r="J1459" s="573" t="s">
        <v>2048</v>
      </c>
      <c r="K1459" s="573" t="s">
        <v>236</v>
      </c>
      <c r="L1459" s="573">
        <v>15</v>
      </c>
      <c r="M1459" s="573">
        <v>0</v>
      </c>
      <c r="N1459" s="573" t="s">
        <v>157</v>
      </c>
      <c r="O1459" s="573">
        <v>5</v>
      </c>
      <c r="P1459" s="573">
        <v>107.7</v>
      </c>
      <c r="Q1459" s="571" t="s">
        <v>157</v>
      </c>
      <c r="R1459" s="573" t="s">
        <v>682</v>
      </c>
      <c r="S1459" s="573">
        <v>6</v>
      </c>
      <c r="T1459" s="573" t="s">
        <v>2599</v>
      </c>
      <c r="U1459" s="573" t="s">
        <v>434</v>
      </c>
      <c r="V1459" s="573">
        <v>147.6</v>
      </c>
      <c r="W1459" s="573">
        <v>25</v>
      </c>
      <c r="X1459" s="571">
        <v>10360</v>
      </c>
      <c r="Y1459" s="569" t="s">
        <v>164</v>
      </c>
      <c r="Z1459" s="579" t="s">
        <v>178</v>
      </c>
      <c r="AA1459" s="579" t="s">
        <v>178</v>
      </c>
      <c r="AB1459" s="584">
        <v>45165</v>
      </c>
      <c r="AC1459" s="584" t="s">
        <v>164</v>
      </c>
      <c r="AD1459" s="584">
        <v>36120</v>
      </c>
      <c r="AE1459" s="586">
        <v>0.05</v>
      </c>
      <c r="AF1459" s="661" t="str">
        <f t="shared" si="157"/>
        <v>2019-LVN-FRD-T35W-012-26</v>
      </c>
      <c r="AG1459" s="661" t="str">
        <f>IF(AND($Y1459&gt;=32,(AI1459="I"),(Y1459&lt;&gt;"~"),(COUNTIF($AN$1:$AN1459,$AN1459)=1)),"TRUE","FALSE")</f>
        <v>FALSE</v>
      </c>
      <c r="AH1459" s="661" t="str">
        <f>IF(AND($Y1459&gt;=22, (AI1459&lt;&gt;"I"),(Y1459&lt;&gt;"~"),(COUNTIF($AN$1:$AN1459,$AN1459)=1)),"TRUE","FALSE")</f>
        <v>FALSE</v>
      </c>
      <c r="AI1459" s="661" t="str">
        <f t="shared" si="159"/>
        <v>N/A</v>
      </c>
      <c r="AJ1459" s="662" t="str">
        <f t="shared" si="153"/>
        <v>T35W-012</v>
      </c>
      <c r="AK1459" s="662" t="str">
        <f t="shared" si="154"/>
        <v>LVN</v>
      </c>
      <c r="AL1459" s="662" t="str">
        <f t="shared" si="155"/>
        <v>FRD</v>
      </c>
      <c r="AM1459" s="662" t="str">
        <f t="shared" si="158"/>
        <v>Transit 350 Wagon-XL Sliding RH Door-RWD-15-107.7-~-3.7L-6-U4X-301A-147.6-25-Unleaded-Unleaded</v>
      </c>
      <c r="AN1459" s="662" t="str">
        <f t="shared" si="156"/>
        <v>2019-LVN-FRD-T35W-012</v>
      </c>
    </row>
    <row r="1460" spans="1:40" s="572" customFormat="1" ht="15">
      <c r="A1460" s="570" t="s">
        <v>2843</v>
      </c>
      <c r="B1460" s="569" t="s">
        <v>2768</v>
      </c>
      <c r="C1460" s="569" t="s">
        <v>280</v>
      </c>
      <c r="D1460" s="580">
        <v>27</v>
      </c>
      <c r="E1460" s="569" t="s">
        <v>1516</v>
      </c>
      <c r="F1460" s="569" t="s">
        <v>1607</v>
      </c>
      <c r="G1460" s="569" t="s">
        <v>271</v>
      </c>
      <c r="H1460" s="569">
        <v>2019</v>
      </c>
      <c r="I1460" s="569" t="s">
        <v>2769</v>
      </c>
      <c r="J1460" s="569" t="s">
        <v>2048</v>
      </c>
      <c r="K1460" s="569" t="s">
        <v>236</v>
      </c>
      <c r="L1460" s="569">
        <v>12</v>
      </c>
      <c r="M1460" s="569">
        <v>0</v>
      </c>
      <c r="N1460" s="569" t="s">
        <v>157</v>
      </c>
      <c r="O1460" s="569">
        <v>4</v>
      </c>
      <c r="P1460" s="569">
        <v>108.6</v>
      </c>
      <c r="Q1460" s="568" t="s">
        <v>157</v>
      </c>
      <c r="R1460" s="569" t="s">
        <v>1917</v>
      </c>
      <c r="S1460" s="569">
        <v>5</v>
      </c>
      <c r="T1460" s="569" t="s">
        <v>2770</v>
      </c>
      <c r="U1460" s="569" t="s">
        <v>434</v>
      </c>
      <c r="V1460" s="569">
        <v>147.6</v>
      </c>
      <c r="W1460" s="569">
        <v>25</v>
      </c>
      <c r="X1460" s="568">
        <v>9250</v>
      </c>
      <c r="Y1460" s="569">
        <v>12</v>
      </c>
      <c r="Z1460" s="581" t="s">
        <v>728</v>
      </c>
      <c r="AA1460" s="581" t="s">
        <v>1523</v>
      </c>
      <c r="AB1460" s="585">
        <v>48010</v>
      </c>
      <c r="AC1460" s="585" t="s">
        <v>164</v>
      </c>
      <c r="AD1460" s="585">
        <v>37624.208333333336</v>
      </c>
      <c r="AE1460" s="587">
        <v>0.03</v>
      </c>
      <c r="AF1460" s="661" t="str">
        <f t="shared" si="157"/>
        <v>2019-LVN-FRD-T35W-001-27</v>
      </c>
      <c r="AG1460" s="661" t="str">
        <f>IF(AND($Y1460&gt;=32,(AI1460="I"),(Y1460&lt;&gt;"~"),(COUNTIF($AN$1:$AN1460,$AN1460)=1)),"TRUE","FALSE")</f>
        <v>FALSE</v>
      </c>
      <c r="AH1460" s="661" t="str">
        <f>IF(AND($Y1460&gt;=22, (AI1460&lt;&gt;"I"),(Y1460&lt;&gt;"~"),(COUNTIF($AN$1:$AN1460,$AN1460)=1)),"TRUE","FALSE")</f>
        <v>FALSE</v>
      </c>
      <c r="AI1460" s="661" t="str">
        <f t="shared" si="159"/>
        <v>II</v>
      </c>
      <c r="AJ1460" s="662" t="str">
        <f t="shared" si="153"/>
        <v>T35W-001</v>
      </c>
      <c r="AK1460" s="662" t="str">
        <f t="shared" si="154"/>
        <v>LVN</v>
      </c>
      <c r="AL1460" s="662" t="str">
        <f t="shared" si="155"/>
        <v>FRD</v>
      </c>
      <c r="AM1460" s="662" t="str">
        <f t="shared" si="158"/>
        <v>Transit 350 Wagon-XL Sliding RH Door-RWD-12-108.6-~-3.2L-5-X2X-301A-147.6-25-Diesel-BioDiesel</v>
      </c>
      <c r="AN1460" s="662" t="str">
        <f t="shared" si="156"/>
        <v>2019-LVN-FRD-T35W-001</v>
      </c>
    </row>
    <row r="1461" spans="1:40" s="572" customFormat="1" ht="15">
      <c r="A1461" s="570" t="s">
        <v>2844</v>
      </c>
      <c r="B1461" s="573" t="s">
        <v>2772</v>
      </c>
      <c r="C1461" s="573" t="s">
        <v>280</v>
      </c>
      <c r="D1461" s="578">
        <v>27</v>
      </c>
      <c r="E1461" s="573" t="s">
        <v>1516</v>
      </c>
      <c r="F1461" s="573" t="s">
        <v>1607</v>
      </c>
      <c r="G1461" s="573" t="s">
        <v>271</v>
      </c>
      <c r="H1461" s="573">
        <v>2019</v>
      </c>
      <c r="I1461" s="573" t="s">
        <v>2769</v>
      </c>
      <c r="J1461" s="573" t="s">
        <v>2048</v>
      </c>
      <c r="K1461" s="573" t="s">
        <v>236</v>
      </c>
      <c r="L1461" s="573">
        <v>12</v>
      </c>
      <c r="M1461" s="573">
        <v>0</v>
      </c>
      <c r="N1461" s="573" t="s">
        <v>157</v>
      </c>
      <c r="O1461" s="573">
        <v>4</v>
      </c>
      <c r="P1461" s="573">
        <v>108.6</v>
      </c>
      <c r="Q1461" s="571" t="s">
        <v>157</v>
      </c>
      <c r="R1461" s="573" t="s">
        <v>1259</v>
      </c>
      <c r="S1461" s="573">
        <v>6</v>
      </c>
      <c r="T1461" s="573" t="s">
        <v>2770</v>
      </c>
      <c r="U1461" s="573" t="s">
        <v>434</v>
      </c>
      <c r="V1461" s="573">
        <v>147.6</v>
      </c>
      <c r="W1461" s="573">
        <v>25</v>
      </c>
      <c r="X1461" s="571">
        <v>9000</v>
      </c>
      <c r="Y1461" s="573">
        <v>12</v>
      </c>
      <c r="Z1461" s="579" t="s">
        <v>178</v>
      </c>
      <c r="AA1461" s="579" t="s">
        <v>178</v>
      </c>
      <c r="AB1461" s="584">
        <v>45880</v>
      </c>
      <c r="AC1461" s="584" t="s">
        <v>164</v>
      </c>
      <c r="AD1461" s="584">
        <v>35730.916666666672</v>
      </c>
      <c r="AE1461" s="586">
        <v>0.03</v>
      </c>
      <c r="AF1461" s="661" t="str">
        <f t="shared" si="157"/>
        <v>2019-LVN-FRD-T35W-002-27</v>
      </c>
      <c r="AG1461" s="661" t="str">
        <f>IF(AND($Y1461&gt;=32,(AI1461="I"),(Y1461&lt;&gt;"~"),(COUNTIF($AN$1:$AN1461,$AN1461)=1)),"TRUE","FALSE")</f>
        <v>FALSE</v>
      </c>
      <c r="AH1461" s="661" t="str">
        <f>IF(AND($Y1461&gt;=22, (AI1461&lt;&gt;"I"),(Y1461&lt;&gt;"~"),(COUNTIF($AN$1:$AN1461,$AN1461)=1)),"TRUE","FALSE")</f>
        <v>FALSE</v>
      </c>
      <c r="AI1461" s="661" t="str">
        <f t="shared" si="159"/>
        <v>II</v>
      </c>
      <c r="AJ1461" s="662" t="str">
        <f t="shared" si="153"/>
        <v>T35W-002</v>
      </c>
      <c r="AK1461" s="662" t="str">
        <f t="shared" si="154"/>
        <v>LVN</v>
      </c>
      <c r="AL1461" s="662" t="str">
        <f t="shared" si="155"/>
        <v>FRD</v>
      </c>
      <c r="AM1461" s="662" t="str">
        <f t="shared" si="158"/>
        <v>Transit 350 Wagon-XL Sliding RH Door-RWD-12-108.6-~-3.5L EcoBoost-6-X2X-301A-147.6-25-Unleaded-Unleaded</v>
      </c>
      <c r="AN1461" s="662" t="str">
        <f t="shared" si="156"/>
        <v>2019-LVN-FRD-T35W-002</v>
      </c>
    </row>
    <row r="1462" spans="1:40" s="572" customFormat="1" ht="15">
      <c r="A1462" s="570" t="s">
        <v>2845</v>
      </c>
      <c r="B1462" s="569" t="s">
        <v>2774</v>
      </c>
      <c r="C1462" s="569" t="s">
        <v>280</v>
      </c>
      <c r="D1462" s="580">
        <v>27</v>
      </c>
      <c r="E1462" s="569" t="s">
        <v>1516</v>
      </c>
      <c r="F1462" s="569" t="s">
        <v>1607</v>
      </c>
      <c r="G1462" s="569" t="s">
        <v>271</v>
      </c>
      <c r="H1462" s="569">
        <v>2019</v>
      </c>
      <c r="I1462" s="569" t="s">
        <v>2769</v>
      </c>
      <c r="J1462" s="569" t="s">
        <v>2048</v>
      </c>
      <c r="K1462" s="569" t="s">
        <v>236</v>
      </c>
      <c r="L1462" s="569">
        <v>12</v>
      </c>
      <c r="M1462" s="569">
        <v>0</v>
      </c>
      <c r="N1462" s="569" t="s">
        <v>157</v>
      </c>
      <c r="O1462" s="569">
        <v>4</v>
      </c>
      <c r="P1462" s="569">
        <v>108.6</v>
      </c>
      <c r="Q1462" s="568" t="s">
        <v>157</v>
      </c>
      <c r="R1462" s="569" t="s">
        <v>682</v>
      </c>
      <c r="S1462" s="569">
        <v>6</v>
      </c>
      <c r="T1462" s="569" t="s">
        <v>2770</v>
      </c>
      <c r="U1462" s="569" t="s">
        <v>434</v>
      </c>
      <c r="V1462" s="569">
        <v>147.6</v>
      </c>
      <c r="W1462" s="569">
        <v>25</v>
      </c>
      <c r="X1462" s="568">
        <v>9000</v>
      </c>
      <c r="Y1462" s="569">
        <v>12</v>
      </c>
      <c r="Z1462" s="581" t="s">
        <v>178</v>
      </c>
      <c r="AA1462" s="581" t="s">
        <v>178</v>
      </c>
      <c r="AB1462" s="585">
        <v>44015</v>
      </c>
      <c r="AC1462" s="585" t="s">
        <v>164</v>
      </c>
      <c r="AD1462" s="585">
        <v>34074.666666666672</v>
      </c>
      <c r="AE1462" s="587">
        <v>0.03</v>
      </c>
      <c r="AF1462" s="661" t="str">
        <f t="shared" si="157"/>
        <v>2019-LVN-FRD-T35W-003-27</v>
      </c>
      <c r="AG1462" s="661" t="str">
        <f>IF(AND($Y1462&gt;=32,(AI1462="I"),(Y1462&lt;&gt;"~"),(COUNTIF($AN$1:$AN1462,$AN1462)=1)),"TRUE","FALSE")</f>
        <v>FALSE</v>
      </c>
      <c r="AH1462" s="661" t="str">
        <f>IF(AND($Y1462&gt;=22, (AI1462&lt;&gt;"I"),(Y1462&lt;&gt;"~"),(COUNTIF($AN$1:$AN1462,$AN1462)=1)),"TRUE","FALSE")</f>
        <v>FALSE</v>
      </c>
      <c r="AI1462" s="661" t="str">
        <f t="shared" si="159"/>
        <v>II</v>
      </c>
      <c r="AJ1462" s="662" t="str">
        <f t="shared" si="153"/>
        <v>T35W-003</v>
      </c>
      <c r="AK1462" s="662" t="str">
        <f t="shared" si="154"/>
        <v>LVN</v>
      </c>
      <c r="AL1462" s="662" t="str">
        <f t="shared" si="155"/>
        <v>FRD</v>
      </c>
      <c r="AM1462" s="662" t="str">
        <f t="shared" si="158"/>
        <v>Transit 350 Wagon-XL Sliding RH Door-RWD-12-108.6-~-3.7L-6-X2X-301A-147.6-25-Unleaded-Unleaded</v>
      </c>
      <c r="AN1462" s="662" t="str">
        <f t="shared" si="156"/>
        <v>2019-LVN-FRD-T35W-003</v>
      </c>
    </row>
    <row r="1463" spans="1:40" s="572" customFormat="1" ht="15">
      <c r="A1463" s="570" t="s">
        <v>2846</v>
      </c>
      <c r="B1463" s="573" t="s">
        <v>2776</v>
      </c>
      <c r="C1463" s="573" t="s">
        <v>280</v>
      </c>
      <c r="D1463" s="578">
        <v>27</v>
      </c>
      <c r="E1463" s="573" t="s">
        <v>1516</v>
      </c>
      <c r="F1463" s="573" t="s">
        <v>1607</v>
      </c>
      <c r="G1463" s="573" t="s">
        <v>271</v>
      </c>
      <c r="H1463" s="573">
        <v>2019</v>
      </c>
      <c r="I1463" s="573" t="s">
        <v>2769</v>
      </c>
      <c r="J1463" s="573" t="s">
        <v>2048</v>
      </c>
      <c r="K1463" s="573" t="s">
        <v>236</v>
      </c>
      <c r="L1463" s="573">
        <v>12</v>
      </c>
      <c r="M1463" s="573">
        <v>0</v>
      </c>
      <c r="N1463" s="573" t="s">
        <v>157</v>
      </c>
      <c r="O1463" s="573">
        <v>4</v>
      </c>
      <c r="P1463" s="573">
        <v>82.4</v>
      </c>
      <c r="Q1463" s="571" t="s">
        <v>157</v>
      </c>
      <c r="R1463" s="573" t="s">
        <v>1917</v>
      </c>
      <c r="S1463" s="573">
        <v>5</v>
      </c>
      <c r="T1463" s="573" t="s">
        <v>2777</v>
      </c>
      <c r="U1463" s="573" t="s">
        <v>434</v>
      </c>
      <c r="V1463" s="573">
        <v>147.6</v>
      </c>
      <c r="W1463" s="573">
        <v>25</v>
      </c>
      <c r="X1463" s="571">
        <v>9250</v>
      </c>
      <c r="Y1463" s="573">
        <v>12</v>
      </c>
      <c r="Z1463" s="579" t="s">
        <v>728</v>
      </c>
      <c r="AA1463" s="579" t="s">
        <v>1523</v>
      </c>
      <c r="AB1463" s="584">
        <v>45110</v>
      </c>
      <c r="AC1463" s="584" t="s">
        <v>164</v>
      </c>
      <c r="AD1463" s="584">
        <v>32890.875</v>
      </c>
      <c r="AE1463" s="586">
        <v>0.03</v>
      </c>
      <c r="AF1463" s="661" t="str">
        <f t="shared" si="157"/>
        <v>2019-LVN-FRD-T35W-005-27</v>
      </c>
      <c r="AG1463" s="661" t="str">
        <f>IF(AND($Y1463&gt;=32,(AI1463="I"),(Y1463&lt;&gt;"~"),(COUNTIF($AN$1:$AN1463,$AN1463)=1)),"TRUE","FALSE")</f>
        <v>FALSE</v>
      </c>
      <c r="AH1463" s="661" t="str">
        <f>IF(AND($Y1463&gt;=22, (AI1463&lt;&gt;"I"),(Y1463&lt;&gt;"~"),(COUNTIF($AN$1:$AN1463,$AN1463)=1)),"TRUE","FALSE")</f>
        <v>FALSE</v>
      </c>
      <c r="AI1463" s="661" t="str">
        <f t="shared" si="159"/>
        <v>II</v>
      </c>
      <c r="AJ1463" s="662" t="str">
        <f t="shared" si="153"/>
        <v>T35W-005</v>
      </c>
      <c r="AK1463" s="662" t="str">
        <f t="shared" si="154"/>
        <v>LVN</v>
      </c>
      <c r="AL1463" s="662" t="str">
        <f t="shared" si="155"/>
        <v>FRD</v>
      </c>
      <c r="AM1463" s="662" t="str">
        <f t="shared" si="158"/>
        <v>Transit 350 Wagon-XL Sliding RH Door-RWD-12-82.4-~-3.2L-5-X2Y-301A-147.6-25-Diesel-BioDiesel</v>
      </c>
      <c r="AN1463" s="662" t="str">
        <f t="shared" si="156"/>
        <v>2019-LVN-FRD-T35W-005</v>
      </c>
    </row>
    <row r="1464" spans="1:40" s="572" customFormat="1" ht="15">
      <c r="A1464" s="570" t="s">
        <v>2847</v>
      </c>
      <c r="B1464" s="569" t="s">
        <v>2779</v>
      </c>
      <c r="C1464" s="569" t="s">
        <v>280</v>
      </c>
      <c r="D1464" s="580">
        <v>27</v>
      </c>
      <c r="E1464" s="569" t="s">
        <v>1516</v>
      </c>
      <c r="F1464" s="569" t="s">
        <v>1607</v>
      </c>
      <c r="G1464" s="569" t="s">
        <v>271</v>
      </c>
      <c r="H1464" s="569">
        <v>2019</v>
      </c>
      <c r="I1464" s="569" t="s">
        <v>2769</v>
      </c>
      <c r="J1464" s="569" t="s">
        <v>2048</v>
      </c>
      <c r="K1464" s="569" t="s">
        <v>236</v>
      </c>
      <c r="L1464" s="569">
        <v>12</v>
      </c>
      <c r="M1464" s="569">
        <v>0</v>
      </c>
      <c r="N1464" s="569" t="s">
        <v>157</v>
      </c>
      <c r="O1464" s="569">
        <v>4</v>
      </c>
      <c r="P1464" s="569">
        <v>82.4</v>
      </c>
      <c r="Q1464" s="568" t="s">
        <v>157</v>
      </c>
      <c r="R1464" s="569" t="s">
        <v>1259</v>
      </c>
      <c r="S1464" s="569">
        <v>6</v>
      </c>
      <c r="T1464" s="569" t="s">
        <v>2777</v>
      </c>
      <c r="U1464" s="569" t="s">
        <v>434</v>
      </c>
      <c r="V1464" s="569">
        <v>147.6</v>
      </c>
      <c r="W1464" s="569">
        <v>25</v>
      </c>
      <c r="X1464" s="568">
        <v>9000</v>
      </c>
      <c r="Y1464" s="569">
        <v>12</v>
      </c>
      <c r="Z1464" s="581" t="s">
        <v>178</v>
      </c>
      <c r="AA1464" s="581" t="s">
        <v>178</v>
      </c>
      <c r="AB1464" s="585">
        <v>42980</v>
      </c>
      <c r="AC1464" s="585" t="s">
        <v>164</v>
      </c>
      <c r="AD1464" s="585">
        <v>30997.583333333336</v>
      </c>
      <c r="AE1464" s="587">
        <v>0.03</v>
      </c>
      <c r="AF1464" s="661" t="str">
        <f t="shared" si="157"/>
        <v>2019-LVN-FRD-T35W-066-27</v>
      </c>
      <c r="AG1464" s="661" t="str">
        <f>IF(AND($Y1464&gt;=32,(AI1464="I"),(Y1464&lt;&gt;"~"),(COUNTIF($AN$1:$AN1464,$AN1464)=1)),"TRUE","FALSE")</f>
        <v>FALSE</v>
      </c>
      <c r="AH1464" s="661" t="str">
        <f>IF(AND($Y1464&gt;=22, (AI1464&lt;&gt;"I"),(Y1464&lt;&gt;"~"),(COUNTIF($AN$1:$AN1464,$AN1464)=1)),"TRUE","FALSE")</f>
        <v>FALSE</v>
      </c>
      <c r="AI1464" s="661" t="str">
        <f t="shared" si="159"/>
        <v>II</v>
      </c>
      <c r="AJ1464" s="662" t="str">
        <f t="shared" si="153"/>
        <v>T35W-066</v>
      </c>
      <c r="AK1464" s="662" t="str">
        <f t="shared" si="154"/>
        <v>LVN</v>
      </c>
      <c r="AL1464" s="662" t="str">
        <f t="shared" si="155"/>
        <v>FRD</v>
      </c>
      <c r="AM1464" s="662" t="str">
        <f t="shared" si="158"/>
        <v>Transit 350 Wagon-XL Sliding RH Door-RWD-12-82.4-~-3.5L EcoBoost-6-X2Y-301A-147.6-25-Unleaded-Unleaded</v>
      </c>
      <c r="AN1464" s="662" t="str">
        <f t="shared" si="156"/>
        <v>2019-LVN-FRD-T35W-066</v>
      </c>
    </row>
    <row r="1465" spans="1:40" s="572" customFormat="1" ht="15">
      <c r="A1465" s="570" t="s">
        <v>2848</v>
      </c>
      <c r="B1465" s="573" t="s">
        <v>2781</v>
      </c>
      <c r="C1465" s="573" t="s">
        <v>280</v>
      </c>
      <c r="D1465" s="578">
        <v>27</v>
      </c>
      <c r="E1465" s="573" t="s">
        <v>1516</v>
      </c>
      <c r="F1465" s="573" t="s">
        <v>1607</v>
      </c>
      <c r="G1465" s="573" t="s">
        <v>271</v>
      </c>
      <c r="H1465" s="573">
        <v>2019</v>
      </c>
      <c r="I1465" s="573" t="s">
        <v>2769</v>
      </c>
      <c r="J1465" s="573" t="s">
        <v>2048</v>
      </c>
      <c r="K1465" s="573" t="s">
        <v>236</v>
      </c>
      <c r="L1465" s="573">
        <v>12</v>
      </c>
      <c r="M1465" s="573">
        <v>0</v>
      </c>
      <c r="N1465" s="573" t="s">
        <v>157</v>
      </c>
      <c r="O1465" s="573">
        <v>4</v>
      </c>
      <c r="P1465" s="573">
        <v>82.4</v>
      </c>
      <c r="Q1465" s="571" t="s">
        <v>157</v>
      </c>
      <c r="R1465" s="573" t="s">
        <v>682</v>
      </c>
      <c r="S1465" s="573">
        <v>6</v>
      </c>
      <c r="T1465" s="573" t="s">
        <v>2777</v>
      </c>
      <c r="U1465" s="573" t="s">
        <v>434</v>
      </c>
      <c r="V1465" s="573">
        <v>147.6</v>
      </c>
      <c r="W1465" s="573">
        <v>25</v>
      </c>
      <c r="X1465" s="571">
        <v>9000</v>
      </c>
      <c r="Y1465" s="573">
        <v>12</v>
      </c>
      <c r="Z1465" s="579" t="s">
        <v>178</v>
      </c>
      <c r="AA1465" s="579" t="s">
        <v>178</v>
      </c>
      <c r="AB1465" s="584">
        <v>41115</v>
      </c>
      <c r="AC1465" s="584" t="s">
        <v>164</v>
      </c>
      <c r="AD1465" s="584">
        <v>29341.333333333336</v>
      </c>
      <c r="AE1465" s="586">
        <v>0.03</v>
      </c>
      <c r="AF1465" s="661" t="str">
        <f t="shared" si="157"/>
        <v>2019-LVN-FRD-T35W-075-27</v>
      </c>
      <c r="AG1465" s="661" t="str">
        <f>IF(AND($Y1465&gt;=32,(AI1465="I"),(Y1465&lt;&gt;"~"),(COUNTIF($AN$1:$AN1465,$AN1465)=1)),"TRUE","FALSE")</f>
        <v>FALSE</v>
      </c>
      <c r="AH1465" s="661" t="str">
        <f>IF(AND($Y1465&gt;=22, (AI1465&lt;&gt;"I"),(Y1465&lt;&gt;"~"),(COUNTIF($AN$1:$AN1465,$AN1465)=1)),"TRUE","FALSE")</f>
        <v>FALSE</v>
      </c>
      <c r="AI1465" s="661" t="str">
        <f t="shared" si="159"/>
        <v>II</v>
      </c>
      <c r="AJ1465" s="662" t="str">
        <f t="shared" si="153"/>
        <v>T35W-075</v>
      </c>
      <c r="AK1465" s="662" t="str">
        <f t="shared" si="154"/>
        <v>LVN</v>
      </c>
      <c r="AL1465" s="662" t="str">
        <f t="shared" si="155"/>
        <v>FRD</v>
      </c>
      <c r="AM1465" s="662" t="str">
        <f t="shared" si="158"/>
        <v>Transit 350 Wagon-XL Sliding RH Door-RWD-12-82.4-~-3.7L-6-X2Y-301A-147.6-25-Unleaded-Unleaded</v>
      </c>
      <c r="AN1465" s="662" t="str">
        <f t="shared" si="156"/>
        <v>2019-LVN-FRD-T35W-075</v>
      </c>
    </row>
    <row r="1466" spans="1:40" s="572" customFormat="1" ht="15">
      <c r="A1466" s="570" t="s">
        <v>2849</v>
      </c>
      <c r="B1466" s="569" t="s">
        <v>2783</v>
      </c>
      <c r="C1466" s="569" t="s">
        <v>280</v>
      </c>
      <c r="D1466" s="580">
        <v>27</v>
      </c>
      <c r="E1466" s="569" t="s">
        <v>1516</v>
      </c>
      <c r="F1466" s="569" t="s">
        <v>1607</v>
      </c>
      <c r="G1466" s="569" t="s">
        <v>271</v>
      </c>
      <c r="H1466" s="569">
        <v>2019</v>
      </c>
      <c r="I1466" s="569" t="s">
        <v>2769</v>
      </c>
      <c r="J1466" s="569" t="s">
        <v>2048</v>
      </c>
      <c r="K1466" s="569" t="s">
        <v>236</v>
      </c>
      <c r="L1466" s="569">
        <v>12</v>
      </c>
      <c r="M1466" s="569">
        <v>0</v>
      </c>
      <c r="N1466" s="569" t="s">
        <v>157</v>
      </c>
      <c r="O1466" s="569">
        <v>4</v>
      </c>
      <c r="P1466" s="569">
        <v>99.2</v>
      </c>
      <c r="Q1466" s="568" t="s">
        <v>157</v>
      </c>
      <c r="R1466" s="569" t="s">
        <v>1917</v>
      </c>
      <c r="S1466" s="569">
        <v>5</v>
      </c>
      <c r="T1466" s="569" t="s">
        <v>2617</v>
      </c>
      <c r="U1466" s="569" t="s">
        <v>434</v>
      </c>
      <c r="V1466" s="569">
        <v>147.6</v>
      </c>
      <c r="W1466" s="569">
        <v>25</v>
      </c>
      <c r="X1466" s="568">
        <v>9250</v>
      </c>
      <c r="Y1466" s="569">
        <v>12</v>
      </c>
      <c r="Z1466" s="581" t="s">
        <v>728</v>
      </c>
      <c r="AA1466" s="581" t="s">
        <v>1523</v>
      </c>
      <c r="AB1466" s="585">
        <v>46560</v>
      </c>
      <c r="AC1466" s="585" t="s">
        <v>164</v>
      </c>
      <c r="AD1466" s="585">
        <v>36299.208333333336</v>
      </c>
      <c r="AE1466" s="587">
        <v>0.03</v>
      </c>
      <c r="AF1466" s="661" t="str">
        <f t="shared" si="157"/>
        <v>2019-LVN-FRD-T35W-006-27</v>
      </c>
      <c r="AG1466" s="661" t="str">
        <f>IF(AND($Y1466&gt;=32,(AI1466="I"),(Y1466&lt;&gt;"~"),(COUNTIF($AN$1:$AN1466,$AN1466)=1)),"TRUE","FALSE")</f>
        <v>FALSE</v>
      </c>
      <c r="AH1466" s="661" t="str">
        <f>IF(AND($Y1466&gt;=22, (AI1466&lt;&gt;"I"),(Y1466&lt;&gt;"~"),(COUNTIF($AN$1:$AN1466,$AN1466)=1)),"TRUE","FALSE")</f>
        <v>FALSE</v>
      </c>
      <c r="AI1466" s="661" t="str">
        <f t="shared" si="159"/>
        <v>II</v>
      </c>
      <c r="AJ1466" s="662" t="str">
        <f t="shared" si="153"/>
        <v>T35W-006</v>
      </c>
      <c r="AK1466" s="662" t="str">
        <f t="shared" si="154"/>
        <v>LVN</v>
      </c>
      <c r="AL1466" s="662" t="str">
        <f t="shared" si="155"/>
        <v>FRD</v>
      </c>
      <c r="AM1466" s="662" t="str">
        <f t="shared" si="158"/>
        <v>Transit 350 Wagon-XL Sliding RH Door-RWD-12-99.2-~-3.2L-5-X2C-301A-147.6-25-Diesel-BioDiesel</v>
      </c>
      <c r="AN1466" s="662" t="str">
        <f t="shared" si="156"/>
        <v>2019-LVN-FRD-T35W-006</v>
      </c>
    </row>
    <row r="1467" spans="1:40" s="572" customFormat="1" ht="15">
      <c r="A1467" s="570" t="s">
        <v>2850</v>
      </c>
      <c r="B1467" s="573" t="s">
        <v>2785</v>
      </c>
      <c r="C1467" s="573" t="s">
        <v>280</v>
      </c>
      <c r="D1467" s="578">
        <v>27</v>
      </c>
      <c r="E1467" s="573" t="s">
        <v>1516</v>
      </c>
      <c r="F1467" s="573" t="s">
        <v>1607</v>
      </c>
      <c r="G1467" s="573" t="s">
        <v>271</v>
      </c>
      <c r="H1467" s="573">
        <v>2019</v>
      </c>
      <c r="I1467" s="573" t="s">
        <v>2769</v>
      </c>
      <c r="J1467" s="573" t="s">
        <v>2048</v>
      </c>
      <c r="K1467" s="573" t="s">
        <v>236</v>
      </c>
      <c r="L1467" s="573">
        <v>12</v>
      </c>
      <c r="M1467" s="573">
        <v>0</v>
      </c>
      <c r="N1467" s="573" t="s">
        <v>157</v>
      </c>
      <c r="O1467" s="573">
        <v>4</v>
      </c>
      <c r="P1467" s="573">
        <v>99.2</v>
      </c>
      <c r="Q1467" s="571" t="s">
        <v>157</v>
      </c>
      <c r="R1467" s="573" t="s">
        <v>1259</v>
      </c>
      <c r="S1467" s="573">
        <v>6</v>
      </c>
      <c r="T1467" s="573" t="s">
        <v>2617</v>
      </c>
      <c r="U1467" s="573" t="s">
        <v>434</v>
      </c>
      <c r="V1467" s="573">
        <v>147.6</v>
      </c>
      <c r="W1467" s="573">
        <v>25</v>
      </c>
      <c r="X1467" s="571">
        <v>9000</v>
      </c>
      <c r="Y1467" s="573">
        <v>12</v>
      </c>
      <c r="Z1467" s="579" t="s">
        <v>178</v>
      </c>
      <c r="AA1467" s="579" t="s">
        <v>178</v>
      </c>
      <c r="AB1467" s="584">
        <v>44430</v>
      </c>
      <c r="AC1467" s="584" t="s">
        <v>164</v>
      </c>
      <c r="AD1467" s="584">
        <v>34405.916666666672</v>
      </c>
      <c r="AE1467" s="586">
        <v>0.03</v>
      </c>
      <c r="AF1467" s="661" t="str">
        <f t="shared" si="157"/>
        <v>2019-LVN-FRD-T35W-007-27</v>
      </c>
      <c r="AG1467" s="661" t="str">
        <f>IF(AND($Y1467&gt;=32,(AI1467="I"),(Y1467&lt;&gt;"~"),(COUNTIF($AN$1:$AN1467,$AN1467)=1)),"TRUE","FALSE")</f>
        <v>FALSE</v>
      </c>
      <c r="AH1467" s="661" t="str">
        <f>IF(AND($Y1467&gt;=22, (AI1467&lt;&gt;"I"),(Y1467&lt;&gt;"~"),(COUNTIF($AN$1:$AN1467,$AN1467)=1)),"TRUE","FALSE")</f>
        <v>FALSE</v>
      </c>
      <c r="AI1467" s="661" t="str">
        <f t="shared" si="159"/>
        <v>II</v>
      </c>
      <c r="AJ1467" s="662" t="str">
        <f t="shared" si="153"/>
        <v>T35W-007</v>
      </c>
      <c r="AK1467" s="662" t="str">
        <f t="shared" si="154"/>
        <v>LVN</v>
      </c>
      <c r="AL1467" s="662" t="str">
        <f t="shared" si="155"/>
        <v>FRD</v>
      </c>
      <c r="AM1467" s="662" t="str">
        <f t="shared" si="158"/>
        <v>Transit 350 Wagon-XL Sliding RH Door-RWD-12-99.2-~-3.5L EcoBoost-6-X2C-301A-147.6-25-Unleaded-Unleaded</v>
      </c>
      <c r="AN1467" s="662" t="str">
        <f t="shared" si="156"/>
        <v>2019-LVN-FRD-T35W-007</v>
      </c>
    </row>
    <row r="1468" spans="1:40" s="572" customFormat="1" ht="15">
      <c r="A1468" s="570" t="s">
        <v>2851</v>
      </c>
      <c r="B1468" s="569" t="s">
        <v>2787</v>
      </c>
      <c r="C1468" s="569" t="s">
        <v>280</v>
      </c>
      <c r="D1468" s="580">
        <v>27</v>
      </c>
      <c r="E1468" s="569" t="s">
        <v>1516</v>
      </c>
      <c r="F1468" s="569" t="s">
        <v>1607</v>
      </c>
      <c r="G1468" s="569" t="s">
        <v>271</v>
      </c>
      <c r="H1468" s="569">
        <v>2019</v>
      </c>
      <c r="I1468" s="569" t="s">
        <v>2769</v>
      </c>
      <c r="J1468" s="569" t="s">
        <v>2048</v>
      </c>
      <c r="K1468" s="569" t="s">
        <v>236</v>
      </c>
      <c r="L1468" s="569">
        <v>12</v>
      </c>
      <c r="M1468" s="569">
        <v>0</v>
      </c>
      <c r="N1468" s="569" t="s">
        <v>157</v>
      </c>
      <c r="O1468" s="569">
        <v>4</v>
      </c>
      <c r="P1468" s="569">
        <v>99.2</v>
      </c>
      <c r="Q1468" s="568" t="s">
        <v>157</v>
      </c>
      <c r="R1468" s="569" t="s">
        <v>682</v>
      </c>
      <c r="S1468" s="569">
        <v>6</v>
      </c>
      <c r="T1468" s="569" t="s">
        <v>2617</v>
      </c>
      <c r="U1468" s="569" t="s">
        <v>434</v>
      </c>
      <c r="V1468" s="569">
        <v>147.6</v>
      </c>
      <c r="W1468" s="569">
        <v>25</v>
      </c>
      <c r="X1468" s="568">
        <v>9000</v>
      </c>
      <c r="Y1468" s="569">
        <v>12</v>
      </c>
      <c r="Z1468" s="581" t="s">
        <v>178</v>
      </c>
      <c r="AA1468" s="581" t="s">
        <v>178</v>
      </c>
      <c r="AB1468" s="585">
        <v>42565</v>
      </c>
      <c r="AC1468" s="585" t="s">
        <v>164</v>
      </c>
      <c r="AD1468" s="585">
        <v>33933</v>
      </c>
      <c r="AE1468" s="587">
        <v>0.03</v>
      </c>
      <c r="AF1468" s="661" t="str">
        <f t="shared" si="157"/>
        <v>2019-LVN-FRD-T35W-008-27</v>
      </c>
      <c r="AG1468" s="661" t="str">
        <f>IF(AND($Y1468&gt;=32,(AI1468="I"),(Y1468&lt;&gt;"~"),(COUNTIF($AN$1:$AN1468,$AN1468)=1)),"TRUE","FALSE")</f>
        <v>FALSE</v>
      </c>
      <c r="AH1468" s="661" t="str">
        <f>IF(AND($Y1468&gt;=22, (AI1468&lt;&gt;"I"),(Y1468&lt;&gt;"~"),(COUNTIF($AN$1:$AN1468,$AN1468)=1)),"TRUE","FALSE")</f>
        <v>FALSE</v>
      </c>
      <c r="AI1468" s="661" t="str">
        <f t="shared" si="159"/>
        <v>II</v>
      </c>
      <c r="AJ1468" s="662" t="str">
        <f t="shared" si="153"/>
        <v>T35W-008</v>
      </c>
      <c r="AK1468" s="662" t="str">
        <f t="shared" si="154"/>
        <v>LVN</v>
      </c>
      <c r="AL1468" s="662" t="str">
        <f t="shared" si="155"/>
        <v>FRD</v>
      </c>
      <c r="AM1468" s="662" t="str">
        <f t="shared" si="158"/>
        <v>Transit 350 Wagon-XL Sliding RH Door-RWD-12-99.2-~-3.7L-6-X2C-301A-147.6-25-Unleaded-Unleaded</v>
      </c>
      <c r="AN1468" s="662" t="str">
        <f t="shared" si="156"/>
        <v>2019-LVN-FRD-T35W-008</v>
      </c>
    </row>
    <row r="1469" spans="1:40" s="572" customFormat="1" ht="15">
      <c r="A1469" s="570" t="s">
        <v>2852</v>
      </c>
      <c r="B1469" s="573" t="s">
        <v>2789</v>
      </c>
      <c r="C1469" s="573" t="s">
        <v>280</v>
      </c>
      <c r="D1469" s="578">
        <v>27</v>
      </c>
      <c r="E1469" s="573" t="s">
        <v>1516</v>
      </c>
      <c r="F1469" s="573" t="s">
        <v>1607</v>
      </c>
      <c r="G1469" s="573" t="s">
        <v>271</v>
      </c>
      <c r="H1469" s="573">
        <v>2019</v>
      </c>
      <c r="I1469" s="573" t="s">
        <v>2769</v>
      </c>
      <c r="J1469" s="573" t="s">
        <v>2048</v>
      </c>
      <c r="K1469" s="573" t="s">
        <v>236</v>
      </c>
      <c r="L1469" s="573">
        <v>15</v>
      </c>
      <c r="M1469" s="573">
        <v>0</v>
      </c>
      <c r="N1469" s="573" t="s">
        <v>157</v>
      </c>
      <c r="O1469" s="573">
        <v>5</v>
      </c>
      <c r="P1469" s="573">
        <v>107.7</v>
      </c>
      <c r="Q1469" s="571" t="s">
        <v>157</v>
      </c>
      <c r="R1469" s="573" t="s">
        <v>1917</v>
      </c>
      <c r="S1469" s="573">
        <v>5</v>
      </c>
      <c r="T1469" s="573" t="s">
        <v>2599</v>
      </c>
      <c r="U1469" s="573" t="s">
        <v>434</v>
      </c>
      <c r="V1469" s="573">
        <v>147.6</v>
      </c>
      <c r="W1469" s="573">
        <v>25</v>
      </c>
      <c r="X1469" s="571">
        <v>10360</v>
      </c>
      <c r="Y1469" s="569" t="s">
        <v>164</v>
      </c>
      <c r="Z1469" s="579" t="s">
        <v>728</v>
      </c>
      <c r="AA1469" s="579" t="s">
        <v>1523</v>
      </c>
      <c r="AB1469" s="584">
        <v>49160</v>
      </c>
      <c r="AC1469" s="584" t="s">
        <v>164</v>
      </c>
      <c r="AD1469" s="584">
        <v>38675.25</v>
      </c>
      <c r="AE1469" s="586">
        <v>0.03</v>
      </c>
      <c r="AF1469" s="661" t="str">
        <f t="shared" si="157"/>
        <v>2019-LVN-FRD-T35W-010-27</v>
      </c>
      <c r="AG1469" s="661" t="str">
        <f>IF(AND($Y1469&gt;=32,(AI1469="I"),(Y1469&lt;&gt;"~"),(COUNTIF($AN$1:$AN1469,$AN1469)=1)),"TRUE","FALSE")</f>
        <v>FALSE</v>
      </c>
      <c r="AH1469" s="661" t="str">
        <f>IF(AND($Y1469&gt;=22, (AI1469&lt;&gt;"I"),(Y1469&lt;&gt;"~"),(COUNTIF($AN$1:$AN1469,$AN1469)=1)),"TRUE","FALSE")</f>
        <v>FALSE</v>
      </c>
      <c r="AI1469" s="661" t="str">
        <f t="shared" si="159"/>
        <v>N/A</v>
      </c>
      <c r="AJ1469" s="662" t="str">
        <f t="shared" si="153"/>
        <v>T35W-010</v>
      </c>
      <c r="AK1469" s="662" t="str">
        <f t="shared" si="154"/>
        <v>LVN</v>
      </c>
      <c r="AL1469" s="662" t="str">
        <f t="shared" si="155"/>
        <v>FRD</v>
      </c>
      <c r="AM1469" s="662" t="str">
        <f t="shared" si="158"/>
        <v>Transit 350 Wagon-XL Sliding RH Door-RWD-15-107.7-~-3.2L-5-U4X-301A-147.6-25-Diesel-BioDiesel</v>
      </c>
      <c r="AN1469" s="662" t="str">
        <f t="shared" si="156"/>
        <v>2019-LVN-FRD-T35W-010</v>
      </c>
    </row>
    <row r="1470" spans="1:40" s="572" customFormat="1" ht="15">
      <c r="A1470" s="570" t="s">
        <v>2853</v>
      </c>
      <c r="B1470" s="569" t="s">
        <v>2791</v>
      </c>
      <c r="C1470" s="569" t="s">
        <v>280</v>
      </c>
      <c r="D1470" s="580">
        <v>27</v>
      </c>
      <c r="E1470" s="569" t="s">
        <v>1516</v>
      </c>
      <c r="F1470" s="569" t="s">
        <v>1607</v>
      </c>
      <c r="G1470" s="569" t="s">
        <v>271</v>
      </c>
      <c r="H1470" s="569">
        <v>2019</v>
      </c>
      <c r="I1470" s="569" t="s">
        <v>2769</v>
      </c>
      <c r="J1470" s="569" t="s">
        <v>2048</v>
      </c>
      <c r="K1470" s="569" t="s">
        <v>236</v>
      </c>
      <c r="L1470" s="569">
        <v>15</v>
      </c>
      <c r="M1470" s="569">
        <v>0</v>
      </c>
      <c r="N1470" s="569" t="s">
        <v>157</v>
      </c>
      <c r="O1470" s="569">
        <v>5</v>
      </c>
      <c r="P1470" s="569">
        <v>107.7</v>
      </c>
      <c r="Q1470" s="568" t="s">
        <v>157</v>
      </c>
      <c r="R1470" s="569" t="s">
        <v>1259</v>
      </c>
      <c r="S1470" s="569">
        <v>6</v>
      </c>
      <c r="T1470" s="569" t="s">
        <v>2599</v>
      </c>
      <c r="U1470" s="569" t="s">
        <v>434</v>
      </c>
      <c r="V1470" s="569">
        <v>147.6</v>
      </c>
      <c r="W1470" s="569">
        <v>25</v>
      </c>
      <c r="X1470" s="568">
        <v>10360</v>
      </c>
      <c r="Y1470" s="569" t="s">
        <v>164</v>
      </c>
      <c r="Z1470" s="581" t="s">
        <v>178</v>
      </c>
      <c r="AA1470" s="581" t="s">
        <v>178</v>
      </c>
      <c r="AB1470" s="585">
        <v>47030</v>
      </c>
      <c r="AC1470" s="585" t="s">
        <v>164</v>
      </c>
      <c r="AD1470" s="585">
        <v>36781.958333333336</v>
      </c>
      <c r="AE1470" s="587">
        <v>0.03</v>
      </c>
      <c r="AF1470" s="661" t="str">
        <f t="shared" si="157"/>
        <v>2019-LVN-FRD-T35W-011-27</v>
      </c>
      <c r="AG1470" s="661" t="str">
        <f>IF(AND($Y1470&gt;=32,(AI1470="I"),(Y1470&lt;&gt;"~"),(COUNTIF($AN$1:$AN1470,$AN1470)=1)),"TRUE","FALSE")</f>
        <v>FALSE</v>
      </c>
      <c r="AH1470" s="661" t="str">
        <f>IF(AND($Y1470&gt;=22, (AI1470&lt;&gt;"I"),(Y1470&lt;&gt;"~"),(COUNTIF($AN$1:$AN1470,$AN1470)=1)),"TRUE","FALSE")</f>
        <v>FALSE</v>
      </c>
      <c r="AI1470" s="661" t="str">
        <f t="shared" si="159"/>
        <v>N/A</v>
      </c>
      <c r="AJ1470" s="662" t="str">
        <f t="shared" si="153"/>
        <v>T35W-011</v>
      </c>
      <c r="AK1470" s="662" t="str">
        <f t="shared" si="154"/>
        <v>LVN</v>
      </c>
      <c r="AL1470" s="662" t="str">
        <f t="shared" si="155"/>
        <v>FRD</v>
      </c>
      <c r="AM1470" s="662" t="str">
        <f t="shared" si="158"/>
        <v>Transit 350 Wagon-XL Sliding RH Door-RWD-15-107.7-~-3.5L EcoBoost-6-U4X-301A-147.6-25-Unleaded-Unleaded</v>
      </c>
      <c r="AN1470" s="662" t="str">
        <f t="shared" si="156"/>
        <v>2019-LVN-FRD-T35W-011</v>
      </c>
    </row>
    <row r="1471" spans="1:40" s="572" customFormat="1" ht="15">
      <c r="A1471" s="570" t="s">
        <v>2854</v>
      </c>
      <c r="B1471" s="573" t="s">
        <v>2793</v>
      </c>
      <c r="C1471" s="573" t="s">
        <v>280</v>
      </c>
      <c r="D1471" s="578">
        <v>27</v>
      </c>
      <c r="E1471" s="573" t="s">
        <v>1516</v>
      </c>
      <c r="F1471" s="573" t="s">
        <v>1607</v>
      </c>
      <c r="G1471" s="573" t="s">
        <v>271</v>
      </c>
      <c r="H1471" s="573">
        <v>2019</v>
      </c>
      <c r="I1471" s="573" t="s">
        <v>2769</v>
      </c>
      <c r="J1471" s="573" t="s">
        <v>2048</v>
      </c>
      <c r="K1471" s="573" t="s">
        <v>236</v>
      </c>
      <c r="L1471" s="573">
        <v>15</v>
      </c>
      <c r="M1471" s="573">
        <v>0</v>
      </c>
      <c r="N1471" s="573" t="s">
        <v>157</v>
      </c>
      <c r="O1471" s="573">
        <v>5</v>
      </c>
      <c r="P1471" s="573">
        <v>107.7</v>
      </c>
      <c r="Q1471" s="571" t="s">
        <v>157</v>
      </c>
      <c r="R1471" s="573" t="s">
        <v>682</v>
      </c>
      <c r="S1471" s="573">
        <v>6</v>
      </c>
      <c r="T1471" s="573" t="s">
        <v>2599</v>
      </c>
      <c r="U1471" s="573" t="s">
        <v>434</v>
      </c>
      <c r="V1471" s="573">
        <v>147.6</v>
      </c>
      <c r="W1471" s="573">
        <v>25</v>
      </c>
      <c r="X1471" s="571">
        <v>10360</v>
      </c>
      <c r="Y1471" s="569" t="s">
        <v>164</v>
      </c>
      <c r="Z1471" s="579" t="s">
        <v>178</v>
      </c>
      <c r="AA1471" s="579" t="s">
        <v>178</v>
      </c>
      <c r="AB1471" s="584">
        <v>45165</v>
      </c>
      <c r="AC1471" s="584" t="s">
        <v>164</v>
      </c>
      <c r="AD1471" s="584">
        <v>35125.708333333336</v>
      </c>
      <c r="AE1471" s="586">
        <v>0.03</v>
      </c>
      <c r="AF1471" s="661" t="str">
        <f t="shared" si="157"/>
        <v>2019-LVN-FRD-T35W-012-27</v>
      </c>
      <c r="AG1471" s="661" t="str">
        <f>IF(AND($Y1471&gt;=32,(AI1471="I"),(Y1471&lt;&gt;"~"),(COUNTIF($AN$1:$AN1471,$AN1471)=1)),"TRUE","FALSE")</f>
        <v>FALSE</v>
      </c>
      <c r="AH1471" s="661" t="str">
        <f>IF(AND($Y1471&gt;=22, (AI1471&lt;&gt;"I"),(Y1471&lt;&gt;"~"),(COUNTIF($AN$1:$AN1471,$AN1471)=1)),"TRUE","FALSE")</f>
        <v>FALSE</v>
      </c>
      <c r="AI1471" s="661" t="str">
        <f t="shared" si="159"/>
        <v>N/A</v>
      </c>
      <c r="AJ1471" s="662" t="str">
        <f t="shared" si="153"/>
        <v>T35W-012</v>
      </c>
      <c r="AK1471" s="662" t="str">
        <f t="shared" si="154"/>
        <v>LVN</v>
      </c>
      <c r="AL1471" s="662" t="str">
        <f t="shared" si="155"/>
        <v>FRD</v>
      </c>
      <c r="AM1471" s="662" t="str">
        <f t="shared" si="158"/>
        <v>Transit 350 Wagon-XL Sliding RH Door-RWD-15-107.7-~-3.7L-6-U4X-301A-147.6-25-Unleaded-Unleaded</v>
      </c>
      <c r="AN1471" s="662" t="str">
        <f t="shared" si="156"/>
        <v>2019-LVN-FRD-T35W-012</v>
      </c>
    </row>
    <row r="1472" spans="1:40" s="572" customFormat="1" ht="15">
      <c r="A1472" s="570" t="s">
        <v>2855</v>
      </c>
      <c r="B1472" s="569" t="s">
        <v>2795</v>
      </c>
      <c r="C1472" s="569" t="s">
        <v>280</v>
      </c>
      <c r="D1472" s="580">
        <v>27</v>
      </c>
      <c r="E1472" s="569" t="s">
        <v>1516</v>
      </c>
      <c r="F1472" s="569" t="s">
        <v>1607</v>
      </c>
      <c r="G1472" s="569" t="s">
        <v>271</v>
      </c>
      <c r="H1472" s="569">
        <v>2019</v>
      </c>
      <c r="I1472" s="569" t="s">
        <v>2769</v>
      </c>
      <c r="J1472" s="569" t="s">
        <v>2048</v>
      </c>
      <c r="K1472" s="569" t="s">
        <v>236</v>
      </c>
      <c r="L1472" s="569">
        <v>15</v>
      </c>
      <c r="M1472" s="569">
        <v>0</v>
      </c>
      <c r="N1472" s="569" t="s">
        <v>157</v>
      </c>
      <c r="O1472" s="569">
        <v>5</v>
      </c>
      <c r="P1472" s="569">
        <v>108.6</v>
      </c>
      <c r="Q1472" s="568" t="s">
        <v>157</v>
      </c>
      <c r="R1472" s="569" t="s">
        <v>1917</v>
      </c>
      <c r="S1472" s="569">
        <v>5</v>
      </c>
      <c r="T1472" s="569" t="s">
        <v>2770</v>
      </c>
      <c r="U1472" s="569" t="s">
        <v>434</v>
      </c>
      <c r="V1472" s="569">
        <v>147.6</v>
      </c>
      <c r="W1472" s="569">
        <v>25</v>
      </c>
      <c r="X1472" s="568">
        <v>9400</v>
      </c>
      <c r="Y1472" s="569">
        <v>12</v>
      </c>
      <c r="Z1472" s="581" t="s">
        <v>728</v>
      </c>
      <c r="AA1472" s="581" t="s">
        <v>1523</v>
      </c>
      <c r="AB1472" s="585">
        <v>49505</v>
      </c>
      <c r="AC1472" s="585" t="s">
        <v>164</v>
      </c>
      <c r="AD1472" s="585">
        <v>38952.333333333336</v>
      </c>
      <c r="AE1472" s="587">
        <v>0.03</v>
      </c>
      <c r="AF1472" s="661" t="str">
        <f t="shared" si="157"/>
        <v>2019-LVN-FRD-T35W-013-27</v>
      </c>
      <c r="AG1472" s="661" t="str">
        <f>IF(AND($Y1472&gt;=32,(AI1472="I"),(Y1472&lt;&gt;"~"),(COUNTIF($AN$1:$AN1472,$AN1472)=1)),"TRUE","FALSE")</f>
        <v>FALSE</v>
      </c>
      <c r="AH1472" s="661" t="str">
        <f>IF(AND($Y1472&gt;=22, (AI1472&lt;&gt;"I"),(Y1472&lt;&gt;"~"),(COUNTIF($AN$1:$AN1472,$AN1472)=1)),"TRUE","FALSE")</f>
        <v>FALSE</v>
      </c>
      <c r="AI1472" s="661" t="str">
        <f t="shared" si="159"/>
        <v>II</v>
      </c>
      <c r="AJ1472" s="662" t="str">
        <f t="shared" si="153"/>
        <v>T35W-013</v>
      </c>
      <c r="AK1472" s="662" t="str">
        <f t="shared" si="154"/>
        <v>LVN</v>
      </c>
      <c r="AL1472" s="662" t="str">
        <f t="shared" si="155"/>
        <v>FRD</v>
      </c>
      <c r="AM1472" s="662" t="str">
        <f t="shared" si="158"/>
        <v>Transit 350 Wagon-XL Sliding RH Door-RWD-15-108.6-~-3.2L-5-X2X-301A-147.6-25-Diesel-BioDiesel</v>
      </c>
      <c r="AN1472" s="662" t="str">
        <f t="shared" si="156"/>
        <v>2019-LVN-FRD-T35W-013</v>
      </c>
    </row>
    <row r="1473" spans="1:40" s="572" customFormat="1" ht="15">
      <c r="A1473" s="570" t="s">
        <v>2856</v>
      </c>
      <c r="B1473" s="573" t="s">
        <v>2797</v>
      </c>
      <c r="C1473" s="573" t="s">
        <v>280</v>
      </c>
      <c r="D1473" s="578">
        <v>27</v>
      </c>
      <c r="E1473" s="573" t="s">
        <v>1516</v>
      </c>
      <c r="F1473" s="573" t="s">
        <v>1607</v>
      </c>
      <c r="G1473" s="573" t="s">
        <v>271</v>
      </c>
      <c r="H1473" s="573">
        <v>2019</v>
      </c>
      <c r="I1473" s="573" t="s">
        <v>2769</v>
      </c>
      <c r="J1473" s="573" t="s">
        <v>2048</v>
      </c>
      <c r="K1473" s="573" t="s">
        <v>236</v>
      </c>
      <c r="L1473" s="573">
        <v>15</v>
      </c>
      <c r="M1473" s="573">
        <v>0</v>
      </c>
      <c r="N1473" s="573" t="s">
        <v>157</v>
      </c>
      <c r="O1473" s="573">
        <v>5</v>
      </c>
      <c r="P1473" s="573">
        <v>108.6</v>
      </c>
      <c r="Q1473" s="571" t="s">
        <v>157</v>
      </c>
      <c r="R1473" s="573" t="s">
        <v>1259</v>
      </c>
      <c r="S1473" s="573">
        <v>6</v>
      </c>
      <c r="T1473" s="573" t="s">
        <v>2770</v>
      </c>
      <c r="U1473" s="573" t="s">
        <v>434</v>
      </c>
      <c r="V1473" s="573">
        <v>147.6</v>
      </c>
      <c r="W1473" s="573">
        <v>25</v>
      </c>
      <c r="X1473" s="571">
        <v>9150</v>
      </c>
      <c r="Y1473" s="573">
        <v>12</v>
      </c>
      <c r="Z1473" s="579" t="s">
        <v>178</v>
      </c>
      <c r="AA1473" s="579" t="s">
        <v>178</v>
      </c>
      <c r="AB1473" s="584">
        <v>47375</v>
      </c>
      <c r="AC1473" s="584" t="s">
        <v>164</v>
      </c>
      <c r="AD1473" s="584">
        <v>37059.041666666672</v>
      </c>
      <c r="AE1473" s="586">
        <v>0.03</v>
      </c>
      <c r="AF1473" s="661" t="str">
        <f t="shared" si="157"/>
        <v>2019-LVN-FRD-T35W-014-27</v>
      </c>
      <c r="AG1473" s="661" t="str">
        <f>IF(AND($Y1473&gt;=32,(AI1473="I"),(Y1473&lt;&gt;"~"),(COUNTIF($AN$1:$AN1473,$AN1473)=1)),"TRUE","FALSE")</f>
        <v>FALSE</v>
      </c>
      <c r="AH1473" s="661" t="str">
        <f>IF(AND($Y1473&gt;=22, (AI1473&lt;&gt;"I"),(Y1473&lt;&gt;"~"),(COUNTIF($AN$1:$AN1473,$AN1473)=1)),"TRUE","FALSE")</f>
        <v>FALSE</v>
      </c>
      <c r="AI1473" s="661" t="str">
        <f t="shared" si="159"/>
        <v>II</v>
      </c>
      <c r="AJ1473" s="662" t="str">
        <f t="shared" si="153"/>
        <v>T35W-014</v>
      </c>
      <c r="AK1473" s="662" t="str">
        <f t="shared" si="154"/>
        <v>LVN</v>
      </c>
      <c r="AL1473" s="662" t="str">
        <f t="shared" si="155"/>
        <v>FRD</v>
      </c>
      <c r="AM1473" s="662" t="str">
        <f t="shared" si="158"/>
        <v>Transit 350 Wagon-XL Sliding RH Door-RWD-15-108.6-~-3.5L EcoBoost-6-X2X-301A-147.6-25-Unleaded-Unleaded</v>
      </c>
      <c r="AN1473" s="662" t="str">
        <f t="shared" si="156"/>
        <v>2019-LVN-FRD-T35W-014</v>
      </c>
    </row>
    <row r="1474" spans="1:40" s="572" customFormat="1" ht="15">
      <c r="A1474" s="570" t="s">
        <v>2857</v>
      </c>
      <c r="B1474" s="569" t="s">
        <v>2799</v>
      </c>
      <c r="C1474" s="569" t="s">
        <v>280</v>
      </c>
      <c r="D1474" s="580">
        <v>27</v>
      </c>
      <c r="E1474" s="569" t="s">
        <v>1516</v>
      </c>
      <c r="F1474" s="569" t="s">
        <v>1607</v>
      </c>
      <c r="G1474" s="569" t="s">
        <v>271</v>
      </c>
      <c r="H1474" s="569">
        <v>2019</v>
      </c>
      <c r="I1474" s="569" t="s">
        <v>2769</v>
      </c>
      <c r="J1474" s="569" t="s">
        <v>2048</v>
      </c>
      <c r="K1474" s="569" t="s">
        <v>236</v>
      </c>
      <c r="L1474" s="569">
        <v>15</v>
      </c>
      <c r="M1474" s="569">
        <v>0</v>
      </c>
      <c r="N1474" s="569" t="s">
        <v>157</v>
      </c>
      <c r="O1474" s="569">
        <v>5</v>
      </c>
      <c r="P1474" s="569">
        <v>108.6</v>
      </c>
      <c r="Q1474" s="568" t="s">
        <v>157</v>
      </c>
      <c r="R1474" s="569" t="s">
        <v>682</v>
      </c>
      <c r="S1474" s="569">
        <v>6</v>
      </c>
      <c r="T1474" s="569" t="s">
        <v>2770</v>
      </c>
      <c r="U1474" s="569" t="s">
        <v>434</v>
      </c>
      <c r="V1474" s="569">
        <v>147.6</v>
      </c>
      <c r="W1474" s="569">
        <v>25</v>
      </c>
      <c r="X1474" s="568">
        <v>9150</v>
      </c>
      <c r="Y1474" s="569">
        <v>12</v>
      </c>
      <c r="Z1474" s="581" t="s">
        <v>178</v>
      </c>
      <c r="AA1474" s="581" t="s">
        <v>178</v>
      </c>
      <c r="AB1474" s="585">
        <v>45510</v>
      </c>
      <c r="AC1474" s="585" t="s">
        <v>164</v>
      </c>
      <c r="AD1474" s="585">
        <v>35402.791666666672</v>
      </c>
      <c r="AE1474" s="587">
        <v>0.03</v>
      </c>
      <c r="AF1474" s="661" t="str">
        <f t="shared" si="157"/>
        <v>2019-LVN-FRD-T35W-015-27</v>
      </c>
      <c r="AG1474" s="661" t="str">
        <f>IF(AND($Y1474&gt;=32,(AI1474="I"),(Y1474&lt;&gt;"~"),(COUNTIF($AN$1:$AN1474,$AN1474)=1)),"TRUE","FALSE")</f>
        <v>FALSE</v>
      </c>
      <c r="AH1474" s="661" t="str">
        <f>IF(AND($Y1474&gt;=22, (AI1474&lt;&gt;"I"),(Y1474&lt;&gt;"~"),(COUNTIF($AN$1:$AN1474,$AN1474)=1)),"TRUE","FALSE")</f>
        <v>FALSE</v>
      </c>
      <c r="AI1474" s="661" t="str">
        <f t="shared" si="159"/>
        <v>II</v>
      </c>
      <c r="AJ1474" s="662" t="str">
        <f t="shared" si="153"/>
        <v>T35W-015</v>
      </c>
      <c r="AK1474" s="662" t="str">
        <f t="shared" si="154"/>
        <v>LVN</v>
      </c>
      <c r="AL1474" s="662" t="str">
        <f t="shared" si="155"/>
        <v>FRD</v>
      </c>
      <c r="AM1474" s="662" t="str">
        <f t="shared" si="158"/>
        <v>Transit 350 Wagon-XL Sliding RH Door-RWD-15-108.6-~-3.7L-6-X2X-301A-147.6-25-Unleaded-Unleaded</v>
      </c>
      <c r="AN1474" s="662" t="str">
        <f t="shared" si="156"/>
        <v>2019-LVN-FRD-T35W-015</v>
      </c>
    </row>
    <row r="1475" spans="1:40" s="572" customFormat="1" ht="15">
      <c r="A1475" s="570" t="s">
        <v>2858</v>
      </c>
      <c r="B1475" s="573" t="s">
        <v>2801</v>
      </c>
      <c r="C1475" s="573" t="s">
        <v>280</v>
      </c>
      <c r="D1475" s="578">
        <v>27</v>
      </c>
      <c r="E1475" s="573" t="s">
        <v>1516</v>
      </c>
      <c r="F1475" s="573" t="s">
        <v>1607</v>
      </c>
      <c r="G1475" s="573" t="s">
        <v>271</v>
      </c>
      <c r="H1475" s="573">
        <v>2019</v>
      </c>
      <c r="I1475" s="573" t="s">
        <v>2769</v>
      </c>
      <c r="J1475" s="573" t="s">
        <v>2048</v>
      </c>
      <c r="K1475" s="573" t="s">
        <v>236</v>
      </c>
      <c r="L1475" s="573">
        <v>15</v>
      </c>
      <c r="M1475" s="573">
        <v>0</v>
      </c>
      <c r="N1475" s="573" t="s">
        <v>157</v>
      </c>
      <c r="O1475" s="573">
        <v>5</v>
      </c>
      <c r="P1475" s="573">
        <v>82.4</v>
      </c>
      <c r="Q1475" s="571" t="s">
        <v>157</v>
      </c>
      <c r="R1475" s="573" t="s">
        <v>1917</v>
      </c>
      <c r="S1475" s="573">
        <v>5</v>
      </c>
      <c r="T1475" s="573" t="s">
        <v>2777</v>
      </c>
      <c r="U1475" s="573" t="s">
        <v>434</v>
      </c>
      <c r="V1475" s="573">
        <v>147.6</v>
      </c>
      <c r="W1475" s="573">
        <v>25</v>
      </c>
      <c r="X1475" s="571">
        <v>9250</v>
      </c>
      <c r="Y1475" s="573">
        <v>12</v>
      </c>
      <c r="Z1475" s="579" t="s">
        <v>728</v>
      </c>
      <c r="AA1475" s="579" t="s">
        <v>1523</v>
      </c>
      <c r="AB1475" s="584">
        <v>46605</v>
      </c>
      <c r="AC1475" s="584" t="s">
        <v>164</v>
      </c>
      <c r="AD1475" s="584">
        <v>34219</v>
      </c>
      <c r="AE1475" s="586">
        <v>0.03</v>
      </c>
      <c r="AF1475" s="661" t="str">
        <f t="shared" si="157"/>
        <v>2019-LVN-FRD-T35W-067-27</v>
      </c>
      <c r="AG1475" s="661" t="str">
        <f>IF(AND($Y1475&gt;=32,(AI1475="I"),(Y1475&lt;&gt;"~"),(COUNTIF($AN$1:$AN1475,$AN1475)=1)),"TRUE","FALSE")</f>
        <v>FALSE</v>
      </c>
      <c r="AH1475" s="661" t="str">
        <f>IF(AND($Y1475&gt;=22, (AI1475&lt;&gt;"I"),(Y1475&lt;&gt;"~"),(COUNTIF($AN$1:$AN1475,$AN1475)=1)),"TRUE","FALSE")</f>
        <v>FALSE</v>
      </c>
      <c r="AI1475" s="661" t="str">
        <f t="shared" si="159"/>
        <v>II</v>
      </c>
      <c r="AJ1475" s="662" t="str">
        <f t="shared" ref="AJ1475:AJ1538" si="160">MID(A1475,14,8)</f>
        <v>T35W-067</v>
      </c>
      <c r="AK1475" s="662" t="str">
        <f t="shared" ref="AK1475:AK1538" si="161">MID(A1475,6,3)</f>
        <v>LVN</v>
      </c>
      <c r="AL1475" s="662" t="str">
        <f t="shared" ref="AL1475:AL1538" si="162">MID(A1475,10,3)</f>
        <v>FRD</v>
      </c>
      <c r="AM1475" s="662" t="str">
        <f t="shared" si="158"/>
        <v>Transit 350 Wagon-XL Sliding RH Door-RWD-15-82.4-~-3.2L-5-X2Y-301A-147.6-25-Diesel-BioDiesel</v>
      </c>
      <c r="AN1475" s="662" t="str">
        <f t="shared" ref="AN1475:AN1538" si="163">LEFT(A1475,21)</f>
        <v>2019-LVN-FRD-T35W-067</v>
      </c>
    </row>
    <row r="1476" spans="1:40" s="572" customFormat="1" ht="15">
      <c r="A1476" s="570" t="s">
        <v>2859</v>
      </c>
      <c r="B1476" s="569" t="s">
        <v>2803</v>
      </c>
      <c r="C1476" s="569" t="s">
        <v>280</v>
      </c>
      <c r="D1476" s="580">
        <v>27</v>
      </c>
      <c r="E1476" s="569" t="s">
        <v>1516</v>
      </c>
      <c r="F1476" s="569" t="s">
        <v>1607</v>
      </c>
      <c r="G1476" s="569" t="s">
        <v>271</v>
      </c>
      <c r="H1476" s="569">
        <v>2019</v>
      </c>
      <c r="I1476" s="569" t="s">
        <v>2769</v>
      </c>
      <c r="J1476" s="569" t="s">
        <v>2048</v>
      </c>
      <c r="K1476" s="569" t="s">
        <v>236</v>
      </c>
      <c r="L1476" s="569">
        <v>15</v>
      </c>
      <c r="M1476" s="569">
        <v>0</v>
      </c>
      <c r="N1476" s="569" t="s">
        <v>157</v>
      </c>
      <c r="O1476" s="569">
        <v>5</v>
      </c>
      <c r="P1476" s="569">
        <v>82.4</v>
      </c>
      <c r="Q1476" s="568" t="s">
        <v>157</v>
      </c>
      <c r="R1476" s="569" t="s">
        <v>1259</v>
      </c>
      <c r="S1476" s="569">
        <v>6</v>
      </c>
      <c r="T1476" s="569" t="s">
        <v>2777</v>
      </c>
      <c r="U1476" s="569" t="s">
        <v>434</v>
      </c>
      <c r="V1476" s="569">
        <v>147.6</v>
      </c>
      <c r="W1476" s="569">
        <v>25</v>
      </c>
      <c r="X1476" s="568">
        <v>9000</v>
      </c>
      <c r="Y1476" s="569">
        <v>12</v>
      </c>
      <c r="Z1476" s="581" t="s">
        <v>178</v>
      </c>
      <c r="AA1476" s="581" t="s">
        <v>178</v>
      </c>
      <c r="AB1476" s="585">
        <v>44475</v>
      </c>
      <c r="AC1476" s="585" t="s">
        <v>164</v>
      </c>
      <c r="AD1476" s="585">
        <v>32325.708333333336</v>
      </c>
      <c r="AE1476" s="587">
        <v>0.03</v>
      </c>
      <c r="AF1476" s="661" t="str">
        <f t="shared" si="157"/>
        <v>2019-LVN-FRD-T35W-017-27</v>
      </c>
      <c r="AG1476" s="661" t="str">
        <f>IF(AND($Y1476&gt;=32,(AI1476="I"),(Y1476&lt;&gt;"~"),(COUNTIF($AN$1:$AN1476,$AN1476)=1)),"TRUE","FALSE")</f>
        <v>FALSE</v>
      </c>
      <c r="AH1476" s="661" t="str">
        <f>IF(AND($Y1476&gt;=22, (AI1476&lt;&gt;"I"),(Y1476&lt;&gt;"~"),(COUNTIF($AN$1:$AN1476,$AN1476)=1)),"TRUE","FALSE")</f>
        <v>FALSE</v>
      </c>
      <c r="AI1476" s="661" t="str">
        <f t="shared" si="159"/>
        <v>II</v>
      </c>
      <c r="AJ1476" s="662" t="str">
        <f t="shared" si="160"/>
        <v>T35W-017</v>
      </c>
      <c r="AK1476" s="662" t="str">
        <f t="shared" si="161"/>
        <v>LVN</v>
      </c>
      <c r="AL1476" s="662" t="str">
        <f t="shared" si="162"/>
        <v>FRD</v>
      </c>
      <c r="AM1476" s="662" t="str">
        <f t="shared" si="158"/>
        <v>Transit 350 Wagon-XL Sliding RH Door-RWD-15-82.4-~-3.5L EcoBoost-6-X2Y-301A-147.6-25-Unleaded-Unleaded</v>
      </c>
      <c r="AN1476" s="662" t="str">
        <f t="shared" si="163"/>
        <v>2019-LVN-FRD-T35W-017</v>
      </c>
    </row>
    <row r="1477" spans="1:40" s="572" customFormat="1" ht="15">
      <c r="A1477" s="570" t="s">
        <v>2860</v>
      </c>
      <c r="B1477" s="573" t="s">
        <v>2805</v>
      </c>
      <c r="C1477" s="573" t="s">
        <v>280</v>
      </c>
      <c r="D1477" s="578">
        <v>27</v>
      </c>
      <c r="E1477" s="573" t="s">
        <v>1516</v>
      </c>
      <c r="F1477" s="573" t="s">
        <v>1607</v>
      </c>
      <c r="G1477" s="573" t="s">
        <v>271</v>
      </c>
      <c r="H1477" s="573">
        <v>2019</v>
      </c>
      <c r="I1477" s="573" t="s">
        <v>2769</v>
      </c>
      <c r="J1477" s="573" t="s">
        <v>2048</v>
      </c>
      <c r="K1477" s="573" t="s">
        <v>236</v>
      </c>
      <c r="L1477" s="573">
        <v>15</v>
      </c>
      <c r="M1477" s="573">
        <v>0</v>
      </c>
      <c r="N1477" s="573" t="s">
        <v>157</v>
      </c>
      <c r="O1477" s="573">
        <v>5</v>
      </c>
      <c r="P1477" s="573">
        <v>82.4</v>
      </c>
      <c r="Q1477" s="571" t="s">
        <v>157</v>
      </c>
      <c r="R1477" s="573" t="s">
        <v>682</v>
      </c>
      <c r="S1477" s="573">
        <v>6</v>
      </c>
      <c r="T1477" s="573" t="s">
        <v>2777</v>
      </c>
      <c r="U1477" s="573" t="s">
        <v>434</v>
      </c>
      <c r="V1477" s="573">
        <v>147.6</v>
      </c>
      <c r="W1477" s="573">
        <v>25</v>
      </c>
      <c r="X1477" s="571">
        <v>9000</v>
      </c>
      <c r="Y1477" s="573">
        <v>12</v>
      </c>
      <c r="Z1477" s="579" t="s">
        <v>178</v>
      </c>
      <c r="AA1477" s="579" t="s">
        <v>178</v>
      </c>
      <c r="AB1477" s="584">
        <v>42610</v>
      </c>
      <c r="AC1477" s="584" t="s">
        <v>164</v>
      </c>
      <c r="AD1477" s="584">
        <v>30669.458333333336</v>
      </c>
      <c r="AE1477" s="586">
        <v>0.03</v>
      </c>
      <c r="AF1477" s="661" t="str">
        <f t="shared" si="157"/>
        <v>2019-LVN-FRD-T35W-068-27</v>
      </c>
      <c r="AG1477" s="661" t="str">
        <f>IF(AND($Y1477&gt;=32,(AI1477="I"),(Y1477&lt;&gt;"~"),(COUNTIF($AN$1:$AN1477,$AN1477)=1)),"TRUE","FALSE")</f>
        <v>FALSE</v>
      </c>
      <c r="AH1477" s="661" t="str">
        <f>IF(AND($Y1477&gt;=22, (AI1477&lt;&gt;"I"),(Y1477&lt;&gt;"~"),(COUNTIF($AN$1:$AN1477,$AN1477)=1)),"TRUE","FALSE")</f>
        <v>FALSE</v>
      </c>
      <c r="AI1477" s="661" t="str">
        <f t="shared" si="159"/>
        <v>II</v>
      </c>
      <c r="AJ1477" s="662" t="str">
        <f t="shared" si="160"/>
        <v>T35W-068</v>
      </c>
      <c r="AK1477" s="662" t="str">
        <f t="shared" si="161"/>
        <v>LVN</v>
      </c>
      <c r="AL1477" s="662" t="str">
        <f t="shared" si="162"/>
        <v>FRD</v>
      </c>
      <c r="AM1477" s="662" t="str">
        <f t="shared" si="158"/>
        <v>Transit 350 Wagon-XL Sliding RH Door-RWD-15-82.4-~-3.7L-6-X2Y-301A-147.6-25-Unleaded-Unleaded</v>
      </c>
      <c r="AN1477" s="662" t="str">
        <f t="shared" si="163"/>
        <v>2019-LVN-FRD-T35W-068</v>
      </c>
    </row>
    <row r="1478" spans="1:40" s="572" customFormat="1" ht="15">
      <c r="A1478" s="570" t="s">
        <v>2861</v>
      </c>
      <c r="B1478" s="569" t="s">
        <v>2807</v>
      </c>
      <c r="C1478" s="569" t="s">
        <v>280</v>
      </c>
      <c r="D1478" s="580">
        <v>27</v>
      </c>
      <c r="E1478" s="569" t="s">
        <v>1516</v>
      </c>
      <c r="F1478" s="569" t="s">
        <v>1607</v>
      </c>
      <c r="G1478" s="569" t="s">
        <v>271</v>
      </c>
      <c r="H1478" s="569">
        <v>2019</v>
      </c>
      <c r="I1478" s="569" t="s">
        <v>2769</v>
      </c>
      <c r="J1478" s="569" t="s">
        <v>2048</v>
      </c>
      <c r="K1478" s="569" t="s">
        <v>236</v>
      </c>
      <c r="L1478" s="569">
        <v>15</v>
      </c>
      <c r="M1478" s="569">
        <v>0</v>
      </c>
      <c r="N1478" s="569" t="s">
        <v>157</v>
      </c>
      <c r="O1478" s="569">
        <v>5</v>
      </c>
      <c r="P1478" s="569">
        <v>99.2</v>
      </c>
      <c r="Q1478" s="568" t="s">
        <v>157</v>
      </c>
      <c r="R1478" s="569" t="s">
        <v>1917</v>
      </c>
      <c r="S1478" s="569">
        <v>5</v>
      </c>
      <c r="T1478" s="569" t="s">
        <v>2617</v>
      </c>
      <c r="U1478" s="569" t="s">
        <v>434</v>
      </c>
      <c r="V1478" s="569">
        <v>147.6</v>
      </c>
      <c r="W1478" s="569">
        <v>25</v>
      </c>
      <c r="X1478" s="568">
        <v>9400</v>
      </c>
      <c r="Y1478" s="569">
        <v>12</v>
      </c>
      <c r="Z1478" s="581" t="s">
        <v>728</v>
      </c>
      <c r="AA1478" s="581" t="s">
        <v>1523</v>
      </c>
      <c r="AB1478" s="585">
        <v>48055</v>
      </c>
      <c r="AC1478" s="585" t="s">
        <v>164</v>
      </c>
      <c r="AD1478" s="585">
        <v>37627.333333333336</v>
      </c>
      <c r="AE1478" s="587">
        <v>0.03</v>
      </c>
      <c r="AF1478" s="661" t="str">
        <f t="shared" si="157"/>
        <v>2019-LVN-FRD-T35W-018-27</v>
      </c>
      <c r="AG1478" s="661" t="str">
        <f>IF(AND($Y1478&gt;=32,(AI1478="I"),(Y1478&lt;&gt;"~"),(COUNTIF($AN$1:$AN1478,$AN1478)=1)),"TRUE","FALSE")</f>
        <v>FALSE</v>
      </c>
      <c r="AH1478" s="661" t="str">
        <f>IF(AND($Y1478&gt;=22, (AI1478&lt;&gt;"I"),(Y1478&lt;&gt;"~"),(COUNTIF($AN$1:$AN1478,$AN1478)=1)),"TRUE","FALSE")</f>
        <v>FALSE</v>
      </c>
      <c r="AI1478" s="661" t="str">
        <f t="shared" si="159"/>
        <v>II</v>
      </c>
      <c r="AJ1478" s="662" t="str">
        <f t="shared" si="160"/>
        <v>T35W-018</v>
      </c>
      <c r="AK1478" s="662" t="str">
        <f t="shared" si="161"/>
        <v>LVN</v>
      </c>
      <c r="AL1478" s="662" t="str">
        <f t="shared" si="162"/>
        <v>FRD</v>
      </c>
      <c r="AM1478" s="662" t="str">
        <f t="shared" si="158"/>
        <v>Transit 350 Wagon-XL Sliding RH Door-RWD-15-99.2-~-3.2L-5-X2C-301A-147.6-25-Diesel-BioDiesel</v>
      </c>
      <c r="AN1478" s="662" t="str">
        <f t="shared" si="163"/>
        <v>2019-LVN-FRD-T35W-018</v>
      </c>
    </row>
    <row r="1479" spans="1:40" s="572" customFormat="1" ht="15">
      <c r="A1479" s="570" t="s">
        <v>2862</v>
      </c>
      <c r="B1479" s="573" t="s">
        <v>2809</v>
      </c>
      <c r="C1479" s="573" t="s">
        <v>280</v>
      </c>
      <c r="D1479" s="578">
        <v>27</v>
      </c>
      <c r="E1479" s="573" t="s">
        <v>1516</v>
      </c>
      <c r="F1479" s="573" t="s">
        <v>1607</v>
      </c>
      <c r="G1479" s="573" t="s">
        <v>271</v>
      </c>
      <c r="H1479" s="573">
        <v>2019</v>
      </c>
      <c r="I1479" s="573" t="s">
        <v>2769</v>
      </c>
      <c r="J1479" s="573" t="s">
        <v>2048</v>
      </c>
      <c r="K1479" s="573" t="s">
        <v>236</v>
      </c>
      <c r="L1479" s="573">
        <v>15</v>
      </c>
      <c r="M1479" s="573">
        <v>0</v>
      </c>
      <c r="N1479" s="573" t="s">
        <v>157</v>
      </c>
      <c r="O1479" s="573">
        <v>5</v>
      </c>
      <c r="P1479" s="573">
        <v>99.2</v>
      </c>
      <c r="Q1479" s="571" t="s">
        <v>157</v>
      </c>
      <c r="R1479" s="573" t="s">
        <v>1259</v>
      </c>
      <c r="S1479" s="573">
        <v>6</v>
      </c>
      <c r="T1479" s="573" t="s">
        <v>2617</v>
      </c>
      <c r="U1479" s="573" t="s">
        <v>434</v>
      </c>
      <c r="V1479" s="573">
        <v>147.6</v>
      </c>
      <c r="W1479" s="573">
        <v>25</v>
      </c>
      <c r="X1479" s="571">
        <v>9150</v>
      </c>
      <c r="Y1479" s="573">
        <v>12</v>
      </c>
      <c r="Z1479" s="579" t="s">
        <v>178</v>
      </c>
      <c r="AA1479" s="579" t="s">
        <v>178</v>
      </c>
      <c r="AB1479" s="584">
        <v>45925</v>
      </c>
      <c r="AC1479" s="584" t="s">
        <v>164</v>
      </c>
      <c r="AD1479" s="584">
        <v>35734.041666666672</v>
      </c>
      <c r="AE1479" s="586">
        <v>0.03</v>
      </c>
      <c r="AF1479" s="661" t="str">
        <f t="shared" si="157"/>
        <v>2019-LVN-FRD-T35W-019-27</v>
      </c>
      <c r="AG1479" s="661" t="str">
        <f>IF(AND($Y1479&gt;=32,(AI1479="I"),(Y1479&lt;&gt;"~"),(COUNTIF($AN$1:$AN1479,$AN1479)=1)),"TRUE","FALSE")</f>
        <v>FALSE</v>
      </c>
      <c r="AH1479" s="661" t="str">
        <f>IF(AND($Y1479&gt;=22, (AI1479&lt;&gt;"I"),(Y1479&lt;&gt;"~"),(COUNTIF($AN$1:$AN1479,$AN1479)=1)),"TRUE","FALSE")</f>
        <v>FALSE</v>
      </c>
      <c r="AI1479" s="661" t="str">
        <f t="shared" si="159"/>
        <v>II</v>
      </c>
      <c r="AJ1479" s="662" t="str">
        <f t="shared" si="160"/>
        <v>T35W-019</v>
      </c>
      <c r="AK1479" s="662" t="str">
        <f t="shared" si="161"/>
        <v>LVN</v>
      </c>
      <c r="AL1479" s="662" t="str">
        <f t="shared" si="162"/>
        <v>FRD</v>
      </c>
      <c r="AM1479" s="662" t="str">
        <f t="shared" si="158"/>
        <v>Transit 350 Wagon-XL Sliding RH Door-RWD-15-99.2-~-3.5L EcoBoost-6-X2C-301A-147.6-25-Unleaded-Unleaded</v>
      </c>
      <c r="AN1479" s="662" t="str">
        <f t="shared" si="163"/>
        <v>2019-LVN-FRD-T35W-019</v>
      </c>
    </row>
    <row r="1480" spans="1:40" s="572" customFormat="1" ht="15">
      <c r="A1480" s="570" t="s">
        <v>2863</v>
      </c>
      <c r="B1480" s="569" t="s">
        <v>2811</v>
      </c>
      <c r="C1480" s="569" t="s">
        <v>280</v>
      </c>
      <c r="D1480" s="580">
        <v>27</v>
      </c>
      <c r="E1480" s="569" t="s">
        <v>1516</v>
      </c>
      <c r="F1480" s="569" t="s">
        <v>1607</v>
      </c>
      <c r="G1480" s="569" t="s">
        <v>271</v>
      </c>
      <c r="H1480" s="569">
        <v>2019</v>
      </c>
      <c r="I1480" s="569" t="s">
        <v>2769</v>
      </c>
      <c r="J1480" s="569" t="s">
        <v>2048</v>
      </c>
      <c r="K1480" s="569" t="s">
        <v>236</v>
      </c>
      <c r="L1480" s="569">
        <v>15</v>
      </c>
      <c r="M1480" s="569">
        <v>0</v>
      </c>
      <c r="N1480" s="569" t="s">
        <v>157</v>
      </c>
      <c r="O1480" s="569">
        <v>5</v>
      </c>
      <c r="P1480" s="569">
        <v>99.2</v>
      </c>
      <c r="Q1480" s="568" t="s">
        <v>157</v>
      </c>
      <c r="R1480" s="569" t="s">
        <v>682</v>
      </c>
      <c r="S1480" s="569">
        <v>6</v>
      </c>
      <c r="T1480" s="569" t="s">
        <v>2617</v>
      </c>
      <c r="U1480" s="569" t="s">
        <v>434</v>
      </c>
      <c r="V1480" s="569">
        <v>147.6</v>
      </c>
      <c r="W1480" s="569">
        <v>25</v>
      </c>
      <c r="X1480" s="568">
        <v>9150</v>
      </c>
      <c r="Y1480" s="569">
        <v>12</v>
      </c>
      <c r="Z1480" s="581" t="s">
        <v>178</v>
      </c>
      <c r="AA1480" s="581" t="s">
        <v>178</v>
      </c>
      <c r="AB1480" s="585">
        <v>44060</v>
      </c>
      <c r="AC1480" s="585" t="s">
        <v>164</v>
      </c>
      <c r="AD1480" s="585">
        <v>34077.791666666672</v>
      </c>
      <c r="AE1480" s="587">
        <v>0.03</v>
      </c>
      <c r="AF1480" s="661" t="str">
        <f t="shared" ref="AF1480:AF1543" si="164">A1480</f>
        <v>2019-LVN-FRD-T35W-020-27</v>
      </c>
      <c r="AG1480" s="661" t="str">
        <f>IF(AND($Y1480&gt;=32,(AI1480="I"),(Y1480&lt;&gt;"~"),(COUNTIF($AN$1:$AN1480,$AN1480)=1)),"TRUE","FALSE")</f>
        <v>FALSE</v>
      </c>
      <c r="AH1480" s="661" t="str">
        <f>IF(AND($Y1480&gt;=22, (AI1480&lt;&gt;"I"),(Y1480&lt;&gt;"~"),(COUNTIF($AN$1:$AN1480,$AN1480)=1)),"TRUE","FALSE")</f>
        <v>FALSE</v>
      </c>
      <c r="AI1480" s="661" t="str">
        <f t="shared" si="159"/>
        <v>II</v>
      </c>
      <c r="AJ1480" s="662" t="str">
        <f t="shared" si="160"/>
        <v>T35W-020</v>
      </c>
      <c r="AK1480" s="662" t="str">
        <f t="shared" si="161"/>
        <v>LVN</v>
      </c>
      <c r="AL1480" s="662" t="str">
        <f t="shared" si="162"/>
        <v>FRD</v>
      </c>
      <c r="AM1480" s="662" t="str">
        <f t="shared" si="158"/>
        <v>Transit 350 Wagon-XL Sliding RH Door-RWD-15-99.2-~-3.7L-6-X2C-301A-147.6-25-Unleaded-Unleaded</v>
      </c>
      <c r="AN1480" s="662" t="str">
        <f t="shared" si="163"/>
        <v>2019-LVN-FRD-T35W-020</v>
      </c>
    </row>
    <row r="1481" spans="1:40" s="572" customFormat="1" ht="15">
      <c r="A1481" s="570" t="s">
        <v>2864</v>
      </c>
      <c r="B1481" s="573" t="s">
        <v>2865</v>
      </c>
      <c r="C1481" s="573" t="s">
        <v>269</v>
      </c>
      <c r="D1481" s="578" t="s">
        <v>270</v>
      </c>
      <c r="E1481" s="573" t="s">
        <v>1516</v>
      </c>
      <c r="F1481" s="573" t="s">
        <v>1607</v>
      </c>
      <c r="G1481" s="573" t="s">
        <v>271</v>
      </c>
      <c r="H1481" s="573">
        <v>2019</v>
      </c>
      <c r="I1481" s="573" t="s">
        <v>2769</v>
      </c>
      <c r="J1481" s="573" t="s">
        <v>2086</v>
      </c>
      <c r="K1481" s="573" t="s">
        <v>236</v>
      </c>
      <c r="L1481" s="573">
        <v>12</v>
      </c>
      <c r="M1481" s="573">
        <v>0</v>
      </c>
      <c r="N1481" s="573" t="s">
        <v>157</v>
      </c>
      <c r="O1481" s="573">
        <v>4</v>
      </c>
      <c r="P1481" s="573">
        <v>82.4</v>
      </c>
      <c r="Q1481" s="571" t="s">
        <v>157</v>
      </c>
      <c r="R1481" s="573" t="s">
        <v>1917</v>
      </c>
      <c r="S1481" s="573">
        <v>5</v>
      </c>
      <c r="T1481" s="573" t="s">
        <v>2866</v>
      </c>
      <c r="U1481" s="573" t="s">
        <v>434</v>
      </c>
      <c r="V1481" s="573">
        <v>147.6</v>
      </c>
      <c r="W1481" s="573">
        <v>25</v>
      </c>
      <c r="X1481" s="571">
        <v>9250</v>
      </c>
      <c r="Y1481" s="573">
        <v>12</v>
      </c>
      <c r="Z1481" s="579" t="s">
        <v>728</v>
      </c>
      <c r="AA1481" s="579" t="s">
        <v>1523</v>
      </c>
      <c r="AB1481" s="584">
        <v>44960</v>
      </c>
      <c r="AC1481" s="584" t="s">
        <v>164</v>
      </c>
      <c r="AD1481" s="584">
        <v>32753.375</v>
      </c>
      <c r="AE1481" s="586">
        <v>0.03</v>
      </c>
      <c r="AF1481" s="661" t="str">
        <f t="shared" si="164"/>
        <v>2019-LVN-FRD-T35W-022-05</v>
      </c>
      <c r="AG1481" s="661" t="str">
        <f>IF(AND($Y1481&gt;=32,(AI1481="I"),(Y1481&lt;&gt;"~"),(COUNTIF($AN$1:$AN1481,$AN1481)=1)),"TRUE","FALSE")</f>
        <v>FALSE</v>
      </c>
      <c r="AH1481" s="661" t="str">
        <f>IF(AND($Y1481&gt;=22, (AI1481&lt;&gt;"I"),(Y1481&lt;&gt;"~"),(COUNTIF($AN$1:$AN1481,$AN1481)=1)),"TRUE","FALSE")</f>
        <v>FALSE</v>
      </c>
      <c r="AI1481" s="661" t="str">
        <f t="shared" si="159"/>
        <v>II</v>
      </c>
      <c r="AJ1481" s="662" t="str">
        <f t="shared" si="160"/>
        <v>T35W-022</v>
      </c>
      <c r="AK1481" s="662" t="str">
        <f t="shared" si="161"/>
        <v>LVN</v>
      </c>
      <c r="AL1481" s="662" t="str">
        <f t="shared" si="162"/>
        <v>FRD</v>
      </c>
      <c r="AM1481" s="662" t="str">
        <f t="shared" si="158"/>
        <v>Transit 350 Wagon-XL Swing-Out RH Door-RWD-12-82.4-~-3.2L-5-X2Z-301A-147.6-25-Diesel-BioDiesel</v>
      </c>
      <c r="AN1481" s="662" t="str">
        <f t="shared" si="163"/>
        <v>2019-LVN-FRD-T35W-022</v>
      </c>
    </row>
    <row r="1482" spans="1:40" s="572" customFormat="1" ht="15">
      <c r="A1482" s="570" t="s">
        <v>2867</v>
      </c>
      <c r="B1482" s="569" t="s">
        <v>2868</v>
      </c>
      <c r="C1482" s="569" t="s">
        <v>269</v>
      </c>
      <c r="D1482" s="580" t="s">
        <v>270</v>
      </c>
      <c r="E1482" s="569" t="s">
        <v>1516</v>
      </c>
      <c r="F1482" s="569" t="s">
        <v>1607</v>
      </c>
      <c r="G1482" s="569" t="s">
        <v>271</v>
      </c>
      <c r="H1482" s="569">
        <v>2019</v>
      </c>
      <c r="I1482" s="569" t="s">
        <v>2769</v>
      </c>
      <c r="J1482" s="569" t="s">
        <v>2086</v>
      </c>
      <c r="K1482" s="569" t="s">
        <v>236</v>
      </c>
      <c r="L1482" s="569">
        <v>12</v>
      </c>
      <c r="M1482" s="569">
        <v>0</v>
      </c>
      <c r="N1482" s="569" t="s">
        <v>157</v>
      </c>
      <c r="O1482" s="569">
        <v>4</v>
      </c>
      <c r="P1482" s="569">
        <v>82.4</v>
      </c>
      <c r="Q1482" s="568" t="s">
        <v>157</v>
      </c>
      <c r="R1482" s="569" t="s">
        <v>1259</v>
      </c>
      <c r="S1482" s="569">
        <v>6</v>
      </c>
      <c r="T1482" s="569" t="s">
        <v>2866</v>
      </c>
      <c r="U1482" s="569" t="s">
        <v>434</v>
      </c>
      <c r="V1482" s="569">
        <v>147.6</v>
      </c>
      <c r="W1482" s="569">
        <v>25</v>
      </c>
      <c r="X1482" s="568">
        <v>9000</v>
      </c>
      <c r="Y1482" s="569">
        <v>12</v>
      </c>
      <c r="Z1482" s="581" t="s">
        <v>178</v>
      </c>
      <c r="AA1482" s="581" t="s">
        <v>178</v>
      </c>
      <c r="AB1482" s="585">
        <v>42830</v>
      </c>
      <c r="AC1482" s="585" t="s">
        <v>164</v>
      </c>
      <c r="AD1482" s="585">
        <v>30860.083333333336</v>
      </c>
      <c r="AE1482" s="587">
        <v>0.03</v>
      </c>
      <c r="AF1482" s="661" t="str">
        <f t="shared" si="164"/>
        <v>2019-LVN-FRD-T35W-023-05</v>
      </c>
      <c r="AG1482" s="661" t="str">
        <f>IF(AND($Y1482&gt;=32,(AI1482="I"),(Y1482&lt;&gt;"~"),(COUNTIF($AN$1:$AN1482,$AN1482)=1)),"TRUE","FALSE")</f>
        <v>FALSE</v>
      </c>
      <c r="AH1482" s="661" t="str">
        <f>IF(AND($Y1482&gt;=22, (AI1482&lt;&gt;"I"),(Y1482&lt;&gt;"~"),(COUNTIF($AN$1:$AN1482,$AN1482)=1)),"TRUE","FALSE")</f>
        <v>FALSE</v>
      </c>
      <c r="AI1482" s="661" t="str">
        <f t="shared" si="159"/>
        <v>II</v>
      </c>
      <c r="AJ1482" s="662" t="str">
        <f t="shared" si="160"/>
        <v>T35W-023</v>
      </c>
      <c r="AK1482" s="662" t="str">
        <f t="shared" si="161"/>
        <v>LVN</v>
      </c>
      <c r="AL1482" s="662" t="str">
        <f t="shared" si="162"/>
        <v>FRD</v>
      </c>
      <c r="AM1482" s="662" t="str">
        <f t="shared" si="158"/>
        <v>Transit 350 Wagon-XL Swing-Out RH Door-RWD-12-82.4-~-3.5L EcoBoost-6-X2Z-301A-147.6-25-Unleaded-Unleaded</v>
      </c>
      <c r="AN1482" s="662" t="str">
        <f t="shared" si="163"/>
        <v>2019-LVN-FRD-T35W-023</v>
      </c>
    </row>
    <row r="1483" spans="1:40" s="572" customFormat="1" ht="15">
      <c r="A1483" s="570" t="s">
        <v>2869</v>
      </c>
      <c r="B1483" s="573" t="s">
        <v>2870</v>
      </c>
      <c r="C1483" s="573" t="s">
        <v>269</v>
      </c>
      <c r="D1483" s="578" t="s">
        <v>270</v>
      </c>
      <c r="E1483" s="573" t="s">
        <v>1516</v>
      </c>
      <c r="F1483" s="573" t="s">
        <v>1607</v>
      </c>
      <c r="G1483" s="573" t="s">
        <v>271</v>
      </c>
      <c r="H1483" s="573">
        <v>2019</v>
      </c>
      <c r="I1483" s="573" t="s">
        <v>2769</v>
      </c>
      <c r="J1483" s="573" t="s">
        <v>2086</v>
      </c>
      <c r="K1483" s="573" t="s">
        <v>236</v>
      </c>
      <c r="L1483" s="573">
        <v>12</v>
      </c>
      <c r="M1483" s="573">
        <v>0</v>
      </c>
      <c r="N1483" s="573" t="s">
        <v>157</v>
      </c>
      <c r="O1483" s="573">
        <v>4</v>
      </c>
      <c r="P1483" s="573">
        <v>82.4</v>
      </c>
      <c r="Q1483" s="571" t="s">
        <v>157</v>
      </c>
      <c r="R1483" s="573" t="s">
        <v>682</v>
      </c>
      <c r="S1483" s="573">
        <v>6</v>
      </c>
      <c r="T1483" s="573" t="s">
        <v>2866</v>
      </c>
      <c r="U1483" s="573" t="s">
        <v>434</v>
      </c>
      <c r="V1483" s="573">
        <v>147.6</v>
      </c>
      <c r="W1483" s="573">
        <v>25</v>
      </c>
      <c r="X1483" s="571">
        <v>9000</v>
      </c>
      <c r="Y1483" s="573">
        <v>12</v>
      </c>
      <c r="Z1483" s="579" t="s">
        <v>178</v>
      </c>
      <c r="AA1483" s="579" t="s">
        <v>178</v>
      </c>
      <c r="AB1483" s="584">
        <v>40965</v>
      </c>
      <c r="AC1483" s="584" t="s">
        <v>164</v>
      </c>
      <c r="AD1483" s="584">
        <v>29203.833333333336</v>
      </c>
      <c r="AE1483" s="586">
        <v>0.03</v>
      </c>
      <c r="AF1483" s="661" t="str">
        <f t="shared" si="164"/>
        <v>2019-LVN-FRD-T35W-024-05</v>
      </c>
      <c r="AG1483" s="661" t="str">
        <f>IF(AND($Y1483&gt;=32,(AI1483="I"),(Y1483&lt;&gt;"~"),(COUNTIF($AN$1:$AN1483,$AN1483)=1)),"TRUE","FALSE")</f>
        <v>FALSE</v>
      </c>
      <c r="AH1483" s="661" t="str">
        <f>IF(AND($Y1483&gt;=22, (AI1483&lt;&gt;"I"),(Y1483&lt;&gt;"~"),(COUNTIF($AN$1:$AN1483,$AN1483)=1)),"TRUE","FALSE")</f>
        <v>FALSE</v>
      </c>
      <c r="AI1483" s="661" t="str">
        <f t="shared" si="159"/>
        <v>II</v>
      </c>
      <c r="AJ1483" s="662" t="str">
        <f t="shared" si="160"/>
        <v>T35W-024</v>
      </c>
      <c r="AK1483" s="662" t="str">
        <f t="shared" si="161"/>
        <v>LVN</v>
      </c>
      <c r="AL1483" s="662" t="str">
        <f t="shared" si="162"/>
        <v>FRD</v>
      </c>
      <c r="AM1483" s="662" t="str">
        <f t="shared" si="158"/>
        <v>Transit 350 Wagon-XL Swing-Out RH Door-RWD-12-82.4-~-3.7L-6-X2Z-301A-147.6-25-Unleaded-Unleaded</v>
      </c>
      <c r="AN1483" s="662" t="str">
        <f t="shared" si="163"/>
        <v>2019-LVN-FRD-T35W-024</v>
      </c>
    </row>
    <row r="1484" spans="1:40" s="572" customFormat="1" ht="15">
      <c r="A1484" s="570" t="s">
        <v>2871</v>
      </c>
      <c r="B1484" s="569" t="s">
        <v>2872</v>
      </c>
      <c r="C1484" s="569" t="s">
        <v>269</v>
      </c>
      <c r="D1484" s="580" t="s">
        <v>270</v>
      </c>
      <c r="E1484" s="569" t="s">
        <v>1516</v>
      </c>
      <c r="F1484" s="569" t="s">
        <v>1607</v>
      </c>
      <c r="G1484" s="569" t="s">
        <v>271</v>
      </c>
      <c r="H1484" s="569">
        <v>2019</v>
      </c>
      <c r="I1484" s="569" t="s">
        <v>2769</v>
      </c>
      <c r="J1484" s="569" t="s">
        <v>2086</v>
      </c>
      <c r="K1484" s="569" t="s">
        <v>236</v>
      </c>
      <c r="L1484" s="569">
        <v>15</v>
      </c>
      <c r="M1484" s="569">
        <v>0</v>
      </c>
      <c r="N1484" s="569" t="s">
        <v>157</v>
      </c>
      <c r="O1484" s="569">
        <v>5</v>
      </c>
      <c r="P1484" s="569">
        <v>82.4</v>
      </c>
      <c r="Q1484" s="568" t="s">
        <v>157</v>
      </c>
      <c r="R1484" s="569" t="s">
        <v>1917</v>
      </c>
      <c r="S1484" s="569">
        <v>5</v>
      </c>
      <c r="T1484" s="569" t="s">
        <v>2866</v>
      </c>
      <c r="U1484" s="569" t="s">
        <v>434</v>
      </c>
      <c r="V1484" s="569">
        <v>147.6</v>
      </c>
      <c r="W1484" s="569">
        <v>25</v>
      </c>
      <c r="X1484" s="568">
        <v>9250</v>
      </c>
      <c r="Y1484" s="569">
        <v>12</v>
      </c>
      <c r="Z1484" s="581" t="s">
        <v>728</v>
      </c>
      <c r="AA1484" s="581" t="s">
        <v>1523</v>
      </c>
      <c r="AB1484" s="585">
        <v>44960</v>
      </c>
      <c r="AC1484" s="585" t="s">
        <v>164</v>
      </c>
      <c r="AD1484" s="585">
        <v>32753.375</v>
      </c>
      <c r="AE1484" s="587">
        <v>0.03</v>
      </c>
      <c r="AF1484" s="661" t="str">
        <f t="shared" si="164"/>
        <v>2019-LVN-FRD-T35W-026-05</v>
      </c>
      <c r="AG1484" s="661" t="str">
        <f>IF(AND($Y1484&gt;=32,(AI1484="I"),(Y1484&lt;&gt;"~"),(COUNTIF($AN$1:$AN1484,$AN1484)=1)),"TRUE","FALSE")</f>
        <v>FALSE</v>
      </c>
      <c r="AH1484" s="661" t="str">
        <f>IF(AND($Y1484&gt;=22, (AI1484&lt;&gt;"I"),(Y1484&lt;&gt;"~"),(COUNTIF($AN$1:$AN1484,$AN1484)=1)),"TRUE","FALSE")</f>
        <v>FALSE</v>
      </c>
      <c r="AI1484" s="661" t="str">
        <f t="shared" si="159"/>
        <v>II</v>
      </c>
      <c r="AJ1484" s="662" t="str">
        <f t="shared" si="160"/>
        <v>T35W-026</v>
      </c>
      <c r="AK1484" s="662" t="str">
        <f t="shared" si="161"/>
        <v>LVN</v>
      </c>
      <c r="AL1484" s="662" t="str">
        <f t="shared" si="162"/>
        <v>FRD</v>
      </c>
      <c r="AM1484" s="662" t="str">
        <f t="shared" si="158"/>
        <v>Transit 350 Wagon-XL Swing-Out RH Door-RWD-15-82.4-~-3.2L-5-X2Z-301A-147.6-25-Diesel-BioDiesel</v>
      </c>
      <c r="AN1484" s="662" t="str">
        <f t="shared" si="163"/>
        <v>2019-LVN-FRD-T35W-026</v>
      </c>
    </row>
    <row r="1485" spans="1:40" s="572" customFormat="1" ht="15">
      <c r="A1485" s="570" t="s">
        <v>2873</v>
      </c>
      <c r="B1485" s="573" t="s">
        <v>2874</v>
      </c>
      <c r="C1485" s="573" t="s">
        <v>269</v>
      </c>
      <c r="D1485" s="578" t="s">
        <v>270</v>
      </c>
      <c r="E1485" s="573" t="s">
        <v>1516</v>
      </c>
      <c r="F1485" s="573" t="s">
        <v>1607</v>
      </c>
      <c r="G1485" s="573" t="s">
        <v>271</v>
      </c>
      <c r="H1485" s="573">
        <v>2019</v>
      </c>
      <c r="I1485" s="573" t="s">
        <v>2769</v>
      </c>
      <c r="J1485" s="573" t="s">
        <v>2086</v>
      </c>
      <c r="K1485" s="573" t="s">
        <v>236</v>
      </c>
      <c r="L1485" s="573">
        <v>15</v>
      </c>
      <c r="M1485" s="573">
        <v>0</v>
      </c>
      <c r="N1485" s="573" t="s">
        <v>157</v>
      </c>
      <c r="O1485" s="573">
        <v>5</v>
      </c>
      <c r="P1485" s="573">
        <v>82.4</v>
      </c>
      <c r="Q1485" s="571" t="s">
        <v>157</v>
      </c>
      <c r="R1485" s="573" t="s">
        <v>1259</v>
      </c>
      <c r="S1485" s="573">
        <v>6</v>
      </c>
      <c r="T1485" s="573" t="s">
        <v>2866</v>
      </c>
      <c r="U1485" s="573" t="s">
        <v>434</v>
      </c>
      <c r="V1485" s="573">
        <v>147.6</v>
      </c>
      <c r="W1485" s="573">
        <v>25</v>
      </c>
      <c r="X1485" s="571">
        <v>9000</v>
      </c>
      <c r="Y1485" s="573">
        <v>12</v>
      </c>
      <c r="Z1485" s="579" t="s">
        <v>178</v>
      </c>
      <c r="AA1485" s="579" t="s">
        <v>178</v>
      </c>
      <c r="AB1485" s="584">
        <v>42830</v>
      </c>
      <c r="AC1485" s="584" t="s">
        <v>164</v>
      </c>
      <c r="AD1485" s="584">
        <v>30860.083333333336</v>
      </c>
      <c r="AE1485" s="586">
        <v>0.03</v>
      </c>
      <c r="AF1485" s="661" t="str">
        <f t="shared" si="164"/>
        <v>2019-LVN-FRD-T35W-027-05</v>
      </c>
      <c r="AG1485" s="661" t="str">
        <f>IF(AND($Y1485&gt;=32,(AI1485="I"),(Y1485&lt;&gt;"~"),(COUNTIF($AN$1:$AN1485,$AN1485)=1)),"TRUE","FALSE")</f>
        <v>FALSE</v>
      </c>
      <c r="AH1485" s="661" t="str">
        <f>IF(AND($Y1485&gt;=22, (AI1485&lt;&gt;"I"),(Y1485&lt;&gt;"~"),(COUNTIF($AN$1:$AN1485,$AN1485)=1)),"TRUE","FALSE")</f>
        <v>FALSE</v>
      </c>
      <c r="AI1485" s="661" t="str">
        <f t="shared" si="159"/>
        <v>II</v>
      </c>
      <c r="AJ1485" s="662" t="str">
        <f t="shared" si="160"/>
        <v>T35W-027</v>
      </c>
      <c r="AK1485" s="662" t="str">
        <f t="shared" si="161"/>
        <v>LVN</v>
      </c>
      <c r="AL1485" s="662" t="str">
        <f t="shared" si="162"/>
        <v>FRD</v>
      </c>
      <c r="AM1485" s="662" t="str">
        <f t="shared" si="158"/>
        <v>Transit 350 Wagon-XL Swing-Out RH Door-RWD-15-82.4-~-3.5L EcoBoost-6-X2Z-301A-147.6-25-Unleaded-Unleaded</v>
      </c>
      <c r="AN1485" s="662" t="str">
        <f t="shared" si="163"/>
        <v>2019-LVN-FRD-T35W-027</v>
      </c>
    </row>
    <row r="1486" spans="1:40" s="572" customFormat="1" ht="15">
      <c r="A1486" s="570" t="s">
        <v>2875</v>
      </c>
      <c r="B1486" s="569" t="s">
        <v>2865</v>
      </c>
      <c r="C1486" s="569" t="s">
        <v>278</v>
      </c>
      <c r="D1486" s="580">
        <v>15</v>
      </c>
      <c r="E1486" s="569" t="s">
        <v>1516</v>
      </c>
      <c r="F1486" s="569" t="s">
        <v>1607</v>
      </c>
      <c r="G1486" s="569" t="s">
        <v>271</v>
      </c>
      <c r="H1486" s="569">
        <v>2019</v>
      </c>
      <c r="I1486" s="569" t="s">
        <v>2769</v>
      </c>
      <c r="J1486" s="569" t="s">
        <v>2086</v>
      </c>
      <c r="K1486" s="569" t="s">
        <v>236</v>
      </c>
      <c r="L1486" s="569">
        <v>12</v>
      </c>
      <c r="M1486" s="569">
        <v>0</v>
      </c>
      <c r="N1486" s="569" t="s">
        <v>157</v>
      </c>
      <c r="O1486" s="569">
        <v>4</v>
      </c>
      <c r="P1486" s="569">
        <v>82.4</v>
      </c>
      <c r="Q1486" s="568" t="s">
        <v>157</v>
      </c>
      <c r="R1486" s="569" t="s">
        <v>1917</v>
      </c>
      <c r="S1486" s="569">
        <v>5</v>
      </c>
      <c r="T1486" s="569" t="s">
        <v>2866</v>
      </c>
      <c r="U1486" s="569" t="s">
        <v>434</v>
      </c>
      <c r="V1486" s="569">
        <v>147.6</v>
      </c>
      <c r="W1486" s="569">
        <v>25</v>
      </c>
      <c r="X1486" s="568">
        <v>9250</v>
      </c>
      <c r="Y1486" s="569">
        <v>12</v>
      </c>
      <c r="Z1486" s="581" t="s">
        <v>728</v>
      </c>
      <c r="AA1486" s="581" t="s">
        <v>1523</v>
      </c>
      <c r="AB1486" s="585">
        <v>44960</v>
      </c>
      <c r="AC1486" s="585" t="s">
        <v>164</v>
      </c>
      <c r="AD1486" s="585">
        <v>33400</v>
      </c>
      <c r="AE1486" s="587">
        <v>0.01</v>
      </c>
      <c r="AF1486" s="661" t="str">
        <f t="shared" si="164"/>
        <v>2019-LVN-FRD-T35W-022-15</v>
      </c>
      <c r="AG1486" s="661" t="str">
        <f>IF(AND($Y1486&gt;=32,(AI1486="I"),(Y1486&lt;&gt;"~"),(COUNTIF($AN$1:$AN1486,$AN1486)=1)),"TRUE","FALSE")</f>
        <v>FALSE</v>
      </c>
      <c r="AH1486" s="661" t="str">
        <f>IF(AND($Y1486&gt;=22, (AI1486&lt;&gt;"I"),(Y1486&lt;&gt;"~"),(COUNTIF($AN$1:$AN1486,$AN1486)=1)),"TRUE","FALSE")</f>
        <v>FALSE</v>
      </c>
      <c r="AI1486" s="661" t="str">
        <f t="shared" si="159"/>
        <v>II</v>
      </c>
      <c r="AJ1486" s="662" t="str">
        <f t="shared" si="160"/>
        <v>T35W-022</v>
      </c>
      <c r="AK1486" s="662" t="str">
        <f t="shared" si="161"/>
        <v>LVN</v>
      </c>
      <c r="AL1486" s="662" t="str">
        <f t="shared" si="162"/>
        <v>FRD</v>
      </c>
      <c r="AM1486" s="662" t="str">
        <f t="shared" si="158"/>
        <v>Transit 350 Wagon-XL Swing-Out RH Door-RWD-12-82.4-~-3.2L-5-X2Z-301A-147.6-25-Diesel-BioDiesel</v>
      </c>
      <c r="AN1486" s="662" t="str">
        <f t="shared" si="163"/>
        <v>2019-LVN-FRD-T35W-022</v>
      </c>
    </row>
    <row r="1487" spans="1:40" s="572" customFormat="1" ht="15">
      <c r="A1487" s="570" t="s">
        <v>2876</v>
      </c>
      <c r="B1487" s="573" t="s">
        <v>2868</v>
      </c>
      <c r="C1487" s="573" t="s">
        <v>278</v>
      </c>
      <c r="D1487" s="578">
        <v>15</v>
      </c>
      <c r="E1487" s="573" t="s">
        <v>1516</v>
      </c>
      <c r="F1487" s="573" t="s">
        <v>1607</v>
      </c>
      <c r="G1487" s="573" t="s">
        <v>271</v>
      </c>
      <c r="H1487" s="573">
        <v>2019</v>
      </c>
      <c r="I1487" s="573" t="s">
        <v>2769</v>
      </c>
      <c r="J1487" s="573" t="s">
        <v>2086</v>
      </c>
      <c r="K1487" s="573" t="s">
        <v>236</v>
      </c>
      <c r="L1487" s="573">
        <v>12</v>
      </c>
      <c r="M1487" s="573">
        <v>0</v>
      </c>
      <c r="N1487" s="573" t="s">
        <v>157</v>
      </c>
      <c r="O1487" s="573">
        <v>4</v>
      </c>
      <c r="P1487" s="573">
        <v>82.4</v>
      </c>
      <c r="Q1487" s="571" t="s">
        <v>157</v>
      </c>
      <c r="R1487" s="573" t="s">
        <v>1259</v>
      </c>
      <c r="S1487" s="573">
        <v>6</v>
      </c>
      <c r="T1487" s="573" t="s">
        <v>2866</v>
      </c>
      <c r="U1487" s="573" t="s">
        <v>434</v>
      </c>
      <c r="V1487" s="573">
        <v>147.6</v>
      </c>
      <c r="W1487" s="573">
        <v>25</v>
      </c>
      <c r="X1487" s="571">
        <v>9000</v>
      </c>
      <c r="Y1487" s="573">
        <v>12</v>
      </c>
      <c r="Z1487" s="579" t="s">
        <v>178</v>
      </c>
      <c r="AA1487" s="579" t="s">
        <v>178</v>
      </c>
      <c r="AB1487" s="584">
        <v>42830</v>
      </c>
      <c r="AC1487" s="584" t="s">
        <v>164</v>
      </c>
      <c r="AD1487" s="584">
        <v>31500</v>
      </c>
      <c r="AE1487" s="586">
        <v>0.01</v>
      </c>
      <c r="AF1487" s="661" t="str">
        <f t="shared" si="164"/>
        <v>2019-LVN-FRD-T35W-023-15</v>
      </c>
      <c r="AG1487" s="661" t="str">
        <f>IF(AND($Y1487&gt;=32,(AI1487="I"),(Y1487&lt;&gt;"~"),(COUNTIF($AN$1:$AN1487,$AN1487)=1)),"TRUE","FALSE")</f>
        <v>FALSE</v>
      </c>
      <c r="AH1487" s="661" t="str">
        <f>IF(AND($Y1487&gt;=22, (AI1487&lt;&gt;"I"),(Y1487&lt;&gt;"~"),(COUNTIF($AN$1:$AN1487,$AN1487)=1)),"TRUE","FALSE")</f>
        <v>FALSE</v>
      </c>
      <c r="AI1487" s="661" t="str">
        <f t="shared" si="159"/>
        <v>II</v>
      </c>
      <c r="AJ1487" s="662" t="str">
        <f t="shared" si="160"/>
        <v>T35W-023</v>
      </c>
      <c r="AK1487" s="662" t="str">
        <f t="shared" si="161"/>
        <v>LVN</v>
      </c>
      <c r="AL1487" s="662" t="str">
        <f t="shared" si="162"/>
        <v>FRD</v>
      </c>
      <c r="AM1487" s="662" t="str">
        <f t="shared" si="158"/>
        <v>Transit 350 Wagon-XL Swing-Out RH Door-RWD-12-82.4-~-3.5L EcoBoost-6-X2Z-301A-147.6-25-Unleaded-Unleaded</v>
      </c>
      <c r="AN1487" s="662" t="str">
        <f t="shared" si="163"/>
        <v>2019-LVN-FRD-T35W-023</v>
      </c>
    </row>
    <row r="1488" spans="1:40" s="572" customFormat="1" ht="15">
      <c r="A1488" s="570" t="s">
        <v>2877</v>
      </c>
      <c r="B1488" s="569" t="s">
        <v>2870</v>
      </c>
      <c r="C1488" s="569" t="s">
        <v>278</v>
      </c>
      <c r="D1488" s="580">
        <v>15</v>
      </c>
      <c r="E1488" s="569" t="s">
        <v>1516</v>
      </c>
      <c r="F1488" s="569" t="s">
        <v>1607</v>
      </c>
      <c r="G1488" s="569" t="s">
        <v>271</v>
      </c>
      <c r="H1488" s="569">
        <v>2019</v>
      </c>
      <c r="I1488" s="569" t="s">
        <v>2769</v>
      </c>
      <c r="J1488" s="569" t="s">
        <v>2086</v>
      </c>
      <c r="K1488" s="569" t="s">
        <v>236</v>
      </c>
      <c r="L1488" s="569">
        <v>12</v>
      </c>
      <c r="M1488" s="569">
        <v>0</v>
      </c>
      <c r="N1488" s="569" t="s">
        <v>157</v>
      </c>
      <c r="O1488" s="569">
        <v>4</v>
      </c>
      <c r="P1488" s="569">
        <v>82.4</v>
      </c>
      <c r="Q1488" s="568" t="s">
        <v>157</v>
      </c>
      <c r="R1488" s="569" t="s">
        <v>682</v>
      </c>
      <c r="S1488" s="569">
        <v>6</v>
      </c>
      <c r="T1488" s="569" t="s">
        <v>2866</v>
      </c>
      <c r="U1488" s="569" t="s">
        <v>434</v>
      </c>
      <c r="V1488" s="569">
        <v>147.6</v>
      </c>
      <c r="W1488" s="569">
        <v>25</v>
      </c>
      <c r="X1488" s="568">
        <v>9000</v>
      </c>
      <c r="Y1488" s="569">
        <v>12</v>
      </c>
      <c r="Z1488" s="581" t="s">
        <v>178</v>
      </c>
      <c r="AA1488" s="581" t="s">
        <v>178</v>
      </c>
      <c r="AB1488" s="585">
        <v>40965</v>
      </c>
      <c r="AC1488" s="585" t="s">
        <v>164</v>
      </c>
      <c r="AD1488" s="585">
        <v>29800</v>
      </c>
      <c r="AE1488" s="587">
        <v>0.01</v>
      </c>
      <c r="AF1488" s="661" t="str">
        <f t="shared" si="164"/>
        <v>2019-LVN-FRD-T35W-024-15</v>
      </c>
      <c r="AG1488" s="661" t="str">
        <f>IF(AND($Y1488&gt;=32,(AI1488="I"),(Y1488&lt;&gt;"~"),(COUNTIF($AN$1:$AN1488,$AN1488)=1)),"TRUE","FALSE")</f>
        <v>FALSE</v>
      </c>
      <c r="AH1488" s="661" t="str">
        <f>IF(AND($Y1488&gt;=22, (AI1488&lt;&gt;"I"),(Y1488&lt;&gt;"~"),(COUNTIF($AN$1:$AN1488,$AN1488)=1)),"TRUE","FALSE")</f>
        <v>FALSE</v>
      </c>
      <c r="AI1488" s="661" t="str">
        <f t="shared" si="159"/>
        <v>II</v>
      </c>
      <c r="AJ1488" s="662" t="str">
        <f t="shared" si="160"/>
        <v>T35W-024</v>
      </c>
      <c r="AK1488" s="662" t="str">
        <f t="shared" si="161"/>
        <v>LVN</v>
      </c>
      <c r="AL1488" s="662" t="str">
        <f t="shared" si="162"/>
        <v>FRD</v>
      </c>
      <c r="AM1488" s="662" t="str">
        <f t="shared" si="158"/>
        <v>Transit 350 Wagon-XL Swing-Out RH Door-RWD-12-82.4-~-3.7L-6-X2Z-301A-147.6-25-Unleaded-Unleaded</v>
      </c>
      <c r="AN1488" s="662" t="str">
        <f t="shared" si="163"/>
        <v>2019-LVN-FRD-T35W-024</v>
      </c>
    </row>
    <row r="1489" spans="1:40" s="572" customFormat="1" ht="15">
      <c r="A1489" s="570" t="s">
        <v>2878</v>
      </c>
      <c r="B1489" s="573" t="s">
        <v>2872</v>
      </c>
      <c r="C1489" s="573" t="s">
        <v>278</v>
      </c>
      <c r="D1489" s="578">
        <v>15</v>
      </c>
      <c r="E1489" s="573" t="s">
        <v>1516</v>
      </c>
      <c r="F1489" s="573" t="s">
        <v>1607</v>
      </c>
      <c r="G1489" s="573" t="s">
        <v>271</v>
      </c>
      <c r="H1489" s="573">
        <v>2019</v>
      </c>
      <c r="I1489" s="573" t="s">
        <v>2769</v>
      </c>
      <c r="J1489" s="573" t="s">
        <v>2086</v>
      </c>
      <c r="K1489" s="573" t="s">
        <v>236</v>
      </c>
      <c r="L1489" s="573">
        <v>15</v>
      </c>
      <c r="M1489" s="573">
        <v>0</v>
      </c>
      <c r="N1489" s="573" t="s">
        <v>157</v>
      </c>
      <c r="O1489" s="573">
        <v>5</v>
      </c>
      <c r="P1489" s="573">
        <v>82.4</v>
      </c>
      <c r="Q1489" s="571" t="s">
        <v>157</v>
      </c>
      <c r="R1489" s="573" t="s">
        <v>1917</v>
      </c>
      <c r="S1489" s="573">
        <v>5</v>
      </c>
      <c r="T1489" s="573" t="s">
        <v>2866</v>
      </c>
      <c r="U1489" s="573" t="s">
        <v>434</v>
      </c>
      <c r="V1489" s="573">
        <v>147.6</v>
      </c>
      <c r="W1489" s="573">
        <v>25</v>
      </c>
      <c r="X1489" s="571">
        <v>9250</v>
      </c>
      <c r="Y1489" s="573">
        <v>12</v>
      </c>
      <c r="Z1489" s="579" t="s">
        <v>728</v>
      </c>
      <c r="AA1489" s="579" t="s">
        <v>1523</v>
      </c>
      <c r="AB1489" s="584">
        <v>46455</v>
      </c>
      <c r="AC1489" s="584" t="s">
        <v>164</v>
      </c>
      <c r="AD1489" s="584">
        <v>34800</v>
      </c>
      <c r="AE1489" s="586">
        <v>0.01</v>
      </c>
      <c r="AF1489" s="661" t="str">
        <f t="shared" si="164"/>
        <v>2019-LVN-FRD-T35W-026-15</v>
      </c>
      <c r="AG1489" s="661" t="str">
        <f>IF(AND($Y1489&gt;=32,(AI1489="I"),(Y1489&lt;&gt;"~"),(COUNTIF($AN$1:$AN1489,$AN1489)=1)),"TRUE","FALSE")</f>
        <v>FALSE</v>
      </c>
      <c r="AH1489" s="661" t="str">
        <f>IF(AND($Y1489&gt;=22, (AI1489&lt;&gt;"I"),(Y1489&lt;&gt;"~"),(COUNTIF($AN$1:$AN1489,$AN1489)=1)),"TRUE","FALSE")</f>
        <v>FALSE</v>
      </c>
      <c r="AI1489" s="661" t="str">
        <f t="shared" si="159"/>
        <v>II</v>
      </c>
      <c r="AJ1489" s="662" t="str">
        <f t="shared" si="160"/>
        <v>T35W-026</v>
      </c>
      <c r="AK1489" s="662" t="str">
        <f t="shared" si="161"/>
        <v>LVN</v>
      </c>
      <c r="AL1489" s="662" t="str">
        <f t="shared" si="162"/>
        <v>FRD</v>
      </c>
      <c r="AM1489" s="662" t="str">
        <f t="shared" si="158"/>
        <v>Transit 350 Wagon-XL Swing-Out RH Door-RWD-15-82.4-~-3.2L-5-X2Z-301A-147.6-25-Diesel-BioDiesel</v>
      </c>
      <c r="AN1489" s="662" t="str">
        <f t="shared" si="163"/>
        <v>2019-LVN-FRD-T35W-026</v>
      </c>
    </row>
    <row r="1490" spans="1:40" s="572" customFormat="1" ht="15">
      <c r="A1490" s="570" t="s">
        <v>2879</v>
      </c>
      <c r="B1490" s="569" t="s">
        <v>2874</v>
      </c>
      <c r="C1490" s="569" t="s">
        <v>278</v>
      </c>
      <c r="D1490" s="580">
        <v>15</v>
      </c>
      <c r="E1490" s="569" t="s">
        <v>1516</v>
      </c>
      <c r="F1490" s="569" t="s">
        <v>1607</v>
      </c>
      <c r="G1490" s="569" t="s">
        <v>271</v>
      </c>
      <c r="H1490" s="569">
        <v>2019</v>
      </c>
      <c r="I1490" s="569" t="s">
        <v>2769</v>
      </c>
      <c r="J1490" s="569" t="s">
        <v>2086</v>
      </c>
      <c r="K1490" s="569" t="s">
        <v>236</v>
      </c>
      <c r="L1490" s="569">
        <v>15</v>
      </c>
      <c r="M1490" s="569">
        <v>0</v>
      </c>
      <c r="N1490" s="569" t="s">
        <v>157</v>
      </c>
      <c r="O1490" s="569">
        <v>5</v>
      </c>
      <c r="P1490" s="569">
        <v>82.4</v>
      </c>
      <c r="Q1490" s="568" t="s">
        <v>157</v>
      </c>
      <c r="R1490" s="569" t="s">
        <v>1259</v>
      </c>
      <c r="S1490" s="569">
        <v>6</v>
      </c>
      <c r="T1490" s="569" t="s">
        <v>2866</v>
      </c>
      <c r="U1490" s="569" t="s">
        <v>434</v>
      </c>
      <c r="V1490" s="569">
        <v>147.6</v>
      </c>
      <c r="W1490" s="569">
        <v>25</v>
      </c>
      <c r="X1490" s="568">
        <v>9000</v>
      </c>
      <c r="Y1490" s="569">
        <v>12</v>
      </c>
      <c r="Z1490" s="581" t="s">
        <v>178</v>
      </c>
      <c r="AA1490" s="581" t="s">
        <v>178</v>
      </c>
      <c r="AB1490" s="585">
        <v>42830</v>
      </c>
      <c r="AC1490" s="585" t="s">
        <v>164</v>
      </c>
      <c r="AD1490" s="585">
        <v>32800</v>
      </c>
      <c r="AE1490" s="587">
        <v>0.01</v>
      </c>
      <c r="AF1490" s="661" t="str">
        <f t="shared" si="164"/>
        <v>2019-LVN-FRD-T35W-027-15</v>
      </c>
      <c r="AG1490" s="661" t="str">
        <f>IF(AND($Y1490&gt;=32,(AI1490="I"),(Y1490&lt;&gt;"~"),(COUNTIF($AN$1:$AN1490,$AN1490)=1)),"TRUE","FALSE")</f>
        <v>FALSE</v>
      </c>
      <c r="AH1490" s="661" t="str">
        <f>IF(AND($Y1490&gt;=22, (AI1490&lt;&gt;"I"),(Y1490&lt;&gt;"~"),(COUNTIF($AN$1:$AN1490,$AN1490)=1)),"TRUE","FALSE")</f>
        <v>FALSE</v>
      </c>
      <c r="AI1490" s="661" t="str">
        <f t="shared" si="159"/>
        <v>II</v>
      </c>
      <c r="AJ1490" s="662" t="str">
        <f t="shared" si="160"/>
        <v>T35W-027</v>
      </c>
      <c r="AK1490" s="662" t="str">
        <f t="shared" si="161"/>
        <v>LVN</v>
      </c>
      <c r="AL1490" s="662" t="str">
        <f t="shared" si="162"/>
        <v>FRD</v>
      </c>
      <c r="AM1490" s="662" t="str">
        <f t="shared" si="158"/>
        <v>Transit 350 Wagon-XL Swing-Out RH Door-RWD-15-82.4-~-3.5L EcoBoost-6-X2Z-301A-147.6-25-Unleaded-Unleaded</v>
      </c>
      <c r="AN1490" s="662" t="str">
        <f t="shared" si="163"/>
        <v>2019-LVN-FRD-T35W-027</v>
      </c>
    </row>
    <row r="1491" spans="1:40" s="572" customFormat="1" ht="15">
      <c r="A1491" s="570" t="s">
        <v>2880</v>
      </c>
      <c r="B1491" s="573" t="s">
        <v>2881</v>
      </c>
      <c r="C1491" s="573" t="s">
        <v>278</v>
      </c>
      <c r="D1491" s="578">
        <v>15</v>
      </c>
      <c r="E1491" s="573" t="s">
        <v>1516</v>
      </c>
      <c r="F1491" s="573" t="s">
        <v>1607</v>
      </c>
      <c r="G1491" s="573" t="s">
        <v>271</v>
      </c>
      <c r="H1491" s="573">
        <v>2019</v>
      </c>
      <c r="I1491" s="573" t="s">
        <v>2769</v>
      </c>
      <c r="J1491" s="573" t="s">
        <v>2086</v>
      </c>
      <c r="K1491" s="573" t="s">
        <v>236</v>
      </c>
      <c r="L1491" s="573">
        <v>15</v>
      </c>
      <c r="M1491" s="573">
        <v>0</v>
      </c>
      <c r="N1491" s="573" t="s">
        <v>157</v>
      </c>
      <c r="O1491" s="573">
        <v>5</v>
      </c>
      <c r="P1491" s="573">
        <v>82.4</v>
      </c>
      <c r="Q1491" s="571" t="s">
        <v>157</v>
      </c>
      <c r="R1491" s="573" t="s">
        <v>682</v>
      </c>
      <c r="S1491" s="573">
        <v>6</v>
      </c>
      <c r="T1491" s="573" t="s">
        <v>2866</v>
      </c>
      <c r="U1491" s="573" t="s">
        <v>434</v>
      </c>
      <c r="V1491" s="573">
        <v>147.6</v>
      </c>
      <c r="W1491" s="573">
        <v>25</v>
      </c>
      <c r="X1491" s="571">
        <v>9000</v>
      </c>
      <c r="Y1491" s="573">
        <v>12</v>
      </c>
      <c r="Z1491" s="579" t="s">
        <v>178</v>
      </c>
      <c r="AA1491" s="579" t="s">
        <v>178</v>
      </c>
      <c r="AB1491" s="584">
        <v>42460</v>
      </c>
      <c r="AC1491" s="584" t="s">
        <v>164</v>
      </c>
      <c r="AD1491" s="584">
        <v>31200</v>
      </c>
      <c r="AE1491" s="586">
        <v>0.01</v>
      </c>
      <c r="AF1491" s="661" t="str">
        <f t="shared" si="164"/>
        <v>2019-LVN-FRD-T35W-028-15</v>
      </c>
      <c r="AG1491" s="661" t="str">
        <f>IF(AND($Y1491&gt;=32,(AI1491="I"),(Y1491&lt;&gt;"~"),(COUNTIF($AN$1:$AN1491,$AN1491)=1)),"TRUE","FALSE")</f>
        <v>FALSE</v>
      </c>
      <c r="AH1491" s="661" t="str">
        <f>IF(AND($Y1491&gt;=22, (AI1491&lt;&gt;"I"),(Y1491&lt;&gt;"~"),(COUNTIF($AN$1:$AN1491,$AN1491)=1)),"TRUE","FALSE")</f>
        <v>FALSE</v>
      </c>
      <c r="AI1491" s="661" t="str">
        <f t="shared" si="159"/>
        <v>II</v>
      </c>
      <c r="AJ1491" s="662" t="str">
        <f t="shared" si="160"/>
        <v>T35W-028</v>
      </c>
      <c r="AK1491" s="662" t="str">
        <f t="shared" si="161"/>
        <v>LVN</v>
      </c>
      <c r="AL1491" s="662" t="str">
        <f t="shared" si="162"/>
        <v>FRD</v>
      </c>
      <c r="AM1491" s="662" t="str">
        <f t="shared" si="158"/>
        <v>Transit 350 Wagon-XL Swing-Out RH Door-RWD-15-82.4-~-3.7L-6-X2Z-301A-147.6-25-Unleaded-Unleaded</v>
      </c>
      <c r="AN1491" s="662" t="str">
        <f t="shared" si="163"/>
        <v>2019-LVN-FRD-T35W-028</v>
      </c>
    </row>
    <row r="1492" spans="1:40" s="572" customFormat="1" ht="15">
      <c r="A1492" s="570" t="s">
        <v>2882</v>
      </c>
      <c r="B1492" s="569" t="s">
        <v>2865</v>
      </c>
      <c r="C1492" s="569" t="s">
        <v>287</v>
      </c>
      <c r="D1492" s="580">
        <v>26</v>
      </c>
      <c r="E1492" s="569" t="s">
        <v>1516</v>
      </c>
      <c r="F1492" s="569" t="s">
        <v>1607</v>
      </c>
      <c r="G1492" s="569" t="s">
        <v>271</v>
      </c>
      <c r="H1492" s="569">
        <v>2019</v>
      </c>
      <c r="I1492" s="569" t="s">
        <v>2769</v>
      </c>
      <c r="J1492" s="569" t="s">
        <v>2086</v>
      </c>
      <c r="K1492" s="569" t="s">
        <v>236</v>
      </c>
      <c r="L1492" s="569">
        <v>12</v>
      </c>
      <c r="M1492" s="569">
        <v>0</v>
      </c>
      <c r="N1492" s="569" t="s">
        <v>157</v>
      </c>
      <c r="O1492" s="569">
        <v>4</v>
      </c>
      <c r="P1492" s="569">
        <v>82.4</v>
      </c>
      <c r="Q1492" s="568" t="s">
        <v>157</v>
      </c>
      <c r="R1492" s="569" t="s">
        <v>1917</v>
      </c>
      <c r="S1492" s="569">
        <v>5</v>
      </c>
      <c r="T1492" s="569" t="s">
        <v>2866</v>
      </c>
      <c r="U1492" s="569" t="s">
        <v>434</v>
      </c>
      <c r="V1492" s="569">
        <v>147.6</v>
      </c>
      <c r="W1492" s="569">
        <v>25</v>
      </c>
      <c r="X1492" s="568">
        <v>9250</v>
      </c>
      <c r="Y1492" s="569">
        <v>12</v>
      </c>
      <c r="Z1492" s="581" t="s">
        <v>728</v>
      </c>
      <c r="AA1492" s="581" t="s">
        <v>1523</v>
      </c>
      <c r="AB1492" s="585">
        <v>44641</v>
      </c>
      <c r="AC1492" s="585" t="s">
        <v>164</v>
      </c>
      <c r="AD1492" s="585">
        <v>33705</v>
      </c>
      <c r="AE1492" s="587">
        <v>0.05</v>
      </c>
      <c r="AF1492" s="661" t="str">
        <f t="shared" si="164"/>
        <v>2019-LVN-FRD-T35W-022-26</v>
      </c>
      <c r="AG1492" s="661" t="str">
        <f>IF(AND($Y1492&gt;=32,(AI1492="I"),(Y1492&lt;&gt;"~"),(COUNTIF($AN$1:$AN1492,$AN1492)=1)),"TRUE","FALSE")</f>
        <v>FALSE</v>
      </c>
      <c r="AH1492" s="661" t="str">
        <f>IF(AND($Y1492&gt;=22, (AI1492&lt;&gt;"I"),(Y1492&lt;&gt;"~"),(COUNTIF($AN$1:$AN1492,$AN1492)=1)),"TRUE","FALSE")</f>
        <v>FALSE</v>
      </c>
      <c r="AI1492" s="661" t="str">
        <f t="shared" si="159"/>
        <v>II</v>
      </c>
      <c r="AJ1492" s="662" t="str">
        <f t="shared" si="160"/>
        <v>T35W-022</v>
      </c>
      <c r="AK1492" s="662" t="str">
        <f t="shared" si="161"/>
        <v>LVN</v>
      </c>
      <c r="AL1492" s="662" t="str">
        <f t="shared" si="162"/>
        <v>FRD</v>
      </c>
      <c r="AM1492" s="662" t="str">
        <f t="shared" si="158"/>
        <v>Transit 350 Wagon-XL Swing-Out RH Door-RWD-12-82.4-~-3.2L-5-X2Z-301A-147.6-25-Diesel-BioDiesel</v>
      </c>
      <c r="AN1492" s="662" t="str">
        <f t="shared" si="163"/>
        <v>2019-LVN-FRD-T35W-022</v>
      </c>
    </row>
    <row r="1493" spans="1:40" s="572" customFormat="1" ht="15">
      <c r="A1493" s="570" t="s">
        <v>2883</v>
      </c>
      <c r="B1493" s="573" t="s">
        <v>2868</v>
      </c>
      <c r="C1493" s="573" t="s">
        <v>287</v>
      </c>
      <c r="D1493" s="578">
        <v>26</v>
      </c>
      <c r="E1493" s="573" t="s">
        <v>1516</v>
      </c>
      <c r="F1493" s="573" t="s">
        <v>1607</v>
      </c>
      <c r="G1493" s="573" t="s">
        <v>271</v>
      </c>
      <c r="H1493" s="573">
        <v>2019</v>
      </c>
      <c r="I1493" s="573" t="s">
        <v>2769</v>
      </c>
      <c r="J1493" s="573" t="s">
        <v>2086</v>
      </c>
      <c r="K1493" s="573" t="s">
        <v>236</v>
      </c>
      <c r="L1493" s="573">
        <v>12</v>
      </c>
      <c r="M1493" s="573">
        <v>0</v>
      </c>
      <c r="N1493" s="573" t="s">
        <v>157</v>
      </c>
      <c r="O1493" s="573">
        <v>4</v>
      </c>
      <c r="P1493" s="573">
        <v>82.4</v>
      </c>
      <c r="Q1493" s="571" t="s">
        <v>157</v>
      </c>
      <c r="R1493" s="573" t="s">
        <v>1259</v>
      </c>
      <c r="S1493" s="573">
        <v>6</v>
      </c>
      <c r="T1493" s="573" t="s">
        <v>2866</v>
      </c>
      <c r="U1493" s="573" t="s">
        <v>434</v>
      </c>
      <c r="V1493" s="573">
        <v>147.6</v>
      </c>
      <c r="W1493" s="573">
        <v>25</v>
      </c>
      <c r="X1493" s="571">
        <v>9000</v>
      </c>
      <c r="Y1493" s="573">
        <v>12</v>
      </c>
      <c r="Z1493" s="579" t="s">
        <v>178</v>
      </c>
      <c r="AA1493" s="579" t="s">
        <v>178</v>
      </c>
      <c r="AB1493" s="584">
        <v>42830</v>
      </c>
      <c r="AC1493" s="584" t="s">
        <v>164</v>
      </c>
      <c r="AD1493" s="584">
        <v>31612</v>
      </c>
      <c r="AE1493" s="586">
        <v>0.05</v>
      </c>
      <c r="AF1493" s="661" t="str">
        <f t="shared" si="164"/>
        <v>2019-LVN-FRD-T35W-023-26</v>
      </c>
      <c r="AG1493" s="661" t="str">
        <f>IF(AND($Y1493&gt;=32,(AI1493="I"),(Y1493&lt;&gt;"~"),(COUNTIF($AN$1:$AN1493,$AN1493)=1)),"TRUE","FALSE")</f>
        <v>FALSE</v>
      </c>
      <c r="AH1493" s="661" t="str">
        <f>IF(AND($Y1493&gt;=22, (AI1493&lt;&gt;"I"),(Y1493&lt;&gt;"~"),(COUNTIF($AN$1:$AN1493,$AN1493)=1)),"TRUE","FALSE")</f>
        <v>FALSE</v>
      </c>
      <c r="AI1493" s="661" t="str">
        <f t="shared" si="159"/>
        <v>II</v>
      </c>
      <c r="AJ1493" s="662" t="str">
        <f t="shared" si="160"/>
        <v>T35W-023</v>
      </c>
      <c r="AK1493" s="662" t="str">
        <f t="shared" si="161"/>
        <v>LVN</v>
      </c>
      <c r="AL1493" s="662" t="str">
        <f t="shared" si="162"/>
        <v>FRD</v>
      </c>
      <c r="AM1493" s="662" t="str">
        <f t="shared" si="158"/>
        <v>Transit 350 Wagon-XL Swing-Out RH Door-RWD-12-82.4-~-3.5L EcoBoost-6-X2Z-301A-147.6-25-Unleaded-Unleaded</v>
      </c>
      <c r="AN1493" s="662" t="str">
        <f t="shared" si="163"/>
        <v>2019-LVN-FRD-T35W-023</v>
      </c>
    </row>
    <row r="1494" spans="1:40" s="572" customFormat="1" ht="15">
      <c r="A1494" s="570" t="s">
        <v>2884</v>
      </c>
      <c r="B1494" s="569" t="s">
        <v>2870</v>
      </c>
      <c r="C1494" s="569" t="s">
        <v>287</v>
      </c>
      <c r="D1494" s="580">
        <v>26</v>
      </c>
      <c r="E1494" s="569" t="s">
        <v>1516</v>
      </c>
      <c r="F1494" s="569" t="s">
        <v>1607</v>
      </c>
      <c r="G1494" s="569" t="s">
        <v>271</v>
      </c>
      <c r="H1494" s="569">
        <v>2019</v>
      </c>
      <c r="I1494" s="569" t="s">
        <v>2769</v>
      </c>
      <c r="J1494" s="569" t="s">
        <v>2086</v>
      </c>
      <c r="K1494" s="569" t="s">
        <v>236</v>
      </c>
      <c r="L1494" s="569">
        <v>12</v>
      </c>
      <c r="M1494" s="569">
        <v>0</v>
      </c>
      <c r="N1494" s="569" t="s">
        <v>157</v>
      </c>
      <c r="O1494" s="569">
        <v>4</v>
      </c>
      <c r="P1494" s="569">
        <v>82.4</v>
      </c>
      <c r="Q1494" s="568" t="s">
        <v>157</v>
      </c>
      <c r="R1494" s="569" t="s">
        <v>682</v>
      </c>
      <c r="S1494" s="569">
        <v>6</v>
      </c>
      <c r="T1494" s="569" t="s">
        <v>2866</v>
      </c>
      <c r="U1494" s="569" t="s">
        <v>434</v>
      </c>
      <c r="V1494" s="569">
        <v>147.6</v>
      </c>
      <c r="W1494" s="569">
        <v>25</v>
      </c>
      <c r="X1494" s="568">
        <v>9000</v>
      </c>
      <c r="Y1494" s="569">
        <v>12</v>
      </c>
      <c r="Z1494" s="581" t="s">
        <v>178</v>
      </c>
      <c r="AA1494" s="581" t="s">
        <v>178</v>
      </c>
      <c r="AB1494" s="585">
        <v>40965</v>
      </c>
      <c r="AC1494" s="585" t="s">
        <v>164</v>
      </c>
      <c r="AD1494" s="585">
        <v>30045</v>
      </c>
      <c r="AE1494" s="587">
        <v>0.05</v>
      </c>
      <c r="AF1494" s="661" t="str">
        <f t="shared" si="164"/>
        <v>2019-LVN-FRD-T35W-024-26</v>
      </c>
      <c r="AG1494" s="661" t="str">
        <f>IF(AND($Y1494&gt;=32,(AI1494="I"),(Y1494&lt;&gt;"~"),(COUNTIF($AN$1:$AN1494,$AN1494)=1)),"TRUE","FALSE")</f>
        <v>FALSE</v>
      </c>
      <c r="AH1494" s="661" t="str">
        <f>IF(AND($Y1494&gt;=22, (AI1494&lt;&gt;"I"),(Y1494&lt;&gt;"~"),(COUNTIF($AN$1:$AN1494,$AN1494)=1)),"TRUE","FALSE")</f>
        <v>FALSE</v>
      </c>
      <c r="AI1494" s="661" t="str">
        <f t="shared" si="159"/>
        <v>II</v>
      </c>
      <c r="AJ1494" s="662" t="str">
        <f t="shared" si="160"/>
        <v>T35W-024</v>
      </c>
      <c r="AK1494" s="662" t="str">
        <f t="shared" si="161"/>
        <v>LVN</v>
      </c>
      <c r="AL1494" s="662" t="str">
        <f t="shared" si="162"/>
        <v>FRD</v>
      </c>
      <c r="AM1494" s="662" t="str">
        <f t="shared" si="158"/>
        <v>Transit 350 Wagon-XL Swing-Out RH Door-RWD-12-82.4-~-3.7L-6-X2Z-301A-147.6-25-Unleaded-Unleaded</v>
      </c>
      <c r="AN1494" s="662" t="str">
        <f t="shared" si="163"/>
        <v>2019-LVN-FRD-T35W-024</v>
      </c>
    </row>
    <row r="1495" spans="1:40" s="572" customFormat="1" ht="15">
      <c r="A1495" s="570" t="s">
        <v>2885</v>
      </c>
      <c r="B1495" s="573" t="s">
        <v>2865</v>
      </c>
      <c r="C1495" s="573" t="s">
        <v>280</v>
      </c>
      <c r="D1495" s="578">
        <v>27</v>
      </c>
      <c r="E1495" s="573" t="s">
        <v>1516</v>
      </c>
      <c r="F1495" s="573" t="s">
        <v>1607</v>
      </c>
      <c r="G1495" s="573" t="s">
        <v>271</v>
      </c>
      <c r="H1495" s="573">
        <v>2019</v>
      </c>
      <c r="I1495" s="573" t="s">
        <v>2769</v>
      </c>
      <c r="J1495" s="573" t="s">
        <v>2086</v>
      </c>
      <c r="K1495" s="573" t="s">
        <v>236</v>
      </c>
      <c r="L1495" s="573">
        <v>12</v>
      </c>
      <c r="M1495" s="573">
        <v>0</v>
      </c>
      <c r="N1495" s="573" t="s">
        <v>157</v>
      </c>
      <c r="O1495" s="573">
        <v>4</v>
      </c>
      <c r="P1495" s="573">
        <v>82.4</v>
      </c>
      <c r="Q1495" s="571" t="s">
        <v>157</v>
      </c>
      <c r="R1495" s="573" t="s">
        <v>1917</v>
      </c>
      <c r="S1495" s="573">
        <v>5</v>
      </c>
      <c r="T1495" s="573" t="s">
        <v>2866</v>
      </c>
      <c r="U1495" s="573" t="s">
        <v>434</v>
      </c>
      <c r="V1495" s="573">
        <v>147.6</v>
      </c>
      <c r="W1495" s="573">
        <v>25</v>
      </c>
      <c r="X1495" s="571">
        <v>9250</v>
      </c>
      <c r="Y1495" s="573">
        <v>12</v>
      </c>
      <c r="Z1495" s="579" t="s">
        <v>728</v>
      </c>
      <c r="AA1495" s="579" t="s">
        <v>1523</v>
      </c>
      <c r="AB1495" s="584">
        <v>44960</v>
      </c>
      <c r="AC1495" s="584" t="s">
        <v>164</v>
      </c>
      <c r="AD1495" s="584">
        <v>32753.375</v>
      </c>
      <c r="AE1495" s="586">
        <v>0.03</v>
      </c>
      <c r="AF1495" s="661" t="str">
        <f t="shared" si="164"/>
        <v>2019-LVN-FRD-T35W-022-27</v>
      </c>
      <c r="AG1495" s="661" t="str">
        <f>IF(AND($Y1495&gt;=32,(AI1495="I"),(Y1495&lt;&gt;"~"),(COUNTIF($AN$1:$AN1495,$AN1495)=1)),"TRUE","FALSE")</f>
        <v>FALSE</v>
      </c>
      <c r="AH1495" s="661" t="str">
        <f>IF(AND($Y1495&gt;=22, (AI1495&lt;&gt;"I"),(Y1495&lt;&gt;"~"),(COUNTIF($AN$1:$AN1495,$AN1495)=1)),"TRUE","FALSE")</f>
        <v>FALSE</v>
      </c>
      <c r="AI1495" s="661" t="str">
        <f t="shared" si="159"/>
        <v>II</v>
      </c>
      <c r="AJ1495" s="662" t="str">
        <f t="shared" si="160"/>
        <v>T35W-022</v>
      </c>
      <c r="AK1495" s="662" t="str">
        <f t="shared" si="161"/>
        <v>LVN</v>
      </c>
      <c r="AL1495" s="662" t="str">
        <f t="shared" si="162"/>
        <v>FRD</v>
      </c>
      <c r="AM1495" s="662" t="str">
        <f t="shared" si="158"/>
        <v>Transit 350 Wagon-XL Swing-Out RH Door-RWD-12-82.4-~-3.2L-5-X2Z-301A-147.6-25-Diesel-BioDiesel</v>
      </c>
      <c r="AN1495" s="662" t="str">
        <f t="shared" si="163"/>
        <v>2019-LVN-FRD-T35W-022</v>
      </c>
    </row>
    <row r="1496" spans="1:40" s="572" customFormat="1" ht="15">
      <c r="A1496" s="570" t="s">
        <v>2886</v>
      </c>
      <c r="B1496" s="569" t="s">
        <v>2868</v>
      </c>
      <c r="C1496" s="569" t="s">
        <v>280</v>
      </c>
      <c r="D1496" s="580">
        <v>27</v>
      </c>
      <c r="E1496" s="569" t="s">
        <v>1516</v>
      </c>
      <c r="F1496" s="569" t="s">
        <v>1607</v>
      </c>
      <c r="G1496" s="569" t="s">
        <v>271</v>
      </c>
      <c r="H1496" s="569">
        <v>2019</v>
      </c>
      <c r="I1496" s="569" t="s">
        <v>2769</v>
      </c>
      <c r="J1496" s="569" t="s">
        <v>2086</v>
      </c>
      <c r="K1496" s="569" t="s">
        <v>236</v>
      </c>
      <c r="L1496" s="569">
        <v>12</v>
      </c>
      <c r="M1496" s="569">
        <v>0</v>
      </c>
      <c r="N1496" s="569" t="s">
        <v>157</v>
      </c>
      <c r="O1496" s="569">
        <v>4</v>
      </c>
      <c r="P1496" s="569">
        <v>82.4</v>
      </c>
      <c r="Q1496" s="568" t="s">
        <v>157</v>
      </c>
      <c r="R1496" s="569" t="s">
        <v>1259</v>
      </c>
      <c r="S1496" s="569">
        <v>6</v>
      </c>
      <c r="T1496" s="569" t="s">
        <v>2866</v>
      </c>
      <c r="U1496" s="569" t="s">
        <v>434</v>
      </c>
      <c r="V1496" s="569">
        <v>147.6</v>
      </c>
      <c r="W1496" s="569">
        <v>25</v>
      </c>
      <c r="X1496" s="568">
        <v>9000</v>
      </c>
      <c r="Y1496" s="569">
        <v>12</v>
      </c>
      <c r="Z1496" s="581" t="s">
        <v>178</v>
      </c>
      <c r="AA1496" s="581" t="s">
        <v>178</v>
      </c>
      <c r="AB1496" s="585">
        <v>42830</v>
      </c>
      <c r="AC1496" s="585" t="s">
        <v>164</v>
      </c>
      <c r="AD1496" s="585">
        <v>30860.083333333336</v>
      </c>
      <c r="AE1496" s="587">
        <v>0.03</v>
      </c>
      <c r="AF1496" s="661" t="str">
        <f t="shared" si="164"/>
        <v>2019-LVN-FRD-T35W-023-27</v>
      </c>
      <c r="AG1496" s="661" t="str">
        <f>IF(AND($Y1496&gt;=32,(AI1496="I"),(Y1496&lt;&gt;"~"),(COUNTIF($AN$1:$AN1496,$AN1496)=1)),"TRUE","FALSE")</f>
        <v>FALSE</v>
      </c>
      <c r="AH1496" s="661" t="str">
        <f>IF(AND($Y1496&gt;=22, (AI1496&lt;&gt;"I"),(Y1496&lt;&gt;"~"),(COUNTIF($AN$1:$AN1496,$AN1496)=1)),"TRUE","FALSE")</f>
        <v>FALSE</v>
      </c>
      <c r="AI1496" s="661" t="str">
        <f t="shared" si="159"/>
        <v>II</v>
      </c>
      <c r="AJ1496" s="662" t="str">
        <f t="shared" si="160"/>
        <v>T35W-023</v>
      </c>
      <c r="AK1496" s="662" t="str">
        <f t="shared" si="161"/>
        <v>LVN</v>
      </c>
      <c r="AL1496" s="662" t="str">
        <f t="shared" si="162"/>
        <v>FRD</v>
      </c>
      <c r="AM1496" s="662" t="str">
        <f t="shared" si="158"/>
        <v>Transit 350 Wagon-XL Swing-Out RH Door-RWD-12-82.4-~-3.5L EcoBoost-6-X2Z-301A-147.6-25-Unleaded-Unleaded</v>
      </c>
      <c r="AN1496" s="662" t="str">
        <f t="shared" si="163"/>
        <v>2019-LVN-FRD-T35W-023</v>
      </c>
    </row>
    <row r="1497" spans="1:40" s="572" customFormat="1" ht="15">
      <c r="A1497" s="570" t="s">
        <v>2887</v>
      </c>
      <c r="B1497" s="573" t="s">
        <v>2870</v>
      </c>
      <c r="C1497" s="573" t="s">
        <v>280</v>
      </c>
      <c r="D1497" s="578">
        <v>27</v>
      </c>
      <c r="E1497" s="573" t="s">
        <v>1516</v>
      </c>
      <c r="F1497" s="573" t="s">
        <v>1607</v>
      </c>
      <c r="G1497" s="573" t="s">
        <v>271</v>
      </c>
      <c r="H1497" s="573">
        <v>2019</v>
      </c>
      <c r="I1497" s="573" t="s">
        <v>2769</v>
      </c>
      <c r="J1497" s="573" t="s">
        <v>2086</v>
      </c>
      <c r="K1497" s="573" t="s">
        <v>236</v>
      </c>
      <c r="L1497" s="573">
        <v>12</v>
      </c>
      <c r="M1497" s="573">
        <v>0</v>
      </c>
      <c r="N1497" s="573" t="s">
        <v>157</v>
      </c>
      <c r="O1497" s="573">
        <v>4</v>
      </c>
      <c r="P1497" s="573">
        <v>82.4</v>
      </c>
      <c r="Q1497" s="571" t="s">
        <v>157</v>
      </c>
      <c r="R1497" s="573" t="s">
        <v>682</v>
      </c>
      <c r="S1497" s="573">
        <v>6</v>
      </c>
      <c r="T1497" s="573" t="s">
        <v>2866</v>
      </c>
      <c r="U1497" s="573" t="s">
        <v>434</v>
      </c>
      <c r="V1497" s="573">
        <v>147.6</v>
      </c>
      <c r="W1497" s="573">
        <v>25</v>
      </c>
      <c r="X1497" s="571">
        <v>9000</v>
      </c>
      <c r="Y1497" s="573">
        <v>12</v>
      </c>
      <c r="Z1497" s="579" t="s">
        <v>178</v>
      </c>
      <c r="AA1497" s="579" t="s">
        <v>178</v>
      </c>
      <c r="AB1497" s="584">
        <v>40965</v>
      </c>
      <c r="AC1497" s="584" t="s">
        <v>164</v>
      </c>
      <c r="AD1497" s="584">
        <v>29203.833333333336</v>
      </c>
      <c r="AE1497" s="586">
        <v>0.03</v>
      </c>
      <c r="AF1497" s="661" t="str">
        <f t="shared" si="164"/>
        <v>2019-LVN-FRD-T35W-024-27</v>
      </c>
      <c r="AG1497" s="661" t="str">
        <f>IF(AND($Y1497&gt;=32,(AI1497="I"),(Y1497&lt;&gt;"~"),(COUNTIF($AN$1:$AN1497,$AN1497)=1)),"TRUE","FALSE")</f>
        <v>FALSE</v>
      </c>
      <c r="AH1497" s="661" t="str">
        <f>IF(AND($Y1497&gt;=22, (AI1497&lt;&gt;"I"),(Y1497&lt;&gt;"~"),(COUNTIF($AN$1:$AN1497,$AN1497)=1)),"TRUE","FALSE")</f>
        <v>FALSE</v>
      </c>
      <c r="AI1497" s="661" t="str">
        <f t="shared" si="159"/>
        <v>II</v>
      </c>
      <c r="AJ1497" s="662" t="str">
        <f t="shared" si="160"/>
        <v>T35W-024</v>
      </c>
      <c r="AK1497" s="662" t="str">
        <f t="shared" si="161"/>
        <v>LVN</v>
      </c>
      <c r="AL1497" s="662" t="str">
        <f t="shared" si="162"/>
        <v>FRD</v>
      </c>
      <c r="AM1497" s="662" t="str">
        <f t="shared" si="158"/>
        <v>Transit 350 Wagon-XL Swing-Out RH Door-RWD-12-82.4-~-3.7L-6-X2Z-301A-147.6-25-Unleaded-Unleaded</v>
      </c>
      <c r="AN1497" s="662" t="str">
        <f t="shared" si="163"/>
        <v>2019-LVN-FRD-T35W-024</v>
      </c>
    </row>
    <row r="1498" spans="1:40" s="572" customFormat="1" ht="15">
      <c r="A1498" s="570" t="s">
        <v>2888</v>
      </c>
      <c r="B1498" s="569" t="s">
        <v>2872</v>
      </c>
      <c r="C1498" s="569" t="s">
        <v>280</v>
      </c>
      <c r="D1498" s="580">
        <v>27</v>
      </c>
      <c r="E1498" s="569" t="s">
        <v>1516</v>
      </c>
      <c r="F1498" s="569" t="s">
        <v>1607</v>
      </c>
      <c r="G1498" s="569" t="s">
        <v>271</v>
      </c>
      <c r="H1498" s="569">
        <v>2019</v>
      </c>
      <c r="I1498" s="569" t="s">
        <v>2769</v>
      </c>
      <c r="J1498" s="569" t="s">
        <v>2086</v>
      </c>
      <c r="K1498" s="569" t="s">
        <v>236</v>
      </c>
      <c r="L1498" s="569">
        <v>15</v>
      </c>
      <c r="M1498" s="569">
        <v>0</v>
      </c>
      <c r="N1498" s="569" t="s">
        <v>157</v>
      </c>
      <c r="O1498" s="569">
        <v>5</v>
      </c>
      <c r="P1498" s="569">
        <v>82.4</v>
      </c>
      <c r="Q1498" s="568" t="s">
        <v>157</v>
      </c>
      <c r="R1498" s="569" t="s">
        <v>1917</v>
      </c>
      <c r="S1498" s="569">
        <v>5</v>
      </c>
      <c r="T1498" s="569" t="s">
        <v>2866</v>
      </c>
      <c r="U1498" s="569" t="s">
        <v>434</v>
      </c>
      <c r="V1498" s="569">
        <v>147.6</v>
      </c>
      <c r="W1498" s="569">
        <v>25</v>
      </c>
      <c r="X1498" s="568">
        <v>9250</v>
      </c>
      <c r="Y1498" s="569">
        <v>12</v>
      </c>
      <c r="Z1498" s="581" t="s">
        <v>728</v>
      </c>
      <c r="AA1498" s="581" t="s">
        <v>1523</v>
      </c>
      <c r="AB1498" s="585">
        <v>44960</v>
      </c>
      <c r="AC1498" s="585" t="s">
        <v>164</v>
      </c>
      <c r="AD1498" s="585">
        <v>32753.375</v>
      </c>
      <c r="AE1498" s="587">
        <v>0.03</v>
      </c>
      <c r="AF1498" s="661" t="str">
        <f t="shared" si="164"/>
        <v>2019-LVN-FRD-T35W-026-27</v>
      </c>
      <c r="AG1498" s="661" t="str">
        <f>IF(AND($Y1498&gt;=32,(AI1498="I"),(Y1498&lt;&gt;"~"),(COUNTIF($AN$1:$AN1498,$AN1498)=1)),"TRUE","FALSE")</f>
        <v>FALSE</v>
      </c>
      <c r="AH1498" s="661" t="str">
        <f>IF(AND($Y1498&gt;=22, (AI1498&lt;&gt;"I"),(Y1498&lt;&gt;"~"),(COUNTIF($AN$1:$AN1498,$AN1498)=1)),"TRUE","FALSE")</f>
        <v>FALSE</v>
      </c>
      <c r="AI1498" s="661" t="str">
        <f t="shared" si="159"/>
        <v>II</v>
      </c>
      <c r="AJ1498" s="662" t="str">
        <f t="shared" si="160"/>
        <v>T35W-026</v>
      </c>
      <c r="AK1498" s="662" t="str">
        <f t="shared" si="161"/>
        <v>LVN</v>
      </c>
      <c r="AL1498" s="662" t="str">
        <f t="shared" si="162"/>
        <v>FRD</v>
      </c>
      <c r="AM1498" s="662" t="str">
        <f t="shared" si="158"/>
        <v>Transit 350 Wagon-XL Swing-Out RH Door-RWD-15-82.4-~-3.2L-5-X2Z-301A-147.6-25-Diesel-BioDiesel</v>
      </c>
      <c r="AN1498" s="662" t="str">
        <f t="shared" si="163"/>
        <v>2019-LVN-FRD-T35W-026</v>
      </c>
    </row>
    <row r="1499" spans="1:40" s="572" customFormat="1" ht="15">
      <c r="A1499" s="570" t="s">
        <v>2889</v>
      </c>
      <c r="B1499" s="573" t="s">
        <v>2874</v>
      </c>
      <c r="C1499" s="573" t="s">
        <v>280</v>
      </c>
      <c r="D1499" s="578">
        <v>27</v>
      </c>
      <c r="E1499" s="573" t="s">
        <v>1516</v>
      </c>
      <c r="F1499" s="573" t="s">
        <v>1607</v>
      </c>
      <c r="G1499" s="573" t="s">
        <v>271</v>
      </c>
      <c r="H1499" s="573">
        <v>2019</v>
      </c>
      <c r="I1499" s="573" t="s">
        <v>2769</v>
      </c>
      <c r="J1499" s="573" t="s">
        <v>2086</v>
      </c>
      <c r="K1499" s="573" t="s">
        <v>236</v>
      </c>
      <c r="L1499" s="573">
        <v>15</v>
      </c>
      <c r="M1499" s="573">
        <v>0</v>
      </c>
      <c r="N1499" s="573" t="s">
        <v>157</v>
      </c>
      <c r="O1499" s="573">
        <v>5</v>
      </c>
      <c r="P1499" s="573">
        <v>82.4</v>
      </c>
      <c r="Q1499" s="571" t="s">
        <v>157</v>
      </c>
      <c r="R1499" s="573" t="s">
        <v>1259</v>
      </c>
      <c r="S1499" s="573">
        <v>6</v>
      </c>
      <c r="T1499" s="573" t="s">
        <v>2866</v>
      </c>
      <c r="U1499" s="573" t="s">
        <v>434</v>
      </c>
      <c r="V1499" s="573">
        <v>147.6</v>
      </c>
      <c r="W1499" s="573">
        <v>25</v>
      </c>
      <c r="X1499" s="571">
        <v>9000</v>
      </c>
      <c r="Y1499" s="573">
        <v>12</v>
      </c>
      <c r="Z1499" s="579" t="s">
        <v>178</v>
      </c>
      <c r="AA1499" s="579" t="s">
        <v>178</v>
      </c>
      <c r="AB1499" s="584">
        <v>42830</v>
      </c>
      <c r="AC1499" s="584" t="s">
        <v>164</v>
      </c>
      <c r="AD1499" s="584">
        <v>30860.083333333336</v>
      </c>
      <c r="AE1499" s="586">
        <v>0.03</v>
      </c>
      <c r="AF1499" s="661" t="str">
        <f t="shared" si="164"/>
        <v>2019-LVN-FRD-T35W-027-27</v>
      </c>
      <c r="AG1499" s="661" t="str">
        <f>IF(AND($Y1499&gt;=32,(AI1499="I"),(Y1499&lt;&gt;"~"),(COUNTIF($AN$1:$AN1499,$AN1499)=1)),"TRUE","FALSE")</f>
        <v>FALSE</v>
      </c>
      <c r="AH1499" s="661" t="str">
        <f>IF(AND($Y1499&gt;=22, (AI1499&lt;&gt;"I"),(Y1499&lt;&gt;"~"),(COUNTIF($AN$1:$AN1499,$AN1499)=1)),"TRUE","FALSE")</f>
        <v>FALSE</v>
      </c>
      <c r="AI1499" s="661" t="str">
        <f t="shared" si="159"/>
        <v>II</v>
      </c>
      <c r="AJ1499" s="662" t="str">
        <f t="shared" si="160"/>
        <v>T35W-027</v>
      </c>
      <c r="AK1499" s="662" t="str">
        <f t="shared" si="161"/>
        <v>LVN</v>
      </c>
      <c r="AL1499" s="662" t="str">
        <f t="shared" si="162"/>
        <v>FRD</v>
      </c>
      <c r="AM1499" s="662" t="str">
        <f t="shared" ref="AM1499:AM1562" si="165">CONCATENATE(I1499,"-",J1499,"-",K1499,"-",L1499,"-",P1499,"-",Q1499,"-",R1499,"-",S1499,"-",T1499,"-",U1499,"-",V1499,"-",W1499,"-",Z1499,"-",AA1499)</f>
        <v>Transit 350 Wagon-XL Swing-Out RH Door-RWD-15-82.4-~-3.5L EcoBoost-6-X2Z-301A-147.6-25-Unleaded-Unleaded</v>
      </c>
      <c r="AN1499" s="662" t="str">
        <f t="shared" si="163"/>
        <v>2019-LVN-FRD-T35W-027</v>
      </c>
    </row>
    <row r="1500" spans="1:40" s="572" customFormat="1" ht="15">
      <c r="A1500" s="570" t="s">
        <v>2890</v>
      </c>
      <c r="B1500" s="569" t="s">
        <v>2891</v>
      </c>
      <c r="C1500" s="569" t="s">
        <v>269</v>
      </c>
      <c r="D1500" s="580" t="s">
        <v>270</v>
      </c>
      <c r="E1500" s="569" t="s">
        <v>1516</v>
      </c>
      <c r="F1500" s="569" t="s">
        <v>1607</v>
      </c>
      <c r="G1500" s="569" t="s">
        <v>271</v>
      </c>
      <c r="H1500" s="569">
        <v>2019</v>
      </c>
      <c r="I1500" s="569" t="s">
        <v>2769</v>
      </c>
      <c r="J1500" s="569" t="s">
        <v>2106</v>
      </c>
      <c r="K1500" s="569" t="s">
        <v>236</v>
      </c>
      <c r="L1500" s="569">
        <v>12</v>
      </c>
      <c r="M1500" s="569">
        <v>0</v>
      </c>
      <c r="N1500" s="569" t="s">
        <v>157</v>
      </c>
      <c r="O1500" s="569">
        <v>4</v>
      </c>
      <c r="P1500" s="569">
        <v>108.6</v>
      </c>
      <c r="Q1500" s="568" t="s">
        <v>157</v>
      </c>
      <c r="R1500" s="569" t="s">
        <v>1917</v>
      </c>
      <c r="S1500" s="569">
        <v>5</v>
      </c>
      <c r="T1500" s="569" t="s">
        <v>2770</v>
      </c>
      <c r="U1500" s="569" t="s">
        <v>2107</v>
      </c>
      <c r="V1500" s="569">
        <v>147.6</v>
      </c>
      <c r="W1500" s="569">
        <v>25</v>
      </c>
      <c r="X1500" s="568">
        <v>9250</v>
      </c>
      <c r="Y1500" s="569">
        <v>12</v>
      </c>
      <c r="Z1500" s="581" t="s">
        <v>728</v>
      </c>
      <c r="AA1500" s="581" t="s">
        <v>1523</v>
      </c>
      <c r="AB1500" s="585">
        <v>49305</v>
      </c>
      <c r="AC1500" s="585" t="s">
        <v>164</v>
      </c>
      <c r="AD1500" s="585">
        <v>38807.541666666664</v>
      </c>
      <c r="AE1500" s="587">
        <v>0.03</v>
      </c>
      <c r="AF1500" s="661" t="str">
        <f t="shared" si="164"/>
        <v>2019-LVN-FRD-T35W-032-05</v>
      </c>
      <c r="AG1500" s="661" t="str">
        <f>IF(AND($Y1500&gt;=32,(AI1500="I"),(Y1500&lt;&gt;"~"),(COUNTIF($AN$1:$AN1500,$AN1500)=1)),"TRUE","FALSE")</f>
        <v>FALSE</v>
      </c>
      <c r="AH1500" s="661" t="str">
        <f>IF(AND($Y1500&gt;=22, (AI1500&lt;&gt;"I"),(Y1500&lt;&gt;"~"),(COUNTIF($AN$1:$AN1500,$AN1500)=1)),"TRUE","FALSE")</f>
        <v>FALSE</v>
      </c>
      <c r="AI1500" s="661" t="str">
        <f t="shared" ref="AI1500:AI1563" si="166">IF(OR((LEFT($E1500,2)="01"),AND(LEFT($E1500,2)="06",ISNUMBER(SEARCH("pas",$F1500))),AND(LEFT($E1500,2)="05",ISNUMBER(SEARCH("pas",$F1500)))),"I",IF(AND((LEFT($E1500,2)&lt;&gt;"01"),$X1500&lt;=10000),"II",IF(AND((LEFT($E1500,2)&lt;&gt;"01"),$X1500&gt;10000),"N/A")))</f>
        <v>II</v>
      </c>
      <c r="AJ1500" s="662" t="str">
        <f t="shared" si="160"/>
        <v>T35W-032</v>
      </c>
      <c r="AK1500" s="662" t="str">
        <f t="shared" si="161"/>
        <v>LVN</v>
      </c>
      <c r="AL1500" s="662" t="str">
        <f t="shared" si="162"/>
        <v>FRD</v>
      </c>
      <c r="AM1500" s="662" t="str">
        <f t="shared" si="165"/>
        <v>Transit 350 Wagon-XLT Sliding RH Door-RWD-12-108.6-~-3.2L-5-X2X-302A-147.6-25-Diesel-BioDiesel</v>
      </c>
      <c r="AN1500" s="662" t="str">
        <f t="shared" si="163"/>
        <v>2019-LVN-FRD-T35W-032</v>
      </c>
    </row>
    <row r="1501" spans="1:40" s="572" customFormat="1" ht="15">
      <c r="A1501" s="570" t="s">
        <v>2892</v>
      </c>
      <c r="B1501" s="573" t="s">
        <v>2893</v>
      </c>
      <c r="C1501" s="573" t="s">
        <v>269</v>
      </c>
      <c r="D1501" s="578" t="s">
        <v>270</v>
      </c>
      <c r="E1501" s="573" t="s">
        <v>1516</v>
      </c>
      <c r="F1501" s="573" t="s">
        <v>1607</v>
      </c>
      <c r="G1501" s="573" t="s">
        <v>271</v>
      </c>
      <c r="H1501" s="573">
        <v>2019</v>
      </c>
      <c r="I1501" s="573" t="s">
        <v>2769</v>
      </c>
      <c r="J1501" s="573" t="s">
        <v>2106</v>
      </c>
      <c r="K1501" s="573" t="s">
        <v>236</v>
      </c>
      <c r="L1501" s="573">
        <v>12</v>
      </c>
      <c r="M1501" s="573">
        <v>0</v>
      </c>
      <c r="N1501" s="573" t="s">
        <v>157</v>
      </c>
      <c r="O1501" s="573">
        <v>4</v>
      </c>
      <c r="P1501" s="573">
        <v>108.6</v>
      </c>
      <c r="Q1501" s="571" t="s">
        <v>157</v>
      </c>
      <c r="R1501" s="573" t="s">
        <v>1259</v>
      </c>
      <c r="S1501" s="573">
        <v>6</v>
      </c>
      <c r="T1501" s="573" t="s">
        <v>2770</v>
      </c>
      <c r="U1501" s="573" t="s">
        <v>2107</v>
      </c>
      <c r="V1501" s="573">
        <v>147.6</v>
      </c>
      <c r="W1501" s="573">
        <v>25</v>
      </c>
      <c r="X1501" s="571">
        <v>9000</v>
      </c>
      <c r="Y1501" s="573">
        <v>12</v>
      </c>
      <c r="Z1501" s="579" t="s">
        <v>178</v>
      </c>
      <c r="AA1501" s="579" t="s">
        <v>178</v>
      </c>
      <c r="AB1501" s="584">
        <v>47175</v>
      </c>
      <c r="AC1501" s="584" t="s">
        <v>164</v>
      </c>
      <c r="AD1501" s="584">
        <v>36914.25</v>
      </c>
      <c r="AE1501" s="586">
        <v>0.03</v>
      </c>
      <c r="AF1501" s="661" t="str">
        <f t="shared" si="164"/>
        <v>2019-LVN-FRD-T35W-033-05</v>
      </c>
      <c r="AG1501" s="661" t="str">
        <f>IF(AND($Y1501&gt;=32,(AI1501="I"),(Y1501&lt;&gt;"~"),(COUNTIF($AN$1:$AN1501,$AN1501)=1)),"TRUE","FALSE")</f>
        <v>FALSE</v>
      </c>
      <c r="AH1501" s="661" t="str">
        <f>IF(AND($Y1501&gt;=22, (AI1501&lt;&gt;"I"),(Y1501&lt;&gt;"~"),(COUNTIF($AN$1:$AN1501,$AN1501)=1)),"TRUE","FALSE")</f>
        <v>FALSE</v>
      </c>
      <c r="AI1501" s="661" t="str">
        <f t="shared" si="166"/>
        <v>II</v>
      </c>
      <c r="AJ1501" s="662" t="str">
        <f t="shared" si="160"/>
        <v>T35W-033</v>
      </c>
      <c r="AK1501" s="662" t="str">
        <f t="shared" si="161"/>
        <v>LVN</v>
      </c>
      <c r="AL1501" s="662" t="str">
        <f t="shared" si="162"/>
        <v>FRD</v>
      </c>
      <c r="AM1501" s="662" t="str">
        <f t="shared" si="165"/>
        <v>Transit 350 Wagon-XLT Sliding RH Door-RWD-12-108.6-~-3.5L EcoBoost-6-X2X-302A-147.6-25-Unleaded-Unleaded</v>
      </c>
      <c r="AN1501" s="662" t="str">
        <f t="shared" si="163"/>
        <v>2019-LVN-FRD-T35W-033</v>
      </c>
    </row>
    <row r="1502" spans="1:40" s="572" customFormat="1" ht="15">
      <c r="A1502" s="570" t="s">
        <v>2894</v>
      </c>
      <c r="B1502" s="569" t="s">
        <v>2895</v>
      </c>
      <c r="C1502" s="569" t="s">
        <v>269</v>
      </c>
      <c r="D1502" s="580" t="s">
        <v>270</v>
      </c>
      <c r="E1502" s="569" t="s">
        <v>1516</v>
      </c>
      <c r="F1502" s="569" t="s">
        <v>1607</v>
      </c>
      <c r="G1502" s="569" t="s">
        <v>271</v>
      </c>
      <c r="H1502" s="569">
        <v>2019</v>
      </c>
      <c r="I1502" s="569" t="s">
        <v>2769</v>
      </c>
      <c r="J1502" s="569" t="s">
        <v>2106</v>
      </c>
      <c r="K1502" s="569" t="s">
        <v>236</v>
      </c>
      <c r="L1502" s="569">
        <v>12</v>
      </c>
      <c r="M1502" s="569">
        <v>0</v>
      </c>
      <c r="N1502" s="569" t="s">
        <v>157</v>
      </c>
      <c r="O1502" s="569">
        <v>4</v>
      </c>
      <c r="P1502" s="569">
        <v>108.6</v>
      </c>
      <c r="Q1502" s="568" t="s">
        <v>157</v>
      </c>
      <c r="R1502" s="569" t="s">
        <v>682</v>
      </c>
      <c r="S1502" s="569">
        <v>6</v>
      </c>
      <c r="T1502" s="569" t="s">
        <v>2770</v>
      </c>
      <c r="U1502" s="569" t="s">
        <v>2107</v>
      </c>
      <c r="V1502" s="569">
        <v>147.6</v>
      </c>
      <c r="W1502" s="569">
        <v>25</v>
      </c>
      <c r="X1502" s="568">
        <v>9000</v>
      </c>
      <c r="Y1502" s="569">
        <v>12</v>
      </c>
      <c r="Z1502" s="581" t="s">
        <v>178</v>
      </c>
      <c r="AA1502" s="581" t="s">
        <v>178</v>
      </c>
      <c r="AB1502" s="585">
        <v>45310</v>
      </c>
      <c r="AC1502" s="585" t="s">
        <v>164</v>
      </c>
      <c r="AD1502" s="585">
        <v>35258</v>
      </c>
      <c r="AE1502" s="587">
        <v>0.03</v>
      </c>
      <c r="AF1502" s="661" t="str">
        <f t="shared" si="164"/>
        <v>2019-LVN-FRD-T35W-034-05</v>
      </c>
      <c r="AG1502" s="661" t="str">
        <f>IF(AND($Y1502&gt;=32,(AI1502="I"),(Y1502&lt;&gt;"~"),(COUNTIF($AN$1:$AN1502,$AN1502)=1)),"TRUE","FALSE")</f>
        <v>FALSE</v>
      </c>
      <c r="AH1502" s="661" t="str">
        <f>IF(AND($Y1502&gt;=22, (AI1502&lt;&gt;"I"),(Y1502&lt;&gt;"~"),(COUNTIF($AN$1:$AN1502,$AN1502)=1)),"TRUE","FALSE")</f>
        <v>FALSE</v>
      </c>
      <c r="AI1502" s="661" t="str">
        <f t="shared" si="166"/>
        <v>II</v>
      </c>
      <c r="AJ1502" s="662" t="str">
        <f t="shared" si="160"/>
        <v>T35W-034</v>
      </c>
      <c r="AK1502" s="662" t="str">
        <f t="shared" si="161"/>
        <v>LVN</v>
      </c>
      <c r="AL1502" s="662" t="str">
        <f t="shared" si="162"/>
        <v>FRD</v>
      </c>
      <c r="AM1502" s="662" t="str">
        <f t="shared" si="165"/>
        <v>Transit 350 Wagon-XLT Sliding RH Door-RWD-12-108.6-~-3.7L-6-X2X-302A-147.6-25-Unleaded-Unleaded</v>
      </c>
      <c r="AN1502" s="662" t="str">
        <f t="shared" si="163"/>
        <v>2019-LVN-FRD-T35W-034</v>
      </c>
    </row>
    <row r="1503" spans="1:40" s="572" customFormat="1" ht="15">
      <c r="A1503" s="570" t="s">
        <v>2896</v>
      </c>
      <c r="B1503" s="573" t="s">
        <v>2897</v>
      </c>
      <c r="C1503" s="573" t="s">
        <v>269</v>
      </c>
      <c r="D1503" s="578" t="s">
        <v>270</v>
      </c>
      <c r="E1503" s="573" t="s">
        <v>1516</v>
      </c>
      <c r="F1503" s="573" t="s">
        <v>1607</v>
      </c>
      <c r="G1503" s="573" t="s">
        <v>271</v>
      </c>
      <c r="H1503" s="573">
        <v>2019</v>
      </c>
      <c r="I1503" s="573" t="s">
        <v>2769</v>
      </c>
      <c r="J1503" s="573" t="s">
        <v>2106</v>
      </c>
      <c r="K1503" s="573" t="s">
        <v>236</v>
      </c>
      <c r="L1503" s="573">
        <v>12</v>
      </c>
      <c r="M1503" s="573">
        <v>0</v>
      </c>
      <c r="N1503" s="573" t="s">
        <v>157</v>
      </c>
      <c r="O1503" s="573">
        <v>4</v>
      </c>
      <c r="P1503" s="573">
        <v>82.4</v>
      </c>
      <c r="Q1503" s="571" t="s">
        <v>157</v>
      </c>
      <c r="R1503" s="573" t="s">
        <v>1917</v>
      </c>
      <c r="S1503" s="573">
        <v>5</v>
      </c>
      <c r="T1503" s="573" t="s">
        <v>2777</v>
      </c>
      <c r="U1503" s="573" t="s">
        <v>2107</v>
      </c>
      <c r="V1503" s="573">
        <v>147.6</v>
      </c>
      <c r="W1503" s="573">
        <v>25</v>
      </c>
      <c r="X1503" s="571">
        <v>9250</v>
      </c>
      <c r="Y1503" s="573">
        <v>12</v>
      </c>
      <c r="Z1503" s="579" t="s">
        <v>728</v>
      </c>
      <c r="AA1503" s="579" t="s">
        <v>1523</v>
      </c>
      <c r="AB1503" s="584">
        <v>46405</v>
      </c>
      <c r="AC1503" s="584" t="s">
        <v>164</v>
      </c>
      <c r="AD1503" s="584">
        <v>34074.208333333336</v>
      </c>
      <c r="AE1503" s="586">
        <v>0.03</v>
      </c>
      <c r="AF1503" s="661" t="str">
        <f t="shared" si="164"/>
        <v>2019-LVN-FRD-T35W-069-05</v>
      </c>
      <c r="AG1503" s="661" t="str">
        <f>IF(AND($Y1503&gt;=32,(AI1503="I"),(Y1503&lt;&gt;"~"),(COUNTIF($AN$1:$AN1503,$AN1503)=1)),"TRUE","FALSE")</f>
        <v>FALSE</v>
      </c>
      <c r="AH1503" s="661" t="str">
        <f>IF(AND($Y1503&gt;=22, (AI1503&lt;&gt;"I"),(Y1503&lt;&gt;"~"),(COUNTIF($AN$1:$AN1503,$AN1503)=1)),"TRUE","FALSE")</f>
        <v>FALSE</v>
      </c>
      <c r="AI1503" s="661" t="str">
        <f t="shared" si="166"/>
        <v>II</v>
      </c>
      <c r="AJ1503" s="662" t="str">
        <f t="shared" si="160"/>
        <v>T35W-069</v>
      </c>
      <c r="AK1503" s="662" t="str">
        <f t="shared" si="161"/>
        <v>LVN</v>
      </c>
      <c r="AL1503" s="662" t="str">
        <f t="shared" si="162"/>
        <v>FRD</v>
      </c>
      <c r="AM1503" s="662" t="str">
        <f t="shared" si="165"/>
        <v>Transit 350 Wagon-XLT Sliding RH Door-RWD-12-82.4-~-3.2L-5-X2Y-302A-147.6-25-Diesel-BioDiesel</v>
      </c>
      <c r="AN1503" s="662" t="str">
        <f t="shared" si="163"/>
        <v>2019-LVN-FRD-T35W-069</v>
      </c>
    </row>
    <row r="1504" spans="1:40" s="572" customFormat="1" ht="15">
      <c r="A1504" s="570" t="s">
        <v>2898</v>
      </c>
      <c r="B1504" s="569" t="s">
        <v>2899</v>
      </c>
      <c r="C1504" s="569" t="s">
        <v>269</v>
      </c>
      <c r="D1504" s="580" t="s">
        <v>270</v>
      </c>
      <c r="E1504" s="569" t="s">
        <v>1516</v>
      </c>
      <c r="F1504" s="569" t="s">
        <v>1607</v>
      </c>
      <c r="G1504" s="569" t="s">
        <v>271</v>
      </c>
      <c r="H1504" s="569">
        <v>2019</v>
      </c>
      <c r="I1504" s="569" t="s">
        <v>2769</v>
      </c>
      <c r="J1504" s="569" t="s">
        <v>2106</v>
      </c>
      <c r="K1504" s="569" t="s">
        <v>236</v>
      </c>
      <c r="L1504" s="569">
        <v>12</v>
      </c>
      <c r="M1504" s="569">
        <v>0</v>
      </c>
      <c r="N1504" s="569" t="s">
        <v>157</v>
      </c>
      <c r="O1504" s="569">
        <v>4</v>
      </c>
      <c r="P1504" s="569">
        <v>82.4</v>
      </c>
      <c r="Q1504" s="568" t="s">
        <v>157</v>
      </c>
      <c r="R1504" s="569" t="s">
        <v>1259</v>
      </c>
      <c r="S1504" s="569">
        <v>6</v>
      </c>
      <c r="T1504" s="569" t="s">
        <v>2777</v>
      </c>
      <c r="U1504" s="569" t="s">
        <v>434</v>
      </c>
      <c r="V1504" s="569">
        <v>147.6</v>
      </c>
      <c r="W1504" s="569">
        <v>25</v>
      </c>
      <c r="X1504" s="568">
        <v>9000</v>
      </c>
      <c r="Y1504" s="569">
        <v>12</v>
      </c>
      <c r="Z1504" s="581" t="s">
        <v>178</v>
      </c>
      <c r="AA1504" s="581" t="s">
        <v>178</v>
      </c>
      <c r="AB1504" s="585">
        <v>44275</v>
      </c>
      <c r="AC1504" s="585" t="s">
        <v>164</v>
      </c>
      <c r="AD1504" s="585">
        <v>32180.916666666668</v>
      </c>
      <c r="AE1504" s="587">
        <v>0.03</v>
      </c>
      <c r="AF1504" s="661" t="str">
        <f t="shared" si="164"/>
        <v>2019-LVN-FRD-T35W-070-05</v>
      </c>
      <c r="AG1504" s="661" t="str">
        <f>IF(AND($Y1504&gt;=32,(AI1504="I"),(Y1504&lt;&gt;"~"),(COUNTIF($AN$1:$AN1504,$AN1504)=1)),"TRUE","FALSE")</f>
        <v>FALSE</v>
      </c>
      <c r="AH1504" s="661" t="str">
        <f>IF(AND($Y1504&gt;=22, (AI1504&lt;&gt;"I"),(Y1504&lt;&gt;"~"),(COUNTIF($AN$1:$AN1504,$AN1504)=1)),"TRUE","FALSE")</f>
        <v>FALSE</v>
      </c>
      <c r="AI1504" s="661" t="str">
        <f t="shared" si="166"/>
        <v>II</v>
      </c>
      <c r="AJ1504" s="662" t="str">
        <f t="shared" si="160"/>
        <v>T35W-070</v>
      </c>
      <c r="AK1504" s="662" t="str">
        <f t="shared" si="161"/>
        <v>LVN</v>
      </c>
      <c r="AL1504" s="662" t="str">
        <f t="shared" si="162"/>
        <v>FRD</v>
      </c>
      <c r="AM1504" s="662" t="str">
        <f t="shared" si="165"/>
        <v>Transit 350 Wagon-XLT Sliding RH Door-RWD-12-82.4-~-3.5L EcoBoost-6-X2Y-301A-147.6-25-Unleaded-Unleaded</v>
      </c>
      <c r="AN1504" s="662" t="str">
        <f t="shared" si="163"/>
        <v>2019-LVN-FRD-T35W-070</v>
      </c>
    </row>
    <row r="1505" spans="1:40" s="572" customFormat="1" ht="15">
      <c r="A1505" s="570" t="s">
        <v>2900</v>
      </c>
      <c r="B1505" s="573" t="s">
        <v>2901</v>
      </c>
      <c r="C1505" s="573" t="s">
        <v>269</v>
      </c>
      <c r="D1505" s="578" t="s">
        <v>270</v>
      </c>
      <c r="E1505" s="573" t="s">
        <v>1516</v>
      </c>
      <c r="F1505" s="573" t="s">
        <v>1607</v>
      </c>
      <c r="G1505" s="573" t="s">
        <v>271</v>
      </c>
      <c r="H1505" s="573">
        <v>2019</v>
      </c>
      <c r="I1505" s="573" t="s">
        <v>2769</v>
      </c>
      <c r="J1505" s="573" t="s">
        <v>2106</v>
      </c>
      <c r="K1505" s="573" t="s">
        <v>236</v>
      </c>
      <c r="L1505" s="573">
        <v>12</v>
      </c>
      <c r="M1505" s="573">
        <v>0</v>
      </c>
      <c r="N1505" s="573" t="s">
        <v>157</v>
      </c>
      <c r="O1505" s="573">
        <v>4</v>
      </c>
      <c r="P1505" s="573">
        <v>82.4</v>
      </c>
      <c r="Q1505" s="571" t="s">
        <v>157</v>
      </c>
      <c r="R1505" s="573" t="s">
        <v>682</v>
      </c>
      <c r="S1505" s="573">
        <v>6</v>
      </c>
      <c r="T1505" s="573" t="s">
        <v>2777</v>
      </c>
      <c r="U1505" s="573" t="s">
        <v>2107</v>
      </c>
      <c r="V1505" s="573">
        <v>147.6</v>
      </c>
      <c r="W1505" s="573">
        <v>25</v>
      </c>
      <c r="X1505" s="571">
        <v>9000</v>
      </c>
      <c r="Y1505" s="573">
        <v>12</v>
      </c>
      <c r="Z1505" s="579" t="s">
        <v>178</v>
      </c>
      <c r="AA1505" s="579" t="s">
        <v>178</v>
      </c>
      <c r="AB1505" s="584">
        <v>42410</v>
      </c>
      <c r="AC1505" s="584" t="s">
        <v>164</v>
      </c>
      <c r="AD1505" s="584">
        <v>30524.666666666668</v>
      </c>
      <c r="AE1505" s="586">
        <v>0.03</v>
      </c>
      <c r="AF1505" s="661" t="str">
        <f t="shared" si="164"/>
        <v>2019-LVN-FRD-T35W-079-05</v>
      </c>
      <c r="AG1505" s="661" t="str">
        <f>IF(AND($Y1505&gt;=32,(AI1505="I"),(Y1505&lt;&gt;"~"),(COUNTIF($AN$1:$AN1505,$AN1505)=1)),"TRUE","FALSE")</f>
        <v>FALSE</v>
      </c>
      <c r="AH1505" s="661" t="str">
        <f>IF(AND($Y1505&gt;=22, (AI1505&lt;&gt;"I"),(Y1505&lt;&gt;"~"),(COUNTIF($AN$1:$AN1505,$AN1505)=1)),"TRUE","FALSE")</f>
        <v>FALSE</v>
      </c>
      <c r="AI1505" s="661" t="str">
        <f t="shared" si="166"/>
        <v>II</v>
      </c>
      <c r="AJ1505" s="662" t="str">
        <f t="shared" si="160"/>
        <v>T35W-079</v>
      </c>
      <c r="AK1505" s="662" t="str">
        <f t="shared" si="161"/>
        <v>LVN</v>
      </c>
      <c r="AL1505" s="662" t="str">
        <f t="shared" si="162"/>
        <v>FRD</v>
      </c>
      <c r="AM1505" s="662" t="str">
        <f t="shared" si="165"/>
        <v>Transit 350 Wagon-XLT Sliding RH Door-RWD-12-82.4-~-3.7L-6-X2Y-302A-147.6-25-Unleaded-Unleaded</v>
      </c>
      <c r="AN1505" s="662" t="str">
        <f t="shared" si="163"/>
        <v>2019-LVN-FRD-T35W-079</v>
      </c>
    </row>
    <row r="1506" spans="1:40" s="572" customFormat="1" ht="15">
      <c r="A1506" s="570" t="s">
        <v>2902</v>
      </c>
      <c r="B1506" s="569" t="s">
        <v>2903</v>
      </c>
      <c r="C1506" s="569" t="s">
        <v>269</v>
      </c>
      <c r="D1506" s="580" t="s">
        <v>270</v>
      </c>
      <c r="E1506" s="569" t="s">
        <v>1516</v>
      </c>
      <c r="F1506" s="569" t="s">
        <v>1607</v>
      </c>
      <c r="G1506" s="569" t="s">
        <v>271</v>
      </c>
      <c r="H1506" s="569">
        <v>2019</v>
      </c>
      <c r="I1506" s="569" t="s">
        <v>2769</v>
      </c>
      <c r="J1506" s="569" t="s">
        <v>2106</v>
      </c>
      <c r="K1506" s="569" t="s">
        <v>236</v>
      </c>
      <c r="L1506" s="569">
        <v>12</v>
      </c>
      <c r="M1506" s="569">
        <v>0</v>
      </c>
      <c r="N1506" s="569" t="s">
        <v>157</v>
      </c>
      <c r="O1506" s="569">
        <v>4</v>
      </c>
      <c r="P1506" s="569">
        <v>99.2</v>
      </c>
      <c r="Q1506" s="568" t="s">
        <v>157</v>
      </c>
      <c r="R1506" s="569" t="s">
        <v>1917</v>
      </c>
      <c r="S1506" s="569">
        <v>5</v>
      </c>
      <c r="T1506" s="569" t="s">
        <v>2617</v>
      </c>
      <c r="U1506" s="569" t="s">
        <v>2107</v>
      </c>
      <c r="V1506" s="569">
        <v>147.6</v>
      </c>
      <c r="W1506" s="569">
        <v>25</v>
      </c>
      <c r="X1506" s="568">
        <v>9250</v>
      </c>
      <c r="Y1506" s="569">
        <v>12</v>
      </c>
      <c r="Z1506" s="581" t="s">
        <v>728</v>
      </c>
      <c r="AA1506" s="581" t="s">
        <v>1523</v>
      </c>
      <c r="AB1506" s="585">
        <v>47855</v>
      </c>
      <c r="AC1506" s="585" t="s">
        <v>164</v>
      </c>
      <c r="AD1506" s="585">
        <v>37482.541666666664</v>
      </c>
      <c r="AE1506" s="587">
        <v>0.03</v>
      </c>
      <c r="AF1506" s="661" t="str">
        <f t="shared" si="164"/>
        <v>2019-LVN-FRD-T35W-036-05</v>
      </c>
      <c r="AG1506" s="661" t="str">
        <f>IF(AND($Y1506&gt;=32,(AI1506="I"),(Y1506&lt;&gt;"~"),(COUNTIF($AN$1:$AN1506,$AN1506)=1)),"TRUE","FALSE")</f>
        <v>FALSE</v>
      </c>
      <c r="AH1506" s="661" t="str">
        <f>IF(AND($Y1506&gt;=22, (AI1506&lt;&gt;"I"),(Y1506&lt;&gt;"~"),(COUNTIF($AN$1:$AN1506,$AN1506)=1)),"TRUE","FALSE")</f>
        <v>FALSE</v>
      </c>
      <c r="AI1506" s="661" t="str">
        <f t="shared" si="166"/>
        <v>II</v>
      </c>
      <c r="AJ1506" s="662" t="str">
        <f t="shared" si="160"/>
        <v>T35W-036</v>
      </c>
      <c r="AK1506" s="662" t="str">
        <f t="shared" si="161"/>
        <v>LVN</v>
      </c>
      <c r="AL1506" s="662" t="str">
        <f t="shared" si="162"/>
        <v>FRD</v>
      </c>
      <c r="AM1506" s="662" t="str">
        <f t="shared" si="165"/>
        <v>Transit 350 Wagon-XLT Sliding RH Door-RWD-12-99.2-~-3.2L-5-X2C-302A-147.6-25-Diesel-BioDiesel</v>
      </c>
      <c r="AN1506" s="662" t="str">
        <f t="shared" si="163"/>
        <v>2019-LVN-FRD-T35W-036</v>
      </c>
    </row>
    <row r="1507" spans="1:40" s="572" customFormat="1" ht="15">
      <c r="A1507" s="570" t="s">
        <v>2904</v>
      </c>
      <c r="B1507" s="573" t="s">
        <v>2905</v>
      </c>
      <c r="C1507" s="573" t="s">
        <v>269</v>
      </c>
      <c r="D1507" s="578" t="s">
        <v>270</v>
      </c>
      <c r="E1507" s="573" t="s">
        <v>1516</v>
      </c>
      <c r="F1507" s="573" t="s">
        <v>1607</v>
      </c>
      <c r="G1507" s="573" t="s">
        <v>271</v>
      </c>
      <c r="H1507" s="573">
        <v>2019</v>
      </c>
      <c r="I1507" s="573" t="s">
        <v>2769</v>
      </c>
      <c r="J1507" s="573" t="s">
        <v>2106</v>
      </c>
      <c r="K1507" s="573" t="s">
        <v>236</v>
      </c>
      <c r="L1507" s="573">
        <v>12</v>
      </c>
      <c r="M1507" s="573">
        <v>0</v>
      </c>
      <c r="N1507" s="573" t="s">
        <v>157</v>
      </c>
      <c r="O1507" s="573">
        <v>4</v>
      </c>
      <c r="P1507" s="573">
        <v>99.2</v>
      </c>
      <c r="Q1507" s="571" t="s">
        <v>157</v>
      </c>
      <c r="R1507" s="573" t="s">
        <v>1259</v>
      </c>
      <c r="S1507" s="573">
        <v>6</v>
      </c>
      <c r="T1507" s="573" t="s">
        <v>2617</v>
      </c>
      <c r="U1507" s="573" t="s">
        <v>2107</v>
      </c>
      <c r="V1507" s="573">
        <v>147.6</v>
      </c>
      <c r="W1507" s="573">
        <v>25</v>
      </c>
      <c r="X1507" s="571">
        <v>9000</v>
      </c>
      <c r="Y1507" s="573">
        <v>12</v>
      </c>
      <c r="Z1507" s="579" t="s">
        <v>178</v>
      </c>
      <c r="AA1507" s="579" t="s">
        <v>178</v>
      </c>
      <c r="AB1507" s="584">
        <v>45725</v>
      </c>
      <c r="AC1507" s="584" t="s">
        <v>164</v>
      </c>
      <c r="AD1507" s="584">
        <v>35589.25</v>
      </c>
      <c r="AE1507" s="586">
        <v>0.03</v>
      </c>
      <c r="AF1507" s="661" t="str">
        <f t="shared" si="164"/>
        <v>2019-LVN-FRD-T35W-037-05</v>
      </c>
      <c r="AG1507" s="661" t="str">
        <f>IF(AND($Y1507&gt;=32,(AI1507="I"),(Y1507&lt;&gt;"~"),(COUNTIF($AN$1:$AN1507,$AN1507)=1)),"TRUE","FALSE")</f>
        <v>FALSE</v>
      </c>
      <c r="AH1507" s="661" t="str">
        <f>IF(AND($Y1507&gt;=22, (AI1507&lt;&gt;"I"),(Y1507&lt;&gt;"~"),(COUNTIF($AN$1:$AN1507,$AN1507)=1)),"TRUE","FALSE")</f>
        <v>FALSE</v>
      </c>
      <c r="AI1507" s="661" t="str">
        <f t="shared" si="166"/>
        <v>II</v>
      </c>
      <c r="AJ1507" s="662" t="str">
        <f t="shared" si="160"/>
        <v>T35W-037</v>
      </c>
      <c r="AK1507" s="662" t="str">
        <f t="shared" si="161"/>
        <v>LVN</v>
      </c>
      <c r="AL1507" s="662" t="str">
        <f t="shared" si="162"/>
        <v>FRD</v>
      </c>
      <c r="AM1507" s="662" t="str">
        <f t="shared" si="165"/>
        <v>Transit 350 Wagon-XLT Sliding RH Door-RWD-12-99.2-~-3.5L EcoBoost-6-X2C-302A-147.6-25-Unleaded-Unleaded</v>
      </c>
      <c r="AN1507" s="662" t="str">
        <f t="shared" si="163"/>
        <v>2019-LVN-FRD-T35W-037</v>
      </c>
    </row>
    <row r="1508" spans="1:40" s="572" customFormat="1" ht="15">
      <c r="A1508" s="570" t="s">
        <v>2906</v>
      </c>
      <c r="B1508" s="569" t="s">
        <v>2907</v>
      </c>
      <c r="C1508" s="569" t="s">
        <v>269</v>
      </c>
      <c r="D1508" s="580" t="s">
        <v>270</v>
      </c>
      <c r="E1508" s="569" t="s">
        <v>1516</v>
      </c>
      <c r="F1508" s="569" t="s">
        <v>1607</v>
      </c>
      <c r="G1508" s="569" t="s">
        <v>271</v>
      </c>
      <c r="H1508" s="569">
        <v>2019</v>
      </c>
      <c r="I1508" s="569" t="s">
        <v>2769</v>
      </c>
      <c r="J1508" s="569" t="s">
        <v>2106</v>
      </c>
      <c r="K1508" s="569" t="s">
        <v>236</v>
      </c>
      <c r="L1508" s="569">
        <v>12</v>
      </c>
      <c r="M1508" s="569">
        <v>0</v>
      </c>
      <c r="N1508" s="569" t="s">
        <v>157</v>
      </c>
      <c r="O1508" s="569">
        <v>4</v>
      </c>
      <c r="P1508" s="569">
        <v>99.2</v>
      </c>
      <c r="Q1508" s="568" t="s">
        <v>157</v>
      </c>
      <c r="R1508" s="569" t="s">
        <v>682</v>
      </c>
      <c r="S1508" s="569">
        <v>6</v>
      </c>
      <c r="T1508" s="569" t="s">
        <v>2617</v>
      </c>
      <c r="U1508" s="569" t="s">
        <v>2107</v>
      </c>
      <c r="V1508" s="569">
        <v>147.6</v>
      </c>
      <c r="W1508" s="569">
        <v>25</v>
      </c>
      <c r="X1508" s="568">
        <v>9000</v>
      </c>
      <c r="Y1508" s="569">
        <v>12</v>
      </c>
      <c r="Z1508" s="581" t="s">
        <v>178</v>
      </c>
      <c r="AA1508" s="581" t="s">
        <v>178</v>
      </c>
      <c r="AB1508" s="585">
        <v>43860</v>
      </c>
      <c r="AC1508" s="585" t="s">
        <v>164</v>
      </c>
      <c r="AD1508" s="585">
        <v>33933</v>
      </c>
      <c r="AE1508" s="587">
        <v>0.03</v>
      </c>
      <c r="AF1508" s="661" t="str">
        <f t="shared" si="164"/>
        <v>2019-LVN-FRD-T35W-038-05</v>
      </c>
      <c r="AG1508" s="661" t="str">
        <f>IF(AND($Y1508&gt;=32,(AI1508="I"),(Y1508&lt;&gt;"~"),(COUNTIF($AN$1:$AN1508,$AN1508)=1)),"TRUE","FALSE")</f>
        <v>FALSE</v>
      </c>
      <c r="AH1508" s="661" t="str">
        <f>IF(AND($Y1508&gt;=22, (AI1508&lt;&gt;"I"),(Y1508&lt;&gt;"~"),(COUNTIF($AN$1:$AN1508,$AN1508)=1)),"TRUE","FALSE")</f>
        <v>FALSE</v>
      </c>
      <c r="AI1508" s="661" t="str">
        <f t="shared" si="166"/>
        <v>II</v>
      </c>
      <c r="AJ1508" s="662" t="str">
        <f t="shared" si="160"/>
        <v>T35W-038</v>
      </c>
      <c r="AK1508" s="662" t="str">
        <f t="shared" si="161"/>
        <v>LVN</v>
      </c>
      <c r="AL1508" s="662" t="str">
        <f t="shared" si="162"/>
        <v>FRD</v>
      </c>
      <c r="AM1508" s="662" t="str">
        <f t="shared" si="165"/>
        <v>Transit 350 Wagon-XLT Sliding RH Door-RWD-12-99.2-~-3.7L-6-X2C-302A-147.6-25-Unleaded-Unleaded</v>
      </c>
      <c r="AN1508" s="662" t="str">
        <f t="shared" si="163"/>
        <v>2019-LVN-FRD-T35W-038</v>
      </c>
    </row>
    <row r="1509" spans="1:40" s="572" customFormat="1" ht="15">
      <c r="A1509" s="570" t="s">
        <v>2908</v>
      </c>
      <c r="B1509" s="573" t="s">
        <v>2909</v>
      </c>
      <c r="C1509" s="573" t="s">
        <v>269</v>
      </c>
      <c r="D1509" s="578" t="s">
        <v>270</v>
      </c>
      <c r="E1509" s="573" t="s">
        <v>1516</v>
      </c>
      <c r="F1509" s="573" t="s">
        <v>1607</v>
      </c>
      <c r="G1509" s="573" t="s">
        <v>271</v>
      </c>
      <c r="H1509" s="573">
        <v>2019</v>
      </c>
      <c r="I1509" s="573" t="s">
        <v>2769</v>
      </c>
      <c r="J1509" s="573" t="s">
        <v>2106</v>
      </c>
      <c r="K1509" s="573" t="s">
        <v>236</v>
      </c>
      <c r="L1509" s="573">
        <v>15</v>
      </c>
      <c r="M1509" s="573">
        <v>0</v>
      </c>
      <c r="N1509" s="573" t="s">
        <v>157</v>
      </c>
      <c r="O1509" s="573">
        <v>5</v>
      </c>
      <c r="P1509" s="573">
        <v>107.7</v>
      </c>
      <c r="Q1509" s="571" t="s">
        <v>157</v>
      </c>
      <c r="R1509" s="573" t="s">
        <v>1917</v>
      </c>
      <c r="S1509" s="573">
        <v>5</v>
      </c>
      <c r="T1509" s="573" t="s">
        <v>2599</v>
      </c>
      <c r="U1509" s="573" t="s">
        <v>2107</v>
      </c>
      <c r="V1509" s="573">
        <v>147.6</v>
      </c>
      <c r="W1509" s="573">
        <v>25</v>
      </c>
      <c r="X1509" s="571">
        <v>10360</v>
      </c>
      <c r="Y1509" s="569" t="s">
        <v>164</v>
      </c>
      <c r="Z1509" s="579" t="s">
        <v>728</v>
      </c>
      <c r="AA1509" s="579" t="s">
        <v>1523</v>
      </c>
      <c r="AB1509" s="584">
        <v>50455</v>
      </c>
      <c r="AC1509" s="584" t="s">
        <v>164</v>
      </c>
      <c r="AD1509" s="584">
        <v>39859.625</v>
      </c>
      <c r="AE1509" s="586">
        <v>0.03</v>
      </c>
      <c r="AF1509" s="661" t="str">
        <f t="shared" si="164"/>
        <v>2019-LVN-FRD-T35W-040-05</v>
      </c>
      <c r="AG1509" s="661" t="str">
        <f>IF(AND($Y1509&gt;=32,(AI1509="I"),(Y1509&lt;&gt;"~"),(COUNTIF($AN$1:$AN1509,$AN1509)=1)),"TRUE","FALSE")</f>
        <v>FALSE</v>
      </c>
      <c r="AH1509" s="661" t="str">
        <f>IF(AND($Y1509&gt;=22, (AI1509&lt;&gt;"I"),(Y1509&lt;&gt;"~"),(COUNTIF($AN$1:$AN1509,$AN1509)=1)),"TRUE","FALSE")</f>
        <v>TRUE</v>
      </c>
      <c r="AI1509" s="661" t="str">
        <f t="shared" si="166"/>
        <v>N/A</v>
      </c>
      <c r="AJ1509" s="662" t="str">
        <f t="shared" si="160"/>
        <v>T35W-040</v>
      </c>
      <c r="AK1509" s="662" t="str">
        <f t="shared" si="161"/>
        <v>LVN</v>
      </c>
      <c r="AL1509" s="662" t="str">
        <f t="shared" si="162"/>
        <v>FRD</v>
      </c>
      <c r="AM1509" s="662" t="str">
        <f t="shared" si="165"/>
        <v>Transit 350 Wagon-XLT Sliding RH Door-RWD-15-107.7-~-3.2L-5-U4X-302A-147.6-25-Diesel-BioDiesel</v>
      </c>
      <c r="AN1509" s="662" t="str">
        <f t="shared" si="163"/>
        <v>2019-LVN-FRD-T35W-040</v>
      </c>
    </row>
    <row r="1510" spans="1:40" s="572" customFormat="1" ht="15">
      <c r="A1510" s="570" t="s">
        <v>2910</v>
      </c>
      <c r="B1510" s="569" t="s">
        <v>2911</v>
      </c>
      <c r="C1510" s="569" t="s">
        <v>269</v>
      </c>
      <c r="D1510" s="580" t="s">
        <v>270</v>
      </c>
      <c r="E1510" s="569" t="s">
        <v>1516</v>
      </c>
      <c r="F1510" s="569" t="s">
        <v>1607</v>
      </c>
      <c r="G1510" s="569" t="s">
        <v>271</v>
      </c>
      <c r="H1510" s="569">
        <v>2019</v>
      </c>
      <c r="I1510" s="569" t="s">
        <v>2769</v>
      </c>
      <c r="J1510" s="569" t="s">
        <v>2106</v>
      </c>
      <c r="K1510" s="569" t="s">
        <v>236</v>
      </c>
      <c r="L1510" s="569">
        <v>15</v>
      </c>
      <c r="M1510" s="569">
        <v>0</v>
      </c>
      <c r="N1510" s="569" t="s">
        <v>157</v>
      </c>
      <c r="O1510" s="569">
        <v>5</v>
      </c>
      <c r="P1510" s="569">
        <v>107.7</v>
      </c>
      <c r="Q1510" s="568" t="s">
        <v>157</v>
      </c>
      <c r="R1510" s="569" t="s">
        <v>1259</v>
      </c>
      <c r="S1510" s="569">
        <v>6</v>
      </c>
      <c r="T1510" s="569" t="s">
        <v>2599</v>
      </c>
      <c r="U1510" s="569" t="s">
        <v>2107</v>
      </c>
      <c r="V1510" s="569">
        <v>147.6</v>
      </c>
      <c r="W1510" s="569">
        <v>25</v>
      </c>
      <c r="X1510" s="568">
        <v>10360</v>
      </c>
      <c r="Y1510" s="569" t="s">
        <v>164</v>
      </c>
      <c r="Z1510" s="581" t="s">
        <v>178</v>
      </c>
      <c r="AA1510" s="581" t="s">
        <v>178</v>
      </c>
      <c r="AB1510" s="585">
        <v>48325</v>
      </c>
      <c r="AC1510" s="585" t="s">
        <v>164</v>
      </c>
      <c r="AD1510" s="585">
        <v>37966.333333333336</v>
      </c>
      <c r="AE1510" s="587">
        <v>0.03</v>
      </c>
      <c r="AF1510" s="661" t="str">
        <f t="shared" si="164"/>
        <v>2019-LVN-FRD-T35W-041-05</v>
      </c>
      <c r="AG1510" s="661" t="str">
        <f>IF(AND($Y1510&gt;=32,(AI1510="I"),(Y1510&lt;&gt;"~"),(COUNTIF($AN$1:$AN1510,$AN1510)=1)),"TRUE","FALSE")</f>
        <v>FALSE</v>
      </c>
      <c r="AH1510" s="661" t="str">
        <f>IF(AND($Y1510&gt;=22, (AI1510&lt;&gt;"I"),(Y1510&lt;&gt;"~"),(COUNTIF($AN$1:$AN1510,$AN1510)=1)),"TRUE","FALSE")</f>
        <v>TRUE</v>
      </c>
      <c r="AI1510" s="661" t="str">
        <f t="shared" si="166"/>
        <v>N/A</v>
      </c>
      <c r="AJ1510" s="662" t="str">
        <f t="shared" si="160"/>
        <v>T35W-041</v>
      </c>
      <c r="AK1510" s="662" t="str">
        <f t="shared" si="161"/>
        <v>LVN</v>
      </c>
      <c r="AL1510" s="662" t="str">
        <f t="shared" si="162"/>
        <v>FRD</v>
      </c>
      <c r="AM1510" s="662" t="str">
        <f t="shared" si="165"/>
        <v>Transit 350 Wagon-XLT Sliding RH Door-RWD-15-107.7-~-3.5L EcoBoost-6-U4X-302A-147.6-25-Unleaded-Unleaded</v>
      </c>
      <c r="AN1510" s="662" t="str">
        <f t="shared" si="163"/>
        <v>2019-LVN-FRD-T35W-041</v>
      </c>
    </row>
    <row r="1511" spans="1:40" s="572" customFormat="1" ht="15">
      <c r="A1511" s="570" t="s">
        <v>2912</v>
      </c>
      <c r="B1511" s="573" t="s">
        <v>2913</v>
      </c>
      <c r="C1511" s="573" t="s">
        <v>269</v>
      </c>
      <c r="D1511" s="578" t="s">
        <v>270</v>
      </c>
      <c r="E1511" s="573" t="s">
        <v>1516</v>
      </c>
      <c r="F1511" s="573" t="s">
        <v>1607</v>
      </c>
      <c r="G1511" s="573" t="s">
        <v>271</v>
      </c>
      <c r="H1511" s="573">
        <v>2019</v>
      </c>
      <c r="I1511" s="573" t="s">
        <v>2769</v>
      </c>
      <c r="J1511" s="573" t="s">
        <v>2106</v>
      </c>
      <c r="K1511" s="573" t="s">
        <v>236</v>
      </c>
      <c r="L1511" s="573">
        <v>15</v>
      </c>
      <c r="M1511" s="573">
        <v>0</v>
      </c>
      <c r="N1511" s="573" t="s">
        <v>157</v>
      </c>
      <c r="O1511" s="573">
        <v>5</v>
      </c>
      <c r="P1511" s="573">
        <v>107.7</v>
      </c>
      <c r="Q1511" s="571" t="s">
        <v>157</v>
      </c>
      <c r="R1511" s="573" t="s">
        <v>682</v>
      </c>
      <c r="S1511" s="573">
        <v>6</v>
      </c>
      <c r="T1511" s="573" t="s">
        <v>2599</v>
      </c>
      <c r="U1511" s="573" t="s">
        <v>2107</v>
      </c>
      <c r="V1511" s="573">
        <v>147.6</v>
      </c>
      <c r="W1511" s="573">
        <v>25</v>
      </c>
      <c r="X1511" s="571">
        <v>10360</v>
      </c>
      <c r="Y1511" s="569" t="s">
        <v>164</v>
      </c>
      <c r="Z1511" s="579" t="s">
        <v>178</v>
      </c>
      <c r="AA1511" s="579" t="s">
        <v>178</v>
      </c>
      <c r="AB1511" s="584">
        <v>46460</v>
      </c>
      <c r="AC1511" s="584" t="s">
        <v>164</v>
      </c>
      <c r="AD1511" s="584">
        <v>36310.083333333336</v>
      </c>
      <c r="AE1511" s="586">
        <v>0.03</v>
      </c>
      <c r="AF1511" s="661" t="str">
        <f t="shared" si="164"/>
        <v>2019-LVN-FRD-T35W-042-05</v>
      </c>
      <c r="AG1511" s="661" t="str">
        <f>IF(AND($Y1511&gt;=32,(AI1511="I"),(Y1511&lt;&gt;"~"),(COUNTIF($AN$1:$AN1511,$AN1511)=1)),"TRUE","FALSE")</f>
        <v>FALSE</v>
      </c>
      <c r="AH1511" s="661" t="str">
        <f>IF(AND($Y1511&gt;=22, (AI1511&lt;&gt;"I"),(Y1511&lt;&gt;"~"),(COUNTIF($AN$1:$AN1511,$AN1511)=1)),"TRUE","FALSE")</f>
        <v>TRUE</v>
      </c>
      <c r="AI1511" s="661" t="str">
        <f t="shared" si="166"/>
        <v>N/A</v>
      </c>
      <c r="AJ1511" s="662" t="str">
        <f t="shared" si="160"/>
        <v>T35W-042</v>
      </c>
      <c r="AK1511" s="662" t="str">
        <f t="shared" si="161"/>
        <v>LVN</v>
      </c>
      <c r="AL1511" s="662" t="str">
        <f t="shared" si="162"/>
        <v>FRD</v>
      </c>
      <c r="AM1511" s="662" t="str">
        <f t="shared" si="165"/>
        <v>Transit 350 Wagon-XLT Sliding RH Door-RWD-15-107.7-~-3.7L-6-U4X-302A-147.6-25-Unleaded-Unleaded</v>
      </c>
      <c r="AN1511" s="662" t="str">
        <f t="shared" si="163"/>
        <v>2019-LVN-FRD-T35W-042</v>
      </c>
    </row>
    <row r="1512" spans="1:40" s="572" customFormat="1" ht="15">
      <c r="A1512" s="570" t="s">
        <v>2914</v>
      </c>
      <c r="B1512" s="569" t="s">
        <v>2915</v>
      </c>
      <c r="C1512" s="569" t="s">
        <v>269</v>
      </c>
      <c r="D1512" s="580" t="s">
        <v>270</v>
      </c>
      <c r="E1512" s="569" t="s">
        <v>1516</v>
      </c>
      <c r="F1512" s="569" t="s">
        <v>1607</v>
      </c>
      <c r="G1512" s="569" t="s">
        <v>271</v>
      </c>
      <c r="H1512" s="569">
        <v>2019</v>
      </c>
      <c r="I1512" s="569" t="s">
        <v>2769</v>
      </c>
      <c r="J1512" s="569" t="s">
        <v>2106</v>
      </c>
      <c r="K1512" s="569" t="s">
        <v>236</v>
      </c>
      <c r="L1512" s="569">
        <v>15</v>
      </c>
      <c r="M1512" s="569">
        <v>0</v>
      </c>
      <c r="N1512" s="569" t="s">
        <v>157</v>
      </c>
      <c r="O1512" s="569">
        <v>5</v>
      </c>
      <c r="P1512" s="569">
        <v>108.6</v>
      </c>
      <c r="Q1512" s="568" t="s">
        <v>157</v>
      </c>
      <c r="R1512" s="569" t="s">
        <v>1917</v>
      </c>
      <c r="S1512" s="569">
        <v>5</v>
      </c>
      <c r="T1512" s="569" t="s">
        <v>2770</v>
      </c>
      <c r="U1512" s="569" t="s">
        <v>2107</v>
      </c>
      <c r="V1512" s="569">
        <v>147.6</v>
      </c>
      <c r="W1512" s="569">
        <v>25</v>
      </c>
      <c r="X1512" s="568">
        <v>9400</v>
      </c>
      <c r="Y1512" s="569">
        <v>12</v>
      </c>
      <c r="Z1512" s="581" t="s">
        <v>728</v>
      </c>
      <c r="AA1512" s="581" t="s">
        <v>1523</v>
      </c>
      <c r="AB1512" s="585">
        <v>50800</v>
      </c>
      <c r="AC1512" s="585" t="s">
        <v>164</v>
      </c>
      <c r="AD1512" s="585">
        <v>40135.666666666664</v>
      </c>
      <c r="AE1512" s="587">
        <v>0.03</v>
      </c>
      <c r="AF1512" s="661" t="str">
        <f t="shared" si="164"/>
        <v>2019-LVN-FRD-T35W-043-05</v>
      </c>
      <c r="AG1512" s="661" t="str">
        <f>IF(AND($Y1512&gt;=32,(AI1512="I"),(Y1512&lt;&gt;"~"),(COUNTIF($AN$1:$AN1512,$AN1512)=1)),"TRUE","FALSE")</f>
        <v>FALSE</v>
      </c>
      <c r="AH1512" s="661" t="str">
        <f>IF(AND($Y1512&gt;=22, (AI1512&lt;&gt;"I"),(Y1512&lt;&gt;"~"),(COUNTIF($AN$1:$AN1512,$AN1512)=1)),"TRUE","FALSE")</f>
        <v>FALSE</v>
      </c>
      <c r="AI1512" s="661" t="str">
        <f t="shared" si="166"/>
        <v>II</v>
      </c>
      <c r="AJ1512" s="662" t="str">
        <f t="shared" si="160"/>
        <v>T35W-043</v>
      </c>
      <c r="AK1512" s="662" t="str">
        <f t="shared" si="161"/>
        <v>LVN</v>
      </c>
      <c r="AL1512" s="662" t="str">
        <f t="shared" si="162"/>
        <v>FRD</v>
      </c>
      <c r="AM1512" s="662" t="str">
        <f t="shared" si="165"/>
        <v>Transit 350 Wagon-XLT Sliding RH Door-RWD-15-108.6-~-3.2L-5-X2X-302A-147.6-25-Diesel-BioDiesel</v>
      </c>
      <c r="AN1512" s="662" t="str">
        <f t="shared" si="163"/>
        <v>2019-LVN-FRD-T35W-043</v>
      </c>
    </row>
    <row r="1513" spans="1:40" s="572" customFormat="1" ht="15">
      <c r="A1513" s="570" t="s">
        <v>2916</v>
      </c>
      <c r="B1513" s="573" t="s">
        <v>2917</v>
      </c>
      <c r="C1513" s="573" t="s">
        <v>269</v>
      </c>
      <c r="D1513" s="578" t="s">
        <v>270</v>
      </c>
      <c r="E1513" s="573" t="s">
        <v>1516</v>
      </c>
      <c r="F1513" s="573" t="s">
        <v>1607</v>
      </c>
      <c r="G1513" s="573" t="s">
        <v>271</v>
      </c>
      <c r="H1513" s="573">
        <v>2019</v>
      </c>
      <c r="I1513" s="573" t="s">
        <v>2769</v>
      </c>
      <c r="J1513" s="573" t="s">
        <v>2106</v>
      </c>
      <c r="K1513" s="573" t="s">
        <v>236</v>
      </c>
      <c r="L1513" s="573">
        <v>15</v>
      </c>
      <c r="M1513" s="573">
        <v>0</v>
      </c>
      <c r="N1513" s="573" t="s">
        <v>157</v>
      </c>
      <c r="O1513" s="573">
        <v>5</v>
      </c>
      <c r="P1513" s="573">
        <v>108.6</v>
      </c>
      <c r="Q1513" s="571" t="s">
        <v>157</v>
      </c>
      <c r="R1513" s="573" t="s">
        <v>1259</v>
      </c>
      <c r="S1513" s="573">
        <v>6</v>
      </c>
      <c r="T1513" s="573" t="s">
        <v>2770</v>
      </c>
      <c r="U1513" s="573" t="s">
        <v>2107</v>
      </c>
      <c r="V1513" s="573">
        <v>147.6</v>
      </c>
      <c r="W1513" s="573">
        <v>25</v>
      </c>
      <c r="X1513" s="571">
        <v>9150</v>
      </c>
      <c r="Y1513" s="573">
        <v>12</v>
      </c>
      <c r="Z1513" s="579" t="s">
        <v>178</v>
      </c>
      <c r="AA1513" s="579" t="s">
        <v>178</v>
      </c>
      <c r="AB1513" s="584">
        <v>48670</v>
      </c>
      <c r="AC1513" s="584" t="s">
        <v>164</v>
      </c>
      <c r="AD1513" s="584">
        <v>38242.375</v>
      </c>
      <c r="AE1513" s="586">
        <v>0.03</v>
      </c>
      <c r="AF1513" s="661" t="str">
        <f t="shared" si="164"/>
        <v>2019-LVN-FRD-T35W-044-05</v>
      </c>
      <c r="AG1513" s="661" t="str">
        <f>IF(AND($Y1513&gt;=32,(AI1513="I"),(Y1513&lt;&gt;"~"),(COUNTIF($AN$1:$AN1513,$AN1513)=1)),"TRUE","FALSE")</f>
        <v>FALSE</v>
      </c>
      <c r="AH1513" s="661" t="str">
        <f>IF(AND($Y1513&gt;=22, (AI1513&lt;&gt;"I"),(Y1513&lt;&gt;"~"),(COUNTIF($AN$1:$AN1513,$AN1513)=1)),"TRUE","FALSE")</f>
        <v>FALSE</v>
      </c>
      <c r="AI1513" s="661" t="str">
        <f t="shared" si="166"/>
        <v>II</v>
      </c>
      <c r="AJ1513" s="662" t="str">
        <f t="shared" si="160"/>
        <v>T35W-044</v>
      </c>
      <c r="AK1513" s="662" t="str">
        <f t="shared" si="161"/>
        <v>LVN</v>
      </c>
      <c r="AL1513" s="662" t="str">
        <f t="shared" si="162"/>
        <v>FRD</v>
      </c>
      <c r="AM1513" s="662" t="str">
        <f t="shared" si="165"/>
        <v>Transit 350 Wagon-XLT Sliding RH Door-RWD-15-108.6-~-3.5L EcoBoost-6-X2X-302A-147.6-25-Unleaded-Unleaded</v>
      </c>
      <c r="AN1513" s="662" t="str">
        <f t="shared" si="163"/>
        <v>2019-LVN-FRD-T35W-044</v>
      </c>
    </row>
    <row r="1514" spans="1:40" s="572" customFormat="1" ht="15">
      <c r="A1514" s="570" t="s">
        <v>2918</v>
      </c>
      <c r="B1514" s="569" t="s">
        <v>2919</v>
      </c>
      <c r="C1514" s="569" t="s">
        <v>269</v>
      </c>
      <c r="D1514" s="580" t="s">
        <v>270</v>
      </c>
      <c r="E1514" s="569" t="s">
        <v>1516</v>
      </c>
      <c r="F1514" s="569" t="s">
        <v>1607</v>
      </c>
      <c r="G1514" s="569" t="s">
        <v>271</v>
      </c>
      <c r="H1514" s="569">
        <v>2019</v>
      </c>
      <c r="I1514" s="569" t="s">
        <v>2769</v>
      </c>
      <c r="J1514" s="569" t="s">
        <v>2106</v>
      </c>
      <c r="K1514" s="569" t="s">
        <v>236</v>
      </c>
      <c r="L1514" s="569">
        <v>15</v>
      </c>
      <c r="M1514" s="569">
        <v>0</v>
      </c>
      <c r="N1514" s="569" t="s">
        <v>157</v>
      </c>
      <c r="O1514" s="569">
        <v>5</v>
      </c>
      <c r="P1514" s="569">
        <v>108.6</v>
      </c>
      <c r="Q1514" s="568" t="s">
        <v>157</v>
      </c>
      <c r="R1514" s="569" t="s">
        <v>682</v>
      </c>
      <c r="S1514" s="569">
        <v>6</v>
      </c>
      <c r="T1514" s="569" t="s">
        <v>2770</v>
      </c>
      <c r="U1514" s="569" t="s">
        <v>2107</v>
      </c>
      <c r="V1514" s="569">
        <v>147.6</v>
      </c>
      <c r="W1514" s="569">
        <v>25</v>
      </c>
      <c r="X1514" s="568">
        <v>9150</v>
      </c>
      <c r="Y1514" s="569">
        <v>12</v>
      </c>
      <c r="Z1514" s="581" t="s">
        <v>178</v>
      </c>
      <c r="AA1514" s="581" t="s">
        <v>178</v>
      </c>
      <c r="AB1514" s="585">
        <v>46805</v>
      </c>
      <c r="AC1514" s="585" t="s">
        <v>164</v>
      </c>
      <c r="AD1514" s="585">
        <v>36586.125</v>
      </c>
      <c r="AE1514" s="587">
        <v>0.03</v>
      </c>
      <c r="AF1514" s="661" t="str">
        <f t="shared" si="164"/>
        <v>2019-LVN-FRD-T35W-045-05</v>
      </c>
      <c r="AG1514" s="661" t="str">
        <f>IF(AND($Y1514&gt;=32,(AI1514="I"),(Y1514&lt;&gt;"~"),(COUNTIF($AN$1:$AN1514,$AN1514)=1)),"TRUE","FALSE")</f>
        <v>FALSE</v>
      </c>
      <c r="AH1514" s="661" t="str">
        <f>IF(AND($Y1514&gt;=22, (AI1514&lt;&gt;"I"),(Y1514&lt;&gt;"~"),(COUNTIF($AN$1:$AN1514,$AN1514)=1)),"TRUE","FALSE")</f>
        <v>FALSE</v>
      </c>
      <c r="AI1514" s="661" t="str">
        <f t="shared" si="166"/>
        <v>II</v>
      </c>
      <c r="AJ1514" s="662" t="str">
        <f t="shared" si="160"/>
        <v>T35W-045</v>
      </c>
      <c r="AK1514" s="662" t="str">
        <f t="shared" si="161"/>
        <v>LVN</v>
      </c>
      <c r="AL1514" s="662" t="str">
        <f t="shared" si="162"/>
        <v>FRD</v>
      </c>
      <c r="AM1514" s="662" t="str">
        <f t="shared" si="165"/>
        <v>Transit 350 Wagon-XLT Sliding RH Door-RWD-15-108.6-~-3.7L-6-X2X-302A-147.6-25-Unleaded-Unleaded</v>
      </c>
      <c r="AN1514" s="662" t="str">
        <f t="shared" si="163"/>
        <v>2019-LVN-FRD-T35W-045</v>
      </c>
    </row>
    <row r="1515" spans="1:40" s="572" customFormat="1" ht="15">
      <c r="A1515" s="570" t="s">
        <v>2920</v>
      </c>
      <c r="B1515" s="573" t="s">
        <v>2921</v>
      </c>
      <c r="C1515" s="573" t="s">
        <v>269</v>
      </c>
      <c r="D1515" s="578" t="s">
        <v>270</v>
      </c>
      <c r="E1515" s="573" t="s">
        <v>1516</v>
      </c>
      <c r="F1515" s="573" t="s">
        <v>1607</v>
      </c>
      <c r="G1515" s="573" t="s">
        <v>271</v>
      </c>
      <c r="H1515" s="573">
        <v>2019</v>
      </c>
      <c r="I1515" s="573" t="s">
        <v>2769</v>
      </c>
      <c r="J1515" s="573" t="s">
        <v>2106</v>
      </c>
      <c r="K1515" s="573" t="s">
        <v>236</v>
      </c>
      <c r="L1515" s="573">
        <v>15</v>
      </c>
      <c r="M1515" s="573">
        <v>0</v>
      </c>
      <c r="N1515" s="573" t="s">
        <v>157</v>
      </c>
      <c r="O1515" s="573">
        <v>5</v>
      </c>
      <c r="P1515" s="573">
        <v>82.4</v>
      </c>
      <c r="Q1515" s="571" t="s">
        <v>157</v>
      </c>
      <c r="R1515" s="573" t="s">
        <v>1917</v>
      </c>
      <c r="S1515" s="573">
        <v>5</v>
      </c>
      <c r="T1515" s="573" t="s">
        <v>2777</v>
      </c>
      <c r="U1515" s="573" t="s">
        <v>2107</v>
      </c>
      <c r="V1515" s="573">
        <v>147.6</v>
      </c>
      <c r="W1515" s="573">
        <v>25</v>
      </c>
      <c r="X1515" s="571">
        <v>9250</v>
      </c>
      <c r="Y1515" s="573">
        <v>12</v>
      </c>
      <c r="Z1515" s="579" t="s">
        <v>728</v>
      </c>
      <c r="AA1515" s="579" t="s">
        <v>1523</v>
      </c>
      <c r="AB1515" s="584">
        <v>47900</v>
      </c>
      <c r="AC1515" s="584" t="s">
        <v>164</v>
      </c>
      <c r="AD1515" s="584">
        <v>35402.333333333336</v>
      </c>
      <c r="AE1515" s="586">
        <v>0.03</v>
      </c>
      <c r="AF1515" s="661" t="str">
        <f t="shared" si="164"/>
        <v>2019-LVN-FRD-T35W-071-05</v>
      </c>
      <c r="AG1515" s="661" t="str">
        <f>IF(AND($Y1515&gt;=32,(AI1515="I"),(Y1515&lt;&gt;"~"),(COUNTIF($AN$1:$AN1515,$AN1515)=1)),"TRUE","FALSE")</f>
        <v>FALSE</v>
      </c>
      <c r="AH1515" s="661" t="str">
        <f>IF(AND($Y1515&gt;=22, (AI1515&lt;&gt;"I"),(Y1515&lt;&gt;"~"),(COUNTIF($AN$1:$AN1515,$AN1515)=1)),"TRUE","FALSE")</f>
        <v>FALSE</v>
      </c>
      <c r="AI1515" s="661" t="str">
        <f t="shared" si="166"/>
        <v>II</v>
      </c>
      <c r="AJ1515" s="662" t="str">
        <f t="shared" si="160"/>
        <v>T35W-071</v>
      </c>
      <c r="AK1515" s="662" t="str">
        <f t="shared" si="161"/>
        <v>LVN</v>
      </c>
      <c r="AL1515" s="662" t="str">
        <f t="shared" si="162"/>
        <v>FRD</v>
      </c>
      <c r="AM1515" s="662" t="str">
        <f t="shared" si="165"/>
        <v>Transit 350 Wagon-XLT Sliding RH Door-RWD-15-82.4-~-3.2L-5-X2Y-302A-147.6-25-Diesel-BioDiesel</v>
      </c>
      <c r="AN1515" s="662" t="str">
        <f t="shared" si="163"/>
        <v>2019-LVN-FRD-T35W-071</v>
      </c>
    </row>
    <row r="1516" spans="1:40" s="572" customFormat="1" ht="15">
      <c r="A1516" s="570" t="s">
        <v>2922</v>
      </c>
      <c r="B1516" s="569" t="s">
        <v>2923</v>
      </c>
      <c r="C1516" s="569" t="s">
        <v>269</v>
      </c>
      <c r="D1516" s="580" t="s">
        <v>270</v>
      </c>
      <c r="E1516" s="569" t="s">
        <v>1516</v>
      </c>
      <c r="F1516" s="569" t="s">
        <v>1607</v>
      </c>
      <c r="G1516" s="569" t="s">
        <v>271</v>
      </c>
      <c r="H1516" s="569">
        <v>2019</v>
      </c>
      <c r="I1516" s="569" t="s">
        <v>2769</v>
      </c>
      <c r="J1516" s="569" t="s">
        <v>2106</v>
      </c>
      <c r="K1516" s="569" t="s">
        <v>236</v>
      </c>
      <c r="L1516" s="569">
        <v>15</v>
      </c>
      <c r="M1516" s="569">
        <v>0</v>
      </c>
      <c r="N1516" s="569" t="s">
        <v>157</v>
      </c>
      <c r="O1516" s="569">
        <v>5</v>
      </c>
      <c r="P1516" s="569">
        <v>82.4</v>
      </c>
      <c r="Q1516" s="568" t="s">
        <v>157</v>
      </c>
      <c r="R1516" s="569" t="s">
        <v>1259</v>
      </c>
      <c r="S1516" s="569">
        <v>6</v>
      </c>
      <c r="T1516" s="569" t="s">
        <v>2777</v>
      </c>
      <c r="U1516" s="569" t="s">
        <v>434</v>
      </c>
      <c r="V1516" s="569">
        <v>147.6</v>
      </c>
      <c r="W1516" s="569">
        <v>25</v>
      </c>
      <c r="X1516" s="568">
        <v>9000</v>
      </c>
      <c r="Y1516" s="569">
        <v>12</v>
      </c>
      <c r="Z1516" s="581" t="s">
        <v>178</v>
      </c>
      <c r="AA1516" s="581" t="s">
        <v>178</v>
      </c>
      <c r="AB1516" s="585">
        <v>45770</v>
      </c>
      <c r="AC1516" s="585" t="s">
        <v>164</v>
      </c>
      <c r="AD1516" s="585">
        <v>33509.041666666672</v>
      </c>
      <c r="AE1516" s="587">
        <v>0.03</v>
      </c>
      <c r="AF1516" s="661" t="str">
        <f t="shared" si="164"/>
        <v>2019-LVN-FRD-T35W-072-05</v>
      </c>
      <c r="AG1516" s="661" t="str">
        <f>IF(AND($Y1516&gt;=32,(AI1516="I"),(Y1516&lt;&gt;"~"),(COUNTIF($AN$1:$AN1516,$AN1516)=1)),"TRUE","FALSE")</f>
        <v>FALSE</v>
      </c>
      <c r="AH1516" s="661" t="str">
        <f>IF(AND($Y1516&gt;=22, (AI1516&lt;&gt;"I"),(Y1516&lt;&gt;"~"),(COUNTIF($AN$1:$AN1516,$AN1516)=1)),"TRUE","FALSE")</f>
        <v>FALSE</v>
      </c>
      <c r="AI1516" s="661" t="str">
        <f t="shared" si="166"/>
        <v>II</v>
      </c>
      <c r="AJ1516" s="662" t="str">
        <f t="shared" si="160"/>
        <v>T35W-072</v>
      </c>
      <c r="AK1516" s="662" t="str">
        <f t="shared" si="161"/>
        <v>LVN</v>
      </c>
      <c r="AL1516" s="662" t="str">
        <f t="shared" si="162"/>
        <v>FRD</v>
      </c>
      <c r="AM1516" s="662" t="str">
        <f t="shared" si="165"/>
        <v>Transit 350 Wagon-XLT Sliding RH Door-RWD-15-82.4-~-3.5L EcoBoost-6-X2Y-301A-147.6-25-Unleaded-Unleaded</v>
      </c>
      <c r="AN1516" s="662" t="str">
        <f t="shared" si="163"/>
        <v>2019-LVN-FRD-T35W-072</v>
      </c>
    </row>
    <row r="1517" spans="1:40" s="572" customFormat="1" ht="15">
      <c r="A1517" s="570" t="s">
        <v>2924</v>
      </c>
      <c r="B1517" s="573" t="s">
        <v>2925</v>
      </c>
      <c r="C1517" s="573" t="s">
        <v>269</v>
      </c>
      <c r="D1517" s="578" t="s">
        <v>270</v>
      </c>
      <c r="E1517" s="573" t="s">
        <v>1516</v>
      </c>
      <c r="F1517" s="573" t="s">
        <v>1607</v>
      </c>
      <c r="G1517" s="573" t="s">
        <v>271</v>
      </c>
      <c r="H1517" s="573">
        <v>2019</v>
      </c>
      <c r="I1517" s="573" t="s">
        <v>2769</v>
      </c>
      <c r="J1517" s="573" t="s">
        <v>2106</v>
      </c>
      <c r="K1517" s="573" t="s">
        <v>236</v>
      </c>
      <c r="L1517" s="573">
        <v>15</v>
      </c>
      <c r="M1517" s="573">
        <v>0</v>
      </c>
      <c r="N1517" s="573" t="s">
        <v>157</v>
      </c>
      <c r="O1517" s="573">
        <v>5</v>
      </c>
      <c r="P1517" s="573">
        <v>82.4</v>
      </c>
      <c r="Q1517" s="571" t="s">
        <v>157</v>
      </c>
      <c r="R1517" s="573" t="s">
        <v>682</v>
      </c>
      <c r="S1517" s="573">
        <v>6</v>
      </c>
      <c r="T1517" s="573" t="s">
        <v>2777</v>
      </c>
      <c r="U1517" s="573" t="s">
        <v>2107</v>
      </c>
      <c r="V1517" s="573">
        <v>147.6</v>
      </c>
      <c r="W1517" s="573">
        <v>25</v>
      </c>
      <c r="X1517" s="571">
        <v>9000</v>
      </c>
      <c r="Y1517" s="573">
        <v>12</v>
      </c>
      <c r="Z1517" s="579" t="s">
        <v>178</v>
      </c>
      <c r="AA1517" s="579" t="s">
        <v>178</v>
      </c>
      <c r="AB1517" s="584">
        <v>43905</v>
      </c>
      <c r="AC1517" s="584" t="s">
        <v>164</v>
      </c>
      <c r="AD1517" s="584">
        <v>31852.791666666668</v>
      </c>
      <c r="AE1517" s="586">
        <v>0.03</v>
      </c>
      <c r="AF1517" s="661" t="str">
        <f t="shared" si="164"/>
        <v>2019-LVN-FRD-T35W-073-05</v>
      </c>
      <c r="AG1517" s="661" t="str">
        <f>IF(AND($Y1517&gt;=32,(AI1517="I"),(Y1517&lt;&gt;"~"),(COUNTIF($AN$1:$AN1517,$AN1517)=1)),"TRUE","FALSE")</f>
        <v>FALSE</v>
      </c>
      <c r="AH1517" s="661" t="str">
        <f>IF(AND($Y1517&gt;=22, (AI1517&lt;&gt;"I"),(Y1517&lt;&gt;"~"),(COUNTIF($AN$1:$AN1517,$AN1517)=1)),"TRUE","FALSE")</f>
        <v>FALSE</v>
      </c>
      <c r="AI1517" s="661" t="str">
        <f t="shared" si="166"/>
        <v>II</v>
      </c>
      <c r="AJ1517" s="662" t="str">
        <f t="shared" si="160"/>
        <v>T35W-073</v>
      </c>
      <c r="AK1517" s="662" t="str">
        <f t="shared" si="161"/>
        <v>LVN</v>
      </c>
      <c r="AL1517" s="662" t="str">
        <f t="shared" si="162"/>
        <v>FRD</v>
      </c>
      <c r="AM1517" s="662" t="str">
        <f t="shared" si="165"/>
        <v>Transit 350 Wagon-XLT Sliding RH Door-RWD-15-82.4-~-3.7L-6-X2Y-302A-147.6-25-Unleaded-Unleaded</v>
      </c>
      <c r="AN1517" s="662" t="str">
        <f t="shared" si="163"/>
        <v>2019-LVN-FRD-T35W-073</v>
      </c>
    </row>
    <row r="1518" spans="1:40" s="572" customFormat="1" ht="15">
      <c r="A1518" s="570" t="s">
        <v>2926</v>
      </c>
      <c r="B1518" s="569" t="s">
        <v>2927</v>
      </c>
      <c r="C1518" s="569" t="s">
        <v>269</v>
      </c>
      <c r="D1518" s="580" t="s">
        <v>270</v>
      </c>
      <c r="E1518" s="569" t="s">
        <v>1516</v>
      </c>
      <c r="F1518" s="569" t="s">
        <v>1607</v>
      </c>
      <c r="G1518" s="569" t="s">
        <v>271</v>
      </c>
      <c r="H1518" s="569">
        <v>2019</v>
      </c>
      <c r="I1518" s="569" t="s">
        <v>2769</v>
      </c>
      <c r="J1518" s="569" t="s">
        <v>2106</v>
      </c>
      <c r="K1518" s="569" t="s">
        <v>236</v>
      </c>
      <c r="L1518" s="569">
        <v>15</v>
      </c>
      <c r="M1518" s="569">
        <v>0</v>
      </c>
      <c r="N1518" s="569" t="s">
        <v>157</v>
      </c>
      <c r="O1518" s="569">
        <v>5</v>
      </c>
      <c r="P1518" s="569">
        <v>99.2</v>
      </c>
      <c r="Q1518" s="568" t="s">
        <v>157</v>
      </c>
      <c r="R1518" s="569" t="s">
        <v>1917</v>
      </c>
      <c r="S1518" s="569">
        <v>5</v>
      </c>
      <c r="T1518" s="569" t="s">
        <v>2617</v>
      </c>
      <c r="U1518" s="569" t="s">
        <v>2107</v>
      </c>
      <c r="V1518" s="569">
        <v>147.6</v>
      </c>
      <c r="W1518" s="569">
        <v>25</v>
      </c>
      <c r="X1518" s="568">
        <v>9400</v>
      </c>
      <c r="Y1518" s="569">
        <v>12</v>
      </c>
      <c r="Z1518" s="581" t="s">
        <v>728</v>
      </c>
      <c r="AA1518" s="581" t="s">
        <v>1523</v>
      </c>
      <c r="AB1518" s="585">
        <v>49350</v>
      </c>
      <c r="AC1518" s="585" t="s">
        <v>164</v>
      </c>
      <c r="AD1518" s="585">
        <v>38810.666666666664</v>
      </c>
      <c r="AE1518" s="587">
        <v>0.03</v>
      </c>
      <c r="AF1518" s="661" t="str">
        <f t="shared" si="164"/>
        <v>2019-LVN-FRD-T35W-047-05</v>
      </c>
      <c r="AG1518" s="661" t="str">
        <f>IF(AND($Y1518&gt;=32,(AI1518="I"),(Y1518&lt;&gt;"~"),(COUNTIF($AN$1:$AN1518,$AN1518)=1)),"TRUE","FALSE")</f>
        <v>FALSE</v>
      </c>
      <c r="AH1518" s="661" t="str">
        <f>IF(AND($Y1518&gt;=22, (AI1518&lt;&gt;"I"),(Y1518&lt;&gt;"~"),(COUNTIF($AN$1:$AN1518,$AN1518)=1)),"TRUE","FALSE")</f>
        <v>FALSE</v>
      </c>
      <c r="AI1518" s="661" t="str">
        <f t="shared" si="166"/>
        <v>II</v>
      </c>
      <c r="AJ1518" s="662" t="str">
        <f t="shared" si="160"/>
        <v>T35W-047</v>
      </c>
      <c r="AK1518" s="662" t="str">
        <f t="shared" si="161"/>
        <v>LVN</v>
      </c>
      <c r="AL1518" s="662" t="str">
        <f t="shared" si="162"/>
        <v>FRD</v>
      </c>
      <c r="AM1518" s="662" t="str">
        <f t="shared" si="165"/>
        <v>Transit 350 Wagon-XLT Sliding RH Door-RWD-15-99.2-~-3.2L-5-X2C-302A-147.6-25-Diesel-BioDiesel</v>
      </c>
      <c r="AN1518" s="662" t="str">
        <f t="shared" si="163"/>
        <v>2019-LVN-FRD-T35W-047</v>
      </c>
    </row>
    <row r="1519" spans="1:40" s="572" customFormat="1" ht="15">
      <c r="A1519" s="570" t="s">
        <v>2928</v>
      </c>
      <c r="B1519" s="573" t="s">
        <v>2929</v>
      </c>
      <c r="C1519" s="573" t="s">
        <v>269</v>
      </c>
      <c r="D1519" s="578" t="s">
        <v>270</v>
      </c>
      <c r="E1519" s="573" t="s">
        <v>1516</v>
      </c>
      <c r="F1519" s="573" t="s">
        <v>1607</v>
      </c>
      <c r="G1519" s="573" t="s">
        <v>271</v>
      </c>
      <c r="H1519" s="573">
        <v>2019</v>
      </c>
      <c r="I1519" s="573" t="s">
        <v>2769</v>
      </c>
      <c r="J1519" s="573" t="s">
        <v>2106</v>
      </c>
      <c r="K1519" s="573" t="s">
        <v>236</v>
      </c>
      <c r="L1519" s="573">
        <v>15</v>
      </c>
      <c r="M1519" s="573">
        <v>0</v>
      </c>
      <c r="N1519" s="573" t="s">
        <v>157</v>
      </c>
      <c r="O1519" s="573">
        <v>5</v>
      </c>
      <c r="P1519" s="573">
        <v>99.2</v>
      </c>
      <c r="Q1519" s="571" t="s">
        <v>157</v>
      </c>
      <c r="R1519" s="573" t="s">
        <v>1259</v>
      </c>
      <c r="S1519" s="573">
        <v>6</v>
      </c>
      <c r="T1519" s="573" t="s">
        <v>2617</v>
      </c>
      <c r="U1519" s="573" t="s">
        <v>2107</v>
      </c>
      <c r="V1519" s="573">
        <v>147.6</v>
      </c>
      <c r="W1519" s="573">
        <v>25</v>
      </c>
      <c r="X1519" s="571">
        <v>9150</v>
      </c>
      <c r="Y1519" s="573">
        <v>12</v>
      </c>
      <c r="Z1519" s="579" t="s">
        <v>178</v>
      </c>
      <c r="AA1519" s="579" t="s">
        <v>178</v>
      </c>
      <c r="AB1519" s="584">
        <v>47220</v>
      </c>
      <c r="AC1519" s="584" t="s">
        <v>164</v>
      </c>
      <c r="AD1519" s="584">
        <v>36917.375</v>
      </c>
      <c r="AE1519" s="586">
        <v>0.03</v>
      </c>
      <c r="AF1519" s="661" t="str">
        <f t="shared" si="164"/>
        <v>2019-LVN-FRD-T35W-048-05</v>
      </c>
      <c r="AG1519" s="661" t="str">
        <f>IF(AND($Y1519&gt;=32,(AI1519="I"),(Y1519&lt;&gt;"~"),(COUNTIF($AN$1:$AN1519,$AN1519)=1)),"TRUE","FALSE")</f>
        <v>FALSE</v>
      </c>
      <c r="AH1519" s="661" t="str">
        <f>IF(AND($Y1519&gt;=22, (AI1519&lt;&gt;"I"),(Y1519&lt;&gt;"~"),(COUNTIF($AN$1:$AN1519,$AN1519)=1)),"TRUE","FALSE")</f>
        <v>FALSE</v>
      </c>
      <c r="AI1519" s="661" t="str">
        <f t="shared" si="166"/>
        <v>II</v>
      </c>
      <c r="AJ1519" s="662" t="str">
        <f t="shared" si="160"/>
        <v>T35W-048</v>
      </c>
      <c r="AK1519" s="662" t="str">
        <f t="shared" si="161"/>
        <v>LVN</v>
      </c>
      <c r="AL1519" s="662" t="str">
        <f t="shared" si="162"/>
        <v>FRD</v>
      </c>
      <c r="AM1519" s="662" t="str">
        <f t="shared" si="165"/>
        <v>Transit 350 Wagon-XLT Sliding RH Door-RWD-15-99.2-~-3.5L EcoBoost-6-X2C-302A-147.6-25-Unleaded-Unleaded</v>
      </c>
      <c r="AN1519" s="662" t="str">
        <f t="shared" si="163"/>
        <v>2019-LVN-FRD-T35W-048</v>
      </c>
    </row>
    <row r="1520" spans="1:40" s="572" customFormat="1" ht="15">
      <c r="A1520" s="570" t="s">
        <v>2930</v>
      </c>
      <c r="B1520" s="569" t="s">
        <v>2931</v>
      </c>
      <c r="C1520" s="569" t="s">
        <v>269</v>
      </c>
      <c r="D1520" s="580" t="s">
        <v>270</v>
      </c>
      <c r="E1520" s="569" t="s">
        <v>1516</v>
      </c>
      <c r="F1520" s="569" t="s">
        <v>1607</v>
      </c>
      <c r="G1520" s="569" t="s">
        <v>271</v>
      </c>
      <c r="H1520" s="569">
        <v>2019</v>
      </c>
      <c r="I1520" s="569" t="s">
        <v>2769</v>
      </c>
      <c r="J1520" s="569" t="s">
        <v>2106</v>
      </c>
      <c r="K1520" s="569" t="s">
        <v>236</v>
      </c>
      <c r="L1520" s="569">
        <v>15</v>
      </c>
      <c r="M1520" s="569">
        <v>0</v>
      </c>
      <c r="N1520" s="569" t="s">
        <v>157</v>
      </c>
      <c r="O1520" s="569">
        <v>5</v>
      </c>
      <c r="P1520" s="569">
        <v>99.2</v>
      </c>
      <c r="Q1520" s="568" t="s">
        <v>157</v>
      </c>
      <c r="R1520" s="569" t="s">
        <v>682</v>
      </c>
      <c r="S1520" s="569">
        <v>6</v>
      </c>
      <c r="T1520" s="569" t="s">
        <v>2617</v>
      </c>
      <c r="U1520" s="569" t="s">
        <v>2107</v>
      </c>
      <c r="V1520" s="569">
        <v>147.6</v>
      </c>
      <c r="W1520" s="569">
        <v>25</v>
      </c>
      <c r="X1520" s="568">
        <v>9150</v>
      </c>
      <c r="Y1520" s="569">
        <v>12</v>
      </c>
      <c r="Z1520" s="581" t="s">
        <v>178</v>
      </c>
      <c r="AA1520" s="581" t="s">
        <v>178</v>
      </c>
      <c r="AB1520" s="585">
        <v>45355</v>
      </c>
      <c r="AC1520" s="585" t="s">
        <v>164</v>
      </c>
      <c r="AD1520" s="585">
        <v>34077.791666666672</v>
      </c>
      <c r="AE1520" s="587">
        <v>0.03</v>
      </c>
      <c r="AF1520" s="661" t="str">
        <f t="shared" si="164"/>
        <v>2019-LVN-FRD-T35W-049-05</v>
      </c>
      <c r="AG1520" s="661" t="str">
        <f>IF(AND($Y1520&gt;=32,(AI1520="I"),(Y1520&lt;&gt;"~"),(COUNTIF($AN$1:$AN1520,$AN1520)=1)),"TRUE","FALSE")</f>
        <v>FALSE</v>
      </c>
      <c r="AH1520" s="661" t="str">
        <f>IF(AND($Y1520&gt;=22, (AI1520&lt;&gt;"I"),(Y1520&lt;&gt;"~"),(COUNTIF($AN$1:$AN1520,$AN1520)=1)),"TRUE","FALSE")</f>
        <v>FALSE</v>
      </c>
      <c r="AI1520" s="661" t="str">
        <f t="shared" si="166"/>
        <v>II</v>
      </c>
      <c r="AJ1520" s="662" t="str">
        <f t="shared" si="160"/>
        <v>T35W-049</v>
      </c>
      <c r="AK1520" s="662" t="str">
        <f t="shared" si="161"/>
        <v>LVN</v>
      </c>
      <c r="AL1520" s="662" t="str">
        <f t="shared" si="162"/>
        <v>FRD</v>
      </c>
      <c r="AM1520" s="662" t="str">
        <f t="shared" si="165"/>
        <v>Transit 350 Wagon-XLT Sliding RH Door-RWD-15-99.2-~-3.7L-6-X2C-302A-147.6-25-Unleaded-Unleaded</v>
      </c>
      <c r="AN1520" s="662" t="str">
        <f t="shared" si="163"/>
        <v>2019-LVN-FRD-T35W-049</v>
      </c>
    </row>
    <row r="1521" spans="1:40" s="572" customFormat="1" ht="15">
      <c r="A1521" s="570" t="s">
        <v>2932</v>
      </c>
      <c r="B1521" s="573" t="s">
        <v>2891</v>
      </c>
      <c r="C1521" s="573" t="s">
        <v>278</v>
      </c>
      <c r="D1521" s="578">
        <v>15</v>
      </c>
      <c r="E1521" s="573" t="s">
        <v>1516</v>
      </c>
      <c r="F1521" s="573" t="s">
        <v>1607</v>
      </c>
      <c r="G1521" s="573" t="s">
        <v>271</v>
      </c>
      <c r="H1521" s="573">
        <v>2019</v>
      </c>
      <c r="I1521" s="573" t="s">
        <v>2769</v>
      </c>
      <c r="J1521" s="573" t="s">
        <v>2106</v>
      </c>
      <c r="K1521" s="573" t="s">
        <v>236</v>
      </c>
      <c r="L1521" s="573">
        <v>12</v>
      </c>
      <c r="M1521" s="573">
        <v>0</v>
      </c>
      <c r="N1521" s="573" t="s">
        <v>157</v>
      </c>
      <c r="O1521" s="573">
        <v>4</v>
      </c>
      <c r="P1521" s="573">
        <v>108.6</v>
      </c>
      <c r="Q1521" s="571" t="s">
        <v>157</v>
      </c>
      <c r="R1521" s="573" t="s">
        <v>1917</v>
      </c>
      <c r="S1521" s="573">
        <v>5</v>
      </c>
      <c r="T1521" s="573" t="s">
        <v>2770</v>
      </c>
      <c r="U1521" s="573" t="s">
        <v>2107</v>
      </c>
      <c r="V1521" s="573">
        <v>147.6</v>
      </c>
      <c r="W1521" s="573">
        <v>25</v>
      </c>
      <c r="X1521" s="571">
        <v>9250</v>
      </c>
      <c r="Y1521" s="573">
        <v>12</v>
      </c>
      <c r="Z1521" s="579" t="s">
        <v>728</v>
      </c>
      <c r="AA1521" s="579" t="s">
        <v>1523</v>
      </c>
      <c r="AB1521" s="584">
        <v>49305</v>
      </c>
      <c r="AC1521" s="584" t="s">
        <v>164</v>
      </c>
      <c r="AD1521" s="584">
        <v>39700</v>
      </c>
      <c r="AE1521" s="586">
        <v>0.01</v>
      </c>
      <c r="AF1521" s="661" t="str">
        <f t="shared" si="164"/>
        <v>2019-LVN-FRD-T35W-032-15</v>
      </c>
      <c r="AG1521" s="661" t="str">
        <f>IF(AND($Y1521&gt;=32,(AI1521="I"),(Y1521&lt;&gt;"~"),(COUNTIF($AN$1:$AN1521,$AN1521)=1)),"TRUE","FALSE")</f>
        <v>FALSE</v>
      </c>
      <c r="AH1521" s="661" t="str">
        <f>IF(AND($Y1521&gt;=22, (AI1521&lt;&gt;"I"),(Y1521&lt;&gt;"~"),(COUNTIF($AN$1:$AN1521,$AN1521)=1)),"TRUE","FALSE")</f>
        <v>FALSE</v>
      </c>
      <c r="AI1521" s="661" t="str">
        <f t="shared" si="166"/>
        <v>II</v>
      </c>
      <c r="AJ1521" s="662" t="str">
        <f t="shared" si="160"/>
        <v>T35W-032</v>
      </c>
      <c r="AK1521" s="662" t="str">
        <f t="shared" si="161"/>
        <v>LVN</v>
      </c>
      <c r="AL1521" s="662" t="str">
        <f t="shared" si="162"/>
        <v>FRD</v>
      </c>
      <c r="AM1521" s="662" t="str">
        <f t="shared" si="165"/>
        <v>Transit 350 Wagon-XLT Sliding RH Door-RWD-12-108.6-~-3.2L-5-X2X-302A-147.6-25-Diesel-BioDiesel</v>
      </c>
      <c r="AN1521" s="662" t="str">
        <f t="shared" si="163"/>
        <v>2019-LVN-FRD-T35W-032</v>
      </c>
    </row>
    <row r="1522" spans="1:40" s="572" customFormat="1" ht="15">
      <c r="A1522" s="570" t="s">
        <v>2933</v>
      </c>
      <c r="B1522" s="569" t="s">
        <v>2893</v>
      </c>
      <c r="C1522" s="569" t="s">
        <v>278</v>
      </c>
      <c r="D1522" s="580">
        <v>15</v>
      </c>
      <c r="E1522" s="569" t="s">
        <v>1516</v>
      </c>
      <c r="F1522" s="569" t="s">
        <v>1607</v>
      </c>
      <c r="G1522" s="569" t="s">
        <v>271</v>
      </c>
      <c r="H1522" s="569">
        <v>2019</v>
      </c>
      <c r="I1522" s="569" t="s">
        <v>2769</v>
      </c>
      <c r="J1522" s="569" t="s">
        <v>2106</v>
      </c>
      <c r="K1522" s="569" t="s">
        <v>236</v>
      </c>
      <c r="L1522" s="569">
        <v>12</v>
      </c>
      <c r="M1522" s="569">
        <v>0</v>
      </c>
      <c r="N1522" s="569" t="s">
        <v>157</v>
      </c>
      <c r="O1522" s="569">
        <v>4</v>
      </c>
      <c r="P1522" s="569">
        <v>108.6</v>
      </c>
      <c r="Q1522" s="568" t="s">
        <v>157</v>
      </c>
      <c r="R1522" s="569" t="s">
        <v>1259</v>
      </c>
      <c r="S1522" s="569">
        <v>6</v>
      </c>
      <c r="T1522" s="569" t="s">
        <v>2770</v>
      </c>
      <c r="U1522" s="569" t="s">
        <v>2107</v>
      </c>
      <c r="V1522" s="569">
        <v>147.6</v>
      </c>
      <c r="W1522" s="569">
        <v>25</v>
      </c>
      <c r="X1522" s="568">
        <v>9000</v>
      </c>
      <c r="Y1522" s="569">
        <v>12</v>
      </c>
      <c r="Z1522" s="581" t="s">
        <v>178</v>
      </c>
      <c r="AA1522" s="581" t="s">
        <v>178</v>
      </c>
      <c r="AB1522" s="585">
        <v>47175</v>
      </c>
      <c r="AC1522" s="585" t="s">
        <v>164</v>
      </c>
      <c r="AD1522" s="585">
        <v>37700</v>
      </c>
      <c r="AE1522" s="587">
        <v>0.01</v>
      </c>
      <c r="AF1522" s="661" t="str">
        <f t="shared" si="164"/>
        <v>2019-LVN-FRD-T35W-033-15</v>
      </c>
      <c r="AG1522" s="661" t="str">
        <f>IF(AND($Y1522&gt;=32,(AI1522="I"),(Y1522&lt;&gt;"~"),(COUNTIF($AN$1:$AN1522,$AN1522)=1)),"TRUE","FALSE")</f>
        <v>FALSE</v>
      </c>
      <c r="AH1522" s="661" t="str">
        <f>IF(AND($Y1522&gt;=22, (AI1522&lt;&gt;"I"),(Y1522&lt;&gt;"~"),(COUNTIF($AN$1:$AN1522,$AN1522)=1)),"TRUE","FALSE")</f>
        <v>FALSE</v>
      </c>
      <c r="AI1522" s="661" t="str">
        <f t="shared" si="166"/>
        <v>II</v>
      </c>
      <c r="AJ1522" s="662" t="str">
        <f t="shared" si="160"/>
        <v>T35W-033</v>
      </c>
      <c r="AK1522" s="662" t="str">
        <f t="shared" si="161"/>
        <v>LVN</v>
      </c>
      <c r="AL1522" s="662" t="str">
        <f t="shared" si="162"/>
        <v>FRD</v>
      </c>
      <c r="AM1522" s="662" t="str">
        <f t="shared" si="165"/>
        <v>Transit 350 Wagon-XLT Sliding RH Door-RWD-12-108.6-~-3.5L EcoBoost-6-X2X-302A-147.6-25-Unleaded-Unleaded</v>
      </c>
      <c r="AN1522" s="662" t="str">
        <f t="shared" si="163"/>
        <v>2019-LVN-FRD-T35W-033</v>
      </c>
    </row>
    <row r="1523" spans="1:40" s="572" customFormat="1" ht="15">
      <c r="A1523" s="570" t="s">
        <v>2934</v>
      </c>
      <c r="B1523" s="573" t="s">
        <v>2895</v>
      </c>
      <c r="C1523" s="573" t="s">
        <v>278</v>
      </c>
      <c r="D1523" s="578">
        <v>15</v>
      </c>
      <c r="E1523" s="573" t="s">
        <v>1516</v>
      </c>
      <c r="F1523" s="573" t="s">
        <v>1607</v>
      </c>
      <c r="G1523" s="573" t="s">
        <v>271</v>
      </c>
      <c r="H1523" s="573">
        <v>2019</v>
      </c>
      <c r="I1523" s="573" t="s">
        <v>2769</v>
      </c>
      <c r="J1523" s="573" t="s">
        <v>2106</v>
      </c>
      <c r="K1523" s="573" t="s">
        <v>236</v>
      </c>
      <c r="L1523" s="573">
        <v>12</v>
      </c>
      <c r="M1523" s="573">
        <v>0</v>
      </c>
      <c r="N1523" s="573" t="s">
        <v>157</v>
      </c>
      <c r="O1523" s="573">
        <v>4</v>
      </c>
      <c r="P1523" s="573">
        <v>108.6</v>
      </c>
      <c r="Q1523" s="571" t="s">
        <v>157</v>
      </c>
      <c r="R1523" s="573" t="s">
        <v>682</v>
      </c>
      <c r="S1523" s="573">
        <v>6</v>
      </c>
      <c r="T1523" s="573" t="s">
        <v>2770</v>
      </c>
      <c r="U1523" s="573" t="s">
        <v>2107</v>
      </c>
      <c r="V1523" s="573">
        <v>147.6</v>
      </c>
      <c r="W1523" s="573">
        <v>25</v>
      </c>
      <c r="X1523" s="571">
        <v>9000</v>
      </c>
      <c r="Y1523" s="573">
        <v>12</v>
      </c>
      <c r="Z1523" s="579" t="s">
        <v>178</v>
      </c>
      <c r="AA1523" s="579" t="s">
        <v>178</v>
      </c>
      <c r="AB1523" s="584">
        <v>45310</v>
      </c>
      <c r="AC1523" s="584" t="s">
        <v>164</v>
      </c>
      <c r="AD1523" s="584">
        <v>36000</v>
      </c>
      <c r="AE1523" s="586">
        <v>0.01</v>
      </c>
      <c r="AF1523" s="661" t="str">
        <f t="shared" si="164"/>
        <v>2019-LVN-FRD-T35W-034-15</v>
      </c>
      <c r="AG1523" s="661" t="str">
        <f>IF(AND($Y1523&gt;=32,(AI1523="I"),(Y1523&lt;&gt;"~"),(COUNTIF($AN$1:$AN1523,$AN1523)=1)),"TRUE","FALSE")</f>
        <v>FALSE</v>
      </c>
      <c r="AH1523" s="661" t="str">
        <f>IF(AND($Y1523&gt;=22, (AI1523&lt;&gt;"I"),(Y1523&lt;&gt;"~"),(COUNTIF($AN$1:$AN1523,$AN1523)=1)),"TRUE","FALSE")</f>
        <v>FALSE</v>
      </c>
      <c r="AI1523" s="661" t="str">
        <f t="shared" si="166"/>
        <v>II</v>
      </c>
      <c r="AJ1523" s="662" t="str">
        <f t="shared" si="160"/>
        <v>T35W-034</v>
      </c>
      <c r="AK1523" s="662" t="str">
        <f t="shared" si="161"/>
        <v>LVN</v>
      </c>
      <c r="AL1523" s="662" t="str">
        <f t="shared" si="162"/>
        <v>FRD</v>
      </c>
      <c r="AM1523" s="662" t="str">
        <f t="shared" si="165"/>
        <v>Transit 350 Wagon-XLT Sliding RH Door-RWD-12-108.6-~-3.7L-6-X2X-302A-147.6-25-Unleaded-Unleaded</v>
      </c>
      <c r="AN1523" s="662" t="str">
        <f t="shared" si="163"/>
        <v>2019-LVN-FRD-T35W-034</v>
      </c>
    </row>
    <row r="1524" spans="1:40" s="572" customFormat="1" ht="15">
      <c r="A1524" s="570" t="s">
        <v>2935</v>
      </c>
      <c r="B1524" s="569" t="s">
        <v>2936</v>
      </c>
      <c r="C1524" s="569" t="s">
        <v>278</v>
      </c>
      <c r="D1524" s="580">
        <v>15</v>
      </c>
      <c r="E1524" s="569" t="s">
        <v>1516</v>
      </c>
      <c r="F1524" s="569" t="s">
        <v>1607</v>
      </c>
      <c r="G1524" s="569" t="s">
        <v>271</v>
      </c>
      <c r="H1524" s="569">
        <v>2019</v>
      </c>
      <c r="I1524" s="569" t="s">
        <v>2769</v>
      </c>
      <c r="J1524" s="569" t="s">
        <v>2106</v>
      </c>
      <c r="K1524" s="569" t="s">
        <v>236</v>
      </c>
      <c r="L1524" s="569">
        <v>12</v>
      </c>
      <c r="M1524" s="569">
        <v>0</v>
      </c>
      <c r="N1524" s="569" t="s">
        <v>157</v>
      </c>
      <c r="O1524" s="569">
        <v>4</v>
      </c>
      <c r="P1524" s="569">
        <v>82.4</v>
      </c>
      <c r="Q1524" s="568" t="s">
        <v>157</v>
      </c>
      <c r="R1524" s="569" t="s">
        <v>1917</v>
      </c>
      <c r="S1524" s="569">
        <v>5</v>
      </c>
      <c r="T1524" s="569" t="s">
        <v>2777</v>
      </c>
      <c r="U1524" s="569" t="s">
        <v>434</v>
      </c>
      <c r="V1524" s="569">
        <v>147.6</v>
      </c>
      <c r="W1524" s="569">
        <v>25</v>
      </c>
      <c r="X1524" s="568">
        <v>9000</v>
      </c>
      <c r="Y1524" s="569">
        <v>12</v>
      </c>
      <c r="Z1524" s="581" t="s">
        <v>728</v>
      </c>
      <c r="AA1524" s="581" t="s">
        <v>1523</v>
      </c>
      <c r="AB1524" s="585">
        <v>46405</v>
      </c>
      <c r="AC1524" s="585" t="s">
        <v>164</v>
      </c>
      <c r="AD1524" s="585">
        <v>34800</v>
      </c>
      <c r="AE1524" s="587">
        <v>0.01</v>
      </c>
      <c r="AF1524" s="661" t="str">
        <f t="shared" si="164"/>
        <v>2019-LVN-FRD-T35W-077-15</v>
      </c>
      <c r="AG1524" s="661" t="str">
        <f>IF(AND($Y1524&gt;=32,(AI1524="I"),(Y1524&lt;&gt;"~"),(COUNTIF($AN$1:$AN1524,$AN1524)=1)),"TRUE","FALSE")</f>
        <v>FALSE</v>
      </c>
      <c r="AH1524" s="661" t="str">
        <f>IF(AND($Y1524&gt;=22, (AI1524&lt;&gt;"I"),(Y1524&lt;&gt;"~"),(COUNTIF($AN$1:$AN1524,$AN1524)=1)),"TRUE","FALSE")</f>
        <v>FALSE</v>
      </c>
      <c r="AI1524" s="661" t="str">
        <f t="shared" si="166"/>
        <v>II</v>
      </c>
      <c r="AJ1524" s="662" t="str">
        <f t="shared" si="160"/>
        <v>T35W-077</v>
      </c>
      <c r="AK1524" s="662" t="str">
        <f t="shared" si="161"/>
        <v>LVN</v>
      </c>
      <c r="AL1524" s="662" t="str">
        <f t="shared" si="162"/>
        <v>FRD</v>
      </c>
      <c r="AM1524" s="662" t="str">
        <f t="shared" si="165"/>
        <v>Transit 350 Wagon-XLT Sliding RH Door-RWD-12-82.4-~-3.2L-5-X2Y-301A-147.6-25-Diesel-BioDiesel</v>
      </c>
      <c r="AN1524" s="662" t="str">
        <f t="shared" si="163"/>
        <v>2019-LVN-FRD-T35W-077</v>
      </c>
    </row>
    <row r="1525" spans="1:40" s="572" customFormat="1" ht="15">
      <c r="A1525" s="570" t="s">
        <v>2937</v>
      </c>
      <c r="B1525" s="573" t="s">
        <v>2901</v>
      </c>
      <c r="C1525" s="573" t="s">
        <v>278</v>
      </c>
      <c r="D1525" s="578">
        <v>15</v>
      </c>
      <c r="E1525" s="573" t="s">
        <v>1516</v>
      </c>
      <c r="F1525" s="573" t="s">
        <v>1607</v>
      </c>
      <c r="G1525" s="573" t="s">
        <v>271</v>
      </c>
      <c r="H1525" s="573">
        <v>2019</v>
      </c>
      <c r="I1525" s="573" t="s">
        <v>2769</v>
      </c>
      <c r="J1525" s="573" t="s">
        <v>2106</v>
      </c>
      <c r="K1525" s="573" t="s">
        <v>236</v>
      </c>
      <c r="L1525" s="573">
        <v>12</v>
      </c>
      <c r="M1525" s="573">
        <v>0</v>
      </c>
      <c r="N1525" s="573" t="s">
        <v>157</v>
      </c>
      <c r="O1525" s="573">
        <v>4</v>
      </c>
      <c r="P1525" s="573">
        <v>82.4</v>
      </c>
      <c r="Q1525" s="571" t="s">
        <v>157</v>
      </c>
      <c r="R1525" s="573" t="s">
        <v>682</v>
      </c>
      <c r="S1525" s="573">
        <v>6</v>
      </c>
      <c r="T1525" s="573" t="s">
        <v>2777</v>
      </c>
      <c r="U1525" s="573" t="s">
        <v>2107</v>
      </c>
      <c r="V1525" s="573">
        <v>147.6</v>
      </c>
      <c r="W1525" s="573">
        <v>25</v>
      </c>
      <c r="X1525" s="571">
        <v>9000</v>
      </c>
      <c r="Y1525" s="573">
        <v>12</v>
      </c>
      <c r="Z1525" s="579" t="s">
        <v>178</v>
      </c>
      <c r="AA1525" s="579" t="s">
        <v>178</v>
      </c>
      <c r="AB1525" s="584">
        <v>42410</v>
      </c>
      <c r="AC1525" s="584" t="s">
        <v>164</v>
      </c>
      <c r="AD1525" s="584">
        <v>31200</v>
      </c>
      <c r="AE1525" s="586">
        <v>0.01</v>
      </c>
      <c r="AF1525" s="661" t="str">
        <f t="shared" si="164"/>
        <v>2019-LVN-FRD-T35W-079-15</v>
      </c>
      <c r="AG1525" s="661" t="str">
        <f>IF(AND($Y1525&gt;=32,(AI1525="I"),(Y1525&lt;&gt;"~"),(COUNTIF($AN$1:$AN1525,$AN1525)=1)),"TRUE","FALSE")</f>
        <v>FALSE</v>
      </c>
      <c r="AH1525" s="661" t="str">
        <f>IF(AND($Y1525&gt;=22, (AI1525&lt;&gt;"I"),(Y1525&lt;&gt;"~"),(COUNTIF($AN$1:$AN1525,$AN1525)=1)),"TRUE","FALSE")</f>
        <v>FALSE</v>
      </c>
      <c r="AI1525" s="661" t="str">
        <f t="shared" si="166"/>
        <v>II</v>
      </c>
      <c r="AJ1525" s="662" t="str">
        <f t="shared" si="160"/>
        <v>T35W-079</v>
      </c>
      <c r="AK1525" s="662" t="str">
        <f t="shared" si="161"/>
        <v>LVN</v>
      </c>
      <c r="AL1525" s="662" t="str">
        <f t="shared" si="162"/>
        <v>FRD</v>
      </c>
      <c r="AM1525" s="662" t="str">
        <f t="shared" si="165"/>
        <v>Transit 350 Wagon-XLT Sliding RH Door-RWD-12-82.4-~-3.7L-6-X2Y-302A-147.6-25-Unleaded-Unleaded</v>
      </c>
      <c r="AN1525" s="662" t="str">
        <f t="shared" si="163"/>
        <v>2019-LVN-FRD-T35W-079</v>
      </c>
    </row>
    <row r="1526" spans="1:40" s="572" customFormat="1" ht="15">
      <c r="A1526" s="570" t="s">
        <v>2938</v>
      </c>
      <c r="B1526" s="569" t="s">
        <v>2903</v>
      </c>
      <c r="C1526" s="569" t="s">
        <v>278</v>
      </c>
      <c r="D1526" s="580">
        <v>15</v>
      </c>
      <c r="E1526" s="569" t="s">
        <v>1516</v>
      </c>
      <c r="F1526" s="569" t="s">
        <v>1607</v>
      </c>
      <c r="G1526" s="569" t="s">
        <v>271</v>
      </c>
      <c r="H1526" s="569">
        <v>2019</v>
      </c>
      <c r="I1526" s="569" t="s">
        <v>2769</v>
      </c>
      <c r="J1526" s="569" t="s">
        <v>2106</v>
      </c>
      <c r="K1526" s="569" t="s">
        <v>236</v>
      </c>
      <c r="L1526" s="569">
        <v>12</v>
      </c>
      <c r="M1526" s="569">
        <v>0</v>
      </c>
      <c r="N1526" s="569" t="s">
        <v>157</v>
      </c>
      <c r="O1526" s="569">
        <v>4</v>
      </c>
      <c r="P1526" s="569">
        <v>99.2</v>
      </c>
      <c r="Q1526" s="568" t="s">
        <v>157</v>
      </c>
      <c r="R1526" s="569" t="s">
        <v>1917</v>
      </c>
      <c r="S1526" s="569">
        <v>5</v>
      </c>
      <c r="T1526" s="569" t="s">
        <v>2617</v>
      </c>
      <c r="U1526" s="569" t="s">
        <v>2107</v>
      </c>
      <c r="V1526" s="569">
        <v>147.6</v>
      </c>
      <c r="W1526" s="569">
        <v>25</v>
      </c>
      <c r="X1526" s="568">
        <v>9250</v>
      </c>
      <c r="Y1526" s="569">
        <v>12</v>
      </c>
      <c r="Z1526" s="581" t="s">
        <v>728</v>
      </c>
      <c r="AA1526" s="581" t="s">
        <v>1523</v>
      </c>
      <c r="AB1526" s="585">
        <v>47855</v>
      </c>
      <c r="AC1526" s="585" t="s">
        <v>164</v>
      </c>
      <c r="AD1526" s="585">
        <v>38300</v>
      </c>
      <c r="AE1526" s="587">
        <v>0.01</v>
      </c>
      <c r="AF1526" s="661" t="str">
        <f t="shared" si="164"/>
        <v>2019-LVN-FRD-T35W-036-15</v>
      </c>
      <c r="AG1526" s="661" t="str">
        <f>IF(AND($Y1526&gt;=32,(AI1526="I"),(Y1526&lt;&gt;"~"),(COUNTIF($AN$1:$AN1526,$AN1526)=1)),"TRUE","FALSE")</f>
        <v>FALSE</v>
      </c>
      <c r="AH1526" s="661" t="str">
        <f>IF(AND($Y1526&gt;=22, (AI1526&lt;&gt;"I"),(Y1526&lt;&gt;"~"),(COUNTIF($AN$1:$AN1526,$AN1526)=1)),"TRUE","FALSE")</f>
        <v>FALSE</v>
      </c>
      <c r="AI1526" s="661" t="str">
        <f t="shared" si="166"/>
        <v>II</v>
      </c>
      <c r="AJ1526" s="662" t="str">
        <f t="shared" si="160"/>
        <v>T35W-036</v>
      </c>
      <c r="AK1526" s="662" t="str">
        <f t="shared" si="161"/>
        <v>LVN</v>
      </c>
      <c r="AL1526" s="662" t="str">
        <f t="shared" si="162"/>
        <v>FRD</v>
      </c>
      <c r="AM1526" s="662" t="str">
        <f t="shared" si="165"/>
        <v>Transit 350 Wagon-XLT Sliding RH Door-RWD-12-99.2-~-3.2L-5-X2C-302A-147.6-25-Diesel-BioDiesel</v>
      </c>
      <c r="AN1526" s="662" t="str">
        <f t="shared" si="163"/>
        <v>2019-LVN-FRD-T35W-036</v>
      </c>
    </row>
    <row r="1527" spans="1:40" s="572" customFormat="1" ht="15">
      <c r="A1527" s="570" t="s">
        <v>2939</v>
      </c>
      <c r="B1527" s="573" t="s">
        <v>2905</v>
      </c>
      <c r="C1527" s="573" t="s">
        <v>278</v>
      </c>
      <c r="D1527" s="578">
        <v>15</v>
      </c>
      <c r="E1527" s="573" t="s">
        <v>1516</v>
      </c>
      <c r="F1527" s="573" t="s">
        <v>1607</v>
      </c>
      <c r="G1527" s="573" t="s">
        <v>271</v>
      </c>
      <c r="H1527" s="573">
        <v>2019</v>
      </c>
      <c r="I1527" s="573" t="s">
        <v>2769</v>
      </c>
      <c r="J1527" s="573" t="s">
        <v>2106</v>
      </c>
      <c r="K1527" s="573" t="s">
        <v>236</v>
      </c>
      <c r="L1527" s="573">
        <v>12</v>
      </c>
      <c r="M1527" s="573">
        <v>0</v>
      </c>
      <c r="N1527" s="573" t="s">
        <v>157</v>
      </c>
      <c r="O1527" s="573">
        <v>4</v>
      </c>
      <c r="P1527" s="573">
        <v>99.2</v>
      </c>
      <c r="Q1527" s="571" t="s">
        <v>157</v>
      </c>
      <c r="R1527" s="573" t="s">
        <v>1259</v>
      </c>
      <c r="S1527" s="573">
        <v>6</v>
      </c>
      <c r="T1527" s="573" t="s">
        <v>2617</v>
      </c>
      <c r="U1527" s="573" t="s">
        <v>2107</v>
      </c>
      <c r="V1527" s="573">
        <v>147.6</v>
      </c>
      <c r="W1527" s="573">
        <v>25</v>
      </c>
      <c r="X1527" s="571">
        <v>9000</v>
      </c>
      <c r="Y1527" s="573">
        <v>12</v>
      </c>
      <c r="Z1527" s="579" t="s">
        <v>178</v>
      </c>
      <c r="AA1527" s="579" t="s">
        <v>178</v>
      </c>
      <c r="AB1527" s="584">
        <v>45725</v>
      </c>
      <c r="AC1527" s="584" t="s">
        <v>164</v>
      </c>
      <c r="AD1527" s="584">
        <v>36300</v>
      </c>
      <c r="AE1527" s="586">
        <v>0.01</v>
      </c>
      <c r="AF1527" s="661" t="str">
        <f t="shared" si="164"/>
        <v>2019-LVN-FRD-T35W-037-15</v>
      </c>
      <c r="AG1527" s="661" t="str">
        <f>IF(AND($Y1527&gt;=32,(AI1527="I"),(Y1527&lt;&gt;"~"),(COUNTIF($AN$1:$AN1527,$AN1527)=1)),"TRUE","FALSE")</f>
        <v>FALSE</v>
      </c>
      <c r="AH1527" s="661" t="str">
        <f>IF(AND($Y1527&gt;=22, (AI1527&lt;&gt;"I"),(Y1527&lt;&gt;"~"),(COUNTIF($AN$1:$AN1527,$AN1527)=1)),"TRUE","FALSE")</f>
        <v>FALSE</v>
      </c>
      <c r="AI1527" s="661" t="str">
        <f t="shared" si="166"/>
        <v>II</v>
      </c>
      <c r="AJ1527" s="662" t="str">
        <f t="shared" si="160"/>
        <v>T35W-037</v>
      </c>
      <c r="AK1527" s="662" t="str">
        <f t="shared" si="161"/>
        <v>LVN</v>
      </c>
      <c r="AL1527" s="662" t="str">
        <f t="shared" si="162"/>
        <v>FRD</v>
      </c>
      <c r="AM1527" s="662" t="str">
        <f t="shared" si="165"/>
        <v>Transit 350 Wagon-XLT Sliding RH Door-RWD-12-99.2-~-3.5L EcoBoost-6-X2C-302A-147.6-25-Unleaded-Unleaded</v>
      </c>
      <c r="AN1527" s="662" t="str">
        <f t="shared" si="163"/>
        <v>2019-LVN-FRD-T35W-037</v>
      </c>
    </row>
    <row r="1528" spans="1:40" s="572" customFormat="1" ht="15">
      <c r="A1528" s="570" t="s">
        <v>2940</v>
      </c>
      <c r="B1528" s="569" t="s">
        <v>2907</v>
      </c>
      <c r="C1528" s="569" t="s">
        <v>278</v>
      </c>
      <c r="D1528" s="580">
        <v>15</v>
      </c>
      <c r="E1528" s="569" t="s">
        <v>1516</v>
      </c>
      <c r="F1528" s="569" t="s">
        <v>1607</v>
      </c>
      <c r="G1528" s="569" t="s">
        <v>271</v>
      </c>
      <c r="H1528" s="569">
        <v>2019</v>
      </c>
      <c r="I1528" s="569" t="s">
        <v>2769</v>
      </c>
      <c r="J1528" s="569" t="s">
        <v>2106</v>
      </c>
      <c r="K1528" s="569" t="s">
        <v>236</v>
      </c>
      <c r="L1528" s="569">
        <v>12</v>
      </c>
      <c r="M1528" s="569">
        <v>0</v>
      </c>
      <c r="N1528" s="569" t="s">
        <v>157</v>
      </c>
      <c r="O1528" s="569">
        <v>4</v>
      </c>
      <c r="P1528" s="569">
        <v>99.2</v>
      </c>
      <c r="Q1528" s="568" t="s">
        <v>157</v>
      </c>
      <c r="R1528" s="569" t="s">
        <v>682</v>
      </c>
      <c r="S1528" s="569">
        <v>6</v>
      </c>
      <c r="T1528" s="569" t="s">
        <v>2617</v>
      </c>
      <c r="U1528" s="569" t="s">
        <v>2107</v>
      </c>
      <c r="V1528" s="569">
        <v>147.6</v>
      </c>
      <c r="W1528" s="569">
        <v>25</v>
      </c>
      <c r="X1528" s="568">
        <v>9000</v>
      </c>
      <c r="Y1528" s="569">
        <v>12</v>
      </c>
      <c r="Z1528" s="581" t="s">
        <v>178</v>
      </c>
      <c r="AA1528" s="581" t="s">
        <v>178</v>
      </c>
      <c r="AB1528" s="585">
        <v>43860</v>
      </c>
      <c r="AC1528" s="585" t="s">
        <v>164</v>
      </c>
      <c r="AD1528" s="585">
        <v>34700</v>
      </c>
      <c r="AE1528" s="587">
        <v>0.01</v>
      </c>
      <c r="AF1528" s="661" t="str">
        <f t="shared" si="164"/>
        <v>2019-LVN-FRD-T35W-038-15</v>
      </c>
      <c r="AG1528" s="661" t="str">
        <f>IF(AND($Y1528&gt;=32,(AI1528="I"),(Y1528&lt;&gt;"~"),(COUNTIF($AN$1:$AN1528,$AN1528)=1)),"TRUE","FALSE")</f>
        <v>FALSE</v>
      </c>
      <c r="AH1528" s="661" t="str">
        <f>IF(AND($Y1528&gt;=22, (AI1528&lt;&gt;"I"),(Y1528&lt;&gt;"~"),(COUNTIF($AN$1:$AN1528,$AN1528)=1)),"TRUE","FALSE")</f>
        <v>FALSE</v>
      </c>
      <c r="AI1528" s="661" t="str">
        <f t="shared" si="166"/>
        <v>II</v>
      </c>
      <c r="AJ1528" s="662" t="str">
        <f t="shared" si="160"/>
        <v>T35W-038</v>
      </c>
      <c r="AK1528" s="662" t="str">
        <f t="shared" si="161"/>
        <v>LVN</v>
      </c>
      <c r="AL1528" s="662" t="str">
        <f t="shared" si="162"/>
        <v>FRD</v>
      </c>
      <c r="AM1528" s="662" t="str">
        <f t="shared" si="165"/>
        <v>Transit 350 Wagon-XLT Sliding RH Door-RWD-12-99.2-~-3.7L-6-X2C-302A-147.6-25-Unleaded-Unleaded</v>
      </c>
      <c r="AN1528" s="662" t="str">
        <f t="shared" si="163"/>
        <v>2019-LVN-FRD-T35W-038</v>
      </c>
    </row>
    <row r="1529" spans="1:40" s="572" customFormat="1" ht="15">
      <c r="A1529" s="570" t="s">
        <v>2941</v>
      </c>
      <c r="B1529" s="573" t="s">
        <v>2909</v>
      </c>
      <c r="C1529" s="573" t="s">
        <v>278</v>
      </c>
      <c r="D1529" s="578">
        <v>15</v>
      </c>
      <c r="E1529" s="573" t="s">
        <v>1516</v>
      </c>
      <c r="F1529" s="573" t="s">
        <v>1607</v>
      </c>
      <c r="G1529" s="573" t="s">
        <v>271</v>
      </c>
      <c r="H1529" s="573">
        <v>2019</v>
      </c>
      <c r="I1529" s="573" t="s">
        <v>2769</v>
      </c>
      <c r="J1529" s="573" t="s">
        <v>2106</v>
      </c>
      <c r="K1529" s="573" t="s">
        <v>236</v>
      </c>
      <c r="L1529" s="573">
        <v>15</v>
      </c>
      <c r="M1529" s="573">
        <v>0</v>
      </c>
      <c r="N1529" s="573" t="s">
        <v>157</v>
      </c>
      <c r="O1529" s="573">
        <v>5</v>
      </c>
      <c r="P1529" s="573">
        <v>107.7</v>
      </c>
      <c r="Q1529" s="571" t="s">
        <v>157</v>
      </c>
      <c r="R1529" s="573" t="s">
        <v>1917</v>
      </c>
      <c r="S1529" s="573">
        <v>5</v>
      </c>
      <c r="T1529" s="573" t="s">
        <v>2599</v>
      </c>
      <c r="U1529" s="573" t="s">
        <v>2107</v>
      </c>
      <c r="V1529" s="573">
        <v>147.6</v>
      </c>
      <c r="W1529" s="573">
        <v>25</v>
      </c>
      <c r="X1529" s="571">
        <v>10360</v>
      </c>
      <c r="Y1529" s="569" t="s">
        <v>164</v>
      </c>
      <c r="Z1529" s="579" t="s">
        <v>728</v>
      </c>
      <c r="AA1529" s="579" t="s">
        <v>1523</v>
      </c>
      <c r="AB1529" s="584">
        <v>50455</v>
      </c>
      <c r="AC1529" s="584" t="s">
        <v>164</v>
      </c>
      <c r="AD1529" s="584">
        <v>40700</v>
      </c>
      <c r="AE1529" s="586">
        <v>0.01</v>
      </c>
      <c r="AF1529" s="661" t="str">
        <f t="shared" si="164"/>
        <v>2019-LVN-FRD-T35W-040-15</v>
      </c>
      <c r="AG1529" s="661" t="str">
        <f>IF(AND($Y1529&gt;=32,(AI1529="I"),(Y1529&lt;&gt;"~"),(COUNTIF($AN$1:$AN1529,$AN1529)=1)),"TRUE","FALSE")</f>
        <v>FALSE</v>
      </c>
      <c r="AH1529" s="661" t="str">
        <f>IF(AND($Y1529&gt;=22, (AI1529&lt;&gt;"I"),(Y1529&lt;&gt;"~"),(COUNTIF($AN$1:$AN1529,$AN1529)=1)),"TRUE","FALSE")</f>
        <v>FALSE</v>
      </c>
      <c r="AI1529" s="661" t="str">
        <f t="shared" si="166"/>
        <v>N/A</v>
      </c>
      <c r="AJ1529" s="662" t="str">
        <f t="shared" si="160"/>
        <v>T35W-040</v>
      </c>
      <c r="AK1529" s="662" t="str">
        <f t="shared" si="161"/>
        <v>LVN</v>
      </c>
      <c r="AL1529" s="662" t="str">
        <f t="shared" si="162"/>
        <v>FRD</v>
      </c>
      <c r="AM1529" s="662" t="str">
        <f t="shared" si="165"/>
        <v>Transit 350 Wagon-XLT Sliding RH Door-RWD-15-107.7-~-3.2L-5-U4X-302A-147.6-25-Diesel-BioDiesel</v>
      </c>
      <c r="AN1529" s="662" t="str">
        <f t="shared" si="163"/>
        <v>2019-LVN-FRD-T35W-040</v>
      </c>
    </row>
    <row r="1530" spans="1:40" s="572" customFormat="1" ht="15">
      <c r="A1530" s="570" t="s">
        <v>2942</v>
      </c>
      <c r="B1530" s="569" t="s">
        <v>2911</v>
      </c>
      <c r="C1530" s="569" t="s">
        <v>278</v>
      </c>
      <c r="D1530" s="580">
        <v>15</v>
      </c>
      <c r="E1530" s="569" t="s">
        <v>1516</v>
      </c>
      <c r="F1530" s="569" t="s">
        <v>1607</v>
      </c>
      <c r="G1530" s="569" t="s">
        <v>271</v>
      </c>
      <c r="H1530" s="569">
        <v>2019</v>
      </c>
      <c r="I1530" s="569" t="s">
        <v>2769</v>
      </c>
      <c r="J1530" s="569" t="s">
        <v>2106</v>
      </c>
      <c r="K1530" s="569" t="s">
        <v>236</v>
      </c>
      <c r="L1530" s="569">
        <v>15</v>
      </c>
      <c r="M1530" s="569">
        <v>0</v>
      </c>
      <c r="N1530" s="569" t="s">
        <v>157</v>
      </c>
      <c r="O1530" s="569">
        <v>5</v>
      </c>
      <c r="P1530" s="569">
        <v>107.7</v>
      </c>
      <c r="Q1530" s="568" t="s">
        <v>157</v>
      </c>
      <c r="R1530" s="569" t="s">
        <v>1259</v>
      </c>
      <c r="S1530" s="569">
        <v>6</v>
      </c>
      <c r="T1530" s="569" t="s">
        <v>2599</v>
      </c>
      <c r="U1530" s="569" t="s">
        <v>2107</v>
      </c>
      <c r="V1530" s="569">
        <v>147.6</v>
      </c>
      <c r="W1530" s="569">
        <v>25</v>
      </c>
      <c r="X1530" s="568">
        <v>10360</v>
      </c>
      <c r="Y1530" s="569" t="s">
        <v>164</v>
      </c>
      <c r="Z1530" s="581" t="s">
        <v>178</v>
      </c>
      <c r="AA1530" s="581" t="s">
        <v>178</v>
      </c>
      <c r="AB1530" s="585">
        <v>48325</v>
      </c>
      <c r="AC1530" s="585" t="s">
        <v>164</v>
      </c>
      <c r="AD1530" s="585">
        <v>38750</v>
      </c>
      <c r="AE1530" s="587">
        <v>0.01</v>
      </c>
      <c r="AF1530" s="661" t="str">
        <f t="shared" si="164"/>
        <v>2019-LVN-FRD-T35W-041-15</v>
      </c>
      <c r="AG1530" s="661" t="str">
        <f>IF(AND($Y1530&gt;=32,(AI1530="I"),(Y1530&lt;&gt;"~"),(COUNTIF($AN$1:$AN1530,$AN1530)=1)),"TRUE","FALSE")</f>
        <v>FALSE</v>
      </c>
      <c r="AH1530" s="661" t="str">
        <f>IF(AND($Y1530&gt;=22, (AI1530&lt;&gt;"I"),(Y1530&lt;&gt;"~"),(COUNTIF($AN$1:$AN1530,$AN1530)=1)),"TRUE","FALSE")</f>
        <v>FALSE</v>
      </c>
      <c r="AI1530" s="661" t="str">
        <f t="shared" si="166"/>
        <v>N/A</v>
      </c>
      <c r="AJ1530" s="662" t="str">
        <f t="shared" si="160"/>
        <v>T35W-041</v>
      </c>
      <c r="AK1530" s="662" t="str">
        <f t="shared" si="161"/>
        <v>LVN</v>
      </c>
      <c r="AL1530" s="662" t="str">
        <f t="shared" si="162"/>
        <v>FRD</v>
      </c>
      <c r="AM1530" s="662" t="str">
        <f t="shared" si="165"/>
        <v>Transit 350 Wagon-XLT Sliding RH Door-RWD-15-107.7-~-3.5L EcoBoost-6-U4X-302A-147.6-25-Unleaded-Unleaded</v>
      </c>
      <c r="AN1530" s="662" t="str">
        <f t="shared" si="163"/>
        <v>2019-LVN-FRD-T35W-041</v>
      </c>
    </row>
    <row r="1531" spans="1:40" s="572" customFormat="1" ht="15">
      <c r="A1531" s="570" t="s">
        <v>2943</v>
      </c>
      <c r="B1531" s="573" t="s">
        <v>2913</v>
      </c>
      <c r="C1531" s="573" t="s">
        <v>278</v>
      </c>
      <c r="D1531" s="578">
        <v>15</v>
      </c>
      <c r="E1531" s="573" t="s">
        <v>1516</v>
      </c>
      <c r="F1531" s="573" t="s">
        <v>1607</v>
      </c>
      <c r="G1531" s="573" t="s">
        <v>271</v>
      </c>
      <c r="H1531" s="573">
        <v>2019</v>
      </c>
      <c r="I1531" s="573" t="s">
        <v>2769</v>
      </c>
      <c r="J1531" s="573" t="s">
        <v>2106</v>
      </c>
      <c r="K1531" s="573" t="s">
        <v>236</v>
      </c>
      <c r="L1531" s="573">
        <v>15</v>
      </c>
      <c r="M1531" s="573">
        <v>0</v>
      </c>
      <c r="N1531" s="573" t="s">
        <v>157</v>
      </c>
      <c r="O1531" s="573">
        <v>5</v>
      </c>
      <c r="P1531" s="573">
        <v>107.7</v>
      </c>
      <c r="Q1531" s="571" t="s">
        <v>157</v>
      </c>
      <c r="R1531" s="573" t="s">
        <v>682</v>
      </c>
      <c r="S1531" s="573">
        <v>6</v>
      </c>
      <c r="T1531" s="573" t="s">
        <v>2599</v>
      </c>
      <c r="U1531" s="573" t="s">
        <v>2107</v>
      </c>
      <c r="V1531" s="573">
        <v>147.6</v>
      </c>
      <c r="W1531" s="573">
        <v>25</v>
      </c>
      <c r="X1531" s="571">
        <v>10360</v>
      </c>
      <c r="Y1531" s="569" t="s">
        <v>164</v>
      </c>
      <c r="Z1531" s="579" t="s">
        <v>178</v>
      </c>
      <c r="AA1531" s="579" t="s">
        <v>178</v>
      </c>
      <c r="AB1531" s="584">
        <v>46460</v>
      </c>
      <c r="AC1531" s="584" t="s">
        <v>164</v>
      </c>
      <c r="AD1531" s="584">
        <v>37100</v>
      </c>
      <c r="AE1531" s="586">
        <v>0.01</v>
      </c>
      <c r="AF1531" s="661" t="str">
        <f t="shared" si="164"/>
        <v>2019-LVN-FRD-T35W-042-15</v>
      </c>
      <c r="AG1531" s="661" t="str">
        <f>IF(AND($Y1531&gt;=32,(AI1531="I"),(Y1531&lt;&gt;"~"),(COUNTIF($AN$1:$AN1531,$AN1531)=1)),"TRUE","FALSE")</f>
        <v>FALSE</v>
      </c>
      <c r="AH1531" s="661" t="str">
        <f>IF(AND($Y1531&gt;=22, (AI1531&lt;&gt;"I"),(Y1531&lt;&gt;"~"),(COUNTIF($AN$1:$AN1531,$AN1531)=1)),"TRUE","FALSE")</f>
        <v>FALSE</v>
      </c>
      <c r="AI1531" s="661" t="str">
        <f t="shared" si="166"/>
        <v>N/A</v>
      </c>
      <c r="AJ1531" s="662" t="str">
        <f t="shared" si="160"/>
        <v>T35W-042</v>
      </c>
      <c r="AK1531" s="662" t="str">
        <f t="shared" si="161"/>
        <v>LVN</v>
      </c>
      <c r="AL1531" s="662" t="str">
        <f t="shared" si="162"/>
        <v>FRD</v>
      </c>
      <c r="AM1531" s="662" t="str">
        <f t="shared" si="165"/>
        <v>Transit 350 Wagon-XLT Sliding RH Door-RWD-15-107.7-~-3.7L-6-U4X-302A-147.6-25-Unleaded-Unleaded</v>
      </c>
      <c r="AN1531" s="662" t="str">
        <f t="shared" si="163"/>
        <v>2019-LVN-FRD-T35W-042</v>
      </c>
    </row>
    <row r="1532" spans="1:40" s="572" customFormat="1" ht="15">
      <c r="A1532" s="570" t="s">
        <v>2944</v>
      </c>
      <c r="B1532" s="569" t="s">
        <v>2915</v>
      </c>
      <c r="C1532" s="569" t="s">
        <v>278</v>
      </c>
      <c r="D1532" s="580">
        <v>15</v>
      </c>
      <c r="E1532" s="569" t="s">
        <v>1516</v>
      </c>
      <c r="F1532" s="569" t="s">
        <v>1607</v>
      </c>
      <c r="G1532" s="569" t="s">
        <v>271</v>
      </c>
      <c r="H1532" s="569">
        <v>2019</v>
      </c>
      <c r="I1532" s="569" t="s">
        <v>2769</v>
      </c>
      <c r="J1532" s="569" t="s">
        <v>2106</v>
      </c>
      <c r="K1532" s="569" t="s">
        <v>236</v>
      </c>
      <c r="L1532" s="569">
        <v>15</v>
      </c>
      <c r="M1532" s="569">
        <v>0</v>
      </c>
      <c r="N1532" s="569" t="s">
        <v>157</v>
      </c>
      <c r="O1532" s="569">
        <v>5</v>
      </c>
      <c r="P1532" s="569">
        <v>108.6</v>
      </c>
      <c r="Q1532" s="568" t="s">
        <v>157</v>
      </c>
      <c r="R1532" s="569" t="s">
        <v>1917</v>
      </c>
      <c r="S1532" s="569">
        <v>5</v>
      </c>
      <c r="T1532" s="569" t="s">
        <v>2770</v>
      </c>
      <c r="U1532" s="569" t="s">
        <v>2107</v>
      </c>
      <c r="V1532" s="569">
        <v>147.6</v>
      </c>
      <c r="W1532" s="569">
        <v>25</v>
      </c>
      <c r="X1532" s="568">
        <v>9400</v>
      </c>
      <c r="Y1532" s="569">
        <v>12</v>
      </c>
      <c r="Z1532" s="581" t="s">
        <v>728</v>
      </c>
      <c r="AA1532" s="581" t="s">
        <v>1523</v>
      </c>
      <c r="AB1532" s="585">
        <v>50800</v>
      </c>
      <c r="AC1532" s="585" t="s">
        <v>164</v>
      </c>
      <c r="AD1532" s="585">
        <v>41000</v>
      </c>
      <c r="AE1532" s="587">
        <v>0.01</v>
      </c>
      <c r="AF1532" s="661" t="str">
        <f t="shared" si="164"/>
        <v>2019-LVN-FRD-T35W-043-15</v>
      </c>
      <c r="AG1532" s="661" t="str">
        <f>IF(AND($Y1532&gt;=32,(AI1532="I"),(Y1532&lt;&gt;"~"),(COUNTIF($AN$1:$AN1532,$AN1532)=1)),"TRUE","FALSE")</f>
        <v>FALSE</v>
      </c>
      <c r="AH1532" s="661" t="str">
        <f>IF(AND($Y1532&gt;=22, (AI1532&lt;&gt;"I"),(Y1532&lt;&gt;"~"),(COUNTIF($AN$1:$AN1532,$AN1532)=1)),"TRUE","FALSE")</f>
        <v>FALSE</v>
      </c>
      <c r="AI1532" s="661" t="str">
        <f t="shared" si="166"/>
        <v>II</v>
      </c>
      <c r="AJ1532" s="662" t="str">
        <f t="shared" si="160"/>
        <v>T35W-043</v>
      </c>
      <c r="AK1532" s="662" t="str">
        <f t="shared" si="161"/>
        <v>LVN</v>
      </c>
      <c r="AL1532" s="662" t="str">
        <f t="shared" si="162"/>
        <v>FRD</v>
      </c>
      <c r="AM1532" s="662" t="str">
        <f t="shared" si="165"/>
        <v>Transit 350 Wagon-XLT Sliding RH Door-RWD-15-108.6-~-3.2L-5-X2X-302A-147.6-25-Diesel-BioDiesel</v>
      </c>
      <c r="AN1532" s="662" t="str">
        <f t="shared" si="163"/>
        <v>2019-LVN-FRD-T35W-043</v>
      </c>
    </row>
    <row r="1533" spans="1:40" s="572" customFormat="1" ht="15">
      <c r="A1533" s="570" t="s">
        <v>2945</v>
      </c>
      <c r="B1533" s="573" t="s">
        <v>2917</v>
      </c>
      <c r="C1533" s="573" t="s">
        <v>278</v>
      </c>
      <c r="D1533" s="578">
        <v>15</v>
      </c>
      <c r="E1533" s="573" t="s">
        <v>1516</v>
      </c>
      <c r="F1533" s="573" t="s">
        <v>1607</v>
      </c>
      <c r="G1533" s="573" t="s">
        <v>271</v>
      </c>
      <c r="H1533" s="573">
        <v>2019</v>
      </c>
      <c r="I1533" s="573" t="s">
        <v>2769</v>
      </c>
      <c r="J1533" s="573" t="s">
        <v>2106</v>
      </c>
      <c r="K1533" s="573" t="s">
        <v>236</v>
      </c>
      <c r="L1533" s="573">
        <v>15</v>
      </c>
      <c r="M1533" s="573">
        <v>0</v>
      </c>
      <c r="N1533" s="573" t="s">
        <v>157</v>
      </c>
      <c r="O1533" s="573">
        <v>5</v>
      </c>
      <c r="P1533" s="573">
        <v>108.6</v>
      </c>
      <c r="Q1533" s="571" t="s">
        <v>157</v>
      </c>
      <c r="R1533" s="573" t="s">
        <v>1259</v>
      </c>
      <c r="S1533" s="573">
        <v>6</v>
      </c>
      <c r="T1533" s="573" t="s">
        <v>2770</v>
      </c>
      <c r="U1533" s="573" t="s">
        <v>2107</v>
      </c>
      <c r="V1533" s="573">
        <v>147.6</v>
      </c>
      <c r="W1533" s="573">
        <v>25</v>
      </c>
      <c r="X1533" s="571">
        <v>9150</v>
      </c>
      <c r="Y1533" s="573">
        <v>12</v>
      </c>
      <c r="Z1533" s="579" t="s">
        <v>178</v>
      </c>
      <c r="AA1533" s="579" t="s">
        <v>178</v>
      </c>
      <c r="AB1533" s="584">
        <v>48670</v>
      </c>
      <c r="AC1533" s="584" t="s">
        <v>164</v>
      </c>
      <c r="AD1533" s="584">
        <v>39100</v>
      </c>
      <c r="AE1533" s="586">
        <v>0.01</v>
      </c>
      <c r="AF1533" s="661" t="str">
        <f t="shared" si="164"/>
        <v>2019-LVN-FRD-T35W-044-15</v>
      </c>
      <c r="AG1533" s="661" t="str">
        <f>IF(AND($Y1533&gt;=32,(AI1533="I"),(Y1533&lt;&gt;"~"),(COUNTIF($AN$1:$AN1533,$AN1533)=1)),"TRUE","FALSE")</f>
        <v>FALSE</v>
      </c>
      <c r="AH1533" s="661" t="str">
        <f>IF(AND($Y1533&gt;=22, (AI1533&lt;&gt;"I"),(Y1533&lt;&gt;"~"),(COUNTIF($AN$1:$AN1533,$AN1533)=1)),"TRUE","FALSE")</f>
        <v>FALSE</v>
      </c>
      <c r="AI1533" s="661" t="str">
        <f t="shared" si="166"/>
        <v>II</v>
      </c>
      <c r="AJ1533" s="662" t="str">
        <f t="shared" si="160"/>
        <v>T35W-044</v>
      </c>
      <c r="AK1533" s="662" t="str">
        <f t="shared" si="161"/>
        <v>LVN</v>
      </c>
      <c r="AL1533" s="662" t="str">
        <f t="shared" si="162"/>
        <v>FRD</v>
      </c>
      <c r="AM1533" s="662" t="str">
        <f t="shared" si="165"/>
        <v>Transit 350 Wagon-XLT Sliding RH Door-RWD-15-108.6-~-3.5L EcoBoost-6-X2X-302A-147.6-25-Unleaded-Unleaded</v>
      </c>
      <c r="AN1533" s="662" t="str">
        <f t="shared" si="163"/>
        <v>2019-LVN-FRD-T35W-044</v>
      </c>
    </row>
    <row r="1534" spans="1:40" s="572" customFormat="1" ht="15">
      <c r="A1534" s="570" t="s">
        <v>2946</v>
      </c>
      <c r="B1534" s="569" t="s">
        <v>2919</v>
      </c>
      <c r="C1534" s="569" t="s">
        <v>278</v>
      </c>
      <c r="D1534" s="580">
        <v>15</v>
      </c>
      <c r="E1534" s="569" t="s">
        <v>1516</v>
      </c>
      <c r="F1534" s="569" t="s">
        <v>1607</v>
      </c>
      <c r="G1534" s="569" t="s">
        <v>271</v>
      </c>
      <c r="H1534" s="569">
        <v>2019</v>
      </c>
      <c r="I1534" s="569" t="s">
        <v>2769</v>
      </c>
      <c r="J1534" s="569" t="s">
        <v>2106</v>
      </c>
      <c r="K1534" s="569" t="s">
        <v>236</v>
      </c>
      <c r="L1534" s="569">
        <v>15</v>
      </c>
      <c r="M1534" s="569">
        <v>0</v>
      </c>
      <c r="N1534" s="569" t="s">
        <v>157</v>
      </c>
      <c r="O1534" s="569">
        <v>5</v>
      </c>
      <c r="P1534" s="569">
        <v>108.6</v>
      </c>
      <c r="Q1534" s="568" t="s">
        <v>157</v>
      </c>
      <c r="R1534" s="569" t="s">
        <v>682</v>
      </c>
      <c r="S1534" s="569">
        <v>6</v>
      </c>
      <c r="T1534" s="569" t="s">
        <v>2770</v>
      </c>
      <c r="U1534" s="569" t="s">
        <v>2107</v>
      </c>
      <c r="V1534" s="569">
        <v>147.6</v>
      </c>
      <c r="W1534" s="569">
        <v>25</v>
      </c>
      <c r="X1534" s="568">
        <v>9150</v>
      </c>
      <c r="Y1534" s="569">
        <v>12</v>
      </c>
      <c r="Z1534" s="581" t="s">
        <v>178</v>
      </c>
      <c r="AA1534" s="581" t="s">
        <v>178</v>
      </c>
      <c r="AB1534" s="585">
        <v>46805</v>
      </c>
      <c r="AC1534" s="585" t="s">
        <v>164</v>
      </c>
      <c r="AD1534" s="585">
        <v>37400</v>
      </c>
      <c r="AE1534" s="587">
        <v>0.01</v>
      </c>
      <c r="AF1534" s="661" t="str">
        <f t="shared" si="164"/>
        <v>2019-LVN-FRD-T35W-045-15</v>
      </c>
      <c r="AG1534" s="661" t="str">
        <f>IF(AND($Y1534&gt;=32,(AI1534="I"),(Y1534&lt;&gt;"~"),(COUNTIF($AN$1:$AN1534,$AN1534)=1)),"TRUE","FALSE")</f>
        <v>FALSE</v>
      </c>
      <c r="AH1534" s="661" t="str">
        <f>IF(AND($Y1534&gt;=22, (AI1534&lt;&gt;"I"),(Y1534&lt;&gt;"~"),(COUNTIF($AN$1:$AN1534,$AN1534)=1)),"TRUE","FALSE")</f>
        <v>FALSE</v>
      </c>
      <c r="AI1534" s="661" t="str">
        <f t="shared" si="166"/>
        <v>II</v>
      </c>
      <c r="AJ1534" s="662" t="str">
        <f t="shared" si="160"/>
        <v>T35W-045</v>
      </c>
      <c r="AK1534" s="662" t="str">
        <f t="shared" si="161"/>
        <v>LVN</v>
      </c>
      <c r="AL1534" s="662" t="str">
        <f t="shared" si="162"/>
        <v>FRD</v>
      </c>
      <c r="AM1534" s="662" t="str">
        <f t="shared" si="165"/>
        <v>Transit 350 Wagon-XLT Sliding RH Door-RWD-15-108.6-~-3.7L-6-X2X-302A-147.6-25-Unleaded-Unleaded</v>
      </c>
      <c r="AN1534" s="662" t="str">
        <f t="shared" si="163"/>
        <v>2019-LVN-FRD-T35W-045</v>
      </c>
    </row>
    <row r="1535" spans="1:40" s="572" customFormat="1" ht="15">
      <c r="A1535" s="570" t="s">
        <v>2947</v>
      </c>
      <c r="B1535" s="573" t="s">
        <v>2923</v>
      </c>
      <c r="C1535" s="573" t="s">
        <v>278</v>
      </c>
      <c r="D1535" s="578">
        <v>15</v>
      </c>
      <c r="E1535" s="573" t="s">
        <v>1516</v>
      </c>
      <c r="F1535" s="573" t="s">
        <v>1607</v>
      </c>
      <c r="G1535" s="573" t="s">
        <v>271</v>
      </c>
      <c r="H1535" s="573">
        <v>2019</v>
      </c>
      <c r="I1535" s="573" t="s">
        <v>2769</v>
      </c>
      <c r="J1535" s="573" t="s">
        <v>2106</v>
      </c>
      <c r="K1535" s="573" t="s">
        <v>236</v>
      </c>
      <c r="L1535" s="573">
        <v>15</v>
      </c>
      <c r="M1535" s="573">
        <v>0</v>
      </c>
      <c r="N1535" s="573" t="s">
        <v>157</v>
      </c>
      <c r="O1535" s="573">
        <v>5</v>
      </c>
      <c r="P1535" s="573">
        <v>82.4</v>
      </c>
      <c r="Q1535" s="571" t="s">
        <v>157</v>
      </c>
      <c r="R1535" s="573" t="s">
        <v>1259</v>
      </c>
      <c r="S1535" s="573">
        <v>6</v>
      </c>
      <c r="T1535" s="573" t="s">
        <v>2777</v>
      </c>
      <c r="U1535" s="573" t="s">
        <v>434</v>
      </c>
      <c r="V1535" s="573">
        <v>147.6</v>
      </c>
      <c r="W1535" s="573">
        <v>25</v>
      </c>
      <c r="X1535" s="571">
        <v>9000</v>
      </c>
      <c r="Y1535" s="573">
        <v>12</v>
      </c>
      <c r="Z1535" s="579" t="s">
        <v>178</v>
      </c>
      <c r="AA1535" s="579" t="s">
        <v>178</v>
      </c>
      <c r="AB1535" s="584">
        <v>45770</v>
      </c>
      <c r="AC1535" s="584" t="s">
        <v>164</v>
      </c>
      <c r="AD1535" s="584">
        <v>34200</v>
      </c>
      <c r="AE1535" s="586">
        <v>0.01</v>
      </c>
      <c r="AF1535" s="661" t="str">
        <f t="shared" si="164"/>
        <v>2019-LVN-FRD-T35W-072-15</v>
      </c>
      <c r="AG1535" s="661" t="str">
        <f>IF(AND($Y1535&gt;=32,(AI1535="I"),(Y1535&lt;&gt;"~"),(COUNTIF($AN$1:$AN1535,$AN1535)=1)),"TRUE","FALSE")</f>
        <v>FALSE</v>
      </c>
      <c r="AH1535" s="661" t="str">
        <f>IF(AND($Y1535&gt;=22, (AI1535&lt;&gt;"I"),(Y1535&lt;&gt;"~"),(COUNTIF($AN$1:$AN1535,$AN1535)=1)),"TRUE","FALSE")</f>
        <v>FALSE</v>
      </c>
      <c r="AI1535" s="661" t="str">
        <f t="shared" si="166"/>
        <v>II</v>
      </c>
      <c r="AJ1535" s="662" t="str">
        <f t="shared" si="160"/>
        <v>T35W-072</v>
      </c>
      <c r="AK1535" s="662" t="str">
        <f t="shared" si="161"/>
        <v>LVN</v>
      </c>
      <c r="AL1535" s="662" t="str">
        <f t="shared" si="162"/>
        <v>FRD</v>
      </c>
      <c r="AM1535" s="662" t="str">
        <f t="shared" si="165"/>
        <v>Transit 350 Wagon-XLT Sliding RH Door-RWD-15-82.4-~-3.5L EcoBoost-6-X2Y-301A-147.6-25-Unleaded-Unleaded</v>
      </c>
      <c r="AN1535" s="662" t="str">
        <f t="shared" si="163"/>
        <v>2019-LVN-FRD-T35W-072</v>
      </c>
    </row>
    <row r="1536" spans="1:40" s="572" customFormat="1" ht="15">
      <c r="A1536" s="570" t="s">
        <v>2948</v>
      </c>
      <c r="B1536" s="569" t="s">
        <v>2927</v>
      </c>
      <c r="C1536" s="569" t="s">
        <v>278</v>
      </c>
      <c r="D1536" s="580">
        <v>15</v>
      </c>
      <c r="E1536" s="569" t="s">
        <v>1516</v>
      </c>
      <c r="F1536" s="569" t="s">
        <v>1607</v>
      </c>
      <c r="G1536" s="569" t="s">
        <v>271</v>
      </c>
      <c r="H1536" s="569">
        <v>2019</v>
      </c>
      <c r="I1536" s="569" t="s">
        <v>2769</v>
      </c>
      <c r="J1536" s="569" t="s">
        <v>2106</v>
      </c>
      <c r="K1536" s="569" t="s">
        <v>236</v>
      </c>
      <c r="L1536" s="569">
        <v>15</v>
      </c>
      <c r="M1536" s="569">
        <v>0</v>
      </c>
      <c r="N1536" s="569" t="s">
        <v>157</v>
      </c>
      <c r="O1536" s="569">
        <v>5</v>
      </c>
      <c r="P1536" s="569">
        <v>99.2</v>
      </c>
      <c r="Q1536" s="568" t="s">
        <v>157</v>
      </c>
      <c r="R1536" s="569" t="s">
        <v>1917</v>
      </c>
      <c r="S1536" s="569">
        <v>5</v>
      </c>
      <c r="T1536" s="569" t="s">
        <v>2617</v>
      </c>
      <c r="U1536" s="569" t="s">
        <v>2107</v>
      </c>
      <c r="V1536" s="569">
        <v>147.6</v>
      </c>
      <c r="W1536" s="569">
        <v>25</v>
      </c>
      <c r="X1536" s="568">
        <v>9400</v>
      </c>
      <c r="Y1536" s="569">
        <v>12</v>
      </c>
      <c r="Z1536" s="581" t="s">
        <v>728</v>
      </c>
      <c r="AA1536" s="581" t="s">
        <v>1523</v>
      </c>
      <c r="AB1536" s="585">
        <v>49350</v>
      </c>
      <c r="AC1536" s="585" t="s">
        <v>164</v>
      </c>
      <c r="AD1536" s="585">
        <v>39600</v>
      </c>
      <c r="AE1536" s="587">
        <v>0.01</v>
      </c>
      <c r="AF1536" s="661" t="str">
        <f t="shared" si="164"/>
        <v>2019-LVN-FRD-T35W-047-15</v>
      </c>
      <c r="AG1536" s="661" t="str">
        <f>IF(AND($Y1536&gt;=32,(AI1536="I"),(Y1536&lt;&gt;"~"),(COUNTIF($AN$1:$AN1536,$AN1536)=1)),"TRUE","FALSE")</f>
        <v>FALSE</v>
      </c>
      <c r="AH1536" s="661" t="str">
        <f>IF(AND($Y1536&gt;=22, (AI1536&lt;&gt;"I"),(Y1536&lt;&gt;"~"),(COUNTIF($AN$1:$AN1536,$AN1536)=1)),"TRUE","FALSE")</f>
        <v>FALSE</v>
      </c>
      <c r="AI1536" s="661" t="str">
        <f t="shared" si="166"/>
        <v>II</v>
      </c>
      <c r="AJ1536" s="662" t="str">
        <f t="shared" si="160"/>
        <v>T35W-047</v>
      </c>
      <c r="AK1536" s="662" t="str">
        <f t="shared" si="161"/>
        <v>LVN</v>
      </c>
      <c r="AL1536" s="662" t="str">
        <f t="shared" si="162"/>
        <v>FRD</v>
      </c>
      <c r="AM1536" s="662" t="str">
        <f t="shared" si="165"/>
        <v>Transit 350 Wagon-XLT Sliding RH Door-RWD-15-99.2-~-3.2L-5-X2C-302A-147.6-25-Diesel-BioDiesel</v>
      </c>
      <c r="AN1536" s="662" t="str">
        <f t="shared" si="163"/>
        <v>2019-LVN-FRD-T35W-047</v>
      </c>
    </row>
    <row r="1537" spans="1:40" s="572" customFormat="1" ht="15">
      <c r="A1537" s="570" t="s">
        <v>2949</v>
      </c>
      <c r="B1537" s="573" t="s">
        <v>2929</v>
      </c>
      <c r="C1537" s="573" t="s">
        <v>278</v>
      </c>
      <c r="D1537" s="578">
        <v>15</v>
      </c>
      <c r="E1537" s="573" t="s">
        <v>1516</v>
      </c>
      <c r="F1537" s="573" t="s">
        <v>1607</v>
      </c>
      <c r="G1537" s="573" t="s">
        <v>271</v>
      </c>
      <c r="H1537" s="573">
        <v>2019</v>
      </c>
      <c r="I1537" s="573" t="s">
        <v>2769</v>
      </c>
      <c r="J1537" s="573" t="s">
        <v>2106</v>
      </c>
      <c r="K1537" s="573" t="s">
        <v>236</v>
      </c>
      <c r="L1537" s="573">
        <v>15</v>
      </c>
      <c r="M1537" s="573">
        <v>0</v>
      </c>
      <c r="N1537" s="573" t="s">
        <v>157</v>
      </c>
      <c r="O1537" s="573">
        <v>5</v>
      </c>
      <c r="P1537" s="573">
        <v>99.2</v>
      </c>
      <c r="Q1537" s="571" t="s">
        <v>157</v>
      </c>
      <c r="R1537" s="573" t="s">
        <v>1259</v>
      </c>
      <c r="S1537" s="573">
        <v>6</v>
      </c>
      <c r="T1537" s="573" t="s">
        <v>2617</v>
      </c>
      <c r="U1537" s="573" t="s">
        <v>2107</v>
      </c>
      <c r="V1537" s="573">
        <v>147.6</v>
      </c>
      <c r="W1537" s="573">
        <v>25</v>
      </c>
      <c r="X1537" s="571">
        <v>9150</v>
      </c>
      <c r="Y1537" s="573">
        <v>12</v>
      </c>
      <c r="Z1537" s="579" t="s">
        <v>178</v>
      </c>
      <c r="AA1537" s="579" t="s">
        <v>178</v>
      </c>
      <c r="AB1537" s="584">
        <v>47220</v>
      </c>
      <c r="AC1537" s="584" t="s">
        <v>164</v>
      </c>
      <c r="AD1537" s="584">
        <v>37700</v>
      </c>
      <c r="AE1537" s="586">
        <v>0.01</v>
      </c>
      <c r="AF1537" s="661" t="str">
        <f t="shared" si="164"/>
        <v>2019-LVN-FRD-T35W-048-15</v>
      </c>
      <c r="AG1537" s="661" t="str">
        <f>IF(AND($Y1537&gt;=32,(AI1537="I"),(Y1537&lt;&gt;"~"),(COUNTIF($AN$1:$AN1537,$AN1537)=1)),"TRUE","FALSE")</f>
        <v>FALSE</v>
      </c>
      <c r="AH1537" s="661" t="str">
        <f>IF(AND($Y1537&gt;=22, (AI1537&lt;&gt;"I"),(Y1537&lt;&gt;"~"),(COUNTIF($AN$1:$AN1537,$AN1537)=1)),"TRUE","FALSE")</f>
        <v>FALSE</v>
      </c>
      <c r="AI1537" s="661" t="str">
        <f t="shared" si="166"/>
        <v>II</v>
      </c>
      <c r="AJ1537" s="662" t="str">
        <f t="shared" si="160"/>
        <v>T35W-048</v>
      </c>
      <c r="AK1537" s="662" t="str">
        <f t="shared" si="161"/>
        <v>LVN</v>
      </c>
      <c r="AL1537" s="662" t="str">
        <f t="shared" si="162"/>
        <v>FRD</v>
      </c>
      <c r="AM1537" s="662" t="str">
        <f t="shared" si="165"/>
        <v>Transit 350 Wagon-XLT Sliding RH Door-RWD-15-99.2-~-3.5L EcoBoost-6-X2C-302A-147.6-25-Unleaded-Unleaded</v>
      </c>
      <c r="AN1537" s="662" t="str">
        <f t="shared" si="163"/>
        <v>2019-LVN-FRD-T35W-048</v>
      </c>
    </row>
    <row r="1538" spans="1:40" s="572" customFormat="1" ht="15">
      <c r="A1538" s="570" t="s">
        <v>2950</v>
      </c>
      <c r="B1538" s="569" t="s">
        <v>2931</v>
      </c>
      <c r="C1538" s="569" t="s">
        <v>278</v>
      </c>
      <c r="D1538" s="580">
        <v>15</v>
      </c>
      <c r="E1538" s="569" t="s">
        <v>1516</v>
      </c>
      <c r="F1538" s="569" t="s">
        <v>1607</v>
      </c>
      <c r="G1538" s="569" t="s">
        <v>271</v>
      </c>
      <c r="H1538" s="569">
        <v>2019</v>
      </c>
      <c r="I1538" s="569" t="s">
        <v>2769</v>
      </c>
      <c r="J1538" s="569" t="s">
        <v>2106</v>
      </c>
      <c r="K1538" s="569" t="s">
        <v>236</v>
      </c>
      <c r="L1538" s="569">
        <v>15</v>
      </c>
      <c r="M1538" s="569">
        <v>0</v>
      </c>
      <c r="N1538" s="569" t="s">
        <v>157</v>
      </c>
      <c r="O1538" s="569">
        <v>5</v>
      </c>
      <c r="P1538" s="569">
        <v>99.2</v>
      </c>
      <c r="Q1538" s="568" t="s">
        <v>157</v>
      </c>
      <c r="R1538" s="569" t="s">
        <v>682</v>
      </c>
      <c r="S1538" s="569">
        <v>6</v>
      </c>
      <c r="T1538" s="569" t="s">
        <v>2617</v>
      </c>
      <c r="U1538" s="569" t="s">
        <v>2107</v>
      </c>
      <c r="V1538" s="569">
        <v>147.6</v>
      </c>
      <c r="W1538" s="569">
        <v>25</v>
      </c>
      <c r="X1538" s="568">
        <v>9150</v>
      </c>
      <c r="Y1538" s="569">
        <v>12</v>
      </c>
      <c r="Z1538" s="581" t="s">
        <v>178</v>
      </c>
      <c r="AA1538" s="581" t="s">
        <v>178</v>
      </c>
      <c r="AB1538" s="585">
        <v>45355</v>
      </c>
      <c r="AC1538" s="585" t="s">
        <v>164</v>
      </c>
      <c r="AD1538" s="585">
        <v>36000</v>
      </c>
      <c r="AE1538" s="587">
        <v>0.01</v>
      </c>
      <c r="AF1538" s="661" t="str">
        <f t="shared" si="164"/>
        <v>2019-LVN-FRD-T35W-049-15</v>
      </c>
      <c r="AG1538" s="661" t="str">
        <f>IF(AND($Y1538&gt;=32,(AI1538="I"),(Y1538&lt;&gt;"~"),(COUNTIF($AN$1:$AN1538,$AN1538)=1)),"TRUE","FALSE")</f>
        <v>FALSE</v>
      </c>
      <c r="AH1538" s="661" t="str">
        <f>IF(AND($Y1538&gt;=22, (AI1538&lt;&gt;"I"),(Y1538&lt;&gt;"~"),(COUNTIF($AN$1:$AN1538,$AN1538)=1)),"TRUE","FALSE")</f>
        <v>FALSE</v>
      </c>
      <c r="AI1538" s="661" t="str">
        <f t="shared" si="166"/>
        <v>II</v>
      </c>
      <c r="AJ1538" s="662" t="str">
        <f t="shared" si="160"/>
        <v>T35W-049</v>
      </c>
      <c r="AK1538" s="662" t="str">
        <f t="shared" si="161"/>
        <v>LVN</v>
      </c>
      <c r="AL1538" s="662" t="str">
        <f t="shared" si="162"/>
        <v>FRD</v>
      </c>
      <c r="AM1538" s="662" t="str">
        <f t="shared" si="165"/>
        <v>Transit 350 Wagon-XLT Sliding RH Door-RWD-15-99.2-~-3.7L-6-X2C-302A-147.6-25-Unleaded-Unleaded</v>
      </c>
      <c r="AN1538" s="662" t="str">
        <f t="shared" si="163"/>
        <v>2019-LVN-FRD-T35W-049</v>
      </c>
    </row>
    <row r="1539" spans="1:40" s="572" customFormat="1" ht="15">
      <c r="A1539" s="570" t="s">
        <v>2951</v>
      </c>
      <c r="B1539" s="573" t="s">
        <v>2952</v>
      </c>
      <c r="C1539" s="573" t="s">
        <v>287</v>
      </c>
      <c r="D1539" s="578">
        <v>26</v>
      </c>
      <c r="E1539" s="573" t="s">
        <v>1516</v>
      </c>
      <c r="F1539" s="573" t="s">
        <v>1607</v>
      </c>
      <c r="G1539" s="573" t="s">
        <v>271</v>
      </c>
      <c r="H1539" s="573">
        <v>2018</v>
      </c>
      <c r="I1539" s="573" t="s">
        <v>2769</v>
      </c>
      <c r="J1539" s="573" t="s">
        <v>2106</v>
      </c>
      <c r="K1539" s="573" t="s">
        <v>236</v>
      </c>
      <c r="L1539" s="573">
        <v>12</v>
      </c>
      <c r="M1539" s="573">
        <v>0</v>
      </c>
      <c r="N1539" s="573" t="s">
        <v>157</v>
      </c>
      <c r="O1539" s="573">
        <v>4</v>
      </c>
      <c r="P1539" s="573">
        <v>82.4</v>
      </c>
      <c r="Q1539" s="571" t="s">
        <v>157</v>
      </c>
      <c r="R1539" s="573" t="s">
        <v>1917</v>
      </c>
      <c r="S1539" s="573">
        <v>5</v>
      </c>
      <c r="T1539" s="573" t="s">
        <v>2777</v>
      </c>
      <c r="U1539" s="573" t="s">
        <v>434</v>
      </c>
      <c r="V1539" s="573">
        <v>147.6</v>
      </c>
      <c r="W1539" s="573">
        <v>25</v>
      </c>
      <c r="X1539" s="571">
        <v>9000</v>
      </c>
      <c r="Y1539" s="573">
        <v>12</v>
      </c>
      <c r="Z1539" s="579" t="s">
        <v>178</v>
      </c>
      <c r="AA1539" s="579" t="s">
        <v>178</v>
      </c>
      <c r="AB1539" s="584">
        <v>46405</v>
      </c>
      <c r="AC1539" s="584" t="s">
        <v>164</v>
      </c>
      <c r="AD1539" s="584">
        <v>35036</v>
      </c>
      <c r="AE1539" s="586">
        <v>0.05</v>
      </c>
      <c r="AF1539" s="661" t="str">
        <f t="shared" si="164"/>
        <v>2018-LVN-FRD-T35W-078-26</v>
      </c>
      <c r="AG1539" s="661" t="str">
        <f>IF(AND($Y1539&gt;=32,(AI1539="I"),(Y1539&lt;&gt;"~"),(COUNTIF($AN$1:$AN1539,$AN1539)=1)),"TRUE","FALSE")</f>
        <v>FALSE</v>
      </c>
      <c r="AH1539" s="661" t="str">
        <f>IF(AND($Y1539&gt;=22, (AI1539&lt;&gt;"I"),(Y1539&lt;&gt;"~"),(COUNTIF($AN$1:$AN1539,$AN1539)=1)),"TRUE","FALSE")</f>
        <v>FALSE</v>
      </c>
      <c r="AI1539" s="661" t="str">
        <f t="shared" si="166"/>
        <v>II</v>
      </c>
      <c r="AJ1539" s="662" t="str">
        <f t="shared" ref="AJ1539:AJ1602" si="167">MID(A1539,14,8)</f>
        <v>T35W-078</v>
      </c>
      <c r="AK1539" s="662" t="str">
        <f t="shared" ref="AK1539:AK1602" si="168">MID(A1539,6,3)</f>
        <v>LVN</v>
      </c>
      <c r="AL1539" s="662" t="str">
        <f t="shared" ref="AL1539:AL1602" si="169">MID(A1539,10,3)</f>
        <v>FRD</v>
      </c>
      <c r="AM1539" s="662" t="str">
        <f t="shared" si="165"/>
        <v>Transit 350 Wagon-XLT Sliding RH Door-RWD-12-82.4-~-3.2L-5-X2Y-301A-147.6-25-Unleaded-Unleaded</v>
      </c>
      <c r="AN1539" s="662" t="str">
        <f t="shared" ref="AN1539:AN1602" si="170">LEFT(A1539,21)</f>
        <v>2018-LVN-FRD-T35W-078</v>
      </c>
    </row>
    <row r="1540" spans="1:40" s="572" customFormat="1" ht="15">
      <c r="A1540" s="570" t="s">
        <v>2953</v>
      </c>
      <c r="B1540" s="569" t="s">
        <v>2899</v>
      </c>
      <c r="C1540" s="569" t="s">
        <v>287</v>
      </c>
      <c r="D1540" s="580">
        <v>26</v>
      </c>
      <c r="E1540" s="569" t="s">
        <v>1516</v>
      </c>
      <c r="F1540" s="569" t="s">
        <v>1607</v>
      </c>
      <c r="G1540" s="569" t="s">
        <v>271</v>
      </c>
      <c r="H1540" s="569">
        <v>2018</v>
      </c>
      <c r="I1540" s="569" t="s">
        <v>2769</v>
      </c>
      <c r="J1540" s="569" t="s">
        <v>2106</v>
      </c>
      <c r="K1540" s="569" t="s">
        <v>236</v>
      </c>
      <c r="L1540" s="569">
        <v>12</v>
      </c>
      <c r="M1540" s="569">
        <v>0</v>
      </c>
      <c r="N1540" s="569" t="s">
        <v>157</v>
      </c>
      <c r="O1540" s="569">
        <v>4</v>
      </c>
      <c r="P1540" s="569">
        <v>82.4</v>
      </c>
      <c r="Q1540" s="568" t="s">
        <v>157</v>
      </c>
      <c r="R1540" s="569" t="s">
        <v>1259</v>
      </c>
      <c r="S1540" s="569">
        <v>6</v>
      </c>
      <c r="T1540" s="569" t="s">
        <v>2777</v>
      </c>
      <c r="U1540" s="569" t="s">
        <v>434</v>
      </c>
      <c r="V1540" s="569">
        <v>147.6</v>
      </c>
      <c r="W1540" s="569">
        <v>25</v>
      </c>
      <c r="X1540" s="568">
        <v>9000</v>
      </c>
      <c r="Y1540" s="569">
        <v>12</v>
      </c>
      <c r="Z1540" s="581" t="s">
        <v>178</v>
      </c>
      <c r="AA1540" s="581" t="s">
        <v>178</v>
      </c>
      <c r="AB1540" s="585">
        <v>44275</v>
      </c>
      <c r="AC1540" s="585" t="s">
        <v>164</v>
      </c>
      <c r="AD1540" s="585">
        <v>33097</v>
      </c>
      <c r="AE1540" s="587">
        <v>0.05</v>
      </c>
      <c r="AF1540" s="661" t="str">
        <f t="shared" si="164"/>
        <v>2018-LVN-FRD-T35W-070-26</v>
      </c>
      <c r="AG1540" s="661" t="str">
        <f>IF(AND($Y1540&gt;=32,(AI1540="I"),(Y1540&lt;&gt;"~"),(COUNTIF($AN$1:$AN1540,$AN1540)=1)),"TRUE","FALSE")</f>
        <v>FALSE</v>
      </c>
      <c r="AH1540" s="661" t="str">
        <f>IF(AND($Y1540&gt;=22, (AI1540&lt;&gt;"I"),(Y1540&lt;&gt;"~"),(COUNTIF($AN$1:$AN1540,$AN1540)=1)),"TRUE","FALSE")</f>
        <v>FALSE</v>
      </c>
      <c r="AI1540" s="661" t="str">
        <f t="shared" si="166"/>
        <v>II</v>
      </c>
      <c r="AJ1540" s="662" t="str">
        <f t="shared" si="167"/>
        <v>T35W-070</v>
      </c>
      <c r="AK1540" s="662" t="str">
        <f t="shared" si="168"/>
        <v>LVN</v>
      </c>
      <c r="AL1540" s="662" t="str">
        <f t="shared" si="169"/>
        <v>FRD</v>
      </c>
      <c r="AM1540" s="662" t="str">
        <f t="shared" si="165"/>
        <v>Transit 350 Wagon-XLT Sliding RH Door-RWD-12-82.4-~-3.5L EcoBoost-6-X2Y-301A-147.6-25-Unleaded-Unleaded</v>
      </c>
      <c r="AN1540" s="662" t="str">
        <f t="shared" si="170"/>
        <v>2018-LVN-FRD-T35W-070</v>
      </c>
    </row>
    <row r="1541" spans="1:40" s="572" customFormat="1" ht="15">
      <c r="A1541" s="570" t="s">
        <v>2954</v>
      </c>
      <c r="B1541" s="573" t="s">
        <v>2891</v>
      </c>
      <c r="C1541" s="573" t="s">
        <v>287</v>
      </c>
      <c r="D1541" s="578">
        <v>26</v>
      </c>
      <c r="E1541" s="573" t="s">
        <v>1516</v>
      </c>
      <c r="F1541" s="573" t="s">
        <v>1607</v>
      </c>
      <c r="G1541" s="573" t="s">
        <v>271</v>
      </c>
      <c r="H1541" s="573">
        <v>2019</v>
      </c>
      <c r="I1541" s="573" t="s">
        <v>2769</v>
      </c>
      <c r="J1541" s="573" t="s">
        <v>2106</v>
      </c>
      <c r="K1541" s="573" t="s">
        <v>236</v>
      </c>
      <c r="L1541" s="573">
        <v>12</v>
      </c>
      <c r="M1541" s="573">
        <v>0</v>
      </c>
      <c r="N1541" s="573" t="s">
        <v>157</v>
      </c>
      <c r="O1541" s="573">
        <v>4</v>
      </c>
      <c r="P1541" s="573">
        <v>108.6</v>
      </c>
      <c r="Q1541" s="571" t="s">
        <v>157</v>
      </c>
      <c r="R1541" s="573" t="s">
        <v>1917</v>
      </c>
      <c r="S1541" s="573">
        <v>5</v>
      </c>
      <c r="T1541" s="573" t="s">
        <v>2770</v>
      </c>
      <c r="U1541" s="573" t="s">
        <v>2107</v>
      </c>
      <c r="V1541" s="573">
        <v>147.6</v>
      </c>
      <c r="W1541" s="573">
        <v>25</v>
      </c>
      <c r="X1541" s="571">
        <v>9250</v>
      </c>
      <c r="Y1541" s="573">
        <v>12</v>
      </c>
      <c r="Z1541" s="579" t="s">
        <v>728</v>
      </c>
      <c r="AA1541" s="579" t="s">
        <v>1523</v>
      </c>
      <c r="AB1541" s="584">
        <v>49305</v>
      </c>
      <c r="AC1541" s="584" t="s">
        <v>164</v>
      </c>
      <c r="AD1541" s="584">
        <v>39892</v>
      </c>
      <c r="AE1541" s="586">
        <v>0.05</v>
      </c>
      <c r="AF1541" s="661" t="str">
        <f t="shared" si="164"/>
        <v>2019-LVN-FRD-T35W-032-26</v>
      </c>
      <c r="AG1541" s="661" t="str">
        <f>IF(AND($Y1541&gt;=32,(AI1541="I"),(Y1541&lt;&gt;"~"),(COUNTIF($AN$1:$AN1541,$AN1541)=1)),"TRUE","FALSE")</f>
        <v>FALSE</v>
      </c>
      <c r="AH1541" s="661" t="str">
        <f>IF(AND($Y1541&gt;=22, (AI1541&lt;&gt;"I"),(Y1541&lt;&gt;"~"),(COUNTIF($AN$1:$AN1541,$AN1541)=1)),"TRUE","FALSE")</f>
        <v>FALSE</v>
      </c>
      <c r="AI1541" s="661" t="str">
        <f t="shared" si="166"/>
        <v>II</v>
      </c>
      <c r="AJ1541" s="662" t="str">
        <f t="shared" si="167"/>
        <v>T35W-032</v>
      </c>
      <c r="AK1541" s="662" t="str">
        <f t="shared" si="168"/>
        <v>LVN</v>
      </c>
      <c r="AL1541" s="662" t="str">
        <f t="shared" si="169"/>
        <v>FRD</v>
      </c>
      <c r="AM1541" s="662" t="str">
        <f t="shared" si="165"/>
        <v>Transit 350 Wagon-XLT Sliding RH Door-RWD-12-108.6-~-3.2L-5-X2X-302A-147.6-25-Diesel-BioDiesel</v>
      </c>
      <c r="AN1541" s="662" t="str">
        <f t="shared" si="170"/>
        <v>2019-LVN-FRD-T35W-032</v>
      </c>
    </row>
    <row r="1542" spans="1:40" s="572" customFormat="1" ht="15">
      <c r="A1542" s="570" t="s">
        <v>2955</v>
      </c>
      <c r="B1542" s="569" t="s">
        <v>2893</v>
      </c>
      <c r="C1542" s="569" t="s">
        <v>287</v>
      </c>
      <c r="D1542" s="580">
        <v>26</v>
      </c>
      <c r="E1542" s="569" t="s">
        <v>1516</v>
      </c>
      <c r="F1542" s="569" t="s">
        <v>1607</v>
      </c>
      <c r="G1542" s="569" t="s">
        <v>271</v>
      </c>
      <c r="H1542" s="569">
        <v>2019</v>
      </c>
      <c r="I1542" s="569" t="s">
        <v>2769</v>
      </c>
      <c r="J1542" s="569" t="s">
        <v>2106</v>
      </c>
      <c r="K1542" s="569" t="s">
        <v>236</v>
      </c>
      <c r="L1542" s="569">
        <v>12</v>
      </c>
      <c r="M1542" s="569">
        <v>0</v>
      </c>
      <c r="N1542" s="569" t="s">
        <v>157</v>
      </c>
      <c r="O1542" s="569">
        <v>4</v>
      </c>
      <c r="P1542" s="569">
        <v>108.6</v>
      </c>
      <c r="Q1542" s="568" t="s">
        <v>157</v>
      </c>
      <c r="R1542" s="569" t="s">
        <v>1259</v>
      </c>
      <c r="S1542" s="569">
        <v>6</v>
      </c>
      <c r="T1542" s="569" t="s">
        <v>2770</v>
      </c>
      <c r="U1542" s="569" t="s">
        <v>2107</v>
      </c>
      <c r="V1542" s="569">
        <v>147.6</v>
      </c>
      <c r="W1542" s="569">
        <v>25</v>
      </c>
      <c r="X1542" s="568">
        <v>9000</v>
      </c>
      <c r="Y1542" s="569">
        <v>12</v>
      </c>
      <c r="Z1542" s="581" t="s">
        <v>178</v>
      </c>
      <c r="AA1542" s="581" t="s">
        <v>178</v>
      </c>
      <c r="AB1542" s="585">
        <v>47175</v>
      </c>
      <c r="AC1542" s="585" t="s">
        <v>164</v>
      </c>
      <c r="AD1542" s="585">
        <v>37952</v>
      </c>
      <c r="AE1542" s="587">
        <v>0.05</v>
      </c>
      <c r="AF1542" s="661" t="str">
        <f t="shared" si="164"/>
        <v>2019-LVN-FRD-T35W-033-26</v>
      </c>
      <c r="AG1542" s="661" t="str">
        <f>IF(AND($Y1542&gt;=32,(AI1542="I"),(Y1542&lt;&gt;"~"),(COUNTIF($AN$1:$AN1542,$AN1542)=1)),"TRUE","FALSE")</f>
        <v>FALSE</v>
      </c>
      <c r="AH1542" s="661" t="str">
        <f>IF(AND($Y1542&gt;=22, (AI1542&lt;&gt;"I"),(Y1542&lt;&gt;"~"),(COUNTIF($AN$1:$AN1542,$AN1542)=1)),"TRUE","FALSE")</f>
        <v>FALSE</v>
      </c>
      <c r="AI1542" s="661" t="str">
        <f t="shared" si="166"/>
        <v>II</v>
      </c>
      <c r="AJ1542" s="662" t="str">
        <f t="shared" si="167"/>
        <v>T35W-033</v>
      </c>
      <c r="AK1542" s="662" t="str">
        <f t="shared" si="168"/>
        <v>LVN</v>
      </c>
      <c r="AL1542" s="662" t="str">
        <f t="shared" si="169"/>
        <v>FRD</v>
      </c>
      <c r="AM1542" s="662" t="str">
        <f t="shared" si="165"/>
        <v>Transit 350 Wagon-XLT Sliding RH Door-RWD-12-108.6-~-3.5L EcoBoost-6-X2X-302A-147.6-25-Unleaded-Unleaded</v>
      </c>
      <c r="AN1542" s="662" t="str">
        <f t="shared" si="170"/>
        <v>2019-LVN-FRD-T35W-033</v>
      </c>
    </row>
    <row r="1543" spans="1:40" s="572" customFormat="1" ht="15">
      <c r="A1543" s="570" t="s">
        <v>2956</v>
      </c>
      <c r="B1543" s="573" t="s">
        <v>2895</v>
      </c>
      <c r="C1543" s="573" t="s">
        <v>287</v>
      </c>
      <c r="D1543" s="578">
        <v>26</v>
      </c>
      <c r="E1543" s="573" t="s">
        <v>1516</v>
      </c>
      <c r="F1543" s="573" t="s">
        <v>1607</v>
      </c>
      <c r="G1543" s="573" t="s">
        <v>271</v>
      </c>
      <c r="H1543" s="573">
        <v>2019</v>
      </c>
      <c r="I1543" s="573" t="s">
        <v>2769</v>
      </c>
      <c r="J1543" s="573" t="s">
        <v>2106</v>
      </c>
      <c r="K1543" s="573" t="s">
        <v>236</v>
      </c>
      <c r="L1543" s="573">
        <v>12</v>
      </c>
      <c r="M1543" s="573">
        <v>0</v>
      </c>
      <c r="N1543" s="573" t="s">
        <v>157</v>
      </c>
      <c r="O1543" s="573">
        <v>4</v>
      </c>
      <c r="P1543" s="573">
        <v>108.6</v>
      </c>
      <c r="Q1543" s="571" t="s">
        <v>157</v>
      </c>
      <c r="R1543" s="573" t="s">
        <v>682</v>
      </c>
      <c r="S1543" s="573">
        <v>6</v>
      </c>
      <c r="T1543" s="573" t="s">
        <v>2770</v>
      </c>
      <c r="U1543" s="573" t="s">
        <v>2107</v>
      </c>
      <c r="V1543" s="573">
        <v>147.6</v>
      </c>
      <c r="W1543" s="573">
        <v>25</v>
      </c>
      <c r="X1543" s="571">
        <v>9000</v>
      </c>
      <c r="Y1543" s="573">
        <v>12</v>
      </c>
      <c r="Z1543" s="579" t="s">
        <v>178</v>
      </c>
      <c r="AA1543" s="579" t="s">
        <v>178</v>
      </c>
      <c r="AB1543" s="584">
        <v>45310</v>
      </c>
      <c r="AC1543" s="584" t="s">
        <v>164</v>
      </c>
      <c r="AD1543" s="584">
        <v>36254</v>
      </c>
      <c r="AE1543" s="586">
        <v>0.05</v>
      </c>
      <c r="AF1543" s="661" t="str">
        <f t="shared" si="164"/>
        <v>2019-LVN-FRD-T35W-034-26</v>
      </c>
      <c r="AG1543" s="661" t="str">
        <f>IF(AND($Y1543&gt;=32,(AI1543="I"),(Y1543&lt;&gt;"~"),(COUNTIF($AN$1:$AN1543,$AN1543)=1)),"TRUE","FALSE")</f>
        <v>FALSE</v>
      </c>
      <c r="AH1543" s="661" t="str">
        <f>IF(AND($Y1543&gt;=22, (AI1543&lt;&gt;"I"),(Y1543&lt;&gt;"~"),(COUNTIF($AN$1:$AN1543,$AN1543)=1)),"TRUE","FALSE")</f>
        <v>FALSE</v>
      </c>
      <c r="AI1543" s="661" t="str">
        <f t="shared" si="166"/>
        <v>II</v>
      </c>
      <c r="AJ1543" s="662" t="str">
        <f t="shared" si="167"/>
        <v>T35W-034</v>
      </c>
      <c r="AK1543" s="662" t="str">
        <f t="shared" si="168"/>
        <v>LVN</v>
      </c>
      <c r="AL1543" s="662" t="str">
        <f t="shared" si="169"/>
        <v>FRD</v>
      </c>
      <c r="AM1543" s="662" t="str">
        <f t="shared" si="165"/>
        <v>Transit 350 Wagon-XLT Sliding RH Door-RWD-12-108.6-~-3.7L-6-X2X-302A-147.6-25-Unleaded-Unleaded</v>
      </c>
      <c r="AN1543" s="662" t="str">
        <f t="shared" si="170"/>
        <v>2019-LVN-FRD-T35W-034</v>
      </c>
    </row>
    <row r="1544" spans="1:40" s="572" customFormat="1" ht="15">
      <c r="A1544" s="570" t="s">
        <v>2957</v>
      </c>
      <c r="B1544" s="569" t="s">
        <v>2901</v>
      </c>
      <c r="C1544" s="569" t="s">
        <v>287</v>
      </c>
      <c r="D1544" s="580">
        <v>26</v>
      </c>
      <c r="E1544" s="569" t="s">
        <v>1516</v>
      </c>
      <c r="F1544" s="569" t="s">
        <v>1607</v>
      </c>
      <c r="G1544" s="569" t="s">
        <v>271</v>
      </c>
      <c r="H1544" s="569">
        <v>2019</v>
      </c>
      <c r="I1544" s="569" t="s">
        <v>2769</v>
      </c>
      <c r="J1544" s="569" t="s">
        <v>2106</v>
      </c>
      <c r="K1544" s="569" t="s">
        <v>236</v>
      </c>
      <c r="L1544" s="569">
        <v>12</v>
      </c>
      <c r="M1544" s="569">
        <v>0</v>
      </c>
      <c r="N1544" s="569" t="s">
        <v>157</v>
      </c>
      <c r="O1544" s="569">
        <v>4</v>
      </c>
      <c r="P1544" s="569">
        <v>82.4</v>
      </c>
      <c r="Q1544" s="568" t="s">
        <v>157</v>
      </c>
      <c r="R1544" s="569" t="s">
        <v>682</v>
      </c>
      <c r="S1544" s="569">
        <v>6</v>
      </c>
      <c r="T1544" s="569" t="s">
        <v>2777</v>
      </c>
      <c r="U1544" s="569" t="s">
        <v>2107</v>
      </c>
      <c r="V1544" s="569">
        <v>147.6</v>
      </c>
      <c r="W1544" s="569">
        <v>25</v>
      </c>
      <c r="X1544" s="568">
        <v>9000</v>
      </c>
      <c r="Y1544" s="569">
        <v>12</v>
      </c>
      <c r="Z1544" s="581" t="s">
        <v>178</v>
      </c>
      <c r="AA1544" s="581" t="s">
        <v>178</v>
      </c>
      <c r="AB1544" s="585">
        <v>42410</v>
      </c>
      <c r="AC1544" s="585" t="s">
        <v>164</v>
      </c>
      <c r="AD1544" s="585">
        <v>31399</v>
      </c>
      <c r="AE1544" s="587">
        <v>0.05</v>
      </c>
      <c r="AF1544" s="661" t="str">
        <f t="shared" ref="AF1544:AF1607" si="171">A1544</f>
        <v>2019-LVN-FRD-T35W-079-26</v>
      </c>
      <c r="AG1544" s="661" t="str">
        <f>IF(AND($Y1544&gt;=32,(AI1544="I"),(Y1544&lt;&gt;"~"),(COUNTIF($AN$1:$AN1544,$AN1544)=1)),"TRUE","FALSE")</f>
        <v>FALSE</v>
      </c>
      <c r="AH1544" s="661" t="str">
        <f>IF(AND($Y1544&gt;=22, (AI1544&lt;&gt;"I"),(Y1544&lt;&gt;"~"),(COUNTIF($AN$1:$AN1544,$AN1544)=1)),"TRUE","FALSE")</f>
        <v>FALSE</v>
      </c>
      <c r="AI1544" s="661" t="str">
        <f t="shared" si="166"/>
        <v>II</v>
      </c>
      <c r="AJ1544" s="662" t="str">
        <f t="shared" si="167"/>
        <v>T35W-079</v>
      </c>
      <c r="AK1544" s="662" t="str">
        <f t="shared" si="168"/>
        <v>LVN</v>
      </c>
      <c r="AL1544" s="662" t="str">
        <f t="shared" si="169"/>
        <v>FRD</v>
      </c>
      <c r="AM1544" s="662" t="str">
        <f t="shared" si="165"/>
        <v>Transit 350 Wagon-XLT Sliding RH Door-RWD-12-82.4-~-3.7L-6-X2Y-302A-147.6-25-Unleaded-Unleaded</v>
      </c>
      <c r="AN1544" s="662" t="str">
        <f t="shared" si="170"/>
        <v>2019-LVN-FRD-T35W-079</v>
      </c>
    </row>
    <row r="1545" spans="1:40" s="572" customFormat="1" ht="15">
      <c r="A1545" s="570" t="s">
        <v>2958</v>
      </c>
      <c r="B1545" s="573" t="s">
        <v>2903</v>
      </c>
      <c r="C1545" s="573" t="s">
        <v>287</v>
      </c>
      <c r="D1545" s="578">
        <v>26</v>
      </c>
      <c r="E1545" s="573" t="s">
        <v>1516</v>
      </c>
      <c r="F1545" s="573" t="s">
        <v>1607</v>
      </c>
      <c r="G1545" s="573" t="s">
        <v>271</v>
      </c>
      <c r="H1545" s="573">
        <v>2019</v>
      </c>
      <c r="I1545" s="573" t="s">
        <v>2769</v>
      </c>
      <c r="J1545" s="573" t="s">
        <v>2106</v>
      </c>
      <c r="K1545" s="573" t="s">
        <v>236</v>
      </c>
      <c r="L1545" s="573">
        <v>12</v>
      </c>
      <c r="M1545" s="573">
        <v>0</v>
      </c>
      <c r="N1545" s="573" t="s">
        <v>157</v>
      </c>
      <c r="O1545" s="573">
        <v>4</v>
      </c>
      <c r="P1545" s="573">
        <v>99.2</v>
      </c>
      <c r="Q1545" s="571" t="s">
        <v>157</v>
      </c>
      <c r="R1545" s="573" t="s">
        <v>1917</v>
      </c>
      <c r="S1545" s="573">
        <v>5</v>
      </c>
      <c r="T1545" s="573" t="s">
        <v>2617</v>
      </c>
      <c r="U1545" s="573" t="s">
        <v>2107</v>
      </c>
      <c r="V1545" s="573">
        <v>147.6</v>
      </c>
      <c r="W1545" s="573">
        <v>25</v>
      </c>
      <c r="X1545" s="571">
        <v>9250</v>
      </c>
      <c r="Y1545" s="573">
        <v>12</v>
      </c>
      <c r="Z1545" s="579" t="s">
        <v>728</v>
      </c>
      <c r="AA1545" s="579" t="s">
        <v>1523</v>
      </c>
      <c r="AB1545" s="584">
        <v>47885</v>
      </c>
      <c r="AC1545" s="584" t="s">
        <v>164</v>
      </c>
      <c r="AD1545" s="584">
        <v>38534</v>
      </c>
      <c r="AE1545" s="586">
        <v>0.05</v>
      </c>
      <c r="AF1545" s="661" t="str">
        <f t="shared" si="171"/>
        <v>2019-LVN-FRD-T35W-036-26</v>
      </c>
      <c r="AG1545" s="661" t="str">
        <f>IF(AND($Y1545&gt;=32,(AI1545="I"),(Y1545&lt;&gt;"~"),(COUNTIF($AN$1:$AN1545,$AN1545)=1)),"TRUE","FALSE")</f>
        <v>FALSE</v>
      </c>
      <c r="AH1545" s="661" t="str">
        <f>IF(AND($Y1545&gt;=22, (AI1545&lt;&gt;"I"),(Y1545&lt;&gt;"~"),(COUNTIF($AN$1:$AN1545,$AN1545)=1)),"TRUE","FALSE")</f>
        <v>FALSE</v>
      </c>
      <c r="AI1545" s="661" t="str">
        <f t="shared" si="166"/>
        <v>II</v>
      </c>
      <c r="AJ1545" s="662" t="str">
        <f t="shared" si="167"/>
        <v>T35W-036</v>
      </c>
      <c r="AK1545" s="662" t="str">
        <f t="shared" si="168"/>
        <v>LVN</v>
      </c>
      <c r="AL1545" s="662" t="str">
        <f t="shared" si="169"/>
        <v>FRD</v>
      </c>
      <c r="AM1545" s="662" t="str">
        <f t="shared" si="165"/>
        <v>Transit 350 Wagon-XLT Sliding RH Door-RWD-12-99.2-~-3.2L-5-X2C-302A-147.6-25-Diesel-BioDiesel</v>
      </c>
      <c r="AN1545" s="662" t="str">
        <f t="shared" si="170"/>
        <v>2019-LVN-FRD-T35W-036</v>
      </c>
    </row>
    <row r="1546" spans="1:40" s="572" customFormat="1" ht="15">
      <c r="A1546" s="570" t="s">
        <v>2959</v>
      </c>
      <c r="B1546" s="569" t="s">
        <v>2905</v>
      </c>
      <c r="C1546" s="569" t="s">
        <v>287</v>
      </c>
      <c r="D1546" s="580">
        <v>26</v>
      </c>
      <c r="E1546" s="569" t="s">
        <v>1516</v>
      </c>
      <c r="F1546" s="569" t="s">
        <v>1607</v>
      </c>
      <c r="G1546" s="569" t="s">
        <v>271</v>
      </c>
      <c r="H1546" s="569">
        <v>2019</v>
      </c>
      <c r="I1546" s="569" t="s">
        <v>2769</v>
      </c>
      <c r="J1546" s="569" t="s">
        <v>2106</v>
      </c>
      <c r="K1546" s="569" t="s">
        <v>236</v>
      </c>
      <c r="L1546" s="569">
        <v>12</v>
      </c>
      <c r="M1546" s="569">
        <v>0</v>
      </c>
      <c r="N1546" s="569" t="s">
        <v>157</v>
      </c>
      <c r="O1546" s="569">
        <v>4</v>
      </c>
      <c r="P1546" s="569">
        <v>99.2</v>
      </c>
      <c r="Q1546" s="568" t="s">
        <v>157</v>
      </c>
      <c r="R1546" s="569" t="s">
        <v>1259</v>
      </c>
      <c r="S1546" s="569">
        <v>6</v>
      </c>
      <c r="T1546" s="569" t="s">
        <v>2617</v>
      </c>
      <c r="U1546" s="569" t="s">
        <v>2107</v>
      </c>
      <c r="V1546" s="569">
        <v>147.6</v>
      </c>
      <c r="W1546" s="569">
        <v>25</v>
      </c>
      <c r="X1546" s="568">
        <v>9000</v>
      </c>
      <c r="Y1546" s="569">
        <v>12</v>
      </c>
      <c r="Z1546" s="581" t="s">
        <v>178</v>
      </c>
      <c r="AA1546" s="581" t="s">
        <v>178</v>
      </c>
      <c r="AB1546" s="585">
        <v>45725</v>
      </c>
      <c r="AC1546" s="585" t="s">
        <v>164</v>
      </c>
      <c r="AD1546" s="585">
        <v>36594</v>
      </c>
      <c r="AE1546" s="587">
        <v>0.05</v>
      </c>
      <c r="AF1546" s="661" t="str">
        <f t="shared" si="171"/>
        <v>2019-LVN-FRD-T35W-037-26</v>
      </c>
      <c r="AG1546" s="661" t="str">
        <f>IF(AND($Y1546&gt;=32,(AI1546="I"),(Y1546&lt;&gt;"~"),(COUNTIF($AN$1:$AN1546,$AN1546)=1)),"TRUE","FALSE")</f>
        <v>FALSE</v>
      </c>
      <c r="AH1546" s="661" t="str">
        <f>IF(AND($Y1546&gt;=22, (AI1546&lt;&gt;"I"),(Y1546&lt;&gt;"~"),(COUNTIF($AN$1:$AN1546,$AN1546)=1)),"TRUE","FALSE")</f>
        <v>FALSE</v>
      </c>
      <c r="AI1546" s="661" t="str">
        <f t="shared" si="166"/>
        <v>II</v>
      </c>
      <c r="AJ1546" s="662" t="str">
        <f t="shared" si="167"/>
        <v>T35W-037</v>
      </c>
      <c r="AK1546" s="662" t="str">
        <f t="shared" si="168"/>
        <v>LVN</v>
      </c>
      <c r="AL1546" s="662" t="str">
        <f t="shared" si="169"/>
        <v>FRD</v>
      </c>
      <c r="AM1546" s="662" t="str">
        <f t="shared" si="165"/>
        <v>Transit 350 Wagon-XLT Sliding RH Door-RWD-12-99.2-~-3.5L EcoBoost-6-X2C-302A-147.6-25-Unleaded-Unleaded</v>
      </c>
      <c r="AN1546" s="662" t="str">
        <f t="shared" si="170"/>
        <v>2019-LVN-FRD-T35W-037</v>
      </c>
    </row>
    <row r="1547" spans="1:40" s="572" customFormat="1" ht="15">
      <c r="A1547" s="570" t="s">
        <v>2960</v>
      </c>
      <c r="B1547" s="573" t="s">
        <v>2907</v>
      </c>
      <c r="C1547" s="573" t="s">
        <v>287</v>
      </c>
      <c r="D1547" s="578">
        <v>26</v>
      </c>
      <c r="E1547" s="573" t="s">
        <v>1516</v>
      </c>
      <c r="F1547" s="573" t="s">
        <v>1607</v>
      </c>
      <c r="G1547" s="573" t="s">
        <v>271</v>
      </c>
      <c r="H1547" s="573">
        <v>2019</v>
      </c>
      <c r="I1547" s="573" t="s">
        <v>2769</v>
      </c>
      <c r="J1547" s="573" t="s">
        <v>2106</v>
      </c>
      <c r="K1547" s="573" t="s">
        <v>236</v>
      </c>
      <c r="L1547" s="573">
        <v>12</v>
      </c>
      <c r="M1547" s="573">
        <v>0</v>
      </c>
      <c r="N1547" s="573" t="s">
        <v>157</v>
      </c>
      <c r="O1547" s="573">
        <v>4</v>
      </c>
      <c r="P1547" s="573">
        <v>99.2</v>
      </c>
      <c r="Q1547" s="571" t="s">
        <v>157</v>
      </c>
      <c r="R1547" s="573" t="s">
        <v>682</v>
      </c>
      <c r="S1547" s="573">
        <v>6</v>
      </c>
      <c r="T1547" s="573" t="s">
        <v>2617</v>
      </c>
      <c r="U1547" s="573" t="s">
        <v>2107</v>
      </c>
      <c r="V1547" s="573">
        <v>147.6</v>
      </c>
      <c r="W1547" s="573">
        <v>25</v>
      </c>
      <c r="X1547" s="571">
        <v>9000</v>
      </c>
      <c r="Y1547" s="573">
        <v>12</v>
      </c>
      <c r="Z1547" s="579" t="s">
        <v>178</v>
      </c>
      <c r="AA1547" s="579" t="s">
        <v>178</v>
      </c>
      <c r="AB1547" s="584">
        <v>43860</v>
      </c>
      <c r="AC1547" s="584" t="s">
        <v>164</v>
      </c>
      <c r="AD1547" s="584">
        <v>34896</v>
      </c>
      <c r="AE1547" s="586">
        <v>0.05</v>
      </c>
      <c r="AF1547" s="661" t="str">
        <f t="shared" si="171"/>
        <v>2019-LVN-FRD-T35W-038-26</v>
      </c>
      <c r="AG1547" s="661" t="str">
        <f>IF(AND($Y1547&gt;=32,(AI1547="I"),(Y1547&lt;&gt;"~"),(COUNTIF($AN$1:$AN1547,$AN1547)=1)),"TRUE","FALSE")</f>
        <v>FALSE</v>
      </c>
      <c r="AH1547" s="661" t="str">
        <f>IF(AND($Y1547&gt;=22, (AI1547&lt;&gt;"I"),(Y1547&lt;&gt;"~"),(COUNTIF($AN$1:$AN1547,$AN1547)=1)),"TRUE","FALSE")</f>
        <v>FALSE</v>
      </c>
      <c r="AI1547" s="661" t="str">
        <f t="shared" si="166"/>
        <v>II</v>
      </c>
      <c r="AJ1547" s="662" t="str">
        <f t="shared" si="167"/>
        <v>T35W-038</v>
      </c>
      <c r="AK1547" s="662" t="str">
        <f t="shared" si="168"/>
        <v>LVN</v>
      </c>
      <c r="AL1547" s="662" t="str">
        <f t="shared" si="169"/>
        <v>FRD</v>
      </c>
      <c r="AM1547" s="662" t="str">
        <f t="shared" si="165"/>
        <v>Transit 350 Wagon-XLT Sliding RH Door-RWD-12-99.2-~-3.7L-6-X2C-302A-147.6-25-Unleaded-Unleaded</v>
      </c>
      <c r="AN1547" s="662" t="str">
        <f t="shared" si="170"/>
        <v>2019-LVN-FRD-T35W-038</v>
      </c>
    </row>
    <row r="1548" spans="1:40" s="572" customFormat="1" ht="15">
      <c r="A1548" s="570" t="s">
        <v>2961</v>
      </c>
      <c r="B1548" s="569" t="s">
        <v>2909</v>
      </c>
      <c r="C1548" s="569" t="s">
        <v>287</v>
      </c>
      <c r="D1548" s="580">
        <v>26</v>
      </c>
      <c r="E1548" s="569" t="s">
        <v>1516</v>
      </c>
      <c r="F1548" s="569" t="s">
        <v>1607</v>
      </c>
      <c r="G1548" s="569" t="s">
        <v>271</v>
      </c>
      <c r="H1548" s="569">
        <v>2019</v>
      </c>
      <c r="I1548" s="569" t="s">
        <v>2769</v>
      </c>
      <c r="J1548" s="569" t="s">
        <v>2106</v>
      </c>
      <c r="K1548" s="569" t="s">
        <v>236</v>
      </c>
      <c r="L1548" s="569">
        <v>15</v>
      </c>
      <c r="M1548" s="569">
        <v>0</v>
      </c>
      <c r="N1548" s="569" t="s">
        <v>157</v>
      </c>
      <c r="O1548" s="569">
        <v>5</v>
      </c>
      <c r="P1548" s="569">
        <v>107.7</v>
      </c>
      <c r="Q1548" s="568" t="s">
        <v>157</v>
      </c>
      <c r="R1548" s="569" t="s">
        <v>1917</v>
      </c>
      <c r="S1548" s="569">
        <v>5</v>
      </c>
      <c r="T1548" s="569" t="s">
        <v>2599</v>
      </c>
      <c r="U1548" s="569" t="s">
        <v>2107</v>
      </c>
      <c r="V1548" s="569">
        <v>147.6</v>
      </c>
      <c r="W1548" s="569">
        <v>25</v>
      </c>
      <c r="X1548" s="568">
        <v>10360</v>
      </c>
      <c r="Y1548" s="569" t="s">
        <v>164</v>
      </c>
      <c r="Z1548" s="581" t="s">
        <v>728</v>
      </c>
      <c r="AA1548" s="581" t="s">
        <v>1523</v>
      </c>
      <c r="AB1548" s="585">
        <v>50455</v>
      </c>
      <c r="AC1548" s="585" t="s">
        <v>164</v>
      </c>
      <c r="AD1548" s="585">
        <v>40972</v>
      </c>
      <c r="AE1548" s="587">
        <v>0.05</v>
      </c>
      <c r="AF1548" s="661" t="str">
        <f t="shared" si="171"/>
        <v>2019-LVN-FRD-T35W-040-26</v>
      </c>
      <c r="AG1548" s="661" t="str">
        <f>IF(AND($Y1548&gt;=32,(AI1548="I"),(Y1548&lt;&gt;"~"),(COUNTIF($AN$1:$AN1548,$AN1548)=1)),"TRUE","FALSE")</f>
        <v>FALSE</v>
      </c>
      <c r="AH1548" s="661" t="str">
        <f>IF(AND($Y1548&gt;=22, (AI1548&lt;&gt;"I"),(Y1548&lt;&gt;"~"),(COUNTIF($AN$1:$AN1548,$AN1548)=1)),"TRUE","FALSE")</f>
        <v>FALSE</v>
      </c>
      <c r="AI1548" s="661" t="str">
        <f t="shared" si="166"/>
        <v>N/A</v>
      </c>
      <c r="AJ1548" s="662" t="str">
        <f t="shared" si="167"/>
        <v>T35W-040</v>
      </c>
      <c r="AK1548" s="662" t="str">
        <f t="shared" si="168"/>
        <v>LVN</v>
      </c>
      <c r="AL1548" s="662" t="str">
        <f t="shared" si="169"/>
        <v>FRD</v>
      </c>
      <c r="AM1548" s="662" t="str">
        <f t="shared" si="165"/>
        <v>Transit 350 Wagon-XLT Sliding RH Door-RWD-15-107.7-~-3.2L-5-U4X-302A-147.6-25-Diesel-BioDiesel</v>
      </c>
      <c r="AN1548" s="662" t="str">
        <f t="shared" si="170"/>
        <v>2019-LVN-FRD-T35W-040</v>
      </c>
    </row>
    <row r="1549" spans="1:40" s="572" customFormat="1" ht="15">
      <c r="A1549" s="570" t="s">
        <v>2962</v>
      </c>
      <c r="B1549" s="573" t="s">
        <v>2911</v>
      </c>
      <c r="C1549" s="573" t="s">
        <v>287</v>
      </c>
      <c r="D1549" s="578">
        <v>26</v>
      </c>
      <c r="E1549" s="573" t="s">
        <v>1516</v>
      </c>
      <c r="F1549" s="573" t="s">
        <v>1607</v>
      </c>
      <c r="G1549" s="573" t="s">
        <v>271</v>
      </c>
      <c r="H1549" s="573">
        <v>2019</v>
      </c>
      <c r="I1549" s="573" t="s">
        <v>2769</v>
      </c>
      <c r="J1549" s="573" t="s">
        <v>2106</v>
      </c>
      <c r="K1549" s="573" t="s">
        <v>236</v>
      </c>
      <c r="L1549" s="573">
        <v>15</v>
      </c>
      <c r="M1549" s="573">
        <v>0</v>
      </c>
      <c r="N1549" s="573" t="s">
        <v>157</v>
      </c>
      <c r="O1549" s="573">
        <v>5</v>
      </c>
      <c r="P1549" s="573">
        <v>107.7</v>
      </c>
      <c r="Q1549" s="571" t="s">
        <v>157</v>
      </c>
      <c r="R1549" s="573" t="s">
        <v>1259</v>
      </c>
      <c r="S1549" s="573">
        <v>6</v>
      </c>
      <c r="T1549" s="573" t="s">
        <v>2599</v>
      </c>
      <c r="U1549" s="573" t="s">
        <v>2107</v>
      </c>
      <c r="V1549" s="573">
        <v>147.6</v>
      </c>
      <c r="W1549" s="573">
        <v>25</v>
      </c>
      <c r="X1549" s="571">
        <v>10360</v>
      </c>
      <c r="Y1549" s="569" t="s">
        <v>164</v>
      </c>
      <c r="Z1549" s="579" t="s">
        <v>178</v>
      </c>
      <c r="AA1549" s="579" t="s">
        <v>178</v>
      </c>
      <c r="AB1549" s="584">
        <v>48325</v>
      </c>
      <c r="AC1549" s="584" t="s">
        <v>164</v>
      </c>
      <c r="AD1549" s="584">
        <v>39032</v>
      </c>
      <c r="AE1549" s="586">
        <v>0.05</v>
      </c>
      <c r="AF1549" s="661" t="str">
        <f t="shared" si="171"/>
        <v>2019-LVN-FRD-T35W-041-26</v>
      </c>
      <c r="AG1549" s="661" t="str">
        <f>IF(AND($Y1549&gt;=32,(AI1549="I"),(Y1549&lt;&gt;"~"),(COUNTIF($AN$1:$AN1549,$AN1549)=1)),"TRUE","FALSE")</f>
        <v>FALSE</v>
      </c>
      <c r="AH1549" s="661" t="str">
        <f>IF(AND($Y1549&gt;=22, (AI1549&lt;&gt;"I"),(Y1549&lt;&gt;"~"),(COUNTIF($AN$1:$AN1549,$AN1549)=1)),"TRUE","FALSE")</f>
        <v>FALSE</v>
      </c>
      <c r="AI1549" s="661" t="str">
        <f t="shared" si="166"/>
        <v>N/A</v>
      </c>
      <c r="AJ1549" s="662" t="str">
        <f t="shared" si="167"/>
        <v>T35W-041</v>
      </c>
      <c r="AK1549" s="662" t="str">
        <f t="shared" si="168"/>
        <v>LVN</v>
      </c>
      <c r="AL1549" s="662" t="str">
        <f t="shared" si="169"/>
        <v>FRD</v>
      </c>
      <c r="AM1549" s="662" t="str">
        <f t="shared" si="165"/>
        <v>Transit 350 Wagon-XLT Sliding RH Door-RWD-15-107.7-~-3.5L EcoBoost-6-U4X-302A-147.6-25-Unleaded-Unleaded</v>
      </c>
      <c r="AN1549" s="662" t="str">
        <f t="shared" si="170"/>
        <v>2019-LVN-FRD-T35W-041</v>
      </c>
    </row>
    <row r="1550" spans="1:40" s="572" customFormat="1" ht="15">
      <c r="A1550" s="570" t="s">
        <v>2963</v>
      </c>
      <c r="B1550" s="569" t="s">
        <v>2913</v>
      </c>
      <c r="C1550" s="569" t="s">
        <v>287</v>
      </c>
      <c r="D1550" s="580">
        <v>26</v>
      </c>
      <c r="E1550" s="569" t="s">
        <v>1516</v>
      </c>
      <c r="F1550" s="569" t="s">
        <v>1607</v>
      </c>
      <c r="G1550" s="569" t="s">
        <v>271</v>
      </c>
      <c r="H1550" s="569">
        <v>2019</v>
      </c>
      <c r="I1550" s="569" t="s">
        <v>2769</v>
      </c>
      <c r="J1550" s="569" t="s">
        <v>2106</v>
      </c>
      <c r="K1550" s="569" t="s">
        <v>236</v>
      </c>
      <c r="L1550" s="569">
        <v>15</v>
      </c>
      <c r="M1550" s="569">
        <v>0</v>
      </c>
      <c r="N1550" s="569" t="s">
        <v>157</v>
      </c>
      <c r="O1550" s="569">
        <v>5</v>
      </c>
      <c r="P1550" s="569">
        <v>107.7</v>
      </c>
      <c r="Q1550" s="568" t="s">
        <v>157</v>
      </c>
      <c r="R1550" s="569" t="s">
        <v>682</v>
      </c>
      <c r="S1550" s="569">
        <v>6</v>
      </c>
      <c r="T1550" s="569" t="s">
        <v>2599</v>
      </c>
      <c r="U1550" s="569" t="s">
        <v>2107</v>
      </c>
      <c r="V1550" s="569">
        <v>147.6</v>
      </c>
      <c r="W1550" s="569">
        <v>25</v>
      </c>
      <c r="X1550" s="568">
        <v>10360</v>
      </c>
      <c r="Y1550" s="569" t="s">
        <v>164</v>
      </c>
      <c r="Z1550" s="581" t="s">
        <v>178</v>
      </c>
      <c r="AA1550" s="581" t="s">
        <v>178</v>
      </c>
      <c r="AB1550" s="585">
        <v>46460</v>
      </c>
      <c r="AC1550" s="585" t="s">
        <v>164</v>
      </c>
      <c r="AD1550" s="585">
        <v>37334</v>
      </c>
      <c r="AE1550" s="587">
        <v>0.05</v>
      </c>
      <c r="AF1550" s="661" t="str">
        <f t="shared" si="171"/>
        <v>2019-LVN-FRD-T35W-042-26</v>
      </c>
      <c r="AG1550" s="661" t="str">
        <f>IF(AND($Y1550&gt;=32,(AI1550="I"),(Y1550&lt;&gt;"~"),(COUNTIF($AN$1:$AN1550,$AN1550)=1)),"TRUE","FALSE")</f>
        <v>FALSE</v>
      </c>
      <c r="AH1550" s="661" t="str">
        <f>IF(AND($Y1550&gt;=22, (AI1550&lt;&gt;"I"),(Y1550&lt;&gt;"~"),(COUNTIF($AN$1:$AN1550,$AN1550)=1)),"TRUE","FALSE")</f>
        <v>FALSE</v>
      </c>
      <c r="AI1550" s="661" t="str">
        <f t="shared" si="166"/>
        <v>N/A</v>
      </c>
      <c r="AJ1550" s="662" t="str">
        <f t="shared" si="167"/>
        <v>T35W-042</v>
      </c>
      <c r="AK1550" s="662" t="str">
        <f t="shared" si="168"/>
        <v>LVN</v>
      </c>
      <c r="AL1550" s="662" t="str">
        <f t="shared" si="169"/>
        <v>FRD</v>
      </c>
      <c r="AM1550" s="662" t="str">
        <f t="shared" si="165"/>
        <v>Transit 350 Wagon-XLT Sliding RH Door-RWD-15-107.7-~-3.7L-6-U4X-302A-147.6-25-Unleaded-Unleaded</v>
      </c>
      <c r="AN1550" s="662" t="str">
        <f t="shared" si="170"/>
        <v>2019-LVN-FRD-T35W-042</v>
      </c>
    </row>
    <row r="1551" spans="1:40" s="572" customFormat="1" ht="15">
      <c r="A1551" s="570" t="s">
        <v>2964</v>
      </c>
      <c r="B1551" s="573" t="s">
        <v>2891</v>
      </c>
      <c r="C1551" s="573" t="s">
        <v>280</v>
      </c>
      <c r="D1551" s="578">
        <v>27</v>
      </c>
      <c r="E1551" s="573" t="s">
        <v>1516</v>
      </c>
      <c r="F1551" s="573" t="s">
        <v>1607</v>
      </c>
      <c r="G1551" s="573" t="s">
        <v>271</v>
      </c>
      <c r="H1551" s="573">
        <v>2019</v>
      </c>
      <c r="I1551" s="573" t="s">
        <v>2769</v>
      </c>
      <c r="J1551" s="573" t="s">
        <v>2106</v>
      </c>
      <c r="K1551" s="573" t="s">
        <v>236</v>
      </c>
      <c r="L1551" s="573">
        <v>12</v>
      </c>
      <c r="M1551" s="573">
        <v>0</v>
      </c>
      <c r="N1551" s="573" t="s">
        <v>157</v>
      </c>
      <c r="O1551" s="573">
        <v>4</v>
      </c>
      <c r="P1551" s="573">
        <v>108.6</v>
      </c>
      <c r="Q1551" s="571" t="s">
        <v>157</v>
      </c>
      <c r="R1551" s="573" t="s">
        <v>1917</v>
      </c>
      <c r="S1551" s="573">
        <v>5</v>
      </c>
      <c r="T1551" s="573" t="s">
        <v>2770</v>
      </c>
      <c r="U1551" s="573" t="s">
        <v>2107</v>
      </c>
      <c r="V1551" s="573">
        <v>147.6</v>
      </c>
      <c r="W1551" s="573">
        <v>25</v>
      </c>
      <c r="X1551" s="571">
        <v>9250</v>
      </c>
      <c r="Y1551" s="573">
        <v>12</v>
      </c>
      <c r="Z1551" s="579" t="s">
        <v>728</v>
      </c>
      <c r="AA1551" s="579" t="s">
        <v>1523</v>
      </c>
      <c r="AB1551" s="584">
        <v>49305</v>
      </c>
      <c r="AC1551" s="584" t="s">
        <v>164</v>
      </c>
      <c r="AD1551" s="584">
        <v>38807.541666666664</v>
      </c>
      <c r="AE1551" s="586">
        <v>0.03</v>
      </c>
      <c r="AF1551" s="661" t="str">
        <f t="shared" si="171"/>
        <v>2019-LVN-FRD-T35W-032-27</v>
      </c>
      <c r="AG1551" s="661" t="str">
        <f>IF(AND($Y1551&gt;=32,(AI1551="I"),(Y1551&lt;&gt;"~"),(COUNTIF($AN$1:$AN1551,$AN1551)=1)),"TRUE","FALSE")</f>
        <v>FALSE</v>
      </c>
      <c r="AH1551" s="661" t="str">
        <f>IF(AND($Y1551&gt;=22, (AI1551&lt;&gt;"I"),(Y1551&lt;&gt;"~"),(COUNTIF($AN$1:$AN1551,$AN1551)=1)),"TRUE","FALSE")</f>
        <v>FALSE</v>
      </c>
      <c r="AI1551" s="661" t="str">
        <f t="shared" si="166"/>
        <v>II</v>
      </c>
      <c r="AJ1551" s="662" t="str">
        <f t="shared" si="167"/>
        <v>T35W-032</v>
      </c>
      <c r="AK1551" s="662" t="str">
        <f t="shared" si="168"/>
        <v>LVN</v>
      </c>
      <c r="AL1551" s="662" t="str">
        <f t="shared" si="169"/>
        <v>FRD</v>
      </c>
      <c r="AM1551" s="662" t="str">
        <f t="shared" si="165"/>
        <v>Transit 350 Wagon-XLT Sliding RH Door-RWD-12-108.6-~-3.2L-5-X2X-302A-147.6-25-Diesel-BioDiesel</v>
      </c>
      <c r="AN1551" s="662" t="str">
        <f t="shared" si="170"/>
        <v>2019-LVN-FRD-T35W-032</v>
      </c>
    </row>
    <row r="1552" spans="1:40" s="572" customFormat="1" ht="15">
      <c r="A1552" s="570" t="s">
        <v>2965</v>
      </c>
      <c r="B1552" s="569" t="s">
        <v>2893</v>
      </c>
      <c r="C1552" s="569" t="s">
        <v>280</v>
      </c>
      <c r="D1552" s="580">
        <v>27</v>
      </c>
      <c r="E1552" s="569" t="s">
        <v>1516</v>
      </c>
      <c r="F1552" s="569" t="s">
        <v>1607</v>
      </c>
      <c r="G1552" s="569" t="s">
        <v>271</v>
      </c>
      <c r="H1552" s="569">
        <v>2019</v>
      </c>
      <c r="I1552" s="569" t="s">
        <v>2769</v>
      </c>
      <c r="J1552" s="569" t="s">
        <v>2106</v>
      </c>
      <c r="K1552" s="569" t="s">
        <v>236</v>
      </c>
      <c r="L1552" s="569">
        <v>12</v>
      </c>
      <c r="M1552" s="569">
        <v>0</v>
      </c>
      <c r="N1552" s="569" t="s">
        <v>157</v>
      </c>
      <c r="O1552" s="569">
        <v>4</v>
      </c>
      <c r="P1552" s="569">
        <v>108.6</v>
      </c>
      <c r="Q1552" s="568" t="s">
        <v>157</v>
      </c>
      <c r="R1552" s="569" t="s">
        <v>1259</v>
      </c>
      <c r="S1552" s="569">
        <v>6</v>
      </c>
      <c r="T1552" s="569" t="s">
        <v>2770</v>
      </c>
      <c r="U1552" s="569" t="s">
        <v>2107</v>
      </c>
      <c r="V1552" s="569">
        <v>147.6</v>
      </c>
      <c r="W1552" s="569">
        <v>25</v>
      </c>
      <c r="X1552" s="568">
        <v>9000</v>
      </c>
      <c r="Y1552" s="569">
        <v>12</v>
      </c>
      <c r="Z1552" s="581" t="s">
        <v>178</v>
      </c>
      <c r="AA1552" s="581" t="s">
        <v>178</v>
      </c>
      <c r="AB1552" s="585">
        <v>47175</v>
      </c>
      <c r="AC1552" s="585" t="s">
        <v>164</v>
      </c>
      <c r="AD1552" s="585">
        <v>36914.25</v>
      </c>
      <c r="AE1552" s="587">
        <v>0.03</v>
      </c>
      <c r="AF1552" s="661" t="str">
        <f t="shared" si="171"/>
        <v>2019-LVN-FRD-T35W-033-27</v>
      </c>
      <c r="AG1552" s="661" t="str">
        <f>IF(AND($Y1552&gt;=32,(AI1552="I"),(Y1552&lt;&gt;"~"),(COUNTIF($AN$1:$AN1552,$AN1552)=1)),"TRUE","FALSE")</f>
        <v>FALSE</v>
      </c>
      <c r="AH1552" s="661" t="str">
        <f>IF(AND($Y1552&gt;=22, (AI1552&lt;&gt;"I"),(Y1552&lt;&gt;"~"),(COUNTIF($AN$1:$AN1552,$AN1552)=1)),"TRUE","FALSE")</f>
        <v>FALSE</v>
      </c>
      <c r="AI1552" s="661" t="str">
        <f t="shared" si="166"/>
        <v>II</v>
      </c>
      <c r="AJ1552" s="662" t="str">
        <f t="shared" si="167"/>
        <v>T35W-033</v>
      </c>
      <c r="AK1552" s="662" t="str">
        <f t="shared" si="168"/>
        <v>LVN</v>
      </c>
      <c r="AL1552" s="662" t="str">
        <f t="shared" si="169"/>
        <v>FRD</v>
      </c>
      <c r="AM1552" s="662" t="str">
        <f t="shared" si="165"/>
        <v>Transit 350 Wagon-XLT Sliding RH Door-RWD-12-108.6-~-3.5L EcoBoost-6-X2X-302A-147.6-25-Unleaded-Unleaded</v>
      </c>
      <c r="AN1552" s="662" t="str">
        <f t="shared" si="170"/>
        <v>2019-LVN-FRD-T35W-033</v>
      </c>
    </row>
    <row r="1553" spans="1:40" s="572" customFormat="1" ht="15">
      <c r="A1553" s="570" t="s">
        <v>2966</v>
      </c>
      <c r="B1553" s="573" t="s">
        <v>2895</v>
      </c>
      <c r="C1553" s="573" t="s">
        <v>280</v>
      </c>
      <c r="D1553" s="578">
        <v>27</v>
      </c>
      <c r="E1553" s="573" t="s">
        <v>1516</v>
      </c>
      <c r="F1553" s="573" t="s">
        <v>1607</v>
      </c>
      <c r="G1553" s="573" t="s">
        <v>271</v>
      </c>
      <c r="H1553" s="573">
        <v>2019</v>
      </c>
      <c r="I1553" s="573" t="s">
        <v>2769</v>
      </c>
      <c r="J1553" s="573" t="s">
        <v>2106</v>
      </c>
      <c r="K1553" s="573" t="s">
        <v>236</v>
      </c>
      <c r="L1553" s="573">
        <v>12</v>
      </c>
      <c r="M1553" s="573">
        <v>0</v>
      </c>
      <c r="N1553" s="573" t="s">
        <v>157</v>
      </c>
      <c r="O1553" s="573">
        <v>4</v>
      </c>
      <c r="P1553" s="573">
        <v>108.6</v>
      </c>
      <c r="Q1553" s="571" t="s">
        <v>157</v>
      </c>
      <c r="R1553" s="573" t="s">
        <v>682</v>
      </c>
      <c r="S1553" s="573">
        <v>6</v>
      </c>
      <c r="T1553" s="573" t="s">
        <v>2770</v>
      </c>
      <c r="U1553" s="573" t="s">
        <v>2107</v>
      </c>
      <c r="V1553" s="573">
        <v>147.6</v>
      </c>
      <c r="W1553" s="573">
        <v>25</v>
      </c>
      <c r="X1553" s="571">
        <v>9000</v>
      </c>
      <c r="Y1553" s="573">
        <v>12</v>
      </c>
      <c r="Z1553" s="579" t="s">
        <v>178</v>
      </c>
      <c r="AA1553" s="579" t="s">
        <v>178</v>
      </c>
      <c r="AB1553" s="584">
        <v>45310</v>
      </c>
      <c r="AC1553" s="584" t="s">
        <v>164</v>
      </c>
      <c r="AD1553" s="584">
        <v>35258</v>
      </c>
      <c r="AE1553" s="586">
        <v>0.03</v>
      </c>
      <c r="AF1553" s="661" t="str">
        <f t="shared" si="171"/>
        <v>2019-LVN-FRD-T35W-034-27</v>
      </c>
      <c r="AG1553" s="661" t="str">
        <f>IF(AND($Y1553&gt;=32,(AI1553="I"),(Y1553&lt;&gt;"~"),(COUNTIF($AN$1:$AN1553,$AN1553)=1)),"TRUE","FALSE")</f>
        <v>FALSE</v>
      </c>
      <c r="AH1553" s="661" t="str">
        <f>IF(AND($Y1553&gt;=22, (AI1553&lt;&gt;"I"),(Y1553&lt;&gt;"~"),(COUNTIF($AN$1:$AN1553,$AN1553)=1)),"TRUE","FALSE")</f>
        <v>FALSE</v>
      </c>
      <c r="AI1553" s="661" t="str">
        <f t="shared" si="166"/>
        <v>II</v>
      </c>
      <c r="AJ1553" s="662" t="str">
        <f t="shared" si="167"/>
        <v>T35W-034</v>
      </c>
      <c r="AK1553" s="662" t="str">
        <f t="shared" si="168"/>
        <v>LVN</v>
      </c>
      <c r="AL1553" s="662" t="str">
        <f t="shared" si="169"/>
        <v>FRD</v>
      </c>
      <c r="AM1553" s="662" t="str">
        <f t="shared" si="165"/>
        <v>Transit 350 Wagon-XLT Sliding RH Door-RWD-12-108.6-~-3.7L-6-X2X-302A-147.6-25-Unleaded-Unleaded</v>
      </c>
      <c r="AN1553" s="662" t="str">
        <f t="shared" si="170"/>
        <v>2019-LVN-FRD-T35W-034</v>
      </c>
    </row>
    <row r="1554" spans="1:40" s="572" customFormat="1" ht="15">
      <c r="A1554" s="570" t="s">
        <v>2967</v>
      </c>
      <c r="B1554" s="569" t="s">
        <v>2897</v>
      </c>
      <c r="C1554" s="569" t="s">
        <v>280</v>
      </c>
      <c r="D1554" s="580">
        <v>27</v>
      </c>
      <c r="E1554" s="569" t="s">
        <v>1516</v>
      </c>
      <c r="F1554" s="569" t="s">
        <v>1607</v>
      </c>
      <c r="G1554" s="569" t="s">
        <v>271</v>
      </c>
      <c r="H1554" s="569">
        <v>2019</v>
      </c>
      <c r="I1554" s="569" t="s">
        <v>2769</v>
      </c>
      <c r="J1554" s="569" t="s">
        <v>2106</v>
      </c>
      <c r="K1554" s="569" t="s">
        <v>236</v>
      </c>
      <c r="L1554" s="569">
        <v>12</v>
      </c>
      <c r="M1554" s="569">
        <v>0</v>
      </c>
      <c r="N1554" s="569" t="s">
        <v>157</v>
      </c>
      <c r="O1554" s="569">
        <v>4</v>
      </c>
      <c r="P1554" s="569">
        <v>82.4</v>
      </c>
      <c r="Q1554" s="568" t="s">
        <v>157</v>
      </c>
      <c r="R1554" s="569" t="s">
        <v>1917</v>
      </c>
      <c r="S1554" s="569">
        <v>5</v>
      </c>
      <c r="T1554" s="569" t="s">
        <v>2777</v>
      </c>
      <c r="U1554" s="569" t="s">
        <v>2107</v>
      </c>
      <c r="V1554" s="569">
        <v>147.6</v>
      </c>
      <c r="W1554" s="569">
        <v>25</v>
      </c>
      <c r="X1554" s="568">
        <v>9250</v>
      </c>
      <c r="Y1554" s="569">
        <v>12</v>
      </c>
      <c r="Z1554" s="581" t="s">
        <v>728</v>
      </c>
      <c r="AA1554" s="581" t="s">
        <v>1523</v>
      </c>
      <c r="AB1554" s="585">
        <v>46405</v>
      </c>
      <c r="AC1554" s="585" t="s">
        <v>164</v>
      </c>
      <c r="AD1554" s="585">
        <v>34074.208333333336</v>
      </c>
      <c r="AE1554" s="587">
        <v>0.03</v>
      </c>
      <c r="AF1554" s="661" t="str">
        <f t="shared" si="171"/>
        <v>2019-LVN-FRD-T35W-069-27</v>
      </c>
      <c r="AG1554" s="661" t="str">
        <f>IF(AND($Y1554&gt;=32,(AI1554="I"),(Y1554&lt;&gt;"~"),(COUNTIF($AN$1:$AN1554,$AN1554)=1)),"TRUE","FALSE")</f>
        <v>FALSE</v>
      </c>
      <c r="AH1554" s="661" t="str">
        <f>IF(AND($Y1554&gt;=22, (AI1554&lt;&gt;"I"),(Y1554&lt;&gt;"~"),(COUNTIF($AN$1:$AN1554,$AN1554)=1)),"TRUE","FALSE")</f>
        <v>FALSE</v>
      </c>
      <c r="AI1554" s="661" t="str">
        <f t="shared" si="166"/>
        <v>II</v>
      </c>
      <c r="AJ1554" s="662" t="str">
        <f t="shared" si="167"/>
        <v>T35W-069</v>
      </c>
      <c r="AK1554" s="662" t="str">
        <f t="shared" si="168"/>
        <v>LVN</v>
      </c>
      <c r="AL1554" s="662" t="str">
        <f t="shared" si="169"/>
        <v>FRD</v>
      </c>
      <c r="AM1554" s="662" t="str">
        <f t="shared" si="165"/>
        <v>Transit 350 Wagon-XLT Sliding RH Door-RWD-12-82.4-~-3.2L-5-X2Y-302A-147.6-25-Diesel-BioDiesel</v>
      </c>
      <c r="AN1554" s="662" t="str">
        <f t="shared" si="170"/>
        <v>2019-LVN-FRD-T35W-069</v>
      </c>
    </row>
    <row r="1555" spans="1:40" s="572" customFormat="1" ht="15">
      <c r="A1555" s="570" t="s">
        <v>2968</v>
      </c>
      <c r="B1555" s="573" t="s">
        <v>2899</v>
      </c>
      <c r="C1555" s="573" t="s">
        <v>280</v>
      </c>
      <c r="D1555" s="578">
        <v>27</v>
      </c>
      <c r="E1555" s="573" t="s">
        <v>1516</v>
      </c>
      <c r="F1555" s="573" t="s">
        <v>1607</v>
      </c>
      <c r="G1555" s="573" t="s">
        <v>271</v>
      </c>
      <c r="H1555" s="573">
        <v>2019</v>
      </c>
      <c r="I1555" s="573" t="s">
        <v>2769</v>
      </c>
      <c r="J1555" s="573" t="s">
        <v>2106</v>
      </c>
      <c r="K1555" s="573" t="s">
        <v>236</v>
      </c>
      <c r="L1555" s="573">
        <v>12</v>
      </c>
      <c r="M1555" s="573">
        <v>0</v>
      </c>
      <c r="N1555" s="573" t="s">
        <v>157</v>
      </c>
      <c r="O1555" s="573">
        <v>4</v>
      </c>
      <c r="P1555" s="573">
        <v>82.4</v>
      </c>
      <c r="Q1555" s="571" t="s">
        <v>157</v>
      </c>
      <c r="R1555" s="573" t="s">
        <v>1259</v>
      </c>
      <c r="S1555" s="573">
        <v>6</v>
      </c>
      <c r="T1555" s="573" t="s">
        <v>2777</v>
      </c>
      <c r="U1555" s="573" t="s">
        <v>434</v>
      </c>
      <c r="V1555" s="573">
        <v>147.6</v>
      </c>
      <c r="W1555" s="573">
        <v>25</v>
      </c>
      <c r="X1555" s="571">
        <v>9000</v>
      </c>
      <c r="Y1555" s="573">
        <v>12</v>
      </c>
      <c r="Z1555" s="579" t="s">
        <v>178</v>
      </c>
      <c r="AA1555" s="579" t="s">
        <v>178</v>
      </c>
      <c r="AB1555" s="584">
        <v>44275</v>
      </c>
      <c r="AC1555" s="584" t="s">
        <v>164</v>
      </c>
      <c r="AD1555" s="584">
        <v>32180.916666666668</v>
      </c>
      <c r="AE1555" s="586">
        <v>0.03</v>
      </c>
      <c r="AF1555" s="661" t="str">
        <f t="shared" si="171"/>
        <v>2019-LVN-FRD-T35W-070-27</v>
      </c>
      <c r="AG1555" s="661" t="str">
        <f>IF(AND($Y1555&gt;=32,(AI1555="I"),(Y1555&lt;&gt;"~"),(COUNTIF($AN$1:$AN1555,$AN1555)=1)),"TRUE","FALSE")</f>
        <v>FALSE</v>
      </c>
      <c r="AH1555" s="661" t="str">
        <f>IF(AND($Y1555&gt;=22, (AI1555&lt;&gt;"I"),(Y1555&lt;&gt;"~"),(COUNTIF($AN$1:$AN1555,$AN1555)=1)),"TRUE","FALSE")</f>
        <v>FALSE</v>
      </c>
      <c r="AI1555" s="661" t="str">
        <f t="shared" si="166"/>
        <v>II</v>
      </c>
      <c r="AJ1555" s="662" t="str">
        <f t="shared" si="167"/>
        <v>T35W-070</v>
      </c>
      <c r="AK1555" s="662" t="str">
        <f t="shared" si="168"/>
        <v>LVN</v>
      </c>
      <c r="AL1555" s="662" t="str">
        <f t="shared" si="169"/>
        <v>FRD</v>
      </c>
      <c r="AM1555" s="662" t="str">
        <f t="shared" si="165"/>
        <v>Transit 350 Wagon-XLT Sliding RH Door-RWD-12-82.4-~-3.5L EcoBoost-6-X2Y-301A-147.6-25-Unleaded-Unleaded</v>
      </c>
      <c r="AN1555" s="662" t="str">
        <f t="shared" si="170"/>
        <v>2019-LVN-FRD-T35W-070</v>
      </c>
    </row>
    <row r="1556" spans="1:40" s="572" customFormat="1" ht="15">
      <c r="A1556" s="570" t="s">
        <v>2969</v>
      </c>
      <c r="B1556" s="569" t="s">
        <v>2901</v>
      </c>
      <c r="C1556" s="569" t="s">
        <v>280</v>
      </c>
      <c r="D1556" s="580">
        <v>27</v>
      </c>
      <c r="E1556" s="569" t="s">
        <v>1516</v>
      </c>
      <c r="F1556" s="569" t="s">
        <v>1607</v>
      </c>
      <c r="G1556" s="569" t="s">
        <v>271</v>
      </c>
      <c r="H1556" s="569">
        <v>2019</v>
      </c>
      <c r="I1556" s="569" t="s">
        <v>2769</v>
      </c>
      <c r="J1556" s="569" t="s">
        <v>2106</v>
      </c>
      <c r="K1556" s="569" t="s">
        <v>236</v>
      </c>
      <c r="L1556" s="569">
        <v>12</v>
      </c>
      <c r="M1556" s="569">
        <v>0</v>
      </c>
      <c r="N1556" s="569" t="s">
        <v>157</v>
      </c>
      <c r="O1556" s="569">
        <v>4</v>
      </c>
      <c r="P1556" s="569">
        <v>82.4</v>
      </c>
      <c r="Q1556" s="568" t="s">
        <v>157</v>
      </c>
      <c r="R1556" s="569" t="s">
        <v>682</v>
      </c>
      <c r="S1556" s="569">
        <v>6</v>
      </c>
      <c r="T1556" s="569" t="s">
        <v>2777</v>
      </c>
      <c r="U1556" s="569" t="s">
        <v>2107</v>
      </c>
      <c r="V1556" s="569">
        <v>147.6</v>
      </c>
      <c r="W1556" s="569">
        <v>25</v>
      </c>
      <c r="X1556" s="568">
        <v>9000</v>
      </c>
      <c r="Y1556" s="569">
        <v>12</v>
      </c>
      <c r="Z1556" s="581" t="s">
        <v>178</v>
      </c>
      <c r="AA1556" s="581" t="s">
        <v>178</v>
      </c>
      <c r="AB1556" s="585">
        <v>42410</v>
      </c>
      <c r="AC1556" s="585" t="s">
        <v>164</v>
      </c>
      <c r="AD1556" s="585">
        <v>30524.666666666668</v>
      </c>
      <c r="AE1556" s="587">
        <v>0.03</v>
      </c>
      <c r="AF1556" s="661" t="str">
        <f t="shared" si="171"/>
        <v>2019-LVN-FRD-T35W-079-27</v>
      </c>
      <c r="AG1556" s="661" t="str">
        <f>IF(AND($Y1556&gt;=32,(AI1556="I"),(Y1556&lt;&gt;"~"),(COUNTIF($AN$1:$AN1556,$AN1556)=1)),"TRUE","FALSE")</f>
        <v>FALSE</v>
      </c>
      <c r="AH1556" s="661" t="str">
        <f>IF(AND($Y1556&gt;=22, (AI1556&lt;&gt;"I"),(Y1556&lt;&gt;"~"),(COUNTIF($AN$1:$AN1556,$AN1556)=1)),"TRUE","FALSE")</f>
        <v>FALSE</v>
      </c>
      <c r="AI1556" s="661" t="str">
        <f t="shared" si="166"/>
        <v>II</v>
      </c>
      <c r="AJ1556" s="662" t="str">
        <f t="shared" si="167"/>
        <v>T35W-079</v>
      </c>
      <c r="AK1556" s="662" t="str">
        <f t="shared" si="168"/>
        <v>LVN</v>
      </c>
      <c r="AL1556" s="662" t="str">
        <f t="shared" si="169"/>
        <v>FRD</v>
      </c>
      <c r="AM1556" s="662" t="str">
        <f t="shared" si="165"/>
        <v>Transit 350 Wagon-XLT Sliding RH Door-RWD-12-82.4-~-3.7L-6-X2Y-302A-147.6-25-Unleaded-Unleaded</v>
      </c>
      <c r="AN1556" s="662" t="str">
        <f t="shared" si="170"/>
        <v>2019-LVN-FRD-T35W-079</v>
      </c>
    </row>
    <row r="1557" spans="1:40" s="572" customFormat="1" ht="15">
      <c r="A1557" s="570" t="s">
        <v>2970</v>
      </c>
      <c r="B1557" s="573" t="s">
        <v>2903</v>
      </c>
      <c r="C1557" s="573" t="s">
        <v>280</v>
      </c>
      <c r="D1557" s="578">
        <v>27</v>
      </c>
      <c r="E1557" s="573" t="s">
        <v>1516</v>
      </c>
      <c r="F1557" s="573" t="s">
        <v>1607</v>
      </c>
      <c r="G1557" s="573" t="s">
        <v>271</v>
      </c>
      <c r="H1557" s="573">
        <v>2019</v>
      </c>
      <c r="I1557" s="573" t="s">
        <v>2769</v>
      </c>
      <c r="J1557" s="573" t="s">
        <v>2106</v>
      </c>
      <c r="K1557" s="573" t="s">
        <v>236</v>
      </c>
      <c r="L1557" s="573">
        <v>12</v>
      </c>
      <c r="M1557" s="573">
        <v>0</v>
      </c>
      <c r="N1557" s="573" t="s">
        <v>157</v>
      </c>
      <c r="O1557" s="573">
        <v>4</v>
      </c>
      <c r="P1557" s="573">
        <v>99.2</v>
      </c>
      <c r="Q1557" s="571" t="s">
        <v>157</v>
      </c>
      <c r="R1557" s="573" t="s">
        <v>1917</v>
      </c>
      <c r="S1557" s="573">
        <v>5</v>
      </c>
      <c r="T1557" s="573" t="s">
        <v>2617</v>
      </c>
      <c r="U1557" s="573" t="s">
        <v>2107</v>
      </c>
      <c r="V1557" s="573">
        <v>147.6</v>
      </c>
      <c r="W1557" s="573">
        <v>25</v>
      </c>
      <c r="X1557" s="571">
        <v>9250</v>
      </c>
      <c r="Y1557" s="573">
        <v>12</v>
      </c>
      <c r="Z1557" s="579" t="s">
        <v>728</v>
      </c>
      <c r="AA1557" s="579" t="s">
        <v>1523</v>
      </c>
      <c r="AB1557" s="584">
        <v>47855</v>
      </c>
      <c r="AC1557" s="584" t="s">
        <v>164</v>
      </c>
      <c r="AD1557" s="584">
        <v>37482.541666666664</v>
      </c>
      <c r="AE1557" s="586">
        <v>0.03</v>
      </c>
      <c r="AF1557" s="661" t="str">
        <f t="shared" si="171"/>
        <v>2019-LVN-FRD-T35W-036-27</v>
      </c>
      <c r="AG1557" s="661" t="str">
        <f>IF(AND($Y1557&gt;=32,(AI1557="I"),(Y1557&lt;&gt;"~"),(COUNTIF($AN$1:$AN1557,$AN1557)=1)),"TRUE","FALSE")</f>
        <v>FALSE</v>
      </c>
      <c r="AH1557" s="661" t="str">
        <f>IF(AND($Y1557&gt;=22, (AI1557&lt;&gt;"I"),(Y1557&lt;&gt;"~"),(COUNTIF($AN$1:$AN1557,$AN1557)=1)),"TRUE","FALSE")</f>
        <v>FALSE</v>
      </c>
      <c r="AI1557" s="661" t="str">
        <f t="shared" si="166"/>
        <v>II</v>
      </c>
      <c r="AJ1557" s="662" t="str">
        <f t="shared" si="167"/>
        <v>T35W-036</v>
      </c>
      <c r="AK1557" s="662" t="str">
        <f t="shared" si="168"/>
        <v>LVN</v>
      </c>
      <c r="AL1557" s="662" t="str">
        <f t="shared" si="169"/>
        <v>FRD</v>
      </c>
      <c r="AM1557" s="662" t="str">
        <f t="shared" si="165"/>
        <v>Transit 350 Wagon-XLT Sliding RH Door-RWD-12-99.2-~-3.2L-5-X2C-302A-147.6-25-Diesel-BioDiesel</v>
      </c>
      <c r="AN1557" s="662" t="str">
        <f t="shared" si="170"/>
        <v>2019-LVN-FRD-T35W-036</v>
      </c>
    </row>
    <row r="1558" spans="1:40" s="572" customFormat="1" ht="15">
      <c r="A1558" s="570" t="s">
        <v>2971</v>
      </c>
      <c r="B1558" s="569" t="s">
        <v>2905</v>
      </c>
      <c r="C1558" s="569" t="s">
        <v>280</v>
      </c>
      <c r="D1558" s="580">
        <v>27</v>
      </c>
      <c r="E1558" s="569" t="s">
        <v>1516</v>
      </c>
      <c r="F1558" s="569" t="s">
        <v>1607</v>
      </c>
      <c r="G1558" s="569" t="s">
        <v>271</v>
      </c>
      <c r="H1558" s="569">
        <v>2019</v>
      </c>
      <c r="I1558" s="569" t="s">
        <v>2769</v>
      </c>
      <c r="J1558" s="569" t="s">
        <v>2106</v>
      </c>
      <c r="K1558" s="569" t="s">
        <v>236</v>
      </c>
      <c r="L1558" s="569">
        <v>12</v>
      </c>
      <c r="M1558" s="569">
        <v>0</v>
      </c>
      <c r="N1558" s="569" t="s">
        <v>157</v>
      </c>
      <c r="O1558" s="569">
        <v>4</v>
      </c>
      <c r="P1558" s="569">
        <v>99.2</v>
      </c>
      <c r="Q1558" s="568" t="s">
        <v>157</v>
      </c>
      <c r="R1558" s="569" t="s">
        <v>1259</v>
      </c>
      <c r="S1558" s="569">
        <v>6</v>
      </c>
      <c r="T1558" s="569" t="s">
        <v>2617</v>
      </c>
      <c r="U1558" s="569" t="s">
        <v>2107</v>
      </c>
      <c r="V1558" s="569">
        <v>147.6</v>
      </c>
      <c r="W1558" s="569">
        <v>25</v>
      </c>
      <c r="X1558" s="568">
        <v>9000</v>
      </c>
      <c r="Y1558" s="569">
        <v>12</v>
      </c>
      <c r="Z1558" s="581" t="s">
        <v>178</v>
      </c>
      <c r="AA1558" s="581" t="s">
        <v>178</v>
      </c>
      <c r="AB1558" s="585">
        <v>45725</v>
      </c>
      <c r="AC1558" s="585" t="s">
        <v>164</v>
      </c>
      <c r="AD1558" s="585">
        <v>35589.25</v>
      </c>
      <c r="AE1558" s="587">
        <v>0.03</v>
      </c>
      <c r="AF1558" s="661" t="str">
        <f t="shared" si="171"/>
        <v>2019-LVN-FRD-T35W-037-27</v>
      </c>
      <c r="AG1558" s="661" t="str">
        <f>IF(AND($Y1558&gt;=32,(AI1558="I"),(Y1558&lt;&gt;"~"),(COUNTIF($AN$1:$AN1558,$AN1558)=1)),"TRUE","FALSE")</f>
        <v>FALSE</v>
      </c>
      <c r="AH1558" s="661" t="str">
        <f>IF(AND($Y1558&gt;=22, (AI1558&lt;&gt;"I"),(Y1558&lt;&gt;"~"),(COUNTIF($AN$1:$AN1558,$AN1558)=1)),"TRUE","FALSE")</f>
        <v>FALSE</v>
      </c>
      <c r="AI1558" s="661" t="str">
        <f t="shared" si="166"/>
        <v>II</v>
      </c>
      <c r="AJ1558" s="662" t="str">
        <f t="shared" si="167"/>
        <v>T35W-037</v>
      </c>
      <c r="AK1558" s="662" t="str">
        <f t="shared" si="168"/>
        <v>LVN</v>
      </c>
      <c r="AL1558" s="662" t="str">
        <f t="shared" si="169"/>
        <v>FRD</v>
      </c>
      <c r="AM1558" s="662" t="str">
        <f t="shared" si="165"/>
        <v>Transit 350 Wagon-XLT Sliding RH Door-RWD-12-99.2-~-3.5L EcoBoost-6-X2C-302A-147.6-25-Unleaded-Unleaded</v>
      </c>
      <c r="AN1558" s="662" t="str">
        <f t="shared" si="170"/>
        <v>2019-LVN-FRD-T35W-037</v>
      </c>
    </row>
    <row r="1559" spans="1:40" s="572" customFormat="1" ht="15">
      <c r="A1559" s="570" t="s">
        <v>2972</v>
      </c>
      <c r="B1559" s="573" t="s">
        <v>2907</v>
      </c>
      <c r="C1559" s="573" t="s">
        <v>280</v>
      </c>
      <c r="D1559" s="578">
        <v>27</v>
      </c>
      <c r="E1559" s="573" t="s">
        <v>1516</v>
      </c>
      <c r="F1559" s="573" t="s">
        <v>1607</v>
      </c>
      <c r="G1559" s="573" t="s">
        <v>271</v>
      </c>
      <c r="H1559" s="573">
        <v>2019</v>
      </c>
      <c r="I1559" s="573" t="s">
        <v>2769</v>
      </c>
      <c r="J1559" s="573" t="s">
        <v>2106</v>
      </c>
      <c r="K1559" s="573" t="s">
        <v>236</v>
      </c>
      <c r="L1559" s="573">
        <v>12</v>
      </c>
      <c r="M1559" s="573">
        <v>0</v>
      </c>
      <c r="N1559" s="573" t="s">
        <v>157</v>
      </c>
      <c r="O1559" s="573">
        <v>4</v>
      </c>
      <c r="P1559" s="573">
        <v>99.2</v>
      </c>
      <c r="Q1559" s="571" t="s">
        <v>157</v>
      </c>
      <c r="R1559" s="573" t="s">
        <v>682</v>
      </c>
      <c r="S1559" s="573">
        <v>6</v>
      </c>
      <c r="T1559" s="573" t="s">
        <v>2617</v>
      </c>
      <c r="U1559" s="573" t="s">
        <v>2107</v>
      </c>
      <c r="V1559" s="573">
        <v>147.6</v>
      </c>
      <c r="W1559" s="573">
        <v>25</v>
      </c>
      <c r="X1559" s="571">
        <v>9000</v>
      </c>
      <c r="Y1559" s="573">
        <v>12</v>
      </c>
      <c r="Z1559" s="579" t="s">
        <v>178</v>
      </c>
      <c r="AA1559" s="579" t="s">
        <v>178</v>
      </c>
      <c r="AB1559" s="584">
        <v>43860</v>
      </c>
      <c r="AC1559" s="584" t="s">
        <v>164</v>
      </c>
      <c r="AD1559" s="584">
        <v>33933</v>
      </c>
      <c r="AE1559" s="586">
        <v>0.03</v>
      </c>
      <c r="AF1559" s="661" t="str">
        <f t="shared" si="171"/>
        <v>2019-LVN-FRD-T35W-038-27</v>
      </c>
      <c r="AG1559" s="661" t="str">
        <f>IF(AND($Y1559&gt;=32,(AI1559="I"),(Y1559&lt;&gt;"~"),(COUNTIF($AN$1:$AN1559,$AN1559)=1)),"TRUE","FALSE")</f>
        <v>FALSE</v>
      </c>
      <c r="AH1559" s="661" t="str">
        <f>IF(AND($Y1559&gt;=22, (AI1559&lt;&gt;"I"),(Y1559&lt;&gt;"~"),(COUNTIF($AN$1:$AN1559,$AN1559)=1)),"TRUE","FALSE")</f>
        <v>FALSE</v>
      </c>
      <c r="AI1559" s="661" t="str">
        <f t="shared" si="166"/>
        <v>II</v>
      </c>
      <c r="AJ1559" s="662" t="str">
        <f t="shared" si="167"/>
        <v>T35W-038</v>
      </c>
      <c r="AK1559" s="662" t="str">
        <f t="shared" si="168"/>
        <v>LVN</v>
      </c>
      <c r="AL1559" s="662" t="str">
        <f t="shared" si="169"/>
        <v>FRD</v>
      </c>
      <c r="AM1559" s="662" t="str">
        <f t="shared" si="165"/>
        <v>Transit 350 Wagon-XLT Sliding RH Door-RWD-12-99.2-~-3.7L-6-X2C-302A-147.6-25-Unleaded-Unleaded</v>
      </c>
      <c r="AN1559" s="662" t="str">
        <f t="shared" si="170"/>
        <v>2019-LVN-FRD-T35W-038</v>
      </c>
    </row>
    <row r="1560" spans="1:40" s="572" customFormat="1" ht="15">
      <c r="A1560" s="570" t="s">
        <v>2973</v>
      </c>
      <c r="B1560" s="569" t="s">
        <v>2909</v>
      </c>
      <c r="C1560" s="569" t="s">
        <v>280</v>
      </c>
      <c r="D1560" s="580">
        <v>27</v>
      </c>
      <c r="E1560" s="569" t="s">
        <v>1516</v>
      </c>
      <c r="F1560" s="569" t="s">
        <v>1607</v>
      </c>
      <c r="G1560" s="569" t="s">
        <v>271</v>
      </c>
      <c r="H1560" s="569">
        <v>2019</v>
      </c>
      <c r="I1560" s="569" t="s">
        <v>2769</v>
      </c>
      <c r="J1560" s="569" t="s">
        <v>2106</v>
      </c>
      <c r="K1560" s="569" t="s">
        <v>236</v>
      </c>
      <c r="L1560" s="569">
        <v>15</v>
      </c>
      <c r="M1560" s="569">
        <v>0</v>
      </c>
      <c r="N1560" s="569" t="s">
        <v>157</v>
      </c>
      <c r="O1560" s="569">
        <v>5</v>
      </c>
      <c r="P1560" s="569">
        <v>107.7</v>
      </c>
      <c r="Q1560" s="568" t="s">
        <v>157</v>
      </c>
      <c r="R1560" s="569" t="s">
        <v>1917</v>
      </c>
      <c r="S1560" s="569">
        <v>5</v>
      </c>
      <c r="T1560" s="569" t="s">
        <v>2599</v>
      </c>
      <c r="U1560" s="569" t="s">
        <v>2107</v>
      </c>
      <c r="V1560" s="569">
        <v>147.6</v>
      </c>
      <c r="W1560" s="569">
        <v>25</v>
      </c>
      <c r="X1560" s="568">
        <v>10360</v>
      </c>
      <c r="Y1560" s="569" t="s">
        <v>164</v>
      </c>
      <c r="Z1560" s="581" t="s">
        <v>728</v>
      </c>
      <c r="AA1560" s="581" t="s">
        <v>1523</v>
      </c>
      <c r="AB1560" s="585">
        <v>50455</v>
      </c>
      <c r="AC1560" s="585" t="s">
        <v>164</v>
      </c>
      <c r="AD1560" s="585">
        <v>39859.625</v>
      </c>
      <c r="AE1560" s="587">
        <v>0.03</v>
      </c>
      <c r="AF1560" s="661" t="str">
        <f t="shared" si="171"/>
        <v>2019-LVN-FRD-T35W-040-27</v>
      </c>
      <c r="AG1560" s="661" t="str">
        <f>IF(AND($Y1560&gt;=32,(AI1560="I"),(Y1560&lt;&gt;"~"),(COUNTIF($AN$1:$AN1560,$AN1560)=1)),"TRUE","FALSE")</f>
        <v>FALSE</v>
      </c>
      <c r="AH1560" s="661" t="str">
        <f>IF(AND($Y1560&gt;=22, (AI1560&lt;&gt;"I"),(Y1560&lt;&gt;"~"),(COUNTIF($AN$1:$AN1560,$AN1560)=1)),"TRUE","FALSE")</f>
        <v>FALSE</v>
      </c>
      <c r="AI1560" s="661" t="str">
        <f t="shared" si="166"/>
        <v>N/A</v>
      </c>
      <c r="AJ1560" s="662" t="str">
        <f t="shared" si="167"/>
        <v>T35W-040</v>
      </c>
      <c r="AK1560" s="662" t="str">
        <f t="shared" si="168"/>
        <v>LVN</v>
      </c>
      <c r="AL1560" s="662" t="str">
        <f t="shared" si="169"/>
        <v>FRD</v>
      </c>
      <c r="AM1560" s="662" t="str">
        <f t="shared" si="165"/>
        <v>Transit 350 Wagon-XLT Sliding RH Door-RWD-15-107.7-~-3.2L-5-U4X-302A-147.6-25-Diesel-BioDiesel</v>
      </c>
      <c r="AN1560" s="662" t="str">
        <f t="shared" si="170"/>
        <v>2019-LVN-FRD-T35W-040</v>
      </c>
    </row>
    <row r="1561" spans="1:40" s="572" customFormat="1" ht="15">
      <c r="A1561" s="570" t="s">
        <v>2974</v>
      </c>
      <c r="B1561" s="573" t="s">
        <v>2911</v>
      </c>
      <c r="C1561" s="573" t="s">
        <v>280</v>
      </c>
      <c r="D1561" s="578">
        <v>27</v>
      </c>
      <c r="E1561" s="573" t="s">
        <v>1516</v>
      </c>
      <c r="F1561" s="573" t="s">
        <v>1607</v>
      </c>
      <c r="G1561" s="573" t="s">
        <v>271</v>
      </c>
      <c r="H1561" s="573">
        <v>2019</v>
      </c>
      <c r="I1561" s="573" t="s">
        <v>2769</v>
      </c>
      <c r="J1561" s="573" t="s">
        <v>2106</v>
      </c>
      <c r="K1561" s="573" t="s">
        <v>236</v>
      </c>
      <c r="L1561" s="573">
        <v>15</v>
      </c>
      <c r="M1561" s="573">
        <v>0</v>
      </c>
      <c r="N1561" s="573" t="s">
        <v>157</v>
      </c>
      <c r="O1561" s="573">
        <v>5</v>
      </c>
      <c r="P1561" s="573">
        <v>107.7</v>
      </c>
      <c r="Q1561" s="571" t="s">
        <v>157</v>
      </c>
      <c r="R1561" s="573" t="s">
        <v>1259</v>
      </c>
      <c r="S1561" s="573">
        <v>6</v>
      </c>
      <c r="T1561" s="573" t="s">
        <v>2599</v>
      </c>
      <c r="U1561" s="573" t="s">
        <v>2107</v>
      </c>
      <c r="V1561" s="573">
        <v>147.6</v>
      </c>
      <c r="W1561" s="573">
        <v>25</v>
      </c>
      <c r="X1561" s="571">
        <v>10360</v>
      </c>
      <c r="Y1561" s="569" t="s">
        <v>164</v>
      </c>
      <c r="Z1561" s="579" t="s">
        <v>178</v>
      </c>
      <c r="AA1561" s="579" t="s">
        <v>178</v>
      </c>
      <c r="AB1561" s="584">
        <v>48325</v>
      </c>
      <c r="AC1561" s="584" t="s">
        <v>164</v>
      </c>
      <c r="AD1561" s="584">
        <v>37966.333333333336</v>
      </c>
      <c r="AE1561" s="586">
        <v>0.03</v>
      </c>
      <c r="AF1561" s="661" t="str">
        <f t="shared" si="171"/>
        <v>2019-LVN-FRD-T35W-041-27</v>
      </c>
      <c r="AG1561" s="661" t="str">
        <f>IF(AND($Y1561&gt;=32,(AI1561="I"),(Y1561&lt;&gt;"~"),(COUNTIF($AN$1:$AN1561,$AN1561)=1)),"TRUE","FALSE")</f>
        <v>FALSE</v>
      </c>
      <c r="AH1561" s="661" t="str">
        <f>IF(AND($Y1561&gt;=22, (AI1561&lt;&gt;"I"),(Y1561&lt;&gt;"~"),(COUNTIF($AN$1:$AN1561,$AN1561)=1)),"TRUE","FALSE")</f>
        <v>FALSE</v>
      </c>
      <c r="AI1561" s="661" t="str">
        <f t="shared" si="166"/>
        <v>N/A</v>
      </c>
      <c r="AJ1561" s="662" t="str">
        <f t="shared" si="167"/>
        <v>T35W-041</v>
      </c>
      <c r="AK1561" s="662" t="str">
        <f t="shared" si="168"/>
        <v>LVN</v>
      </c>
      <c r="AL1561" s="662" t="str">
        <f t="shared" si="169"/>
        <v>FRD</v>
      </c>
      <c r="AM1561" s="662" t="str">
        <f t="shared" si="165"/>
        <v>Transit 350 Wagon-XLT Sliding RH Door-RWD-15-107.7-~-3.5L EcoBoost-6-U4X-302A-147.6-25-Unleaded-Unleaded</v>
      </c>
      <c r="AN1561" s="662" t="str">
        <f t="shared" si="170"/>
        <v>2019-LVN-FRD-T35W-041</v>
      </c>
    </row>
    <row r="1562" spans="1:40" s="572" customFormat="1" ht="15">
      <c r="A1562" s="570" t="s">
        <v>2975</v>
      </c>
      <c r="B1562" s="569" t="s">
        <v>2913</v>
      </c>
      <c r="C1562" s="569" t="s">
        <v>280</v>
      </c>
      <c r="D1562" s="580">
        <v>27</v>
      </c>
      <c r="E1562" s="569" t="s">
        <v>1516</v>
      </c>
      <c r="F1562" s="569" t="s">
        <v>1607</v>
      </c>
      <c r="G1562" s="569" t="s">
        <v>271</v>
      </c>
      <c r="H1562" s="569">
        <v>2019</v>
      </c>
      <c r="I1562" s="569" t="s">
        <v>2769</v>
      </c>
      <c r="J1562" s="569" t="s">
        <v>2106</v>
      </c>
      <c r="K1562" s="569" t="s">
        <v>236</v>
      </c>
      <c r="L1562" s="569">
        <v>15</v>
      </c>
      <c r="M1562" s="569">
        <v>0</v>
      </c>
      <c r="N1562" s="569" t="s">
        <v>157</v>
      </c>
      <c r="O1562" s="569">
        <v>5</v>
      </c>
      <c r="P1562" s="569">
        <v>107.7</v>
      </c>
      <c r="Q1562" s="568" t="s">
        <v>157</v>
      </c>
      <c r="R1562" s="569" t="s">
        <v>682</v>
      </c>
      <c r="S1562" s="569">
        <v>6</v>
      </c>
      <c r="T1562" s="569" t="s">
        <v>2599</v>
      </c>
      <c r="U1562" s="569" t="s">
        <v>2107</v>
      </c>
      <c r="V1562" s="569">
        <v>147.6</v>
      </c>
      <c r="W1562" s="569">
        <v>25</v>
      </c>
      <c r="X1562" s="568">
        <v>10360</v>
      </c>
      <c r="Y1562" s="569" t="s">
        <v>164</v>
      </c>
      <c r="Z1562" s="581" t="s">
        <v>178</v>
      </c>
      <c r="AA1562" s="581" t="s">
        <v>178</v>
      </c>
      <c r="AB1562" s="585">
        <v>46460</v>
      </c>
      <c r="AC1562" s="585" t="s">
        <v>164</v>
      </c>
      <c r="AD1562" s="585">
        <v>36310.083333333336</v>
      </c>
      <c r="AE1562" s="587">
        <v>0.03</v>
      </c>
      <c r="AF1562" s="661" t="str">
        <f t="shared" si="171"/>
        <v>2019-LVN-FRD-T35W-042-27</v>
      </c>
      <c r="AG1562" s="661" t="str">
        <f>IF(AND($Y1562&gt;=32,(AI1562="I"),(Y1562&lt;&gt;"~"),(COUNTIF($AN$1:$AN1562,$AN1562)=1)),"TRUE","FALSE")</f>
        <v>FALSE</v>
      </c>
      <c r="AH1562" s="661" t="str">
        <f>IF(AND($Y1562&gt;=22, (AI1562&lt;&gt;"I"),(Y1562&lt;&gt;"~"),(COUNTIF($AN$1:$AN1562,$AN1562)=1)),"TRUE","FALSE")</f>
        <v>FALSE</v>
      </c>
      <c r="AI1562" s="661" t="str">
        <f t="shared" si="166"/>
        <v>N/A</v>
      </c>
      <c r="AJ1562" s="662" t="str">
        <f t="shared" si="167"/>
        <v>T35W-042</v>
      </c>
      <c r="AK1562" s="662" t="str">
        <f t="shared" si="168"/>
        <v>LVN</v>
      </c>
      <c r="AL1562" s="662" t="str">
        <f t="shared" si="169"/>
        <v>FRD</v>
      </c>
      <c r="AM1562" s="662" t="str">
        <f t="shared" si="165"/>
        <v>Transit 350 Wagon-XLT Sliding RH Door-RWD-15-107.7-~-3.7L-6-U4X-302A-147.6-25-Unleaded-Unleaded</v>
      </c>
      <c r="AN1562" s="662" t="str">
        <f t="shared" si="170"/>
        <v>2019-LVN-FRD-T35W-042</v>
      </c>
    </row>
    <row r="1563" spans="1:40" s="572" customFormat="1" ht="15">
      <c r="A1563" s="570" t="s">
        <v>2976</v>
      </c>
      <c r="B1563" s="573" t="s">
        <v>2915</v>
      </c>
      <c r="C1563" s="573" t="s">
        <v>280</v>
      </c>
      <c r="D1563" s="578">
        <v>27</v>
      </c>
      <c r="E1563" s="573" t="s">
        <v>1516</v>
      </c>
      <c r="F1563" s="573" t="s">
        <v>1607</v>
      </c>
      <c r="G1563" s="573" t="s">
        <v>271</v>
      </c>
      <c r="H1563" s="573">
        <v>2019</v>
      </c>
      <c r="I1563" s="573" t="s">
        <v>2769</v>
      </c>
      <c r="J1563" s="573" t="s">
        <v>2106</v>
      </c>
      <c r="K1563" s="573" t="s">
        <v>236</v>
      </c>
      <c r="L1563" s="573">
        <v>15</v>
      </c>
      <c r="M1563" s="573">
        <v>0</v>
      </c>
      <c r="N1563" s="573" t="s">
        <v>157</v>
      </c>
      <c r="O1563" s="573">
        <v>5</v>
      </c>
      <c r="P1563" s="573">
        <v>108.6</v>
      </c>
      <c r="Q1563" s="571" t="s">
        <v>157</v>
      </c>
      <c r="R1563" s="573" t="s">
        <v>1917</v>
      </c>
      <c r="S1563" s="573">
        <v>5</v>
      </c>
      <c r="T1563" s="573" t="s">
        <v>2770</v>
      </c>
      <c r="U1563" s="573" t="s">
        <v>2107</v>
      </c>
      <c r="V1563" s="573">
        <v>147.6</v>
      </c>
      <c r="W1563" s="573">
        <v>25</v>
      </c>
      <c r="X1563" s="571">
        <v>9400</v>
      </c>
      <c r="Y1563" s="573">
        <v>12</v>
      </c>
      <c r="Z1563" s="579" t="s">
        <v>728</v>
      </c>
      <c r="AA1563" s="579" t="s">
        <v>1523</v>
      </c>
      <c r="AB1563" s="584">
        <v>50800</v>
      </c>
      <c r="AC1563" s="584" t="s">
        <v>164</v>
      </c>
      <c r="AD1563" s="584">
        <v>40135.666666666664</v>
      </c>
      <c r="AE1563" s="586">
        <v>0.03</v>
      </c>
      <c r="AF1563" s="661" t="str">
        <f t="shared" si="171"/>
        <v>2019-LVN-FRD-T35W-043-27</v>
      </c>
      <c r="AG1563" s="661" t="str">
        <f>IF(AND($Y1563&gt;=32,(AI1563="I"),(Y1563&lt;&gt;"~"),(COUNTIF($AN$1:$AN1563,$AN1563)=1)),"TRUE","FALSE")</f>
        <v>FALSE</v>
      </c>
      <c r="AH1563" s="661" t="str">
        <f>IF(AND($Y1563&gt;=22, (AI1563&lt;&gt;"I"),(Y1563&lt;&gt;"~"),(COUNTIF($AN$1:$AN1563,$AN1563)=1)),"TRUE","FALSE")</f>
        <v>FALSE</v>
      </c>
      <c r="AI1563" s="661" t="str">
        <f t="shared" si="166"/>
        <v>II</v>
      </c>
      <c r="AJ1563" s="662" t="str">
        <f t="shared" si="167"/>
        <v>T35W-043</v>
      </c>
      <c r="AK1563" s="662" t="str">
        <f t="shared" si="168"/>
        <v>LVN</v>
      </c>
      <c r="AL1563" s="662" t="str">
        <f t="shared" si="169"/>
        <v>FRD</v>
      </c>
      <c r="AM1563" s="662" t="str">
        <f t="shared" ref="AM1563:AM1626" si="172">CONCATENATE(I1563,"-",J1563,"-",K1563,"-",L1563,"-",P1563,"-",Q1563,"-",R1563,"-",S1563,"-",T1563,"-",U1563,"-",V1563,"-",W1563,"-",Z1563,"-",AA1563)</f>
        <v>Transit 350 Wagon-XLT Sliding RH Door-RWD-15-108.6-~-3.2L-5-X2X-302A-147.6-25-Diesel-BioDiesel</v>
      </c>
      <c r="AN1563" s="662" t="str">
        <f t="shared" si="170"/>
        <v>2019-LVN-FRD-T35W-043</v>
      </c>
    </row>
    <row r="1564" spans="1:40" s="572" customFormat="1" ht="15">
      <c r="A1564" s="570" t="s">
        <v>2977</v>
      </c>
      <c r="B1564" s="569" t="s">
        <v>2917</v>
      </c>
      <c r="C1564" s="569" t="s">
        <v>280</v>
      </c>
      <c r="D1564" s="580">
        <v>27</v>
      </c>
      <c r="E1564" s="569" t="s">
        <v>1516</v>
      </c>
      <c r="F1564" s="569" t="s">
        <v>1607</v>
      </c>
      <c r="G1564" s="569" t="s">
        <v>271</v>
      </c>
      <c r="H1564" s="569">
        <v>2019</v>
      </c>
      <c r="I1564" s="569" t="s">
        <v>2769</v>
      </c>
      <c r="J1564" s="569" t="s">
        <v>2106</v>
      </c>
      <c r="K1564" s="569" t="s">
        <v>236</v>
      </c>
      <c r="L1564" s="569">
        <v>15</v>
      </c>
      <c r="M1564" s="569">
        <v>0</v>
      </c>
      <c r="N1564" s="569" t="s">
        <v>157</v>
      </c>
      <c r="O1564" s="569">
        <v>5</v>
      </c>
      <c r="P1564" s="569">
        <v>108.6</v>
      </c>
      <c r="Q1564" s="568" t="s">
        <v>157</v>
      </c>
      <c r="R1564" s="569" t="s">
        <v>1259</v>
      </c>
      <c r="S1564" s="569">
        <v>6</v>
      </c>
      <c r="T1564" s="569" t="s">
        <v>2770</v>
      </c>
      <c r="U1564" s="569" t="s">
        <v>2107</v>
      </c>
      <c r="V1564" s="569">
        <v>147.6</v>
      </c>
      <c r="W1564" s="569">
        <v>25</v>
      </c>
      <c r="X1564" s="568">
        <v>9150</v>
      </c>
      <c r="Y1564" s="569">
        <v>12</v>
      </c>
      <c r="Z1564" s="581" t="s">
        <v>178</v>
      </c>
      <c r="AA1564" s="581" t="s">
        <v>178</v>
      </c>
      <c r="AB1564" s="585">
        <v>48670</v>
      </c>
      <c r="AC1564" s="585" t="s">
        <v>164</v>
      </c>
      <c r="AD1564" s="585">
        <v>38242.375</v>
      </c>
      <c r="AE1564" s="587">
        <v>0.03</v>
      </c>
      <c r="AF1564" s="661" t="str">
        <f t="shared" si="171"/>
        <v>2019-LVN-FRD-T35W-044-27</v>
      </c>
      <c r="AG1564" s="661" t="str">
        <f>IF(AND($Y1564&gt;=32,(AI1564="I"),(Y1564&lt;&gt;"~"),(COUNTIF($AN$1:$AN1564,$AN1564)=1)),"TRUE","FALSE")</f>
        <v>FALSE</v>
      </c>
      <c r="AH1564" s="661" t="str">
        <f>IF(AND($Y1564&gt;=22, (AI1564&lt;&gt;"I"),(Y1564&lt;&gt;"~"),(COUNTIF($AN$1:$AN1564,$AN1564)=1)),"TRUE","FALSE")</f>
        <v>FALSE</v>
      </c>
      <c r="AI1564" s="661" t="str">
        <f t="shared" ref="AI1564:AI1627" si="173">IF(OR((LEFT($E1564,2)="01"),AND(LEFT($E1564,2)="06",ISNUMBER(SEARCH("pas",$F1564))),AND(LEFT($E1564,2)="05",ISNUMBER(SEARCH("pas",$F1564)))),"I",IF(AND((LEFT($E1564,2)&lt;&gt;"01"),$X1564&lt;=10000),"II",IF(AND((LEFT($E1564,2)&lt;&gt;"01"),$X1564&gt;10000),"N/A")))</f>
        <v>II</v>
      </c>
      <c r="AJ1564" s="662" t="str">
        <f t="shared" si="167"/>
        <v>T35W-044</v>
      </c>
      <c r="AK1564" s="662" t="str">
        <f t="shared" si="168"/>
        <v>LVN</v>
      </c>
      <c r="AL1564" s="662" t="str">
        <f t="shared" si="169"/>
        <v>FRD</v>
      </c>
      <c r="AM1564" s="662" t="str">
        <f t="shared" si="172"/>
        <v>Transit 350 Wagon-XLT Sliding RH Door-RWD-15-108.6-~-3.5L EcoBoost-6-X2X-302A-147.6-25-Unleaded-Unleaded</v>
      </c>
      <c r="AN1564" s="662" t="str">
        <f t="shared" si="170"/>
        <v>2019-LVN-FRD-T35W-044</v>
      </c>
    </row>
    <row r="1565" spans="1:40" s="572" customFormat="1" ht="15">
      <c r="A1565" s="570" t="s">
        <v>2978</v>
      </c>
      <c r="B1565" s="573" t="s">
        <v>2919</v>
      </c>
      <c r="C1565" s="573" t="s">
        <v>280</v>
      </c>
      <c r="D1565" s="578">
        <v>27</v>
      </c>
      <c r="E1565" s="573" t="s">
        <v>1516</v>
      </c>
      <c r="F1565" s="573" t="s">
        <v>1607</v>
      </c>
      <c r="G1565" s="573" t="s">
        <v>271</v>
      </c>
      <c r="H1565" s="573">
        <v>2019</v>
      </c>
      <c r="I1565" s="573" t="s">
        <v>2769</v>
      </c>
      <c r="J1565" s="573" t="s">
        <v>2106</v>
      </c>
      <c r="K1565" s="573" t="s">
        <v>236</v>
      </c>
      <c r="L1565" s="573">
        <v>15</v>
      </c>
      <c r="M1565" s="573">
        <v>0</v>
      </c>
      <c r="N1565" s="573" t="s">
        <v>157</v>
      </c>
      <c r="O1565" s="573">
        <v>5</v>
      </c>
      <c r="P1565" s="573">
        <v>108.6</v>
      </c>
      <c r="Q1565" s="571" t="s">
        <v>157</v>
      </c>
      <c r="R1565" s="573" t="s">
        <v>682</v>
      </c>
      <c r="S1565" s="573">
        <v>6</v>
      </c>
      <c r="T1565" s="573" t="s">
        <v>2770</v>
      </c>
      <c r="U1565" s="573" t="s">
        <v>2107</v>
      </c>
      <c r="V1565" s="573">
        <v>147.6</v>
      </c>
      <c r="W1565" s="573">
        <v>25</v>
      </c>
      <c r="X1565" s="571">
        <v>9150</v>
      </c>
      <c r="Y1565" s="573">
        <v>12</v>
      </c>
      <c r="Z1565" s="579" t="s">
        <v>178</v>
      </c>
      <c r="AA1565" s="579" t="s">
        <v>178</v>
      </c>
      <c r="AB1565" s="584">
        <v>46805</v>
      </c>
      <c r="AC1565" s="584" t="s">
        <v>164</v>
      </c>
      <c r="AD1565" s="584">
        <v>36586.125</v>
      </c>
      <c r="AE1565" s="586">
        <v>0.03</v>
      </c>
      <c r="AF1565" s="661" t="str">
        <f t="shared" si="171"/>
        <v>2019-LVN-FRD-T35W-045-27</v>
      </c>
      <c r="AG1565" s="661" t="str">
        <f>IF(AND($Y1565&gt;=32,(AI1565="I"),(Y1565&lt;&gt;"~"),(COUNTIF($AN$1:$AN1565,$AN1565)=1)),"TRUE","FALSE")</f>
        <v>FALSE</v>
      </c>
      <c r="AH1565" s="661" t="str">
        <f>IF(AND($Y1565&gt;=22, (AI1565&lt;&gt;"I"),(Y1565&lt;&gt;"~"),(COUNTIF($AN$1:$AN1565,$AN1565)=1)),"TRUE","FALSE")</f>
        <v>FALSE</v>
      </c>
      <c r="AI1565" s="661" t="str">
        <f t="shared" si="173"/>
        <v>II</v>
      </c>
      <c r="AJ1565" s="662" t="str">
        <f t="shared" si="167"/>
        <v>T35W-045</v>
      </c>
      <c r="AK1565" s="662" t="str">
        <f t="shared" si="168"/>
        <v>LVN</v>
      </c>
      <c r="AL1565" s="662" t="str">
        <f t="shared" si="169"/>
        <v>FRD</v>
      </c>
      <c r="AM1565" s="662" t="str">
        <f t="shared" si="172"/>
        <v>Transit 350 Wagon-XLT Sliding RH Door-RWD-15-108.6-~-3.7L-6-X2X-302A-147.6-25-Unleaded-Unleaded</v>
      </c>
      <c r="AN1565" s="662" t="str">
        <f t="shared" si="170"/>
        <v>2019-LVN-FRD-T35W-045</v>
      </c>
    </row>
    <row r="1566" spans="1:40" s="572" customFormat="1" ht="15">
      <c r="A1566" s="570" t="s">
        <v>2979</v>
      </c>
      <c r="B1566" s="569" t="s">
        <v>2921</v>
      </c>
      <c r="C1566" s="569" t="s">
        <v>280</v>
      </c>
      <c r="D1566" s="580">
        <v>27</v>
      </c>
      <c r="E1566" s="569" t="s">
        <v>1516</v>
      </c>
      <c r="F1566" s="569" t="s">
        <v>1607</v>
      </c>
      <c r="G1566" s="569" t="s">
        <v>271</v>
      </c>
      <c r="H1566" s="569">
        <v>2019</v>
      </c>
      <c r="I1566" s="569" t="s">
        <v>2769</v>
      </c>
      <c r="J1566" s="569" t="s">
        <v>2106</v>
      </c>
      <c r="K1566" s="569" t="s">
        <v>236</v>
      </c>
      <c r="L1566" s="569">
        <v>15</v>
      </c>
      <c r="M1566" s="569">
        <v>0</v>
      </c>
      <c r="N1566" s="569" t="s">
        <v>157</v>
      </c>
      <c r="O1566" s="569">
        <v>5</v>
      </c>
      <c r="P1566" s="569">
        <v>82.4</v>
      </c>
      <c r="Q1566" s="568" t="s">
        <v>157</v>
      </c>
      <c r="R1566" s="569" t="s">
        <v>1917</v>
      </c>
      <c r="S1566" s="569">
        <v>5</v>
      </c>
      <c r="T1566" s="569" t="s">
        <v>2777</v>
      </c>
      <c r="U1566" s="569" t="s">
        <v>2107</v>
      </c>
      <c r="V1566" s="569">
        <v>147.6</v>
      </c>
      <c r="W1566" s="569">
        <v>25</v>
      </c>
      <c r="X1566" s="568">
        <v>9250</v>
      </c>
      <c r="Y1566" s="569">
        <v>12</v>
      </c>
      <c r="Z1566" s="581" t="s">
        <v>728</v>
      </c>
      <c r="AA1566" s="581" t="s">
        <v>1523</v>
      </c>
      <c r="AB1566" s="585">
        <v>47900</v>
      </c>
      <c r="AC1566" s="585" t="s">
        <v>164</v>
      </c>
      <c r="AD1566" s="585">
        <v>35402.333333333336</v>
      </c>
      <c r="AE1566" s="587">
        <v>0.03</v>
      </c>
      <c r="AF1566" s="661" t="str">
        <f t="shared" si="171"/>
        <v>2019-LVN-FRD-T35W-071-27</v>
      </c>
      <c r="AG1566" s="661" t="str">
        <f>IF(AND($Y1566&gt;=32,(AI1566="I"),(Y1566&lt;&gt;"~"),(COUNTIF($AN$1:$AN1566,$AN1566)=1)),"TRUE","FALSE")</f>
        <v>FALSE</v>
      </c>
      <c r="AH1566" s="661" t="str">
        <f>IF(AND($Y1566&gt;=22, (AI1566&lt;&gt;"I"),(Y1566&lt;&gt;"~"),(COUNTIF($AN$1:$AN1566,$AN1566)=1)),"TRUE","FALSE")</f>
        <v>FALSE</v>
      </c>
      <c r="AI1566" s="661" t="str">
        <f t="shared" si="173"/>
        <v>II</v>
      </c>
      <c r="AJ1566" s="662" t="str">
        <f t="shared" si="167"/>
        <v>T35W-071</v>
      </c>
      <c r="AK1566" s="662" t="str">
        <f t="shared" si="168"/>
        <v>LVN</v>
      </c>
      <c r="AL1566" s="662" t="str">
        <f t="shared" si="169"/>
        <v>FRD</v>
      </c>
      <c r="AM1566" s="662" t="str">
        <f t="shared" si="172"/>
        <v>Transit 350 Wagon-XLT Sliding RH Door-RWD-15-82.4-~-3.2L-5-X2Y-302A-147.6-25-Diesel-BioDiesel</v>
      </c>
      <c r="AN1566" s="662" t="str">
        <f t="shared" si="170"/>
        <v>2019-LVN-FRD-T35W-071</v>
      </c>
    </row>
    <row r="1567" spans="1:40" s="572" customFormat="1" ht="15">
      <c r="A1567" s="570" t="s">
        <v>2980</v>
      </c>
      <c r="B1567" s="573" t="s">
        <v>2923</v>
      </c>
      <c r="C1567" s="573" t="s">
        <v>280</v>
      </c>
      <c r="D1567" s="578">
        <v>27</v>
      </c>
      <c r="E1567" s="573" t="s">
        <v>1516</v>
      </c>
      <c r="F1567" s="573" t="s">
        <v>1607</v>
      </c>
      <c r="G1567" s="573" t="s">
        <v>271</v>
      </c>
      <c r="H1567" s="573">
        <v>2019</v>
      </c>
      <c r="I1567" s="573" t="s">
        <v>2769</v>
      </c>
      <c r="J1567" s="573" t="s">
        <v>2106</v>
      </c>
      <c r="K1567" s="573" t="s">
        <v>236</v>
      </c>
      <c r="L1567" s="573">
        <v>15</v>
      </c>
      <c r="M1567" s="573">
        <v>0</v>
      </c>
      <c r="N1567" s="573" t="s">
        <v>157</v>
      </c>
      <c r="O1567" s="573">
        <v>5</v>
      </c>
      <c r="P1567" s="573">
        <v>82.4</v>
      </c>
      <c r="Q1567" s="571" t="s">
        <v>157</v>
      </c>
      <c r="R1567" s="573" t="s">
        <v>1259</v>
      </c>
      <c r="S1567" s="573">
        <v>6</v>
      </c>
      <c r="T1567" s="573" t="s">
        <v>2777</v>
      </c>
      <c r="U1567" s="573" t="s">
        <v>434</v>
      </c>
      <c r="V1567" s="573">
        <v>147.6</v>
      </c>
      <c r="W1567" s="573">
        <v>25</v>
      </c>
      <c r="X1567" s="571">
        <v>9000</v>
      </c>
      <c r="Y1567" s="573">
        <v>12</v>
      </c>
      <c r="Z1567" s="579" t="s">
        <v>178</v>
      </c>
      <c r="AA1567" s="579" t="s">
        <v>178</v>
      </c>
      <c r="AB1567" s="584">
        <v>45770</v>
      </c>
      <c r="AC1567" s="584" t="s">
        <v>164</v>
      </c>
      <c r="AD1567" s="584">
        <v>33509.041666666672</v>
      </c>
      <c r="AE1567" s="586">
        <v>0.03</v>
      </c>
      <c r="AF1567" s="661" t="str">
        <f t="shared" si="171"/>
        <v>2019-LVN-FRD-T35W-072-27</v>
      </c>
      <c r="AG1567" s="661" t="str">
        <f>IF(AND($Y1567&gt;=32,(AI1567="I"),(Y1567&lt;&gt;"~"),(COUNTIF($AN$1:$AN1567,$AN1567)=1)),"TRUE","FALSE")</f>
        <v>FALSE</v>
      </c>
      <c r="AH1567" s="661" t="str">
        <f>IF(AND($Y1567&gt;=22, (AI1567&lt;&gt;"I"),(Y1567&lt;&gt;"~"),(COUNTIF($AN$1:$AN1567,$AN1567)=1)),"TRUE","FALSE")</f>
        <v>FALSE</v>
      </c>
      <c r="AI1567" s="661" t="str">
        <f t="shared" si="173"/>
        <v>II</v>
      </c>
      <c r="AJ1567" s="662" t="str">
        <f t="shared" si="167"/>
        <v>T35W-072</v>
      </c>
      <c r="AK1567" s="662" t="str">
        <f t="shared" si="168"/>
        <v>LVN</v>
      </c>
      <c r="AL1567" s="662" t="str">
        <f t="shared" si="169"/>
        <v>FRD</v>
      </c>
      <c r="AM1567" s="662" t="str">
        <f t="shared" si="172"/>
        <v>Transit 350 Wagon-XLT Sliding RH Door-RWD-15-82.4-~-3.5L EcoBoost-6-X2Y-301A-147.6-25-Unleaded-Unleaded</v>
      </c>
      <c r="AN1567" s="662" t="str">
        <f t="shared" si="170"/>
        <v>2019-LVN-FRD-T35W-072</v>
      </c>
    </row>
    <row r="1568" spans="1:40" s="572" customFormat="1" ht="15">
      <c r="A1568" s="570" t="s">
        <v>2981</v>
      </c>
      <c r="B1568" s="569" t="s">
        <v>2925</v>
      </c>
      <c r="C1568" s="569" t="s">
        <v>280</v>
      </c>
      <c r="D1568" s="580">
        <v>27</v>
      </c>
      <c r="E1568" s="569" t="s">
        <v>1516</v>
      </c>
      <c r="F1568" s="569" t="s">
        <v>1607</v>
      </c>
      <c r="G1568" s="569" t="s">
        <v>271</v>
      </c>
      <c r="H1568" s="569">
        <v>2019</v>
      </c>
      <c r="I1568" s="569" t="s">
        <v>2769</v>
      </c>
      <c r="J1568" s="569" t="s">
        <v>2106</v>
      </c>
      <c r="K1568" s="569" t="s">
        <v>236</v>
      </c>
      <c r="L1568" s="569">
        <v>15</v>
      </c>
      <c r="M1568" s="569">
        <v>0</v>
      </c>
      <c r="N1568" s="569" t="s">
        <v>157</v>
      </c>
      <c r="O1568" s="569">
        <v>5</v>
      </c>
      <c r="P1568" s="569">
        <v>82.4</v>
      </c>
      <c r="Q1568" s="568" t="s">
        <v>157</v>
      </c>
      <c r="R1568" s="569" t="s">
        <v>682</v>
      </c>
      <c r="S1568" s="569">
        <v>6</v>
      </c>
      <c r="T1568" s="569" t="s">
        <v>2777</v>
      </c>
      <c r="U1568" s="569" t="s">
        <v>2107</v>
      </c>
      <c r="V1568" s="569">
        <v>147.6</v>
      </c>
      <c r="W1568" s="569">
        <v>25</v>
      </c>
      <c r="X1568" s="568">
        <v>9000</v>
      </c>
      <c r="Y1568" s="569">
        <v>12</v>
      </c>
      <c r="Z1568" s="581" t="s">
        <v>178</v>
      </c>
      <c r="AA1568" s="581" t="s">
        <v>178</v>
      </c>
      <c r="AB1568" s="585">
        <v>43905</v>
      </c>
      <c r="AC1568" s="585" t="s">
        <v>164</v>
      </c>
      <c r="AD1568" s="585">
        <v>31852.791666666668</v>
      </c>
      <c r="AE1568" s="587">
        <v>0.03</v>
      </c>
      <c r="AF1568" s="661" t="str">
        <f t="shared" si="171"/>
        <v>2019-LVN-FRD-T35W-073-27</v>
      </c>
      <c r="AG1568" s="661" t="str">
        <f>IF(AND($Y1568&gt;=32,(AI1568="I"),(Y1568&lt;&gt;"~"),(COUNTIF($AN$1:$AN1568,$AN1568)=1)),"TRUE","FALSE")</f>
        <v>FALSE</v>
      </c>
      <c r="AH1568" s="661" t="str">
        <f>IF(AND($Y1568&gt;=22, (AI1568&lt;&gt;"I"),(Y1568&lt;&gt;"~"),(COUNTIF($AN$1:$AN1568,$AN1568)=1)),"TRUE","FALSE")</f>
        <v>FALSE</v>
      </c>
      <c r="AI1568" s="661" t="str">
        <f t="shared" si="173"/>
        <v>II</v>
      </c>
      <c r="AJ1568" s="662" t="str">
        <f t="shared" si="167"/>
        <v>T35W-073</v>
      </c>
      <c r="AK1568" s="662" t="str">
        <f t="shared" si="168"/>
        <v>LVN</v>
      </c>
      <c r="AL1568" s="662" t="str">
        <f t="shared" si="169"/>
        <v>FRD</v>
      </c>
      <c r="AM1568" s="662" t="str">
        <f t="shared" si="172"/>
        <v>Transit 350 Wagon-XLT Sliding RH Door-RWD-15-82.4-~-3.7L-6-X2Y-302A-147.6-25-Unleaded-Unleaded</v>
      </c>
      <c r="AN1568" s="662" t="str">
        <f t="shared" si="170"/>
        <v>2019-LVN-FRD-T35W-073</v>
      </c>
    </row>
    <row r="1569" spans="1:40" s="572" customFormat="1" ht="15">
      <c r="A1569" s="570" t="s">
        <v>2982</v>
      </c>
      <c r="B1569" s="573" t="s">
        <v>2927</v>
      </c>
      <c r="C1569" s="573" t="s">
        <v>280</v>
      </c>
      <c r="D1569" s="578">
        <v>27</v>
      </c>
      <c r="E1569" s="573" t="s">
        <v>1516</v>
      </c>
      <c r="F1569" s="573" t="s">
        <v>1607</v>
      </c>
      <c r="G1569" s="573" t="s">
        <v>271</v>
      </c>
      <c r="H1569" s="573">
        <v>2019</v>
      </c>
      <c r="I1569" s="573" t="s">
        <v>2769</v>
      </c>
      <c r="J1569" s="573" t="s">
        <v>2106</v>
      </c>
      <c r="K1569" s="573" t="s">
        <v>236</v>
      </c>
      <c r="L1569" s="573">
        <v>15</v>
      </c>
      <c r="M1569" s="573">
        <v>0</v>
      </c>
      <c r="N1569" s="573" t="s">
        <v>157</v>
      </c>
      <c r="O1569" s="573">
        <v>5</v>
      </c>
      <c r="P1569" s="573">
        <v>99.2</v>
      </c>
      <c r="Q1569" s="571" t="s">
        <v>157</v>
      </c>
      <c r="R1569" s="573" t="s">
        <v>1917</v>
      </c>
      <c r="S1569" s="573">
        <v>5</v>
      </c>
      <c r="T1569" s="573" t="s">
        <v>2617</v>
      </c>
      <c r="U1569" s="573" t="s">
        <v>2107</v>
      </c>
      <c r="V1569" s="573">
        <v>147.6</v>
      </c>
      <c r="W1569" s="573">
        <v>25</v>
      </c>
      <c r="X1569" s="571">
        <v>9400</v>
      </c>
      <c r="Y1569" s="573">
        <v>12</v>
      </c>
      <c r="Z1569" s="579" t="s">
        <v>728</v>
      </c>
      <c r="AA1569" s="579" t="s">
        <v>1523</v>
      </c>
      <c r="AB1569" s="584">
        <v>49350</v>
      </c>
      <c r="AC1569" s="584" t="s">
        <v>164</v>
      </c>
      <c r="AD1569" s="584">
        <v>38810.666666666664</v>
      </c>
      <c r="AE1569" s="586">
        <v>0.03</v>
      </c>
      <c r="AF1569" s="661" t="str">
        <f t="shared" si="171"/>
        <v>2019-LVN-FRD-T35W-047-27</v>
      </c>
      <c r="AG1569" s="661" t="str">
        <f>IF(AND($Y1569&gt;=32,(AI1569="I"),(Y1569&lt;&gt;"~"),(COUNTIF($AN$1:$AN1569,$AN1569)=1)),"TRUE","FALSE")</f>
        <v>FALSE</v>
      </c>
      <c r="AH1569" s="661" t="str">
        <f>IF(AND($Y1569&gt;=22, (AI1569&lt;&gt;"I"),(Y1569&lt;&gt;"~"),(COUNTIF($AN$1:$AN1569,$AN1569)=1)),"TRUE","FALSE")</f>
        <v>FALSE</v>
      </c>
      <c r="AI1569" s="661" t="str">
        <f t="shared" si="173"/>
        <v>II</v>
      </c>
      <c r="AJ1569" s="662" t="str">
        <f t="shared" si="167"/>
        <v>T35W-047</v>
      </c>
      <c r="AK1569" s="662" t="str">
        <f t="shared" si="168"/>
        <v>LVN</v>
      </c>
      <c r="AL1569" s="662" t="str">
        <f t="shared" si="169"/>
        <v>FRD</v>
      </c>
      <c r="AM1569" s="662" t="str">
        <f t="shared" si="172"/>
        <v>Transit 350 Wagon-XLT Sliding RH Door-RWD-15-99.2-~-3.2L-5-X2C-302A-147.6-25-Diesel-BioDiesel</v>
      </c>
      <c r="AN1569" s="662" t="str">
        <f t="shared" si="170"/>
        <v>2019-LVN-FRD-T35W-047</v>
      </c>
    </row>
    <row r="1570" spans="1:40" s="572" customFormat="1" ht="15">
      <c r="A1570" s="570" t="s">
        <v>2983</v>
      </c>
      <c r="B1570" s="569" t="s">
        <v>2929</v>
      </c>
      <c r="C1570" s="569" t="s">
        <v>280</v>
      </c>
      <c r="D1570" s="580">
        <v>27</v>
      </c>
      <c r="E1570" s="569" t="s">
        <v>1516</v>
      </c>
      <c r="F1570" s="569" t="s">
        <v>1607</v>
      </c>
      <c r="G1570" s="569" t="s">
        <v>271</v>
      </c>
      <c r="H1570" s="569">
        <v>2019</v>
      </c>
      <c r="I1570" s="569" t="s">
        <v>2769</v>
      </c>
      <c r="J1570" s="569" t="s">
        <v>2106</v>
      </c>
      <c r="K1570" s="569" t="s">
        <v>236</v>
      </c>
      <c r="L1570" s="569">
        <v>15</v>
      </c>
      <c r="M1570" s="569">
        <v>0</v>
      </c>
      <c r="N1570" s="569" t="s">
        <v>157</v>
      </c>
      <c r="O1570" s="569">
        <v>5</v>
      </c>
      <c r="P1570" s="569">
        <v>99.2</v>
      </c>
      <c r="Q1570" s="568" t="s">
        <v>157</v>
      </c>
      <c r="R1570" s="569" t="s">
        <v>1259</v>
      </c>
      <c r="S1570" s="569">
        <v>6</v>
      </c>
      <c r="T1570" s="569" t="s">
        <v>2617</v>
      </c>
      <c r="U1570" s="569" t="s">
        <v>2107</v>
      </c>
      <c r="V1570" s="569">
        <v>147.6</v>
      </c>
      <c r="W1570" s="569">
        <v>25</v>
      </c>
      <c r="X1570" s="568">
        <v>9150</v>
      </c>
      <c r="Y1570" s="569">
        <v>12</v>
      </c>
      <c r="Z1570" s="581" t="s">
        <v>178</v>
      </c>
      <c r="AA1570" s="581" t="s">
        <v>178</v>
      </c>
      <c r="AB1570" s="585">
        <v>47220</v>
      </c>
      <c r="AC1570" s="585" t="s">
        <v>164</v>
      </c>
      <c r="AD1570" s="585">
        <v>36917.375</v>
      </c>
      <c r="AE1570" s="587">
        <v>0.03</v>
      </c>
      <c r="AF1570" s="661" t="str">
        <f t="shared" si="171"/>
        <v>2019-LVN-FRD-T35W-048-27</v>
      </c>
      <c r="AG1570" s="661" t="str">
        <f>IF(AND($Y1570&gt;=32,(AI1570="I"),(Y1570&lt;&gt;"~"),(COUNTIF($AN$1:$AN1570,$AN1570)=1)),"TRUE","FALSE")</f>
        <v>FALSE</v>
      </c>
      <c r="AH1570" s="661" t="str">
        <f>IF(AND($Y1570&gt;=22, (AI1570&lt;&gt;"I"),(Y1570&lt;&gt;"~"),(COUNTIF($AN$1:$AN1570,$AN1570)=1)),"TRUE","FALSE")</f>
        <v>FALSE</v>
      </c>
      <c r="AI1570" s="661" t="str">
        <f t="shared" si="173"/>
        <v>II</v>
      </c>
      <c r="AJ1570" s="662" t="str">
        <f t="shared" si="167"/>
        <v>T35W-048</v>
      </c>
      <c r="AK1570" s="662" t="str">
        <f t="shared" si="168"/>
        <v>LVN</v>
      </c>
      <c r="AL1570" s="662" t="str">
        <f t="shared" si="169"/>
        <v>FRD</v>
      </c>
      <c r="AM1570" s="662" t="str">
        <f t="shared" si="172"/>
        <v>Transit 350 Wagon-XLT Sliding RH Door-RWD-15-99.2-~-3.5L EcoBoost-6-X2C-302A-147.6-25-Unleaded-Unleaded</v>
      </c>
      <c r="AN1570" s="662" t="str">
        <f t="shared" si="170"/>
        <v>2019-LVN-FRD-T35W-048</v>
      </c>
    </row>
    <row r="1571" spans="1:40" s="572" customFormat="1" ht="15">
      <c r="A1571" s="570" t="s">
        <v>2984</v>
      </c>
      <c r="B1571" s="573" t="s">
        <v>2931</v>
      </c>
      <c r="C1571" s="573" t="s">
        <v>280</v>
      </c>
      <c r="D1571" s="578">
        <v>27</v>
      </c>
      <c r="E1571" s="573" t="s">
        <v>1516</v>
      </c>
      <c r="F1571" s="573" t="s">
        <v>1607</v>
      </c>
      <c r="G1571" s="573" t="s">
        <v>271</v>
      </c>
      <c r="H1571" s="573">
        <v>2019</v>
      </c>
      <c r="I1571" s="573" t="s">
        <v>2769</v>
      </c>
      <c r="J1571" s="573" t="s">
        <v>2106</v>
      </c>
      <c r="K1571" s="573" t="s">
        <v>236</v>
      </c>
      <c r="L1571" s="573">
        <v>15</v>
      </c>
      <c r="M1571" s="573">
        <v>0</v>
      </c>
      <c r="N1571" s="573" t="s">
        <v>157</v>
      </c>
      <c r="O1571" s="573">
        <v>5</v>
      </c>
      <c r="P1571" s="573">
        <v>99.2</v>
      </c>
      <c r="Q1571" s="571" t="s">
        <v>157</v>
      </c>
      <c r="R1571" s="573" t="s">
        <v>682</v>
      </c>
      <c r="S1571" s="573">
        <v>6</v>
      </c>
      <c r="T1571" s="573" t="s">
        <v>2617</v>
      </c>
      <c r="U1571" s="573" t="s">
        <v>2107</v>
      </c>
      <c r="V1571" s="573">
        <v>147.6</v>
      </c>
      <c r="W1571" s="573">
        <v>25</v>
      </c>
      <c r="X1571" s="571">
        <v>9150</v>
      </c>
      <c r="Y1571" s="573">
        <v>12</v>
      </c>
      <c r="Z1571" s="579" t="s">
        <v>178</v>
      </c>
      <c r="AA1571" s="579" t="s">
        <v>178</v>
      </c>
      <c r="AB1571" s="584">
        <v>45355</v>
      </c>
      <c r="AC1571" s="584" t="s">
        <v>164</v>
      </c>
      <c r="AD1571" s="584">
        <v>34077.791666666672</v>
      </c>
      <c r="AE1571" s="586">
        <v>0.03</v>
      </c>
      <c r="AF1571" s="661" t="str">
        <f t="shared" si="171"/>
        <v>2019-LVN-FRD-T35W-049-27</v>
      </c>
      <c r="AG1571" s="661" t="str">
        <f>IF(AND($Y1571&gt;=32,(AI1571="I"),(Y1571&lt;&gt;"~"),(COUNTIF($AN$1:$AN1571,$AN1571)=1)),"TRUE","FALSE")</f>
        <v>FALSE</v>
      </c>
      <c r="AH1571" s="661" t="str">
        <f>IF(AND($Y1571&gt;=22, (AI1571&lt;&gt;"I"),(Y1571&lt;&gt;"~"),(COUNTIF($AN$1:$AN1571,$AN1571)=1)),"TRUE","FALSE")</f>
        <v>FALSE</v>
      </c>
      <c r="AI1571" s="661" t="str">
        <f t="shared" si="173"/>
        <v>II</v>
      </c>
      <c r="AJ1571" s="662" t="str">
        <f t="shared" si="167"/>
        <v>T35W-049</v>
      </c>
      <c r="AK1571" s="662" t="str">
        <f t="shared" si="168"/>
        <v>LVN</v>
      </c>
      <c r="AL1571" s="662" t="str">
        <f t="shared" si="169"/>
        <v>FRD</v>
      </c>
      <c r="AM1571" s="662" t="str">
        <f t="shared" si="172"/>
        <v>Transit 350 Wagon-XLT Sliding RH Door-RWD-15-99.2-~-3.7L-6-X2C-302A-147.6-25-Unleaded-Unleaded</v>
      </c>
      <c r="AN1571" s="662" t="str">
        <f t="shared" si="170"/>
        <v>2019-LVN-FRD-T35W-049</v>
      </c>
    </row>
    <row r="1572" spans="1:40" s="572" customFormat="1" ht="30">
      <c r="A1572" s="570" t="s">
        <v>2985</v>
      </c>
      <c r="B1572" s="569" t="s">
        <v>2986</v>
      </c>
      <c r="C1572" s="569" t="s">
        <v>269</v>
      </c>
      <c r="D1572" s="580" t="s">
        <v>270</v>
      </c>
      <c r="E1572" s="569" t="s">
        <v>1516</v>
      </c>
      <c r="F1572" s="569" t="s">
        <v>1607</v>
      </c>
      <c r="G1572" s="569" t="s">
        <v>271</v>
      </c>
      <c r="H1572" s="569">
        <v>2019</v>
      </c>
      <c r="I1572" s="569" t="s">
        <v>2769</v>
      </c>
      <c r="J1572" s="569" t="s">
        <v>2144</v>
      </c>
      <c r="K1572" s="569" t="s">
        <v>236</v>
      </c>
      <c r="L1572" s="569">
        <v>12</v>
      </c>
      <c r="M1572" s="569">
        <v>0</v>
      </c>
      <c r="N1572" s="569" t="s">
        <v>157</v>
      </c>
      <c r="O1572" s="569">
        <v>4</v>
      </c>
      <c r="P1572" s="569">
        <v>82.4</v>
      </c>
      <c r="Q1572" s="568" t="s">
        <v>157</v>
      </c>
      <c r="R1572" s="569" t="s">
        <v>1259</v>
      </c>
      <c r="S1572" s="569">
        <v>6</v>
      </c>
      <c r="T1572" s="569" t="s">
        <v>2866</v>
      </c>
      <c r="U1572" s="569" t="s">
        <v>2107</v>
      </c>
      <c r="V1572" s="569">
        <v>147.6</v>
      </c>
      <c r="W1572" s="569">
        <v>25</v>
      </c>
      <c r="X1572" s="568">
        <v>9000</v>
      </c>
      <c r="Y1572" s="569">
        <v>12</v>
      </c>
      <c r="Z1572" s="581" t="s">
        <v>178</v>
      </c>
      <c r="AA1572" s="581" t="s">
        <v>178</v>
      </c>
      <c r="AB1572" s="585">
        <v>44125</v>
      </c>
      <c r="AC1572" s="585" t="s">
        <v>164</v>
      </c>
      <c r="AD1572" s="585">
        <v>32043.416666666668</v>
      </c>
      <c r="AE1572" s="587">
        <v>0.03</v>
      </c>
      <c r="AF1572" s="661" t="str">
        <f t="shared" si="171"/>
        <v>2019-LVN-FRD-T35W-052-05</v>
      </c>
      <c r="AG1572" s="661" t="str">
        <f>IF(AND($Y1572&gt;=32,(AI1572="I"),(Y1572&lt;&gt;"~"),(COUNTIF($AN$1:$AN1572,$AN1572)=1)),"TRUE","FALSE")</f>
        <v>FALSE</v>
      </c>
      <c r="AH1572" s="661" t="str">
        <f>IF(AND($Y1572&gt;=22, (AI1572&lt;&gt;"I"),(Y1572&lt;&gt;"~"),(COUNTIF($AN$1:$AN1572,$AN1572)=1)),"TRUE","FALSE")</f>
        <v>FALSE</v>
      </c>
      <c r="AI1572" s="661" t="str">
        <f t="shared" si="173"/>
        <v>II</v>
      </c>
      <c r="AJ1572" s="662" t="str">
        <f t="shared" si="167"/>
        <v>T35W-052</v>
      </c>
      <c r="AK1572" s="662" t="str">
        <f t="shared" si="168"/>
        <v>LVN</v>
      </c>
      <c r="AL1572" s="662" t="str">
        <f t="shared" si="169"/>
        <v>FRD</v>
      </c>
      <c r="AM1572" s="662" t="str">
        <f t="shared" si="172"/>
        <v>Transit 350 Wagon-XLT Swing-Out RH Door-RWD-12-82.4-~-3.5L EcoBoost-6-X2Z-302A-147.6-25-Unleaded-Unleaded</v>
      </c>
      <c r="AN1572" s="662" t="str">
        <f t="shared" si="170"/>
        <v>2019-LVN-FRD-T35W-052</v>
      </c>
    </row>
    <row r="1573" spans="1:40" s="572" customFormat="1" ht="30">
      <c r="A1573" s="570" t="s">
        <v>2987</v>
      </c>
      <c r="B1573" s="573" t="s">
        <v>2988</v>
      </c>
      <c r="C1573" s="573" t="s">
        <v>269</v>
      </c>
      <c r="D1573" s="578" t="s">
        <v>270</v>
      </c>
      <c r="E1573" s="573" t="s">
        <v>1516</v>
      </c>
      <c r="F1573" s="573" t="s">
        <v>1607</v>
      </c>
      <c r="G1573" s="573" t="s">
        <v>271</v>
      </c>
      <c r="H1573" s="573">
        <v>2019</v>
      </c>
      <c r="I1573" s="573" t="s">
        <v>2769</v>
      </c>
      <c r="J1573" s="573" t="s">
        <v>2144</v>
      </c>
      <c r="K1573" s="573" t="s">
        <v>236</v>
      </c>
      <c r="L1573" s="573">
        <v>12</v>
      </c>
      <c r="M1573" s="573">
        <v>0</v>
      </c>
      <c r="N1573" s="573" t="s">
        <v>157</v>
      </c>
      <c r="O1573" s="573">
        <v>4</v>
      </c>
      <c r="P1573" s="573">
        <v>82.4</v>
      </c>
      <c r="Q1573" s="571" t="s">
        <v>157</v>
      </c>
      <c r="R1573" s="573" t="s">
        <v>682</v>
      </c>
      <c r="S1573" s="573">
        <v>6</v>
      </c>
      <c r="T1573" s="573" t="s">
        <v>2866</v>
      </c>
      <c r="U1573" s="573" t="s">
        <v>2107</v>
      </c>
      <c r="V1573" s="573">
        <v>147.6</v>
      </c>
      <c r="W1573" s="573">
        <v>25</v>
      </c>
      <c r="X1573" s="571">
        <v>9000</v>
      </c>
      <c r="Y1573" s="573">
        <v>12</v>
      </c>
      <c r="Z1573" s="579" t="s">
        <v>178</v>
      </c>
      <c r="AA1573" s="579" t="s">
        <v>178</v>
      </c>
      <c r="AB1573" s="584">
        <v>42260</v>
      </c>
      <c r="AC1573" s="584" t="s">
        <v>164</v>
      </c>
      <c r="AD1573" s="584">
        <v>30387.166666666668</v>
      </c>
      <c r="AE1573" s="586">
        <v>0.03</v>
      </c>
      <c r="AF1573" s="661" t="str">
        <f t="shared" si="171"/>
        <v>2019-LVN-FRD-T35W-053-05</v>
      </c>
      <c r="AG1573" s="661" t="str">
        <f>IF(AND($Y1573&gt;=32,(AI1573="I"),(Y1573&lt;&gt;"~"),(COUNTIF($AN$1:$AN1573,$AN1573)=1)),"TRUE","FALSE")</f>
        <v>FALSE</v>
      </c>
      <c r="AH1573" s="661" t="str">
        <f>IF(AND($Y1573&gt;=22, (AI1573&lt;&gt;"I"),(Y1573&lt;&gt;"~"),(COUNTIF($AN$1:$AN1573,$AN1573)=1)),"TRUE","FALSE")</f>
        <v>FALSE</v>
      </c>
      <c r="AI1573" s="661" t="str">
        <f t="shared" si="173"/>
        <v>II</v>
      </c>
      <c r="AJ1573" s="662" t="str">
        <f t="shared" si="167"/>
        <v>T35W-053</v>
      </c>
      <c r="AK1573" s="662" t="str">
        <f t="shared" si="168"/>
        <v>LVN</v>
      </c>
      <c r="AL1573" s="662" t="str">
        <f t="shared" si="169"/>
        <v>FRD</v>
      </c>
      <c r="AM1573" s="662" t="str">
        <f t="shared" si="172"/>
        <v>Transit 350 Wagon-XLT Swing-Out RH Door-RWD-12-82.4-~-3.7L-6-X2Z-302A-147.6-25-Unleaded-Unleaded</v>
      </c>
      <c r="AN1573" s="662" t="str">
        <f t="shared" si="170"/>
        <v>2019-LVN-FRD-T35W-053</v>
      </c>
    </row>
    <row r="1574" spans="1:40" s="572" customFormat="1" ht="30">
      <c r="A1574" s="570" t="s">
        <v>2989</v>
      </c>
      <c r="B1574" s="569" t="s">
        <v>2990</v>
      </c>
      <c r="C1574" s="569" t="s">
        <v>269</v>
      </c>
      <c r="D1574" s="580" t="s">
        <v>270</v>
      </c>
      <c r="E1574" s="569" t="s">
        <v>1516</v>
      </c>
      <c r="F1574" s="569" t="s">
        <v>1607</v>
      </c>
      <c r="G1574" s="569" t="s">
        <v>271</v>
      </c>
      <c r="H1574" s="569">
        <v>2019</v>
      </c>
      <c r="I1574" s="569" t="s">
        <v>2769</v>
      </c>
      <c r="J1574" s="569" t="s">
        <v>2144</v>
      </c>
      <c r="K1574" s="569" t="s">
        <v>236</v>
      </c>
      <c r="L1574" s="569">
        <v>15</v>
      </c>
      <c r="M1574" s="569">
        <v>0</v>
      </c>
      <c r="N1574" s="569" t="s">
        <v>157</v>
      </c>
      <c r="O1574" s="569">
        <v>5</v>
      </c>
      <c r="P1574" s="569">
        <v>82.4</v>
      </c>
      <c r="Q1574" s="568" t="s">
        <v>157</v>
      </c>
      <c r="R1574" s="569" t="s">
        <v>1917</v>
      </c>
      <c r="S1574" s="569">
        <v>5</v>
      </c>
      <c r="T1574" s="569" t="s">
        <v>2866</v>
      </c>
      <c r="U1574" s="569" t="s">
        <v>2107</v>
      </c>
      <c r="V1574" s="569">
        <v>147.6</v>
      </c>
      <c r="W1574" s="569">
        <v>25</v>
      </c>
      <c r="X1574" s="568">
        <v>9250</v>
      </c>
      <c r="Y1574" s="569">
        <v>12</v>
      </c>
      <c r="Z1574" s="581" t="s">
        <v>728</v>
      </c>
      <c r="AA1574" s="581" t="s">
        <v>1523</v>
      </c>
      <c r="AB1574" s="585">
        <v>46255</v>
      </c>
      <c r="AC1574" s="585" t="s">
        <v>164</v>
      </c>
      <c r="AD1574" s="585">
        <v>33936.708333333336</v>
      </c>
      <c r="AE1574" s="587">
        <v>0.03</v>
      </c>
      <c r="AF1574" s="661" t="str">
        <f t="shared" si="171"/>
        <v>2019-LVN-FRD-T35W-055-05</v>
      </c>
      <c r="AG1574" s="661" t="str">
        <f>IF(AND($Y1574&gt;=32,(AI1574="I"),(Y1574&lt;&gt;"~"),(COUNTIF($AN$1:$AN1574,$AN1574)=1)),"TRUE","FALSE")</f>
        <v>FALSE</v>
      </c>
      <c r="AH1574" s="661" t="str">
        <f>IF(AND($Y1574&gt;=22, (AI1574&lt;&gt;"I"),(Y1574&lt;&gt;"~"),(COUNTIF($AN$1:$AN1574,$AN1574)=1)),"TRUE","FALSE")</f>
        <v>FALSE</v>
      </c>
      <c r="AI1574" s="661" t="str">
        <f t="shared" si="173"/>
        <v>II</v>
      </c>
      <c r="AJ1574" s="662" t="str">
        <f t="shared" si="167"/>
        <v>T35W-055</v>
      </c>
      <c r="AK1574" s="662" t="str">
        <f t="shared" si="168"/>
        <v>LVN</v>
      </c>
      <c r="AL1574" s="662" t="str">
        <f t="shared" si="169"/>
        <v>FRD</v>
      </c>
      <c r="AM1574" s="662" t="str">
        <f t="shared" si="172"/>
        <v>Transit 350 Wagon-XLT Swing-Out RH Door-RWD-15-82.4-~-3.2L-5-X2Z-302A-147.6-25-Diesel-BioDiesel</v>
      </c>
      <c r="AN1574" s="662" t="str">
        <f t="shared" si="170"/>
        <v>2019-LVN-FRD-T35W-055</v>
      </c>
    </row>
    <row r="1575" spans="1:40" s="572" customFormat="1" ht="30">
      <c r="A1575" s="570" t="s">
        <v>2991</v>
      </c>
      <c r="B1575" s="573" t="s">
        <v>2992</v>
      </c>
      <c r="C1575" s="573" t="s">
        <v>269</v>
      </c>
      <c r="D1575" s="578" t="s">
        <v>270</v>
      </c>
      <c r="E1575" s="573" t="s">
        <v>1516</v>
      </c>
      <c r="F1575" s="573" t="s">
        <v>1607</v>
      </c>
      <c r="G1575" s="573" t="s">
        <v>271</v>
      </c>
      <c r="H1575" s="573">
        <v>2019</v>
      </c>
      <c r="I1575" s="573" t="s">
        <v>2769</v>
      </c>
      <c r="J1575" s="573" t="s">
        <v>2144</v>
      </c>
      <c r="K1575" s="573" t="s">
        <v>236</v>
      </c>
      <c r="L1575" s="573">
        <v>15</v>
      </c>
      <c r="M1575" s="573">
        <v>0</v>
      </c>
      <c r="N1575" s="573" t="s">
        <v>157</v>
      </c>
      <c r="O1575" s="573">
        <v>5</v>
      </c>
      <c r="P1575" s="573">
        <v>82.4</v>
      </c>
      <c r="Q1575" s="571" t="s">
        <v>157</v>
      </c>
      <c r="R1575" s="573" t="s">
        <v>1259</v>
      </c>
      <c r="S1575" s="573">
        <v>6</v>
      </c>
      <c r="T1575" s="573" t="s">
        <v>2866</v>
      </c>
      <c r="U1575" s="573" t="s">
        <v>2107</v>
      </c>
      <c r="V1575" s="573">
        <v>147.6</v>
      </c>
      <c r="W1575" s="573">
        <v>25</v>
      </c>
      <c r="X1575" s="571">
        <v>9000</v>
      </c>
      <c r="Y1575" s="573">
        <v>12</v>
      </c>
      <c r="Z1575" s="579" t="s">
        <v>178</v>
      </c>
      <c r="AA1575" s="579" t="s">
        <v>178</v>
      </c>
      <c r="AB1575" s="584">
        <v>44125</v>
      </c>
      <c r="AC1575" s="584" t="s">
        <v>164</v>
      </c>
      <c r="AD1575" s="584">
        <v>32043.416666666668</v>
      </c>
      <c r="AE1575" s="586">
        <v>0.03</v>
      </c>
      <c r="AF1575" s="661" t="str">
        <f t="shared" si="171"/>
        <v>2019-LVN-FRD-T35W-056-05</v>
      </c>
      <c r="AG1575" s="661" t="str">
        <f>IF(AND($Y1575&gt;=32,(AI1575="I"),(Y1575&lt;&gt;"~"),(COUNTIF($AN$1:$AN1575,$AN1575)=1)),"TRUE","FALSE")</f>
        <v>FALSE</v>
      </c>
      <c r="AH1575" s="661" t="str">
        <f>IF(AND($Y1575&gt;=22, (AI1575&lt;&gt;"I"),(Y1575&lt;&gt;"~"),(COUNTIF($AN$1:$AN1575,$AN1575)=1)),"TRUE","FALSE")</f>
        <v>FALSE</v>
      </c>
      <c r="AI1575" s="661" t="str">
        <f t="shared" si="173"/>
        <v>II</v>
      </c>
      <c r="AJ1575" s="662" t="str">
        <f t="shared" si="167"/>
        <v>T35W-056</v>
      </c>
      <c r="AK1575" s="662" t="str">
        <f t="shared" si="168"/>
        <v>LVN</v>
      </c>
      <c r="AL1575" s="662" t="str">
        <f t="shared" si="169"/>
        <v>FRD</v>
      </c>
      <c r="AM1575" s="662" t="str">
        <f t="shared" si="172"/>
        <v>Transit 350 Wagon-XLT Swing-Out RH Door-RWD-15-82.4-~-3.5L EcoBoost-6-X2Z-302A-147.6-25-Unleaded-Unleaded</v>
      </c>
      <c r="AN1575" s="662" t="str">
        <f t="shared" si="170"/>
        <v>2019-LVN-FRD-T35W-056</v>
      </c>
    </row>
    <row r="1576" spans="1:40" s="572" customFormat="1" ht="30">
      <c r="A1576" s="570" t="s">
        <v>2993</v>
      </c>
      <c r="B1576" s="569" t="s">
        <v>2994</v>
      </c>
      <c r="C1576" s="569" t="s">
        <v>269</v>
      </c>
      <c r="D1576" s="580" t="s">
        <v>270</v>
      </c>
      <c r="E1576" s="569" t="s">
        <v>1516</v>
      </c>
      <c r="F1576" s="569" t="s">
        <v>1607</v>
      </c>
      <c r="G1576" s="569" t="s">
        <v>271</v>
      </c>
      <c r="H1576" s="569">
        <v>2019</v>
      </c>
      <c r="I1576" s="569" t="s">
        <v>2769</v>
      </c>
      <c r="J1576" s="569" t="s">
        <v>2144</v>
      </c>
      <c r="K1576" s="569" t="s">
        <v>236</v>
      </c>
      <c r="L1576" s="569">
        <v>15</v>
      </c>
      <c r="M1576" s="569">
        <v>0</v>
      </c>
      <c r="N1576" s="569" t="s">
        <v>157</v>
      </c>
      <c r="O1576" s="569">
        <v>5</v>
      </c>
      <c r="P1576" s="569">
        <v>82.4</v>
      </c>
      <c r="Q1576" s="568" t="s">
        <v>157</v>
      </c>
      <c r="R1576" s="569" t="s">
        <v>682</v>
      </c>
      <c r="S1576" s="569">
        <v>6</v>
      </c>
      <c r="T1576" s="569" t="s">
        <v>2866</v>
      </c>
      <c r="U1576" s="569" t="s">
        <v>2107</v>
      </c>
      <c r="V1576" s="569">
        <v>147.6</v>
      </c>
      <c r="W1576" s="569">
        <v>25</v>
      </c>
      <c r="X1576" s="568">
        <v>9000</v>
      </c>
      <c r="Y1576" s="569">
        <v>12</v>
      </c>
      <c r="Z1576" s="581" t="s">
        <v>178</v>
      </c>
      <c r="AA1576" s="581" t="s">
        <v>178</v>
      </c>
      <c r="AB1576" s="585">
        <v>42260</v>
      </c>
      <c r="AC1576" s="585" t="s">
        <v>164</v>
      </c>
      <c r="AD1576" s="585">
        <v>30387.166666666668</v>
      </c>
      <c r="AE1576" s="587">
        <v>0.03</v>
      </c>
      <c r="AF1576" s="661" t="str">
        <f t="shared" si="171"/>
        <v>2019-LVN-FRD-T35W-057-05</v>
      </c>
      <c r="AG1576" s="661" t="str">
        <f>IF(AND($Y1576&gt;=32,(AI1576="I"),(Y1576&lt;&gt;"~"),(COUNTIF($AN$1:$AN1576,$AN1576)=1)),"TRUE","FALSE")</f>
        <v>FALSE</v>
      </c>
      <c r="AH1576" s="661" t="str">
        <f>IF(AND($Y1576&gt;=22, (AI1576&lt;&gt;"I"),(Y1576&lt;&gt;"~"),(COUNTIF($AN$1:$AN1576,$AN1576)=1)),"TRUE","FALSE")</f>
        <v>FALSE</v>
      </c>
      <c r="AI1576" s="661" t="str">
        <f t="shared" si="173"/>
        <v>II</v>
      </c>
      <c r="AJ1576" s="662" t="str">
        <f t="shared" si="167"/>
        <v>T35W-057</v>
      </c>
      <c r="AK1576" s="662" t="str">
        <f t="shared" si="168"/>
        <v>LVN</v>
      </c>
      <c r="AL1576" s="662" t="str">
        <f t="shared" si="169"/>
        <v>FRD</v>
      </c>
      <c r="AM1576" s="662" t="str">
        <f t="shared" si="172"/>
        <v>Transit 350 Wagon-XLT Swing-Out RH Door-RWD-15-82.4-~-3.7L-6-X2Z-302A-147.6-25-Unleaded-Unleaded</v>
      </c>
      <c r="AN1576" s="662" t="str">
        <f t="shared" si="170"/>
        <v>2019-LVN-FRD-T35W-057</v>
      </c>
    </row>
    <row r="1577" spans="1:40" s="572" customFormat="1" ht="30">
      <c r="A1577" s="570" t="s">
        <v>2995</v>
      </c>
      <c r="B1577" s="573" t="s">
        <v>2996</v>
      </c>
      <c r="C1577" s="573" t="s">
        <v>278</v>
      </c>
      <c r="D1577" s="578">
        <v>15</v>
      </c>
      <c r="E1577" s="573" t="s">
        <v>1516</v>
      </c>
      <c r="F1577" s="573" t="s">
        <v>1607</v>
      </c>
      <c r="G1577" s="573" t="s">
        <v>271</v>
      </c>
      <c r="H1577" s="573">
        <v>2019</v>
      </c>
      <c r="I1577" s="573" t="s">
        <v>2769</v>
      </c>
      <c r="J1577" s="573" t="s">
        <v>2144</v>
      </c>
      <c r="K1577" s="573" t="s">
        <v>236</v>
      </c>
      <c r="L1577" s="573">
        <v>12</v>
      </c>
      <c r="M1577" s="573">
        <v>0</v>
      </c>
      <c r="N1577" s="573" t="s">
        <v>157</v>
      </c>
      <c r="O1577" s="573">
        <v>4</v>
      </c>
      <c r="P1577" s="573">
        <v>82.4</v>
      </c>
      <c r="Q1577" s="571" t="s">
        <v>157</v>
      </c>
      <c r="R1577" s="573" t="s">
        <v>1917</v>
      </c>
      <c r="S1577" s="573">
        <v>5</v>
      </c>
      <c r="T1577" s="573" t="s">
        <v>2866</v>
      </c>
      <c r="U1577" s="573" t="s">
        <v>2107</v>
      </c>
      <c r="V1577" s="573">
        <v>147.6</v>
      </c>
      <c r="W1577" s="573">
        <v>25</v>
      </c>
      <c r="X1577" s="571">
        <v>9250</v>
      </c>
      <c r="Y1577" s="573">
        <v>12</v>
      </c>
      <c r="Z1577" s="579" t="s">
        <v>728</v>
      </c>
      <c r="AA1577" s="579" t="s">
        <v>1523</v>
      </c>
      <c r="AB1577" s="584">
        <v>46255</v>
      </c>
      <c r="AC1577" s="584" t="s">
        <v>164</v>
      </c>
      <c r="AD1577" s="584">
        <v>34700</v>
      </c>
      <c r="AE1577" s="586">
        <v>0.01</v>
      </c>
      <c r="AF1577" s="661" t="str">
        <f t="shared" si="171"/>
        <v>2019-LVN-FRD-T35W-051-15</v>
      </c>
      <c r="AG1577" s="661" t="str">
        <f>IF(AND($Y1577&gt;=32,(AI1577="I"),(Y1577&lt;&gt;"~"),(COUNTIF($AN$1:$AN1577,$AN1577)=1)),"TRUE","FALSE")</f>
        <v>FALSE</v>
      </c>
      <c r="AH1577" s="661" t="str">
        <f>IF(AND($Y1577&gt;=22, (AI1577&lt;&gt;"I"),(Y1577&lt;&gt;"~"),(COUNTIF($AN$1:$AN1577,$AN1577)=1)),"TRUE","FALSE")</f>
        <v>FALSE</v>
      </c>
      <c r="AI1577" s="661" t="str">
        <f t="shared" si="173"/>
        <v>II</v>
      </c>
      <c r="AJ1577" s="662" t="str">
        <f t="shared" si="167"/>
        <v>T35W-051</v>
      </c>
      <c r="AK1577" s="662" t="str">
        <f t="shared" si="168"/>
        <v>LVN</v>
      </c>
      <c r="AL1577" s="662" t="str">
        <f t="shared" si="169"/>
        <v>FRD</v>
      </c>
      <c r="AM1577" s="662" t="str">
        <f t="shared" si="172"/>
        <v>Transit 350 Wagon-XLT Swing-Out RH Door-RWD-12-82.4-~-3.2L-5-X2Z-302A-147.6-25-Diesel-BioDiesel</v>
      </c>
      <c r="AN1577" s="662" t="str">
        <f t="shared" si="170"/>
        <v>2019-LVN-FRD-T35W-051</v>
      </c>
    </row>
    <row r="1578" spans="1:40" s="572" customFormat="1" ht="30">
      <c r="A1578" s="570" t="s">
        <v>2997</v>
      </c>
      <c r="B1578" s="569" t="s">
        <v>2986</v>
      </c>
      <c r="C1578" s="569" t="s">
        <v>278</v>
      </c>
      <c r="D1578" s="580">
        <v>15</v>
      </c>
      <c r="E1578" s="569" t="s">
        <v>1516</v>
      </c>
      <c r="F1578" s="569" t="s">
        <v>1607</v>
      </c>
      <c r="G1578" s="569" t="s">
        <v>271</v>
      </c>
      <c r="H1578" s="569">
        <v>2019</v>
      </c>
      <c r="I1578" s="569" t="s">
        <v>2769</v>
      </c>
      <c r="J1578" s="569" t="s">
        <v>2144</v>
      </c>
      <c r="K1578" s="569" t="s">
        <v>236</v>
      </c>
      <c r="L1578" s="569">
        <v>12</v>
      </c>
      <c r="M1578" s="569">
        <v>0</v>
      </c>
      <c r="N1578" s="569" t="s">
        <v>157</v>
      </c>
      <c r="O1578" s="569">
        <v>4</v>
      </c>
      <c r="P1578" s="569">
        <v>82.4</v>
      </c>
      <c r="Q1578" s="568" t="s">
        <v>157</v>
      </c>
      <c r="R1578" s="569" t="s">
        <v>1259</v>
      </c>
      <c r="S1578" s="569">
        <v>6</v>
      </c>
      <c r="T1578" s="569" t="s">
        <v>2866</v>
      </c>
      <c r="U1578" s="569" t="s">
        <v>2107</v>
      </c>
      <c r="V1578" s="569">
        <v>147.6</v>
      </c>
      <c r="W1578" s="569">
        <v>25</v>
      </c>
      <c r="X1578" s="568">
        <v>9000</v>
      </c>
      <c r="Y1578" s="569">
        <v>12</v>
      </c>
      <c r="Z1578" s="581" t="s">
        <v>178</v>
      </c>
      <c r="AA1578" s="581" t="s">
        <v>178</v>
      </c>
      <c r="AB1578" s="585">
        <v>44125</v>
      </c>
      <c r="AC1578" s="585" t="s">
        <v>164</v>
      </c>
      <c r="AD1578" s="585">
        <v>32700</v>
      </c>
      <c r="AE1578" s="587">
        <v>0.01</v>
      </c>
      <c r="AF1578" s="661" t="str">
        <f t="shared" si="171"/>
        <v>2019-LVN-FRD-T35W-052-15</v>
      </c>
      <c r="AG1578" s="661" t="str">
        <f>IF(AND($Y1578&gt;=32,(AI1578="I"),(Y1578&lt;&gt;"~"),(COUNTIF($AN$1:$AN1578,$AN1578)=1)),"TRUE","FALSE")</f>
        <v>FALSE</v>
      </c>
      <c r="AH1578" s="661" t="str">
        <f>IF(AND($Y1578&gt;=22, (AI1578&lt;&gt;"I"),(Y1578&lt;&gt;"~"),(COUNTIF($AN$1:$AN1578,$AN1578)=1)),"TRUE","FALSE")</f>
        <v>FALSE</v>
      </c>
      <c r="AI1578" s="661" t="str">
        <f t="shared" si="173"/>
        <v>II</v>
      </c>
      <c r="AJ1578" s="662" t="str">
        <f t="shared" si="167"/>
        <v>T35W-052</v>
      </c>
      <c r="AK1578" s="662" t="str">
        <f t="shared" si="168"/>
        <v>LVN</v>
      </c>
      <c r="AL1578" s="662" t="str">
        <f t="shared" si="169"/>
        <v>FRD</v>
      </c>
      <c r="AM1578" s="662" t="str">
        <f t="shared" si="172"/>
        <v>Transit 350 Wagon-XLT Swing-Out RH Door-RWD-12-82.4-~-3.5L EcoBoost-6-X2Z-302A-147.6-25-Unleaded-Unleaded</v>
      </c>
      <c r="AN1578" s="662" t="str">
        <f t="shared" si="170"/>
        <v>2019-LVN-FRD-T35W-052</v>
      </c>
    </row>
    <row r="1579" spans="1:40" s="572" customFormat="1" ht="30">
      <c r="A1579" s="570" t="s">
        <v>2998</v>
      </c>
      <c r="B1579" s="573" t="s">
        <v>2988</v>
      </c>
      <c r="C1579" s="573" t="s">
        <v>278</v>
      </c>
      <c r="D1579" s="578">
        <v>15</v>
      </c>
      <c r="E1579" s="573" t="s">
        <v>1516</v>
      </c>
      <c r="F1579" s="573" t="s">
        <v>1607</v>
      </c>
      <c r="G1579" s="573" t="s">
        <v>271</v>
      </c>
      <c r="H1579" s="573">
        <v>2019</v>
      </c>
      <c r="I1579" s="573" t="s">
        <v>2769</v>
      </c>
      <c r="J1579" s="573" t="s">
        <v>2144</v>
      </c>
      <c r="K1579" s="573" t="s">
        <v>236</v>
      </c>
      <c r="L1579" s="573">
        <v>12</v>
      </c>
      <c r="M1579" s="573">
        <v>0</v>
      </c>
      <c r="N1579" s="573" t="s">
        <v>157</v>
      </c>
      <c r="O1579" s="573">
        <v>4</v>
      </c>
      <c r="P1579" s="573">
        <v>82.4</v>
      </c>
      <c r="Q1579" s="571" t="s">
        <v>157</v>
      </c>
      <c r="R1579" s="573" t="s">
        <v>682</v>
      </c>
      <c r="S1579" s="573">
        <v>6</v>
      </c>
      <c r="T1579" s="573" t="s">
        <v>2866</v>
      </c>
      <c r="U1579" s="573" t="s">
        <v>2107</v>
      </c>
      <c r="V1579" s="573">
        <v>147.6</v>
      </c>
      <c r="W1579" s="573">
        <v>25</v>
      </c>
      <c r="X1579" s="571">
        <v>9000</v>
      </c>
      <c r="Y1579" s="573">
        <v>12</v>
      </c>
      <c r="Z1579" s="579" t="s">
        <v>178</v>
      </c>
      <c r="AA1579" s="579" t="s">
        <v>178</v>
      </c>
      <c r="AB1579" s="584">
        <v>42260</v>
      </c>
      <c r="AC1579" s="584" t="s">
        <v>164</v>
      </c>
      <c r="AD1579" s="584">
        <v>31100</v>
      </c>
      <c r="AE1579" s="586">
        <v>0.01</v>
      </c>
      <c r="AF1579" s="661" t="str">
        <f t="shared" si="171"/>
        <v>2019-LVN-FRD-T35W-053-15</v>
      </c>
      <c r="AG1579" s="661" t="str">
        <f>IF(AND($Y1579&gt;=32,(AI1579="I"),(Y1579&lt;&gt;"~"),(COUNTIF($AN$1:$AN1579,$AN1579)=1)),"TRUE","FALSE")</f>
        <v>FALSE</v>
      </c>
      <c r="AH1579" s="661" t="str">
        <f>IF(AND($Y1579&gt;=22, (AI1579&lt;&gt;"I"),(Y1579&lt;&gt;"~"),(COUNTIF($AN$1:$AN1579,$AN1579)=1)),"TRUE","FALSE")</f>
        <v>FALSE</v>
      </c>
      <c r="AI1579" s="661" t="str">
        <f t="shared" si="173"/>
        <v>II</v>
      </c>
      <c r="AJ1579" s="662" t="str">
        <f t="shared" si="167"/>
        <v>T35W-053</v>
      </c>
      <c r="AK1579" s="662" t="str">
        <f t="shared" si="168"/>
        <v>LVN</v>
      </c>
      <c r="AL1579" s="662" t="str">
        <f t="shared" si="169"/>
        <v>FRD</v>
      </c>
      <c r="AM1579" s="662" t="str">
        <f t="shared" si="172"/>
        <v>Transit 350 Wagon-XLT Swing-Out RH Door-RWD-12-82.4-~-3.7L-6-X2Z-302A-147.6-25-Unleaded-Unleaded</v>
      </c>
      <c r="AN1579" s="662" t="str">
        <f t="shared" si="170"/>
        <v>2019-LVN-FRD-T35W-053</v>
      </c>
    </row>
    <row r="1580" spans="1:40" s="572" customFormat="1" ht="30">
      <c r="A1580" s="570" t="s">
        <v>2999</v>
      </c>
      <c r="B1580" s="569" t="s">
        <v>2990</v>
      </c>
      <c r="C1580" s="569" t="s">
        <v>278</v>
      </c>
      <c r="D1580" s="580">
        <v>15</v>
      </c>
      <c r="E1580" s="569" t="s">
        <v>1516</v>
      </c>
      <c r="F1580" s="569" t="s">
        <v>1607</v>
      </c>
      <c r="G1580" s="569" t="s">
        <v>271</v>
      </c>
      <c r="H1580" s="569">
        <v>2019</v>
      </c>
      <c r="I1580" s="569" t="s">
        <v>2769</v>
      </c>
      <c r="J1580" s="569" t="s">
        <v>2144</v>
      </c>
      <c r="K1580" s="569" t="s">
        <v>236</v>
      </c>
      <c r="L1580" s="569">
        <v>15</v>
      </c>
      <c r="M1580" s="569">
        <v>0</v>
      </c>
      <c r="N1580" s="569" t="s">
        <v>157</v>
      </c>
      <c r="O1580" s="569">
        <v>5</v>
      </c>
      <c r="P1580" s="569">
        <v>82.4</v>
      </c>
      <c r="Q1580" s="568" t="s">
        <v>157</v>
      </c>
      <c r="R1580" s="569" t="s">
        <v>1917</v>
      </c>
      <c r="S1580" s="569">
        <v>5</v>
      </c>
      <c r="T1580" s="569" t="s">
        <v>2866</v>
      </c>
      <c r="U1580" s="569" t="s">
        <v>2107</v>
      </c>
      <c r="V1580" s="569">
        <v>147.6</v>
      </c>
      <c r="W1580" s="569">
        <v>25</v>
      </c>
      <c r="X1580" s="568">
        <v>9250</v>
      </c>
      <c r="Y1580" s="569">
        <v>12</v>
      </c>
      <c r="Z1580" s="581" t="s">
        <v>728</v>
      </c>
      <c r="AA1580" s="581" t="s">
        <v>1523</v>
      </c>
      <c r="AB1580" s="585">
        <v>47750</v>
      </c>
      <c r="AC1580" s="585" t="s">
        <v>164</v>
      </c>
      <c r="AD1580" s="585">
        <v>36000</v>
      </c>
      <c r="AE1580" s="587">
        <v>0.01</v>
      </c>
      <c r="AF1580" s="661" t="str">
        <f t="shared" si="171"/>
        <v>2019-LVN-FRD-T35W-055-15</v>
      </c>
      <c r="AG1580" s="661" t="str">
        <f>IF(AND($Y1580&gt;=32,(AI1580="I"),(Y1580&lt;&gt;"~"),(COUNTIF($AN$1:$AN1580,$AN1580)=1)),"TRUE","FALSE")</f>
        <v>FALSE</v>
      </c>
      <c r="AH1580" s="661" t="str">
        <f>IF(AND($Y1580&gt;=22, (AI1580&lt;&gt;"I"),(Y1580&lt;&gt;"~"),(COUNTIF($AN$1:$AN1580,$AN1580)=1)),"TRUE","FALSE")</f>
        <v>FALSE</v>
      </c>
      <c r="AI1580" s="661" t="str">
        <f t="shared" si="173"/>
        <v>II</v>
      </c>
      <c r="AJ1580" s="662" t="str">
        <f t="shared" si="167"/>
        <v>T35W-055</v>
      </c>
      <c r="AK1580" s="662" t="str">
        <f t="shared" si="168"/>
        <v>LVN</v>
      </c>
      <c r="AL1580" s="662" t="str">
        <f t="shared" si="169"/>
        <v>FRD</v>
      </c>
      <c r="AM1580" s="662" t="str">
        <f t="shared" si="172"/>
        <v>Transit 350 Wagon-XLT Swing-Out RH Door-RWD-15-82.4-~-3.2L-5-X2Z-302A-147.6-25-Diesel-BioDiesel</v>
      </c>
      <c r="AN1580" s="662" t="str">
        <f t="shared" si="170"/>
        <v>2019-LVN-FRD-T35W-055</v>
      </c>
    </row>
    <row r="1581" spans="1:40" s="572" customFormat="1" ht="30">
      <c r="A1581" s="570" t="s">
        <v>3000</v>
      </c>
      <c r="B1581" s="573" t="s">
        <v>2992</v>
      </c>
      <c r="C1581" s="573" t="s">
        <v>278</v>
      </c>
      <c r="D1581" s="578">
        <v>15</v>
      </c>
      <c r="E1581" s="573" t="s">
        <v>1516</v>
      </c>
      <c r="F1581" s="573" t="s">
        <v>1607</v>
      </c>
      <c r="G1581" s="573" t="s">
        <v>271</v>
      </c>
      <c r="H1581" s="573">
        <v>2019</v>
      </c>
      <c r="I1581" s="573" t="s">
        <v>2769</v>
      </c>
      <c r="J1581" s="573" t="s">
        <v>2144</v>
      </c>
      <c r="K1581" s="573" t="s">
        <v>236</v>
      </c>
      <c r="L1581" s="573">
        <v>15</v>
      </c>
      <c r="M1581" s="573">
        <v>0</v>
      </c>
      <c r="N1581" s="573" t="s">
        <v>157</v>
      </c>
      <c r="O1581" s="573">
        <v>5</v>
      </c>
      <c r="P1581" s="573">
        <v>82.4</v>
      </c>
      <c r="Q1581" s="571" t="s">
        <v>157</v>
      </c>
      <c r="R1581" s="573" t="s">
        <v>1259</v>
      </c>
      <c r="S1581" s="573">
        <v>6</v>
      </c>
      <c r="T1581" s="573" t="s">
        <v>2866</v>
      </c>
      <c r="U1581" s="573" t="s">
        <v>2107</v>
      </c>
      <c r="V1581" s="573">
        <v>147.6</v>
      </c>
      <c r="W1581" s="573">
        <v>25</v>
      </c>
      <c r="X1581" s="571">
        <v>9000</v>
      </c>
      <c r="Y1581" s="573">
        <v>12</v>
      </c>
      <c r="Z1581" s="579" t="s">
        <v>178</v>
      </c>
      <c r="AA1581" s="579" t="s">
        <v>178</v>
      </c>
      <c r="AB1581" s="584">
        <v>45620</v>
      </c>
      <c r="AC1581" s="584" t="s">
        <v>164</v>
      </c>
      <c r="AD1581" s="584">
        <v>34100</v>
      </c>
      <c r="AE1581" s="586">
        <v>0.01</v>
      </c>
      <c r="AF1581" s="661" t="str">
        <f t="shared" si="171"/>
        <v>2019-LVN-FRD-T35W-056-15</v>
      </c>
      <c r="AG1581" s="661" t="str">
        <f>IF(AND($Y1581&gt;=32,(AI1581="I"),(Y1581&lt;&gt;"~"),(COUNTIF($AN$1:$AN1581,$AN1581)=1)),"TRUE","FALSE")</f>
        <v>FALSE</v>
      </c>
      <c r="AH1581" s="661" t="str">
        <f>IF(AND($Y1581&gt;=22, (AI1581&lt;&gt;"I"),(Y1581&lt;&gt;"~"),(COUNTIF($AN$1:$AN1581,$AN1581)=1)),"TRUE","FALSE")</f>
        <v>FALSE</v>
      </c>
      <c r="AI1581" s="661" t="str">
        <f t="shared" si="173"/>
        <v>II</v>
      </c>
      <c r="AJ1581" s="662" t="str">
        <f t="shared" si="167"/>
        <v>T35W-056</v>
      </c>
      <c r="AK1581" s="662" t="str">
        <f t="shared" si="168"/>
        <v>LVN</v>
      </c>
      <c r="AL1581" s="662" t="str">
        <f t="shared" si="169"/>
        <v>FRD</v>
      </c>
      <c r="AM1581" s="662" t="str">
        <f t="shared" si="172"/>
        <v>Transit 350 Wagon-XLT Swing-Out RH Door-RWD-15-82.4-~-3.5L EcoBoost-6-X2Z-302A-147.6-25-Unleaded-Unleaded</v>
      </c>
      <c r="AN1581" s="662" t="str">
        <f t="shared" si="170"/>
        <v>2019-LVN-FRD-T35W-056</v>
      </c>
    </row>
    <row r="1582" spans="1:40" s="572" customFormat="1" ht="30">
      <c r="A1582" s="570" t="s">
        <v>3001</v>
      </c>
      <c r="B1582" s="569" t="s">
        <v>2994</v>
      </c>
      <c r="C1582" s="569" t="s">
        <v>278</v>
      </c>
      <c r="D1582" s="580">
        <v>15</v>
      </c>
      <c r="E1582" s="569" t="s">
        <v>1516</v>
      </c>
      <c r="F1582" s="569" t="s">
        <v>1607</v>
      </c>
      <c r="G1582" s="569" t="s">
        <v>271</v>
      </c>
      <c r="H1582" s="569">
        <v>2019</v>
      </c>
      <c r="I1582" s="569" t="s">
        <v>2769</v>
      </c>
      <c r="J1582" s="569" t="s">
        <v>2144</v>
      </c>
      <c r="K1582" s="569" t="s">
        <v>236</v>
      </c>
      <c r="L1582" s="569">
        <v>15</v>
      </c>
      <c r="M1582" s="569">
        <v>0</v>
      </c>
      <c r="N1582" s="569" t="s">
        <v>157</v>
      </c>
      <c r="O1582" s="569">
        <v>5</v>
      </c>
      <c r="P1582" s="569">
        <v>82.4</v>
      </c>
      <c r="Q1582" s="568" t="s">
        <v>157</v>
      </c>
      <c r="R1582" s="569" t="s">
        <v>682</v>
      </c>
      <c r="S1582" s="569">
        <v>6</v>
      </c>
      <c r="T1582" s="569" t="s">
        <v>2866</v>
      </c>
      <c r="U1582" s="569" t="s">
        <v>2107</v>
      </c>
      <c r="V1582" s="569">
        <v>147.6</v>
      </c>
      <c r="W1582" s="569">
        <v>25</v>
      </c>
      <c r="X1582" s="568">
        <v>9000</v>
      </c>
      <c r="Y1582" s="569">
        <v>12</v>
      </c>
      <c r="Z1582" s="581" t="s">
        <v>178</v>
      </c>
      <c r="AA1582" s="581" t="s">
        <v>178</v>
      </c>
      <c r="AB1582" s="585">
        <v>43755</v>
      </c>
      <c r="AC1582" s="585" t="s">
        <v>164</v>
      </c>
      <c r="AD1582" s="585">
        <v>32400</v>
      </c>
      <c r="AE1582" s="587">
        <v>0.01</v>
      </c>
      <c r="AF1582" s="661" t="str">
        <f t="shared" si="171"/>
        <v>2019-LVN-FRD-T35W-057-15</v>
      </c>
      <c r="AG1582" s="661" t="str">
        <f>IF(AND($Y1582&gt;=32,(AI1582="I"),(Y1582&lt;&gt;"~"),(COUNTIF($AN$1:$AN1582,$AN1582)=1)),"TRUE","FALSE")</f>
        <v>FALSE</v>
      </c>
      <c r="AH1582" s="661" t="str">
        <f>IF(AND($Y1582&gt;=22, (AI1582&lt;&gt;"I"),(Y1582&lt;&gt;"~"),(COUNTIF($AN$1:$AN1582,$AN1582)=1)),"TRUE","FALSE")</f>
        <v>FALSE</v>
      </c>
      <c r="AI1582" s="661" t="str">
        <f t="shared" si="173"/>
        <v>II</v>
      </c>
      <c r="AJ1582" s="662" t="str">
        <f t="shared" si="167"/>
        <v>T35W-057</v>
      </c>
      <c r="AK1582" s="662" t="str">
        <f t="shared" si="168"/>
        <v>LVN</v>
      </c>
      <c r="AL1582" s="662" t="str">
        <f t="shared" si="169"/>
        <v>FRD</v>
      </c>
      <c r="AM1582" s="662" t="str">
        <f t="shared" si="172"/>
        <v>Transit 350 Wagon-XLT Swing-Out RH Door-RWD-15-82.4-~-3.7L-6-X2Z-302A-147.6-25-Unleaded-Unleaded</v>
      </c>
      <c r="AN1582" s="662" t="str">
        <f t="shared" si="170"/>
        <v>2019-LVN-FRD-T35W-057</v>
      </c>
    </row>
    <row r="1583" spans="1:40" s="572" customFormat="1" ht="30">
      <c r="A1583" s="570" t="s">
        <v>3002</v>
      </c>
      <c r="B1583" s="573" t="s">
        <v>2986</v>
      </c>
      <c r="C1583" s="573" t="s">
        <v>280</v>
      </c>
      <c r="D1583" s="578">
        <v>27</v>
      </c>
      <c r="E1583" s="573" t="s">
        <v>1516</v>
      </c>
      <c r="F1583" s="573" t="s">
        <v>1607</v>
      </c>
      <c r="G1583" s="573" t="s">
        <v>271</v>
      </c>
      <c r="H1583" s="573">
        <v>2019</v>
      </c>
      <c r="I1583" s="573" t="s">
        <v>2769</v>
      </c>
      <c r="J1583" s="573" t="s">
        <v>2144</v>
      </c>
      <c r="K1583" s="573" t="s">
        <v>236</v>
      </c>
      <c r="L1583" s="573">
        <v>12</v>
      </c>
      <c r="M1583" s="573">
        <v>0</v>
      </c>
      <c r="N1583" s="573" t="s">
        <v>157</v>
      </c>
      <c r="O1583" s="573">
        <v>4</v>
      </c>
      <c r="P1583" s="573">
        <v>82.4</v>
      </c>
      <c r="Q1583" s="571" t="s">
        <v>157</v>
      </c>
      <c r="R1583" s="573" t="s">
        <v>1259</v>
      </c>
      <c r="S1583" s="573">
        <v>6</v>
      </c>
      <c r="T1583" s="573" t="s">
        <v>2866</v>
      </c>
      <c r="U1583" s="573" t="s">
        <v>2107</v>
      </c>
      <c r="V1583" s="573">
        <v>147.6</v>
      </c>
      <c r="W1583" s="573">
        <v>25</v>
      </c>
      <c r="X1583" s="571">
        <v>9000</v>
      </c>
      <c r="Y1583" s="573">
        <v>12</v>
      </c>
      <c r="Z1583" s="579" t="s">
        <v>178</v>
      </c>
      <c r="AA1583" s="579" t="s">
        <v>178</v>
      </c>
      <c r="AB1583" s="584">
        <v>44125</v>
      </c>
      <c r="AC1583" s="584" t="s">
        <v>164</v>
      </c>
      <c r="AD1583" s="584">
        <v>32043.416666666668</v>
      </c>
      <c r="AE1583" s="586">
        <v>0.03</v>
      </c>
      <c r="AF1583" s="661" t="str">
        <f t="shared" si="171"/>
        <v>2019-LVN-FRD-T35W-052-27</v>
      </c>
      <c r="AG1583" s="661" t="str">
        <f>IF(AND($Y1583&gt;=32,(AI1583="I"),(Y1583&lt;&gt;"~"),(COUNTIF($AN$1:$AN1583,$AN1583)=1)),"TRUE","FALSE")</f>
        <v>FALSE</v>
      </c>
      <c r="AH1583" s="661" t="str">
        <f>IF(AND($Y1583&gt;=22, (AI1583&lt;&gt;"I"),(Y1583&lt;&gt;"~"),(COUNTIF($AN$1:$AN1583,$AN1583)=1)),"TRUE","FALSE")</f>
        <v>FALSE</v>
      </c>
      <c r="AI1583" s="661" t="str">
        <f t="shared" si="173"/>
        <v>II</v>
      </c>
      <c r="AJ1583" s="662" t="str">
        <f t="shared" si="167"/>
        <v>T35W-052</v>
      </c>
      <c r="AK1583" s="662" t="str">
        <f t="shared" si="168"/>
        <v>LVN</v>
      </c>
      <c r="AL1583" s="662" t="str">
        <f t="shared" si="169"/>
        <v>FRD</v>
      </c>
      <c r="AM1583" s="662" t="str">
        <f t="shared" si="172"/>
        <v>Transit 350 Wagon-XLT Swing-Out RH Door-RWD-12-82.4-~-3.5L EcoBoost-6-X2Z-302A-147.6-25-Unleaded-Unleaded</v>
      </c>
      <c r="AN1583" s="662" t="str">
        <f t="shared" si="170"/>
        <v>2019-LVN-FRD-T35W-052</v>
      </c>
    </row>
    <row r="1584" spans="1:40" s="572" customFormat="1" ht="30">
      <c r="A1584" s="570" t="s">
        <v>3003</v>
      </c>
      <c r="B1584" s="569" t="s">
        <v>2988</v>
      </c>
      <c r="C1584" s="569" t="s">
        <v>280</v>
      </c>
      <c r="D1584" s="580">
        <v>27</v>
      </c>
      <c r="E1584" s="569" t="s">
        <v>1516</v>
      </c>
      <c r="F1584" s="569" t="s">
        <v>1607</v>
      </c>
      <c r="G1584" s="569" t="s">
        <v>271</v>
      </c>
      <c r="H1584" s="569">
        <v>2019</v>
      </c>
      <c r="I1584" s="569" t="s">
        <v>2769</v>
      </c>
      <c r="J1584" s="569" t="s">
        <v>2144</v>
      </c>
      <c r="K1584" s="569" t="s">
        <v>236</v>
      </c>
      <c r="L1584" s="569">
        <v>12</v>
      </c>
      <c r="M1584" s="569">
        <v>0</v>
      </c>
      <c r="N1584" s="569" t="s">
        <v>157</v>
      </c>
      <c r="O1584" s="569">
        <v>4</v>
      </c>
      <c r="P1584" s="569">
        <v>82.4</v>
      </c>
      <c r="Q1584" s="568" t="s">
        <v>157</v>
      </c>
      <c r="R1584" s="569" t="s">
        <v>682</v>
      </c>
      <c r="S1584" s="569">
        <v>6</v>
      </c>
      <c r="T1584" s="569" t="s">
        <v>2866</v>
      </c>
      <c r="U1584" s="569" t="s">
        <v>2107</v>
      </c>
      <c r="V1584" s="569">
        <v>147.6</v>
      </c>
      <c r="W1584" s="569">
        <v>25</v>
      </c>
      <c r="X1584" s="568">
        <v>9000</v>
      </c>
      <c r="Y1584" s="569">
        <v>12</v>
      </c>
      <c r="Z1584" s="581" t="s">
        <v>178</v>
      </c>
      <c r="AA1584" s="581" t="s">
        <v>178</v>
      </c>
      <c r="AB1584" s="585">
        <v>42260</v>
      </c>
      <c r="AC1584" s="585" t="s">
        <v>164</v>
      </c>
      <c r="AD1584" s="585">
        <v>30387.166666666668</v>
      </c>
      <c r="AE1584" s="587">
        <v>0.03</v>
      </c>
      <c r="AF1584" s="661" t="str">
        <f t="shared" si="171"/>
        <v>2019-LVN-FRD-T35W-053-27</v>
      </c>
      <c r="AG1584" s="661" t="str">
        <f>IF(AND($Y1584&gt;=32,(AI1584="I"),(Y1584&lt;&gt;"~"),(COUNTIF($AN$1:$AN1584,$AN1584)=1)),"TRUE","FALSE")</f>
        <v>FALSE</v>
      </c>
      <c r="AH1584" s="661" t="str">
        <f>IF(AND($Y1584&gt;=22, (AI1584&lt;&gt;"I"),(Y1584&lt;&gt;"~"),(COUNTIF($AN$1:$AN1584,$AN1584)=1)),"TRUE","FALSE")</f>
        <v>FALSE</v>
      </c>
      <c r="AI1584" s="661" t="str">
        <f t="shared" si="173"/>
        <v>II</v>
      </c>
      <c r="AJ1584" s="662" t="str">
        <f t="shared" si="167"/>
        <v>T35W-053</v>
      </c>
      <c r="AK1584" s="662" t="str">
        <f t="shared" si="168"/>
        <v>LVN</v>
      </c>
      <c r="AL1584" s="662" t="str">
        <f t="shared" si="169"/>
        <v>FRD</v>
      </c>
      <c r="AM1584" s="662" t="str">
        <f t="shared" si="172"/>
        <v>Transit 350 Wagon-XLT Swing-Out RH Door-RWD-12-82.4-~-3.7L-6-X2Z-302A-147.6-25-Unleaded-Unleaded</v>
      </c>
      <c r="AN1584" s="662" t="str">
        <f t="shared" si="170"/>
        <v>2019-LVN-FRD-T35W-053</v>
      </c>
    </row>
    <row r="1585" spans="1:40" s="572" customFormat="1" ht="30">
      <c r="A1585" s="570" t="s">
        <v>3004</v>
      </c>
      <c r="B1585" s="573" t="s">
        <v>2990</v>
      </c>
      <c r="C1585" s="573" t="s">
        <v>280</v>
      </c>
      <c r="D1585" s="578">
        <v>27</v>
      </c>
      <c r="E1585" s="573" t="s">
        <v>1516</v>
      </c>
      <c r="F1585" s="573" t="s">
        <v>1607</v>
      </c>
      <c r="G1585" s="573" t="s">
        <v>271</v>
      </c>
      <c r="H1585" s="573">
        <v>2019</v>
      </c>
      <c r="I1585" s="573" t="s">
        <v>2769</v>
      </c>
      <c r="J1585" s="573" t="s">
        <v>2144</v>
      </c>
      <c r="K1585" s="573" t="s">
        <v>236</v>
      </c>
      <c r="L1585" s="573">
        <v>15</v>
      </c>
      <c r="M1585" s="573">
        <v>0</v>
      </c>
      <c r="N1585" s="573" t="s">
        <v>157</v>
      </c>
      <c r="O1585" s="573">
        <v>5</v>
      </c>
      <c r="P1585" s="573">
        <v>82.4</v>
      </c>
      <c r="Q1585" s="571" t="s">
        <v>157</v>
      </c>
      <c r="R1585" s="573" t="s">
        <v>1917</v>
      </c>
      <c r="S1585" s="573">
        <v>5</v>
      </c>
      <c r="T1585" s="573" t="s">
        <v>2866</v>
      </c>
      <c r="U1585" s="573" t="s">
        <v>2107</v>
      </c>
      <c r="V1585" s="573">
        <v>147.6</v>
      </c>
      <c r="W1585" s="573">
        <v>25</v>
      </c>
      <c r="X1585" s="571">
        <v>9250</v>
      </c>
      <c r="Y1585" s="573">
        <v>12</v>
      </c>
      <c r="Z1585" s="579" t="s">
        <v>728</v>
      </c>
      <c r="AA1585" s="579" t="s">
        <v>1523</v>
      </c>
      <c r="AB1585" s="584">
        <v>46255</v>
      </c>
      <c r="AC1585" s="584" t="s">
        <v>164</v>
      </c>
      <c r="AD1585" s="584">
        <v>33936.708333333336</v>
      </c>
      <c r="AE1585" s="586">
        <v>0.03</v>
      </c>
      <c r="AF1585" s="661" t="str">
        <f t="shared" si="171"/>
        <v>2019-LVN-FRD-T35W-055-27</v>
      </c>
      <c r="AG1585" s="661" t="str">
        <f>IF(AND($Y1585&gt;=32,(AI1585="I"),(Y1585&lt;&gt;"~"),(COUNTIF($AN$1:$AN1585,$AN1585)=1)),"TRUE","FALSE")</f>
        <v>FALSE</v>
      </c>
      <c r="AH1585" s="661" t="str">
        <f>IF(AND($Y1585&gt;=22, (AI1585&lt;&gt;"I"),(Y1585&lt;&gt;"~"),(COUNTIF($AN$1:$AN1585,$AN1585)=1)),"TRUE","FALSE")</f>
        <v>FALSE</v>
      </c>
      <c r="AI1585" s="661" t="str">
        <f t="shared" si="173"/>
        <v>II</v>
      </c>
      <c r="AJ1585" s="662" t="str">
        <f t="shared" si="167"/>
        <v>T35W-055</v>
      </c>
      <c r="AK1585" s="662" t="str">
        <f t="shared" si="168"/>
        <v>LVN</v>
      </c>
      <c r="AL1585" s="662" t="str">
        <f t="shared" si="169"/>
        <v>FRD</v>
      </c>
      <c r="AM1585" s="662" t="str">
        <f t="shared" si="172"/>
        <v>Transit 350 Wagon-XLT Swing-Out RH Door-RWD-15-82.4-~-3.2L-5-X2Z-302A-147.6-25-Diesel-BioDiesel</v>
      </c>
      <c r="AN1585" s="662" t="str">
        <f t="shared" si="170"/>
        <v>2019-LVN-FRD-T35W-055</v>
      </c>
    </row>
    <row r="1586" spans="1:40" s="572" customFormat="1" ht="30">
      <c r="A1586" s="570" t="s">
        <v>3005</v>
      </c>
      <c r="B1586" s="569" t="s">
        <v>2992</v>
      </c>
      <c r="C1586" s="569" t="s">
        <v>280</v>
      </c>
      <c r="D1586" s="580">
        <v>27</v>
      </c>
      <c r="E1586" s="569" t="s">
        <v>1516</v>
      </c>
      <c r="F1586" s="569" t="s">
        <v>1607</v>
      </c>
      <c r="G1586" s="569" t="s">
        <v>271</v>
      </c>
      <c r="H1586" s="569">
        <v>2019</v>
      </c>
      <c r="I1586" s="569" t="s">
        <v>2769</v>
      </c>
      <c r="J1586" s="569" t="s">
        <v>2144</v>
      </c>
      <c r="K1586" s="569" t="s">
        <v>236</v>
      </c>
      <c r="L1586" s="569">
        <v>15</v>
      </c>
      <c r="M1586" s="569">
        <v>0</v>
      </c>
      <c r="N1586" s="569" t="s">
        <v>157</v>
      </c>
      <c r="O1586" s="569">
        <v>5</v>
      </c>
      <c r="P1586" s="569">
        <v>82.4</v>
      </c>
      <c r="Q1586" s="568" t="s">
        <v>157</v>
      </c>
      <c r="R1586" s="569" t="s">
        <v>1259</v>
      </c>
      <c r="S1586" s="569">
        <v>6</v>
      </c>
      <c r="T1586" s="569" t="s">
        <v>2866</v>
      </c>
      <c r="U1586" s="569" t="s">
        <v>2107</v>
      </c>
      <c r="V1586" s="569">
        <v>147.6</v>
      </c>
      <c r="W1586" s="569">
        <v>25</v>
      </c>
      <c r="X1586" s="568">
        <v>9000</v>
      </c>
      <c r="Y1586" s="569">
        <v>12</v>
      </c>
      <c r="Z1586" s="581" t="s">
        <v>178</v>
      </c>
      <c r="AA1586" s="581" t="s">
        <v>178</v>
      </c>
      <c r="AB1586" s="585">
        <v>44125</v>
      </c>
      <c r="AC1586" s="585" t="s">
        <v>164</v>
      </c>
      <c r="AD1586" s="585">
        <v>32043.416666666668</v>
      </c>
      <c r="AE1586" s="587">
        <v>0.03</v>
      </c>
      <c r="AF1586" s="661" t="str">
        <f t="shared" si="171"/>
        <v>2019-LVN-FRD-T35W-056-27</v>
      </c>
      <c r="AG1586" s="661" t="str">
        <f>IF(AND($Y1586&gt;=32,(AI1586="I"),(Y1586&lt;&gt;"~"),(COUNTIF($AN$1:$AN1586,$AN1586)=1)),"TRUE","FALSE")</f>
        <v>FALSE</v>
      </c>
      <c r="AH1586" s="661" t="str">
        <f>IF(AND($Y1586&gt;=22, (AI1586&lt;&gt;"I"),(Y1586&lt;&gt;"~"),(COUNTIF($AN$1:$AN1586,$AN1586)=1)),"TRUE","FALSE")</f>
        <v>FALSE</v>
      </c>
      <c r="AI1586" s="661" t="str">
        <f t="shared" si="173"/>
        <v>II</v>
      </c>
      <c r="AJ1586" s="662" t="str">
        <f t="shared" si="167"/>
        <v>T35W-056</v>
      </c>
      <c r="AK1586" s="662" t="str">
        <f t="shared" si="168"/>
        <v>LVN</v>
      </c>
      <c r="AL1586" s="662" t="str">
        <f t="shared" si="169"/>
        <v>FRD</v>
      </c>
      <c r="AM1586" s="662" t="str">
        <f t="shared" si="172"/>
        <v>Transit 350 Wagon-XLT Swing-Out RH Door-RWD-15-82.4-~-3.5L EcoBoost-6-X2Z-302A-147.6-25-Unleaded-Unleaded</v>
      </c>
      <c r="AN1586" s="662" t="str">
        <f t="shared" si="170"/>
        <v>2019-LVN-FRD-T35W-056</v>
      </c>
    </row>
    <row r="1587" spans="1:40" s="572" customFormat="1" ht="30">
      <c r="A1587" s="570" t="s">
        <v>3006</v>
      </c>
      <c r="B1587" s="573" t="s">
        <v>2994</v>
      </c>
      <c r="C1587" s="573" t="s">
        <v>280</v>
      </c>
      <c r="D1587" s="578">
        <v>27</v>
      </c>
      <c r="E1587" s="573" t="s">
        <v>1516</v>
      </c>
      <c r="F1587" s="573" t="s">
        <v>1607</v>
      </c>
      <c r="G1587" s="573" t="s">
        <v>271</v>
      </c>
      <c r="H1587" s="573">
        <v>2019</v>
      </c>
      <c r="I1587" s="573" t="s">
        <v>2769</v>
      </c>
      <c r="J1587" s="573" t="s">
        <v>2144</v>
      </c>
      <c r="K1587" s="573" t="s">
        <v>236</v>
      </c>
      <c r="L1587" s="573">
        <v>15</v>
      </c>
      <c r="M1587" s="573">
        <v>0</v>
      </c>
      <c r="N1587" s="573" t="s">
        <v>157</v>
      </c>
      <c r="O1587" s="573">
        <v>5</v>
      </c>
      <c r="P1587" s="573">
        <v>82.4</v>
      </c>
      <c r="Q1587" s="571" t="s">
        <v>157</v>
      </c>
      <c r="R1587" s="573" t="s">
        <v>682</v>
      </c>
      <c r="S1587" s="573">
        <v>6</v>
      </c>
      <c r="T1587" s="573" t="s">
        <v>2866</v>
      </c>
      <c r="U1587" s="573" t="s">
        <v>2107</v>
      </c>
      <c r="V1587" s="573">
        <v>147.6</v>
      </c>
      <c r="W1587" s="573">
        <v>25</v>
      </c>
      <c r="X1587" s="571">
        <v>9000</v>
      </c>
      <c r="Y1587" s="573">
        <v>12</v>
      </c>
      <c r="Z1587" s="579" t="s">
        <v>178</v>
      </c>
      <c r="AA1587" s="579" t="s">
        <v>178</v>
      </c>
      <c r="AB1587" s="584">
        <v>42260</v>
      </c>
      <c r="AC1587" s="584" t="s">
        <v>164</v>
      </c>
      <c r="AD1587" s="584">
        <v>30387.166666666668</v>
      </c>
      <c r="AE1587" s="586">
        <v>0.03</v>
      </c>
      <c r="AF1587" s="661" t="str">
        <f t="shared" si="171"/>
        <v>2019-LVN-FRD-T35W-057-27</v>
      </c>
      <c r="AG1587" s="661" t="str">
        <f>IF(AND($Y1587&gt;=32,(AI1587="I"),(Y1587&lt;&gt;"~"),(COUNTIF($AN$1:$AN1587,$AN1587)=1)),"TRUE","FALSE")</f>
        <v>FALSE</v>
      </c>
      <c r="AH1587" s="661" t="str">
        <f>IF(AND($Y1587&gt;=22, (AI1587&lt;&gt;"I"),(Y1587&lt;&gt;"~"),(COUNTIF($AN$1:$AN1587,$AN1587)=1)),"TRUE","FALSE")</f>
        <v>FALSE</v>
      </c>
      <c r="AI1587" s="661" t="str">
        <f t="shared" si="173"/>
        <v>II</v>
      </c>
      <c r="AJ1587" s="662" t="str">
        <f t="shared" si="167"/>
        <v>T35W-057</v>
      </c>
      <c r="AK1587" s="662" t="str">
        <f t="shared" si="168"/>
        <v>LVN</v>
      </c>
      <c r="AL1587" s="662" t="str">
        <f t="shared" si="169"/>
        <v>FRD</v>
      </c>
      <c r="AM1587" s="662" t="str">
        <f t="shared" si="172"/>
        <v>Transit 350 Wagon-XLT Swing-Out RH Door-RWD-15-82.4-~-3.7L-6-X2Z-302A-147.6-25-Unleaded-Unleaded</v>
      </c>
      <c r="AN1587" s="662" t="str">
        <f t="shared" si="170"/>
        <v>2019-LVN-FRD-T35W-057</v>
      </c>
    </row>
    <row r="1588" spans="1:40" s="572" customFormat="1" ht="15">
      <c r="A1588" s="570" t="s">
        <v>3007</v>
      </c>
      <c r="B1588" s="569" t="s">
        <v>3008</v>
      </c>
      <c r="C1588" s="569" t="s">
        <v>269</v>
      </c>
      <c r="D1588" s="580" t="s">
        <v>270</v>
      </c>
      <c r="E1588" s="569" t="s">
        <v>1516</v>
      </c>
      <c r="F1588" s="569" t="s">
        <v>3009</v>
      </c>
      <c r="G1588" s="569" t="s">
        <v>271</v>
      </c>
      <c r="H1588" s="569">
        <v>2019</v>
      </c>
      <c r="I1588" s="569" t="s">
        <v>3010</v>
      </c>
      <c r="J1588" s="569" t="s">
        <v>3011</v>
      </c>
      <c r="K1588" s="569" t="s">
        <v>156</v>
      </c>
      <c r="L1588" s="569">
        <v>2</v>
      </c>
      <c r="M1588" s="569">
        <v>0</v>
      </c>
      <c r="N1588" s="569" t="s">
        <v>157</v>
      </c>
      <c r="O1588" s="569">
        <v>1</v>
      </c>
      <c r="P1588" s="569">
        <v>72.5</v>
      </c>
      <c r="Q1588" s="568" t="s">
        <v>157</v>
      </c>
      <c r="R1588" s="569" t="s">
        <v>3012</v>
      </c>
      <c r="S1588" s="569">
        <v>4</v>
      </c>
      <c r="T1588" s="569" t="s">
        <v>3013</v>
      </c>
      <c r="U1588" s="569" t="s">
        <v>276</v>
      </c>
      <c r="V1588" s="569">
        <v>104.8</v>
      </c>
      <c r="W1588" s="569">
        <v>15.8</v>
      </c>
      <c r="X1588" s="568">
        <v>5240</v>
      </c>
      <c r="Y1588" s="569">
        <v>24</v>
      </c>
      <c r="Z1588" s="581" t="s">
        <v>728</v>
      </c>
      <c r="AA1588" s="581" t="s">
        <v>728</v>
      </c>
      <c r="AB1588" s="585">
        <v>27290</v>
      </c>
      <c r="AC1588" s="585" t="s">
        <v>164</v>
      </c>
      <c r="AD1588" s="585">
        <v>24059.729166666668</v>
      </c>
      <c r="AE1588" s="587">
        <v>0.03</v>
      </c>
      <c r="AF1588" s="661" t="str">
        <f t="shared" si="171"/>
        <v>2019-LVN-FRD-TCTV-009-05</v>
      </c>
      <c r="AG1588" s="661" t="str">
        <f>IF(AND($Y1588&gt;=32,(AI1588="I"),(Y1588&lt;&gt;"~"),(COUNTIF($AN$1:$AN1588,$AN1588)=1)),"TRUE","FALSE")</f>
        <v>FALSE</v>
      </c>
      <c r="AH1588" s="661" t="str">
        <f>IF(AND($Y1588&gt;=22, (AI1588&lt;&gt;"I"),(Y1588&lt;&gt;"~"),(COUNTIF($AN$1:$AN1588,$AN1588)=1)),"TRUE","FALSE")</f>
        <v>TRUE</v>
      </c>
      <c r="AI1588" s="661" t="str">
        <f t="shared" si="173"/>
        <v>II</v>
      </c>
      <c r="AJ1588" s="662" t="str">
        <f t="shared" si="167"/>
        <v>TCTV-009</v>
      </c>
      <c r="AK1588" s="662" t="str">
        <f t="shared" si="168"/>
        <v>LVN</v>
      </c>
      <c r="AL1588" s="662" t="str">
        <f t="shared" si="169"/>
        <v>FRD</v>
      </c>
      <c r="AM1588" s="662" t="str">
        <f t="shared" si="172"/>
        <v>Transit Connect Van-XL w/Rear Liftgate-FWD-2-72.5-~-1.5L Ecoblue Diesel-4-E6E-100A-104.8-15.8-Diesel-Diesel</v>
      </c>
      <c r="AN1588" s="662" t="str">
        <f t="shared" si="170"/>
        <v>2019-LVN-FRD-TCTV-009</v>
      </c>
    </row>
    <row r="1589" spans="1:40" s="572" customFormat="1" ht="15">
      <c r="A1589" s="570" t="s">
        <v>3014</v>
      </c>
      <c r="B1589" s="573" t="s">
        <v>3015</v>
      </c>
      <c r="C1589" s="573" t="s">
        <v>269</v>
      </c>
      <c r="D1589" s="578" t="s">
        <v>270</v>
      </c>
      <c r="E1589" s="573" t="s">
        <v>1516</v>
      </c>
      <c r="F1589" s="573" t="s">
        <v>3009</v>
      </c>
      <c r="G1589" s="573" t="s">
        <v>271</v>
      </c>
      <c r="H1589" s="573">
        <v>2019</v>
      </c>
      <c r="I1589" s="573" t="s">
        <v>3010</v>
      </c>
      <c r="J1589" s="573" t="s">
        <v>3011</v>
      </c>
      <c r="K1589" s="573" t="s">
        <v>156</v>
      </c>
      <c r="L1589" s="573">
        <v>2</v>
      </c>
      <c r="M1589" s="573">
        <v>0</v>
      </c>
      <c r="N1589" s="573" t="s">
        <v>157</v>
      </c>
      <c r="O1589" s="573">
        <v>1</v>
      </c>
      <c r="P1589" s="573">
        <v>72.5</v>
      </c>
      <c r="Q1589" s="571" t="s">
        <v>157</v>
      </c>
      <c r="R1589" s="573" t="s">
        <v>3016</v>
      </c>
      <c r="S1589" s="573">
        <v>4</v>
      </c>
      <c r="T1589" s="573" t="s">
        <v>3013</v>
      </c>
      <c r="U1589" s="573" t="s">
        <v>276</v>
      </c>
      <c r="V1589" s="573">
        <v>104.8</v>
      </c>
      <c r="W1589" s="573">
        <v>15.8</v>
      </c>
      <c r="X1589" s="571">
        <v>5130</v>
      </c>
      <c r="Y1589" s="573">
        <v>24</v>
      </c>
      <c r="Z1589" s="579" t="s">
        <v>178</v>
      </c>
      <c r="AA1589" s="579" t="s">
        <v>178</v>
      </c>
      <c r="AB1589" s="584">
        <v>25295</v>
      </c>
      <c r="AC1589" s="584" t="s">
        <v>164</v>
      </c>
      <c r="AD1589" s="584">
        <v>22287.6875</v>
      </c>
      <c r="AE1589" s="586">
        <v>0.03</v>
      </c>
      <c r="AF1589" s="661" t="str">
        <f t="shared" si="171"/>
        <v>2019-LVN-FRD-TCTV-001-05</v>
      </c>
      <c r="AG1589" s="661" t="str">
        <f>IF(AND($Y1589&gt;=32,(AI1589="I"),(Y1589&lt;&gt;"~"),(COUNTIF($AN$1:$AN1589,$AN1589)=1)),"TRUE","FALSE")</f>
        <v>FALSE</v>
      </c>
      <c r="AH1589" s="661" t="str">
        <f>IF(AND($Y1589&gt;=22, (AI1589&lt;&gt;"I"),(Y1589&lt;&gt;"~"),(COUNTIF($AN$1:$AN1589,$AN1589)=1)),"TRUE","FALSE")</f>
        <v>TRUE</v>
      </c>
      <c r="AI1589" s="661" t="str">
        <f t="shared" si="173"/>
        <v>II</v>
      </c>
      <c r="AJ1589" s="662" t="str">
        <f t="shared" si="167"/>
        <v>TCTV-001</v>
      </c>
      <c r="AK1589" s="662" t="str">
        <f t="shared" si="168"/>
        <v>LVN</v>
      </c>
      <c r="AL1589" s="662" t="str">
        <f t="shared" si="169"/>
        <v>FRD</v>
      </c>
      <c r="AM1589" s="662" t="str">
        <f t="shared" si="172"/>
        <v>Transit Connect Van-XL w/Rear Liftgate-FWD-2-72.5-~-2.0L -4-E6E-100A-104.8-15.8-Unleaded-Unleaded</v>
      </c>
      <c r="AN1589" s="662" t="str">
        <f t="shared" si="170"/>
        <v>2019-LVN-FRD-TCTV-001</v>
      </c>
    </row>
    <row r="1590" spans="1:40" s="572" customFormat="1" ht="15">
      <c r="A1590" s="570" t="s">
        <v>3017</v>
      </c>
      <c r="B1590" s="569" t="s">
        <v>3018</v>
      </c>
      <c r="C1590" s="569" t="s">
        <v>269</v>
      </c>
      <c r="D1590" s="580" t="s">
        <v>270</v>
      </c>
      <c r="E1590" s="569" t="s">
        <v>1516</v>
      </c>
      <c r="F1590" s="569" t="s">
        <v>3009</v>
      </c>
      <c r="G1590" s="569" t="s">
        <v>271</v>
      </c>
      <c r="H1590" s="569">
        <v>2019</v>
      </c>
      <c r="I1590" s="569" t="s">
        <v>3010</v>
      </c>
      <c r="J1590" s="569" t="s">
        <v>3011</v>
      </c>
      <c r="K1590" s="569" t="s">
        <v>156</v>
      </c>
      <c r="L1590" s="569">
        <v>2</v>
      </c>
      <c r="M1590" s="569">
        <v>0</v>
      </c>
      <c r="N1590" s="569" t="s">
        <v>157</v>
      </c>
      <c r="O1590" s="569">
        <v>1</v>
      </c>
      <c r="P1590" s="569">
        <v>72.5</v>
      </c>
      <c r="Q1590" s="568" t="s">
        <v>157</v>
      </c>
      <c r="R1590" s="569" t="s">
        <v>3019</v>
      </c>
      <c r="S1590" s="569">
        <v>4</v>
      </c>
      <c r="T1590" s="569" t="s">
        <v>3013</v>
      </c>
      <c r="U1590" s="569" t="s">
        <v>276</v>
      </c>
      <c r="V1590" s="569">
        <v>104.8</v>
      </c>
      <c r="W1590" s="569">
        <v>15.8</v>
      </c>
      <c r="X1590" s="568">
        <v>5110</v>
      </c>
      <c r="Y1590" s="569">
        <v>24</v>
      </c>
      <c r="Z1590" s="581" t="s">
        <v>178</v>
      </c>
      <c r="AA1590" s="581" t="s">
        <v>178</v>
      </c>
      <c r="AB1590" s="585">
        <v>25610</v>
      </c>
      <c r="AC1590" s="585" t="s">
        <v>164</v>
      </c>
      <c r="AD1590" s="585">
        <v>22567.020833333336</v>
      </c>
      <c r="AE1590" s="587">
        <v>0.03</v>
      </c>
      <c r="AF1590" s="661" t="str">
        <f t="shared" si="171"/>
        <v>2019-LVN-FRD-TCTV-010-05</v>
      </c>
      <c r="AG1590" s="661" t="str">
        <f>IF(AND($Y1590&gt;=32,(AI1590="I"),(Y1590&lt;&gt;"~"),(COUNTIF($AN$1:$AN1590,$AN1590)=1)),"TRUE","FALSE")</f>
        <v>FALSE</v>
      </c>
      <c r="AH1590" s="661" t="str">
        <f>IF(AND($Y1590&gt;=22, (AI1590&lt;&gt;"I"),(Y1590&lt;&gt;"~"),(COUNTIF($AN$1:$AN1590,$AN1590)=1)),"TRUE","FALSE")</f>
        <v>TRUE</v>
      </c>
      <c r="AI1590" s="661" t="str">
        <f t="shared" si="173"/>
        <v>II</v>
      </c>
      <c r="AJ1590" s="662" t="str">
        <f t="shared" si="167"/>
        <v>TCTV-010</v>
      </c>
      <c r="AK1590" s="662" t="str">
        <f t="shared" si="168"/>
        <v>LVN</v>
      </c>
      <c r="AL1590" s="662" t="str">
        <f t="shared" si="169"/>
        <v>FRD</v>
      </c>
      <c r="AM1590" s="662" t="str">
        <f t="shared" si="172"/>
        <v>Transit Connect Van-XL w/Rear Liftgate-FWD-2-72.5-~-2.5L/CNG Prep-4-E6E-100A-104.8-15.8-Unleaded-Unleaded</v>
      </c>
      <c r="AN1590" s="662" t="str">
        <f t="shared" si="170"/>
        <v>2019-LVN-FRD-TCTV-010</v>
      </c>
    </row>
    <row r="1591" spans="1:40" s="572" customFormat="1" ht="15">
      <c r="A1591" s="570" t="s">
        <v>3020</v>
      </c>
      <c r="B1591" s="573" t="s">
        <v>3021</v>
      </c>
      <c r="C1591" s="573" t="s">
        <v>269</v>
      </c>
      <c r="D1591" s="578" t="s">
        <v>270</v>
      </c>
      <c r="E1591" s="573" t="s">
        <v>1516</v>
      </c>
      <c r="F1591" s="573" t="s">
        <v>3009</v>
      </c>
      <c r="G1591" s="573" t="s">
        <v>271</v>
      </c>
      <c r="H1591" s="573">
        <v>2019</v>
      </c>
      <c r="I1591" s="573" t="s">
        <v>3010</v>
      </c>
      <c r="J1591" s="573" t="s">
        <v>3011</v>
      </c>
      <c r="K1591" s="573" t="s">
        <v>156</v>
      </c>
      <c r="L1591" s="573">
        <v>2</v>
      </c>
      <c r="M1591" s="573">
        <v>0</v>
      </c>
      <c r="N1591" s="573" t="s">
        <v>157</v>
      </c>
      <c r="O1591" s="573">
        <v>1</v>
      </c>
      <c r="P1591" s="573">
        <v>72.8</v>
      </c>
      <c r="Q1591" s="571" t="s">
        <v>157</v>
      </c>
      <c r="R1591" s="573" t="s">
        <v>3012</v>
      </c>
      <c r="S1591" s="573">
        <v>4</v>
      </c>
      <c r="T1591" s="573" t="s">
        <v>3022</v>
      </c>
      <c r="U1591" s="573" t="s">
        <v>276</v>
      </c>
      <c r="V1591" s="573">
        <v>120.6</v>
      </c>
      <c r="W1591" s="573">
        <v>15.8</v>
      </c>
      <c r="X1591" s="571">
        <v>5260</v>
      </c>
      <c r="Y1591" s="569">
        <v>24</v>
      </c>
      <c r="Z1591" s="579" t="s">
        <v>728</v>
      </c>
      <c r="AA1591" s="579" t="s">
        <v>728</v>
      </c>
      <c r="AB1591" s="584">
        <v>28290</v>
      </c>
      <c r="AC1591" s="584" t="s">
        <v>164</v>
      </c>
      <c r="AD1591" s="584">
        <v>24984.729166666668</v>
      </c>
      <c r="AE1591" s="586">
        <v>0.03</v>
      </c>
      <c r="AF1591" s="661" t="str">
        <f t="shared" si="171"/>
        <v>2019-LVN-FRD-TCTV-011-05</v>
      </c>
      <c r="AG1591" s="661" t="str">
        <f>IF(AND($Y1591&gt;=32,(AI1591="I"),(Y1591&lt;&gt;"~"),(COUNTIF($AN$1:$AN1591,$AN1591)=1)),"TRUE","FALSE")</f>
        <v>FALSE</v>
      </c>
      <c r="AH1591" s="661" t="str">
        <f>IF(AND($Y1591&gt;=22, (AI1591&lt;&gt;"I"),(Y1591&lt;&gt;"~"),(COUNTIF($AN$1:$AN1591,$AN1591)=1)),"TRUE","FALSE")</f>
        <v>TRUE</v>
      </c>
      <c r="AI1591" s="661" t="str">
        <f t="shared" si="173"/>
        <v>II</v>
      </c>
      <c r="AJ1591" s="662" t="str">
        <f t="shared" si="167"/>
        <v>TCTV-011</v>
      </c>
      <c r="AK1591" s="662" t="str">
        <f t="shared" si="168"/>
        <v>LVN</v>
      </c>
      <c r="AL1591" s="662" t="str">
        <f t="shared" si="169"/>
        <v>FRD</v>
      </c>
      <c r="AM1591" s="662" t="str">
        <f t="shared" si="172"/>
        <v>Transit Connect Van-XL w/Rear Liftgate-FWD-2-72.8-~-1.5L Ecoblue Diesel-4-E7E-100A-120.6-15.8-Diesel-Diesel</v>
      </c>
      <c r="AN1591" s="662" t="str">
        <f t="shared" si="170"/>
        <v>2019-LVN-FRD-TCTV-011</v>
      </c>
    </row>
    <row r="1592" spans="1:40" s="572" customFormat="1" ht="15">
      <c r="A1592" s="570" t="s">
        <v>3023</v>
      </c>
      <c r="B1592" s="569" t="s">
        <v>3024</v>
      </c>
      <c r="C1592" s="569" t="s">
        <v>269</v>
      </c>
      <c r="D1592" s="580" t="s">
        <v>270</v>
      </c>
      <c r="E1592" s="569" t="s">
        <v>1516</v>
      </c>
      <c r="F1592" s="569" t="s">
        <v>3009</v>
      </c>
      <c r="G1592" s="569" t="s">
        <v>271</v>
      </c>
      <c r="H1592" s="569">
        <v>2019</v>
      </c>
      <c r="I1592" s="569" t="s">
        <v>3010</v>
      </c>
      <c r="J1592" s="569" t="s">
        <v>3011</v>
      </c>
      <c r="K1592" s="569" t="s">
        <v>156</v>
      </c>
      <c r="L1592" s="569">
        <v>2</v>
      </c>
      <c r="M1592" s="569">
        <v>0</v>
      </c>
      <c r="N1592" s="569" t="s">
        <v>157</v>
      </c>
      <c r="O1592" s="569">
        <v>1</v>
      </c>
      <c r="P1592" s="569">
        <v>72.8</v>
      </c>
      <c r="Q1592" s="568" t="s">
        <v>157</v>
      </c>
      <c r="R1592" s="569" t="s">
        <v>3016</v>
      </c>
      <c r="S1592" s="569">
        <v>4</v>
      </c>
      <c r="T1592" s="569" t="s">
        <v>3022</v>
      </c>
      <c r="U1592" s="569" t="s">
        <v>276</v>
      </c>
      <c r="V1592" s="569">
        <v>120.6</v>
      </c>
      <c r="W1592" s="569">
        <v>15.8</v>
      </c>
      <c r="X1592" s="568">
        <v>5302</v>
      </c>
      <c r="Y1592" s="569">
        <v>24</v>
      </c>
      <c r="Z1592" s="581" t="s">
        <v>178</v>
      </c>
      <c r="AA1592" s="581" t="s">
        <v>178</v>
      </c>
      <c r="AB1592" s="585">
        <v>26295</v>
      </c>
      <c r="AC1592" s="585" t="s">
        <v>164</v>
      </c>
      <c r="AD1592" s="585">
        <v>23212.854166666668</v>
      </c>
      <c r="AE1592" s="587">
        <v>0.03</v>
      </c>
      <c r="AF1592" s="661" t="str">
        <f t="shared" si="171"/>
        <v>2019-LVN-FRD-TCTV-002-05</v>
      </c>
      <c r="AG1592" s="661" t="str">
        <f>IF(AND($Y1592&gt;=32,(AI1592="I"),(Y1592&lt;&gt;"~"),(COUNTIF($AN$1:$AN1592,$AN1592)=1)),"TRUE","FALSE")</f>
        <v>FALSE</v>
      </c>
      <c r="AH1592" s="661" t="str">
        <f>IF(AND($Y1592&gt;=22, (AI1592&lt;&gt;"I"),(Y1592&lt;&gt;"~"),(COUNTIF($AN$1:$AN1592,$AN1592)=1)),"TRUE","FALSE")</f>
        <v>TRUE</v>
      </c>
      <c r="AI1592" s="661" t="str">
        <f t="shared" si="173"/>
        <v>II</v>
      </c>
      <c r="AJ1592" s="662" t="str">
        <f t="shared" si="167"/>
        <v>TCTV-002</v>
      </c>
      <c r="AK1592" s="662" t="str">
        <f t="shared" si="168"/>
        <v>LVN</v>
      </c>
      <c r="AL1592" s="662" t="str">
        <f t="shared" si="169"/>
        <v>FRD</v>
      </c>
      <c r="AM1592" s="662" t="str">
        <f t="shared" si="172"/>
        <v>Transit Connect Van-XL w/Rear Liftgate-FWD-2-72.8-~-2.0L -4-E7E-100A-120.6-15.8-Unleaded-Unleaded</v>
      </c>
      <c r="AN1592" s="662" t="str">
        <f t="shared" si="170"/>
        <v>2019-LVN-FRD-TCTV-002</v>
      </c>
    </row>
    <row r="1593" spans="1:40" s="572" customFormat="1" ht="15">
      <c r="A1593" s="570" t="s">
        <v>3025</v>
      </c>
      <c r="B1593" s="573" t="s">
        <v>3026</v>
      </c>
      <c r="C1593" s="573" t="s">
        <v>269</v>
      </c>
      <c r="D1593" s="578" t="s">
        <v>270</v>
      </c>
      <c r="E1593" s="573" t="s">
        <v>1516</v>
      </c>
      <c r="F1593" s="573" t="s">
        <v>3009</v>
      </c>
      <c r="G1593" s="573" t="s">
        <v>271</v>
      </c>
      <c r="H1593" s="573">
        <v>2019</v>
      </c>
      <c r="I1593" s="573" t="s">
        <v>3010</v>
      </c>
      <c r="J1593" s="573" t="s">
        <v>3011</v>
      </c>
      <c r="K1593" s="573" t="s">
        <v>156</v>
      </c>
      <c r="L1593" s="573">
        <v>2</v>
      </c>
      <c r="M1593" s="573">
        <v>0</v>
      </c>
      <c r="N1593" s="573" t="s">
        <v>157</v>
      </c>
      <c r="O1593" s="573">
        <v>1</v>
      </c>
      <c r="P1593" s="573">
        <v>72.8</v>
      </c>
      <c r="Q1593" s="571" t="s">
        <v>157</v>
      </c>
      <c r="R1593" s="573" t="s">
        <v>3019</v>
      </c>
      <c r="S1593" s="573">
        <v>4</v>
      </c>
      <c r="T1593" s="573" t="s">
        <v>3022</v>
      </c>
      <c r="U1593" s="573" t="s">
        <v>276</v>
      </c>
      <c r="V1593" s="573">
        <v>120.6</v>
      </c>
      <c r="W1593" s="573">
        <v>15.8</v>
      </c>
      <c r="X1593" s="571">
        <v>5302</v>
      </c>
      <c r="Y1593" s="573">
        <v>24</v>
      </c>
      <c r="Z1593" s="579" t="s">
        <v>178</v>
      </c>
      <c r="AA1593" s="579" t="s">
        <v>178</v>
      </c>
      <c r="AB1593" s="584">
        <v>26610</v>
      </c>
      <c r="AC1593" s="584" t="s">
        <v>164</v>
      </c>
      <c r="AD1593" s="584">
        <v>23492.020833333336</v>
      </c>
      <c r="AE1593" s="586">
        <v>0.03</v>
      </c>
      <c r="AF1593" s="661" t="str">
        <f t="shared" si="171"/>
        <v>2019-LVN-FRD-TCTV-012-05</v>
      </c>
      <c r="AG1593" s="661" t="str">
        <f>IF(AND($Y1593&gt;=32,(AI1593="I"),(Y1593&lt;&gt;"~"),(COUNTIF($AN$1:$AN1593,$AN1593)=1)),"TRUE","FALSE")</f>
        <v>FALSE</v>
      </c>
      <c r="AH1593" s="661" t="str">
        <f>IF(AND($Y1593&gt;=22, (AI1593&lt;&gt;"I"),(Y1593&lt;&gt;"~"),(COUNTIF($AN$1:$AN1593,$AN1593)=1)),"TRUE","FALSE")</f>
        <v>TRUE</v>
      </c>
      <c r="AI1593" s="661" t="str">
        <f t="shared" si="173"/>
        <v>II</v>
      </c>
      <c r="AJ1593" s="662" t="str">
        <f t="shared" si="167"/>
        <v>TCTV-012</v>
      </c>
      <c r="AK1593" s="662" t="str">
        <f t="shared" si="168"/>
        <v>LVN</v>
      </c>
      <c r="AL1593" s="662" t="str">
        <f t="shared" si="169"/>
        <v>FRD</v>
      </c>
      <c r="AM1593" s="662" t="str">
        <f t="shared" si="172"/>
        <v>Transit Connect Van-XL w/Rear Liftgate-FWD-2-72.8-~-2.5L/CNG Prep-4-E7E-100A-120.6-15.8-Unleaded-Unleaded</v>
      </c>
      <c r="AN1593" s="662" t="str">
        <f t="shared" si="170"/>
        <v>2019-LVN-FRD-TCTV-012</v>
      </c>
    </row>
    <row r="1594" spans="1:40" s="572" customFormat="1" ht="15">
      <c r="A1594" s="570" t="s">
        <v>3027</v>
      </c>
      <c r="B1594" s="569" t="s">
        <v>3015</v>
      </c>
      <c r="C1594" s="569" t="s">
        <v>278</v>
      </c>
      <c r="D1594" s="580">
        <v>15</v>
      </c>
      <c r="E1594" s="569" t="s">
        <v>1516</v>
      </c>
      <c r="F1594" s="569" t="s">
        <v>3009</v>
      </c>
      <c r="G1594" s="569" t="s">
        <v>271</v>
      </c>
      <c r="H1594" s="569">
        <v>2019</v>
      </c>
      <c r="I1594" s="569" t="s">
        <v>3010</v>
      </c>
      <c r="J1594" s="569" t="s">
        <v>3011</v>
      </c>
      <c r="K1594" s="569" t="s">
        <v>156</v>
      </c>
      <c r="L1594" s="569">
        <v>2</v>
      </c>
      <c r="M1594" s="569">
        <v>0</v>
      </c>
      <c r="N1594" s="569" t="s">
        <v>157</v>
      </c>
      <c r="O1594" s="569">
        <v>1</v>
      </c>
      <c r="P1594" s="569">
        <v>72.5</v>
      </c>
      <c r="Q1594" s="568" t="s">
        <v>157</v>
      </c>
      <c r="R1594" s="569" t="s">
        <v>352</v>
      </c>
      <c r="S1594" s="569">
        <v>4</v>
      </c>
      <c r="T1594" s="569" t="s">
        <v>3013</v>
      </c>
      <c r="U1594" s="569" t="s">
        <v>276</v>
      </c>
      <c r="V1594" s="569">
        <v>104.8</v>
      </c>
      <c r="W1594" s="569">
        <v>15.8</v>
      </c>
      <c r="X1594" s="568">
        <v>5020</v>
      </c>
      <c r="Y1594" s="569">
        <v>24</v>
      </c>
      <c r="Z1594" s="581" t="s">
        <v>178</v>
      </c>
      <c r="AA1594" s="581" t="s">
        <v>178</v>
      </c>
      <c r="AB1594" s="585">
        <v>25295</v>
      </c>
      <c r="AC1594" s="585" t="s">
        <v>164</v>
      </c>
      <c r="AD1594" s="585">
        <v>22700</v>
      </c>
      <c r="AE1594" s="587">
        <v>0.01</v>
      </c>
      <c r="AF1594" s="661" t="str">
        <f t="shared" si="171"/>
        <v>2019-LVN-FRD-TCTV-001-15</v>
      </c>
      <c r="AG1594" s="661" t="str">
        <f>IF(AND($Y1594&gt;=32,(AI1594="I"),(Y1594&lt;&gt;"~"),(COUNTIF($AN$1:$AN1594,$AN1594)=1)),"TRUE","FALSE")</f>
        <v>FALSE</v>
      </c>
      <c r="AH1594" s="661" t="str">
        <f>IF(AND($Y1594&gt;=22, (AI1594&lt;&gt;"I"),(Y1594&lt;&gt;"~"),(COUNTIF($AN$1:$AN1594,$AN1594)=1)),"TRUE","FALSE")</f>
        <v>FALSE</v>
      </c>
      <c r="AI1594" s="661" t="str">
        <f t="shared" si="173"/>
        <v>II</v>
      </c>
      <c r="AJ1594" s="662" t="str">
        <f t="shared" si="167"/>
        <v>TCTV-001</v>
      </c>
      <c r="AK1594" s="662" t="str">
        <f t="shared" si="168"/>
        <v>LVN</v>
      </c>
      <c r="AL1594" s="662" t="str">
        <f t="shared" si="169"/>
        <v>FRD</v>
      </c>
      <c r="AM1594" s="662" t="str">
        <f t="shared" si="172"/>
        <v>Transit Connect Van-XL w/Rear Liftgate-FWD-2-72.5-~-2.0L-4-E6E-100A-104.8-15.8-Unleaded-Unleaded</v>
      </c>
      <c r="AN1594" s="662" t="str">
        <f t="shared" si="170"/>
        <v>2019-LVN-FRD-TCTV-001</v>
      </c>
    </row>
    <row r="1595" spans="1:40" s="572" customFormat="1" ht="15">
      <c r="A1595" s="570" t="s">
        <v>3028</v>
      </c>
      <c r="B1595" s="573" t="s">
        <v>3024</v>
      </c>
      <c r="C1595" s="573" t="s">
        <v>278</v>
      </c>
      <c r="D1595" s="578">
        <v>15</v>
      </c>
      <c r="E1595" s="573" t="s">
        <v>1516</v>
      </c>
      <c r="F1595" s="573" t="s">
        <v>3009</v>
      </c>
      <c r="G1595" s="573" t="s">
        <v>271</v>
      </c>
      <c r="H1595" s="573">
        <v>2019</v>
      </c>
      <c r="I1595" s="573" t="s">
        <v>3010</v>
      </c>
      <c r="J1595" s="573" t="s">
        <v>3011</v>
      </c>
      <c r="K1595" s="573" t="s">
        <v>156</v>
      </c>
      <c r="L1595" s="573">
        <v>2</v>
      </c>
      <c r="M1595" s="573">
        <v>0</v>
      </c>
      <c r="N1595" s="573" t="s">
        <v>157</v>
      </c>
      <c r="O1595" s="573">
        <v>1</v>
      </c>
      <c r="P1595" s="573">
        <v>72.8</v>
      </c>
      <c r="Q1595" s="571" t="s">
        <v>157</v>
      </c>
      <c r="R1595" s="573" t="s">
        <v>352</v>
      </c>
      <c r="S1595" s="573">
        <v>4</v>
      </c>
      <c r="T1595" s="573" t="s">
        <v>3022</v>
      </c>
      <c r="U1595" s="573" t="s">
        <v>276</v>
      </c>
      <c r="V1595" s="573">
        <v>120.6</v>
      </c>
      <c r="W1595" s="573">
        <v>15.8</v>
      </c>
      <c r="X1595" s="571">
        <v>5270</v>
      </c>
      <c r="Y1595" s="573">
        <v>24</v>
      </c>
      <c r="Z1595" s="579" t="s">
        <v>178</v>
      </c>
      <c r="AA1595" s="579" t="s">
        <v>178</v>
      </c>
      <c r="AB1595" s="584">
        <v>26295</v>
      </c>
      <c r="AC1595" s="584" t="s">
        <v>164</v>
      </c>
      <c r="AD1595" s="584">
        <v>23700</v>
      </c>
      <c r="AE1595" s="586">
        <v>0.01</v>
      </c>
      <c r="AF1595" s="661" t="str">
        <f t="shared" si="171"/>
        <v>2019-LVN-FRD-TCTV-002-15</v>
      </c>
      <c r="AG1595" s="661" t="str">
        <f>IF(AND($Y1595&gt;=32,(AI1595="I"),(Y1595&lt;&gt;"~"),(COUNTIF($AN$1:$AN1595,$AN1595)=1)),"TRUE","FALSE")</f>
        <v>FALSE</v>
      </c>
      <c r="AH1595" s="661" t="str">
        <f>IF(AND($Y1595&gt;=22, (AI1595&lt;&gt;"I"),(Y1595&lt;&gt;"~"),(COUNTIF($AN$1:$AN1595,$AN1595)=1)),"TRUE","FALSE")</f>
        <v>FALSE</v>
      </c>
      <c r="AI1595" s="661" t="str">
        <f t="shared" si="173"/>
        <v>II</v>
      </c>
      <c r="AJ1595" s="662" t="str">
        <f t="shared" si="167"/>
        <v>TCTV-002</v>
      </c>
      <c r="AK1595" s="662" t="str">
        <f t="shared" si="168"/>
        <v>LVN</v>
      </c>
      <c r="AL1595" s="662" t="str">
        <f t="shared" si="169"/>
        <v>FRD</v>
      </c>
      <c r="AM1595" s="662" t="str">
        <f t="shared" si="172"/>
        <v>Transit Connect Van-XL w/Rear Liftgate-FWD-2-72.8-~-2.0L-4-E7E-100A-120.6-15.8-Unleaded-Unleaded</v>
      </c>
      <c r="AN1595" s="662" t="str">
        <f t="shared" si="170"/>
        <v>2019-LVN-FRD-TCTV-002</v>
      </c>
    </row>
    <row r="1596" spans="1:40" s="572" customFormat="1" ht="15">
      <c r="A1596" s="570" t="s">
        <v>3029</v>
      </c>
      <c r="B1596" s="569" t="s">
        <v>3015</v>
      </c>
      <c r="C1596" s="569" t="s">
        <v>287</v>
      </c>
      <c r="D1596" s="580">
        <v>26</v>
      </c>
      <c r="E1596" s="569" t="s">
        <v>1516</v>
      </c>
      <c r="F1596" s="569" t="s">
        <v>3009</v>
      </c>
      <c r="G1596" s="569" t="s">
        <v>271</v>
      </c>
      <c r="H1596" s="569">
        <v>2019</v>
      </c>
      <c r="I1596" s="569" t="s">
        <v>3010</v>
      </c>
      <c r="J1596" s="569" t="s">
        <v>3011</v>
      </c>
      <c r="K1596" s="569" t="s">
        <v>156</v>
      </c>
      <c r="L1596" s="569">
        <v>2</v>
      </c>
      <c r="M1596" s="569">
        <v>0</v>
      </c>
      <c r="N1596" s="569" t="s">
        <v>157</v>
      </c>
      <c r="O1596" s="569">
        <v>1</v>
      </c>
      <c r="P1596" s="569">
        <v>72.5</v>
      </c>
      <c r="Q1596" s="568" t="s">
        <v>157</v>
      </c>
      <c r="R1596" s="569" t="s">
        <v>189</v>
      </c>
      <c r="S1596" s="569">
        <v>4</v>
      </c>
      <c r="T1596" s="569" t="s">
        <v>3013</v>
      </c>
      <c r="U1596" s="569" t="s">
        <v>276</v>
      </c>
      <c r="V1596" s="569">
        <v>104.8</v>
      </c>
      <c r="W1596" s="569">
        <v>15.8</v>
      </c>
      <c r="X1596" s="568">
        <v>5020</v>
      </c>
      <c r="Y1596" s="569">
        <v>24</v>
      </c>
      <c r="Z1596" s="581" t="s">
        <v>178</v>
      </c>
      <c r="AA1596" s="581" t="s">
        <v>178</v>
      </c>
      <c r="AB1596" s="585">
        <v>25220</v>
      </c>
      <c r="AC1596" s="585" t="s">
        <v>164</v>
      </c>
      <c r="AD1596" s="585">
        <v>23092</v>
      </c>
      <c r="AE1596" s="587">
        <v>0.05</v>
      </c>
      <c r="AF1596" s="661" t="str">
        <f t="shared" si="171"/>
        <v>2019-LVN-FRD-TCTV-001-26</v>
      </c>
      <c r="AG1596" s="661" t="str">
        <f>IF(AND($Y1596&gt;=32,(AI1596="I"),(Y1596&lt;&gt;"~"),(COUNTIF($AN$1:$AN1596,$AN1596)=1)),"TRUE","FALSE")</f>
        <v>FALSE</v>
      </c>
      <c r="AH1596" s="661" t="str">
        <f>IF(AND($Y1596&gt;=22, (AI1596&lt;&gt;"I"),(Y1596&lt;&gt;"~"),(COUNTIF($AN$1:$AN1596,$AN1596)=1)),"TRUE","FALSE")</f>
        <v>FALSE</v>
      </c>
      <c r="AI1596" s="661" t="str">
        <f t="shared" si="173"/>
        <v>II</v>
      </c>
      <c r="AJ1596" s="662" t="str">
        <f t="shared" si="167"/>
        <v>TCTV-001</v>
      </c>
      <c r="AK1596" s="662" t="str">
        <f t="shared" si="168"/>
        <v>LVN</v>
      </c>
      <c r="AL1596" s="662" t="str">
        <f t="shared" si="169"/>
        <v>FRD</v>
      </c>
      <c r="AM1596" s="662" t="str">
        <f t="shared" si="172"/>
        <v>Transit Connect Van-XL w/Rear Liftgate-FWD-2-72.5-~-2.5L-4-E6E-100A-104.8-15.8-Unleaded-Unleaded</v>
      </c>
      <c r="AN1596" s="662" t="str">
        <f t="shared" si="170"/>
        <v>2019-LVN-FRD-TCTV-001</v>
      </c>
    </row>
    <row r="1597" spans="1:40" s="572" customFormat="1" ht="15">
      <c r="A1597" s="570" t="s">
        <v>3030</v>
      </c>
      <c r="B1597" s="573" t="s">
        <v>3024</v>
      </c>
      <c r="C1597" s="573" t="s">
        <v>287</v>
      </c>
      <c r="D1597" s="578">
        <v>26</v>
      </c>
      <c r="E1597" s="573" t="s">
        <v>1516</v>
      </c>
      <c r="F1597" s="573" t="s">
        <v>3009</v>
      </c>
      <c r="G1597" s="573" t="s">
        <v>271</v>
      </c>
      <c r="H1597" s="573">
        <v>2019</v>
      </c>
      <c r="I1597" s="573" t="s">
        <v>3010</v>
      </c>
      <c r="J1597" s="573" t="s">
        <v>3011</v>
      </c>
      <c r="K1597" s="573" t="s">
        <v>156</v>
      </c>
      <c r="L1597" s="573">
        <v>2</v>
      </c>
      <c r="M1597" s="573">
        <v>0</v>
      </c>
      <c r="N1597" s="573" t="s">
        <v>157</v>
      </c>
      <c r="O1597" s="573">
        <v>1</v>
      </c>
      <c r="P1597" s="573">
        <v>72.8</v>
      </c>
      <c r="Q1597" s="571" t="s">
        <v>157</v>
      </c>
      <c r="R1597" s="573" t="s">
        <v>189</v>
      </c>
      <c r="S1597" s="573">
        <v>4</v>
      </c>
      <c r="T1597" s="573" t="s">
        <v>3022</v>
      </c>
      <c r="U1597" s="573" t="s">
        <v>276</v>
      </c>
      <c r="V1597" s="573">
        <v>120.6</v>
      </c>
      <c r="W1597" s="573">
        <v>15.8</v>
      </c>
      <c r="X1597" s="571">
        <v>5270</v>
      </c>
      <c r="Y1597" s="573">
        <v>24</v>
      </c>
      <c r="Z1597" s="579" t="s">
        <v>178</v>
      </c>
      <c r="AA1597" s="579" t="s">
        <v>178</v>
      </c>
      <c r="AB1597" s="584">
        <v>26220</v>
      </c>
      <c r="AC1597" s="584" t="s">
        <v>164</v>
      </c>
      <c r="AD1597" s="584">
        <v>24050</v>
      </c>
      <c r="AE1597" s="586">
        <v>0.05</v>
      </c>
      <c r="AF1597" s="661" t="str">
        <f t="shared" si="171"/>
        <v>2019-LVN-FRD-TCTV-002-26</v>
      </c>
      <c r="AG1597" s="661" t="str">
        <f>IF(AND($Y1597&gt;=32,(AI1597="I"),(Y1597&lt;&gt;"~"),(COUNTIF($AN$1:$AN1597,$AN1597)=1)),"TRUE","FALSE")</f>
        <v>FALSE</v>
      </c>
      <c r="AH1597" s="661" t="str">
        <f>IF(AND($Y1597&gt;=22, (AI1597&lt;&gt;"I"),(Y1597&lt;&gt;"~"),(COUNTIF($AN$1:$AN1597,$AN1597)=1)),"TRUE","FALSE")</f>
        <v>FALSE</v>
      </c>
      <c r="AI1597" s="661" t="str">
        <f t="shared" si="173"/>
        <v>II</v>
      </c>
      <c r="AJ1597" s="662" t="str">
        <f t="shared" si="167"/>
        <v>TCTV-002</v>
      </c>
      <c r="AK1597" s="662" t="str">
        <f t="shared" si="168"/>
        <v>LVN</v>
      </c>
      <c r="AL1597" s="662" t="str">
        <f t="shared" si="169"/>
        <v>FRD</v>
      </c>
      <c r="AM1597" s="662" t="str">
        <f t="shared" si="172"/>
        <v>Transit Connect Van-XL w/Rear Liftgate-FWD-2-72.8-~-2.5L-4-E7E-100A-120.6-15.8-Unleaded-Unleaded</v>
      </c>
      <c r="AN1597" s="662" t="str">
        <f t="shared" si="170"/>
        <v>2019-LVN-FRD-TCTV-002</v>
      </c>
    </row>
    <row r="1598" spans="1:40" s="572" customFormat="1" ht="15">
      <c r="A1598" s="570" t="s">
        <v>3031</v>
      </c>
      <c r="B1598" s="569" t="s">
        <v>3008</v>
      </c>
      <c r="C1598" s="569" t="s">
        <v>280</v>
      </c>
      <c r="D1598" s="580">
        <v>27</v>
      </c>
      <c r="E1598" s="569" t="s">
        <v>1516</v>
      </c>
      <c r="F1598" s="569" t="s">
        <v>3009</v>
      </c>
      <c r="G1598" s="569" t="s">
        <v>271</v>
      </c>
      <c r="H1598" s="569">
        <v>2019</v>
      </c>
      <c r="I1598" s="569" t="s">
        <v>3010</v>
      </c>
      <c r="J1598" s="569" t="s">
        <v>3011</v>
      </c>
      <c r="K1598" s="569" t="s">
        <v>156</v>
      </c>
      <c r="L1598" s="569">
        <v>2</v>
      </c>
      <c r="M1598" s="569">
        <v>0</v>
      </c>
      <c r="N1598" s="569" t="s">
        <v>157</v>
      </c>
      <c r="O1598" s="569">
        <v>1</v>
      </c>
      <c r="P1598" s="569">
        <v>72.5</v>
      </c>
      <c r="Q1598" s="568" t="s">
        <v>157</v>
      </c>
      <c r="R1598" s="569" t="s">
        <v>3012</v>
      </c>
      <c r="S1598" s="569">
        <v>4</v>
      </c>
      <c r="T1598" s="569" t="s">
        <v>3013</v>
      </c>
      <c r="U1598" s="569" t="s">
        <v>276</v>
      </c>
      <c r="V1598" s="569">
        <v>104.8</v>
      </c>
      <c r="W1598" s="569">
        <v>15.8</v>
      </c>
      <c r="X1598" s="568">
        <v>5240</v>
      </c>
      <c r="Y1598" s="569">
        <v>24</v>
      </c>
      <c r="Z1598" s="581" t="s">
        <v>728</v>
      </c>
      <c r="AA1598" s="581" t="s">
        <v>728</v>
      </c>
      <c r="AB1598" s="585">
        <v>27290</v>
      </c>
      <c r="AC1598" s="585" t="s">
        <v>164</v>
      </c>
      <c r="AD1598" s="585">
        <v>24059.729166666668</v>
      </c>
      <c r="AE1598" s="587">
        <v>0.03</v>
      </c>
      <c r="AF1598" s="661" t="str">
        <f t="shared" si="171"/>
        <v>2019-LVN-FRD-TCTV-009-27</v>
      </c>
      <c r="AG1598" s="661" t="str">
        <f>IF(AND($Y1598&gt;=32,(AI1598="I"),(Y1598&lt;&gt;"~"),(COUNTIF($AN$1:$AN1598,$AN1598)=1)),"TRUE","FALSE")</f>
        <v>FALSE</v>
      </c>
      <c r="AH1598" s="661" t="str">
        <f>IF(AND($Y1598&gt;=22, (AI1598&lt;&gt;"I"),(Y1598&lt;&gt;"~"),(COUNTIF($AN$1:$AN1598,$AN1598)=1)),"TRUE","FALSE")</f>
        <v>FALSE</v>
      </c>
      <c r="AI1598" s="661" t="str">
        <f t="shared" si="173"/>
        <v>II</v>
      </c>
      <c r="AJ1598" s="662" t="str">
        <f t="shared" si="167"/>
        <v>TCTV-009</v>
      </c>
      <c r="AK1598" s="662" t="str">
        <f t="shared" si="168"/>
        <v>LVN</v>
      </c>
      <c r="AL1598" s="662" t="str">
        <f t="shared" si="169"/>
        <v>FRD</v>
      </c>
      <c r="AM1598" s="662" t="str">
        <f t="shared" si="172"/>
        <v>Transit Connect Van-XL w/Rear Liftgate-FWD-2-72.5-~-1.5L Ecoblue Diesel-4-E6E-100A-104.8-15.8-Diesel-Diesel</v>
      </c>
      <c r="AN1598" s="662" t="str">
        <f t="shared" si="170"/>
        <v>2019-LVN-FRD-TCTV-009</v>
      </c>
    </row>
    <row r="1599" spans="1:40" s="572" customFormat="1" ht="15">
      <c r="A1599" s="570" t="s">
        <v>3032</v>
      </c>
      <c r="B1599" s="573" t="s">
        <v>3015</v>
      </c>
      <c r="C1599" s="573" t="s">
        <v>280</v>
      </c>
      <c r="D1599" s="578">
        <v>27</v>
      </c>
      <c r="E1599" s="573" t="s">
        <v>1516</v>
      </c>
      <c r="F1599" s="573" t="s">
        <v>3009</v>
      </c>
      <c r="G1599" s="573" t="s">
        <v>271</v>
      </c>
      <c r="H1599" s="573">
        <v>2019</v>
      </c>
      <c r="I1599" s="573" t="s">
        <v>3010</v>
      </c>
      <c r="J1599" s="573" t="s">
        <v>3011</v>
      </c>
      <c r="K1599" s="573" t="s">
        <v>156</v>
      </c>
      <c r="L1599" s="573">
        <v>2</v>
      </c>
      <c r="M1599" s="573">
        <v>0</v>
      </c>
      <c r="N1599" s="573" t="s">
        <v>157</v>
      </c>
      <c r="O1599" s="573">
        <v>1</v>
      </c>
      <c r="P1599" s="573">
        <v>72.5</v>
      </c>
      <c r="Q1599" s="571" t="s">
        <v>157</v>
      </c>
      <c r="R1599" s="573" t="s">
        <v>3016</v>
      </c>
      <c r="S1599" s="573">
        <v>4</v>
      </c>
      <c r="T1599" s="573" t="s">
        <v>3013</v>
      </c>
      <c r="U1599" s="573" t="s">
        <v>276</v>
      </c>
      <c r="V1599" s="573">
        <v>104.8</v>
      </c>
      <c r="W1599" s="573">
        <v>15.8</v>
      </c>
      <c r="X1599" s="571">
        <v>5130</v>
      </c>
      <c r="Y1599" s="573">
        <v>24</v>
      </c>
      <c r="Z1599" s="579" t="s">
        <v>178</v>
      </c>
      <c r="AA1599" s="579" t="s">
        <v>178</v>
      </c>
      <c r="AB1599" s="584">
        <v>25295</v>
      </c>
      <c r="AC1599" s="584" t="s">
        <v>164</v>
      </c>
      <c r="AD1599" s="584">
        <v>22287.6875</v>
      </c>
      <c r="AE1599" s="586">
        <v>0.03</v>
      </c>
      <c r="AF1599" s="661" t="str">
        <f t="shared" si="171"/>
        <v>2019-LVN-FRD-TCTV-001-27</v>
      </c>
      <c r="AG1599" s="661" t="str">
        <f>IF(AND($Y1599&gt;=32,(AI1599="I"),(Y1599&lt;&gt;"~"),(COUNTIF($AN$1:$AN1599,$AN1599)=1)),"TRUE","FALSE")</f>
        <v>FALSE</v>
      </c>
      <c r="AH1599" s="661" t="str">
        <f>IF(AND($Y1599&gt;=22, (AI1599&lt;&gt;"I"),(Y1599&lt;&gt;"~"),(COUNTIF($AN$1:$AN1599,$AN1599)=1)),"TRUE","FALSE")</f>
        <v>FALSE</v>
      </c>
      <c r="AI1599" s="661" t="str">
        <f t="shared" si="173"/>
        <v>II</v>
      </c>
      <c r="AJ1599" s="662" t="str">
        <f t="shared" si="167"/>
        <v>TCTV-001</v>
      </c>
      <c r="AK1599" s="662" t="str">
        <f t="shared" si="168"/>
        <v>LVN</v>
      </c>
      <c r="AL1599" s="662" t="str">
        <f t="shared" si="169"/>
        <v>FRD</v>
      </c>
      <c r="AM1599" s="662" t="str">
        <f t="shared" si="172"/>
        <v>Transit Connect Van-XL w/Rear Liftgate-FWD-2-72.5-~-2.0L -4-E6E-100A-104.8-15.8-Unleaded-Unleaded</v>
      </c>
      <c r="AN1599" s="662" t="str">
        <f t="shared" si="170"/>
        <v>2019-LVN-FRD-TCTV-001</v>
      </c>
    </row>
    <row r="1600" spans="1:40" s="572" customFormat="1" ht="15">
      <c r="A1600" s="570" t="s">
        <v>3033</v>
      </c>
      <c r="B1600" s="569" t="s">
        <v>3018</v>
      </c>
      <c r="C1600" s="569" t="s">
        <v>280</v>
      </c>
      <c r="D1600" s="580">
        <v>27</v>
      </c>
      <c r="E1600" s="569" t="s">
        <v>1516</v>
      </c>
      <c r="F1600" s="569" t="s">
        <v>3009</v>
      </c>
      <c r="G1600" s="569" t="s">
        <v>271</v>
      </c>
      <c r="H1600" s="569">
        <v>2019</v>
      </c>
      <c r="I1600" s="569" t="s">
        <v>3010</v>
      </c>
      <c r="J1600" s="569" t="s">
        <v>3011</v>
      </c>
      <c r="K1600" s="569" t="s">
        <v>156</v>
      </c>
      <c r="L1600" s="569">
        <v>2</v>
      </c>
      <c r="M1600" s="569">
        <v>0</v>
      </c>
      <c r="N1600" s="569" t="s">
        <v>157</v>
      </c>
      <c r="O1600" s="569">
        <v>1</v>
      </c>
      <c r="P1600" s="569">
        <v>72.5</v>
      </c>
      <c r="Q1600" s="568" t="s">
        <v>157</v>
      </c>
      <c r="R1600" s="569" t="s">
        <v>3019</v>
      </c>
      <c r="S1600" s="569">
        <v>4</v>
      </c>
      <c r="T1600" s="569" t="s">
        <v>3013</v>
      </c>
      <c r="U1600" s="569" t="s">
        <v>276</v>
      </c>
      <c r="V1600" s="569">
        <v>104.8</v>
      </c>
      <c r="W1600" s="569">
        <v>15.8</v>
      </c>
      <c r="X1600" s="568">
        <v>5110</v>
      </c>
      <c r="Y1600" s="569">
        <v>24</v>
      </c>
      <c r="Z1600" s="581" t="s">
        <v>178</v>
      </c>
      <c r="AA1600" s="581" t="s">
        <v>178</v>
      </c>
      <c r="AB1600" s="585">
        <v>25610</v>
      </c>
      <c r="AC1600" s="585" t="s">
        <v>164</v>
      </c>
      <c r="AD1600" s="585">
        <v>22567.020833333336</v>
      </c>
      <c r="AE1600" s="587">
        <v>0.03</v>
      </c>
      <c r="AF1600" s="661" t="str">
        <f t="shared" si="171"/>
        <v>2019-LVN-FRD-TCTV-010-27</v>
      </c>
      <c r="AG1600" s="661" t="str">
        <f>IF(AND($Y1600&gt;=32,(AI1600="I"),(Y1600&lt;&gt;"~"),(COUNTIF($AN$1:$AN1600,$AN1600)=1)),"TRUE","FALSE")</f>
        <v>FALSE</v>
      </c>
      <c r="AH1600" s="661" t="str">
        <f>IF(AND($Y1600&gt;=22, (AI1600&lt;&gt;"I"),(Y1600&lt;&gt;"~"),(COUNTIF($AN$1:$AN1600,$AN1600)=1)),"TRUE","FALSE")</f>
        <v>FALSE</v>
      </c>
      <c r="AI1600" s="661" t="str">
        <f t="shared" si="173"/>
        <v>II</v>
      </c>
      <c r="AJ1600" s="662" t="str">
        <f t="shared" si="167"/>
        <v>TCTV-010</v>
      </c>
      <c r="AK1600" s="662" t="str">
        <f t="shared" si="168"/>
        <v>LVN</v>
      </c>
      <c r="AL1600" s="662" t="str">
        <f t="shared" si="169"/>
        <v>FRD</v>
      </c>
      <c r="AM1600" s="662" t="str">
        <f t="shared" si="172"/>
        <v>Transit Connect Van-XL w/Rear Liftgate-FWD-2-72.5-~-2.5L/CNG Prep-4-E6E-100A-104.8-15.8-Unleaded-Unleaded</v>
      </c>
      <c r="AN1600" s="662" t="str">
        <f t="shared" si="170"/>
        <v>2019-LVN-FRD-TCTV-010</v>
      </c>
    </row>
    <row r="1601" spans="1:40" s="572" customFormat="1" ht="15">
      <c r="A1601" s="570" t="s">
        <v>3034</v>
      </c>
      <c r="B1601" s="573" t="s">
        <v>3021</v>
      </c>
      <c r="C1601" s="573" t="s">
        <v>280</v>
      </c>
      <c r="D1601" s="578">
        <v>27</v>
      </c>
      <c r="E1601" s="573" t="s">
        <v>1516</v>
      </c>
      <c r="F1601" s="573" t="s">
        <v>3009</v>
      </c>
      <c r="G1601" s="573" t="s">
        <v>271</v>
      </c>
      <c r="H1601" s="573">
        <v>2019</v>
      </c>
      <c r="I1601" s="573" t="s">
        <v>3010</v>
      </c>
      <c r="J1601" s="573" t="s">
        <v>3011</v>
      </c>
      <c r="K1601" s="573" t="s">
        <v>156</v>
      </c>
      <c r="L1601" s="573">
        <v>2</v>
      </c>
      <c r="M1601" s="573">
        <v>0</v>
      </c>
      <c r="N1601" s="573" t="s">
        <v>157</v>
      </c>
      <c r="O1601" s="573">
        <v>1</v>
      </c>
      <c r="P1601" s="573">
        <v>72.8</v>
      </c>
      <c r="Q1601" s="571" t="s">
        <v>157</v>
      </c>
      <c r="R1601" s="573" t="s">
        <v>3012</v>
      </c>
      <c r="S1601" s="573">
        <v>4</v>
      </c>
      <c r="T1601" s="573" t="s">
        <v>3022</v>
      </c>
      <c r="U1601" s="573" t="s">
        <v>276</v>
      </c>
      <c r="V1601" s="573">
        <v>120.6</v>
      </c>
      <c r="W1601" s="573">
        <v>15.8</v>
      </c>
      <c r="X1601" s="571">
        <v>5260</v>
      </c>
      <c r="Y1601" s="569">
        <v>24</v>
      </c>
      <c r="Z1601" s="579" t="s">
        <v>728</v>
      </c>
      <c r="AA1601" s="579" t="s">
        <v>728</v>
      </c>
      <c r="AB1601" s="584">
        <v>28290</v>
      </c>
      <c r="AC1601" s="584" t="s">
        <v>164</v>
      </c>
      <c r="AD1601" s="584">
        <v>24984.729166666668</v>
      </c>
      <c r="AE1601" s="586">
        <v>0.03</v>
      </c>
      <c r="AF1601" s="661" t="str">
        <f t="shared" si="171"/>
        <v>2019-LVN-FRD-TCTV-011-27</v>
      </c>
      <c r="AG1601" s="661" t="str">
        <f>IF(AND($Y1601&gt;=32,(AI1601="I"),(Y1601&lt;&gt;"~"),(COUNTIF($AN$1:$AN1601,$AN1601)=1)),"TRUE","FALSE")</f>
        <v>FALSE</v>
      </c>
      <c r="AH1601" s="661" t="str">
        <f>IF(AND($Y1601&gt;=22, (AI1601&lt;&gt;"I"),(Y1601&lt;&gt;"~"),(COUNTIF($AN$1:$AN1601,$AN1601)=1)),"TRUE","FALSE")</f>
        <v>FALSE</v>
      </c>
      <c r="AI1601" s="661" t="str">
        <f t="shared" si="173"/>
        <v>II</v>
      </c>
      <c r="AJ1601" s="662" t="str">
        <f t="shared" si="167"/>
        <v>TCTV-011</v>
      </c>
      <c r="AK1601" s="662" t="str">
        <f t="shared" si="168"/>
        <v>LVN</v>
      </c>
      <c r="AL1601" s="662" t="str">
        <f t="shared" si="169"/>
        <v>FRD</v>
      </c>
      <c r="AM1601" s="662" t="str">
        <f t="shared" si="172"/>
        <v>Transit Connect Van-XL w/Rear Liftgate-FWD-2-72.8-~-1.5L Ecoblue Diesel-4-E7E-100A-120.6-15.8-Diesel-Diesel</v>
      </c>
      <c r="AN1601" s="662" t="str">
        <f t="shared" si="170"/>
        <v>2019-LVN-FRD-TCTV-011</v>
      </c>
    </row>
    <row r="1602" spans="1:40" s="572" customFormat="1" ht="15">
      <c r="A1602" s="570" t="s">
        <v>3035</v>
      </c>
      <c r="B1602" s="569" t="s">
        <v>3024</v>
      </c>
      <c r="C1602" s="569" t="s">
        <v>280</v>
      </c>
      <c r="D1602" s="580">
        <v>27</v>
      </c>
      <c r="E1602" s="569" t="s">
        <v>1516</v>
      </c>
      <c r="F1602" s="569" t="s">
        <v>3009</v>
      </c>
      <c r="G1602" s="569" t="s">
        <v>271</v>
      </c>
      <c r="H1602" s="569">
        <v>2019</v>
      </c>
      <c r="I1602" s="569" t="s">
        <v>3010</v>
      </c>
      <c r="J1602" s="569" t="s">
        <v>3011</v>
      </c>
      <c r="K1602" s="569" t="s">
        <v>156</v>
      </c>
      <c r="L1602" s="569">
        <v>2</v>
      </c>
      <c r="M1602" s="569">
        <v>0</v>
      </c>
      <c r="N1602" s="569" t="s">
        <v>157</v>
      </c>
      <c r="O1602" s="569">
        <v>1</v>
      </c>
      <c r="P1602" s="569">
        <v>72.8</v>
      </c>
      <c r="Q1602" s="568" t="s">
        <v>157</v>
      </c>
      <c r="R1602" s="569" t="s">
        <v>3016</v>
      </c>
      <c r="S1602" s="569">
        <v>4</v>
      </c>
      <c r="T1602" s="569" t="s">
        <v>3022</v>
      </c>
      <c r="U1602" s="569" t="s">
        <v>276</v>
      </c>
      <c r="V1602" s="569">
        <v>120.6</v>
      </c>
      <c r="W1602" s="569">
        <v>15.8</v>
      </c>
      <c r="X1602" s="568">
        <v>5302</v>
      </c>
      <c r="Y1602" s="569">
        <v>24</v>
      </c>
      <c r="Z1602" s="581" t="s">
        <v>178</v>
      </c>
      <c r="AA1602" s="581" t="s">
        <v>178</v>
      </c>
      <c r="AB1602" s="585">
        <v>26295</v>
      </c>
      <c r="AC1602" s="585" t="s">
        <v>164</v>
      </c>
      <c r="AD1602" s="585">
        <v>23212.854166666668</v>
      </c>
      <c r="AE1602" s="587">
        <v>0.03</v>
      </c>
      <c r="AF1602" s="661" t="str">
        <f t="shared" si="171"/>
        <v>2019-LVN-FRD-TCTV-002-27</v>
      </c>
      <c r="AG1602" s="661" t="str">
        <f>IF(AND($Y1602&gt;=32,(AI1602="I"),(Y1602&lt;&gt;"~"),(COUNTIF($AN$1:$AN1602,$AN1602)=1)),"TRUE","FALSE")</f>
        <v>FALSE</v>
      </c>
      <c r="AH1602" s="661" t="str">
        <f>IF(AND($Y1602&gt;=22, (AI1602&lt;&gt;"I"),(Y1602&lt;&gt;"~"),(COUNTIF($AN$1:$AN1602,$AN1602)=1)),"TRUE","FALSE")</f>
        <v>FALSE</v>
      </c>
      <c r="AI1602" s="661" t="str">
        <f t="shared" si="173"/>
        <v>II</v>
      </c>
      <c r="AJ1602" s="662" t="str">
        <f t="shared" si="167"/>
        <v>TCTV-002</v>
      </c>
      <c r="AK1602" s="662" t="str">
        <f t="shared" si="168"/>
        <v>LVN</v>
      </c>
      <c r="AL1602" s="662" t="str">
        <f t="shared" si="169"/>
        <v>FRD</v>
      </c>
      <c r="AM1602" s="662" t="str">
        <f t="shared" si="172"/>
        <v>Transit Connect Van-XL w/Rear Liftgate-FWD-2-72.8-~-2.0L -4-E7E-100A-120.6-15.8-Unleaded-Unleaded</v>
      </c>
      <c r="AN1602" s="662" t="str">
        <f t="shared" si="170"/>
        <v>2019-LVN-FRD-TCTV-002</v>
      </c>
    </row>
    <row r="1603" spans="1:40" s="572" customFormat="1" ht="15">
      <c r="A1603" s="570" t="s">
        <v>3036</v>
      </c>
      <c r="B1603" s="573" t="s">
        <v>3026</v>
      </c>
      <c r="C1603" s="573" t="s">
        <v>280</v>
      </c>
      <c r="D1603" s="578">
        <v>27</v>
      </c>
      <c r="E1603" s="573" t="s">
        <v>1516</v>
      </c>
      <c r="F1603" s="573" t="s">
        <v>3009</v>
      </c>
      <c r="G1603" s="573" t="s">
        <v>271</v>
      </c>
      <c r="H1603" s="573">
        <v>2019</v>
      </c>
      <c r="I1603" s="573" t="s">
        <v>3010</v>
      </c>
      <c r="J1603" s="573" t="s">
        <v>3011</v>
      </c>
      <c r="K1603" s="573" t="s">
        <v>156</v>
      </c>
      <c r="L1603" s="573">
        <v>2</v>
      </c>
      <c r="M1603" s="573">
        <v>0</v>
      </c>
      <c r="N1603" s="573" t="s">
        <v>157</v>
      </c>
      <c r="O1603" s="573">
        <v>1</v>
      </c>
      <c r="P1603" s="573">
        <v>72.8</v>
      </c>
      <c r="Q1603" s="571" t="s">
        <v>157</v>
      </c>
      <c r="R1603" s="573" t="s">
        <v>3019</v>
      </c>
      <c r="S1603" s="573">
        <v>4</v>
      </c>
      <c r="T1603" s="573" t="s">
        <v>3022</v>
      </c>
      <c r="U1603" s="573" t="s">
        <v>276</v>
      </c>
      <c r="V1603" s="573">
        <v>120.6</v>
      </c>
      <c r="W1603" s="573">
        <v>15.8</v>
      </c>
      <c r="X1603" s="571">
        <v>5302</v>
      </c>
      <c r="Y1603" s="573">
        <v>24</v>
      </c>
      <c r="Z1603" s="579" t="s">
        <v>178</v>
      </c>
      <c r="AA1603" s="579" t="s">
        <v>178</v>
      </c>
      <c r="AB1603" s="584">
        <v>26610</v>
      </c>
      <c r="AC1603" s="584" t="s">
        <v>164</v>
      </c>
      <c r="AD1603" s="584">
        <v>23492.020833333336</v>
      </c>
      <c r="AE1603" s="586">
        <v>0.03</v>
      </c>
      <c r="AF1603" s="661" t="str">
        <f t="shared" si="171"/>
        <v>2019-LVN-FRD-TCTV-012-27</v>
      </c>
      <c r="AG1603" s="661" t="str">
        <f>IF(AND($Y1603&gt;=32,(AI1603="I"),(Y1603&lt;&gt;"~"),(COUNTIF($AN$1:$AN1603,$AN1603)=1)),"TRUE","FALSE")</f>
        <v>FALSE</v>
      </c>
      <c r="AH1603" s="661" t="str">
        <f>IF(AND($Y1603&gt;=22, (AI1603&lt;&gt;"I"),(Y1603&lt;&gt;"~"),(COUNTIF($AN$1:$AN1603,$AN1603)=1)),"TRUE","FALSE")</f>
        <v>FALSE</v>
      </c>
      <c r="AI1603" s="661" t="str">
        <f t="shared" si="173"/>
        <v>II</v>
      </c>
      <c r="AJ1603" s="662" t="str">
        <f t="shared" ref="AJ1603:AJ1666" si="174">MID(A1603,14,8)</f>
        <v>TCTV-012</v>
      </c>
      <c r="AK1603" s="662" t="str">
        <f t="shared" ref="AK1603:AK1666" si="175">MID(A1603,6,3)</f>
        <v>LVN</v>
      </c>
      <c r="AL1603" s="662" t="str">
        <f t="shared" ref="AL1603:AL1666" si="176">MID(A1603,10,3)</f>
        <v>FRD</v>
      </c>
      <c r="AM1603" s="662" t="str">
        <f t="shared" si="172"/>
        <v>Transit Connect Van-XL w/Rear Liftgate-FWD-2-72.8-~-2.5L/CNG Prep-4-E7E-100A-120.6-15.8-Unleaded-Unleaded</v>
      </c>
      <c r="AN1603" s="662" t="str">
        <f t="shared" ref="AN1603:AN1666" si="177">LEFT(A1603,21)</f>
        <v>2019-LVN-FRD-TCTV-012</v>
      </c>
    </row>
    <row r="1604" spans="1:40" s="572" customFormat="1" ht="30">
      <c r="A1604" s="570" t="s">
        <v>3037</v>
      </c>
      <c r="B1604" s="569" t="s">
        <v>3038</v>
      </c>
      <c r="C1604" s="569" t="s">
        <v>269</v>
      </c>
      <c r="D1604" s="580" t="s">
        <v>270</v>
      </c>
      <c r="E1604" s="569" t="s">
        <v>1516</v>
      </c>
      <c r="F1604" s="569" t="s">
        <v>3009</v>
      </c>
      <c r="G1604" s="569" t="s">
        <v>271</v>
      </c>
      <c r="H1604" s="569">
        <v>2019</v>
      </c>
      <c r="I1604" s="569" t="s">
        <v>3010</v>
      </c>
      <c r="J1604" s="569" t="s">
        <v>3039</v>
      </c>
      <c r="K1604" s="569" t="s">
        <v>156</v>
      </c>
      <c r="L1604" s="569">
        <v>2</v>
      </c>
      <c r="M1604" s="569">
        <v>0</v>
      </c>
      <c r="N1604" s="569" t="s">
        <v>157</v>
      </c>
      <c r="O1604" s="569">
        <v>1</v>
      </c>
      <c r="P1604" s="569">
        <v>72.5</v>
      </c>
      <c r="Q1604" s="568" t="s">
        <v>157</v>
      </c>
      <c r="R1604" s="569" t="s">
        <v>3012</v>
      </c>
      <c r="S1604" s="569">
        <v>4</v>
      </c>
      <c r="T1604" s="569" t="s">
        <v>3040</v>
      </c>
      <c r="U1604" s="569" t="s">
        <v>276</v>
      </c>
      <c r="V1604" s="569">
        <v>104.8</v>
      </c>
      <c r="W1604" s="569">
        <v>15.8</v>
      </c>
      <c r="X1604" s="568">
        <v>5240</v>
      </c>
      <c r="Y1604" s="569">
        <v>24</v>
      </c>
      <c r="Z1604" s="581" t="s">
        <v>728</v>
      </c>
      <c r="AA1604" s="581" t="s">
        <v>728</v>
      </c>
      <c r="AB1604" s="585">
        <v>27290</v>
      </c>
      <c r="AC1604" s="585" t="s">
        <v>164</v>
      </c>
      <c r="AD1604" s="585">
        <v>24059.729166666668</v>
      </c>
      <c r="AE1604" s="587">
        <v>0.03</v>
      </c>
      <c r="AF1604" s="661" t="str">
        <f t="shared" si="171"/>
        <v>2019-LVN-FRD-TCTV-013-05</v>
      </c>
      <c r="AG1604" s="661" t="str">
        <f>IF(AND($Y1604&gt;=32,(AI1604="I"),(Y1604&lt;&gt;"~"),(COUNTIF($AN$1:$AN1604,$AN1604)=1)),"TRUE","FALSE")</f>
        <v>FALSE</v>
      </c>
      <c r="AH1604" s="661" t="str">
        <f>IF(AND($Y1604&gt;=22, (AI1604&lt;&gt;"I"),(Y1604&lt;&gt;"~"),(COUNTIF($AN$1:$AN1604,$AN1604)=1)),"TRUE","FALSE")</f>
        <v>TRUE</v>
      </c>
      <c r="AI1604" s="661" t="str">
        <f t="shared" si="173"/>
        <v>II</v>
      </c>
      <c r="AJ1604" s="662" t="str">
        <f t="shared" si="174"/>
        <v>TCTV-013</v>
      </c>
      <c r="AK1604" s="662" t="str">
        <f t="shared" si="175"/>
        <v>LVN</v>
      </c>
      <c r="AL1604" s="662" t="str">
        <f t="shared" si="176"/>
        <v>FRD</v>
      </c>
      <c r="AM1604" s="662" t="str">
        <f t="shared" si="172"/>
        <v>Transit Connect Van-XL w/Symmetrical Rear Drs-FWD-2-72.5-~-1.5L Ecoblue Diesel-4-S6E-100A-104.8-15.8-Diesel-Diesel</v>
      </c>
      <c r="AN1604" s="662" t="str">
        <f t="shared" si="177"/>
        <v>2019-LVN-FRD-TCTV-013</v>
      </c>
    </row>
    <row r="1605" spans="1:40" s="572" customFormat="1" ht="30">
      <c r="A1605" s="570" t="s">
        <v>3041</v>
      </c>
      <c r="B1605" s="573" t="s">
        <v>3042</v>
      </c>
      <c r="C1605" s="573" t="s">
        <v>269</v>
      </c>
      <c r="D1605" s="578" t="s">
        <v>270</v>
      </c>
      <c r="E1605" s="573" t="s">
        <v>1516</v>
      </c>
      <c r="F1605" s="573" t="s">
        <v>3009</v>
      </c>
      <c r="G1605" s="573" t="s">
        <v>271</v>
      </c>
      <c r="H1605" s="573">
        <v>2019</v>
      </c>
      <c r="I1605" s="573" t="s">
        <v>3010</v>
      </c>
      <c r="J1605" s="573" t="s">
        <v>3039</v>
      </c>
      <c r="K1605" s="573" t="s">
        <v>156</v>
      </c>
      <c r="L1605" s="573">
        <v>2</v>
      </c>
      <c r="M1605" s="573">
        <v>0</v>
      </c>
      <c r="N1605" s="573" t="s">
        <v>157</v>
      </c>
      <c r="O1605" s="573">
        <v>1</v>
      </c>
      <c r="P1605" s="573">
        <v>72.5</v>
      </c>
      <c r="Q1605" s="571" t="s">
        <v>157</v>
      </c>
      <c r="R1605" s="573" t="s">
        <v>3016</v>
      </c>
      <c r="S1605" s="573">
        <v>4</v>
      </c>
      <c r="T1605" s="573" t="s">
        <v>3040</v>
      </c>
      <c r="U1605" s="573" t="s">
        <v>276</v>
      </c>
      <c r="V1605" s="573">
        <v>104.8</v>
      </c>
      <c r="W1605" s="573">
        <v>15.8</v>
      </c>
      <c r="X1605" s="571">
        <v>5130</v>
      </c>
      <c r="Y1605" s="573">
        <v>24</v>
      </c>
      <c r="Z1605" s="579" t="s">
        <v>178</v>
      </c>
      <c r="AA1605" s="579" t="s">
        <v>178</v>
      </c>
      <c r="AB1605" s="584">
        <v>25295</v>
      </c>
      <c r="AC1605" s="584" t="s">
        <v>164</v>
      </c>
      <c r="AD1605" s="584">
        <v>22287.6875</v>
      </c>
      <c r="AE1605" s="586">
        <v>0.03</v>
      </c>
      <c r="AF1605" s="661" t="str">
        <f t="shared" si="171"/>
        <v>2019-LVN-FRD-TCTV-003-05</v>
      </c>
      <c r="AG1605" s="661" t="str">
        <f>IF(AND($Y1605&gt;=32,(AI1605="I"),(Y1605&lt;&gt;"~"),(COUNTIF($AN$1:$AN1605,$AN1605)=1)),"TRUE","FALSE")</f>
        <v>FALSE</v>
      </c>
      <c r="AH1605" s="661" t="str">
        <f>IF(AND($Y1605&gt;=22, (AI1605&lt;&gt;"I"),(Y1605&lt;&gt;"~"),(COUNTIF($AN$1:$AN1605,$AN1605)=1)),"TRUE","FALSE")</f>
        <v>TRUE</v>
      </c>
      <c r="AI1605" s="661" t="str">
        <f t="shared" si="173"/>
        <v>II</v>
      </c>
      <c r="AJ1605" s="662" t="str">
        <f t="shared" si="174"/>
        <v>TCTV-003</v>
      </c>
      <c r="AK1605" s="662" t="str">
        <f t="shared" si="175"/>
        <v>LVN</v>
      </c>
      <c r="AL1605" s="662" t="str">
        <f t="shared" si="176"/>
        <v>FRD</v>
      </c>
      <c r="AM1605" s="662" t="str">
        <f t="shared" si="172"/>
        <v>Transit Connect Van-XL w/Symmetrical Rear Drs-FWD-2-72.5-~-2.0L -4-S6E-100A-104.8-15.8-Unleaded-Unleaded</v>
      </c>
      <c r="AN1605" s="662" t="str">
        <f t="shared" si="177"/>
        <v>2019-LVN-FRD-TCTV-003</v>
      </c>
    </row>
    <row r="1606" spans="1:40" s="572" customFormat="1" ht="30">
      <c r="A1606" s="570" t="s">
        <v>3043</v>
      </c>
      <c r="B1606" s="569" t="s">
        <v>3044</v>
      </c>
      <c r="C1606" s="569" t="s">
        <v>269</v>
      </c>
      <c r="D1606" s="580" t="s">
        <v>270</v>
      </c>
      <c r="E1606" s="569" t="s">
        <v>1516</v>
      </c>
      <c r="F1606" s="569" t="s">
        <v>3009</v>
      </c>
      <c r="G1606" s="569" t="s">
        <v>271</v>
      </c>
      <c r="H1606" s="569">
        <v>2019</v>
      </c>
      <c r="I1606" s="569" t="s">
        <v>3010</v>
      </c>
      <c r="J1606" s="569" t="s">
        <v>3039</v>
      </c>
      <c r="K1606" s="569" t="s">
        <v>156</v>
      </c>
      <c r="L1606" s="569">
        <v>2</v>
      </c>
      <c r="M1606" s="569">
        <v>0</v>
      </c>
      <c r="N1606" s="569" t="s">
        <v>157</v>
      </c>
      <c r="O1606" s="569">
        <v>1</v>
      </c>
      <c r="P1606" s="569">
        <v>72.5</v>
      </c>
      <c r="Q1606" s="568" t="s">
        <v>157</v>
      </c>
      <c r="R1606" s="569" t="s">
        <v>3019</v>
      </c>
      <c r="S1606" s="569">
        <v>4</v>
      </c>
      <c r="T1606" s="569" t="s">
        <v>3040</v>
      </c>
      <c r="U1606" s="569" t="s">
        <v>276</v>
      </c>
      <c r="V1606" s="569">
        <v>104.8</v>
      </c>
      <c r="W1606" s="569">
        <v>15.8</v>
      </c>
      <c r="X1606" s="568">
        <v>5110</v>
      </c>
      <c r="Y1606" s="569">
        <v>24</v>
      </c>
      <c r="Z1606" s="581" t="s">
        <v>178</v>
      </c>
      <c r="AA1606" s="581" t="s">
        <v>178</v>
      </c>
      <c r="AB1606" s="585">
        <v>25610</v>
      </c>
      <c r="AC1606" s="585" t="s">
        <v>164</v>
      </c>
      <c r="AD1606" s="585">
        <v>22567.020833333336</v>
      </c>
      <c r="AE1606" s="587">
        <v>0.03</v>
      </c>
      <c r="AF1606" s="661" t="str">
        <f t="shared" si="171"/>
        <v>2019-LVN-FRD-TCTV-014-05</v>
      </c>
      <c r="AG1606" s="661" t="str">
        <f>IF(AND($Y1606&gt;=32,(AI1606="I"),(Y1606&lt;&gt;"~"),(COUNTIF($AN$1:$AN1606,$AN1606)=1)),"TRUE","FALSE")</f>
        <v>FALSE</v>
      </c>
      <c r="AH1606" s="661" t="str">
        <f>IF(AND($Y1606&gt;=22, (AI1606&lt;&gt;"I"),(Y1606&lt;&gt;"~"),(COUNTIF($AN$1:$AN1606,$AN1606)=1)),"TRUE","FALSE")</f>
        <v>TRUE</v>
      </c>
      <c r="AI1606" s="661" t="str">
        <f t="shared" si="173"/>
        <v>II</v>
      </c>
      <c r="AJ1606" s="662" t="str">
        <f t="shared" si="174"/>
        <v>TCTV-014</v>
      </c>
      <c r="AK1606" s="662" t="str">
        <f t="shared" si="175"/>
        <v>LVN</v>
      </c>
      <c r="AL1606" s="662" t="str">
        <f t="shared" si="176"/>
        <v>FRD</v>
      </c>
      <c r="AM1606" s="662" t="str">
        <f t="shared" si="172"/>
        <v>Transit Connect Van-XL w/Symmetrical Rear Drs-FWD-2-72.5-~-2.5L/CNG Prep-4-S6E-100A-104.8-15.8-Unleaded-Unleaded</v>
      </c>
      <c r="AN1606" s="662" t="str">
        <f t="shared" si="177"/>
        <v>2019-LVN-FRD-TCTV-014</v>
      </c>
    </row>
    <row r="1607" spans="1:40" s="572" customFormat="1" ht="30">
      <c r="A1607" s="570" t="s">
        <v>3045</v>
      </c>
      <c r="B1607" s="573" t="s">
        <v>3046</v>
      </c>
      <c r="C1607" s="573" t="s">
        <v>269</v>
      </c>
      <c r="D1607" s="578" t="s">
        <v>270</v>
      </c>
      <c r="E1607" s="573" t="s">
        <v>1516</v>
      </c>
      <c r="F1607" s="573" t="s">
        <v>3009</v>
      </c>
      <c r="G1607" s="573" t="s">
        <v>271</v>
      </c>
      <c r="H1607" s="573">
        <v>2019</v>
      </c>
      <c r="I1607" s="573" t="s">
        <v>3010</v>
      </c>
      <c r="J1607" s="573" t="s">
        <v>3039</v>
      </c>
      <c r="K1607" s="573" t="s">
        <v>156</v>
      </c>
      <c r="L1607" s="573">
        <v>2</v>
      </c>
      <c r="M1607" s="573">
        <v>0</v>
      </c>
      <c r="N1607" s="573" t="s">
        <v>157</v>
      </c>
      <c r="O1607" s="573">
        <v>1</v>
      </c>
      <c r="P1607" s="573">
        <v>72.8</v>
      </c>
      <c r="Q1607" s="571" t="s">
        <v>157</v>
      </c>
      <c r="R1607" s="573" t="s">
        <v>3012</v>
      </c>
      <c r="S1607" s="573">
        <v>4</v>
      </c>
      <c r="T1607" s="573" t="s">
        <v>3047</v>
      </c>
      <c r="U1607" s="573" t="s">
        <v>276</v>
      </c>
      <c r="V1607" s="573">
        <v>120.6</v>
      </c>
      <c r="W1607" s="573">
        <v>15.8</v>
      </c>
      <c r="X1607" s="571">
        <v>5260</v>
      </c>
      <c r="Y1607" s="569">
        <v>24</v>
      </c>
      <c r="Z1607" s="579" t="s">
        <v>728</v>
      </c>
      <c r="AA1607" s="579" t="s">
        <v>728</v>
      </c>
      <c r="AB1607" s="584">
        <v>28290</v>
      </c>
      <c r="AC1607" s="584" t="s">
        <v>164</v>
      </c>
      <c r="AD1607" s="584">
        <v>24984.729166666668</v>
      </c>
      <c r="AE1607" s="586">
        <v>0.03</v>
      </c>
      <c r="AF1607" s="661" t="str">
        <f t="shared" si="171"/>
        <v>2019-LVN-FRD-TCTV-015-05</v>
      </c>
      <c r="AG1607" s="661" t="str">
        <f>IF(AND($Y1607&gt;=32,(AI1607="I"),(Y1607&lt;&gt;"~"),(COUNTIF($AN$1:$AN1607,$AN1607)=1)),"TRUE","FALSE")</f>
        <v>FALSE</v>
      </c>
      <c r="AH1607" s="661" t="str">
        <f>IF(AND($Y1607&gt;=22, (AI1607&lt;&gt;"I"),(Y1607&lt;&gt;"~"),(COUNTIF($AN$1:$AN1607,$AN1607)=1)),"TRUE","FALSE")</f>
        <v>TRUE</v>
      </c>
      <c r="AI1607" s="661" t="str">
        <f t="shared" si="173"/>
        <v>II</v>
      </c>
      <c r="AJ1607" s="662" t="str">
        <f t="shared" si="174"/>
        <v>TCTV-015</v>
      </c>
      <c r="AK1607" s="662" t="str">
        <f t="shared" si="175"/>
        <v>LVN</v>
      </c>
      <c r="AL1607" s="662" t="str">
        <f t="shared" si="176"/>
        <v>FRD</v>
      </c>
      <c r="AM1607" s="662" t="str">
        <f t="shared" si="172"/>
        <v>Transit Connect Van-XL w/Symmetrical Rear Drs-FWD-2-72.8-~-1.5L Ecoblue Diesel-4-S7E-100A-120.6-15.8-Diesel-Diesel</v>
      </c>
      <c r="AN1607" s="662" t="str">
        <f t="shared" si="177"/>
        <v>2019-LVN-FRD-TCTV-015</v>
      </c>
    </row>
    <row r="1608" spans="1:40" s="572" customFormat="1" ht="30">
      <c r="A1608" s="570" t="s">
        <v>3048</v>
      </c>
      <c r="B1608" s="569" t="s">
        <v>3049</v>
      </c>
      <c r="C1608" s="569" t="s">
        <v>269</v>
      </c>
      <c r="D1608" s="580" t="s">
        <v>270</v>
      </c>
      <c r="E1608" s="569" t="s">
        <v>1516</v>
      </c>
      <c r="F1608" s="569" t="s">
        <v>3009</v>
      </c>
      <c r="G1608" s="569" t="s">
        <v>271</v>
      </c>
      <c r="H1608" s="569">
        <v>2019</v>
      </c>
      <c r="I1608" s="569" t="s">
        <v>3010</v>
      </c>
      <c r="J1608" s="569" t="s">
        <v>3039</v>
      </c>
      <c r="K1608" s="569" t="s">
        <v>156</v>
      </c>
      <c r="L1608" s="569">
        <v>2</v>
      </c>
      <c r="M1608" s="569">
        <v>0</v>
      </c>
      <c r="N1608" s="569" t="s">
        <v>157</v>
      </c>
      <c r="O1608" s="569">
        <v>1</v>
      </c>
      <c r="P1608" s="569">
        <v>72.8</v>
      </c>
      <c r="Q1608" s="568" t="s">
        <v>157</v>
      </c>
      <c r="R1608" s="569" t="s">
        <v>3016</v>
      </c>
      <c r="S1608" s="569">
        <v>4</v>
      </c>
      <c r="T1608" s="569" t="s">
        <v>3047</v>
      </c>
      <c r="U1608" s="569" t="s">
        <v>276</v>
      </c>
      <c r="V1608" s="569">
        <v>120.6</v>
      </c>
      <c r="W1608" s="569">
        <v>15.8</v>
      </c>
      <c r="X1608" s="568">
        <v>5302</v>
      </c>
      <c r="Y1608" s="569">
        <v>24</v>
      </c>
      <c r="Z1608" s="581" t="s">
        <v>178</v>
      </c>
      <c r="AA1608" s="581" t="s">
        <v>178</v>
      </c>
      <c r="AB1608" s="585">
        <v>26295</v>
      </c>
      <c r="AC1608" s="585" t="s">
        <v>164</v>
      </c>
      <c r="AD1608" s="585">
        <v>23212.6875</v>
      </c>
      <c r="AE1608" s="587">
        <v>0.03</v>
      </c>
      <c r="AF1608" s="661" t="str">
        <f t="shared" ref="AF1608:AF1671" si="178">A1608</f>
        <v>2019-LVN-FRD-TCTV-004-05</v>
      </c>
      <c r="AG1608" s="661" t="str">
        <f>IF(AND($Y1608&gt;=32,(AI1608="I"),(Y1608&lt;&gt;"~"),(COUNTIF($AN$1:$AN1608,$AN1608)=1)),"TRUE","FALSE")</f>
        <v>FALSE</v>
      </c>
      <c r="AH1608" s="661" t="str">
        <f>IF(AND($Y1608&gt;=22, (AI1608&lt;&gt;"I"),(Y1608&lt;&gt;"~"),(COUNTIF($AN$1:$AN1608,$AN1608)=1)),"TRUE","FALSE")</f>
        <v>TRUE</v>
      </c>
      <c r="AI1608" s="661" t="str">
        <f t="shared" si="173"/>
        <v>II</v>
      </c>
      <c r="AJ1608" s="662" t="str">
        <f t="shared" si="174"/>
        <v>TCTV-004</v>
      </c>
      <c r="AK1608" s="662" t="str">
        <f t="shared" si="175"/>
        <v>LVN</v>
      </c>
      <c r="AL1608" s="662" t="str">
        <f t="shared" si="176"/>
        <v>FRD</v>
      </c>
      <c r="AM1608" s="662" t="str">
        <f t="shared" si="172"/>
        <v>Transit Connect Van-XL w/Symmetrical Rear Drs-FWD-2-72.8-~-2.0L -4-S7E-100A-120.6-15.8-Unleaded-Unleaded</v>
      </c>
      <c r="AN1608" s="662" t="str">
        <f t="shared" si="177"/>
        <v>2019-LVN-FRD-TCTV-004</v>
      </c>
    </row>
    <row r="1609" spans="1:40" s="572" customFormat="1" ht="30">
      <c r="A1609" s="570" t="s">
        <v>3050</v>
      </c>
      <c r="B1609" s="573" t="s">
        <v>3051</v>
      </c>
      <c r="C1609" s="573" t="s">
        <v>269</v>
      </c>
      <c r="D1609" s="578" t="s">
        <v>270</v>
      </c>
      <c r="E1609" s="573" t="s">
        <v>1516</v>
      </c>
      <c r="F1609" s="573" t="s">
        <v>3009</v>
      </c>
      <c r="G1609" s="573" t="s">
        <v>271</v>
      </c>
      <c r="H1609" s="573">
        <v>2019</v>
      </c>
      <c r="I1609" s="573" t="s">
        <v>3010</v>
      </c>
      <c r="J1609" s="573" t="s">
        <v>3039</v>
      </c>
      <c r="K1609" s="573" t="s">
        <v>156</v>
      </c>
      <c r="L1609" s="573">
        <v>2</v>
      </c>
      <c r="M1609" s="573">
        <v>0</v>
      </c>
      <c r="N1609" s="573" t="s">
        <v>157</v>
      </c>
      <c r="O1609" s="573">
        <v>1</v>
      </c>
      <c r="P1609" s="573">
        <v>72.8</v>
      </c>
      <c r="Q1609" s="571" t="s">
        <v>157</v>
      </c>
      <c r="R1609" s="573" t="s">
        <v>3019</v>
      </c>
      <c r="S1609" s="573">
        <v>4</v>
      </c>
      <c r="T1609" s="573" t="s">
        <v>3047</v>
      </c>
      <c r="U1609" s="573" t="s">
        <v>276</v>
      </c>
      <c r="V1609" s="573">
        <v>120.6</v>
      </c>
      <c r="W1609" s="573">
        <v>15.8</v>
      </c>
      <c r="X1609" s="571">
        <v>5302</v>
      </c>
      <c r="Y1609" s="573">
        <v>24</v>
      </c>
      <c r="Z1609" s="579" t="s">
        <v>178</v>
      </c>
      <c r="AA1609" s="579" t="s">
        <v>178</v>
      </c>
      <c r="AB1609" s="584">
        <v>26610</v>
      </c>
      <c r="AC1609" s="584" t="s">
        <v>164</v>
      </c>
      <c r="AD1609" s="584">
        <v>23492.020833333336</v>
      </c>
      <c r="AE1609" s="586">
        <v>0.03</v>
      </c>
      <c r="AF1609" s="661" t="str">
        <f t="shared" si="178"/>
        <v>2019-LVN-FRD-TCTV-016-05</v>
      </c>
      <c r="AG1609" s="661" t="str">
        <f>IF(AND($Y1609&gt;=32,(AI1609="I"),(Y1609&lt;&gt;"~"),(COUNTIF($AN$1:$AN1609,$AN1609)=1)),"TRUE","FALSE")</f>
        <v>FALSE</v>
      </c>
      <c r="AH1609" s="661" t="str">
        <f>IF(AND($Y1609&gt;=22, (AI1609&lt;&gt;"I"),(Y1609&lt;&gt;"~"),(COUNTIF($AN$1:$AN1609,$AN1609)=1)),"TRUE","FALSE")</f>
        <v>TRUE</v>
      </c>
      <c r="AI1609" s="661" t="str">
        <f t="shared" si="173"/>
        <v>II</v>
      </c>
      <c r="AJ1609" s="662" t="str">
        <f t="shared" si="174"/>
        <v>TCTV-016</v>
      </c>
      <c r="AK1609" s="662" t="str">
        <f t="shared" si="175"/>
        <v>LVN</v>
      </c>
      <c r="AL1609" s="662" t="str">
        <f t="shared" si="176"/>
        <v>FRD</v>
      </c>
      <c r="AM1609" s="662" t="str">
        <f t="shared" si="172"/>
        <v>Transit Connect Van-XL w/Symmetrical Rear Drs-FWD-2-72.8-~-2.5L/CNG Prep-4-S7E-100A-120.6-15.8-Unleaded-Unleaded</v>
      </c>
      <c r="AN1609" s="662" t="str">
        <f t="shared" si="177"/>
        <v>2019-LVN-FRD-TCTV-016</v>
      </c>
    </row>
    <row r="1610" spans="1:40" s="572" customFormat="1" ht="30">
      <c r="A1610" s="570" t="s">
        <v>3052</v>
      </c>
      <c r="B1610" s="569" t="s">
        <v>3042</v>
      </c>
      <c r="C1610" s="569" t="s">
        <v>278</v>
      </c>
      <c r="D1610" s="580">
        <v>15</v>
      </c>
      <c r="E1610" s="569" t="s">
        <v>1516</v>
      </c>
      <c r="F1610" s="569" t="s">
        <v>3009</v>
      </c>
      <c r="G1610" s="569" t="s">
        <v>271</v>
      </c>
      <c r="H1610" s="569">
        <v>2019</v>
      </c>
      <c r="I1610" s="569" t="s">
        <v>3010</v>
      </c>
      <c r="J1610" s="569" t="s">
        <v>3039</v>
      </c>
      <c r="K1610" s="569" t="s">
        <v>156</v>
      </c>
      <c r="L1610" s="569">
        <v>2</v>
      </c>
      <c r="M1610" s="569">
        <v>0</v>
      </c>
      <c r="N1610" s="569" t="s">
        <v>157</v>
      </c>
      <c r="O1610" s="569">
        <v>1</v>
      </c>
      <c r="P1610" s="569">
        <v>72.5</v>
      </c>
      <c r="Q1610" s="568" t="s">
        <v>157</v>
      </c>
      <c r="R1610" s="569" t="s">
        <v>352</v>
      </c>
      <c r="S1610" s="569">
        <v>4</v>
      </c>
      <c r="T1610" s="569" t="s">
        <v>3040</v>
      </c>
      <c r="U1610" s="569" t="s">
        <v>276</v>
      </c>
      <c r="V1610" s="569">
        <v>104.8</v>
      </c>
      <c r="W1610" s="569">
        <v>15.8</v>
      </c>
      <c r="X1610" s="568">
        <v>5020</v>
      </c>
      <c r="Y1610" s="569">
        <v>24</v>
      </c>
      <c r="Z1610" s="581" t="s">
        <v>178</v>
      </c>
      <c r="AA1610" s="581" t="s">
        <v>178</v>
      </c>
      <c r="AB1610" s="585">
        <v>25295</v>
      </c>
      <c r="AC1610" s="585" t="s">
        <v>164</v>
      </c>
      <c r="AD1610" s="585">
        <v>22700</v>
      </c>
      <c r="AE1610" s="587">
        <v>0.01</v>
      </c>
      <c r="AF1610" s="661" t="str">
        <f t="shared" si="178"/>
        <v>2019-LVN-FRD-TCTV-003-15</v>
      </c>
      <c r="AG1610" s="661" t="str">
        <f>IF(AND($Y1610&gt;=32,(AI1610="I"),(Y1610&lt;&gt;"~"),(COUNTIF($AN$1:$AN1610,$AN1610)=1)),"TRUE","FALSE")</f>
        <v>FALSE</v>
      </c>
      <c r="AH1610" s="661" t="str">
        <f>IF(AND($Y1610&gt;=22, (AI1610&lt;&gt;"I"),(Y1610&lt;&gt;"~"),(COUNTIF($AN$1:$AN1610,$AN1610)=1)),"TRUE","FALSE")</f>
        <v>FALSE</v>
      </c>
      <c r="AI1610" s="661" t="str">
        <f t="shared" si="173"/>
        <v>II</v>
      </c>
      <c r="AJ1610" s="662" t="str">
        <f t="shared" si="174"/>
        <v>TCTV-003</v>
      </c>
      <c r="AK1610" s="662" t="str">
        <f t="shared" si="175"/>
        <v>LVN</v>
      </c>
      <c r="AL1610" s="662" t="str">
        <f t="shared" si="176"/>
        <v>FRD</v>
      </c>
      <c r="AM1610" s="662" t="str">
        <f t="shared" si="172"/>
        <v>Transit Connect Van-XL w/Symmetrical Rear Drs-FWD-2-72.5-~-2.0L-4-S6E-100A-104.8-15.8-Unleaded-Unleaded</v>
      </c>
      <c r="AN1610" s="662" t="str">
        <f t="shared" si="177"/>
        <v>2019-LVN-FRD-TCTV-003</v>
      </c>
    </row>
    <row r="1611" spans="1:40" s="572" customFormat="1" ht="30">
      <c r="A1611" s="570" t="s">
        <v>3053</v>
      </c>
      <c r="B1611" s="573" t="s">
        <v>3049</v>
      </c>
      <c r="C1611" s="573" t="s">
        <v>278</v>
      </c>
      <c r="D1611" s="578">
        <v>15</v>
      </c>
      <c r="E1611" s="573" t="s">
        <v>1516</v>
      </c>
      <c r="F1611" s="573" t="s">
        <v>3009</v>
      </c>
      <c r="G1611" s="573" t="s">
        <v>271</v>
      </c>
      <c r="H1611" s="573">
        <v>2019</v>
      </c>
      <c r="I1611" s="573" t="s">
        <v>3010</v>
      </c>
      <c r="J1611" s="573" t="s">
        <v>3039</v>
      </c>
      <c r="K1611" s="573" t="s">
        <v>156</v>
      </c>
      <c r="L1611" s="573">
        <v>2</v>
      </c>
      <c r="M1611" s="573">
        <v>0</v>
      </c>
      <c r="N1611" s="573" t="s">
        <v>157</v>
      </c>
      <c r="O1611" s="573">
        <v>1</v>
      </c>
      <c r="P1611" s="573">
        <v>72.8</v>
      </c>
      <c r="Q1611" s="571" t="s">
        <v>157</v>
      </c>
      <c r="R1611" s="573" t="s">
        <v>352</v>
      </c>
      <c r="S1611" s="573">
        <v>4</v>
      </c>
      <c r="T1611" s="573" t="s">
        <v>3047</v>
      </c>
      <c r="U1611" s="573" t="s">
        <v>276</v>
      </c>
      <c r="V1611" s="573">
        <v>120.6</v>
      </c>
      <c r="W1611" s="573">
        <v>15.8</v>
      </c>
      <c r="X1611" s="571">
        <v>5270</v>
      </c>
      <c r="Y1611" s="573">
        <v>24</v>
      </c>
      <c r="Z1611" s="579" t="s">
        <v>178</v>
      </c>
      <c r="AA1611" s="579" t="s">
        <v>178</v>
      </c>
      <c r="AB1611" s="584">
        <v>26295</v>
      </c>
      <c r="AC1611" s="584" t="s">
        <v>164</v>
      </c>
      <c r="AD1611" s="584">
        <v>23700</v>
      </c>
      <c r="AE1611" s="586">
        <v>0.01</v>
      </c>
      <c r="AF1611" s="661" t="str">
        <f t="shared" si="178"/>
        <v>2019-LVN-FRD-TCTV-004-15</v>
      </c>
      <c r="AG1611" s="661" t="str">
        <f>IF(AND($Y1611&gt;=32,(AI1611="I"),(Y1611&lt;&gt;"~"),(COUNTIF($AN$1:$AN1611,$AN1611)=1)),"TRUE","FALSE")</f>
        <v>FALSE</v>
      </c>
      <c r="AH1611" s="661" t="str">
        <f>IF(AND($Y1611&gt;=22, (AI1611&lt;&gt;"I"),(Y1611&lt;&gt;"~"),(COUNTIF($AN$1:$AN1611,$AN1611)=1)),"TRUE","FALSE")</f>
        <v>FALSE</v>
      </c>
      <c r="AI1611" s="661" t="str">
        <f t="shared" si="173"/>
        <v>II</v>
      </c>
      <c r="AJ1611" s="662" t="str">
        <f t="shared" si="174"/>
        <v>TCTV-004</v>
      </c>
      <c r="AK1611" s="662" t="str">
        <f t="shared" si="175"/>
        <v>LVN</v>
      </c>
      <c r="AL1611" s="662" t="str">
        <f t="shared" si="176"/>
        <v>FRD</v>
      </c>
      <c r="AM1611" s="662" t="str">
        <f t="shared" si="172"/>
        <v>Transit Connect Van-XL w/Symmetrical Rear Drs-FWD-2-72.8-~-2.0L-4-S7E-100A-120.6-15.8-Unleaded-Unleaded</v>
      </c>
      <c r="AN1611" s="662" t="str">
        <f t="shared" si="177"/>
        <v>2019-LVN-FRD-TCTV-004</v>
      </c>
    </row>
    <row r="1612" spans="1:40" s="572" customFormat="1" ht="30">
      <c r="A1612" s="570" t="s">
        <v>3054</v>
      </c>
      <c r="B1612" s="569" t="s">
        <v>3042</v>
      </c>
      <c r="C1612" s="569" t="s">
        <v>287</v>
      </c>
      <c r="D1612" s="580">
        <v>26</v>
      </c>
      <c r="E1612" s="569" t="s">
        <v>1516</v>
      </c>
      <c r="F1612" s="569" t="s">
        <v>3009</v>
      </c>
      <c r="G1612" s="569" t="s">
        <v>271</v>
      </c>
      <c r="H1612" s="569">
        <v>2019</v>
      </c>
      <c r="I1612" s="569" t="s">
        <v>3010</v>
      </c>
      <c r="J1612" s="569" t="s">
        <v>3039</v>
      </c>
      <c r="K1612" s="569" t="s">
        <v>156</v>
      </c>
      <c r="L1612" s="569">
        <v>2</v>
      </c>
      <c r="M1612" s="569">
        <v>0</v>
      </c>
      <c r="N1612" s="569" t="s">
        <v>157</v>
      </c>
      <c r="O1612" s="569">
        <v>1</v>
      </c>
      <c r="P1612" s="569">
        <v>72.5</v>
      </c>
      <c r="Q1612" s="568" t="s">
        <v>157</v>
      </c>
      <c r="R1612" s="569" t="s">
        <v>189</v>
      </c>
      <c r="S1612" s="569">
        <v>4</v>
      </c>
      <c r="T1612" s="569" t="s">
        <v>3040</v>
      </c>
      <c r="U1612" s="569" t="s">
        <v>276</v>
      </c>
      <c r="V1612" s="569">
        <v>104.8</v>
      </c>
      <c r="W1612" s="569">
        <v>15.8</v>
      </c>
      <c r="X1612" s="568">
        <v>5020</v>
      </c>
      <c r="Y1612" s="569">
        <v>24</v>
      </c>
      <c r="Z1612" s="581" t="s">
        <v>178</v>
      </c>
      <c r="AA1612" s="581" t="s">
        <v>178</v>
      </c>
      <c r="AB1612" s="585">
        <v>25220</v>
      </c>
      <c r="AC1612" s="585" t="s">
        <v>164</v>
      </c>
      <c r="AD1612" s="585">
        <v>23092</v>
      </c>
      <c r="AE1612" s="587">
        <v>0.05</v>
      </c>
      <c r="AF1612" s="661" t="str">
        <f t="shared" si="178"/>
        <v>2019-LVN-FRD-TCTV-003-26</v>
      </c>
      <c r="AG1612" s="661" t="str">
        <f>IF(AND($Y1612&gt;=32,(AI1612="I"),(Y1612&lt;&gt;"~"),(COUNTIF($AN$1:$AN1612,$AN1612)=1)),"TRUE","FALSE")</f>
        <v>FALSE</v>
      </c>
      <c r="AH1612" s="661" t="str">
        <f>IF(AND($Y1612&gt;=22, (AI1612&lt;&gt;"I"),(Y1612&lt;&gt;"~"),(COUNTIF($AN$1:$AN1612,$AN1612)=1)),"TRUE","FALSE")</f>
        <v>FALSE</v>
      </c>
      <c r="AI1612" s="661" t="str">
        <f t="shared" si="173"/>
        <v>II</v>
      </c>
      <c r="AJ1612" s="662" t="str">
        <f t="shared" si="174"/>
        <v>TCTV-003</v>
      </c>
      <c r="AK1612" s="662" t="str">
        <f t="shared" si="175"/>
        <v>LVN</v>
      </c>
      <c r="AL1612" s="662" t="str">
        <f t="shared" si="176"/>
        <v>FRD</v>
      </c>
      <c r="AM1612" s="662" t="str">
        <f t="shared" si="172"/>
        <v>Transit Connect Van-XL w/Symmetrical Rear Drs-FWD-2-72.5-~-2.5L-4-S6E-100A-104.8-15.8-Unleaded-Unleaded</v>
      </c>
      <c r="AN1612" s="662" t="str">
        <f t="shared" si="177"/>
        <v>2019-LVN-FRD-TCTV-003</v>
      </c>
    </row>
    <row r="1613" spans="1:40" s="572" customFormat="1" ht="30">
      <c r="A1613" s="570" t="s">
        <v>3055</v>
      </c>
      <c r="B1613" s="573" t="s">
        <v>3049</v>
      </c>
      <c r="C1613" s="573" t="s">
        <v>287</v>
      </c>
      <c r="D1613" s="578">
        <v>26</v>
      </c>
      <c r="E1613" s="573" t="s">
        <v>1516</v>
      </c>
      <c r="F1613" s="573" t="s">
        <v>3009</v>
      </c>
      <c r="G1613" s="573" t="s">
        <v>271</v>
      </c>
      <c r="H1613" s="573">
        <v>2019</v>
      </c>
      <c r="I1613" s="573" t="s">
        <v>3010</v>
      </c>
      <c r="J1613" s="573" t="s">
        <v>3039</v>
      </c>
      <c r="K1613" s="573" t="s">
        <v>156</v>
      </c>
      <c r="L1613" s="573">
        <v>2</v>
      </c>
      <c r="M1613" s="573">
        <v>0</v>
      </c>
      <c r="N1613" s="573" t="s">
        <v>157</v>
      </c>
      <c r="O1613" s="573">
        <v>1</v>
      </c>
      <c r="P1613" s="573">
        <v>72.8</v>
      </c>
      <c r="Q1613" s="571" t="s">
        <v>157</v>
      </c>
      <c r="R1613" s="573" t="s">
        <v>189</v>
      </c>
      <c r="S1613" s="573">
        <v>4</v>
      </c>
      <c r="T1613" s="573" t="s">
        <v>3047</v>
      </c>
      <c r="U1613" s="573" t="s">
        <v>276</v>
      </c>
      <c r="V1613" s="573">
        <v>120.6</v>
      </c>
      <c r="W1613" s="573">
        <v>15.8</v>
      </c>
      <c r="X1613" s="571">
        <v>5270</v>
      </c>
      <c r="Y1613" s="573">
        <v>24</v>
      </c>
      <c r="Z1613" s="579" t="s">
        <v>178</v>
      </c>
      <c r="AA1613" s="579" t="s">
        <v>178</v>
      </c>
      <c r="AB1613" s="584">
        <v>26220</v>
      </c>
      <c r="AC1613" s="584" t="s">
        <v>164</v>
      </c>
      <c r="AD1613" s="584">
        <v>24050</v>
      </c>
      <c r="AE1613" s="586">
        <v>0.05</v>
      </c>
      <c r="AF1613" s="661" t="str">
        <f t="shared" si="178"/>
        <v>2019-LVN-FRD-TCTV-004-26</v>
      </c>
      <c r="AG1613" s="661" t="str">
        <f>IF(AND($Y1613&gt;=32,(AI1613="I"),(Y1613&lt;&gt;"~"),(COUNTIF($AN$1:$AN1613,$AN1613)=1)),"TRUE","FALSE")</f>
        <v>FALSE</v>
      </c>
      <c r="AH1613" s="661" t="str">
        <f>IF(AND($Y1613&gt;=22, (AI1613&lt;&gt;"I"),(Y1613&lt;&gt;"~"),(COUNTIF($AN$1:$AN1613,$AN1613)=1)),"TRUE","FALSE")</f>
        <v>FALSE</v>
      </c>
      <c r="AI1613" s="661" t="str">
        <f t="shared" si="173"/>
        <v>II</v>
      </c>
      <c r="AJ1613" s="662" t="str">
        <f t="shared" si="174"/>
        <v>TCTV-004</v>
      </c>
      <c r="AK1613" s="662" t="str">
        <f t="shared" si="175"/>
        <v>LVN</v>
      </c>
      <c r="AL1613" s="662" t="str">
        <f t="shared" si="176"/>
        <v>FRD</v>
      </c>
      <c r="AM1613" s="662" t="str">
        <f t="shared" si="172"/>
        <v>Transit Connect Van-XL w/Symmetrical Rear Drs-FWD-2-72.8-~-2.5L-4-S7E-100A-120.6-15.8-Unleaded-Unleaded</v>
      </c>
      <c r="AN1613" s="662" t="str">
        <f t="shared" si="177"/>
        <v>2019-LVN-FRD-TCTV-004</v>
      </c>
    </row>
    <row r="1614" spans="1:40" s="572" customFormat="1" ht="30">
      <c r="A1614" s="570" t="s">
        <v>3056</v>
      </c>
      <c r="B1614" s="569" t="s">
        <v>3038</v>
      </c>
      <c r="C1614" s="569" t="s">
        <v>280</v>
      </c>
      <c r="D1614" s="580">
        <v>27</v>
      </c>
      <c r="E1614" s="569" t="s">
        <v>1516</v>
      </c>
      <c r="F1614" s="569" t="s">
        <v>3009</v>
      </c>
      <c r="G1614" s="569" t="s">
        <v>271</v>
      </c>
      <c r="H1614" s="569">
        <v>2019</v>
      </c>
      <c r="I1614" s="569" t="s">
        <v>3010</v>
      </c>
      <c r="J1614" s="569" t="s">
        <v>3039</v>
      </c>
      <c r="K1614" s="569" t="s">
        <v>156</v>
      </c>
      <c r="L1614" s="569">
        <v>2</v>
      </c>
      <c r="M1614" s="569">
        <v>0</v>
      </c>
      <c r="N1614" s="569" t="s">
        <v>157</v>
      </c>
      <c r="O1614" s="569">
        <v>1</v>
      </c>
      <c r="P1614" s="569">
        <v>72.5</v>
      </c>
      <c r="Q1614" s="568" t="s">
        <v>157</v>
      </c>
      <c r="R1614" s="569" t="s">
        <v>3012</v>
      </c>
      <c r="S1614" s="569">
        <v>4</v>
      </c>
      <c r="T1614" s="569" t="s">
        <v>3040</v>
      </c>
      <c r="U1614" s="569" t="s">
        <v>276</v>
      </c>
      <c r="V1614" s="569">
        <v>104.8</v>
      </c>
      <c r="W1614" s="569">
        <v>15.8</v>
      </c>
      <c r="X1614" s="568">
        <v>5240</v>
      </c>
      <c r="Y1614" s="569">
        <v>24</v>
      </c>
      <c r="Z1614" s="581" t="s">
        <v>728</v>
      </c>
      <c r="AA1614" s="581" t="s">
        <v>728</v>
      </c>
      <c r="AB1614" s="585">
        <v>27290</v>
      </c>
      <c r="AC1614" s="585" t="s">
        <v>164</v>
      </c>
      <c r="AD1614" s="585">
        <v>24059.729166666668</v>
      </c>
      <c r="AE1614" s="587">
        <v>0.03</v>
      </c>
      <c r="AF1614" s="661" t="str">
        <f t="shared" si="178"/>
        <v>2019-LVN-FRD-TCTV-013-27</v>
      </c>
      <c r="AG1614" s="661" t="str">
        <f>IF(AND($Y1614&gt;=32,(AI1614="I"),(Y1614&lt;&gt;"~"),(COUNTIF($AN$1:$AN1614,$AN1614)=1)),"TRUE","FALSE")</f>
        <v>FALSE</v>
      </c>
      <c r="AH1614" s="661" t="str">
        <f>IF(AND($Y1614&gt;=22, (AI1614&lt;&gt;"I"),(Y1614&lt;&gt;"~"),(COUNTIF($AN$1:$AN1614,$AN1614)=1)),"TRUE","FALSE")</f>
        <v>FALSE</v>
      </c>
      <c r="AI1614" s="661" t="str">
        <f t="shared" si="173"/>
        <v>II</v>
      </c>
      <c r="AJ1614" s="662" t="str">
        <f t="shared" si="174"/>
        <v>TCTV-013</v>
      </c>
      <c r="AK1614" s="662" t="str">
        <f t="shared" si="175"/>
        <v>LVN</v>
      </c>
      <c r="AL1614" s="662" t="str">
        <f t="shared" si="176"/>
        <v>FRD</v>
      </c>
      <c r="AM1614" s="662" t="str">
        <f t="shared" si="172"/>
        <v>Transit Connect Van-XL w/Symmetrical Rear Drs-FWD-2-72.5-~-1.5L Ecoblue Diesel-4-S6E-100A-104.8-15.8-Diesel-Diesel</v>
      </c>
      <c r="AN1614" s="662" t="str">
        <f t="shared" si="177"/>
        <v>2019-LVN-FRD-TCTV-013</v>
      </c>
    </row>
    <row r="1615" spans="1:40" s="572" customFormat="1" ht="30">
      <c r="A1615" s="570" t="s">
        <v>3057</v>
      </c>
      <c r="B1615" s="573" t="s">
        <v>3042</v>
      </c>
      <c r="C1615" s="573" t="s">
        <v>280</v>
      </c>
      <c r="D1615" s="578">
        <v>27</v>
      </c>
      <c r="E1615" s="573" t="s">
        <v>1516</v>
      </c>
      <c r="F1615" s="573" t="s">
        <v>3009</v>
      </c>
      <c r="G1615" s="573" t="s">
        <v>271</v>
      </c>
      <c r="H1615" s="573">
        <v>2019</v>
      </c>
      <c r="I1615" s="573" t="s">
        <v>3010</v>
      </c>
      <c r="J1615" s="573" t="s">
        <v>3039</v>
      </c>
      <c r="K1615" s="573" t="s">
        <v>156</v>
      </c>
      <c r="L1615" s="573">
        <v>2</v>
      </c>
      <c r="M1615" s="573">
        <v>0</v>
      </c>
      <c r="N1615" s="573" t="s">
        <v>157</v>
      </c>
      <c r="O1615" s="573">
        <v>1</v>
      </c>
      <c r="P1615" s="573">
        <v>72.5</v>
      </c>
      <c r="Q1615" s="571" t="s">
        <v>157</v>
      </c>
      <c r="R1615" s="573" t="s">
        <v>3016</v>
      </c>
      <c r="S1615" s="573">
        <v>4</v>
      </c>
      <c r="T1615" s="573" t="s">
        <v>3040</v>
      </c>
      <c r="U1615" s="573" t="s">
        <v>276</v>
      </c>
      <c r="V1615" s="573">
        <v>104.8</v>
      </c>
      <c r="W1615" s="573">
        <v>15.8</v>
      </c>
      <c r="X1615" s="571">
        <v>5130</v>
      </c>
      <c r="Y1615" s="573">
        <v>24</v>
      </c>
      <c r="Z1615" s="579" t="s">
        <v>178</v>
      </c>
      <c r="AA1615" s="579" t="s">
        <v>178</v>
      </c>
      <c r="AB1615" s="584">
        <v>25295</v>
      </c>
      <c r="AC1615" s="584" t="s">
        <v>164</v>
      </c>
      <c r="AD1615" s="584">
        <v>22287.6875</v>
      </c>
      <c r="AE1615" s="586">
        <v>0.03</v>
      </c>
      <c r="AF1615" s="661" t="str">
        <f t="shared" si="178"/>
        <v>2019-LVN-FRD-TCTV-003-27</v>
      </c>
      <c r="AG1615" s="661" t="str">
        <f>IF(AND($Y1615&gt;=32,(AI1615="I"),(Y1615&lt;&gt;"~"),(COUNTIF($AN$1:$AN1615,$AN1615)=1)),"TRUE","FALSE")</f>
        <v>FALSE</v>
      </c>
      <c r="AH1615" s="661" t="str">
        <f>IF(AND($Y1615&gt;=22, (AI1615&lt;&gt;"I"),(Y1615&lt;&gt;"~"),(COUNTIF($AN$1:$AN1615,$AN1615)=1)),"TRUE","FALSE")</f>
        <v>FALSE</v>
      </c>
      <c r="AI1615" s="661" t="str">
        <f t="shared" si="173"/>
        <v>II</v>
      </c>
      <c r="AJ1615" s="662" t="str">
        <f t="shared" si="174"/>
        <v>TCTV-003</v>
      </c>
      <c r="AK1615" s="662" t="str">
        <f t="shared" si="175"/>
        <v>LVN</v>
      </c>
      <c r="AL1615" s="662" t="str">
        <f t="shared" si="176"/>
        <v>FRD</v>
      </c>
      <c r="AM1615" s="662" t="str">
        <f t="shared" si="172"/>
        <v>Transit Connect Van-XL w/Symmetrical Rear Drs-FWD-2-72.5-~-2.0L -4-S6E-100A-104.8-15.8-Unleaded-Unleaded</v>
      </c>
      <c r="AN1615" s="662" t="str">
        <f t="shared" si="177"/>
        <v>2019-LVN-FRD-TCTV-003</v>
      </c>
    </row>
    <row r="1616" spans="1:40" s="572" customFormat="1" ht="30">
      <c r="A1616" s="570" t="s">
        <v>3058</v>
      </c>
      <c r="B1616" s="569" t="s">
        <v>3044</v>
      </c>
      <c r="C1616" s="569" t="s">
        <v>280</v>
      </c>
      <c r="D1616" s="580">
        <v>27</v>
      </c>
      <c r="E1616" s="569" t="s">
        <v>1516</v>
      </c>
      <c r="F1616" s="569" t="s">
        <v>3009</v>
      </c>
      <c r="G1616" s="569" t="s">
        <v>271</v>
      </c>
      <c r="H1616" s="569">
        <v>2019</v>
      </c>
      <c r="I1616" s="569" t="s">
        <v>3010</v>
      </c>
      <c r="J1616" s="569" t="s">
        <v>3039</v>
      </c>
      <c r="K1616" s="569" t="s">
        <v>156</v>
      </c>
      <c r="L1616" s="569">
        <v>2</v>
      </c>
      <c r="M1616" s="569">
        <v>0</v>
      </c>
      <c r="N1616" s="569" t="s">
        <v>157</v>
      </c>
      <c r="O1616" s="569">
        <v>1</v>
      </c>
      <c r="P1616" s="569">
        <v>72.5</v>
      </c>
      <c r="Q1616" s="568" t="s">
        <v>157</v>
      </c>
      <c r="R1616" s="569" t="s">
        <v>3019</v>
      </c>
      <c r="S1616" s="569">
        <v>4</v>
      </c>
      <c r="T1616" s="569" t="s">
        <v>3040</v>
      </c>
      <c r="U1616" s="569" t="s">
        <v>276</v>
      </c>
      <c r="V1616" s="569">
        <v>104.8</v>
      </c>
      <c r="W1616" s="569">
        <v>15.8</v>
      </c>
      <c r="X1616" s="568">
        <v>5110</v>
      </c>
      <c r="Y1616" s="569">
        <v>24</v>
      </c>
      <c r="Z1616" s="581" t="s">
        <v>178</v>
      </c>
      <c r="AA1616" s="581" t="s">
        <v>178</v>
      </c>
      <c r="AB1616" s="585">
        <v>25610</v>
      </c>
      <c r="AC1616" s="585" t="s">
        <v>164</v>
      </c>
      <c r="AD1616" s="585">
        <v>22567.020833333336</v>
      </c>
      <c r="AE1616" s="587">
        <v>0.03</v>
      </c>
      <c r="AF1616" s="661" t="str">
        <f t="shared" si="178"/>
        <v>2019-LVN-FRD-TCTV-014-27</v>
      </c>
      <c r="AG1616" s="661" t="str">
        <f>IF(AND($Y1616&gt;=32,(AI1616="I"),(Y1616&lt;&gt;"~"),(COUNTIF($AN$1:$AN1616,$AN1616)=1)),"TRUE","FALSE")</f>
        <v>FALSE</v>
      </c>
      <c r="AH1616" s="661" t="str">
        <f>IF(AND($Y1616&gt;=22, (AI1616&lt;&gt;"I"),(Y1616&lt;&gt;"~"),(COUNTIF($AN$1:$AN1616,$AN1616)=1)),"TRUE","FALSE")</f>
        <v>FALSE</v>
      </c>
      <c r="AI1616" s="661" t="str">
        <f t="shared" si="173"/>
        <v>II</v>
      </c>
      <c r="AJ1616" s="662" t="str">
        <f t="shared" si="174"/>
        <v>TCTV-014</v>
      </c>
      <c r="AK1616" s="662" t="str">
        <f t="shared" si="175"/>
        <v>LVN</v>
      </c>
      <c r="AL1616" s="662" t="str">
        <f t="shared" si="176"/>
        <v>FRD</v>
      </c>
      <c r="AM1616" s="662" t="str">
        <f t="shared" si="172"/>
        <v>Transit Connect Van-XL w/Symmetrical Rear Drs-FWD-2-72.5-~-2.5L/CNG Prep-4-S6E-100A-104.8-15.8-Unleaded-Unleaded</v>
      </c>
      <c r="AN1616" s="662" t="str">
        <f t="shared" si="177"/>
        <v>2019-LVN-FRD-TCTV-014</v>
      </c>
    </row>
    <row r="1617" spans="1:40" s="572" customFormat="1" ht="30">
      <c r="A1617" s="570" t="s">
        <v>3059</v>
      </c>
      <c r="B1617" s="573" t="s">
        <v>3046</v>
      </c>
      <c r="C1617" s="573" t="s">
        <v>280</v>
      </c>
      <c r="D1617" s="578">
        <v>27</v>
      </c>
      <c r="E1617" s="573" t="s">
        <v>1516</v>
      </c>
      <c r="F1617" s="573" t="s">
        <v>3009</v>
      </c>
      <c r="G1617" s="573" t="s">
        <v>271</v>
      </c>
      <c r="H1617" s="573">
        <v>2019</v>
      </c>
      <c r="I1617" s="573" t="s">
        <v>3010</v>
      </c>
      <c r="J1617" s="573" t="s">
        <v>3039</v>
      </c>
      <c r="K1617" s="573" t="s">
        <v>156</v>
      </c>
      <c r="L1617" s="573">
        <v>2</v>
      </c>
      <c r="M1617" s="573">
        <v>0</v>
      </c>
      <c r="N1617" s="573" t="s">
        <v>157</v>
      </c>
      <c r="O1617" s="573">
        <v>1</v>
      </c>
      <c r="P1617" s="573">
        <v>72.8</v>
      </c>
      <c r="Q1617" s="571" t="s">
        <v>157</v>
      </c>
      <c r="R1617" s="573" t="s">
        <v>3012</v>
      </c>
      <c r="S1617" s="573">
        <v>4</v>
      </c>
      <c r="T1617" s="573" t="s">
        <v>3047</v>
      </c>
      <c r="U1617" s="573" t="s">
        <v>276</v>
      </c>
      <c r="V1617" s="573">
        <v>120.6</v>
      </c>
      <c r="W1617" s="573">
        <v>15.8</v>
      </c>
      <c r="X1617" s="571">
        <v>5260</v>
      </c>
      <c r="Y1617" s="569">
        <v>24</v>
      </c>
      <c r="Z1617" s="579" t="s">
        <v>728</v>
      </c>
      <c r="AA1617" s="579" t="s">
        <v>728</v>
      </c>
      <c r="AB1617" s="584">
        <v>28290</v>
      </c>
      <c r="AC1617" s="584" t="s">
        <v>164</v>
      </c>
      <c r="AD1617" s="584">
        <v>24984.729166666668</v>
      </c>
      <c r="AE1617" s="586">
        <v>0.03</v>
      </c>
      <c r="AF1617" s="661" t="str">
        <f t="shared" si="178"/>
        <v>2019-LVN-FRD-TCTV-015-27</v>
      </c>
      <c r="AG1617" s="661" t="str">
        <f>IF(AND($Y1617&gt;=32,(AI1617="I"),(Y1617&lt;&gt;"~"),(COUNTIF($AN$1:$AN1617,$AN1617)=1)),"TRUE","FALSE")</f>
        <v>FALSE</v>
      </c>
      <c r="AH1617" s="661" t="str">
        <f>IF(AND($Y1617&gt;=22, (AI1617&lt;&gt;"I"),(Y1617&lt;&gt;"~"),(COUNTIF($AN$1:$AN1617,$AN1617)=1)),"TRUE","FALSE")</f>
        <v>FALSE</v>
      </c>
      <c r="AI1617" s="661" t="str">
        <f t="shared" si="173"/>
        <v>II</v>
      </c>
      <c r="AJ1617" s="662" t="str">
        <f t="shared" si="174"/>
        <v>TCTV-015</v>
      </c>
      <c r="AK1617" s="662" t="str">
        <f t="shared" si="175"/>
        <v>LVN</v>
      </c>
      <c r="AL1617" s="662" t="str">
        <f t="shared" si="176"/>
        <v>FRD</v>
      </c>
      <c r="AM1617" s="662" t="str">
        <f t="shared" si="172"/>
        <v>Transit Connect Van-XL w/Symmetrical Rear Drs-FWD-2-72.8-~-1.5L Ecoblue Diesel-4-S7E-100A-120.6-15.8-Diesel-Diesel</v>
      </c>
      <c r="AN1617" s="662" t="str">
        <f t="shared" si="177"/>
        <v>2019-LVN-FRD-TCTV-015</v>
      </c>
    </row>
    <row r="1618" spans="1:40" s="572" customFormat="1" ht="30">
      <c r="A1618" s="570" t="s">
        <v>3060</v>
      </c>
      <c r="B1618" s="569" t="s">
        <v>3049</v>
      </c>
      <c r="C1618" s="569" t="s">
        <v>280</v>
      </c>
      <c r="D1618" s="580">
        <v>27</v>
      </c>
      <c r="E1618" s="569" t="s">
        <v>1516</v>
      </c>
      <c r="F1618" s="569" t="s">
        <v>3009</v>
      </c>
      <c r="G1618" s="569" t="s">
        <v>271</v>
      </c>
      <c r="H1618" s="569">
        <v>2019</v>
      </c>
      <c r="I1618" s="569" t="s">
        <v>3010</v>
      </c>
      <c r="J1618" s="569" t="s">
        <v>3039</v>
      </c>
      <c r="K1618" s="569" t="s">
        <v>156</v>
      </c>
      <c r="L1618" s="569">
        <v>2</v>
      </c>
      <c r="M1618" s="569">
        <v>0</v>
      </c>
      <c r="N1618" s="569" t="s">
        <v>157</v>
      </c>
      <c r="O1618" s="569">
        <v>1</v>
      </c>
      <c r="P1618" s="569">
        <v>72.8</v>
      </c>
      <c r="Q1618" s="568" t="s">
        <v>157</v>
      </c>
      <c r="R1618" s="569" t="s">
        <v>3016</v>
      </c>
      <c r="S1618" s="569">
        <v>4</v>
      </c>
      <c r="T1618" s="569" t="s">
        <v>3047</v>
      </c>
      <c r="U1618" s="569" t="s">
        <v>276</v>
      </c>
      <c r="V1618" s="569">
        <v>120.6</v>
      </c>
      <c r="W1618" s="569">
        <v>15.8</v>
      </c>
      <c r="X1618" s="568">
        <v>5302</v>
      </c>
      <c r="Y1618" s="569">
        <v>24</v>
      </c>
      <c r="Z1618" s="581" t="s">
        <v>178</v>
      </c>
      <c r="AA1618" s="581" t="s">
        <v>178</v>
      </c>
      <c r="AB1618" s="585">
        <v>26295</v>
      </c>
      <c r="AC1618" s="585" t="s">
        <v>164</v>
      </c>
      <c r="AD1618" s="585">
        <v>23212.6875</v>
      </c>
      <c r="AE1618" s="587">
        <v>0.03</v>
      </c>
      <c r="AF1618" s="661" t="str">
        <f t="shared" si="178"/>
        <v>2019-LVN-FRD-TCTV-004-27</v>
      </c>
      <c r="AG1618" s="661" t="str">
        <f>IF(AND($Y1618&gt;=32,(AI1618="I"),(Y1618&lt;&gt;"~"),(COUNTIF($AN$1:$AN1618,$AN1618)=1)),"TRUE","FALSE")</f>
        <v>FALSE</v>
      </c>
      <c r="AH1618" s="661" t="str">
        <f>IF(AND($Y1618&gt;=22, (AI1618&lt;&gt;"I"),(Y1618&lt;&gt;"~"),(COUNTIF($AN$1:$AN1618,$AN1618)=1)),"TRUE","FALSE")</f>
        <v>FALSE</v>
      </c>
      <c r="AI1618" s="661" t="str">
        <f t="shared" si="173"/>
        <v>II</v>
      </c>
      <c r="AJ1618" s="662" t="str">
        <f t="shared" si="174"/>
        <v>TCTV-004</v>
      </c>
      <c r="AK1618" s="662" t="str">
        <f t="shared" si="175"/>
        <v>LVN</v>
      </c>
      <c r="AL1618" s="662" t="str">
        <f t="shared" si="176"/>
        <v>FRD</v>
      </c>
      <c r="AM1618" s="662" t="str">
        <f t="shared" si="172"/>
        <v>Transit Connect Van-XL w/Symmetrical Rear Drs-FWD-2-72.8-~-2.0L -4-S7E-100A-120.6-15.8-Unleaded-Unleaded</v>
      </c>
      <c r="AN1618" s="662" t="str">
        <f t="shared" si="177"/>
        <v>2019-LVN-FRD-TCTV-004</v>
      </c>
    </row>
    <row r="1619" spans="1:40" s="572" customFormat="1" ht="30">
      <c r="A1619" s="570" t="s">
        <v>3061</v>
      </c>
      <c r="B1619" s="573" t="s">
        <v>3051</v>
      </c>
      <c r="C1619" s="573" t="s">
        <v>280</v>
      </c>
      <c r="D1619" s="578">
        <v>27</v>
      </c>
      <c r="E1619" s="573" t="s">
        <v>1516</v>
      </c>
      <c r="F1619" s="573" t="s">
        <v>3009</v>
      </c>
      <c r="G1619" s="573" t="s">
        <v>271</v>
      </c>
      <c r="H1619" s="573">
        <v>2019</v>
      </c>
      <c r="I1619" s="573" t="s">
        <v>3010</v>
      </c>
      <c r="J1619" s="573" t="s">
        <v>3039</v>
      </c>
      <c r="K1619" s="573" t="s">
        <v>156</v>
      </c>
      <c r="L1619" s="573">
        <v>2</v>
      </c>
      <c r="M1619" s="573">
        <v>0</v>
      </c>
      <c r="N1619" s="573" t="s">
        <v>157</v>
      </c>
      <c r="O1619" s="573">
        <v>1</v>
      </c>
      <c r="P1619" s="573">
        <v>72.8</v>
      </c>
      <c r="Q1619" s="571" t="s">
        <v>157</v>
      </c>
      <c r="R1619" s="573" t="s">
        <v>3019</v>
      </c>
      <c r="S1619" s="573">
        <v>4</v>
      </c>
      <c r="T1619" s="573" t="s">
        <v>3047</v>
      </c>
      <c r="U1619" s="573" t="s">
        <v>276</v>
      </c>
      <c r="V1619" s="573">
        <v>120.6</v>
      </c>
      <c r="W1619" s="573">
        <v>15.8</v>
      </c>
      <c r="X1619" s="571">
        <v>5302</v>
      </c>
      <c r="Y1619" s="573">
        <v>24</v>
      </c>
      <c r="Z1619" s="579" t="s">
        <v>178</v>
      </c>
      <c r="AA1619" s="579" t="s">
        <v>178</v>
      </c>
      <c r="AB1619" s="584">
        <v>26610</v>
      </c>
      <c r="AC1619" s="584" t="s">
        <v>164</v>
      </c>
      <c r="AD1619" s="584">
        <v>23492.020833333336</v>
      </c>
      <c r="AE1619" s="586">
        <v>0.03</v>
      </c>
      <c r="AF1619" s="661" t="str">
        <f t="shared" si="178"/>
        <v>2019-LVN-FRD-TCTV-016-27</v>
      </c>
      <c r="AG1619" s="661" t="str">
        <f>IF(AND($Y1619&gt;=32,(AI1619="I"),(Y1619&lt;&gt;"~"),(COUNTIF($AN$1:$AN1619,$AN1619)=1)),"TRUE","FALSE")</f>
        <v>FALSE</v>
      </c>
      <c r="AH1619" s="661" t="str">
        <f>IF(AND($Y1619&gt;=22, (AI1619&lt;&gt;"I"),(Y1619&lt;&gt;"~"),(COUNTIF($AN$1:$AN1619,$AN1619)=1)),"TRUE","FALSE")</f>
        <v>FALSE</v>
      </c>
      <c r="AI1619" s="661" t="str">
        <f t="shared" si="173"/>
        <v>II</v>
      </c>
      <c r="AJ1619" s="662" t="str">
        <f t="shared" si="174"/>
        <v>TCTV-016</v>
      </c>
      <c r="AK1619" s="662" t="str">
        <f t="shared" si="175"/>
        <v>LVN</v>
      </c>
      <c r="AL1619" s="662" t="str">
        <f t="shared" si="176"/>
        <v>FRD</v>
      </c>
      <c r="AM1619" s="662" t="str">
        <f t="shared" si="172"/>
        <v>Transit Connect Van-XL w/Symmetrical Rear Drs-FWD-2-72.8-~-2.5L/CNG Prep-4-S7E-100A-120.6-15.8-Unleaded-Unleaded</v>
      </c>
      <c r="AN1619" s="662" t="str">
        <f t="shared" si="177"/>
        <v>2019-LVN-FRD-TCTV-016</v>
      </c>
    </row>
    <row r="1620" spans="1:40" s="572" customFormat="1" ht="15">
      <c r="A1620" s="570" t="s">
        <v>3062</v>
      </c>
      <c r="B1620" s="569" t="s">
        <v>3063</v>
      </c>
      <c r="C1620" s="569" t="s">
        <v>269</v>
      </c>
      <c r="D1620" s="580" t="s">
        <v>270</v>
      </c>
      <c r="E1620" s="569" t="s">
        <v>1516</v>
      </c>
      <c r="F1620" s="569" t="s">
        <v>3009</v>
      </c>
      <c r="G1620" s="569" t="s">
        <v>271</v>
      </c>
      <c r="H1620" s="569">
        <v>2019</v>
      </c>
      <c r="I1620" s="569" t="s">
        <v>3010</v>
      </c>
      <c r="J1620" s="569" t="s">
        <v>3064</v>
      </c>
      <c r="K1620" s="569" t="s">
        <v>156</v>
      </c>
      <c r="L1620" s="569">
        <v>2</v>
      </c>
      <c r="M1620" s="569">
        <v>0</v>
      </c>
      <c r="N1620" s="569" t="s">
        <v>157</v>
      </c>
      <c r="O1620" s="569">
        <v>1</v>
      </c>
      <c r="P1620" s="569">
        <v>72.5</v>
      </c>
      <c r="Q1620" s="568" t="s">
        <v>157</v>
      </c>
      <c r="R1620" s="569" t="s">
        <v>3012</v>
      </c>
      <c r="S1620" s="569">
        <v>4</v>
      </c>
      <c r="T1620" s="569" t="s">
        <v>3065</v>
      </c>
      <c r="U1620" s="569" t="s">
        <v>3066</v>
      </c>
      <c r="V1620" s="569">
        <v>104.8</v>
      </c>
      <c r="W1620" s="569">
        <v>15.8</v>
      </c>
      <c r="X1620" s="568">
        <v>5240</v>
      </c>
      <c r="Y1620" s="569">
        <v>24</v>
      </c>
      <c r="Z1620" s="581" t="s">
        <v>728</v>
      </c>
      <c r="AA1620" s="581" t="s">
        <v>728</v>
      </c>
      <c r="AB1620" s="585">
        <v>29235</v>
      </c>
      <c r="AC1620" s="585" t="s">
        <v>164</v>
      </c>
      <c r="AD1620" s="585">
        <v>25857.645833333336</v>
      </c>
      <c r="AE1620" s="587">
        <v>0.03</v>
      </c>
      <c r="AF1620" s="661" t="str">
        <f t="shared" si="178"/>
        <v>2019-LVN-FRD-TCTV-017-05</v>
      </c>
      <c r="AG1620" s="661" t="str">
        <f>IF(AND($Y1620&gt;=32,(AI1620="I"),(Y1620&lt;&gt;"~"),(COUNTIF($AN$1:$AN1620,$AN1620)=1)),"TRUE","FALSE")</f>
        <v>FALSE</v>
      </c>
      <c r="AH1620" s="661" t="str">
        <f>IF(AND($Y1620&gt;=22, (AI1620&lt;&gt;"I"),(Y1620&lt;&gt;"~"),(COUNTIF($AN$1:$AN1620,$AN1620)=1)),"TRUE","FALSE")</f>
        <v>TRUE</v>
      </c>
      <c r="AI1620" s="661" t="str">
        <f t="shared" si="173"/>
        <v>II</v>
      </c>
      <c r="AJ1620" s="662" t="str">
        <f t="shared" si="174"/>
        <v>TCTV-017</v>
      </c>
      <c r="AK1620" s="662" t="str">
        <f t="shared" si="175"/>
        <v>LVN</v>
      </c>
      <c r="AL1620" s="662" t="str">
        <f t="shared" si="176"/>
        <v>FRD</v>
      </c>
      <c r="AM1620" s="662" t="str">
        <f t="shared" si="172"/>
        <v>Transit Connect Van-XLT w/Rear Liftgate-FWD-2-72.5-~-1.5L Ecoblue Diesel-4-E6F-110A-104.8-15.8-Diesel-Diesel</v>
      </c>
      <c r="AN1620" s="662" t="str">
        <f t="shared" si="177"/>
        <v>2019-LVN-FRD-TCTV-017</v>
      </c>
    </row>
    <row r="1621" spans="1:40" s="572" customFormat="1" ht="15">
      <c r="A1621" s="570" t="s">
        <v>3067</v>
      </c>
      <c r="B1621" s="573" t="s">
        <v>3068</v>
      </c>
      <c r="C1621" s="573" t="s">
        <v>269</v>
      </c>
      <c r="D1621" s="578" t="s">
        <v>270</v>
      </c>
      <c r="E1621" s="573" t="s">
        <v>1516</v>
      </c>
      <c r="F1621" s="573" t="s">
        <v>3009</v>
      </c>
      <c r="G1621" s="573" t="s">
        <v>271</v>
      </c>
      <c r="H1621" s="573">
        <v>2019</v>
      </c>
      <c r="I1621" s="573" t="s">
        <v>3010</v>
      </c>
      <c r="J1621" s="573" t="s">
        <v>3064</v>
      </c>
      <c r="K1621" s="573" t="s">
        <v>156</v>
      </c>
      <c r="L1621" s="573">
        <v>2</v>
      </c>
      <c r="M1621" s="573">
        <v>0</v>
      </c>
      <c r="N1621" s="573" t="s">
        <v>157</v>
      </c>
      <c r="O1621" s="573">
        <v>1</v>
      </c>
      <c r="P1621" s="573">
        <v>72.5</v>
      </c>
      <c r="Q1621" s="571" t="s">
        <v>157</v>
      </c>
      <c r="R1621" s="573" t="s">
        <v>3016</v>
      </c>
      <c r="S1621" s="573">
        <v>4</v>
      </c>
      <c r="T1621" s="573" t="s">
        <v>3065</v>
      </c>
      <c r="U1621" s="573" t="s">
        <v>3066</v>
      </c>
      <c r="V1621" s="573">
        <v>104.8</v>
      </c>
      <c r="W1621" s="573">
        <v>15.8</v>
      </c>
      <c r="X1621" s="571">
        <v>5130</v>
      </c>
      <c r="Y1621" s="573">
        <v>24</v>
      </c>
      <c r="Z1621" s="579" t="s">
        <v>178</v>
      </c>
      <c r="AA1621" s="579" t="s">
        <v>178</v>
      </c>
      <c r="AB1621" s="584">
        <v>27240</v>
      </c>
      <c r="AC1621" s="584" t="s">
        <v>164</v>
      </c>
      <c r="AD1621" s="584">
        <v>24085.604166666668</v>
      </c>
      <c r="AE1621" s="586">
        <v>0.03</v>
      </c>
      <c r="AF1621" s="661" t="str">
        <f t="shared" si="178"/>
        <v>2019-LVN-FRD-TCTV-005-05</v>
      </c>
      <c r="AG1621" s="661" t="str">
        <f>IF(AND($Y1621&gt;=32,(AI1621="I"),(Y1621&lt;&gt;"~"),(COUNTIF($AN$1:$AN1621,$AN1621)=1)),"TRUE","FALSE")</f>
        <v>FALSE</v>
      </c>
      <c r="AH1621" s="661" t="str">
        <f>IF(AND($Y1621&gt;=22, (AI1621&lt;&gt;"I"),(Y1621&lt;&gt;"~"),(COUNTIF($AN$1:$AN1621,$AN1621)=1)),"TRUE","FALSE")</f>
        <v>TRUE</v>
      </c>
      <c r="AI1621" s="661" t="str">
        <f t="shared" si="173"/>
        <v>II</v>
      </c>
      <c r="AJ1621" s="662" t="str">
        <f t="shared" si="174"/>
        <v>TCTV-005</v>
      </c>
      <c r="AK1621" s="662" t="str">
        <f t="shared" si="175"/>
        <v>LVN</v>
      </c>
      <c r="AL1621" s="662" t="str">
        <f t="shared" si="176"/>
        <v>FRD</v>
      </c>
      <c r="AM1621" s="662" t="str">
        <f t="shared" si="172"/>
        <v>Transit Connect Van-XLT w/Rear Liftgate-FWD-2-72.5-~-2.0L -4-E6F-110A-104.8-15.8-Unleaded-Unleaded</v>
      </c>
      <c r="AN1621" s="662" t="str">
        <f t="shared" si="177"/>
        <v>2019-LVN-FRD-TCTV-005</v>
      </c>
    </row>
    <row r="1622" spans="1:40" s="572" customFormat="1" ht="15">
      <c r="A1622" s="570" t="s">
        <v>3069</v>
      </c>
      <c r="B1622" s="569" t="s">
        <v>3070</v>
      </c>
      <c r="C1622" s="569" t="s">
        <v>269</v>
      </c>
      <c r="D1622" s="580" t="s">
        <v>270</v>
      </c>
      <c r="E1622" s="569" t="s">
        <v>1516</v>
      </c>
      <c r="F1622" s="569" t="s">
        <v>3009</v>
      </c>
      <c r="G1622" s="569" t="s">
        <v>271</v>
      </c>
      <c r="H1622" s="569">
        <v>2019</v>
      </c>
      <c r="I1622" s="569" t="s">
        <v>3010</v>
      </c>
      <c r="J1622" s="569" t="s">
        <v>3064</v>
      </c>
      <c r="K1622" s="569" t="s">
        <v>156</v>
      </c>
      <c r="L1622" s="569">
        <v>2</v>
      </c>
      <c r="M1622" s="569">
        <v>0</v>
      </c>
      <c r="N1622" s="569" t="s">
        <v>157</v>
      </c>
      <c r="O1622" s="569">
        <v>1</v>
      </c>
      <c r="P1622" s="569">
        <v>72.5</v>
      </c>
      <c r="Q1622" s="568" t="s">
        <v>157</v>
      </c>
      <c r="R1622" s="569" t="s">
        <v>3019</v>
      </c>
      <c r="S1622" s="569">
        <v>4</v>
      </c>
      <c r="T1622" s="569" t="s">
        <v>3065</v>
      </c>
      <c r="U1622" s="569" t="s">
        <v>3066</v>
      </c>
      <c r="V1622" s="569">
        <v>104.8</v>
      </c>
      <c r="W1622" s="569">
        <v>15.8</v>
      </c>
      <c r="X1622" s="568">
        <v>5110</v>
      </c>
      <c r="Y1622" s="569">
        <v>24</v>
      </c>
      <c r="Z1622" s="581" t="s">
        <v>178</v>
      </c>
      <c r="AA1622" s="581" t="s">
        <v>178</v>
      </c>
      <c r="AB1622" s="585">
        <v>27555</v>
      </c>
      <c r="AC1622" s="585" t="s">
        <v>164</v>
      </c>
      <c r="AD1622" s="585">
        <v>24364.9375</v>
      </c>
      <c r="AE1622" s="587">
        <v>0.03</v>
      </c>
      <c r="AF1622" s="661" t="str">
        <f t="shared" si="178"/>
        <v>2019-LVN-FRD-TCTV-018-05</v>
      </c>
      <c r="AG1622" s="661" t="str">
        <f>IF(AND($Y1622&gt;=32,(AI1622="I"),(Y1622&lt;&gt;"~"),(COUNTIF($AN$1:$AN1622,$AN1622)=1)),"TRUE","FALSE")</f>
        <v>FALSE</v>
      </c>
      <c r="AH1622" s="661" t="str">
        <f>IF(AND($Y1622&gt;=22, (AI1622&lt;&gt;"I"),(Y1622&lt;&gt;"~"),(COUNTIF($AN$1:$AN1622,$AN1622)=1)),"TRUE","FALSE")</f>
        <v>TRUE</v>
      </c>
      <c r="AI1622" s="661" t="str">
        <f t="shared" si="173"/>
        <v>II</v>
      </c>
      <c r="AJ1622" s="662" t="str">
        <f t="shared" si="174"/>
        <v>TCTV-018</v>
      </c>
      <c r="AK1622" s="662" t="str">
        <f t="shared" si="175"/>
        <v>LVN</v>
      </c>
      <c r="AL1622" s="662" t="str">
        <f t="shared" si="176"/>
        <v>FRD</v>
      </c>
      <c r="AM1622" s="662" t="str">
        <f t="shared" si="172"/>
        <v>Transit Connect Van-XLT w/Rear Liftgate-FWD-2-72.5-~-2.5L/CNG Prep-4-E6F-110A-104.8-15.8-Unleaded-Unleaded</v>
      </c>
      <c r="AN1622" s="662" t="str">
        <f t="shared" si="177"/>
        <v>2019-LVN-FRD-TCTV-018</v>
      </c>
    </row>
    <row r="1623" spans="1:40" s="572" customFormat="1" ht="15">
      <c r="A1623" s="570" t="s">
        <v>3071</v>
      </c>
      <c r="B1623" s="573" t="s">
        <v>3072</v>
      </c>
      <c r="C1623" s="573" t="s">
        <v>269</v>
      </c>
      <c r="D1623" s="578" t="s">
        <v>270</v>
      </c>
      <c r="E1623" s="573" t="s">
        <v>1516</v>
      </c>
      <c r="F1623" s="573" t="s">
        <v>3009</v>
      </c>
      <c r="G1623" s="573" t="s">
        <v>271</v>
      </c>
      <c r="H1623" s="573">
        <v>2019</v>
      </c>
      <c r="I1623" s="573" t="s">
        <v>3010</v>
      </c>
      <c r="J1623" s="573" t="s">
        <v>3064</v>
      </c>
      <c r="K1623" s="573" t="s">
        <v>156</v>
      </c>
      <c r="L1623" s="573">
        <v>2</v>
      </c>
      <c r="M1623" s="573">
        <v>0</v>
      </c>
      <c r="N1623" s="573" t="s">
        <v>157</v>
      </c>
      <c r="O1623" s="573">
        <v>1</v>
      </c>
      <c r="P1623" s="573">
        <v>72.8</v>
      </c>
      <c r="Q1623" s="571" t="s">
        <v>157</v>
      </c>
      <c r="R1623" s="573" t="s">
        <v>3012</v>
      </c>
      <c r="S1623" s="573">
        <v>4</v>
      </c>
      <c r="T1623" s="573" t="s">
        <v>3073</v>
      </c>
      <c r="U1623" s="573" t="s">
        <v>3066</v>
      </c>
      <c r="V1623" s="573">
        <v>120.6</v>
      </c>
      <c r="W1623" s="573">
        <v>15.8</v>
      </c>
      <c r="X1623" s="571">
        <v>5260</v>
      </c>
      <c r="Y1623" s="569">
        <v>24</v>
      </c>
      <c r="Z1623" s="579" t="s">
        <v>728</v>
      </c>
      <c r="AA1623" s="579"/>
      <c r="AB1623" s="584">
        <v>30235</v>
      </c>
      <c r="AC1623" s="584" t="s">
        <v>164</v>
      </c>
      <c r="AD1623" s="584">
        <v>26781.604166666668</v>
      </c>
      <c r="AE1623" s="586">
        <v>0.03</v>
      </c>
      <c r="AF1623" s="661" t="str">
        <f t="shared" si="178"/>
        <v>2019-LVN-FRD-TCTV-019-05</v>
      </c>
      <c r="AG1623" s="661" t="str">
        <f>IF(AND($Y1623&gt;=32,(AI1623="I"),(Y1623&lt;&gt;"~"),(COUNTIF($AN$1:$AN1623,$AN1623)=1)),"TRUE","FALSE")</f>
        <v>FALSE</v>
      </c>
      <c r="AH1623" s="661" t="str">
        <f>IF(AND($Y1623&gt;=22, (AI1623&lt;&gt;"I"),(Y1623&lt;&gt;"~"),(COUNTIF($AN$1:$AN1623,$AN1623)=1)),"TRUE","FALSE")</f>
        <v>TRUE</v>
      </c>
      <c r="AI1623" s="661" t="str">
        <f t="shared" si="173"/>
        <v>II</v>
      </c>
      <c r="AJ1623" s="662" t="str">
        <f t="shared" si="174"/>
        <v>TCTV-019</v>
      </c>
      <c r="AK1623" s="662" t="str">
        <f t="shared" si="175"/>
        <v>LVN</v>
      </c>
      <c r="AL1623" s="662" t="str">
        <f t="shared" si="176"/>
        <v>FRD</v>
      </c>
      <c r="AM1623" s="662" t="str">
        <f t="shared" si="172"/>
        <v>Transit Connect Van-XLT w/Rear Liftgate-FWD-2-72.8-~-1.5L Ecoblue Diesel-4-E7F-110A-120.6-15.8-Diesel-</v>
      </c>
      <c r="AN1623" s="662" t="str">
        <f t="shared" si="177"/>
        <v>2019-LVN-FRD-TCTV-019</v>
      </c>
    </row>
    <row r="1624" spans="1:40" s="572" customFormat="1" ht="15">
      <c r="A1624" s="570" t="s">
        <v>3074</v>
      </c>
      <c r="B1624" s="569" t="s">
        <v>3075</v>
      </c>
      <c r="C1624" s="569" t="s">
        <v>269</v>
      </c>
      <c r="D1624" s="580" t="s">
        <v>270</v>
      </c>
      <c r="E1624" s="569" t="s">
        <v>1516</v>
      </c>
      <c r="F1624" s="569" t="s">
        <v>3009</v>
      </c>
      <c r="G1624" s="569" t="s">
        <v>271</v>
      </c>
      <c r="H1624" s="569">
        <v>2019</v>
      </c>
      <c r="I1624" s="569" t="s">
        <v>3010</v>
      </c>
      <c r="J1624" s="569" t="s">
        <v>3064</v>
      </c>
      <c r="K1624" s="569" t="s">
        <v>156</v>
      </c>
      <c r="L1624" s="569">
        <v>2</v>
      </c>
      <c r="M1624" s="569">
        <v>0</v>
      </c>
      <c r="N1624" s="569" t="s">
        <v>157</v>
      </c>
      <c r="O1624" s="569">
        <v>1</v>
      </c>
      <c r="P1624" s="569">
        <v>72.8</v>
      </c>
      <c r="Q1624" s="568" t="s">
        <v>157</v>
      </c>
      <c r="R1624" s="569" t="s">
        <v>3016</v>
      </c>
      <c r="S1624" s="569">
        <v>4</v>
      </c>
      <c r="T1624" s="569" t="s">
        <v>3073</v>
      </c>
      <c r="U1624" s="569" t="s">
        <v>3066</v>
      </c>
      <c r="V1624" s="569">
        <v>120.6</v>
      </c>
      <c r="W1624" s="569">
        <v>15.8</v>
      </c>
      <c r="X1624" s="568">
        <v>5302</v>
      </c>
      <c r="Y1624" s="569">
        <v>24</v>
      </c>
      <c r="Z1624" s="581" t="s">
        <v>178</v>
      </c>
      <c r="AA1624" s="581" t="s">
        <v>178</v>
      </c>
      <c r="AB1624" s="585">
        <v>28240</v>
      </c>
      <c r="AC1624" s="585" t="s">
        <v>164</v>
      </c>
      <c r="AD1624" s="585">
        <v>25009.5625</v>
      </c>
      <c r="AE1624" s="587">
        <v>0.03</v>
      </c>
      <c r="AF1624" s="661" t="str">
        <f t="shared" si="178"/>
        <v>2019-LVN-FRD-TCTV-006-05</v>
      </c>
      <c r="AG1624" s="661" t="str">
        <f>IF(AND($Y1624&gt;=32,(AI1624="I"),(Y1624&lt;&gt;"~"),(COUNTIF($AN$1:$AN1624,$AN1624)=1)),"TRUE","FALSE")</f>
        <v>FALSE</v>
      </c>
      <c r="AH1624" s="661" t="str">
        <f>IF(AND($Y1624&gt;=22, (AI1624&lt;&gt;"I"),(Y1624&lt;&gt;"~"),(COUNTIF($AN$1:$AN1624,$AN1624)=1)),"TRUE","FALSE")</f>
        <v>TRUE</v>
      </c>
      <c r="AI1624" s="661" t="str">
        <f t="shared" si="173"/>
        <v>II</v>
      </c>
      <c r="AJ1624" s="662" t="str">
        <f t="shared" si="174"/>
        <v>TCTV-006</v>
      </c>
      <c r="AK1624" s="662" t="str">
        <f t="shared" si="175"/>
        <v>LVN</v>
      </c>
      <c r="AL1624" s="662" t="str">
        <f t="shared" si="176"/>
        <v>FRD</v>
      </c>
      <c r="AM1624" s="662" t="str">
        <f t="shared" si="172"/>
        <v>Transit Connect Van-XLT w/Rear Liftgate-FWD-2-72.8-~-2.0L -4-E7F-110A-120.6-15.8-Unleaded-Unleaded</v>
      </c>
      <c r="AN1624" s="662" t="str">
        <f t="shared" si="177"/>
        <v>2019-LVN-FRD-TCTV-006</v>
      </c>
    </row>
    <row r="1625" spans="1:40" s="572" customFormat="1" ht="15">
      <c r="A1625" s="570" t="s">
        <v>3076</v>
      </c>
      <c r="B1625" s="573" t="s">
        <v>3077</v>
      </c>
      <c r="C1625" s="573" t="s">
        <v>269</v>
      </c>
      <c r="D1625" s="578" t="s">
        <v>270</v>
      </c>
      <c r="E1625" s="573" t="s">
        <v>1516</v>
      </c>
      <c r="F1625" s="573" t="s">
        <v>3009</v>
      </c>
      <c r="G1625" s="573" t="s">
        <v>271</v>
      </c>
      <c r="H1625" s="573">
        <v>2019</v>
      </c>
      <c r="I1625" s="573" t="s">
        <v>3010</v>
      </c>
      <c r="J1625" s="573" t="s">
        <v>3064</v>
      </c>
      <c r="K1625" s="573" t="s">
        <v>156</v>
      </c>
      <c r="L1625" s="573">
        <v>2</v>
      </c>
      <c r="M1625" s="573">
        <v>0</v>
      </c>
      <c r="N1625" s="573" t="s">
        <v>157</v>
      </c>
      <c r="O1625" s="573">
        <v>1</v>
      </c>
      <c r="P1625" s="573">
        <v>72.8</v>
      </c>
      <c r="Q1625" s="571" t="s">
        <v>157</v>
      </c>
      <c r="R1625" s="573" t="s">
        <v>3019</v>
      </c>
      <c r="S1625" s="573">
        <v>4</v>
      </c>
      <c r="T1625" s="573" t="s">
        <v>3073</v>
      </c>
      <c r="U1625" s="573" t="s">
        <v>3066</v>
      </c>
      <c r="V1625" s="573">
        <v>120.6</v>
      </c>
      <c r="W1625" s="573">
        <v>15.8</v>
      </c>
      <c r="X1625" s="571">
        <v>5302</v>
      </c>
      <c r="Y1625" s="573">
        <v>24</v>
      </c>
      <c r="Z1625" s="579" t="s">
        <v>178</v>
      </c>
      <c r="AA1625" s="579" t="s">
        <v>178</v>
      </c>
      <c r="AB1625" s="584">
        <v>28555</v>
      </c>
      <c r="AC1625" s="584" t="s">
        <v>164</v>
      </c>
      <c r="AD1625" s="584">
        <v>25288.895833333336</v>
      </c>
      <c r="AE1625" s="586">
        <v>0.03</v>
      </c>
      <c r="AF1625" s="661" t="str">
        <f t="shared" si="178"/>
        <v>2019-LVN-FRD-TCTV-020-05</v>
      </c>
      <c r="AG1625" s="661" t="str">
        <f>IF(AND($Y1625&gt;=32,(AI1625="I"),(Y1625&lt;&gt;"~"),(COUNTIF($AN$1:$AN1625,$AN1625)=1)),"TRUE","FALSE")</f>
        <v>FALSE</v>
      </c>
      <c r="AH1625" s="661" t="str">
        <f>IF(AND($Y1625&gt;=22, (AI1625&lt;&gt;"I"),(Y1625&lt;&gt;"~"),(COUNTIF($AN$1:$AN1625,$AN1625)=1)),"TRUE","FALSE")</f>
        <v>TRUE</v>
      </c>
      <c r="AI1625" s="661" t="str">
        <f t="shared" si="173"/>
        <v>II</v>
      </c>
      <c r="AJ1625" s="662" t="str">
        <f t="shared" si="174"/>
        <v>TCTV-020</v>
      </c>
      <c r="AK1625" s="662" t="str">
        <f t="shared" si="175"/>
        <v>LVN</v>
      </c>
      <c r="AL1625" s="662" t="str">
        <f t="shared" si="176"/>
        <v>FRD</v>
      </c>
      <c r="AM1625" s="662" t="str">
        <f t="shared" si="172"/>
        <v>Transit Connect Van-XLT w/Rear Liftgate-FWD-2-72.8-~-2.5L/CNG Prep-4-E7F-110A-120.6-15.8-Unleaded-Unleaded</v>
      </c>
      <c r="AN1625" s="662" t="str">
        <f t="shared" si="177"/>
        <v>2019-LVN-FRD-TCTV-020</v>
      </c>
    </row>
    <row r="1626" spans="1:40" s="572" customFormat="1" ht="15">
      <c r="A1626" s="570" t="s">
        <v>3078</v>
      </c>
      <c r="B1626" s="569" t="s">
        <v>3068</v>
      </c>
      <c r="C1626" s="569" t="s">
        <v>278</v>
      </c>
      <c r="D1626" s="580">
        <v>15</v>
      </c>
      <c r="E1626" s="569" t="s">
        <v>1516</v>
      </c>
      <c r="F1626" s="569" t="s">
        <v>3009</v>
      </c>
      <c r="G1626" s="569" t="s">
        <v>271</v>
      </c>
      <c r="H1626" s="569">
        <v>2019</v>
      </c>
      <c r="I1626" s="569" t="s">
        <v>3010</v>
      </c>
      <c r="J1626" s="569" t="s">
        <v>3064</v>
      </c>
      <c r="K1626" s="569" t="s">
        <v>156</v>
      </c>
      <c r="L1626" s="569">
        <v>2</v>
      </c>
      <c r="M1626" s="569">
        <v>0</v>
      </c>
      <c r="N1626" s="569" t="s">
        <v>157</v>
      </c>
      <c r="O1626" s="569">
        <v>1</v>
      </c>
      <c r="P1626" s="569">
        <v>72.5</v>
      </c>
      <c r="Q1626" s="568" t="s">
        <v>157</v>
      </c>
      <c r="R1626" s="569" t="s">
        <v>352</v>
      </c>
      <c r="S1626" s="569">
        <v>4</v>
      </c>
      <c r="T1626" s="569" t="s">
        <v>3065</v>
      </c>
      <c r="U1626" s="569" t="s">
        <v>3066</v>
      </c>
      <c r="V1626" s="569">
        <v>104.8</v>
      </c>
      <c r="W1626" s="569">
        <v>15.8</v>
      </c>
      <c r="X1626" s="568">
        <v>5020</v>
      </c>
      <c r="Y1626" s="569">
        <v>24</v>
      </c>
      <c r="Z1626" s="581" t="s">
        <v>178</v>
      </c>
      <c r="AA1626" s="581" t="s">
        <v>178</v>
      </c>
      <c r="AB1626" s="585">
        <v>27240</v>
      </c>
      <c r="AC1626" s="585" t="s">
        <v>164</v>
      </c>
      <c r="AD1626" s="585">
        <v>24600</v>
      </c>
      <c r="AE1626" s="587">
        <v>0.01</v>
      </c>
      <c r="AF1626" s="661" t="str">
        <f t="shared" si="178"/>
        <v>2019-LVN-FRD-TCTV-005-15</v>
      </c>
      <c r="AG1626" s="661" t="str">
        <f>IF(AND($Y1626&gt;=32,(AI1626="I"),(Y1626&lt;&gt;"~"),(COUNTIF($AN$1:$AN1626,$AN1626)=1)),"TRUE","FALSE")</f>
        <v>FALSE</v>
      </c>
      <c r="AH1626" s="661" t="str">
        <f>IF(AND($Y1626&gt;=22, (AI1626&lt;&gt;"I"),(Y1626&lt;&gt;"~"),(COUNTIF($AN$1:$AN1626,$AN1626)=1)),"TRUE","FALSE")</f>
        <v>FALSE</v>
      </c>
      <c r="AI1626" s="661" t="str">
        <f t="shared" si="173"/>
        <v>II</v>
      </c>
      <c r="AJ1626" s="662" t="str">
        <f t="shared" si="174"/>
        <v>TCTV-005</v>
      </c>
      <c r="AK1626" s="662" t="str">
        <f t="shared" si="175"/>
        <v>LVN</v>
      </c>
      <c r="AL1626" s="662" t="str">
        <f t="shared" si="176"/>
        <v>FRD</v>
      </c>
      <c r="AM1626" s="662" t="str">
        <f t="shared" si="172"/>
        <v>Transit Connect Van-XLT w/Rear Liftgate-FWD-2-72.5-~-2.0L-4-E6F-110A-104.8-15.8-Unleaded-Unleaded</v>
      </c>
      <c r="AN1626" s="662" t="str">
        <f t="shared" si="177"/>
        <v>2019-LVN-FRD-TCTV-005</v>
      </c>
    </row>
    <row r="1627" spans="1:40" s="572" customFormat="1" ht="15">
      <c r="A1627" s="570" t="s">
        <v>3079</v>
      </c>
      <c r="B1627" s="573" t="s">
        <v>3075</v>
      </c>
      <c r="C1627" s="573" t="s">
        <v>278</v>
      </c>
      <c r="D1627" s="578">
        <v>15</v>
      </c>
      <c r="E1627" s="573" t="s">
        <v>1516</v>
      </c>
      <c r="F1627" s="573" t="s">
        <v>3009</v>
      </c>
      <c r="G1627" s="573" t="s">
        <v>271</v>
      </c>
      <c r="H1627" s="573">
        <v>2019</v>
      </c>
      <c r="I1627" s="573" t="s">
        <v>3010</v>
      </c>
      <c r="J1627" s="573" t="s">
        <v>3064</v>
      </c>
      <c r="K1627" s="573" t="s">
        <v>156</v>
      </c>
      <c r="L1627" s="573">
        <v>2</v>
      </c>
      <c r="M1627" s="573">
        <v>0</v>
      </c>
      <c r="N1627" s="573" t="s">
        <v>157</v>
      </c>
      <c r="O1627" s="573">
        <v>1</v>
      </c>
      <c r="P1627" s="573">
        <v>72.8</v>
      </c>
      <c r="Q1627" s="571" t="s">
        <v>157</v>
      </c>
      <c r="R1627" s="573" t="s">
        <v>352</v>
      </c>
      <c r="S1627" s="573">
        <v>4</v>
      </c>
      <c r="T1627" s="573" t="s">
        <v>3073</v>
      </c>
      <c r="U1627" s="573" t="s">
        <v>3066</v>
      </c>
      <c r="V1627" s="573">
        <v>120.6</v>
      </c>
      <c r="W1627" s="573">
        <v>15.8</v>
      </c>
      <c r="X1627" s="571">
        <v>5270</v>
      </c>
      <c r="Y1627" s="573">
        <v>24</v>
      </c>
      <c r="Z1627" s="579" t="s">
        <v>178</v>
      </c>
      <c r="AA1627" s="579" t="s">
        <v>178</v>
      </c>
      <c r="AB1627" s="584">
        <v>28240</v>
      </c>
      <c r="AC1627" s="584" t="s">
        <v>164</v>
      </c>
      <c r="AD1627" s="584">
        <v>25500</v>
      </c>
      <c r="AE1627" s="586">
        <v>0.01</v>
      </c>
      <c r="AF1627" s="661" t="str">
        <f t="shared" si="178"/>
        <v>2019-LVN-FRD-TCTV-006-15</v>
      </c>
      <c r="AG1627" s="661" t="str">
        <f>IF(AND($Y1627&gt;=32,(AI1627="I"),(Y1627&lt;&gt;"~"),(COUNTIF($AN$1:$AN1627,$AN1627)=1)),"TRUE","FALSE")</f>
        <v>FALSE</v>
      </c>
      <c r="AH1627" s="661" t="str">
        <f>IF(AND($Y1627&gt;=22, (AI1627&lt;&gt;"I"),(Y1627&lt;&gt;"~"),(COUNTIF($AN$1:$AN1627,$AN1627)=1)),"TRUE","FALSE")</f>
        <v>FALSE</v>
      </c>
      <c r="AI1627" s="661" t="str">
        <f t="shared" si="173"/>
        <v>II</v>
      </c>
      <c r="AJ1627" s="662" t="str">
        <f t="shared" si="174"/>
        <v>TCTV-006</v>
      </c>
      <c r="AK1627" s="662" t="str">
        <f t="shared" si="175"/>
        <v>LVN</v>
      </c>
      <c r="AL1627" s="662" t="str">
        <f t="shared" si="176"/>
        <v>FRD</v>
      </c>
      <c r="AM1627" s="662" t="str">
        <f t="shared" ref="AM1627:AM1690" si="179">CONCATENATE(I1627,"-",J1627,"-",K1627,"-",L1627,"-",P1627,"-",Q1627,"-",R1627,"-",S1627,"-",T1627,"-",U1627,"-",V1627,"-",W1627,"-",Z1627,"-",AA1627)</f>
        <v>Transit Connect Van-XLT w/Rear Liftgate-FWD-2-72.8-~-2.0L-4-E7F-110A-120.6-15.8-Unleaded-Unleaded</v>
      </c>
      <c r="AN1627" s="662" t="str">
        <f t="shared" si="177"/>
        <v>2019-LVN-FRD-TCTV-006</v>
      </c>
    </row>
    <row r="1628" spans="1:40" s="572" customFormat="1" ht="15">
      <c r="A1628" s="570" t="s">
        <v>3080</v>
      </c>
      <c r="B1628" s="569" t="s">
        <v>3068</v>
      </c>
      <c r="C1628" s="569" t="s">
        <v>287</v>
      </c>
      <c r="D1628" s="580">
        <v>26</v>
      </c>
      <c r="E1628" s="569" t="s">
        <v>1516</v>
      </c>
      <c r="F1628" s="569" t="s">
        <v>3009</v>
      </c>
      <c r="G1628" s="569" t="s">
        <v>271</v>
      </c>
      <c r="H1628" s="569">
        <v>2019</v>
      </c>
      <c r="I1628" s="569" t="s">
        <v>3010</v>
      </c>
      <c r="J1628" s="569" t="s">
        <v>3064</v>
      </c>
      <c r="K1628" s="569" t="s">
        <v>156</v>
      </c>
      <c r="L1628" s="569">
        <v>2</v>
      </c>
      <c r="M1628" s="569">
        <v>0</v>
      </c>
      <c r="N1628" s="569" t="s">
        <v>157</v>
      </c>
      <c r="O1628" s="569">
        <v>1</v>
      </c>
      <c r="P1628" s="569">
        <v>72.5</v>
      </c>
      <c r="Q1628" s="568" t="s">
        <v>157</v>
      </c>
      <c r="R1628" s="569" t="s">
        <v>189</v>
      </c>
      <c r="S1628" s="569">
        <v>4</v>
      </c>
      <c r="T1628" s="569" t="s">
        <v>3065</v>
      </c>
      <c r="U1628" s="569" t="s">
        <v>3066</v>
      </c>
      <c r="V1628" s="569">
        <v>104.8</v>
      </c>
      <c r="W1628" s="569">
        <v>15.8</v>
      </c>
      <c r="X1628" s="568">
        <v>5020</v>
      </c>
      <c r="Y1628" s="569">
        <v>24</v>
      </c>
      <c r="Z1628" s="581" t="s">
        <v>178</v>
      </c>
      <c r="AA1628" s="581" t="s">
        <v>178</v>
      </c>
      <c r="AB1628" s="585">
        <v>27165</v>
      </c>
      <c r="AC1628" s="585" t="s">
        <v>164</v>
      </c>
      <c r="AD1628" s="585">
        <v>24953</v>
      </c>
      <c r="AE1628" s="587">
        <v>0.05</v>
      </c>
      <c r="AF1628" s="661" t="str">
        <f t="shared" si="178"/>
        <v>2019-LVN-FRD-TCTV-005-26</v>
      </c>
      <c r="AG1628" s="661" t="str">
        <f>IF(AND($Y1628&gt;=32,(AI1628="I"),(Y1628&lt;&gt;"~"),(COUNTIF($AN$1:$AN1628,$AN1628)=1)),"TRUE","FALSE")</f>
        <v>FALSE</v>
      </c>
      <c r="AH1628" s="661" t="str">
        <f>IF(AND($Y1628&gt;=22, (AI1628&lt;&gt;"I"),(Y1628&lt;&gt;"~"),(COUNTIF($AN$1:$AN1628,$AN1628)=1)),"TRUE","FALSE")</f>
        <v>FALSE</v>
      </c>
      <c r="AI1628" s="661" t="str">
        <f t="shared" ref="AI1628:AI1691" si="180">IF(OR((LEFT($E1628,2)="01"),AND(LEFT($E1628,2)="06",ISNUMBER(SEARCH("pas",$F1628))),AND(LEFT($E1628,2)="05",ISNUMBER(SEARCH("pas",$F1628)))),"I",IF(AND((LEFT($E1628,2)&lt;&gt;"01"),$X1628&lt;=10000),"II",IF(AND((LEFT($E1628,2)&lt;&gt;"01"),$X1628&gt;10000),"N/A")))</f>
        <v>II</v>
      </c>
      <c r="AJ1628" s="662" t="str">
        <f t="shared" si="174"/>
        <v>TCTV-005</v>
      </c>
      <c r="AK1628" s="662" t="str">
        <f t="shared" si="175"/>
        <v>LVN</v>
      </c>
      <c r="AL1628" s="662" t="str">
        <f t="shared" si="176"/>
        <v>FRD</v>
      </c>
      <c r="AM1628" s="662" t="str">
        <f t="shared" si="179"/>
        <v>Transit Connect Van-XLT w/Rear Liftgate-FWD-2-72.5-~-2.5L-4-E6F-110A-104.8-15.8-Unleaded-Unleaded</v>
      </c>
      <c r="AN1628" s="662" t="str">
        <f t="shared" si="177"/>
        <v>2019-LVN-FRD-TCTV-005</v>
      </c>
    </row>
    <row r="1629" spans="1:40" s="572" customFormat="1" ht="15">
      <c r="A1629" s="570" t="s">
        <v>3081</v>
      </c>
      <c r="B1629" s="573" t="s">
        <v>3075</v>
      </c>
      <c r="C1629" s="573" t="s">
        <v>287</v>
      </c>
      <c r="D1629" s="578">
        <v>26</v>
      </c>
      <c r="E1629" s="573" t="s">
        <v>1516</v>
      </c>
      <c r="F1629" s="573" t="s">
        <v>3009</v>
      </c>
      <c r="G1629" s="573" t="s">
        <v>271</v>
      </c>
      <c r="H1629" s="573">
        <v>2019</v>
      </c>
      <c r="I1629" s="573" t="s">
        <v>3010</v>
      </c>
      <c r="J1629" s="573" t="s">
        <v>3064</v>
      </c>
      <c r="K1629" s="573" t="s">
        <v>156</v>
      </c>
      <c r="L1629" s="573">
        <v>2</v>
      </c>
      <c r="M1629" s="573">
        <v>0</v>
      </c>
      <c r="N1629" s="573" t="s">
        <v>157</v>
      </c>
      <c r="O1629" s="573">
        <v>1</v>
      </c>
      <c r="P1629" s="573">
        <v>72.8</v>
      </c>
      <c r="Q1629" s="571" t="s">
        <v>157</v>
      </c>
      <c r="R1629" s="573" t="s">
        <v>189</v>
      </c>
      <c r="S1629" s="573">
        <v>4</v>
      </c>
      <c r="T1629" s="573" t="s">
        <v>3073</v>
      </c>
      <c r="U1629" s="573" t="s">
        <v>3066</v>
      </c>
      <c r="V1629" s="573">
        <v>120.6</v>
      </c>
      <c r="W1629" s="573">
        <v>15.8</v>
      </c>
      <c r="X1629" s="571">
        <v>5270</v>
      </c>
      <c r="Y1629" s="573">
        <v>24</v>
      </c>
      <c r="Z1629" s="579" t="s">
        <v>178</v>
      </c>
      <c r="AA1629" s="579" t="s">
        <v>178</v>
      </c>
      <c r="AB1629" s="584">
        <v>28165</v>
      </c>
      <c r="AC1629" s="584" t="s">
        <v>164</v>
      </c>
      <c r="AD1629" s="584">
        <v>24831</v>
      </c>
      <c r="AE1629" s="586">
        <v>0.05</v>
      </c>
      <c r="AF1629" s="661" t="str">
        <f t="shared" si="178"/>
        <v>2019-LVN-FRD-TCTV-006-26</v>
      </c>
      <c r="AG1629" s="661" t="str">
        <f>IF(AND($Y1629&gt;=32,(AI1629="I"),(Y1629&lt;&gt;"~"),(COUNTIF($AN$1:$AN1629,$AN1629)=1)),"TRUE","FALSE")</f>
        <v>FALSE</v>
      </c>
      <c r="AH1629" s="661" t="str">
        <f>IF(AND($Y1629&gt;=22, (AI1629&lt;&gt;"I"),(Y1629&lt;&gt;"~"),(COUNTIF($AN$1:$AN1629,$AN1629)=1)),"TRUE","FALSE")</f>
        <v>FALSE</v>
      </c>
      <c r="AI1629" s="661" t="str">
        <f t="shared" si="180"/>
        <v>II</v>
      </c>
      <c r="AJ1629" s="662" t="str">
        <f t="shared" si="174"/>
        <v>TCTV-006</v>
      </c>
      <c r="AK1629" s="662" t="str">
        <f t="shared" si="175"/>
        <v>LVN</v>
      </c>
      <c r="AL1629" s="662" t="str">
        <f t="shared" si="176"/>
        <v>FRD</v>
      </c>
      <c r="AM1629" s="662" t="str">
        <f t="shared" si="179"/>
        <v>Transit Connect Van-XLT w/Rear Liftgate-FWD-2-72.8-~-2.5L-4-E7F-110A-120.6-15.8-Unleaded-Unleaded</v>
      </c>
      <c r="AN1629" s="662" t="str">
        <f t="shared" si="177"/>
        <v>2019-LVN-FRD-TCTV-006</v>
      </c>
    </row>
    <row r="1630" spans="1:40" s="572" customFormat="1" ht="15">
      <c r="A1630" s="570" t="s">
        <v>3082</v>
      </c>
      <c r="B1630" s="569" t="s">
        <v>3063</v>
      </c>
      <c r="C1630" s="569" t="s">
        <v>280</v>
      </c>
      <c r="D1630" s="580">
        <v>27</v>
      </c>
      <c r="E1630" s="569" t="s">
        <v>1516</v>
      </c>
      <c r="F1630" s="569" t="s">
        <v>3009</v>
      </c>
      <c r="G1630" s="569" t="s">
        <v>271</v>
      </c>
      <c r="H1630" s="569">
        <v>2019</v>
      </c>
      <c r="I1630" s="569" t="s">
        <v>3010</v>
      </c>
      <c r="J1630" s="569" t="s">
        <v>3064</v>
      </c>
      <c r="K1630" s="569" t="s">
        <v>156</v>
      </c>
      <c r="L1630" s="569">
        <v>2</v>
      </c>
      <c r="M1630" s="569">
        <v>0</v>
      </c>
      <c r="N1630" s="569" t="s">
        <v>157</v>
      </c>
      <c r="O1630" s="569">
        <v>1</v>
      </c>
      <c r="P1630" s="569">
        <v>72.5</v>
      </c>
      <c r="Q1630" s="568" t="s">
        <v>157</v>
      </c>
      <c r="R1630" s="569" t="s">
        <v>3012</v>
      </c>
      <c r="S1630" s="569">
        <v>4</v>
      </c>
      <c r="T1630" s="569" t="s">
        <v>3065</v>
      </c>
      <c r="U1630" s="569" t="s">
        <v>3066</v>
      </c>
      <c r="V1630" s="569">
        <v>104.8</v>
      </c>
      <c r="W1630" s="569">
        <v>15.8</v>
      </c>
      <c r="X1630" s="568">
        <v>5240</v>
      </c>
      <c r="Y1630" s="569">
        <v>24</v>
      </c>
      <c r="Z1630" s="581" t="s">
        <v>728</v>
      </c>
      <c r="AA1630" s="581" t="s">
        <v>728</v>
      </c>
      <c r="AB1630" s="585">
        <v>29235</v>
      </c>
      <c r="AC1630" s="585" t="s">
        <v>164</v>
      </c>
      <c r="AD1630" s="585">
        <v>25857.645833333336</v>
      </c>
      <c r="AE1630" s="587">
        <v>0.03</v>
      </c>
      <c r="AF1630" s="661" t="str">
        <f t="shared" si="178"/>
        <v>2019-LVN-FRD-TCTV-017-27</v>
      </c>
      <c r="AG1630" s="661" t="str">
        <f>IF(AND($Y1630&gt;=32,(AI1630="I"),(Y1630&lt;&gt;"~"),(COUNTIF($AN$1:$AN1630,$AN1630)=1)),"TRUE","FALSE")</f>
        <v>FALSE</v>
      </c>
      <c r="AH1630" s="661" t="str">
        <f>IF(AND($Y1630&gt;=22, (AI1630&lt;&gt;"I"),(Y1630&lt;&gt;"~"),(COUNTIF($AN$1:$AN1630,$AN1630)=1)),"TRUE","FALSE")</f>
        <v>FALSE</v>
      </c>
      <c r="AI1630" s="661" t="str">
        <f t="shared" si="180"/>
        <v>II</v>
      </c>
      <c r="AJ1630" s="662" t="str">
        <f t="shared" si="174"/>
        <v>TCTV-017</v>
      </c>
      <c r="AK1630" s="662" t="str">
        <f t="shared" si="175"/>
        <v>LVN</v>
      </c>
      <c r="AL1630" s="662" t="str">
        <f t="shared" si="176"/>
        <v>FRD</v>
      </c>
      <c r="AM1630" s="662" t="str">
        <f t="shared" si="179"/>
        <v>Transit Connect Van-XLT w/Rear Liftgate-FWD-2-72.5-~-1.5L Ecoblue Diesel-4-E6F-110A-104.8-15.8-Diesel-Diesel</v>
      </c>
      <c r="AN1630" s="662" t="str">
        <f t="shared" si="177"/>
        <v>2019-LVN-FRD-TCTV-017</v>
      </c>
    </row>
    <row r="1631" spans="1:40" s="572" customFormat="1" ht="15">
      <c r="A1631" s="570" t="s">
        <v>3083</v>
      </c>
      <c r="B1631" s="573" t="s">
        <v>3068</v>
      </c>
      <c r="C1631" s="573" t="s">
        <v>280</v>
      </c>
      <c r="D1631" s="578">
        <v>27</v>
      </c>
      <c r="E1631" s="573" t="s">
        <v>1516</v>
      </c>
      <c r="F1631" s="573" t="s">
        <v>3009</v>
      </c>
      <c r="G1631" s="573" t="s">
        <v>271</v>
      </c>
      <c r="H1631" s="573">
        <v>2019</v>
      </c>
      <c r="I1631" s="573" t="s">
        <v>3010</v>
      </c>
      <c r="J1631" s="573" t="s">
        <v>3064</v>
      </c>
      <c r="K1631" s="573" t="s">
        <v>156</v>
      </c>
      <c r="L1631" s="573">
        <v>2</v>
      </c>
      <c r="M1631" s="573">
        <v>0</v>
      </c>
      <c r="N1631" s="573" t="s">
        <v>157</v>
      </c>
      <c r="O1631" s="573">
        <v>1</v>
      </c>
      <c r="P1631" s="573">
        <v>72.5</v>
      </c>
      <c r="Q1631" s="571" t="s">
        <v>157</v>
      </c>
      <c r="R1631" s="573" t="s">
        <v>3016</v>
      </c>
      <c r="S1631" s="573">
        <v>4</v>
      </c>
      <c r="T1631" s="573" t="s">
        <v>3065</v>
      </c>
      <c r="U1631" s="573" t="s">
        <v>3066</v>
      </c>
      <c r="V1631" s="573">
        <v>104.8</v>
      </c>
      <c r="W1631" s="573">
        <v>15.8</v>
      </c>
      <c r="X1631" s="571">
        <v>5130</v>
      </c>
      <c r="Y1631" s="573">
        <v>24</v>
      </c>
      <c r="Z1631" s="579" t="s">
        <v>178</v>
      </c>
      <c r="AA1631" s="579" t="s">
        <v>178</v>
      </c>
      <c r="AB1631" s="584">
        <v>27240</v>
      </c>
      <c r="AC1631" s="584" t="s">
        <v>164</v>
      </c>
      <c r="AD1631" s="584">
        <v>24085.604166666668</v>
      </c>
      <c r="AE1631" s="586">
        <v>0.03</v>
      </c>
      <c r="AF1631" s="661" t="str">
        <f t="shared" si="178"/>
        <v>2019-LVN-FRD-TCTV-005-27</v>
      </c>
      <c r="AG1631" s="661" t="str">
        <f>IF(AND($Y1631&gt;=32,(AI1631="I"),(Y1631&lt;&gt;"~"),(COUNTIF($AN$1:$AN1631,$AN1631)=1)),"TRUE","FALSE")</f>
        <v>FALSE</v>
      </c>
      <c r="AH1631" s="661" t="str">
        <f>IF(AND($Y1631&gt;=22, (AI1631&lt;&gt;"I"),(Y1631&lt;&gt;"~"),(COUNTIF($AN$1:$AN1631,$AN1631)=1)),"TRUE","FALSE")</f>
        <v>FALSE</v>
      </c>
      <c r="AI1631" s="661" t="str">
        <f t="shared" si="180"/>
        <v>II</v>
      </c>
      <c r="AJ1631" s="662" t="str">
        <f t="shared" si="174"/>
        <v>TCTV-005</v>
      </c>
      <c r="AK1631" s="662" t="str">
        <f t="shared" si="175"/>
        <v>LVN</v>
      </c>
      <c r="AL1631" s="662" t="str">
        <f t="shared" si="176"/>
        <v>FRD</v>
      </c>
      <c r="AM1631" s="662" t="str">
        <f t="shared" si="179"/>
        <v>Transit Connect Van-XLT w/Rear Liftgate-FWD-2-72.5-~-2.0L -4-E6F-110A-104.8-15.8-Unleaded-Unleaded</v>
      </c>
      <c r="AN1631" s="662" t="str">
        <f t="shared" si="177"/>
        <v>2019-LVN-FRD-TCTV-005</v>
      </c>
    </row>
    <row r="1632" spans="1:40" s="572" customFormat="1" ht="15">
      <c r="A1632" s="570" t="s">
        <v>3084</v>
      </c>
      <c r="B1632" s="569" t="s">
        <v>3070</v>
      </c>
      <c r="C1632" s="569" t="s">
        <v>280</v>
      </c>
      <c r="D1632" s="580">
        <v>27</v>
      </c>
      <c r="E1632" s="569" t="s">
        <v>1516</v>
      </c>
      <c r="F1632" s="569" t="s">
        <v>3009</v>
      </c>
      <c r="G1632" s="569" t="s">
        <v>271</v>
      </c>
      <c r="H1632" s="569">
        <v>2019</v>
      </c>
      <c r="I1632" s="569" t="s">
        <v>3010</v>
      </c>
      <c r="J1632" s="569" t="s">
        <v>3064</v>
      </c>
      <c r="K1632" s="569" t="s">
        <v>156</v>
      </c>
      <c r="L1632" s="569">
        <v>2</v>
      </c>
      <c r="M1632" s="569">
        <v>0</v>
      </c>
      <c r="N1632" s="569" t="s">
        <v>157</v>
      </c>
      <c r="O1632" s="569">
        <v>1</v>
      </c>
      <c r="P1632" s="569">
        <v>72.5</v>
      </c>
      <c r="Q1632" s="568" t="s">
        <v>157</v>
      </c>
      <c r="R1632" s="569" t="s">
        <v>3019</v>
      </c>
      <c r="S1632" s="569">
        <v>4</v>
      </c>
      <c r="T1632" s="569" t="s">
        <v>3065</v>
      </c>
      <c r="U1632" s="569" t="s">
        <v>3066</v>
      </c>
      <c r="V1632" s="569">
        <v>104.8</v>
      </c>
      <c r="W1632" s="569">
        <v>15.8</v>
      </c>
      <c r="X1632" s="568">
        <v>5110</v>
      </c>
      <c r="Y1632" s="569">
        <v>24</v>
      </c>
      <c r="Z1632" s="581" t="s">
        <v>178</v>
      </c>
      <c r="AA1632" s="581" t="s">
        <v>178</v>
      </c>
      <c r="AB1632" s="585">
        <v>27555</v>
      </c>
      <c r="AC1632" s="585" t="s">
        <v>164</v>
      </c>
      <c r="AD1632" s="585">
        <v>24364.9375</v>
      </c>
      <c r="AE1632" s="587">
        <v>0.03</v>
      </c>
      <c r="AF1632" s="661" t="str">
        <f t="shared" si="178"/>
        <v>2019-LVN-FRD-TCTV-018-27</v>
      </c>
      <c r="AG1632" s="661" t="str">
        <f>IF(AND($Y1632&gt;=32,(AI1632="I"),(Y1632&lt;&gt;"~"),(COUNTIF($AN$1:$AN1632,$AN1632)=1)),"TRUE","FALSE")</f>
        <v>FALSE</v>
      </c>
      <c r="AH1632" s="661" t="str">
        <f>IF(AND($Y1632&gt;=22, (AI1632&lt;&gt;"I"),(Y1632&lt;&gt;"~"),(COUNTIF($AN$1:$AN1632,$AN1632)=1)),"TRUE","FALSE")</f>
        <v>FALSE</v>
      </c>
      <c r="AI1632" s="661" t="str">
        <f t="shared" si="180"/>
        <v>II</v>
      </c>
      <c r="AJ1632" s="662" t="str">
        <f t="shared" si="174"/>
        <v>TCTV-018</v>
      </c>
      <c r="AK1632" s="662" t="str">
        <f t="shared" si="175"/>
        <v>LVN</v>
      </c>
      <c r="AL1632" s="662" t="str">
        <f t="shared" si="176"/>
        <v>FRD</v>
      </c>
      <c r="AM1632" s="662" t="str">
        <f t="shared" si="179"/>
        <v>Transit Connect Van-XLT w/Rear Liftgate-FWD-2-72.5-~-2.5L/CNG Prep-4-E6F-110A-104.8-15.8-Unleaded-Unleaded</v>
      </c>
      <c r="AN1632" s="662" t="str">
        <f t="shared" si="177"/>
        <v>2019-LVN-FRD-TCTV-018</v>
      </c>
    </row>
    <row r="1633" spans="1:40" s="572" customFormat="1" ht="15">
      <c r="A1633" s="570" t="s">
        <v>3085</v>
      </c>
      <c r="B1633" s="573" t="s">
        <v>3072</v>
      </c>
      <c r="C1633" s="573" t="s">
        <v>280</v>
      </c>
      <c r="D1633" s="578">
        <v>27</v>
      </c>
      <c r="E1633" s="573" t="s">
        <v>1516</v>
      </c>
      <c r="F1633" s="573" t="s">
        <v>3009</v>
      </c>
      <c r="G1633" s="573" t="s">
        <v>271</v>
      </c>
      <c r="H1633" s="573">
        <v>2019</v>
      </c>
      <c r="I1633" s="573" t="s">
        <v>3010</v>
      </c>
      <c r="J1633" s="573" t="s">
        <v>3064</v>
      </c>
      <c r="K1633" s="573" t="s">
        <v>156</v>
      </c>
      <c r="L1633" s="573">
        <v>2</v>
      </c>
      <c r="M1633" s="573">
        <v>0</v>
      </c>
      <c r="N1633" s="573" t="s">
        <v>157</v>
      </c>
      <c r="O1633" s="573">
        <v>1</v>
      </c>
      <c r="P1633" s="573">
        <v>72.8</v>
      </c>
      <c r="Q1633" s="571" t="s">
        <v>157</v>
      </c>
      <c r="R1633" s="573" t="s">
        <v>3012</v>
      </c>
      <c r="S1633" s="573">
        <v>4</v>
      </c>
      <c r="T1633" s="573" t="s">
        <v>3073</v>
      </c>
      <c r="U1633" s="573" t="s">
        <v>3066</v>
      </c>
      <c r="V1633" s="573">
        <v>120.6</v>
      </c>
      <c r="W1633" s="573">
        <v>15.8</v>
      </c>
      <c r="X1633" s="571">
        <v>5260</v>
      </c>
      <c r="Y1633" s="569">
        <v>24</v>
      </c>
      <c r="Z1633" s="579" t="s">
        <v>728</v>
      </c>
      <c r="AA1633" s="579"/>
      <c r="AB1633" s="584">
        <v>30235</v>
      </c>
      <c r="AC1633" s="584" t="s">
        <v>164</v>
      </c>
      <c r="AD1633" s="584">
        <v>26781.604166666668</v>
      </c>
      <c r="AE1633" s="586">
        <v>0.03</v>
      </c>
      <c r="AF1633" s="661" t="str">
        <f t="shared" si="178"/>
        <v>2019-LVN-FRD-TCTV-019-27</v>
      </c>
      <c r="AG1633" s="661" t="str">
        <f>IF(AND($Y1633&gt;=32,(AI1633="I"),(Y1633&lt;&gt;"~"),(COUNTIF($AN$1:$AN1633,$AN1633)=1)),"TRUE","FALSE")</f>
        <v>FALSE</v>
      </c>
      <c r="AH1633" s="661" t="str">
        <f>IF(AND($Y1633&gt;=22, (AI1633&lt;&gt;"I"),(Y1633&lt;&gt;"~"),(COUNTIF($AN$1:$AN1633,$AN1633)=1)),"TRUE","FALSE")</f>
        <v>FALSE</v>
      </c>
      <c r="AI1633" s="661" t="str">
        <f t="shared" si="180"/>
        <v>II</v>
      </c>
      <c r="AJ1633" s="662" t="str">
        <f t="shared" si="174"/>
        <v>TCTV-019</v>
      </c>
      <c r="AK1633" s="662" t="str">
        <f t="shared" si="175"/>
        <v>LVN</v>
      </c>
      <c r="AL1633" s="662" t="str">
        <f t="shared" si="176"/>
        <v>FRD</v>
      </c>
      <c r="AM1633" s="662" t="str">
        <f t="shared" si="179"/>
        <v>Transit Connect Van-XLT w/Rear Liftgate-FWD-2-72.8-~-1.5L Ecoblue Diesel-4-E7F-110A-120.6-15.8-Diesel-</v>
      </c>
      <c r="AN1633" s="662" t="str">
        <f t="shared" si="177"/>
        <v>2019-LVN-FRD-TCTV-019</v>
      </c>
    </row>
    <row r="1634" spans="1:40" s="572" customFormat="1" ht="15">
      <c r="A1634" s="570" t="s">
        <v>3086</v>
      </c>
      <c r="B1634" s="569" t="s">
        <v>3075</v>
      </c>
      <c r="C1634" s="569" t="s">
        <v>280</v>
      </c>
      <c r="D1634" s="580">
        <v>27</v>
      </c>
      <c r="E1634" s="569" t="s">
        <v>1516</v>
      </c>
      <c r="F1634" s="569" t="s">
        <v>3009</v>
      </c>
      <c r="G1634" s="569" t="s">
        <v>271</v>
      </c>
      <c r="H1634" s="569">
        <v>2019</v>
      </c>
      <c r="I1634" s="569" t="s">
        <v>3010</v>
      </c>
      <c r="J1634" s="569" t="s">
        <v>3064</v>
      </c>
      <c r="K1634" s="569" t="s">
        <v>156</v>
      </c>
      <c r="L1634" s="569">
        <v>2</v>
      </c>
      <c r="M1634" s="569">
        <v>0</v>
      </c>
      <c r="N1634" s="569" t="s">
        <v>157</v>
      </c>
      <c r="O1634" s="569">
        <v>1</v>
      </c>
      <c r="P1634" s="569">
        <v>72.8</v>
      </c>
      <c r="Q1634" s="568" t="s">
        <v>157</v>
      </c>
      <c r="R1634" s="569" t="s">
        <v>3016</v>
      </c>
      <c r="S1634" s="569">
        <v>4</v>
      </c>
      <c r="T1634" s="569" t="s">
        <v>3073</v>
      </c>
      <c r="U1634" s="569" t="s">
        <v>3066</v>
      </c>
      <c r="V1634" s="569">
        <v>120.6</v>
      </c>
      <c r="W1634" s="569">
        <v>15.8</v>
      </c>
      <c r="X1634" s="568">
        <v>5302</v>
      </c>
      <c r="Y1634" s="569">
        <v>24</v>
      </c>
      <c r="Z1634" s="581" t="s">
        <v>178</v>
      </c>
      <c r="AA1634" s="581" t="s">
        <v>178</v>
      </c>
      <c r="AB1634" s="585">
        <v>28240</v>
      </c>
      <c r="AC1634" s="585" t="s">
        <v>164</v>
      </c>
      <c r="AD1634" s="585">
        <v>25009.5625</v>
      </c>
      <c r="AE1634" s="587">
        <v>0.03</v>
      </c>
      <c r="AF1634" s="661" t="str">
        <f t="shared" si="178"/>
        <v>2019-LVN-FRD-TCTV-006-27</v>
      </c>
      <c r="AG1634" s="661" t="str">
        <f>IF(AND($Y1634&gt;=32,(AI1634="I"),(Y1634&lt;&gt;"~"),(COUNTIF($AN$1:$AN1634,$AN1634)=1)),"TRUE","FALSE")</f>
        <v>FALSE</v>
      </c>
      <c r="AH1634" s="661" t="str">
        <f>IF(AND($Y1634&gt;=22, (AI1634&lt;&gt;"I"),(Y1634&lt;&gt;"~"),(COUNTIF($AN$1:$AN1634,$AN1634)=1)),"TRUE","FALSE")</f>
        <v>FALSE</v>
      </c>
      <c r="AI1634" s="661" t="str">
        <f t="shared" si="180"/>
        <v>II</v>
      </c>
      <c r="AJ1634" s="662" t="str">
        <f t="shared" si="174"/>
        <v>TCTV-006</v>
      </c>
      <c r="AK1634" s="662" t="str">
        <f t="shared" si="175"/>
        <v>LVN</v>
      </c>
      <c r="AL1634" s="662" t="str">
        <f t="shared" si="176"/>
        <v>FRD</v>
      </c>
      <c r="AM1634" s="662" t="str">
        <f t="shared" si="179"/>
        <v>Transit Connect Van-XLT w/Rear Liftgate-FWD-2-72.8-~-2.0L -4-E7F-110A-120.6-15.8-Unleaded-Unleaded</v>
      </c>
      <c r="AN1634" s="662" t="str">
        <f t="shared" si="177"/>
        <v>2019-LVN-FRD-TCTV-006</v>
      </c>
    </row>
    <row r="1635" spans="1:40" s="572" customFormat="1" ht="15">
      <c r="A1635" s="570" t="s">
        <v>3087</v>
      </c>
      <c r="B1635" s="573" t="s">
        <v>3077</v>
      </c>
      <c r="C1635" s="573" t="s">
        <v>280</v>
      </c>
      <c r="D1635" s="578">
        <v>27</v>
      </c>
      <c r="E1635" s="573" t="s">
        <v>1516</v>
      </c>
      <c r="F1635" s="573" t="s">
        <v>3009</v>
      </c>
      <c r="G1635" s="573" t="s">
        <v>271</v>
      </c>
      <c r="H1635" s="573">
        <v>2019</v>
      </c>
      <c r="I1635" s="573" t="s">
        <v>3010</v>
      </c>
      <c r="J1635" s="573" t="s">
        <v>3064</v>
      </c>
      <c r="K1635" s="573" t="s">
        <v>156</v>
      </c>
      <c r="L1635" s="573">
        <v>2</v>
      </c>
      <c r="M1635" s="573">
        <v>0</v>
      </c>
      <c r="N1635" s="573" t="s">
        <v>157</v>
      </c>
      <c r="O1635" s="573">
        <v>1</v>
      </c>
      <c r="P1635" s="573">
        <v>72.8</v>
      </c>
      <c r="Q1635" s="571" t="s">
        <v>157</v>
      </c>
      <c r="R1635" s="573" t="s">
        <v>3019</v>
      </c>
      <c r="S1635" s="573">
        <v>4</v>
      </c>
      <c r="T1635" s="573" t="s">
        <v>3073</v>
      </c>
      <c r="U1635" s="573" t="s">
        <v>3066</v>
      </c>
      <c r="V1635" s="573">
        <v>120.6</v>
      </c>
      <c r="W1635" s="573">
        <v>15.8</v>
      </c>
      <c r="X1635" s="571">
        <v>5302</v>
      </c>
      <c r="Y1635" s="573">
        <v>24</v>
      </c>
      <c r="Z1635" s="579" t="s">
        <v>178</v>
      </c>
      <c r="AA1635" s="579" t="s">
        <v>178</v>
      </c>
      <c r="AB1635" s="584">
        <v>28555</v>
      </c>
      <c r="AC1635" s="584" t="s">
        <v>164</v>
      </c>
      <c r="AD1635" s="584">
        <v>25288.895833333336</v>
      </c>
      <c r="AE1635" s="586">
        <v>0.03</v>
      </c>
      <c r="AF1635" s="661" t="str">
        <f t="shared" si="178"/>
        <v>2019-LVN-FRD-TCTV-020-27</v>
      </c>
      <c r="AG1635" s="661" t="str">
        <f>IF(AND($Y1635&gt;=32,(AI1635="I"),(Y1635&lt;&gt;"~"),(COUNTIF($AN$1:$AN1635,$AN1635)=1)),"TRUE","FALSE")</f>
        <v>FALSE</v>
      </c>
      <c r="AH1635" s="661" t="str">
        <f>IF(AND($Y1635&gt;=22, (AI1635&lt;&gt;"I"),(Y1635&lt;&gt;"~"),(COUNTIF($AN$1:$AN1635,$AN1635)=1)),"TRUE","FALSE")</f>
        <v>FALSE</v>
      </c>
      <c r="AI1635" s="661" t="str">
        <f t="shared" si="180"/>
        <v>II</v>
      </c>
      <c r="AJ1635" s="662" t="str">
        <f t="shared" si="174"/>
        <v>TCTV-020</v>
      </c>
      <c r="AK1635" s="662" t="str">
        <f t="shared" si="175"/>
        <v>LVN</v>
      </c>
      <c r="AL1635" s="662" t="str">
        <f t="shared" si="176"/>
        <v>FRD</v>
      </c>
      <c r="AM1635" s="662" t="str">
        <f t="shared" si="179"/>
        <v>Transit Connect Van-XLT w/Rear Liftgate-FWD-2-72.8-~-2.5L/CNG Prep-4-E7F-110A-120.6-15.8-Unleaded-Unleaded</v>
      </c>
      <c r="AN1635" s="662" t="str">
        <f t="shared" si="177"/>
        <v>2019-LVN-FRD-TCTV-020</v>
      </c>
    </row>
    <row r="1636" spans="1:40" s="572" customFormat="1" ht="30">
      <c r="A1636" s="570" t="s">
        <v>3088</v>
      </c>
      <c r="B1636" s="569" t="s">
        <v>3089</v>
      </c>
      <c r="C1636" s="569" t="s">
        <v>269</v>
      </c>
      <c r="D1636" s="580" t="s">
        <v>270</v>
      </c>
      <c r="E1636" s="569" t="s">
        <v>1516</v>
      </c>
      <c r="F1636" s="569" t="s">
        <v>3009</v>
      </c>
      <c r="G1636" s="569" t="s">
        <v>271</v>
      </c>
      <c r="H1636" s="569">
        <v>2019</v>
      </c>
      <c r="I1636" s="569" t="s">
        <v>3010</v>
      </c>
      <c r="J1636" s="569" t="s">
        <v>3090</v>
      </c>
      <c r="K1636" s="569" t="s">
        <v>156</v>
      </c>
      <c r="L1636" s="569">
        <v>2</v>
      </c>
      <c r="M1636" s="569">
        <v>0</v>
      </c>
      <c r="N1636" s="569" t="s">
        <v>157</v>
      </c>
      <c r="O1636" s="569">
        <v>1</v>
      </c>
      <c r="P1636" s="569">
        <v>72.5</v>
      </c>
      <c r="Q1636" s="568" t="s">
        <v>157</v>
      </c>
      <c r="R1636" s="569" t="s">
        <v>3012</v>
      </c>
      <c r="S1636" s="569">
        <v>4</v>
      </c>
      <c r="T1636" s="569" t="s">
        <v>3091</v>
      </c>
      <c r="U1636" s="569" t="s">
        <v>3066</v>
      </c>
      <c r="V1636" s="569">
        <v>104.8</v>
      </c>
      <c r="W1636" s="569">
        <v>15.8</v>
      </c>
      <c r="X1636" s="568">
        <v>5240</v>
      </c>
      <c r="Y1636" s="569">
        <v>24</v>
      </c>
      <c r="Z1636" s="581" t="s">
        <v>728</v>
      </c>
      <c r="AA1636" s="581" t="s">
        <v>728</v>
      </c>
      <c r="AB1636" s="585">
        <v>29235</v>
      </c>
      <c r="AC1636" s="585" t="s">
        <v>164</v>
      </c>
      <c r="AD1636" s="585">
        <v>25857.645833333336</v>
      </c>
      <c r="AE1636" s="587">
        <v>0.03</v>
      </c>
      <c r="AF1636" s="661" t="str">
        <f t="shared" si="178"/>
        <v>2019-LVN-FRD-TCTV-021-05</v>
      </c>
      <c r="AG1636" s="661" t="str">
        <f>IF(AND($Y1636&gt;=32,(AI1636="I"),(Y1636&lt;&gt;"~"),(COUNTIF($AN$1:$AN1636,$AN1636)=1)),"TRUE","FALSE")</f>
        <v>FALSE</v>
      </c>
      <c r="AH1636" s="661" t="str">
        <f>IF(AND($Y1636&gt;=22, (AI1636&lt;&gt;"I"),(Y1636&lt;&gt;"~"),(COUNTIF($AN$1:$AN1636,$AN1636)=1)),"TRUE","FALSE")</f>
        <v>TRUE</v>
      </c>
      <c r="AI1636" s="661" t="str">
        <f t="shared" si="180"/>
        <v>II</v>
      </c>
      <c r="AJ1636" s="662" t="str">
        <f t="shared" si="174"/>
        <v>TCTV-021</v>
      </c>
      <c r="AK1636" s="662" t="str">
        <f t="shared" si="175"/>
        <v>LVN</v>
      </c>
      <c r="AL1636" s="662" t="str">
        <f t="shared" si="176"/>
        <v>FRD</v>
      </c>
      <c r="AM1636" s="662" t="str">
        <f t="shared" si="179"/>
        <v>Transit Connect Van-XLT w/Symmetrical Rear Drs-FWD-2-72.5-~-1.5L Ecoblue Diesel-4-S6F-110A-104.8-15.8-Diesel-Diesel</v>
      </c>
      <c r="AN1636" s="662" t="str">
        <f t="shared" si="177"/>
        <v>2019-LVN-FRD-TCTV-021</v>
      </c>
    </row>
    <row r="1637" spans="1:40" s="572" customFormat="1" ht="30">
      <c r="A1637" s="570" t="s">
        <v>3092</v>
      </c>
      <c r="B1637" s="573" t="s">
        <v>3093</v>
      </c>
      <c r="C1637" s="573" t="s">
        <v>269</v>
      </c>
      <c r="D1637" s="578" t="s">
        <v>270</v>
      </c>
      <c r="E1637" s="573" t="s">
        <v>1516</v>
      </c>
      <c r="F1637" s="573" t="s">
        <v>3009</v>
      </c>
      <c r="G1637" s="573" t="s">
        <v>271</v>
      </c>
      <c r="H1637" s="573">
        <v>2019</v>
      </c>
      <c r="I1637" s="573" t="s">
        <v>3010</v>
      </c>
      <c r="J1637" s="573" t="s">
        <v>3090</v>
      </c>
      <c r="K1637" s="573" t="s">
        <v>156</v>
      </c>
      <c r="L1637" s="573">
        <v>2</v>
      </c>
      <c r="M1637" s="573">
        <v>0</v>
      </c>
      <c r="N1637" s="573" t="s">
        <v>157</v>
      </c>
      <c r="O1637" s="573">
        <v>1</v>
      </c>
      <c r="P1637" s="573">
        <v>72.5</v>
      </c>
      <c r="Q1637" s="571" t="s">
        <v>157</v>
      </c>
      <c r="R1637" s="573" t="s">
        <v>3016</v>
      </c>
      <c r="S1637" s="573">
        <v>4</v>
      </c>
      <c r="T1637" s="573" t="s">
        <v>3091</v>
      </c>
      <c r="U1637" s="573" t="s">
        <v>3066</v>
      </c>
      <c r="V1637" s="573">
        <v>104.8</v>
      </c>
      <c r="W1637" s="573">
        <v>15.8</v>
      </c>
      <c r="X1637" s="571">
        <v>5130</v>
      </c>
      <c r="Y1637" s="573">
        <v>24</v>
      </c>
      <c r="Z1637" s="579" t="s">
        <v>178</v>
      </c>
      <c r="AA1637" s="579" t="s">
        <v>178</v>
      </c>
      <c r="AB1637" s="584">
        <v>27240</v>
      </c>
      <c r="AC1637" s="584" t="s">
        <v>164</v>
      </c>
      <c r="AD1637" s="584">
        <v>24085.604166666668</v>
      </c>
      <c r="AE1637" s="586">
        <v>0.03</v>
      </c>
      <c r="AF1637" s="661" t="str">
        <f t="shared" si="178"/>
        <v>2019-LVN-FRD-TCTV-007-05</v>
      </c>
      <c r="AG1637" s="661" t="str">
        <f>IF(AND($Y1637&gt;=32,(AI1637="I"),(Y1637&lt;&gt;"~"),(COUNTIF($AN$1:$AN1637,$AN1637)=1)),"TRUE","FALSE")</f>
        <v>FALSE</v>
      </c>
      <c r="AH1637" s="661" t="str">
        <f>IF(AND($Y1637&gt;=22, (AI1637&lt;&gt;"I"),(Y1637&lt;&gt;"~"),(COUNTIF($AN$1:$AN1637,$AN1637)=1)),"TRUE","FALSE")</f>
        <v>TRUE</v>
      </c>
      <c r="AI1637" s="661" t="str">
        <f t="shared" si="180"/>
        <v>II</v>
      </c>
      <c r="AJ1637" s="662" t="str">
        <f t="shared" si="174"/>
        <v>TCTV-007</v>
      </c>
      <c r="AK1637" s="662" t="str">
        <f t="shared" si="175"/>
        <v>LVN</v>
      </c>
      <c r="AL1637" s="662" t="str">
        <f t="shared" si="176"/>
        <v>FRD</v>
      </c>
      <c r="AM1637" s="662" t="str">
        <f t="shared" si="179"/>
        <v>Transit Connect Van-XLT w/Symmetrical Rear Drs-FWD-2-72.5-~-2.0L -4-S6F-110A-104.8-15.8-Unleaded-Unleaded</v>
      </c>
      <c r="AN1637" s="662" t="str">
        <f t="shared" si="177"/>
        <v>2019-LVN-FRD-TCTV-007</v>
      </c>
    </row>
    <row r="1638" spans="1:40" s="572" customFormat="1" ht="30">
      <c r="A1638" s="570" t="s">
        <v>3094</v>
      </c>
      <c r="B1638" s="569" t="s">
        <v>3095</v>
      </c>
      <c r="C1638" s="569" t="s">
        <v>269</v>
      </c>
      <c r="D1638" s="580" t="s">
        <v>270</v>
      </c>
      <c r="E1638" s="569" t="s">
        <v>1516</v>
      </c>
      <c r="F1638" s="569" t="s">
        <v>3009</v>
      </c>
      <c r="G1638" s="569" t="s">
        <v>271</v>
      </c>
      <c r="H1638" s="569">
        <v>2019</v>
      </c>
      <c r="I1638" s="569" t="s">
        <v>3010</v>
      </c>
      <c r="J1638" s="569" t="s">
        <v>3090</v>
      </c>
      <c r="K1638" s="569" t="s">
        <v>156</v>
      </c>
      <c r="L1638" s="569">
        <v>2</v>
      </c>
      <c r="M1638" s="569">
        <v>0</v>
      </c>
      <c r="N1638" s="569" t="s">
        <v>157</v>
      </c>
      <c r="O1638" s="569">
        <v>1</v>
      </c>
      <c r="P1638" s="569">
        <v>72.5</v>
      </c>
      <c r="Q1638" s="568" t="s">
        <v>157</v>
      </c>
      <c r="R1638" s="569" t="s">
        <v>3019</v>
      </c>
      <c r="S1638" s="569">
        <v>4</v>
      </c>
      <c r="T1638" s="569" t="s">
        <v>3091</v>
      </c>
      <c r="U1638" s="569" t="s">
        <v>3066</v>
      </c>
      <c r="V1638" s="569">
        <v>104.8</v>
      </c>
      <c r="W1638" s="569">
        <v>15.8</v>
      </c>
      <c r="X1638" s="568">
        <v>5110</v>
      </c>
      <c r="Y1638" s="569">
        <v>24</v>
      </c>
      <c r="Z1638" s="581" t="s">
        <v>178</v>
      </c>
      <c r="AA1638" s="581" t="s">
        <v>178</v>
      </c>
      <c r="AB1638" s="585">
        <v>27555</v>
      </c>
      <c r="AC1638" s="585" t="s">
        <v>164</v>
      </c>
      <c r="AD1638" s="585">
        <v>24364.9375</v>
      </c>
      <c r="AE1638" s="587">
        <v>0.03</v>
      </c>
      <c r="AF1638" s="661" t="str">
        <f t="shared" si="178"/>
        <v>2019-LVN-FRD-TCTV-022-05</v>
      </c>
      <c r="AG1638" s="661" t="str">
        <f>IF(AND($Y1638&gt;=32,(AI1638="I"),(Y1638&lt;&gt;"~"),(COUNTIF($AN$1:$AN1638,$AN1638)=1)),"TRUE","FALSE")</f>
        <v>FALSE</v>
      </c>
      <c r="AH1638" s="661" t="str">
        <f>IF(AND($Y1638&gt;=22, (AI1638&lt;&gt;"I"),(Y1638&lt;&gt;"~"),(COUNTIF($AN$1:$AN1638,$AN1638)=1)),"TRUE","FALSE")</f>
        <v>TRUE</v>
      </c>
      <c r="AI1638" s="661" t="str">
        <f t="shared" si="180"/>
        <v>II</v>
      </c>
      <c r="AJ1638" s="662" t="str">
        <f t="shared" si="174"/>
        <v>TCTV-022</v>
      </c>
      <c r="AK1638" s="662" t="str">
        <f t="shared" si="175"/>
        <v>LVN</v>
      </c>
      <c r="AL1638" s="662" t="str">
        <f t="shared" si="176"/>
        <v>FRD</v>
      </c>
      <c r="AM1638" s="662" t="str">
        <f t="shared" si="179"/>
        <v>Transit Connect Van-XLT w/Symmetrical Rear Drs-FWD-2-72.5-~-2.5L/CNG Prep-4-S6F-110A-104.8-15.8-Unleaded-Unleaded</v>
      </c>
      <c r="AN1638" s="662" t="str">
        <f t="shared" si="177"/>
        <v>2019-LVN-FRD-TCTV-022</v>
      </c>
    </row>
    <row r="1639" spans="1:40" s="572" customFormat="1" ht="30">
      <c r="A1639" s="570" t="s">
        <v>3096</v>
      </c>
      <c r="B1639" s="573" t="s">
        <v>3097</v>
      </c>
      <c r="C1639" s="573" t="s">
        <v>269</v>
      </c>
      <c r="D1639" s="578" t="s">
        <v>270</v>
      </c>
      <c r="E1639" s="573" t="s">
        <v>1516</v>
      </c>
      <c r="F1639" s="573" t="s">
        <v>3009</v>
      </c>
      <c r="G1639" s="573" t="s">
        <v>271</v>
      </c>
      <c r="H1639" s="573">
        <v>2019</v>
      </c>
      <c r="I1639" s="573" t="s">
        <v>3010</v>
      </c>
      <c r="J1639" s="573" t="s">
        <v>3090</v>
      </c>
      <c r="K1639" s="573" t="s">
        <v>156</v>
      </c>
      <c r="L1639" s="573">
        <v>2</v>
      </c>
      <c r="M1639" s="573">
        <v>0</v>
      </c>
      <c r="N1639" s="573" t="s">
        <v>157</v>
      </c>
      <c r="O1639" s="573">
        <v>1</v>
      </c>
      <c r="P1639" s="573">
        <v>72.8</v>
      </c>
      <c r="Q1639" s="571" t="s">
        <v>157</v>
      </c>
      <c r="R1639" s="573" t="s">
        <v>3012</v>
      </c>
      <c r="S1639" s="573">
        <v>4</v>
      </c>
      <c r="T1639" s="573" t="s">
        <v>3098</v>
      </c>
      <c r="U1639" s="573" t="s">
        <v>3066</v>
      </c>
      <c r="V1639" s="573">
        <v>120.6</v>
      </c>
      <c r="W1639" s="573">
        <v>15.8</v>
      </c>
      <c r="X1639" s="571">
        <v>5260</v>
      </c>
      <c r="Y1639" s="569">
        <v>24</v>
      </c>
      <c r="Z1639" s="579" t="s">
        <v>728</v>
      </c>
      <c r="AA1639" s="579" t="s">
        <v>728</v>
      </c>
      <c r="AB1639" s="584">
        <v>30235</v>
      </c>
      <c r="AC1639" s="584" t="s">
        <v>164</v>
      </c>
      <c r="AD1639" s="584">
        <v>26781.604166666668</v>
      </c>
      <c r="AE1639" s="586">
        <v>0.03</v>
      </c>
      <c r="AF1639" s="661" t="str">
        <f t="shared" si="178"/>
        <v>2019-LVN-FRD-TCTV-023-05</v>
      </c>
      <c r="AG1639" s="661" t="str">
        <f>IF(AND($Y1639&gt;=32,(AI1639="I"),(Y1639&lt;&gt;"~"),(COUNTIF($AN$1:$AN1639,$AN1639)=1)),"TRUE","FALSE")</f>
        <v>FALSE</v>
      </c>
      <c r="AH1639" s="661" t="str">
        <f>IF(AND($Y1639&gt;=22, (AI1639&lt;&gt;"I"),(Y1639&lt;&gt;"~"),(COUNTIF($AN$1:$AN1639,$AN1639)=1)),"TRUE","FALSE")</f>
        <v>TRUE</v>
      </c>
      <c r="AI1639" s="661" t="str">
        <f t="shared" si="180"/>
        <v>II</v>
      </c>
      <c r="AJ1639" s="662" t="str">
        <f t="shared" si="174"/>
        <v>TCTV-023</v>
      </c>
      <c r="AK1639" s="662" t="str">
        <f t="shared" si="175"/>
        <v>LVN</v>
      </c>
      <c r="AL1639" s="662" t="str">
        <f t="shared" si="176"/>
        <v>FRD</v>
      </c>
      <c r="AM1639" s="662" t="str">
        <f t="shared" si="179"/>
        <v>Transit Connect Van-XLT w/Symmetrical Rear Drs-FWD-2-72.8-~-1.5L Ecoblue Diesel-4-S7F-110A-120.6-15.8-Diesel-Diesel</v>
      </c>
      <c r="AN1639" s="662" t="str">
        <f t="shared" si="177"/>
        <v>2019-LVN-FRD-TCTV-023</v>
      </c>
    </row>
    <row r="1640" spans="1:40" s="572" customFormat="1" ht="30">
      <c r="A1640" s="570" t="s">
        <v>3099</v>
      </c>
      <c r="B1640" s="569" t="s">
        <v>3100</v>
      </c>
      <c r="C1640" s="569" t="s">
        <v>269</v>
      </c>
      <c r="D1640" s="580" t="s">
        <v>270</v>
      </c>
      <c r="E1640" s="569" t="s">
        <v>1516</v>
      </c>
      <c r="F1640" s="569" t="s">
        <v>3009</v>
      </c>
      <c r="G1640" s="569" t="s">
        <v>271</v>
      </c>
      <c r="H1640" s="569">
        <v>2019</v>
      </c>
      <c r="I1640" s="569" t="s">
        <v>3010</v>
      </c>
      <c r="J1640" s="569" t="s">
        <v>3090</v>
      </c>
      <c r="K1640" s="569" t="s">
        <v>156</v>
      </c>
      <c r="L1640" s="569">
        <v>2</v>
      </c>
      <c r="M1640" s="569">
        <v>0</v>
      </c>
      <c r="N1640" s="569" t="s">
        <v>157</v>
      </c>
      <c r="O1640" s="569">
        <v>1</v>
      </c>
      <c r="P1640" s="569">
        <v>72.8</v>
      </c>
      <c r="Q1640" s="568" t="s">
        <v>157</v>
      </c>
      <c r="R1640" s="569" t="s">
        <v>3016</v>
      </c>
      <c r="S1640" s="569">
        <v>4</v>
      </c>
      <c r="T1640" s="569" t="s">
        <v>3098</v>
      </c>
      <c r="U1640" s="569" t="s">
        <v>3066</v>
      </c>
      <c r="V1640" s="569">
        <v>120.6</v>
      </c>
      <c r="W1640" s="569">
        <v>15.8</v>
      </c>
      <c r="X1640" s="568">
        <v>5302</v>
      </c>
      <c r="Y1640" s="569">
        <v>24</v>
      </c>
      <c r="Z1640" s="581" t="s">
        <v>178</v>
      </c>
      <c r="AA1640" s="581" t="s">
        <v>178</v>
      </c>
      <c r="AB1640" s="585">
        <v>28240</v>
      </c>
      <c r="AC1640" s="585" t="s">
        <v>164</v>
      </c>
      <c r="AD1640" s="585">
        <v>25009.5625</v>
      </c>
      <c r="AE1640" s="587">
        <v>0.03</v>
      </c>
      <c r="AF1640" s="661" t="str">
        <f t="shared" si="178"/>
        <v>2019-LVN-FRD-TCTV-008-05</v>
      </c>
      <c r="AG1640" s="661" t="str">
        <f>IF(AND($Y1640&gt;=32,(AI1640="I"),(Y1640&lt;&gt;"~"),(COUNTIF($AN$1:$AN1640,$AN1640)=1)),"TRUE","FALSE")</f>
        <v>FALSE</v>
      </c>
      <c r="AH1640" s="661" t="str">
        <f>IF(AND($Y1640&gt;=22, (AI1640&lt;&gt;"I"),(Y1640&lt;&gt;"~"),(COUNTIF($AN$1:$AN1640,$AN1640)=1)),"TRUE","FALSE")</f>
        <v>TRUE</v>
      </c>
      <c r="AI1640" s="661" t="str">
        <f t="shared" si="180"/>
        <v>II</v>
      </c>
      <c r="AJ1640" s="662" t="str">
        <f t="shared" si="174"/>
        <v>TCTV-008</v>
      </c>
      <c r="AK1640" s="662" t="str">
        <f t="shared" si="175"/>
        <v>LVN</v>
      </c>
      <c r="AL1640" s="662" t="str">
        <f t="shared" si="176"/>
        <v>FRD</v>
      </c>
      <c r="AM1640" s="662" t="str">
        <f t="shared" si="179"/>
        <v>Transit Connect Van-XLT w/Symmetrical Rear Drs-FWD-2-72.8-~-2.0L -4-S7F-110A-120.6-15.8-Unleaded-Unleaded</v>
      </c>
      <c r="AN1640" s="662" t="str">
        <f t="shared" si="177"/>
        <v>2019-LVN-FRD-TCTV-008</v>
      </c>
    </row>
    <row r="1641" spans="1:40" s="572" customFormat="1" ht="30">
      <c r="A1641" s="570" t="s">
        <v>3101</v>
      </c>
      <c r="B1641" s="573" t="s">
        <v>3102</v>
      </c>
      <c r="C1641" s="573" t="s">
        <v>269</v>
      </c>
      <c r="D1641" s="578" t="s">
        <v>270</v>
      </c>
      <c r="E1641" s="573" t="s">
        <v>1516</v>
      </c>
      <c r="F1641" s="573" t="s">
        <v>3009</v>
      </c>
      <c r="G1641" s="573" t="s">
        <v>271</v>
      </c>
      <c r="H1641" s="573">
        <v>2019</v>
      </c>
      <c r="I1641" s="573" t="s">
        <v>3010</v>
      </c>
      <c r="J1641" s="573" t="s">
        <v>3090</v>
      </c>
      <c r="K1641" s="573" t="s">
        <v>156</v>
      </c>
      <c r="L1641" s="573">
        <v>2</v>
      </c>
      <c r="M1641" s="573">
        <v>0</v>
      </c>
      <c r="N1641" s="573" t="s">
        <v>157</v>
      </c>
      <c r="O1641" s="573">
        <v>1</v>
      </c>
      <c r="P1641" s="573">
        <v>72.8</v>
      </c>
      <c r="Q1641" s="571" t="s">
        <v>157</v>
      </c>
      <c r="R1641" s="573" t="s">
        <v>3019</v>
      </c>
      <c r="S1641" s="573">
        <v>4</v>
      </c>
      <c r="T1641" s="573" t="s">
        <v>3098</v>
      </c>
      <c r="U1641" s="573" t="s">
        <v>3066</v>
      </c>
      <c r="V1641" s="573">
        <v>120.6</v>
      </c>
      <c r="W1641" s="573">
        <v>15.8</v>
      </c>
      <c r="X1641" s="571">
        <v>5302</v>
      </c>
      <c r="Y1641" s="573">
        <v>24</v>
      </c>
      <c r="Z1641" s="579" t="s">
        <v>178</v>
      </c>
      <c r="AA1641" s="579" t="s">
        <v>178</v>
      </c>
      <c r="AB1641" s="584">
        <v>28555</v>
      </c>
      <c r="AC1641" s="584" t="s">
        <v>164</v>
      </c>
      <c r="AD1641" s="584">
        <v>25288.895833333336</v>
      </c>
      <c r="AE1641" s="586">
        <v>0.03</v>
      </c>
      <c r="AF1641" s="661" t="str">
        <f t="shared" si="178"/>
        <v>2019-LVN-FRD-TCTV-024-05</v>
      </c>
      <c r="AG1641" s="661" t="str">
        <f>IF(AND($Y1641&gt;=32,(AI1641="I"),(Y1641&lt;&gt;"~"),(COUNTIF($AN$1:$AN1641,$AN1641)=1)),"TRUE","FALSE")</f>
        <v>FALSE</v>
      </c>
      <c r="AH1641" s="661" t="str">
        <f>IF(AND($Y1641&gt;=22, (AI1641&lt;&gt;"I"),(Y1641&lt;&gt;"~"),(COUNTIF($AN$1:$AN1641,$AN1641)=1)),"TRUE","FALSE")</f>
        <v>TRUE</v>
      </c>
      <c r="AI1641" s="661" t="str">
        <f t="shared" si="180"/>
        <v>II</v>
      </c>
      <c r="AJ1641" s="662" t="str">
        <f t="shared" si="174"/>
        <v>TCTV-024</v>
      </c>
      <c r="AK1641" s="662" t="str">
        <f t="shared" si="175"/>
        <v>LVN</v>
      </c>
      <c r="AL1641" s="662" t="str">
        <f t="shared" si="176"/>
        <v>FRD</v>
      </c>
      <c r="AM1641" s="662" t="str">
        <f t="shared" si="179"/>
        <v>Transit Connect Van-XLT w/Symmetrical Rear Drs-FWD-2-72.8-~-2.5L/CNG Prep-4-S7F-110A-120.6-15.8-Unleaded-Unleaded</v>
      </c>
      <c r="AN1641" s="662" t="str">
        <f t="shared" si="177"/>
        <v>2019-LVN-FRD-TCTV-024</v>
      </c>
    </row>
    <row r="1642" spans="1:40" s="572" customFormat="1" ht="30">
      <c r="A1642" s="570" t="s">
        <v>3103</v>
      </c>
      <c r="B1642" s="569" t="s">
        <v>3093</v>
      </c>
      <c r="C1642" s="569" t="s">
        <v>278</v>
      </c>
      <c r="D1642" s="580">
        <v>15</v>
      </c>
      <c r="E1642" s="569" t="s">
        <v>1516</v>
      </c>
      <c r="F1642" s="569" t="s">
        <v>3009</v>
      </c>
      <c r="G1642" s="569" t="s">
        <v>271</v>
      </c>
      <c r="H1642" s="569">
        <v>2019</v>
      </c>
      <c r="I1642" s="569" t="s">
        <v>3010</v>
      </c>
      <c r="J1642" s="569" t="s">
        <v>3090</v>
      </c>
      <c r="K1642" s="569" t="s">
        <v>156</v>
      </c>
      <c r="L1642" s="569">
        <v>2</v>
      </c>
      <c r="M1642" s="569">
        <v>0</v>
      </c>
      <c r="N1642" s="569" t="s">
        <v>157</v>
      </c>
      <c r="O1642" s="569">
        <v>1</v>
      </c>
      <c r="P1642" s="569">
        <v>72.5</v>
      </c>
      <c r="Q1642" s="568" t="s">
        <v>157</v>
      </c>
      <c r="R1642" s="569" t="s">
        <v>352</v>
      </c>
      <c r="S1642" s="569">
        <v>4</v>
      </c>
      <c r="T1642" s="569" t="s">
        <v>3091</v>
      </c>
      <c r="U1642" s="569" t="s">
        <v>3066</v>
      </c>
      <c r="V1642" s="569">
        <v>104.8</v>
      </c>
      <c r="W1642" s="569">
        <v>15.8</v>
      </c>
      <c r="X1642" s="568">
        <v>5020</v>
      </c>
      <c r="Y1642" s="569">
        <v>24</v>
      </c>
      <c r="Z1642" s="581" t="s">
        <v>178</v>
      </c>
      <c r="AA1642" s="581" t="s">
        <v>178</v>
      </c>
      <c r="AB1642" s="585">
        <v>27240</v>
      </c>
      <c r="AC1642" s="585" t="s">
        <v>164</v>
      </c>
      <c r="AD1642" s="585">
        <v>24600</v>
      </c>
      <c r="AE1642" s="587">
        <v>0.01</v>
      </c>
      <c r="AF1642" s="661" t="str">
        <f t="shared" si="178"/>
        <v>2019-LVN-FRD-TCTV-007-15</v>
      </c>
      <c r="AG1642" s="661" t="str">
        <f>IF(AND($Y1642&gt;=32,(AI1642="I"),(Y1642&lt;&gt;"~"),(COUNTIF($AN$1:$AN1642,$AN1642)=1)),"TRUE","FALSE")</f>
        <v>FALSE</v>
      </c>
      <c r="AH1642" s="661" t="str">
        <f>IF(AND($Y1642&gt;=22, (AI1642&lt;&gt;"I"),(Y1642&lt;&gt;"~"),(COUNTIF($AN$1:$AN1642,$AN1642)=1)),"TRUE","FALSE")</f>
        <v>FALSE</v>
      </c>
      <c r="AI1642" s="661" t="str">
        <f t="shared" si="180"/>
        <v>II</v>
      </c>
      <c r="AJ1642" s="662" t="str">
        <f t="shared" si="174"/>
        <v>TCTV-007</v>
      </c>
      <c r="AK1642" s="662" t="str">
        <f t="shared" si="175"/>
        <v>LVN</v>
      </c>
      <c r="AL1642" s="662" t="str">
        <f t="shared" si="176"/>
        <v>FRD</v>
      </c>
      <c r="AM1642" s="662" t="str">
        <f t="shared" si="179"/>
        <v>Transit Connect Van-XLT w/Symmetrical Rear Drs-FWD-2-72.5-~-2.0L-4-S6F-110A-104.8-15.8-Unleaded-Unleaded</v>
      </c>
      <c r="AN1642" s="662" t="str">
        <f t="shared" si="177"/>
        <v>2019-LVN-FRD-TCTV-007</v>
      </c>
    </row>
    <row r="1643" spans="1:40" s="572" customFormat="1" ht="30">
      <c r="A1643" s="570" t="s">
        <v>3104</v>
      </c>
      <c r="B1643" s="573" t="s">
        <v>3100</v>
      </c>
      <c r="C1643" s="573" t="s">
        <v>278</v>
      </c>
      <c r="D1643" s="578">
        <v>15</v>
      </c>
      <c r="E1643" s="573" t="s">
        <v>1516</v>
      </c>
      <c r="F1643" s="573" t="s">
        <v>3009</v>
      </c>
      <c r="G1643" s="573" t="s">
        <v>271</v>
      </c>
      <c r="H1643" s="573">
        <v>2019</v>
      </c>
      <c r="I1643" s="573" t="s">
        <v>3010</v>
      </c>
      <c r="J1643" s="573" t="s">
        <v>3090</v>
      </c>
      <c r="K1643" s="573" t="s">
        <v>156</v>
      </c>
      <c r="L1643" s="573">
        <v>2</v>
      </c>
      <c r="M1643" s="573">
        <v>0</v>
      </c>
      <c r="N1643" s="573" t="s">
        <v>157</v>
      </c>
      <c r="O1643" s="573">
        <v>1</v>
      </c>
      <c r="P1643" s="573">
        <v>72.8</v>
      </c>
      <c r="Q1643" s="571" t="s">
        <v>157</v>
      </c>
      <c r="R1643" s="573" t="s">
        <v>352</v>
      </c>
      <c r="S1643" s="573">
        <v>4</v>
      </c>
      <c r="T1643" s="573" t="s">
        <v>3098</v>
      </c>
      <c r="U1643" s="573" t="s">
        <v>3066</v>
      </c>
      <c r="V1643" s="573">
        <v>120.6</v>
      </c>
      <c r="W1643" s="573">
        <v>15.8</v>
      </c>
      <c r="X1643" s="571">
        <v>5270</v>
      </c>
      <c r="Y1643" s="573">
        <v>24</v>
      </c>
      <c r="Z1643" s="579" t="s">
        <v>178</v>
      </c>
      <c r="AA1643" s="579" t="s">
        <v>178</v>
      </c>
      <c r="AB1643" s="584">
        <v>28240</v>
      </c>
      <c r="AC1643" s="584" t="s">
        <v>164</v>
      </c>
      <c r="AD1643" s="584">
        <v>25500</v>
      </c>
      <c r="AE1643" s="586">
        <v>0.01</v>
      </c>
      <c r="AF1643" s="661" t="str">
        <f t="shared" si="178"/>
        <v>2019-LVN-FRD-TCTV-008-15</v>
      </c>
      <c r="AG1643" s="661" t="str">
        <f>IF(AND($Y1643&gt;=32,(AI1643="I"),(Y1643&lt;&gt;"~"),(COUNTIF($AN$1:$AN1643,$AN1643)=1)),"TRUE","FALSE")</f>
        <v>FALSE</v>
      </c>
      <c r="AH1643" s="661" t="str">
        <f>IF(AND($Y1643&gt;=22, (AI1643&lt;&gt;"I"),(Y1643&lt;&gt;"~"),(COUNTIF($AN$1:$AN1643,$AN1643)=1)),"TRUE","FALSE")</f>
        <v>FALSE</v>
      </c>
      <c r="AI1643" s="661" t="str">
        <f t="shared" si="180"/>
        <v>II</v>
      </c>
      <c r="AJ1643" s="662" t="str">
        <f t="shared" si="174"/>
        <v>TCTV-008</v>
      </c>
      <c r="AK1643" s="662" t="str">
        <f t="shared" si="175"/>
        <v>LVN</v>
      </c>
      <c r="AL1643" s="662" t="str">
        <f t="shared" si="176"/>
        <v>FRD</v>
      </c>
      <c r="AM1643" s="662" t="str">
        <f t="shared" si="179"/>
        <v>Transit Connect Van-XLT w/Symmetrical Rear Drs-FWD-2-72.8-~-2.0L-4-S7F-110A-120.6-15.8-Unleaded-Unleaded</v>
      </c>
      <c r="AN1643" s="662" t="str">
        <f t="shared" si="177"/>
        <v>2019-LVN-FRD-TCTV-008</v>
      </c>
    </row>
    <row r="1644" spans="1:40" s="572" customFormat="1" ht="30">
      <c r="A1644" s="570" t="s">
        <v>3105</v>
      </c>
      <c r="B1644" s="569" t="s">
        <v>3093</v>
      </c>
      <c r="C1644" s="569" t="s">
        <v>287</v>
      </c>
      <c r="D1644" s="580">
        <v>26</v>
      </c>
      <c r="E1644" s="569" t="s">
        <v>1516</v>
      </c>
      <c r="F1644" s="569" t="s">
        <v>3009</v>
      </c>
      <c r="G1644" s="569" t="s">
        <v>271</v>
      </c>
      <c r="H1644" s="569">
        <v>2019</v>
      </c>
      <c r="I1644" s="569" t="s">
        <v>3010</v>
      </c>
      <c r="J1644" s="569" t="s">
        <v>3090</v>
      </c>
      <c r="K1644" s="569" t="s">
        <v>156</v>
      </c>
      <c r="L1644" s="569">
        <v>2</v>
      </c>
      <c r="M1644" s="569">
        <v>0</v>
      </c>
      <c r="N1644" s="569" t="s">
        <v>157</v>
      </c>
      <c r="O1644" s="569">
        <v>1</v>
      </c>
      <c r="P1644" s="569">
        <v>72.5</v>
      </c>
      <c r="Q1644" s="568" t="s">
        <v>157</v>
      </c>
      <c r="R1644" s="569" t="s">
        <v>189</v>
      </c>
      <c r="S1644" s="569">
        <v>4</v>
      </c>
      <c r="T1644" s="569" t="s">
        <v>3091</v>
      </c>
      <c r="U1644" s="569" t="s">
        <v>3066</v>
      </c>
      <c r="V1644" s="569">
        <v>104.8</v>
      </c>
      <c r="W1644" s="569">
        <v>15.8</v>
      </c>
      <c r="X1644" s="568">
        <v>5020</v>
      </c>
      <c r="Y1644" s="569">
        <v>24</v>
      </c>
      <c r="Z1644" s="581" t="s">
        <v>178</v>
      </c>
      <c r="AA1644" s="581" t="s">
        <v>178</v>
      </c>
      <c r="AB1644" s="585">
        <v>27165</v>
      </c>
      <c r="AC1644" s="585" t="s">
        <v>164</v>
      </c>
      <c r="AD1644" s="585">
        <v>24953</v>
      </c>
      <c r="AE1644" s="587">
        <v>0.05</v>
      </c>
      <c r="AF1644" s="661" t="str">
        <f t="shared" si="178"/>
        <v>2019-LVN-FRD-TCTV-007-26</v>
      </c>
      <c r="AG1644" s="661" t="str">
        <f>IF(AND($Y1644&gt;=32,(AI1644="I"),(Y1644&lt;&gt;"~"),(COUNTIF($AN$1:$AN1644,$AN1644)=1)),"TRUE","FALSE")</f>
        <v>FALSE</v>
      </c>
      <c r="AH1644" s="661" t="str">
        <f>IF(AND($Y1644&gt;=22, (AI1644&lt;&gt;"I"),(Y1644&lt;&gt;"~"),(COUNTIF($AN$1:$AN1644,$AN1644)=1)),"TRUE","FALSE")</f>
        <v>FALSE</v>
      </c>
      <c r="AI1644" s="661" t="str">
        <f t="shared" si="180"/>
        <v>II</v>
      </c>
      <c r="AJ1644" s="662" t="str">
        <f t="shared" si="174"/>
        <v>TCTV-007</v>
      </c>
      <c r="AK1644" s="662" t="str">
        <f t="shared" si="175"/>
        <v>LVN</v>
      </c>
      <c r="AL1644" s="662" t="str">
        <f t="shared" si="176"/>
        <v>FRD</v>
      </c>
      <c r="AM1644" s="662" t="str">
        <f t="shared" si="179"/>
        <v>Transit Connect Van-XLT w/Symmetrical Rear Drs-FWD-2-72.5-~-2.5L-4-S6F-110A-104.8-15.8-Unleaded-Unleaded</v>
      </c>
      <c r="AN1644" s="662" t="str">
        <f t="shared" si="177"/>
        <v>2019-LVN-FRD-TCTV-007</v>
      </c>
    </row>
    <row r="1645" spans="1:40" s="572" customFormat="1" ht="30">
      <c r="A1645" s="570" t="s">
        <v>3106</v>
      </c>
      <c r="B1645" s="573" t="s">
        <v>3100</v>
      </c>
      <c r="C1645" s="573" t="s">
        <v>287</v>
      </c>
      <c r="D1645" s="578">
        <v>26</v>
      </c>
      <c r="E1645" s="573" t="s">
        <v>1516</v>
      </c>
      <c r="F1645" s="573" t="s">
        <v>3009</v>
      </c>
      <c r="G1645" s="573" t="s">
        <v>271</v>
      </c>
      <c r="H1645" s="573">
        <v>2019</v>
      </c>
      <c r="I1645" s="573" t="s">
        <v>3010</v>
      </c>
      <c r="J1645" s="573" t="s">
        <v>3090</v>
      </c>
      <c r="K1645" s="573" t="s">
        <v>156</v>
      </c>
      <c r="L1645" s="573">
        <v>2</v>
      </c>
      <c r="M1645" s="573">
        <v>0</v>
      </c>
      <c r="N1645" s="573" t="s">
        <v>157</v>
      </c>
      <c r="O1645" s="573">
        <v>1</v>
      </c>
      <c r="P1645" s="573">
        <v>72.8</v>
      </c>
      <c r="Q1645" s="571" t="s">
        <v>157</v>
      </c>
      <c r="R1645" s="573" t="s">
        <v>189</v>
      </c>
      <c r="S1645" s="573">
        <v>4</v>
      </c>
      <c r="T1645" s="573" t="s">
        <v>3098</v>
      </c>
      <c r="U1645" s="573" t="s">
        <v>3066</v>
      </c>
      <c r="V1645" s="573">
        <v>120.6</v>
      </c>
      <c r="W1645" s="573">
        <v>15.8</v>
      </c>
      <c r="X1645" s="571">
        <v>5270</v>
      </c>
      <c r="Y1645" s="573">
        <v>24</v>
      </c>
      <c r="Z1645" s="579" t="s">
        <v>178</v>
      </c>
      <c r="AA1645" s="579" t="s">
        <v>178</v>
      </c>
      <c r="AB1645" s="584">
        <v>28165</v>
      </c>
      <c r="AC1645" s="584" t="s">
        <v>164</v>
      </c>
      <c r="AD1645" s="584">
        <v>25910</v>
      </c>
      <c r="AE1645" s="586">
        <v>0.05</v>
      </c>
      <c r="AF1645" s="661" t="str">
        <f t="shared" si="178"/>
        <v>2019-LVN-FRD-TCTV-008-26</v>
      </c>
      <c r="AG1645" s="661" t="str">
        <f>IF(AND($Y1645&gt;=32,(AI1645="I"),(Y1645&lt;&gt;"~"),(COUNTIF($AN$1:$AN1645,$AN1645)=1)),"TRUE","FALSE")</f>
        <v>FALSE</v>
      </c>
      <c r="AH1645" s="661" t="str">
        <f>IF(AND($Y1645&gt;=22, (AI1645&lt;&gt;"I"),(Y1645&lt;&gt;"~"),(COUNTIF($AN$1:$AN1645,$AN1645)=1)),"TRUE","FALSE")</f>
        <v>FALSE</v>
      </c>
      <c r="AI1645" s="661" t="str">
        <f t="shared" si="180"/>
        <v>II</v>
      </c>
      <c r="AJ1645" s="662" t="str">
        <f t="shared" si="174"/>
        <v>TCTV-008</v>
      </c>
      <c r="AK1645" s="662" t="str">
        <f t="shared" si="175"/>
        <v>LVN</v>
      </c>
      <c r="AL1645" s="662" t="str">
        <f t="shared" si="176"/>
        <v>FRD</v>
      </c>
      <c r="AM1645" s="662" t="str">
        <f t="shared" si="179"/>
        <v>Transit Connect Van-XLT w/Symmetrical Rear Drs-FWD-2-72.8-~-2.5L-4-S7F-110A-120.6-15.8-Unleaded-Unleaded</v>
      </c>
      <c r="AN1645" s="662" t="str">
        <f t="shared" si="177"/>
        <v>2019-LVN-FRD-TCTV-008</v>
      </c>
    </row>
    <row r="1646" spans="1:40" s="572" customFormat="1" ht="30">
      <c r="A1646" s="570" t="s">
        <v>3107</v>
      </c>
      <c r="B1646" s="569" t="s">
        <v>3089</v>
      </c>
      <c r="C1646" s="569" t="s">
        <v>280</v>
      </c>
      <c r="D1646" s="580">
        <v>27</v>
      </c>
      <c r="E1646" s="569" t="s">
        <v>1516</v>
      </c>
      <c r="F1646" s="569" t="s">
        <v>3009</v>
      </c>
      <c r="G1646" s="569" t="s">
        <v>271</v>
      </c>
      <c r="H1646" s="569">
        <v>2019</v>
      </c>
      <c r="I1646" s="569" t="s">
        <v>3010</v>
      </c>
      <c r="J1646" s="569" t="s">
        <v>3090</v>
      </c>
      <c r="K1646" s="569" t="s">
        <v>156</v>
      </c>
      <c r="L1646" s="569">
        <v>2</v>
      </c>
      <c r="M1646" s="569">
        <v>0</v>
      </c>
      <c r="N1646" s="569" t="s">
        <v>157</v>
      </c>
      <c r="O1646" s="569">
        <v>1</v>
      </c>
      <c r="P1646" s="569">
        <v>72.5</v>
      </c>
      <c r="Q1646" s="568" t="s">
        <v>157</v>
      </c>
      <c r="R1646" s="569" t="s">
        <v>3012</v>
      </c>
      <c r="S1646" s="569">
        <v>4</v>
      </c>
      <c r="T1646" s="569" t="s">
        <v>3091</v>
      </c>
      <c r="U1646" s="569" t="s">
        <v>3066</v>
      </c>
      <c r="V1646" s="569">
        <v>104.8</v>
      </c>
      <c r="W1646" s="569">
        <v>15.8</v>
      </c>
      <c r="X1646" s="568">
        <v>5240</v>
      </c>
      <c r="Y1646" s="569">
        <v>24</v>
      </c>
      <c r="Z1646" s="581" t="s">
        <v>728</v>
      </c>
      <c r="AA1646" s="581" t="s">
        <v>728</v>
      </c>
      <c r="AB1646" s="585">
        <v>29235</v>
      </c>
      <c r="AC1646" s="585" t="s">
        <v>164</v>
      </c>
      <c r="AD1646" s="585">
        <v>25857.645833333336</v>
      </c>
      <c r="AE1646" s="587">
        <v>0.03</v>
      </c>
      <c r="AF1646" s="661" t="str">
        <f t="shared" si="178"/>
        <v>2019-LVN-FRD-TCTV-021-27</v>
      </c>
      <c r="AG1646" s="661" t="str">
        <f>IF(AND($Y1646&gt;=32,(AI1646="I"),(Y1646&lt;&gt;"~"),(COUNTIF($AN$1:$AN1646,$AN1646)=1)),"TRUE","FALSE")</f>
        <v>FALSE</v>
      </c>
      <c r="AH1646" s="661" t="str">
        <f>IF(AND($Y1646&gt;=22, (AI1646&lt;&gt;"I"),(Y1646&lt;&gt;"~"),(COUNTIF($AN$1:$AN1646,$AN1646)=1)),"TRUE","FALSE")</f>
        <v>FALSE</v>
      </c>
      <c r="AI1646" s="661" t="str">
        <f t="shared" si="180"/>
        <v>II</v>
      </c>
      <c r="AJ1646" s="662" t="str">
        <f t="shared" si="174"/>
        <v>TCTV-021</v>
      </c>
      <c r="AK1646" s="662" t="str">
        <f t="shared" si="175"/>
        <v>LVN</v>
      </c>
      <c r="AL1646" s="662" t="str">
        <f t="shared" si="176"/>
        <v>FRD</v>
      </c>
      <c r="AM1646" s="662" t="str">
        <f t="shared" si="179"/>
        <v>Transit Connect Van-XLT w/Symmetrical Rear Drs-FWD-2-72.5-~-1.5L Ecoblue Diesel-4-S6F-110A-104.8-15.8-Diesel-Diesel</v>
      </c>
      <c r="AN1646" s="662" t="str">
        <f t="shared" si="177"/>
        <v>2019-LVN-FRD-TCTV-021</v>
      </c>
    </row>
    <row r="1647" spans="1:40" s="572" customFormat="1" ht="30">
      <c r="A1647" s="570" t="s">
        <v>3108</v>
      </c>
      <c r="B1647" s="573" t="s">
        <v>3093</v>
      </c>
      <c r="C1647" s="573" t="s">
        <v>280</v>
      </c>
      <c r="D1647" s="578">
        <v>27</v>
      </c>
      <c r="E1647" s="573" t="s">
        <v>1516</v>
      </c>
      <c r="F1647" s="573" t="s">
        <v>3009</v>
      </c>
      <c r="G1647" s="573" t="s">
        <v>271</v>
      </c>
      <c r="H1647" s="573">
        <v>2019</v>
      </c>
      <c r="I1647" s="573" t="s">
        <v>3010</v>
      </c>
      <c r="J1647" s="573" t="s">
        <v>3090</v>
      </c>
      <c r="K1647" s="573" t="s">
        <v>156</v>
      </c>
      <c r="L1647" s="573">
        <v>2</v>
      </c>
      <c r="M1647" s="573">
        <v>0</v>
      </c>
      <c r="N1647" s="573" t="s">
        <v>157</v>
      </c>
      <c r="O1647" s="573">
        <v>1</v>
      </c>
      <c r="P1647" s="573">
        <v>72.5</v>
      </c>
      <c r="Q1647" s="571" t="s">
        <v>157</v>
      </c>
      <c r="R1647" s="573" t="s">
        <v>3016</v>
      </c>
      <c r="S1647" s="573">
        <v>4</v>
      </c>
      <c r="T1647" s="573" t="s">
        <v>3091</v>
      </c>
      <c r="U1647" s="573" t="s">
        <v>3066</v>
      </c>
      <c r="V1647" s="573">
        <v>104.8</v>
      </c>
      <c r="W1647" s="573">
        <v>15.8</v>
      </c>
      <c r="X1647" s="571">
        <v>5130</v>
      </c>
      <c r="Y1647" s="573">
        <v>24</v>
      </c>
      <c r="Z1647" s="579" t="s">
        <v>178</v>
      </c>
      <c r="AA1647" s="579" t="s">
        <v>178</v>
      </c>
      <c r="AB1647" s="584">
        <v>27240</v>
      </c>
      <c r="AC1647" s="584" t="s">
        <v>164</v>
      </c>
      <c r="AD1647" s="584">
        <v>24085.604166666668</v>
      </c>
      <c r="AE1647" s="586">
        <v>0.03</v>
      </c>
      <c r="AF1647" s="661" t="str">
        <f t="shared" si="178"/>
        <v>2019-LVN-FRD-TCTV-007-27</v>
      </c>
      <c r="AG1647" s="661" t="str">
        <f>IF(AND($Y1647&gt;=32,(AI1647="I"),(Y1647&lt;&gt;"~"),(COUNTIF($AN$1:$AN1647,$AN1647)=1)),"TRUE","FALSE")</f>
        <v>FALSE</v>
      </c>
      <c r="AH1647" s="661" t="str">
        <f>IF(AND($Y1647&gt;=22, (AI1647&lt;&gt;"I"),(Y1647&lt;&gt;"~"),(COUNTIF($AN$1:$AN1647,$AN1647)=1)),"TRUE","FALSE")</f>
        <v>FALSE</v>
      </c>
      <c r="AI1647" s="661" t="str">
        <f t="shared" si="180"/>
        <v>II</v>
      </c>
      <c r="AJ1647" s="662" t="str">
        <f t="shared" si="174"/>
        <v>TCTV-007</v>
      </c>
      <c r="AK1647" s="662" t="str">
        <f t="shared" si="175"/>
        <v>LVN</v>
      </c>
      <c r="AL1647" s="662" t="str">
        <f t="shared" si="176"/>
        <v>FRD</v>
      </c>
      <c r="AM1647" s="662" t="str">
        <f t="shared" si="179"/>
        <v>Transit Connect Van-XLT w/Symmetrical Rear Drs-FWD-2-72.5-~-2.0L -4-S6F-110A-104.8-15.8-Unleaded-Unleaded</v>
      </c>
      <c r="AN1647" s="662" t="str">
        <f t="shared" si="177"/>
        <v>2019-LVN-FRD-TCTV-007</v>
      </c>
    </row>
    <row r="1648" spans="1:40" s="572" customFormat="1" ht="30">
      <c r="A1648" s="570" t="s">
        <v>3109</v>
      </c>
      <c r="B1648" s="569" t="s">
        <v>3095</v>
      </c>
      <c r="C1648" s="569" t="s">
        <v>280</v>
      </c>
      <c r="D1648" s="580">
        <v>27</v>
      </c>
      <c r="E1648" s="569" t="s">
        <v>1516</v>
      </c>
      <c r="F1648" s="569" t="s">
        <v>3009</v>
      </c>
      <c r="G1648" s="569" t="s">
        <v>271</v>
      </c>
      <c r="H1648" s="569">
        <v>2019</v>
      </c>
      <c r="I1648" s="569" t="s">
        <v>3010</v>
      </c>
      <c r="J1648" s="569" t="s">
        <v>3090</v>
      </c>
      <c r="K1648" s="569" t="s">
        <v>156</v>
      </c>
      <c r="L1648" s="569">
        <v>2</v>
      </c>
      <c r="M1648" s="569">
        <v>0</v>
      </c>
      <c r="N1648" s="569" t="s">
        <v>157</v>
      </c>
      <c r="O1648" s="569">
        <v>1</v>
      </c>
      <c r="P1648" s="569">
        <v>72.5</v>
      </c>
      <c r="Q1648" s="568" t="s">
        <v>157</v>
      </c>
      <c r="R1648" s="569" t="s">
        <v>3019</v>
      </c>
      <c r="S1648" s="569">
        <v>4</v>
      </c>
      <c r="T1648" s="569" t="s">
        <v>3091</v>
      </c>
      <c r="U1648" s="569" t="s">
        <v>3066</v>
      </c>
      <c r="V1648" s="569">
        <v>104.8</v>
      </c>
      <c r="W1648" s="569">
        <v>15.8</v>
      </c>
      <c r="X1648" s="568">
        <v>5110</v>
      </c>
      <c r="Y1648" s="569">
        <v>24</v>
      </c>
      <c r="Z1648" s="581" t="s">
        <v>178</v>
      </c>
      <c r="AA1648" s="581" t="s">
        <v>178</v>
      </c>
      <c r="AB1648" s="585">
        <v>27555</v>
      </c>
      <c r="AC1648" s="585" t="s">
        <v>164</v>
      </c>
      <c r="AD1648" s="585">
        <v>24364.9375</v>
      </c>
      <c r="AE1648" s="587">
        <v>0.03</v>
      </c>
      <c r="AF1648" s="661" t="str">
        <f t="shared" si="178"/>
        <v>2019-LVN-FRD-TCTV-022-27</v>
      </c>
      <c r="AG1648" s="661" t="str">
        <f>IF(AND($Y1648&gt;=32,(AI1648="I"),(Y1648&lt;&gt;"~"),(COUNTIF($AN$1:$AN1648,$AN1648)=1)),"TRUE","FALSE")</f>
        <v>FALSE</v>
      </c>
      <c r="AH1648" s="661" t="str">
        <f>IF(AND($Y1648&gt;=22, (AI1648&lt;&gt;"I"),(Y1648&lt;&gt;"~"),(COUNTIF($AN$1:$AN1648,$AN1648)=1)),"TRUE","FALSE")</f>
        <v>FALSE</v>
      </c>
      <c r="AI1648" s="661" t="str">
        <f t="shared" si="180"/>
        <v>II</v>
      </c>
      <c r="AJ1648" s="662" t="str">
        <f t="shared" si="174"/>
        <v>TCTV-022</v>
      </c>
      <c r="AK1648" s="662" t="str">
        <f t="shared" si="175"/>
        <v>LVN</v>
      </c>
      <c r="AL1648" s="662" t="str">
        <f t="shared" si="176"/>
        <v>FRD</v>
      </c>
      <c r="AM1648" s="662" t="str">
        <f t="shared" si="179"/>
        <v>Transit Connect Van-XLT w/Symmetrical Rear Drs-FWD-2-72.5-~-2.5L/CNG Prep-4-S6F-110A-104.8-15.8-Unleaded-Unleaded</v>
      </c>
      <c r="AN1648" s="662" t="str">
        <f t="shared" si="177"/>
        <v>2019-LVN-FRD-TCTV-022</v>
      </c>
    </row>
    <row r="1649" spans="1:40" s="572" customFormat="1" ht="30">
      <c r="A1649" s="570" t="s">
        <v>3110</v>
      </c>
      <c r="B1649" s="573" t="s">
        <v>3097</v>
      </c>
      <c r="C1649" s="573" t="s">
        <v>280</v>
      </c>
      <c r="D1649" s="578">
        <v>27</v>
      </c>
      <c r="E1649" s="573" t="s">
        <v>1516</v>
      </c>
      <c r="F1649" s="573" t="s">
        <v>3009</v>
      </c>
      <c r="G1649" s="573" t="s">
        <v>271</v>
      </c>
      <c r="H1649" s="573">
        <v>2019</v>
      </c>
      <c r="I1649" s="573" t="s">
        <v>3010</v>
      </c>
      <c r="J1649" s="573" t="s">
        <v>3090</v>
      </c>
      <c r="K1649" s="573" t="s">
        <v>156</v>
      </c>
      <c r="L1649" s="573">
        <v>2</v>
      </c>
      <c r="M1649" s="573">
        <v>0</v>
      </c>
      <c r="N1649" s="573" t="s">
        <v>157</v>
      </c>
      <c r="O1649" s="573">
        <v>1</v>
      </c>
      <c r="P1649" s="573">
        <v>72.8</v>
      </c>
      <c r="Q1649" s="571" t="s">
        <v>157</v>
      </c>
      <c r="R1649" s="573" t="s">
        <v>3012</v>
      </c>
      <c r="S1649" s="573">
        <v>4</v>
      </c>
      <c r="T1649" s="573" t="s">
        <v>3098</v>
      </c>
      <c r="U1649" s="573" t="s">
        <v>3066</v>
      </c>
      <c r="V1649" s="573">
        <v>120.6</v>
      </c>
      <c r="W1649" s="573">
        <v>15.8</v>
      </c>
      <c r="X1649" s="571">
        <v>5260</v>
      </c>
      <c r="Y1649" s="569">
        <v>24</v>
      </c>
      <c r="Z1649" s="579" t="s">
        <v>728</v>
      </c>
      <c r="AA1649" s="579" t="s">
        <v>728</v>
      </c>
      <c r="AB1649" s="584">
        <v>30235</v>
      </c>
      <c r="AC1649" s="584" t="s">
        <v>164</v>
      </c>
      <c r="AD1649" s="584">
        <v>26781.604166666668</v>
      </c>
      <c r="AE1649" s="586">
        <v>0.03</v>
      </c>
      <c r="AF1649" s="661" t="str">
        <f t="shared" si="178"/>
        <v>2019-LVN-FRD-TCTV-023-27</v>
      </c>
      <c r="AG1649" s="661" t="str">
        <f>IF(AND($Y1649&gt;=32,(AI1649="I"),(Y1649&lt;&gt;"~"),(COUNTIF($AN$1:$AN1649,$AN1649)=1)),"TRUE","FALSE")</f>
        <v>FALSE</v>
      </c>
      <c r="AH1649" s="661" t="str">
        <f>IF(AND($Y1649&gt;=22, (AI1649&lt;&gt;"I"),(Y1649&lt;&gt;"~"),(COUNTIF($AN$1:$AN1649,$AN1649)=1)),"TRUE","FALSE")</f>
        <v>FALSE</v>
      </c>
      <c r="AI1649" s="661" t="str">
        <f t="shared" si="180"/>
        <v>II</v>
      </c>
      <c r="AJ1649" s="662" t="str">
        <f t="shared" si="174"/>
        <v>TCTV-023</v>
      </c>
      <c r="AK1649" s="662" t="str">
        <f t="shared" si="175"/>
        <v>LVN</v>
      </c>
      <c r="AL1649" s="662" t="str">
        <f t="shared" si="176"/>
        <v>FRD</v>
      </c>
      <c r="AM1649" s="662" t="str">
        <f t="shared" si="179"/>
        <v>Transit Connect Van-XLT w/Symmetrical Rear Drs-FWD-2-72.8-~-1.5L Ecoblue Diesel-4-S7F-110A-120.6-15.8-Diesel-Diesel</v>
      </c>
      <c r="AN1649" s="662" t="str">
        <f t="shared" si="177"/>
        <v>2019-LVN-FRD-TCTV-023</v>
      </c>
    </row>
    <row r="1650" spans="1:40" s="572" customFormat="1" ht="30">
      <c r="A1650" s="570" t="s">
        <v>3111</v>
      </c>
      <c r="B1650" s="569" t="s">
        <v>3100</v>
      </c>
      <c r="C1650" s="569" t="s">
        <v>280</v>
      </c>
      <c r="D1650" s="580">
        <v>27</v>
      </c>
      <c r="E1650" s="569" t="s">
        <v>1516</v>
      </c>
      <c r="F1650" s="569" t="s">
        <v>3009</v>
      </c>
      <c r="G1650" s="569" t="s">
        <v>271</v>
      </c>
      <c r="H1650" s="569">
        <v>2019</v>
      </c>
      <c r="I1650" s="569" t="s">
        <v>3010</v>
      </c>
      <c r="J1650" s="569" t="s">
        <v>3090</v>
      </c>
      <c r="K1650" s="569" t="s">
        <v>156</v>
      </c>
      <c r="L1650" s="569">
        <v>2</v>
      </c>
      <c r="M1650" s="569">
        <v>0</v>
      </c>
      <c r="N1650" s="569" t="s">
        <v>157</v>
      </c>
      <c r="O1650" s="569">
        <v>1</v>
      </c>
      <c r="P1650" s="569">
        <v>72.8</v>
      </c>
      <c r="Q1650" s="568" t="s">
        <v>157</v>
      </c>
      <c r="R1650" s="569" t="s">
        <v>3016</v>
      </c>
      <c r="S1650" s="569">
        <v>4</v>
      </c>
      <c r="T1650" s="569" t="s">
        <v>3098</v>
      </c>
      <c r="U1650" s="569" t="s">
        <v>3066</v>
      </c>
      <c r="V1650" s="569">
        <v>120.6</v>
      </c>
      <c r="W1650" s="569">
        <v>15.8</v>
      </c>
      <c r="X1650" s="568">
        <v>5302</v>
      </c>
      <c r="Y1650" s="569">
        <v>24</v>
      </c>
      <c r="Z1650" s="581" t="s">
        <v>178</v>
      </c>
      <c r="AA1650" s="581" t="s">
        <v>178</v>
      </c>
      <c r="AB1650" s="585">
        <v>28240</v>
      </c>
      <c r="AC1650" s="585" t="s">
        <v>164</v>
      </c>
      <c r="AD1650" s="585">
        <v>25009.5625</v>
      </c>
      <c r="AE1650" s="587">
        <v>0.03</v>
      </c>
      <c r="AF1650" s="661" t="str">
        <f t="shared" si="178"/>
        <v>2019-LVN-FRD-TCTV-008-27</v>
      </c>
      <c r="AG1650" s="661" t="str">
        <f>IF(AND($Y1650&gt;=32,(AI1650="I"),(Y1650&lt;&gt;"~"),(COUNTIF($AN$1:$AN1650,$AN1650)=1)),"TRUE","FALSE")</f>
        <v>FALSE</v>
      </c>
      <c r="AH1650" s="661" t="str">
        <f>IF(AND($Y1650&gt;=22, (AI1650&lt;&gt;"I"),(Y1650&lt;&gt;"~"),(COUNTIF($AN$1:$AN1650,$AN1650)=1)),"TRUE","FALSE")</f>
        <v>FALSE</v>
      </c>
      <c r="AI1650" s="661" t="str">
        <f t="shared" si="180"/>
        <v>II</v>
      </c>
      <c r="AJ1650" s="662" t="str">
        <f t="shared" si="174"/>
        <v>TCTV-008</v>
      </c>
      <c r="AK1650" s="662" t="str">
        <f t="shared" si="175"/>
        <v>LVN</v>
      </c>
      <c r="AL1650" s="662" t="str">
        <f t="shared" si="176"/>
        <v>FRD</v>
      </c>
      <c r="AM1650" s="662" t="str">
        <f t="shared" si="179"/>
        <v>Transit Connect Van-XLT w/Symmetrical Rear Drs-FWD-2-72.8-~-2.0L -4-S7F-110A-120.6-15.8-Unleaded-Unleaded</v>
      </c>
      <c r="AN1650" s="662" t="str">
        <f t="shared" si="177"/>
        <v>2019-LVN-FRD-TCTV-008</v>
      </c>
    </row>
    <row r="1651" spans="1:40" s="572" customFormat="1" ht="30">
      <c r="A1651" s="570" t="s">
        <v>3112</v>
      </c>
      <c r="B1651" s="573" t="s">
        <v>3102</v>
      </c>
      <c r="C1651" s="573" t="s">
        <v>280</v>
      </c>
      <c r="D1651" s="578">
        <v>27</v>
      </c>
      <c r="E1651" s="573" t="s">
        <v>1516</v>
      </c>
      <c r="F1651" s="573" t="s">
        <v>3009</v>
      </c>
      <c r="G1651" s="573" t="s">
        <v>271</v>
      </c>
      <c r="H1651" s="573">
        <v>2019</v>
      </c>
      <c r="I1651" s="573" t="s">
        <v>3010</v>
      </c>
      <c r="J1651" s="573" t="s">
        <v>3090</v>
      </c>
      <c r="K1651" s="573" t="s">
        <v>156</v>
      </c>
      <c r="L1651" s="573">
        <v>2</v>
      </c>
      <c r="M1651" s="573">
        <v>0</v>
      </c>
      <c r="N1651" s="573" t="s">
        <v>157</v>
      </c>
      <c r="O1651" s="573">
        <v>1</v>
      </c>
      <c r="P1651" s="573">
        <v>72.8</v>
      </c>
      <c r="Q1651" s="571" t="s">
        <v>157</v>
      </c>
      <c r="R1651" s="573" t="s">
        <v>3019</v>
      </c>
      <c r="S1651" s="573">
        <v>4</v>
      </c>
      <c r="T1651" s="573" t="s">
        <v>3098</v>
      </c>
      <c r="U1651" s="573" t="s">
        <v>3066</v>
      </c>
      <c r="V1651" s="573">
        <v>120.6</v>
      </c>
      <c r="W1651" s="573">
        <v>15.8</v>
      </c>
      <c r="X1651" s="571">
        <v>5302</v>
      </c>
      <c r="Y1651" s="573">
        <v>24</v>
      </c>
      <c r="Z1651" s="579" t="s">
        <v>178</v>
      </c>
      <c r="AA1651" s="579" t="s">
        <v>178</v>
      </c>
      <c r="AB1651" s="584">
        <v>28555</v>
      </c>
      <c r="AC1651" s="584" t="s">
        <v>164</v>
      </c>
      <c r="AD1651" s="584">
        <v>25288.895833333336</v>
      </c>
      <c r="AE1651" s="586">
        <v>0.03</v>
      </c>
      <c r="AF1651" s="661" t="str">
        <f t="shared" si="178"/>
        <v>2019-LVN-FRD-TCTV-024-27</v>
      </c>
      <c r="AG1651" s="661" t="str">
        <f>IF(AND($Y1651&gt;=32,(AI1651="I"),(Y1651&lt;&gt;"~"),(COUNTIF($AN$1:$AN1651,$AN1651)=1)),"TRUE","FALSE")</f>
        <v>FALSE</v>
      </c>
      <c r="AH1651" s="661" t="str">
        <f>IF(AND($Y1651&gt;=22, (AI1651&lt;&gt;"I"),(Y1651&lt;&gt;"~"),(COUNTIF($AN$1:$AN1651,$AN1651)=1)),"TRUE","FALSE")</f>
        <v>FALSE</v>
      </c>
      <c r="AI1651" s="661" t="str">
        <f t="shared" si="180"/>
        <v>II</v>
      </c>
      <c r="AJ1651" s="662" t="str">
        <f t="shared" si="174"/>
        <v>TCTV-024</v>
      </c>
      <c r="AK1651" s="662" t="str">
        <f t="shared" si="175"/>
        <v>LVN</v>
      </c>
      <c r="AL1651" s="662" t="str">
        <f t="shared" si="176"/>
        <v>FRD</v>
      </c>
      <c r="AM1651" s="662" t="str">
        <f t="shared" si="179"/>
        <v>Transit Connect Van-XLT w/Symmetrical Rear Drs-FWD-2-72.8-~-2.5L/CNG Prep-4-S7F-110A-120.6-15.8-Unleaded-Unleaded</v>
      </c>
      <c r="AN1651" s="662" t="str">
        <f t="shared" si="177"/>
        <v>2019-LVN-FRD-TCTV-024</v>
      </c>
    </row>
    <row r="1652" spans="1:40" s="572" customFormat="1" ht="30">
      <c r="A1652" s="570" t="s">
        <v>3113</v>
      </c>
      <c r="B1652" s="569" t="s">
        <v>3114</v>
      </c>
      <c r="C1652" s="569" t="s">
        <v>269</v>
      </c>
      <c r="D1652" s="580" t="s">
        <v>270</v>
      </c>
      <c r="E1652" s="569" t="s">
        <v>1516</v>
      </c>
      <c r="F1652" s="569" t="s">
        <v>3115</v>
      </c>
      <c r="G1652" s="569" t="s">
        <v>271</v>
      </c>
      <c r="H1652" s="569">
        <v>2019</v>
      </c>
      <c r="I1652" s="569" t="s">
        <v>3116</v>
      </c>
      <c r="J1652" s="569" t="s">
        <v>418</v>
      </c>
      <c r="K1652" s="569" t="s">
        <v>156</v>
      </c>
      <c r="L1652" s="569">
        <v>7</v>
      </c>
      <c r="M1652" s="569">
        <v>0</v>
      </c>
      <c r="N1652" s="569" t="s">
        <v>157</v>
      </c>
      <c r="O1652" s="569">
        <v>3</v>
      </c>
      <c r="P1652" s="569">
        <v>73</v>
      </c>
      <c r="Q1652" s="568" t="s">
        <v>157</v>
      </c>
      <c r="R1652" s="569" t="s">
        <v>189</v>
      </c>
      <c r="S1652" s="569">
        <v>4</v>
      </c>
      <c r="T1652" s="569" t="s">
        <v>3117</v>
      </c>
      <c r="U1652" s="569" t="s">
        <v>3118</v>
      </c>
      <c r="V1652" s="569">
        <v>104.8</v>
      </c>
      <c r="W1652" s="569">
        <v>15.8</v>
      </c>
      <c r="X1652" s="568">
        <v>4820</v>
      </c>
      <c r="Y1652" s="569">
        <v>24</v>
      </c>
      <c r="Z1652" s="581" t="s">
        <v>178</v>
      </c>
      <c r="AA1652" s="581" t="s">
        <v>178</v>
      </c>
      <c r="AB1652" s="585">
        <v>31410</v>
      </c>
      <c r="AC1652" s="585" t="s">
        <v>164</v>
      </c>
      <c r="AD1652" s="585">
        <v>27940.979166666668</v>
      </c>
      <c r="AE1652" s="587">
        <v>0.03</v>
      </c>
      <c r="AF1652" s="661" t="str">
        <f t="shared" si="178"/>
        <v>2019-LVN-FRD-TCTW-007-05</v>
      </c>
      <c r="AG1652" s="661" t="str">
        <f>IF(AND($Y1652&gt;=32,(AI1652="I"),(Y1652&lt;&gt;"~"),(COUNTIF($AN$1:$AN1652,$AN1652)=1)),"TRUE","FALSE")</f>
        <v>FALSE</v>
      </c>
      <c r="AH1652" s="661" t="str">
        <f>IF(AND($Y1652&gt;=22, (AI1652&lt;&gt;"I"),(Y1652&lt;&gt;"~"),(COUNTIF($AN$1:$AN1652,$AN1652)=1)),"TRUE","FALSE")</f>
        <v>TRUE</v>
      </c>
      <c r="AI1652" s="661" t="str">
        <f t="shared" si="180"/>
        <v>II</v>
      </c>
      <c r="AJ1652" s="662" t="str">
        <f t="shared" si="174"/>
        <v>TCTW-007</v>
      </c>
      <c r="AK1652" s="662" t="str">
        <f t="shared" si="175"/>
        <v>LVN</v>
      </c>
      <c r="AL1652" s="662" t="str">
        <f t="shared" si="176"/>
        <v>FRD</v>
      </c>
      <c r="AM1652" s="662" t="str">
        <f t="shared" si="179"/>
        <v>Transit Connect Wagon-Titanium-FWD-7-73-~-2.5L-4-E8G-310A-104.8-15.8-Unleaded-Unleaded</v>
      </c>
      <c r="AN1652" s="662" t="str">
        <f t="shared" si="177"/>
        <v>2019-LVN-FRD-TCTW-007</v>
      </c>
    </row>
    <row r="1653" spans="1:40" s="572" customFormat="1" ht="30">
      <c r="A1653" s="570" t="s">
        <v>3119</v>
      </c>
      <c r="B1653" s="573" t="s">
        <v>3120</v>
      </c>
      <c r="C1653" s="573" t="s">
        <v>269</v>
      </c>
      <c r="D1653" s="578" t="s">
        <v>270</v>
      </c>
      <c r="E1653" s="573" t="s">
        <v>1516</v>
      </c>
      <c r="F1653" s="573" t="s">
        <v>3115</v>
      </c>
      <c r="G1653" s="573" t="s">
        <v>271</v>
      </c>
      <c r="H1653" s="573">
        <v>2019</v>
      </c>
      <c r="I1653" s="573" t="s">
        <v>3116</v>
      </c>
      <c r="J1653" s="573" t="s">
        <v>418</v>
      </c>
      <c r="K1653" s="573" t="s">
        <v>156</v>
      </c>
      <c r="L1653" s="573">
        <v>7</v>
      </c>
      <c r="M1653" s="573">
        <v>0</v>
      </c>
      <c r="N1653" s="573" t="s">
        <v>157</v>
      </c>
      <c r="O1653" s="573">
        <v>3</v>
      </c>
      <c r="P1653" s="573">
        <v>73</v>
      </c>
      <c r="Q1653" s="571" t="s">
        <v>157</v>
      </c>
      <c r="R1653" s="573" t="s">
        <v>189</v>
      </c>
      <c r="S1653" s="573">
        <v>4</v>
      </c>
      <c r="T1653" s="573" t="s">
        <v>3121</v>
      </c>
      <c r="U1653" s="573" t="s">
        <v>3118</v>
      </c>
      <c r="V1653" s="573">
        <v>120.6</v>
      </c>
      <c r="W1653" s="573">
        <v>15.8</v>
      </c>
      <c r="X1653" s="571">
        <v>4820</v>
      </c>
      <c r="Y1653" s="573">
        <v>24</v>
      </c>
      <c r="Z1653" s="579" t="s">
        <v>178</v>
      </c>
      <c r="AA1653" s="579" t="s">
        <v>178</v>
      </c>
      <c r="AB1653" s="584">
        <v>32790</v>
      </c>
      <c r="AC1653" s="584" t="s">
        <v>164</v>
      </c>
      <c r="AD1653" s="584">
        <v>29215.979166666668</v>
      </c>
      <c r="AE1653" s="586">
        <v>0.03</v>
      </c>
      <c r="AF1653" s="661" t="str">
        <f t="shared" si="178"/>
        <v>2019-LVN-FRD-TCTW-008-05</v>
      </c>
      <c r="AG1653" s="661" t="str">
        <f>IF(AND($Y1653&gt;=32,(AI1653="I"),(Y1653&lt;&gt;"~"),(COUNTIF($AN$1:$AN1653,$AN1653)=1)),"TRUE","FALSE")</f>
        <v>FALSE</v>
      </c>
      <c r="AH1653" s="661" t="str">
        <f>IF(AND($Y1653&gt;=22, (AI1653&lt;&gt;"I"),(Y1653&lt;&gt;"~"),(COUNTIF($AN$1:$AN1653,$AN1653)=1)),"TRUE","FALSE")</f>
        <v>TRUE</v>
      </c>
      <c r="AI1653" s="661" t="str">
        <f t="shared" si="180"/>
        <v>II</v>
      </c>
      <c r="AJ1653" s="662" t="str">
        <f t="shared" si="174"/>
        <v>TCTW-008</v>
      </c>
      <c r="AK1653" s="662" t="str">
        <f t="shared" si="175"/>
        <v>LVN</v>
      </c>
      <c r="AL1653" s="662" t="str">
        <f t="shared" si="176"/>
        <v>FRD</v>
      </c>
      <c r="AM1653" s="662" t="str">
        <f t="shared" si="179"/>
        <v>Transit Connect Wagon-Titanium-FWD-7-73-~-2.5L-4-E9G-310A-120.6-15.8-Unleaded-Unleaded</v>
      </c>
      <c r="AN1653" s="662" t="str">
        <f t="shared" si="177"/>
        <v>2019-LVN-FRD-TCTW-008</v>
      </c>
    </row>
    <row r="1654" spans="1:40" s="572" customFormat="1" ht="30">
      <c r="A1654" s="570" t="s">
        <v>3122</v>
      </c>
      <c r="B1654" s="569" t="s">
        <v>3114</v>
      </c>
      <c r="C1654" s="569" t="s">
        <v>278</v>
      </c>
      <c r="D1654" s="580">
        <v>15</v>
      </c>
      <c r="E1654" s="569" t="s">
        <v>1516</v>
      </c>
      <c r="F1654" s="569" t="s">
        <v>3115</v>
      </c>
      <c r="G1654" s="569" t="s">
        <v>271</v>
      </c>
      <c r="H1654" s="569">
        <v>2019</v>
      </c>
      <c r="I1654" s="569" t="s">
        <v>3116</v>
      </c>
      <c r="J1654" s="569" t="s">
        <v>418</v>
      </c>
      <c r="K1654" s="569" t="s">
        <v>156</v>
      </c>
      <c r="L1654" s="569">
        <v>7</v>
      </c>
      <c r="M1654" s="569">
        <v>0</v>
      </c>
      <c r="N1654" s="569" t="s">
        <v>157</v>
      </c>
      <c r="O1654" s="569">
        <v>3</v>
      </c>
      <c r="P1654" s="569">
        <v>73</v>
      </c>
      <c r="Q1654" s="568" t="s">
        <v>157</v>
      </c>
      <c r="R1654" s="569" t="s">
        <v>205</v>
      </c>
      <c r="S1654" s="569">
        <v>4</v>
      </c>
      <c r="T1654" s="569" t="s">
        <v>3117</v>
      </c>
      <c r="U1654" s="569" t="s">
        <v>3118</v>
      </c>
      <c r="V1654" s="569">
        <v>104.8</v>
      </c>
      <c r="W1654" s="569">
        <v>15.8</v>
      </c>
      <c r="X1654" s="568">
        <v>4820</v>
      </c>
      <c r="Y1654" s="569">
        <v>22</v>
      </c>
      <c r="Z1654" s="581" t="s">
        <v>178</v>
      </c>
      <c r="AA1654" s="581" t="s">
        <v>178</v>
      </c>
      <c r="AB1654" s="585">
        <v>31410</v>
      </c>
      <c r="AC1654" s="585" t="s">
        <v>164</v>
      </c>
      <c r="AD1654" s="585">
        <v>28500</v>
      </c>
      <c r="AE1654" s="587">
        <v>0.01</v>
      </c>
      <c r="AF1654" s="661" t="str">
        <f t="shared" si="178"/>
        <v>2019-LVN-FRD-TCTW-007-15</v>
      </c>
      <c r="AG1654" s="661" t="str">
        <f>IF(AND($Y1654&gt;=32,(AI1654="I"),(Y1654&lt;&gt;"~"),(COUNTIF($AN$1:$AN1654,$AN1654)=1)),"TRUE","FALSE")</f>
        <v>FALSE</v>
      </c>
      <c r="AH1654" s="661" t="str">
        <f>IF(AND($Y1654&gt;=22, (AI1654&lt;&gt;"I"),(Y1654&lt;&gt;"~"),(COUNTIF($AN$1:$AN1654,$AN1654)=1)),"TRUE","FALSE")</f>
        <v>FALSE</v>
      </c>
      <c r="AI1654" s="661" t="str">
        <f t="shared" si="180"/>
        <v>II</v>
      </c>
      <c r="AJ1654" s="662" t="str">
        <f t="shared" si="174"/>
        <v>TCTW-007</v>
      </c>
      <c r="AK1654" s="662" t="str">
        <f t="shared" si="175"/>
        <v>LVN</v>
      </c>
      <c r="AL1654" s="662" t="str">
        <f t="shared" si="176"/>
        <v>FRD</v>
      </c>
      <c r="AM1654" s="662" t="str">
        <f t="shared" si="179"/>
        <v>Transit Connect Wagon-Titanium-FWD-7-73-~-1.5L-4-E8G-310A-104.8-15.8-Unleaded-Unleaded</v>
      </c>
      <c r="AN1654" s="662" t="str">
        <f t="shared" si="177"/>
        <v>2019-LVN-FRD-TCTW-007</v>
      </c>
    </row>
    <row r="1655" spans="1:40" s="572" customFormat="1" ht="30">
      <c r="A1655" s="570" t="s">
        <v>3123</v>
      </c>
      <c r="B1655" s="573" t="s">
        <v>3120</v>
      </c>
      <c r="C1655" s="573" t="s">
        <v>278</v>
      </c>
      <c r="D1655" s="578">
        <v>15</v>
      </c>
      <c r="E1655" s="573" t="s">
        <v>1516</v>
      </c>
      <c r="F1655" s="573" t="s">
        <v>3115</v>
      </c>
      <c r="G1655" s="573" t="s">
        <v>271</v>
      </c>
      <c r="H1655" s="573">
        <v>2019</v>
      </c>
      <c r="I1655" s="573" t="s">
        <v>3116</v>
      </c>
      <c r="J1655" s="573" t="s">
        <v>418</v>
      </c>
      <c r="K1655" s="573" t="s">
        <v>156</v>
      </c>
      <c r="L1655" s="573">
        <v>7</v>
      </c>
      <c r="M1655" s="573">
        <v>0</v>
      </c>
      <c r="N1655" s="573" t="s">
        <v>157</v>
      </c>
      <c r="O1655" s="573">
        <v>3</v>
      </c>
      <c r="P1655" s="573">
        <v>73</v>
      </c>
      <c r="Q1655" s="571" t="s">
        <v>157</v>
      </c>
      <c r="R1655" s="573" t="s">
        <v>352</v>
      </c>
      <c r="S1655" s="573">
        <v>4</v>
      </c>
      <c r="T1655" s="573" t="s">
        <v>3121</v>
      </c>
      <c r="U1655" s="573" t="s">
        <v>3118</v>
      </c>
      <c r="V1655" s="573">
        <v>120.6</v>
      </c>
      <c r="W1655" s="573">
        <v>15.8</v>
      </c>
      <c r="X1655" s="571">
        <v>5280</v>
      </c>
      <c r="Y1655" s="573">
        <v>23</v>
      </c>
      <c r="Z1655" s="579" t="s">
        <v>178</v>
      </c>
      <c r="AA1655" s="579" t="s">
        <v>178</v>
      </c>
      <c r="AB1655" s="584">
        <v>32790</v>
      </c>
      <c r="AC1655" s="584" t="s">
        <v>164</v>
      </c>
      <c r="AD1655" s="584">
        <v>29800</v>
      </c>
      <c r="AE1655" s="586">
        <v>0.01</v>
      </c>
      <c r="AF1655" s="661" t="str">
        <f t="shared" si="178"/>
        <v>2019-LVN-FRD-TCTW-008-15</v>
      </c>
      <c r="AG1655" s="661" t="str">
        <f>IF(AND($Y1655&gt;=32,(AI1655="I"),(Y1655&lt;&gt;"~"),(COUNTIF($AN$1:$AN1655,$AN1655)=1)),"TRUE","FALSE")</f>
        <v>FALSE</v>
      </c>
      <c r="AH1655" s="661" t="str">
        <f>IF(AND($Y1655&gt;=22, (AI1655&lt;&gt;"I"),(Y1655&lt;&gt;"~"),(COUNTIF($AN$1:$AN1655,$AN1655)=1)),"TRUE","FALSE")</f>
        <v>FALSE</v>
      </c>
      <c r="AI1655" s="661" t="str">
        <f t="shared" si="180"/>
        <v>II</v>
      </c>
      <c r="AJ1655" s="662" t="str">
        <f t="shared" si="174"/>
        <v>TCTW-008</v>
      </c>
      <c r="AK1655" s="662" t="str">
        <f t="shared" si="175"/>
        <v>LVN</v>
      </c>
      <c r="AL1655" s="662" t="str">
        <f t="shared" si="176"/>
        <v>FRD</v>
      </c>
      <c r="AM1655" s="662" t="str">
        <f t="shared" si="179"/>
        <v>Transit Connect Wagon-Titanium-FWD-7-73-~-2.0L-4-E9G-310A-120.6-15.8-Unleaded-Unleaded</v>
      </c>
      <c r="AN1655" s="662" t="str">
        <f t="shared" si="177"/>
        <v>2019-LVN-FRD-TCTW-008</v>
      </c>
    </row>
    <row r="1656" spans="1:40" s="572" customFormat="1" ht="30">
      <c r="A1656" s="570" t="s">
        <v>3124</v>
      </c>
      <c r="B1656" s="569" t="s">
        <v>3120</v>
      </c>
      <c r="C1656" s="569" t="s">
        <v>287</v>
      </c>
      <c r="D1656" s="580">
        <v>26</v>
      </c>
      <c r="E1656" s="569" t="s">
        <v>1516</v>
      </c>
      <c r="F1656" s="569" t="s">
        <v>3115</v>
      </c>
      <c r="G1656" s="569" t="s">
        <v>271</v>
      </c>
      <c r="H1656" s="569">
        <v>2019</v>
      </c>
      <c r="I1656" s="569" t="s">
        <v>3116</v>
      </c>
      <c r="J1656" s="569" t="s">
        <v>418</v>
      </c>
      <c r="K1656" s="569" t="s">
        <v>156</v>
      </c>
      <c r="L1656" s="569">
        <v>7</v>
      </c>
      <c r="M1656" s="569">
        <v>0</v>
      </c>
      <c r="N1656" s="569" t="s">
        <v>157</v>
      </c>
      <c r="O1656" s="569">
        <v>3</v>
      </c>
      <c r="P1656" s="569">
        <v>73</v>
      </c>
      <c r="Q1656" s="568" t="s">
        <v>157</v>
      </c>
      <c r="R1656" s="569" t="s">
        <v>189</v>
      </c>
      <c r="S1656" s="569">
        <v>4</v>
      </c>
      <c r="T1656" s="569" t="s">
        <v>3121</v>
      </c>
      <c r="U1656" s="569" t="s">
        <v>3118</v>
      </c>
      <c r="V1656" s="569">
        <v>120.6</v>
      </c>
      <c r="W1656" s="569">
        <v>15.8</v>
      </c>
      <c r="X1656" s="568">
        <v>5280</v>
      </c>
      <c r="Y1656" s="569">
        <v>23</v>
      </c>
      <c r="Z1656" s="581" t="s">
        <v>178</v>
      </c>
      <c r="AA1656" s="581" t="s">
        <v>178</v>
      </c>
      <c r="AB1656" s="585">
        <v>32715</v>
      </c>
      <c r="AC1656" s="585" t="s">
        <v>164</v>
      </c>
      <c r="AD1656" s="585">
        <v>30266</v>
      </c>
      <c r="AE1656" s="587">
        <v>0.05</v>
      </c>
      <c r="AF1656" s="661" t="str">
        <f t="shared" si="178"/>
        <v>2019-LVN-FRD-TCTW-008-26</v>
      </c>
      <c r="AG1656" s="661" t="str">
        <f>IF(AND($Y1656&gt;=32,(AI1656="I"),(Y1656&lt;&gt;"~"),(COUNTIF($AN$1:$AN1656,$AN1656)=1)),"TRUE","FALSE")</f>
        <v>FALSE</v>
      </c>
      <c r="AH1656" s="661" t="str">
        <f>IF(AND($Y1656&gt;=22, (AI1656&lt;&gt;"I"),(Y1656&lt;&gt;"~"),(COUNTIF($AN$1:$AN1656,$AN1656)=1)),"TRUE","FALSE")</f>
        <v>FALSE</v>
      </c>
      <c r="AI1656" s="661" t="str">
        <f t="shared" si="180"/>
        <v>II</v>
      </c>
      <c r="AJ1656" s="662" t="str">
        <f t="shared" si="174"/>
        <v>TCTW-008</v>
      </c>
      <c r="AK1656" s="662" t="str">
        <f t="shared" si="175"/>
        <v>LVN</v>
      </c>
      <c r="AL1656" s="662" t="str">
        <f t="shared" si="176"/>
        <v>FRD</v>
      </c>
      <c r="AM1656" s="662" t="str">
        <f t="shared" si="179"/>
        <v>Transit Connect Wagon-Titanium-FWD-7-73-~-2.5L-4-E9G-310A-120.6-15.8-Unleaded-Unleaded</v>
      </c>
      <c r="AN1656" s="662" t="str">
        <f t="shared" si="177"/>
        <v>2019-LVN-FRD-TCTW-008</v>
      </c>
    </row>
    <row r="1657" spans="1:40" s="572" customFormat="1" ht="30">
      <c r="A1657" s="570" t="s">
        <v>3125</v>
      </c>
      <c r="B1657" s="573" t="s">
        <v>3114</v>
      </c>
      <c r="C1657" s="573" t="s">
        <v>280</v>
      </c>
      <c r="D1657" s="578">
        <v>27</v>
      </c>
      <c r="E1657" s="573" t="s">
        <v>1516</v>
      </c>
      <c r="F1657" s="573" t="s">
        <v>3115</v>
      </c>
      <c r="G1657" s="573" t="s">
        <v>271</v>
      </c>
      <c r="H1657" s="573">
        <v>2019</v>
      </c>
      <c r="I1657" s="573" t="s">
        <v>3116</v>
      </c>
      <c r="J1657" s="573" t="s">
        <v>418</v>
      </c>
      <c r="K1657" s="573" t="s">
        <v>156</v>
      </c>
      <c r="L1657" s="573">
        <v>7</v>
      </c>
      <c r="M1657" s="573">
        <v>0</v>
      </c>
      <c r="N1657" s="573" t="s">
        <v>157</v>
      </c>
      <c r="O1657" s="573">
        <v>3</v>
      </c>
      <c r="P1657" s="573">
        <v>73</v>
      </c>
      <c r="Q1657" s="571" t="s">
        <v>157</v>
      </c>
      <c r="R1657" s="573" t="s">
        <v>189</v>
      </c>
      <c r="S1657" s="573">
        <v>4</v>
      </c>
      <c r="T1657" s="573" t="s">
        <v>3117</v>
      </c>
      <c r="U1657" s="573" t="s">
        <v>3118</v>
      </c>
      <c r="V1657" s="573">
        <v>104.8</v>
      </c>
      <c r="W1657" s="573">
        <v>15.8</v>
      </c>
      <c r="X1657" s="571">
        <v>4820</v>
      </c>
      <c r="Y1657" s="573">
        <v>24</v>
      </c>
      <c r="Z1657" s="579" t="s">
        <v>178</v>
      </c>
      <c r="AA1657" s="579" t="s">
        <v>178</v>
      </c>
      <c r="AB1657" s="584">
        <v>31410</v>
      </c>
      <c r="AC1657" s="584" t="s">
        <v>164</v>
      </c>
      <c r="AD1657" s="584">
        <v>27940.979166666668</v>
      </c>
      <c r="AE1657" s="586">
        <v>0.03</v>
      </c>
      <c r="AF1657" s="661" t="str">
        <f t="shared" si="178"/>
        <v>2019-LVN-FRD-TCTW-007-27</v>
      </c>
      <c r="AG1657" s="661" t="str">
        <f>IF(AND($Y1657&gt;=32,(AI1657="I"),(Y1657&lt;&gt;"~"),(COUNTIF($AN$1:$AN1657,$AN1657)=1)),"TRUE","FALSE")</f>
        <v>FALSE</v>
      </c>
      <c r="AH1657" s="661" t="str">
        <f>IF(AND($Y1657&gt;=22, (AI1657&lt;&gt;"I"),(Y1657&lt;&gt;"~"),(COUNTIF($AN$1:$AN1657,$AN1657)=1)),"TRUE","FALSE")</f>
        <v>FALSE</v>
      </c>
      <c r="AI1657" s="661" t="str">
        <f t="shared" si="180"/>
        <v>II</v>
      </c>
      <c r="AJ1657" s="662" t="str">
        <f t="shared" si="174"/>
        <v>TCTW-007</v>
      </c>
      <c r="AK1657" s="662" t="str">
        <f t="shared" si="175"/>
        <v>LVN</v>
      </c>
      <c r="AL1657" s="662" t="str">
        <f t="shared" si="176"/>
        <v>FRD</v>
      </c>
      <c r="AM1657" s="662" t="str">
        <f t="shared" si="179"/>
        <v>Transit Connect Wagon-Titanium-FWD-7-73-~-2.5L-4-E8G-310A-104.8-15.8-Unleaded-Unleaded</v>
      </c>
      <c r="AN1657" s="662" t="str">
        <f t="shared" si="177"/>
        <v>2019-LVN-FRD-TCTW-007</v>
      </c>
    </row>
    <row r="1658" spans="1:40" s="572" customFormat="1" ht="30">
      <c r="A1658" s="570" t="s">
        <v>3126</v>
      </c>
      <c r="B1658" s="569" t="s">
        <v>3120</v>
      </c>
      <c r="C1658" s="569" t="s">
        <v>280</v>
      </c>
      <c r="D1658" s="580">
        <v>27</v>
      </c>
      <c r="E1658" s="569" t="s">
        <v>1516</v>
      </c>
      <c r="F1658" s="569" t="s">
        <v>3115</v>
      </c>
      <c r="G1658" s="569" t="s">
        <v>271</v>
      </c>
      <c r="H1658" s="569">
        <v>2019</v>
      </c>
      <c r="I1658" s="569" t="s">
        <v>3116</v>
      </c>
      <c r="J1658" s="569" t="s">
        <v>418</v>
      </c>
      <c r="K1658" s="569" t="s">
        <v>156</v>
      </c>
      <c r="L1658" s="569">
        <v>7</v>
      </c>
      <c r="M1658" s="569">
        <v>0</v>
      </c>
      <c r="N1658" s="569" t="s">
        <v>157</v>
      </c>
      <c r="O1658" s="569">
        <v>3</v>
      </c>
      <c r="P1658" s="569">
        <v>73</v>
      </c>
      <c r="Q1658" s="568" t="s">
        <v>157</v>
      </c>
      <c r="R1658" s="569" t="s">
        <v>189</v>
      </c>
      <c r="S1658" s="569">
        <v>4</v>
      </c>
      <c r="T1658" s="569" t="s">
        <v>3121</v>
      </c>
      <c r="U1658" s="569" t="s">
        <v>3118</v>
      </c>
      <c r="V1658" s="569">
        <v>120.6</v>
      </c>
      <c r="W1658" s="569">
        <v>15.8</v>
      </c>
      <c r="X1658" s="568">
        <v>4820</v>
      </c>
      <c r="Y1658" s="569">
        <v>24</v>
      </c>
      <c r="Z1658" s="581" t="s">
        <v>178</v>
      </c>
      <c r="AA1658" s="581" t="s">
        <v>178</v>
      </c>
      <c r="AB1658" s="585">
        <v>32790</v>
      </c>
      <c r="AC1658" s="585" t="s">
        <v>164</v>
      </c>
      <c r="AD1658" s="585">
        <v>29215.979166666668</v>
      </c>
      <c r="AE1658" s="587">
        <v>0.03</v>
      </c>
      <c r="AF1658" s="661" t="str">
        <f t="shared" si="178"/>
        <v>2019-LVN-FRD-TCTW-008-27</v>
      </c>
      <c r="AG1658" s="661" t="str">
        <f>IF(AND($Y1658&gt;=32,(AI1658="I"),(Y1658&lt;&gt;"~"),(COUNTIF($AN$1:$AN1658,$AN1658)=1)),"TRUE","FALSE")</f>
        <v>FALSE</v>
      </c>
      <c r="AH1658" s="661" t="str">
        <f>IF(AND($Y1658&gt;=22, (AI1658&lt;&gt;"I"),(Y1658&lt;&gt;"~"),(COUNTIF($AN$1:$AN1658,$AN1658)=1)),"TRUE","FALSE")</f>
        <v>FALSE</v>
      </c>
      <c r="AI1658" s="661" t="str">
        <f t="shared" si="180"/>
        <v>II</v>
      </c>
      <c r="AJ1658" s="662" t="str">
        <f t="shared" si="174"/>
        <v>TCTW-008</v>
      </c>
      <c r="AK1658" s="662" t="str">
        <f t="shared" si="175"/>
        <v>LVN</v>
      </c>
      <c r="AL1658" s="662" t="str">
        <f t="shared" si="176"/>
        <v>FRD</v>
      </c>
      <c r="AM1658" s="662" t="str">
        <f t="shared" si="179"/>
        <v>Transit Connect Wagon-Titanium-FWD-7-73-~-2.5L-4-E9G-310A-120.6-15.8-Unleaded-Unleaded</v>
      </c>
      <c r="AN1658" s="662" t="str">
        <f t="shared" si="177"/>
        <v>2019-LVN-FRD-TCTW-008</v>
      </c>
    </row>
    <row r="1659" spans="1:40" s="572" customFormat="1" ht="30">
      <c r="A1659" s="570" t="s">
        <v>3127</v>
      </c>
      <c r="B1659" s="573" t="s">
        <v>3128</v>
      </c>
      <c r="C1659" s="573" t="s">
        <v>269</v>
      </c>
      <c r="D1659" s="578" t="s">
        <v>270</v>
      </c>
      <c r="E1659" s="573" t="s">
        <v>1516</v>
      </c>
      <c r="F1659" s="573" t="s">
        <v>3115</v>
      </c>
      <c r="G1659" s="573" t="s">
        <v>271</v>
      </c>
      <c r="H1659" s="573">
        <v>2019</v>
      </c>
      <c r="I1659" s="573" t="s">
        <v>3116</v>
      </c>
      <c r="J1659" s="573" t="s">
        <v>3011</v>
      </c>
      <c r="K1659" s="573" t="s">
        <v>156</v>
      </c>
      <c r="L1659" s="573">
        <v>7</v>
      </c>
      <c r="M1659" s="573">
        <v>0</v>
      </c>
      <c r="N1659" s="573" t="s">
        <v>157</v>
      </c>
      <c r="O1659" s="573">
        <v>3</v>
      </c>
      <c r="P1659" s="573">
        <v>73</v>
      </c>
      <c r="Q1659" s="571" t="s">
        <v>157</v>
      </c>
      <c r="R1659" s="573" t="s">
        <v>3012</v>
      </c>
      <c r="S1659" s="573">
        <v>4</v>
      </c>
      <c r="T1659" s="573" t="s">
        <v>3129</v>
      </c>
      <c r="U1659" s="573" t="s">
        <v>295</v>
      </c>
      <c r="V1659" s="573">
        <v>120.6</v>
      </c>
      <c r="W1659" s="573">
        <v>15.8</v>
      </c>
      <c r="X1659" s="571">
        <v>5450</v>
      </c>
      <c r="Y1659" s="573">
        <v>22</v>
      </c>
      <c r="Z1659" s="579" t="s">
        <v>728</v>
      </c>
      <c r="AA1659" s="579" t="s">
        <v>728</v>
      </c>
      <c r="AB1659" s="584">
        <v>30035</v>
      </c>
      <c r="AC1659" s="584" t="s">
        <v>164</v>
      </c>
      <c r="AD1659" s="584">
        <v>26597.229166666668</v>
      </c>
      <c r="AE1659" s="586">
        <v>0.03</v>
      </c>
      <c r="AF1659" s="661" t="str">
        <f t="shared" si="178"/>
        <v>2019-LVN-FRD-TCTW-009-05</v>
      </c>
      <c r="AG1659" s="661" t="str">
        <f>IF(AND($Y1659&gt;=32,(AI1659="I"),(Y1659&lt;&gt;"~"),(COUNTIF($AN$1:$AN1659,$AN1659)=1)),"TRUE","FALSE")</f>
        <v>FALSE</v>
      </c>
      <c r="AH1659" s="661" t="str">
        <f>IF(AND($Y1659&gt;=22, (AI1659&lt;&gt;"I"),(Y1659&lt;&gt;"~"),(COUNTIF($AN$1:$AN1659,$AN1659)=1)),"TRUE","FALSE")</f>
        <v>TRUE</v>
      </c>
      <c r="AI1659" s="661" t="str">
        <f t="shared" si="180"/>
        <v>II</v>
      </c>
      <c r="AJ1659" s="662" t="str">
        <f t="shared" si="174"/>
        <v>TCTW-009</v>
      </c>
      <c r="AK1659" s="662" t="str">
        <f t="shared" si="175"/>
        <v>LVN</v>
      </c>
      <c r="AL1659" s="662" t="str">
        <f t="shared" si="176"/>
        <v>FRD</v>
      </c>
      <c r="AM1659" s="662" t="str">
        <f t="shared" si="179"/>
        <v>Transit Connect Wagon-XL w/Rear Liftgate-FWD-7-73-~-1.5L Ecoblue Diesel-4-E9E-200A-120.6-15.8-Diesel-Diesel</v>
      </c>
      <c r="AN1659" s="662" t="str">
        <f t="shared" si="177"/>
        <v>2019-LVN-FRD-TCTW-009</v>
      </c>
    </row>
    <row r="1660" spans="1:40" s="572" customFormat="1" ht="30">
      <c r="A1660" s="570" t="s">
        <v>3130</v>
      </c>
      <c r="B1660" s="569" t="s">
        <v>3131</v>
      </c>
      <c r="C1660" s="569" t="s">
        <v>269</v>
      </c>
      <c r="D1660" s="580" t="s">
        <v>270</v>
      </c>
      <c r="E1660" s="569" t="s">
        <v>1516</v>
      </c>
      <c r="F1660" s="569" t="s">
        <v>3115</v>
      </c>
      <c r="G1660" s="569" t="s">
        <v>271</v>
      </c>
      <c r="H1660" s="569">
        <v>2019</v>
      </c>
      <c r="I1660" s="569" t="s">
        <v>3116</v>
      </c>
      <c r="J1660" s="569" t="s">
        <v>3011</v>
      </c>
      <c r="K1660" s="569" t="s">
        <v>156</v>
      </c>
      <c r="L1660" s="569">
        <v>7</v>
      </c>
      <c r="M1660" s="569">
        <v>0</v>
      </c>
      <c r="N1660" s="569" t="s">
        <v>157</v>
      </c>
      <c r="O1660" s="569">
        <v>3</v>
      </c>
      <c r="P1660" s="569">
        <v>73</v>
      </c>
      <c r="Q1660" s="568" t="s">
        <v>157</v>
      </c>
      <c r="R1660" s="569" t="s">
        <v>3016</v>
      </c>
      <c r="S1660" s="569">
        <v>4</v>
      </c>
      <c r="T1660" s="569" t="s">
        <v>3129</v>
      </c>
      <c r="U1660" s="569" t="s">
        <v>295</v>
      </c>
      <c r="V1660" s="569">
        <v>120.6</v>
      </c>
      <c r="W1660" s="569">
        <v>15.8</v>
      </c>
      <c r="X1660" s="568">
        <v>5302</v>
      </c>
      <c r="Y1660" s="573">
        <v>22</v>
      </c>
      <c r="Z1660" s="581" t="s">
        <v>178</v>
      </c>
      <c r="AA1660" s="581" t="s">
        <v>178</v>
      </c>
      <c r="AB1660" s="585">
        <v>28040</v>
      </c>
      <c r="AC1660" s="585" t="s">
        <v>164</v>
      </c>
      <c r="AD1660" s="585">
        <v>24825.1875</v>
      </c>
      <c r="AE1660" s="587">
        <v>0.03</v>
      </c>
      <c r="AF1660" s="661" t="str">
        <f t="shared" si="178"/>
        <v>2019-LVN-FRD-TCTW-001-05</v>
      </c>
      <c r="AG1660" s="661" t="str">
        <f>IF(AND($Y1660&gt;=32,(AI1660="I"),(Y1660&lt;&gt;"~"),(COUNTIF($AN$1:$AN1660,$AN1660)=1)),"TRUE","FALSE")</f>
        <v>FALSE</v>
      </c>
      <c r="AH1660" s="661" t="str">
        <f>IF(AND($Y1660&gt;=22, (AI1660&lt;&gt;"I"),(Y1660&lt;&gt;"~"),(COUNTIF($AN$1:$AN1660,$AN1660)=1)),"TRUE","FALSE")</f>
        <v>TRUE</v>
      </c>
      <c r="AI1660" s="661" t="str">
        <f t="shared" si="180"/>
        <v>II</v>
      </c>
      <c r="AJ1660" s="662" t="str">
        <f t="shared" si="174"/>
        <v>TCTW-001</v>
      </c>
      <c r="AK1660" s="662" t="str">
        <f t="shared" si="175"/>
        <v>LVN</v>
      </c>
      <c r="AL1660" s="662" t="str">
        <f t="shared" si="176"/>
        <v>FRD</v>
      </c>
      <c r="AM1660" s="662" t="str">
        <f t="shared" si="179"/>
        <v>Transit Connect Wagon-XL w/Rear Liftgate-FWD-7-73-~-2.0L -4-E9E-200A-120.6-15.8-Unleaded-Unleaded</v>
      </c>
      <c r="AN1660" s="662" t="str">
        <f t="shared" si="177"/>
        <v>2019-LVN-FRD-TCTW-001</v>
      </c>
    </row>
    <row r="1661" spans="1:40" s="572" customFormat="1" ht="30">
      <c r="A1661" s="570" t="s">
        <v>3132</v>
      </c>
      <c r="B1661" s="573" t="s">
        <v>3133</v>
      </c>
      <c r="C1661" s="573" t="s">
        <v>269</v>
      </c>
      <c r="D1661" s="578" t="s">
        <v>270</v>
      </c>
      <c r="E1661" s="573" t="s">
        <v>1516</v>
      </c>
      <c r="F1661" s="573" t="s">
        <v>3115</v>
      </c>
      <c r="G1661" s="573" t="s">
        <v>271</v>
      </c>
      <c r="H1661" s="573">
        <v>2019</v>
      </c>
      <c r="I1661" s="573" t="s">
        <v>3116</v>
      </c>
      <c r="J1661" s="573" t="s">
        <v>3011</v>
      </c>
      <c r="K1661" s="573" t="s">
        <v>156</v>
      </c>
      <c r="L1661" s="573">
        <v>7</v>
      </c>
      <c r="M1661" s="573">
        <v>0</v>
      </c>
      <c r="N1661" s="573" t="s">
        <v>157</v>
      </c>
      <c r="O1661" s="573">
        <v>3</v>
      </c>
      <c r="P1661" s="573">
        <v>73</v>
      </c>
      <c r="Q1661" s="571" t="s">
        <v>157</v>
      </c>
      <c r="R1661" s="573" t="s">
        <v>3019</v>
      </c>
      <c r="S1661" s="573">
        <v>4</v>
      </c>
      <c r="T1661" s="573" t="s">
        <v>3129</v>
      </c>
      <c r="U1661" s="573" t="s">
        <v>295</v>
      </c>
      <c r="V1661" s="573">
        <v>120.6</v>
      </c>
      <c r="W1661" s="573">
        <v>15.8</v>
      </c>
      <c r="X1661" s="571">
        <v>5302</v>
      </c>
      <c r="Y1661" s="573">
        <v>24</v>
      </c>
      <c r="Z1661" s="579" t="s">
        <v>178</v>
      </c>
      <c r="AA1661" s="579" t="s">
        <v>178</v>
      </c>
      <c r="AB1661" s="584">
        <v>28355</v>
      </c>
      <c r="AC1661" s="584" t="s">
        <v>164</v>
      </c>
      <c r="AD1661" s="584">
        <v>25104.520833333336</v>
      </c>
      <c r="AE1661" s="586">
        <v>0.03</v>
      </c>
      <c r="AF1661" s="661" t="str">
        <f t="shared" si="178"/>
        <v>2019-LVN-FRD-TCTW-010-05</v>
      </c>
      <c r="AG1661" s="661" t="str">
        <f>IF(AND($Y1661&gt;=32,(AI1661="I"),(Y1661&lt;&gt;"~"),(COUNTIF($AN$1:$AN1661,$AN1661)=1)),"TRUE","FALSE")</f>
        <v>FALSE</v>
      </c>
      <c r="AH1661" s="661" t="str">
        <f>IF(AND($Y1661&gt;=22, (AI1661&lt;&gt;"I"),(Y1661&lt;&gt;"~"),(COUNTIF($AN$1:$AN1661,$AN1661)=1)),"TRUE","FALSE")</f>
        <v>TRUE</v>
      </c>
      <c r="AI1661" s="661" t="str">
        <f t="shared" si="180"/>
        <v>II</v>
      </c>
      <c r="AJ1661" s="662" t="str">
        <f t="shared" si="174"/>
        <v>TCTW-010</v>
      </c>
      <c r="AK1661" s="662" t="str">
        <f t="shared" si="175"/>
        <v>LVN</v>
      </c>
      <c r="AL1661" s="662" t="str">
        <f t="shared" si="176"/>
        <v>FRD</v>
      </c>
      <c r="AM1661" s="662" t="str">
        <f t="shared" si="179"/>
        <v>Transit Connect Wagon-XL w/Rear Liftgate-FWD-7-73-~-2.5L/CNG Prep-4-E9E-200A-120.6-15.8-Unleaded-Unleaded</v>
      </c>
      <c r="AN1661" s="662" t="str">
        <f t="shared" si="177"/>
        <v>2019-LVN-FRD-TCTW-010</v>
      </c>
    </row>
    <row r="1662" spans="1:40" s="572" customFormat="1" ht="30">
      <c r="A1662" s="570" t="s">
        <v>3134</v>
      </c>
      <c r="B1662" s="569" t="s">
        <v>3131</v>
      </c>
      <c r="C1662" s="569" t="s">
        <v>278</v>
      </c>
      <c r="D1662" s="580">
        <v>15</v>
      </c>
      <c r="E1662" s="569" t="s">
        <v>1516</v>
      </c>
      <c r="F1662" s="569" t="s">
        <v>3115</v>
      </c>
      <c r="G1662" s="569" t="s">
        <v>271</v>
      </c>
      <c r="H1662" s="569">
        <v>2019</v>
      </c>
      <c r="I1662" s="569" t="s">
        <v>3116</v>
      </c>
      <c r="J1662" s="569" t="s">
        <v>3011</v>
      </c>
      <c r="K1662" s="569" t="s">
        <v>156</v>
      </c>
      <c r="L1662" s="569">
        <v>7</v>
      </c>
      <c r="M1662" s="569">
        <v>0</v>
      </c>
      <c r="N1662" s="569" t="s">
        <v>157</v>
      </c>
      <c r="O1662" s="569">
        <v>3</v>
      </c>
      <c r="P1662" s="569">
        <v>73</v>
      </c>
      <c r="Q1662" s="568" t="s">
        <v>157</v>
      </c>
      <c r="R1662" s="569" t="s">
        <v>352</v>
      </c>
      <c r="S1662" s="569">
        <v>4</v>
      </c>
      <c r="T1662" s="569" t="s">
        <v>3129</v>
      </c>
      <c r="U1662" s="569" t="s">
        <v>295</v>
      </c>
      <c r="V1662" s="569">
        <v>120.6</v>
      </c>
      <c r="W1662" s="569">
        <v>15.8</v>
      </c>
      <c r="X1662" s="568">
        <v>5280</v>
      </c>
      <c r="Y1662" s="569">
        <v>22</v>
      </c>
      <c r="Z1662" s="581" t="s">
        <v>178</v>
      </c>
      <c r="AA1662" s="581" t="s">
        <v>178</v>
      </c>
      <c r="AB1662" s="585">
        <v>28040</v>
      </c>
      <c r="AC1662" s="585" t="s">
        <v>164</v>
      </c>
      <c r="AD1662" s="585">
        <v>25350</v>
      </c>
      <c r="AE1662" s="587">
        <v>0.01</v>
      </c>
      <c r="AF1662" s="661" t="str">
        <f t="shared" si="178"/>
        <v>2019-LVN-FRD-TCTW-001-15</v>
      </c>
      <c r="AG1662" s="661" t="str">
        <f>IF(AND($Y1662&gt;=32,(AI1662="I"),(Y1662&lt;&gt;"~"),(COUNTIF($AN$1:$AN1662,$AN1662)=1)),"TRUE","FALSE")</f>
        <v>FALSE</v>
      </c>
      <c r="AH1662" s="661" t="str">
        <f>IF(AND($Y1662&gt;=22, (AI1662&lt;&gt;"I"),(Y1662&lt;&gt;"~"),(COUNTIF($AN$1:$AN1662,$AN1662)=1)),"TRUE","FALSE")</f>
        <v>FALSE</v>
      </c>
      <c r="AI1662" s="661" t="str">
        <f t="shared" si="180"/>
        <v>II</v>
      </c>
      <c r="AJ1662" s="662" t="str">
        <f t="shared" si="174"/>
        <v>TCTW-001</v>
      </c>
      <c r="AK1662" s="662" t="str">
        <f t="shared" si="175"/>
        <v>LVN</v>
      </c>
      <c r="AL1662" s="662" t="str">
        <f t="shared" si="176"/>
        <v>FRD</v>
      </c>
      <c r="AM1662" s="662" t="str">
        <f t="shared" si="179"/>
        <v>Transit Connect Wagon-XL w/Rear Liftgate-FWD-7-73-~-2.0L-4-E9E-200A-120.6-15.8-Unleaded-Unleaded</v>
      </c>
      <c r="AN1662" s="662" t="str">
        <f t="shared" si="177"/>
        <v>2019-LVN-FRD-TCTW-001</v>
      </c>
    </row>
    <row r="1663" spans="1:40" s="572" customFormat="1" ht="30">
      <c r="A1663" s="570" t="s">
        <v>3135</v>
      </c>
      <c r="B1663" s="573" t="s">
        <v>3131</v>
      </c>
      <c r="C1663" s="573" t="s">
        <v>287</v>
      </c>
      <c r="D1663" s="578">
        <v>26</v>
      </c>
      <c r="E1663" s="573" t="s">
        <v>1516</v>
      </c>
      <c r="F1663" s="573" t="s">
        <v>3115</v>
      </c>
      <c r="G1663" s="573" t="s">
        <v>271</v>
      </c>
      <c r="H1663" s="573">
        <v>2019</v>
      </c>
      <c r="I1663" s="573" t="s">
        <v>3116</v>
      </c>
      <c r="J1663" s="573" t="s">
        <v>3011</v>
      </c>
      <c r="K1663" s="573" t="s">
        <v>156</v>
      </c>
      <c r="L1663" s="573">
        <v>7</v>
      </c>
      <c r="M1663" s="573">
        <v>0</v>
      </c>
      <c r="N1663" s="573" t="s">
        <v>157</v>
      </c>
      <c r="O1663" s="573">
        <v>3</v>
      </c>
      <c r="P1663" s="573">
        <v>73</v>
      </c>
      <c r="Q1663" s="571" t="s">
        <v>157</v>
      </c>
      <c r="R1663" s="573" t="s">
        <v>189</v>
      </c>
      <c r="S1663" s="573">
        <v>4</v>
      </c>
      <c r="T1663" s="573" t="s">
        <v>3129</v>
      </c>
      <c r="U1663" s="573" t="s">
        <v>295</v>
      </c>
      <c r="V1663" s="573">
        <v>120.6</v>
      </c>
      <c r="W1663" s="573">
        <v>15.8</v>
      </c>
      <c r="X1663" s="571">
        <v>5280</v>
      </c>
      <c r="Y1663" s="573">
        <v>22</v>
      </c>
      <c r="Z1663" s="579" t="s">
        <v>178</v>
      </c>
      <c r="AA1663" s="579" t="s">
        <v>178</v>
      </c>
      <c r="AB1663" s="584">
        <v>27965</v>
      </c>
      <c r="AC1663" s="584" t="s">
        <v>164</v>
      </c>
      <c r="AD1663" s="584">
        <v>25719</v>
      </c>
      <c r="AE1663" s="586">
        <v>0.05</v>
      </c>
      <c r="AF1663" s="661" t="str">
        <f t="shared" si="178"/>
        <v>2019-LVN-FRD-TCTW-001-26</v>
      </c>
      <c r="AG1663" s="661" t="str">
        <f>IF(AND($Y1663&gt;=32,(AI1663="I"),(Y1663&lt;&gt;"~"),(COUNTIF($AN$1:$AN1663,$AN1663)=1)),"TRUE","FALSE")</f>
        <v>FALSE</v>
      </c>
      <c r="AH1663" s="661" t="str">
        <f>IF(AND($Y1663&gt;=22, (AI1663&lt;&gt;"I"),(Y1663&lt;&gt;"~"),(COUNTIF($AN$1:$AN1663,$AN1663)=1)),"TRUE","FALSE")</f>
        <v>FALSE</v>
      </c>
      <c r="AI1663" s="661" t="str">
        <f t="shared" si="180"/>
        <v>II</v>
      </c>
      <c r="AJ1663" s="662" t="str">
        <f t="shared" si="174"/>
        <v>TCTW-001</v>
      </c>
      <c r="AK1663" s="662" t="str">
        <f t="shared" si="175"/>
        <v>LVN</v>
      </c>
      <c r="AL1663" s="662" t="str">
        <f t="shared" si="176"/>
        <v>FRD</v>
      </c>
      <c r="AM1663" s="662" t="str">
        <f t="shared" si="179"/>
        <v>Transit Connect Wagon-XL w/Rear Liftgate-FWD-7-73-~-2.5L-4-E9E-200A-120.6-15.8-Unleaded-Unleaded</v>
      </c>
      <c r="AN1663" s="662" t="str">
        <f t="shared" si="177"/>
        <v>2019-LVN-FRD-TCTW-001</v>
      </c>
    </row>
    <row r="1664" spans="1:40" s="572" customFormat="1" ht="30">
      <c r="A1664" s="570" t="s">
        <v>3136</v>
      </c>
      <c r="B1664" s="569" t="s">
        <v>3128</v>
      </c>
      <c r="C1664" s="569" t="s">
        <v>280</v>
      </c>
      <c r="D1664" s="580">
        <v>27</v>
      </c>
      <c r="E1664" s="569" t="s">
        <v>1516</v>
      </c>
      <c r="F1664" s="569" t="s">
        <v>3115</v>
      </c>
      <c r="G1664" s="569" t="s">
        <v>271</v>
      </c>
      <c r="H1664" s="569">
        <v>2019</v>
      </c>
      <c r="I1664" s="569" t="s">
        <v>3116</v>
      </c>
      <c r="J1664" s="569" t="s">
        <v>3011</v>
      </c>
      <c r="K1664" s="569" t="s">
        <v>156</v>
      </c>
      <c r="L1664" s="569">
        <v>7</v>
      </c>
      <c r="M1664" s="569">
        <v>0</v>
      </c>
      <c r="N1664" s="569" t="s">
        <v>157</v>
      </c>
      <c r="O1664" s="569">
        <v>3</v>
      </c>
      <c r="P1664" s="569">
        <v>73</v>
      </c>
      <c r="Q1664" s="568" t="s">
        <v>157</v>
      </c>
      <c r="R1664" s="569" t="s">
        <v>3012</v>
      </c>
      <c r="S1664" s="569">
        <v>4</v>
      </c>
      <c r="T1664" s="569" t="s">
        <v>3129</v>
      </c>
      <c r="U1664" s="569" t="s">
        <v>295</v>
      </c>
      <c r="V1664" s="569">
        <v>120.6</v>
      </c>
      <c r="W1664" s="569">
        <v>15.8</v>
      </c>
      <c r="X1664" s="568">
        <v>5450</v>
      </c>
      <c r="Y1664" s="573">
        <v>22</v>
      </c>
      <c r="Z1664" s="581" t="s">
        <v>728</v>
      </c>
      <c r="AA1664" s="581" t="s">
        <v>728</v>
      </c>
      <c r="AB1664" s="585">
        <v>30035</v>
      </c>
      <c r="AC1664" s="585" t="s">
        <v>164</v>
      </c>
      <c r="AD1664" s="585">
        <v>26597.229166666668</v>
      </c>
      <c r="AE1664" s="587">
        <v>0.03</v>
      </c>
      <c r="AF1664" s="661" t="str">
        <f t="shared" si="178"/>
        <v>2019-LVN-FRD-TCTW-009-27</v>
      </c>
      <c r="AG1664" s="661" t="str">
        <f>IF(AND($Y1664&gt;=32,(AI1664="I"),(Y1664&lt;&gt;"~"),(COUNTIF($AN$1:$AN1664,$AN1664)=1)),"TRUE","FALSE")</f>
        <v>FALSE</v>
      </c>
      <c r="AH1664" s="661" t="str">
        <f>IF(AND($Y1664&gt;=22, (AI1664&lt;&gt;"I"),(Y1664&lt;&gt;"~"),(COUNTIF($AN$1:$AN1664,$AN1664)=1)),"TRUE","FALSE")</f>
        <v>FALSE</v>
      </c>
      <c r="AI1664" s="661" t="str">
        <f t="shared" si="180"/>
        <v>II</v>
      </c>
      <c r="AJ1664" s="662" t="str">
        <f t="shared" si="174"/>
        <v>TCTW-009</v>
      </c>
      <c r="AK1664" s="662" t="str">
        <f t="shared" si="175"/>
        <v>LVN</v>
      </c>
      <c r="AL1664" s="662" t="str">
        <f t="shared" si="176"/>
        <v>FRD</v>
      </c>
      <c r="AM1664" s="662" t="str">
        <f t="shared" si="179"/>
        <v>Transit Connect Wagon-XL w/Rear Liftgate-FWD-7-73-~-1.5L Ecoblue Diesel-4-E9E-200A-120.6-15.8-Diesel-Diesel</v>
      </c>
      <c r="AN1664" s="662" t="str">
        <f t="shared" si="177"/>
        <v>2019-LVN-FRD-TCTW-009</v>
      </c>
    </row>
    <row r="1665" spans="1:40" s="572" customFormat="1" ht="30">
      <c r="A1665" s="570" t="s">
        <v>3137</v>
      </c>
      <c r="B1665" s="573" t="s">
        <v>3131</v>
      </c>
      <c r="C1665" s="573" t="s">
        <v>280</v>
      </c>
      <c r="D1665" s="578">
        <v>27</v>
      </c>
      <c r="E1665" s="573" t="s">
        <v>1516</v>
      </c>
      <c r="F1665" s="573" t="s">
        <v>3115</v>
      </c>
      <c r="G1665" s="573" t="s">
        <v>271</v>
      </c>
      <c r="H1665" s="573">
        <v>2019</v>
      </c>
      <c r="I1665" s="573" t="s">
        <v>3116</v>
      </c>
      <c r="J1665" s="573" t="s">
        <v>3011</v>
      </c>
      <c r="K1665" s="573" t="s">
        <v>156</v>
      </c>
      <c r="L1665" s="573">
        <v>7</v>
      </c>
      <c r="M1665" s="573">
        <v>0</v>
      </c>
      <c r="N1665" s="573" t="s">
        <v>157</v>
      </c>
      <c r="O1665" s="573">
        <v>3</v>
      </c>
      <c r="P1665" s="573">
        <v>73</v>
      </c>
      <c r="Q1665" s="571" t="s">
        <v>157</v>
      </c>
      <c r="R1665" s="573" t="s">
        <v>3016</v>
      </c>
      <c r="S1665" s="573">
        <v>4</v>
      </c>
      <c r="T1665" s="573" t="s">
        <v>3129</v>
      </c>
      <c r="U1665" s="573" t="s">
        <v>295</v>
      </c>
      <c r="V1665" s="573">
        <v>120.6</v>
      </c>
      <c r="W1665" s="573">
        <v>15.8</v>
      </c>
      <c r="X1665" s="571">
        <v>5302</v>
      </c>
      <c r="Y1665" s="573">
        <v>22</v>
      </c>
      <c r="Z1665" s="579" t="s">
        <v>178</v>
      </c>
      <c r="AA1665" s="579" t="s">
        <v>178</v>
      </c>
      <c r="AB1665" s="584">
        <v>28040</v>
      </c>
      <c r="AC1665" s="584" t="s">
        <v>164</v>
      </c>
      <c r="AD1665" s="584">
        <v>24825.1875</v>
      </c>
      <c r="AE1665" s="586">
        <v>0.03</v>
      </c>
      <c r="AF1665" s="661" t="str">
        <f t="shared" si="178"/>
        <v>2019-LVN-FRD-TCTW-001-27</v>
      </c>
      <c r="AG1665" s="661" t="str">
        <f>IF(AND($Y1665&gt;=32,(AI1665="I"),(Y1665&lt;&gt;"~"),(COUNTIF($AN$1:$AN1665,$AN1665)=1)),"TRUE","FALSE")</f>
        <v>FALSE</v>
      </c>
      <c r="AH1665" s="661" t="str">
        <f>IF(AND($Y1665&gt;=22, (AI1665&lt;&gt;"I"),(Y1665&lt;&gt;"~"),(COUNTIF($AN$1:$AN1665,$AN1665)=1)),"TRUE","FALSE")</f>
        <v>FALSE</v>
      </c>
      <c r="AI1665" s="661" t="str">
        <f t="shared" si="180"/>
        <v>II</v>
      </c>
      <c r="AJ1665" s="662" t="str">
        <f t="shared" si="174"/>
        <v>TCTW-001</v>
      </c>
      <c r="AK1665" s="662" t="str">
        <f t="shared" si="175"/>
        <v>LVN</v>
      </c>
      <c r="AL1665" s="662" t="str">
        <f t="shared" si="176"/>
        <v>FRD</v>
      </c>
      <c r="AM1665" s="662" t="str">
        <f t="shared" si="179"/>
        <v>Transit Connect Wagon-XL w/Rear Liftgate-FWD-7-73-~-2.0L -4-E9E-200A-120.6-15.8-Unleaded-Unleaded</v>
      </c>
      <c r="AN1665" s="662" t="str">
        <f t="shared" si="177"/>
        <v>2019-LVN-FRD-TCTW-001</v>
      </c>
    </row>
    <row r="1666" spans="1:40" s="572" customFormat="1" ht="30">
      <c r="A1666" s="570" t="s">
        <v>3138</v>
      </c>
      <c r="B1666" s="569" t="s">
        <v>3133</v>
      </c>
      <c r="C1666" s="569" t="s">
        <v>280</v>
      </c>
      <c r="D1666" s="580">
        <v>27</v>
      </c>
      <c r="E1666" s="569" t="s">
        <v>1516</v>
      </c>
      <c r="F1666" s="569" t="s">
        <v>3115</v>
      </c>
      <c r="G1666" s="569" t="s">
        <v>271</v>
      </c>
      <c r="H1666" s="569">
        <v>2019</v>
      </c>
      <c r="I1666" s="569" t="s">
        <v>3116</v>
      </c>
      <c r="J1666" s="569" t="s">
        <v>3011</v>
      </c>
      <c r="K1666" s="569" t="s">
        <v>156</v>
      </c>
      <c r="L1666" s="569">
        <v>7</v>
      </c>
      <c r="M1666" s="569">
        <v>0</v>
      </c>
      <c r="N1666" s="569" t="s">
        <v>157</v>
      </c>
      <c r="O1666" s="569">
        <v>3</v>
      </c>
      <c r="P1666" s="569">
        <v>73</v>
      </c>
      <c r="Q1666" s="568" t="s">
        <v>157</v>
      </c>
      <c r="R1666" s="569" t="s">
        <v>3019</v>
      </c>
      <c r="S1666" s="569">
        <v>4</v>
      </c>
      <c r="T1666" s="569" t="s">
        <v>3129</v>
      </c>
      <c r="U1666" s="569" t="s">
        <v>295</v>
      </c>
      <c r="V1666" s="569">
        <v>120.6</v>
      </c>
      <c r="W1666" s="569">
        <v>15.8</v>
      </c>
      <c r="X1666" s="568">
        <v>5302</v>
      </c>
      <c r="Y1666" s="569">
        <v>24</v>
      </c>
      <c r="Z1666" s="581" t="s">
        <v>178</v>
      </c>
      <c r="AA1666" s="581" t="s">
        <v>178</v>
      </c>
      <c r="AB1666" s="585">
        <v>28355</v>
      </c>
      <c r="AC1666" s="585" t="s">
        <v>164</v>
      </c>
      <c r="AD1666" s="585">
        <v>25104.520833333336</v>
      </c>
      <c r="AE1666" s="587">
        <v>0.03</v>
      </c>
      <c r="AF1666" s="661" t="str">
        <f t="shared" si="178"/>
        <v>2019-LVN-FRD-TCTW-010-27</v>
      </c>
      <c r="AG1666" s="661" t="str">
        <f>IF(AND($Y1666&gt;=32,(AI1666="I"),(Y1666&lt;&gt;"~"),(COUNTIF($AN$1:$AN1666,$AN1666)=1)),"TRUE","FALSE")</f>
        <v>FALSE</v>
      </c>
      <c r="AH1666" s="661" t="str">
        <f>IF(AND($Y1666&gt;=22, (AI1666&lt;&gt;"I"),(Y1666&lt;&gt;"~"),(COUNTIF($AN$1:$AN1666,$AN1666)=1)),"TRUE","FALSE")</f>
        <v>FALSE</v>
      </c>
      <c r="AI1666" s="661" t="str">
        <f t="shared" si="180"/>
        <v>II</v>
      </c>
      <c r="AJ1666" s="662" t="str">
        <f t="shared" si="174"/>
        <v>TCTW-010</v>
      </c>
      <c r="AK1666" s="662" t="str">
        <f t="shared" si="175"/>
        <v>LVN</v>
      </c>
      <c r="AL1666" s="662" t="str">
        <f t="shared" si="176"/>
        <v>FRD</v>
      </c>
      <c r="AM1666" s="662" t="str">
        <f t="shared" si="179"/>
        <v>Transit Connect Wagon-XL w/Rear Liftgate-FWD-7-73-~-2.5L/CNG Prep-4-E9E-200A-120.6-15.8-Unleaded-Unleaded</v>
      </c>
      <c r="AN1666" s="662" t="str">
        <f t="shared" si="177"/>
        <v>2019-LVN-FRD-TCTW-010</v>
      </c>
    </row>
    <row r="1667" spans="1:40" s="572" customFormat="1" ht="30">
      <c r="A1667" s="570" t="s">
        <v>3139</v>
      </c>
      <c r="B1667" s="573" t="s">
        <v>3140</v>
      </c>
      <c r="C1667" s="573" t="s">
        <v>269</v>
      </c>
      <c r="D1667" s="578" t="s">
        <v>270</v>
      </c>
      <c r="E1667" s="573" t="s">
        <v>1516</v>
      </c>
      <c r="F1667" s="573" t="s">
        <v>3115</v>
      </c>
      <c r="G1667" s="573" t="s">
        <v>271</v>
      </c>
      <c r="H1667" s="573">
        <v>2019</v>
      </c>
      <c r="I1667" s="573" t="s">
        <v>3116</v>
      </c>
      <c r="J1667" s="573" t="s">
        <v>3039</v>
      </c>
      <c r="K1667" s="573" t="s">
        <v>156</v>
      </c>
      <c r="L1667" s="573">
        <v>7</v>
      </c>
      <c r="M1667" s="573">
        <v>0</v>
      </c>
      <c r="N1667" s="573" t="s">
        <v>157</v>
      </c>
      <c r="O1667" s="573">
        <v>3</v>
      </c>
      <c r="P1667" s="573">
        <v>72</v>
      </c>
      <c r="Q1667" s="571" t="s">
        <v>157</v>
      </c>
      <c r="R1667" s="573" t="s">
        <v>3012</v>
      </c>
      <c r="S1667" s="573">
        <v>4</v>
      </c>
      <c r="T1667" s="573" t="s">
        <v>3141</v>
      </c>
      <c r="U1667" s="573" t="s">
        <v>295</v>
      </c>
      <c r="V1667" s="573">
        <v>120.6</v>
      </c>
      <c r="W1667" s="573">
        <v>15.8</v>
      </c>
      <c r="X1667" s="571">
        <v>5450</v>
      </c>
      <c r="Y1667" s="573">
        <v>22</v>
      </c>
      <c r="Z1667" s="579" t="s">
        <v>728</v>
      </c>
      <c r="AA1667" s="579" t="s">
        <v>728</v>
      </c>
      <c r="AB1667" s="584">
        <v>30035</v>
      </c>
      <c r="AC1667" s="584" t="s">
        <v>164</v>
      </c>
      <c r="AD1667" s="584">
        <v>26597.229166666668</v>
      </c>
      <c r="AE1667" s="586">
        <v>0.03</v>
      </c>
      <c r="AF1667" s="661" t="str">
        <f t="shared" si="178"/>
        <v>2019-LVN-FRD-TCTW-011-05</v>
      </c>
      <c r="AG1667" s="661" t="str">
        <f>IF(AND($Y1667&gt;=32,(AI1667="I"),(Y1667&lt;&gt;"~"),(COUNTIF($AN$1:$AN1667,$AN1667)=1)),"TRUE","FALSE")</f>
        <v>FALSE</v>
      </c>
      <c r="AH1667" s="661" t="str">
        <f>IF(AND($Y1667&gt;=22, (AI1667&lt;&gt;"I"),(Y1667&lt;&gt;"~"),(COUNTIF($AN$1:$AN1667,$AN1667)=1)),"TRUE","FALSE")</f>
        <v>TRUE</v>
      </c>
      <c r="AI1667" s="661" t="str">
        <f t="shared" si="180"/>
        <v>II</v>
      </c>
      <c r="AJ1667" s="662" t="str">
        <f t="shared" ref="AJ1667:AJ1730" si="181">MID(A1667,14,8)</f>
        <v>TCTW-011</v>
      </c>
      <c r="AK1667" s="662" t="str">
        <f t="shared" ref="AK1667:AK1730" si="182">MID(A1667,6,3)</f>
        <v>LVN</v>
      </c>
      <c r="AL1667" s="662" t="str">
        <f t="shared" ref="AL1667:AL1730" si="183">MID(A1667,10,3)</f>
        <v>FRD</v>
      </c>
      <c r="AM1667" s="662" t="str">
        <f t="shared" si="179"/>
        <v>Transit Connect Wagon-XL w/Symmetrical Rear Drs-FWD-7-72-~-1.5L Ecoblue Diesel-4-S9E-200A-120.6-15.8-Diesel-Diesel</v>
      </c>
      <c r="AN1667" s="662" t="str">
        <f t="shared" ref="AN1667:AN1730" si="184">LEFT(A1667,21)</f>
        <v>2019-LVN-FRD-TCTW-011</v>
      </c>
    </row>
    <row r="1668" spans="1:40" s="572" customFormat="1" ht="30">
      <c r="A1668" s="570" t="s">
        <v>3142</v>
      </c>
      <c r="B1668" s="569" t="s">
        <v>3143</v>
      </c>
      <c r="C1668" s="569" t="s">
        <v>269</v>
      </c>
      <c r="D1668" s="580" t="s">
        <v>270</v>
      </c>
      <c r="E1668" s="569" t="s">
        <v>1516</v>
      </c>
      <c r="F1668" s="569" t="s">
        <v>3115</v>
      </c>
      <c r="G1668" s="569" t="s">
        <v>271</v>
      </c>
      <c r="H1668" s="569">
        <v>2019</v>
      </c>
      <c r="I1668" s="569" t="s">
        <v>3116</v>
      </c>
      <c r="J1668" s="569" t="s">
        <v>3039</v>
      </c>
      <c r="K1668" s="569" t="s">
        <v>156</v>
      </c>
      <c r="L1668" s="569">
        <v>7</v>
      </c>
      <c r="M1668" s="569">
        <v>0</v>
      </c>
      <c r="N1668" s="569" t="s">
        <v>157</v>
      </c>
      <c r="O1668" s="569">
        <v>3</v>
      </c>
      <c r="P1668" s="569">
        <v>72</v>
      </c>
      <c r="Q1668" s="568" t="s">
        <v>157</v>
      </c>
      <c r="R1668" s="569" t="s">
        <v>3016</v>
      </c>
      <c r="S1668" s="569">
        <v>4</v>
      </c>
      <c r="T1668" s="569" t="s">
        <v>3141</v>
      </c>
      <c r="U1668" s="569" t="s">
        <v>295</v>
      </c>
      <c r="V1668" s="569">
        <v>120.6</v>
      </c>
      <c r="W1668" s="569">
        <v>15.8</v>
      </c>
      <c r="X1668" s="568">
        <v>5302</v>
      </c>
      <c r="Y1668" s="573">
        <v>22</v>
      </c>
      <c r="Z1668" s="581" t="s">
        <v>178</v>
      </c>
      <c r="AA1668" s="581" t="s">
        <v>178</v>
      </c>
      <c r="AB1668" s="585">
        <v>28040</v>
      </c>
      <c r="AC1668" s="585" t="s">
        <v>164</v>
      </c>
      <c r="AD1668" s="585">
        <v>24825.1875</v>
      </c>
      <c r="AE1668" s="587">
        <v>0.03</v>
      </c>
      <c r="AF1668" s="661" t="str">
        <f t="shared" si="178"/>
        <v>2019-LVN-FRD-TCTW-002-05</v>
      </c>
      <c r="AG1668" s="661" t="str">
        <f>IF(AND($Y1668&gt;=32,(AI1668="I"),(Y1668&lt;&gt;"~"),(COUNTIF($AN$1:$AN1668,$AN1668)=1)),"TRUE","FALSE")</f>
        <v>FALSE</v>
      </c>
      <c r="AH1668" s="661" t="str">
        <f>IF(AND($Y1668&gt;=22, (AI1668&lt;&gt;"I"),(Y1668&lt;&gt;"~"),(COUNTIF($AN$1:$AN1668,$AN1668)=1)),"TRUE","FALSE")</f>
        <v>TRUE</v>
      </c>
      <c r="AI1668" s="661" t="str">
        <f t="shared" si="180"/>
        <v>II</v>
      </c>
      <c r="AJ1668" s="662" t="str">
        <f t="shared" si="181"/>
        <v>TCTW-002</v>
      </c>
      <c r="AK1668" s="662" t="str">
        <f t="shared" si="182"/>
        <v>LVN</v>
      </c>
      <c r="AL1668" s="662" t="str">
        <f t="shared" si="183"/>
        <v>FRD</v>
      </c>
      <c r="AM1668" s="662" t="str">
        <f t="shared" si="179"/>
        <v>Transit Connect Wagon-XL w/Symmetrical Rear Drs-FWD-7-72-~-2.0L -4-S9E-200A-120.6-15.8-Unleaded-Unleaded</v>
      </c>
      <c r="AN1668" s="662" t="str">
        <f t="shared" si="184"/>
        <v>2019-LVN-FRD-TCTW-002</v>
      </c>
    </row>
    <row r="1669" spans="1:40" s="572" customFormat="1" ht="30">
      <c r="A1669" s="570" t="s">
        <v>3144</v>
      </c>
      <c r="B1669" s="573" t="s">
        <v>3145</v>
      </c>
      <c r="C1669" s="573" t="s">
        <v>269</v>
      </c>
      <c r="D1669" s="578" t="s">
        <v>270</v>
      </c>
      <c r="E1669" s="573" t="s">
        <v>1516</v>
      </c>
      <c r="F1669" s="573" t="s">
        <v>3115</v>
      </c>
      <c r="G1669" s="573" t="s">
        <v>271</v>
      </c>
      <c r="H1669" s="573">
        <v>2019</v>
      </c>
      <c r="I1669" s="573" t="s">
        <v>3116</v>
      </c>
      <c r="J1669" s="573" t="s">
        <v>3039</v>
      </c>
      <c r="K1669" s="573" t="s">
        <v>156</v>
      </c>
      <c r="L1669" s="573">
        <v>7</v>
      </c>
      <c r="M1669" s="573">
        <v>0</v>
      </c>
      <c r="N1669" s="573" t="s">
        <v>157</v>
      </c>
      <c r="O1669" s="573">
        <v>3</v>
      </c>
      <c r="P1669" s="573">
        <v>72</v>
      </c>
      <c r="Q1669" s="571" t="s">
        <v>157</v>
      </c>
      <c r="R1669" s="573" t="s">
        <v>3019</v>
      </c>
      <c r="S1669" s="573">
        <v>4</v>
      </c>
      <c r="T1669" s="573" t="s">
        <v>3141</v>
      </c>
      <c r="U1669" s="573" t="s">
        <v>295</v>
      </c>
      <c r="V1669" s="573">
        <v>120.6</v>
      </c>
      <c r="W1669" s="573">
        <v>15.8</v>
      </c>
      <c r="X1669" s="571">
        <v>5302</v>
      </c>
      <c r="Y1669" s="573">
        <v>24</v>
      </c>
      <c r="Z1669" s="579" t="s">
        <v>178</v>
      </c>
      <c r="AA1669" s="579" t="s">
        <v>178</v>
      </c>
      <c r="AB1669" s="584">
        <v>28355</v>
      </c>
      <c r="AC1669" s="584" t="s">
        <v>164</v>
      </c>
      <c r="AD1669" s="584">
        <v>25104.520833333336</v>
      </c>
      <c r="AE1669" s="586">
        <v>0.03</v>
      </c>
      <c r="AF1669" s="661" t="str">
        <f t="shared" si="178"/>
        <v>2019-LVN-FRD-TCTW-012-05</v>
      </c>
      <c r="AG1669" s="661" t="str">
        <f>IF(AND($Y1669&gt;=32,(AI1669="I"),(Y1669&lt;&gt;"~"),(COUNTIF($AN$1:$AN1669,$AN1669)=1)),"TRUE","FALSE")</f>
        <v>FALSE</v>
      </c>
      <c r="AH1669" s="661" t="str">
        <f>IF(AND($Y1669&gt;=22, (AI1669&lt;&gt;"I"),(Y1669&lt;&gt;"~"),(COUNTIF($AN$1:$AN1669,$AN1669)=1)),"TRUE","FALSE")</f>
        <v>TRUE</v>
      </c>
      <c r="AI1669" s="661" t="str">
        <f t="shared" si="180"/>
        <v>II</v>
      </c>
      <c r="AJ1669" s="662" t="str">
        <f t="shared" si="181"/>
        <v>TCTW-012</v>
      </c>
      <c r="AK1669" s="662" t="str">
        <f t="shared" si="182"/>
        <v>LVN</v>
      </c>
      <c r="AL1669" s="662" t="str">
        <f t="shared" si="183"/>
        <v>FRD</v>
      </c>
      <c r="AM1669" s="662" t="str">
        <f t="shared" si="179"/>
        <v>Transit Connect Wagon-XL w/Symmetrical Rear Drs-FWD-7-72-~-2.5L/CNG Prep-4-S9E-200A-120.6-15.8-Unleaded-Unleaded</v>
      </c>
      <c r="AN1669" s="662" t="str">
        <f t="shared" si="184"/>
        <v>2019-LVN-FRD-TCTW-012</v>
      </c>
    </row>
    <row r="1670" spans="1:40" s="572" customFormat="1" ht="30">
      <c r="A1670" s="570" t="s">
        <v>3146</v>
      </c>
      <c r="B1670" s="569" t="s">
        <v>3143</v>
      </c>
      <c r="C1670" s="569" t="s">
        <v>278</v>
      </c>
      <c r="D1670" s="580">
        <v>15</v>
      </c>
      <c r="E1670" s="569" t="s">
        <v>1516</v>
      </c>
      <c r="F1670" s="569" t="s">
        <v>3115</v>
      </c>
      <c r="G1670" s="569" t="s">
        <v>271</v>
      </c>
      <c r="H1670" s="569">
        <v>2019</v>
      </c>
      <c r="I1670" s="569" t="s">
        <v>3116</v>
      </c>
      <c r="J1670" s="569" t="s">
        <v>3039</v>
      </c>
      <c r="K1670" s="569" t="s">
        <v>156</v>
      </c>
      <c r="L1670" s="569">
        <v>7</v>
      </c>
      <c r="M1670" s="569">
        <v>0</v>
      </c>
      <c r="N1670" s="569" t="s">
        <v>157</v>
      </c>
      <c r="O1670" s="569">
        <v>3</v>
      </c>
      <c r="P1670" s="569">
        <v>72</v>
      </c>
      <c r="Q1670" s="568" t="s">
        <v>157</v>
      </c>
      <c r="R1670" s="569" t="s">
        <v>352</v>
      </c>
      <c r="S1670" s="569">
        <v>4</v>
      </c>
      <c r="T1670" s="569" t="s">
        <v>3141</v>
      </c>
      <c r="U1670" s="569" t="s">
        <v>295</v>
      </c>
      <c r="V1670" s="569">
        <v>120.6</v>
      </c>
      <c r="W1670" s="569">
        <v>15.8</v>
      </c>
      <c r="X1670" s="568">
        <v>5280</v>
      </c>
      <c r="Y1670" s="569">
        <v>22</v>
      </c>
      <c r="Z1670" s="581" t="s">
        <v>178</v>
      </c>
      <c r="AA1670" s="581" t="s">
        <v>178</v>
      </c>
      <c r="AB1670" s="585">
        <v>28040</v>
      </c>
      <c r="AC1670" s="585" t="s">
        <v>164</v>
      </c>
      <c r="AD1670" s="585">
        <v>25350</v>
      </c>
      <c r="AE1670" s="587">
        <v>0.01</v>
      </c>
      <c r="AF1670" s="661" t="str">
        <f t="shared" si="178"/>
        <v>2019-LVN-FRD-TCTW-002-15</v>
      </c>
      <c r="AG1670" s="661" t="str">
        <f>IF(AND($Y1670&gt;=32,(AI1670="I"),(Y1670&lt;&gt;"~"),(COUNTIF($AN$1:$AN1670,$AN1670)=1)),"TRUE","FALSE")</f>
        <v>FALSE</v>
      </c>
      <c r="AH1670" s="661" t="str">
        <f>IF(AND($Y1670&gt;=22, (AI1670&lt;&gt;"I"),(Y1670&lt;&gt;"~"),(COUNTIF($AN$1:$AN1670,$AN1670)=1)),"TRUE","FALSE")</f>
        <v>FALSE</v>
      </c>
      <c r="AI1670" s="661" t="str">
        <f t="shared" si="180"/>
        <v>II</v>
      </c>
      <c r="AJ1670" s="662" t="str">
        <f t="shared" si="181"/>
        <v>TCTW-002</v>
      </c>
      <c r="AK1670" s="662" t="str">
        <f t="shared" si="182"/>
        <v>LVN</v>
      </c>
      <c r="AL1670" s="662" t="str">
        <f t="shared" si="183"/>
        <v>FRD</v>
      </c>
      <c r="AM1670" s="662" t="str">
        <f t="shared" si="179"/>
        <v>Transit Connect Wagon-XL w/Symmetrical Rear Drs-FWD-7-72-~-2.0L-4-S9E-200A-120.6-15.8-Unleaded-Unleaded</v>
      </c>
      <c r="AN1670" s="662" t="str">
        <f t="shared" si="184"/>
        <v>2019-LVN-FRD-TCTW-002</v>
      </c>
    </row>
    <row r="1671" spans="1:40" s="572" customFormat="1" ht="30">
      <c r="A1671" s="570" t="s">
        <v>3147</v>
      </c>
      <c r="B1671" s="573" t="s">
        <v>3143</v>
      </c>
      <c r="C1671" s="573" t="s">
        <v>287</v>
      </c>
      <c r="D1671" s="578">
        <v>26</v>
      </c>
      <c r="E1671" s="573" t="s">
        <v>1516</v>
      </c>
      <c r="F1671" s="573" t="s">
        <v>3115</v>
      </c>
      <c r="G1671" s="573" t="s">
        <v>271</v>
      </c>
      <c r="H1671" s="573">
        <v>2019</v>
      </c>
      <c r="I1671" s="573" t="s">
        <v>3116</v>
      </c>
      <c r="J1671" s="573" t="s">
        <v>3039</v>
      </c>
      <c r="K1671" s="573" t="s">
        <v>156</v>
      </c>
      <c r="L1671" s="573">
        <v>7</v>
      </c>
      <c r="M1671" s="573">
        <v>0</v>
      </c>
      <c r="N1671" s="573" t="s">
        <v>157</v>
      </c>
      <c r="O1671" s="573">
        <v>3</v>
      </c>
      <c r="P1671" s="573">
        <v>72</v>
      </c>
      <c r="Q1671" s="571" t="s">
        <v>157</v>
      </c>
      <c r="R1671" s="573" t="s">
        <v>189</v>
      </c>
      <c r="S1671" s="573">
        <v>4</v>
      </c>
      <c r="T1671" s="573" t="s">
        <v>3141</v>
      </c>
      <c r="U1671" s="573" t="s">
        <v>295</v>
      </c>
      <c r="V1671" s="573">
        <v>120.6</v>
      </c>
      <c r="W1671" s="573">
        <v>15.8</v>
      </c>
      <c r="X1671" s="571">
        <v>5280</v>
      </c>
      <c r="Y1671" s="573">
        <v>22</v>
      </c>
      <c r="Z1671" s="579" t="s">
        <v>178</v>
      </c>
      <c r="AA1671" s="579" t="s">
        <v>178</v>
      </c>
      <c r="AB1671" s="584">
        <v>27965</v>
      </c>
      <c r="AC1671" s="584" t="s">
        <v>164</v>
      </c>
      <c r="AD1671" s="584">
        <v>25719</v>
      </c>
      <c r="AE1671" s="586">
        <v>0.05</v>
      </c>
      <c r="AF1671" s="661" t="str">
        <f t="shared" si="178"/>
        <v>2019-LVN-FRD-TCTW-002-26</v>
      </c>
      <c r="AG1671" s="661" t="str">
        <f>IF(AND($Y1671&gt;=32,(AI1671="I"),(Y1671&lt;&gt;"~"),(COUNTIF($AN$1:$AN1671,$AN1671)=1)),"TRUE","FALSE")</f>
        <v>FALSE</v>
      </c>
      <c r="AH1671" s="661" t="str">
        <f>IF(AND($Y1671&gt;=22, (AI1671&lt;&gt;"I"),(Y1671&lt;&gt;"~"),(COUNTIF($AN$1:$AN1671,$AN1671)=1)),"TRUE","FALSE")</f>
        <v>FALSE</v>
      </c>
      <c r="AI1671" s="661" t="str">
        <f t="shared" si="180"/>
        <v>II</v>
      </c>
      <c r="AJ1671" s="662" t="str">
        <f t="shared" si="181"/>
        <v>TCTW-002</v>
      </c>
      <c r="AK1671" s="662" t="str">
        <f t="shared" si="182"/>
        <v>LVN</v>
      </c>
      <c r="AL1671" s="662" t="str">
        <f t="shared" si="183"/>
        <v>FRD</v>
      </c>
      <c r="AM1671" s="662" t="str">
        <f t="shared" si="179"/>
        <v>Transit Connect Wagon-XL w/Symmetrical Rear Drs-FWD-7-72-~-2.5L-4-S9E-200A-120.6-15.8-Unleaded-Unleaded</v>
      </c>
      <c r="AN1671" s="662" t="str">
        <f t="shared" si="184"/>
        <v>2019-LVN-FRD-TCTW-002</v>
      </c>
    </row>
    <row r="1672" spans="1:40" s="572" customFormat="1" ht="30">
      <c r="A1672" s="570" t="s">
        <v>3148</v>
      </c>
      <c r="B1672" s="569" t="s">
        <v>3140</v>
      </c>
      <c r="C1672" s="569" t="s">
        <v>280</v>
      </c>
      <c r="D1672" s="580">
        <v>27</v>
      </c>
      <c r="E1672" s="569" t="s">
        <v>1516</v>
      </c>
      <c r="F1672" s="569" t="s">
        <v>3115</v>
      </c>
      <c r="G1672" s="569" t="s">
        <v>271</v>
      </c>
      <c r="H1672" s="569">
        <v>2019</v>
      </c>
      <c r="I1672" s="569" t="s">
        <v>3116</v>
      </c>
      <c r="J1672" s="569" t="s">
        <v>3039</v>
      </c>
      <c r="K1672" s="569" t="s">
        <v>156</v>
      </c>
      <c r="L1672" s="569">
        <v>7</v>
      </c>
      <c r="M1672" s="569">
        <v>0</v>
      </c>
      <c r="N1672" s="569" t="s">
        <v>157</v>
      </c>
      <c r="O1672" s="569">
        <v>3</v>
      </c>
      <c r="P1672" s="569">
        <v>72</v>
      </c>
      <c r="Q1672" s="568" t="s">
        <v>157</v>
      </c>
      <c r="R1672" s="569" t="s">
        <v>3012</v>
      </c>
      <c r="S1672" s="569">
        <v>4</v>
      </c>
      <c r="T1672" s="569" t="s">
        <v>3141</v>
      </c>
      <c r="U1672" s="569" t="s">
        <v>295</v>
      </c>
      <c r="V1672" s="569">
        <v>120.6</v>
      </c>
      <c r="W1672" s="569">
        <v>15.8</v>
      </c>
      <c r="X1672" s="568">
        <v>5450</v>
      </c>
      <c r="Y1672" s="573">
        <v>22</v>
      </c>
      <c r="Z1672" s="581" t="s">
        <v>728</v>
      </c>
      <c r="AA1672" s="581" t="s">
        <v>728</v>
      </c>
      <c r="AB1672" s="585">
        <v>30035</v>
      </c>
      <c r="AC1672" s="585" t="s">
        <v>164</v>
      </c>
      <c r="AD1672" s="585">
        <v>26597.229166666668</v>
      </c>
      <c r="AE1672" s="587">
        <v>0.03</v>
      </c>
      <c r="AF1672" s="661" t="str">
        <f t="shared" ref="AF1672:AF1735" si="185">A1672</f>
        <v>2019-LVN-FRD-TCTW-011-27</v>
      </c>
      <c r="AG1672" s="661" t="str">
        <f>IF(AND($Y1672&gt;=32,(AI1672="I"),(Y1672&lt;&gt;"~"),(COUNTIF($AN$1:$AN1672,$AN1672)=1)),"TRUE","FALSE")</f>
        <v>FALSE</v>
      </c>
      <c r="AH1672" s="661" t="str">
        <f>IF(AND($Y1672&gt;=22, (AI1672&lt;&gt;"I"),(Y1672&lt;&gt;"~"),(COUNTIF($AN$1:$AN1672,$AN1672)=1)),"TRUE","FALSE")</f>
        <v>FALSE</v>
      </c>
      <c r="AI1672" s="661" t="str">
        <f t="shared" si="180"/>
        <v>II</v>
      </c>
      <c r="AJ1672" s="662" t="str">
        <f t="shared" si="181"/>
        <v>TCTW-011</v>
      </c>
      <c r="AK1672" s="662" t="str">
        <f t="shared" si="182"/>
        <v>LVN</v>
      </c>
      <c r="AL1672" s="662" t="str">
        <f t="shared" si="183"/>
        <v>FRD</v>
      </c>
      <c r="AM1672" s="662" t="str">
        <f t="shared" si="179"/>
        <v>Transit Connect Wagon-XL w/Symmetrical Rear Drs-FWD-7-72-~-1.5L Ecoblue Diesel-4-S9E-200A-120.6-15.8-Diesel-Diesel</v>
      </c>
      <c r="AN1672" s="662" t="str">
        <f t="shared" si="184"/>
        <v>2019-LVN-FRD-TCTW-011</v>
      </c>
    </row>
    <row r="1673" spans="1:40" s="572" customFormat="1" ht="30">
      <c r="A1673" s="570" t="s">
        <v>3149</v>
      </c>
      <c r="B1673" s="573" t="s">
        <v>3143</v>
      </c>
      <c r="C1673" s="573" t="s">
        <v>280</v>
      </c>
      <c r="D1673" s="578">
        <v>27</v>
      </c>
      <c r="E1673" s="573" t="s">
        <v>1516</v>
      </c>
      <c r="F1673" s="573" t="s">
        <v>3115</v>
      </c>
      <c r="G1673" s="573" t="s">
        <v>271</v>
      </c>
      <c r="H1673" s="573">
        <v>2019</v>
      </c>
      <c r="I1673" s="573" t="s">
        <v>3116</v>
      </c>
      <c r="J1673" s="573" t="s">
        <v>3039</v>
      </c>
      <c r="K1673" s="573" t="s">
        <v>156</v>
      </c>
      <c r="L1673" s="573">
        <v>7</v>
      </c>
      <c r="M1673" s="573">
        <v>0</v>
      </c>
      <c r="N1673" s="573" t="s">
        <v>157</v>
      </c>
      <c r="O1673" s="573">
        <v>3</v>
      </c>
      <c r="P1673" s="573">
        <v>72</v>
      </c>
      <c r="Q1673" s="571" t="s">
        <v>157</v>
      </c>
      <c r="R1673" s="573" t="s">
        <v>3016</v>
      </c>
      <c r="S1673" s="573">
        <v>4</v>
      </c>
      <c r="T1673" s="573" t="s">
        <v>3141</v>
      </c>
      <c r="U1673" s="573" t="s">
        <v>295</v>
      </c>
      <c r="V1673" s="573">
        <v>120.6</v>
      </c>
      <c r="W1673" s="573">
        <v>15.8</v>
      </c>
      <c r="X1673" s="571">
        <v>5302</v>
      </c>
      <c r="Y1673" s="573">
        <v>22</v>
      </c>
      <c r="Z1673" s="579" t="s">
        <v>178</v>
      </c>
      <c r="AA1673" s="579" t="s">
        <v>178</v>
      </c>
      <c r="AB1673" s="584">
        <v>28040</v>
      </c>
      <c r="AC1673" s="584" t="s">
        <v>164</v>
      </c>
      <c r="AD1673" s="584">
        <v>24825.1875</v>
      </c>
      <c r="AE1673" s="586">
        <v>0.03</v>
      </c>
      <c r="AF1673" s="661" t="str">
        <f t="shared" si="185"/>
        <v>2019-LVN-FRD-TCTW-002-27</v>
      </c>
      <c r="AG1673" s="661" t="str">
        <f>IF(AND($Y1673&gt;=32,(AI1673="I"),(Y1673&lt;&gt;"~"),(COUNTIF($AN$1:$AN1673,$AN1673)=1)),"TRUE","FALSE")</f>
        <v>FALSE</v>
      </c>
      <c r="AH1673" s="661" t="str">
        <f>IF(AND($Y1673&gt;=22, (AI1673&lt;&gt;"I"),(Y1673&lt;&gt;"~"),(COUNTIF($AN$1:$AN1673,$AN1673)=1)),"TRUE","FALSE")</f>
        <v>FALSE</v>
      </c>
      <c r="AI1673" s="661" t="str">
        <f t="shared" si="180"/>
        <v>II</v>
      </c>
      <c r="AJ1673" s="662" t="str">
        <f t="shared" si="181"/>
        <v>TCTW-002</v>
      </c>
      <c r="AK1673" s="662" t="str">
        <f t="shared" si="182"/>
        <v>LVN</v>
      </c>
      <c r="AL1673" s="662" t="str">
        <f t="shared" si="183"/>
        <v>FRD</v>
      </c>
      <c r="AM1673" s="662" t="str">
        <f t="shared" si="179"/>
        <v>Transit Connect Wagon-XL w/Symmetrical Rear Drs-FWD-7-72-~-2.0L -4-S9E-200A-120.6-15.8-Unleaded-Unleaded</v>
      </c>
      <c r="AN1673" s="662" t="str">
        <f t="shared" si="184"/>
        <v>2019-LVN-FRD-TCTW-002</v>
      </c>
    </row>
    <row r="1674" spans="1:40" s="572" customFormat="1" ht="30">
      <c r="A1674" s="570" t="s">
        <v>3150</v>
      </c>
      <c r="B1674" s="569" t="s">
        <v>3145</v>
      </c>
      <c r="C1674" s="569" t="s">
        <v>280</v>
      </c>
      <c r="D1674" s="580">
        <v>27</v>
      </c>
      <c r="E1674" s="569" t="s">
        <v>1516</v>
      </c>
      <c r="F1674" s="569" t="s">
        <v>3115</v>
      </c>
      <c r="G1674" s="569" t="s">
        <v>271</v>
      </c>
      <c r="H1674" s="569">
        <v>2019</v>
      </c>
      <c r="I1674" s="569" t="s">
        <v>3116</v>
      </c>
      <c r="J1674" s="569" t="s">
        <v>3039</v>
      </c>
      <c r="K1674" s="569" t="s">
        <v>156</v>
      </c>
      <c r="L1674" s="569">
        <v>7</v>
      </c>
      <c r="M1674" s="569">
        <v>0</v>
      </c>
      <c r="N1674" s="569" t="s">
        <v>157</v>
      </c>
      <c r="O1674" s="569">
        <v>3</v>
      </c>
      <c r="P1674" s="569">
        <v>72</v>
      </c>
      <c r="Q1674" s="568" t="s">
        <v>157</v>
      </c>
      <c r="R1674" s="569" t="s">
        <v>3019</v>
      </c>
      <c r="S1674" s="569">
        <v>4</v>
      </c>
      <c r="T1674" s="569" t="s">
        <v>3141</v>
      </c>
      <c r="U1674" s="569" t="s">
        <v>295</v>
      </c>
      <c r="V1674" s="569">
        <v>120.6</v>
      </c>
      <c r="W1674" s="569">
        <v>15.8</v>
      </c>
      <c r="X1674" s="568">
        <v>5302</v>
      </c>
      <c r="Y1674" s="569">
        <v>24</v>
      </c>
      <c r="Z1674" s="581" t="s">
        <v>178</v>
      </c>
      <c r="AA1674" s="581" t="s">
        <v>178</v>
      </c>
      <c r="AB1674" s="585">
        <v>28355</v>
      </c>
      <c r="AC1674" s="585" t="s">
        <v>164</v>
      </c>
      <c r="AD1674" s="585">
        <v>25104.520833333336</v>
      </c>
      <c r="AE1674" s="587">
        <v>0.03</v>
      </c>
      <c r="AF1674" s="661" t="str">
        <f t="shared" si="185"/>
        <v>2019-LVN-FRD-TCTW-012-27</v>
      </c>
      <c r="AG1674" s="661" t="str">
        <f>IF(AND($Y1674&gt;=32,(AI1674="I"),(Y1674&lt;&gt;"~"),(COUNTIF($AN$1:$AN1674,$AN1674)=1)),"TRUE","FALSE")</f>
        <v>FALSE</v>
      </c>
      <c r="AH1674" s="661" t="str">
        <f>IF(AND($Y1674&gt;=22, (AI1674&lt;&gt;"I"),(Y1674&lt;&gt;"~"),(COUNTIF($AN$1:$AN1674,$AN1674)=1)),"TRUE","FALSE")</f>
        <v>FALSE</v>
      </c>
      <c r="AI1674" s="661" t="str">
        <f t="shared" si="180"/>
        <v>II</v>
      </c>
      <c r="AJ1674" s="662" t="str">
        <f t="shared" si="181"/>
        <v>TCTW-012</v>
      </c>
      <c r="AK1674" s="662" t="str">
        <f t="shared" si="182"/>
        <v>LVN</v>
      </c>
      <c r="AL1674" s="662" t="str">
        <f t="shared" si="183"/>
        <v>FRD</v>
      </c>
      <c r="AM1674" s="662" t="str">
        <f t="shared" si="179"/>
        <v>Transit Connect Wagon-XL w/Symmetrical Rear Drs-FWD-7-72-~-2.5L/CNG Prep-4-S9E-200A-120.6-15.8-Unleaded-Unleaded</v>
      </c>
      <c r="AN1674" s="662" t="str">
        <f t="shared" si="184"/>
        <v>2019-LVN-FRD-TCTW-012</v>
      </c>
    </row>
    <row r="1675" spans="1:40" s="572" customFormat="1" ht="30">
      <c r="A1675" s="570" t="s">
        <v>3151</v>
      </c>
      <c r="B1675" s="573" t="s">
        <v>3152</v>
      </c>
      <c r="C1675" s="573" t="s">
        <v>269</v>
      </c>
      <c r="D1675" s="578" t="s">
        <v>270</v>
      </c>
      <c r="E1675" s="573" t="s">
        <v>1516</v>
      </c>
      <c r="F1675" s="573" t="s">
        <v>3115</v>
      </c>
      <c r="G1675" s="573" t="s">
        <v>271</v>
      </c>
      <c r="H1675" s="573">
        <v>2019</v>
      </c>
      <c r="I1675" s="573" t="s">
        <v>3116</v>
      </c>
      <c r="J1675" s="573" t="s">
        <v>3064</v>
      </c>
      <c r="K1675" s="573" t="s">
        <v>156</v>
      </c>
      <c r="L1675" s="573">
        <v>7</v>
      </c>
      <c r="M1675" s="573">
        <v>0</v>
      </c>
      <c r="N1675" s="573" t="s">
        <v>157</v>
      </c>
      <c r="O1675" s="573">
        <v>3</v>
      </c>
      <c r="P1675" s="573">
        <v>72.599999999999994</v>
      </c>
      <c r="Q1675" s="571" t="s">
        <v>157</v>
      </c>
      <c r="R1675" s="573" t="s">
        <v>3012</v>
      </c>
      <c r="S1675" s="573">
        <v>4</v>
      </c>
      <c r="T1675" s="573" t="s">
        <v>3153</v>
      </c>
      <c r="U1675" s="573" t="s">
        <v>3154</v>
      </c>
      <c r="V1675" s="573">
        <v>104.8</v>
      </c>
      <c r="W1675" s="573">
        <v>15.8</v>
      </c>
      <c r="X1675" s="571">
        <v>5060</v>
      </c>
      <c r="Y1675" s="573">
        <v>22</v>
      </c>
      <c r="Z1675" s="579" t="s">
        <v>728</v>
      </c>
      <c r="AA1675" s="579" t="s">
        <v>728</v>
      </c>
      <c r="AB1675" s="584">
        <v>28295</v>
      </c>
      <c r="AC1675" s="584" t="s">
        <v>164</v>
      </c>
      <c r="AD1675" s="584">
        <v>25061.8125</v>
      </c>
      <c r="AE1675" s="586">
        <v>0.03</v>
      </c>
      <c r="AF1675" s="661" t="str">
        <f t="shared" si="185"/>
        <v>2019-LVN-FRD-TCTW-013-05</v>
      </c>
      <c r="AG1675" s="661" t="str">
        <f>IF(AND($Y1675&gt;=32,(AI1675="I"),(Y1675&lt;&gt;"~"),(COUNTIF($AN$1:$AN1675,$AN1675)=1)),"TRUE","FALSE")</f>
        <v>FALSE</v>
      </c>
      <c r="AH1675" s="661" t="str">
        <f>IF(AND($Y1675&gt;=22, (AI1675&lt;&gt;"I"),(Y1675&lt;&gt;"~"),(COUNTIF($AN$1:$AN1675,$AN1675)=1)),"TRUE","FALSE")</f>
        <v>TRUE</v>
      </c>
      <c r="AI1675" s="661" t="str">
        <f t="shared" si="180"/>
        <v>II</v>
      </c>
      <c r="AJ1675" s="662" t="str">
        <f t="shared" si="181"/>
        <v>TCTW-013</v>
      </c>
      <c r="AK1675" s="662" t="str">
        <f t="shared" si="182"/>
        <v>LVN</v>
      </c>
      <c r="AL1675" s="662" t="str">
        <f t="shared" si="183"/>
        <v>FRD</v>
      </c>
      <c r="AM1675" s="662" t="str">
        <f t="shared" si="179"/>
        <v>Transit Connect Wagon-XLT w/Rear Liftgate-FWD-7-72.6-~-1.5L Ecoblue Diesel-4-E8F-210A-104.8-15.8-Diesel-Diesel</v>
      </c>
      <c r="AN1675" s="662" t="str">
        <f t="shared" si="184"/>
        <v>2019-LVN-FRD-TCTW-013</v>
      </c>
    </row>
    <row r="1676" spans="1:40" s="572" customFormat="1" ht="30">
      <c r="A1676" s="570" t="s">
        <v>3155</v>
      </c>
      <c r="B1676" s="569" t="s">
        <v>3156</v>
      </c>
      <c r="C1676" s="569" t="s">
        <v>269</v>
      </c>
      <c r="D1676" s="580" t="s">
        <v>270</v>
      </c>
      <c r="E1676" s="569" t="s">
        <v>1516</v>
      </c>
      <c r="F1676" s="569" t="s">
        <v>3115</v>
      </c>
      <c r="G1676" s="569" t="s">
        <v>271</v>
      </c>
      <c r="H1676" s="569">
        <v>2019</v>
      </c>
      <c r="I1676" s="569" t="s">
        <v>3116</v>
      </c>
      <c r="J1676" s="569" t="s">
        <v>3064</v>
      </c>
      <c r="K1676" s="569" t="s">
        <v>156</v>
      </c>
      <c r="L1676" s="569">
        <v>7</v>
      </c>
      <c r="M1676" s="569">
        <v>0</v>
      </c>
      <c r="N1676" s="569" t="s">
        <v>157</v>
      </c>
      <c r="O1676" s="569">
        <v>3</v>
      </c>
      <c r="P1676" s="569">
        <v>73</v>
      </c>
      <c r="Q1676" s="568" t="s">
        <v>157</v>
      </c>
      <c r="R1676" s="569" t="s">
        <v>3012</v>
      </c>
      <c r="S1676" s="569">
        <v>4</v>
      </c>
      <c r="T1676" s="569" t="s">
        <v>3157</v>
      </c>
      <c r="U1676" s="569" t="s">
        <v>3154</v>
      </c>
      <c r="V1676" s="569">
        <v>120.6</v>
      </c>
      <c r="W1676" s="569">
        <v>15.8</v>
      </c>
      <c r="X1676" s="568">
        <v>5450</v>
      </c>
      <c r="Y1676" s="573">
        <v>22</v>
      </c>
      <c r="Z1676" s="581" t="s">
        <v>728</v>
      </c>
      <c r="AA1676" s="581" t="s">
        <v>728</v>
      </c>
      <c r="AB1676" s="585">
        <v>31670</v>
      </c>
      <c r="AC1676" s="585" t="s">
        <v>164</v>
      </c>
      <c r="AD1676" s="585">
        <v>28108.6875</v>
      </c>
      <c r="AE1676" s="587">
        <v>0.03</v>
      </c>
      <c r="AF1676" s="661" t="str">
        <f t="shared" si="185"/>
        <v>2019-LVN-FRD-TCTW-014-05</v>
      </c>
      <c r="AG1676" s="661" t="str">
        <f>IF(AND($Y1676&gt;=32,(AI1676="I"),(Y1676&lt;&gt;"~"),(COUNTIF($AN$1:$AN1676,$AN1676)=1)),"TRUE","FALSE")</f>
        <v>FALSE</v>
      </c>
      <c r="AH1676" s="661" t="str">
        <f>IF(AND($Y1676&gt;=22, (AI1676&lt;&gt;"I"),(Y1676&lt;&gt;"~"),(COUNTIF($AN$1:$AN1676,$AN1676)=1)),"TRUE","FALSE")</f>
        <v>TRUE</v>
      </c>
      <c r="AI1676" s="661" t="str">
        <f t="shared" si="180"/>
        <v>II</v>
      </c>
      <c r="AJ1676" s="662" t="str">
        <f t="shared" si="181"/>
        <v>TCTW-014</v>
      </c>
      <c r="AK1676" s="662" t="str">
        <f t="shared" si="182"/>
        <v>LVN</v>
      </c>
      <c r="AL1676" s="662" t="str">
        <f t="shared" si="183"/>
        <v>FRD</v>
      </c>
      <c r="AM1676" s="662" t="str">
        <f t="shared" si="179"/>
        <v>Transit Connect Wagon-XLT w/Rear Liftgate-FWD-7-73-~-1.5L Ecoblue Diesel-4-E9F-210A-120.6-15.8-Diesel-Diesel</v>
      </c>
      <c r="AN1676" s="662" t="str">
        <f t="shared" si="184"/>
        <v>2019-LVN-FRD-TCTW-014</v>
      </c>
    </row>
    <row r="1677" spans="1:40" s="572" customFormat="1" ht="30">
      <c r="A1677" s="570" t="s">
        <v>3158</v>
      </c>
      <c r="B1677" s="573" t="s">
        <v>3159</v>
      </c>
      <c r="C1677" s="573" t="s">
        <v>269</v>
      </c>
      <c r="D1677" s="578" t="s">
        <v>270</v>
      </c>
      <c r="E1677" s="573" t="s">
        <v>1516</v>
      </c>
      <c r="F1677" s="573" t="s">
        <v>3115</v>
      </c>
      <c r="G1677" s="573" t="s">
        <v>271</v>
      </c>
      <c r="H1677" s="573">
        <v>2019</v>
      </c>
      <c r="I1677" s="573" t="s">
        <v>3116</v>
      </c>
      <c r="J1677" s="573" t="s">
        <v>3064</v>
      </c>
      <c r="K1677" s="573" t="s">
        <v>156</v>
      </c>
      <c r="L1677" s="573">
        <v>7</v>
      </c>
      <c r="M1677" s="573">
        <v>0</v>
      </c>
      <c r="N1677" s="573" t="s">
        <v>157</v>
      </c>
      <c r="O1677" s="573">
        <v>3</v>
      </c>
      <c r="P1677" s="573">
        <v>73</v>
      </c>
      <c r="Q1677" s="571" t="s">
        <v>157</v>
      </c>
      <c r="R1677" s="573" t="s">
        <v>3016</v>
      </c>
      <c r="S1677" s="573">
        <v>4</v>
      </c>
      <c r="T1677" s="573" t="s">
        <v>3157</v>
      </c>
      <c r="U1677" s="573" t="s">
        <v>3154</v>
      </c>
      <c r="V1677" s="573">
        <v>120.6</v>
      </c>
      <c r="W1677" s="573">
        <v>15.8</v>
      </c>
      <c r="X1677" s="571">
        <v>5302</v>
      </c>
      <c r="Y1677" s="573">
        <v>24</v>
      </c>
      <c r="Z1677" s="579" t="s">
        <v>178</v>
      </c>
      <c r="AA1677" s="579" t="s">
        <v>178</v>
      </c>
      <c r="AB1677" s="584">
        <v>29675</v>
      </c>
      <c r="AC1677" s="584" t="s">
        <v>164</v>
      </c>
      <c r="AD1677" s="584">
        <v>26336.645833333336</v>
      </c>
      <c r="AE1677" s="586">
        <v>0.03</v>
      </c>
      <c r="AF1677" s="661" t="str">
        <f t="shared" si="185"/>
        <v>2019-LVN-FRD-TCTW-004-05</v>
      </c>
      <c r="AG1677" s="661" t="str">
        <f>IF(AND($Y1677&gt;=32,(AI1677="I"),(Y1677&lt;&gt;"~"),(COUNTIF($AN$1:$AN1677,$AN1677)=1)),"TRUE","FALSE")</f>
        <v>FALSE</v>
      </c>
      <c r="AH1677" s="661" t="str">
        <f>IF(AND($Y1677&gt;=22, (AI1677&lt;&gt;"I"),(Y1677&lt;&gt;"~"),(COUNTIF($AN$1:$AN1677,$AN1677)=1)),"TRUE","FALSE")</f>
        <v>TRUE</v>
      </c>
      <c r="AI1677" s="661" t="str">
        <f t="shared" si="180"/>
        <v>II</v>
      </c>
      <c r="AJ1677" s="662" t="str">
        <f t="shared" si="181"/>
        <v>TCTW-004</v>
      </c>
      <c r="AK1677" s="662" t="str">
        <f t="shared" si="182"/>
        <v>LVN</v>
      </c>
      <c r="AL1677" s="662" t="str">
        <f t="shared" si="183"/>
        <v>FRD</v>
      </c>
      <c r="AM1677" s="662" t="str">
        <f t="shared" si="179"/>
        <v>Transit Connect Wagon-XLT w/Rear Liftgate-FWD-7-73-~-2.0L -4-E9F-210A-120.6-15.8-Unleaded-Unleaded</v>
      </c>
      <c r="AN1677" s="662" t="str">
        <f t="shared" si="184"/>
        <v>2019-LVN-FRD-TCTW-004</v>
      </c>
    </row>
    <row r="1678" spans="1:40" s="572" customFormat="1" ht="30">
      <c r="A1678" s="570" t="s">
        <v>3160</v>
      </c>
      <c r="B1678" s="569" t="s">
        <v>3161</v>
      </c>
      <c r="C1678" s="569" t="s">
        <v>278</v>
      </c>
      <c r="D1678" s="580">
        <v>15</v>
      </c>
      <c r="E1678" s="569" t="s">
        <v>1516</v>
      </c>
      <c r="F1678" s="569" t="s">
        <v>3115</v>
      </c>
      <c r="G1678" s="569" t="s">
        <v>271</v>
      </c>
      <c r="H1678" s="569">
        <v>2019</v>
      </c>
      <c r="I1678" s="569" t="s">
        <v>3116</v>
      </c>
      <c r="J1678" s="569" t="s">
        <v>3064</v>
      </c>
      <c r="K1678" s="569" t="s">
        <v>156</v>
      </c>
      <c r="L1678" s="569">
        <v>7</v>
      </c>
      <c r="M1678" s="569">
        <v>0</v>
      </c>
      <c r="N1678" s="569" t="s">
        <v>157</v>
      </c>
      <c r="O1678" s="569">
        <v>3</v>
      </c>
      <c r="P1678" s="569">
        <v>72.599999999999994</v>
      </c>
      <c r="Q1678" s="568" t="s">
        <v>157</v>
      </c>
      <c r="R1678" s="569" t="s">
        <v>189</v>
      </c>
      <c r="S1678" s="569">
        <v>4</v>
      </c>
      <c r="T1678" s="569" t="s">
        <v>3153</v>
      </c>
      <c r="U1678" s="569" t="s">
        <v>3154</v>
      </c>
      <c r="V1678" s="569">
        <v>104.8</v>
      </c>
      <c r="W1678" s="569">
        <v>15.8</v>
      </c>
      <c r="X1678" s="568">
        <v>4820</v>
      </c>
      <c r="Y1678" s="569">
        <v>22</v>
      </c>
      <c r="Z1678" s="581" t="s">
        <v>178</v>
      </c>
      <c r="AA1678" s="581" t="s">
        <v>178</v>
      </c>
      <c r="AB1678" s="585">
        <v>28295</v>
      </c>
      <c r="AC1678" s="585" t="s">
        <v>164</v>
      </c>
      <c r="AD1678" s="585">
        <v>25600</v>
      </c>
      <c r="AE1678" s="587">
        <v>0.01</v>
      </c>
      <c r="AF1678" s="661" t="str">
        <f t="shared" si="185"/>
        <v>2019-LVN-FRD-TCTW-003-15</v>
      </c>
      <c r="AG1678" s="661" t="str">
        <f>IF(AND($Y1678&gt;=32,(AI1678="I"),(Y1678&lt;&gt;"~"),(COUNTIF($AN$1:$AN1678,$AN1678)=1)),"TRUE","FALSE")</f>
        <v>FALSE</v>
      </c>
      <c r="AH1678" s="661" t="str">
        <f>IF(AND($Y1678&gt;=22, (AI1678&lt;&gt;"I"),(Y1678&lt;&gt;"~"),(COUNTIF($AN$1:$AN1678,$AN1678)=1)),"TRUE","FALSE")</f>
        <v>TRUE</v>
      </c>
      <c r="AI1678" s="661" t="str">
        <f t="shared" si="180"/>
        <v>II</v>
      </c>
      <c r="AJ1678" s="662" t="str">
        <f t="shared" si="181"/>
        <v>TCTW-003</v>
      </c>
      <c r="AK1678" s="662" t="str">
        <f t="shared" si="182"/>
        <v>LVN</v>
      </c>
      <c r="AL1678" s="662" t="str">
        <f t="shared" si="183"/>
        <v>FRD</v>
      </c>
      <c r="AM1678" s="662" t="str">
        <f t="shared" si="179"/>
        <v>Transit Connect Wagon-XLT w/Rear Liftgate-FWD-7-72.6-~-2.5L-4-E8F-210A-104.8-15.8-Unleaded-Unleaded</v>
      </c>
      <c r="AN1678" s="662" t="str">
        <f t="shared" si="184"/>
        <v>2019-LVN-FRD-TCTW-003</v>
      </c>
    </row>
    <row r="1679" spans="1:40" s="572" customFormat="1" ht="30">
      <c r="A1679" s="570" t="s">
        <v>3162</v>
      </c>
      <c r="B1679" s="573" t="s">
        <v>3159</v>
      </c>
      <c r="C1679" s="573" t="s">
        <v>278</v>
      </c>
      <c r="D1679" s="578">
        <v>15</v>
      </c>
      <c r="E1679" s="573" t="s">
        <v>1516</v>
      </c>
      <c r="F1679" s="573" t="s">
        <v>3115</v>
      </c>
      <c r="G1679" s="573" t="s">
        <v>271</v>
      </c>
      <c r="H1679" s="573">
        <v>2019</v>
      </c>
      <c r="I1679" s="573" t="s">
        <v>3116</v>
      </c>
      <c r="J1679" s="573" t="s">
        <v>3064</v>
      </c>
      <c r="K1679" s="573" t="s">
        <v>156</v>
      </c>
      <c r="L1679" s="573">
        <v>7</v>
      </c>
      <c r="M1679" s="573">
        <v>0</v>
      </c>
      <c r="N1679" s="573" t="s">
        <v>157</v>
      </c>
      <c r="O1679" s="573">
        <v>3</v>
      </c>
      <c r="P1679" s="573">
        <v>73</v>
      </c>
      <c r="Q1679" s="571" t="s">
        <v>157</v>
      </c>
      <c r="R1679" s="573" t="s">
        <v>352</v>
      </c>
      <c r="S1679" s="573">
        <v>4</v>
      </c>
      <c r="T1679" s="573" t="s">
        <v>3157</v>
      </c>
      <c r="U1679" s="573" t="s">
        <v>3154</v>
      </c>
      <c r="V1679" s="573">
        <v>120.6</v>
      </c>
      <c r="W1679" s="573">
        <v>15.8</v>
      </c>
      <c r="X1679" s="571">
        <v>5280</v>
      </c>
      <c r="Y1679" s="573">
        <v>22</v>
      </c>
      <c r="Z1679" s="579" t="s">
        <v>178</v>
      </c>
      <c r="AA1679" s="579" t="s">
        <v>178</v>
      </c>
      <c r="AB1679" s="584">
        <v>29675</v>
      </c>
      <c r="AC1679" s="584" t="s">
        <v>164</v>
      </c>
      <c r="AD1679" s="584">
        <v>26900</v>
      </c>
      <c r="AE1679" s="586">
        <v>0.01</v>
      </c>
      <c r="AF1679" s="661" t="str">
        <f t="shared" si="185"/>
        <v>2019-LVN-FRD-TCTW-004-15</v>
      </c>
      <c r="AG1679" s="661" t="str">
        <f>IF(AND($Y1679&gt;=32,(AI1679="I"),(Y1679&lt;&gt;"~"),(COUNTIF($AN$1:$AN1679,$AN1679)=1)),"TRUE","FALSE")</f>
        <v>FALSE</v>
      </c>
      <c r="AH1679" s="661" t="str">
        <f>IF(AND($Y1679&gt;=22, (AI1679&lt;&gt;"I"),(Y1679&lt;&gt;"~"),(COUNTIF($AN$1:$AN1679,$AN1679)=1)),"TRUE","FALSE")</f>
        <v>FALSE</v>
      </c>
      <c r="AI1679" s="661" t="str">
        <f t="shared" si="180"/>
        <v>II</v>
      </c>
      <c r="AJ1679" s="662" t="str">
        <f t="shared" si="181"/>
        <v>TCTW-004</v>
      </c>
      <c r="AK1679" s="662" t="str">
        <f t="shared" si="182"/>
        <v>LVN</v>
      </c>
      <c r="AL1679" s="662" t="str">
        <f t="shared" si="183"/>
        <v>FRD</v>
      </c>
      <c r="AM1679" s="662" t="str">
        <f t="shared" si="179"/>
        <v>Transit Connect Wagon-XLT w/Rear Liftgate-FWD-7-73-~-2.0L-4-E9F-210A-120.6-15.8-Unleaded-Unleaded</v>
      </c>
      <c r="AN1679" s="662" t="str">
        <f t="shared" si="184"/>
        <v>2019-LVN-FRD-TCTW-004</v>
      </c>
    </row>
    <row r="1680" spans="1:40" s="572" customFormat="1" ht="30">
      <c r="A1680" s="570" t="s">
        <v>3163</v>
      </c>
      <c r="B1680" s="569" t="s">
        <v>3161</v>
      </c>
      <c r="C1680" s="569" t="s">
        <v>287</v>
      </c>
      <c r="D1680" s="580">
        <v>26</v>
      </c>
      <c r="E1680" s="569" t="s">
        <v>1516</v>
      </c>
      <c r="F1680" s="569" t="s">
        <v>3115</v>
      </c>
      <c r="G1680" s="569" t="s">
        <v>271</v>
      </c>
      <c r="H1680" s="569">
        <v>2019</v>
      </c>
      <c r="I1680" s="569" t="s">
        <v>3116</v>
      </c>
      <c r="J1680" s="569" t="s">
        <v>3064</v>
      </c>
      <c r="K1680" s="569" t="s">
        <v>156</v>
      </c>
      <c r="L1680" s="569">
        <v>7</v>
      </c>
      <c r="M1680" s="569">
        <v>0</v>
      </c>
      <c r="N1680" s="569" t="s">
        <v>157</v>
      </c>
      <c r="O1680" s="569">
        <v>3</v>
      </c>
      <c r="P1680" s="569">
        <v>72.599999999999994</v>
      </c>
      <c r="Q1680" s="568" t="s">
        <v>157</v>
      </c>
      <c r="R1680" s="569" t="s">
        <v>189</v>
      </c>
      <c r="S1680" s="569">
        <v>4</v>
      </c>
      <c r="T1680" s="569" t="s">
        <v>3153</v>
      </c>
      <c r="U1680" s="569" t="s">
        <v>3154</v>
      </c>
      <c r="V1680" s="569">
        <v>104.8</v>
      </c>
      <c r="W1680" s="569">
        <v>15.8</v>
      </c>
      <c r="X1680" s="568">
        <v>4820</v>
      </c>
      <c r="Y1680" s="569">
        <v>22</v>
      </c>
      <c r="Z1680" s="581" t="s">
        <v>178</v>
      </c>
      <c r="AA1680" s="581" t="s">
        <v>178</v>
      </c>
      <c r="AB1680" s="585">
        <v>28220</v>
      </c>
      <c r="AC1680" s="585" t="s">
        <v>164</v>
      </c>
      <c r="AD1680" s="585">
        <v>25964</v>
      </c>
      <c r="AE1680" s="587">
        <v>0.05</v>
      </c>
      <c r="AF1680" s="661" t="str">
        <f t="shared" si="185"/>
        <v>2019-LVN-FRD-TCTW-003-26</v>
      </c>
      <c r="AG1680" s="661" t="str">
        <f>IF(AND($Y1680&gt;=32,(AI1680="I"),(Y1680&lt;&gt;"~"),(COUNTIF($AN$1:$AN1680,$AN1680)=1)),"TRUE","FALSE")</f>
        <v>FALSE</v>
      </c>
      <c r="AH1680" s="661" t="str">
        <f>IF(AND($Y1680&gt;=22, (AI1680&lt;&gt;"I"),(Y1680&lt;&gt;"~"),(COUNTIF($AN$1:$AN1680,$AN1680)=1)),"TRUE","FALSE")</f>
        <v>FALSE</v>
      </c>
      <c r="AI1680" s="661" t="str">
        <f t="shared" si="180"/>
        <v>II</v>
      </c>
      <c r="AJ1680" s="662" t="str">
        <f t="shared" si="181"/>
        <v>TCTW-003</v>
      </c>
      <c r="AK1680" s="662" t="str">
        <f t="shared" si="182"/>
        <v>LVN</v>
      </c>
      <c r="AL1680" s="662" t="str">
        <f t="shared" si="183"/>
        <v>FRD</v>
      </c>
      <c r="AM1680" s="662" t="str">
        <f t="shared" si="179"/>
        <v>Transit Connect Wagon-XLT w/Rear Liftgate-FWD-7-72.6-~-2.5L-4-E8F-210A-104.8-15.8-Unleaded-Unleaded</v>
      </c>
      <c r="AN1680" s="662" t="str">
        <f t="shared" si="184"/>
        <v>2019-LVN-FRD-TCTW-003</v>
      </c>
    </row>
    <row r="1681" spans="1:40" s="572" customFormat="1" ht="30">
      <c r="A1681" s="570" t="s">
        <v>3164</v>
      </c>
      <c r="B1681" s="573" t="s">
        <v>3159</v>
      </c>
      <c r="C1681" s="573" t="s">
        <v>287</v>
      </c>
      <c r="D1681" s="578">
        <v>26</v>
      </c>
      <c r="E1681" s="573" t="s">
        <v>1516</v>
      </c>
      <c r="F1681" s="573" t="s">
        <v>3115</v>
      </c>
      <c r="G1681" s="573" t="s">
        <v>271</v>
      </c>
      <c r="H1681" s="573">
        <v>2019</v>
      </c>
      <c r="I1681" s="573" t="s">
        <v>3116</v>
      </c>
      <c r="J1681" s="573" t="s">
        <v>3064</v>
      </c>
      <c r="K1681" s="573" t="s">
        <v>156</v>
      </c>
      <c r="L1681" s="573">
        <v>7</v>
      </c>
      <c r="M1681" s="573">
        <v>0</v>
      </c>
      <c r="N1681" s="573" t="s">
        <v>157</v>
      </c>
      <c r="O1681" s="573">
        <v>3</v>
      </c>
      <c r="P1681" s="573">
        <v>73</v>
      </c>
      <c r="Q1681" s="571" t="s">
        <v>157</v>
      </c>
      <c r="R1681" s="573" t="s">
        <v>189</v>
      </c>
      <c r="S1681" s="573">
        <v>4</v>
      </c>
      <c r="T1681" s="573" t="s">
        <v>3157</v>
      </c>
      <c r="U1681" s="573" t="s">
        <v>3154</v>
      </c>
      <c r="V1681" s="573">
        <v>120.6</v>
      </c>
      <c r="W1681" s="573">
        <v>15.8</v>
      </c>
      <c r="X1681" s="571">
        <v>5280</v>
      </c>
      <c r="Y1681" s="573">
        <v>22</v>
      </c>
      <c r="Z1681" s="579" t="s">
        <v>178</v>
      </c>
      <c r="AA1681" s="579" t="s">
        <v>178</v>
      </c>
      <c r="AB1681" s="584">
        <v>29600</v>
      </c>
      <c r="AC1681" s="584" t="s">
        <v>164</v>
      </c>
      <c r="AD1681" s="584">
        <v>27284</v>
      </c>
      <c r="AE1681" s="586">
        <v>0.05</v>
      </c>
      <c r="AF1681" s="661" t="str">
        <f t="shared" si="185"/>
        <v>2019-LVN-FRD-TCTW-004-26</v>
      </c>
      <c r="AG1681" s="661" t="str">
        <f>IF(AND($Y1681&gt;=32,(AI1681="I"),(Y1681&lt;&gt;"~"),(COUNTIF($AN$1:$AN1681,$AN1681)=1)),"TRUE","FALSE")</f>
        <v>FALSE</v>
      </c>
      <c r="AH1681" s="661" t="str">
        <f>IF(AND($Y1681&gt;=22, (AI1681&lt;&gt;"I"),(Y1681&lt;&gt;"~"),(COUNTIF($AN$1:$AN1681,$AN1681)=1)),"TRUE","FALSE")</f>
        <v>FALSE</v>
      </c>
      <c r="AI1681" s="661" t="str">
        <f t="shared" si="180"/>
        <v>II</v>
      </c>
      <c r="AJ1681" s="662" t="str">
        <f t="shared" si="181"/>
        <v>TCTW-004</v>
      </c>
      <c r="AK1681" s="662" t="str">
        <f t="shared" si="182"/>
        <v>LVN</v>
      </c>
      <c r="AL1681" s="662" t="str">
        <f t="shared" si="183"/>
        <v>FRD</v>
      </c>
      <c r="AM1681" s="662" t="str">
        <f t="shared" si="179"/>
        <v>Transit Connect Wagon-XLT w/Rear Liftgate-FWD-7-73-~-2.5L-4-E9F-210A-120.6-15.8-Unleaded-Unleaded</v>
      </c>
      <c r="AN1681" s="662" t="str">
        <f t="shared" si="184"/>
        <v>2019-LVN-FRD-TCTW-004</v>
      </c>
    </row>
    <row r="1682" spans="1:40" s="572" customFormat="1" ht="30">
      <c r="A1682" s="570" t="s">
        <v>3165</v>
      </c>
      <c r="B1682" s="569" t="s">
        <v>3152</v>
      </c>
      <c r="C1682" s="569" t="s">
        <v>280</v>
      </c>
      <c r="D1682" s="580">
        <v>27</v>
      </c>
      <c r="E1682" s="569" t="s">
        <v>1516</v>
      </c>
      <c r="F1682" s="569" t="s">
        <v>3115</v>
      </c>
      <c r="G1682" s="569" t="s">
        <v>271</v>
      </c>
      <c r="H1682" s="569">
        <v>2019</v>
      </c>
      <c r="I1682" s="569" t="s">
        <v>3116</v>
      </c>
      <c r="J1682" s="569" t="s">
        <v>3064</v>
      </c>
      <c r="K1682" s="569" t="s">
        <v>156</v>
      </c>
      <c r="L1682" s="569">
        <v>7</v>
      </c>
      <c r="M1682" s="569">
        <v>0</v>
      </c>
      <c r="N1682" s="569" t="s">
        <v>157</v>
      </c>
      <c r="O1682" s="569">
        <v>3</v>
      </c>
      <c r="P1682" s="569">
        <v>72.599999999999994</v>
      </c>
      <c r="Q1682" s="568" t="s">
        <v>157</v>
      </c>
      <c r="R1682" s="569" t="s">
        <v>3012</v>
      </c>
      <c r="S1682" s="569">
        <v>4</v>
      </c>
      <c r="T1682" s="569" t="s">
        <v>3153</v>
      </c>
      <c r="U1682" s="569" t="s">
        <v>3154</v>
      </c>
      <c r="V1682" s="569">
        <v>104.8</v>
      </c>
      <c r="W1682" s="569">
        <v>15.8</v>
      </c>
      <c r="X1682" s="568">
        <v>5060</v>
      </c>
      <c r="Y1682" s="573">
        <v>22</v>
      </c>
      <c r="Z1682" s="581" t="s">
        <v>728</v>
      </c>
      <c r="AA1682" s="581" t="s">
        <v>728</v>
      </c>
      <c r="AB1682" s="585">
        <v>28295</v>
      </c>
      <c r="AC1682" s="585" t="s">
        <v>164</v>
      </c>
      <c r="AD1682" s="585">
        <v>25061.8125</v>
      </c>
      <c r="AE1682" s="587">
        <v>0.03</v>
      </c>
      <c r="AF1682" s="661" t="str">
        <f t="shared" si="185"/>
        <v>2019-LVN-FRD-TCTW-013-27</v>
      </c>
      <c r="AG1682" s="661" t="str">
        <f>IF(AND($Y1682&gt;=32,(AI1682="I"),(Y1682&lt;&gt;"~"),(COUNTIF($AN$1:$AN1682,$AN1682)=1)),"TRUE","FALSE")</f>
        <v>FALSE</v>
      </c>
      <c r="AH1682" s="661" t="str">
        <f>IF(AND($Y1682&gt;=22, (AI1682&lt;&gt;"I"),(Y1682&lt;&gt;"~"),(COUNTIF($AN$1:$AN1682,$AN1682)=1)),"TRUE","FALSE")</f>
        <v>FALSE</v>
      </c>
      <c r="AI1682" s="661" t="str">
        <f t="shared" si="180"/>
        <v>II</v>
      </c>
      <c r="AJ1682" s="662" t="str">
        <f t="shared" si="181"/>
        <v>TCTW-013</v>
      </c>
      <c r="AK1682" s="662" t="str">
        <f t="shared" si="182"/>
        <v>LVN</v>
      </c>
      <c r="AL1682" s="662" t="str">
        <f t="shared" si="183"/>
        <v>FRD</v>
      </c>
      <c r="AM1682" s="662" t="str">
        <f t="shared" si="179"/>
        <v>Transit Connect Wagon-XLT w/Rear Liftgate-FWD-7-72.6-~-1.5L Ecoblue Diesel-4-E8F-210A-104.8-15.8-Diesel-Diesel</v>
      </c>
      <c r="AN1682" s="662" t="str">
        <f t="shared" si="184"/>
        <v>2019-LVN-FRD-TCTW-013</v>
      </c>
    </row>
    <row r="1683" spans="1:40" s="572" customFormat="1" ht="30">
      <c r="A1683" s="570" t="s">
        <v>3166</v>
      </c>
      <c r="B1683" s="573" t="s">
        <v>3156</v>
      </c>
      <c r="C1683" s="573" t="s">
        <v>280</v>
      </c>
      <c r="D1683" s="578">
        <v>27</v>
      </c>
      <c r="E1683" s="573" t="s">
        <v>1516</v>
      </c>
      <c r="F1683" s="573" t="s">
        <v>3115</v>
      </c>
      <c r="G1683" s="573" t="s">
        <v>271</v>
      </c>
      <c r="H1683" s="573">
        <v>2019</v>
      </c>
      <c r="I1683" s="573" t="s">
        <v>3116</v>
      </c>
      <c r="J1683" s="573" t="s">
        <v>3064</v>
      </c>
      <c r="K1683" s="573" t="s">
        <v>156</v>
      </c>
      <c r="L1683" s="573">
        <v>7</v>
      </c>
      <c r="M1683" s="573">
        <v>0</v>
      </c>
      <c r="N1683" s="573" t="s">
        <v>157</v>
      </c>
      <c r="O1683" s="573">
        <v>3</v>
      </c>
      <c r="P1683" s="573">
        <v>73</v>
      </c>
      <c r="Q1683" s="571" t="s">
        <v>157</v>
      </c>
      <c r="R1683" s="573" t="s">
        <v>3012</v>
      </c>
      <c r="S1683" s="573">
        <v>4</v>
      </c>
      <c r="T1683" s="573" t="s">
        <v>3157</v>
      </c>
      <c r="U1683" s="573" t="s">
        <v>3154</v>
      </c>
      <c r="V1683" s="573">
        <v>120.6</v>
      </c>
      <c r="W1683" s="573">
        <v>15.8</v>
      </c>
      <c r="X1683" s="571">
        <v>5450</v>
      </c>
      <c r="Y1683" s="573">
        <v>22</v>
      </c>
      <c r="Z1683" s="579" t="s">
        <v>728</v>
      </c>
      <c r="AA1683" s="579" t="s">
        <v>728</v>
      </c>
      <c r="AB1683" s="584">
        <v>31670</v>
      </c>
      <c r="AC1683" s="584" t="s">
        <v>164</v>
      </c>
      <c r="AD1683" s="584">
        <v>28108.6875</v>
      </c>
      <c r="AE1683" s="586">
        <v>0.03</v>
      </c>
      <c r="AF1683" s="661" t="str">
        <f t="shared" si="185"/>
        <v>2019-LVN-FRD-TCTW-014-27</v>
      </c>
      <c r="AG1683" s="661" t="str">
        <f>IF(AND($Y1683&gt;=32,(AI1683="I"),(Y1683&lt;&gt;"~"),(COUNTIF($AN$1:$AN1683,$AN1683)=1)),"TRUE","FALSE")</f>
        <v>FALSE</v>
      </c>
      <c r="AH1683" s="661" t="str">
        <f>IF(AND($Y1683&gt;=22, (AI1683&lt;&gt;"I"),(Y1683&lt;&gt;"~"),(COUNTIF($AN$1:$AN1683,$AN1683)=1)),"TRUE","FALSE")</f>
        <v>FALSE</v>
      </c>
      <c r="AI1683" s="661" t="str">
        <f t="shared" si="180"/>
        <v>II</v>
      </c>
      <c r="AJ1683" s="662" t="str">
        <f t="shared" si="181"/>
        <v>TCTW-014</v>
      </c>
      <c r="AK1683" s="662" t="str">
        <f t="shared" si="182"/>
        <v>LVN</v>
      </c>
      <c r="AL1683" s="662" t="str">
        <f t="shared" si="183"/>
        <v>FRD</v>
      </c>
      <c r="AM1683" s="662" t="str">
        <f t="shared" si="179"/>
        <v>Transit Connect Wagon-XLT w/Rear Liftgate-FWD-7-73-~-1.5L Ecoblue Diesel-4-E9F-210A-120.6-15.8-Diesel-Diesel</v>
      </c>
      <c r="AN1683" s="662" t="str">
        <f t="shared" si="184"/>
        <v>2019-LVN-FRD-TCTW-014</v>
      </c>
    </row>
    <row r="1684" spans="1:40" s="572" customFormat="1" ht="30">
      <c r="A1684" s="570" t="s">
        <v>3167</v>
      </c>
      <c r="B1684" s="569" t="s">
        <v>3159</v>
      </c>
      <c r="C1684" s="569" t="s">
        <v>280</v>
      </c>
      <c r="D1684" s="580">
        <v>27</v>
      </c>
      <c r="E1684" s="569" t="s">
        <v>1516</v>
      </c>
      <c r="F1684" s="569" t="s">
        <v>3115</v>
      </c>
      <c r="G1684" s="569" t="s">
        <v>271</v>
      </c>
      <c r="H1684" s="569">
        <v>2019</v>
      </c>
      <c r="I1684" s="569" t="s">
        <v>3116</v>
      </c>
      <c r="J1684" s="569" t="s">
        <v>3064</v>
      </c>
      <c r="K1684" s="569" t="s">
        <v>156</v>
      </c>
      <c r="L1684" s="569">
        <v>7</v>
      </c>
      <c r="M1684" s="569">
        <v>0</v>
      </c>
      <c r="N1684" s="569" t="s">
        <v>157</v>
      </c>
      <c r="O1684" s="569">
        <v>3</v>
      </c>
      <c r="P1684" s="569">
        <v>73</v>
      </c>
      <c r="Q1684" s="568" t="s">
        <v>157</v>
      </c>
      <c r="R1684" s="569" t="s">
        <v>3016</v>
      </c>
      <c r="S1684" s="569">
        <v>4</v>
      </c>
      <c r="T1684" s="569" t="s">
        <v>3157</v>
      </c>
      <c r="U1684" s="569" t="s">
        <v>3154</v>
      </c>
      <c r="V1684" s="569">
        <v>120.6</v>
      </c>
      <c r="W1684" s="569">
        <v>15.8</v>
      </c>
      <c r="X1684" s="568">
        <v>5302</v>
      </c>
      <c r="Y1684" s="569">
        <v>24</v>
      </c>
      <c r="Z1684" s="581" t="s">
        <v>178</v>
      </c>
      <c r="AA1684" s="581" t="s">
        <v>178</v>
      </c>
      <c r="AB1684" s="585">
        <v>29675</v>
      </c>
      <c r="AC1684" s="585" t="s">
        <v>164</v>
      </c>
      <c r="AD1684" s="585">
        <v>26336.645833333336</v>
      </c>
      <c r="AE1684" s="587">
        <v>0.03</v>
      </c>
      <c r="AF1684" s="661" t="str">
        <f t="shared" si="185"/>
        <v>2019-LVN-FRD-TCTW-004-27</v>
      </c>
      <c r="AG1684" s="661" t="str">
        <f>IF(AND($Y1684&gt;=32,(AI1684="I"),(Y1684&lt;&gt;"~"),(COUNTIF($AN$1:$AN1684,$AN1684)=1)),"TRUE","FALSE")</f>
        <v>FALSE</v>
      </c>
      <c r="AH1684" s="661" t="str">
        <f>IF(AND($Y1684&gt;=22, (AI1684&lt;&gt;"I"),(Y1684&lt;&gt;"~"),(COUNTIF($AN$1:$AN1684,$AN1684)=1)),"TRUE","FALSE")</f>
        <v>FALSE</v>
      </c>
      <c r="AI1684" s="661" t="str">
        <f t="shared" si="180"/>
        <v>II</v>
      </c>
      <c r="AJ1684" s="662" t="str">
        <f t="shared" si="181"/>
        <v>TCTW-004</v>
      </c>
      <c r="AK1684" s="662" t="str">
        <f t="shared" si="182"/>
        <v>LVN</v>
      </c>
      <c r="AL1684" s="662" t="str">
        <f t="shared" si="183"/>
        <v>FRD</v>
      </c>
      <c r="AM1684" s="662" t="str">
        <f t="shared" si="179"/>
        <v>Transit Connect Wagon-XLT w/Rear Liftgate-FWD-7-73-~-2.0L -4-E9F-210A-120.6-15.8-Unleaded-Unleaded</v>
      </c>
      <c r="AN1684" s="662" t="str">
        <f t="shared" si="184"/>
        <v>2019-LVN-FRD-TCTW-004</v>
      </c>
    </row>
    <row r="1685" spans="1:40" s="572" customFormat="1" ht="30">
      <c r="A1685" s="570" t="s">
        <v>3168</v>
      </c>
      <c r="B1685" s="573" t="s">
        <v>3169</v>
      </c>
      <c r="C1685" s="573" t="s">
        <v>269</v>
      </c>
      <c r="D1685" s="578" t="s">
        <v>270</v>
      </c>
      <c r="E1685" s="573" t="s">
        <v>1516</v>
      </c>
      <c r="F1685" s="573" t="s">
        <v>3115</v>
      </c>
      <c r="G1685" s="573" t="s">
        <v>271</v>
      </c>
      <c r="H1685" s="573">
        <v>2019</v>
      </c>
      <c r="I1685" s="573" t="s">
        <v>3116</v>
      </c>
      <c r="J1685" s="573" t="s">
        <v>3090</v>
      </c>
      <c r="K1685" s="573" t="s">
        <v>156</v>
      </c>
      <c r="L1685" s="573">
        <v>7</v>
      </c>
      <c r="M1685" s="573">
        <v>0</v>
      </c>
      <c r="N1685" s="573" t="s">
        <v>157</v>
      </c>
      <c r="O1685" s="573">
        <v>3</v>
      </c>
      <c r="P1685" s="573">
        <v>72.599999999999994</v>
      </c>
      <c r="Q1685" s="571" t="s">
        <v>157</v>
      </c>
      <c r="R1685" s="573" t="s">
        <v>3012</v>
      </c>
      <c r="S1685" s="573">
        <v>4</v>
      </c>
      <c r="T1685" s="573" t="s">
        <v>3170</v>
      </c>
      <c r="U1685" s="573" t="s">
        <v>3154</v>
      </c>
      <c r="V1685" s="573">
        <v>104.8</v>
      </c>
      <c r="W1685" s="573">
        <v>15.8</v>
      </c>
      <c r="X1685" s="571">
        <v>4820</v>
      </c>
      <c r="Y1685" s="573">
        <v>22</v>
      </c>
      <c r="Z1685" s="579" t="s">
        <v>728</v>
      </c>
      <c r="AA1685" s="579" t="s">
        <v>728</v>
      </c>
      <c r="AB1685" s="584">
        <v>28295</v>
      </c>
      <c r="AC1685" s="584" t="s">
        <v>164</v>
      </c>
      <c r="AD1685" s="584">
        <v>25061.645833333336</v>
      </c>
      <c r="AE1685" s="586">
        <v>0.03</v>
      </c>
      <c r="AF1685" s="661" t="str">
        <f t="shared" si="185"/>
        <v>2019-LVN-FRD-TCTW-015-05</v>
      </c>
      <c r="AG1685" s="661" t="str">
        <f>IF(AND($Y1685&gt;=32,(AI1685="I"),(Y1685&lt;&gt;"~"),(COUNTIF($AN$1:$AN1685,$AN1685)=1)),"TRUE","FALSE")</f>
        <v>FALSE</v>
      </c>
      <c r="AH1685" s="661" t="str">
        <f>IF(AND($Y1685&gt;=22, (AI1685&lt;&gt;"I"),(Y1685&lt;&gt;"~"),(COUNTIF($AN$1:$AN1685,$AN1685)=1)),"TRUE","FALSE")</f>
        <v>TRUE</v>
      </c>
      <c r="AI1685" s="661" t="str">
        <f t="shared" si="180"/>
        <v>II</v>
      </c>
      <c r="AJ1685" s="662" t="str">
        <f t="shared" si="181"/>
        <v>TCTW-015</v>
      </c>
      <c r="AK1685" s="662" t="str">
        <f t="shared" si="182"/>
        <v>LVN</v>
      </c>
      <c r="AL1685" s="662" t="str">
        <f t="shared" si="183"/>
        <v>FRD</v>
      </c>
      <c r="AM1685" s="662" t="str">
        <f t="shared" si="179"/>
        <v>Transit Connect Wagon-XLT w/Symmetrical Rear Drs-FWD-7-72.6-~-1.5L Ecoblue Diesel-4-S8F-210A-104.8-15.8-Diesel-Diesel</v>
      </c>
      <c r="AN1685" s="662" t="str">
        <f t="shared" si="184"/>
        <v>2019-LVN-FRD-TCTW-015</v>
      </c>
    </row>
    <row r="1686" spans="1:40" s="572" customFormat="1" ht="30">
      <c r="A1686" s="570" t="s">
        <v>3171</v>
      </c>
      <c r="B1686" s="569" t="s">
        <v>3172</v>
      </c>
      <c r="C1686" s="569" t="s">
        <v>269</v>
      </c>
      <c r="D1686" s="580" t="s">
        <v>270</v>
      </c>
      <c r="E1686" s="569" t="s">
        <v>1516</v>
      </c>
      <c r="F1686" s="569" t="s">
        <v>3115</v>
      </c>
      <c r="G1686" s="569" t="s">
        <v>271</v>
      </c>
      <c r="H1686" s="569">
        <v>2019</v>
      </c>
      <c r="I1686" s="569" t="s">
        <v>3116</v>
      </c>
      <c r="J1686" s="569" t="s">
        <v>3090</v>
      </c>
      <c r="K1686" s="569" t="s">
        <v>156</v>
      </c>
      <c r="L1686" s="569">
        <v>7</v>
      </c>
      <c r="M1686" s="569">
        <v>0</v>
      </c>
      <c r="N1686" s="569" t="s">
        <v>157</v>
      </c>
      <c r="O1686" s="569">
        <v>3</v>
      </c>
      <c r="P1686" s="569">
        <v>72</v>
      </c>
      <c r="Q1686" s="568" t="s">
        <v>157</v>
      </c>
      <c r="R1686" s="569" t="s">
        <v>3012</v>
      </c>
      <c r="S1686" s="569">
        <v>4</v>
      </c>
      <c r="T1686" s="569" t="s">
        <v>3173</v>
      </c>
      <c r="U1686" s="569" t="s">
        <v>3154</v>
      </c>
      <c r="V1686" s="569">
        <v>120.6</v>
      </c>
      <c r="W1686" s="569">
        <v>15.8</v>
      </c>
      <c r="X1686" s="568">
        <v>5450</v>
      </c>
      <c r="Y1686" s="573">
        <v>22</v>
      </c>
      <c r="Z1686" s="581" t="s">
        <v>728</v>
      </c>
      <c r="AA1686" s="581" t="s">
        <v>728</v>
      </c>
      <c r="AB1686" s="585">
        <v>31670</v>
      </c>
      <c r="AC1686" s="585" t="s">
        <v>164</v>
      </c>
      <c r="AD1686" s="585">
        <v>28108.6875</v>
      </c>
      <c r="AE1686" s="587">
        <v>0.03</v>
      </c>
      <c r="AF1686" s="661" t="str">
        <f t="shared" si="185"/>
        <v>2019-LVN-FRD-TCTW-016-05</v>
      </c>
      <c r="AG1686" s="661" t="str">
        <f>IF(AND($Y1686&gt;=32,(AI1686="I"),(Y1686&lt;&gt;"~"),(COUNTIF($AN$1:$AN1686,$AN1686)=1)),"TRUE","FALSE")</f>
        <v>FALSE</v>
      </c>
      <c r="AH1686" s="661" t="str">
        <f>IF(AND($Y1686&gt;=22, (AI1686&lt;&gt;"I"),(Y1686&lt;&gt;"~"),(COUNTIF($AN$1:$AN1686,$AN1686)=1)),"TRUE","FALSE")</f>
        <v>TRUE</v>
      </c>
      <c r="AI1686" s="661" t="str">
        <f t="shared" si="180"/>
        <v>II</v>
      </c>
      <c r="AJ1686" s="662" t="str">
        <f t="shared" si="181"/>
        <v>TCTW-016</v>
      </c>
      <c r="AK1686" s="662" t="str">
        <f t="shared" si="182"/>
        <v>LVN</v>
      </c>
      <c r="AL1686" s="662" t="str">
        <f t="shared" si="183"/>
        <v>FRD</v>
      </c>
      <c r="AM1686" s="662" t="str">
        <f t="shared" si="179"/>
        <v>Transit Connect Wagon-XLT w/Symmetrical Rear Drs-FWD-7-72-~-1.5L Ecoblue Diesel-4-S9F-210A-120.6-15.8-Diesel-Diesel</v>
      </c>
      <c r="AN1686" s="662" t="str">
        <f t="shared" si="184"/>
        <v>2019-LVN-FRD-TCTW-016</v>
      </c>
    </row>
    <row r="1687" spans="1:40" s="572" customFormat="1" ht="30">
      <c r="A1687" s="570" t="s">
        <v>3174</v>
      </c>
      <c r="B1687" s="573" t="s">
        <v>3175</v>
      </c>
      <c r="C1687" s="573" t="s">
        <v>269</v>
      </c>
      <c r="D1687" s="578" t="s">
        <v>270</v>
      </c>
      <c r="E1687" s="573" t="s">
        <v>1516</v>
      </c>
      <c r="F1687" s="573" t="s">
        <v>3115</v>
      </c>
      <c r="G1687" s="573" t="s">
        <v>271</v>
      </c>
      <c r="H1687" s="573">
        <v>2019</v>
      </c>
      <c r="I1687" s="573" t="s">
        <v>3116</v>
      </c>
      <c r="J1687" s="573" t="s">
        <v>3090</v>
      </c>
      <c r="K1687" s="573" t="s">
        <v>156</v>
      </c>
      <c r="L1687" s="573">
        <v>7</v>
      </c>
      <c r="M1687" s="573">
        <v>0</v>
      </c>
      <c r="N1687" s="573" t="s">
        <v>157</v>
      </c>
      <c r="O1687" s="573">
        <v>3</v>
      </c>
      <c r="P1687" s="573">
        <v>72</v>
      </c>
      <c r="Q1687" s="571" t="s">
        <v>157</v>
      </c>
      <c r="R1687" s="573" t="s">
        <v>3016</v>
      </c>
      <c r="S1687" s="573">
        <v>4</v>
      </c>
      <c r="T1687" s="573" t="s">
        <v>3173</v>
      </c>
      <c r="U1687" s="573" t="s">
        <v>3154</v>
      </c>
      <c r="V1687" s="573">
        <v>120.6</v>
      </c>
      <c r="W1687" s="573">
        <v>15.8</v>
      </c>
      <c r="X1687" s="571">
        <v>5302</v>
      </c>
      <c r="Y1687" s="573">
        <v>24</v>
      </c>
      <c r="Z1687" s="579" t="s">
        <v>178</v>
      </c>
      <c r="AA1687" s="579" t="s">
        <v>178</v>
      </c>
      <c r="AB1687" s="584">
        <v>29675</v>
      </c>
      <c r="AC1687" s="584" t="s">
        <v>164</v>
      </c>
      <c r="AD1687" s="584">
        <v>26336.645833333336</v>
      </c>
      <c r="AE1687" s="586">
        <v>0.03</v>
      </c>
      <c r="AF1687" s="661" t="str">
        <f t="shared" si="185"/>
        <v>2019-LVN-FRD-TCTW-006-05</v>
      </c>
      <c r="AG1687" s="661" t="str">
        <f>IF(AND($Y1687&gt;=32,(AI1687="I"),(Y1687&lt;&gt;"~"),(COUNTIF($AN$1:$AN1687,$AN1687)=1)),"TRUE","FALSE")</f>
        <v>FALSE</v>
      </c>
      <c r="AH1687" s="661" t="str">
        <f>IF(AND($Y1687&gt;=22, (AI1687&lt;&gt;"I"),(Y1687&lt;&gt;"~"),(COUNTIF($AN$1:$AN1687,$AN1687)=1)),"TRUE","FALSE")</f>
        <v>TRUE</v>
      </c>
      <c r="AI1687" s="661" t="str">
        <f t="shared" si="180"/>
        <v>II</v>
      </c>
      <c r="AJ1687" s="662" t="str">
        <f t="shared" si="181"/>
        <v>TCTW-006</v>
      </c>
      <c r="AK1687" s="662" t="str">
        <f t="shared" si="182"/>
        <v>LVN</v>
      </c>
      <c r="AL1687" s="662" t="str">
        <f t="shared" si="183"/>
        <v>FRD</v>
      </c>
      <c r="AM1687" s="662" t="str">
        <f t="shared" si="179"/>
        <v>Transit Connect Wagon-XLT w/Symmetrical Rear Drs-FWD-7-72-~-2.0L -4-S9F-210A-120.6-15.8-Unleaded-Unleaded</v>
      </c>
      <c r="AN1687" s="662" t="str">
        <f t="shared" si="184"/>
        <v>2019-LVN-FRD-TCTW-006</v>
      </c>
    </row>
    <row r="1688" spans="1:40" s="572" customFormat="1" ht="30">
      <c r="A1688" s="570" t="s">
        <v>3176</v>
      </c>
      <c r="B1688" s="569" t="s">
        <v>3177</v>
      </c>
      <c r="C1688" s="569" t="s">
        <v>278</v>
      </c>
      <c r="D1688" s="580">
        <v>15</v>
      </c>
      <c r="E1688" s="569" t="s">
        <v>1516</v>
      </c>
      <c r="F1688" s="569" t="s">
        <v>3115</v>
      </c>
      <c r="G1688" s="569" t="s">
        <v>271</v>
      </c>
      <c r="H1688" s="569">
        <v>2019</v>
      </c>
      <c r="I1688" s="569" t="s">
        <v>3116</v>
      </c>
      <c r="J1688" s="569" t="s">
        <v>3090</v>
      </c>
      <c r="K1688" s="569" t="s">
        <v>156</v>
      </c>
      <c r="L1688" s="569">
        <v>7</v>
      </c>
      <c r="M1688" s="569">
        <v>0</v>
      </c>
      <c r="N1688" s="569" t="s">
        <v>157</v>
      </c>
      <c r="O1688" s="569">
        <v>3</v>
      </c>
      <c r="P1688" s="569">
        <v>72.599999999999994</v>
      </c>
      <c r="Q1688" s="568" t="s">
        <v>157</v>
      </c>
      <c r="R1688" s="569" t="s">
        <v>205</v>
      </c>
      <c r="S1688" s="569">
        <v>4</v>
      </c>
      <c r="T1688" s="569" t="s">
        <v>3170</v>
      </c>
      <c r="U1688" s="569" t="s">
        <v>3154</v>
      </c>
      <c r="V1688" s="569">
        <v>104.8</v>
      </c>
      <c r="W1688" s="569">
        <v>15.8</v>
      </c>
      <c r="X1688" s="568">
        <v>4820</v>
      </c>
      <c r="Y1688" s="569">
        <v>22</v>
      </c>
      <c r="Z1688" s="581" t="s">
        <v>178</v>
      </c>
      <c r="AA1688" s="581" t="s">
        <v>178</v>
      </c>
      <c r="AB1688" s="585">
        <v>28295</v>
      </c>
      <c r="AC1688" s="585" t="s">
        <v>164</v>
      </c>
      <c r="AD1688" s="585">
        <v>25600</v>
      </c>
      <c r="AE1688" s="587">
        <v>0.01</v>
      </c>
      <c r="AF1688" s="661" t="str">
        <f t="shared" si="185"/>
        <v>2019-LVN-FRD-TCTW-005-15</v>
      </c>
      <c r="AG1688" s="661" t="str">
        <f>IF(AND($Y1688&gt;=32,(AI1688="I"),(Y1688&lt;&gt;"~"),(COUNTIF($AN$1:$AN1688,$AN1688)=1)),"TRUE","FALSE")</f>
        <v>FALSE</v>
      </c>
      <c r="AH1688" s="661" t="str">
        <f>IF(AND($Y1688&gt;=22, (AI1688&lt;&gt;"I"),(Y1688&lt;&gt;"~"),(COUNTIF($AN$1:$AN1688,$AN1688)=1)),"TRUE","FALSE")</f>
        <v>TRUE</v>
      </c>
      <c r="AI1688" s="661" t="str">
        <f t="shared" si="180"/>
        <v>II</v>
      </c>
      <c r="AJ1688" s="662" t="str">
        <f t="shared" si="181"/>
        <v>TCTW-005</v>
      </c>
      <c r="AK1688" s="662" t="str">
        <f t="shared" si="182"/>
        <v>LVN</v>
      </c>
      <c r="AL1688" s="662" t="str">
        <f t="shared" si="183"/>
        <v>FRD</v>
      </c>
      <c r="AM1688" s="662" t="str">
        <f t="shared" si="179"/>
        <v>Transit Connect Wagon-XLT w/Symmetrical Rear Drs-FWD-7-72.6-~-1.5L-4-S8F-210A-104.8-15.8-Unleaded-Unleaded</v>
      </c>
      <c r="AN1688" s="662" t="str">
        <f t="shared" si="184"/>
        <v>2019-LVN-FRD-TCTW-005</v>
      </c>
    </row>
    <row r="1689" spans="1:40" s="572" customFormat="1" ht="30">
      <c r="A1689" s="570" t="s">
        <v>3178</v>
      </c>
      <c r="B1689" s="573" t="s">
        <v>3175</v>
      </c>
      <c r="C1689" s="573" t="s">
        <v>278</v>
      </c>
      <c r="D1689" s="578">
        <v>15</v>
      </c>
      <c r="E1689" s="573" t="s">
        <v>1516</v>
      </c>
      <c r="F1689" s="573" t="s">
        <v>3115</v>
      </c>
      <c r="G1689" s="573" t="s">
        <v>271</v>
      </c>
      <c r="H1689" s="573">
        <v>2019</v>
      </c>
      <c r="I1689" s="573" t="s">
        <v>3116</v>
      </c>
      <c r="J1689" s="573" t="s">
        <v>3090</v>
      </c>
      <c r="K1689" s="573" t="s">
        <v>156</v>
      </c>
      <c r="L1689" s="573">
        <v>7</v>
      </c>
      <c r="M1689" s="573">
        <v>0</v>
      </c>
      <c r="N1689" s="573" t="s">
        <v>157</v>
      </c>
      <c r="O1689" s="573">
        <v>3</v>
      </c>
      <c r="P1689" s="573">
        <v>72</v>
      </c>
      <c r="Q1689" s="571" t="s">
        <v>157</v>
      </c>
      <c r="R1689" s="573" t="s">
        <v>352</v>
      </c>
      <c r="S1689" s="573">
        <v>4</v>
      </c>
      <c r="T1689" s="573" t="s">
        <v>3173</v>
      </c>
      <c r="U1689" s="573" t="s">
        <v>3154</v>
      </c>
      <c r="V1689" s="573">
        <v>120.6</v>
      </c>
      <c r="W1689" s="573">
        <v>15.8</v>
      </c>
      <c r="X1689" s="571">
        <v>5280</v>
      </c>
      <c r="Y1689" s="573">
        <v>22</v>
      </c>
      <c r="Z1689" s="579" t="s">
        <v>178</v>
      </c>
      <c r="AA1689" s="579" t="s">
        <v>178</v>
      </c>
      <c r="AB1689" s="584">
        <v>29675</v>
      </c>
      <c r="AC1689" s="584" t="s">
        <v>164</v>
      </c>
      <c r="AD1689" s="584">
        <v>26900</v>
      </c>
      <c r="AE1689" s="586">
        <v>0.01</v>
      </c>
      <c r="AF1689" s="661" t="str">
        <f t="shared" si="185"/>
        <v>2019-LVN-FRD-TCTW-006-15</v>
      </c>
      <c r="AG1689" s="661" t="str">
        <f>IF(AND($Y1689&gt;=32,(AI1689="I"),(Y1689&lt;&gt;"~"),(COUNTIF($AN$1:$AN1689,$AN1689)=1)),"TRUE","FALSE")</f>
        <v>FALSE</v>
      </c>
      <c r="AH1689" s="661" t="str">
        <f>IF(AND($Y1689&gt;=22, (AI1689&lt;&gt;"I"),(Y1689&lt;&gt;"~"),(COUNTIF($AN$1:$AN1689,$AN1689)=1)),"TRUE","FALSE")</f>
        <v>FALSE</v>
      </c>
      <c r="AI1689" s="661" t="str">
        <f t="shared" si="180"/>
        <v>II</v>
      </c>
      <c r="AJ1689" s="662" t="str">
        <f t="shared" si="181"/>
        <v>TCTW-006</v>
      </c>
      <c r="AK1689" s="662" t="str">
        <f t="shared" si="182"/>
        <v>LVN</v>
      </c>
      <c r="AL1689" s="662" t="str">
        <f t="shared" si="183"/>
        <v>FRD</v>
      </c>
      <c r="AM1689" s="662" t="str">
        <f t="shared" si="179"/>
        <v>Transit Connect Wagon-XLT w/Symmetrical Rear Drs-FWD-7-72-~-2.0L-4-S9F-210A-120.6-15.8-Unleaded-Unleaded</v>
      </c>
      <c r="AN1689" s="662" t="str">
        <f t="shared" si="184"/>
        <v>2019-LVN-FRD-TCTW-006</v>
      </c>
    </row>
    <row r="1690" spans="1:40" s="572" customFormat="1" ht="30">
      <c r="A1690" s="570" t="s">
        <v>3179</v>
      </c>
      <c r="B1690" s="569" t="s">
        <v>3177</v>
      </c>
      <c r="C1690" s="569" t="s">
        <v>287</v>
      </c>
      <c r="D1690" s="580">
        <v>26</v>
      </c>
      <c r="E1690" s="569" t="s">
        <v>1516</v>
      </c>
      <c r="F1690" s="569" t="s">
        <v>3115</v>
      </c>
      <c r="G1690" s="569" t="s">
        <v>271</v>
      </c>
      <c r="H1690" s="569">
        <v>2019</v>
      </c>
      <c r="I1690" s="569" t="s">
        <v>3116</v>
      </c>
      <c r="J1690" s="569" t="s">
        <v>3090</v>
      </c>
      <c r="K1690" s="569" t="s">
        <v>156</v>
      </c>
      <c r="L1690" s="569">
        <v>7</v>
      </c>
      <c r="M1690" s="569">
        <v>0</v>
      </c>
      <c r="N1690" s="569" t="s">
        <v>157</v>
      </c>
      <c r="O1690" s="569">
        <v>3</v>
      </c>
      <c r="P1690" s="569">
        <v>72.599999999999994</v>
      </c>
      <c r="Q1690" s="568" t="s">
        <v>157</v>
      </c>
      <c r="R1690" s="569" t="s">
        <v>189</v>
      </c>
      <c r="S1690" s="569">
        <v>4</v>
      </c>
      <c r="T1690" s="569" t="s">
        <v>3170</v>
      </c>
      <c r="U1690" s="569" t="s">
        <v>3154</v>
      </c>
      <c r="V1690" s="569">
        <v>104.8</v>
      </c>
      <c r="W1690" s="569">
        <v>15.8</v>
      </c>
      <c r="X1690" s="568">
        <v>4820</v>
      </c>
      <c r="Y1690" s="569">
        <v>22</v>
      </c>
      <c r="Z1690" s="581" t="s">
        <v>178</v>
      </c>
      <c r="AA1690" s="581" t="s">
        <v>178</v>
      </c>
      <c r="AB1690" s="585">
        <v>28220</v>
      </c>
      <c r="AC1690" s="585" t="s">
        <v>164</v>
      </c>
      <c r="AD1690" s="585">
        <v>25964</v>
      </c>
      <c r="AE1690" s="587">
        <v>0.05</v>
      </c>
      <c r="AF1690" s="661" t="str">
        <f t="shared" si="185"/>
        <v>2019-LVN-FRD-TCTW-005-26</v>
      </c>
      <c r="AG1690" s="661" t="str">
        <f>IF(AND($Y1690&gt;=32,(AI1690="I"),(Y1690&lt;&gt;"~"),(COUNTIF($AN$1:$AN1690,$AN1690)=1)),"TRUE","FALSE")</f>
        <v>FALSE</v>
      </c>
      <c r="AH1690" s="661" t="str">
        <f>IF(AND($Y1690&gt;=22, (AI1690&lt;&gt;"I"),(Y1690&lt;&gt;"~"),(COUNTIF($AN$1:$AN1690,$AN1690)=1)),"TRUE","FALSE")</f>
        <v>FALSE</v>
      </c>
      <c r="AI1690" s="661" t="str">
        <f t="shared" si="180"/>
        <v>II</v>
      </c>
      <c r="AJ1690" s="662" t="str">
        <f t="shared" si="181"/>
        <v>TCTW-005</v>
      </c>
      <c r="AK1690" s="662" t="str">
        <f t="shared" si="182"/>
        <v>LVN</v>
      </c>
      <c r="AL1690" s="662" t="str">
        <f t="shared" si="183"/>
        <v>FRD</v>
      </c>
      <c r="AM1690" s="662" t="str">
        <f t="shared" si="179"/>
        <v>Transit Connect Wagon-XLT w/Symmetrical Rear Drs-FWD-7-72.6-~-2.5L-4-S8F-210A-104.8-15.8-Unleaded-Unleaded</v>
      </c>
      <c r="AN1690" s="662" t="str">
        <f t="shared" si="184"/>
        <v>2019-LVN-FRD-TCTW-005</v>
      </c>
    </row>
    <row r="1691" spans="1:40" s="572" customFormat="1" ht="30">
      <c r="A1691" s="570" t="s">
        <v>3180</v>
      </c>
      <c r="B1691" s="573" t="s">
        <v>3175</v>
      </c>
      <c r="C1691" s="573" t="s">
        <v>287</v>
      </c>
      <c r="D1691" s="578">
        <v>26</v>
      </c>
      <c r="E1691" s="573" t="s">
        <v>1516</v>
      </c>
      <c r="F1691" s="573" t="s">
        <v>3115</v>
      </c>
      <c r="G1691" s="573" t="s">
        <v>271</v>
      </c>
      <c r="H1691" s="573">
        <v>2019</v>
      </c>
      <c r="I1691" s="573" t="s">
        <v>3116</v>
      </c>
      <c r="J1691" s="573" t="s">
        <v>3090</v>
      </c>
      <c r="K1691" s="573" t="s">
        <v>156</v>
      </c>
      <c r="L1691" s="573">
        <v>7</v>
      </c>
      <c r="M1691" s="573">
        <v>0</v>
      </c>
      <c r="N1691" s="573" t="s">
        <v>157</v>
      </c>
      <c r="O1691" s="573">
        <v>3</v>
      </c>
      <c r="P1691" s="573">
        <v>72</v>
      </c>
      <c r="Q1691" s="571" t="s">
        <v>157</v>
      </c>
      <c r="R1691" s="573" t="s">
        <v>189</v>
      </c>
      <c r="S1691" s="573">
        <v>4</v>
      </c>
      <c r="T1691" s="573" t="s">
        <v>3173</v>
      </c>
      <c r="U1691" s="573" t="s">
        <v>3154</v>
      </c>
      <c r="V1691" s="573">
        <v>120.6</v>
      </c>
      <c r="W1691" s="573">
        <v>15.8</v>
      </c>
      <c r="X1691" s="571">
        <v>5280</v>
      </c>
      <c r="Y1691" s="573">
        <v>22</v>
      </c>
      <c r="Z1691" s="579" t="s">
        <v>178</v>
      </c>
      <c r="AA1691" s="579" t="s">
        <v>178</v>
      </c>
      <c r="AB1691" s="584">
        <v>29600</v>
      </c>
      <c r="AC1691" s="584" t="s">
        <v>164</v>
      </c>
      <c r="AD1691" s="584">
        <v>27284</v>
      </c>
      <c r="AE1691" s="586">
        <v>0.05</v>
      </c>
      <c r="AF1691" s="661" t="str">
        <f t="shared" si="185"/>
        <v>2019-LVN-FRD-TCTW-006-26</v>
      </c>
      <c r="AG1691" s="661" t="str">
        <f>IF(AND($Y1691&gt;=32,(AI1691="I"),(Y1691&lt;&gt;"~"),(COUNTIF($AN$1:$AN1691,$AN1691)=1)),"TRUE","FALSE")</f>
        <v>FALSE</v>
      </c>
      <c r="AH1691" s="661" t="str">
        <f>IF(AND($Y1691&gt;=22, (AI1691&lt;&gt;"I"),(Y1691&lt;&gt;"~"),(COUNTIF($AN$1:$AN1691,$AN1691)=1)),"TRUE","FALSE")</f>
        <v>FALSE</v>
      </c>
      <c r="AI1691" s="661" t="str">
        <f t="shared" si="180"/>
        <v>II</v>
      </c>
      <c r="AJ1691" s="662" t="str">
        <f t="shared" si="181"/>
        <v>TCTW-006</v>
      </c>
      <c r="AK1691" s="662" t="str">
        <f t="shared" si="182"/>
        <v>LVN</v>
      </c>
      <c r="AL1691" s="662" t="str">
        <f t="shared" si="183"/>
        <v>FRD</v>
      </c>
      <c r="AM1691" s="662" t="str">
        <f t="shared" ref="AM1691:AM1754" si="186">CONCATENATE(I1691,"-",J1691,"-",K1691,"-",L1691,"-",P1691,"-",Q1691,"-",R1691,"-",S1691,"-",T1691,"-",U1691,"-",V1691,"-",W1691,"-",Z1691,"-",AA1691)</f>
        <v>Transit Connect Wagon-XLT w/Symmetrical Rear Drs-FWD-7-72-~-2.5L-4-S9F-210A-120.6-15.8-Unleaded-Unleaded</v>
      </c>
      <c r="AN1691" s="662" t="str">
        <f t="shared" si="184"/>
        <v>2019-LVN-FRD-TCTW-006</v>
      </c>
    </row>
    <row r="1692" spans="1:40" s="572" customFormat="1" ht="30">
      <c r="A1692" s="570" t="s">
        <v>3181</v>
      </c>
      <c r="B1692" s="569" t="s">
        <v>3169</v>
      </c>
      <c r="C1692" s="569" t="s">
        <v>280</v>
      </c>
      <c r="D1692" s="580">
        <v>27</v>
      </c>
      <c r="E1692" s="569" t="s">
        <v>1516</v>
      </c>
      <c r="F1692" s="569" t="s">
        <v>3115</v>
      </c>
      <c r="G1692" s="569" t="s">
        <v>271</v>
      </c>
      <c r="H1692" s="569">
        <v>2019</v>
      </c>
      <c r="I1692" s="569" t="s">
        <v>3116</v>
      </c>
      <c r="J1692" s="569" t="s">
        <v>3090</v>
      </c>
      <c r="K1692" s="569" t="s">
        <v>156</v>
      </c>
      <c r="L1692" s="569">
        <v>7</v>
      </c>
      <c r="M1692" s="569">
        <v>0</v>
      </c>
      <c r="N1692" s="569" t="s">
        <v>157</v>
      </c>
      <c r="O1692" s="569">
        <v>3</v>
      </c>
      <c r="P1692" s="569">
        <v>72.599999999999994</v>
      </c>
      <c r="Q1692" s="568" t="s">
        <v>157</v>
      </c>
      <c r="R1692" s="569" t="s">
        <v>3012</v>
      </c>
      <c r="S1692" s="569">
        <v>4</v>
      </c>
      <c r="T1692" s="569" t="s">
        <v>3170</v>
      </c>
      <c r="U1692" s="569" t="s">
        <v>3154</v>
      </c>
      <c r="V1692" s="569">
        <v>104.8</v>
      </c>
      <c r="W1692" s="569">
        <v>15.8</v>
      </c>
      <c r="X1692" s="568">
        <v>4820</v>
      </c>
      <c r="Y1692" s="573">
        <v>22</v>
      </c>
      <c r="Z1692" s="581" t="s">
        <v>728</v>
      </c>
      <c r="AA1692" s="581" t="s">
        <v>728</v>
      </c>
      <c r="AB1692" s="585">
        <v>28295</v>
      </c>
      <c r="AC1692" s="585" t="s">
        <v>164</v>
      </c>
      <c r="AD1692" s="585">
        <v>25061.645833333336</v>
      </c>
      <c r="AE1692" s="587">
        <v>0.03</v>
      </c>
      <c r="AF1692" s="661" t="str">
        <f t="shared" si="185"/>
        <v>2019-LVN-FRD-TCTW-015-27</v>
      </c>
      <c r="AG1692" s="661" t="str">
        <f>IF(AND($Y1692&gt;=32,(AI1692="I"),(Y1692&lt;&gt;"~"),(COUNTIF($AN$1:$AN1692,$AN1692)=1)),"TRUE","FALSE")</f>
        <v>FALSE</v>
      </c>
      <c r="AH1692" s="661" t="str">
        <f>IF(AND($Y1692&gt;=22, (AI1692&lt;&gt;"I"),(Y1692&lt;&gt;"~"),(COUNTIF($AN$1:$AN1692,$AN1692)=1)),"TRUE","FALSE")</f>
        <v>FALSE</v>
      </c>
      <c r="AI1692" s="661" t="str">
        <f t="shared" ref="AI1692:AI1755" si="187">IF(OR((LEFT($E1692,2)="01"),AND(LEFT($E1692,2)="06",ISNUMBER(SEARCH("pas",$F1692))),AND(LEFT($E1692,2)="05",ISNUMBER(SEARCH("pas",$F1692)))),"I",IF(AND((LEFT($E1692,2)&lt;&gt;"01"),$X1692&lt;=10000),"II",IF(AND((LEFT($E1692,2)&lt;&gt;"01"),$X1692&gt;10000),"N/A")))</f>
        <v>II</v>
      </c>
      <c r="AJ1692" s="662" t="str">
        <f t="shared" si="181"/>
        <v>TCTW-015</v>
      </c>
      <c r="AK1692" s="662" t="str">
        <f t="shared" si="182"/>
        <v>LVN</v>
      </c>
      <c r="AL1692" s="662" t="str">
        <f t="shared" si="183"/>
        <v>FRD</v>
      </c>
      <c r="AM1692" s="662" t="str">
        <f t="shared" si="186"/>
        <v>Transit Connect Wagon-XLT w/Symmetrical Rear Drs-FWD-7-72.6-~-1.5L Ecoblue Diesel-4-S8F-210A-104.8-15.8-Diesel-Diesel</v>
      </c>
      <c r="AN1692" s="662" t="str">
        <f t="shared" si="184"/>
        <v>2019-LVN-FRD-TCTW-015</v>
      </c>
    </row>
    <row r="1693" spans="1:40" s="572" customFormat="1" ht="30">
      <c r="A1693" s="570" t="s">
        <v>3182</v>
      </c>
      <c r="B1693" s="573" t="s">
        <v>3172</v>
      </c>
      <c r="C1693" s="573" t="s">
        <v>280</v>
      </c>
      <c r="D1693" s="578">
        <v>27</v>
      </c>
      <c r="E1693" s="573" t="s">
        <v>1516</v>
      </c>
      <c r="F1693" s="573" t="s">
        <v>3115</v>
      </c>
      <c r="G1693" s="573" t="s">
        <v>271</v>
      </c>
      <c r="H1693" s="573">
        <v>2019</v>
      </c>
      <c r="I1693" s="573" t="s">
        <v>3116</v>
      </c>
      <c r="J1693" s="573" t="s">
        <v>3090</v>
      </c>
      <c r="K1693" s="573" t="s">
        <v>156</v>
      </c>
      <c r="L1693" s="573">
        <v>7</v>
      </c>
      <c r="M1693" s="573">
        <v>0</v>
      </c>
      <c r="N1693" s="573" t="s">
        <v>157</v>
      </c>
      <c r="O1693" s="573">
        <v>3</v>
      </c>
      <c r="P1693" s="573">
        <v>72</v>
      </c>
      <c r="Q1693" s="571" t="s">
        <v>157</v>
      </c>
      <c r="R1693" s="573" t="s">
        <v>3012</v>
      </c>
      <c r="S1693" s="573">
        <v>4</v>
      </c>
      <c r="T1693" s="573" t="s">
        <v>3173</v>
      </c>
      <c r="U1693" s="573" t="s">
        <v>3154</v>
      </c>
      <c r="V1693" s="573">
        <v>120.6</v>
      </c>
      <c r="W1693" s="573">
        <v>15.8</v>
      </c>
      <c r="X1693" s="571">
        <v>5450</v>
      </c>
      <c r="Y1693" s="573">
        <v>22</v>
      </c>
      <c r="Z1693" s="579" t="s">
        <v>728</v>
      </c>
      <c r="AA1693" s="579" t="s">
        <v>728</v>
      </c>
      <c r="AB1693" s="584">
        <v>31670</v>
      </c>
      <c r="AC1693" s="584" t="s">
        <v>164</v>
      </c>
      <c r="AD1693" s="584">
        <v>28108.6875</v>
      </c>
      <c r="AE1693" s="586">
        <v>0.03</v>
      </c>
      <c r="AF1693" s="661" t="str">
        <f t="shared" si="185"/>
        <v>2019-LVN-FRD-TCTW-016-27</v>
      </c>
      <c r="AG1693" s="661" t="str">
        <f>IF(AND($Y1693&gt;=32,(AI1693="I"),(Y1693&lt;&gt;"~"),(COUNTIF($AN$1:$AN1693,$AN1693)=1)),"TRUE","FALSE")</f>
        <v>FALSE</v>
      </c>
      <c r="AH1693" s="661" t="str">
        <f>IF(AND($Y1693&gt;=22, (AI1693&lt;&gt;"I"),(Y1693&lt;&gt;"~"),(COUNTIF($AN$1:$AN1693,$AN1693)=1)),"TRUE","FALSE")</f>
        <v>FALSE</v>
      </c>
      <c r="AI1693" s="661" t="str">
        <f t="shared" si="187"/>
        <v>II</v>
      </c>
      <c r="AJ1693" s="662" t="str">
        <f t="shared" si="181"/>
        <v>TCTW-016</v>
      </c>
      <c r="AK1693" s="662" t="str">
        <f t="shared" si="182"/>
        <v>LVN</v>
      </c>
      <c r="AL1693" s="662" t="str">
        <f t="shared" si="183"/>
        <v>FRD</v>
      </c>
      <c r="AM1693" s="662" t="str">
        <f t="shared" si="186"/>
        <v>Transit Connect Wagon-XLT w/Symmetrical Rear Drs-FWD-7-72-~-1.5L Ecoblue Diesel-4-S9F-210A-120.6-15.8-Diesel-Diesel</v>
      </c>
      <c r="AN1693" s="662" t="str">
        <f t="shared" si="184"/>
        <v>2019-LVN-FRD-TCTW-016</v>
      </c>
    </row>
    <row r="1694" spans="1:40" s="572" customFormat="1" ht="30">
      <c r="A1694" s="570" t="s">
        <v>3183</v>
      </c>
      <c r="B1694" s="569" t="s">
        <v>3175</v>
      </c>
      <c r="C1694" s="569" t="s">
        <v>280</v>
      </c>
      <c r="D1694" s="580">
        <v>27</v>
      </c>
      <c r="E1694" s="569" t="s">
        <v>1516</v>
      </c>
      <c r="F1694" s="569" t="s">
        <v>3115</v>
      </c>
      <c r="G1694" s="569" t="s">
        <v>271</v>
      </c>
      <c r="H1694" s="569">
        <v>2019</v>
      </c>
      <c r="I1694" s="569" t="s">
        <v>3116</v>
      </c>
      <c r="J1694" s="569" t="s">
        <v>3090</v>
      </c>
      <c r="K1694" s="569" t="s">
        <v>156</v>
      </c>
      <c r="L1694" s="569">
        <v>7</v>
      </c>
      <c r="M1694" s="569">
        <v>0</v>
      </c>
      <c r="N1694" s="569" t="s">
        <v>157</v>
      </c>
      <c r="O1694" s="569">
        <v>3</v>
      </c>
      <c r="P1694" s="569">
        <v>72</v>
      </c>
      <c r="Q1694" s="568" t="s">
        <v>157</v>
      </c>
      <c r="R1694" s="569" t="s">
        <v>3016</v>
      </c>
      <c r="S1694" s="569">
        <v>4</v>
      </c>
      <c r="T1694" s="569" t="s">
        <v>3173</v>
      </c>
      <c r="U1694" s="569" t="s">
        <v>3154</v>
      </c>
      <c r="V1694" s="569">
        <v>120.6</v>
      </c>
      <c r="W1694" s="569">
        <v>15.8</v>
      </c>
      <c r="X1694" s="568">
        <v>5302</v>
      </c>
      <c r="Y1694" s="569">
        <v>24</v>
      </c>
      <c r="Z1694" s="581" t="s">
        <v>178</v>
      </c>
      <c r="AA1694" s="581" t="s">
        <v>178</v>
      </c>
      <c r="AB1694" s="585">
        <v>29675</v>
      </c>
      <c r="AC1694" s="585" t="s">
        <v>164</v>
      </c>
      <c r="AD1694" s="585">
        <v>26336.645833333336</v>
      </c>
      <c r="AE1694" s="587">
        <v>0.03</v>
      </c>
      <c r="AF1694" s="661" t="str">
        <f t="shared" si="185"/>
        <v>2019-LVN-FRD-TCTW-006-27</v>
      </c>
      <c r="AG1694" s="661" t="str">
        <f>IF(AND($Y1694&gt;=32,(AI1694="I"),(Y1694&lt;&gt;"~"),(COUNTIF($AN$1:$AN1694,$AN1694)=1)),"TRUE","FALSE")</f>
        <v>FALSE</v>
      </c>
      <c r="AH1694" s="661" t="str">
        <f>IF(AND($Y1694&gt;=22, (AI1694&lt;&gt;"I"),(Y1694&lt;&gt;"~"),(COUNTIF($AN$1:$AN1694,$AN1694)=1)),"TRUE","FALSE")</f>
        <v>FALSE</v>
      </c>
      <c r="AI1694" s="661" t="str">
        <f t="shared" si="187"/>
        <v>II</v>
      </c>
      <c r="AJ1694" s="662" t="str">
        <f t="shared" si="181"/>
        <v>TCTW-006</v>
      </c>
      <c r="AK1694" s="662" t="str">
        <f t="shared" si="182"/>
        <v>LVN</v>
      </c>
      <c r="AL1694" s="662" t="str">
        <f t="shared" si="183"/>
        <v>FRD</v>
      </c>
      <c r="AM1694" s="662" t="str">
        <f t="shared" si="186"/>
        <v>Transit Connect Wagon-XLT w/Symmetrical Rear Drs-FWD-7-72-~-2.0L -4-S9F-210A-120.6-15.8-Unleaded-Unleaded</v>
      </c>
      <c r="AN1694" s="662" t="str">
        <f t="shared" si="184"/>
        <v>2019-LVN-FRD-TCTW-006</v>
      </c>
    </row>
    <row r="1695" spans="1:40" s="572" customFormat="1" ht="15">
      <c r="A1695" s="570" t="s">
        <v>3184</v>
      </c>
      <c r="B1695" s="573" t="s">
        <v>3185</v>
      </c>
      <c r="C1695" s="573" t="s">
        <v>467</v>
      </c>
      <c r="D1695" s="578" t="s">
        <v>468</v>
      </c>
      <c r="E1695" s="573" t="s">
        <v>1516</v>
      </c>
      <c r="F1695" s="573" t="s">
        <v>1646</v>
      </c>
      <c r="G1695" s="573" t="s">
        <v>469</v>
      </c>
      <c r="H1695" s="573">
        <v>2019</v>
      </c>
      <c r="I1695" s="573" t="s">
        <v>3186</v>
      </c>
      <c r="J1695" s="573" t="s">
        <v>3187</v>
      </c>
      <c r="K1695" s="573" t="s">
        <v>156</v>
      </c>
      <c r="L1695" s="573">
        <v>7</v>
      </c>
      <c r="M1695" s="573">
        <v>0</v>
      </c>
      <c r="N1695" s="573" t="s">
        <v>157</v>
      </c>
      <c r="O1695" s="573">
        <v>3</v>
      </c>
      <c r="P1695" s="573">
        <v>68.3</v>
      </c>
      <c r="Q1695" s="571">
        <v>3000</v>
      </c>
      <c r="R1695" s="573" t="s">
        <v>316</v>
      </c>
      <c r="S1695" s="573">
        <v>6</v>
      </c>
      <c r="T1695" s="573" t="s">
        <v>3188</v>
      </c>
      <c r="U1695" s="573" t="s">
        <v>157</v>
      </c>
      <c r="V1695" s="573">
        <v>118.1</v>
      </c>
      <c r="W1695" s="573">
        <v>19.5</v>
      </c>
      <c r="X1695" s="571">
        <v>4354</v>
      </c>
      <c r="Y1695" s="573">
        <v>22</v>
      </c>
      <c r="Z1695" s="579" t="s">
        <v>178</v>
      </c>
      <c r="AA1695" s="579" t="s">
        <v>178</v>
      </c>
      <c r="AB1695" s="584">
        <v>31085</v>
      </c>
      <c r="AC1695" s="584" t="s">
        <v>164</v>
      </c>
      <c r="AD1695" s="584">
        <v>30199</v>
      </c>
      <c r="AE1695" s="586">
        <v>0.03</v>
      </c>
      <c r="AF1695" s="661" t="str">
        <f t="shared" si="185"/>
        <v>2019-LVN-HND-ODSY-001-06</v>
      </c>
      <c r="AG1695" s="661" t="str">
        <f>IF(AND($Y1695&gt;=32,(AI1695="I"),(Y1695&lt;&gt;"~"),(COUNTIF($AN$1:$AN1695,$AN1695)=1)),"TRUE","FALSE")</f>
        <v>FALSE</v>
      </c>
      <c r="AH1695" s="661" t="str">
        <f>IF(AND($Y1695&gt;=22, (AI1695&lt;&gt;"I"),(Y1695&lt;&gt;"~"),(COUNTIF($AN$1:$AN1695,$AN1695)=1)),"TRUE","FALSE")</f>
        <v>TRUE</v>
      </c>
      <c r="AI1695" s="661" t="str">
        <f t="shared" si="187"/>
        <v>II</v>
      </c>
      <c r="AJ1695" s="662" t="str">
        <f t="shared" si="181"/>
        <v>ODSY-001</v>
      </c>
      <c r="AK1695" s="662" t="str">
        <f t="shared" si="182"/>
        <v>LVN</v>
      </c>
      <c r="AL1695" s="662" t="str">
        <f t="shared" si="183"/>
        <v>HND</v>
      </c>
      <c r="AM1695" s="662" t="str">
        <f t="shared" si="186"/>
        <v>Odyssey-LX Auto-FWD-7-68.3-3000-3.5L-6-RL6H2KEW-~-118.1-19.5-Unleaded-Unleaded</v>
      </c>
      <c r="AN1695" s="662" t="str">
        <f t="shared" si="184"/>
        <v>2019-LVN-HND-ODSY-001</v>
      </c>
    </row>
    <row r="1696" spans="1:40" s="572" customFormat="1" ht="15">
      <c r="A1696" s="570" t="s">
        <v>3189</v>
      </c>
      <c r="B1696" s="569" t="s">
        <v>3185</v>
      </c>
      <c r="C1696" s="569" t="s">
        <v>473</v>
      </c>
      <c r="D1696" s="580">
        <v>14</v>
      </c>
      <c r="E1696" s="569" t="s">
        <v>1516</v>
      </c>
      <c r="F1696" s="569" t="s">
        <v>1646</v>
      </c>
      <c r="G1696" s="569" t="s">
        <v>469</v>
      </c>
      <c r="H1696" s="569">
        <v>2019</v>
      </c>
      <c r="I1696" s="569" t="s">
        <v>3186</v>
      </c>
      <c r="J1696" s="569" t="s">
        <v>3187</v>
      </c>
      <c r="K1696" s="569" t="s">
        <v>156</v>
      </c>
      <c r="L1696" s="569">
        <v>7</v>
      </c>
      <c r="M1696" s="569">
        <v>0</v>
      </c>
      <c r="N1696" s="569" t="s">
        <v>157</v>
      </c>
      <c r="O1696" s="569">
        <v>3</v>
      </c>
      <c r="P1696" s="569">
        <v>68.3</v>
      </c>
      <c r="Q1696" s="568">
        <v>3000</v>
      </c>
      <c r="R1696" s="569" t="s">
        <v>316</v>
      </c>
      <c r="S1696" s="569">
        <v>6</v>
      </c>
      <c r="T1696" s="569" t="s">
        <v>3188</v>
      </c>
      <c r="U1696" s="569" t="s">
        <v>157</v>
      </c>
      <c r="V1696" s="569">
        <v>118.1</v>
      </c>
      <c r="W1696" s="569">
        <v>19.5</v>
      </c>
      <c r="X1696" s="568">
        <v>4354</v>
      </c>
      <c r="Y1696" s="569">
        <v>22</v>
      </c>
      <c r="Z1696" s="581" t="s">
        <v>178</v>
      </c>
      <c r="AA1696" s="581" t="s">
        <v>178</v>
      </c>
      <c r="AB1696" s="585">
        <v>31085</v>
      </c>
      <c r="AC1696" s="585" t="s">
        <v>164</v>
      </c>
      <c r="AD1696" s="585">
        <v>28995</v>
      </c>
      <c r="AE1696" s="587">
        <v>0.1</v>
      </c>
      <c r="AF1696" s="661" t="str">
        <f t="shared" si="185"/>
        <v>2019-LVN-HND-ODSY-001-14</v>
      </c>
      <c r="AG1696" s="661" t="str">
        <f>IF(AND($Y1696&gt;=32,(AI1696="I"),(Y1696&lt;&gt;"~"),(COUNTIF($AN$1:$AN1696,$AN1696)=1)),"TRUE","FALSE")</f>
        <v>FALSE</v>
      </c>
      <c r="AH1696" s="661" t="str">
        <f>IF(AND($Y1696&gt;=22, (AI1696&lt;&gt;"I"),(Y1696&lt;&gt;"~"),(COUNTIF($AN$1:$AN1696,$AN1696)=1)),"TRUE","FALSE")</f>
        <v>FALSE</v>
      </c>
      <c r="AI1696" s="661" t="str">
        <f t="shared" si="187"/>
        <v>II</v>
      </c>
      <c r="AJ1696" s="662" t="str">
        <f t="shared" si="181"/>
        <v>ODSY-001</v>
      </c>
      <c r="AK1696" s="662" t="str">
        <f t="shared" si="182"/>
        <v>LVN</v>
      </c>
      <c r="AL1696" s="662" t="str">
        <f t="shared" si="183"/>
        <v>HND</v>
      </c>
      <c r="AM1696" s="662" t="str">
        <f t="shared" si="186"/>
        <v>Odyssey-LX Auto-FWD-7-68.3-3000-3.5L-6-RL6H2KEW-~-118.1-19.5-Unleaded-Unleaded</v>
      </c>
      <c r="AN1696" s="662" t="str">
        <f t="shared" si="184"/>
        <v>2019-LVN-HND-ODSY-001</v>
      </c>
    </row>
    <row r="1697" spans="1:40" s="572" customFormat="1" ht="15">
      <c r="A1697" s="570" t="s">
        <v>3190</v>
      </c>
      <c r="B1697" s="573" t="s">
        <v>3191</v>
      </c>
      <c r="C1697" s="573" t="s">
        <v>543</v>
      </c>
      <c r="D1697" s="578" t="s">
        <v>544</v>
      </c>
      <c r="E1697" s="573" t="s">
        <v>1516</v>
      </c>
      <c r="F1697" s="573" t="s">
        <v>1914</v>
      </c>
      <c r="G1697" s="573" t="s">
        <v>545</v>
      </c>
      <c r="H1697" s="573">
        <v>2019</v>
      </c>
      <c r="I1697" s="573" t="s">
        <v>3192</v>
      </c>
      <c r="J1697" s="573" t="s">
        <v>273</v>
      </c>
      <c r="K1697" s="573" t="s">
        <v>236</v>
      </c>
      <c r="L1697" s="573">
        <v>2</v>
      </c>
      <c r="M1697" s="573">
        <v>0</v>
      </c>
      <c r="N1697" s="573" t="s">
        <v>157</v>
      </c>
      <c r="O1697" s="573">
        <v>1</v>
      </c>
      <c r="P1697" s="573">
        <v>83.9</v>
      </c>
      <c r="Q1697" s="571" t="s">
        <v>157</v>
      </c>
      <c r="R1697" s="573" t="s">
        <v>3193</v>
      </c>
      <c r="S1697" s="573">
        <v>6</v>
      </c>
      <c r="T1697" s="573">
        <v>61019</v>
      </c>
      <c r="U1697" s="573" t="s">
        <v>157</v>
      </c>
      <c r="V1697" s="573">
        <v>146.1</v>
      </c>
      <c r="W1697" s="573">
        <v>28</v>
      </c>
      <c r="X1697" s="571">
        <v>8550</v>
      </c>
      <c r="Y1697" s="573">
        <v>16</v>
      </c>
      <c r="Z1697" s="579" t="s">
        <v>178</v>
      </c>
      <c r="AA1697" s="579" t="s">
        <v>178</v>
      </c>
      <c r="AB1697" s="584">
        <v>30735</v>
      </c>
      <c r="AC1697" s="584" t="s">
        <v>164</v>
      </c>
      <c r="AD1697" s="584">
        <v>26341.599999999999</v>
      </c>
      <c r="AE1697" s="586">
        <v>0.03</v>
      </c>
      <c r="AF1697" s="661" t="str">
        <f t="shared" si="185"/>
        <v>2019-LVN-NIS-NV15-001-07</v>
      </c>
      <c r="AG1697" s="661" t="str">
        <f>IF(AND($Y1697&gt;=32,(AI1697="I"),(Y1697&lt;&gt;"~"),(COUNTIF($AN$1:$AN1697,$AN1697)=1)),"TRUE","FALSE")</f>
        <v>FALSE</v>
      </c>
      <c r="AH1697" s="661" t="str">
        <f>IF(AND($Y1697&gt;=22, (AI1697&lt;&gt;"I"),(Y1697&lt;&gt;"~"),(COUNTIF($AN$1:$AN1697,$AN1697)=1)),"TRUE","FALSE")</f>
        <v>FALSE</v>
      </c>
      <c r="AI1697" s="661" t="str">
        <f t="shared" si="187"/>
        <v>II</v>
      </c>
      <c r="AJ1697" s="662" t="str">
        <f t="shared" si="181"/>
        <v>NV15-001</v>
      </c>
      <c r="AK1697" s="662" t="str">
        <f t="shared" si="182"/>
        <v>LVN</v>
      </c>
      <c r="AL1697" s="662" t="str">
        <f t="shared" si="183"/>
        <v>NIS</v>
      </c>
      <c r="AM1697" s="662" t="str">
        <f t="shared" si="186"/>
        <v>NV 1500-S-RWD-2-83.9-~-4.0L-6-61019-~-146.1-28-Unleaded-Unleaded</v>
      </c>
      <c r="AN1697" s="662" t="str">
        <f t="shared" si="184"/>
        <v>2019-LVN-NIS-NV15-001</v>
      </c>
    </row>
    <row r="1698" spans="1:40" s="572" customFormat="1" ht="15">
      <c r="A1698" s="570" t="s">
        <v>3194</v>
      </c>
      <c r="B1698" s="569" t="s">
        <v>3191</v>
      </c>
      <c r="C1698" s="569" t="s">
        <v>549</v>
      </c>
      <c r="D1698" s="580">
        <v>16</v>
      </c>
      <c r="E1698" s="569" t="s">
        <v>1516</v>
      </c>
      <c r="F1698" s="569" t="s">
        <v>1914</v>
      </c>
      <c r="G1698" s="569" t="s">
        <v>545</v>
      </c>
      <c r="H1698" s="569">
        <v>2019</v>
      </c>
      <c r="I1698" s="569" t="s">
        <v>3192</v>
      </c>
      <c r="J1698" s="569" t="s">
        <v>273</v>
      </c>
      <c r="K1698" s="569" t="s">
        <v>236</v>
      </c>
      <c r="L1698" s="569">
        <v>2</v>
      </c>
      <c r="M1698" s="569">
        <v>0</v>
      </c>
      <c r="N1698" s="569" t="s">
        <v>157</v>
      </c>
      <c r="O1698" s="569">
        <v>1</v>
      </c>
      <c r="P1698" s="569">
        <v>83.9</v>
      </c>
      <c r="Q1698" s="568" t="s">
        <v>157</v>
      </c>
      <c r="R1698" s="569" t="s">
        <v>3193</v>
      </c>
      <c r="S1698" s="569">
        <v>6</v>
      </c>
      <c r="T1698" s="569">
        <v>61019</v>
      </c>
      <c r="U1698" s="569" t="s">
        <v>157</v>
      </c>
      <c r="V1698" s="569">
        <v>146.1</v>
      </c>
      <c r="W1698" s="569">
        <v>28</v>
      </c>
      <c r="X1698" s="568">
        <v>8550</v>
      </c>
      <c r="Y1698" s="569">
        <v>16</v>
      </c>
      <c r="Z1698" s="581" t="s">
        <v>178</v>
      </c>
      <c r="AA1698" s="581" t="s">
        <v>178</v>
      </c>
      <c r="AB1698" s="585">
        <v>30735</v>
      </c>
      <c r="AC1698" s="585" t="s">
        <v>164</v>
      </c>
      <c r="AD1698" s="585">
        <v>25990</v>
      </c>
      <c r="AE1698" s="587">
        <v>0.05</v>
      </c>
      <c r="AF1698" s="661" t="str">
        <f t="shared" si="185"/>
        <v>2019-LVN-NIS-NV15-001-16</v>
      </c>
      <c r="AG1698" s="661" t="str">
        <f>IF(AND($Y1698&gt;=32,(AI1698="I"),(Y1698&lt;&gt;"~"),(COUNTIF($AN$1:$AN1698,$AN1698)=1)),"TRUE","FALSE")</f>
        <v>FALSE</v>
      </c>
      <c r="AH1698" s="661" t="str">
        <f>IF(AND($Y1698&gt;=22, (AI1698&lt;&gt;"I"),(Y1698&lt;&gt;"~"),(COUNTIF($AN$1:$AN1698,$AN1698)=1)),"TRUE","FALSE")</f>
        <v>FALSE</v>
      </c>
      <c r="AI1698" s="661" t="str">
        <f t="shared" si="187"/>
        <v>II</v>
      </c>
      <c r="AJ1698" s="662" t="str">
        <f t="shared" si="181"/>
        <v>NV15-001</v>
      </c>
      <c r="AK1698" s="662" t="str">
        <f t="shared" si="182"/>
        <v>LVN</v>
      </c>
      <c r="AL1698" s="662" t="str">
        <f t="shared" si="183"/>
        <v>NIS</v>
      </c>
      <c r="AM1698" s="662" t="str">
        <f t="shared" si="186"/>
        <v>NV 1500-S-RWD-2-83.9-~-4.0L-6-61019-~-146.1-28-Unleaded-Unleaded</v>
      </c>
      <c r="AN1698" s="662" t="str">
        <f t="shared" si="184"/>
        <v>2019-LVN-NIS-NV15-001</v>
      </c>
    </row>
    <row r="1699" spans="1:40" s="572" customFormat="1" ht="15">
      <c r="A1699" s="570" t="s">
        <v>3195</v>
      </c>
      <c r="B1699" s="573" t="s">
        <v>3196</v>
      </c>
      <c r="C1699" s="573" t="s">
        <v>543</v>
      </c>
      <c r="D1699" s="578" t="s">
        <v>544</v>
      </c>
      <c r="E1699" s="573" t="s">
        <v>1516</v>
      </c>
      <c r="F1699" s="573" t="s">
        <v>1914</v>
      </c>
      <c r="G1699" s="573" t="s">
        <v>545</v>
      </c>
      <c r="H1699" s="573">
        <v>2019</v>
      </c>
      <c r="I1699" s="573" t="s">
        <v>3192</v>
      </c>
      <c r="J1699" s="573" t="s">
        <v>575</v>
      </c>
      <c r="K1699" s="573" t="s">
        <v>236</v>
      </c>
      <c r="L1699" s="573">
        <v>2</v>
      </c>
      <c r="M1699" s="573">
        <v>0</v>
      </c>
      <c r="N1699" s="573" t="s">
        <v>157</v>
      </c>
      <c r="O1699" s="573">
        <v>1</v>
      </c>
      <c r="P1699" s="573">
        <v>83.9</v>
      </c>
      <c r="Q1699" s="571" t="s">
        <v>157</v>
      </c>
      <c r="R1699" s="573" t="s">
        <v>3193</v>
      </c>
      <c r="S1699" s="573">
        <v>6</v>
      </c>
      <c r="T1699" s="573">
        <v>61119</v>
      </c>
      <c r="U1699" s="573" t="s">
        <v>157</v>
      </c>
      <c r="V1699" s="573">
        <v>146.1</v>
      </c>
      <c r="W1699" s="573">
        <v>28</v>
      </c>
      <c r="X1699" s="571">
        <v>8550</v>
      </c>
      <c r="Y1699" s="573">
        <v>16</v>
      </c>
      <c r="Z1699" s="579" t="s">
        <v>178</v>
      </c>
      <c r="AA1699" s="579" t="s">
        <v>178</v>
      </c>
      <c r="AB1699" s="584">
        <v>31725</v>
      </c>
      <c r="AC1699" s="584" t="s">
        <v>164</v>
      </c>
      <c r="AD1699" s="584">
        <v>27321.7</v>
      </c>
      <c r="AE1699" s="586">
        <v>0.03</v>
      </c>
      <c r="AF1699" s="661" t="str">
        <f t="shared" si="185"/>
        <v>2019-LVN-NIS-NV15-002-07</v>
      </c>
      <c r="AG1699" s="661" t="str">
        <f>IF(AND($Y1699&gt;=32,(AI1699="I"),(Y1699&lt;&gt;"~"),(COUNTIF($AN$1:$AN1699,$AN1699)=1)),"TRUE","FALSE")</f>
        <v>FALSE</v>
      </c>
      <c r="AH1699" s="661" t="str">
        <f>IF(AND($Y1699&gt;=22, (AI1699&lt;&gt;"I"),(Y1699&lt;&gt;"~"),(COUNTIF($AN$1:$AN1699,$AN1699)=1)),"TRUE","FALSE")</f>
        <v>FALSE</v>
      </c>
      <c r="AI1699" s="661" t="str">
        <f t="shared" si="187"/>
        <v>II</v>
      </c>
      <c r="AJ1699" s="662" t="str">
        <f t="shared" si="181"/>
        <v>NV15-002</v>
      </c>
      <c r="AK1699" s="662" t="str">
        <f t="shared" si="182"/>
        <v>LVN</v>
      </c>
      <c r="AL1699" s="662" t="str">
        <f t="shared" si="183"/>
        <v>NIS</v>
      </c>
      <c r="AM1699" s="662" t="str">
        <f t="shared" si="186"/>
        <v>NV 1500-SV-RWD-2-83.9-~-4.0L-6-61119-~-146.1-28-Unleaded-Unleaded</v>
      </c>
      <c r="AN1699" s="662" t="str">
        <f t="shared" si="184"/>
        <v>2019-LVN-NIS-NV15-002</v>
      </c>
    </row>
    <row r="1700" spans="1:40" s="572" customFormat="1" ht="15">
      <c r="A1700" s="570" t="s">
        <v>3197</v>
      </c>
      <c r="B1700" s="569" t="s">
        <v>3196</v>
      </c>
      <c r="C1700" s="569" t="s">
        <v>549</v>
      </c>
      <c r="D1700" s="580">
        <v>16</v>
      </c>
      <c r="E1700" s="569" t="s">
        <v>1516</v>
      </c>
      <c r="F1700" s="569" t="s">
        <v>1914</v>
      </c>
      <c r="G1700" s="569" t="s">
        <v>545</v>
      </c>
      <c r="H1700" s="569">
        <v>2019</v>
      </c>
      <c r="I1700" s="569" t="s">
        <v>3192</v>
      </c>
      <c r="J1700" s="569" t="s">
        <v>575</v>
      </c>
      <c r="K1700" s="569" t="s">
        <v>236</v>
      </c>
      <c r="L1700" s="569">
        <v>2</v>
      </c>
      <c r="M1700" s="569">
        <v>0</v>
      </c>
      <c r="N1700" s="569" t="s">
        <v>157</v>
      </c>
      <c r="O1700" s="569">
        <v>1</v>
      </c>
      <c r="P1700" s="569">
        <v>83.9</v>
      </c>
      <c r="Q1700" s="568" t="s">
        <v>157</v>
      </c>
      <c r="R1700" s="569" t="s">
        <v>3193</v>
      </c>
      <c r="S1700" s="569">
        <v>6</v>
      </c>
      <c r="T1700" s="569">
        <v>61119</v>
      </c>
      <c r="U1700" s="569" t="s">
        <v>157</v>
      </c>
      <c r="V1700" s="569">
        <v>146.1</v>
      </c>
      <c r="W1700" s="569">
        <v>28</v>
      </c>
      <c r="X1700" s="568">
        <v>8550</v>
      </c>
      <c r="Y1700" s="569">
        <v>16</v>
      </c>
      <c r="Z1700" s="581" t="s">
        <v>178</v>
      </c>
      <c r="AA1700" s="581" t="s">
        <v>178</v>
      </c>
      <c r="AB1700" s="585">
        <v>31725</v>
      </c>
      <c r="AC1700" s="585" t="s">
        <v>164</v>
      </c>
      <c r="AD1700" s="585">
        <v>26990</v>
      </c>
      <c r="AE1700" s="587">
        <v>0.05</v>
      </c>
      <c r="AF1700" s="661" t="str">
        <f t="shared" si="185"/>
        <v>2019-LVN-NIS-NV15-002-16</v>
      </c>
      <c r="AG1700" s="661" t="str">
        <f>IF(AND($Y1700&gt;=32,(AI1700="I"),(Y1700&lt;&gt;"~"),(COUNTIF($AN$1:$AN1700,$AN1700)=1)),"TRUE","FALSE")</f>
        <v>FALSE</v>
      </c>
      <c r="AH1700" s="661" t="str">
        <f>IF(AND($Y1700&gt;=22, (AI1700&lt;&gt;"I"),(Y1700&lt;&gt;"~"),(COUNTIF($AN$1:$AN1700,$AN1700)=1)),"TRUE","FALSE")</f>
        <v>FALSE</v>
      </c>
      <c r="AI1700" s="661" t="str">
        <f t="shared" si="187"/>
        <v>II</v>
      </c>
      <c r="AJ1700" s="662" t="str">
        <f t="shared" si="181"/>
        <v>NV15-002</v>
      </c>
      <c r="AK1700" s="662" t="str">
        <f t="shared" si="182"/>
        <v>LVN</v>
      </c>
      <c r="AL1700" s="662" t="str">
        <f t="shared" si="183"/>
        <v>NIS</v>
      </c>
      <c r="AM1700" s="662" t="str">
        <f t="shared" si="186"/>
        <v>NV 1500-SV-RWD-2-83.9-~-4.0L-6-61119-~-146.1-28-Unleaded-Unleaded</v>
      </c>
      <c r="AN1700" s="662" t="str">
        <f t="shared" si="184"/>
        <v>2019-LVN-NIS-NV15-002</v>
      </c>
    </row>
    <row r="1701" spans="1:40" s="572" customFormat="1" ht="15">
      <c r="A1701" s="570" t="s">
        <v>3198</v>
      </c>
      <c r="B1701" s="573" t="s">
        <v>3199</v>
      </c>
      <c r="C1701" s="573" t="s">
        <v>543</v>
      </c>
      <c r="D1701" s="578" t="s">
        <v>544</v>
      </c>
      <c r="E1701" s="573" t="s">
        <v>1516</v>
      </c>
      <c r="F1701" s="573" t="s">
        <v>1517</v>
      </c>
      <c r="G1701" s="573" t="s">
        <v>545</v>
      </c>
      <c r="H1701" s="573">
        <v>2019</v>
      </c>
      <c r="I1701" s="573" t="s">
        <v>3200</v>
      </c>
      <c r="J1701" s="573" t="s">
        <v>273</v>
      </c>
      <c r="K1701" s="573" t="s">
        <v>236</v>
      </c>
      <c r="L1701" s="573">
        <v>2</v>
      </c>
      <c r="M1701" s="573">
        <v>0</v>
      </c>
      <c r="N1701" s="573" t="s">
        <v>157</v>
      </c>
      <c r="O1701" s="573">
        <v>1</v>
      </c>
      <c r="P1701" s="573">
        <v>105</v>
      </c>
      <c r="Q1701" s="571" t="s">
        <v>157</v>
      </c>
      <c r="R1701" s="573" t="s">
        <v>3193</v>
      </c>
      <c r="S1701" s="573">
        <v>6</v>
      </c>
      <c r="T1701" s="573">
        <v>62019</v>
      </c>
      <c r="U1701" s="573" t="s">
        <v>157</v>
      </c>
      <c r="V1701" s="573">
        <v>146.1</v>
      </c>
      <c r="W1701" s="573">
        <v>28</v>
      </c>
      <c r="X1701" s="571">
        <v>9100</v>
      </c>
      <c r="Y1701" s="573">
        <v>14</v>
      </c>
      <c r="Z1701" s="579" t="s">
        <v>178</v>
      </c>
      <c r="AA1701" s="579" t="s">
        <v>178</v>
      </c>
      <c r="AB1701" s="584">
        <v>33885</v>
      </c>
      <c r="AC1701" s="584" t="s">
        <v>164</v>
      </c>
      <c r="AD1701" s="584">
        <v>29460.1</v>
      </c>
      <c r="AE1701" s="586">
        <v>0.03</v>
      </c>
      <c r="AF1701" s="661" t="str">
        <f t="shared" si="185"/>
        <v>2019-LVN-NIS-NV25-005-07</v>
      </c>
      <c r="AG1701" s="661" t="str">
        <f>IF(AND($Y1701&gt;=32,(AI1701="I"),(Y1701&lt;&gt;"~"),(COUNTIF($AN$1:$AN1701,$AN1701)=1)),"TRUE","FALSE")</f>
        <v>FALSE</v>
      </c>
      <c r="AH1701" s="661" t="str">
        <f>IF(AND($Y1701&gt;=22, (AI1701&lt;&gt;"I"),(Y1701&lt;&gt;"~"),(COUNTIF($AN$1:$AN1701,$AN1701)=1)),"TRUE","FALSE")</f>
        <v>FALSE</v>
      </c>
      <c r="AI1701" s="661" t="str">
        <f t="shared" si="187"/>
        <v>II</v>
      </c>
      <c r="AJ1701" s="662" t="str">
        <f t="shared" si="181"/>
        <v>NV25-005</v>
      </c>
      <c r="AK1701" s="662" t="str">
        <f t="shared" si="182"/>
        <v>LVN</v>
      </c>
      <c r="AL1701" s="662" t="str">
        <f t="shared" si="183"/>
        <v>NIS</v>
      </c>
      <c r="AM1701" s="662" t="str">
        <f t="shared" si="186"/>
        <v>NV 2500-S-RWD-2-105-~-4.0L-6-62019-~-146.1-28-Unleaded-Unleaded</v>
      </c>
      <c r="AN1701" s="662" t="str">
        <f t="shared" si="184"/>
        <v>2019-LVN-NIS-NV25-005</v>
      </c>
    </row>
    <row r="1702" spans="1:40" s="572" customFormat="1" ht="15">
      <c r="A1702" s="570" t="s">
        <v>3201</v>
      </c>
      <c r="B1702" s="569" t="s">
        <v>3202</v>
      </c>
      <c r="C1702" s="569" t="s">
        <v>543</v>
      </c>
      <c r="D1702" s="580" t="s">
        <v>544</v>
      </c>
      <c r="E1702" s="569" t="s">
        <v>1516</v>
      </c>
      <c r="F1702" s="569" t="s">
        <v>1517</v>
      </c>
      <c r="G1702" s="569" t="s">
        <v>545</v>
      </c>
      <c r="H1702" s="569">
        <v>2019</v>
      </c>
      <c r="I1702" s="569" t="s">
        <v>3200</v>
      </c>
      <c r="J1702" s="569" t="s">
        <v>273</v>
      </c>
      <c r="K1702" s="569" t="s">
        <v>236</v>
      </c>
      <c r="L1702" s="569">
        <v>2</v>
      </c>
      <c r="M1702" s="569">
        <v>0</v>
      </c>
      <c r="N1702" s="569" t="s">
        <v>157</v>
      </c>
      <c r="O1702" s="569">
        <v>1</v>
      </c>
      <c r="P1702" s="569">
        <v>105</v>
      </c>
      <c r="Q1702" s="568" t="s">
        <v>157</v>
      </c>
      <c r="R1702" s="569" t="s">
        <v>3203</v>
      </c>
      <c r="S1702" s="569">
        <v>8</v>
      </c>
      <c r="T1702" s="569">
        <v>62319</v>
      </c>
      <c r="U1702" s="569" t="s">
        <v>157</v>
      </c>
      <c r="V1702" s="569">
        <v>146.1</v>
      </c>
      <c r="W1702" s="569">
        <v>28</v>
      </c>
      <c r="X1702" s="568">
        <v>9100</v>
      </c>
      <c r="Y1702" s="569">
        <v>13</v>
      </c>
      <c r="Z1702" s="581" t="s">
        <v>178</v>
      </c>
      <c r="AA1702" s="581" t="s">
        <v>178</v>
      </c>
      <c r="AB1702" s="585">
        <v>35485</v>
      </c>
      <c r="AC1702" s="585" t="s">
        <v>164</v>
      </c>
      <c r="AD1702" s="585">
        <v>31044.1</v>
      </c>
      <c r="AE1702" s="587">
        <v>0.03</v>
      </c>
      <c r="AF1702" s="661" t="str">
        <f t="shared" si="185"/>
        <v>2019-LVN-NIS-NV25-006-07</v>
      </c>
      <c r="AG1702" s="661" t="str">
        <f>IF(AND($Y1702&gt;=32,(AI1702="I"),(Y1702&lt;&gt;"~"),(COUNTIF($AN$1:$AN1702,$AN1702)=1)),"TRUE","FALSE")</f>
        <v>FALSE</v>
      </c>
      <c r="AH1702" s="661" t="str">
        <f>IF(AND($Y1702&gt;=22, (AI1702&lt;&gt;"I"),(Y1702&lt;&gt;"~"),(COUNTIF($AN$1:$AN1702,$AN1702)=1)),"TRUE","FALSE")</f>
        <v>FALSE</v>
      </c>
      <c r="AI1702" s="661" t="str">
        <f t="shared" si="187"/>
        <v>II</v>
      </c>
      <c r="AJ1702" s="662" t="str">
        <f t="shared" si="181"/>
        <v>NV25-006</v>
      </c>
      <c r="AK1702" s="662" t="str">
        <f t="shared" si="182"/>
        <v>LVN</v>
      </c>
      <c r="AL1702" s="662" t="str">
        <f t="shared" si="183"/>
        <v>NIS</v>
      </c>
      <c r="AM1702" s="662" t="str">
        <f t="shared" si="186"/>
        <v>NV 2500-S-RWD-2-105-~-5.6L-8-62319-~-146.1-28-Unleaded-Unleaded</v>
      </c>
      <c r="AN1702" s="662" t="str">
        <f t="shared" si="184"/>
        <v>2019-LVN-NIS-NV25-006</v>
      </c>
    </row>
    <row r="1703" spans="1:40" s="572" customFormat="1" ht="15">
      <c r="A1703" s="570" t="s">
        <v>3204</v>
      </c>
      <c r="B1703" s="573" t="s">
        <v>3205</v>
      </c>
      <c r="C1703" s="573" t="s">
        <v>543</v>
      </c>
      <c r="D1703" s="578" t="s">
        <v>544</v>
      </c>
      <c r="E1703" s="573" t="s">
        <v>1516</v>
      </c>
      <c r="F1703" s="573" t="s">
        <v>1517</v>
      </c>
      <c r="G1703" s="573" t="s">
        <v>545</v>
      </c>
      <c r="H1703" s="573">
        <v>2019</v>
      </c>
      <c r="I1703" s="573" t="s">
        <v>3200</v>
      </c>
      <c r="J1703" s="573" t="s">
        <v>273</v>
      </c>
      <c r="K1703" s="573" t="s">
        <v>236</v>
      </c>
      <c r="L1703" s="573">
        <v>2</v>
      </c>
      <c r="M1703" s="573">
        <v>0</v>
      </c>
      <c r="N1703" s="573" t="s">
        <v>157</v>
      </c>
      <c r="O1703" s="573">
        <v>1</v>
      </c>
      <c r="P1703" s="573">
        <v>83.9</v>
      </c>
      <c r="Q1703" s="571" t="s">
        <v>157</v>
      </c>
      <c r="R1703" s="573" t="s">
        <v>3193</v>
      </c>
      <c r="S1703" s="573">
        <v>6</v>
      </c>
      <c r="T1703" s="573">
        <v>61219</v>
      </c>
      <c r="U1703" s="573" t="s">
        <v>157</v>
      </c>
      <c r="V1703" s="573">
        <v>146.1</v>
      </c>
      <c r="W1703" s="573">
        <v>28</v>
      </c>
      <c r="X1703" s="571">
        <v>9100</v>
      </c>
      <c r="Y1703" s="573">
        <v>14</v>
      </c>
      <c r="Z1703" s="579" t="s">
        <v>178</v>
      </c>
      <c r="AA1703" s="579" t="s">
        <v>178</v>
      </c>
      <c r="AB1703" s="584">
        <v>31735</v>
      </c>
      <c r="AC1703" s="584" t="s">
        <v>164</v>
      </c>
      <c r="AD1703" s="584">
        <v>27331.599999999999</v>
      </c>
      <c r="AE1703" s="586">
        <v>0.03</v>
      </c>
      <c r="AF1703" s="661" t="str">
        <f t="shared" si="185"/>
        <v>2019-LVN-NIS-NV25-007-07</v>
      </c>
      <c r="AG1703" s="661" t="str">
        <f>IF(AND($Y1703&gt;=32,(AI1703="I"),(Y1703&lt;&gt;"~"),(COUNTIF($AN$1:$AN1703,$AN1703)=1)),"TRUE","FALSE")</f>
        <v>FALSE</v>
      </c>
      <c r="AH1703" s="661" t="str">
        <f>IF(AND($Y1703&gt;=22, (AI1703&lt;&gt;"I"),(Y1703&lt;&gt;"~"),(COUNTIF($AN$1:$AN1703,$AN1703)=1)),"TRUE","FALSE")</f>
        <v>FALSE</v>
      </c>
      <c r="AI1703" s="661" t="str">
        <f t="shared" si="187"/>
        <v>II</v>
      </c>
      <c r="AJ1703" s="662" t="str">
        <f t="shared" si="181"/>
        <v>NV25-007</v>
      </c>
      <c r="AK1703" s="662" t="str">
        <f t="shared" si="182"/>
        <v>LVN</v>
      </c>
      <c r="AL1703" s="662" t="str">
        <f t="shared" si="183"/>
        <v>NIS</v>
      </c>
      <c r="AM1703" s="662" t="str">
        <f t="shared" si="186"/>
        <v>NV 2500-S-RWD-2-83.9-~-4.0L-6-61219-~-146.1-28-Unleaded-Unleaded</v>
      </c>
      <c r="AN1703" s="662" t="str">
        <f t="shared" si="184"/>
        <v>2019-LVN-NIS-NV25-007</v>
      </c>
    </row>
    <row r="1704" spans="1:40" s="572" customFormat="1" ht="15">
      <c r="A1704" s="570" t="s">
        <v>3206</v>
      </c>
      <c r="B1704" s="569" t="s">
        <v>3207</v>
      </c>
      <c r="C1704" s="569" t="s">
        <v>543</v>
      </c>
      <c r="D1704" s="580" t="s">
        <v>544</v>
      </c>
      <c r="E1704" s="569" t="s">
        <v>1516</v>
      </c>
      <c r="F1704" s="569" t="s">
        <v>1517</v>
      </c>
      <c r="G1704" s="569" t="s">
        <v>545</v>
      </c>
      <c r="H1704" s="569">
        <v>2019</v>
      </c>
      <c r="I1704" s="569" t="s">
        <v>3200</v>
      </c>
      <c r="J1704" s="569" t="s">
        <v>273</v>
      </c>
      <c r="K1704" s="569" t="s">
        <v>236</v>
      </c>
      <c r="L1704" s="569">
        <v>2</v>
      </c>
      <c r="M1704" s="569">
        <v>0</v>
      </c>
      <c r="N1704" s="569" t="s">
        <v>157</v>
      </c>
      <c r="O1704" s="569">
        <v>1</v>
      </c>
      <c r="P1704" s="569">
        <v>83.9</v>
      </c>
      <c r="Q1704" s="568" t="s">
        <v>157</v>
      </c>
      <c r="R1704" s="569" t="s">
        <v>3203</v>
      </c>
      <c r="S1704" s="569">
        <v>8</v>
      </c>
      <c r="T1704" s="569">
        <v>61519</v>
      </c>
      <c r="U1704" s="569" t="s">
        <v>157</v>
      </c>
      <c r="V1704" s="569">
        <v>146.1</v>
      </c>
      <c r="W1704" s="569">
        <v>28</v>
      </c>
      <c r="X1704" s="568">
        <v>9100</v>
      </c>
      <c r="Y1704" s="569">
        <v>13</v>
      </c>
      <c r="Z1704" s="581" t="s">
        <v>178</v>
      </c>
      <c r="AA1704" s="581" t="s">
        <v>178</v>
      </c>
      <c r="AB1704" s="585">
        <v>33335</v>
      </c>
      <c r="AC1704" s="585" t="s">
        <v>164</v>
      </c>
      <c r="AD1704" s="585">
        <v>28915.599999999999</v>
      </c>
      <c r="AE1704" s="587">
        <v>0.03</v>
      </c>
      <c r="AF1704" s="661" t="str">
        <f t="shared" si="185"/>
        <v>2019-LVN-NIS-NV25-008-07</v>
      </c>
      <c r="AG1704" s="661" t="str">
        <f>IF(AND($Y1704&gt;=32,(AI1704="I"),(Y1704&lt;&gt;"~"),(COUNTIF($AN$1:$AN1704,$AN1704)=1)),"TRUE","FALSE")</f>
        <v>FALSE</v>
      </c>
      <c r="AH1704" s="661" t="str">
        <f>IF(AND($Y1704&gt;=22, (AI1704&lt;&gt;"I"),(Y1704&lt;&gt;"~"),(COUNTIF($AN$1:$AN1704,$AN1704)=1)),"TRUE","FALSE")</f>
        <v>FALSE</v>
      </c>
      <c r="AI1704" s="661" t="str">
        <f t="shared" si="187"/>
        <v>II</v>
      </c>
      <c r="AJ1704" s="662" t="str">
        <f t="shared" si="181"/>
        <v>NV25-008</v>
      </c>
      <c r="AK1704" s="662" t="str">
        <f t="shared" si="182"/>
        <v>LVN</v>
      </c>
      <c r="AL1704" s="662" t="str">
        <f t="shared" si="183"/>
        <v>NIS</v>
      </c>
      <c r="AM1704" s="662" t="str">
        <f t="shared" si="186"/>
        <v>NV 2500-S-RWD-2-83.9-~-5.6L-8-61519-~-146.1-28-Unleaded-Unleaded</v>
      </c>
      <c r="AN1704" s="662" t="str">
        <f t="shared" si="184"/>
        <v>2019-LVN-NIS-NV25-008</v>
      </c>
    </row>
    <row r="1705" spans="1:40" s="572" customFormat="1" ht="15">
      <c r="A1705" s="570" t="s">
        <v>3208</v>
      </c>
      <c r="B1705" s="573" t="s">
        <v>3205</v>
      </c>
      <c r="C1705" s="573" t="s">
        <v>549</v>
      </c>
      <c r="D1705" s="578">
        <v>16</v>
      </c>
      <c r="E1705" s="573" t="s">
        <v>1516</v>
      </c>
      <c r="F1705" s="573" t="s">
        <v>1517</v>
      </c>
      <c r="G1705" s="573" t="s">
        <v>545</v>
      </c>
      <c r="H1705" s="573">
        <v>2019</v>
      </c>
      <c r="I1705" s="573" t="s">
        <v>3200</v>
      </c>
      <c r="J1705" s="573" t="s">
        <v>273</v>
      </c>
      <c r="K1705" s="573" t="s">
        <v>236</v>
      </c>
      <c r="L1705" s="573">
        <v>2</v>
      </c>
      <c r="M1705" s="573">
        <v>0</v>
      </c>
      <c r="N1705" s="573" t="s">
        <v>157</v>
      </c>
      <c r="O1705" s="573">
        <v>1</v>
      </c>
      <c r="P1705" s="573">
        <v>83.9</v>
      </c>
      <c r="Q1705" s="571" t="s">
        <v>157</v>
      </c>
      <c r="R1705" s="573" t="s">
        <v>3193</v>
      </c>
      <c r="S1705" s="573">
        <v>6</v>
      </c>
      <c r="T1705" s="573">
        <v>61219</v>
      </c>
      <c r="U1705" s="573" t="s">
        <v>157</v>
      </c>
      <c r="V1705" s="573">
        <v>146.1</v>
      </c>
      <c r="W1705" s="573">
        <v>28</v>
      </c>
      <c r="X1705" s="571">
        <v>9100</v>
      </c>
      <c r="Y1705" s="573">
        <v>14</v>
      </c>
      <c r="Z1705" s="579" t="s">
        <v>178</v>
      </c>
      <c r="AA1705" s="579" t="s">
        <v>178</v>
      </c>
      <c r="AB1705" s="584">
        <v>31735</v>
      </c>
      <c r="AC1705" s="584" t="s">
        <v>164</v>
      </c>
      <c r="AD1705" s="584">
        <v>26990</v>
      </c>
      <c r="AE1705" s="586">
        <v>0.05</v>
      </c>
      <c r="AF1705" s="661" t="str">
        <f t="shared" si="185"/>
        <v>2019-LVN-NIS-NV25-007-16</v>
      </c>
      <c r="AG1705" s="661" t="str">
        <f>IF(AND($Y1705&gt;=32,(AI1705="I"),(Y1705&lt;&gt;"~"),(COUNTIF($AN$1:$AN1705,$AN1705)=1)),"TRUE","FALSE")</f>
        <v>FALSE</v>
      </c>
      <c r="AH1705" s="661" t="str">
        <f>IF(AND($Y1705&gt;=22, (AI1705&lt;&gt;"I"),(Y1705&lt;&gt;"~"),(COUNTIF($AN$1:$AN1705,$AN1705)=1)),"TRUE","FALSE")</f>
        <v>FALSE</v>
      </c>
      <c r="AI1705" s="661" t="str">
        <f t="shared" si="187"/>
        <v>II</v>
      </c>
      <c r="AJ1705" s="662" t="str">
        <f t="shared" si="181"/>
        <v>NV25-007</v>
      </c>
      <c r="AK1705" s="662" t="str">
        <f t="shared" si="182"/>
        <v>LVN</v>
      </c>
      <c r="AL1705" s="662" t="str">
        <f t="shared" si="183"/>
        <v>NIS</v>
      </c>
      <c r="AM1705" s="662" t="str">
        <f t="shared" si="186"/>
        <v>NV 2500-S-RWD-2-83.9-~-4.0L-6-61219-~-146.1-28-Unleaded-Unleaded</v>
      </c>
      <c r="AN1705" s="662" t="str">
        <f t="shared" si="184"/>
        <v>2019-LVN-NIS-NV25-007</v>
      </c>
    </row>
    <row r="1706" spans="1:40" s="572" customFormat="1" ht="15">
      <c r="A1706" s="570" t="s">
        <v>3209</v>
      </c>
      <c r="B1706" s="569" t="s">
        <v>3210</v>
      </c>
      <c r="C1706" s="569" t="s">
        <v>543</v>
      </c>
      <c r="D1706" s="580" t="s">
        <v>544</v>
      </c>
      <c r="E1706" s="569" t="s">
        <v>1516</v>
      </c>
      <c r="F1706" s="569" t="s">
        <v>1517</v>
      </c>
      <c r="G1706" s="569" t="s">
        <v>545</v>
      </c>
      <c r="H1706" s="569">
        <v>2019</v>
      </c>
      <c r="I1706" s="569" t="s">
        <v>3200</v>
      </c>
      <c r="J1706" s="569" t="s">
        <v>574</v>
      </c>
      <c r="K1706" s="569" t="s">
        <v>236</v>
      </c>
      <c r="L1706" s="569">
        <v>2</v>
      </c>
      <c r="M1706" s="569">
        <v>0</v>
      </c>
      <c r="N1706" s="569" t="s">
        <v>157</v>
      </c>
      <c r="O1706" s="569">
        <v>1</v>
      </c>
      <c r="P1706" s="569">
        <v>105</v>
      </c>
      <c r="Q1706" s="568" t="s">
        <v>157</v>
      </c>
      <c r="R1706" s="569" t="s">
        <v>3193</v>
      </c>
      <c r="S1706" s="569">
        <v>6</v>
      </c>
      <c r="T1706" s="569">
        <v>62219</v>
      </c>
      <c r="U1706" s="569" t="s">
        <v>157</v>
      </c>
      <c r="V1706" s="569">
        <v>146.1</v>
      </c>
      <c r="W1706" s="569">
        <v>28</v>
      </c>
      <c r="X1706" s="568">
        <v>9100</v>
      </c>
      <c r="Y1706" s="573">
        <v>14</v>
      </c>
      <c r="Z1706" s="581" t="s">
        <v>178</v>
      </c>
      <c r="AA1706" s="581" t="s">
        <v>178</v>
      </c>
      <c r="AB1706" s="585">
        <v>35995</v>
      </c>
      <c r="AC1706" s="585" t="s">
        <v>164</v>
      </c>
      <c r="AD1706" s="585">
        <v>31549</v>
      </c>
      <c r="AE1706" s="587">
        <v>0.03</v>
      </c>
      <c r="AF1706" s="661" t="str">
        <f t="shared" si="185"/>
        <v>2019-LVN-NIS-NV25-001-07</v>
      </c>
      <c r="AG1706" s="661" t="str">
        <f>IF(AND($Y1706&gt;=32,(AI1706="I"),(Y1706&lt;&gt;"~"),(COUNTIF($AN$1:$AN1706,$AN1706)=1)),"TRUE","FALSE")</f>
        <v>FALSE</v>
      </c>
      <c r="AH1706" s="661" t="str">
        <f>IF(AND($Y1706&gt;=22, (AI1706&lt;&gt;"I"),(Y1706&lt;&gt;"~"),(COUNTIF($AN$1:$AN1706,$AN1706)=1)),"TRUE","FALSE")</f>
        <v>FALSE</v>
      </c>
      <c r="AI1706" s="661" t="str">
        <f t="shared" si="187"/>
        <v>II</v>
      </c>
      <c r="AJ1706" s="662" t="str">
        <f t="shared" si="181"/>
        <v>NV25-001</v>
      </c>
      <c r="AK1706" s="662" t="str">
        <f t="shared" si="182"/>
        <v>LVN</v>
      </c>
      <c r="AL1706" s="662" t="str">
        <f t="shared" si="183"/>
        <v>NIS</v>
      </c>
      <c r="AM1706" s="662" t="str">
        <f t="shared" si="186"/>
        <v>NV 2500-SL-RWD-2-105-~-4.0L-6-62219-~-146.1-28-Unleaded-Unleaded</v>
      </c>
      <c r="AN1706" s="662" t="str">
        <f t="shared" si="184"/>
        <v>2019-LVN-NIS-NV25-001</v>
      </c>
    </row>
    <row r="1707" spans="1:40" s="572" customFormat="1" ht="15">
      <c r="A1707" s="570" t="s">
        <v>3211</v>
      </c>
      <c r="B1707" s="573" t="s">
        <v>3212</v>
      </c>
      <c r="C1707" s="573" t="s">
        <v>543</v>
      </c>
      <c r="D1707" s="578" t="s">
        <v>544</v>
      </c>
      <c r="E1707" s="573" t="s">
        <v>1516</v>
      </c>
      <c r="F1707" s="573" t="s">
        <v>1517</v>
      </c>
      <c r="G1707" s="573" t="s">
        <v>545</v>
      </c>
      <c r="H1707" s="573">
        <v>2019</v>
      </c>
      <c r="I1707" s="573" t="s">
        <v>3200</v>
      </c>
      <c r="J1707" s="573" t="s">
        <v>574</v>
      </c>
      <c r="K1707" s="573" t="s">
        <v>236</v>
      </c>
      <c r="L1707" s="573">
        <v>2</v>
      </c>
      <c r="M1707" s="573">
        <v>0</v>
      </c>
      <c r="N1707" s="573" t="s">
        <v>157</v>
      </c>
      <c r="O1707" s="573">
        <v>1</v>
      </c>
      <c r="P1707" s="573">
        <v>83.9</v>
      </c>
      <c r="Q1707" s="571" t="s">
        <v>157</v>
      </c>
      <c r="R1707" s="573" t="s">
        <v>3193</v>
      </c>
      <c r="S1707" s="573">
        <v>6</v>
      </c>
      <c r="T1707" s="573">
        <v>61419</v>
      </c>
      <c r="U1707" s="573" t="s">
        <v>157</v>
      </c>
      <c r="V1707" s="573">
        <v>146.1</v>
      </c>
      <c r="W1707" s="573">
        <v>28</v>
      </c>
      <c r="X1707" s="571">
        <v>9100</v>
      </c>
      <c r="Y1707" s="573">
        <v>14</v>
      </c>
      <c r="Z1707" s="579" t="s">
        <v>178</v>
      </c>
      <c r="AA1707" s="579" t="s">
        <v>178</v>
      </c>
      <c r="AB1707" s="584">
        <v>33845</v>
      </c>
      <c r="AC1707" s="584" t="s">
        <v>164</v>
      </c>
      <c r="AD1707" s="584">
        <v>29420.5</v>
      </c>
      <c r="AE1707" s="586">
        <v>0.03</v>
      </c>
      <c r="AF1707" s="661" t="str">
        <f t="shared" si="185"/>
        <v>2019-LVN-NIS-NV25-003-07</v>
      </c>
      <c r="AG1707" s="661" t="str">
        <f>IF(AND($Y1707&gt;=32,(AI1707="I"),(Y1707&lt;&gt;"~"),(COUNTIF($AN$1:$AN1707,$AN1707)=1)),"TRUE","FALSE")</f>
        <v>FALSE</v>
      </c>
      <c r="AH1707" s="661" t="str">
        <f>IF(AND($Y1707&gt;=22, (AI1707&lt;&gt;"I"),(Y1707&lt;&gt;"~"),(COUNTIF($AN$1:$AN1707,$AN1707)=1)),"TRUE","FALSE")</f>
        <v>FALSE</v>
      </c>
      <c r="AI1707" s="661" t="str">
        <f t="shared" si="187"/>
        <v>II</v>
      </c>
      <c r="AJ1707" s="662" t="str">
        <f t="shared" si="181"/>
        <v>NV25-003</v>
      </c>
      <c r="AK1707" s="662" t="str">
        <f t="shared" si="182"/>
        <v>LVN</v>
      </c>
      <c r="AL1707" s="662" t="str">
        <f t="shared" si="183"/>
        <v>NIS</v>
      </c>
      <c r="AM1707" s="662" t="str">
        <f t="shared" si="186"/>
        <v>NV 2500-SL-RWD-2-83.9-~-4.0L-6-61419-~-146.1-28-Unleaded-Unleaded</v>
      </c>
      <c r="AN1707" s="662" t="str">
        <f t="shared" si="184"/>
        <v>2019-LVN-NIS-NV25-003</v>
      </c>
    </row>
    <row r="1708" spans="1:40" s="572" customFormat="1" ht="15">
      <c r="A1708" s="570" t="s">
        <v>3213</v>
      </c>
      <c r="B1708" s="569" t="s">
        <v>3214</v>
      </c>
      <c r="C1708" s="569" t="s">
        <v>543</v>
      </c>
      <c r="D1708" s="580" t="s">
        <v>544</v>
      </c>
      <c r="E1708" s="569" t="s">
        <v>1516</v>
      </c>
      <c r="F1708" s="569" t="s">
        <v>1517</v>
      </c>
      <c r="G1708" s="569" t="s">
        <v>545</v>
      </c>
      <c r="H1708" s="569">
        <v>2019</v>
      </c>
      <c r="I1708" s="569" t="s">
        <v>3200</v>
      </c>
      <c r="J1708" s="569" t="s">
        <v>575</v>
      </c>
      <c r="K1708" s="569" t="s">
        <v>236</v>
      </c>
      <c r="L1708" s="569">
        <v>2</v>
      </c>
      <c r="M1708" s="569">
        <v>0</v>
      </c>
      <c r="N1708" s="569" t="s">
        <v>157</v>
      </c>
      <c r="O1708" s="569">
        <v>2</v>
      </c>
      <c r="P1708" s="569">
        <v>105</v>
      </c>
      <c r="Q1708" s="568" t="s">
        <v>157</v>
      </c>
      <c r="R1708" s="569" t="s">
        <v>3193</v>
      </c>
      <c r="S1708" s="569">
        <v>6</v>
      </c>
      <c r="T1708" s="569">
        <v>62119</v>
      </c>
      <c r="U1708" s="569" t="s">
        <v>157</v>
      </c>
      <c r="V1708" s="569">
        <v>146.1</v>
      </c>
      <c r="W1708" s="569">
        <v>28</v>
      </c>
      <c r="X1708" s="568">
        <v>9100</v>
      </c>
      <c r="Y1708" s="573">
        <v>14</v>
      </c>
      <c r="Z1708" s="581" t="s">
        <v>178</v>
      </c>
      <c r="AA1708" s="581" t="s">
        <v>178</v>
      </c>
      <c r="AB1708" s="585">
        <v>34875</v>
      </c>
      <c r="AC1708" s="585" t="s">
        <v>164</v>
      </c>
      <c r="AD1708" s="585">
        <v>30440.199999999997</v>
      </c>
      <c r="AE1708" s="587">
        <v>0.03</v>
      </c>
      <c r="AF1708" s="661" t="str">
        <f t="shared" si="185"/>
        <v>2019-LVN-NIS-NV25-013-07</v>
      </c>
      <c r="AG1708" s="661" t="str">
        <f>IF(AND($Y1708&gt;=32,(AI1708="I"),(Y1708&lt;&gt;"~"),(COUNTIF($AN$1:$AN1708,$AN1708)=1)),"TRUE","FALSE")</f>
        <v>FALSE</v>
      </c>
      <c r="AH1708" s="661" t="str">
        <f>IF(AND($Y1708&gt;=22, (AI1708&lt;&gt;"I"),(Y1708&lt;&gt;"~"),(COUNTIF($AN$1:$AN1708,$AN1708)=1)),"TRUE","FALSE")</f>
        <v>FALSE</v>
      </c>
      <c r="AI1708" s="661" t="str">
        <f t="shared" si="187"/>
        <v>II</v>
      </c>
      <c r="AJ1708" s="662" t="str">
        <f t="shared" si="181"/>
        <v>NV25-013</v>
      </c>
      <c r="AK1708" s="662" t="str">
        <f t="shared" si="182"/>
        <v>LVN</v>
      </c>
      <c r="AL1708" s="662" t="str">
        <f t="shared" si="183"/>
        <v>NIS</v>
      </c>
      <c r="AM1708" s="662" t="str">
        <f t="shared" si="186"/>
        <v>NV 2500-SV-RWD-2-105-~-4.0L-6-62119-~-146.1-28-Unleaded-Unleaded</v>
      </c>
      <c r="AN1708" s="662" t="str">
        <f t="shared" si="184"/>
        <v>2019-LVN-NIS-NV25-013</v>
      </c>
    </row>
    <row r="1709" spans="1:40" s="572" customFormat="1" ht="15">
      <c r="A1709" s="570" t="s">
        <v>3215</v>
      </c>
      <c r="B1709" s="573" t="s">
        <v>3216</v>
      </c>
      <c r="C1709" s="573" t="s">
        <v>543</v>
      </c>
      <c r="D1709" s="578" t="s">
        <v>544</v>
      </c>
      <c r="E1709" s="573" t="s">
        <v>1516</v>
      </c>
      <c r="F1709" s="573" t="s">
        <v>1517</v>
      </c>
      <c r="G1709" s="573" t="s">
        <v>545</v>
      </c>
      <c r="H1709" s="573">
        <v>2019</v>
      </c>
      <c r="I1709" s="573" t="s">
        <v>3200</v>
      </c>
      <c r="J1709" s="573" t="s">
        <v>575</v>
      </c>
      <c r="K1709" s="573" t="s">
        <v>236</v>
      </c>
      <c r="L1709" s="573">
        <v>2</v>
      </c>
      <c r="M1709" s="573">
        <v>0</v>
      </c>
      <c r="N1709" s="573" t="s">
        <v>157</v>
      </c>
      <c r="O1709" s="573">
        <v>1</v>
      </c>
      <c r="P1709" s="573">
        <v>105</v>
      </c>
      <c r="Q1709" s="571" t="s">
        <v>157</v>
      </c>
      <c r="R1709" s="573" t="s">
        <v>3203</v>
      </c>
      <c r="S1709" s="573">
        <v>8</v>
      </c>
      <c r="T1709" s="573">
        <v>62419</v>
      </c>
      <c r="U1709" s="573" t="s">
        <v>157</v>
      </c>
      <c r="V1709" s="573">
        <v>146.1</v>
      </c>
      <c r="W1709" s="573">
        <v>28</v>
      </c>
      <c r="X1709" s="571">
        <v>9100</v>
      </c>
      <c r="Y1709" s="569">
        <v>13</v>
      </c>
      <c r="Z1709" s="579" t="s">
        <v>178</v>
      </c>
      <c r="AA1709" s="579" t="s">
        <v>178</v>
      </c>
      <c r="AB1709" s="584">
        <v>36475</v>
      </c>
      <c r="AC1709" s="584" t="s">
        <v>164</v>
      </c>
      <c r="AD1709" s="584">
        <v>32024.199999999997</v>
      </c>
      <c r="AE1709" s="586">
        <v>0.03</v>
      </c>
      <c r="AF1709" s="661" t="str">
        <f t="shared" si="185"/>
        <v>2019-LVN-NIS-NV25-009-07</v>
      </c>
      <c r="AG1709" s="661" t="str">
        <f>IF(AND($Y1709&gt;=32,(AI1709="I"),(Y1709&lt;&gt;"~"),(COUNTIF($AN$1:$AN1709,$AN1709)=1)),"TRUE","FALSE")</f>
        <v>FALSE</v>
      </c>
      <c r="AH1709" s="661" t="str">
        <f>IF(AND($Y1709&gt;=22, (AI1709&lt;&gt;"I"),(Y1709&lt;&gt;"~"),(COUNTIF($AN$1:$AN1709,$AN1709)=1)),"TRUE","FALSE")</f>
        <v>FALSE</v>
      </c>
      <c r="AI1709" s="661" t="str">
        <f t="shared" si="187"/>
        <v>II</v>
      </c>
      <c r="AJ1709" s="662" t="str">
        <f t="shared" si="181"/>
        <v>NV25-009</v>
      </c>
      <c r="AK1709" s="662" t="str">
        <f t="shared" si="182"/>
        <v>LVN</v>
      </c>
      <c r="AL1709" s="662" t="str">
        <f t="shared" si="183"/>
        <v>NIS</v>
      </c>
      <c r="AM1709" s="662" t="str">
        <f t="shared" si="186"/>
        <v>NV 2500-SV-RWD-2-105-~-5.6L-8-62419-~-146.1-28-Unleaded-Unleaded</v>
      </c>
      <c r="AN1709" s="662" t="str">
        <f t="shared" si="184"/>
        <v>2019-LVN-NIS-NV25-009</v>
      </c>
    </row>
    <row r="1710" spans="1:40" s="572" customFormat="1" ht="15">
      <c r="A1710" s="570" t="s">
        <v>3217</v>
      </c>
      <c r="B1710" s="569" t="s">
        <v>3218</v>
      </c>
      <c r="C1710" s="569" t="s">
        <v>543</v>
      </c>
      <c r="D1710" s="580" t="s">
        <v>544</v>
      </c>
      <c r="E1710" s="569" t="s">
        <v>1516</v>
      </c>
      <c r="F1710" s="569" t="s">
        <v>1517</v>
      </c>
      <c r="G1710" s="569" t="s">
        <v>545</v>
      </c>
      <c r="H1710" s="569">
        <v>2019</v>
      </c>
      <c r="I1710" s="569" t="s">
        <v>3200</v>
      </c>
      <c r="J1710" s="569" t="s">
        <v>575</v>
      </c>
      <c r="K1710" s="569" t="s">
        <v>236</v>
      </c>
      <c r="L1710" s="569">
        <v>2</v>
      </c>
      <c r="M1710" s="569">
        <v>0</v>
      </c>
      <c r="N1710" s="569" t="s">
        <v>157</v>
      </c>
      <c r="O1710" s="569">
        <v>1</v>
      </c>
      <c r="P1710" s="569">
        <v>83.9</v>
      </c>
      <c r="Q1710" s="568" t="s">
        <v>157</v>
      </c>
      <c r="R1710" s="569" t="s">
        <v>3193</v>
      </c>
      <c r="S1710" s="569">
        <v>6</v>
      </c>
      <c r="T1710" s="569">
        <v>61319</v>
      </c>
      <c r="U1710" s="569" t="s">
        <v>157</v>
      </c>
      <c r="V1710" s="569">
        <v>146.1</v>
      </c>
      <c r="W1710" s="569">
        <v>28</v>
      </c>
      <c r="X1710" s="568">
        <v>9100</v>
      </c>
      <c r="Y1710" s="573">
        <v>14</v>
      </c>
      <c r="Z1710" s="581" t="s">
        <v>178</v>
      </c>
      <c r="AA1710" s="581" t="s">
        <v>178</v>
      </c>
      <c r="AB1710" s="585">
        <v>32725</v>
      </c>
      <c r="AC1710" s="585" t="s">
        <v>164</v>
      </c>
      <c r="AD1710" s="585">
        <v>28311.7</v>
      </c>
      <c r="AE1710" s="587">
        <v>0.03</v>
      </c>
      <c r="AF1710" s="661" t="str">
        <f t="shared" si="185"/>
        <v>2019-LVN-NIS-NV25-010-07</v>
      </c>
      <c r="AG1710" s="661" t="str">
        <f>IF(AND($Y1710&gt;=32,(AI1710="I"),(Y1710&lt;&gt;"~"),(COUNTIF($AN$1:$AN1710,$AN1710)=1)),"TRUE","FALSE")</f>
        <v>FALSE</v>
      </c>
      <c r="AH1710" s="661" t="str">
        <f>IF(AND($Y1710&gt;=22, (AI1710&lt;&gt;"I"),(Y1710&lt;&gt;"~"),(COUNTIF($AN$1:$AN1710,$AN1710)=1)),"TRUE","FALSE")</f>
        <v>FALSE</v>
      </c>
      <c r="AI1710" s="661" t="str">
        <f t="shared" si="187"/>
        <v>II</v>
      </c>
      <c r="AJ1710" s="662" t="str">
        <f t="shared" si="181"/>
        <v>NV25-010</v>
      </c>
      <c r="AK1710" s="662" t="str">
        <f t="shared" si="182"/>
        <v>LVN</v>
      </c>
      <c r="AL1710" s="662" t="str">
        <f t="shared" si="183"/>
        <v>NIS</v>
      </c>
      <c r="AM1710" s="662" t="str">
        <f t="shared" si="186"/>
        <v>NV 2500-SV-RWD-2-83.9-~-4.0L-6-61319-~-146.1-28-Unleaded-Unleaded</v>
      </c>
      <c r="AN1710" s="662" t="str">
        <f t="shared" si="184"/>
        <v>2019-LVN-NIS-NV25-010</v>
      </c>
    </row>
    <row r="1711" spans="1:40" s="572" customFormat="1" ht="15">
      <c r="A1711" s="570" t="s">
        <v>3219</v>
      </c>
      <c r="B1711" s="573" t="s">
        <v>3220</v>
      </c>
      <c r="C1711" s="573" t="s">
        <v>543</v>
      </c>
      <c r="D1711" s="578" t="s">
        <v>544</v>
      </c>
      <c r="E1711" s="573" t="s">
        <v>1516</v>
      </c>
      <c r="F1711" s="573" t="s">
        <v>1517</v>
      </c>
      <c r="G1711" s="573" t="s">
        <v>545</v>
      </c>
      <c r="H1711" s="573">
        <v>2019</v>
      </c>
      <c r="I1711" s="573" t="s">
        <v>3200</v>
      </c>
      <c r="J1711" s="573" t="s">
        <v>575</v>
      </c>
      <c r="K1711" s="573" t="s">
        <v>236</v>
      </c>
      <c r="L1711" s="573">
        <v>2</v>
      </c>
      <c r="M1711" s="573">
        <v>0</v>
      </c>
      <c r="N1711" s="573" t="s">
        <v>157</v>
      </c>
      <c r="O1711" s="573">
        <v>1</v>
      </c>
      <c r="P1711" s="573">
        <v>83.9</v>
      </c>
      <c r="Q1711" s="571" t="s">
        <v>157</v>
      </c>
      <c r="R1711" s="573" t="s">
        <v>3203</v>
      </c>
      <c r="S1711" s="573">
        <v>8</v>
      </c>
      <c r="T1711" s="573">
        <v>61619</v>
      </c>
      <c r="U1711" s="573" t="s">
        <v>157</v>
      </c>
      <c r="V1711" s="573">
        <v>146.1</v>
      </c>
      <c r="W1711" s="573">
        <v>28</v>
      </c>
      <c r="X1711" s="571">
        <v>9100</v>
      </c>
      <c r="Y1711" s="569">
        <v>13</v>
      </c>
      <c r="Z1711" s="579" t="s">
        <v>178</v>
      </c>
      <c r="AA1711" s="579" t="s">
        <v>178</v>
      </c>
      <c r="AB1711" s="584">
        <v>34325</v>
      </c>
      <c r="AC1711" s="584" t="s">
        <v>164</v>
      </c>
      <c r="AD1711" s="584">
        <v>29895.699999999997</v>
      </c>
      <c r="AE1711" s="586">
        <v>0.03</v>
      </c>
      <c r="AF1711" s="661" t="str">
        <f t="shared" si="185"/>
        <v>2019-LVN-NIS-NV25-011-07</v>
      </c>
      <c r="AG1711" s="661" t="str">
        <f>IF(AND($Y1711&gt;=32,(AI1711="I"),(Y1711&lt;&gt;"~"),(COUNTIF($AN$1:$AN1711,$AN1711)=1)),"TRUE","FALSE")</f>
        <v>FALSE</v>
      </c>
      <c r="AH1711" s="661" t="str">
        <f>IF(AND($Y1711&gt;=22, (AI1711&lt;&gt;"I"),(Y1711&lt;&gt;"~"),(COUNTIF($AN$1:$AN1711,$AN1711)=1)),"TRUE","FALSE")</f>
        <v>FALSE</v>
      </c>
      <c r="AI1711" s="661" t="str">
        <f t="shared" si="187"/>
        <v>II</v>
      </c>
      <c r="AJ1711" s="662" t="str">
        <f t="shared" si="181"/>
        <v>NV25-011</v>
      </c>
      <c r="AK1711" s="662" t="str">
        <f t="shared" si="182"/>
        <v>LVN</v>
      </c>
      <c r="AL1711" s="662" t="str">
        <f t="shared" si="183"/>
        <v>NIS</v>
      </c>
      <c r="AM1711" s="662" t="str">
        <f t="shared" si="186"/>
        <v>NV 2500-SV-RWD-2-83.9-~-5.6L-8-61619-~-146.1-28-Unleaded-Unleaded</v>
      </c>
      <c r="AN1711" s="662" t="str">
        <f t="shared" si="184"/>
        <v>2019-LVN-NIS-NV25-011</v>
      </c>
    </row>
    <row r="1712" spans="1:40" s="572" customFormat="1" ht="15">
      <c r="A1712" s="570" t="s">
        <v>3221</v>
      </c>
      <c r="B1712" s="569" t="s">
        <v>3218</v>
      </c>
      <c r="C1712" s="569" t="s">
        <v>549</v>
      </c>
      <c r="D1712" s="580">
        <v>16</v>
      </c>
      <c r="E1712" s="569" t="s">
        <v>1516</v>
      </c>
      <c r="F1712" s="569" t="s">
        <v>1517</v>
      </c>
      <c r="G1712" s="569" t="s">
        <v>545</v>
      </c>
      <c r="H1712" s="569">
        <v>2019</v>
      </c>
      <c r="I1712" s="569" t="s">
        <v>3200</v>
      </c>
      <c r="J1712" s="569" t="s">
        <v>575</v>
      </c>
      <c r="K1712" s="569" t="s">
        <v>236</v>
      </c>
      <c r="L1712" s="569">
        <v>2</v>
      </c>
      <c r="M1712" s="569">
        <v>0</v>
      </c>
      <c r="N1712" s="569" t="s">
        <v>157</v>
      </c>
      <c r="O1712" s="569">
        <v>1</v>
      </c>
      <c r="P1712" s="569">
        <v>83.9</v>
      </c>
      <c r="Q1712" s="568" t="s">
        <v>157</v>
      </c>
      <c r="R1712" s="569" t="s">
        <v>3193</v>
      </c>
      <c r="S1712" s="569">
        <v>6</v>
      </c>
      <c r="T1712" s="569">
        <v>61319</v>
      </c>
      <c r="U1712" s="569" t="s">
        <v>157</v>
      </c>
      <c r="V1712" s="569">
        <v>146.1</v>
      </c>
      <c r="W1712" s="569">
        <v>28</v>
      </c>
      <c r="X1712" s="568">
        <v>9100</v>
      </c>
      <c r="Y1712" s="569">
        <v>14</v>
      </c>
      <c r="Z1712" s="581" t="s">
        <v>178</v>
      </c>
      <c r="AA1712" s="581" t="s">
        <v>178</v>
      </c>
      <c r="AB1712" s="585">
        <v>32725</v>
      </c>
      <c r="AC1712" s="585" t="s">
        <v>164</v>
      </c>
      <c r="AD1712" s="585">
        <v>27990</v>
      </c>
      <c r="AE1712" s="587">
        <v>0.05</v>
      </c>
      <c r="AF1712" s="661" t="str">
        <f t="shared" si="185"/>
        <v>2019-LVN-NIS-NV25-010-16</v>
      </c>
      <c r="AG1712" s="661" t="str">
        <f>IF(AND($Y1712&gt;=32,(AI1712="I"),(Y1712&lt;&gt;"~"),(COUNTIF($AN$1:$AN1712,$AN1712)=1)),"TRUE","FALSE")</f>
        <v>FALSE</v>
      </c>
      <c r="AH1712" s="661" t="str">
        <f>IF(AND($Y1712&gt;=22, (AI1712&lt;&gt;"I"),(Y1712&lt;&gt;"~"),(COUNTIF($AN$1:$AN1712,$AN1712)=1)),"TRUE","FALSE")</f>
        <v>FALSE</v>
      </c>
      <c r="AI1712" s="661" t="str">
        <f t="shared" si="187"/>
        <v>II</v>
      </c>
      <c r="AJ1712" s="662" t="str">
        <f t="shared" si="181"/>
        <v>NV25-010</v>
      </c>
      <c r="AK1712" s="662" t="str">
        <f t="shared" si="182"/>
        <v>LVN</v>
      </c>
      <c r="AL1712" s="662" t="str">
        <f t="shared" si="183"/>
        <v>NIS</v>
      </c>
      <c r="AM1712" s="662" t="str">
        <f t="shared" si="186"/>
        <v>NV 2500-SV-RWD-2-83.9-~-4.0L-6-61319-~-146.1-28-Unleaded-Unleaded</v>
      </c>
      <c r="AN1712" s="662" t="str">
        <f t="shared" si="184"/>
        <v>2019-LVN-NIS-NV25-010</v>
      </c>
    </row>
    <row r="1713" spans="1:40" s="572" customFormat="1" ht="15">
      <c r="A1713" s="570" t="s">
        <v>3222</v>
      </c>
      <c r="B1713" s="573" t="s">
        <v>3223</v>
      </c>
      <c r="C1713" s="573" t="s">
        <v>549</v>
      </c>
      <c r="D1713" s="578">
        <v>16</v>
      </c>
      <c r="E1713" s="573" t="s">
        <v>1516</v>
      </c>
      <c r="F1713" s="573" t="s">
        <v>1517</v>
      </c>
      <c r="G1713" s="573" t="s">
        <v>545</v>
      </c>
      <c r="H1713" s="573">
        <v>2019</v>
      </c>
      <c r="I1713" s="573" t="s">
        <v>3224</v>
      </c>
      <c r="J1713" s="573" t="s">
        <v>273</v>
      </c>
      <c r="K1713" s="573" t="s">
        <v>236</v>
      </c>
      <c r="L1713" s="573">
        <v>2</v>
      </c>
      <c r="M1713" s="573">
        <v>0</v>
      </c>
      <c r="N1713" s="573" t="s">
        <v>157</v>
      </c>
      <c r="O1713" s="573">
        <v>1</v>
      </c>
      <c r="P1713" s="573">
        <v>105</v>
      </c>
      <c r="Q1713" s="571" t="s">
        <v>157</v>
      </c>
      <c r="R1713" s="573" t="s">
        <v>3193</v>
      </c>
      <c r="S1713" s="573">
        <v>6</v>
      </c>
      <c r="T1713" s="573">
        <v>62019</v>
      </c>
      <c r="U1713" s="573" t="s">
        <v>157</v>
      </c>
      <c r="V1713" s="573">
        <v>146.1</v>
      </c>
      <c r="W1713" s="573">
        <v>28</v>
      </c>
      <c r="X1713" s="571">
        <v>9100</v>
      </c>
      <c r="Y1713" s="573">
        <v>14</v>
      </c>
      <c r="Z1713" s="579" t="s">
        <v>178</v>
      </c>
      <c r="AA1713" s="579" t="s">
        <v>178</v>
      </c>
      <c r="AB1713" s="584">
        <v>33885</v>
      </c>
      <c r="AC1713" s="584" t="s">
        <v>164</v>
      </c>
      <c r="AD1713" s="584">
        <v>28990</v>
      </c>
      <c r="AE1713" s="586">
        <v>0.05</v>
      </c>
      <c r="AF1713" s="661" t="str">
        <f t="shared" si="185"/>
        <v>2019-LVN-NIS-NV25-014-16</v>
      </c>
      <c r="AG1713" s="661" t="str">
        <f>IF(AND($Y1713&gt;=32,(AI1713="I"),(Y1713&lt;&gt;"~"),(COUNTIF($AN$1:$AN1713,$AN1713)=1)),"TRUE","FALSE")</f>
        <v>FALSE</v>
      </c>
      <c r="AH1713" s="661" t="str">
        <f>IF(AND($Y1713&gt;=22, (AI1713&lt;&gt;"I"),(Y1713&lt;&gt;"~"),(COUNTIF($AN$1:$AN1713,$AN1713)=1)),"TRUE","FALSE")</f>
        <v>FALSE</v>
      </c>
      <c r="AI1713" s="661" t="str">
        <f t="shared" si="187"/>
        <v>II</v>
      </c>
      <c r="AJ1713" s="662" t="str">
        <f t="shared" si="181"/>
        <v>NV25-014</v>
      </c>
      <c r="AK1713" s="662" t="str">
        <f t="shared" si="182"/>
        <v>LVN</v>
      </c>
      <c r="AL1713" s="662" t="str">
        <f t="shared" si="183"/>
        <v>NIS</v>
      </c>
      <c r="AM1713" s="662" t="str">
        <f t="shared" si="186"/>
        <v>NV 2500HR-S-RWD-2-105-~-4.0L-6-62019-~-146.1-28-Unleaded-Unleaded</v>
      </c>
      <c r="AN1713" s="662" t="str">
        <f t="shared" si="184"/>
        <v>2019-LVN-NIS-NV25-014</v>
      </c>
    </row>
    <row r="1714" spans="1:40" s="572" customFormat="1" ht="15">
      <c r="A1714" s="570" t="s">
        <v>3225</v>
      </c>
      <c r="B1714" s="569" t="s">
        <v>3226</v>
      </c>
      <c r="C1714" s="569" t="s">
        <v>549</v>
      </c>
      <c r="D1714" s="580">
        <v>16</v>
      </c>
      <c r="E1714" s="569" t="s">
        <v>1516</v>
      </c>
      <c r="F1714" s="569" t="s">
        <v>1517</v>
      </c>
      <c r="G1714" s="569" t="s">
        <v>545</v>
      </c>
      <c r="H1714" s="569">
        <v>2019</v>
      </c>
      <c r="I1714" s="569" t="s">
        <v>3224</v>
      </c>
      <c r="J1714" s="569" t="s">
        <v>575</v>
      </c>
      <c r="K1714" s="569" t="s">
        <v>236</v>
      </c>
      <c r="L1714" s="569">
        <v>2</v>
      </c>
      <c r="M1714" s="569">
        <v>0</v>
      </c>
      <c r="N1714" s="569" t="s">
        <v>157</v>
      </c>
      <c r="O1714" s="569">
        <v>1</v>
      </c>
      <c r="P1714" s="569">
        <v>105</v>
      </c>
      <c r="Q1714" s="568" t="s">
        <v>157</v>
      </c>
      <c r="R1714" s="569" t="s">
        <v>3193</v>
      </c>
      <c r="S1714" s="569">
        <v>8</v>
      </c>
      <c r="T1714" s="569">
        <v>62119</v>
      </c>
      <c r="U1714" s="569" t="s">
        <v>157</v>
      </c>
      <c r="V1714" s="569">
        <v>146.1</v>
      </c>
      <c r="W1714" s="569">
        <v>28</v>
      </c>
      <c r="X1714" s="568">
        <v>9100</v>
      </c>
      <c r="Y1714" s="569">
        <v>13</v>
      </c>
      <c r="Z1714" s="581" t="s">
        <v>178</v>
      </c>
      <c r="AA1714" s="581" t="s">
        <v>178</v>
      </c>
      <c r="AB1714" s="585">
        <v>34875</v>
      </c>
      <c r="AC1714" s="585" t="s">
        <v>164</v>
      </c>
      <c r="AD1714" s="585">
        <v>29990</v>
      </c>
      <c r="AE1714" s="587">
        <v>0.05</v>
      </c>
      <c r="AF1714" s="661" t="str">
        <f t="shared" si="185"/>
        <v>2019-LVN-NIS-NV25-012-16</v>
      </c>
      <c r="AG1714" s="661" t="str">
        <f>IF(AND($Y1714&gt;=32,(AI1714="I"),(Y1714&lt;&gt;"~"),(COUNTIF($AN$1:$AN1714,$AN1714)=1)),"TRUE","FALSE")</f>
        <v>FALSE</v>
      </c>
      <c r="AH1714" s="661" t="str">
        <f>IF(AND($Y1714&gt;=22, (AI1714&lt;&gt;"I"),(Y1714&lt;&gt;"~"),(COUNTIF($AN$1:$AN1714,$AN1714)=1)),"TRUE","FALSE")</f>
        <v>FALSE</v>
      </c>
      <c r="AI1714" s="661" t="str">
        <f t="shared" si="187"/>
        <v>II</v>
      </c>
      <c r="AJ1714" s="662" t="str">
        <f t="shared" si="181"/>
        <v>NV25-012</v>
      </c>
      <c r="AK1714" s="662" t="str">
        <f t="shared" si="182"/>
        <v>LVN</v>
      </c>
      <c r="AL1714" s="662" t="str">
        <f t="shared" si="183"/>
        <v>NIS</v>
      </c>
      <c r="AM1714" s="662" t="str">
        <f t="shared" si="186"/>
        <v>NV 2500HR-SV-RWD-2-105-~-4.0L-8-62119-~-146.1-28-Unleaded-Unleaded</v>
      </c>
      <c r="AN1714" s="662" t="str">
        <f t="shared" si="184"/>
        <v>2019-LVN-NIS-NV25-012</v>
      </c>
    </row>
    <row r="1715" spans="1:40" s="572" customFormat="1" ht="15">
      <c r="A1715" s="570" t="s">
        <v>3227</v>
      </c>
      <c r="B1715" s="573" t="s">
        <v>3228</v>
      </c>
      <c r="C1715" s="573" t="s">
        <v>543</v>
      </c>
      <c r="D1715" s="578" t="s">
        <v>544</v>
      </c>
      <c r="E1715" s="573" t="s">
        <v>1516</v>
      </c>
      <c r="F1715" s="573" t="s">
        <v>1571</v>
      </c>
      <c r="G1715" s="573" t="s">
        <v>545</v>
      </c>
      <c r="H1715" s="573">
        <v>2019</v>
      </c>
      <c r="I1715" s="573" t="s">
        <v>3229</v>
      </c>
      <c r="J1715" s="573" t="s">
        <v>273</v>
      </c>
      <c r="K1715" s="573" t="s">
        <v>236</v>
      </c>
      <c r="L1715" s="573">
        <v>2</v>
      </c>
      <c r="M1715" s="573">
        <v>0</v>
      </c>
      <c r="N1715" s="573" t="s">
        <v>157</v>
      </c>
      <c r="O1715" s="573">
        <v>1</v>
      </c>
      <c r="P1715" s="573">
        <v>105.8</v>
      </c>
      <c r="Q1715" s="571" t="s">
        <v>157</v>
      </c>
      <c r="R1715" s="573" t="s">
        <v>3203</v>
      </c>
      <c r="S1715" s="573">
        <v>8</v>
      </c>
      <c r="T1715" s="573">
        <v>62519</v>
      </c>
      <c r="U1715" s="573" t="s">
        <v>157</v>
      </c>
      <c r="V1715" s="573">
        <v>146.1</v>
      </c>
      <c r="W1715" s="573">
        <v>28</v>
      </c>
      <c r="X1715" s="571">
        <v>9901</v>
      </c>
      <c r="Y1715" s="573">
        <v>11</v>
      </c>
      <c r="Z1715" s="579" t="s">
        <v>178</v>
      </c>
      <c r="AA1715" s="579" t="s">
        <v>178</v>
      </c>
      <c r="AB1715" s="584">
        <v>37185</v>
      </c>
      <c r="AC1715" s="584" t="s">
        <v>164</v>
      </c>
      <c r="AD1715" s="584">
        <v>32727.1</v>
      </c>
      <c r="AE1715" s="586">
        <v>0.03</v>
      </c>
      <c r="AF1715" s="661" t="str">
        <f t="shared" si="185"/>
        <v>2019-LVN-NIS-NV35-003-07</v>
      </c>
      <c r="AG1715" s="661" t="str">
        <f>IF(AND($Y1715&gt;=32,(AI1715="I"),(Y1715&lt;&gt;"~"),(COUNTIF($AN$1:$AN1715,$AN1715)=1)),"TRUE","FALSE")</f>
        <v>FALSE</v>
      </c>
      <c r="AH1715" s="661" t="str">
        <f>IF(AND($Y1715&gt;=22, (AI1715&lt;&gt;"I"),(Y1715&lt;&gt;"~"),(COUNTIF($AN$1:$AN1715,$AN1715)=1)),"TRUE","FALSE")</f>
        <v>FALSE</v>
      </c>
      <c r="AI1715" s="661" t="str">
        <f t="shared" si="187"/>
        <v>II</v>
      </c>
      <c r="AJ1715" s="662" t="str">
        <f t="shared" si="181"/>
        <v>NV35-003</v>
      </c>
      <c r="AK1715" s="662" t="str">
        <f t="shared" si="182"/>
        <v>LVN</v>
      </c>
      <c r="AL1715" s="662" t="str">
        <f t="shared" si="183"/>
        <v>NIS</v>
      </c>
      <c r="AM1715" s="662" t="str">
        <f t="shared" si="186"/>
        <v>NV 3500-S-RWD-2-105.8-~-5.6L-8-62519-~-146.1-28-Unleaded-Unleaded</v>
      </c>
      <c r="AN1715" s="662" t="str">
        <f t="shared" si="184"/>
        <v>2019-LVN-NIS-NV35-003</v>
      </c>
    </row>
    <row r="1716" spans="1:40" s="572" customFormat="1" ht="15">
      <c r="A1716" s="570" t="s">
        <v>3230</v>
      </c>
      <c r="B1716" s="569" t="s">
        <v>3231</v>
      </c>
      <c r="C1716" s="569" t="s">
        <v>543</v>
      </c>
      <c r="D1716" s="580" t="s">
        <v>544</v>
      </c>
      <c r="E1716" s="569" t="s">
        <v>1516</v>
      </c>
      <c r="F1716" s="569" t="s">
        <v>1571</v>
      </c>
      <c r="G1716" s="569" t="s">
        <v>545</v>
      </c>
      <c r="H1716" s="569">
        <v>2019</v>
      </c>
      <c r="I1716" s="569" t="s">
        <v>3229</v>
      </c>
      <c r="J1716" s="569" t="s">
        <v>273</v>
      </c>
      <c r="K1716" s="569" t="s">
        <v>236</v>
      </c>
      <c r="L1716" s="569">
        <v>2</v>
      </c>
      <c r="M1716" s="569">
        <v>0</v>
      </c>
      <c r="N1716" s="569" t="s">
        <v>157</v>
      </c>
      <c r="O1716" s="569">
        <v>1</v>
      </c>
      <c r="P1716" s="569">
        <v>84.9</v>
      </c>
      <c r="Q1716" s="568" t="s">
        <v>157</v>
      </c>
      <c r="R1716" s="569" t="s">
        <v>3203</v>
      </c>
      <c r="S1716" s="569">
        <v>8</v>
      </c>
      <c r="T1716" s="569">
        <v>61719</v>
      </c>
      <c r="U1716" s="569" t="s">
        <v>157</v>
      </c>
      <c r="V1716" s="569">
        <v>146.1</v>
      </c>
      <c r="W1716" s="569">
        <v>28</v>
      </c>
      <c r="X1716" s="568">
        <v>9901</v>
      </c>
      <c r="Y1716" s="573">
        <v>11</v>
      </c>
      <c r="Z1716" s="581" t="s">
        <v>178</v>
      </c>
      <c r="AA1716" s="581" t="s">
        <v>178</v>
      </c>
      <c r="AB1716" s="585">
        <v>35035</v>
      </c>
      <c r="AC1716" s="585" t="s">
        <v>164</v>
      </c>
      <c r="AD1716" s="585">
        <v>30598.6</v>
      </c>
      <c r="AE1716" s="587">
        <v>0.03</v>
      </c>
      <c r="AF1716" s="661" t="str">
        <f t="shared" si="185"/>
        <v>2019-LVN-NIS-NV35-004-07</v>
      </c>
      <c r="AG1716" s="661" t="str">
        <f>IF(AND($Y1716&gt;=32,(AI1716="I"),(Y1716&lt;&gt;"~"),(COUNTIF($AN$1:$AN1716,$AN1716)=1)),"TRUE","FALSE")</f>
        <v>FALSE</v>
      </c>
      <c r="AH1716" s="661" t="str">
        <f>IF(AND($Y1716&gt;=22, (AI1716&lt;&gt;"I"),(Y1716&lt;&gt;"~"),(COUNTIF($AN$1:$AN1716,$AN1716)=1)),"TRUE","FALSE")</f>
        <v>FALSE</v>
      </c>
      <c r="AI1716" s="661" t="str">
        <f t="shared" si="187"/>
        <v>II</v>
      </c>
      <c r="AJ1716" s="662" t="str">
        <f t="shared" si="181"/>
        <v>NV35-004</v>
      </c>
      <c r="AK1716" s="662" t="str">
        <f t="shared" si="182"/>
        <v>LVN</v>
      </c>
      <c r="AL1716" s="662" t="str">
        <f t="shared" si="183"/>
        <v>NIS</v>
      </c>
      <c r="AM1716" s="662" t="str">
        <f t="shared" si="186"/>
        <v>NV 3500-S-RWD-2-84.9-~-5.6L-8-61719-~-146.1-28-Unleaded-Unleaded</v>
      </c>
      <c r="AN1716" s="662" t="str">
        <f t="shared" si="184"/>
        <v>2019-LVN-NIS-NV35-004</v>
      </c>
    </row>
    <row r="1717" spans="1:40" s="572" customFormat="1" ht="15">
      <c r="A1717" s="570" t="s">
        <v>3232</v>
      </c>
      <c r="B1717" s="573" t="s">
        <v>3233</v>
      </c>
      <c r="C1717" s="573" t="s">
        <v>543</v>
      </c>
      <c r="D1717" s="578" t="s">
        <v>544</v>
      </c>
      <c r="E1717" s="573" t="s">
        <v>1516</v>
      </c>
      <c r="F1717" s="573" t="s">
        <v>1571</v>
      </c>
      <c r="G1717" s="573" t="s">
        <v>545</v>
      </c>
      <c r="H1717" s="573">
        <v>2019</v>
      </c>
      <c r="I1717" s="573" t="s">
        <v>3229</v>
      </c>
      <c r="J1717" s="573" t="s">
        <v>574</v>
      </c>
      <c r="K1717" s="573" t="s">
        <v>236</v>
      </c>
      <c r="L1717" s="573">
        <v>2</v>
      </c>
      <c r="M1717" s="573">
        <v>0</v>
      </c>
      <c r="N1717" s="573" t="s">
        <v>157</v>
      </c>
      <c r="O1717" s="573">
        <v>1</v>
      </c>
      <c r="P1717" s="573">
        <v>105.8</v>
      </c>
      <c r="Q1717" s="571" t="s">
        <v>157</v>
      </c>
      <c r="R1717" s="573" t="s">
        <v>3203</v>
      </c>
      <c r="S1717" s="573">
        <v>8</v>
      </c>
      <c r="T1717" s="573">
        <v>62719</v>
      </c>
      <c r="U1717" s="573" t="s">
        <v>157</v>
      </c>
      <c r="V1717" s="573">
        <v>146.1</v>
      </c>
      <c r="W1717" s="573">
        <v>28</v>
      </c>
      <c r="X1717" s="571">
        <v>9901</v>
      </c>
      <c r="Y1717" s="573">
        <v>11</v>
      </c>
      <c r="Z1717" s="579" t="s">
        <v>178</v>
      </c>
      <c r="AA1717" s="579" t="s">
        <v>178</v>
      </c>
      <c r="AB1717" s="584">
        <v>39255</v>
      </c>
      <c r="AC1717" s="584" t="s">
        <v>164</v>
      </c>
      <c r="AD1717" s="584">
        <v>34776.400000000001</v>
      </c>
      <c r="AE1717" s="586">
        <v>0.03</v>
      </c>
      <c r="AF1717" s="661" t="str">
        <f t="shared" si="185"/>
        <v>2019-LVN-NIS-NV35-001-07</v>
      </c>
      <c r="AG1717" s="661" t="str">
        <f>IF(AND($Y1717&gt;=32,(AI1717="I"),(Y1717&lt;&gt;"~"),(COUNTIF($AN$1:$AN1717,$AN1717)=1)),"TRUE","FALSE")</f>
        <v>FALSE</v>
      </c>
      <c r="AH1717" s="661" t="str">
        <f>IF(AND($Y1717&gt;=22, (AI1717&lt;&gt;"I"),(Y1717&lt;&gt;"~"),(COUNTIF($AN$1:$AN1717,$AN1717)=1)),"TRUE","FALSE")</f>
        <v>FALSE</v>
      </c>
      <c r="AI1717" s="661" t="str">
        <f t="shared" si="187"/>
        <v>II</v>
      </c>
      <c r="AJ1717" s="662" t="str">
        <f t="shared" si="181"/>
        <v>NV35-001</v>
      </c>
      <c r="AK1717" s="662" t="str">
        <f t="shared" si="182"/>
        <v>LVN</v>
      </c>
      <c r="AL1717" s="662" t="str">
        <f t="shared" si="183"/>
        <v>NIS</v>
      </c>
      <c r="AM1717" s="662" t="str">
        <f t="shared" si="186"/>
        <v>NV 3500-SL-RWD-2-105.8-~-5.6L-8-62719-~-146.1-28-Unleaded-Unleaded</v>
      </c>
      <c r="AN1717" s="662" t="str">
        <f t="shared" si="184"/>
        <v>2019-LVN-NIS-NV35-001</v>
      </c>
    </row>
    <row r="1718" spans="1:40" s="572" customFormat="1" ht="15">
      <c r="A1718" s="570" t="s">
        <v>3234</v>
      </c>
      <c r="B1718" s="569" t="s">
        <v>3235</v>
      </c>
      <c r="C1718" s="569" t="s">
        <v>543</v>
      </c>
      <c r="D1718" s="580" t="s">
        <v>544</v>
      </c>
      <c r="E1718" s="569" t="s">
        <v>1516</v>
      </c>
      <c r="F1718" s="569" t="s">
        <v>1571</v>
      </c>
      <c r="G1718" s="569" t="s">
        <v>545</v>
      </c>
      <c r="H1718" s="569">
        <v>2019</v>
      </c>
      <c r="I1718" s="569" t="s">
        <v>3229</v>
      </c>
      <c r="J1718" s="569" t="s">
        <v>574</v>
      </c>
      <c r="K1718" s="569" t="s">
        <v>236</v>
      </c>
      <c r="L1718" s="569">
        <v>2</v>
      </c>
      <c r="M1718" s="569">
        <v>0</v>
      </c>
      <c r="N1718" s="569" t="s">
        <v>157</v>
      </c>
      <c r="O1718" s="569">
        <v>1</v>
      </c>
      <c r="P1718" s="569">
        <v>84.9</v>
      </c>
      <c r="Q1718" s="568" t="s">
        <v>157</v>
      </c>
      <c r="R1718" s="569" t="s">
        <v>3203</v>
      </c>
      <c r="S1718" s="569">
        <v>8</v>
      </c>
      <c r="T1718" s="569">
        <v>61919</v>
      </c>
      <c r="U1718" s="569" t="s">
        <v>157</v>
      </c>
      <c r="V1718" s="569">
        <v>146.1</v>
      </c>
      <c r="W1718" s="569">
        <v>28</v>
      </c>
      <c r="X1718" s="568">
        <v>9901</v>
      </c>
      <c r="Y1718" s="573">
        <v>11</v>
      </c>
      <c r="Z1718" s="581" t="s">
        <v>178</v>
      </c>
      <c r="AA1718" s="581" t="s">
        <v>178</v>
      </c>
      <c r="AB1718" s="585">
        <v>37105</v>
      </c>
      <c r="AC1718" s="585" t="s">
        <v>164</v>
      </c>
      <c r="AD1718" s="585">
        <v>32647.9</v>
      </c>
      <c r="AE1718" s="587">
        <v>0.03</v>
      </c>
      <c r="AF1718" s="661" t="str">
        <f t="shared" si="185"/>
        <v>2019-LVN-NIS-NV35-002-07</v>
      </c>
      <c r="AG1718" s="661" t="str">
        <f>IF(AND($Y1718&gt;=32,(AI1718="I"),(Y1718&lt;&gt;"~"),(COUNTIF($AN$1:$AN1718,$AN1718)=1)),"TRUE","FALSE")</f>
        <v>FALSE</v>
      </c>
      <c r="AH1718" s="661" t="str">
        <f>IF(AND($Y1718&gt;=22, (AI1718&lt;&gt;"I"),(Y1718&lt;&gt;"~"),(COUNTIF($AN$1:$AN1718,$AN1718)=1)),"TRUE","FALSE")</f>
        <v>FALSE</v>
      </c>
      <c r="AI1718" s="661" t="str">
        <f t="shared" si="187"/>
        <v>II</v>
      </c>
      <c r="AJ1718" s="662" t="str">
        <f t="shared" si="181"/>
        <v>NV35-002</v>
      </c>
      <c r="AK1718" s="662" t="str">
        <f t="shared" si="182"/>
        <v>LVN</v>
      </c>
      <c r="AL1718" s="662" t="str">
        <f t="shared" si="183"/>
        <v>NIS</v>
      </c>
      <c r="AM1718" s="662" t="str">
        <f t="shared" si="186"/>
        <v>NV 3500-SL-RWD-2-84.9-~-5.6L-8-61919-~-146.1-28-Unleaded-Unleaded</v>
      </c>
      <c r="AN1718" s="662" t="str">
        <f t="shared" si="184"/>
        <v>2019-LVN-NIS-NV35-002</v>
      </c>
    </row>
    <row r="1719" spans="1:40" s="572" customFormat="1" ht="15">
      <c r="A1719" s="570" t="s">
        <v>3236</v>
      </c>
      <c r="B1719" s="573" t="s">
        <v>3237</v>
      </c>
      <c r="C1719" s="573" t="s">
        <v>543</v>
      </c>
      <c r="D1719" s="578" t="s">
        <v>544</v>
      </c>
      <c r="E1719" s="573" t="s">
        <v>1516</v>
      </c>
      <c r="F1719" s="573" t="s">
        <v>1571</v>
      </c>
      <c r="G1719" s="573" t="s">
        <v>545</v>
      </c>
      <c r="H1719" s="573">
        <v>2019</v>
      </c>
      <c r="I1719" s="573" t="s">
        <v>3229</v>
      </c>
      <c r="J1719" s="573" t="s">
        <v>575</v>
      </c>
      <c r="K1719" s="573" t="s">
        <v>236</v>
      </c>
      <c r="L1719" s="573">
        <v>2</v>
      </c>
      <c r="M1719" s="573">
        <v>0</v>
      </c>
      <c r="N1719" s="573" t="s">
        <v>157</v>
      </c>
      <c r="O1719" s="573">
        <v>1</v>
      </c>
      <c r="P1719" s="573">
        <v>105.8</v>
      </c>
      <c r="Q1719" s="571" t="s">
        <v>157</v>
      </c>
      <c r="R1719" s="573" t="s">
        <v>3203</v>
      </c>
      <c r="S1719" s="573">
        <v>8</v>
      </c>
      <c r="T1719" s="573">
        <v>62619</v>
      </c>
      <c r="U1719" s="573" t="s">
        <v>157</v>
      </c>
      <c r="V1719" s="573">
        <v>146.1</v>
      </c>
      <c r="W1719" s="573">
        <v>28</v>
      </c>
      <c r="X1719" s="571">
        <v>9901</v>
      </c>
      <c r="Y1719" s="573">
        <v>11</v>
      </c>
      <c r="Z1719" s="579" t="s">
        <v>178</v>
      </c>
      <c r="AA1719" s="579" t="s">
        <v>178</v>
      </c>
      <c r="AB1719" s="584">
        <v>38175</v>
      </c>
      <c r="AC1719" s="584" t="s">
        <v>164</v>
      </c>
      <c r="AD1719" s="584">
        <v>33707.199999999997</v>
      </c>
      <c r="AE1719" s="586">
        <v>0.03</v>
      </c>
      <c r="AF1719" s="661" t="str">
        <f t="shared" si="185"/>
        <v>2019-LVN-NIS-NV35-005-07</v>
      </c>
      <c r="AG1719" s="661" t="str">
        <f>IF(AND($Y1719&gt;=32,(AI1719="I"),(Y1719&lt;&gt;"~"),(COUNTIF($AN$1:$AN1719,$AN1719)=1)),"TRUE","FALSE")</f>
        <v>FALSE</v>
      </c>
      <c r="AH1719" s="661" t="str">
        <f>IF(AND($Y1719&gt;=22, (AI1719&lt;&gt;"I"),(Y1719&lt;&gt;"~"),(COUNTIF($AN$1:$AN1719,$AN1719)=1)),"TRUE","FALSE")</f>
        <v>FALSE</v>
      </c>
      <c r="AI1719" s="661" t="str">
        <f t="shared" si="187"/>
        <v>II</v>
      </c>
      <c r="AJ1719" s="662" t="str">
        <f t="shared" si="181"/>
        <v>NV35-005</v>
      </c>
      <c r="AK1719" s="662" t="str">
        <f t="shared" si="182"/>
        <v>LVN</v>
      </c>
      <c r="AL1719" s="662" t="str">
        <f t="shared" si="183"/>
        <v>NIS</v>
      </c>
      <c r="AM1719" s="662" t="str">
        <f t="shared" si="186"/>
        <v>NV 3500-SV-RWD-2-105.8-~-5.6L-8-62619-~-146.1-28-Unleaded-Unleaded</v>
      </c>
      <c r="AN1719" s="662" t="str">
        <f t="shared" si="184"/>
        <v>2019-LVN-NIS-NV35-005</v>
      </c>
    </row>
    <row r="1720" spans="1:40" s="572" customFormat="1" ht="15">
      <c r="A1720" s="570" t="s">
        <v>3238</v>
      </c>
      <c r="B1720" s="569" t="s">
        <v>3239</v>
      </c>
      <c r="C1720" s="569" t="s">
        <v>543</v>
      </c>
      <c r="D1720" s="580" t="s">
        <v>544</v>
      </c>
      <c r="E1720" s="569" t="s">
        <v>1516</v>
      </c>
      <c r="F1720" s="569" t="s">
        <v>1571</v>
      </c>
      <c r="G1720" s="569" t="s">
        <v>545</v>
      </c>
      <c r="H1720" s="569">
        <v>2019</v>
      </c>
      <c r="I1720" s="569" t="s">
        <v>3229</v>
      </c>
      <c r="J1720" s="569" t="s">
        <v>575</v>
      </c>
      <c r="K1720" s="569" t="s">
        <v>236</v>
      </c>
      <c r="L1720" s="569">
        <v>2</v>
      </c>
      <c r="M1720" s="569">
        <v>0</v>
      </c>
      <c r="N1720" s="569" t="s">
        <v>157</v>
      </c>
      <c r="O1720" s="569">
        <v>1</v>
      </c>
      <c r="P1720" s="569">
        <v>84.9</v>
      </c>
      <c r="Q1720" s="568" t="s">
        <v>157</v>
      </c>
      <c r="R1720" s="569" t="s">
        <v>3203</v>
      </c>
      <c r="S1720" s="569">
        <v>8</v>
      </c>
      <c r="T1720" s="569">
        <v>61819</v>
      </c>
      <c r="U1720" s="569" t="s">
        <v>157</v>
      </c>
      <c r="V1720" s="569">
        <v>146.1</v>
      </c>
      <c r="W1720" s="569">
        <v>28</v>
      </c>
      <c r="X1720" s="568">
        <v>9901</v>
      </c>
      <c r="Y1720" s="573">
        <v>11</v>
      </c>
      <c r="Z1720" s="581" t="s">
        <v>178</v>
      </c>
      <c r="AA1720" s="581" t="s">
        <v>178</v>
      </c>
      <c r="AB1720" s="585">
        <v>36025</v>
      </c>
      <c r="AC1720" s="585" t="s">
        <v>164</v>
      </c>
      <c r="AD1720" s="585">
        <v>31578.699999999997</v>
      </c>
      <c r="AE1720" s="587">
        <v>0.03</v>
      </c>
      <c r="AF1720" s="661" t="str">
        <f t="shared" si="185"/>
        <v>2019-LVN-NIS-NV35-006-07</v>
      </c>
      <c r="AG1720" s="661" t="str">
        <f>IF(AND($Y1720&gt;=32,(AI1720="I"),(Y1720&lt;&gt;"~"),(COUNTIF($AN$1:$AN1720,$AN1720)=1)),"TRUE","FALSE")</f>
        <v>FALSE</v>
      </c>
      <c r="AH1720" s="661" t="str">
        <f>IF(AND($Y1720&gt;=22, (AI1720&lt;&gt;"I"),(Y1720&lt;&gt;"~"),(COUNTIF($AN$1:$AN1720,$AN1720)=1)),"TRUE","FALSE")</f>
        <v>FALSE</v>
      </c>
      <c r="AI1720" s="661" t="str">
        <f t="shared" si="187"/>
        <v>II</v>
      </c>
      <c r="AJ1720" s="662" t="str">
        <f t="shared" si="181"/>
        <v>NV35-006</v>
      </c>
      <c r="AK1720" s="662" t="str">
        <f t="shared" si="182"/>
        <v>LVN</v>
      </c>
      <c r="AL1720" s="662" t="str">
        <f t="shared" si="183"/>
        <v>NIS</v>
      </c>
      <c r="AM1720" s="662" t="str">
        <f t="shared" si="186"/>
        <v>NV 3500-SV-RWD-2-84.9-~-5.6L-8-61819-~-146.1-28-Unleaded-Unleaded</v>
      </c>
      <c r="AN1720" s="662" t="str">
        <f t="shared" si="184"/>
        <v>2019-LVN-NIS-NV35-006</v>
      </c>
    </row>
    <row r="1721" spans="1:40" s="572" customFormat="1" ht="15">
      <c r="A1721" s="570" t="s">
        <v>3240</v>
      </c>
      <c r="B1721" s="573" t="s">
        <v>3241</v>
      </c>
      <c r="C1721" s="573" t="s">
        <v>549</v>
      </c>
      <c r="D1721" s="578">
        <v>16</v>
      </c>
      <c r="E1721" s="573" t="s">
        <v>1516</v>
      </c>
      <c r="F1721" s="573" t="s">
        <v>1571</v>
      </c>
      <c r="G1721" s="573" t="s">
        <v>545</v>
      </c>
      <c r="H1721" s="573">
        <v>2019</v>
      </c>
      <c r="I1721" s="573" t="s">
        <v>3242</v>
      </c>
      <c r="J1721" s="573" t="s">
        <v>273</v>
      </c>
      <c r="K1721" s="573" t="s">
        <v>236</v>
      </c>
      <c r="L1721" s="573">
        <v>2</v>
      </c>
      <c r="M1721" s="573">
        <v>0</v>
      </c>
      <c r="N1721" s="573" t="s">
        <v>157</v>
      </c>
      <c r="O1721" s="573">
        <v>1</v>
      </c>
      <c r="P1721" s="573">
        <v>105.8</v>
      </c>
      <c r="Q1721" s="571" t="s">
        <v>157</v>
      </c>
      <c r="R1721" s="573" t="s">
        <v>3203</v>
      </c>
      <c r="S1721" s="573">
        <v>8</v>
      </c>
      <c r="T1721" s="573">
        <v>62519</v>
      </c>
      <c r="U1721" s="573" t="s">
        <v>157</v>
      </c>
      <c r="V1721" s="573">
        <v>146.1</v>
      </c>
      <c r="W1721" s="573">
        <v>28</v>
      </c>
      <c r="X1721" s="571">
        <v>9900</v>
      </c>
      <c r="Y1721" s="573">
        <v>11</v>
      </c>
      <c r="Z1721" s="579" t="s">
        <v>178</v>
      </c>
      <c r="AA1721" s="579" t="s">
        <v>178</v>
      </c>
      <c r="AB1721" s="584">
        <v>37185</v>
      </c>
      <c r="AC1721" s="584" t="s">
        <v>164</v>
      </c>
      <c r="AD1721" s="584">
        <v>32490</v>
      </c>
      <c r="AE1721" s="586">
        <v>0.05</v>
      </c>
      <c r="AF1721" s="661" t="str">
        <f t="shared" si="185"/>
        <v>2019-LVN-NIS-NV35-007-16</v>
      </c>
      <c r="AG1721" s="661" t="str">
        <f>IF(AND($Y1721&gt;=32,(AI1721="I"),(Y1721&lt;&gt;"~"),(COUNTIF($AN$1:$AN1721,$AN1721)=1)),"TRUE","FALSE")</f>
        <v>FALSE</v>
      </c>
      <c r="AH1721" s="661" t="str">
        <f>IF(AND($Y1721&gt;=22, (AI1721&lt;&gt;"I"),(Y1721&lt;&gt;"~"),(COUNTIF($AN$1:$AN1721,$AN1721)=1)),"TRUE","FALSE")</f>
        <v>FALSE</v>
      </c>
      <c r="AI1721" s="661" t="str">
        <f t="shared" si="187"/>
        <v>II</v>
      </c>
      <c r="AJ1721" s="662" t="str">
        <f t="shared" si="181"/>
        <v>NV35-007</v>
      </c>
      <c r="AK1721" s="662" t="str">
        <f t="shared" si="182"/>
        <v>LVN</v>
      </c>
      <c r="AL1721" s="662" t="str">
        <f t="shared" si="183"/>
        <v>NIS</v>
      </c>
      <c r="AM1721" s="662" t="str">
        <f t="shared" si="186"/>
        <v>NV 3500HR-S-RWD-2-105.8-~-5.6L-8-62519-~-146.1-28-Unleaded-Unleaded</v>
      </c>
      <c r="AN1721" s="662" t="str">
        <f t="shared" si="184"/>
        <v>2019-LVN-NIS-NV35-007</v>
      </c>
    </row>
    <row r="1722" spans="1:40" s="572" customFormat="1" ht="15">
      <c r="A1722" s="570" t="s">
        <v>3243</v>
      </c>
      <c r="B1722" s="569" t="s">
        <v>3244</v>
      </c>
      <c r="C1722" s="569" t="s">
        <v>543</v>
      </c>
      <c r="D1722" s="580" t="s">
        <v>544</v>
      </c>
      <c r="E1722" s="569" t="s">
        <v>1516</v>
      </c>
      <c r="F1722" s="569" t="s">
        <v>3009</v>
      </c>
      <c r="G1722" s="569" t="s">
        <v>545</v>
      </c>
      <c r="H1722" s="569">
        <v>2019</v>
      </c>
      <c r="I1722" s="569" t="s">
        <v>3245</v>
      </c>
      <c r="J1722" s="569" t="s">
        <v>273</v>
      </c>
      <c r="K1722" s="569" t="s">
        <v>156</v>
      </c>
      <c r="L1722" s="569">
        <v>2</v>
      </c>
      <c r="M1722" s="569">
        <v>0</v>
      </c>
      <c r="N1722" s="569" t="s">
        <v>157</v>
      </c>
      <c r="O1722" s="569">
        <v>1</v>
      </c>
      <c r="P1722" s="569">
        <v>73.7</v>
      </c>
      <c r="Q1722" s="568" t="s">
        <v>157</v>
      </c>
      <c r="R1722" s="569" t="s">
        <v>352</v>
      </c>
      <c r="S1722" s="569">
        <v>4</v>
      </c>
      <c r="T1722" s="569">
        <v>66119</v>
      </c>
      <c r="U1722" s="569" t="s">
        <v>157</v>
      </c>
      <c r="V1722" s="569">
        <v>115.2</v>
      </c>
      <c r="W1722" s="569">
        <v>14.5</v>
      </c>
      <c r="X1722" s="568">
        <v>4751</v>
      </c>
      <c r="Y1722" s="569">
        <v>25</v>
      </c>
      <c r="Z1722" s="581" t="s">
        <v>178</v>
      </c>
      <c r="AA1722" s="581" t="s">
        <v>178</v>
      </c>
      <c r="AB1722" s="585">
        <v>23245</v>
      </c>
      <c r="AC1722" s="585" t="s">
        <v>164</v>
      </c>
      <c r="AD1722" s="585">
        <v>18673</v>
      </c>
      <c r="AE1722" s="587">
        <v>0.03</v>
      </c>
      <c r="AF1722" s="661" t="str">
        <f t="shared" si="185"/>
        <v>2019-LVN-NIS-NV20-001-07</v>
      </c>
      <c r="AG1722" s="661" t="str">
        <f>IF(AND($Y1722&gt;=32,(AI1722="I"),(Y1722&lt;&gt;"~"),(COUNTIF($AN$1:$AN1722,$AN1722)=1)),"TRUE","FALSE")</f>
        <v>FALSE</v>
      </c>
      <c r="AH1722" s="661" t="str">
        <f>IF(AND($Y1722&gt;=22, (AI1722&lt;&gt;"I"),(Y1722&lt;&gt;"~"),(COUNTIF($AN$1:$AN1722,$AN1722)=1)),"TRUE","FALSE")</f>
        <v>TRUE</v>
      </c>
      <c r="AI1722" s="661" t="str">
        <f t="shared" si="187"/>
        <v>II</v>
      </c>
      <c r="AJ1722" s="662" t="str">
        <f t="shared" si="181"/>
        <v>NV20-001</v>
      </c>
      <c r="AK1722" s="662" t="str">
        <f t="shared" si="182"/>
        <v>LVN</v>
      </c>
      <c r="AL1722" s="662" t="str">
        <f t="shared" si="183"/>
        <v>NIS</v>
      </c>
      <c r="AM1722" s="662" t="str">
        <f t="shared" si="186"/>
        <v>NV200-S-FWD-2-73.7-~-2.0L-4-66119-~-115.2-14.5-Unleaded-Unleaded</v>
      </c>
      <c r="AN1722" s="662" t="str">
        <f t="shared" si="184"/>
        <v>2019-LVN-NIS-NV20-001</v>
      </c>
    </row>
    <row r="1723" spans="1:40" s="572" customFormat="1" ht="15">
      <c r="A1723" s="570" t="s">
        <v>3246</v>
      </c>
      <c r="B1723" s="573" t="s">
        <v>3247</v>
      </c>
      <c r="C1723" s="573" t="s">
        <v>543</v>
      </c>
      <c r="D1723" s="578" t="s">
        <v>544</v>
      </c>
      <c r="E1723" s="573" t="s">
        <v>1516</v>
      </c>
      <c r="F1723" s="573" t="s">
        <v>3009</v>
      </c>
      <c r="G1723" s="573" t="s">
        <v>545</v>
      </c>
      <c r="H1723" s="573">
        <v>2019</v>
      </c>
      <c r="I1723" s="573" t="s">
        <v>3245</v>
      </c>
      <c r="J1723" s="573" t="s">
        <v>273</v>
      </c>
      <c r="K1723" s="573" t="s">
        <v>156</v>
      </c>
      <c r="L1723" s="573">
        <v>2</v>
      </c>
      <c r="M1723" s="573">
        <v>0</v>
      </c>
      <c r="N1723" s="573" t="s">
        <v>157</v>
      </c>
      <c r="O1723" s="573">
        <v>1</v>
      </c>
      <c r="P1723" s="573">
        <v>73.7</v>
      </c>
      <c r="Q1723" s="571" t="s">
        <v>157</v>
      </c>
      <c r="R1723" s="573" t="s">
        <v>352</v>
      </c>
      <c r="S1723" s="573">
        <v>4</v>
      </c>
      <c r="T1723" s="573">
        <v>66119</v>
      </c>
      <c r="U1723" s="573" t="s">
        <v>157</v>
      </c>
      <c r="V1723" s="573">
        <v>115.2</v>
      </c>
      <c r="W1723" s="573">
        <v>14.5</v>
      </c>
      <c r="X1723" s="571">
        <v>4751</v>
      </c>
      <c r="Y1723" s="573">
        <v>25</v>
      </c>
      <c r="Z1723" s="579" t="s">
        <v>178</v>
      </c>
      <c r="AA1723" s="579" t="s">
        <v>178</v>
      </c>
      <c r="AB1723" s="584">
        <v>23245</v>
      </c>
      <c r="AC1723" s="584" t="s">
        <v>164</v>
      </c>
      <c r="AD1723" s="584">
        <v>18673</v>
      </c>
      <c r="AE1723" s="586">
        <v>0.03</v>
      </c>
      <c r="AF1723" s="661" t="str">
        <f t="shared" si="185"/>
        <v>2019-LVN-NIS-NV20-002-07</v>
      </c>
      <c r="AG1723" s="661" t="str">
        <f>IF(AND($Y1723&gt;=32,(AI1723="I"),(Y1723&lt;&gt;"~"),(COUNTIF($AN$1:$AN1723,$AN1723)=1)),"TRUE","FALSE")</f>
        <v>FALSE</v>
      </c>
      <c r="AH1723" s="661" t="str">
        <f>IF(AND($Y1723&gt;=22, (AI1723&lt;&gt;"I"),(Y1723&lt;&gt;"~"),(COUNTIF($AN$1:$AN1723,$AN1723)=1)),"TRUE","FALSE")</f>
        <v>TRUE</v>
      </c>
      <c r="AI1723" s="661" t="str">
        <f t="shared" si="187"/>
        <v>II</v>
      </c>
      <c r="AJ1723" s="662" t="str">
        <f t="shared" si="181"/>
        <v>NV20-002</v>
      </c>
      <c r="AK1723" s="662" t="str">
        <f t="shared" si="182"/>
        <v>LVN</v>
      </c>
      <c r="AL1723" s="662" t="str">
        <f t="shared" si="183"/>
        <v>NIS</v>
      </c>
      <c r="AM1723" s="662" t="str">
        <f t="shared" si="186"/>
        <v>NV200-S-FWD-2-73.7-~-2.0L-4-66119-~-115.2-14.5-Unleaded-Unleaded</v>
      </c>
      <c r="AN1723" s="662" t="str">
        <f t="shared" si="184"/>
        <v>2019-LVN-NIS-NV20-002</v>
      </c>
    </row>
    <row r="1724" spans="1:40" s="572" customFormat="1" ht="15">
      <c r="A1724" s="570" t="s">
        <v>3248</v>
      </c>
      <c r="B1724" s="569" t="s">
        <v>3244</v>
      </c>
      <c r="C1724" s="569" t="s">
        <v>549</v>
      </c>
      <c r="D1724" s="580">
        <v>16</v>
      </c>
      <c r="E1724" s="569" t="s">
        <v>1516</v>
      </c>
      <c r="F1724" s="569" t="s">
        <v>3009</v>
      </c>
      <c r="G1724" s="569" t="s">
        <v>545</v>
      </c>
      <c r="H1724" s="569">
        <v>2019</v>
      </c>
      <c r="I1724" s="569" t="s">
        <v>3245</v>
      </c>
      <c r="J1724" s="569" t="s">
        <v>273</v>
      </c>
      <c r="K1724" s="569" t="s">
        <v>156</v>
      </c>
      <c r="L1724" s="569">
        <v>2</v>
      </c>
      <c r="M1724" s="569">
        <v>0</v>
      </c>
      <c r="N1724" s="569" t="s">
        <v>157</v>
      </c>
      <c r="O1724" s="569">
        <v>1</v>
      </c>
      <c r="P1724" s="569">
        <v>73.7</v>
      </c>
      <c r="Q1724" s="568" t="s">
        <v>157</v>
      </c>
      <c r="R1724" s="569" t="s">
        <v>352</v>
      </c>
      <c r="S1724" s="569">
        <v>4</v>
      </c>
      <c r="T1724" s="569">
        <v>66119</v>
      </c>
      <c r="U1724" s="569" t="s">
        <v>157</v>
      </c>
      <c r="V1724" s="569">
        <v>115.2</v>
      </c>
      <c r="W1724" s="569">
        <v>14.5</v>
      </c>
      <c r="X1724" s="568">
        <v>4751</v>
      </c>
      <c r="Y1724" s="569">
        <v>25</v>
      </c>
      <c r="Z1724" s="581" t="s">
        <v>178</v>
      </c>
      <c r="AA1724" s="581" t="s">
        <v>178</v>
      </c>
      <c r="AB1724" s="585">
        <v>23195</v>
      </c>
      <c r="AC1724" s="585" t="s">
        <v>164</v>
      </c>
      <c r="AD1724" s="585">
        <v>17990</v>
      </c>
      <c r="AE1724" s="587">
        <v>0.05</v>
      </c>
      <c r="AF1724" s="661" t="str">
        <f t="shared" si="185"/>
        <v>2019-LVN-NIS-NV20-001-16</v>
      </c>
      <c r="AG1724" s="661" t="str">
        <f>IF(AND($Y1724&gt;=32,(AI1724="I"),(Y1724&lt;&gt;"~"),(COUNTIF($AN$1:$AN1724,$AN1724)=1)),"TRUE","FALSE")</f>
        <v>FALSE</v>
      </c>
      <c r="AH1724" s="661" t="str">
        <f>IF(AND($Y1724&gt;=22, (AI1724&lt;&gt;"I"),(Y1724&lt;&gt;"~"),(COUNTIF($AN$1:$AN1724,$AN1724)=1)),"TRUE","FALSE")</f>
        <v>FALSE</v>
      </c>
      <c r="AI1724" s="661" t="str">
        <f t="shared" si="187"/>
        <v>II</v>
      </c>
      <c r="AJ1724" s="662" t="str">
        <f t="shared" si="181"/>
        <v>NV20-001</v>
      </c>
      <c r="AK1724" s="662" t="str">
        <f t="shared" si="182"/>
        <v>LVN</v>
      </c>
      <c r="AL1724" s="662" t="str">
        <f t="shared" si="183"/>
        <v>NIS</v>
      </c>
      <c r="AM1724" s="662" t="str">
        <f t="shared" si="186"/>
        <v>NV200-S-FWD-2-73.7-~-2.0L-4-66119-~-115.2-14.5-Unleaded-Unleaded</v>
      </c>
      <c r="AN1724" s="662" t="str">
        <f t="shared" si="184"/>
        <v>2019-LVN-NIS-NV20-001</v>
      </c>
    </row>
    <row r="1725" spans="1:40" s="572" customFormat="1" ht="15">
      <c r="A1725" s="570" t="s">
        <v>3249</v>
      </c>
      <c r="B1725" s="573" t="s">
        <v>3250</v>
      </c>
      <c r="C1725" s="573" t="s">
        <v>543</v>
      </c>
      <c r="D1725" s="578" t="s">
        <v>544</v>
      </c>
      <c r="E1725" s="573" t="s">
        <v>1516</v>
      </c>
      <c r="F1725" s="573" t="s">
        <v>3009</v>
      </c>
      <c r="G1725" s="573" t="s">
        <v>545</v>
      </c>
      <c r="H1725" s="573">
        <v>2019</v>
      </c>
      <c r="I1725" s="573" t="s">
        <v>3245</v>
      </c>
      <c r="J1725" s="573" t="s">
        <v>575</v>
      </c>
      <c r="K1725" s="573" t="s">
        <v>156</v>
      </c>
      <c r="L1725" s="573">
        <v>2</v>
      </c>
      <c r="M1725" s="573">
        <v>0</v>
      </c>
      <c r="N1725" s="573" t="s">
        <v>157</v>
      </c>
      <c r="O1725" s="573">
        <v>1</v>
      </c>
      <c r="P1725" s="573">
        <v>73.7</v>
      </c>
      <c r="Q1725" s="571" t="s">
        <v>157</v>
      </c>
      <c r="R1725" s="573" t="s">
        <v>352</v>
      </c>
      <c r="S1725" s="573">
        <v>4</v>
      </c>
      <c r="T1725" s="573">
        <v>66219</v>
      </c>
      <c r="U1725" s="573" t="s">
        <v>157</v>
      </c>
      <c r="V1725" s="573">
        <v>115.2</v>
      </c>
      <c r="W1725" s="573">
        <v>14.5</v>
      </c>
      <c r="X1725" s="571">
        <v>4751</v>
      </c>
      <c r="Y1725" s="573">
        <v>25</v>
      </c>
      <c r="Z1725" s="579" t="s">
        <v>178</v>
      </c>
      <c r="AA1725" s="579" t="s">
        <v>178</v>
      </c>
      <c r="AB1725" s="584">
        <v>24245</v>
      </c>
      <c r="AC1725" s="584" t="s">
        <v>164</v>
      </c>
      <c r="AD1725" s="584">
        <v>19663</v>
      </c>
      <c r="AE1725" s="586">
        <v>0.03</v>
      </c>
      <c r="AF1725" s="661" t="str">
        <f t="shared" si="185"/>
        <v>2019-LVN-NIS-NV20-003-07</v>
      </c>
      <c r="AG1725" s="661" t="str">
        <f>IF(AND($Y1725&gt;=32,(AI1725="I"),(Y1725&lt;&gt;"~"),(COUNTIF($AN$1:$AN1725,$AN1725)=1)),"TRUE","FALSE")</f>
        <v>FALSE</v>
      </c>
      <c r="AH1725" s="661" t="str">
        <f>IF(AND($Y1725&gt;=22, (AI1725&lt;&gt;"I"),(Y1725&lt;&gt;"~"),(COUNTIF($AN$1:$AN1725,$AN1725)=1)),"TRUE","FALSE")</f>
        <v>TRUE</v>
      </c>
      <c r="AI1725" s="661" t="str">
        <f t="shared" si="187"/>
        <v>II</v>
      </c>
      <c r="AJ1725" s="662" t="str">
        <f t="shared" si="181"/>
        <v>NV20-003</v>
      </c>
      <c r="AK1725" s="662" t="str">
        <f t="shared" si="182"/>
        <v>LVN</v>
      </c>
      <c r="AL1725" s="662" t="str">
        <f t="shared" si="183"/>
        <v>NIS</v>
      </c>
      <c r="AM1725" s="662" t="str">
        <f t="shared" si="186"/>
        <v>NV200-SV-FWD-2-73.7-~-2.0L-4-66219-~-115.2-14.5-Unleaded-Unleaded</v>
      </c>
      <c r="AN1725" s="662" t="str">
        <f t="shared" si="184"/>
        <v>2019-LVN-NIS-NV20-003</v>
      </c>
    </row>
    <row r="1726" spans="1:40" s="572" customFormat="1" ht="15">
      <c r="A1726" s="570" t="s">
        <v>3251</v>
      </c>
      <c r="B1726" s="569" t="s">
        <v>3252</v>
      </c>
      <c r="C1726" s="569" t="s">
        <v>543</v>
      </c>
      <c r="D1726" s="580" t="s">
        <v>544</v>
      </c>
      <c r="E1726" s="569" t="s">
        <v>1516</v>
      </c>
      <c r="F1726" s="569" t="s">
        <v>3009</v>
      </c>
      <c r="G1726" s="569" t="s">
        <v>545</v>
      </c>
      <c r="H1726" s="569">
        <v>2019</v>
      </c>
      <c r="I1726" s="569" t="s">
        <v>3245</v>
      </c>
      <c r="J1726" s="569" t="s">
        <v>575</v>
      </c>
      <c r="K1726" s="569" t="s">
        <v>156</v>
      </c>
      <c r="L1726" s="569">
        <v>2</v>
      </c>
      <c r="M1726" s="569">
        <v>0</v>
      </c>
      <c r="N1726" s="569" t="s">
        <v>157</v>
      </c>
      <c r="O1726" s="569">
        <v>1</v>
      </c>
      <c r="P1726" s="569">
        <v>73.7</v>
      </c>
      <c r="Q1726" s="568" t="s">
        <v>157</v>
      </c>
      <c r="R1726" s="569" t="s">
        <v>352</v>
      </c>
      <c r="S1726" s="569">
        <v>4</v>
      </c>
      <c r="T1726" s="569">
        <v>66219</v>
      </c>
      <c r="U1726" s="569" t="s">
        <v>157</v>
      </c>
      <c r="V1726" s="569">
        <v>115.2</v>
      </c>
      <c r="W1726" s="569">
        <v>14.5</v>
      </c>
      <c r="X1726" s="568">
        <v>4751</v>
      </c>
      <c r="Y1726" s="569">
        <v>25</v>
      </c>
      <c r="Z1726" s="581" t="s">
        <v>178</v>
      </c>
      <c r="AA1726" s="581" t="s">
        <v>178</v>
      </c>
      <c r="AB1726" s="585">
        <v>24245</v>
      </c>
      <c r="AC1726" s="585" t="s">
        <v>164</v>
      </c>
      <c r="AD1726" s="585">
        <v>19663</v>
      </c>
      <c r="AE1726" s="587">
        <v>0.03</v>
      </c>
      <c r="AF1726" s="661" t="str">
        <f t="shared" si="185"/>
        <v>2019-LVN-NIS-NV20-004-07</v>
      </c>
      <c r="AG1726" s="661" t="str">
        <f>IF(AND($Y1726&gt;=32,(AI1726="I"),(Y1726&lt;&gt;"~"),(COUNTIF($AN$1:$AN1726,$AN1726)=1)),"TRUE","FALSE")</f>
        <v>FALSE</v>
      </c>
      <c r="AH1726" s="661" t="str">
        <f>IF(AND($Y1726&gt;=22, (AI1726&lt;&gt;"I"),(Y1726&lt;&gt;"~"),(COUNTIF($AN$1:$AN1726,$AN1726)=1)),"TRUE","FALSE")</f>
        <v>TRUE</v>
      </c>
      <c r="AI1726" s="661" t="str">
        <f t="shared" si="187"/>
        <v>II</v>
      </c>
      <c r="AJ1726" s="662" t="str">
        <f t="shared" si="181"/>
        <v>NV20-004</v>
      </c>
      <c r="AK1726" s="662" t="str">
        <f t="shared" si="182"/>
        <v>LVN</v>
      </c>
      <c r="AL1726" s="662" t="str">
        <f t="shared" si="183"/>
        <v>NIS</v>
      </c>
      <c r="AM1726" s="662" t="str">
        <f t="shared" si="186"/>
        <v>NV200-SV-FWD-2-73.7-~-2.0L-4-66219-~-115.2-14.5-Unleaded-Unleaded</v>
      </c>
      <c r="AN1726" s="662" t="str">
        <f t="shared" si="184"/>
        <v>2019-LVN-NIS-NV20-004</v>
      </c>
    </row>
    <row r="1727" spans="1:40" s="572" customFormat="1" ht="15">
      <c r="A1727" s="570" t="s">
        <v>3253</v>
      </c>
      <c r="B1727" s="573" t="s">
        <v>3250</v>
      </c>
      <c r="C1727" s="573" t="s">
        <v>549</v>
      </c>
      <c r="D1727" s="578">
        <v>16</v>
      </c>
      <c r="E1727" s="573" t="s">
        <v>1516</v>
      </c>
      <c r="F1727" s="573" t="s">
        <v>3009</v>
      </c>
      <c r="G1727" s="573" t="s">
        <v>545</v>
      </c>
      <c r="H1727" s="573">
        <v>2019</v>
      </c>
      <c r="I1727" s="573" t="s">
        <v>3245</v>
      </c>
      <c r="J1727" s="573" t="s">
        <v>575</v>
      </c>
      <c r="K1727" s="573" t="s">
        <v>156</v>
      </c>
      <c r="L1727" s="573">
        <v>2</v>
      </c>
      <c r="M1727" s="573">
        <v>0</v>
      </c>
      <c r="N1727" s="573" t="s">
        <v>157</v>
      </c>
      <c r="O1727" s="573">
        <v>1</v>
      </c>
      <c r="P1727" s="573">
        <v>73.7</v>
      </c>
      <c r="Q1727" s="571" t="s">
        <v>157</v>
      </c>
      <c r="R1727" s="573" t="s">
        <v>352</v>
      </c>
      <c r="S1727" s="573">
        <v>4</v>
      </c>
      <c r="T1727" s="573">
        <v>66219</v>
      </c>
      <c r="U1727" s="573" t="s">
        <v>157</v>
      </c>
      <c r="V1727" s="573">
        <v>115.2</v>
      </c>
      <c r="W1727" s="573">
        <v>14.5</v>
      </c>
      <c r="X1727" s="571">
        <v>4751</v>
      </c>
      <c r="Y1727" s="573">
        <v>25</v>
      </c>
      <c r="Z1727" s="579" t="s">
        <v>178</v>
      </c>
      <c r="AA1727" s="579" t="s">
        <v>178</v>
      </c>
      <c r="AB1727" s="584">
        <v>24195</v>
      </c>
      <c r="AC1727" s="584" t="s">
        <v>164</v>
      </c>
      <c r="AD1727" s="584">
        <v>18990</v>
      </c>
      <c r="AE1727" s="586">
        <v>0.05</v>
      </c>
      <c r="AF1727" s="661" t="str">
        <f t="shared" si="185"/>
        <v>2019-LVN-NIS-NV20-003-16</v>
      </c>
      <c r="AG1727" s="661" t="str">
        <f>IF(AND($Y1727&gt;=32,(AI1727="I"),(Y1727&lt;&gt;"~"),(COUNTIF($AN$1:$AN1727,$AN1727)=1)),"TRUE","FALSE")</f>
        <v>FALSE</v>
      </c>
      <c r="AH1727" s="661" t="str">
        <f>IF(AND($Y1727&gt;=22, (AI1727&lt;&gt;"I"),(Y1727&lt;&gt;"~"),(COUNTIF($AN$1:$AN1727,$AN1727)=1)),"TRUE","FALSE")</f>
        <v>FALSE</v>
      </c>
      <c r="AI1727" s="661" t="str">
        <f t="shared" si="187"/>
        <v>II</v>
      </c>
      <c r="AJ1727" s="662" t="str">
        <f t="shared" si="181"/>
        <v>NV20-003</v>
      </c>
      <c r="AK1727" s="662" t="str">
        <f t="shared" si="182"/>
        <v>LVN</v>
      </c>
      <c r="AL1727" s="662" t="str">
        <f t="shared" si="183"/>
        <v>NIS</v>
      </c>
      <c r="AM1727" s="662" t="str">
        <f t="shared" si="186"/>
        <v>NV200-SV-FWD-2-73.7-~-2.0L-4-66219-~-115.2-14.5-Unleaded-Unleaded</v>
      </c>
      <c r="AN1727" s="662" t="str">
        <f t="shared" si="184"/>
        <v>2019-LVN-NIS-NV20-003</v>
      </c>
    </row>
    <row r="1728" spans="1:40" s="572" customFormat="1" ht="15">
      <c r="A1728" s="570" t="s">
        <v>3254</v>
      </c>
      <c r="B1728" s="569" t="s">
        <v>3255</v>
      </c>
      <c r="C1728" s="569" t="s">
        <v>543</v>
      </c>
      <c r="D1728" s="580" t="s">
        <v>544</v>
      </c>
      <c r="E1728" s="569" t="s">
        <v>1516</v>
      </c>
      <c r="F1728" s="569" t="s">
        <v>1607</v>
      </c>
      <c r="G1728" s="569" t="s">
        <v>545</v>
      </c>
      <c r="H1728" s="569">
        <v>2019</v>
      </c>
      <c r="I1728" s="569" t="s">
        <v>3256</v>
      </c>
      <c r="J1728" s="569" t="s">
        <v>273</v>
      </c>
      <c r="K1728" s="569" t="s">
        <v>236</v>
      </c>
      <c r="L1728" s="569">
        <v>12</v>
      </c>
      <c r="M1728" s="569">
        <v>0</v>
      </c>
      <c r="N1728" s="569" t="s">
        <v>157</v>
      </c>
      <c r="O1728" s="569">
        <v>4</v>
      </c>
      <c r="P1728" s="569">
        <v>84</v>
      </c>
      <c r="Q1728" s="568" t="s">
        <v>157</v>
      </c>
      <c r="R1728" s="569" t="s">
        <v>3193</v>
      </c>
      <c r="S1728" s="569">
        <v>6</v>
      </c>
      <c r="T1728" s="569">
        <v>65119</v>
      </c>
      <c r="U1728" s="569" t="s">
        <v>157</v>
      </c>
      <c r="V1728" s="569">
        <v>146.1</v>
      </c>
      <c r="W1728" s="569">
        <v>28</v>
      </c>
      <c r="X1728" s="568">
        <v>9520</v>
      </c>
      <c r="Y1728" s="569">
        <v>12</v>
      </c>
      <c r="Z1728" s="581" t="s">
        <v>178</v>
      </c>
      <c r="AA1728" s="581" t="s">
        <v>178</v>
      </c>
      <c r="AB1728" s="585">
        <v>37055</v>
      </c>
      <c r="AC1728" s="585" t="s">
        <v>164</v>
      </c>
      <c r="AD1728" s="585">
        <v>32348.400000000001</v>
      </c>
      <c r="AE1728" s="587">
        <v>0.03</v>
      </c>
      <c r="AF1728" s="661" t="str">
        <f t="shared" si="185"/>
        <v>2019-LVN-NIS-NVP3-002-07</v>
      </c>
      <c r="AG1728" s="661" t="str">
        <f>IF(AND($Y1728&gt;=32,(AI1728="I"),(Y1728&lt;&gt;"~"),(COUNTIF($AN$1:$AN1728,$AN1728)=1)),"TRUE","FALSE")</f>
        <v>FALSE</v>
      </c>
      <c r="AH1728" s="661" t="str">
        <f>IF(AND($Y1728&gt;=22, (AI1728&lt;&gt;"I"),(Y1728&lt;&gt;"~"),(COUNTIF($AN$1:$AN1728,$AN1728)=1)),"TRUE","FALSE")</f>
        <v>FALSE</v>
      </c>
      <c r="AI1728" s="661" t="str">
        <f t="shared" si="187"/>
        <v>II</v>
      </c>
      <c r="AJ1728" s="662" t="str">
        <f t="shared" si="181"/>
        <v>NVP3-002</v>
      </c>
      <c r="AK1728" s="662" t="str">
        <f t="shared" si="182"/>
        <v>LVN</v>
      </c>
      <c r="AL1728" s="662" t="str">
        <f t="shared" si="183"/>
        <v>NIS</v>
      </c>
      <c r="AM1728" s="662" t="str">
        <f t="shared" si="186"/>
        <v>NVP 3500-S-RWD-12-84-~-4.0L-6-65119-~-146.1-28-Unleaded-Unleaded</v>
      </c>
      <c r="AN1728" s="662" t="str">
        <f t="shared" si="184"/>
        <v>2019-LVN-NIS-NVP3-002</v>
      </c>
    </row>
    <row r="1729" spans="1:40" s="572" customFormat="1" ht="15">
      <c r="A1729" s="570" t="s">
        <v>3257</v>
      </c>
      <c r="B1729" s="573" t="s">
        <v>3255</v>
      </c>
      <c r="C1729" s="573" t="s">
        <v>549</v>
      </c>
      <c r="D1729" s="578">
        <v>16</v>
      </c>
      <c r="E1729" s="573" t="s">
        <v>1516</v>
      </c>
      <c r="F1729" s="573" t="s">
        <v>1607</v>
      </c>
      <c r="G1729" s="573" t="s">
        <v>545</v>
      </c>
      <c r="H1729" s="573">
        <v>2019</v>
      </c>
      <c r="I1729" s="573" t="s">
        <v>3256</v>
      </c>
      <c r="J1729" s="573" t="s">
        <v>273</v>
      </c>
      <c r="K1729" s="573" t="s">
        <v>236</v>
      </c>
      <c r="L1729" s="573">
        <v>12</v>
      </c>
      <c r="M1729" s="573">
        <v>0</v>
      </c>
      <c r="N1729" s="573" t="s">
        <v>157</v>
      </c>
      <c r="O1729" s="573"/>
      <c r="P1729" s="573">
        <v>84</v>
      </c>
      <c r="Q1729" s="571" t="s">
        <v>157</v>
      </c>
      <c r="R1729" s="573" t="s">
        <v>3193</v>
      </c>
      <c r="S1729" s="573">
        <v>6</v>
      </c>
      <c r="T1729" s="573">
        <v>65119</v>
      </c>
      <c r="U1729" s="573" t="s">
        <v>157</v>
      </c>
      <c r="V1729" s="573">
        <v>146.1</v>
      </c>
      <c r="W1729" s="573">
        <v>28</v>
      </c>
      <c r="X1729" s="571">
        <v>9520</v>
      </c>
      <c r="Y1729" s="569">
        <v>12</v>
      </c>
      <c r="Z1729" s="579" t="s">
        <v>178</v>
      </c>
      <c r="AA1729" s="579" t="s">
        <v>178</v>
      </c>
      <c r="AB1729" s="584">
        <v>37055</v>
      </c>
      <c r="AC1729" s="584" t="s">
        <v>164</v>
      </c>
      <c r="AD1729" s="584">
        <v>31990</v>
      </c>
      <c r="AE1729" s="586">
        <v>0.05</v>
      </c>
      <c r="AF1729" s="661" t="str">
        <f t="shared" si="185"/>
        <v>2019-LVN-NIS-NVP3-002-16</v>
      </c>
      <c r="AG1729" s="661" t="str">
        <f>IF(AND($Y1729&gt;=32,(AI1729="I"),(Y1729&lt;&gt;"~"),(COUNTIF($AN$1:$AN1729,$AN1729)=1)),"TRUE","FALSE")</f>
        <v>FALSE</v>
      </c>
      <c r="AH1729" s="661" t="str">
        <f>IF(AND($Y1729&gt;=22, (AI1729&lt;&gt;"I"),(Y1729&lt;&gt;"~"),(COUNTIF($AN$1:$AN1729,$AN1729)=1)),"TRUE","FALSE")</f>
        <v>FALSE</v>
      </c>
      <c r="AI1729" s="661" t="str">
        <f t="shared" si="187"/>
        <v>II</v>
      </c>
      <c r="AJ1729" s="662" t="str">
        <f t="shared" si="181"/>
        <v>NVP3-002</v>
      </c>
      <c r="AK1729" s="662" t="str">
        <f t="shared" si="182"/>
        <v>LVN</v>
      </c>
      <c r="AL1729" s="662" t="str">
        <f t="shared" si="183"/>
        <v>NIS</v>
      </c>
      <c r="AM1729" s="662" t="str">
        <f t="shared" si="186"/>
        <v>NVP 3500-S-RWD-12-84-~-4.0L-6-65119-~-146.1-28-Unleaded-Unleaded</v>
      </c>
      <c r="AN1729" s="662" t="str">
        <f t="shared" si="184"/>
        <v>2019-LVN-NIS-NVP3-002</v>
      </c>
    </row>
    <row r="1730" spans="1:40" s="572" customFormat="1" ht="15">
      <c r="A1730" s="570" t="s">
        <v>3258</v>
      </c>
      <c r="B1730" s="569" t="s">
        <v>3259</v>
      </c>
      <c r="C1730" s="569" t="s">
        <v>543</v>
      </c>
      <c r="D1730" s="580" t="s">
        <v>544</v>
      </c>
      <c r="E1730" s="569" t="s">
        <v>1516</v>
      </c>
      <c r="F1730" s="569" t="s">
        <v>1607</v>
      </c>
      <c r="G1730" s="569" t="s">
        <v>545</v>
      </c>
      <c r="H1730" s="569">
        <v>2019</v>
      </c>
      <c r="I1730" s="569" t="s">
        <v>3256</v>
      </c>
      <c r="J1730" s="569" t="s">
        <v>574</v>
      </c>
      <c r="K1730" s="569" t="s">
        <v>236</v>
      </c>
      <c r="L1730" s="569">
        <v>12</v>
      </c>
      <c r="M1730" s="569">
        <v>0</v>
      </c>
      <c r="N1730" s="569" t="s">
        <v>157</v>
      </c>
      <c r="O1730" s="569">
        <v>4</v>
      </c>
      <c r="P1730" s="569">
        <v>84</v>
      </c>
      <c r="Q1730" s="568" t="s">
        <v>157</v>
      </c>
      <c r="R1730" s="569" t="s">
        <v>3203</v>
      </c>
      <c r="S1730" s="569">
        <v>8</v>
      </c>
      <c r="T1730" s="569">
        <v>65319</v>
      </c>
      <c r="U1730" s="569" t="s">
        <v>157</v>
      </c>
      <c r="V1730" s="569">
        <v>146.1</v>
      </c>
      <c r="W1730" s="569">
        <v>28</v>
      </c>
      <c r="X1730" s="568">
        <v>9480</v>
      </c>
      <c r="Y1730" s="573">
        <v>11</v>
      </c>
      <c r="Z1730" s="581" t="s">
        <v>178</v>
      </c>
      <c r="AA1730" s="581" t="s">
        <v>178</v>
      </c>
      <c r="AB1730" s="585">
        <v>43805</v>
      </c>
      <c r="AC1730" s="585" t="s">
        <v>164</v>
      </c>
      <c r="AD1730" s="585">
        <v>39030.9</v>
      </c>
      <c r="AE1730" s="587">
        <v>0.03</v>
      </c>
      <c r="AF1730" s="661" t="str">
        <f t="shared" si="185"/>
        <v>2019-LVN-NIS-NVP3-001-07</v>
      </c>
      <c r="AG1730" s="661" t="str">
        <f>IF(AND($Y1730&gt;=32,(AI1730="I"),(Y1730&lt;&gt;"~"),(COUNTIF($AN$1:$AN1730,$AN1730)=1)),"TRUE","FALSE")</f>
        <v>FALSE</v>
      </c>
      <c r="AH1730" s="661" t="str">
        <f>IF(AND($Y1730&gt;=22, (AI1730&lt;&gt;"I"),(Y1730&lt;&gt;"~"),(COUNTIF($AN$1:$AN1730,$AN1730)=1)),"TRUE","FALSE")</f>
        <v>FALSE</v>
      </c>
      <c r="AI1730" s="661" t="str">
        <f t="shared" si="187"/>
        <v>II</v>
      </c>
      <c r="AJ1730" s="662" t="str">
        <f t="shared" si="181"/>
        <v>NVP3-001</v>
      </c>
      <c r="AK1730" s="662" t="str">
        <f t="shared" si="182"/>
        <v>LVN</v>
      </c>
      <c r="AL1730" s="662" t="str">
        <f t="shared" si="183"/>
        <v>NIS</v>
      </c>
      <c r="AM1730" s="662" t="str">
        <f t="shared" si="186"/>
        <v>NVP 3500-SL-RWD-12-84-~-5.6L-8-65319-~-146.1-28-Unleaded-Unleaded</v>
      </c>
      <c r="AN1730" s="662" t="str">
        <f t="shared" si="184"/>
        <v>2019-LVN-NIS-NVP3-001</v>
      </c>
    </row>
    <row r="1731" spans="1:40" s="572" customFormat="1" ht="15">
      <c r="A1731" s="570" t="s">
        <v>3260</v>
      </c>
      <c r="B1731" s="573" t="s">
        <v>3261</v>
      </c>
      <c r="C1731" s="573" t="s">
        <v>543</v>
      </c>
      <c r="D1731" s="578" t="s">
        <v>544</v>
      </c>
      <c r="E1731" s="573" t="s">
        <v>1516</v>
      </c>
      <c r="F1731" s="573" t="s">
        <v>1607</v>
      </c>
      <c r="G1731" s="573" t="s">
        <v>545</v>
      </c>
      <c r="H1731" s="573">
        <v>2019</v>
      </c>
      <c r="I1731" s="573" t="s">
        <v>3256</v>
      </c>
      <c r="J1731" s="573" t="s">
        <v>575</v>
      </c>
      <c r="K1731" s="573" t="s">
        <v>236</v>
      </c>
      <c r="L1731" s="573">
        <v>12</v>
      </c>
      <c r="M1731" s="573">
        <v>0</v>
      </c>
      <c r="N1731" s="573" t="s">
        <v>157</v>
      </c>
      <c r="O1731" s="573">
        <v>4</v>
      </c>
      <c r="P1731" s="573">
        <v>84</v>
      </c>
      <c r="Q1731" s="571" t="s">
        <v>157</v>
      </c>
      <c r="R1731" s="573" t="s">
        <v>3193</v>
      </c>
      <c r="S1731" s="573">
        <v>6</v>
      </c>
      <c r="T1731" s="573">
        <v>65219</v>
      </c>
      <c r="U1731" s="573" t="s">
        <v>157</v>
      </c>
      <c r="V1731" s="573">
        <v>146.1</v>
      </c>
      <c r="W1731" s="573">
        <v>28</v>
      </c>
      <c r="X1731" s="571">
        <v>9520</v>
      </c>
      <c r="Y1731" s="569">
        <v>12</v>
      </c>
      <c r="Z1731" s="579" t="s">
        <v>178</v>
      </c>
      <c r="AA1731" s="579" t="s">
        <v>178</v>
      </c>
      <c r="AB1731" s="584">
        <v>39005</v>
      </c>
      <c r="AC1731" s="584" t="s">
        <v>164</v>
      </c>
      <c r="AD1731" s="584">
        <v>34278.9</v>
      </c>
      <c r="AE1731" s="586">
        <v>0.03</v>
      </c>
      <c r="AF1731" s="661" t="str">
        <f t="shared" si="185"/>
        <v>2019-LVN-NIS-NVP3-004-07</v>
      </c>
      <c r="AG1731" s="661" t="str">
        <f>IF(AND($Y1731&gt;=32,(AI1731="I"),(Y1731&lt;&gt;"~"),(COUNTIF($AN$1:$AN1731,$AN1731)=1)),"TRUE","FALSE")</f>
        <v>FALSE</v>
      </c>
      <c r="AH1731" s="661" t="str">
        <f>IF(AND($Y1731&gt;=22, (AI1731&lt;&gt;"I"),(Y1731&lt;&gt;"~"),(COUNTIF($AN$1:$AN1731,$AN1731)=1)),"TRUE","FALSE")</f>
        <v>FALSE</v>
      </c>
      <c r="AI1731" s="661" t="str">
        <f t="shared" si="187"/>
        <v>II</v>
      </c>
      <c r="AJ1731" s="662" t="str">
        <f t="shared" ref="AJ1731:AJ1794" si="188">MID(A1731,14,8)</f>
        <v>NVP3-004</v>
      </c>
      <c r="AK1731" s="662" t="str">
        <f t="shared" ref="AK1731:AK1794" si="189">MID(A1731,6,3)</f>
        <v>LVN</v>
      </c>
      <c r="AL1731" s="662" t="str">
        <f t="shared" ref="AL1731:AL1794" si="190">MID(A1731,10,3)</f>
        <v>NIS</v>
      </c>
      <c r="AM1731" s="662" t="str">
        <f t="shared" si="186"/>
        <v>NVP 3500-SV-RWD-12-84-~-4.0L-6-65219-~-146.1-28-Unleaded-Unleaded</v>
      </c>
      <c r="AN1731" s="662" t="str">
        <f t="shared" ref="AN1731:AN1794" si="191">LEFT(A1731,21)</f>
        <v>2019-LVN-NIS-NVP3-004</v>
      </c>
    </row>
    <row r="1732" spans="1:40" s="572" customFormat="1" ht="15">
      <c r="A1732" s="570" t="s">
        <v>3262</v>
      </c>
      <c r="B1732" s="569" t="s">
        <v>3261</v>
      </c>
      <c r="C1732" s="569" t="s">
        <v>549</v>
      </c>
      <c r="D1732" s="580">
        <v>16</v>
      </c>
      <c r="E1732" s="569" t="s">
        <v>1516</v>
      </c>
      <c r="F1732" s="569" t="s">
        <v>1607</v>
      </c>
      <c r="G1732" s="569" t="s">
        <v>545</v>
      </c>
      <c r="H1732" s="569">
        <v>2019</v>
      </c>
      <c r="I1732" s="569" t="s">
        <v>3256</v>
      </c>
      <c r="J1732" s="569" t="s">
        <v>575</v>
      </c>
      <c r="K1732" s="569" t="s">
        <v>236</v>
      </c>
      <c r="L1732" s="569">
        <v>12</v>
      </c>
      <c r="M1732" s="569">
        <v>0</v>
      </c>
      <c r="N1732" s="569" t="s">
        <v>157</v>
      </c>
      <c r="O1732" s="569"/>
      <c r="P1732" s="569">
        <v>84</v>
      </c>
      <c r="Q1732" s="568" t="s">
        <v>157</v>
      </c>
      <c r="R1732" s="569" t="s">
        <v>3193</v>
      </c>
      <c r="S1732" s="569">
        <v>6</v>
      </c>
      <c r="T1732" s="569">
        <v>65219</v>
      </c>
      <c r="U1732" s="569" t="s">
        <v>157</v>
      </c>
      <c r="V1732" s="569">
        <v>146.1</v>
      </c>
      <c r="W1732" s="569">
        <v>28</v>
      </c>
      <c r="X1732" s="568">
        <v>9520</v>
      </c>
      <c r="Y1732" s="569">
        <v>12</v>
      </c>
      <c r="Z1732" s="581" t="s">
        <v>178</v>
      </c>
      <c r="AA1732" s="581" t="s">
        <v>178</v>
      </c>
      <c r="AB1732" s="585">
        <v>39005</v>
      </c>
      <c r="AC1732" s="585" t="s">
        <v>164</v>
      </c>
      <c r="AD1732" s="585">
        <v>33990</v>
      </c>
      <c r="AE1732" s="587">
        <v>0.05</v>
      </c>
      <c r="AF1732" s="661" t="str">
        <f t="shared" si="185"/>
        <v>2019-LVN-NIS-NVP3-004-16</v>
      </c>
      <c r="AG1732" s="661" t="str">
        <f>IF(AND($Y1732&gt;=32,(AI1732="I"),(Y1732&lt;&gt;"~"),(COUNTIF($AN$1:$AN1732,$AN1732)=1)),"TRUE","FALSE")</f>
        <v>FALSE</v>
      </c>
      <c r="AH1732" s="661" t="str">
        <f>IF(AND($Y1732&gt;=22, (AI1732&lt;&gt;"I"),(Y1732&lt;&gt;"~"),(COUNTIF($AN$1:$AN1732,$AN1732)=1)),"TRUE","FALSE")</f>
        <v>FALSE</v>
      </c>
      <c r="AI1732" s="661" t="str">
        <f t="shared" si="187"/>
        <v>II</v>
      </c>
      <c r="AJ1732" s="662" t="str">
        <f t="shared" si="188"/>
        <v>NVP3-004</v>
      </c>
      <c r="AK1732" s="662" t="str">
        <f t="shared" si="189"/>
        <v>LVN</v>
      </c>
      <c r="AL1732" s="662" t="str">
        <f t="shared" si="190"/>
        <v>NIS</v>
      </c>
      <c r="AM1732" s="662" t="str">
        <f t="shared" si="186"/>
        <v>NVP 3500-SV-RWD-12-84-~-4.0L-6-65219-~-146.1-28-Unleaded-Unleaded</v>
      </c>
      <c r="AN1732" s="662" t="str">
        <f t="shared" si="191"/>
        <v>2019-LVN-NIS-NVP3-004</v>
      </c>
    </row>
    <row r="1733" spans="1:40" s="572" customFormat="1" ht="15">
      <c r="A1733" s="570" t="s">
        <v>3263</v>
      </c>
      <c r="B1733" s="573" t="s">
        <v>3264</v>
      </c>
      <c r="C1733" s="573" t="s">
        <v>240</v>
      </c>
      <c r="D1733" s="578" t="s">
        <v>241</v>
      </c>
      <c r="E1733" s="573" t="s">
        <v>1516</v>
      </c>
      <c r="F1733" s="573" t="s">
        <v>1914</v>
      </c>
      <c r="G1733" s="573" t="s">
        <v>3265</v>
      </c>
      <c r="H1733" s="573">
        <v>2019</v>
      </c>
      <c r="I1733" s="573" t="s">
        <v>3266</v>
      </c>
      <c r="J1733" s="573" t="s">
        <v>1519</v>
      </c>
      <c r="K1733" s="573" t="s">
        <v>156</v>
      </c>
      <c r="L1733" s="573">
        <v>2</v>
      </c>
      <c r="M1733" s="573">
        <v>0</v>
      </c>
      <c r="N1733" s="573" t="s">
        <v>157</v>
      </c>
      <c r="O1733" s="573">
        <v>1</v>
      </c>
      <c r="P1733" s="573">
        <v>88.7</v>
      </c>
      <c r="Q1733" s="571">
        <v>5100</v>
      </c>
      <c r="R1733" s="573" t="s">
        <v>3267</v>
      </c>
      <c r="S1733" s="573">
        <v>6</v>
      </c>
      <c r="T1733" s="573" t="s">
        <v>3268</v>
      </c>
      <c r="U1733" s="573" t="s">
        <v>252</v>
      </c>
      <c r="V1733" s="573">
        <v>118</v>
      </c>
      <c r="W1733" s="573">
        <v>24</v>
      </c>
      <c r="X1733" s="571">
        <v>8550</v>
      </c>
      <c r="Y1733" s="573">
        <v>16</v>
      </c>
      <c r="Z1733" s="579" t="s">
        <v>178</v>
      </c>
      <c r="AA1733" s="579" t="s">
        <v>178</v>
      </c>
      <c r="AB1733" s="584">
        <v>31840</v>
      </c>
      <c r="AC1733" s="584" t="s">
        <v>164</v>
      </c>
      <c r="AD1733" s="584">
        <v>21479</v>
      </c>
      <c r="AE1733" s="586">
        <v>0.05</v>
      </c>
      <c r="AF1733" s="661" t="str">
        <f t="shared" si="185"/>
        <v>2019-LVN-RAM-PM15-003-08</v>
      </c>
      <c r="AG1733" s="661" t="str">
        <f>IF(AND($Y1733&gt;=32,(AI1733="I"),(Y1733&lt;&gt;"~"),(COUNTIF($AN$1:$AN1733,$AN1733)=1)),"TRUE","FALSE")</f>
        <v>FALSE</v>
      </c>
      <c r="AH1733" s="661" t="str">
        <f>IF(AND($Y1733&gt;=22, (AI1733&lt;&gt;"I"),(Y1733&lt;&gt;"~"),(COUNTIF($AN$1:$AN1733,$AN1733)=1)),"TRUE","FALSE")</f>
        <v>FALSE</v>
      </c>
      <c r="AI1733" s="661" t="str">
        <f t="shared" si="187"/>
        <v>II</v>
      </c>
      <c r="AJ1733" s="662" t="str">
        <f t="shared" si="188"/>
        <v>PM15-003</v>
      </c>
      <c r="AK1733" s="662" t="str">
        <f t="shared" si="189"/>
        <v>LVN</v>
      </c>
      <c r="AL1733" s="662" t="str">
        <f t="shared" si="190"/>
        <v>RAM</v>
      </c>
      <c r="AM1733" s="662" t="str">
        <f t="shared" si="186"/>
        <v>Promaster 1500-Cargo Van-FWD-2-88.7-5100-3.6L -6-VF1L11-21A-118-24-Unleaded-Unleaded</v>
      </c>
      <c r="AN1733" s="662" t="str">
        <f t="shared" si="191"/>
        <v>2019-LVN-RAM-PM15-003</v>
      </c>
    </row>
    <row r="1734" spans="1:40" s="572" customFormat="1" ht="15">
      <c r="A1734" s="570" t="s">
        <v>3263</v>
      </c>
      <c r="B1734" s="569" t="s">
        <v>3264</v>
      </c>
      <c r="C1734" s="569" t="s">
        <v>240</v>
      </c>
      <c r="D1734" s="580" t="s">
        <v>241</v>
      </c>
      <c r="E1734" s="569" t="s">
        <v>1516</v>
      </c>
      <c r="F1734" s="569" t="s">
        <v>1914</v>
      </c>
      <c r="G1734" s="569" t="s">
        <v>3265</v>
      </c>
      <c r="H1734" s="569">
        <v>2019</v>
      </c>
      <c r="I1734" s="569" t="s">
        <v>3266</v>
      </c>
      <c r="J1734" s="569" t="s">
        <v>1519</v>
      </c>
      <c r="K1734" s="569" t="s">
        <v>156</v>
      </c>
      <c r="L1734" s="569">
        <v>2</v>
      </c>
      <c r="M1734" s="569">
        <v>0</v>
      </c>
      <c r="N1734" s="569" t="s">
        <v>157</v>
      </c>
      <c r="O1734" s="569">
        <v>1</v>
      </c>
      <c r="P1734" s="569">
        <v>88.7</v>
      </c>
      <c r="Q1734" s="568">
        <v>5100</v>
      </c>
      <c r="R1734" s="569" t="s">
        <v>3267</v>
      </c>
      <c r="S1734" s="569">
        <v>6</v>
      </c>
      <c r="T1734" s="569" t="s">
        <v>3268</v>
      </c>
      <c r="U1734" s="569" t="s">
        <v>252</v>
      </c>
      <c r="V1734" s="569">
        <v>118</v>
      </c>
      <c r="W1734" s="569">
        <v>24</v>
      </c>
      <c r="X1734" s="568">
        <v>8550</v>
      </c>
      <c r="Y1734" s="569">
        <v>16</v>
      </c>
      <c r="Z1734" s="581" t="s">
        <v>178</v>
      </c>
      <c r="AA1734" s="581" t="s">
        <v>178</v>
      </c>
      <c r="AB1734" s="585">
        <v>31840</v>
      </c>
      <c r="AC1734" s="585" t="s">
        <v>164</v>
      </c>
      <c r="AD1734" s="585">
        <v>21479</v>
      </c>
      <c r="AE1734" s="587">
        <v>0.05</v>
      </c>
      <c r="AF1734" s="661" t="str">
        <f t="shared" si="185"/>
        <v>2019-LVN-RAM-PM15-003-08</v>
      </c>
      <c r="AG1734" s="661" t="str">
        <f>IF(AND($Y1734&gt;=32,(AI1734="I"),(Y1734&lt;&gt;"~"),(COUNTIF($AN$1:$AN1734,$AN1734)=1)),"TRUE","FALSE")</f>
        <v>FALSE</v>
      </c>
      <c r="AH1734" s="661" t="str">
        <f>IF(AND($Y1734&gt;=22, (AI1734&lt;&gt;"I"),(Y1734&lt;&gt;"~"),(COUNTIF($AN$1:$AN1734,$AN1734)=1)),"TRUE","FALSE")</f>
        <v>FALSE</v>
      </c>
      <c r="AI1734" s="661" t="str">
        <f t="shared" si="187"/>
        <v>II</v>
      </c>
      <c r="AJ1734" s="662" t="str">
        <f t="shared" si="188"/>
        <v>PM15-003</v>
      </c>
      <c r="AK1734" s="662" t="str">
        <f t="shared" si="189"/>
        <v>LVN</v>
      </c>
      <c r="AL1734" s="662" t="str">
        <f t="shared" si="190"/>
        <v>RAM</v>
      </c>
      <c r="AM1734" s="662" t="str">
        <f t="shared" si="186"/>
        <v>Promaster 1500-Cargo Van-FWD-2-88.7-5100-3.6L -6-VF1L11-21A-118-24-Unleaded-Unleaded</v>
      </c>
      <c r="AN1734" s="662" t="str">
        <f t="shared" si="191"/>
        <v>2019-LVN-RAM-PM15-003</v>
      </c>
    </row>
    <row r="1735" spans="1:40" s="572" customFormat="1" ht="15">
      <c r="A1735" s="570" t="s">
        <v>3269</v>
      </c>
      <c r="B1735" s="573" t="s">
        <v>3270</v>
      </c>
      <c r="C1735" s="573" t="s">
        <v>240</v>
      </c>
      <c r="D1735" s="578" t="s">
        <v>241</v>
      </c>
      <c r="E1735" s="573" t="s">
        <v>1516</v>
      </c>
      <c r="F1735" s="573" t="s">
        <v>1914</v>
      </c>
      <c r="G1735" s="573" t="s">
        <v>3265</v>
      </c>
      <c r="H1735" s="573">
        <v>2019</v>
      </c>
      <c r="I1735" s="573" t="s">
        <v>3266</v>
      </c>
      <c r="J1735" s="573" t="s">
        <v>1519</v>
      </c>
      <c r="K1735" s="573" t="s">
        <v>156</v>
      </c>
      <c r="L1735" s="573">
        <v>2</v>
      </c>
      <c r="M1735" s="573">
        <v>0</v>
      </c>
      <c r="N1735" s="573" t="s">
        <v>157</v>
      </c>
      <c r="O1735" s="573">
        <v>1</v>
      </c>
      <c r="P1735" s="573">
        <v>88.7</v>
      </c>
      <c r="Q1735" s="571">
        <v>5100</v>
      </c>
      <c r="R1735" s="573" t="s">
        <v>231</v>
      </c>
      <c r="S1735" s="573">
        <v>6</v>
      </c>
      <c r="T1735" s="573" t="s">
        <v>3271</v>
      </c>
      <c r="U1735" s="573" t="s">
        <v>252</v>
      </c>
      <c r="V1735" s="573">
        <v>136</v>
      </c>
      <c r="W1735" s="573">
        <v>24</v>
      </c>
      <c r="X1735" s="571">
        <v>8550</v>
      </c>
      <c r="Y1735" s="573">
        <v>16</v>
      </c>
      <c r="Z1735" s="579" t="s">
        <v>178</v>
      </c>
      <c r="AA1735" s="579" t="s">
        <v>178</v>
      </c>
      <c r="AB1735" s="584">
        <v>33940</v>
      </c>
      <c r="AC1735" s="584" t="s">
        <v>164</v>
      </c>
      <c r="AD1735" s="584">
        <v>22789</v>
      </c>
      <c r="AE1735" s="586">
        <v>0.05</v>
      </c>
      <c r="AF1735" s="661" t="str">
        <f t="shared" si="185"/>
        <v>2019-LVN-RAM-PM15-004-08</v>
      </c>
      <c r="AG1735" s="661" t="str">
        <f>IF(AND($Y1735&gt;=32,(AI1735="I"),(Y1735&lt;&gt;"~"),(COUNTIF($AN$1:$AN1735,$AN1735)=1)),"TRUE","FALSE")</f>
        <v>FALSE</v>
      </c>
      <c r="AH1735" s="661" t="str">
        <f>IF(AND($Y1735&gt;=22, (AI1735&lt;&gt;"I"),(Y1735&lt;&gt;"~"),(COUNTIF($AN$1:$AN1735,$AN1735)=1)),"TRUE","FALSE")</f>
        <v>FALSE</v>
      </c>
      <c r="AI1735" s="661" t="str">
        <f t="shared" si="187"/>
        <v>II</v>
      </c>
      <c r="AJ1735" s="662" t="str">
        <f t="shared" si="188"/>
        <v>PM15-004</v>
      </c>
      <c r="AK1735" s="662" t="str">
        <f t="shared" si="189"/>
        <v>LVN</v>
      </c>
      <c r="AL1735" s="662" t="str">
        <f t="shared" si="190"/>
        <v>RAM</v>
      </c>
      <c r="AM1735" s="662" t="str">
        <f t="shared" si="186"/>
        <v>Promaster 1500-Cargo Van-FWD-2-88.7-5100-3.6L-6-VF1L12-21A-136-24-Unleaded-Unleaded</v>
      </c>
      <c r="AN1735" s="662" t="str">
        <f t="shared" si="191"/>
        <v>2019-LVN-RAM-PM15-004</v>
      </c>
    </row>
    <row r="1736" spans="1:40" s="572" customFormat="1" ht="15">
      <c r="A1736" s="570" t="s">
        <v>3269</v>
      </c>
      <c r="B1736" s="569" t="s">
        <v>3270</v>
      </c>
      <c r="C1736" s="569" t="s">
        <v>240</v>
      </c>
      <c r="D1736" s="580" t="s">
        <v>241</v>
      </c>
      <c r="E1736" s="569" t="s">
        <v>1516</v>
      </c>
      <c r="F1736" s="569" t="s">
        <v>1914</v>
      </c>
      <c r="G1736" s="569" t="s">
        <v>3265</v>
      </c>
      <c r="H1736" s="569">
        <v>2019</v>
      </c>
      <c r="I1736" s="569" t="s">
        <v>3266</v>
      </c>
      <c r="J1736" s="569" t="s">
        <v>1519</v>
      </c>
      <c r="K1736" s="569" t="s">
        <v>156</v>
      </c>
      <c r="L1736" s="569">
        <v>2</v>
      </c>
      <c r="M1736" s="569">
        <v>0</v>
      </c>
      <c r="N1736" s="569" t="s">
        <v>157</v>
      </c>
      <c r="O1736" s="569">
        <v>1</v>
      </c>
      <c r="P1736" s="569">
        <v>88.7</v>
      </c>
      <c r="Q1736" s="568">
        <v>5100</v>
      </c>
      <c r="R1736" s="569" t="s">
        <v>231</v>
      </c>
      <c r="S1736" s="569">
        <v>6</v>
      </c>
      <c r="T1736" s="569" t="s">
        <v>3271</v>
      </c>
      <c r="U1736" s="569" t="s">
        <v>252</v>
      </c>
      <c r="V1736" s="569">
        <v>136</v>
      </c>
      <c r="W1736" s="569">
        <v>24</v>
      </c>
      <c r="X1736" s="568">
        <v>8550</v>
      </c>
      <c r="Y1736" s="569">
        <v>16</v>
      </c>
      <c r="Z1736" s="581" t="s">
        <v>178</v>
      </c>
      <c r="AA1736" s="581" t="s">
        <v>178</v>
      </c>
      <c r="AB1736" s="585">
        <v>33940</v>
      </c>
      <c r="AC1736" s="585" t="s">
        <v>164</v>
      </c>
      <c r="AD1736" s="585">
        <v>22789</v>
      </c>
      <c r="AE1736" s="587">
        <v>0.05</v>
      </c>
      <c r="AF1736" s="661" t="str">
        <f t="shared" ref="AF1736:AF1799" si="192">A1736</f>
        <v>2019-LVN-RAM-PM15-004-08</v>
      </c>
      <c r="AG1736" s="661" t="str">
        <f>IF(AND($Y1736&gt;=32,(AI1736="I"),(Y1736&lt;&gt;"~"),(COUNTIF($AN$1:$AN1736,$AN1736)=1)),"TRUE","FALSE")</f>
        <v>FALSE</v>
      </c>
      <c r="AH1736" s="661" t="str">
        <f>IF(AND($Y1736&gt;=22, (AI1736&lt;&gt;"I"),(Y1736&lt;&gt;"~"),(COUNTIF($AN$1:$AN1736,$AN1736)=1)),"TRUE","FALSE")</f>
        <v>FALSE</v>
      </c>
      <c r="AI1736" s="661" t="str">
        <f t="shared" si="187"/>
        <v>II</v>
      </c>
      <c r="AJ1736" s="662" t="str">
        <f t="shared" si="188"/>
        <v>PM15-004</v>
      </c>
      <c r="AK1736" s="662" t="str">
        <f t="shared" si="189"/>
        <v>LVN</v>
      </c>
      <c r="AL1736" s="662" t="str">
        <f t="shared" si="190"/>
        <v>RAM</v>
      </c>
      <c r="AM1736" s="662" t="str">
        <f t="shared" si="186"/>
        <v>Promaster 1500-Cargo Van-FWD-2-88.7-5100-3.6L-6-VF1L12-21A-136-24-Unleaded-Unleaded</v>
      </c>
      <c r="AN1736" s="662" t="str">
        <f t="shared" si="191"/>
        <v>2019-LVN-RAM-PM15-004</v>
      </c>
    </row>
    <row r="1737" spans="1:40" s="572" customFormat="1" ht="15">
      <c r="A1737" s="570" t="s">
        <v>3272</v>
      </c>
      <c r="B1737" s="573" t="s">
        <v>3273</v>
      </c>
      <c r="C1737" s="573" t="s">
        <v>240</v>
      </c>
      <c r="D1737" s="578" t="s">
        <v>241</v>
      </c>
      <c r="E1737" s="573" t="s">
        <v>1516</v>
      </c>
      <c r="F1737" s="573" t="s">
        <v>1914</v>
      </c>
      <c r="G1737" s="573" t="s">
        <v>3265</v>
      </c>
      <c r="H1737" s="573">
        <v>2019</v>
      </c>
      <c r="I1737" s="573" t="s">
        <v>3266</v>
      </c>
      <c r="J1737" s="573" t="s">
        <v>1519</v>
      </c>
      <c r="K1737" s="573" t="s">
        <v>156</v>
      </c>
      <c r="L1737" s="573">
        <v>2</v>
      </c>
      <c r="M1737" s="573">
        <v>0</v>
      </c>
      <c r="N1737" s="573" t="s">
        <v>157</v>
      </c>
      <c r="O1737" s="573">
        <v>1</v>
      </c>
      <c r="P1737" s="573">
        <v>99.4</v>
      </c>
      <c r="Q1737" s="571">
        <v>5100</v>
      </c>
      <c r="R1737" s="573" t="s">
        <v>231</v>
      </c>
      <c r="S1737" s="573">
        <v>6</v>
      </c>
      <c r="T1737" s="573" t="s">
        <v>3274</v>
      </c>
      <c r="U1737" s="573" t="s">
        <v>252</v>
      </c>
      <c r="V1737" s="573">
        <v>136</v>
      </c>
      <c r="W1737" s="573">
        <v>24</v>
      </c>
      <c r="X1737" s="571">
        <v>8550</v>
      </c>
      <c r="Y1737" s="573">
        <v>16</v>
      </c>
      <c r="Z1737" s="579" t="s">
        <v>178</v>
      </c>
      <c r="AA1737" s="579" t="s">
        <v>178</v>
      </c>
      <c r="AB1737" s="584">
        <v>34540</v>
      </c>
      <c r="AC1737" s="584" t="s">
        <v>164</v>
      </c>
      <c r="AD1737" s="584">
        <v>23269</v>
      </c>
      <c r="AE1737" s="586">
        <v>0.05</v>
      </c>
      <c r="AF1737" s="661" t="str">
        <f t="shared" si="192"/>
        <v>2019-LVN-RAM-PM15-006-08</v>
      </c>
      <c r="AG1737" s="661" t="str">
        <f>IF(AND($Y1737&gt;=32,(AI1737="I"),(Y1737&lt;&gt;"~"),(COUNTIF($AN$1:$AN1737,$AN1737)=1)),"TRUE","FALSE")</f>
        <v>FALSE</v>
      </c>
      <c r="AH1737" s="661" t="str">
        <f>IF(AND($Y1737&gt;=22, (AI1737&lt;&gt;"I"),(Y1737&lt;&gt;"~"),(COUNTIF($AN$1:$AN1737,$AN1737)=1)),"TRUE","FALSE")</f>
        <v>FALSE</v>
      </c>
      <c r="AI1737" s="661" t="str">
        <f t="shared" si="187"/>
        <v>II</v>
      </c>
      <c r="AJ1737" s="662" t="str">
        <f t="shared" si="188"/>
        <v>PM15-006</v>
      </c>
      <c r="AK1737" s="662" t="str">
        <f t="shared" si="189"/>
        <v>LVN</v>
      </c>
      <c r="AL1737" s="662" t="str">
        <f t="shared" si="190"/>
        <v>RAM</v>
      </c>
      <c r="AM1737" s="662" t="str">
        <f t="shared" si="186"/>
        <v>Promaster 1500-Cargo Van-FWD-2-99.4-5100-3.6L-6-VF1L13-21A-136-24-Unleaded-Unleaded</v>
      </c>
      <c r="AN1737" s="662" t="str">
        <f t="shared" si="191"/>
        <v>2019-LVN-RAM-PM15-006</v>
      </c>
    </row>
    <row r="1738" spans="1:40" s="572" customFormat="1" ht="15">
      <c r="A1738" s="570" t="s">
        <v>3272</v>
      </c>
      <c r="B1738" s="569" t="s">
        <v>3273</v>
      </c>
      <c r="C1738" s="569" t="s">
        <v>240</v>
      </c>
      <c r="D1738" s="580" t="s">
        <v>241</v>
      </c>
      <c r="E1738" s="569" t="s">
        <v>1516</v>
      </c>
      <c r="F1738" s="569" t="s">
        <v>1914</v>
      </c>
      <c r="G1738" s="569" t="s">
        <v>3265</v>
      </c>
      <c r="H1738" s="569">
        <v>2019</v>
      </c>
      <c r="I1738" s="569" t="s">
        <v>3266</v>
      </c>
      <c r="J1738" s="569" t="s">
        <v>1519</v>
      </c>
      <c r="K1738" s="569" t="s">
        <v>156</v>
      </c>
      <c r="L1738" s="569">
        <v>2</v>
      </c>
      <c r="M1738" s="569">
        <v>0</v>
      </c>
      <c r="N1738" s="569" t="s">
        <v>157</v>
      </c>
      <c r="O1738" s="569">
        <v>1</v>
      </c>
      <c r="P1738" s="569">
        <v>99.4</v>
      </c>
      <c r="Q1738" s="568">
        <v>5100</v>
      </c>
      <c r="R1738" s="569" t="s">
        <v>231</v>
      </c>
      <c r="S1738" s="569">
        <v>6</v>
      </c>
      <c r="T1738" s="569" t="s">
        <v>3274</v>
      </c>
      <c r="U1738" s="569" t="s">
        <v>252</v>
      </c>
      <c r="V1738" s="569">
        <v>136</v>
      </c>
      <c r="W1738" s="569">
        <v>24</v>
      </c>
      <c r="X1738" s="568">
        <v>8550</v>
      </c>
      <c r="Y1738" s="569">
        <v>16</v>
      </c>
      <c r="Z1738" s="581" t="s">
        <v>178</v>
      </c>
      <c r="AA1738" s="581" t="s">
        <v>178</v>
      </c>
      <c r="AB1738" s="585">
        <v>34540</v>
      </c>
      <c r="AC1738" s="585" t="s">
        <v>164</v>
      </c>
      <c r="AD1738" s="585">
        <v>23269</v>
      </c>
      <c r="AE1738" s="587">
        <v>0.05</v>
      </c>
      <c r="AF1738" s="661" t="str">
        <f t="shared" si="192"/>
        <v>2019-LVN-RAM-PM15-006-08</v>
      </c>
      <c r="AG1738" s="661" t="str">
        <f>IF(AND($Y1738&gt;=32,(AI1738="I"),(Y1738&lt;&gt;"~"),(COUNTIF($AN$1:$AN1738,$AN1738)=1)),"TRUE","FALSE")</f>
        <v>FALSE</v>
      </c>
      <c r="AH1738" s="661" t="str">
        <f>IF(AND($Y1738&gt;=22, (AI1738&lt;&gt;"I"),(Y1738&lt;&gt;"~"),(COUNTIF($AN$1:$AN1738,$AN1738)=1)),"TRUE","FALSE")</f>
        <v>FALSE</v>
      </c>
      <c r="AI1738" s="661" t="str">
        <f t="shared" si="187"/>
        <v>II</v>
      </c>
      <c r="AJ1738" s="662" t="str">
        <f t="shared" si="188"/>
        <v>PM15-006</v>
      </c>
      <c r="AK1738" s="662" t="str">
        <f t="shared" si="189"/>
        <v>LVN</v>
      </c>
      <c r="AL1738" s="662" t="str">
        <f t="shared" si="190"/>
        <v>RAM</v>
      </c>
      <c r="AM1738" s="662" t="str">
        <f t="shared" si="186"/>
        <v>Promaster 1500-Cargo Van-FWD-2-99.4-5100-3.6L-6-VF1L13-21A-136-24-Unleaded-Unleaded</v>
      </c>
      <c r="AN1738" s="662" t="str">
        <f t="shared" si="191"/>
        <v>2019-LVN-RAM-PM15-006</v>
      </c>
    </row>
    <row r="1739" spans="1:40" s="572" customFormat="1" ht="15">
      <c r="A1739" s="570" t="s">
        <v>3275</v>
      </c>
      <c r="B1739" s="573" t="s">
        <v>3273</v>
      </c>
      <c r="C1739" s="573" t="s">
        <v>226</v>
      </c>
      <c r="D1739" s="578" t="s">
        <v>227</v>
      </c>
      <c r="E1739" s="573" t="s">
        <v>1516</v>
      </c>
      <c r="F1739" s="573" t="s">
        <v>1914</v>
      </c>
      <c r="G1739" s="573" t="s">
        <v>3265</v>
      </c>
      <c r="H1739" s="573">
        <v>2019</v>
      </c>
      <c r="I1739" s="573" t="s">
        <v>3266</v>
      </c>
      <c r="J1739" s="573" t="s">
        <v>3276</v>
      </c>
      <c r="K1739" s="573" t="s">
        <v>156</v>
      </c>
      <c r="L1739" s="573">
        <v>2</v>
      </c>
      <c r="M1739" s="573">
        <v>0</v>
      </c>
      <c r="N1739" s="573" t="s">
        <v>157</v>
      </c>
      <c r="O1739" s="573">
        <v>1</v>
      </c>
      <c r="P1739" s="573">
        <v>99.4</v>
      </c>
      <c r="Q1739" s="571">
        <v>5100</v>
      </c>
      <c r="R1739" s="573" t="s">
        <v>231</v>
      </c>
      <c r="S1739" s="573">
        <v>6</v>
      </c>
      <c r="T1739" s="573" t="s">
        <v>3274</v>
      </c>
      <c r="U1739" s="573" t="s">
        <v>252</v>
      </c>
      <c r="V1739" s="573">
        <v>136</v>
      </c>
      <c r="W1739" s="573">
        <v>24</v>
      </c>
      <c r="X1739" s="571">
        <v>8550</v>
      </c>
      <c r="Y1739" s="573">
        <v>16</v>
      </c>
      <c r="Z1739" s="579" t="s">
        <v>178</v>
      </c>
      <c r="AA1739" s="579" t="s">
        <v>178</v>
      </c>
      <c r="AB1739" s="584">
        <v>34665</v>
      </c>
      <c r="AC1739" s="584" t="s">
        <v>164</v>
      </c>
      <c r="AD1739" s="584">
        <v>23420</v>
      </c>
      <c r="AE1739" s="586">
        <v>6.25E-2</v>
      </c>
      <c r="AF1739" s="661" t="str">
        <f t="shared" si="192"/>
        <v>2019-LVN-RAM-PM15-006-04</v>
      </c>
      <c r="AG1739" s="661" t="str">
        <f>IF(AND($Y1739&gt;=32,(AI1739="I"),(Y1739&lt;&gt;"~"),(COUNTIF($AN$1:$AN1739,$AN1739)=1)),"TRUE","FALSE")</f>
        <v>FALSE</v>
      </c>
      <c r="AH1739" s="661" t="str">
        <f>IF(AND($Y1739&gt;=22, (AI1739&lt;&gt;"I"),(Y1739&lt;&gt;"~"),(COUNTIF($AN$1:$AN1739,$AN1739)=1)),"TRUE","FALSE")</f>
        <v>FALSE</v>
      </c>
      <c r="AI1739" s="661" t="str">
        <f t="shared" si="187"/>
        <v>II</v>
      </c>
      <c r="AJ1739" s="662" t="str">
        <f t="shared" si="188"/>
        <v>PM15-006</v>
      </c>
      <c r="AK1739" s="662" t="str">
        <f t="shared" si="189"/>
        <v>LVN</v>
      </c>
      <c r="AL1739" s="662" t="str">
        <f t="shared" si="190"/>
        <v>RAM</v>
      </c>
      <c r="AM1739" s="662" t="str">
        <f t="shared" si="186"/>
        <v>Promaster 1500-Cargo Van HR-FWD-2-99.4-5100-3.6L-6-VF1L13-21A-136-24-Unleaded-Unleaded</v>
      </c>
      <c r="AN1739" s="662" t="str">
        <f t="shared" si="191"/>
        <v>2019-LVN-RAM-PM15-006</v>
      </c>
    </row>
    <row r="1740" spans="1:40" s="572" customFormat="1" ht="15">
      <c r="A1740" s="570" t="s">
        <v>3277</v>
      </c>
      <c r="B1740" s="569" t="s">
        <v>3264</v>
      </c>
      <c r="C1740" s="569" t="s">
        <v>226</v>
      </c>
      <c r="D1740" s="580" t="s">
        <v>227</v>
      </c>
      <c r="E1740" s="569" t="s">
        <v>1516</v>
      </c>
      <c r="F1740" s="569" t="s">
        <v>1914</v>
      </c>
      <c r="G1740" s="569" t="s">
        <v>3265</v>
      </c>
      <c r="H1740" s="569">
        <v>2019</v>
      </c>
      <c r="I1740" s="569" t="s">
        <v>3266</v>
      </c>
      <c r="J1740" s="569" t="s">
        <v>3278</v>
      </c>
      <c r="K1740" s="569" t="s">
        <v>156</v>
      </c>
      <c r="L1740" s="569">
        <v>2</v>
      </c>
      <c r="M1740" s="569">
        <v>0</v>
      </c>
      <c r="N1740" s="569" t="s">
        <v>157</v>
      </c>
      <c r="O1740" s="569">
        <v>1</v>
      </c>
      <c r="P1740" s="569">
        <v>88.7</v>
      </c>
      <c r="Q1740" s="568">
        <v>5100</v>
      </c>
      <c r="R1740" s="569" t="s">
        <v>3267</v>
      </c>
      <c r="S1740" s="569">
        <v>6</v>
      </c>
      <c r="T1740" s="569" t="s">
        <v>3268</v>
      </c>
      <c r="U1740" s="569" t="s">
        <v>252</v>
      </c>
      <c r="V1740" s="569">
        <v>118</v>
      </c>
      <c r="W1740" s="569">
        <v>24</v>
      </c>
      <c r="X1740" s="568">
        <v>8550</v>
      </c>
      <c r="Y1740" s="569">
        <v>16</v>
      </c>
      <c r="Z1740" s="581" t="s">
        <v>178</v>
      </c>
      <c r="AA1740" s="581" t="s">
        <v>178</v>
      </c>
      <c r="AB1740" s="585">
        <v>31965</v>
      </c>
      <c r="AC1740" s="585" t="s">
        <v>164</v>
      </c>
      <c r="AD1740" s="585">
        <v>22205</v>
      </c>
      <c r="AE1740" s="587">
        <v>6.25E-2</v>
      </c>
      <c r="AF1740" s="661" t="str">
        <f t="shared" si="192"/>
        <v>2019-LVN-RAM-PM15-003-04</v>
      </c>
      <c r="AG1740" s="661" t="str">
        <f>IF(AND($Y1740&gt;=32,(AI1740="I"),(Y1740&lt;&gt;"~"),(COUNTIF($AN$1:$AN1740,$AN1740)=1)),"TRUE","FALSE")</f>
        <v>FALSE</v>
      </c>
      <c r="AH1740" s="661" t="str">
        <f>IF(AND($Y1740&gt;=22, (AI1740&lt;&gt;"I"),(Y1740&lt;&gt;"~"),(COUNTIF($AN$1:$AN1740,$AN1740)=1)),"TRUE","FALSE")</f>
        <v>FALSE</v>
      </c>
      <c r="AI1740" s="661" t="str">
        <f t="shared" si="187"/>
        <v>II</v>
      </c>
      <c r="AJ1740" s="662" t="str">
        <f t="shared" si="188"/>
        <v>PM15-003</v>
      </c>
      <c r="AK1740" s="662" t="str">
        <f t="shared" si="189"/>
        <v>LVN</v>
      </c>
      <c r="AL1740" s="662" t="str">
        <f t="shared" si="190"/>
        <v>RAM</v>
      </c>
      <c r="AM1740" s="662" t="str">
        <f t="shared" si="186"/>
        <v>Promaster 1500-Cargo Van LR-FWD-2-88.7-5100-3.6L -6-VF1L11-21A-118-24-Unleaded-Unleaded</v>
      </c>
      <c r="AN1740" s="662" t="str">
        <f t="shared" si="191"/>
        <v>2019-LVN-RAM-PM15-003</v>
      </c>
    </row>
    <row r="1741" spans="1:40" s="572" customFormat="1" ht="15">
      <c r="A1741" s="570" t="s">
        <v>3279</v>
      </c>
      <c r="B1741" s="573" t="s">
        <v>3270</v>
      </c>
      <c r="C1741" s="573" t="s">
        <v>226</v>
      </c>
      <c r="D1741" s="578" t="s">
        <v>227</v>
      </c>
      <c r="E1741" s="573" t="s">
        <v>1516</v>
      </c>
      <c r="F1741" s="573" t="s">
        <v>1914</v>
      </c>
      <c r="G1741" s="573" t="s">
        <v>3265</v>
      </c>
      <c r="H1741" s="573">
        <v>2019</v>
      </c>
      <c r="I1741" s="573" t="s">
        <v>3266</v>
      </c>
      <c r="J1741" s="573" t="s">
        <v>3278</v>
      </c>
      <c r="K1741" s="573" t="s">
        <v>156</v>
      </c>
      <c r="L1741" s="573">
        <v>2</v>
      </c>
      <c r="M1741" s="573">
        <v>0</v>
      </c>
      <c r="N1741" s="573" t="s">
        <v>157</v>
      </c>
      <c r="O1741" s="573">
        <v>1</v>
      </c>
      <c r="P1741" s="573">
        <v>88.7</v>
      </c>
      <c r="Q1741" s="571">
        <v>5100</v>
      </c>
      <c r="R1741" s="573" t="s">
        <v>231</v>
      </c>
      <c r="S1741" s="573">
        <v>6</v>
      </c>
      <c r="T1741" s="573" t="s">
        <v>3271</v>
      </c>
      <c r="U1741" s="573" t="s">
        <v>252</v>
      </c>
      <c r="V1741" s="573">
        <v>136</v>
      </c>
      <c r="W1741" s="573">
        <v>24</v>
      </c>
      <c r="X1741" s="571">
        <v>8550</v>
      </c>
      <c r="Y1741" s="573">
        <v>16</v>
      </c>
      <c r="Z1741" s="579" t="s">
        <v>178</v>
      </c>
      <c r="AA1741" s="579" t="s">
        <v>178</v>
      </c>
      <c r="AB1741" s="584">
        <v>34065</v>
      </c>
      <c r="AC1741" s="584" t="s">
        <v>164</v>
      </c>
      <c r="AD1741" s="584">
        <v>22982</v>
      </c>
      <c r="AE1741" s="586">
        <v>6.25E-2</v>
      </c>
      <c r="AF1741" s="661" t="str">
        <f t="shared" si="192"/>
        <v>2019-LVN-RAM-PM15-004-04</v>
      </c>
      <c r="AG1741" s="661" t="str">
        <f>IF(AND($Y1741&gt;=32,(AI1741="I"),(Y1741&lt;&gt;"~"),(COUNTIF($AN$1:$AN1741,$AN1741)=1)),"TRUE","FALSE")</f>
        <v>FALSE</v>
      </c>
      <c r="AH1741" s="661" t="str">
        <f>IF(AND($Y1741&gt;=22, (AI1741&lt;&gt;"I"),(Y1741&lt;&gt;"~"),(COUNTIF($AN$1:$AN1741,$AN1741)=1)),"TRUE","FALSE")</f>
        <v>FALSE</v>
      </c>
      <c r="AI1741" s="661" t="str">
        <f t="shared" si="187"/>
        <v>II</v>
      </c>
      <c r="AJ1741" s="662" t="str">
        <f t="shared" si="188"/>
        <v>PM15-004</v>
      </c>
      <c r="AK1741" s="662" t="str">
        <f t="shared" si="189"/>
        <v>LVN</v>
      </c>
      <c r="AL1741" s="662" t="str">
        <f t="shared" si="190"/>
        <v>RAM</v>
      </c>
      <c r="AM1741" s="662" t="str">
        <f t="shared" si="186"/>
        <v>Promaster 1500-Cargo Van LR-FWD-2-88.7-5100-3.6L-6-VF1L12-21A-136-24-Unleaded-Unleaded</v>
      </c>
      <c r="AN1741" s="662" t="str">
        <f t="shared" si="191"/>
        <v>2019-LVN-RAM-PM15-004</v>
      </c>
    </row>
    <row r="1742" spans="1:40" s="572" customFormat="1" ht="15">
      <c r="A1742" s="570" t="s">
        <v>3280</v>
      </c>
      <c r="B1742" s="569" t="s">
        <v>3281</v>
      </c>
      <c r="C1742" s="569" t="s">
        <v>240</v>
      </c>
      <c r="D1742" s="580" t="s">
        <v>241</v>
      </c>
      <c r="E1742" s="569" t="s">
        <v>1516</v>
      </c>
      <c r="F1742" s="569" t="s">
        <v>1517</v>
      </c>
      <c r="G1742" s="569" t="s">
        <v>3265</v>
      </c>
      <c r="H1742" s="569">
        <v>2019</v>
      </c>
      <c r="I1742" s="569" t="s">
        <v>3282</v>
      </c>
      <c r="J1742" s="569" t="s">
        <v>1519</v>
      </c>
      <c r="K1742" s="569" t="s">
        <v>156</v>
      </c>
      <c r="L1742" s="569">
        <v>2</v>
      </c>
      <c r="M1742" s="569">
        <v>0</v>
      </c>
      <c r="N1742" s="569" t="s">
        <v>157</v>
      </c>
      <c r="O1742" s="569">
        <v>1</v>
      </c>
      <c r="P1742" s="569">
        <v>99.4</v>
      </c>
      <c r="Q1742" s="568">
        <v>5100</v>
      </c>
      <c r="R1742" s="569" t="s">
        <v>3267</v>
      </c>
      <c r="S1742" s="569">
        <v>6</v>
      </c>
      <c r="T1742" s="569" t="s">
        <v>3283</v>
      </c>
      <c r="U1742" s="569" t="s">
        <v>252</v>
      </c>
      <c r="V1742" s="569">
        <v>136</v>
      </c>
      <c r="W1742" s="569">
        <v>24</v>
      </c>
      <c r="X1742" s="568">
        <v>8900</v>
      </c>
      <c r="Y1742" s="569">
        <v>14</v>
      </c>
      <c r="Z1742" s="581" t="s">
        <v>178</v>
      </c>
      <c r="AA1742" s="581" t="s">
        <v>178</v>
      </c>
      <c r="AB1742" s="585">
        <v>35540</v>
      </c>
      <c r="AC1742" s="585" t="s">
        <v>164</v>
      </c>
      <c r="AD1742" s="585">
        <v>23009</v>
      </c>
      <c r="AE1742" s="587">
        <v>0.05</v>
      </c>
      <c r="AF1742" s="661" t="str">
        <f t="shared" si="192"/>
        <v>2019-LVN-RAM-PM25-003-08</v>
      </c>
      <c r="AG1742" s="661" t="str">
        <f>IF(AND($Y1742&gt;=32,(AI1742="I"),(Y1742&lt;&gt;"~"),(COUNTIF($AN$1:$AN1742,$AN1742)=1)),"TRUE","FALSE")</f>
        <v>FALSE</v>
      </c>
      <c r="AH1742" s="661" t="str">
        <f>IF(AND($Y1742&gt;=22, (AI1742&lt;&gt;"I"),(Y1742&lt;&gt;"~"),(COUNTIF($AN$1:$AN1742,$AN1742)=1)),"TRUE","FALSE")</f>
        <v>FALSE</v>
      </c>
      <c r="AI1742" s="661" t="str">
        <f t="shared" si="187"/>
        <v>II</v>
      </c>
      <c r="AJ1742" s="662" t="str">
        <f t="shared" si="188"/>
        <v>PM25-003</v>
      </c>
      <c r="AK1742" s="662" t="str">
        <f t="shared" si="189"/>
        <v>LVN</v>
      </c>
      <c r="AL1742" s="662" t="str">
        <f t="shared" si="190"/>
        <v>RAM</v>
      </c>
      <c r="AM1742" s="662" t="str">
        <f t="shared" si="186"/>
        <v>Promaster 2500-Cargo Van-FWD-2-99.4-5100-3.6L -6-VF2L13-21A-136-24-Unleaded-Unleaded</v>
      </c>
      <c r="AN1742" s="662" t="str">
        <f t="shared" si="191"/>
        <v>2019-LVN-RAM-PM25-003</v>
      </c>
    </row>
    <row r="1743" spans="1:40" s="572" customFormat="1" ht="15">
      <c r="A1743" s="570" t="s">
        <v>3280</v>
      </c>
      <c r="B1743" s="573" t="s">
        <v>3281</v>
      </c>
      <c r="C1743" s="573" t="s">
        <v>240</v>
      </c>
      <c r="D1743" s="578" t="s">
        <v>241</v>
      </c>
      <c r="E1743" s="573" t="s">
        <v>1516</v>
      </c>
      <c r="F1743" s="573" t="s">
        <v>1517</v>
      </c>
      <c r="G1743" s="573" t="s">
        <v>3265</v>
      </c>
      <c r="H1743" s="573">
        <v>2019</v>
      </c>
      <c r="I1743" s="573" t="s">
        <v>3282</v>
      </c>
      <c r="J1743" s="573" t="s">
        <v>1519</v>
      </c>
      <c r="K1743" s="573" t="s">
        <v>156</v>
      </c>
      <c r="L1743" s="573">
        <v>2</v>
      </c>
      <c r="M1743" s="573">
        <v>0</v>
      </c>
      <c r="N1743" s="573" t="s">
        <v>157</v>
      </c>
      <c r="O1743" s="573">
        <v>1</v>
      </c>
      <c r="P1743" s="573">
        <v>99.4</v>
      </c>
      <c r="Q1743" s="571">
        <v>5100</v>
      </c>
      <c r="R1743" s="573" t="s">
        <v>3267</v>
      </c>
      <c r="S1743" s="573">
        <v>6</v>
      </c>
      <c r="T1743" s="573" t="s">
        <v>3283</v>
      </c>
      <c r="U1743" s="573" t="s">
        <v>252</v>
      </c>
      <c r="V1743" s="573">
        <v>136</v>
      </c>
      <c r="W1743" s="573">
        <v>24</v>
      </c>
      <c r="X1743" s="571">
        <v>8900</v>
      </c>
      <c r="Y1743" s="573">
        <v>14</v>
      </c>
      <c r="Z1743" s="579" t="s">
        <v>178</v>
      </c>
      <c r="AA1743" s="579" t="s">
        <v>178</v>
      </c>
      <c r="AB1743" s="584">
        <v>35540</v>
      </c>
      <c r="AC1743" s="584" t="s">
        <v>164</v>
      </c>
      <c r="AD1743" s="584">
        <v>23009</v>
      </c>
      <c r="AE1743" s="586">
        <v>0.05</v>
      </c>
      <c r="AF1743" s="661" t="str">
        <f t="shared" si="192"/>
        <v>2019-LVN-RAM-PM25-003-08</v>
      </c>
      <c r="AG1743" s="661" t="str">
        <f>IF(AND($Y1743&gt;=32,(AI1743="I"),(Y1743&lt;&gt;"~"),(COUNTIF($AN$1:$AN1743,$AN1743)=1)),"TRUE","FALSE")</f>
        <v>FALSE</v>
      </c>
      <c r="AH1743" s="661" t="str">
        <f>IF(AND($Y1743&gt;=22, (AI1743&lt;&gt;"I"),(Y1743&lt;&gt;"~"),(COUNTIF($AN$1:$AN1743,$AN1743)=1)),"TRUE","FALSE")</f>
        <v>FALSE</v>
      </c>
      <c r="AI1743" s="661" t="str">
        <f t="shared" si="187"/>
        <v>II</v>
      </c>
      <c r="AJ1743" s="662" t="str">
        <f t="shared" si="188"/>
        <v>PM25-003</v>
      </c>
      <c r="AK1743" s="662" t="str">
        <f t="shared" si="189"/>
        <v>LVN</v>
      </c>
      <c r="AL1743" s="662" t="str">
        <f t="shared" si="190"/>
        <v>RAM</v>
      </c>
      <c r="AM1743" s="662" t="str">
        <f t="shared" si="186"/>
        <v>Promaster 2500-Cargo Van-FWD-2-99.4-5100-3.6L -6-VF2L13-21A-136-24-Unleaded-Unleaded</v>
      </c>
      <c r="AN1743" s="662" t="str">
        <f t="shared" si="191"/>
        <v>2019-LVN-RAM-PM25-003</v>
      </c>
    </row>
    <row r="1744" spans="1:40" s="572" customFormat="1" ht="15">
      <c r="A1744" s="570" t="s">
        <v>3284</v>
      </c>
      <c r="B1744" s="569" t="s">
        <v>3285</v>
      </c>
      <c r="C1744" s="569" t="s">
        <v>240</v>
      </c>
      <c r="D1744" s="580" t="s">
        <v>241</v>
      </c>
      <c r="E1744" s="569" t="s">
        <v>1516</v>
      </c>
      <c r="F1744" s="569" t="s">
        <v>1517</v>
      </c>
      <c r="G1744" s="569" t="s">
        <v>3265</v>
      </c>
      <c r="H1744" s="569">
        <v>2019</v>
      </c>
      <c r="I1744" s="569" t="s">
        <v>3282</v>
      </c>
      <c r="J1744" s="569" t="s">
        <v>1519</v>
      </c>
      <c r="K1744" s="569" t="s">
        <v>156</v>
      </c>
      <c r="L1744" s="569">
        <v>2</v>
      </c>
      <c r="M1744" s="569">
        <v>0</v>
      </c>
      <c r="N1744" s="569" t="s">
        <v>157</v>
      </c>
      <c r="O1744" s="569">
        <v>1</v>
      </c>
      <c r="P1744" s="569">
        <v>99.4</v>
      </c>
      <c r="Q1744" s="568">
        <v>5100</v>
      </c>
      <c r="R1744" s="569" t="s">
        <v>3267</v>
      </c>
      <c r="S1744" s="569">
        <v>6</v>
      </c>
      <c r="T1744" s="569" t="s">
        <v>3286</v>
      </c>
      <c r="U1744" s="569" t="s">
        <v>252</v>
      </c>
      <c r="V1744" s="569">
        <v>159</v>
      </c>
      <c r="W1744" s="569">
        <v>24</v>
      </c>
      <c r="X1744" s="568">
        <v>8900</v>
      </c>
      <c r="Y1744" s="569">
        <v>14</v>
      </c>
      <c r="Z1744" s="581" t="s">
        <v>178</v>
      </c>
      <c r="AA1744" s="581" t="s">
        <v>178</v>
      </c>
      <c r="AB1744" s="585">
        <v>37340</v>
      </c>
      <c r="AC1744" s="585" t="s">
        <v>164</v>
      </c>
      <c r="AD1744" s="585">
        <v>24649</v>
      </c>
      <c r="AE1744" s="587">
        <v>0.05</v>
      </c>
      <c r="AF1744" s="661" t="str">
        <f t="shared" si="192"/>
        <v>2019-LVN-RAM-PM25-004-08</v>
      </c>
      <c r="AG1744" s="661" t="str">
        <f>IF(AND($Y1744&gt;=32,(AI1744="I"),(Y1744&lt;&gt;"~"),(COUNTIF($AN$1:$AN1744,$AN1744)=1)),"TRUE","FALSE")</f>
        <v>FALSE</v>
      </c>
      <c r="AH1744" s="661" t="str">
        <f>IF(AND($Y1744&gt;=22, (AI1744&lt;&gt;"I"),(Y1744&lt;&gt;"~"),(COUNTIF($AN$1:$AN1744,$AN1744)=1)),"TRUE","FALSE")</f>
        <v>FALSE</v>
      </c>
      <c r="AI1744" s="661" t="str">
        <f t="shared" si="187"/>
        <v>II</v>
      </c>
      <c r="AJ1744" s="662" t="str">
        <f t="shared" si="188"/>
        <v>PM25-004</v>
      </c>
      <c r="AK1744" s="662" t="str">
        <f t="shared" si="189"/>
        <v>LVN</v>
      </c>
      <c r="AL1744" s="662" t="str">
        <f t="shared" si="190"/>
        <v>RAM</v>
      </c>
      <c r="AM1744" s="662" t="str">
        <f t="shared" si="186"/>
        <v>Promaster 2500-Cargo Van-FWD-2-99.4-5100-3.6L -6-VF2L16-21A-159-24-Unleaded-Unleaded</v>
      </c>
      <c r="AN1744" s="662" t="str">
        <f t="shared" si="191"/>
        <v>2019-LVN-RAM-PM25-004</v>
      </c>
    </row>
    <row r="1745" spans="1:40" s="572" customFormat="1" ht="15">
      <c r="A1745" s="570" t="s">
        <v>3284</v>
      </c>
      <c r="B1745" s="573" t="s">
        <v>3285</v>
      </c>
      <c r="C1745" s="573" t="s">
        <v>240</v>
      </c>
      <c r="D1745" s="578" t="s">
        <v>241</v>
      </c>
      <c r="E1745" s="573" t="s">
        <v>1516</v>
      </c>
      <c r="F1745" s="573" t="s">
        <v>1517</v>
      </c>
      <c r="G1745" s="573" t="s">
        <v>3265</v>
      </c>
      <c r="H1745" s="573">
        <v>2019</v>
      </c>
      <c r="I1745" s="573" t="s">
        <v>3282</v>
      </c>
      <c r="J1745" s="573" t="s">
        <v>1519</v>
      </c>
      <c r="K1745" s="573" t="s">
        <v>156</v>
      </c>
      <c r="L1745" s="573">
        <v>2</v>
      </c>
      <c r="M1745" s="573">
        <v>0</v>
      </c>
      <c r="N1745" s="573" t="s">
        <v>157</v>
      </c>
      <c r="O1745" s="573">
        <v>1</v>
      </c>
      <c r="P1745" s="573">
        <v>99.4</v>
      </c>
      <c r="Q1745" s="571">
        <v>5100</v>
      </c>
      <c r="R1745" s="573" t="s">
        <v>3267</v>
      </c>
      <c r="S1745" s="573">
        <v>6</v>
      </c>
      <c r="T1745" s="573" t="s">
        <v>3286</v>
      </c>
      <c r="U1745" s="573" t="s">
        <v>252</v>
      </c>
      <c r="V1745" s="573">
        <v>159</v>
      </c>
      <c r="W1745" s="573">
        <v>24</v>
      </c>
      <c r="X1745" s="571">
        <v>8900</v>
      </c>
      <c r="Y1745" s="573">
        <v>14</v>
      </c>
      <c r="Z1745" s="579" t="s">
        <v>178</v>
      </c>
      <c r="AA1745" s="579" t="s">
        <v>178</v>
      </c>
      <c r="AB1745" s="584">
        <v>37340</v>
      </c>
      <c r="AC1745" s="584" t="s">
        <v>164</v>
      </c>
      <c r="AD1745" s="584">
        <v>24649</v>
      </c>
      <c r="AE1745" s="586">
        <v>0.05</v>
      </c>
      <c r="AF1745" s="661" t="str">
        <f t="shared" si="192"/>
        <v>2019-LVN-RAM-PM25-004-08</v>
      </c>
      <c r="AG1745" s="661" t="str">
        <f>IF(AND($Y1745&gt;=32,(AI1745="I"),(Y1745&lt;&gt;"~"),(COUNTIF($AN$1:$AN1745,$AN1745)=1)),"TRUE","FALSE")</f>
        <v>FALSE</v>
      </c>
      <c r="AH1745" s="661" t="str">
        <f>IF(AND($Y1745&gt;=22, (AI1745&lt;&gt;"I"),(Y1745&lt;&gt;"~"),(COUNTIF($AN$1:$AN1745,$AN1745)=1)),"TRUE","FALSE")</f>
        <v>FALSE</v>
      </c>
      <c r="AI1745" s="661" t="str">
        <f t="shared" si="187"/>
        <v>II</v>
      </c>
      <c r="AJ1745" s="662" t="str">
        <f t="shared" si="188"/>
        <v>PM25-004</v>
      </c>
      <c r="AK1745" s="662" t="str">
        <f t="shared" si="189"/>
        <v>LVN</v>
      </c>
      <c r="AL1745" s="662" t="str">
        <f t="shared" si="190"/>
        <v>RAM</v>
      </c>
      <c r="AM1745" s="662" t="str">
        <f t="shared" si="186"/>
        <v>Promaster 2500-Cargo Van-FWD-2-99.4-5100-3.6L -6-VF2L16-21A-159-24-Unleaded-Unleaded</v>
      </c>
      <c r="AN1745" s="662" t="str">
        <f t="shared" si="191"/>
        <v>2019-LVN-RAM-PM25-004</v>
      </c>
    </row>
    <row r="1746" spans="1:40" s="572" customFormat="1" ht="15">
      <c r="A1746" s="570" t="s">
        <v>3275</v>
      </c>
      <c r="B1746" s="569" t="s">
        <v>3273</v>
      </c>
      <c r="C1746" s="569" t="s">
        <v>226</v>
      </c>
      <c r="D1746" s="580" t="s">
        <v>227</v>
      </c>
      <c r="E1746" s="569" t="s">
        <v>1516</v>
      </c>
      <c r="F1746" s="569" t="s">
        <v>1517</v>
      </c>
      <c r="G1746" s="569" t="s">
        <v>3265</v>
      </c>
      <c r="H1746" s="569">
        <v>2019</v>
      </c>
      <c r="I1746" s="569" t="s">
        <v>3282</v>
      </c>
      <c r="J1746" s="569" t="s">
        <v>3276</v>
      </c>
      <c r="K1746" s="569" t="s">
        <v>156</v>
      </c>
      <c r="L1746" s="569">
        <v>2</v>
      </c>
      <c r="M1746" s="569">
        <v>0</v>
      </c>
      <c r="N1746" s="569" t="s">
        <v>157</v>
      </c>
      <c r="O1746" s="569">
        <v>1</v>
      </c>
      <c r="P1746" s="569">
        <v>99.4</v>
      </c>
      <c r="Q1746" s="568">
        <v>5100</v>
      </c>
      <c r="R1746" s="569" t="s">
        <v>3267</v>
      </c>
      <c r="S1746" s="569">
        <v>6</v>
      </c>
      <c r="T1746" s="569" t="s">
        <v>3283</v>
      </c>
      <c r="U1746" s="569" t="s">
        <v>252</v>
      </c>
      <c r="V1746" s="569">
        <v>136</v>
      </c>
      <c r="W1746" s="569">
        <v>24</v>
      </c>
      <c r="X1746" s="568">
        <v>8900</v>
      </c>
      <c r="Y1746" s="569">
        <v>14</v>
      </c>
      <c r="Z1746" s="581" t="s">
        <v>178</v>
      </c>
      <c r="AA1746" s="581" t="s">
        <v>178</v>
      </c>
      <c r="AB1746" s="585">
        <v>35665</v>
      </c>
      <c r="AC1746" s="585" t="s">
        <v>164</v>
      </c>
      <c r="AD1746" s="585">
        <v>23208</v>
      </c>
      <c r="AE1746" s="587">
        <v>6.25E-2</v>
      </c>
      <c r="AF1746" s="661" t="str">
        <f t="shared" si="192"/>
        <v>2019-LVN-RAM-PM15-006-04</v>
      </c>
      <c r="AG1746" s="661" t="str">
        <f>IF(AND($Y1746&gt;=32,(AI1746="I"),(Y1746&lt;&gt;"~"),(COUNTIF($AN$1:$AN1746,$AN1746)=1)),"TRUE","FALSE")</f>
        <v>FALSE</v>
      </c>
      <c r="AH1746" s="661" t="str">
        <f>IF(AND($Y1746&gt;=22, (AI1746&lt;&gt;"I"),(Y1746&lt;&gt;"~"),(COUNTIF($AN$1:$AN1746,$AN1746)=1)),"TRUE","FALSE")</f>
        <v>FALSE</v>
      </c>
      <c r="AI1746" s="661" t="str">
        <f t="shared" si="187"/>
        <v>II</v>
      </c>
      <c r="AJ1746" s="662" t="str">
        <f t="shared" si="188"/>
        <v>PM15-006</v>
      </c>
      <c r="AK1746" s="662" t="str">
        <f t="shared" si="189"/>
        <v>LVN</v>
      </c>
      <c r="AL1746" s="662" t="str">
        <f t="shared" si="190"/>
        <v>RAM</v>
      </c>
      <c r="AM1746" s="662" t="str">
        <f t="shared" si="186"/>
        <v>Promaster 2500-Cargo Van HR-FWD-2-99.4-5100-3.6L -6-VF2L13-21A-136-24-Unleaded-Unleaded</v>
      </c>
      <c r="AN1746" s="662" t="str">
        <f t="shared" si="191"/>
        <v>2019-LVN-RAM-PM15-006</v>
      </c>
    </row>
    <row r="1747" spans="1:40" s="572" customFormat="1" ht="15">
      <c r="A1747" s="570" t="s">
        <v>3287</v>
      </c>
      <c r="B1747" s="573" t="s">
        <v>3288</v>
      </c>
      <c r="C1747" s="573" t="s">
        <v>226</v>
      </c>
      <c r="D1747" s="578" t="s">
        <v>227</v>
      </c>
      <c r="E1747" s="573" t="s">
        <v>1516</v>
      </c>
      <c r="F1747" s="573" t="s">
        <v>1517</v>
      </c>
      <c r="G1747" s="573" t="s">
        <v>3265</v>
      </c>
      <c r="H1747" s="573">
        <v>2019</v>
      </c>
      <c r="I1747" s="573" t="s">
        <v>3282</v>
      </c>
      <c r="J1747" s="573" t="s">
        <v>3276</v>
      </c>
      <c r="K1747" s="573" t="s">
        <v>156</v>
      </c>
      <c r="L1747" s="573">
        <v>2</v>
      </c>
      <c r="M1747" s="573">
        <v>0</v>
      </c>
      <c r="N1747" s="573" t="s">
        <v>157</v>
      </c>
      <c r="O1747" s="573">
        <v>1</v>
      </c>
      <c r="P1747" s="573">
        <v>99.4</v>
      </c>
      <c r="Q1747" s="571">
        <v>5100</v>
      </c>
      <c r="R1747" s="573" t="s">
        <v>3267</v>
      </c>
      <c r="S1747" s="573">
        <v>6</v>
      </c>
      <c r="T1747" s="573" t="s">
        <v>3286</v>
      </c>
      <c r="U1747" s="573" t="s">
        <v>252</v>
      </c>
      <c r="V1747" s="573">
        <v>159</v>
      </c>
      <c r="W1747" s="573">
        <v>24</v>
      </c>
      <c r="X1747" s="571">
        <v>8900</v>
      </c>
      <c r="Y1747" s="573">
        <v>14</v>
      </c>
      <c r="Z1747" s="579" t="s">
        <v>178</v>
      </c>
      <c r="AA1747" s="579" t="s">
        <v>178</v>
      </c>
      <c r="AB1747" s="584">
        <v>37465</v>
      </c>
      <c r="AC1747" s="584" t="s">
        <v>164</v>
      </c>
      <c r="AD1747" s="584">
        <v>24813</v>
      </c>
      <c r="AE1747" s="586">
        <v>6.25E-2</v>
      </c>
      <c r="AF1747" s="661" t="str">
        <f t="shared" si="192"/>
        <v>2019-LVN-RAM-PM15-007-04</v>
      </c>
      <c r="AG1747" s="661" t="str">
        <f>IF(AND($Y1747&gt;=32,(AI1747="I"),(Y1747&lt;&gt;"~"),(COUNTIF($AN$1:$AN1747,$AN1747)=1)),"TRUE","FALSE")</f>
        <v>FALSE</v>
      </c>
      <c r="AH1747" s="661" t="str">
        <f>IF(AND($Y1747&gt;=22, (AI1747&lt;&gt;"I"),(Y1747&lt;&gt;"~"),(COUNTIF($AN$1:$AN1747,$AN1747)=1)),"TRUE","FALSE")</f>
        <v>FALSE</v>
      </c>
      <c r="AI1747" s="661" t="str">
        <f t="shared" si="187"/>
        <v>II</v>
      </c>
      <c r="AJ1747" s="662" t="str">
        <f t="shared" si="188"/>
        <v>PM15-007</v>
      </c>
      <c r="AK1747" s="662" t="str">
        <f t="shared" si="189"/>
        <v>LVN</v>
      </c>
      <c r="AL1747" s="662" t="str">
        <f t="shared" si="190"/>
        <v>RAM</v>
      </c>
      <c r="AM1747" s="662" t="str">
        <f t="shared" si="186"/>
        <v>Promaster 2500-Cargo Van HR-FWD-2-99.4-5100-3.6L -6-VF2L16-21A-159-24-Unleaded-Unleaded</v>
      </c>
      <c r="AN1747" s="662" t="str">
        <f t="shared" si="191"/>
        <v>2019-LVN-RAM-PM15-007</v>
      </c>
    </row>
    <row r="1748" spans="1:40" s="572" customFormat="1" ht="15">
      <c r="A1748" s="570" t="s">
        <v>3289</v>
      </c>
      <c r="B1748" s="569" t="s">
        <v>3290</v>
      </c>
      <c r="C1748" s="569" t="s">
        <v>240</v>
      </c>
      <c r="D1748" s="580" t="s">
        <v>241</v>
      </c>
      <c r="E1748" s="569" t="s">
        <v>1516</v>
      </c>
      <c r="F1748" s="569" t="s">
        <v>1517</v>
      </c>
      <c r="G1748" s="569" t="s">
        <v>3265</v>
      </c>
      <c r="H1748" s="569">
        <v>2019</v>
      </c>
      <c r="I1748" s="569" t="s">
        <v>3282</v>
      </c>
      <c r="J1748" s="569" t="s">
        <v>3291</v>
      </c>
      <c r="K1748" s="569" t="s">
        <v>156</v>
      </c>
      <c r="L1748" s="569">
        <v>2</v>
      </c>
      <c r="M1748" s="569">
        <v>0</v>
      </c>
      <c r="N1748" s="569" t="s">
        <v>157</v>
      </c>
      <c r="O1748" s="569">
        <v>1</v>
      </c>
      <c r="P1748" s="569">
        <v>99.4</v>
      </c>
      <c r="Q1748" s="568">
        <v>5100</v>
      </c>
      <c r="R1748" s="569" t="s">
        <v>231</v>
      </c>
      <c r="S1748" s="569">
        <v>6</v>
      </c>
      <c r="T1748" s="569" t="s">
        <v>3292</v>
      </c>
      <c r="U1748" s="569" t="s">
        <v>252</v>
      </c>
      <c r="V1748" s="569">
        <v>159</v>
      </c>
      <c r="W1748" s="569">
        <v>24</v>
      </c>
      <c r="X1748" s="568">
        <v>8900</v>
      </c>
      <c r="Y1748" s="569">
        <v>14</v>
      </c>
      <c r="Z1748" s="581" t="s">
        <v>178</v>
      </c>
      <c r="AA1748" s="581" t="s">
        <v>178</v>
      </c>
      <c r="AB1748" s="585">
        <v>37940</v>
      </c>
      <c r="AC1748" s="585" t="s">
        <v>164</v>
      </c>
      <c r="AD1748" s="585">
        <v>27043.75</v>
      </c>
      <c r="AE1748" s="587">
        <v>0.05</v>
      </c>
      <c r="AF1748" s="661" t="str">
        <f t="shared" si="192"/>
        <v>2019-LVN-RAM-PM25-005-08</v>
      </c>
      <c r="AG1748" s="661" t="str">
        <f>IF(AND($Y1748&gt;=32,(AI1748="I"),(Y1748&lt;&gt;"~"),(COUNTIF($AN$1:$AN1748,$AN1748)=1)),"TRUE","FALSE")</f>
        <v>FALSE</v>
      </c>
      <c r="AH1748" s="661" t="str">
        <f>IF(AND($Y1748&gt;=22, (AI1748&lt;&gt;"I"),(Y1748&lt;&gt;"~"),(COUNTIF($AN$1:$AN1748,$AN1748)=1)),"TRUE","FALSE")</f>
        <v>FALSE</v>
      </c>
      <c r="AI1748" s="661" t="str">
        <f t="shared" si="187"/>
        <v>II</v>
      </c>
      <c r="AJ1748" s="662" t="str">
        <f t="shared" si="188"/>
        <v>PM25-005</v>
      </c>
      <c r="AK1748" s="662" t="str">
        <f t="shared" si="189"/>
        <v>LVN</v>
      </c>
      <c r="AL1748" s="662" t="str">
        <f t="shared" si="190"/>
        <v>RAM</v>
      </c>
      <c r="AM1748" s="662" t="str">
        <f t="shared" si="186"/>
        <v>Promaster 2500-Window Van-FWD-2-99.4-5100-3.6L-6-VF2L26-21A-159-24-Unleaded-Unleaded</v>
      </c>
      <c r="AN1748" s="662" t="str">
        <f t="shared" si="191"/>
        <v>2019-LVN-RAM-PM25-005</v>
      </c>
    </row>
    <row r="1749" spans="1:40" s="572" customFormat="1" ht="15">
      <c r="A1749" s="570" t="s">
        <v>3293</v>
      </c>
      <c r="B1749" s="573" t="s">
        <v>3290</v>
      </c>
      <c r="C1749" s="573" t="s">
        <v>226</v>
      </c>
      <c r="D1749" s="578" t="s">
        <v>227</v>
      </c>
      <c r="E1749" s="573" t="s">
        <v>1516</v>
      </c>
      <c r="F1749" s="573" t="s">
        <v>1517</v>
      </c>
      <c r="G1749" s="573" t="s">
        <v>3265</v>
      </c>
      <c r="H1749" s="573">
        <v>2019</v>
      </c>
      <c r="I1749" s="573" t="s">
        <v>3282</v>
      </c>
      <c r="J1749" s="573" t="s">
        <v>3294</v>
      </c>
      <c r="K1749" s="573" t="s">
        <v>156</v>
      </c>
      <c r="L1749" s="573">
        <v>2</v>
      </c>
      <c r="M1749" s="573">
        <v>0</v>
      </c>
      <c r="N1749" s="573" t="s">
        <v>157</v>
      </c>
      <c r="O1749" s="573">
        <v>1</v>
      </c>
      <c r="P1749" s="573">
        <v>99.4</v>
      </c>
      <c r="Q1749" s="571" t="s">
        <v>157</v>
      </c>
      <c r="R1749" s="573" t="s">
        <v>231</v>
      </c>
      <c r="S1749" s="573">
        <v>6</v>
      </c>
      <c r="T1749" s="573" t="s">
        <v>3292</v>
      </c>
      <c r="U1749" s="573" t="s">
        <v>252</v>
      </c>
      <c r="V1749" s="573">
        <v>159</v>
      </c>
      <c r="W1749" s="573">
        <v>24</v>
      </c>
      <c r="X1749" s="571">
        <v>8900</v>
      </c>
      <c r="Y1749" s="573">
        <v>14</v>
      </c>
      <c r="Z1749" s="579" t="s">
        <v>178</v>
      </c>
      <c r="AA1749" s="579" t="s">
        <v>178</v>
      </c>
      <c r="AB1749" s="584">
        <v>38065</v>
      </c>
      <c r="AC1749" s="584" t="s">
        <v>164</v>
      </c>
      <c r="AD1749" s="584">
        <v>27284</v>
      </c>
      <c r="AE1749" s="586">
        <v>6.25E-2</v>
      </c>
      <c r="AF1749" s="661" t="str">
        <f t="shared" si="192"/>
        <v>2019-LVN-RAM-PM25-005-04</v>
      </c>
      <c r="AG1749" s="661" t="str">
        <f>IF(AND($Y1749&gt;=32,(AI1749="I"),(Y1749&lt;&gt;"~"),(COUNTIF($AN$1:$AN1749,$AN1749)=1)),"TRUE","FALSE")</f>
        <v>FALSE</v>
      </c>
      <c r="AH1749" s="661" t="str">
        <f>IF(AND($Y1749&gt;=22, (AI1749&lt;&gt;"I"),(Y1749&lt;&gt;"~"),(COUNTIF($AN$1:$AN1749,$AN1749)=1)),"TRUE","FALSE")</f>
        <v>FALSE</v>
      </c>
      <c r="AI1749" s="661" t="str">
        <f t="shared" si="187"/>
        <v>II</v>
      </c>
      <c r="AJ1749" s="662" t="str">
        <f t="shared" si="188"/>
        <v>PM25-005</v>
      </c>
      <c r="AK1749" s="662" t="str">
        <f t="shared" si="189"/>
        <v>LVN</v>
      </c>
      <c r="AL1749" s="662" t="str">
        <f t="shared" si="190"/>
        <v>RAM</v>
      </c>
      <c r="AM1749" s="662" t="str">
        <f t="shared" si="186"/>
        <v>Promaster 2500-Window Van HR-FWD-2-99.4-~-3.6L-6-VF2L26-21A-159-24-Unleaded-Unleaded</v>
      </c>
      <c r="AN1749" s="662" t="str">
        <f t="shared" si="191"/>
        <v>2019-LVN-RAM-PM25-005</v>
      </c>
    </row>
    <row r="1750" spans="1:40" s="572" customFormat="1" ht="30">
      <c r="A1750" s="570" t="s">
        <v>3295</v>
      </c>
      <c r="B1750" s="569" t="s">
        <v>3296</v>
      </c>
      <c r="C1750" s="569" t="s">
        <v>1889</v>
      </c>
      <c r="D1750" s="580">
        <v>25</v>
      </c>
      <c r="E1750" s="569" t="s">
        <v>1516</v>
      </c>
      <c r="F1750" s="569" t="s">
        <v>1561</v>
      </c>
      <c r="G1750" s="569" t="s">
        <v>3265</v>
      </c>
      <c r="H1750" s="569">
        <v>2019</v>
      </c>
      <c r="I1750" s="569" t="s">
        <v>3297</v>
      </c>
      <c r="J1750" s="569" t="s">
        <v>164</v>
      </c>
      <c r="K1750" s="569" t="s">
        <v>156</v>
      </c>
      <c r="L1750" s="569">
        <v>14</v>
      </c>
      <c r="M1750" s="569">
        <v>0</v>
      </c>
      <c r="N1750" s="569" t="s">
        <v>1900</v>
      </c>
      <c r="O1750" s="569" t="s">
        <v>3298</v>
      </c>
      <c r="P1750" s="569">
        <v>99.4</v>
      </c>
      <c r="Q1750" s="568" t="s">
        <v>164</v>
      </c>
      <c r="R1750" s="569" t="s">
        <v>682</v>
      </c>
      <c r="S1750" s="569">
        <v>6</v>
      </c>
      <c r="T1750" s="569" t="s">
        <v>3292</v>
      </c>
      <c r="U1750" s="569" t="s">
        <v>252</v>
      </c>
      <c r="V1750" s="569">
        <v>159</v>
      </c>
      <c r="W1750" s="569">
        <v>24</v>
      </c>
      <c r="X1750" s="568">
        <v>8900</v>
      </c>
      <c r="Y1750" s="573">
        <v>14</v>
      </c>
      <c r="Z1750" s="581" t="s">
        <v>450</v>
      </c>
      <c r="AA1750" s="581" t="s">
        <v>178</v>
      </c>
      <c r="AB1750" s="585">
        <v>39105</v>
      </c>
      <c r="AC1750" s="585">
        <v>54071</v>
      </c>
      <c r="AD1750" s="585">
        <v>40885</v>
      </c>
      <c r="AE1750" s="587">
        <v>0.05</v>
      </c>
      <c r="AF1750" s="661" t="str">
        <f t="shared" si="192"/>
        <v>2019-LVN-RAM-PM25-011-25</v>
      </c>
      <c r="AG1750" s="661" t="str">
        <f>IF(AND($Y1750&gt;=32,(AI1750="I"),(Y1750&lt;&gt;"~"),(COUNTIF($AN$1:$AN1750,$AN1750)=1)),"TRUE","FALSE")</f>
        <v>FALSE</v>
      </c>
      <c r="AH1750" s="661" t="str">
        <f>IF(AND($Y1750&gt;=22, (AI1750&lt;&gt;"I"),(Y1750&lt;&gt;"~"),(COUNTIF($AN$1:$AN1750,$AN1750)=1)),"TRUE","FALSE")</f>
        <v>FALSE</v>
      </c>
      <c r="AI1750" s="661" t="str">
        <f t="shared" si="187"/>
        <v>II</v>
      </c>
      <c r="AJ1750" s="662" t="str">
        <f t="shared" si="188"/>
        <v>PM25-011</v>
      </c>
      <c r="AK1750" s="662" t="str">
        <f t="shared" si="189"/>
        <v>LVN</v>
      </c>
      <c r="AL1750" s="662" t="str">
        <f t="shared" si="190"/>
        <v>RAM</v>
      </c>
      <c r="AM1750" s="662" t="str">
        <f t="shared" si="186"/>
        <v>Promaster 2500 Window Van HR-N/A-FWD-14-99.4-N/A-3.7L-6-VF2L26-21A-159-24-E85-Unleaded</v>
      </c>
      <c r="AN1750" s="662" t="str">
        <f t="shared" si="191"/>
        <v>2019-LVN-RAM-PM25-011</v>
      </c>
    </row>
    <row r="1751" spans="1:40" s="572" customFormat="1" ht="30">
      <c r="A1751" s="570" t="s">
        <v>3299</v>
      </c>
      <c r="B1751" s="573" t="s">
        <v>3300</v>
      </c>
      <c r="C1751" s="573" t="s">
        <v>1889</v>
      </c>
      <c r="D1751" s="578">
        <v>25</v>
      </c>
      <c r="E1751" s="573" t="s">
        <v>1516</v>
      </c>
      <c r="F1751" s="573" t="s">
        <v>1897</v>
      </c>
      <c r="G1751" s="573" t="s">
        <v>3265</v>
      </c>
      <c r="H1751" s="573">
        <v>2019</v>
      </c>
      <c r="I1751" s="573" t="s">
        <v>3297</v>
      </c>
      <c r="J1751" s="573" t="s">
        <v>164</v>
      </c>
      <c r="K1751" s="573" t="s">
        <v>156</v>
      </c>
      <c r="L1751" s="573">
        <v>10</v>
      </c>
      <c r="M1751" s="573">
        <v>3</v>
      </c>
      <c r="N1751" s="573" t="s">
        <v>1898</v>
      </c>
      <c r="O1751" s="573" t="s">
        <v>3301</v>
      </c>
      <c r="P1751" s="573">
        <v>99.4</v>
      </c>
      <c r="Q1751" s="571" t="s">
        <v>164</v>
      </c>
      <c r="R1751" s="573" t="s">
        <v>682</v>
      </c>
      <c r="S1751" s="573">
        <v>6</v>
      </c>
      <c r="T1751" s="573" t="s">
        <v>3292</v>
      </c>
      <c r="U1751" s="573" t="s">
        <v>252</v>
      </c>
      <c r="V1751" s="573">
        <v>159</v>
      </c>
      <c r="W1751" s="573">
        <v>24</v>
      </c>
      <c r="X1751" s="571">
        <v>8900</v>
      </c>
      <c r="Y1751" s="573">
        <v>14</v>
      </c>
      <c r="Z1751" s="579" t="s">
        <v>450</v>
      </c>
      <c r="AA1751" s="579" t="s">
        <v>178</v>
      </c>
      <c r="AB1751" s="584">
        <v>39105</v>
      </c>
      <c r="AC1751" s="584">
        <v>60778</v>
      </c>
      <c r="AD1751" s="584">
        <v>46542</v>
      </c>
      <c r="AE1751" s="586">
        <v>0.05</v>
      </c>
      <c r="AF1751" s="661" t="str">
        <f t="shared" si="192"/>
        <v>2019-LVN-RAM-PM25-010-25</v>
      </c>
      <c r="AG1751" s="661" t="str">
        <f>IF(AND($Y1751&gt;=32,(AI1751="I"),(Y1751&lt;&gt;"~"),(COUNTIF($AN$1:$AN1751,$AN1751)=1)),"TRUE","FALSE")</f>
        <v>FALSE</v>
      </c>
      <c r="AH1751" s="661" t="str">
        <f>IF(AND($Y1751&gt;=22, (AI1751&lt;&gt;"I"),(Y1751&lt;&gt;"~"),(COUNTIF($AN$1:$AN1751,$AN1751)=1)),"TRUE","FALSE")</f>
        <v>FALSE</v>
      </c>
      <c r="AI1751" s="661" t="str">
        <f t="shared" si="187"/>
        <v>II</v>
      </c>
      <c r="AJ1751" s="662" t="str">
        <f t="shared" si="188"/>
        <v>PM25-010</v>
      </c>
      <c r="AK1751" s="662" t="str">
        <f t="shared" si="189"/>
        <v>LVN</v>
      </c>
      <c r="AL1751" s="662" t="str">
        <f t="shared" si="190"/>
        <v>RAM</v>
      </c>
      <c r="AM1751" s="662" t="str">
        <f t="shared" si="186"/>
        <v>Promaster 2500 Window Van HR-N/A-FWD-10-99.4-N/A-3.7L-6-VF2L26-21A-159-24-E85-Unleaded</v>
      </c>
      <c r="AN1751" s="662" t="str">
        <f t="shared" si="191"/>
        <v>2019-LVN-RAM-PM25-010</v>
      </c>
    </row>
    <row r="1752" spans="1:40" s="572" customFormat="1" ht="30">
      <c r="A1752" s="570" t="s">
        <v>3299</v>
      </c>
      <c r="B1752" s="569" t="s">
        <v>3300</v>
      </c>
      <c r="C1752" s="569" t="s">
        <v>1889</v>
      </c>
      <c r="D1752" s="580">
        <v>25</v>
      </c>
      <c r="E1752" s="569" t="s">
        <v>1516</v>
      </c>
      <c r="F1752" s="569" t="s">
        <v>1897</v>
      </c>
      <c r="G1752" s="569" t="s">
        <v>3265</v>
      </c>
      <c r="H1752" s="569">
        <v>2019</v>
      </c>
      <c r="I1752" s="569" t="s">
        <v>3297</v>
      </c>
      <c r="J1752" s="569" t="s">
        <v>164</v>
      </c>
      <c r="K1752" s="569" t="s">
        <v>156</v>
      </c>
      <c r="L1752" s="569">
        <v>10</v>
      </c>
      <c r="M1752" s="569">
        <v>2</v>
      </c>
      <c r="N1752" s="569" t="s">
        <v>1898</v>
      </c>
      <c r="O1752" s="569" t="s">
        <v>3302</v>
      </c>
      <c r="P1752" s="569">
        <v>99.4</v>
      </c>
      <c r="Q1752" s="568" t="s">
        <v>164</v>
      </c>
      <c r="R1752" s="569" t="s">
        <v>682</v>
      </c>
      <c r="S1752" s="569">
        <v>6</v>
      </c>
      <c r="T1752" s="569" t="s">
        <v>3292</v>
      </c>
      <c r="U1752" s="569" t="s">
        <v>252</v>
      </c>
      <c r="V1752" s="569">
        <v>159</v>
      </c>
      <c r="W1752" s="569">
        <v>24</v>
      </c>
      <c r="X1752" s="568">
        <v>8900</v>
      </c>
      <c r="Y1752" s="573">
        <v>14</v>
      </c>
      <c r="Z1752" s="581" t="s">
        <v>450</v>
      </c>
      <c r="AA1752" s="581" t="s">
        <v>178</v>
      </c>
      <c r="AB1752" s="585">
        <v>39105</v>
      </c>
      <c r="AC1752" s="585">
        <v>57858</v>
      </c>
      <c r="AD1752" s="585">
        <v>45772</v>
      </c>
      <c r="AE1752" s="587">
        <v>0.05</v>
      </c>
      <c r="AF1752" s="661" t="str">
        <f t="shared" si="192"/>
        <v>2019-LVN-RAM-PM25-010-25</v>
      </c>
      <c r="AG1752" s="661" t="str">
        <f>IF(AND($Y1752&gt;=32,(AI1752="I"),(Y1752&lt;&gt;"~"),(COUNTIF($AN$1:$AN1752,$AN1752)=1)),"TRUE","FALSE")</f>
        <v>FALSE</v>
      </c>
      <c r="AH1752" s="661" t="str">
        <f>IF(AND($Y1752&gt;=22, (AI1752&lt;&gt;"I"),(Y1752&lt;&gt;"~"),(COUNTIF($AN$1:$AN1752,$AN1752)=1)),"TRUE","FALSE")</f>
        <v>FALSE</v>
      </c>
      <c r="AI1752" s="661" t="str">
        <f t="shared" si="187"/>
        <v>II</v>
      </c>
      <c r="AJ1752" s="662" t="str">
        <f t="shared" si="188"/>
        <v>PM25-010</v>
      </c>
      <c r="AK1752" s="662" t="str">
        <f t="shared" si="189"/>
        <v>LVN</v>
      </c>
      <c r="AL1752" s="662" t="str">
        <f t="shared" si="190"/>
        <v>RAM</v>
      </c>
      <c r="AM1752" s="662" t="str">
        <f t="shared" si="186"/>
        <v>Promaster 2500 Window Van HR-N/A-FWD-10-99.4-N/A-3.7L-6-VF2L26-21A-159-24-E85-Unleaded</v>
      </c>
      <c r="AN1752" s="662" t="str">
        <f t="shared" si="191"/>
        <v>2019-LVN-RAM-PM25-010</v>
      </c>
    </row>
    <row r="1753" spans="1:40" s="572" customFormat="1" ht="30">
      <c r="A1753" s="570" t="s">
        <v>3303</v>
      </c>
      <c r="B1753" s="573" t="s">
        <v>3304</v>
      </c>
      <c r="C1753" s="573" t="s">
        <v>1889</v>
      </c>
      <c r="D1753" s="578">
        <v>25</v>
      </c>
      <c r="E1753" s="573" t="s">
        <v>1516</v>
      </c>
      <c r="F1753" s="573" t="s">
        <v>1897</v>
      </c>
      <c r="G1753" s="573" t="s">
        <v>3265</v>
      </c>
      <c r="H1753" s="573">
        <v>2019</v>
      </c>
      <c r="I1753" s="573" t="s">
        <v>3297</v>
      </c>
      <c r="J1753" s="573" t="s">
        <v>164</v>
      </c>
      <c r="K1753" s="573" t="s">
        <v>156</v>
      </c>
      <c r="L1753" s="573">
        <v>8</v>
      </c>
      <c r="M1753" s="573">
        <v>3</v>
      </c>
      <c r="N1753" s="573" t="s">
        <v>1900</v>
      </c>
      <c r="O1753" s="573" t="s">
        <v>3305</v>
      </c>
      <c r="P1753" s="573">
        <v>99.4</v>
      </c>
      <c r="Q1753" s="571" t="s">
        <v>164</v>
      </c>
      <c r="R1753" s="573" t="s">
        <v>682</v>
      </c>
      <c r="S1753" s="573">
        <v>6</v>
      </c>
      <c r="T1753" s="573" t="s">
        <v>3292</v>
      </c>
      <c r="U1753" s="573" t="s">
        <v>252</v>
      </c>
      <c r="V1753" s="573">
        <v>159</v>
      </c>
      <c r="W1753" s="573">
        <v>24</v>
      </c>
      <c r="X1753" s="571">
        <v>8900</v>
      </c>
      <c r="Y1753" s="573">
        <v>14</v>
      </c>
      <c r="Z1753" s="579" t="s">
        <v>450</v>
      </c>
      <c r="AA1753" s="579" t="s">
        <v>178</v>
      </c>
      <c r="AB1753" s="584">
        <v>39105</v>
      </c>
      <c r="AC1753" s="584">
        <v>59078</v>
      </c>
      <c r="AD1753" s="584">
        <v>46042</v>
      </c>
      <c r="AE1753" s="586">
        <v>0.05</v>
      </c>
      <c r="AF1753" s="661" t="str">
        <f t="shared" si="192"/>
        <v>2019-LVN-RAM-PM25-012-25</v>
      </c>
      <c r="AG1753" s="661" t="str">
        <f>IF(AND($Y1753&gt;=32,(AI1753="I"),(Y1753&lt;&gt;"~"),(COUNTIF($AN$1:$AN1753,$AN1753)=1)),"TRUE","FALSE")</f>
        <v>FALSE</v>
      </c>
      <c r="AH1753" s="661" t="str">
        <f>IF(AND($Y1753&gt;=22, (AI1753&lt;&gt;"I"),(Y1753&lt;&gt;"~"),(COUNTIF($AN$1:$AN1753,$AN1753)=1)),"TRUE","FALSE")</f>
        <v>FALSE</v>
      </c>
      <c r="AI1753" s="661" t="str">
        <f t="shared" si="187"/>
        <v>II</v>
      </c>
      <c r="AJ1753" s="662" t="str">
        <f t="shared" si="188"/>
        <v>PM25-012</v>
      </c>
      <c r="AK1753" s="662" t="str">
        <f t="shared" si="189"/>
        <v>LVN</v>
      </c>
      <c r="AL1753" s="662" t="str">
        <f t="shared" si="190"/>
        <v>RAM</v>
      </c>
      <c r="AM1753" s="662" t="str">
        <f t="shared" si="186"/>
        <v>Promaster 2500 Window Van HR-N/A-FWD-8-99.4-N/A-3.7L-6-VF2L26-21A-159-24-E85-Unleaded</v>
      </c>
      <c r="AN1753" s="662" t="str">
        <f t="shared" si="191"/>
        <v>2019-LVN-RAM-PM25-012</v>
      </c>
    </row>
    <row r="1754" spans="1:40" s="572" customFormat="1" ht="15">
      <c r="A1754" s="570" t="s">
        <v>3306</v>
      </c>
      <c r="B1754" s="569" t="s">
        <v>3307</v>
      </c>
      <c r="C1754" s="569" t="s">
        <v>240</v>
      </c>
      <c r="D1754" s="580" t="s">
        <v>241</v>
      </c>
      <c r="E1754" s="569" t="s">
        <v>1516</v>
      </c>
      <c r="F1754" s="569" t="s">
        <v>1571</v>
      </c>
      <c r="G1754" s="569" t="s">
        <v>3265</v>
      </c>
      <c r="H1754" s="569">
        <v>2019</v>
      </c>
      <c r="I1754" s="569" t="s">
        <v>3308</v>
      </c>
      <c r="J1754" s="569" t="s">
        <v>1519</v>
      </c>
      <c r="K1754" s="569" t="s">
        <v>156</v>
      </c>
      <c r="L1754" s="569">
        <v>2</v>
      </c>
      <c r="M1754" s="569">
        <v>0</v>
      </c>
      <c r="N1754" s="569" t="s">
        <v>157</v>
      </c>
      <c r="O1754" s="569">
        <v>1</v>
      </c>
      <c r="P1754" s="569">
        <v>99.4</v>
      </c>
      <c r="Q1754" s="568">
        <v>5100</v>
      </c>
      <c r="R1754" s="569" t="s">
        <v>3267</v>
      </c>
      <c r="S1754" s="569">
        <v>6</v>
      </c>
      <c r="T1754" s="569" t="s">
        <v>3309</v>
      </c>
      <c r="U1754" s="569" t="s">
        <v>252</v>
      </c>
      <c r="V1754" s="569">
        <v>159</v>
      </c>
      <c r="W1754" s="569">
        <v>24</v>
      </c>
      <c r="X1754" s="568">
        <v>9350</v>
      </c>
      <c r="Y1754" s="569">
        <v>12</v>
      </c>
      <c r="Z1754" s="581" t="s">
        <v>178</v>
      </c>
      <c r="AA1754" s="581" t="s">
        <v>178</v>
      </c>
      <c r="AB1754" s="585">
        <v>41290</v>
      </c>
      <c r="AC1754" s="585" t="s">
        <v>164</v>
      </c>
      <c r="AD1754" s="585">
        <v>28467.708333333336</v>
      </c>
      <c r="AE1754" s="587">
        <v>0.05</v>
      </c>
      <c r="AF1754" s="661" t="str">
        <f t="shared" si="192"/>
        <v>2019-LVN-RAM-PM35-003-08</v>
      </c>
      <c r="AG1754" s="661" t="str">
        <f>IF(AND($Y1754&gt;=32,(AI1754="I"),(Y1754&lt;&gt;"~"),(COUNTIF($AN$1:$AN1754,$AN1754)=1)),"TRUE","FALSE")</f>
        <v>FALSE</v>
      </c>
      <c r="AH1754" s="661" t="str">
        <f>IF(AND($Y1754&gt;=22, (AI1754&lt;&gt;"I"),(Y1754&lt;&gt;"~"),(COUNTIF($AN$1:$AN1754,$AN1754)=1)),"TRUE","FALSE")</f>
        <v>FALSE</v>
      </c>
      <c r="AI1754" s="661" t="str">
        <f t="shared" si="187"/>
        <v>II</v>
      </c>
      <c r="AJ1754" s="662" t="str">
        <f t="shared" si="188"/>
        <v>PM35-003</v>
      </c>
      <c r="AK1754" s="662" t="str">
        <f t="shared" si="189"/>
        <v>LVN</v>
      </c>
      <c r="AL1754" s="662" t="str">
        <f t="shared" si="190"/>
        <v>RAM</v>
      </c>
      <c r="AM1754" s="662" t="str">
        <f t="shared" si="186"/>
        <v>Promaster 3500-Cargo Van-FWD-2-99.4-5100-3.6L -6-VF3L17-21A-159-24-Unleaded-Unleaded</v>
      </c>
      <c r="AN1754" s="662" t="str">
        <f t="shared" si="191"/>
        <v>2019-LVN-RAM-PM35-003</v>
      </c>
    </row>
    <row r="1755" spans="1:40" s="572" customFormat="1" ht="15">
      <c r="A1755" s="570" t="s">
        <v>3310</v>
      </c>
      <c r="B1755" s="573" t="s">
        <v>3311</v>
      </c>
      <c r="C1755" s="573" t="s">
        <v>240</v>
      </c>
      <c r="D1755" s="578" t="s">
        <v>241</v>
      </c>
      <c r="E1755" s="573" t="s">
        <v>1516</v>
      </c>
      <c r="F1755" s="573" t="s">
        <v>1571</v>
      </c>
      <c r="G1755" s="573" t="s">
        <v>3265</v>
      </c>
      <c r="H1755" s="573">
        <v>2019</v>
      </c>
      <c r="I1755" s="573" t="s">
        <v>3308</v>
      </c>
      <c r="J1755" s="573" t="s">
        <v>1519</v>
      </c>
      <c r="K1755" s="573" t="s">
        <v>156</v>
      </c>
      <c r="L1755" s="573">
        <v>2</v>
      </c>
      <c r="M1755" s="573">
        <v>0</v>
      </c>
      <c r="N1755" s="573" t="s">
        <v>157</v>
      </c>
      <c r="O1755" s="573">
        <v>1</v>
      </c>
      <c r="P1755" s="573">
        <v>99.4</v>
      </c>
      <c r="Q1755" s="571">
        <v>5100</v>
      </c>
      <c r="R1755" s="573" t="s">
        <v>231</v>
      </c>
      <c r="S1755" s="573">
        <v>6</v>
      </c>
      <c r="T1755" s="573" t="s">
        <v>3312</v>
      </c>
      <c r="U1755" s="573" t="s">
        <v>252</v>
      </c>
      <c r="V1755" s="573">
        <v>159</v>
      </c>
      <c r="W1755" s="573">
        <v>24</v>
      </c>
      <c r="X1755" s="571">
        <v>9350</v>
      </c>
      <c r="Y1755" s="573">
        <v>12</v>
      </c>
      <c r="Z1755" s="579" t="s">
        <v>178</v>
      </c>
      <c r="AA1755" s="579" t="s">
        <v>178</v>
      </c>
      <c r="AB1755" s="584">
        <v>38540</v>
      </c>
      <c r="AC1755" s="584" t="s">
        <v>164</v>
      </c>
      <c r="AD1755" s="584">
        <v>26009</v>
      </c>
      <c r="AE1755" s="586">
        <v>0.05</v>
      </c>
      <c r="AF1755" s="661" t="str">
        <f t="shared" si="192"/>
        <v>2019-LVN-RAM-PM35-004-08</v>
      </c>
      <c r="AG1755" s="661" t="str">
        <f>IF(AND($Y1755&gt;=32,(AI1755="I"),(Y1755&lt;&gt;"~"),(COUNTIF($AN$1:$AN1755,$AN1755)=1)),"TRUE","FALSE")</f>
        <v>FALSE</v>
      </c>
      <c r="AH1755" s="661" t="str">
        <f>IF(AND($Y1755&gt;=22, (AI1755&lt;&gt;"I"),(Y1755&lt;&gt;"~"),(COUNTIF($AN$1:$AN1755,$AN1755)=1)),"TRUE","FALSE")</f>
        <v>FALSE</v>
      </c>
      <c r="AI1755" s="661" t="str">
        <f t="shared" si="187"/>
        <v>II</v>
      </c>
      <c r="AJ1755" s="662" t="str">
        <f t="shared" si="188"/>
        <v>PM35-004</v>
      </c>
      <c r="AK1755" s="662" t="str">
        <f t="shared" si="189"/>
        <v>LVN</v>
      </c>
      <c r="AL1755" s="662" t="str">
        <f t="shared" si="190"/>
        <v>RAM</v>
      </c>
      <c r="AM1755" s="662" t="str">
        <f t="shared" ref="AM1755:AM1818" si="193">CONCATENATE(I1755,"-",J1755,"-",K1755,"-",L1755,"-",P1755,"-",Q1755,"-",R1755,"-",S1755,"-",T1755,"-",U1755,"-",V1755,"-",W1755,"-",Z1755,"-",AA1755)</f>
        <v>Promaster 3500-Cargo Van-FWD-2-99.4-5100-3.6L-6-VF3L16-21A-159-24-Unleaded-Unleaded</v>
      </c>
      <c r="AN1755" s="662" t="str">
        <f t="shared" si="191"/>
        <v>2019-LVN-RAM-PM35-004</v>
      </c>
    </row>
    <row r="1756" spans="1:40" s="572" customFormat="1" ht="15">
      <c r="A1756" s="570" t="s">
        <v>3310</v>
      </c>
      <c r="B1756" s="569" t="s">
        <v>3311</v>
      </c>
      <c r="C1756" s="569" t="s">
        <v>240</v>
      </c>
      <c r="D1756" s="580" t="s">
        <v>241</v>
      </c>
      <c r="E1756" s="569" t="s">
        <v>1516</v>
      </c>
      <c r="F1756" s="569" t="s">
        <v>1571</v>
      </c>
      <c r="G1756" s="569" t="s">
        <v>3265</v>
      </c>
      <c r="H1756" s="569">
        <v>2019</v>
      </c>
      <c r="I1756" s="569" t="s">
        <v>3308</v>
      </c>
      <c r="J1756" s="569" t="s">
        <v>1519</v>
      </c>
      <c r="K1756" s="569" t="s">
        <v>156</v>
      </c>
      <c r="L1756" s="569">
        <v>2</v>
      </c>
      <c r="M1756" s="569">
        <v>0</v>
      </c>
      <c r="N1756" s="569" t="s">
        <v>157</v>
      </c>
      <c r="O1756" s="569">
        <v>1</v>
      </c>
      <c r="P1756" s="569">
        <v>99.4</v>
      </c>
      <c r="Q1756" s="568">
        <v>5100</v>
      </c>
      <c r="R1756" s="569" t="s">
        <v>231</v>
      </c>
      <c r="S1756" s="569">
        <v>6</v>
      </c>
      <c r="T1756" s="569" t="s">
        <v>3312</v>
      </c>
      <c r="U1756" s="569" t="s">
        <v>252</v>
      </c>
      <c r="V1756" s="569">
        <v>159</v>
      </c>
      <c r="W1756" s="569">
        <v>24</v>
      </c>
      <c r="X1756" s="568">
        <v>9350</v>
      </c>
      <c r="Y1756" s="569">
        <v>12</v>
      </c>
      <c r="Z1756" s="581" t="s">
        <v>178</v>
      </c>
      <c r="AA1756" s="581" t="s">
        <v>178</v>
      </c>
      <c r="AB1756" s="585">
        <v>38540</v>
      </c>
      <c r="AC1756" s="585" t="s">
        <v>164</v>
      </c>
      <c r="AD1756" s="585">
        <v>26009</v>
      </c>
      <c r="AE1756" s="587">
        <v>0.05</v>
      </c>
      <c r="AF1756" s="661" t="str">
        <f t="shared" si="192"/>
        <v>2019-LVN-RAM-PM35-004-08</v>
      </c>
      <c r="AG1756" s="661" t="str">
        <f>IF(AND($Y1756&gt;=32,(AI1756="I"),(Y1756&lt;&gt;"~"),(COUNTIF($AN$1:$AN1756,$AN1756)=1)),"TRUE","FALSE")</f>
        <v>FALSE</v>
      </c>
      <c r="AH1756" s="661" t="str">
        <f>IF(AND($Y1756&gt;=22, (AI1756&lt;&gt;"I"),(Y1756&lt;&gt;"~"),(COUNTIF($AN$1:$AN1756,$AN1756)=1)),"TRUE","FALSE")</f>
        <v>FALSE</v>
      </c>
      <c r="AI1756" s="661" t="str">
        <f t="shared" ref="AI1756:AI1819" si="194">IF(OR((LEFT($E1756,2)="01"),AND(LEFT($E1756,2)="06",ISNUMBER(SEARCH("pas",$F1756))),AND(LEFT($E1756,2)="05",ISNUMBER(SEARCH("pas",$F1756)))),"I",IF(AND((LEFT($E1756,2)&lt;&gt;"01"),$X1756&lt;=10000),"II",IF(AND((LEFT($E1756,2)&lt;&gt;"01"),$X1756&gt;10000),"N/A")))</f>
        <v>II</v>
      </c>
      <c r="AJ1756" s="662" t="str">
        <f t="shared" si="188"/>
        <v>PM35-004</v>
      </c>
      <c r="AK1756" s="662" t="str">
        <f t="shared" si="189"/>
        <v>LVN</v>
      </c>
      <c r="AL1756" s="662" t="str">
        <f t="shared" si="190"/>
        <v>RAM</v>
      </c>
      <c r="AM1756" s="662" t="str">
        <f t="shared" si="193"/>
        <v>Promaster 3500-Cargo Van-FWD-2-99.4-5100-3.6L-6-VF3L16-21A-159-24-Unleaded-Unleaded</v>
      </c>
      <c r="AN1756" s="662" t="str">
        <f t="shared" si="191"/>
        <v>2019-LVN-RAM-PM35-004</v>
      </c>
    </row>
    <row r="1757" spans="1:40" s="572" customFormat="1" ht="15">
      <c r="A1757" s="570" t="s">
        <v>3313</v>
      </c>
      <c r="B1757" s="573" t="s">
        <v>3314</v>
      </c>
      <c r="C1757" s="573" t="s">
        <v>3315</v>
      </c>
      <c r="D1757" s="578" t="s">
        <v>227</v>
      </c>
      <c r="E1757" s="573" t="s">
        <v>1516</v>
      </c>
      <c r="F1757" s="573" t="s">
        <v>1571</v>
      </c>
      <c r="G1757" s="573" t="s">
        <v>3265</v>
      </c>
      <c r="H1757" s="573">
        <v>2019</v>
      </c>
      <c r="I1757" s="573" t="s">
        <v>3308</v>
      </c>
      <c r="J1757" s="573" t="s">
        <v>3316</v>
      </c>
      <c r="K1757" s="573" t="s">
        <v>156</v>
      </c>
      <c r="L1757" s="573">
        <v>2</v>
      </c>
      <c r="M1757" s="573">
        <v>0</v>
      </c>
      <c r="N1757" s="573" t="s">
        <v>157</v>
      </c>
      <c r="O1757" s="573">
        <v>1</v>
      </c>
      <c r="P1757" s="573">
        <v>99.4</v>
      </c>
      <c r="Q1757" s="571">
        <v>5100</v>
      </c>
      <c r="R1757" s="573" t="s">
        <v>3267</v>
      </c>
      <c r="S1757" s="573">
        <v>6</v>
      </c>
      <c r="T1757" s="573" t="s">
        <v>3309</v>
      </c>
      <c r="U1757" s="573" t="s">
        <v>252</v>
      </c>
      <c r="V1757" s="573">
        <v>159</v>
      </c>
      <c r="W1757" s="573">
        <v>24</v>
      </c>
      <c r="X1757" s="571">
        <v>8900</v>
      </c>
      <c r="Y1757" s="573">
        <v>14</v>
      </c>
      <c r="Z1757" s="579" t="s">
        <v>178</v>
      </c>
      <c r="AA1757" s="579" t="s">
        <v>178</v>
      </c>
      <c r="AB1757" s="584">
        <v>41415</v>
      </c>
      <c r="AC1757" s="584" t="s">
        <v>164</v>
      </c>
      <c r="AD1757" s="584">
        <v>28665</v>
      </c>
      <c r="AE1757" s="586">
        <v>6.25E-2</v>
      </c>
      <c r="AF1757" s="661" t="str">
        <f t="shared" si="192"/>
        <v>2019-LVN-RAM-PM35-001-04</v>
      </c>
      <c r="AG1757" s="661" t="str">
        <f>IF(AND($Y1757&gt;=32,(AI1757="I"),(Y1757&lt;&gt;"~"),(COUNTIF($AN$1:$AN1757,$AN1757)=1)),"TRUE","FALSE")</f>
        <v>FALSE</v>
      </c>
      <c r="AH1757" s="661" t="str">
        <f>IF(AND($Y1757&gt;=22, (AI1757&lt;&gt;"I"),(Y1757&lt;&gt;"~"),(COUNTIF($AN$1:$AN1757,$AN1757)=1)),"TRUE","FALSE")</f>
        <v>FALSE</v>
      </c>
      <c r="AI1757" s="661" t="str">
        <f t="shared" si="194"/>
        <v>II</v>
      </c>
      <c r="AJ1757" s="662" t="str">
        <f t="shared" si="188"/>
        <v>PM35-001</v>
      </c>
      <c r="AK1757" s="662" t="str">
        <f t="shared" si="189"/>
        <v>LVN</v>
      </c>
      <c r="AL1757" s="662" t="str">
        <f t="shared" si="190"/>
        <v>RAM</v>
      </c>
      <c r="AM1757" s="662" t="str">
        <f t="shared" si="193"/>
        <v>Promaster 3500-Cargo Van EXT-FWD-2-99.4-5100-3.6L -6-VF3L17-21A-159-24-Unleaded-Unleaded</v>
      </c>
      <c r="AN1757" s="662" t="str">
        <f t="shared" si="191"/>
        <v>2019-LVN-RAM-PM35-001</v>
      </c>
    </row>
    <row r="1758" spans="1:40" s="572" customFormat="1" ht="15">
      <c r="A1758" s="570" t="s">
        <v>3317</v>
      </c>
      <c r="B1758" s="569" t="s">
        <v>3314</v>
      </c>
      <c r="C1758" s="569" t="s">
        <v>240</v>
      </c>
      <c r="D1758" s="580" t="s">
        <v>241</v>
      </c>
      <c r="E1758" s="569" t="s">
        <v>1516</v>
      </c>
      <c r="F1758" s="569" t="s">
        <v>1571</v>
      </c>
      <c r="G1758" s="569" t="s">
        <v>3265</v>
      </c>
      <c r="H1758" s="569">
        <v>2019</v>
      </c>
      <c r="I1758" s="569" t="s">
        <v>3308</v>
      </c>
      <c r="J1758" s="569" t="s">
        <v>3316</v>
      </c>
      <c r="K1758" s="569" t="s">
        <v>156</v>
      </c>
      <c r="L1758" s="569">
        <v>2</v>
      </c>
      <c r="M1758" s="569">
        <v>0</v>
      </c>
      <c r="N1758" s="569" t="s">
        <v>157</v>
      </c>
      <c r="O1758" s="569">
        <v>1</v>
      </c>
      <c r="P1758" s="569">
        <v>99.4</v>
      </c>
      <c r="Q1758" s="568">
        <v>5100</v>
      </c>
      <c r="R1758" s="569" t="s">
        <v>3267</v>
      </c>
      <c r="S1758" s="569">
        <v>6</v>
      </c>
      <c r="T1758" s="569" t="s">
        <v>3309</v>
      </c>
      <c r="U1758" s="569" t="s">
        <v>252</v>
      </c>
      <c r="V1758" s="569">
        <v>159</v>
      </c>
      <c r="W1758" s="569">
        <v>24</v>
      </c>
      <c r="X1758" s="568">
        <v>9350</v>
      </c>
      <c r="Y1758" s="569">
        <v>12</v>
      </c>
      <c r="Z1758" s="581" t="s">
        <v>178</v>
      </c>
      <c r="AA1758" s="581" t="s">
        <v>178</v>
      </c>
      <c r="AB1758" s="585">
        <v>41290</v>
      </c>
      <c r="AC1758" s="585" t="s">
        <v>164</v>
      </c>
      <c r="AD1758" s="585">
        <v>28467.708333333336</v>
      </c>
      <c r="AE1758" s="587">
        <v>0.05</v>
      </c>
      <c r="AF1758" s="661" t="str">
        <f t="shared" si="192"/>
        <v>2019-LVN-RAM-PM35-001-08</v>
      </c>
      <c r="AG1758" s="661" t="str">
        <f>IF(AND($Y1758&gt;=32,(AI1758="I"),(Y1758&lt;&gt;"~"),(COUNTIF($AN$1:$AN1758,$AN1758)=1)),"TRUE","FALSE")</f>
        <v>FALSE</v>
      </c>
      <c r="AH1758" s="661" t="str">
        <f>IF(AND($Y1758&gt;=22, (AI1758&lt;&gt;"I"),(Y1758&lt;&gt;"~"),(COUNTIF($AN$1:$AN1758,$AN1758)=1)),"TRUE","FALSE")</f>
        <v>FALSE</v>
      </c>
      <c r="AI1758" s="661" t="str">
        <f t="shared" si="194"/>
        <v>II</v>
      </c>
      <c r="AJ1758" s="662" t="str">
        <f t="shared" si="188"/>
        <v>PM35-001</v>
      </c>
      <c r="AK1758" s="662" t="str">
        <f t="shared" si="189"/>
        <v>LVN</v>
      </c>
      <c r="AL1758" s="662" t="str">
        <f t="shared" si="190"/>
        <v>RAM</v>
      </c>
      <c r="AM1758" s="662" t="str">
        <f t="shared" si="193"/>
        <v>Promaster 3500-Cargo Van EXT-FWD-2-99.4-5100-3.6L -6-VF3L17-21A-159-24-Unleaded-Unleaded</v>
      </c>
      <c r="AN1758" s="662" t="str">
        <f t="shared" si="191"/>
        <v>2019-LVN-RAM-PM35-001</v>
      </c>
    </row>
    <row r="1759" spans="1:40" s="572" customFormat="1" ht="15">
      <c r="A1759" s="570" t="s">
        <v>3318</v>
      </c>
      <c r="B1759" s="573" t="s">
        <v>3311</v>
      </c>
      <c r="C1759" s="573" t="s">
        <v>226</v>
      </c>
      <c r="D1759" s="578" t="s">
        <v>227</v>
      </c>
      <c r="E1759" s="573" t="s">
        <v>1516</v>
      </c>
      <c r="F1759" s="573" t="s">
        <v>1571</v>
      </c>
      <c r="G1759" s="573" t="s">
        <v>3265</v>
      </c>
      <c r="H1759" s="573">
        <v>2019</v>
      </c>
      <c r="I1759" s="573" t="s">
        <v>3308</v>
      </c>
      <c r="J1759" s="573" t="s">
        <v>3276</v>
      </c>
      <c r="K1759" s="573" t="s">
        <v>156</v>
      </c>
      <c r="L1759" s="573">
        <v>2</v>
      </c>
      <c r="M1759" s="573">
        <v>0</v>
      </c>
      <c r="N1759" s="573" t="s">
        <v>157</v>
      </c>
      <c r="O1759" s="573">
        <v>1</v>
      </c>
      <c r="P1759" s="573">
        <v>99.4</v>
      </c>
      <c r="Q1759" s="571">
        <v>5100</v>
      </c>
      <c r="R1759" s="573" t="s">
        <v>231</v>
      </c>
      <c r="S1759" s="573">
        <v>6</v>
      </c>
      <c r="T1759" s="573" t="s">
        <v>3312</v>
      </c>
      <c r="U1759" s="573" t="s">
        <v>252</v>
      </c>
      <c r="V1759" s="573">
        <v>159</v>
      </c>
      <c r="W1759" s="573">
        <v>24</v>
      </c>
      <c r="X1759" s="571">
        <v>9350</v>
      </c>
      <c r="Y1759" s="573">
        <v>12</v>
      </c>
      <c r="Z1759" s="579" t="s">
        <v>178</v>
      </c>
      <c r="AA1759" s="579" t="s">
        <v>178</v>
      </c>
      <c r="AB1759" s="584">
        <v>38665</v>
      </c>
      <c r="AC1759" s="584" t="s">
        <v>164</v>
      </c>
      <c r="AD1759" s="584">
        <v>26207</v>
      </c>
      <c r="AE1759" s="586">
        <v>6.25E-2</v>
      </c>
      <c r="AF1759" s="661" t="str">
        <f t="shared" si="192"/>
        <v>2019-LVN-RAM-PM35-004-04</v>
      </c>
      <c r="AG1759" s="661" t="str">
        <f>IF(AND($Y1759&gt;=32,(AI1759="I"),(Y1759&lt;&gt;"~"),(COUNTIF($AN$1:$AN1759,$AN1759)=1)),"TRUE","FALSE")</f>
        <v>FALSE</v>
      </c>
      <c r="AH1759" s="661" t="str">
        <f>IF(AND($Y1759&gt;=22, (AI1759&lt;&gt;"I"),(Y1759&lt;&gt;"~"),(COUNTIF($AN$1:$AN1759,$AN1759)=1)),"TRUE","FALSE")</f>
        <v>FALSE</v>
      </c>
      <c r="AI1759" s="661" t="str">
        <f t="shared" si="194"/>
        <v>II</v>
      </c>
      <c r="AJ1759" s="662" t="str">
        <f t="shared" si="188"/>
        <v>PM35-004</v>
      </c>
      <c r="AK1759" s="662" t="str">
        <f t="shared" si="189"/>
        <v>LVN</v>
      </c>
      <c r="AL1759" s="662" t="str">
        <f t="shared" si="190"/>
        <v>RAM</v>
      </c>
      <c r="AM1759" s="662" t="str">
        <f t="shared" si="193"/>
        <v>Promaster 3500-Cargo Van HR-FWD-2-99.4-5100-3.6L-6-VF3L16-21A-159-24-Unleaded-Unleaded</v>
      </c>
      <c r="AN1759" s="662" t="str">
        <f t="shared" si="191"/>
        <v>2019-LVN-RAM-PM35-004</v>
      </c>
    </row>
    <row r="1760" spans="1:40" s="572" customFormat="1" ht="15">
      <c r="A1760" s="570" t="s">
        <v>3319</v>
      </c>
      <c r="B1760" s="569" t="s">
        <v>3320</v>
      </c>
      <c r="C1760" s="569" t="s">
        <v>226</v>
      </c>
      <c r="D1760" s="580" t="s">
        <v>227</v>
      </c>
      <c r="E1760" s="569" t="s">
        <v>1516</v>
      </c>
      <c r="F1760" s="569" t="s">
        <v>1571</v>
      </c>
      <c r="G1760" s="569" t="s">
        <v>3265</v>
      </c>
      <c r="H1760" s="569">
        <v>2019</v>
      </c>
      <c r="I1760" s="569" t="s">
        <v>3308</v>
      </c>
      <c r="J1760" s="569" t="s">
        <v>3321</v>
      </c>
      <c r="K1760" s="569" t="s">
        <v>156</v>
      </c>
      <c r="L1760" s="569">
        <v>2</v>
      </c>
      <c r="M1760" s="569">
        <v>0</v>
      </c>
      <c r="N1760" s="569" t="s">
        <v>157</v>
      </c>
      <c r="O1760" s="569">
        <v>1</v>
      </c>
      <c r="P1760" s="569">
        <v>99.4</v>
      </c>
      <c r="Q1760" s="568">
        <v>5100</v>
      </c>
      <c r="R1760" s="569" t="s">
        <v>231</v>
      </c>
      <c r="S1760" s="569">
        <v>6</v>
      </c>
      <c r="T1760" s="569" t="s">
        <v>3322</v>
      </c>
      <c r="U1760" s="569" t="s">
        <v>252</v>
      </c>
      <c r="V1760" s="569">
        <v>159</v>
      </c>
      <c r="W1760" s="569">
        <v>24</v>
      </c>
      <c r="X1760" s="568">
        <v>9350</v>
      </c>
      <c r="Y1760" s="569">
        <v>12</v>
      </c>
      <c r="Z1760" s="581" t="s">
        <v>178</v>
      </c>
      <c r="AA1760" s="581" t="s">
        <v>178</v>
      </c>
      <c r="AB1760" s="585">
        <v>41915</v>
      </c>
      <c r="AC1760" s="585" t="s">
        <v>164</v>
      </c>
      <c r="AD1760" s="585">
        <v>30743</v>
      </c>
      <c r="AE1760" s="587">
        <v>6.25E-2</v>
      </c>
      <c r="AF1760" s="661" t="str">
        <f t="shared" si="192"/>
        <v>2019-LVN-RAM-PM35-015-04</v>
      </c>
      <c r="AG1760" s="661" t="str">
        <f>IF(AND($Y1760&gt;=32,(AI1760="I"),(Y1760&lt;&gt;"~"),(COUNTIF($AN$1:$AN1760,$AN1760)=1)),"TRUE","FALSE")</f>
        <v>FALSE</v>
      </c>
      <c r="AH1760" s="661" t="str">
        <f>IF(AND($Y1760&gt;=22, (AI1760&lt;&gt;"I"),(Y1760&lt;&gt;"~"),(COUNTIF($AN$1:$AN1760,$AN1760)=1)),"TRUE","FALSE")</f>
        <v>FALSE</v>
      </c>
      <c r="AI1760" s="661" t="str">
        <f t="shared" si="194"/>
        <v>II</v>
      </c>
      <c r="AJ1760" s="662" t="str">
        <f t="shared" si="188"/>
        <v>PM35-015</v>
      </c>
      <c r="AK1760" s="662" t="str">
        <f t="shared" si="189"/>
        <v>LVN</v>
      </c>
      <c r="AL1760" s="662" t="str">
        <f t="shared" si="190"/>
        <v>RAM</v>
      </c>
      <c r="AM1760" s="662" t="str">
        <f t="shared" si="193"/>
        <v>Promaster 3500-Window Van EXT -FWD-2-99.4-5100-3.6L-6-VF3L27-21A-159-24-Unleaded-Unleaded</v>
      </c>
      <c r="AN1760" s="662" t="str">
        <f t="shared" si="191"/>
        <v>2019-LVN-RAM-PM35-015</v>
      </c>
    </row>
    <row r="1761" spans="1:40" s="572" customFormat="1" ht="45">
      <c r="A1761" s="570" t="s">
        <v>3323</v>
      </c>
      <c r="B1761" s="573" t="s">
        <v>3324</v>
      </c>
      <c r="C1761" s="573" t="s">
        <v>240</v>
      </c>
      <c r="D1761" s="578" t="s">
        <v>241</v>
      </c>
      <c r="E1761" s="573" t="s">
        <v>1516</v>
      </c>
      <c r="F1761" s="573" t="s">
        <v>1571</v>
      </c>
      <c r="G1761" s="573" t="s">
        <v>3265</v>
      </c>
      <c r="H1761" s="573">
        <v>2019</v>
      </c>
      <c r="I1761" s="573" t="s">
        <v>3308</v>
      </c>
      <c r="J1761" s="573" t="s">
        <v>3325</v>
      </c>
      <c r="K1761" s="573" t="s">
        <v>156</v>
      </c>
      <c r="L1761" s="573">
        <v>2</v>
      </c>
      <c r="M1761" s="573">
        <v>0</v>
      </c>
      <c r="N1761" s="573" t="s">
        <v>157</v>
      </c>
      <c r="O1761" s="573">
        <v>1</v>
      </c>
      <c r="P1761" s="573">
        <v>99.4</v>
      </c>
      <c r="Q1761" s="571">
        <v>5100</v>
      </c>
      <c r="R1761" s="573" t="s">
        <v>231</v>
      </c>
      <c r="S1761" s="573">
        <v>6</v>
      </c>
      <c r="T1761" s="573" t="s">
        <v>3322</v>
      </c>
      <c r="U1761" s="573" t="s">
        <v>252</v>
      </c>
      <c r="V1761" s="573">
        <v>159</v>
      </c>
      <c r="W1761" s="573">
        <v>24</v>
      </c>
      <c r="X1761" s="571">
        <v>9350</v>
      </c>
      <c r="Y1761" s="573">
        <v>12</v>
      </c>
      <c r="Z1761" s="579" t="s">
        <v>178</v>
      </c>
      <c r="AA1761" s="579" t="s">
        <v>178</v>
      </c>
      <c r="AB1761" s="584">
        <v>41790</v>
      </c>
      <c r="AC1761" s="584" t="s">
        <v>164</v>
      </c>
      <c r="AD1761" s="584">
        <v>30611.458333333336</v>
      </c>
      <c r="AE1761" s="586">
        <v>0.05</v>
      </c>
      <c r="AF1761" s="661" t="str">
        <f t="shared" si="192"/>
        <v>2019-LVN-RAM-PM35-005-08</v>
      </c>
      <c r="AG1761" s="661" t="str">
        <f>IF(AND($Y1761&gt;=32,(AI1761="I"),(Y1761&lt;&gt;"~"),(COUNTIF($AN$1:$AN1761,$AN1761)=1)),"TRUE","FALSE")</f>
        <v>FALSE</v>
      </c>
      <c r="AH1761" s="661" t="str">
        <f>IF(AND($Y1761&gt;=22, (AI1761&lt;&gt;"I"),(Y1761&lt;&gt;"~"),(COUNTIF($AN$1:$AN1761,$AN1761)=1)),"TRUE","FALSE")</f>
        <v>FALSE</v>
      </c>
      <c r="AI1761" s="661" t="str">
        <f t="shared" si="194"/>
        <v>II</v>
      </c>
      <c r="AJ1761" s="662" t="str">
        <f t="shared" si="188"/>
        <v>PM35-005</v>
      </c>
      <c r="AK1761" s="662" t="str">
        <f t="shared" si="189"/>
        <v>LVN</v>
      </c>
      <c r="AL1761" s="662" t="str">
        <f t="shared" si="190"/>
        <v>RAM</v>
      </c>
      <c r="AM1761" s="662" t="str">
        <f t="shared" si="193"/>
        <v>Promaster 3500-Window Van EXT (can configure up to 15 psgr)-FWD-2-99.4-5100-3.6L-6-VF3L27-21A-159-24-Unleaded-Unleaded</v>
      </c>
      <c r="AN1761" s="662" t="str">
        <f t="shared" si="191"/>
        <v>2019-LVN-RAM-PM35-005</v>
      </c>
    </row>
    <row r="1762" spans="1:40" s="572" customFormat="1" ht="30">
      <c r="A1762" s="570" t="s">
        <v>3326</v>
      </c>
      <c r="B1762" s="569" t="s">
        <v>3327</v>
      </c>
      <c r="C1762" s="569" t="s">
        <v>1889</v>
      </c>
      <c r="D1762" s="580">
        <v>25</v>
      </c>
      <c r="E1762" s="569" t="s">
        <v>1516</v>
      </c>
      <c r="F1762" s="569" t="s">
        <v>1607</v>
      </c>
      <c r="G1762" s="569" t="s">
        <v>3265</v>
      </c>
      <c r="H1762" s="569">
        <v>2019</v>
      </c>
      <c r="I1762" s="569" t="s">
        <v>3328</v>
      </c>
      <c r="J1762" s="569" t="s">
        <v>164</v>
      </c>
      <c r="K1762" s="569" t="s">
        <v>156</v>
      </c>
      <c r="L1762" s="569">
        <v>10</v>
      </c>
      <c r="M1762" s="569">
        <v>3</v>
      </c>
      <c r="N1762" s="569" t="s">
        <v>1900</v>
      </c>
      <c r="O1762" s="569" t="s">
        <v>3329</v>
      </c>
      <c r="P1762" s="569">
        <v>99.4</v>
      </c>
      <c r="Q1762" s="568" t="s">
        <v>164</v>
      </c>
      <c r="R1762" s="569" t="s">
        <v>682</v>
      </c>
      <c r="S1762" s="569">
        <v>6</v>
      </c>
      <c r="T1762" s="569" t="s">
        <v>3322</v>
      </c>
      <c r="U1762" s="569" t="s">
        <v>252</v>
      </c>
      <c r="V1762" s="569" t="s">
        <v>3330</v>
      </c>
      <c r="W1762" s="569">
        <v>24</v>
      </c>
      <c r="X1762" s="568">
        <v>9350</v>
      </c>
      <c r="Y1762" s="573">
        <v>12</v>
      </c>
      <c r="Z1762" s="581" t="s">
        <v>450</v>
      </c>
      <c r="AA1762" s="581" t="s">
        <v>178</v>
      </c>
      <c r="AB1762" s="585">
        <v>42865</v>
      </c>
      <c r="AC1762" s="585">
        <v>63774</v>
      </c>
      <c r="AD1762" s="585">
        <v>51087</v>
      </c>
      <c r="AE1762" s="587">
        <v>0.05</v>
      </c>
      <c r="AF1762" s="661" t="str">
        <f t="shared" si="192"/>
        <v>2019-LVN-RAM-PM35-011-25</v>
      </c>
      <c r="AG1762" s="661" t="str">
        <f>IF(AND($Y1762&gt;=32,(AI1762="I"),(Y1762&lt;&gt;"~"),(COUNTIF($AN$1:$AN1762,$AN1762)=1)),"TRUE","FALSE")</f>
        <v>FALSE</v>
      </c>
      <c r="AH1762" s="661" t="str">
        <f>IF(AND($Y1762&gt;=22, (AI1762&lt;&gt;"I"),(Y1762&lt;&gt;"~"),(COUNTIF($AN$1:$AN1762,$AN1762)=1)),"TRUE","FALSE")</f>
        <v>FALSE</v>
      </c>
      <c r="AI1762" s="661" t="str">
        <f t="shared" si="194"/>
        <v>II</v>
      </c>
      <c r="AJ1762" s="662" t="str">
        <f t="shared" si="188"/>
        <v>PM35-011</v>
      </c>
      <c r="AK1762" s="662" t="str">
        <f t="shared" si="189"/>
        <v>LVN</v>
      </c>
      <c r="AL1762" s="662" t="str">
        <f t="shared" si="190"/>
        <v>RAM</v>
      </c>
      <c r="AM1762" s="662" t="str">
        <f t="shared" si="193"/>
        <v>Promaster 3500 Window Van HR-N/A-FWD-10-99.4-N/A-3.7L-6-VF3L27-21A-159 Ext.-24-E85-Unleaded</v>
      </c>
      <c r="AN1762" s="662" t="str">
        <f t="shared" si="191"/>
        <v>2019-LVN-RAM-PM35-011</v>
      </c>
    </row>
    <row r="1763" spans="1:40" s="572" customFormat="1" ht="30">
      <c r="A1763" s="570" t="s">
        <v>3331</v>
      </c>
      <c r="B1763" s="573" t="s">
        <v>3332</v>
      </c>
      <c r="C1763" s="573" t="s">
        <v>1889</v>
      </c>
      <c r="D1763" s="578">
        <v>25</v>
      </c>
      <c r="E1763" s="573" t="s">
        <v>1516</v>
      </c>
      <c r="F1763" s="573" t="s">
        <v>1607</v>
      </c>
      <c r="G1763" s="573" t="s">
        <v>3265</v>
      </c>
      <c r="H1763" s="573">
        <v>2019</v>
      </c>
      <c r="I1763" s="573" t="s">
        <v>3328</v>
      </c>
      <c r="J1763" s="573" t="s">
        <v>164</v>
      </c>
      <c r="K1763" s="573" t="s">
        <v>156</v>
      </c>
      <c r="L1763" s="573">
        <v>14</v>
      </c>
      <c r="M1763" s="573">
        <v>0</v>
      </c>
      <c r="N1763" s="573" t="s">
        <v>164</v>
      </c>
      <c r="O1763" s="573" t="s">
        <v>3333</v>
      </c>
      <c r="P1763" s="573">
        <v>99.4</v>
      </c>
      <c r="Q1763" s="571" t="s">
        <v>164</v>
      </c>
      <c r="R1763" s="573" t="s">
        <v>682</v>
      </c>
      <c r="S1763" s="573">
        <v>6</v>
      </c>
      <c r="T1763" s="573" t="s">
        <v>3322</v>
      </c>
      <c r="U1763" s="573" t="s">
        <v>252</v>
      </c>
      <c r="V1763" s="573" t="s">
        <v>3330</v>
      </c>
      <c r="W1763" s="573">
        <v>24</v>
      </c>
      <c r="X1763" s="571">
        <v>9350</v>
      </c>
      <c r="Y1763" s="573">
        <v>12</v>
      </c>
      <c r="Z1763" s="579" t="s">
        <v>450</v>
      </c>
      <c r="AA1763" s="579" t="s">
        <v>178</v>
      </c>
      <c r="AB1763" s="584">
        <v>42865</v>
      </c>
      <c r="AC1763" s="584">
        <v>62511</v>
      </c>
      <c r="AD1763" s="584">
        <v>49470</v>
      </c>
      <c r="AE1763" s="586">
        <v>0.05</v>
      </c>
      <c r="AF1763" s="661" t="str">
        <f t="shared" si="192"/>
        <v>2019-LVN-RAM-PM35-012-25</v>
      </c>
      <c r="AG1763" s="661" t="str">
        <f>IF(AND($Y1763&gt;=32,(AI1763="I"),(Y1763&lt;&gt;"~"),(COUNTIF($AN$1:$AN1763,$AN1763)=1)),"TRUE","FALSE")</f>
        <v>FALSE</v>
      </c>
      <c r="AH1763" s="661" t="str">
        <f>IF(AND($Y1763&gt;=22, (AI1763&lt;&gt;"I"),(Y1763&lt;&gt;"~"),(COUNTIF($AN$1:$AN1763,$AN1763)=1)),"TRUE","FALSE")</f>
        <v>FALSE</v>
      </c>
      <c r="AI1763" s="661" t="str">
        <f t="shared" si="194"/>
        <v>II</v>
      </c>
      <c r="AJ1763" s="662" t="str">
        <f t="shared" si="188"/>
        <v>PM35-012</v>
      </c>
      <c r="AK1763" s="662" t="str">
        <f t="shared" si="189"/>
        <v>LVN</v>
      </c>
      <c r="AL1763" s="662" t="str">
        <f t="shared" si="190"/>
        <v>RAM</v>
      </c>
      <c r="AM1763" s="662" t="str">
        <f t="shared" si="193"/>
        <v>Promaster 3500 Window Van HR-N/A-FWD-14-99.4-N/A-3.7L-6-VF3L27-21A-159 Ext.-24-E85-Unleaded</v>
      </c>
      <c r="AN1763" s="662" t="str">
        <f t="shared" si="191"/>
        <v>2019-LVN-RAM-PM35-012</v>
      </c>
    </row>
    <row r="1764" spans="1:40" s="572" customFormat="1" ht="30">
      <c r="A1764" s="570" t="s">
        <v>3334</v>
      </c>
      <c r="B1764" s="569" t="s">
        <v>3335</v>
      </c>
      <c r="C1764" s="569" t="s">
        <v>1889</v>
      </c>
      <c r="D1764" s="580">
        <v>25</v>
      </c>
      <c r="E1764" s="569" t="s">
        <v>1516</v>
      </c>
      <c r="F1764" s="569" t="s">
        <v>1607</v>
      </c>
      <c r="G1764" s="569" t="s">
        <v>3265</v>
      </c>
      <c r="H1764" s="569">
        <v>2019</v>
      </c>
      <c r="I1764" s="569" t="s">
        <v>3328</v>
      </c>
      <c r="J1764" s="569" t="s">
        <v>164</v>
      </c>
      <c r="K1764" s="569" t="s">
        <v>156</v>
      </c>
      <c r="L1764" s="569">
        <v>15</v>
      </c>
      <c r="M1764" s="569">
        <v>0</v>
      </c>
      <c r="N1764" s="569" t="s">
        <v>164</v>
      </c>
      <c r="O1764" s="569" t="s">
        <v>3336</v>
      </c>
      <c r="P1764" s="569">
        <v>99.4</v>
      </c>
      <c r="Q1764" s="568" t="s">
        <v>164</v>
      </c>
      <c r="R1764" s="569" t="s">
        <v>682</v>
      </c>
      <c r="S1764" s="569">
        <v>6</v>
      </c>
      <c r="T1764" s="569" t="s">
        <v>3322</v>
      </c>
      <c r="U1764" s="569" t="s">
        <v>252</v>
      </c>
      <c r="V1764" s="569" t="s">
        <v>3330</v>
      </c>
      <c r="W1764" s="569">
        <v>24</v>
      </c>
      <c r="X1764" s="568">
        <v>9350</v>
      </c>
      <c r="Y1764" s="573">
        <v>12</v>
      </c>
      <c r="Z1764" s="581" t="s">
        <v>450</v>
      </c>
      <c r="AA1764" s="581" t="s">
        <v>178</v>
      </c>
      <c r="AB1764" s="585">
        <v>42865</v>
      </c>
      <c r="AC1764" s="585">
        <v>58456</v>
      </c>
      <c r="AD1764" s="585">
        <v>45415</v>
      </c>
      <c r="AE1764" s="587">
        <v>0.05</v>
      </c>
      <c r="AF1764" s="661" t="str">
        <f t="shared" si="192"/>
        <v>2019-LVN-RAM-PM35-013-25</v>
      </c>
      <c r="AG1764" s="661" t="str">
        <f>IF(AND($Y1764&gt;=32,(AI1764="I"),(Y1764&lt;&gt;"~"),(COUNTIF($AN$1:$AN1764,$AN1764)=1)),"TRUE","FALSE")</f>
        <v>FALSE</v>
      </c>
      <c r="AH1764" s="661" t="str">
        <f>IF(AND($Y1764&gt;=22, (AI1764&lt;&gt;"I"),(Y1764&lt;&gt;"~"),(COUNTIF($AN$1:$AN1764,$AN1764)=1)),"TRUE","FALSE")</f>
        <v>FALSE</v>
      </c>
      <c r="AI1764" s="661" t="str">
        <f t="shared" si="194"/>
        <v>II</v>
      </c>
      <c r="AJ1764" s="662" t="str">
        <f t="shared" si="188"/>
        <v>PM35-013</v>
      </c>
      <c r="AK1764" s="662" t="str">
        <f t="shared" si="189"/>
        <v>LVN</v>
      </c>
      <c r="AL1764" s="662" t="str">
        <f t="shared" si="190"/>
        <v>RAM</v>
      </c>
      <c r="AM1764" s="662" t="str">
        <f t="shared" si="193"/>
        <v>Promaster 3500 Window Van HR-N/A-FWD-15-99.4-N/A-3.7L-6-VF3L27-21A-159 Ext.-24-E85-Unleaded</v>
      </c>
      <c r="AN1764" s="662" t="str">
        <f t="shared" si="191"/>
        <v>2019-LVN-RAM-PM35-013</v>
      </c>
    </row>
    <row r="1765" spans="1:40" s="572" customFormat="1" ht="30">
      <c r="A1765" s="570" t="s">
        <v>3326</v>
      </c>
      <c r="B1765" s="573" t="s">
        <v>3327</v>
      </c>
      <c r="C1765" s="573" t="s">
        <v>1889</v>
      </c>
      <c r="D1765" s="578">
        <v>25</v>
      </c>
      <c r="E1765" s="573" t="s">
        <v>1516</v>
      </c>
      <c r="F1765" s="573" t="s">
        <v>1897</v>
      </c>
      <c r="G1765" s="573" t="s">
        <v>3265</v>
      </c>
      <c r="H1765" s="573">
        <v>2019</v>
      </c>
      <c r="I1765" s="573" t="s">
        <v>3328</v>
      </c>
      <c r="J1765" s="573" t="s">
        <v>164</v>
      </c>
      <c r="K1765" s="573" t="s">
        <v>156</v>
      </c>
      <c r="L1765" s="573">
        <v>10</v>
      </c>
      <c r="M1765" s="573">
        <v>3</v>
      </c>
      <c r="N1765" s="573" t="s">
        <v>1898</v>
      </c>
      <c r="O1765" s="573" t="s">
        <v>3301</v>
      </c>
      <c r="P1765" s="573">
        <v>99.4</v>
      </c>
      <c r="Q1765" s="571" t="s">
        <v>164</v>
      </c>
      <c r="R1765" s="573" t="s">
        <v>682</v>
      </c>
      <c r="S1765" s="573">
        <v>6</v>
      </c>
      <c r="T1765" s="573" t="s">
        <v>3322</v>
      </c>
      <c r="U1765" s="573" t="s">
        <v>252</v>
      </c>
      <c r="V1765" s="573" t="s">
        <v>3330</v>
      </c>
      <c r="W1765" s="573">
        <v>24</v>
      </c>
      <c r="X1765" s="571">
        <v>9350</v>
      </c>
      <c r="Y1765" s="573">
        <v>12</v>
      </c>
      <c r="Z1765" s="579" t="s">
        <v>450</v>
      </c>
      <c r="AA1765" s="579" t="s">
        <v>178</v>
      </c>
      <c r="AB1765" s="584">
        <v>42865</v>
      </c>
      <c r="AC1765" s="584">
        <v>63553</v>
      </c>
      <c r="AD1765" s="584">
        <v>50662</v>
      </c>
      <c r="AE1765" s="586">
        <v>0.05</v>
      </c>
      <c r="AF1765" s="661" t="str">
        <f t="shared" si="192"/>
        <v>2019-LVN-RAM-PM35-011-25</v>
      </c>
      <c r="AG1765" s="661" t="str">
        <f>IF(AND($Y1765&gt;=32,(AI1765="I"),(Y1765&lt;&gt;"~"),(COUNTIF($AN$1:$AN1765,$AN1765)=1)),"TRUE","FALSE")</f>
        <v>FALSE</v>
      </c>
      <c r="AH1765" s="661" t="str">
        <f>IF(AND($Y1765&gt;=22, (AI1765&lt;&gt;"I"),(Y1765&lt;&gt;"~"),(COUNTIF($AN$1:$AN1765,$AN1765)=1)),"TRUE","FALSE")</f>
        <v>FALSE</v>
      </c>
      <c r="AI1765" s="661" t="str">
        <f t="shared" si="194"/>
        <v>II</v>
      </c>
      <c r="AJ1765" s="662" t="str">
        <f t="shared" si="188"/>
        <v>PM35-011</v>
      </c>
      <c r="AK1765" s="662" t="str">
        <f t="shared" si="189"/>
        <v>LVN</v>
      </c>
      <c r="AL1765" s="662" t="str">
        <f t="shared" si="190"/>
        <v>RAM</v>
      </c>
      <c r="AM1765" s="662" t="str">
        <f t="shared" si="193"/>
        <v>Promaster 3500 Window Van HR-N/A-FWD-10-99.4-N/A-3.7L-6-VF3L27-21A-159 Ext.-24-E85-Unleaded</v>
      </c>
      <c r="AN1765" s="662" t="str">
        <f t="shared" si="191"/>
        <v>2019-LVN-RAM-PM35-011</v>
      </c>
    </row>
    <row r="1766" spans="1:40" s="572" customFormat="1" ht="30">
      <c r="A1766" s="570" t="s">
        <v>3326</v>
      </c>
      <c r="B1766" s="569" t="s">
        <v>3327</v>
      </c>
      <c r="C1766" s="569" t="s">
        <v>1889</v>
      </c>
      <c r="D1766" s="580">
        <v>25</v>
      </c>
      <c r="E1766" s="569" t="s">
        <v>1516</v>
      </c>
      <c r="F1766" s="569" t="s">
        <v>1897</v>
      </c>
      <c r="G1766" s="569" t="s">
        <v>3265</v>
      </c>
      <c r="H1766" s="569">
        <v>2019</v>
      </c>
      <c r="I1766" s="569" t="s">
        <v>3328</v>
      </c>
      <c r="J1766" s="569" t="s">
        <v>164</v>
      </c>
      <c r="K1766" s="569" t="s">
        <v>156</v>
      </c>
      <c r="L1766" s="569">
        <v>10</v>
      </c>
      <c r="M1766" s="569">
        <v>4</v>
      </c>
      <c r="N1766" s="569" t="s">
        <v>1898</v>
      </c>
      <c r="O1766" s="569" t="s">
        <v>3337</v>
      </c>
      <c r="P1766" s="569">
        <v>99.4</v>
      </c>
      <c r="Q1766" s="568" t="s">
        <v>164</v>
      </c>
      <c r="R1766" s="569" t="s">
        <v>682</v>
      </c>
      <c r="S1766" s="569">
        <v>6</v>
      </c>
      <c r="T1766" s="569" t="s">
        <v>3322</v>
      </c>
      <c r="U1766" s="569" t="s">
        <v>252</v>
      </c>
      <c r="V1766" s="569" t="s">
        <v>3330</v>
      </c>
      <c r="W1766" s="569">
        <v>24</v>
      </c>
      <c r="X1766" s="568">
        <v>9350</v>
      </c>
      <c r="Y1766" s="573">
        <v>12</v>
      </c>
      <c r="Z1766" s="581" t="s">
        <v>450</v>
      </c>
      <c r="AA1766" s="581" t="s">
        <v>178</v>
      </c>
      <c r="AB1766" s="585">
        <v>42865</v>
      </c>
      <c r="AC1766" s="585">
        <v>61598</v>
      </c>
      <c r="AD1766" s="585">
        <v>48757</v>
      </c>
      <c r="AE1766" s="587">
        <v>0.05</v>
      </c>
      <c r="AF1766" s="661" t="str">
        <f t="shared" si="192"/>
        <v>2019-LVN-RAM-PM35-011-25</v>
      </c>
      <c r="AG1766" s="661" t="str">
        <f>IF(AND($Y1766&gt;=32,(AI1766="I"),(Y1766&lt;&gt;"~"),(COUNTIF($AN$1:$AN1766,$AN1766)=1)),"TRUE","FALSE")</f>
        <v>FALSE</v>
      </c>
      <c r="AH1766" s="661" t="str">
        <f>IF(AND($Y1766&gt;=22, (AI1766&lt;&gt;"I"),(Y1766&lt;&gt;"~"),(COUNTIF($AN$1:$AN1766,$AN1766)=1)),"TRUE","FALSE")</f>
        <v>FALSE</v>
      </c>
      <c r="AI1766" s="661" t="str">
        <f t="shared" si="194"/>
        <v>II</v>
      </c>
      <c r="AJ1766" s="662" t="str">
        <f t="shared" si="188"/>
        <v>PM35-011</v>
      </c>
      <c r="AK1766" s="662" t="str">
        <f t="shared" si="189"/>
        <v>LVN</v>
      </c>
      <c r="AL1766" s="662" t="str">
        <f t="shared" si="190"/>
        <v>RAM</v>
      </c>
      <c r="AM1766" s="662" t="str">
        <f t="shared" si="193"/>
        <v>Promaster 3500 Window Van HR-N/A-FWD-10-99.4-N/A-3.7L-6-VF3L27-21A-159 Ext.-24-E85-Unleaded</v>
      </c>
      <c r="AN1766" s="662" t="str">
        <f t="shared" si="191"/>
        <v>2019-LVN-RAM-PM35-011</v>
      </c>
    </row>
    <row r="1767" spans="1:40" s="572" customFormat="1" ht="30">
      <c r="A1767" s="570" t="s">
        <v>3338</v>
      </c>
      <c r="B1767" s="573" t="s">
        <v>3339</v>
      </c>
      <c r="C1767" s="573" t="s">
        <v>1889</v>
      </c>
      <c r="D1767" s="578">
        <v>25</v>
      </c>
      <c r="E1767" s="573" t="s">
        <v>1516</v>
      </c>
      <c r="F1767" s="573" t="s">
        <v>1897</v>
      </c>
      <c r="G1767" s="573" t="s">
        <v>3265</v>
      </c>
      <c r="H1767" s="573">
        <v>2019</v>
      </c>
      <c r="I1767" s="573" t="s">
        <v>3328</v>
      </c>
      <c r="J1767" s="573" t="s">
        <v>164</v>
      </c>
      <c r="K1767" s="573" t="s">
        <v>156</v>
      </c>
      <c r="L1767" s="573">
        <v>9</v>
      </c>
      <c r="M1767" s="573">
        <v>2</v>
      </c>
      <c r="N1767" s="573" t="s">
        <v>1900</v>
      </c>
      <c r="O1767" s="573" t="s">
        <v>3340</v>
      </c>
      <c r="P1767" s="573">
        <v>99.4</v>
      </c>
      <c r="Q1767" s="571" t="s">
        <v>164</v>
      </c>
      <c r="R1767" s="573" t="s">
        <v>682</v>
      </c>
      <c r="S1767" s="573">
        <v>6</v>
      </c>
      <c r="T1767" s="573" t="s">
        <v>3322</v>
      </c>
      <c r="U1767" s="573" t="s">
        <v>252</v>
      </c>
      <c r="V1767" s="573" t="s">
        <v>3330</v>
      </c>
      <c r="W1767" s="573">
        <v>24</v>
      </c>
      <c r="X1767" s="571">
        <v>9350</v>
      </c>
      <c r="Y1767" s="573">
        <v>12</v>
      </c>
      <c r="Z1767" s="579" t="s">
        <v>450</v>
      </c>
      <c r="AA1767" s="579" t="s">
        <v>178</v>
      </c>
      <c r="AB1767" s="584">
        <v>42865</v>
      </c>
      <c r="AC1767" s="584">
        <v>62798</v>
      </c>
      <c r="AD1767" s="584">
        <v>49857</v>
      </c>
      <c r="AE1767" s="586">
        <v>0.05</v>
      </c>
      <c r="AF1767" s="661" t="str">
        <f t="shared" si="192"/>
        <v>2019-LVN-RAM-PM35-014-25</v>
      </c>
      <c r="AG1767" s="661" t="str">
        <f>IF(AND($Y1767&gt;=32,(AI1767="I"),(Y1767&lt;&gt;"~"),(COUNTIF($AN$1:$AN1767,$AN1767)=1)),"TRUE","FALSE")</f>
        <v>FALSE</v>
      </c>
      <c r="AH1767" s="661" t="str">
        <f>IF(AND($Y1767&gt;=22, (AI1767&lt;&gt;"I"),(Y1767&lt;&gt;"~"),(COUNTIF($AN$1:$AN1767,$AN1767)=1)),"TRUE","FALSE")</f>
        <v>FALSE</v>
      </c>
      <c r="AI1767" s="661" t="str">
        <f t="shared" si="194"/>
        <v>II</v>
      </c>
      <c r="AJ1767" s="662" t="str">
        <f t="shared" si="188"/>
        <v>PM35-014</v>
      </c>
      <c r="AK1767" s="662" t="str">
        <f t="shared" si="189"/>
        <v>LVN</v>
      </c>
      <c r="AL1767" s="662" t="str">
        <f t="shared" si="190"/>
        <v>RAM</v>
      </c>
      <c r="AM1767" s="662" t="str">
        <f t="shared" si="193"/>
        <v>Promaster 3500 Window Van HR-N/A-FWD-9-99.4-N/A-3.7L-6-VF3L27-21A-159 Ext.-24-E85-Unleaded</v>
      </c>
      <c r="AN1767" s="662" t="str">
        <f t="shared" si="191"/>
        <v>2019-LVN-RAM-PM35-014</v>
      </c>
    </row>
    <row r="1768" spans="1:40" s="572" customFormat="1" ht="15">
      <c r="A1768" s="570" t="s">
        <v>3341</v>
      </c>
      <c r="B1768" s="569" t="s">
        <v>3342</v>
      </c>
      <c r="C1768" s="569" t="s">
        <v>226</v>
      </c>
      <c r="D1768" s="580" t="s">
        <v>227</v>
      </c>
      <c r="E1768" s="569" t="s">
        <v>1516</v>
      </c>
      <c r="F1768" s="569" t="s">
        <v>3009</v>
      </c>
      <c r="G1768" s="569" t="s">
        <v>3265</v>
      </c>
      <c r="H1768" s="569">
        <v>2019</v>
      </c>
      <c r="I1768" s="569" t="s">
        <v>3343</v>
      </c>
      <c r="J1768" s="569" t="s">
        <v>3344</v>
      </c>
      <c r="K1768" s="569" t="s">
        <v>156</v>
      </c>
      <c r="L1768" s="569">
        <v>2</v>
      </c>
      <c r="M1768" s="569">
        <v>0</v>
      </c>
      <c r="N1768" s="569" t="s">
        <v>157</v>
      </c>
      <c r="O1768" s="569">
        <v>1</v>
      </c>
      <c r="P1768" s="569">
        <v>74</v>
      </c>
      <c r="Q1768" s="568">
        <v>2000</v>
      </c>
      <c r="R1768" s="569" t="s">
        <v>539</v>
      </c>
      <c r="S1768" s="569">
        <v>4</v>
      </c>
      <c r="T1768" s="569" t="s">
        <v>3345</v>
      </c>
      <c r="U1768" s="569" t="s">
        <v>3346</v>
      </c>
      <c r="V1768" s="569">
        <v>122.4</v>
      </c>
      <c r="W1768" s="569">
        <v>16</v>
      </c>
      <c r="X1768" s="568">
        <v>5395</v>
      </c>
      <c r="Y1768" s="569">
        <v>24</v>
      </c>
      <c r="Z1768" s="581" t="s">
        <v>178</v>
      </c>
      <c r="AA1768" s="581" t="s">
        <v>178</v>
      </c>
      <c r="AB1768" s="585">
        <v>25740</v>
      </c>
      <c r="AC1768" s="585" t="s">
        <v>164</v>
      </c>
      <c r="AD1768" s="585">
        <v>20595</v>
      </c>
      <c r="AE1768" s="587">
        <v>6.25E-2</v>
      </c>
      <c r="AF1768" s="661" t="str">
        <f t="shared" si="192"/>
        <v>2019-LVN-RAM-PMCT-004-04</v>
      </c>
      <c r="AG1768" s="661" t="str">
        <f>IF(AND($Y1768&gt;=32,(AI1768="I"),(Y1768&lt;&gt;"~"),(COUNTIF($AN$1:$AN1768,$AN1768)=1)),"TRUE","FALSE")</f>
        <v>FALSE</v>
      </c>
      <c r="AH1768" s="661" t="str">
        <f>IF(AND($Y1768&gt;=22, (AI1768&lt;&gt;"I"),(Y1768&lt;&gt;"~"),(COUNTIF($AN$1:$AN1768,$AN1768)=1)),"TRUE","FALSE")</f>
        <v>TRUE</v>
      </c>
      <c r="AI1768" s="661" t="str">
        <f t="shared" si="194"/>
        <v>II</v>
      </c>
      <c r="AJ1768" s="662" t="str">
        <f t="shared" si="188"/>
        <v>PMCT-004</v>
      </c>
      <c r="AK1768" s="662" t="str">
        <f t="shared" si="189"/>
        <v>LVN</v>
      </c>
      <c r="AL1768" s="662" t="str">
        <f t="shared" si="190"/>
        <v>RAM</v>
      </c>
      <c r="AM1768" s="662" t="str">
        <f t="shared" si="193"/>
        <v>Promaster City-Tradesman-FWD-2-74-2000-2.4L-4-VMDL51-24C-122.4-16-Unleaded-Unleaded</v>
      </c>
      <c r="AN1768" s="662" t="str">
        <f t="shared" si="191"/>
        <v>2019-LVN-RAM-PMCT-004</v>
      </c>
    </row>
    <row r="1769" spans="1:40" s="572" customFormat="1" ht="15">
      <c r="A1769" s="570" t="s">
        <v>3347</v>
      </c>
      <c r="B1769" s="573" t="s">
        <v>3342</v>
      </c>
      <c r="C1769" s="573" t="s">
        <v>240</v>
      </c>
      <c r="D1769" s="578" t="s">
        <v>241</v>
      </c>
      <c r="E1769" s="573" t="s">
        <v>1516</v>
      </c>
      <c r="F1769" s="573" t="s">
        <v>3009</v>
      </c>
      <c r="G1769" s="573" t="s">
        <v>3265</v>
      </c>
      <c r="H1769" s="573">
        <v>2019</v>
      </c>
      <c r="I1769" s="573" t="s">
        <v>3343</v>
      </c>
      <c r="J1769" s="573" t="s">
        <v>3344</v>
      </c>
      <c r="K1769" s="573" t="s">
        <v>156</v>
      </c>
      <c r="L1769" s="573">
        <v>2</v>
      </c>
      <c r="M1769" s="573">
        <v>0</v>
      </c>
      <c r="N1769" s="573" t="s">
        <v>157</v>
      </c>
      <c r="O1769" s="573">
        <v>1</v>
      </c>
      <c r="P1769" s="573">
        <v>74</v>
      </c>
      <c r="Q1769" s="571">
        <v>2000</v>
      </c>
      <c r="R1769" s="573" t="s">
        <v>539</v>
      </c>
      <c r="S1769" s="573">
        <v>4</v>
      </c>
      <c r="T1769" s="573" t="s">
        <v>3345</v>
      </c>
      <c r="U1769" s="573" t="s">
        <v>3346</v>
      </c>
      <c r="V1769" s="573">
        <v>122.4</v>
      </c>
      <c r="W1769" s="573">
        <v>16.100000000000001</v>
      </c>
      <c r="X1769" s="571">
        <v>5395</v>
      </c>
      <c r="Y1769" s="573">
        <v>24</v>
      </c>
      <c r="Z1769" s="579" t="s">
        <v>178</v>
      </c>
      <c r="AA1769" s="579" t="s">
        <v>178</v>
      </c>
      <c r="AB1769" s="584">
        <v>25740</v>
      </c>
      <c r="AC1769" s="584" t="s">
        <v>164</v>
      </c>
      <c r="AD1769" s="584">
        <v>20999</v>
      </c>
      <c r="AE1769" s="586">
        <v>0.05</v>
      </c>
      <c r="AF1769" s="661" t="str">
        <f t="shared" si="192"/>
        <v>2019-LVN-RAM-PMCT-004-08</v>
      </c>
      <c r="AG1769" s="661" t="str">
        <f>IF(AND($Y1769&gt;=32,(AI1769="I"),(Y1769&lt;&gt;"~"),(COUNTIF($AN$1:$AN1769,$AN1769)=1)),"TRUE","FALSE")</f>
        <v>FALSE</v>
      </c>
      <c r="AH1769" s="661" t="str">
        <f>IF(AND($Y1769&gt;=22, (AI1769&lt;&gt;"I"),(Y1769&lt;&gt;"~"),(COUNTIF($AN$1:$AN1769,$AN1769)=1)),"TRUE","FALSE")</f>
        <v>FALSE</v>
      </c>
      <c r="AI1769" s="661" t="str">
        <f t="shared" si="194"/>
        <v>II</v>
      </c>
      <c r="AJ1769" s="662" t="str">
        <f t="shared" si="188"/>
        <v>PMCT-004</v>
      </c>
      <c r="AK1769" s="662" t="str">
        <f t="shared" si="189"/>
        <v>LVN</v>
      </c>
      <c r="AL1769" s="662" t="str">
        <f t="shared" si="190"/>
        <v>RAM</v>
      </c>
      <c r="AM1769" s="662" t="str">
        <f t="shared" si="193"/>
        <v>Promaster City-Tradesman-FWD-2-74-2000-2.4L-4-VMDL51-24C-122.4-16.1-Unleaded-Unleaded</v>
      </c>
      <c r="AN1769" s="662" t="str">
        <f t="shared" si="191"/>
        <v>2019-LVN-RAM-PMCT-004</v>
      </c>
    </row>
    <row r="1770" spans="1:40" s="572" customFormat="1" ht="15">
      <c r="A1770" s="570" t="s">
        <v>3348</v>
      </c>
      <c r="B1770" s="569" t="s">
        <v>3349</v>
      </c>
      <c r="C1770" s="569" t="s">
        <v>226</v>
      </c>
      <c r="D1770" s="580" t="s">
        <v>227</v>
      </c>
      <c r="E1770" s="569" t="s">
        <v>1516</v>
      </c>
      <c r="F1770" s="569" t="s">
        <v>3009</v>
      </c>
      <c r="G1770" s="569" t="s">
        <v>3265</v>
      </c>
      <c r="H1770" s="569">
        <v>2019</v>
      </c>
      <c r="I1770" s="569" t="s">
        <v>3343</v>
      </c>
      <c r="J1770" s="569" t="s">
        <v>3350</v>
      </c>
      <c r="K1770" s="569" t="s">
        <v>156</v>
      </c>
      <c r="L1770" s="569">
        <v>2</v>
      </c>
      <c r="M1770" s="569">
        <v>0</v>
      </c>
      <c r="N1770" s="569" t="s">
        <v>157</v>
      </c>
      <c r="O1770" s="569">
        <v>1</v>
      </c>
      <c r="P1770" s="569">
        <v>74</v>
      </c>
      <c r="Q1770" s="568">
        <v>2000</v>
      </c>
      <c r="R1770" s="569" t="s">
        <v>539</v>
      </c>
      <c r="S1770" s="569">
        <v>4</v>
      </c>
      <c r="T1770" s="569" t="s">
        <v>3351</v>
      </c>
      <c r="U1770" s="569" t="s">
        <v>3352</v>
      </c>
      <c r="V1770" s="569">
        <v>122.4</v>
      </c>
      <c r="W1770" s="569">
        <v>16</v>
      </c>
      <c r="X1770" s="568">
        <v>5395</v>
      </c>
      <c r="Y1770" s="569">
        <v>24</v>
      </c>
      <c r="Z1770" s="581" t="s">
        <v>178</v>
      </c>
      <c r="AA1770" s="581" t="s">
        <v>178</v>
      </c>
      <c r="AB1770" s="585">
        <v>27490</v>
      </c>
      <c r="AC1770" s="585" t="s">
        <v>164</v>
      </c>
      <c r="AD1770" s="585">
        <v>22167</v>
      </c>
      <c r="AE1770" s="587">
        <v>6.25E-2</v>
      </c>
      <c r="AF1770" s="661" t="str">
        <f t="shared" si="192"/>
        <v>2019-LVN-RAM-PMCT-002-04</v>
      </c>
      <c r="AG1770" s="661" t="str">
        <f>IF(AND($Y1770&gt;=32,(AI1770="I"),(Y1770&lt;&gt;"~"),(COUNTIF($AN$1:$AN1770,$AN1770)=1)),"TRUE","FALSE")</f>
        <v>FALSE</v>
      </c>
      <c r="AH1770" s="661" t="str">
        <f>IF(AND($Y1770&gt;=22, (AI1770&lt;&gt;"I"),(Y1770&lt;&gt;"~"),(COUNTIF($AN$1:$AN1770,$AN1770)=1)),"TRUE","FALSE")</f>
        <v>TRUE</v>
      </c>
      <c r="AI1770" s="661" t="str">
        <f t="shared" si="194"/>
        <v>II</v>
      </c>
      <c r="AJ1770" s="662" t="str">
        <f t="shared" si="188"/>
        <v>PMCT-002</v>
      </c>
      <c r="AK1770" s="662" t="str">
        <f t="shared" si="189"/>
        <v>LVN</v>
      </c>
      <c r="AL1770" s="662" t="str">
        <f t="shared" si="190"/>
        <v>RAM</v>
      </c>
      <c r="AM1770" s="662" t="str">
        <f t="shared" si="193"/>
        <v>Promaster City-Tradesman SLT-FWD-2-74-2000-2.4L-4-VMDH51-24D-122.4-16-Unleaded-Unleaded</v>
      </c>
      <c r="AN1770" s="662" t="str">
        <f t="shared" si="191"/>
        <v>2019-LVN-RAM-PMCT-002</v>
      </c>
    </row>
    <row r="1771" spans="1:40" s="572" customFormat="1" ht="15">
      <c r="A1771" s="570" t="s">
        <v>3353</v>
      </c>
      <c r="B1771" s="573" t="s">
        <v>3354</v>
      </c>
      <c r="C1771" s="573" t="s">
        <v>240</v>
      </c>
      <c r="D1771" s="578" t="s">
        <v>241</v>
      </c>
      <c r="E1771" s="573" t="s">
        <v>1516</v>
      </c>
      <c r="F1771" s="573" t="s">
        <v>3009</v>
      </c>
      <c r="G1771" s="573" t="s">
        <v>3265</v>
      </c>
      <c r="H1771" s="573">
        <v>2019</v>
      </c>
      <c r="I1771" s="573" t="s">
        <v>3343</v>
      </c>
      <c r="J1771" s="573" t="s">
        <v>3350</v>
      </c>
      <c r="K1771" s="573" t="s">
        <v>156</v>
      </c>
      <c r="L1771" s="573">
        <v>2</v>
      </c>
      <c r="M1771" s="573">
        <v>0</v>
      </c>
      <c r="N1771" s="573" t="s">
        <v>157</v>
      </c>
      <c r="O1771" s="573">
        <v>1</v>
      </c>
      <c r="P1771" s="573">
        <v>74</v>
      </c>
      <c r="Q1771" s="571">
        <v>2000</v>
      </c>
      <c r="R1771" s="573" t="s">
        <v>539</v>
      </c>
      <c r="S1771" s="573">
        <v>4</v>
      </c>
      <c r="T1771" s="573" t="s">
        <v>3351</v>
      </c>
      <c r="U1771" s="573" t="s">
        <v>3352</v>
      </c>
      <c r="V1771" s="573">
        <v>122.4</v>
      </c>
      <c r="W1771" s="573">
        <v>16.100000000000001</v>
      </c>
      <c r="X1771" s="571">
        <v>5395</v>
      </c>
      <c r="Y1771" s="573">
        <v>24</v>
      </c>
      <c r="Z1771" s="579" t="s">
        <v>178</v>
      </c>
      <c r="AA1771" s="579" t="s">
        <v>178</v>
      </c>
      <c r="AB1771" s="584">
        <v>27490</v>
      </c>
      <c r="AC1771" s="584" t="s">
        <v>164</v>
      </c>
      <c r="AD1771" s="584">
        <v>22559</v>
      </c>
      <c r="AE1771" s="586">
        <v>0.05</v>
      </c>
      <c r="AF1771" s="661" t="str">
        <f t="shared" si="192"/>
        <v>2019-LVN-RAM-PMCT-001-08</v>
      </c>
      <c r="AG1771" s="661" t="str">
        <f>IF(AND($Y1771&gt;=32,(AI1771="I"),(Y1771&lt;&gt;"~"),(COUNTIF($AN$1:$AN1771,$AN1771)=1)),"TRUE","FALSE")</f>
        <v>FALSE</v>
      </c>
      <c r="AH1771" s="661" t="str">
        <f>IF(AND($Y1771&gt;=22, (AI1771&lt;&gt;"I"),(Y1771&lt;&gt;"~"),(COUNTIF($AN$1:$AN1771,$AN1771)=1)),"TRUE","FALSE")</f>
        <v>TRUE</v>
      </c>
      <c r="AI1771" s="661" t="str">
        <f t="shared" si="194"/>
        <v>II</v>
      </c>
      <c r="AJ1771" s="662" t="str">
        <f t="shared" si="188"/>
        <v>PMCT-001</v>
      </c>
      <c r="AK1771" s="662" t="str">
        <f t="shared" si="189"/>
        <v>LVN</v>
      </c>
      <c r="AL1771" s="662" t="str">
        <f t="shared" si="190"/>
        <v>RAM</v>
      </c>
      <c r="AM1771" s="662" t="str">
        <f t="shared" si="193"/>
        <v>Promaster City-Tradesman SLT-FWD-2-74-2000-2.4L-4-VMDH51-24D-122.4-16.1-Unleaded-Unleaded</v>
      </c>
      <c r="AN1771" s="662" t="str">
        <f t="shared" si="191"/>
        <v>2019-LVN-RAM-PMCT-001</v>
      </c>
    </row>
    <row r="1772" spans="1:40" s="572" customFormat="1" ht="15">
      <c r="A1772" s="570" t="s">
        <v>3355</v>
      </c>
      <c r="B1772" s="569" t="s">
        <v>3356</v>
      </c>
      <c r="C1772" s="569" t="s">
        <v>226</v>
      </c>
      <c r="D1772" s="580" t="s">
        <v>227</v>
      </c>
      <c r="E1772" s="569" t="s">
        <v>1516</v>
      </c>
      <c r="F1772" s="569" t="s">
        <v>3115</v>
      </c>
      <c r="G1772" s="569" t="s">
        <v>3265</v>
      </c>
      <c r="H1772" s="569">
        <v>2019</v>
      </c>
      <c r="I1772" s="569" t="s">
        <v>3343</v>
      </c>
      <c r="J1772" s="569" t="s">
        <v>3357</v>
      </c>
      <c r="K1772" s="569" t="s">
        <v>156</v>
      </c>
      <c r="L1772" s="569">
        <v>5</v>
      </c>
      <c r="M1772" s="569">
        <v>0</v>
      </c>
      <c r="N1772" s="569" t="s">
        <v>157</v>
      </c>
      <c r="O1772" s="569">
        <v>2</v>
      </c>
      <c r="P1772" s="569">
        <v>74</v>
      </c>
      <c r="Q1772" s="568">
        <v>2000</v>
      </c>
      <c r="R1772" s="569" t="s">
        <v>539</v>
      </c>
      <c r="S1772" s="569">
        <v>4</v>
      </c>
      <c r="T1772" s="569" t="s">
        <v>3345</v>
      </c>
      <c r="U1772" s="569" t="s">
        <v>3358</v>
      </c>
      <c r="V1772" s="569">
        <v>122.4</v>
      </c>
      <c r="W1772" s="569">
        <v>16</v>
      </c>
      <c r="X1772" s="568">
        <v>8900</v>
      </c>
      <c r="Y1772" s="569">
        <v>24</v>
      </c>
      <c r="Z1772" s="581" t="s">
        <v>178</v>
      </c>
      <c r="AA1772" s="581" t="s">
        <v>178</v>
      </c>
      <c r="AB1772" s="585">
        <v>27515</v>
      </c>
      <c r="AC1772" s="585" t="s">
        <v>164</v>
      </c>
      <c r="AD1772" s="585">
        <v>22137</v>
      </c>
      <c r="AE1772" s="587">
        <v>6.25E-2</v>
      </c>
      <c r="AF1772" s="661" t="str">
        <f t="shared" si="192"/>
        <v>2019-LVN-RAM-PMCT-006-04</v>
      </c>
      <c r="AG1772" s="661" t="str">
        <f>IF(AND($Y1772&gt;=32,(AI1772="I"),(Y1772&lt;&gt;"~"),(COUNTIF($AN$1:$AN1772,$AN1772)=1)),"TRUE","FALSE")</f>
        <v>FALSE</v>
      </c>
      <c r="AH1772" s="661" t="str">
        <f>IF(AND($Y1772&gt;=22, (AI1772&lt;&gt;"I"),(Y1772&lt;&gt;"~"),(COUNTIF($AN$1:$AN1772,$AN1772)=1)),"TRUE","FALSE")</f>
        <v>TRUE</v>
      </c>
      <c r="AI1772" s="661" t="str">
        <f t="shared" si="194"/>
        <v>II</v>
      </c>
      <c r="AJ1772" s="662" t="str">
        <f t="shared" si="188"/>
        <v>PMCT-006</v>
      </c>
      <c r="AK1772" s="662" t="str">
        <f t="shared" si="189"/>
        <v>LVN</v>
      </c>
      <c r="AL1772" s="662" t="str">
        <f t="shared" si="190"/>
        <v>RAM</v>
      </c>
      <c r="AM1772" s="662" t="str">
        <f t="shared" si="193"/>
        <v>Promaster City-Tradesman Wagon-FWD-5-74-2000-2.4L-4-VMDL51-24A-122.4-16-Unleaded-Unleaded</v>
      </c>
      <c r="AN1772" s="662" t="str">
        <f t="shared" si="191"/>
        <v>2019-LVN-RAM-PMCT-006</v>
      </c>
    </row>
    <row r="1773" spans="1:40" s="572" customFormat="1" ht="30">
      <c r="A1773" s="570" t="s">
        <v>3348</v>
      </c>
      <c r="B1773" s="573" t="s">
        <v>3349</v>
      </c>
      <c r="C1773" s="573" t="s">
        <v>226</v>
      </c>
      <c r="D1773" s="578" t="s">
        <v>227</v>
      </c>
      <c r="E1773" s="573" t="s">
        <v>1516</v>
      </c>
      <c r="F1773" s="573" t="s">
        <v>3115</v>
      </c>
      <c r="G1773" s="573" t="s">
        <v>3265</v>
      </c>
      <c r="H1773" s="573">
        <v>2019</v>
      </c>
      <c r="I1773" s="573" t="s">
        <v>3343</v>
      </c>
      <c r="J1773" s="573" t="s">
        <v>3359</v>
      </c>
      <c r="K1773" s="573" t="s">
        <v>156</v>
      </c>
      <c r="L1773" s="573">
        <v>5</v>
      </c>
      <c r="M1773" s="573">
        <v>0</v>
      </c>
      <c r="N1773" s="573" t="s">
        <v>157</v>
      </c>
      <c r="O1773" s="573">
        <v>2</v>
      </c>
      <c r="P1773" s="573">
        <v>74</v>
      </c>
      <c r="Q1773" s="571">
        <v>2000</v>
      </c>
      <c r="R1773" s="573" t="s">
        <v>539</v>
      </c>
      <c r="S1773" s="573">
        <v>4</v>
      </c>
      <c r="T1773" s="573" t="s">
        <v>3351</v>
      </c>
      <c r="U1773" s="573" t="s">
        <v>1419</v>
      </c>
      <c r="V1773" s="573">
        <v>122.4</v>
      </c>
      <c r="W1773" s="573">
        <v>16</v>
      </c>
      <c r="X1773" s="571">
        <v>5395</v>
      </c>
      <c r="Y1773" s="573">
        <v>24</v>
      </c>
      <c r="Z1773" s="579" t="s">
        <v>178</v>
      </c>
      <c r="AA1773" s="579" t="s">
        <v>178</v>
      </c>
      <c r="AB1773" s="584">
        <v>29040</v>
      </c>
      <c r="AC1773" s="584" t="s">
        <v>164</v>
      </c>
      <c r="AD1773" s="584">
        <v>23514</v>
      </c>
      <c r="AE1773" s="586">
        <v>6.25E-2</v>
      </c>
      <c r="AF1773" s="661" t="str">
        <f t="shared" si="192"/>
        <v>2019-LVN-RAM-PMCT-002-04</v>
      </c>
      <c r="AG1773" s="661" t="str">
        <f>IF(AND($Y1773&gt;=32,(AI1773="I"),(Y1773&lt;&gt;"~"),(COUNTIF($AN$1:$AN1773,$AN1773)=1)),"TRUE","FALSE")</f>
        <v>FALSE</v>
      </c>
      <c r="AH1773" s="661" t="str">
        <f>IF(AND($Y1773&gt;=22, (AI1773&lt;&gt;"I"),(Y1773&lt;&gt;"~"),(COUNTIF($AN$1:$AN1773,$AN1773)=1)),"TRUE","FALSE")</f>
        <v>FALSE</v>
      </c>
      <c r="AI1773" s="661" t="str">
        <f t="shared" si="194"/>
        <v>II</v>
      </c>
      <c r="AJ1773" s="662" t="str">
        <f t="shared" si="188"/>
        <v>PMCT-002</v>
      </c>
      <c r="AK1773" s="662" t="str">
        <f t="shared" si="189"/>
        <v>LVN</v>
      </c>
      <c r="AL1773" s="662" t="str">
        <f t="shared" si="190"/>
        <v>RAM</v>
      </c>
      <c r="AM1773" s="662" t="str">
        <f t="shared" si="193"/>
        <v>Promaster City-Tradesman Wagon SLT-FWD-5-74-2000-2.4L-4-VMDH51-24B-122.4-16-Unleaded-Unleaded</v>
      </c>
      <c r="AN1773" s="662" t="str">
        <f t="shared" si="191"/>
        <v>2019-LVN-RAM-PMCT-002</v>
      </c>
    </row>
    <row r="1774" spans="1:40" s="572" customFormat="1" ht="15">
      <c r="A1774" s="570" t="s">
        <v>3360</v>
      </c>
      <c r="B1774" s="569" t="s">
        <v>3356</v>
      </c>
      <c r="C1774" s="569" t="s">
        <v>240</v>
      </c>
      <c r="D1774" s="580" t="s">
        <v>241</v>
      </c>
      <c r="E1774" s="569" t="s">
        <v>1516</v>
      </c>
      <c r="F1774" s="569" t="s">
        <v>3115</v>
      </c>
      <c r="G1774" s="569" t="s">
        <v>3265</v>
      </c>
      <c r="H1774" s="569">
        <v>2019</v>
      </c>
      <c r="I1774" s="569" t="s">
        <v>3343</v>
      </c>
      <c r="J1774" s="569" t="s">
        <v>3361</v>
      </c>
      <c r="K1774" s="569" t="s">
        <v>156</v>
      </c>
      <c r="L1774" s="569">
        <v>5</v>
      </c>
      <c r="M1774" s="569">
        <v>0</v>
      </c>
      <c r="N1774" s="569" t="s">
        <v>157</v>
      </c>
      <c r="O1774" s="569">
        <v>2</v>
      </c>
      <c r="P1774" s="569">
        <v>74</v>
      </c>
      <c r="Q1774" s="568">
        <v>2000</v>
      </c>
      <c r="R1774" s="569" t="s">
        <v>539</v>
      </c>
      <c r="S1774" s="569">
        <v>4</v>
      </c>
      <c r="T1774" s="569" t="s">
        <v>3345</v>
      </c>
      <c r="U1774" s="569" t="s">
        <v>3358</v>
      </c>
      <c r="V1774" s="569">
        <v>122.4</v>
      </c>
      <c r="W1774" s="569">
        <v>16.100000000000001</v>
      </c>
      <c r="X1774" s="568">
        <v>5395</v>
      </c>
      <c r="Y1774" s="569">
        <v>24</v>
      </c>
      <c r="Z1774" s="581" t="s">
        <v>178</v>
      </c>
      <c r="AA1774" s="581" t="s">
        <v>178</v>
      </c>
      <c r="AB1774" s="585">
        <v>27390</v>
      </c>
      <c r="AC1774" s="585" t="s">
        <v>164</v>
      </c>
      <c r="AD1774" s="585">
        <v>22509</v>
      </c>
      <c r="AE1774" s="587">
        <v>0.05</v>
      </c>
      <c r="AF1774" s="661" t="str">
        <f t="shared" si="192"/>
        <v>2019-LVN-RAM-PMCT-006-08</v>
      </c>
      <c r="AG1774" s="661" t="str">
        <f>IF(AND($Y1774&gt;=32,(AI1774="I"),(Y1774&lt;&gt;"~"),(COUNTIF($AN$1:$AN1774,$AN1774)=1)),"TRUE","FALSE")</f>
        <v>FALSE</v>
      </c>
      <c r="AH1774" s="661" t="str">
        <f>IF(AND($Y1774&gt;=22, (AI1774&lt;&gt;"I"),(Y1774&lt;&gt;"~"),(COUNTIF($AN$1:$AN1774,$AN1774)=1)),"TRUE","FALSE")</f>
        <v>FALSE</v>
      </c>
      <c r="AI1774" s="661" t="str">
        <f t="shared" si="194"/>
        <v>II</v>
      </c>
      <c r="AJ1774" s="662" t="str">
        <f t="shared" si="188"/>
        <v>PMCT-006</v>
      </c>
      <c r="AK1774" s="662" t="str">
        <f t="shared" si="189"/>
        <v>LVN</v>
      </c>
      <c r="AL1774" s="662" t="str">
        <f t="shared" si="190"/>
        <v>RAM</v>
      </c>
      <c r="AM1774" s="662" t="str">
        <f t="shared" si="193"/>
        <v>Promaster City-Wagon-FWD-5-74-2000-2.4L-4-VMDL51-24A-122.4-16.1-Unleaded-Unleaded</v>
      </c>
      <c r="AN1774" s="662" t="str">
        <f t="shared" si="191"/>
        <v>2019-LVN-RAM-PMCT-006</v>
      </c>
    </row>
    <row r="1775" spans="1:40" s="572" customFormat="1" ht="15">
      <c r="A1775" s="570" t="s">
        <v>3362</v>
      </c>
      <c r="B1775" s="573" t="s">
        <v>3363</v>
      </c>
      <c r="C1775" s="573" t="s">
        <v>240</v>
      </c>
      <c r="D1775" s="578" t="s">
        <v>241</v>
      </c>
      <c r="E1775" s="573" t="s">
        <v>1516</v>
      </c>
      <c r="F1775" s="573" t="s">
        <v>3115</v>
      </c>
      <c r="G1775" s="573" t="s">
        <v>3265</v>
      </c>
      <c r="H1775" s="573">
        <v>2019</v>
      </c>
      <c r="I1775" s="573" t="s">
        <v>3343</v>
      </c>
      <c r="J1775" s="573" t="s">
        <v>3364</v>
      </c>
      <c r="K1775" s="573" t="s">
        <v>156</v>
      </c>
      <c r="L1775" s="573">
        <v>5</v>
      </c>
      <c r="M1775" s="573">
        <v>0</v>
      </c>
      <c r="N1775" s="573" t="s">
        <v>157</v>
      </c>
      <c r="O1775" s="573">
        <v>2</v>
      </c>
      <c r="P1775" s="573">
        <v>74</v>
      </c>
      <c r="Q1775" s="571">
        <v>2000</v>
      </c>
      <c r="R1775" s="573" t="s">
        <v>539</v>
      </c>
      <c r="S1775" s="573">
        <v>4</v>
      </c>
      <c r="T1775" s="573" t="s">
        <v>3351</v>
      </c>
      <c r="U1775" s="573" t="s">
        <v>1419</v>
      </c>
      <c r="V1775" s="573">
        <v>122.4</v>
      </c>
      <c r="W1775" s="573">
        <v>16.100000000000001</v>
      </c>
      <c r="X1775" s="571">
        <v>5395</v>
      </c>
      <c r="Y1775" s="573">
        <v>24</v>
      </c>
      <c r="Z1775" s="579" t="s">
        <v>178</v>
      </c>
      <c r="AA1775" s="579" t="s">
        <v>178</v>
      </c>
      <c r="AB1775" s="584">
        <v>29040</v>
      </c>
      <c r="AC1775" s="584" t="s">
        <v>164</v>
      </c>
      <c r="AD1775" s="584">
        <v>23919</v>
      </c>
      <c r="AE1775" s="586">
        <v>0.05</v>
      </c>
      <c r="AF1775" s="661" t="str">
        <f t="shared" si="192"/>
        <v>2019-LVN-RAM-PMCT-005-08</v>
      </c>
      <c r="AG1775" s="661" t="str">
        <f>IF(AND($Y1775&gt;=32,(AI1775="I"),(Y1775&lt;&gt;"~"),(COUNTIF($AN$1:$AN1775,$AN1775)=1)),"TRUE","FALSE")</f>
        <v>FALSE</v>
      </c>
      <c r="AH1775" s="661" t="str">
        <f>IF(AND($Y1775&gt;=22, (AI1775&lt;&gt;"I"),(Y1775&lt;&gt;"~"),(COUNTIF($AN$1:$AN1775,$AN1775)=1)),"TRUE","FALSE")</f>
        <v>TRUE</v>
      </c>
      <c r="AI1775" s="661" t="str">
        <f t="shared" si="194"/>
        <v>II</v>
      </c>
      <c r="AJ1775" s="662" t="str">
        <f t="shared" si="188"/>
        <v>PMCT-005</v>
      </c>
      <c r="AK1775" s="662" t="str">
        <f t="shared" si="189"/>
        <v>LVN</v>
      </c>
      <c r="AL1775" s="662" t="str">
        <f t="shared" si="190"/>
        <v>RAM</v>
      </c>
      <c r="AM1775" s="662" t="str">
        <f t="shared" si="193"/>
        <v>Promaster City-Wagon SLT-FWD-5-74-2000-2.4L-4-VMDH51-24B-122.4-16.1-Unleaded-Unleaded</v>
      </c>
      <c r="AN1775" s="662" t="str">
        <f t="shared" si="191"/>
        <v>2019-LVN-RAM-PMCT-005</v>
      </c>
    </row>
    <row r="1776" spans="1:40" s="572" customFormat="1" ht="15">
      <c r="A1776" s="570" t="s">
        <v>3365</v>
      </c>
      <c r="B1776" s="569" t="s">
        <v>3366</v>
      </c>
      <c r="C1776" s="569" t="s">
        <v>605</v>
      </c>
      <c r="D1776" s="580">
        <v>12</v>
      </c>
      <c r="E1776" s="569" t="s">
        <v>1516</v>
      </c>
      <c r="F1776" s="569" t="s">
        <v>1646</v>
      </c>
      <c r="G1776" s="569" t="s">
        <v>606</v>
      </c>
      <c r="H1776" s="569">
        <v>2019</v>
      </c>
      <c r="I1776" s="569" t="s">
        <v>3367</v>
      </c>
      <c r="J1776" s="569" t="s">
        <v>612</v>
      </c>
      <c r="K1776" s="569" t="s">
        <v>156</v>
      </c>
      <c r="L1776" s="569">
        <v>7</v>
      </c>
      <c r="M1776" s="569">
        <v>0</v>
      </c>
      <c r="N1776" s="569" t="s">
        <v>157</v>
      </c>
      <c r="O1776" s="569">
        <v>3</v>
      </c>
      <c r="P1776" s="569">
        <v>68.900000000000006</v>
      </c>
      <c r="Q1776" s="568" t="s">
        <v>157</v>
      </c>
      <c r="R1776" s="569" t="s">
        <v>316</v>
      </c>
      <c r="S1776" s="569">
        <v>6</v>
      </c>
      <c r="T1776" s="569">
        <v>5328</v>
      </c>
      <c r="U1776" s="569" t="s">
        <v>609</v>
      </c>
      <c r="V1776" s="569">
        <v>119.3</v>
      </c>
      <c r="W1776" s="569">
        <v>20</v>
      </c>
      <c r="X1776" s="568">
        <v>5995</v>
      </c>
      <c r="Y1776" s="569">
        <v>22</v>
      </c>
      <c r="Z1776" s="581" t="s">
        <v>178</v>
      </c>
      <c r="AA1776" s="581" t="s">
        <v>178</v>
      </c>
      <c r="AB1776" s="585">
        <v>32210</v>
      </c>
      <c r="AC1776" s="585" t="s">
        <v>164</v>
      </c>
      <c r="AD1776" s="585">
        <v>29300</v>
      </c>
      <c r="AE1776" s="587">
        <v>0.05</v>
      </c>
      <c r="AF1776" s="661" t="str">
        <f t="shared" si="192"/>
        <v>2019-LVN-TOY-SNNA-003-12</v>
      </c>
      <c r="AG1776" s="661" t="str">
        <f>IF(AND($Y1776&gt;=32,(AI1776="I"),(Y1776&lt;&gt;"~"),(COUNTIF($AN$1:$AN1776,$AN1776)=1)),"TRUE","FALSE")</f>
        <v>FALSE</v>
      </c>
      <c r="AH1776" s="661" t="str">
        <f>IF(AND($Y1776&gt;=22, (AI1776&lt;&gt;"I"),(Y1776&lt;&gt;"~"),(COUNTIF($AN$1:$AN1776,$AN1776)=1)),"TRUE","FALSE")</f>
        <v>TRUE</v>
      </c>
      <c r="AI1776" s="661" t="str">
        <f t="shared" si="194"/>
        <v>II</v>
      </c>
      <c r="AJ1776" s="662" t="str">
        <f t="shared" si="188"/>
        <v>SNNA-003</v>
      </c>
      <c r="AK1776" s="662" t="str">
        <f t="shared" si="189"/>
        <v>LVN</v>
      </c>
      <c r="AL1776" s="662" t="str">
        <f t="shared" si="190"/>
        <v>TOY</v>
      </c>
      <c r="AM1776" s="662" t="str">
        <f t="shared" si="193"/>
        <v>Sienna-L-FWD-7-68.9-~-3.5L-6-5328-NA-119.3-20-Unleaded-Unleaded</v>
      </c>
      <c r="AN1776" s="662" t="str">
        <f t="shared" si="191"/>
        <v>2019-LVN-TOY-SNNA-003</v>
      </c>
    </row>
    <row r="1777" spans="1:40" s="572" customFormat="1" ht="15">
      <c r="A1777" s="570" t="s">
        <v>3368</v>
      </c>
      <c r="B1777" s="573" t="s">
        <v>3369</v>
      </c>
      <c r="C1777" s="573" t="s">
        <v>605</v>
      </c>
      <c r="D1777" s="578">
        <v>12</v>
      </c>
      <c r="E1777" s="573" t="s">
        <v>1516</v>
      </c>
      <c r="F1777" s="573" t="s">
        <v>1646</v>
      </c>
      <c r="G1777" s="573" t="s">
        <v>606</v>
      </c>
      <c r="H1777" s="573">
        <v>2019</v>
      </c>
      <c r="I1777" s="573" t="s">
        <v>3367</v>
      </c>
      <c r="J1777" s="573" t="s">
        <v>615</v>
      </c>
      <c r="K1777" s="573" t="s">
        <v>230</v>
      </c>
      <c r="L1777" s="573">
        <v>7</v>
      </c>
      <c r="M1777" s="573">
        <v>0</v>
      </c>
      <c r="N1777" s="573" t="s">
        <v>157</v>
      </c>
      <c r="O1777" s="573">
        <v>3</v>
      </c>
      <c r="P1777" s="573">
        <v>68.900000000000006</v>
      </c>
      <c r="Q1777" s="571" t="s">
        <v>157</v>
      </c>
      <c r="R1777" s="573" t="s">
        <v>316</v>
      </c>
      <c r="S1777" s="573">
        <v>6</v>
      </c>
      <c r="T1777" s="573">
        <v>5366</v>
      </c>
      <c r="U1777" s="573" t="s">
        <v>609</v>
      </c>
      <c r="V1777" s="573">
        <v>119.3</v>
      </c>
      <c r="W1777" s="573">
        <v>20</v>
      </c>
      <c r="X1777" s="571">
        <v>5995</v>
      </c>
      <c r="Y1777" s="573">
        <v>20</v>
      </c>
      <c r="Z1777" s="579" t="s">
        <v>178</v>
      </c>
      <c r="AA1777" s="579" t="s">
        <v>178</v>
      </c>
      <c r="AB1777" s="584">
        <v>37570</v>
      </c>
      <c r="AC1777" s="584" t="s">
        <v>164</v>
      </c>
      <c r="AD1777" s="584">
        <v>34450</v>
      </c>
      <c r="AE1777" s="586">
        <v>0.05</v>
      </c>
      <c r="AF1777" s="661" t="str">
        <f t="shared" si="192"/>
        <v>2019-LVN-TOY-SNNA-001-12</v>
      </c>
      <c r="AG1777" s="661" t="str">
        <f>IF(AND($Y1777&gt;=32,(AI1777="I"),(Y1777&lt;&gt;"~"),(COUNTIF($AN$1:$AN1777,$AN1777)=1)),"TRUE","FALSE")</f>
        <v>FALSE</v>
      </c>
      <c r="AH1777" s="661" t="str">
        <f>IF(AND($Y1777&gt;=22, (AI1777&lt;&gt;"I"),(Y1777&lt;&gt;"~"),(COUNTIF($AN$1:$AN1777,$AN1777)=1)),"TRUE","FALSE")</f>
        <v>FALSE</v>
      </c>
      <c r="AI1777" s="661" t="str">
        <f t="shared" si="194"/>
        <v>II</v>
      </c>
      <c r="AJ1777" s="662" t="str">
        <f t="shared" si="188"/>
        <v>SNNA-001</v>
      </c>
      <c r="AK1777" s="662" t="str">
        <f t="shared" si="189"/>
        <v>LVN</v>
      </c>
      <c r="AL1777" s="662" t="str">
        <f t="shared" si="190"/>
        <v>TOY</v>
      </c>
      <c r="AM1777" s="662" t="str">
        <f t="shared" si="193"/>
        <v>Sienna-LE-AWD-7-68.9-~-3.5L-6-5366-NA-119.3-20-Unleaded-Unleaded</v>
      </c>
      <c r="AN1777" s="662" t="str">
        <f t="shared" si="191"/>
        <v>2019-LVN-TOY-SNNA-001</v>
      </c>
    </row>
    <row r="1778" spans="1:40" s="572" customFormat="1" ht="15">
      <c r="A1778" s="570" t="s">
        <v>3370</v>
      </c>
      <c r="B1778" s="569" t="s">
        <v>3371</v>
      </c>
      <c r="C1778" s="569" t="s">
        <v>605</v>
      </c>
      <c r="D1778" s="580">
        <v>12</v>
      </c>
      <c r="E1778" s="569" t="s">
        <v>1516</v>
      </c>
      <c r="F1778" s="569" t="s">
        <v>1646</v>
      </c>
      <c r="G1778" s="569" t="s">
        <v>606</v>
      </c>
      <c r="H1778" s="569">
        <v>2019</v>
      </c>
      <c r="I1778" s="569" t="s">
        <v>3367</v>
      </c>
      <c r="J1778" s="569" t="s">
        <v>615</v>
      </c>
      <c r="K1778" s="569" t="s">
        <v>156</v>
      </c>
      <c r="L1778" s="569">
        <v>8</v>
      </c>
      <c r="M1778" s="569">
        <v>0</v>
      </c>
      <c r="N1778" s="569" t="s">
        <v>157</v>
      </c>
      <c r="O1778" s="569">
        <v>3</v>
      </c>
      <c r="P1778" s="569">
        <v>68.900000000000006</v>
      </c>
      <c r="Q1778" s="568" t="s">
        <v>157</v>
      </c>
      <c r="R1778" s="569" t="s">
        <v>316</v>
      </c>
      <c r="S1778" s="569">
        <v>6</v>
      </c>
      <c r="T1778" s="569">
        <v>5338</v>
      </c>
      <c r="U1778" s="569" t="s">
        <v>609</v>
      </c>
      <c r="V1778" s="569">
        <v>119.3</v>
      </c>
      <c r="W1778" s="569">
        <v>20</v>
      </c>
      <c r="X1778" s="568">
        <v>5995</v>
      </c>
      <c r="Y1778" s="569">
        <v>22</v>
      </c>
      <c r="Z1778" s="581" t="s">
        <v>178</v>
      </c>
      <c r="AA1778" s="581" t="s">
        <v>178</v>
      </c>
      <c r="AB1778" s="585">
        <v>35030</v>
      </c>
      <c r="AC1778" s="585" t="s">
        <v>164</v>
      </c>
      <c r="AD1778" s="585">
        <v>32100</v>
      </c>
      <c r="AE1778" s="587">
        <v>0.05</v>
      </c>
      <c r="AF1778" s="661" t="str">
        <f t="shared" si="192"/>
        <v>2019-LVN-TOY-SNNA-002-12</v>
      </c>
      <c r="AG1778" s="661" t="str">
        <f>IF(AND($Y1778&gt;=32,(AI1778="I"),(Y1778&lt;&gt;"~"),(COUNTIF($AN$1:$AN1778,$AN1778)=1)),"TRUE","FALSE")</f>
        <v>FALSE</v>
      </c>
      <c r="AH1778" s="661" t="str">
        <f>IF(AND($Y1778&gt;=22, (AI1778&lt;&gt;"I"),(Y1778&lt;&gt;"~"),(COUNTIF($AN$1:$AN1778,$AN1778)=1)),"TRUE","FALSE")</f>
        <v>TRUE</v>
      </c>
      <c r="AI1778" s="661" t="str">
        <f t="shared" si="194"/>
        <v>II</v>
      </c>
      <c r="AJ1778" s="662" t="str">
        <f t="shared" si="188"/>
        <v>SNNA-002</v>
      </c>
      <c r="AK1778" s="662" t="str">
        <f t="shared" si="189"/>
        <v>LVN</v>
      </c>
      <c r="AL1778" s="662" t="str">
        <f t="shared" si="190"/>
        <v>TOY</v>
      </c>
      <c r="AM1778" s="662" t="str">
        <f t="shared" si="193"/>
        <v>Sienna-LE-FWD-8-68.9-~-3.5L-6-5338-NA-119.3-20-Unleaded-Unleaded</v>
      </c>
      <c r="AN1778" s="662" t="str">
        <f t="shared" si="191"/>
        <v>2019-LVN-TOY-SNNA-002</v>
      </c>
    </row>
    <row r="1779" spans="1:40" s="572" customFormat="1" ht="15">
      <c r="A1779" s="570" t="s">
        <v>3372</v>
      </c>
      <c r="B1779" s="573" t="s">
        <v>3373</v>
      </c>
      <c r="C1779" s="573" t="s">
        <v>169</v>
      </c>
      <c r="D1779" s="578">
        <v>11</v>
      </c>
      <c r="E1779" s="573" t="s">
        <v>3374</v>
      </c>
      <c r="F1779" s="573" t="s">
        <v>211</v>
      </c>
      <c r="G1779" s="573" t="s">
        <v>153</v>
      </c>
      <c r="H1779" s="573">
        <v>2019</v>
      </c>
      <c r="I1779" s="573" t="s">
        <v>3375</v>
      </c>
      <c r="J1779" s="573" t="s">
        <v>3376</v>
      </c>
      <c r="K1779" s="573" t="s">
        <v>3377</v>
      </c>
      <c r="L1779" s="573">
        <v>5</v>
      </c>
      <c r="M1779" s="573">
        <v>0</v>
      </c>
      <c r="N1779" s="573" t="s">
        <v>157</v>
      </c>
      <c r="O1779" s="573">
        <v>2</v>
      </c>
      <c r="P1779" s="573" t="s">
        <v>3378</v>
      </c>
      <c r="Q1779" s="571">
        <v>7700</v>
      </c>
      <c r="R1779" s="573" t="s">
        <v>189</v>
      </c>
      <c r="S1779" s="573">
        <v>4</v>
      </c>
      <c r="T1779" s="573" t="s">
        <v>3379</v>
      </c>
      <c r="U1779" s="573" t="s">
        <v>161</v>
      </c>
      <c r="V1779" s="573">
        <v>128.30000000000001</v>
      </c>
      <c r="W1779" s="573">
        <v>21</v>
      </c>
      <c r="X1779" s="571">
        <v>5500</v>
      </c>
      <c r="Y1779" s="573">
        <v>22</v>
      </c>
      <c r="Z1779" s="579" t="s">
        <v>178</v>
      </c>
      <c r="AA1779" s="579" t="s">
        <v>178</v>
      </c>
      <c r="AB1779" s="584">
        <v>30495</v>
      </c>
      <c r="AC1779" s="584" t="s">
        <v>164</v>
      </c>
      <c r="AD1779" s="584">
        <v>26607.291666666668</v>
      </c>
      <c r="AE1779" s="586">
        <v>0.05</v>
      </c>
      <c r="AF1779" s="661" t="str">
        <f t="shared" si="192"/>
        <v>2019-LTK-CHV-COLO-001-11</v>
      </c>
      <c r="AG1779" s="661" t="str">
        <f>IF(AND($Y1779&gt;=32,(AI1779="I"),(Y1779&lt;&gt;"~"),(COUNTIF($AN$1:$AN1779,$AN1779)=1)),"TRUE","FALSE")</f>
        <v>FALSE</v>
      </c>
      <c r="AH1779" s="661" t="str">
        <f>IF(AND($Y1779&gt;=22, (AI1779&lt;&gt;"I"),(Y1779&lt;&gt;"~"),(COUNTIF($AN$1:$AN1779,$AN1779)=1)),"TRUE","FALSE")</f>
        <v>TRUE</v>
      </c>
      <c r="AI1779" s="661" t="str">
        <f t="shared" si="194"/>
        <v>II</v>
      </c>
      <c r="AJ1779" s="662" t="str">
        <f t="shared" si="188"/>
        <v>COLO-001</v>
      </c>
      <c r="AK1779" s="662" t="str">
        <f t="shared" si="189"/>
        <v>LTK</v>
      </c>
      <c r="AL1779" s="662" t="str">
        <f t="shared" si="190"/>
        <v>CHV</v>
      </c>
      <c r="AM1779" s="662" t="str">
        <f t="shared" si="193"/>
        <v>Colorado-LT (Base) Crew Cab-2WD-5-5'1"-7700-2.5L-4-12N43-2LT-128.3-21-Unleaded-Unleaded</v>
      </c>
      <c r="AN1779" s="662" t="str">
        <f t="shared" si="191"/>
        <v>2019-LTK-CHV-COLO-001</v>
      </c>
    </row>
    <row r="1780" spans="1:40" s="572" customFormat="1" ht="15">
      <c r="A1780" s="570" t="s">
        <v>3380</v>
      </c>
      <c r="B1780" s="569" t="s">
        <v>3373</v>
      </c>
      <c r="C1780" s="569" t="s">
        <v>150</v>
      </c>
      <c r="D1780" s="580">
        <v>13</v>
      </c>
      <c r="E1780" s="569" t="s">
        <v>3374</v>
      </c>
      <c r="F1780" s="569" t="s">
        <v>211</v>
      </c>
      <c r="G1780" s="569" t="s">
        <v>153</v>
      </c>
      <c r="H1780" s="569">
        <v>2019</v>
      </c>
      <c r="I1780" s="569" t="s">
        <v>3375</v>
      </c>
      <c r="J1780" s="569" t="s">
        <v>3376</v>
      </c>
      <c r="K1780" s="569" t="s">
        <v>3377</v>
      </c>
      <c r="L1780" s="569">
        <v>5</v>
      </c>
      <c r="M1780" s="569">
        <v>0</v>
      </c>
      <c r="N1780" s="569" t="s">
        <v>157</v>
      </c>
      <c r="O1780" s="569">
        <v>2</v>
      </c>
      <c r="P1780" s="569" t="s">
        <v>3378</v>
      </c>
      <c r="Q1780" s="568">
        <v>7700</v>
      </c>
      <c r="R1780" s="569" t="s">
        <v>189</v>
      </c>
      <c r="S1780" s="569">
        <v>4</v>
      </c>
      <c r="T1780" s="569" t="s">
        <v>3379</v>
      </c>
      <c r="U1780" s="569" t="s">
        <v>161</v>
      </c>
      <c r="V1780" s="569">
        <v>128.30000000000001</v>
      </c>
      <c r="W1780" s="569">
        <v>21</v>
      </c>
      <c r="X1780" s="568">
        <v>5500</v>
      </c>
      <c r="Y1780" s="569">
        <v>22</v>
      </c>
      <c r="Z1780" s="581" t="s">
        <v>178</v>
      </c>
      <c r="AA1780" s="581" t="s">
        <v>178</v>
      </c>
      <c r="AB1780" s="585">
        <v>30495</v>
      </c>
      <c r="AC1780" s="585" t="s">
        <v>164</v>
      </c>
      <c r="AD1780" s="585">
        <v>28188</v>
      </c>
      <c r="AE1780" s="587">
        <v>0.03</v>
      </c>
      <c r="AF1780" s="661" t="str">
        <f t="shared" si="192"/>
        <v>2019-LTK-CHV-COLO-001-13</v>
      </c>
      <c r="AG1780" s="661" t="str">
        <f>IF(AND($Y1780&gt;=32,(AI1780="I"),(Y1780&lt;&gt;"~"),(COUNTIF($AN$1:$AN1780,$AN1780)=1)),"TRUE","FALSE")</f>
        <v>FALSE</v>
      </c>
      <c r="AH1780" s="661" t="str">
        <f>IF(AND($Y1780&gt;=22, (AI1780&lt;&gt;"I"),(Y1780&lt;&gt;"~"),(COUNTIF($AN$1:$AN1780,$AN1780)=1)),"TRUE","FALSE")</f>
        <v>FALSE</v>
      </c>
      <c r="AI1780" s="661" t="str">
        <f t="shared" si="194"/>
        <v>II</v>
      </c>
      <c r="AJ1780" s="662" t="str">
        <f t="shared" si="188"/>
        <v>COLO-001</v>
      </c>
      <c r="AK1780" s="662" t="str">
        <f t="shared" si="189"/>
        <v>LTK</v>
      </c>
      <c r="AL1780" s="662" t="str">
        <f t="shared" si="190"/>
        <v>CHV</v>
      </c>
      <c r="AM1780" s="662" t="str">
        <f t="shared" si="193"/>
        <v>Colorado-LT (Base) Crew Cab-2WD-5-5'1"-7700-2.5L-4-12N43-2LT-128.3-21-Unleaded-Unleaded</v>
      </c>
      <c r="AN1780" s="662" t="str">
        <f t="shared" si="191"/>
        <v>2019-LTK-CHV-COLO-001</v>
      </c>
    </row>
    <row r="1781" spans="1:40" s="572" customFormat="1" ht="15">
      <c r="A1781" s="570" t="s">
        <v>3381</v>
      </c>
      <c r="B1781" s="573" t="s">
        <v>3373</v>
      </c>
      <c r="C1781" s="573" t="s">
        <v>166</v>
      </c>
      <c r="D1781" s="578">
        <v>17</v>
      </c>
      <c r="E1781" s="573" t="s">
        <v>3374</v>
      </c>
      <c r="F1781" s="573" t="s">
        <v>211</v>
      </c>
      <c r="G1781" s="573" t="s">
        <v>153</v>
      </c>
      <c r="H1781" s="573">
        <v>2019</v>
      </c>
      <c r="I1781" s="573" t="s">
        <v>3375</v>
      </c>
      <c r="J1781" s="573" t="s">
        <v>3376</v>
      </c>
      <c r="K1781" s="573" t="s">
        <v>3377</v>
      </c>
      <c r="L1781" s="573">
        <v>5</v>
      </c>
      <c r="M1781" s="573">
        <v>0</v>
      </c>
      <c r="N1781" s="573" t="s">
        <v>157</v>
      </c>
      <c r="O1781" s="573">
        <v>2</v>
      </c>
      <c r="P1781" s="573" t="s">
        <v>3378</v>
      </c>
      <c r="Q1781" s="571">
        <v>7700</v>
      </c>
      <c r="R1781" s="573" t="s">
        <v>189</v>
      </c>
      <c r="S1781" s="573">
        <v>4</v>
      </c>
      <c r="T1781" s="573" t="s">
        <v>3379</v>
      </c>
      <c r="U1781" s="573" t="s">
        <v>161</v>
      </c>
      <c r="V1781" s="573">
        <v>128.30000000000001</v>
      </c>
      <c r="W1781" s="573">
        <v>21</v>
      </c>
      <c r="X1781" s="571">
        <v>5500</v>
      </c>
      <c r="Y1781" s="573">
        <v>22</v>
      </c>
      <c r="Z1781" s="579" t="s">
        <v>178</v>
      </c>
      <c r="AA1781" s="579" t="s">
        <v>178</v>
      </c>
      <c r="AB1781" s="584">
        <v>30495</v>
      </c>
      <c r="AC1781" s="584" t="s">
        <v>164</v>
      </c>
      <c r="AD1781" s="584">
        <v>27606.35</v>
      </c>
      <c r="AE1781" s="586">
        <v>7.1999999999999995E-2</v>
      </c>
      <c r="AF1781" s="661" t="str">
        <f t="shared" si="192"/>
        <v>2019-LTK-CHV-COLO-001-17</v>
      </c>
      <c r="AG1781" s="661" t="str">
        <f>IF(AND($Y1781&gt;=32,(AI1781="I"),(Y1781&lt;&gt;"~"),(COUNTIF($AN$1:$AN1781,$AN1781)=1)),"TRUE","FALSE")</f>
        <v>FALSE</v>
      </c>
      <c r="AH1781" s="661" t="str">
        <f>IF(AND($Y1781&gt;=22, (AI1781&lt;&gt;"I"),(Y1781&lt;&gt;"~"),(COUNTIF($AN$1:$AN1781,$AN1781)=1)),"TRUE","FALSE")</f>
        <v>FALSE</v>
      </c>
      <c r="AI1781" s="661" t="str">
        <f t="shared" si="194"/>
        <v>II</v>
      </c>
      <c r="AJ1781" s="662" t="str">
        <f t="shared" si="188"/>
        <v>COLO-001</v>
      </c>
      <c r="AK1781" s="662" t="str">
        <f t="shared" si="189"/>
        <v>LTK</v>
      </c>
      <c r="AL1781" s="662" t="str">
        <f t="shared" si="190"/>
        <v>CHV</v>
      </c>
      <c r="AM1781" s="662" t="str">
        <f t="shared" si="193"/>
        <v>Colorado-LT (Base) Crew Cab-2WD-5-5'1"-7700-2.5L-4-12N43-2LT-128.3-21-Unleaded-Unleaded</v>
      </c>
      <c r="AN1781" s="662" t="str">
        <f t="shared" si="191"/>
        <v>2019-LTK-CHV-COLO-001</v>
      </c>
    </row>
    <row r="1782" spans="1:40" s="572" customFormat="1" ht="15">
      <c r="A1782" s="570" t="s">
        <v>3382</v>
      </c>
      <c r="B1782" s="569" t="s">
        <v>3383</v>
      </c>
      <c r="C1782" s="569" t="s">
        <v>169</v>
      </c>
      <c r="D1782" s="580">
        <v>11</v>
      </c>
      <c r="E1782" s="569" t="s">
        <v>3374</v>
      </c>
      <c r="F1782" s="569" t="s">
        <v>211</v>
      </c>
      <c r="G1782" s="569" t="s">
        <v>153</v>
      </c>
      <c r="H1782" s="569">
        <v>2019</v>
      </c>
      <c r="I1782" s="569" t="s">
        <v>3375</v>
      </c>
      <c r="J1782" s="569" t="s">
        <v>3384</v>
      </c>
      <c r="K1782" s="569" t="s">
        <v>3377</v>
      </c>
      <c r="L1782" s="569">
        <v>5</v>
      </c>
      <c r="M1782" s="569">
        <v>0</v>
      </c>
      <c r="N1782" s="569" t="s">
        <v>157</v>
      </c>
      <c r="O1782" s="569">
        <v>2</v>
      </c>
      <c r="P1782" s="569" t="s">
        <v>3385</v>
      </c>
      <c r="Q1782" s="568">
        <v>7000</v>
      </c>
      <c r="R1782" s="569" t="s">
        <v>231</v>
      </c>
      <c r="S1782" s="569">
        <v>6</v>
      </c>
      <c r="T1782" s="569" t="s">
        <v>3386</v>
      </c>
      <c r="U1782" s="569" t="s">
        <v>161</v>
      </c>
      <c r="V1782" s="569">
        <v>140.5</v>
      </c>
      <c r="W1782" s="569">
        <v>21</v>
      </c>
      <c r="X1782" s="568">
        <v>5800</v>
      </c>
      <c r="Y1782" s="569">
        <v>20</v>
      </c>
      <c r="Z1782" s="581" t="s">
        <v>178</v>
      </c>
      <c r="AA1782" s="581" t="s">
        <v>178</v>
      </c>
      <c r="AB1782" s="585">
        <v>32095</v>
      </c>
      <c r="AC1782" s="585" t="s">
        <v>164</v>
      </c>
      <c r="AD1782" s="585">
        <v>28143.958333333336</v>
      </c>
      <c r="AE1782" s="587">
        <v>0.05</v>
      </c>
      <c r="AF1782" s="661" t="str">
        <f t="shared" si="192"/>
        <v>2019-LTK-CHV-COLO-002-11</v>
      </c>
      <c r="AG1782" s="661" t="str">
        <f>IF(AND($Y1782&gt;=32,(AI1782="I"),(Y1782&lt;&gt;"~"),(COUNTIF($AN$1:$AN1782,$AN1782)=1)),"TRUE","FALSE")</f>
        <v>FALSE</v>
      </c>
      <c r="AH1782" s="661" t="str">
        <f>IF(AND($Y1782&gt;=22, (AI1782&lt;&gt;"I"),(Y1782&lt;&gt;"~"),(COUNTIF($AN$1:$AN1782,$AN1782)=1)),"TRUE","FALSE")</f>
        <v>FALSE</v>
      </c>
      <c r="AI1782" s="661" t="str">
        <f t="shared" si="194"/>
        <v>II</v>
      </c>
      <c r="AJ1782" s="662" t="str">
        <f t="shared" si="188"/>
        <v>COLO-002</v>
      </c>
      <c r="AK1782" s="662" t="str">
        <f t="shared" si="189"/>
        <v>LTK</v>
      </c>
      <c r="AL1782" s="662" t="str">
        <f t="shared" si="190"/>
        <v>CHV</v>
      </c>
      <c r="AM1782" s="662" t="str">
        <f t="shared" si="193"/>
        <v>Colorado-LT Crew Cab-2WD-5-6'2"-7000-3.6L-6-12U43-2LT-140.5-21-Unleaded-Unleaded</v>
      </c>
      <c r="AN1782" s="662" t="str">
        <f t="shared" si="191"/>
        <v>2019-LTK-CHV-COLO-002</v>
      </c>
    </row>
    <row r="1783" spans="1:40" s="572" customFormat="1" ht="15">
      <c r="A1783" s="570" t="s">
        <v>3387</v>
      </c>
      <c r="B1783" s="573" t="s">
        <v>3383</v>
      </c>
      <c r="C1783" s="573" t="s">
        <v>150</v>
      </c>
      <c r="D1783" s="578">
        <v>13</v>
      </c>
      <c r="E1783" s="573" t="s">
        <v>3374</v>
      </c>
      <c r="F1783" s="573" t="s">
        <v>211</v>
      </c>
      <c r="G1783" s="573" t="s">
        <v>153</v>
      </c>
      <c r="H1783" s="573">
        <v>2019</v>
      </c>
      <c r="I1783" s="573" t="s">
        <v>3375</v>
      </c>
      <c r="J1783" s="573" t="s">
        <v>3384</v>
      </c>
      <c r="K1783" s="573" t="s">
        <v>3377</v>
      </c>
      <c r="L1783" s="573">
        <v>5</v>
      </c>
      <c r="M1783" s="573">
        <v>0</v>
      </c>
      <c r="N1783" s="573" t="s">
        <v>157</v>
      </c>
      <c r="O1783" s="573">
        <v>2</v>
      </c>
      <c r="P1783" s="573" t="s">
        <v>3385</v>
      </c>
      <c r="Q1783" s="571">
        <v>7000</v>
      </c>
      <c r="R1783" s="573" t="s">
        <v>231</v>
      </c>
      <c r="S1783" s="573">
        <v>6</v>
      </c>
      <c r="T1783" s="573" t="s">
        <v>3386</v>
      </c>
      <c r="U1783" s="573" t="s">
        <v>161</v>
      </c>
      <c r="V1783" s="573">
        <v>140.5</v>
      </c>
      <c r="W1783" s="573">
        <v>21</v>
      </c>
      <c r="X1783" s="571">
        <v>5800</v>
      </c>
      <c r="Y1783" s="573">
        <v>20</v>
      </c>
      <c r="Z1783" s="579" t="s">
        <v>178</v>
      </c>
      <c r="AA1783" s="579" t="s">
        <v>178</v>
      </c>
      <c r="AB1783" s="584">
        <v>32095</v>
      </c>
      <c r="AC1783" s="584" t="s">
        <v>164</v>
      </c>
      <c r="AD1783" s="584">
        <v>29725</v>
      </c>
      <c r="AE1783" s="586">
        <v>0.03</v>
      </c>
      <c r="AF1783" s="661" t="str">
        <f t="shared" si="192"/>
        <v>2019-LTK-CHV-COLO-002-13</v>
      </c>
      <c r="AG1783" s="661" t="str">
        <f>IF(AND($Y1783&gt;=32,(AI1783="I"),(Y1783&lt;&gt;"~"),(COUNTIF($AN$1:$AN1783,$AN1783)=1)),"TRUE","FALSE")</f>
        <v>FALSE</v>
      </c>
      <c r="AH1783" s="661" t="str">
        <f>IF(AND($Y1783&gt;=22, (AI1783&lt;&gt;"I"),(Y1783&lt;&gt;"~"),(COUNTIF($AN$1:$AN1783,$AN1783)=1)),"TRUE","FALSE")</f>
        <v>FALSE</v>
      </c>
      <c r="AI1783" s="661" t="str">
        <f t="shared" si="194"/>
        <v>II</v>
      </c>
      <c r="AJ1783" s="662" t="str">
        <f t="shared" si="188"/>
        <v>COLO-002</v>
      </c>
      <c r="AK1783" s="662" t="str">
        <f t="shared" si="189"/>
        <v>LTK</v>
      </c>
      <c r="AL1783" s="662" t="str">
        <f t="shared" si="190"/>
        <v>CHV</v>
      </c>
      <c r="AM1783" s="662" t="str">
        <f t="shared" si="193"/>
        <v>Colorado-LT Crew Cab-2WD-5-6'2"-7000-3.6L-6-12U43-2LT-140.5-21-Unleaded-Unleaded</v>
      </c>
      <c r="AN1783" s="662" t="str">
        <f t="shared" si="191"/>
        <v>2019-LTK-CHV-COLO-002</v>
      </c>
    </row>
    <row r="1784" spans="1:40" s="572" customFormat="1" ht="15">
      <c r="A1784" s="570" t="s">
        <v>3388</v>
      </c>
      <c r="B1784" s="569" t="s">
        <v>3383</v>
      </c>
      <c r="C1784" s="569" t="s">
        <v>166</v>
      </c>
      <c r="D1784" s="580">
        <v>17</v>
      </c>
      <c r="E1784" s="569" t="s">
        <v>3374</v>
      </c>
      <c r="F1784" s="569" t="s">
        <v>211</v>
      </c>
      <c r="G1784" s="569" t="s">
        <v>153</v>
      </c>
      <c r="H1784" s="569">
        <v>2019</v>
      </c>
      <c r="I1784" s="569" t="s">
        <v>3375</v>
      </c>
      <c r="J1784" s="569" t="s">
        <v>3384</v>
      </c>
      <c r="K1784" s="569" t="s">
        <v>3377</v>
      </c>
      <c r="L1784" s="569">
        <v>5</v>
      </c>
      <c r="M1784" s="569">
        <v>0</v>
      </c>
      <c r="N1784" s="569" t="s">
        <v>157</v>
      </c>
      <c r="O1784" s="569">
        <v>2</v>
      </c>
      <c r="P1784" s="569" t="s">
        <v>3385</v>
      </c>
      <c r="Q1784" s="568">
        <v>7000</v>
      </c>
      <c r="R1784" s="569" t="s">
        <v>231</v>
      </c>
      <c r="S1784" s="569">
        <v>6</v>
      </c>
      <c r="T1784" s="569" t="s">
        <v>3386</v>
      </c>
      <c r="U1784" s="569" t="s">
        <v>161</v>
      </c>
      <c r="V1784" s="569">
        <v>140.5</v>
      </c>
      <c r="W1784" s="569">
        <v>21</v>
      </c>
      <c r="X1784" s="568">
        <v>5800</v>
      </c>
      <c r="Y1784" s="569">
        <v>20</v>
      </c>
      <c r="Z1784" s="581" t="s">
        <v>178</v>
      </c>
      <c r="AA1784" s="581" t="s">
        <v>178</v>
      </c>
      <c r="AB1784" s="585">
        <v>32095</v>
      </c>
      <c r="AC1784" s="585" t="s">
        <v>164</v>
      </c>
      <c r="AD1784" s="585">
        <v>29023.47</v>
      </c>
      <c r="AE1784" s="587">
        <v>7.1999999999999995E-2</v>
      </c>
      <c r="AF1784" s="661" t="str">
        <f t="shared" si="192"/>
        <v>2019-LTK-CHV-COLO-002-17</v>
      </c>
      <c r="AG1784" s="661" t="str">
        <f>IF(AND($Y1784&gt;=32,(AI1784="I"),(Y1784&lt;&gt;"~"),(COUNTIF($AN$1:$AN1784,$AN1784)=1)),"TRUE","FALSE")</f>
        <v>FALSE</v>
      </c>
      <c r="AH1784" s="661" t="str">
        <f>IF(AND($Y1784&gt;=22, (AI1784&lt;&gt;"I"),(Y1784&lt;&gt;"~"),(COUNTIF($AN$1:$AN1784,$AN1784)=1)),"TRUE","FALSE")</f>
        <v>FALSE</v>
      </c>
      <c r="AI1784" s="661" t="str">
        <f t="shared" si="194"/>
        <v>II</v>
      </c>
      <c r="AJ1784" s="662" t="str">
        <f t="shared" si="188"/>
        <v>COLO-002</v>
      </c>
      <c r="AK1784" s="662" t="str">
        <f t="shared" si="189"/>
        <v>LTK</v>
      </c>
      <c r="AL1784" s="662" t="str">
        <f t="shared" si="190"/>
        <v>CHV</v>
      </c>
      <c r="AM1784" s="662" t="str">
        <f t="shared" si="193"/>
        <v>Colorado-LT Crew Cab-2WD-5-6'2"-7000-3.6L-6-12U43-2LT-140.5-21-Unleaded-Unleaded</v>
      </c>
      <c r="AN1784" s="662" t="str">
        <f t="shared" si="191"/>
        <v>2019-LTK-CHV-COLO-002</v>
      </c>
    </row>
    <row r="1785" spans="1:40" s="572" customFormat="1" ht="15">
      <c r="A1785" s="570" t="s">
        <v>3389</v>
      </c>
      <c r="B1785" s="573" t="s">
        <v>3390</v>
      </c>
      <c r="C1785" s="573" t="s">
        <v>169</v>
      </c>
      <c r="D1785" s="578">
        <v>11</v>
      </c>
      <c r="E1785" s="573" t="s">
        <v>3374</v>
      </c>
      <c r="F1785" s="573" t="s">
        <v>211</v>
      </c>
      <c r="G1785" s="573" t="s">
        <v>153</v>
      </c>
      <c r="H1785" s="573">
        <v>2019</v>
      </c>
      <c r="I1785" s="573" t="s">
        <v>3375</v>
      </c>
      <c r="J1785" s="573" t="s">
        <v>3384</v>
      </c>
      <c r="K1785" s="573" t="s">
        <v>752</v>
      </c>
      <c r="L1785" s="573">
        <v>5</v>
      </c>
      <c r="M1785" s="573">
        <v>0</v>
      </c>
      <c r="N1785" s="573" t="s">
        <v>157</v>
      </c>
      <c r="O1785" s="573">
        <v>2</v>
      </c>
      <c r="P1785" s="573" t="s">
        <v>3378</v>
      </c>
      <c r="Q1785" s="571">
        <v>7000</v>
      </c>
      <c r="R1785" s="573" t="s">
        <v>231</v>
      </c>
      <c r="S1785" s="573">
        <v>6</v>
      </c>
      <c r="T1785" s="573" t="s">
        <v>3379</v>
      </c>
      <c r="U1785" s="573" t="s">
        <v>3391</v>
      </c>
      <c r="V1785" s="573">
        <v>128.30000000000001</v>
      </c>
      <c r="W1785" s="573">
        <v>21</v>
      </c>
      <c r="X1785" s="571">
        <v>6000</v>
      </c>
      <c r="Y1785" s="573">
        <v>19</v>
      </c>
      <c r="Z1785" s="579" t="s">
        <v>178</v>
      </c>
      <c r="AA1785" s="579" t="s">
        <v>178</v>
      </c>
      <c r="AB1785" s="584">
        <v>35195</v>
      </c>
      <c r="AC1785" s="584" t="s">
        <v>164</v>
      </c>
      <c r="AD1785" s="584">
        <v>31121.250000000004</v>
      </c>
      <c r="AE1785" s="586">
        <v>0.05</v>
      </c>
      <c r="AF1785" s="661" t="str">
        <f t="shared" si="192"/>
        <v>2019-LTK-CHV-COLO-003-11</v>
      </c>
      <c r="AG1785" s="661" t="str">
        <f>IF(AND($Y1785&gt;=32,(AI1785="I"),(Y1785&lt;&gt;"~"),(COUNTIF($AN$1:$AN1785,$AN1785)=1)),"TRUE","FALSE")</f>
        <v>FALSE</v>
      </c>
      <c r="AH1785" s="661" t="str">
        <f>IF(AND($Y1785&gt;=22, (AI1785&lt;&gt;"I"),(Y1785&lt;&gt;"~"),(COUNTIF($AN$1:$AN1785,$AN1785)=1)),"TRUE","FALSE")</f>
        <v>FALSE</v>
      </c>
      <c r="AI1785" s="661" t="str">
        <f t="shared" si="194"/>
        <v>II</v>
      </c>
      <c r="AJ1785" s="662" t="str">
        <f t="shared" si="188"/>
        <v>COLO-003</v>
      </c>
      <c r="AK1785" s="662" t="str">
        <f t="shared" si="189"/>
        <v>LTK</v>
      </c>
      <c r="AL1785" s="662" t="str">
        <f t="shared" si="190"/>
        <v>CHV</v>
      </c>
      <c r="AM1785" s="662" t="str">
        <f t="shared" si="193"/>
        <v>Colorado-LT Crew Cab-4WD-5-5'1"-7000-3.6L-6-12N43-4LT-128.3-21-Unleaded-Unleaded</v>
      </c>
      <c r="AN1785" s="662" t="str">
        <f t="shared" si="191"/>
        <v>2019-LTK-CHV-COLO-003</v>
      </c>
    </row>
    <row r="1786" spans="1:40" s="572" customFormat="1" ht="15">
      <c r="A1786" s="570" t="s">
        <v>3392</v>
      </c>
      <c r="B1786" s="569" t="s">
        <v>3393</v>
      </c>
      <c r="C1786" s="569" t="s">
        <v>169</v>
      </c>
      <c r="D1786" s="580">
        <v>11</v>
      </c>
      <c r="E1786" s="569" t="s">
        <v>3374</v>
      </c>
      <c r="F1786" s="569" t="s">
        <v>211</v>
      </c>
      <c r="G1786" s="569" t="s">
        <v>153</v>
      </c>
      <c r="H1786" s="569">
        <v>2019</v>
      </c>
      <c r="I1786" s="569" t="s">
        <v>3375</v>
      </c>
      <c r="J1786" s="569" t="s">
        <v>3384</v>
      </c>
      <c r="K1786" s="569" t="s">
        <v>752</v>
      </c>
      <c r="L1786" s="569">
        <v>5</v>
      </c>
      <c r="M1786" s="569">
        <v>0</v>
      </c>
      <c r="N1786" s="569" t="s">
        <v>157</v>
      </c>
      <c r="O1786" s="569">
        <v>2</v>
      </c>
      <c r="P1786" s="569" t="s">
        <v>3385</v>
      </c>
      <c r="Q1786" s="568">
        <v>7000</v>
      </c>
      <c r="R1786" s="569" t="s">
        <v>231</v>
      </c>
      <c r="S1786" s="569">
        <v>6</v>
      </c>
      <c r="T1786" s="569" t="s">
        <v>3386</v>
      </c>
      <c r="U1786" s="569" t="s">
        <v>3391</v>
      </c>
      <c r="V1786" s="569">
        <v>140.5</v>
      </c>
      <c r="W1786" s="569">
        <v>21</v>
      </c>
      <c r="X1786" s="568">
        <v>6000</v>
      </c>
      <c r="Y1786" s="569">
        <v>19</v>
      </c>
      <c r="Z1786" s="581" t="s">
        <v>178</v>
      </c>
      <c r="AA1786" s="581" t="s">
        <v>178</v>
      </c>
      <c r="AB1786" s="585">
        <v>35495</v>
      </c>
      <c r="AC1786" s="585" t="s">
        <v>164</v>
      </c>
      <c r="AD1786" s="585">
        <v>31409.375</v>
      </c>
      <c r="AE1786" s="587">
        <v>0.05</v>
      </c>
      <c r="AF1786" s="661" t="str">
        <f t="shared" si="192"/>
        <v>2019-LTK-CHV-COLO-004-11</v>
      </c>
      <c r="AG1786" s="661" t="str">
        <f>IF(AND($Y1786&gt;=32,(AI1786="I"),(Y1786&lt;&gt;"~"),(COUNTIF($AN$1:$AN1786,$AN1786)=1)),"TRUE","FALSE")</f>
        <v>FALSE</v>
      </c>
      <c r="AH1786" s="661" t="str">
        <f>IF(AND($Y1786&gt;=22, (AI1786&lt;&gt;"I"),(Y1786&lt;&gt;"~"),(COUNTIF($AN$1:$AN1786,$AN1786)=1)),"TRUE","FALSE")</f>
        <v>FALSE</v>
      </c>
      <c r="AI1786" s="661" t="str">
        <f t="shared" si="194"/>
        <v>II</v>
      </c>
      <c r="AJ1786" s="662" t="str">
        <f t="shared" si="188"/>
        <v>COLO-004</v>
      </c>
      <c r="AK1786" s="662" t="str">
        <f t="shared" si="189"/>
        <v>LTK</v>
      </c>
      <c r="AL1786" s="662" t="str">
        <f t="shared" si="190"/>
        <v>CHV</v>
      </c>
      <c r="AM1786" s="662" t="str">
        <f t="shared" si="193"/>
        <v>Colorado-LT Crew Cab-4WD-5-6'2"-7000-3.6L-6-12U43-4LT-140.5-21-Unleaded-Unleaded</v>
      </c>
      <c r="AN1786" s="662" t="str">
        <f t="shared" si="191"/>
        <v>2019-LTK-CHV-COLO-004</v>
      </c>
    </row>
    <row r="1787" spans="1:40" s="572" customFormat="1" ht="15">
      <c r="A1787" s="570" t="s">
        <v>3394</v>
      </c>
      <c r="B1787" s="573" t="s">
        <v>3390</v>
      </c>
      <c r="C1787" s="573" t="s">
        <v>150</v>
      </c>
      <c r="D1787" s="578">
        <v>13</v>
      </c>
      <c r="E1787" s="573" t="s">
        <v>3374</v>
      </c>
      <c r="F1787" s="573" t="s">
        <v>211</v>
      </c>
      <c r="G1787" s="573" t="s">
        <v>153</v>
      </c>
      <c r="H1787" s="573">
        <v>2019</v>
      </c>
      <c r="I1787" s="573" t="s">
        <v>3375</v>
      </c>
      <c r="J1787" s="573" t="s">
        <v>3384</v>
      </c>
      <c r="K1787" s="573" t="s">
        <v>752</v>
      </c>
      <c r="L1787" s="573">
        <v>5</v>
      </c>
      <c r="M1787" s="573">
        <v>0</v>
      </c>
      <c r="N1787" s="573" t="s">
        <v>157</v>
      </c>
      <c r="O1787" s="573">
        <v>2</v>
      </c>
      <c r="P1787" s="573" t="s">
        <v>3378</v>
      </c>
      <c r="Q1787" s="571">
        <v>7000</v>
      </c>
      <c r="R1787" s="573" t="s">
        <v>231</v>
      </c>
      <c r="S1787" s="573">
        <v>6</v>
      </c>
      <c r="T1787" s="573" t="s">
        <v>3379</v>
      </c>
      <c r="U1787" s="573" t="s">
        <v>3391</v>
      </c>
      <c r="V1787" s="573">
        <v>128.30000000000001</v>
      </c>
      <c r="W1787" s="573">
        <v>21</v>
      </c>
      <c r="X1787" s="571">
        <v>6000</v>
      </c>
      <c r="Y1787" s="573">
        <v>19</v>
      </c>
      <c r="Z1787" s="579" t="s">
        <v>178</v>
      </c>
      <c r="AA1787" s="579" t="s">
        <v>178</v>
      </c>
      <c r="AB1787" s="584">
        <v>35195</v>
      </c>
      <c r="AC1787" s="584" t="s">
        <v>164</v>
      </c>
      <c r="AD1787" s="584">
        <v>32752</v>
      </c>
      <c r="AE1787" s="586">
        <v>0.03</v>
      </c>
      <c r="AF1787" s="661" t="str">
        <f t="shared" si="192"/>
        <v>2019-LTK-CHV-COLO-003-13</v>
      </c>
      <c r="AG1787" s="661" t="str">
        <f>IF(AND($Y1787&gt;=32,(AI1787="I"),(Y1787&lt;&gt;"~"),(COUNTIF($AN$1:$AN1787,$AN1787)=1)),"TRUE","FALSE")</f>
        <v>FALSE</v>
      </c>
      <c r="AH1787" s="661" t="str">
        <f>IF(AND($Y1787&gt;=22, (AI1787&lt;&gt;"I"),(Y1787&lt;&gt;"~"),(COUNTIF($AN$1:$AN1787,$AN1787)=1)),"TRUE","FALSE")</f>
        <v>FALSE</v>
      </c>
      <c r="AI1787" s="661" t="str">
        <f t="shared" si="194"/>
        <v>II</v>
      </c>
      <c r="AJ1787" s="662" t="str">
        <f t="shared" si="188"/>
        <v>COLO-003</v>
      </c>
      <c r="AK1787" s="662" t="str">
        <f t="shared" si="189"/>
        <v>LTK</v>
      </c>
      <c r="AL1787" s="662" t="str">
        <f t="shared" si="190"/>
        <v>CHV</v>
      </c>
      <c r="AM1787" s="662" t="str">
        <f t="shared" si="193"/>
        <v>Colorado-LT Crew Cab-4WD-5-5'1"-7000-3.6L-6-12N43-4LT-128.3-21-Unleaded-Unleaded</v>
      </c>
      <c r="AN1787" s="662" t="str">
        <f t="shared" si="191"/>
        <v>2019-LTK-CHV-COLO-003</v>
      </c>
    </row>
    <row r="1788" spans="1:40" s="572" customFormat="1" ht="15">
      <c r="A1788" s="570" t="s">
        <v>3395</v>
      </c>
      <c r="B1788" s="569" t="s">
        <v>3393</v>
      </c>
      <c r="C1788" s="569" t="s">
        <v>150</v>
      </c>
      <c r="D1788" s="580">
        <v>13</v>
      </c>
      <c r="E1788" s="569" t="s">
        <v>3374</v>
      </c>
      <c r="F1788" s="569" t="s">
        <v>211</v>
      </c>
      <c r="G1788" s="569" t="s">
        <v>153</v>
      </c>
      <c r="H1788" s="569">
        <v>2019</v>
      </c>
      <c r="I1788" s="569" t="s">
        <v>3375</v>
      </c>
      <c r="J1788" s="569" t="s">
        <v>3384</v>
      </c>
      <c r="K1788" s="569" t="s">
        <v>752</v>
      </c>
      <c r="L1788" s="569">
        <v>5</v>
      </c>
      <c r="M1788" s="569">
        <v>0</v>
      </c>
      <c r="N1788" s="569" t="s">
        <v>157</v>
      </c>
      <c r="O1788" s="569">
        <v>2</v>
      </c>
      <c r="P1788" s="569" t="s">
        <v>3385</v>
      </c>
      <c r="Q1788" s="568">
        <v>7000</v>
      </c>
      <c r="R1788" s="569" t="s">
        <v>231</v>
      </c>
      <c r="S1788" s="569">
        <v>6</v>
      </c>
      <c r="T1788" s="569" t="s">
        <v>3386</v>
      </c>
      <c r="U1788" s="569" t="s">
        <v>3391</v>
      </c>
      <c r="V1788" s="569">
        <v>140.5</v>
      </c>
      <c r="W1788" s="569">
        <v>21</v>
      </c>
      <c r="X1788" s="568">
        <v>6000</v>
      </c>
      <c r="Y1788" s="569">
        <v>19</v>
      </c>
      <c r="Z1788" s="581" t="s">
        <v>178</v>
      </c>
      <c r="AA1788" s="581" t="s">
        <v>178</v>
      </c>
      <c r="AB1788" s="585">
        <v>35495</v>
      </c>
      <c r="AC1788" s="585" t="s">
        <v>164</v>
      </c>
      <c r="AD1788" s="585">
        <v>33028</v>
      </c>
      <c r="AE1788" s="587">
        <v>0.03</v>
      </c>
      <c r="AF1788" s="661" t="str">
        <f t="shared" si="192"/>
        <v>2019-LTK-CHV-COLO-004-13</v>
      </c>
      <c r="AG1788" s="661" t="str">
        <f>IF(AND($Y1788&gt;=32,(AI1788="I"),(Y1788&lt;&gt;"~"),(COUNTIF($AN$1:$AN1788,$AN1788)=1)),"TRUE","FALSE")</f>
        <v>FALSE</v>
      </c>
      <c r="AH1788" s="661" t="str">
        <f>IF(AND($Y1788&gt;=22, (AI1788&lt;&gt;"I"),(Y1788&lt;&gt;"~"),(COUNTIF($AN$1:$AN1788,$AN1788)=1)),"TRUE","FALSE")</f>
        <v>FALSE</v>
      </c>
      <c r="AI1788" s="661" t="str">
        <f t="shared" si="194"/>
        <v>II</v>
      </c>
      <c r="AJ1788" s="662" t="str">
        <f t="shared" si="188"/>
        <v>COLO-004</v>
      </c>
      <c r="AK1788" s="662" t="str">
        <f t="shared" si="189"/>
        <v>LTK</v>
      </c>
      <c r="AL1788" s="662" t="str">
        <f t="shared" si="190"/>
        <v>CHV</v>
      </c>
      <c r="AM1788" s="662" t="str">
        <f t="shared" si="193"/>
        <v>Colorado-LT Crew Cab-4WD-5-6'2"-7000-3.6L-6-12U43-4LT-140.5-21-Unleaded-Unleaded</v>
      </c>
      <c r="AN1788" s="662" t="str">
        <f t="shared" si="191"/>
        <v>2019-LTK-CHV-COLO-004</v>
      </c>
    </row>
    <row r="1789" spans="1:40" s="572" customFormat="1" ht="15">
      <c r="A1789" s="570" t="s">
        <v>3396</v>
      </c>
      <c r="B1789" s="573" t="s">
        <v>3390</v>
      </c>
      <c r="C1789" s="573" t="s">
        <v>166</v>
      </c>
      <c r="D1789" s="578">
        <v>17</v>
      </c>
      <c r="E1789" s="573" t="s">
        <v>3374</v>
      </c>
      <c r="F1789" s="573" t="s">
        <v>211</v>
      </c>
      <c r="G1789" s="573" t="s">
        <v>153</v>
      </c>
      <c r="H1789" s="573">
        <v>2019</v>
      </c>
      <c r="I1789" s="573" t="s">
        <v>3375</v>
      </c>
      <c r="J1789" s="573" t="s">
        <v>3384</v>
      </c>
      <c r="K1789" s="573" t="s">
        <v>752</v>
      </c>
      <c r="L1789" s="573">
        <v>5</v>
      </c>
      <c r="M1789" s="573">
        <v>0</v>
      </c>
      <c r="N1789" s="573" t="s">
        <v>157</v>
      </c>
      <c r="O1789" s="573">
        <v>2</v>
      </c>
      <c r="P1789" s="573" t="s">
        <v>3378</v>
      </c>
      <c r="Q1789" s="571">
        <v>7000</v>
      </c>
      <c r="R1789" s="573" t="s">
        <v>231</v>
      </c>
      <c r="S1789" s="573">
        <v>6</v>
      </c>
      <c r="T1789" s="573" t="s">
        <v>3379</v>
      </c>
      <c r="U1789" s="573" t="s">
        <v>3391</v>
      </c>
      <c r="V1789" s="573">
        <v>128.30000000000001</v>
      </c>
      <c r="W1789" s="573">
        <v>21</v>
      </c>
      <c r="X1789" s="571">
        <v>6000</v>
      </c>
      <c r="Y1789" s="573">
        <v>19</v>
      </c>
      <c r="Z1789" s="579" t="s">
        <v>178</v>
      </c>
      <c r="AA1789" s="579" t="s">
        <v>178</v>
      </c>
      <c r="AB1789" s="584">
        <v>35195</v>
      </c>
      <c r="AC1789" s="584" t="s">
        <v>164</v>
      </c>
      <c r="AD1789" s="584">
        <v>32197</v>
      </c>
      <c r="AE1789" s="586">
        <v>7.1999999999999995E-2</v>
      </c>
      <c r="AF1789" s="661" t="str">
        <f t="shared" si="192"/>
        <v>2019-LTK-CHV-COLO-003-17</v>
      </c>
      <c r="AG1789" s="661" t="str">
        <f>IF(AND($Y1789&gt;=32,(AI1789="I"),(Y1789&lt;&gt;"~"),(COUNTIF($AN$1:$AN1789,$AN1789)=1)),"TRUE","FALSE")</f>
        <v>FALSE</v>
      </c>
      <c r="AH1789" s="661" t="str">
        <f>IF(AND($Y1789&gt;=22, (AI1789&lt;&gt;"I"),(Y1789&lt;&gt;"~"),(COUNTIF($AN$1:$AN1789,$AN1789)=1)),"TRUE","FALSE")</f>
        <v>FALSE</v>
      </c>
      <c r="AI1789" s="661" t="str">
        <f t="shared" si="194"/>
        <v>II</v>
      </c>
      <c r="AJ1789" s="662" t="str">
        <f t="shared" si="188"/>
        <v>COLO-003</v>
      </c>
      <c r="AK1789" s="662" t="str">
        <f t="shared" si="189"/>
        <v>LTK</v>
      </c>
      <c r="AL1789" s="662" t="str">
        <f t="shared" si="190"/>
        <v>CHV</v>
      </c>
      <c r="AM1789" s="662" t="str">
        <f t="shared" si="193"/>
        <v>Colorado-LT Crew Cab-4WD-5-5'1"-7000-3.6L-6-12N43-4LT-128.3-21-Unleaded-Unleaded</v>
      </c>
      <c r="AN1789" s="662" t="str">
        <f t="shared" si="191"/>
        <v>2019-LTK-CHV-COLO-003</v>
      </c>
    </row>
    <row r="1790" spans="1:40" s="572" customFormat="1" ht="15">
      <c r="A1790" s="570" t="s">
        <v>3397</v>
      </c>
      <c r="B1790" s="569" t="s">
        <v>3393</v>
      </c>
      <c r="C1790" s="569" t="s">
        <v>166</v>
      </c>
      <c r="D1790" s="580">
        <v>17</v>
      </c>
      <c r="E1790" s="569" t="s">
        <v>3374</v>
      </c>
      <c r="F1790" s="569" t="s">
        <v>211</v>
      </c>
      <c r="G1790" s="569" t="s">
        <v>153</v>
      </c>
      <c r="H1790" s="569">
        <v>2019</v>
      </c>
      <c r="I1790" s="569" t="s">
        <v>3375</v>
      </c>
      <c r="J1790" s="569" t="s">
        <v>3384</v>
      </c>
      <c r="K1790" s="569" t="s">
        <v>752</v>
      </c>
      <c r="L1790" s="569">
        <v>5</v>
      </c>
      <c r="M1790" s="569">
        <v>0</v>
      </c>
      <c r="N1790" s="569" t="s">
        <v>157</v>
      </c>
      <c r="O1790" s="569">
        <v>2</v>
      </c>
      <c r="P1790" s="569" t="s">
        <v>3385</v>
      </c>
      <c r="Q1790" s="568">
        <v>7000</v>
      </c>
      <c r="R1790" s="569" t="s">
        <v>231</v>
      </c>
      <c r="S1790" s="569">
        <v>6</v>
      </c>
      <c r="T1790" s="569" t="s">
        <v>3386</v>
      </c>
      <c r="U1790" s="569" t="s">
        <v>3391</v>
      </c>
      <c r="V1790" s="569">
        <v>140.5</v>
      </c>
      <c r="W1790" s="569">
        <v>21</v>
      </c>
      <c r="X1790" s="568">
        <v>6000</v>
      </c>
      <c r="Y1790" s="569">
        <v>19</v>
      </c>
      <c r="Z1790" s="581" t="s">
        <v>178</v>
      </c>
      <c r="AA1790" s="581" t="s">
        <v>178</v>
      </c>
      <c r="AB1790" s="585">
        <v>35495</v>
      </c>
      <c r="AC1790" s="585" t="s">
        <v>164</v>
      </c>
      <c r="AD1790" s="585">
        <v>32524.71</v>
      </c>
      <c r="AE1790" s="587">
        <v>7.1999999999999995E-2</v>
      </c>
      <c r="AF1790" s="661" t="str">
        <f t="shared" si="192"/>
        <v>2019-LTK-CHV-COLO-004-17</v>
      </c>
      <c r="AG1790" s="661" t="str">
        <f>IF(AND($Y1790&gt;=32,(AI1790="I"),(Y1790&lt;&gt;"~"),(COUNTIF($AN$1:$AN1790,$AN1790)=1)),"TRUE","FALSE")</f>
        <v>FALSE</v>
      </c>
      <c r="AH1790" s="661" t="str">
        <f>IF(AND($Y1790&gt;=22, (AI1790&lt;&gt;"I"),(Y1790&lt;&gt;"~"),(COUNTIF($AN$1:$AN1790,$AN1790)=1)),"TRUE","FALSE")</f>
        <v>FALSE</v>
      </c>
      <c r="AI1790" s="661" t="str">
        <f t="shared" si="194"/>
        <v>II</v>
      </c>
      <c r="AJ1790" s="662" t="str">
        <f t="shared" si="188"/>
        <v>COLO-004</v>
      </c>
      <c r="AK1790" s="662" t="str">
        <f t="shared" si="189"/>
        <v>LTK</v>
      </c>
      <c r="AL1790" s="662" t="str">
        <f t="shared" si="190"/>
        <v>CHV</v>
      </c>
      <c r="AM1790" s="662" t="str">
        <f t="shared" si="193"/>
        <v>Colorado-LT Crew Cab-4WD-5-6'2"-7000-3.6L-6-12U43-4LT-140.5-21-Unleaded-Unleaded</v>
      </c>
      <c r="AN1790" s="662" t="str">
        <f t="shared" si="191"/>
        <v>2019-LTK-CHV-COLO-004</v>
      </c>
    </row>
    <row r="1791" spans="1:40" s="572" customFormat="1" ht="15">
      <c r="A1791" s="570" t="s">
        <v>3398</v>
      </c>
      <c r="B1791" s="573" t="s">
        <v>3399</v>
      </c>
      <c r="C1791" s="573" t="s">
        <v>169</v>
      </c>
      <c r="D1791" s="578">
        <v>11</v>
      </c>
      <c r="E1791" s="573" t="s">
        <v>3374</v>
      </c>
      <c r="F1791" s="573" t="s">
        <v>211</v>
      </c>
      <c r="G1791" s="573" t="s">
        <v>153</v>
      </c>
      <c r="H1791" s="573">
        <v>2019</v>
      </c>
      <c r="I1791" s="573" t="s">
        <v>3375</v>
      </c>
      <c r="J1791" s="573" t="s">
        <v>3400</v>
      </c>
      <c r="K1791" s="573" t="s">
        <v>3377</v>
      </c>
      <c r="L1791" s="573">
        <v>4</v>
      </c>
      <c r="M1791" s="573">
        <v>0</v>
      </c>
      <c r="N1791" s="573" t="s">
        <v>157</v>
      </c>
      <c r="O1791" s="573">
        <v>2</v>
      </c>
      <c r="P1791" s="573" t="s">
        <v>3385</v>
      </c>
      <c r="Q1791" s="571">
        <v>7000</v>
      </c>
      <c r="R1791" s="573" t="s">
        <v>189</v>
      </c>
      <c r="S1791" s="573">
        <v>4</v>
      </c>
      <c r="T1791" s="573" t="s">
        <v>3401</v>
      </c>
      <c r="U1791" s="573" t="s">
        <v>161</v>
      </c>
      <c r="V1791" s="573">
        <v>128.30000000000001</v>
      </c>
      <c r="W1791" s="573">
        <v>21</v>
      </c>
      <c r="X1791" s="571">
        <v>5400</v>
      </c>
      <c r="Y1791" s="573">
        <v>22</v>
      </c>
      <c r="Z1791" s="579" t="s">
        <v>178</v>
      </c>
      <c r="AA1791" s="579" t="s">
        <v>178</v>
      </c>
      <c r="AB1791" s="584">
        <v>28495</v>
      </c>
      <c r="AC1791" s="584" t="s">
        <v>164</v>
      </c>
      <c r="AD1791" s="584">
        <v>24686.458333333336</v>
      </c>
      <c r="AE1791" s="586">
        <v>0.05</v>
      </c>
      <c r="AF1791" s="661" t="str">
        <f t="shared" si="192"/>
        <v>2019-LTK-CHV-COLO-005-11</v>
      </c>
      <c r="AG1791" s="661" t="str">
        <f>IF(AND($Y1791&gt;=32,(AI1791="I"),(Y1791&lt;&gt;"~"),(COUNTIF($AN$1:$AN1791,$AN1791)=1)),"TRUE","FALSE")</f>
        <v>FALSE</v>
      </c>
      <c r="AH1791" s="661" t="str">
        <f>IF(AND($Y1791&gt;=22, (AI1791&lt;&gt;"I"),(Y1791&lt;&gt;"~"),(COUNTIF($AN$1:$AN1791,$AN1791)=1)),"TRUE","FALSE")</f>
        <v>TRUE</v>
      </c>
      <c r="AI1791" s="661" t="str">
        <f t="shared" si="194"/>
        <v>II</v>
      </c>
      <c r="AJ1791" s="662" t="str">
        <f t="shared" si="188"/>
        <v>COLO-005</v>
      </c>
      <c r="AK1791" s="662" t="str">
        <f t="shared" si="189"/>
        <v>LTK</v>
      </c>
      <c r="AL1791" s="662" t="str">
        <f t="shared" si="190"/>
        <v>CHV</v>
      </c>
      <c r="AM1791" s="662" t="str">
        <f t="shared" si="193"/>
        <v>Colorado-LT Extended Cab-2WD-4-6'2"-7000-2.5L-4-12N53-2LT-128.3-21-Unleaded-Unleaded</v>
      </c>
      <c r="AN1791" s="662" t="str">
        <f t="shared" si="191"/>
        <v>2019-LTK-CHV-COLO-005</v>
      </c>
    </row>
    <row r="1792" spans="1:40" s="572" customFormat="1" ht="15">
      <c r="A1792" s="570" t="s">
        <v>3402</v>
      </c>
      <c r="B1792" s="569" t="s">
        <v>3399</v>
      </c>
      <c r="C1792" s="569" t="s">
        <v>150</v>
      </c>
      <c r="D1792" s="580">
        <v>13</v>
      </c>
      <c r="E1792" s="569" t="s">
        <v>3374</v>
      </c>
      <c r="F1792" s="569" t="s">
        <v>211</v>
      </c>
      <c r="G1792" s="569" t="s">
        <v>153</v>
      </c>
      <c r="H1792" s="569">
        <v>2019</v>
      </c>
      <c r="I1792" s="569" t="s">
        <v>3375</v>
      </c>
      <c r="J1792" s="569" t="s">
        <v>3400</v>
      </c>
      <c r="K1792" s="569" t="s">
        <v>3377</v>
      </c>
      <c r="L1792" s="569">
        <v>4</v>
      </c>
      <c r="M1792" s="569">
        <v>0</v>
      </c>
      <c r="N1792" s="569" t="s">
        <v>157</v>
      </c>
      <c r="O1792" s="569">
        <v>2</v>
      </c>
      <c r="P1792" s="569" t="s">
        <v>3385</v>
      </c>
      <c r="Q1792" s="568">
        <v>7000</v>
      </c>
      <c r="R1792" s="569" t="s">
        <v>189</v>
      </c>
      <c r="S1792" s="569">
        <v>4</v>
      </c>
      <c r="T1792" s="569" t="s">
        <v>3401</v>
      </c>
      <c r="U1792" s="569" t="s">
        <v>161</v>
      </c>
      <c r="V1792" s="569">
        <v>128.30000000000001</v>
      </c>
      <c r="W1792" s="569">
        <v>21</v>
      </c>
      <c r="X1792" s="568">
        <v>5400</v>
      </c>
      <c r="Y1792" s="569">
        <v>22</v>
      </c>
      <c r="Z1792" s="581" t="s">
        <v>178</v>
      </c>
      <c r="AA1792" s="581" t="s">
        <v>178</v>
      </c>
      <c r="AB1792" s="585">
        <v>28495</v>
      </c>
      <c r="AC1792" s="585" t="s">
        <v>164</v>
      </c>
      <c r="AD1792" s="585">
        <v>26804</v>
      </c>
      <c r="AE1792" s="587">
        <v>0.03</v>
      </c>
      <c r="AF1792" s="661" t="str">
        <f t="shared" si="192"/>
        <v>2019-LTK-CHV-COLO-005-13</v>
      </c>
      <c r="AG1792" s="661" t="str">
        <f>IF(AND($Y1792&gt;=32,(AI1792="I"),(Y1792&lt;&gt;"~"),(COUNTIF($AN$1:$AN1792,$AN1792)=1)),"TRUE","FALSE")</f>
        <v>FALSE</v>
      </c>
      <c r="AH1792" s="661" t="str">
        <f>IF(AND($Y1792&gt;=22, (AI1792&lt;&gt;"I"),(Y1792&lt;&gt;"~"),(COUNTIF($AN$1:$AN1792,$AN1792)=1)),"TRUE","FALSE")</f>
        <v>FALSE</v>
      </c>
      <c r="AI1792" s="661" t="str">
        <f t="shared" si="194"/>
        <v>II</v>
      </c>
      <c r="AJ1792" s="662" t="str">
        <f t="shared" si="188"/>
        <v>COLO-005</v>
      </c>
      <c r="AK1792" s="662" t="str">
        <f t="shared" si="189"/>
        <v>LTK</v>
      </c>
      <c r="AL1792" s="662" t="str">
        <f t="shared" si="190"/>
        <v>CHV</v>
      </c>
      <c r="AM1792" s="662" t="str">
        <f t="shared" si="193"/>
        <v>Colorado-LT Extended Cab-2WD-4-6'2"-7000-2.5L-4-12N53-2LT-128.3-21-Unleaded-Unleaded</v>
      </c>
      <c r="AN1792" s="662" t="str">
        <f t="shared" si="191"/>
        <v>2019-LTK-CHV-COLO-005</v>
      </c>
    </row>
    <row r="1793" spans="1:40" s="572" customFormat="1" ht="15">
      <c r="A1793" s="570" t="s">
        <v>3403</v>
      </c>
      <c r="B1793" s="573" t="s">
        <v>3399</v>
      </c>
      <c r="C1793" s="573" t="s">
        <v>166</v>
      </c>
      <c r="D1793" s="578">
        <v>17</v>
      </c>
      <c r="E1793" s="573" t="s">
        <v>3374</v>
      </c>
      <c r="F1793" s="573" t="s">
        <v>211</v>
      </c>
      <c r="G1793" s="573" t="s">
        <v>153</v>
      </c>
      <c r="H1793" s="573">
        <v>2019</v>
      </c>
      <c r="I1793" s="573" t="s">
        <v>3375</v>
      </c>
      <c r="J1793" s="573" t="s">
        <v>3400</v>
      </c>
      <c r="K1793" s="573" t="s">
        <v>3377</v>
      </c>
      <c r="L1793" s="573">
        <v>4</v>
      </c>
      <c r="M1793" s="573">
        <v>0</v>
      </c>
      <c r="N1793" s="573" t="s">
        <v>157</v>
      </c>
      <c r="O1793" s="573">
        <v>2</v>
      </c>
      <c r="P1793" s="573" t="s">
        <v>3385</v>
      </c>
      <c r="Q1793" s="571">
        <v>7000</v>
      </c>
      <c r="R1793" s="573" t="s">
        <v>189</v>
      </c>
      <c r="S1793" s="573">
        <v>4</v>
      </c>
      <c r="T1793" s="573" t="s">
        <v>3401</v>
      </c>
      <c r="U1793" s="573" t="s">
        <v>161</v>
      </c>
      <c r="V1793" s="573">
        <v>128.30000000000001</v>
      </c>
      <c r="W1793" s="573">
        <v>21</v>
      </c>
      <c r="X1793" s="571">
        <v>5400</v>
      </c>
      <c r="Y1793" s="573">
        <v>22</v>
      </c>
      <c r="Z1793" s="579" t="s">
        <v>178</v>
      </c>
      <c r="AA1793" s="579" t="s">
        <v>178</v>
      </c>
      <c r="AB1793" s="584">
        <v>28495</v>
      </c>
      <c r="AC1793" s="584" t="s">
        <v>164</v>
      </c>
      <c r="AD1793" s="584">
        <v>25796.639999999999</v>
      </c>
      <c r="AE1793" s="586">
        <v>7.1999999999999995E-2</v>
      </c>
      <c r="AF1793" s="661" t="str">
        <f t="shared" si="192"/>
        <v>2019-LTK-CHV-COLO-005-17</v>
      </c>
      <c r="AG1793" s="661" t="str">
        <f>IF(AND($Y1793&gt;=32,(AI1793="I"),(Y1793&lt;&gt;"~"),(COUNTIF($AN$1:$AN1793,$AN1793)=1)),"TRUE","FALSE")</f>
        <v>FALSE</v>
      </c>
      <c r="AH1793" s="661" t="str">
        <f>IF(AND($Y1793&gt;=22, (AI1793&lt;&gt;"I"),(Y1793&lt;&gt;"~"),(COUNTIF($AN$1:$AN1793,$AN1793)=1)),"TRUE","FALSE")</f>
        <v>FALSE</v>
      </c>
      <c r="AI1793" s="661" t="str">
        <f t="shared" si="194"/>
        <v>II</v>
      </c>
      <c r="AJ1793" s="662" t="str">
        <f t="shared" si="188"/>
        <v>COLO-005</v>
      </c>
      <c r="AK1793" s="662" t="str">
        <f t="shared" si="189"/>
        <v>LTK</v>
      </c>
      <c r="AL1793" s="662" t="str">
        <f t="shared" si="190"/>
        <v>CHV</v>
      </c>
      <c r="AM1793" s="662" t="str">
        <f t="shared" si="193"/>
        <v>Colorado-LT Extended Cab-2WD-4-6'2"-7000-2.5L-4-12N53-2LT-128.3-21-Unleaded-Unleaded</v>
      </c>
      <c r="AN1793" s="662" t="str">
        <f t="shared" si="191"/>
        <v>2019-LTK-CHV-COLO-005</v>
      </c>
    </row>
    <row r="1794" spans="1:40" s="572" customFormat="1" ht="15">
      <c r="A1794" s="570" t="s">
        <v>3404</v>
      </c>
      <c r="B1794" s="569" t="s">
        <v>3405</v>
      </c>
      <c r="C1794" s="569" t="s">
        <v>169</v>
      </c>
      <c r="D1794" s="580">
        <v>11</v>
      </c>
      <c r="E1794" s="569" t="s">
        <v>3374</v>
      </c>
      <c r="F1794" s="569" t="s">
        <v>211</v>
      </c>
      <c r="G1794" s="569" t="s">
        <v>153</v>
      </c>
      <c r="H1794" s="569">
        <v>2019</v>
      </c>
      <c r="I1794" s="569" t="s">
        <v>3375</v>
      </c>
      <c r="J1794" s="569" t="s">
        <v>3400</v>
      </c>
      <c r="K1794" s="569" t="s">
        <v>752</v>
      </c>
      <c r="L1794" s="569">
        <v>4</v>
      </c>
      <c r="M1794" s="569">
        <v>0</v>
      </c>
      <c r="N1794" s="569" t="s">
        <v>157</v>
      </c>
      <c r="O1794" s="569">
        <v>2</v>
      </c>
      <c r="P1794" s="569" t="s">
        <v>3385</v>
      </c>
      <c r="Q1794" s="568">
        <v>7000</v>
      </c>
      <c r="R1794" s="569" t="s">
        <v>189</v>
      </c>
      <c r="S1794" s="569">
        <v>4</v>
      </c>
      <c r="T1794" s="569" t="s">
        <v>3401</v>
      </c>
      <c r="U1794" s="569" t="s">
        <v>3391</v>
      </c>
      <c r="V1794" s="569">
        <v>128.30000000000001</v>
      </c>
      <c r="W1794" s="569">
        <v>21</v>
      </c>
      <c r="X1794" s="568">
        <v>5600</v>
      </c>
      <c r="Y1794" s="569">
        <v>21</v>
      </c>
      <c r="Z1794" s="581" t="s">
        <v>178</v>
      </c>
      <c r="AA1794" s="581" t="s">
        <v>178</v>
      </c>
      <c r="AB1794" s="585">
        <v>32195</v>
      </c>
      <c r="AC1794" s="585" t="s">
        <v>164</v>
      </c>
      <c r="AD1794" s="585">
        <v>28240.000000000004</v>
      </c>
      <c r="AE1794" s="587">
        <v>0.05</v>
      </c>
      <c r="AF1794" s="661" t="str">
        <f t="shared" si="192"/>
        <v>2019-LTK-CHV-COLO-006-11</v>
      </c>
      <c r="AG1794" s="661" t="str">
        <f>IF(AND($Y1794&gt;=32,(AI1794="I"),(Y1794&lt;&gt;"~"),(COUNTIF($AN$1:$AN1794,$AN1794)=1)),"TRUE","FALSE")</f>
        <v>FALSE</v>
      </c>
      <c r="AH1794" s="661" t="str">
        <f>IF(AND($Y1794&gt;=22, (AI1794&lt;&gt;"I"),(Y1794&lt;&gt;"~"),(COUNTIF($AN$1:$AN1794,$AN1794)=1)),"TRUE","FALSE")</f>
        <v>FALSE</v>
      </c>
      <c r="AI1794" s="661" t="str">
        <f t="shared" si="194"/>
        <v>II</v>
      </c>
      <c r="AJ1794" s="662" t="str">
        <f t="shared" si="188"/>
        <v>COLO-006</v>
      </c>
      <c r="AK1794" s="662" t="str">
        <f t="shared" si="189"/>
        <v>LTK</v>
      </c>
      <c r="AL1794" s="662" t="str">
        <f t="shared" si="190"/>
        <v>CHV</v>
      </c>
      <c r="AM1794" s="662" t="str">
        <f t="shared" si="193"/>
        <v>Colorado-LT Extended Cab-4WD-4-6'2"-7000-2.5L-4-12N53-4LT-128.3-21-Unleaded-Unleaded</v>
      </c>
      <c r="AN1794" s="662" t="str">
        <f t="shared" si="191"/>
        <v>2019-LTK-CHV-COLO-006</v>
      </c>
    </row>
    <row r="1795" spans="1:40" s="572" customFormat="1" ht="15">
      <c r="A1795" s="570" t="s">
        <v>3406</v>
      </c>
      <c r="B1795" s="573" t="s">
        <v>3405</v>
      </c>
      <c r="C1795" s="573" t="s">
        <v>150</v>
      </c>
      <c r="D1795" s="578">
        <v>13</v>
      </c>
      <c r="E1795" s="573" t="s">
        <v>3374</v>
      </c>
      <c r="F1795" s="573" t="s">
        <v>211</v>
      </c>
      <c r="G1795" s="573" t="s">
        <v>153</v>
      </c>
      <c r="H1795" s="573">
        <v>2019</v>
      </c>
      <c r="I1795" s="573" t="s">
        <v>3375</v>
      </c>
      <c r="J1795" s="573" t="s">
        <v>3400</v>
      </c>
      <c r="K1795" s="573" t="s">
        <v>752</v>
      </c>
      <c r="L1795" s="573">
        <v>4</v>
      </c>
      <c r="M1795" s="573">
        <v>0</v>
      </c>
      <c r="N1795" s="573" t="s">
        <v>157</v>
      </c>
      <c r="O1795" s="573">
        <v>2</v>
      </c>
      <c r="P1795" s="573" t="s">
        <v>3385</v>
      </c>
      <c r="Q1795" s="571">
        <v>7000</v>
      </c>
      <c r="R1795" s="573" t="s">
        <v>189</v>
      </c>
      <c r="S1795" s="573">
        <v>4</v>
      </c>
      <c r="T1795" s="573" t="s">
        <v>3401</v>
      </c>
      <c r="U1795" s="573" t="s">
        <v>3391</v>
      </c>
      <c r="V1795" s="573">
        <v>128.30000000000001</v>
      </c>
      <c r="W1795" s="573">
        <v>21</v>
      </c>
      <c r="X1795" s="571">
        <v>5600</v>
      </c>
      <c r="Y1795" s="573">
        <v>21</v>
      </c>
      <c r="Z1795" s="579" t="s">
        <v>178</v>
      </c>
      <c r="AA1795" s="579" t="s">
        <v>178</v>
      </c>
      <c r="AB1795" s="584">
        <v>32195</v>
      </c>
      <c r="AC1795" s="584" t="s">
        <v>164</v>
      </c>
      <c r="AD1795" s="584">
        <v>30378</v>
      </c>
      <c r="AE1795" s="586">
        <v>0.03</v>
      </c>
      <c r="AF1795" s="661" t="str">
        <f t="shared" si="192"/>
        <v>2019-LTK-CHV-COLO-006-13</v>
      </c>
      <c r="AG1795" s="661" t="str">
        <f>IF(AND($Y1795&gt;=32,(AI1795="I"),(Y1795&lt;&gt;"~"),(COUNTIF($AN$1:$AN1795,$AN1795)=1)),"TRUE","FALSE")</f>
        <v>FALSE</v>
      </c>
      <c r="AH1795" s="661" t="str">
        <f>IF(AND($Y1795&gt;=22, (AI1795&lt;&gt;"I"),(Y1795&lt;&gt;"~"),(COUNTIF($AN$1:$AN1795,$AN1795)=1)),"TRUE","FALSE")</f>
        <v>FALSE</v>
      </c>
      <c r="AI1795" s="661" t="str">
        <f t="shared" si="194"/>
        <v>II</v>
      </c>
      <c r="AJ1795" s="662" t="str">
        <f t="shared" ref="AJ1795:AJ1858" si="195">MID(A1795,14,8)</f>
        <v>COLO-006</v>
      </c>
      <c r="AK1795" s="662" t="str">
        <f t="shared" ref="AK1795:AK1858" si="196">MID(A1795,6,3)</f>
        <v>LTK</v>
      </c>
      <c r="AL1795" s="662" t="str">
        <f t="shared" ref="AL1795:AL1858" si="197">MID(A1795,10,3)</f>
        <v>CHV</v>
      </c>
      <c r="AM1795" s="662" t="str">
        <f t="shared" si="193"/>
        <v>Colorado-LT Extended Cab-4WD-4-6'2"-7000-2.5L-4-12N53-4LT-128.3-21-Unleaded-Unleaded</v>
      </c>
      <c r="AN1795" s="662" t="str">
        <f t="shared" ref="AN1795:AN1858" si="198">LEFT(A1795,21)</f>
        <v>2019-LTK-CHV-COLO-006</v>
      </c>
    </row>
    <row r="1796" spans="1:40" s="572" customFormat="1" ht="15">
      <c r="A1796" s="570" t="s">
        <v>3407</v>
      </c>
      <c r="B1796" s="569" t="s">
        <v>3405</v>
      </c>
      <c r="C1796" s="569" t="s">
        <v>166</v>
      </c>
      <c r="D1796" s="580">
        <v>17</v>
      </c>
      <c r="E1796" s="569" t="s">
        <v>3374</v>
      </c>
      <c r="F1796" s="569" t="s">
        <v>211</v>
      </c>
      <c r="G1796" s="569" t="s">
        <v>153</v>
      </c>
      <c r="H1796" s="569">
        <v>2019</v>
      </c>
      <c r="I1796" s="569" t="s">
        <v>3375</v>
      </c>
      <c r="J1796" s="569" t="s">
        <v>3400</v>
      </c>
      <c r="K1796" s="569" t="s">
        <v>752</v>
      </c>
      <c r="L1796" s="569">
        <v>4</v>
      </c>
      <c r="M1796" s="569">
        <v>0</v>
      </c>
      <c r="N1796" s="569" t="s">
        <v>157</v>
      </c>
      <c r="O1796" s="569">
        <v>2</v>
      </c>
      <c r="P1796" s="569" t="s">
        <v>3385</v>
      </c>
      <c r="Q1796" s="568">
        <v>7000</v>
      </c>
      <c r="R1796" s="569" t="s">
        <v>189</v>
      </c>
      <c r="S1796" s="569">
        <v>4</v>
      </c>
      <c r="T1796" s="569" t="s">
        <v>3401</v>
      </c>
      <c r="U1796" s="569" t="s">
        <v>3391</v>
      </c>
      <c r="V1796" s="569">
        <v>128.30000000000001</v>
      </c>
      <c r="W1796" s="569">
        <v>21</v>
      </c>
      <c r="X1796" s="568">
        <v>5600</v>
      </c>
      <c r="Y1796" s="569">
        <v>21</v>
      </c>
      <c r="Z1796" s="581" t="s">
        <v>178</v>
      </c>
      <c r="AA1796" s="581" t="s">
        <v>178</v>
      </c>
      <c r="AB1796" s="585">
        <v>32195</v>
      </c>
      <c r="AC1796" s="585" t="s">
        <v>164</v>
      </c>
      <c r="AD1796" s="585">
        <v>29530</v>
      </c>
      <c r="AE1796" s="587">
        <v>7.1999999999999995E-2</v>
      </c>
      <c r="AF1796" s="661" t="str">
        <f t="shared" si="192"/>
        <v>2019-LTK-CHV-COLO-006-17</v>
      </c>
      <c r="AG1796" s="661" t="str">
        <f>IF(AND($Y1796&gt;=32,(AI1796="I"),(Y1796&lt;&gt;"~"),(COUNTIF($AN$1:$AN1796,$AN1796)=1)),"TRUE","FALSE")</f>
        <v>FALSE</v>
      </c>
      <c r="AH1796" s="661" t="str">
        <f>IF(AND($Y1796&gt;=22, (AI1796&lt;&gt;"I"),(Y1796&lt;&gt;"~"),(COUNTIF($AN$1:$AN1796,$AN1796)=1)),"TRUE","FALSE")</f>
        <v>FALSE</v>
      </c>
      <c r="AI1796" s="661" t="str">
        <f t="shared" si="194"/>
        <v>II</v>
      </c>
      <c r="AJ1796" s="662" t="str">
        <f t="shared" si="195"/>
        <v>COLO-006</v>
      </c>
      <c r="AK1796" s="662" t="str">
        <f t="shared" si="196"/>
        <v>LTK</v>
      </c>
      <c r="AL1796" s="662" t="str">
        <f t="shared" si="197"/>
        <v>CHV</v>
      </c>
      <c r="AM1796" s="662" t="str">
        <f t="shared" si="193"/>
        <v>Colorado-LT Extended Cab-4WD-4-6'2"-7000-2.5L-4-12N53-4LT-128.3-21-Unleaded-Unleaded</v>
      </c>
      <c r="AN1796" s="662" t="str">
        <f t="shared" si="198"/>
        <v>2019-LTK-CHV-COLO-006</v>
      </c>
    </row>
    <row r="1797" spans="1:40" s="572" customFormat="1" ht="15">
      <c r="A1797" s="570" t="s">
        <v>3408</v>
      </c>
      <c r="B1797" s="573" t="s">
        <v>3409</v>
      </c>
      <c r="C1797" s="573" t="s">
        <v>169</v>
      </c>
      <c r="D1797" s="578">
        <v>11</v>
      </c>
      <c r="E1797" s="573" t="s">
        <v>3374</v>
      </c>
      <c r="F1797" s="573" t="s">
        <v>211</v>
      </c>
      <c r="G1797" s="573" t="s">
        <v>153</v>
      </c>
      <c r="H1797" s="573">
        <v>2019</v>
      </c>
      <c r="I1797" s="573" t="s">
        <v>3375</v>
      </c>
      <c r="J1797" s="573" t="s">
        <v>3410</v>
      </c>
      <c r="K1797" s="573" t="s">
        <v>752</v>
      </c>
      <c r="L1797" s="573">
        <v>5</v>
      </c>
      <c r="M1797" s="573">
        <v>0</v>
      </c>
      <c r="N1797" s="573" t="s">
        <v>157</v>
      </c>
      <c r="O1797" s="573">
        <v>2</v>
      </c>
      <c r="P1797" s="573" t="s">
        <v>3378</v>
      </c>
      <c r="Q1797" s="571">
        <v>7000</v>
      </c>
      <c r="R1797" s="573" t="s">
        <v>231</v>
      </c>
      <c r="S1797" s="573">
        <v>6</v>
      </c>
      <c r="T1797" s="573" t="s">
        <v>3411</v>
      </c>
      <c r="U1797" s="573" t="s">
        <v>3412</v>
      </c>
      <c r="V1797" s="573">
        <v>128.30000000000001</v>
      </c>
      <c r="W1797" s="573">
        <v>21</v>
      </c>
      <c r="X1797" s="571">
        <v>6000</v>
      </c>
      <c r="Y1797" s="573">
        <v>19</v>
      </c>
      <c r="Z1797" s="579" t="s">
        <v>178</v>
      </c>
      <c r="AA1797" s="579" t="s">
        <v>178</v>
      </c>
      <c r="AB1797" s="584">
        <v>32595</v>
      </c>
      <c r="AC1797" s="584" t="s">
        <v>164</v>
      </c>
      <c r="AD1797" s="584">
        <v>28623.958333333336</v>
      </c>
      <c r="AE1797" s="586">
        <v>0.05</v>
      </c>
      <c r="AF1797" s="661" t="str">
        <f t="shared" si="192"/>
        <v>2019-LTK-CHV-COLO-007-11</v>
      </c>
      <c r="AG1797" s="661" t="str">
        <f>IF(AND($Y1797&gt;=32,(AI1797="I"),(Y1797&lt;&gt;"~"),(COUNTIF($AN$1:$AN1797,$AN1797)=1)),"TRUE","FALSE")</f>
        <v>FALSE</v>
      </c>
      <c r="AH1797" s="661" t="str">
        <f>IF(AND($Y1797&gt;=22, (AI1797&lt;&gt;"I"),(Y1797&lt;&gt;"~"),(COUNTIF($AN$1:$AN1797,$AN1797)=1)),"TRUE","FALSE")</f>
        <v>FALSE</v>
      </c>
      <c r="AI1797" s="661" t="str">
        <f t="shared" si="194"/>
        <v>II</v>
      </c>
      <c r="AJ1797" s="662" t="str">
        <f t="shared" si="195"/>
        <v>COLO-007</v>
      </c>
      <c r="AK1797" s="662" t="str">
        <f t="shared" si="196"/>
        <v>LTK</v>
      </c>
      <c r="AL1797" s="662" t="str">
        <f t="shared" si="197"/>
        <v>CHV</v>
      </c>
      <c r="AM1797" s="662" t="str">
        <f t="shared" si="193"/>
        <v>Colorado-WT Crew Cab-4WD-5-5'1"-7000-3.6L-6-12M43-4WT-128.3-21-Unleaded-Unleaded</v>
      </c>
      <c r="AN1797" s="662" t="str">
        <f t="shared" si="198"/>
        <v>2019-LTK-CHV-COLO-007</v>
      </c>
    </row>
    <row r="1798" spans="1:40" s="572" customFormat="1" ht="15">
      <c r="A1798" s="570" t="s">
        <v>3413</v>
      </c>
      <c r="B1798" s="569" t="s">
        <v>3414</v>
      </c>
      <c r="C1798" s="569" t="s">
        <v>169</v>
      </c>
      <c r="D1798" s="580">
        <v>11</v>
      </c>
      <c r="E1798" s="569" t="s">
        <v>3374</v>
      </c>
      <c r="F1798" s="569" t="s">
        <v>211</v>
      </c>
      <c r="G1798" s="569" t="s">
        <v>153</v>
      </c>
      <c r="H1798" s="569">
        <v>2019</v>
      </c>
      <c r="I1798" s="569" t="s">
        <v>3375</v>
      </c>
      <c r="J1798" s="569" t="s">
        <v>3410</v>
      </c>
      <c r="K1798" s="569" t="s">
        <v>752</v>
      </c>
      <c r="L1798" s="569">
        <v>5</v>
      </c>
      <c r="M1798" s="569">
        <v>0</v>
      </c>
      <c r="N1798" s="569" t="s">
        <v>157</v>
      </c>
      <c r="O1798" s="569">
        <v>2</v>
      </c>
      <c r="P1798" s="569" t="s">
        <v>3385</v>
      </c>
      <c r="Q1798" s="568">
        <v>7000</v>
      </c>
      <c r="R1798" s="569" t="s">
        <v>231</v>
      </c>
      <c r="S1798" s="569">
        <v>6</v>
      </c>
      <c r="T1798" s="569" t="s">
        <v>3415</v>
      </c>
      <c r="U1798" s="569" t="s">
        <v>3412</v>
      </c>
      <c r="V1798" s="569">
        <v>140.5</v>
      </c>
      <c r="W1798" s="569">
        <v>21</v>
      </c>
      <c r="X1798" s="568">
        <v>6000</v>
      </c>
      <c r="Y1798" s="569">
        <v>19</v>
      </c>
      <c r="Z1798" s="581" t="s">
        <v>178</v>
      </c>
      <c r="AA1798" s="581" t="s">
        <v>178</v>
      </c>
      <c r="AB1798" s="585">
        <v>32895</v>
      </c>
      <c r="AC1798" s="585" t="s">
        <v>164</v>
      </c>
      <c r="AD1798" s="585">
        <v>28912.291666666668</v>
      </c>
      <c r="AE1798" s="587">
        <v>0.05</v>
      </c>
      <c r="AF1798" s="661" t="str">
        <f t="shared" si="192"/>
        <v>2019-LTK-CHV-COLO-008-11</v>
      </c>
      <c r="AG1798" s="661" t="str">
        <f>IF(AND($Y1798&gt;=32,(AI1798="I"),(Y1798&lt;&gt;"~"),(COUNTIF($AN$1:$AN1798,$AN1798)=1)),"TRUE","FALSE")</f>
        <v>FALSE</v>
      </c>
      <c r="AH1798" s="661" t="str">
        <f>IF(AND($Y1798&gt;=22, (AI1798&lt;&gt;"I"),(Y1798&lt;&gt;"~"),(COUNTIF($AN$1:$AN1798,$AN1798)=1)),"TRUE","FALSE")</f>
        <v>FALSE</v>
      </c>
      <c r="AI1798" s="661" t="str">
        <f t="shared" si="194"/>
        <v>II</v>
      </c>
      <c r="AJ1798" s="662" t="str">
        <f t="shared" si="195"/>
        <v>COLO-008</v>
      </c>
      <c r="AK1798" s="662" t="str">
        <f t="shared" si="196"/>
        <v>LTK</v>
      </c>
      <c r="AL1798" s="662" t="str">
        <f t="shared" si="197"/>
        <v>CHV</v>
      </c>
      <c r="AM1798" s="662" t="str">
        <f t="shared" si="193"/>
        <v>Colorado-WT Crew Cab-4WD-5-6'2"-7000-3.6L-6-12T43-4WT-140.5-21-Unleaded-Unleaded</v>
      </c>
      <c r="AN1798" s="662" t="str">
        <f t="shared" si="198"/>
        <v>2019-LTK-CHV-COLO-008</v>
      </c>
    </row>
    <row r="1799" spans="1:40" s="572" customFormat="1" ht="15">
      <c r="A1799" s="570" t="s">
        <v>3416</v>
      </c>
      <c r="B1799" s="573" t="s">
        <v>3409</v>
      </c>
      <c r="C1799" s="573" t="s">
        <v>150</v>
      </c>
      <c r="D1799" s="578">
        <v>13</v>
      </c>
      <c r="E1799" s="573" t="s">
        <v>3374</v>
      </c>
      <c r="F1799" s="573" t="s">
        <v>211</v>
      </c>
      <c r="G1799" s="573" t="s">
        <v>153</v>
      </c>
      <c r="H1799" s="573">
        <v>2019</v>
      </c>
      <c r="I1799" s="573" t="s">
        <v>3375</v>
      </c>
      <c r="J1799" s="573" t="s">
        <v>3410</v>
      </c>
      <c r="K1799" s="573" t="s">
        <v>752</v>
      </c>
      <c r="L1799" s="573">
        <v>5</v>
      </c>
      <c r="M1799" s="573">
        <v>0</v>
      </c>
      <c r="N1799" s="573" t="s">
        <v>157</v>
      </c>
      <c r="O1799" s="573">
        <v>2</v>
      </c>
      <c r="P1799" s="573" t="s">
        <v>3378</v>
      </c>
      <c r="Q1799" s="571">
        <v>7000</v>
      </c>
      <c r="R1799" s="573" t="s">
        <v>231</v>
      </c>
      <c r="S1799" s="573">
        <v>6</v>
      </c>
      <c r="T1799" s="573" t="s">
        <v>3411</v>
      </c>
      <c r="U1799" s="573" t="s">
        <v>3412</v>
      </c>
      <c r="V1799" s="573">
        <v>128.30000000000001</v>
      </c>
      <c r="W1799" s="573">
        <v>21</v>
      </c>
      <c r="X1799" s="571">
        <v>6000</v>
      </c>
      <c r="Y1799" s="573">
        <v>19</v>
      </c>
      <c r="Z1799" s="579" t="s">
        <v>178</v>
      </c>
      <c r="AA1799" s="579" t="s">
        <v>178</v>
      </c>
      <c r="AB1799" s="584">
        <v>32595</v>
      </c>
      <c r="AC1799" s="584" t="s">
        <v>164</v>
      </c>
      <c r="AD1799" s="584">
        <v>30401</v>
      </c>
      <c r="AE1799" s="586">
        <v>0.03</v>
      </c>
      <c r="AF1799" s="661" t="str">
        <f t="shared" si="192"/>
        <v>2019-LTK-CHV-COLO-007-13</v>
      </c>
      <c r="AG1799" s="661" t="str">
        <f>IF(AND($Y1799&gt;=32,(AI1799="I"),(Y1799&lt;&gt;"~"),(COUNTIF($AN$1:$AN1799,$AN1799)=1)),"TRUE","FALSE")</f>
        <v>FALSE</v>
      </c>
      <c r="AH1799" s="661" t="str">
        <f>IF(AND($Y1799&gt;=22, (AI1799&lt;&gt;"I"),(Y1799&lt;&gt;"~"),(COUNTIF($AN$1:$AN1799,$AN1799)=1)),"TRUE","FALSE")</f>
        <v>FALSE</v>
      </c>
      <c r="AI1799" s="661" t="str">
        <f t="shared" si="194"/>
        <v>II</v>
      </c>
      <c r="AJ1799" s="662" t="str">
        <f t="shared" si="195"/>
        <v>COLO-007</v>
      </c>
      <c r="AK1799" s="662" t="str">
        <f t="shared" si="196"/>
        <v>LTK</v>
      </c>
      <c r="AL1799" s="662" t="str">
        <f t="shared" si="197"/>
        <v>CHV</v>
      </c>
      <c r="AM1799" s="662" t="str">
        <f t="shared" si="193"/>
        <v>Colorado-WT Crew Cab-4WD-5-5'1"-7000-3.6L-6-12M43-4WT-128.3-21-Unleaded-Unleaded</v>
      </c>
      <c r="AN1799" s="662" t="str">
        <f t="shared" si="198"/>
        <v>2019-LTK-CHV-COLO-007</v>
      </c>
    </row>
    <row r="1800" spans="1:40" s="572" customFormat="1" ht="15">
      <c r="A1800" s="570" t="s">
        <v>3417</v>
      </c>
      <c r="B1800" s="569" t="s">
        <v>3414</v>
      </c>
      <c r="C1800" s="569" t="s">
        <v>150</v>
      </c>
      <c r="D1800" s="580">
        <v>13</v>
      </c>
      <c r="E1800" s="569" t="s">
        <v>3374</v>
      </c>
      <c r="F1800" s="569" t="s">
        <v>211</v>
      </c>
      <c r="G1800" s="569" t="s">
        <v>153</v>
      </c>
      <c r="H1800" s="569">
        <v>2019</v>
      </c>
      <c r="I1800" s="569" t="s">
        <v>3375</v>
      </c>
      <c r="J1800" s="569" t="s">
        <v>3410</v>
      </c>
      <c r="K1800" s="569" t="s">
        <v>752</v>
      </c>
      <c r="L1800" s="569">
        <v>5</v>
      </c>
      <c r="M1800" s="569">
        <v>0</v>
      </c>
      <c r="N1800" s="569" t="s">
        <v>157</v>
      </c>
      <c r="O1800" s="569">
        <v>2</v>
      </c>
      <c r="P1800" s="569" t="s">
        <v>3385</v>
      </c>
      <c r="Q1800" s="568">
        <v>7000</v>
      </c>
      <c r="R1800" s="569" t="s">
        <v>231</v>
      </c>
      <c r="S1800" s="569">
        <v>6</v>
      </c>
      <c r="T1800" s="569" t="s">
        <v>3415</v>
      </c>
      <c r="U1800" s="569" t="s">
        <v>3412</v>
      </c>
      <c r="V1800" s="569">
        <v>140.5</v>
      </c>
      <c r="W1800" s="569">
        <v>21</v>
      </c>
      <c r="X1800" s="568">
        <v>6000</v>
      </c>
      <c r="Y1800" s="569">
        <v>19</v>
      </c>
      <c r="Z1800" s="581" t="s">
        <v>178</v>
      </c>
      <c r="AA1800" s="581" t="s">
        <v>178</v>
      </c>
      <c r="AB1800" s="585">
        <v>32895</v>
      </c>
      <c r="AC1800" s="585" t="s">
        <v>164</v>
      </c>
      <c r="AD1800" s="585">
        <v>30677</v>
      </c>
      <c r="AE1800" s="587">
        <v>0.03</v>
      </c>
      <c r="AF1800" s="661" t="str">
        <f t="shared" ref="AF1800:AF1863" si="199">A1800</f>
        <v>2019-LTK-CHV-COLO-008-13</v>
      </c>
      <c r="AG1800" s="661" t="str">
        <f>IF(AND($Y1800&gt;=32,(AI1800="I"),(Y1800&lt;&gt;"~"),(COUNTIF($AN$1:$AN1800,$AN1800)=1)),"TRUE","FALSE")</f>
        <v>FALSE</v>
      </c>
      <c r="AH1800" s="661" t="str">
        <f>IF(AND($Y1800&gt;=22, (AI1800&lt;&gt;"I"),(Y1800&lt;&gt;"~"),(COUNTIF($AN$1:$AN1800,$AN1800)=1)),"TRUE","FALSE")</f>
        <v>FALSE</v>
      </c>
      <c r="AI1800" s="661" t="str">
        <f t="shared" si="194"/>
        <v>II</v>
      </c>
      <c r="AJ1800" s="662" t="str">
        <f t="shared" si="195"/>
        <v>COLO-008</v>
      </c>
      <c r="AK1800" s="662" t="str">
        <f t="shared" si="196"/>
        <v>LTK</v>
      </c>
      <c r="AL1800" s="662" t="str">
        <f t="shared" si="197"/>
        <v>CHV</v>
      </c>
      <c r="AM1800" s="662" t="str">
        <f t="shared" si="193"/>
        <v>Colorado-WT Crew Cab-4WD-5-6'2"-7000-3.6L-6-12T43-4WT-140.5-21-Unleaded-Unleaded</v>
      </c>
      <c r="AN1800" s="662" t="str">
        <f t="shared" si="198"/>
        <v>2019-LTK-CHV-COLO-008</v>
      </c>
    </row>
    <row r="1801" spans="1:40" s="572" customFormat="1" ht="15">
      <c r="A1801" s="570" t="s">
        <v>3418</v>
      </c>
      <c r="B1801" s="573" t="s">
        <v>3409</v>
      </c>
      <c r="C1801" s="573" t="s">
        <v>166</v>
      </c>
      <c r="D1801" s="578">
        <v>17</v>
      </c>
      <c r="E1801" s="573" t="s">
        <v>3374</v>
      </c>
      <c r="F1801" s="573" t="s">
        <v>211</v>
      </c>
      <c r="G1801" s="573" t="s">
        <v>153</v>
      </c>
      <c r="H1801" s="573">
        <v>2019</v>
      </c>
      <c r="I1801" s="573" t="s">
        <v>3375</v>
      </c>
      <c r="J1801" s="573" t="s">
        <v>3410</v>
      </c>
      <c r="K1801" s="573" t="s">
        <v>752</v>
      </c>
      <c r="L1801" s="573">
        <v>5</v>
      </c>
      <c r="M1801" s="573">
        <v>0</v>
      </c>
      <c r="N1801" s="573" t="s">
        <v>157</v>
      </c>
      <c r="O1801" s="573">
        <v>2</v>
      </c>
      <c r="P1801" s="573" t="s">
        <v>3378</v>
      </c>
      <c r="Q1801" s="571">
        <v>7000</v>
      </c>
      <c r="R1801" s="573" t="s">
        <v>231</v>
      </c>
      <c r="S1801" s="573">
        <v>6</v>
      </c>
      <c r="T1801" s="573" t="s">
        <v>3411</v>
      </c>
      <c r="U1801" s="573" t="s">
        <v>3412</v>
      </c>
      <c r="V1801" s="573">
        <v>128.30000000000001</v>
      </c>
      <c r="W1801" s="573">
        <v>21</v>
      </c>
      <c r="X1801" s="571">
        <v>6000</v>
      </c>
      <c r="Y1801" s="573">
        <v>19</v>
      </c>
      <c r="Z1801" s="579" t="s">
        <v>178</v>
      </c>
      <c r="AA1801" s="579" t="s">
        <v>178</v>
      </c>
      <c r="AB1801" s="584">
        <v>32595</v>
      </c>
      <c r="AC1801" s="584" t="s">
        <v>164</v>
      </c>
      <c r="AD1801" s="584">
        <v>29985.91</v>
      </c>
      <c r="AE1801" s="586">
        <v>7.1999999999999995E-2</v>
      </c>
      <c r="AF1801" s="661" t="str">
        <f t="shared" si="199"/>
        <v>2019-LTK-CHV-COLO-007-17</v>
      </c>
      <c r="AG1801" s="661" t="str">
        <f>IF(AND($Y1801&gt;=32,(AI1801="I"),(Y1801&lt;&gt;"~"),(COUNTIF($AN$1:$AN1801,$AN1801)=1)),"TRUE","FALSE")</f>
        <v>FALSE</v>
      </c>
      <c r="AH1801" s="661" t="str">
        <f>IF(AND($Y1801&gt;=22, (AI1801&lt;&gt;"I"),(Y1801&lt;&gt;"~"),(COUNTIF($AN$1:$AN1801,$AN1801)=1)),"TRUE","FALSE")</f>
        <v>FALSE</v>
      </c>
      <c r="AI1801" s="661" t="str">
        <f t="shared" si="194"/>
        <v>II</v>
      </c>
      <c r="AJ1801" s="662" t="str">
        <f t="shared" si="195"/>
        <v>COLO-007</v>
      </c>
      <c r="AK1801" s="662" t="str">
        <f t="shared" si="196"/>
        <v>LTK</v>
      </c>
      <c r="AL1801" s="662" t="str">
        <f t="shared" si="197"/>
        <v>CHV</v>
      </c>
      <c r="AM1801" s="662" t="str">
        <f t="shared" si="193"/>
        <v>Colorado-WT Crew Cab-4WD-5-5'1"-7000-3.6L-6-12M43-4WT-128.3-21-Unleaded-Unleaded</v>
      </c>
      <c r="AN1801" s="662" t="str">
        <f t="shared" si="198"/>
        <v>2019-LTK-CHV-COLO-007</v>
      </c>
    </row>
    <row r="1802" spans="1:40" s="572" customFormat="1" ht="15">
      <c r="A1802" s="570" t="s">
        <v>3419</v>
      </c>
      <c r="B1802" s="569" t="s">
        <v>3414</v>
      </c>
      <c r="C1802" s="569" t="s">
        <v>166</v>
      </c>
      <c r="D1802" s="580">
        <v>17</v>
      </c>
      <c r="E1802" s="569" t="s">
        <v>3374</v>
      </c>
      <c r="F1802" s="569" t="s">
        <v>211</v>
      </c>
      <c r="G1802" s="569" t="s">
        <v>153</v>
      </c>
      <c r="H1802" s="569">
        <v>2019</v>
      </c>
      <c r="I1802" s="569" t="s">
        <v>3375</v>
      </c>
      <c r="J1802" s="569" t="s">
        <v>3410</v>
      </c>
      <c r="K1802" s="569" t="s">
        <v>752</v>
      </c>
      <c r="L1802" s="569">
        <v>5</v>
      </c>
      <c r="M1802" s="569">
        <v>0</v>
      </c>
      <c r="N1802" s="569" t="s">
        <v>157</v>
      </c>
      <c r="O1802" s="569">
        <v>2</v>
      </c>
      <c r="P1802" s="569" t="s">
        <v>3385</v>
      </c>
      <c r="Q1802" s="568">
        <v>7000</v>
      </c>
      <c r="R1802" s="569" t="s">
        <v>231</v>
      </c>
      <c r="S1802" s="569">
        <v>6</v>
      </c>
      <c r="T1802" s="569" t="s">
        <v>3415</v>
      </c>
      <c r="U1802" s="569" t="s">
        <v>3412</v>
      </c>
      <c r="V1802" s="569">
        <v>140.5</v>
      </c>
      <c r="W1802" s="569">
        <v>21</v>
      </c>
      <c r="X1802" s="568">
        <v>6000</v>
      </c>
      <c r="Y1802" s="569">
        <v>19</v>
      </c>
      <c r="Z1802" s="581" t="s">
        <v>178</v>
      </c>
      <c r="AA1802" s="581" t="s">
        <v>178</v>
      </c>
      <c r="AB1802" s="585">
        <v>32895</v>
      </c>
      <c r="AC1802" s="585" t="s">
        <v>164</v>
      </c>
      <c r="AD1802" s="585">
        <v>30267.33</v>
      </c>
      <c r="AE1802" s="587">
        <v>7.1999999999999995E-2</v>
      </c>
      <c r="AF1802" s="661" t="str">
        <f t="shared" si="199"/>
        <v>2019-LTK-CHV-COLO-008-17</v>
      </c>
      <c r="AG1802" s="661" t="str">
        <f>IF(AND($Y1802&gt;=32,(AI1802="I"),(Y1802&lt;&gt;"~"),(COUNTIF($AN$1:$AN1802,$AN1802)=1)),"TRUE","FALSE")</f>
        <v>FALSE</v>
      </c>
      <c r="AH1802" s="661" t="str">
        <f>IF(AND($Y1802&gt;=22, (AI1802&lt;&gt;"I"),(Y1802&lt;&gt;"~"),(COUNTIF($AN$1:$AN1802,$AN1802)=1)),"TRUE","FALSE")</f>
        <v>FALSE</v>
      </c>
      <c r="AI1802" s="661" t="str">
        <f t="shared" si="194"/>
        <v>II</v>
      </c>
      <c r="AJ1802" s="662" t="str">
        <f t="shared" si="195"/>
        <v>COLO-008</v>
      </c>
      <c r="AK1802" s="662" t="str">
        <f t="shared" si="196"/>
        <v>LTK</v>
      </c>
      <c r="AL1802" s="662" t="str">
        <f t="shared" si="197"/>
        <v>CHV</v>
      </c>
      <c r="AM1802" s="662" t="str">
        <f t="shared" si="193"/>
        <v>Colorado-WT Crew Cab-4WD-5-6'2"-7000-3.6L-6-12T43-4WT-140.5-21-Unleaded-Unleaded</v>
      </c>
      <c r="AN1802" s="662" t="str">
        <f t="shared" si="198"/>
        <v>2019-LTK-CHV-COLO-008</v>
      </c>
    </row>
    <row r="1803" spans="1:40" s="572" customFormat="1" ht="15">
      <c r="A1803" s="570" t="s">
        <v>3420</v>
      </c>
      <c r="B1803" s="573" t="s">
        <v>3421</v>
      </c>
      <c r="C1803" s="573" t="s">
        <v>169</v>
      </c>
      <c r="D1803" s="578">
        <v>11</v>
      </c>
      <c r="E1803" s="573" t="s">
        <v>3374</v>
      </c>
      <c r="F1803" s="573" t="s">
        <v>211</v>
      </c>
      <c r="G1803" s="573" t="s">
        <v>153</v>
      </c>
      <c r="H1803" s="573">
        <v>2019</v>
      </c>
      <c r="I1803" s="573" t="s">
        <v>3375</v>
      </c>
      <c r="J1803" s="573" t="s">
        <v>3422</v>
      </c>
      <c r="K1803" s="573" t="s">
        <v>3377</v>
      </c>
      <c r="L1803" s="573">
        <v>4</v>
      </c>
      <c r="M1803" s="573">
        <v>0</v>
      </c>
      <c r="N1803" s="573" t="s">
        <v>157</v>
      </c>
      <c r="O1803" s="573">
        <v>2</v>
      </c>
      <c r="P1803" s="573" t="s">
        <v>3385</v>
      </c>
      <c r="Q1803" s="571">
        <v>7000</v>
      </c>
      <c r="R1803" s="573" t="s">
        <v>189</v>
      </c>
      <c r="S1803" s="573">
        <v>4</v>
      </c>
      <c r="T1803" s="573" t="s">
        <v>3423</v>
      </c>
      <c r="U1803" s="573" t="s">
        <v>3424</v>
      </c>
      <c r="V1803" s="573">
        <v>128.30000000000001</v>
      </c>
      <c r="W1803" s="573">
        <v>21</v>
      </c>
      <c r="X1803" s="571">
        <v>5400</v>
      </c>
      <c r="Y1803" s="573">
        <v>22</v>
      </c>
      <c r="Z1803" s="579" t="s">
        <v>178</v>
      </c>
      <c r="AA1803" s="579" t="s">
        <v>178</v>
      </c>
      <c r="AB1803" s="584">
        <v>25645</v>
      </c>
      <c r="AC1803" s="584" t="s">
        <v>164</v>
      </c>
      <c r="AD1803" s="584">
        <v>22170.833333333336</v>
      </c>
      <c r="AE1803" s="586">
        <v>0.05</v>
      </c>
      <c r="AF1803" s="661" t="str">
        <f t="shared" si="199"/>
        <v>2019-LTK-CHV-COLO-009-11</v>
      </c>
      <c r="AG1803" s="661" t="str">
        <f>IF(AND($Y1803&gt;=32,(AI1803="I"),(Y1803&lt;&gt;"~"),(COUNTIF($AN$1:$AN1803,$AN1803)=1)),"TRUE","FALSE")</f>
        <v>FALSE</v>
      </c>
      <c r="AH1803" s="661" t="str">
        <f>IF(AND($Y1803&gt;=22, (AI1803&lt;&gt;"I"),(Y1803&lt;&gt;"~"),(COUNTIF($AN$1:$AN1803,$AN1803)=1)),"TRUE","FALSE")</f>
        <v>TRUE</v>
      </c>
      <c r="AI1803" s="661" t="str">
        <f t="shared" si="194"/>
        <v>II</v>
      </c>
      <c r="AJ1803" s="662" t="str">
        <f t="shared" si="195"/>
        <v>COLO-009</v>
      </c>
      <c r="AK1803" s="662" t="str">
        <f t="shared" si="196"/>
        <v>LTK</v>
      </c>
      <c r="AL1803" s="662" t="str">
        <f t="shared" si="197"/>
        <v>CHV</v>
      </c>
      <c r="AM1803" s="662" t="str">
        <f t="shared" si="193"/>
        <v>Colorado-WT Extended Cab-2WD-4-6'2"-7000-2.5L-4-12M53-2WT-128.3-21-Unleaded-Unleaded</v>
      </c>
      <c r="AN1803" s="662" t="str">
        <f t="shared" si="198"/>
        <v>2019-LTK-CHV-COLO-009</v>
      </c>
    </row>
    <row r="1804" spans="1:40" s="572" customFormat="1" ht="15">
      <c r="A1804" s="570" t="s">
        <v>3425</v>
      </c>
      <c r="B1804" s="569" t="s">
        <v>3421</v>
      </c>
      <c r="C1804" s="569" t="s">
        <v>150</v>
      </c>
      <c r="D1804" s="580">
        <v>13</v>
      </c>
      <c r="E1804" s="569" t="s">
        <v>3374</v>
      </c>
      <c r="F1804" s="569" t="s">
        <v>211</v>
      </c>
      <c r="G1804" s="569" t="s">
        <v>153</v>
      </c>
      <c r="H1804" s="569">
        <v>2019</v>
      </c>
      <c r="I1804" s="569" t="s">
        <v>3375</v>
      </c>
      <c r="J1804" s="569" t="s">
        <v>3422</v>
      </c>
      <c r="K1804" s="569" t="s">
        <v>3377</v>
      </c>
      <c r="L1804" s="569">
        <v>4</v>
      </c>
      <c r="M1804" s="569">
        <v>0</v>
      </c>
      <c r="N1804" s="569" t="s">
        <v>157</v>
      </c>
      <c r="O1804" s="569">
        <v>2</v>
      </c>
      <c r="P1804" s="569" t="s">
        <v>3385</v>
      </c>
      <c r="Q1804" s="568">
        <v>7000</v>
      </c>
      <c r="R1804" s="569" t="s">
        <v>189</v>
      </c>
      <c r="S1804" s="569">
        <v>4</v>
      </c>
      <c r="T1804" s="569" t="s">
        <v>3423</v>
      </c>
      <c r="U1804" s="569" t="s">
        <v>3424</v>
      </c>
      <c r="V1804" s="569">
        <v>128.30000000000001</v>
      </c>
      <c r="W1804" s="569">
        <v>21</v>
      </c>
      <c r="X1804" s="568">
        <v>5400</v>
      </c>
      <c r="Y1804" s="569">
        <v>22</v>
      </c>
      <c r="Z1804" s="581" t="s">
        <v>178</v>
      </c>
      <c r="AA1804" s="581" t="s">
        <v>178</v>
      </c>
      <c r="AB1804" s="585">
        <v>24995</v>
      </c>
      <c r="AC1804" s="585" t="s">
        <v>164</v>
      </c>
      <c r="AD1804" s="585">
        <v>23917</v>
      </c>
      <c r="AE1804" s="587">
        <v>0.03</v>
      </c>
      <c r="AF1804" s="661" t="str">
        <f t="shared" si="199"/>
        <v>2019-LTK-CHV-COLO-009-13</v>
      </c>
      <c r="AG1804" s="661" t="str">
        <f>IF(AND($Y1804&gt;=32,(AI1804="I"),(Y1804&lt;&gt;"~"),(COUNTIF($AN$1:$AN1804,$AN1804)=1)),"TRUE","FALSE")</f>
        <v>FALSE</v>
      </c>
      <c r="AH1804" s="661" t="str">
        <f>IF(AND($Y1804&gt;=22, (AI1804&lt;&gt;"I"),(Y1804&lt;&gt;"~"),(COUNTIF($AN$1:$AN1804,$AN1804)=1)),"TRUE","FALSE")</f>
        <v>FALSE</v>
      </c>
      <c r="AI1804" s="661" t="str">
        <f t="shared" si="194"/>
        <v>II</v>
      </c>
      <c r="AJ1804" s="662" t="str">
        <f t="shared" si="195"/>
        <v>COLO-009</v>
      </c>
      <c r="AK1804" s="662" t="str">
        <f t="shared" si="196"/>
        <v>LTK</v>
      </c>
      <c r="AL1804" s="662" t="str">
        <f t="shared" si="197"/>
        <v>CHV</v>
      </c>
      <c r="AM1804" s="662" t="str">
        <f t="shared" si="193"/>
        <v>Colorado-WT Extended Cab-2WD-4-6'2"-7000-2.5L-4-12M53-2WT-128.3-21-Unleaded-Unleaded</v>
      </c>
      <c r="AN1804" s="662" t="str">
        <f t="shared" si="198"/>
        <v>2019-LTK-CHV-COLO-009</v>
      </c>
    </row>
    <row r="1805" spans="1:40" s="572" customFormat="1" ht="15">
      <c r="A1805" s="570" t="s">
        <v>3426</v>
      </c>
      <c r="B1805" s="573" t="s">
        <v>3421</v>
      </c>
      <c r="C1805" s="573" t="s">
        <v>166</v>
      </c>
      <c r="D1805" s="578">
        <v>17</v>
      </c>
      <c r="E1805" s="573" t="s">
        <v>3374</v>
      </c>
      <c r="F1805" s="573" t="s">
        <v>211</v>
      </c>
      <c r="G1805" s="573" t="s">
        <v>153</v>
      </c>
      <c r="H1805" s="573">
        <v>2019</v>
      </c>
      <c r="I1805" s="573" t="s">
        <v>3375</v>
      </c>
      <c r="J1805" s="573" t="s">
        <v>3422</v>
      </c>
      <c r="K1805" s="573" t="s">
        <v>3377</v>
      </c>
      <c r="L1805" s="573">
        <v>4</v>
      </c>
      <c r="M1805" s="573">
        <v>0</v>
      </c>
      <c r="N1805" s="573" t="s">
        <v>157</v>
      </c>
      <c r="O1805" s="573">
        <v>2</v>
      </c>
      <c r="P1805" s="573" t="s">
        <v>3385</v>
      </c>
      <c r="Q1805" s="571">
        <v>7000</v>
      </c>
      <c r="R1805" s="573" t="s">
        <v>189</v>
      </c>
      <c r="S1805" s="573">
        <v>4</v>
      </c>
      <c r="T1805" s="573" t="s">
        <v>3423</v>
      </c>
      <c r="U1805" s="573" t="s">
        <v>3424</v>
      </c>
      <c r="V1805" s="573">
        <v>128.30000000000001</v>
      </c>
      <c r="W1805" s="573">
        <v>21</v>
      </c>
      <c r="X1805" s="571">
        <v>5400</v>
      </c>
      <c r="Y1805" s="573">
        <v>22</v>
      </c>
      <c r="Z1805" s="579" t="s">
        <v>178</v>
      </c>
      <c r="AA1805" s="579" t="s">
        <v>178</v>
      </c>
      <c r="AB1805" s="584">
        <v>21495</v>
      </c>
      <c r="AC1805" s="584" t="s">
        <v>164</v>
      </c>
      <c r="AD1805" s="584">
        <v>19995</v>
      </c>
      <c r="AE1805" s="586">
        <v>7.1999999999999995E-2</v>
      </c>
      <c r="AF1805" s="661" t="str">
        <f t="shared" si="199"/>
        <v>2019-LTK-CHV-COLO-009-17</v>
      </c>
      <c r="AG1805" s="661" t="str">
        <f>IF(AND($Y1805&gt;=32,(AI1805="I"),(Y1805&lt;&gt;"~"),(COUNTIF($AN$1:$AN1805,$AN1805)=1)),"TRUE","FALSE")</f>
        <v>FALSE</v>
      </c>
      <c r="AH1805" s="661" t="str">
        <f>IF(AND($Y1805&gt;=22, (AI1805&lt;&gt;"I"),(Y1805&lt;&gt;"~"),(COUNTIF($AN$1:$AN1805,$AN1805)=1)),"TRUE","FALSE")</f>
        <v>FALSE</v>
      </c>
      <c r="AI1805" s="661" t="str">
        <f t="shared" si="194"/>
        <v>II</v>
      </c>
      <c r="AJ1805" s="662" t="str">
        <f t="shared" si="195"/>
        <v>COLO-009</v>
      </c>
      <c r="AK1805" s="662" t="str">
        <f t="shared" si="196"/>
        <v>LTK</v>
      </c>
      <c r="AL1805" s="662" t="str">
        <f t="shared" si="197"/>
        <v>CHV</v>
      </c>
      <c r="AM1805" s="662" t="str">
        <f t="shared" si="193"/>
        <v>Colorado-WT Extended Cab-2WD-4-6'2"-7000-2.5L-4-12M53-2WT-128.3-21-Unleaded-Unleaded</v>
      </c>
      <c r="AN1805" s="662" t="str">
        <f t="shared" si="198"/>
        <v>2019-LTK-CHV-COLO-009</v>
      </c>
    </row>
    <row r="1806" spans="1:40" s="572" customFormat="1" ht="15">
      <c r="A1806" s="570" t="s">
        <v>3427</v>
      </c>
      <c r="B1806" s="569" t="s">
        <v>3428</v>
      </c>
      <c r="C1806" s="569" t="s">
        <v>169</v>
      </c>
      <c r="D1806" s="580">
        <v>11</v>
      </c>
      <c r="E1806" s="569" t="s">
        <v>3374</v>
      </c>
      <c r="F1806" s="569" t="s">
        <v>211</v>
      </c>
      <c r="G1806" s="569" t="s">
        <v>153</v>
      </c>
      <c r="H1806" s="569">
        <v>2019</v>
      </c>
      <c r="I1806" s="569" t="s">
        <v>3375</v>
      </c>
      <c r="J1806" s="569" t="s">
        <v>3422</v>
      </c>
      <c r="K1806" s="569" t="s">
        <v>752</v>
      </c>
      <c r="L1806" s="569">
        <v>4</v>
      </c>
      <c r="M1806" s="569">
        <v>0</v>
      </c>
      <c r="N1806" s="569" t="s">
        <v>157</v>
      </c>
      <c r="O1806" s="569">
        <v>2</v>
      </c>
      <c r="P1806" s="569" t="s">
        <v>3385</v>
      </c>
      <c r="Q1806" s="568">
        <v>7000</v>
      </c>
      <c r="R1806" s="569" t="s">
        <v>189</v>
      </c>
      <c r="S1806" s="569">
        <v>4</v>
      </c>
      <c r="T1806" s="569" t="s">
        <v>3423</v>
      </c>
      <c r="U1806" s="569" t="s">
        <v>3412</v>
      </c>
      <c r="V1806" s="569">
        <v>128.30000000000001</v>
      </c>
      <c r="W1806" s="569">
        <v>21</v>
      </c>
      <c r="X1806" s="568">
        <v>5600</v>
      </c>
      <c r="Y1806" s="569">
        <v>21</v>
      </c>
      <c r="Z1806" s="581" t="s">
        <v>178</v>
      </c>
      <c r="AA1806" s="581" t="s">
        <v>178</v>
      </c>
      <c r="AB1806" s="585">
        <v>29595</v>
      </c>
      <c r="AC1806" s="585" t="s">
        <v>164</v>
      </c>
      <c r="AD1806" s="585">
        <v>26040.833333333336</v>
      </c>
      <c r="AE1806" s="587">
        <v>0.05</v>
      </c>
      <c r="AF1806" s="661" t="str">
        <f t="shared" si="199"/>
        <v>2019-LTK-CHV-COLO-010-11</v>
      </c>
      <c r="AG1806" s="661" t="str">
        <f>IF(AND($Y1806&gt;=32,(AI1806="I"),(Y1806&lt;&gt;"~"),(COUNTIF($AN$1:$AN1806,$AN1806)=1)),"TRUE","FALSE")</f>
        <v>FALSE</v>
      </c>
      <c r="AH1806" s="661" t="str">
        <f>IF(AND($Y1806&gt;=22, (AI1806&lt;&gt;"I"),(Y1806&lt;&gt;"~"),(COUNTIF($AN$1:$AN1806,$AN1806)=1)),"TRUE","FALSE")</f>
        <v>FALSE</v>
      </c>
      <c r="AI1806" s="661" t="str">
        <f t="shared" si="194"/>
        <v>II</v>
      </c>
      <c r="AJ1806" s="662" t="str">
        <f t="shared" si="195"/>
        <v>COLO-010</v>
      </c>
      <c r="AK1806" s="662" t="str">
        <f t="shared" si="196"/>
        <v>LTK</v>
      </c>
      <c r="AL1806" s="662" t="str">
        <f t="shared" si="197"/>
        <v>CHV</v>
      </c>
      <c r="AM1806" s="662" t="str">
        <f t="shared" si="193"/>
        <v>Colorado-WT Extended Cab-4WD-4-6'2"-7000-2.5L-4-12M53-4WT-128.3-21-Unleaded-Unleaded</v>
      </c>
      <c r="AN1806" s="662" t="str">
        <f t="shared" si="198"/>
        <v>2019-LTK-CHV-COLO-010</v>
      </c>
    </row>
    <row r="1807" spans="1:40" s="572" customFormat="1" ht="15">
      <c r="A1807" s="570" t="s">
        <v>3429</v>
      </c>
      <c r="B1807" s="573" t="s">
        <v>3428</v>
      </c>
      <c r="C1807" s="573" t="s">
        <v>150</v>
      </c>
      <c r="D1807" s="578">
        <v>13</v>
      </c>
      <c r="E1807" s="573" t="s">
        <v>3374</v>
      </c>
      <c r="F1807" s="573" t="s">
        <v>211</v>
      </c>
      <c r="G1807" s="573" t="s">
        <v>153</v>
      </c>
      <c r="H1807" s="573">
        <v>2019</v>
      </c>
      <c r="I1807" s="573" t="s">
        <v>3375</v>
      </c>
      <c r="J1807" s="573" t="s">
        <v>3422</v>
      </c>
      <c r="K1807" s="573" t="s">
        <v>752</v>
      </c>
      <c r="L1807" s="573">
        <v>4</v>
      </c>
      <c r="M1807" s="573">
        <v>0</v>
      </c>
      <c r="N1807" s="573" t="s">
        <v>157</v>
      </c>
      <c r="O1807" s="573">
        <v>2</v>
      </c>
      <c r="P1807" s="573" t="s">
        <v>3385</v>
      </c>
      <c r="Q1807" s="571">
        <v>7000</v>
      </c>
      <c r="R1807" s="573" t="s">
        <v>189</v>
      </c>
      <c r="S1807" s="573">
        <v>4</v>
      </c>
      <c r="T1807" s="573" t="s">
        <v>3423</v>
      </c>
      <c r="U1807" s="573" t="s">
        <v>3412</v>
      </c>
      <c r="V1807" s="573">
        <v>128.30000000000001</v>
      </c>
      <c r="W1807" s="573">
        <v>21</v>
      </c>
      <c r="X1807" s="571">
        <v>5600</v>
      </c>
      <c r="Y1807" s="573">
        <v>21</v>
      </c>
      <c r="Z1807" s="579" t="s">
        <v>178</v>
      </c>
      <c r="AA1807" s="579" t="s">
        <v>178</v>
      </c>
      <c r="AB1807" s="584">
        <v>29595</v>
      </c>
      <c r="AC1807" s="584" t="s">
        <v>164</v>
      </c>
      <c r="AD1807" s="584">
        <v>28353</v>
      </c>
      <c r="AE1807" s="586">
        <v>0.03</v>
      </c>
      <c r="AF1807" s="661" t="str">
        <f t="shared" si="199"/>
        <v>2019-LTK-CHV-COLO-010-13</v>
      </c>
      <c r="AG1807" s="661" t="str">
        <f>IF(AND($Y1807&gt;=32,(AI1807="I"),(Y1807&lt;&gt;"~"),(COUNTIF($AN$1:$AN1807,$AN1807)=1)),"TRUE","FALSE")</f>
        <v>FALSE</v>
      </c>
      <c r="AH1807" s="661" t="str">
        <f>IF(AND($Y1807&gt;=22, (AI1807&lt;&gt;"I"),(Y1807&lt;&gt;"~"),(COUNTIF($AN$1:$AN1807,$AN1807)=1)),"TRUE","FALSE")</f>
        <v>FALSE</v>
      </c>
      <c r="AI1807" s="661" t="str">
        <f t="shared" si="194"/>
        <v>II</v>
      </c>
      <c r="AJ1807" s="662" t="str">
        <f t="shared" si="195"/>
        <v>COLO-010</v>
      </c>
      <c r="AK1807" s="662" t="str">
        <f t="shared" si="196"/>
        <v>LTK</v>
      </c>
      <c r="AL1807" s="662" t="str">
        <f t="shared" si="197"/>
        <v>CHV</v>
      </c>
      <c r="AM1807" s="662" t="str">
        <f t="shared" si="193"/>
        <v>Colorado-WT Extended Cab-4WD-4-6'2"-7000-2.5L-4-12M53-4WT-128.3-21-Unleaded-Unleaded</v>
      </c>
      <c r="AN1807" s="662" t="str">
        <f t="shared" si="198"/>
        <v>2019-LTK-CHV-COLO-010</v>
      </c>
    </row>
    <row r="1808" spans="1:40" s="572" customFormat="1" ht="15">
      <c r="A1808" s="570" t="s">
        <v>3430</v>
      </c>
      <c r="B1808" s="569" t="s">
        <v>3428</v>
      </c>
      <c r="C1808" s="569" t="s">
        <v>166</v>
      </c>
      <c r="D1808" s="580">
        <v>17</v>
      </c>
      <c r="E1808" s="569" t="s">
        <v>3374</v>
      </c>
      <c r="F1808" s="569" t="s">
        <v>211</v>
      </c>
      <c r="G1808" s="569" t="s">
        <v>153</v>
      </c>
      <c r="H1808" s="569">
        <v>2019</v>
      </c>
      <c r="I1808" s="569" t="s">
        <v>3375</v>
      </c>
      <c r="J1808" s="569" t="s">
        <v>3422</v>
      </c>
      <c r="K1808" s="569" t="s">
        <v>752</v>
      </c>
      <c r="L1808" s="569">
        <v>4</v>
      </c>
      <c r="M1808" s="569">
        <v>0</v>
      </c>
      <c r="N1808" s="569" t="s">
        <v>157</v>
      </c>
      <c r="O1808" s="569">
        <v>2</v>
      </c>
      <c r="P1808" s="569" t="s">
        <v>3385</v>
      </c>
      <c r="Q1808" s="568">
        <v>7000</v>
      </c>
      <c r="R1808" s="569" t="s">
        <v>189</v>
      </c>
      <c r="S1808" s="569">
        <v>4</v>
      </c>
      <c r="T1808" s="569" t="s">
        <v>3423</v>
      </c>
      <c r="U1808" s="569" t="s">
        <v>3412</v>
      </c>
      <c r="V1808" s="569">
        <v>128.30000000000001</v>
      </c>
      <c r="W1808" s="569">
        <v>21</v>
      </c>
      <c r="X1808" s="568">
        <v>5600</v>
      </c>
      <c r="Y1808" s="569">
        <v>21</v>
      </c>
      <c r="Z1808" s="581" t="s">
        <v>178</v>
      </c>
      <c r="AA1808" s="581" t="s">
        <v>178</v>
      </c>
      <c r="AB1808" s="585">
        <v>29595</v>
      </c>
      <c r="AC1808" s="585" t="s">
        <v>164</v>
      </c>
      <c r="AD1808" s="585">
        <v>27532.240000000002</v>
      </c>
      <c r="AE1808" s="587">
        <v>7.1999999999999995E-2</v>
      </c>
      <c r="AF1808" s="661" t="str">
        <f t="shared" si="199"/>
        <v>2019-LTK-CHV-COLO-010-17</v>
      </c>
      <c r="AG1808" s="661" t="str">
        <f>IF(AND($Y1808&gt;=32,(AI1808="I"),(Y1808&lt;&gt;"~"),(COUNTIF($AN$1:$AN1808,$AN1808)=1)),"TRUE","FALSE")</f>
        <v>FALSE</v>
      </c>
      <c r="AH1808" s="661" t="str">
        <f>IF(AND($Y1808&gt;=22, (AI1808&lt;&gt;"I"),(Y1808&lt;&gt;"~"),(COUNTIF($AN$1:$AN1808,$AN1808)=1)),"TRUE","FALSE")</f>
        <v>FALSE</v>
      </c>
      <c r="AI1808" s="661" t="str">
        <f t="shared" si="194"/>
        <v>II</v>
      </c>
      <c r="AJ1808" s="662" t="str">
        <f t="shared" si="195"/>
        <v>COLO-010</v>
      </c>
      <c r="AK1808" s="662" t="str">
        <f t="shared" si="196"/>
        <v>LTK</v>
      </c>
      <c r="AL1808" s="662" t="str">
        <f t="shared" si="197"/>
        <v>CHV</v>
      </c>
      <c r="AM1808" s="662" t="str">
        <f t="shared" si="193"/>
        <v>Colorado-WT Extended Cab-4WD-4-6'2"-7000-2.5L-4-12M53-4WT-128.3-21-Unleaded-Unleaded</v>
      </c>
      <c r="AN1808" s="662" t="str">
        <f t="shared" si="198"/>
        <v>2019-LTK-CHV-COLO-010</v>
      </c>
    </row>
    <row r="1809" spans="1:40" s="572" customFormat="1" ht="15">
      <c r="A1809" s="570" t="s">
        <v>3431</v>
      </c>
      <c r="B1809" s="573" t="s">
        <v>3432</v>
      </c>
      <c r="C1809" s="573" t="s">
        <v>169</v>
      </c>
      <c r="D1809" s="578">
        <v>11</v>
      </c>
      <c r="E1809" s="573" t="s">
        <v>3374</v>
      </c>
      <c r="F1809" s="573" t="s">
        <v>211</v>
      </c>
      <c r="G1809" s="573" t="s">
        <v>153</v>
      </c>
      <c r="H1809" s="573">
        <v>2019</v>
      </c>
      <c r="I1809" s="573" t="s">
        <v>3375</v>
      </c>
      <c r="J1809" s="573" t="s">
        <v>3433</v>
      </c>
      <c r="K1809" s="573" t="s">
        <v>3377</v>
      </c>
      <c r="L1809" s="573">
        <v>5</v>
      </c>
      <c r="M1809" s="573">
        <v>0</v>
      </c>
      <c r="N1809" s="573" t="s">
        <v>157</v>
      </c>
      <c r="O1809" s="573">
        <v>2</v>
      </c>
      <c r="P1809" s="573" t="s">
        <v>3378</v>
      </c>
      <c r="Q1809" s="571">
        <v>7000</v>
      </c>
      <c r="R1809" s="573" t="s">
        <v>189</v>
      </c>
      <c r="S1809" s="573">
        <v>4</v>
      </c>
      <c r="T1809" s="573" t="s">
        <v>3434</v>
      </c>
      <c r="U1809" s="573" t="s">
        <v>3435</v>
      </c>
      <c r="V1809" s="573">
        <v>128.30000000000001</v>
      </c>
      <c r="W1809" s="573">
        <v>21</v>
      </c>
      <c r="X1809" s="571">
        <v>5500</v>
      </c>
      <c r="Y1809" s="573">
        <v>22</v>
      </c>
      <c r="Z1809" s="579" t="s">
        <v>178</v>
      </c>
      <c r="AA1809" s="579" t="s">
        <v>178</v>
      </c>
      <c r="AB1809" s="584">
        <v>33495</v>
      </c>
      <c r="AC1809" s="584" t="s">
        <v>164</v>
      </c>
      <c r="AD1809" s="584">
        <v>29488.541666666668</v>
      </c>
      <c r="AE1809" s="586">
        <v>0.05</v>
      </c>
      <c r="AF1809" s="661" t="str">
        <f t="shared" si="199"/>
        <v>2019-LTK-CHV-COLO-011-11</v>
      </c>
      <c r="AG1809" s="661" t="str">
        <f>IF(AND($Y1809&gt;=32,(AI1809="I"),(Y1809&lt;&gt;"~"),(COUNTIF($AN$1:$AN1809,$AN1809)=1)),"TRUE","FALSE")</f>
        <v>FALSE</v>
      </c>
      <c r="AH1809" s="661" t="str">
        <f>IF(AND($Y1809&gt;=22, (AI1809&lt;&gt;"I"),(Y1809&lt;&gt;"~"),(COUNTIF($AN$1:$AN1809,$AN1809)=1)),"TRUE","FALSE")</f>
        <v>TRUE</v>
      </c>
      <c r="AI1809" s="661" t="str">
        <f t="shared" si="194"/>
        <v>II</v>
      </c>
      <c r="AJ1809" s="662" t="str">
        <f t="shared" si="195"/>
        <v>COLO-011</v>
      </c>
      <c r="AK1809" s="662" t="str">
        <f t="shared" si="196"/>
        <v>LTK</v>
      </c>
      <c r="AL1809" s="662" t="str">
        <f t="shared" si="197"/>
        <v>CHV</v>
      </c>
      <c r="AM1809" s="662" t="str">
        <f t="shared" si="193"/>
        <v>Colorado-Z71 Crew Cab-2WD-5-5'1"-7000-2.5L-4-12P43-2Z7-128.3-21-Unleaded-Unleaded</v>
      </c>
      <c r="AN1809" s="662" t="str">
        <f t="shared" si="198"/>
        <v>2019-LTK-CHV-COLO-011</v>
      </c>
    </row>
    <row r="1810" spans="1:40" s="572" customFormat="1" ht="15">
      <c r="A1810" s="570" t="s">
        <v>3436</v>
      </c>
      <c r="B1810" s="569" t="s">
        <v>3437</v>
      </c>
      <c r="C1810" s="569" t="s">
        <v>169</v>
      </c>
      <c r="D1810" s="580">
        <v>11</v>
      </c>
      <c r="E1810" s="569" t="s">
        <v>3374</v>
      </c>
      <c r="F1810" s="569" t="s">
        <v>211</v>
      </c>
      <c r="G1810" s="569" t="s">
        <v>153</v>
      </c>
      <c r="H1810" s="569">
        <v>2019</v>
      </c>
      <c r="I1810" s="569" t="s">
        <v>3375</v>
      </c>
      <c r="J1810" s="569" t="s">
        <v>3433</v>
      </c>
      <c r="K1810" s="569" t="s">
        <v>3377</v>
      </c>
      <c r="L1810" s="569">
        <v>5</v>
      </c>
      <c r="M1810" s="569">
        <v>0</v>
      </c>
      <c r="N1810" s="569" t="s">
        <v>157</v>
      </c>
      <c r="O1810" s="569">
        <v>2</v>
      </c>
      <c r="P1810" s="569" t="s">
        <v>3385</v>
      </c>
      <c r="Q1810" s="568">
        <v>7000</v>
      </c>
      <c r="R1810" s="569" t="s">
        <v>231</v>
      </c>
      <c r="S1810" s="569">
        <v>6</v>
      </c>
      <c r="T1810" s="569" t="s">
        <v>3438</v>
      </c>
      <c r="U1810" s="569" t="s">
        <v>3435</v>
      </c>
      <c r="V1810" s="569">
        <v>140.5</v>
      </c>
      <c r="W1810" s="569">
        <v>21</v>
      </c>
      <c r="X1810" s="568">
        <v>5800</v>
      </c>
      <c r="Y1810" s="569">
        <v>20</v>
      </c>
      <c r="Z1810" s="581" t="s">
        <v>178</v>
      </c>
      <c r="AA1810" s="581" t="s">
        <v>178</v>
      </c>
      <c r="AB1810" s="585">
        <v>34895</v>
      </c>
      <c r="AC1810" s="585" t="s">
        <v>164</v>
      </c>
      <c r="AD1810" s="585">
        <v>30833.125</v>
      </c>
      <c r="AE1810" s="587">
        <v>0.05</v>
      </c>
      <c r="AF1810" s="661" t="str">
        <f t="shared" si="199"/>
        <v>2019-LTK-CHV-COLO-012-11</v>
      </c>
      <c r="AG1810" s="661" t="str">
        <f>IF(AND($Y1810&gt;=32,(AI1810="I"),(Y1810&lt;&gt;"~"),(COUNTIF($AN$1:$AN1810,$AN1810)=1)),"TRUE","FALSE")</f>
        <v>FALSE</v>
      </c>
      <c r="AH1810" s="661" t="str">
        <f>IF(AND($Y1810&gt;=22, (AI1810&lt;&gt;"I"),(Y1810&lt;&gt;"~"),(COUNTIF($AN$1:$AN1810,$AN1810)=1)),"TRUE","FALSE")</f>
        <v>FALSE</v>
      </c>
      <c r="AI1810" s="661" t="str">
        <f t="shared" si="194"/>
        <v>II</v>
      </c>
      <c r="AJ1810" s="662" t="str">
        <f t="shared" si="195"/>
        <v>COLO-012</v>
      </c>
      <c r="AK1810" s="662" t="str">
        <f t="shared" si="196"/>
        <v>LTK</v>
      </c>
      <c r="AL1810" s="662" t="str">
        <f t="shared" si="197"/>
        <v>CHV</v>
      </c>
      <c r="AM1810" s="662" t="str">
        <f t="shared" si="193"/>
        <v>Colorado-Z71 Crew Cab-2WD-5-6'2"-7000-3.6L-6-12V43-2Z7-140.5-21-Unleaded-Unleaded</v>
      </c>
      <c r="AN1810" s="662" t="str">
        <f t="shared" si="198"/>
        <v>2019-LTK-CHV-COLO-012</v>
      </c>
    </row>
    <row r="1811" spans="1:40" s="572" customFormat="1" ht="15">
      <c r="A1811" s="570" t="s">
        <v>3439</v>
      </c>
      <c r="B1811" s="573" t="s">
        <v>3432</v>
      </c>
      <c r="C1811" s="573" t="s">
        <v>150</v>
      </c>
      <c r="D1811" s="578">
        <v>13</v>
      </c>
      <c r="E1811" s="573" t="s">
        <v>3374</v>
      </c>
      <c r="F1811" s="573" t="s">
        <v>211</v>
      </c>
      <c r="G1811" s="573" t="s">
        <v>153</v>
      </c>
      <c r="H1811" s="573">
        <v>2019</v>
      </c>
      <c r="I1811" s="573" t="s">
        <v>3375</v>
      </c>
      <c r="J1811" s="573" t="s">
        <v>3433</v>
      </c>
      <c r="K1811" s="573" t="s">
        <v>3377</v>
      </c>
      <c r="L1811" s="573">
        <v>5</v>
      </c>
      <c r="M1811" s="573">
        <v>0</v>
      </c>
      <c r="N1811" s="573" t="s">
        <v>157</v>
      </c>
      <c r="O1811" s="573">
        <v>2</v>
      </c>
      <c r="P1811" s="573" t="s">
        <v>3378</v>
      </c>
      <c r="Q1811" s="571">
        <v>7000</v>
      </c>
      <c r="R1811" s="573" t="s">
        <v>189</v>
      </c>
      <c r="S1811" s="573">
        <v>4</v>
      </c>
      <c r="T1811" s="573" t="s">
        <v>3434</v>
      </c>
      <c r="U1811" s="573" t="s">
        <v>3435</v>
      </c>
      <c r="V1811" s="573">
        <v>128.30000000000001</v>
      </c>
      <c r="W1811" s="573">
        <v>21</v>
      </c>
      <c r="X1811" s="571">
        <v>5500</v>
      </c>
      <c r="Y1811" s="573">
        <v>22</v>
      </c>
      <c r="Z1811" s="579" t="s">
        <v>178</v>
      </c>
      <c r="AA1811" s="579" t="s">
        <v>178</v>
      </c>
      <c r="AB1811" s="584">
        <v>33495</v>
      </c>
      <c r="AC1811" s="584" t="s">
        <v>164</v>
      </c>
      <c r="AD1811" s="584">
        <v>30457</v>
      </c>
      <c r="AE1811" s="586">
        <v>0.03</v>
      </c>
      <c r="AF1811" s="661" t="str">
        <f t="shared" si="199"/>
        <v>2019-LTK-CHV-COLO-011-13</v>
      </c>
      <c r="AG1811" s="661" t="str">
        <f>IF(AND($Y1811&gt;=32,(AI1811="I"),(Y1811&lt;&gt;"~"),(COUNTIF($AN$1:$AN1811,$AN1811)=1)),"TRUE","FALSE")</f>
        <v>FALSE</v>
      </c>
      <c r="AH1811" s="661" t="str">
        <f>IF(AND($Y1811&gt;=22, (AI1811&lt;&gt;"I"),(Y1811&lt;&gt;"~"),(COUNTIF($AN$1:$AN1811,$AN1811)=1)),"TRUE","FALSE")</f>
        <v>FALSE</v>
      </c>
      <c r="AI1811" s="661" t="str">
        <f t="shared" si="194"/>
        <v>II</v>
      </c>
      <c r="AJ1811" s="662" t="str">
        <f t="shared" si="195"/>
        <v>COLO-011</v>
      </c>
      <c r="AK1811" s="662" t="str">
        <f t="shared" si="196"/>
        <v>LTK</v>
      </c>
      <c r="AL1811" s="662" t="str">
        <f t="shared" si="197"/>
        <v>CHV</v>
      </c>
      <c r="AM1811" s="662" t="str">
        <f t="shared" si="193"/>
        <v>Colorado-Z71 Crew Cab-2WD-5-5'1"-7000-2.5L-4-12P43-2Z7-128.3-21-Unleaded-Unleaded</v>
      </c>
      <c r="AN1811" s="662" t="str">
        <f t="shared" si="198"/>
        <v>2019-LTK-CHV-COLO-011</v>
      </c>
    </row>
    <row r="1812" spans="1:40" s="572" customFormat="1" ht="15">
      <c r="A1812" s="570" t="s">
        <v>3440</v>
      </c>
      <c r="B1812" s="569" t="s">
        <v>3437</v>
      </c>
      <c r="C1812" s="569" t="s">
        <v>150</v>
      </c>
      <c r="D1812" s="580">
        <v>13</v>
      </c>
      <c r="E1812" s="569" t="s">
        <v>3374</v>
      </c>
      <c r="F1812" s="569" t="s">
        <v>211</v>
      </c>
      <c r="G1812" s="569" t="s">
        <v>153</v>
      </c>
      <c r="H1812" s="569">
        <v>2019</v>
      </c>
      <c r="I1812" s="569" t="s">
        <v>3375</v>
      </c>
      <c r="J1812" s="569" t="s">
        <v>3433</v>
      </c>
      <c r="K1812" s="569" t="s">
        <v>3377</v>
      </c>
      <c r="L1812" s="569">
        <v>5</v>
      </c>
      <c r="M1812" s="569">
        <v>0</v>
      </c>
      <c r="N1812" s="569" t="s">
        <v>157</v>
      </c>
      <c r="O1812" s="569">
        <v>2</v>
      </c>
      <c r="P1812" s="569" t="s">
        <v>3385</v>
      </c>
      <c r="Q1812" s="568">
        <v>7000</v>
      </c>
      <c r="R1812" s="569" t="s">
        <v>231</v>
      </c>
      <c r="S1812" s="569">
        <v>6</v>
      </c>
      <c r="T1812" s="569" t="s">
        <v>3438</v>
      </c>
      <c r="U1812" s="569" t="s">
        <v>3435</v>
      </c>
      <c r="V1812" s="569">
        <v>140.5</v>
      </c>
      <c r="W1812" s="569">
        <v>21</v>
      </c>
      <c r="X1812" s="568">
        <v>5800</v>
      </c>
      <c r="Y1812" s="569">
        <v>20</v>
      </c>
      <c r="Z1812" s="581" t="s">
        <v>178</v>
      </c>
      <c r="AA1812" s="581" t="s">
        <v>178</v>
      </c>
      <c r="AB1812" s="585">
        <v>34895</v>
      </c>
      <c r="AC1812" s="585" t="s">
        <v>164</v>
      </c>
      <c r="AD1812" s="585">
        <v>32822</v>
      </c>
      <c r="AE1812" s="587">
        <v>0.03</v>
      </c>
      <c r="AF1812" s="661" t="str">
        <f t="shared" si="199"/>
        <v>2019-LTK-CHV-COLO-012-13</v>
      </c>
      <c r="AG1812" s="661" t="str">
        <f>IF(AND($Y1812&gt;=32,(AI1812="I"),(Y1812&lt;&gt;"~"),(COUNTIF($AN$1:$AN1812,$AN1812)=1)),"TRUE","FALSE")</f>
        <v>FALSE</v>
      </c>
      <c r="AH1812" s="661" t="str">
        <f>IF(AND($Y1812&gt;=22, (AI1812&lt;&gt;"I"),(Y1812&lt;&gt;"~"),(COUNTIF($AN$1:$AN1812,$AN1812)=1)),"TRUE","FALSE")</f>
        <v>FALSE</v>
      </c>
      <c r="AI1812" s="661" t="str">
        <f t="shared" si="194"/>
        <v>II</v>
      </c>
      <c r="AJ1812" s="662" t="str">
        <f t="shared" si="195"/>
        <v>COLO-012</v>
      </c>
      <c r="AK1812" s="662" t="str">
        <f t="shared" si="196"/>
        <v>LTK</v>
      </c>
      <c r="AL1812" s="662" t="str">
        <f t="shared" si="197"/>
        <v>CHV</v>
      </c>
      <c r="AM1812" s="662" t="str">
        <f t="shared" si="193"/>
        <v>Colorado-Z71 Crew Cab-2WD-5-6'2"-7000-3.6L-6-12V43-2Z7-140.5-21-Unleaded-Unleaded</v>
      </c>
      <c r="AN1812" s="662" t="str">
        <f t="shared" si="198"/>
        <v>2019-LTK-CHV-COLO-012</v>
      </c>
    </row>
    <row r="1813" spans="1:40" s="572" customFormat="1" ht="15">
      <c r="A1813" s="570" t="s">
        <v>3441</v>
      </c>
      <c r="B1813" s="573" t="s">
        <v>3432</v>
      </c>
      <c r="C1813" s="573" t="s">
        <v>166</v>
      </c>
      <c r="D1813" s="578">
        <v>17</v>
      </c>
      <c r="E1813" s="573" t="s">
        <v>3374</v>
      </c>
      <c r="F1813" s="573" t="s">
        <v>211</v>
      </c>
      <c r="G1813" s="573" t="s">
        <v>153</v>
      </c>
      <c r="H1813" s="573">
        <v>2019</v>
      </c>
      <c r="I1813" s="573" t="s">
        <v>3375</v>
      </c>
      <c r="J1813" s="573" t="s">
        <v>3433</v>
      </c>
      <c r="K1813" s="573" t="s">
        <v>3377</v>
      </c>
      <c r="L1813" s="573">
        <v>5</v>
      </c>
      <c r="M1813" s="573">
        <v>0</v>
      </c>
      <c r="N1813" s="573" t="s">
        <v>157</v>
      </c>
      <c r="O1813" s="573">
        <v>2</v>
      </c>
      <c r="P1813" s="573" t="s">
        <v>3378</v>
      </c>
      <c r="Q1813" s="571">
        <v>7000</v>
      </c>
      <c r="R1813" s="573" t="s">
        <v>189</v>
      </c>
      <c r="S1813" s="573">
        <v>4</v>
      </c>
      <c r="T1813" s="573" t="s">
        <v>3434</v>
      </c>
      <c r="U1813" s="573" t="s">
        <v>3435</v>
      </c>
      <c r="V1813" s="573">
        <v>128.30000000000001</v>
      </c>
      <c r="W1813" s="573">
        <v>21</v>
      </c>
      <c r="X1813" s="571">
        <v>5500</v>
      </c>
      <c r="Y1813" s="573">
        <v>22</v>
      </c>
      <c r="Z1813" s="579" t="s">
        <v>178</v>
      </c>
      <c r="AA1813" s="579" t="s">
        <v>178</v>
      </c>
      <c r="AB1813" s="584">
        <v>33495</v>
      </c>
      <c r="AC1813" s="584" t="s">
        <v>164</v>
      </c>
      <c r="AD1813" s="584">
        <v>29906</v>
      </c>
      <c r="AE1813" s="586">
        <v>7.1999999999999995E-2</v>
      </c>
      <c r="AF1813" s="661" t="str">
        <f t="shared" si="199"/>
        <v>2019-LTK-CHV-COLO-011-17</v>
      </c>
      <c r="AG1813" s="661" t="str">
        <f>IF(AND($Y1813&gt;=32,(AI1813="I"),(Y1813&lt;&gt;"~"),(COUNTIF($AN$1:$AN1813,$AN1813)=1)),"TRUE","FALSE")</f>
        <v>FALSE</v>
      </c>
      <c r="AH1813" s="661" t="str">
        <f>IF(AND($Y1813&gt;=22, (AI1813&lt;&gt;"I"),(Y1813&lt;&gt;"~"),(COUNTIF($AN$1:$AN1813,$AN1813)=1)),"TRUE","FALSE")</f>
        <v>FALSE</v>
      </c>
      <c r="AI1813" s="661" t="str">
        <f t="shared" si="194"/>
        <v>II</v>
      </c>
      <c r="AJ1813" s="662" t="str">
        <f t="shared" si="195"/>
        <v>COLO-011</v>
      </c>
      <c r="AK1813" s="662" t="str">
        <f t="shared" si="196"/>
        <v>LTK</v>
      </c>
      <c r="AL1813" s="662" t="str">
        <f t="shared" si="197"/>
        <v>CHV</v>
      </c>
      <c r="AM1813" s="662" t="str">
        <f t="shared" si="193"/>
        <v>Colorado-Z71 Crew Cab-2WD-5-5'1"-7000-2.5L-4-12P43-2Z7-128.3-21-Unleaded-Unleaded</v>
      </c>
      <c r="AN1813" s="662" t="str">
        <f t="shared" si="198"/>
        <v>2019-LTK-CHV-COLO-011</v>
      </c>
    </row>
    <row r="1814" spans="1:40" s="572" customFormat="1" ht="15">
      <c r="A1814" s="570" t="s">
        <v>3442</v>
      </c>
      <c r="B1814" s="569" t="s">
        <v>3437</v>
      </c>
      <c r="C1814" s="569" t="s">
        <v>166</v>
      </c>
      <c r="D1814" s="580">
        <v>17</v>
      </c>
      <c r="E1814" s="569" t="s">
        <v>3374</v>
      </c>
      <c r="F1814" s="569" t="s">
        <v>211</v>
      </c>
      <c r="G1814" s="569" t="s">
        <v>153</v>
      </c>
      <c r="H1814" s="569">
        <v>2019</v>
      </c>
      <c r="I1814" s="569" t="s">
        <v>3375</v>
      </c>
      <c r="J1814" s="569" t="s">
        <v>3433</v>
      </c>
      <c r="K1814" s="569" t="s">
        <v>3377</v>
      </c>
      <c r="L1814" s="569">
        <v>5</v>
      </c>
      <c r="M1814" s="569">
        <v>0</v>
      </c>
      <c r="N1814" s="569" t="s">
        <v>157</v>
      </c>
      <c r="O1814" s="569">
        <v>2</v>
      </c>
      <c r="P1814" s="569" t="s">
        <v>3385</v>
      </c>
      <c r="Q1814" s="568">
        <v>7000</v>
      </c>
      <c r="R1814" s="569" t="s">
        <v>231</v>
      </c>
      <c r="S1814" s="569">
        <v>6</v>
      </c>
      <c r="T1814" s="569" t="s">
        <v>3438</v>
      </c>
      <c r="U1814" s="569" t="s">
        <v>3435</v>
      </c>
      <c r="V1814" s="569">
        <v>140.5</v>
      </c>
      <c r="W1814" s="569">
        <v>21</v>
      </c>
      <c r="X1814" s="568">
        <v>5800</v>
      </c>
      <c r="Y1814" s="569">
        <v>20</v>
      </c>
      <c r="Z1814" s="581" t="s">
        <v>178</v>
      </c>
      <c r="AA1814" s="581" t="s">
        <v>178</v>
      </c>
      <c r="AB1814" s="585">
        <v>34895</v>
      </c>
      <c r="AC1814" s="585" t="s">
        <v>164</v>
      </c>
      <c r="AD1814" s="585">
        <v>31103.59</v>
      </c>
      <c r="AE1814" s="587">
        <v>7.1999999999999995E-2</v>
      </c>
      <c r="AF1814" s="661" t="str">
        <f t="shared" si="199"/>
        <v>2019-LTK-CHV-COLO-012-17</v>
      </c>
      <c r="AG1814" s="661" t="str">
        <f>IF(AND($Y1814&gt;=32,(AI1814="I"),(Y1814&lt;&gt;"~"),(COUNTIF($AN$1:$AN1814,$AN1814)=1)),"TRUE","FALSE")</f>
        <v>FALSE</v>
      </c>
      <c r="AH1814" s="661" t="str">
        <f>IF(AND($Y1814&gt;=22, (AI1814&lt;&gt;"I"),(Y1814&lt;&gt;"~"),(COUNTIF($AN$1:$AN1814,$AN1814)=1)),"TRUE","FALSE")</f>
        <v>FALSE</v>
      </c>
      <c r="AI1814" s="661" t="str">
        <f t="shared" si="194"/>
        <v>II</v>
      </c>
      <c r="AJ1814" s="662" t="str">
        <f t="shared" si="195"/>
        <v>COLO-012</v>
      </c>
      <c r="AK1814" s="662" t="str">
        <f t="shared" si="196"/>
        <v>LTK</v>
      </c>
      <c r="AL1814" s="662" t="str">
        <f t="shared" si="197"/>
        <v>CHV</v>
      </c>
      <c r="AM1814" s="662" t="str">
        <f t="shared" si="193"/>
        <v>Colorado-Z71 Crew Cab-2WD-5-6'2"-7000-3.6L-6-12V43-2Z7-140.5-21-Unleaded-Unleaded</v>
      </c>
      <c r="AN1814" s="662" t="str">
        <f t="shared" si="198"/>
        <v>2019-LTK-CHV-COLO-012</v>
      </c>
    </row>
    <row r="1815" spans="1:40" s="572" customFormat="1" ht="15">
      <c r="A1815" s="570" t="s">
        <v>3443</v>
      </c>
      <c r="B1815" s="573" t="s">
        <v>3444</v>
      </c>
      <c r="C1815" s="573" t="s">
        <v>169</v>
      </c>
      <c r="D1815" s="578">
        <v>11</v>
      </c>
      <c r="E1815" s="573" t="s">
        <v>3374</v>
      </c>
      <c r="F1815" s="573" t="s">
        <v>211</v>
      </c>
      <c r="G1815" s="573" t="s">
        <v>153</v>
      </c>
      <c r="H1815" s="573">
        <v>2019</v>
      </c>
      <c r="I1815" s="573" t="s">
        <v>3375</v>
      </c>
      <c r="J1815" s="573" t="s">
        <v>3433</v>
      </c>
      <c r="K1815" s="573" t="s">
        <v>752</v>
      </c>
      <c r="L1815" s="573">
        <v>5</v>
      </c>
      <c r="M1815" s="573">
        <v>0</v>
      </c>
      <c r="N1815" s="573" t="s">
        <v>157</v>
      </c>
      <c r="O1815" s="573">
        <v>2</v>
      </c>
      <c r="P1815" s="573" t="s">
        <v>3378</v>
      </c>
      <c r="Q1815" s="571">
        <v>7000</v>
      </c>
      <c r="R1815" s="573" t="s">
        <v>231</v>
      </c>
      <c r="S1815" s="573">
        <v>6</v>
      </c>
      <c r="T1815" s="573" t="s">
        <v>3434</v>
      </c>
      <c r="U1815" s="573" t="s">
        <v>3445</v>
      </c>
      <c r="V1815" s="573">
        <v>128.30000000000001</v>
      </c>
      <c r="W1815" s="573">
        <v>21</v>
      </c>
      <c r="X1815" s="571">
        <v>6000</v>
      </c>
      <c r="Y1815" s="573">
        <v>19</v>
      </c>
      <c r="Z1815" s="579" t="s">
        <v>178</v>
      </c>
      <c r="AA1815" s="579" t="s">
        <v>178</v>
      </c>
      <c r="AB1815" s="584">
        <v>37895</v>
      </c>
      <c r="AC1815" s="584" t="s">
        <v>164</v>
      </c>
      <c r="AD1815" s="584">
        <v>33714.375000000007</v>
      </c>
      <c r="AE1815" s="586">
        <v>0.05</v>
      </c>
      <c r="AF1815" s="661" t="str">
        <f t="shared" si="199"/>
        <v>2019-LTK-CHV-COLO-013-11</v>
      </c>
      <c r="AG1815" s="661" t="str">
        <f>IF(AND($Y1815&gt;=32,(AI1815="I"),(Y1815&lt;&gt;"~"),(COUNTIF($AN$1:$AN1815,$AN1815)=1)),"TRUE","FALSE")</f>
        <v>FALSE</v>
      </c>
      <c r="AH1815" s="661" t="str">
        <f>IF(AND($Y1815&gt;=22, (AI1815&lt;&gt;"I"),(Y1815&lt;&gt;"~"),(COUNTIF($AN$1:$AN1815,$AN1815)=1)),"TRUE","FALSE")</f>
        <v>FALSE</v>
      </c>
      <c r="AI1815" s="661" t="str">
        <f t="shared" si="194"/>
        <v>II</v>
      </c>
      <c r="AJ1815" s="662" t="str">
        <f t="shared" si="195"/>
        <v>COLO-013</v>
      </c>
      <c r="AK1815" s="662" t="str">
        <f t="shared" si="196"/>
        <v>LTK</v>
      </c>
      <c r="AL1815" s="662" t="str">
        <f t="shared" si="197"/>
        <v>CHV</v>
      </c>
      <c r="AM1815" s="662" t="str">
        <f t="shared" si="193"/>
        <v>Colorado-Z71 Crew Cab-4WD-5-5'1"-7000-3.6L-6-12P43-4Z7-128.3-21-Unleaded-Unleaded</v>
      </c>
      <c r="AN1815" s="662" t="str">
        <f t="shared" si="198"/>
        <v>2019-LTK-CHV-COLO-013</v>
      </c>
    </row>
    <row r="1816" spans="1:40" s="572" customFormat="1" ht="15">
      <c r="A1816" s="570" t="s">
        <v>3446</v>
      </c>
      <c r="B1816" s="569" t="s">
        <v>3447</v>
      </c>
      <c r="C1816" s="569" t="s">
        <v>169</v>
      </c>
      <c r="D1816" s="580">
        <v>11</v>
      </c>
      <c r="E1816" s="569" t="s">
        <v>3374</v>
      </c>
      <c r="F1816" s="569" t="s">
        <v>211</v>
      </c>
      <c r="G1816" s="569" t="s">
        <v>153</v>
      </c>
      <c r="H1816" s="569">
        <v>2019</v>
      </c>
      <c r="I1816" s="569" t="s">
        <v>3375</v>
      </c>
      <c r="J1816" s="569" t="s">
        <v>3433</v>
      </c>
      <c r="K1816" s="569" t="s">
        <v>752</v>
      </c>
      <c r="L1816" s="569">
        <v>5</v>
      </c>
      <c r="M1816" s="569">
        <v>0</v>
      </c>
      <c r="N1816" s="569" t="s">
        <v>157</v>
      </c>
      <c r="O1816" s="569">
        <v>2</v>
      </c>
      <c r="P1816" s="569" t="s">
        <v>3385</v>
      </c>
      <c r="Q1816" s="568">
        <v>7000</v>
      </c>
      <c r="R1816" s="569" t="s">
        <v>231</v>
      </c>
      <c r="S1816" s="569">
        <v>6</v>
      </c>
      <c r="T1816" s="569" t="s">
        <v>3438</v>
      </c>
      <c r="U1816" s="569" t="s">
        <v>3445</v>
      </c>
      <c r="V1816" s="569">
        <v>140.5</v>
      </c>
      <c r="W1816" s="569">
        <v>21</v>
      </c>
      <c r="X1816" s="568">
        <v>6000</v>
      </c>
      <c r="Y1816" s="569">
        <v>19</v>
      </c>
      <c r="Z1816" s="581" t="s">
        <v>178</v>
      </c>
      <c r="AA1816" s="581" t="s">
        <v>178</v>
      </c>
      <c r="AB1816" s="585">
        <v>38195</v>
      </c>
      <c r="AC1816" s="585" t="s">
        <v>164</v>
      </c>
      <c r="AD1816" s="585">
        <v>34002.5</v>
      </c>
      <c r="AE1816" s="587">
        <v>0.05</v>
      </c>
      <c r="AF1816" s="661" t="str">
        <f t="shared" si="199"/>
        <v>2019-LTK-CHV-COLO-014-11</v>
      </c>
      <c r="AG1816" s="661" t="str">
        <f>IF(AND($Y1816&gt;=32,(AI1816="I"),(Y1816&lt;&gt;"~"),(COUNTIF($AN$1:$AN1816,$AN1816)=1)),"TRUE","FALSE")</f>
        <v>FALSE</v>
      </c>
      <c r="AH1816" s="661" t="str">
        <f>IF(AND($Y1816&gt;=22, (AI1816&lt;&gt;"I"),(Y1816&lt;&gt;"~"),(COUNTIF($AN$1:$AN1816,$AN1816)=1)),"TRUE","FALSE")</f>
        <v>FALSE</v>
      </c>
      <c r="AI1816" s="661" t="str">
        <f t="shared" si="194"/>
        <v>II</v>
      </c>
      <c r="AJ1816" s="662" t="str">
        <f t="shared" si="195"/>
        <v>COLO-014</v>
      </c>
      <c r="AK1816" s="662" t="str">
        <f t="shared" si="196"/>
        <v>LTK</v>
      </c>
      <c r="AL1816" s="662" t="str">
        <f t="shared" si="197"/>
        <v>CHV</v>
      </c>
      <c r="AM1816" s="662" t="str">
        <f t="shared" si="193"/>
        <v>Colorado-Z71 Crew Cab-4WD-5-6'2"-7000-3.6L-6-12V43-4Z7-140.5-21-Unleaded-Unleaded</v>
      </c>
      <c r="AN1816" s="662" t="str">
        <f t="shared" si="198"/>
        <v>2019-LTK-CHV-COLO-014</v>
      </c>
    </row>
    <row r="1817" spans="1:40" s="572" customFormat="1" ht="15">
      <c r="A1817" s="570" t="s">
        <v>3448</v>
      </c>
      <c r="B1817" s="573" t="s">
        <v>3444</v>
      </c>
      <c r="C1817" s="573" t="s">
        <v>150</v>
      </c>
      <c r="D1817" s="578">
        <v>13</v>
      </c>
      <c r="E1817" s="573" t="s">
        <v>3374</v>
      </c>
      <c r="F1817" s="573" t="s">
        <v>211</v>
      </c>
      <c r="G1817" s="573" t="s">
        <v>153</v>
      </c>
      <c r="H1817" s="573">
        <v>2019</v>
      </c>
      <c r="I1817" s="573" t="s">
        <v>3375</v>
      </c>
      <c r="J1817" s="573" t="s">
        <v>3433</v>
      </c>
      <c r="K1817" s="573" t="s">
        <v>752</v>
      </c>
      <c r="L1817" s="573">
        <v>5</v>
      </c>
      <c r="M1817" s="573">
        <v>0</v>
      </c>
      <c r="N1817" s="573" t="s">
        <v>157</v>
      </c>
      <c r="O1817" s="573">
        <v>2</v>
      </c>
      <c r="P1817" s="573" t="s">
        <v>3378</v>
      </c>
      <c r="Q1817" s="571">
        <v>7000</v>
      </c>
      <c r="R1817" s="573" t="s">
        <v>231</v>
      </c>
      <c r="S1817" s="573">
        <v>6</v>
      </c>
      <c r="T1817" s="573" t="s">
        <v>3434</v>
      </c>
      <c r="U1817" s="573" t="s">
        <v>3445</v>
      </c>
      <c r="V1817" s="573">
        <v>128.30000000000001</v>
      </c>
      <c r="W1817" s="573">
        <v>21</v>
      </c>
      <c r="X1817" s="571">
        <v>6000</v>
      </c>
      <c r="Y1817" s="573">
        <v>19</v>
      </c>
      <c r="Z1817" s="579" t="s">
        <v>178</v>
      </c>
      <c r="AA1817" s="579" t="s">
        <v>178</v>
      </c>
      <c r="AB1817" s="584">
        <v>37895</v>
      </c>
      <c r="AC1817" s="584" t="s">
        <v>164</v>
      </c>
      <c r="AD1817" s="584">
        <v>35543</v>
      </c>
      <c r="AE1817" s="586">
        <v>0.03</v>
      </c>
      <c r="AF1817" s="661" t="str">
        <f t="shared" si="199"/>
        <v>2019-LTK-CHV-COLO-013-13</v>
      </c>
      <c r="AG1817" s="661" t="str">
        <f>IF(AND($Y1817&gt;=32,(AI1817="I"),(Y1817&lt;&gt;"~"),(COUNTIF($AN$1:$AN1817,$AN1817)=1)),"TRUE","FALSE")</f>
        <v>FALSE</v>
      </c>
      <c r="AH1817" s="661" t="str">
        <f>IF(AND($Y1817&gt;=22, (AI1817&lt;&gt;"I"),(Y1817&lt;&gt;"~"),(COUNTIF($AN$1:$AN1817,$AN1817)=1)),"TRUE","FALSE")</f>
        <v>FALSE</v>
      </c>
      <c r="AI1817" s="661" t="str">
        <f t="shared" si="194"/>
        <v>II</v>
      </c>
      <c r="AJ1817" s="662" t="str">
        <f t="shared" si="195"/>
        <v>COLO-013</v>
      </c>
      <c r="AK1817" s="662" t="str">
        <f t="shared" si="196"/>
        <v>LTK</v>
      </c>
      <c r="AL1817" s="662" t="str">
        <f t="shared" si="197"/>
        <v>CHV</v>
      </c>
      <c r="AM1817" s="662" t="str">
        <f t="shared" si="193"/>
        <v>Colorado-Z71 Crew Cab-4WD-5-5'1"-7000-3.6L-6-12P43-4Z7-128.3-21-Unleaded-Unleaded</v>
      </c>
      <c r="AN1817" s="662" t="str">
        <f t="shared" si="198"/>
        <v>2019-LTK-CHV-COLO-013</v>
      </c>
    </row>
    <row r="1818" spans="1:40" s="572" customFormat="1" ht="15">
      <c r="A1818" s="570" t="s">
        <v>3449</v>
      </c>
      <c r="B1818" s="569" t="s">
        <v>3447</v>
      </c>
      <c r="C1818" s="569" t="s">
        <v>150</v>
      </c>
      <c r="D1818" s="580">
        <v>13</v>
      </c>
      <c r="E1818" s="569" t="s">
        <v>3374</v>
      </c>
      <c r="F1818" s="569" t="s">
        <v>211</v>
      </c>
      <c r="G1818" s="569" t="s">
        <v>153</v>
      </c>
      <c r="H1818" s="569">
        <v>2019</v>
      </c>
      <c r="I1818" s="569" t="s">
        <v>3375</v>
      </c>
      <c r="J1818" s="569" t="s">
        <v>3433</v>
      </c>
      <c r="K1818" s="569" t="s">
        <v>752</v>
      </c>
      <c r="L1818" s="569">
        <v>5</v>
      </c>
      <c r="M1818" s="569">
        <v>0</v>
      </c>
      <c r="N1818" s="569" t="s">
        <v>157</v>
      </c>
      <c r="O1818" s="569">
        <v>2</v>
      </c>
      <c r="P1818" s="569" t="s">
        <v>3385</v>
      </c>
      <c r="Q1818" s="568">
        <v>7000</v>
      </c>
      <c r="R1818" s="569" t="s">
        <v>231</v>
      </c>
      <c r="S1818" s="569">
        <v>6</v>
      </c>
      <c r="T1818" s="569" t="s">
        <v>3438</v>
      </c>
      <c r="U1818" s="569" t="s">
        <v>3445</v>
      </c>
      <c r="V1818" s="569">
        <v>140.5</v>
      </c>
      <c r="W1818" s="569">
        <v>21</v>
      </c>
      <c r="X1818" s="568">
        <v>6000</v>
      </c>
      <c r="Y1818" s="569">
        <v>19</v>
      </c>
      <c r="Z1818" s="581" t="s">
        <v>178</v>
      </c>
      <c r="AA1818" s="581" t="s">
        <v>178</v>
      </c>
      <c r="AB1818" s="585">
        <v>38195</v>
      </c>
      <c r="AC1818" s="585" t="s">
        <v>164</v>
      </c>
      <c r="AD1818" s="585">
        <v>35819</v>
      </c>
      <c r="AE1818" s="587">
        <v>0.03</v>
      </c>
      <c r="AF1818" s="661" t="str">
        <f t="shared" si="199"/>
        <v>2019-LTK-CHV-COLO-014-13</v>
      </c>
      <c r="AG1818" s="661" t="str">
        <f>IF(AND($Y1818&gt;=32,(AI1818="I"),(Y1818&lt;&gt;"~"),(COUNTIF($AN$1:$AN1818,$AN1818)=1)),"TRUE","FALSE")</f>
        <v>FALSE</v>
      </c>
      <c r="AH1818" s="661" t="str">
        <f>IF(AND($Y1818&gt;=22, (AI1818&lt;&gt;"I"),(Y1818&lt;&gt;"~"),(COUNTIF($AN$1:$AN1818,$AN1818)=1)),"TRUE","FALSE")</f>
        <v>FALSE</v>
      </c>
      <c r="AI1818" s="661" t="str">
        <f t="shared" si="194"/>
        <v>II</v>
      </c>
      <c r="AJ1818" s="662" t="str">
        <f t="shared" si="195"/>
        <v>COLO-014</v>
      </c>
      <c r="AK1818" s="662" t="str">
        <f t="shared" si="196"/>
        <v>LTK</v>
      </c>
      <c r="AL1818" s="662" t="str">
        <f t="shared" si="197"/>
        <v>CHV</v>
      </c>
      <c r="AM1818" s="662" t="str">
        <f t="shared" si="193"/>
        <v>Colorado-Z71 Crew Cab-4WD-5-6'2"-7000-3.6L-6-12V43-4Z7-140.5-21-Unleaded-Unleaded</v>
      </c>
      <c r="AN1818" s="662" t="str">
        <f t="shared" si="198"/>
        <v>2019-LTK-CHV-COLO-014</v>
      </c>
    </row>
    <row r="1819" spans="1:40" s="572" customFormat="1" ht="15">
      <c r="A1819" s="570" t="s">
        <v>3450</v>
      </c>
      <c r="B1819" s="573" t="s">
        <v>3444</v>
      </c>
      <c r="C1819" s="573" t="s">
        <v>166</v>
      </c>
      <c r="D1819" s="578">
        <v>17</v>
      </c>
      <c r="E1819" s="573" t="s">
        <v>3374</v>
      </c>
      <c r="F1819" s="573" t="s">
        <v>211</v>
      </c>
      <c r="G1819" s="573" t="s">
        <v>153</v>
      </c>
      <c r="H1819" s="573">
        <v>2019</v>
      </c>
      <c r="I1819" s="573" t="s">
        <v>3375</v>
      </c>
      <c r="J1819" s="573" t="s">
        <v>3433</v>
      </c>
      <c r="K1819" s="573" t="s">
        <v>752</v>
      </c>
      <c r="L1819" s="573">
        <v>5</v>
      </c>
      <c r="M1819" s="573">
        <v>0</v>
      </c>
      <c r="N1819" s="573" t="s">
        <v>157</v>
      </c>
      <c r="O1819" s="573">
        <v>2</v>
      </c>
      <c r="P1819" s="573" t="s">
        <v>3378</v>
      </c>
      <c r="Q1819" s="571">
        <v>7000</v>
      </c>
      <c r="R1819" s="573" t="s">
        <v>231</v>
      </c>
      <c r="S1819" s="573">
        <v>6</v>
      </c>
      <c r="T1819" s="573" t="s">
        <v>3434</v>
      </c>
      <c r="U1819" s="573" t="s">
        <v>3445</v>
      </c>
      <c r="V1819" s="573">
        <v>128.30000000000001</v>
      </c>
      <c r="W1819" s="573">
        <v>21</v>
      </c>
      <c r="X1819" s="571">
        <v>6000</v>
      </c>
      <c r="Y1819" s="573">
        <v>19</v>
      </c>
      <c r="Z1819" s="579" t="s">
        <v>178</v>
      </c>
      <c r="AA1819" s="579" t="s">
        <v>178</v>
      </c>
      <c r="AB1819" s="584">
        <v>37895</v>
      </c>
      <c r="AC1819" s="584" t="s">
        <v>164</v>
      </c>
      <c r="AD1819" s="584">
        <v>34208.239999999998</v>
      </c>
      <c r="AE1819" s="586">
        <v>7.1999999999999995E-2</v>
      </c>
      <c r="AF1819" s="661" t="str">
        <f t="shared" si="199"/>
        <v>2019-LTK-CHV-COLO-013-17</v>
      </c>
      <c r="AG1819" s="661" t="str">
        <f>IF(AND($Y1819&gt;=32,(AI1819="I"),(Y1819&lt;&gt;"~"),(COUNTIF($AN$1:$AN1819,$AN1819)=1)),"TRUE","FALSE")</f>
        <v>FALSE</v>
      </c>
      <c r="AH1819" s="661" t="str">
        <f>IF(AND($Y1819&gt;=22, (AI1819&lt;&gt;"I"),(Y1819&lt;&gt;"~"),(COUNTIF($AN$1:$AN1819,$AN1819)=1)),"TRUE","FALSE")</f>
        <v>FALSE</v>
      </c>
      <c r="AI1819" s="661" t="str">
        <f t="shared" si="194"/>
        <v>II</v>
      </c>
      <c r="AJ1819" s="662" t="str">
        <f t="shared" si="195"/>
        <v>COLO-013</v>
      </c>
      <c r="AK1819" s="662" t="str">
        <f t="shared" si="196"/>
        <v>LTK</v>
      </c>
      <c r="AL1819" s="662" t="str">
        <f t="shared" si="197"/>
        <v>CHV</v>
      </c>
      <c r="AM1819" s="662" t="str">
        <f t="shared" ref="AM1819:AM1882" si="200">CONCATENATE(I1819,"-",J1819,"-",K1819,"-",L1819,"-",P1819,"-",Q1819,"-",R1819,"-",S1819,"-",T1819,"-",U1819,"-",V1819,"-",W1819,"-",Z1819,"-",AA1819)</f>
        <v>Colorado-Z71 Crew Cab-4WD-5-5'1"-7000-3.6L-6-12P43-4Z7-128.3-21-Unleaded-Unleaded</v>
      </c>
      <c r="AN1819" s="662" t="str">
        <f t="shared" si="198"/>
        <v>2019-LTK-CHV-COLO-013</v>
      </c>
    </row>
    <row r="1820" spans="1:40" s="572" customFormat="1" ht="15">
      <c r="A1820" s="570" t="s">
        <v>3451</v>
      </c>
      <c r="B1820" s="569" t="s">
        <v>3447</v>
      </c>
      <c r="C1820" s="569" t="s">
        <v>166</v>
      </c>
      <c r="D1820" s="580">
        <v>17</v>
      </c>
      <c r="E1820" s="569" t="s">
        <v>3374</v>
      </c>
      <c r="F1820" s="569" t="s">
        <v>211</v>
      </c>
      <c r="G1820" s="569" t="s">
        <v>153</v>
      </c>
      <c r="H1820" s="569">
        <v>2019</v>
      </c>
      <c r="I1820" s="569" t="s">
        <v>3375</v>
      </c>
      <c r="J1820" s="569" t="s">
        <v>3433</v>
      </c>
      <c r="K1820" s="569" t="s">
        <v>752</v>
      </c>
      <c r="L1820" s="569">
        <v>5</v>
      </c>
      <c r="M1820" s="569">
        <v>0</v>
      </c>
      <c r="N1820" s="569" t="s">
        <v>157</v>
      </c>
      <c r="O1820" s="569">
        <v>2</v>
      </c>
      <c r="P1820" s="569" t="s">
        <v>3385</v>
      </c>
      <c r="Q1820" s="568">
        <v>7000</v>
      </c>
      <c r="R1820" s="569" t="s">
        <v>231</v>
      </c>
      <c r="S1820" s="569">
        <v>6</v>
      </c>
      <c r="T1820" s="569" t="s">
        <v>3438</v>
      </c>
      <c r="U1820" s="569" t="s">
        <v>3445</v>
      </c>
      <c r="V1820" s="569">
        <v>140.5</v>
      </c>
      <c r="W1820" s="569">
        <v>21</v>
      </c>
      <c r="X1820" s="568">
        <v>6000</v>
      </c>
      <c r="Y1820" s="569">
        <v>19</v>
      </c>
      <c r="Z1820" s="581" t="s">
        <v>178</v>
      </c>
      <c r="AA1820" s="581" t="s">
        <v>178</v>
      </c>
      <c r="AB1820" s="585">
        <v>38195</v>
      </c>
      <c r="AC1820" s="585" t="s">
        <v>164</v>
      </c>
      <c r="AD1820" s="585">
        <v>34487.65</v>
      </c>
      <c r="AE1820" s="587">
        <v>7.1999999999999995E-2</v>
      </c>
      <c r="AF1820" s="661" t="str">
        <f t="shared" si="199"/>
        <v>2019-LTK-CHV-COLO-014-17</v>
      </c>
      <c r="AG1820" s="661" t="str">
        <f>IF(AND($Y1820&gt;=32,(AI1820="I"),(Y1820&lt;&gt;"~"),(COUNTIF($AN$1:$AN1820,$AN1820)=1)),"TRUE","FALSE")</f>
        <v>FALSE</v>
      </c>
      <c r="AH1820" s="661" t="str">
        <f>IF(AND($Y1820&gt;=22, (AI1820&lt;&gt;"I"),(Y1820&lt;&gt;"~"),(COUNTIF($AN$1:$AN1820,$AN1820)=1)),"TRUE","FALSE")</f>
        <v>FALSE</v>
      </c>
      <c r="AI1820" s="661" t="str">
        <f t="shared" ref="AI1820:AI1883" si="201">IF(OR((LEFT($E1820,2)="01"),AND(LEFT($E1820,2)="06",ISNUMBER(SEARCH("pas",$F1820))),AND(LEFT($E1820,2)="05",ISNUMBER(SEARCH("pas",$F1820)))),"I",IF(AND((LEFT($E1820,2)&lt;&gt;"01"),$X1820&lt;=10000),"II",IF(AND((LEFT($E1820,2)&lt;&gt;"01"),$X1820&gt;10000),"N/A")))</f>
        <v>II</v>
      </c>
      <c r="AJ1820" s="662" t="str">
        <f t="shared" si="195"/>
        <v>COLO-014</v>
      </c>
      <c r="AK1820" s="662" t="str">
        <f t="shared" si="196"/>
        <v>LTK</v>
      </c>
      <c r="AL1820" s="662" t="str">
        <f t="shared" si="197"/>
        <v>CHV</v>
      </c>
      <c r="AM1820" s="662" t="str">
        <f t="shared" si="200"/>
        <v>Colorado-Z71 Crew Cab-4WD-5-6'2"-7000-3.6L-6-12V43-4Z7-140.5-21-Unleaded-Unleaded</v>
      </c>
      <c r="AN1820" s="662" t="str">
        <f t="shared" si="198"/>
        <v>2019-LTK-CHV-COLO-014</v>
      </c>
    </row>
    <row r="1821" spans="1:40" s="572" customFormat="1" ht="15">
      <c r="A1821" s="570" t="s">
        <v>3452</v>
      </c>
      <c r="B1821" s="573" t="s">
        <v>3453</v>
      </c>
      <c r="C1821" s="573" t="s">
        <v>169</v>
      </c>
      <c r="D1821" s="578">
        <v>11</v>
      </c>
      <c r="E1821" s="573" t="s">
        <v>3374</v>
      </c>
      <c r="F1821" s="573" t="s">
        <v>211</v>
      </c>
      <c r="G1821" s="573" t="s">
        <v>153</v>
      </c>
      <c r="H1821" s="573">
        <v>2019</v>
      </c>
      <c r="I1821" s="573" t="s">
        <v>3375</v>
      </c>
      <c r="J1821" s="573" t="s">
        <v>3454</v>
      </c>
      <c r="K1821" s="573" t="s">
        <v>3377</v>
      </c>
      <c r="L1821" s="573">
        <v>4</v>
      </c>
      <c r="M1821" s="573">
        <v>0</v>
      </c>
      <c r="N1821" s="573" t="s">
        <v>157</v>
      </c>
      <c r="O1821" s="573">
        <v>2</v>
      </c>
      <c r="P1821" s="573" t="s">
        <v>3385</v>
      </c>
      <c r="Q1821" s="571">
        <v>7000</v>
      </c>
      <c r="R1821" s="573" t="s">
        <v>189</v>
      </c>
      <c r="S1821" s="573">
        <v>4</v>
      </c>
      <c r="T1821" s="573" t="s">
        <v>3455</v>
      </c>
      <c r="U1821" s="573" t="s">
        <v>3435</v>
      </c>
      <c r="V1821" s="573">
        <v>128.30000000000001</v>
      </c>
      <c r="W1821" s="573">
        <v>21</v>
      </c>
      <c r="X1821" s="571">
        <v>5400</v>
      </c>
      <c r="Y1821" s="573">
        <v>22</v>
      </c>
      <c r="Z1821" s="579" t="s">
        <v>178</v>
      </c>
      <c r="AA1821" s="579" t="s">
        <v>178</v>
      </c>
      <c r="AB1821" s="584">
        <v>31595</v>
      </c>
      <c r="AC1821" s="584" t="s">
        <v>164</v>
      </c>
      <c r="AD1821" s="584">
        <v>27663.75</v>
      </c>
      <c r="AE1821" s="586">
        <v>0.05</v>
      </c>
      <c r="AF1821" s="661" t="str">
        <f t="shared" si="199"/>
        <v>2019-LTK-CHV-COLO-015-11</v>
      </c>
      <c r="AG1821" s="661" t="str">
        <f>IF(AND($Y1821&gt;=32,(AI1821="I"),(Y1821&lt;&gt;"~"),(COUNTIF($AN$1:$AN1821,$AN1821)=1)),"TRUE","FALSE")</f>
        <v>FALSE</v>
      </c>
      <c r="AH1821" s="661" t="str">
        <f>IF(AND($Y1821&gt;=22, (AI1821&lt;&gt;"I"),(Y1821&lt;&gt;"~"),(COUNTIF($AN$1:$AN1821,$AN1821)=1)),"TRUE","FALSE")</f>
        <v>TRUE</v>
      </c>
      <c r="AI1821" s="661" t="str">
        <f t="shared" si="201"/>
        <v>II</v>
      </c>
      <c r="AJ1821" s="662" t="str">
        <f t="shared" si="195"/>
        <v>COLO-015</v>
      </c>
      <c r="AK1821" s="662" t="str">
        <f t="shared" si="196"/>
        <v>LTK</v>
      </c>
      <c r="AL1821" s="662" t="str">
        <f t="shared" si="197"/>
        <v>CHV</v>
      </c>
      <c r="AM1821" s="662" t="str">
        <f t="shared" si="200"/>
        <v>Colorado-Z71 Extended Cab-2WD-4-6'2"-7000-2.5L-4-12P53-2Z7-128.3-21-Unleaded-Unleaded</v>
      </c>
      <c r="AN1821" s="662" t="str">
        <f t="shared" si="198"/>
        <v>2019-LTK-CHV-COLO-015</v>
      </c>
    </row>
    <row r="1822" spans="1:40" s="572" customFormat="1" ht="15">
      <c r="A1822" s="570" t="s">
        <v>3456</v>
      </c>
      <c r="B1822" s="569" t="s">
        <v>3453</v>
      </c>
      <c r="C1822" s="569" t="s">
        <v>150</v>
      </c>
      <c r="D1822" s="580">
        <v>13</v>
      </c>
      <c r="E1822" s="569" t="s">
        <v>3374</v>
      </c>
      <c r="F1822" s="569" t="s">
        <v>211</v>
      </c>
      <c r="G1822" s="569" t="s">
        <v>153</v>
      </c>
      <c r="H1822" s="569">
        <v>2019</v>
      </c>
      <c r="I1822" s="569" t="s">
        <v>3375</v>
      </c>
      <c r="J1822" s="569" t="s">
        <v>3454</v>
      </c>
      <c r="K1822" s="569" t="s">
        <v>3377</v>
      </c>
      <c r="L1822" s="569">
        <v>4</v>
      </c>
      <c r="M1822" s="569">
        <v>0</v>
      </c>
      <c r="N1822" s="569" t="s">
        <v>157</v>
      </c>
      <c r="O1822" s="569">
        <v>2</v>
      </c>
      <c r="P1822" s="569" t="s">
        <v>3385</v>
      </c>
      <c r="Q1822" s="568">
        <v>7000</v>
      </c>
      <c r="R1822" s="569" t="s">
        <v>189</v>
      </c>
      <c r="S1822" s="569">
        <v>4</v>
      </c>
      <c r="T1822" s="569" t="s">
        <v>3455</v>
      </c>
      <c r="U1822" s="569" t="s">
        <v>3435</v>
      </c>
      <c r="V1822" s="569">
        <v>128.30000000000001</v>
      </c>
      <c r="W1822" s="569">
        <v>21</v>
      </c>
      <c r="X1822" s="568">
        <v>5400</v>
      </c>
      <c r="Y1822" s="569">
        <v>22</v>
      </c>
      <c r="Z1822" s="581" t="s">
        <v>178</v>
      </c>
      <c r="AA1822" s="581" t="s">
        <v>178</v>
      </c>
      <c r="AB1822" s="585">
        <v>31595</v>
      </c>
      <c r="AC1822" s="585" t="s">
        <v>164</v>
      </c>
      <c r="AD1822" s="585">
        <v>30191</v>
      </c>
      <c r="AE1822" s="587">
        <v>0.03</v>
      </c>
      <c r="AF1822" s="661" t="str">
        <f t="shared" si="199"/>
        <v>2019-LTK-CHV-COLO-015-13</v>
      </c>
      <c r="AG1822" s="661" t="str">
        <f>IF(AND($Y1822&gt;=32,(AI1822="I"),(Y1822&lt;&gt;"~"),(COUNTIF($AN$1:$AN1822,$AN1822)=1)),"TRUE","FALSE")</f>
        <v>FALSE</v>
      </c>
      <c r="AH1822" s="661" t="str">
        <f>IF(AND($Y1822&gt;=22, (AI1822&lt;&gt;"I"),(Y1822&lt;&gt;"~"),(COUNTIF($AN$1:$AN1822,$AN1822)=1)),"TRUE","FALSE")</f>
        <v>FALSE</v>
      </c>
      <c r="AI1822" s="661" t="str">
        <f t="shared" si="201"/>
        <v>II</v>
      </c>
      <c r="AJ1822" s="662" t="str">
        <f t="shared" si="195"/>
        <v>COLO-015</v>
      </c>
      <c r="AK1822" s="662" t="str">
        <f t="shared" si="196"/>
        <v>LTK</v>
      </c>
      <c r="AL1822" s="662" t="str">
        <f t="shared" si="197"/>
        <v>CHV</v>
      </c>
      <c r="AM1822" s="662" t="str">
        <f t="shared" si="200"/>
        <v>Colorado-Z71 Extended Cab-2WD-4-6'2"-7000-2.5L-4-12P53-2Z7-128.3-21-Unleaded-Unleaded</v>
      </c>
      <c r="AN1822" s="662" t="str">
        <f t="shared" si="198"/>
        <v>2019-LTK-CHV-COLO-015</v>
      </c>
    </row>
    <row r="1823" spans="1:40" s="572" customFormat="1" ht="15">
      <c r="A1823" s="570" t="s">
        <v>3457</v>
      </c>
      <c r="B1823" s="573" t="s">
        <v>3453</v>
      </c>
      <c r="C1823" s="573" t="s">
        <v>166</v>
      </c>
      <c r="D1823" s="578">
        <v>17</v>
      </c>
      <c r="E1823" s="573" t="s">
        <v>3374</v>
      </c>
      <c r="F1823" s="573" t="s">
        <v>211</v>
      </c>
      <c r="G1823" s="573" t="s">
        <v>153</v>
      </c>
      <c r="H1823" s="573">
        <v>2019</v>
      </c>
      <c r="I1823" s="573" t="s">
        <v>3375</v>
      </c>
      <c r="J1823" s="573" t="s">
        <v>3454</v>
      </c>
      <c r="K1823" s="573" t="s">
        <v>3377</v>
      </c>
      <c r="L1823" s="573">
        <v>4</v>
      </c>
      <c r="M1823" s="573">
        <v>0</v>
      </c>
      <c r="N1823" s="573" t="s">
        <v>157</v>
      </c>
      <c r="O1823" s="573">
        <v>2</v>
      </c>
      <c r="P1823" s="573" t="s">
        <v>3385</v>
      </c>
      <c r="Q1823" s="571">
        <v>7000</v>
      </c>
      <c r="R1823" s="573" t="s">
        <v>189</v>
      </c>
      <c r="S1823" s="573">
        <v>4</v>
      </c>
      <c r="T1823" s="573" t="s">
        <v>3455</v>
      </c>
      <c r="U1823" s="573" t="s">
        <v>3435</v>
      </c>
      <c r="V1823" s="573">
        <v>128.30000000000001</v>
      </c>
      <c r="W1823" s="573">
        <v>21</v>
      </c>
      <c r="X1823" s="571">
        <v>5400</v>
      </c>
      <c r="Y1823" s="573">
        <v>22</v>
      </c>
      <c r="Z1823" s="579" t="s">
        <v>178</v>
      </c>
      <c r="AA1823" s="579" t="s">
        <v>178</v>
      </c>
      <c r="AB1823" s="584">
        <v>31595</v>
      </c>
      <c r="AC1823" s="584" t="s">
        <v>164</v>
      </c>
      <c r="AD1823" s="584">
        <v>28162.18</v>
      </c>
      <c r="AE1823" s="586">
        <v>7.1999999999999995E-2</v>
      </c>
      <c r="AF1823" s="661" t="str">
        <f t="shared" si="199"/>
        <v>2019-LTK-CHV-COLO-015-17</v>
      </c>
      <c r="AG1823" s="661" t="str">
        <f>IF(AND($Y1823&gt;=32,(AI1823="I"),(Y1823&lt;&gt;"~"),(COUNTIF($AN$1:$AN1823,$AN1823)=1)),"TRUE","FALSE")</f>
        <v>FALSE</v>
      </c>
      <c r="AH1823" s="661" t="str">
        <f>IF(AND($Y1823&gt;=22, (AI1823&lt;&gt;"I"),(Y1823&lt;&gt;"~"),(COUNTIF($AN$1:$AN1823,$AN1823)=1)),"TRUE","FALSE")</f>
        <v>FALSE</v>
      </c>
      <c r="AI1823" s="661" t="str">
        <f t="shared" si="201"/>
        <v>II</v>
      </c>
      <c r="AJ1823" s="662" t="str">
        <f t="shared" si="195"/>
        <v>COLO-015</v>
      </c>
      <c r="AK1823" s="662" t="str">
        <f t="shared" si="196"/>
        <v>LTK</v>
      </c>
      <c r="AL1823" s="662" t="str">
        <f t="shared" si="197"/>
        <v>CHV</v>
      </c>
      <c r="AM1823" s="662" t="str">
        <f t="shared" si="200"/>
        <v>Colorado-Z71 Extended Cab-2WD-4-6'2"-7000-2.5L-4-12P53-2Z7-128.3-21-Unleaded-Unleaded</v>
      </c>
      <c r="AN1823" s="662" t="str">
        <f t="shared" si="198"/>
        <v>2019-LTK-CHV-COLO-015</v>
      </c>
    </row>
    <row r="1824" spans="1:40" s="572" customFormat="1" ht="15">
      <c r="A1824" s="570" t="s">
        <v>3458</v>
      </c>
      <c r="B1824" s="569" t="s">
        <v>3459</v>
      </c>
      <c r="C1824" s="569" t="s">
        <v>169</v>
      </c>
      <c r="D1824" s="580">
        <v>11</v>
      </c>
      <c r="E1824" s="569" t="s">
        <v>3374</v>
      </c>
      <c r="F1824" s="569" t="s">
        <v>211</v>
      </c>
      <c r="G1824" s="569" t="s">
        <v>153</v>
      </c>
      <c r="H1824" s="569">
        <v>2019</v>
      </c>
      <c r="I1824" s="569" t="s">
        <v>3375</v>
      </c>
      <c r="J1824" s="569" t="s">
        <v>3454</v>
      </c>
      <c r="K1824" s="569" t="s">
        <v>752</v>
      </c>
      <c r="L1824" s="569">
        <v>4</v>
      </c>
      <c r="M1824" s="569">
        <v>0</v>
      </c>
      <c r="N1824" s="569" t="s">
        <v>157</v>
      </c>
      <c r="O1824" s="569">
        <v>2</v>
      </c>
      <c r="P1824" s="569" t="s">
        <v>3385</v>
      </c>
      <c r="Q1824" s="568">
        <v>7000</v>
      </c>
      <c r="R1824" s="569" t="s">
        <v>189</v>
      </c>
      <c r="S1824" s="569">
        <v>4</v>
      </c>
      <c r="T1824" s="569" t="s">
        <v>3455</v>
      </c>
      <c r="U1824" s="569" t="s">
        <v>3445</v>
      </c>
      <c r="V1824" s="569">
        <v>128.30000000000001</v>
      </c>
      <c r="W1824" s="569">
        <v>21</v>
      </c>
      <c r="X1824" s="568">
        <v>5600</v>
      </c>
      <c r="Y1824" s="569">
        <v>21</v>
      </c>
      <c r="Z1824" s="581" t="s">
        <v>178</v>
      </c>
      <c r="AA1824" s="581" t="s">
        <v>178</v>
      </c>
      <c r="AB1824" s="585">
        <v>35195</v>
      </c>
      <c r="AC1824" s="585" t="s">
        <v>164</v>
      </c>
      <c r="AD1824" s="585">
        <v>31121.250000000004</v>
      </c>
      <c r="AE1824" s="587">
        <v>0.05</v>
      </c>
      <c r="AF1824" s="661" t="str">
        <f t="shared" si="199"/>
        <v>2019-LTK-CHV-COLO-016-11</v>
      </c>
      <c r="AG1824" s="661" t="str">
        <f>IF(AND($Y1824&gt;=32,(AI1824="I"),(Y1824&lt;&gt;"~"),(COUNTIF($AN$1:$AN1824,$AN1824)=1)),"TRUE","FALSE")</f>
        <v>FALSE</v>
      </c>
      <c r="AH1824" s="661" t="str">
        <f>IF(AND($Y1824&gt;=22, (AI1824&lt;&gt;"I"),(Y1824&lt;&gt;"~"),(COUNTIF($AN$1:$AN1824,$AN1824)=1)),"TRUE","FALSE")</f>
        <v>FALSE</v>
      </c>
      <c r="AI1824" s="661" t="str">
        <f t="shared" si="201"/>
        <v>II</v>
      </c>
      <c r="AJ1824" s="662" t="str">
        <f t="shared" si="195"/>
        <v>COLO-016</v>
      </c>
      <c r="AK1824" s="662" t="str">
        <f t="shared" si="196"/>
        <v>LTK</v>
      </c>
      <c r="AL1824" s="662" t="str">
        <f t="shared" si="197"/>
        <v>CHV</v>
      </c>
      <c r="AM1824" s="662" t="str">
        <f t="shared" si="200"/>
        <v>Colorado-Z71 Extended Cab-4WD-4-6'2"-7000-2.5L-4-12P53-4Z7-128.3-21-Unleaded-Unleaded</v>
      </c>
      <c r="AN1824" s="662" t="str">
        <f t="shared" si="198"/>
        <v>2019-LTK-CHV-COLO-016</v>
      </c>
    </row>
    <row r="1825" spans="1:40" s="572" customFormat="1" ht="15">
      <c r="A1825" s="570" t="s">
        <v>3460</v>
      </c>
      <c r="B1825" s="573" t="s">
        <v>3459</v>
      </c>
      <c r="C1825" s="573" t="s">
        <v>150</v>
      </c>
      <c r="D1825" s="578">
        <v>13</v>
      </c>
      <c r="E1825" s="573" t="s">
        <v>3374</v>
      </c>
      <c r="F1825" s="573" t="s">
        <v>211</v>
      </c>
      <c r="G1825" s="573" t="s">
        <v>153</v>
      </c>
      <c r="H1825" s="573">
        <v>2019</v>
      </c>
      <c r="I1825" s="573" t="s">
        <v>3375</v>
      </c>
      <c r="J1825" s="573" t="s">
        <v>3454</v>
      </c>
      <c r="K1825" s="573" t="s">
        <v>752</v>
      </c>
      <c r="L1825" s="573">
        <v>4</v>
      </c>
      <c r="M1825" s="573">
        <v>0</v>
      </c>
      <c r="N1825" s="573" t="s">
        <v>157</v>
      </c>
      <c r="O1825" s="573">
        <v>2</v>
      </c>
      <c r="P1825" s="573" t="s">
        <v>3385</v>
      </c>
      <c r="Q1825" s="571">
        <v>7000</v>
      </c>
      <c r="R1825" s="573" t="s">
        <v>189</v>
      </c>
      <c r="S1825" s="573">
        <v>4</v>
      </c>
      <c r="T1825" s="573" t="s">
        <v>3455</v>
      </c>
      <c r="U1825" s="573" t="s">
        <v>3445</v>
      </c>
      <c r="V1825" s="573">
        <v>128.30000000000001</v>
      </c>
      <c r="W1825" s="573">
        <v>21</v>
      </c>
      <c r="X1825" s="571">
        <v>5600</v>
      </c>
      <c r="Y1825" s="573">
        <v>21</v>
      </c>
      <c r="Z1825" s="579" t="s">
        <v>178</v>
      </c>
      <c r="AA1825" s="579" t="s">
        <v>178</v>
      </c>
      <c r="AB1825" s="584">
        <v>35195</v>
      </c>
      <c r="AC1825" s="584" t="s">
        <v>164</v>
      </c>
      <c r="AD1825" s="584">
        <v>33450</v>
      </c>
      <c r="AE1825" s="586">
        <v>0.03</v>
      </c>
      <c r="AF1825" s="661" t="str">
        <f t="shared" si="199"/>
        <v>2019-LTK-CHV-COLO-016-13</v>
      </c>
      <c r="AG1825" s="661" t="str">
        <f>IF(AND($Y1825&gt;=32,(AI1825="I"),(Y1825&lt;&gt;"~"),(COUNTIF($AN$1:$AN1825,$AN1825)=1)),"TRUE","FALSE")</f>
        <v>FALSE</v>
      </c>
      <c r="AH1825" s="661" t="str">
        <f>IF(AND($Y1825&gt;=22, (AI1825&lt;&gt;"I"),(Y1825&lt;&gt;"~"),(COUNTIF($AN$1:$AN1825,$AN1825)=1)),"TRUE","FALSE")</f>
        <v>FALSE</v>
      </c>
      <c r="AI1825" s="661" t="str">
        <f t="shared" si="201"/>
        <v>II</v>
      </c>
      <c r="AJ1825" s="662" t="str">
        <f t="shared" si="195"/>
        <v>COLO-016</v>
      </c>
      <c r="AK1825" s="662" t="str">
        <f t="shared" si="196"/>
        <v>LTK</v>
      </c>
      <c r="AL1825" s="662" t="str">
        <f t="shared" si="197"/>
        <v>CHV</v>
      </c>
      <c r="AM1825" s="662" t="str">
        <f t="shared" si="200"/>
        <v>Colorado-Z71 Extended Cab-4WD-4-6'2"-7000-2.5L-4-12P53-4Z7-128.3-21-Unleaded-Unleaded</v>
      </c>
      <c r="AN1825" s="662" t="str">
        <f t="shared" si="198"/>
        <v>2019-LTK-CHV-COLO-016</v>
      </c>
    </row>
    <row r="1826" spans="1:40" s="572" customFormat="1" ht="15">
      <c r="A1826" s="570" t="s">
        <v>3461</v>
      </c>
      <c r="B1826" s="569" t="s">
        <v>3459</v>
      </c>
      <c r="C1826" s="569" t="s">
        <v>166</v>
      </c>
      <c r="D1826" s="580">
        <v>17</v>
      </c>
      <c r="E1826" s="569" t="s">
        <v>3374</v>
      </c>
      <c r="F1826" s="569" t="s">
        <v>211</v>
      </c>
      <c r="G1826" s="569" t="s">
        <v>153</v>
      </c>
      <c r="H1826" s="569">
        <v>2019</v>
      </c>
      <c r="I1826" s="569" t="s">
        <v>3375</v>
      </c>
      <c r="J1826" s="569" t="s">
        <v>3454</v>
      </c>
      <c r="K1826" s="569" t="s">
        <v>752</v>
      </c>
      <c r="L1826" s="569">
        <v>4</v>
      </c>
      <c r="M1826" s="569">
        <v>0</v>
      </c>
      <c r="N1826" s="569" t="s">
        <v>157</v>
      </c>
      <c r="O1826" s="569">
        <v>2</v>
      </c>
      <c r="P1826" s="569" t="s">
        <v>3385</v>
      </c>
      <c r="Q1826" s="568">
        <v>7000</v>
      </c>
      <c r="R1826" s="569" t="s">
        <v>189</v>
      </c>
      <c r="S1826" s="569">
        <v>4</v>
      </c>
      <c r="T1826" s="569" t="s">
        <v>3455</v>
      </c>
      <c r="U1826" s="569" t="s">
        <v>3445</v>
      </c>
      <c r="V1826" s="569">
        <v>128.30000000000001</v>
      </c>
      <c r="W1826" s="569">
        <v>21</v>
      </c>
      <c r="X1826" s="568">
        <v>5600</v>
      </c>
      <c r="Y1826" s="569">
        <v>21</v>
      </c>
      <c r="Z1826" s="581" t="s">
        <v>178</v>
      </c>
      <c r="AA1826" s="581" t="s">
        <v>178</v>
      </c>
      <c r="AB1826" s="585">
        <v>35195</v>
      </c>
      <c r="AC1826" s="585" t="s">
        <v>164</v>
      </c>
      <c r="AD1826" s="585">
        <v>31820.66</v>
      </c>
      <c r="AE1826" s="587">
        <v>7.1999999999999995E-2</v>
      </c>
      <c r="AF1826" s="661" t="str">
        <f t="shared" si="199"/>
        <v>2019-LTK-CHV-COLO-016-17</v>
      </c>
      <c r="AG1826" s="661" t="str">
        <f>IF(AND($Y1826&gt;=32,(AI1826="I"),(Y1826&lt;&gt;"~"),(COUNTIF($AN$1:$AN1826,$AN1826)=1)),"TRUE","FALSE")</f>
        <v>FALSE</v>
      </c>
      <c r="AH1826" s="661" t="str">
        <f>IF(AND($Y1826&gt;=22, (AI1826&lt;&gt;"I"),(Y1826&lt;&gt;"~"),(COUNTIF($AN$1:$AN1826,$AN1826)=1)),"TRUE","FALSE")</f>
        <v>FALSE</v>
      </c>
      <c r="AI1826" s="661" t="str">
        <f t="shared" si="201"/>
        <v>II</v>
      </c>
      <c r="AJ1826" s="662" t="str">
        <f t="shared" si="195"/>
        <v>COLO-016</v>
      </c>
      <c r="AK1826" s="662" t="str">
        <f t="shared" si="196"/>
        <v>LTK</v>
      </c>
      <c r="AL1826" s="662" t="str">
        <f t="shared" si="197"/>
        <v>CHV</v>
      </c>
      <c r="AM1826" s="662" t="str">
        <f t="shared" si="200"/>
        <v>Colorado-Z71 Extended Cab-4WD-4-6'2"-7000-2.5L-4-12P53-4Z7-128.3-21-Unleaded-Unleaded</v>
      </c>
      <c r="AN1826" s="662" t="str">
        <f t="shared" si="198"/>
        <v>2019-LTK-CHV-COLO-016</v>
      </c>
    </row>
    <row r="1827" spans="1:40" s="572" customFormat="1" ht="15">
      <c r="A1827" s="570" t="s">
        <v>3462</v>
      </c>
      <c r="B1827" s="573" t="s">
        <v>3463</v>
      </c>
      <c r="C1827" s="573" t="s">
        <v>150</v>
      </c>
      <c r="D1827" s="578">
        <v>13</v>
      </c>
      <c r="E1827" s="573" t="s">
        <v>3374</v>
      </c>
      <c r="F1827" s="573" t="s">
        <v>152</v>
      </c>
      <c r="G1827" s="573" t="s">
        <v>153</v>
      </c>
      <c r="H1827" s="573">
        <v>2019</v>
      </c>
      <c r="I1827" s="573" t="s">
        <v>3464</v>
      </c>
      <c r="J1827" s="573" t="s">
        <v>3465</v>
      </c>
      <c r="K1827" s="573" t="s">
        <v>3377</v>
      </c>
      <c r="L1827" s="573">
        <v>6</v>
      </c>
      <c r="M1827" s="573">
        <v>0</v>
      </c>
      <c r="N1827" s="573" t="s">
        <v>157</v>
      </c>
      <c r="O1827" s="573">
        <v>2</v>
      </c>
      <c r="P1827" s="573" t="s">
        <v>3466</v>
      </c>
      <c r="Q1827" s="571">
        <v>11000</v>
      </c>
      <c r="R1827" s="573" t="s">
        <v>1526</v>
      </c>
      <c r="S1827" s="573">
        <v>6</v>
      </c>
      <c r="T1827" s="573" t="s">
        <v>3467</v>
      </c>
      <c r="U1827" s="573" t="s">
        <v>3468</v>
      </c>
      <c r="V1827" s="573">
        <v>143.5</v>
      </c>
      <c r="W1827" s="573">
        <v>26</v>
      </c>
      <c r="X1827" s="571">
        <v>6900</v>
      </c>
      <c r="Y1827" s="573">
        <v>20</v>
      </c>
      <c r="Z1827" s="579" t="s">
        <v>450</v>
      </c>
      <c r="AA1827" s="579" t="s">
        <v>178</v>
      </c>
      <c r="AB1827" s="584">
        <v>38495</v>
      </c>
      <c r="AC1827" s="584" t="s">
        <v>164</v>
      </c>
      <c r="AD1827" s="584">
        <v>30436</v>
      </c>
      <c r="AE1827" s="586">
        <v>0.03</v>
      </c>
      <c r="AF1827" s="661" t="str">
        <f t="shared" si="199"/>
        <v>2019-LTK-CHV-SV15-036-13</v>
      </c>
      <c r="AG1827" s="661" t="str">
        <f>IF(AND($Y1827&gt;=32,(AI1827="I"),(Y1827&lt;&gt;"~"),(COUNTIF($AN$1:$AN1827,$AN1827)=1)),"TRUE","FALSE")</f>
        <v>FALSE</v>
      </c>
      <c r="AH1827" s="661" t="str">
        <f>IF(AND($Y1827&gt;=22, (AI1827&lt;&gt;"I"),(Y1827&lt;&gt;"~"),(COUNTIF($AN$1:$AN1827,$AN1827)=1)),"TRUE","FALSE")</f>
        <v>FALSE</v>
      </c>
      <c r="AI1827" s="661" t="str">
        <f t="shared" si="201"/>
        <v>II</v>
      </c>
      <c r="AJ1827" s="662" t="str">
        <f t="shared" si="195"/>
        <v>SV15-036</v>
      </c>
      <c r="AK1827" s="662" t="str">
        <f t="shared" si="196"/>
        <v>LTK</v>
      </c>
      <c r="AL1827" s="662" t="str">
        <f t="shared" si="197"/>
        <v>CHV</v>
      </c>
      <c r="AM1827" s="662" t="str">
        <f t="shared" si="200"/>
        <v>Silverado 1500-CUSTOM CREW CAB-2WD-6-5'9"-11000-4.3L-6-CC10543-1CX-143.5-26-E85-Unleaded</v>
      </c>
      <c r="AN1827" s="662" t="str">
        <f t="shared" si="198"/>
        <v>2019-LTK-CHV-SV15-036</v>
      </c>
    </row>
    <row r="1828" spans="1:40" s="572" customFormat="1" ht="15">
      <c r="A1828" s="570" t="s">
        <v>3469</v>
      </c>
      <c r="B1828" s="569" t="s">
        <v>3470</v>
      </c>
      <c r="C1828" s="569" t="s">
        <v>150</v>
      </c>
      <c r="D1828" s="580">
        <v>13</v>
      </c>
      <c r="E1828" s="569" t="s">
        <v>3374</v>
      </c>
      <c r="F1828" s="569" t="s">
        <v>152</v>
      </c>
      <c r="G1828" s="569" t="s">
        <v>153</v>
      </c>
      <c r="H1828" s="569">
        <v>2019</v>
      </c>
      <c r="I1828" s="569" t="s">
        <v>3464</v>
      </c>
      <c r="J1828" s="569" t="s">
        <v>3465</v>
      </c>
      <c r="K1828" s="569" t="s">
        <v>3377</v>
      </c>
      <c r="L1828" s="569">
        <v>6</v>
      </c>
      <c r="M1828" s="569">
        <v>0</v>
      </c>
      <c r="N1828" s="569" t="s">
        <v>157</v>
      </c>
      <c r="O1828" s="569">
        <v>2</v>
      </c>
      <c r="P1828" s="569" t="s">
        <v>3471</v>
      </c>
      <c r="Q1828" s="568">
        <v>11000</v>
      </c>
      <c r="R1828" s="569" t="s">
        <v>1526</v>
      </c>
      <c r="S1828" s="569">
        <v>6</v>
      </c>
      <c r="T1828" s="569" t="s">
        <v>3472</v>
      </c>
      <c r="U1828" s="569" t="s">
        <v>3468</v>
      </c>
      <c r="V1828" s="569">
        <v>153</v>
      </c>
      <c r="W1828" s="569">
        <v>26</v>
      </c>
      <c r="X1828" s="568">
        <v>6900</v>
      </c>
      <c r="Y1828" s="569">
        <v>20</v>
      </c>
      <c r="Z1828" s="581" t="s">
        <v>450</v>
      </c>
      <c r="AA1828" s="581" t="s">
        <v>178</v>
      </c>
      <c r="AB1828" s="585">
        <v>38795</v>
      </c>
      <c r="AC1828" s="585" t="s">
        <v>164</v>
      </c>
      <c r="AD1828" s="585">
        <v>28726</v>
      </c>
      <c r="AE1828" s="587">
        <v>0.03</v>
      </c>
      <c r="AF1828" s="661" t="str">
        <f t="shared" si="199"/>
        <v>2019-LTK-CHV-SV15-037-13</v>
      </c>
      <c r="AG1828" s="661" t="str">
        <f>IF(AND($Y1828&gt;=32,(AI1828="I"),(Y1828&lt;&gt;"~"),(COUNTIF($AN$1:$AN1828,$AN1828)=1)),"TRUE","FALSE")</f>
        <v>FALSE</v>
      </c>
      <c r="AH1828" s="661" t="str">
        <f>IF(AND($Y1828&gt;=22, (AI1828&lt;&gt;"I"),(Y1828&lt;&gt;"~"),(COUNTIF($AN$1:$AN1828,$AN1828)=1)),"TRUE","FALSE")</f>
        <v>FALSE</v>
      </c>
      <c r="AI1828" s="661" t="str">
        <f t="shared" si="201"/>
        <v>II</v>
      </c>
      <c r="AJ1828" s="662" t="str">
        <f t="shared" si="195"/>
        <v>SV15-037</v>
      </c>
      <c r="AK1828" s="662" t="str">
        <f t="shared" si="196"/>
        <v>LTK</v>
      </c>
      <c r="AL1828" s="662" t="str">
        <f t="shared" si="197"/>
        <v>CHV</v>
      </c>
      <c r="AM1828" s="662" t="str">
        <f t="shared" si="200"/>
        <v>Silverado 1500-CUSTOM CREW CAB-2WD-6-6'6"-11000-4.3L-6-CC10743-1CX-153-26-E85-Unleaded</v>
      </c>
      <c r="AN1828" s="662" t="str">
        <f t="shared" si="198"/>
        <v>2019-LTK-CHV-SV15-037</v>
      </c>
    </row>
    <row r="1829" spans="1:40" s="572" customFormat="1" ht="15">
      <c r="A1829" s="570" t="s">
        <v>3473</v>
      </c>
      <c r="B1829" s="573" t="s">
        <v>3474</v>
      </c>
      <c r="C1829" s="573" t="s">
        <v>150</v>
      </c>
      <c r="D1829" s="578">
        <v>13</v>
      </c>
      <c r="E1829" s="573" t="s">
        <v>3374</v>
      </c>
      <c r="F1829" s="573" t="s">
        <v>152</v>
      </c>
      <c r="G1829" s="573" t="s">
        <v>153</v>
      </c>
      <c r="H1829" s="573">
        <v>2019</v>
      </c>
      <c r="I1829" s="573" t="s">
        <v>3464</v>
      </c>
      <c r="J1829" s="573" t="s">
        <v>3465</v>
      </c>
      <c r="K1829" s="573" t="s">
        <v>752</v>
      </c>
      <c r="L1829" s="573">
        <v>6</v>
      </c>
      <c r="M1829" s="573">
        <v>0</v>
      </c>
      <c r="N1829" s="573" t="s">
        <v>157</v>
      </c>
      <c r="O1829" s="573">
        <v>2</v>
      </c>
      <c r="P1829" s="573" t="s">
        <v>3466</v>
      </c>
      <c r="Q1829" s="571">
        <v>12800</v>
      </c>
      <c r="R1829" s="573" t="s">
        <v>1526</v>
      </c>
      <c r="S1829" s="573">
        <v>6</v>
      </c>
      <c r="T1829" s="573" t="s">
        <v>3475</v>
      </c>
      <c r="U1829" s="573" t="s">
        <v>3468</v>
      </c>
      <c r="V1829" s="573">
        <v>143.5</v>
      </c>
      <c r="W1829" s="573">
        <v>26</v>
      </c>
      <c r="X1829" s="571">
        <v>7100</v>
      </c>
      <c r="Y1829" s="573">
        <v>19</v>
      </c>
      <c r="Z1829" s="579" t="s">
        <v>450</v>
      </c>
      <c r="AA1829" s="579" t="s">
        <v>178</v>
      </c>
      <c r="AB1829" s="584">
        <v>41795</v>
      </c>
      <c r="AC1829" s="584" t="s">
        <v>164</v>
      </c>
      <c r="AD1829" s="584">
        <v>32549</v>
      </c>
      <c r="AE1829" s="586">
        <v>0.03</v>
      </c>
      <c r="AF1829" s="661" t="str">
        <f t="shared" si="199"/>
        <v>2019-LTK-CHV-SV15-038-13</v>
      </c>
      <c r="AG1829" s="661" t="str">
        <f>IF(AND($Y1829&gt;=32,(AI1829="I"),(Y1829&lt;&gt;"~"),(COUNTIF($AN$1:$AN1829,$AN1829)=1)),"TRUE","FALSE")</f>
        <v>FALSE</v>
      </c>
      <c r="AH1829" s="661" t="str">
        <f>IF(AND($Y1829&gt;=22, (AI1829&lt;&gt;"I"),(Y1829&lt;&gt;"~"),(COUNTIF($AN$1:$AN1829,$AN1829)=1)),"TRUE","FALSE")</f>
        <v>FALSE</v>
      </c>
      <c r="AI1829" s="661" t="str">
        <f t="shared" si="201"/>
        <v>II</v>
      </c>
      <c r="AJ1829" s="662" t="str">
        <f t="shared" si="195"/>
        <v>SV15-038</v>
      </c>
      <c r="AK1829" s="662" t="str">
        <f t="shared" si="196"/>
        <v>LTK</v>
      </c>
      <c r="AL1829" s="662" t="str">
        <f t="shared" si="197"/>
        <v>CHV</v>
      </c>
      <c r="AM1829" s="662" t="str">
        <f t="shared" si="200"/>
        <v>Silverado 1500-CUSTOM CREW CAB-4WD-6-5'9"-12800-4.3L-6-CK10543-1CX-143.5-26-E85-Unleaded</v>
      </c>
      <c r="AN1829" s="662" t="str">
        <f t="shared" si="198"/>
        <v>2019-LTK-CHV-SV15-038</v>
      </c>
    </row>
    <row r="1830" spans="1:40" s="572" customFormat="1" ht="15">
      <c r="A1830" s="570" t="s">
        <v>3476</v>
      </c>
      <c r="B1830" s="569" t="s">
        <v>3477</v>
      </c>
      <c r="C1830" s="569" t="s">
        <v>150</v>
      </c>
      <c r="D1830" s="580">
        <v>13</v>
      </c>
      <c r="E1830" s="569" t="s">
        <v>3374</v>
      </c>
      <c r="F1830" s="569" t="s">
        <v>152</v>
      </c>
      <c r="G1830" s="569" t="s">
        <v>153</v>
      </c>
      <c r="H1830" s="569">
        <v>2019</v>
      </c>
      <c r="I1830" s="569" t="s">
        <v>3464</v>
      </c>
      <c r="J1830" s="569" t="s">
        <v>3465</v>
      </c>
      <c r="K1830" s="569" t="s">
        <v>752</v>
      </c>
      <c r="L1830" s="569">
        <v>6</v>
      </c>
      <c r="M1830" s="569">
        <v>0</v>
      </c>
      <c r="N1830" s="569" t="s">
        <v>157</v>
      </c>
      <c r="O1830" s="569">
        <v>2</v>
      </c>
      <c r="P1830" s="569" t="s">
        <v>3471</v>
      </c>
      <c r="Q1830" s="568">
        <v>12800</v>
      </c>
      <c r="R1830" s="569" t="s">
        <v>753</v>
      </c>
      <c r="S1830" s="569">
        <v>8</v>
      </c>
      <c r="T1830" s="569" t="s">
        <v>3478</v>
      </c>
      <c r="U1830" s="569" t="s">
        <v>3468</v>
      </c>
      <c r="V1830" s="569">
        <v>153</v>
      </c>
      <c r="W1830" s="569">
        <v>26</v>
      </c>
      <c r="X1830" s="568">
        <v>7200</v>
      </c>
      <c r="Y1830" s="569">
        <v>19</v>
      </c>
      <c r="Z1830" s="581" t="s">
        <v>450</v>
      </c>
      <c r="AA1830" s="581" t="s">
        <v>178</v>
      </c>
      <c r="AB1830" s="585">
        <v>42095</v>
      </c>
      <c r="AC1830" s="585" t="s">
        <v>164</v>
      </c>
      <c r="AD1830" s="585">
        <v>33840</v>
      </c>
      <c r="AE1830" s="587">
        <v>0.03</v>
      </c>
      <c r="AF1830" s="661" t="str">
        <f t="shared" si="199"/>
        <v>2019-LTK-CHV-SV15-039-13</v>
      </c>
      <c r="AG1830" s="661" t="str">
        <f>IF(AND($Y1830&gt;=32,(AI1830="I"),(Y1830&lt;&gt;"~"),(COUNTIF($AN$1:$AN1830,$AN1830)=1)),"TRUE","FALSE")</f>
        <v>FALSE</v>
      </c>
      <c r="AH1830" s="661" t="str">
        <f>IF(AND($Y1830&gt;=22, (AI1830&lt;&gt;"I"),(Y1830&lt;&gt;"~"),(COUNTIF($AN$1:$AN1830,$AN1830)=1)),"TRUE","FALSE")</f>
        <v>FALSE</v>
      </c>
      <c r="AI1830" s="661" t="str">
        <f t="shared" si="201"/>
        <v>II</v>
      </c>
      <c r="AJ1830" s="662" t="str">
        <f t="shared" si="195"/>
        <v>SV15-039</v>
      </c>
      <c r="AK1830" s="662" t="str">
        <f t="shared" si="196"/>
        <v>LTK</v>
      </c>
      <c r="AL1830" s="662" t="str">
        <f t="shared" si="197"/>
        <v>CHV</v>
      </c>
      <c r="AM1830" s="662" t="str">
        <f t="shared" si="200"/>
        <v>Silverado 1500-CUSTOM CREW CAB-4WD-6-6'6"-12800-5.3L-8-CK10743-1CX-153-26-E85-Unleaded</v>
      </c>
      <c r="AN1830" s="662" t="str">
        <f t="shared" si="198"/>
        <v>2019-LTK-CHV-SV15-039</v>
      </c>
    </row>
    <row r="1831" spans="1:40" s="572" customFormat="1" ht="30">
      <c r="A1831" s="570" t="s">
        <v>3479</v>
      </c>
      <c r="B1831" s="573" t="s">
        <v>3480</v>
      </c>
      <c r="C1831" s="573" t="s">
        <v>150</v>
      </c>
      <c r="D1831" s="578">
        <v>13</v>
      </c>
      <c r="E1831" s="573" t="s">
        <v>3374</v>
      </c>
      <c r="F1831" s="573" t="s">
        <v>152</v>
      </c>
      <c r="G1831" s="573" t="s">
        <v>153</v>
      </c>
      <c r="H1831" s="573">
        <v>2019</v>
      </c>
      <c r="I1831" s="573" t="s">
        <v>3464</v>
      </c>
      <c r="J1831" s="573" t="s">
        <v>3481</v>
      </c>
      <c r="K1831" s="573" t="s">
        <v>752</v>
      </c>
      <c r="L1831" s="573">
        <v>6</v>
      </c>
      <c r="M1831" s="573">
        <v>0</v>
      </c>
      <c r="N1831" s="573" t="s">
        <v>157</v>
      </c>
      <c r="O1831" s="573">
        <v>2</v>
      </c>
      <c r="P1831" s="573" t="s">
        <v>3471</v>
      </c>
      <c r="Q1831" s="571">
        <v>12800</v>
      </c>
      <c r="R1831" s="573" t="s">
        <v>1526</v>
      </c>
      <c r="S1831" s="573">
        <v>6</v>
      </c>
      <c r="T1831" s="573" t="s">
        <v>3482</v>
      </c>
      <c r="U1831" s="573" t="s">
        <v>3468</v>
      </c>
      <c r="V1831" s="573">
        <v>143.5</v>
      </c>
      <c r="W1831" s="573">
        <v>26</v>
      </c>
      <c r="X1831" s="571">
        <v>7100</v>
      </c>
      <c r="Y1831" s="573">
        <v>19</v>
      </c>
      <c r="Z1831" s="579" t="s">
        <v>450</v>
      </c>
      <c r="AA1831" s="579" t="s">
        <v>178</v>
      </c>
      <c r="AB1831" s="584">
        <v>39395</v>
      </c>
      <c r="AC1831" s="584" t="s">
        <v>164</v>
      </c>
      <c r="AD1831" s="584">
        <v>31082</v>
      </c>
      <c r="AE1831" s="586">
        <v>0.03</v>
      </c>
      <c r="AF1831" s="661" t="str">
        <f t="shared" si="199"/>
        <v>2019-LTK-CHV-SV15-040-13</v>
      </c>
      <c r="AG1831" s="661" t="str">
        <f>IF(AND($Y1831&gt;=32,(AI1831="I"),(Y1831&lt;&gt;"~"),(COUNTIF($AN$1:$AN1831,$AN1831)=1)),"TRUE","FALSE")</f>
        <v>FALSE</v>
      </c>
      <c r="AH1831" s="661" t="str">
        <f>IF(AND($Y1831&gt;=22, (AI1831&lt;&gt;"I"),(Y1831&lt;&gt;"~"),(COUNTIF($AN$1:$AN1831,$AN1831)=1)),"TRUE","FALSE")</f>
        <v>FALSE</v>
      </c>
      <c r="AI1831" s="661" t="str">
        <f t="shared" si="201"/>
        <v>II</v>
      </c>
      <c r="AJ1831" s="662" t="str">
        <f t="shared" si="195"/>
        <v>SV15-040</v>
      </c>
      <c r="AK1831" s="662" t="str">
        <f t="shared" si="196"/>
        <v>LTK</v>
      </c>
      <c r="AL1831" s="662" t="str">
        <f t="shared" si="197"/>
        <v>CHV</v>
      </c>
      <c r="AM1831" s="662" t="str">
        <f t="shared" si="200"/>
        <v>Silverado 1500-CUSTOM DOUBLE CAB-4WD-6-6'6"-12800-4.3L-6-CK10753-1CX-143.5-26-E85-Unleaded</v>
      </c>
      <c r="AN1831" s="662" t="str">
        <f t="shared" si="198"/>
        <v>2019-LTK-CHV-SV15-040</v>
      </c>
    </row>
    <row r="1832" spans="1:40" s="572" customFormat="1" ht="15">
      <c r="A1832" s="570" t="s">
        <v>3483</v>
      </c>
      <c r="B1832" s="569" t="s">
        <v>3484</v>
      </c>
      <c r="C1832" s="569" t="s">
        <v>166</v>
      </c>
      <c r="D1832" s="580">
        <v>17</v>
      </c>
      <c r="E1832" s="569" t="s">
        <v>3374</v>
      </c>
      <c r="F1832" s="569" t="s">
        <v>152</v>
      </c>
      <c r="G1832" s="569" t="s">
        <v>153</v>
      </c>
      <c r="H1832" s="569">
        <v>2019</v>
      </c>
      <c r="I1832" s="569" t="s">
        <v>3464</v>
      </c>
      <c r="J1832" s="569" t="s">
        <v>3485</v>
      </c>
      <c r="K1832" s="569" t="s">
        <v>3377</v>
      </c>
      <c r="L1832" s="569">
        <v>6</v>
      </c>
      <c r="M1832" s="569">
        <v>0</v>
      </c>
      <c r="N1832" s="569" t="s">
        <v>157</v>
      </c>
      <c r="O1832" s="569">
        <v>2</v>
      </c>
      <c r="P1832" s="569" t="s">
        <v>3466</v>
      </c>
      <c r="Q1832" s="568">
        <v>11000</v>
      </c>
      <c r="R1832" s="569" t="s">
        <v>1526</v>
      </c>
      <c r="S1832" s="569">
        <v>6</v>
      </c>
      <c r="T1832" s="569" t="s">
        <v>3486</v>
      </c>
      <c r="U1832" s="569" t="s">
        <v>732</v>
      </c>
      <c r="V1832" s="569">
        <v>143.5</v>
      </c>
      <c r="W1832" s="569">
        <v>26</v>
      </c>
      <c r="X1832" s="568">
        <v>6900</v>
      </c>
      <c r="Y1832" s="569">
        <v>20</v>
      </c>
      <c r="Z1832" s="581" t="s">
        <v>450</v>
      </c>
      <c r="AA1832" s="581" t="s">
        <v>178</v>
      </c>
      <c r="AB1832" s="585">
        <v>36095</v>
      </c>
      <c r="AC1832" s="585" t="s">
        <v>164</v>
      </c>
      <c r="AD1832" s="585">
        <v>34988</v>
      </c>
      <c r="AE1832" s="587">
        <v>7.1999999999999995E-2</v>
      </c>
      <c r="AF1832" s="661" t="str">
        <f t="shared" si="199"/>
        <v>2019-LTK-CHV-SV15-002-17</v>
      </c>
      <c r="AG1832" s="661" t="str">
        <f>IF(AND($Y1832&gt;=32,(AI1832="I"),(Y1832&lt;&gt;"~"),(COUNTIF($AN$1:$AN1832,$AN1832)=1)),"TRUE","FALSE")</f>
        <v>FALSE</v>
      </c>
      <c r="AH1832" s="661" t="str">
        <f>IF(AND($Y1832&gt;=22, (AI1832&lt;&gt;"I"),(Y1832&lt;&gt;"~"),(COUNTIF($AN$1:$AN1832,$AN1832)=1)),"TRUE","FALSE")</f>
        <v>FALSE</v>
      </c>
      <c r="AI1832" s="661" t="str">
        <f t="shared" si="201"/>
        <v>II</v>
      </c>
      <c r="AJ1832" s="662" t="str">
        <f t="shared" si="195"/>
        <v>SV15-002</v>
      </c>
      <c r="AK1832" s="662" t="str">
        <f t="shared" si="196"/>
        <v>LTK</v>
      </c>
      <c r="AL1832" s="662" t="str">
        <f t="shared" si="197"/>
        <v>CHV</v>
      </c>
      <c r="AM1832" s="662" t="str">
        <f t="shared" si="200"/>
        <v>Silverado 1500-LS Crew Cab-2WD-6-5'9"-11000-4.3L-6-CC15543-1LS-143.5-26-E85-Unleaded</v>
      </c>
      <c r="AN1832" s="662" t="str">
        <f t="shared" si="198"/>
        <v>2019-LTK-CHV-SV15-002</v>
      </c>
    </row>
    <row r="1833" spans="1:40" s="572" customFormat="1" ht="15">
      <c r="A1833" s="570" t="s">
        <v>3483</v>
      </c>
      <c r="B1833" s="573" t="s">
        <v>3484</v>
      </c>
      <c r="C1833" s="573" t="s">
        <v>166</v>
      </c>
      <c r="D1833" s="578">
        <v>17</v>
      </c>
      <c r="E1833" s="573" t="s">
        <v>3374</v>
      </c>
      <c r="F1833" s="573" t="s">
        <v>152</v>
      </c>
      <c r="G1833" s="573" t="s">
        <v>153</v>
      </c>
      <c r="H1833" s="573">
        <v>2019</v>
      </c>
      <c r="I1833" s="573" t="s">
        <v>3464</v>
      </c>
      <c r="J1833" s="573" t="s">
        <v>3485</v>
      </c>
      <c r="K1833" s="573" t="s">
        <v>3377</v>
      </c>
      <c r="L1833" s="573">
        <v>6</v>
      </c>
      <c r="M1833" s="573">
        <v>0</v>
      </c>
      <c r="N1833" s="573" t="s">
        <v>157</v>
      </c>
      <c r="O1833" s="573">
        <v>2</v>
      </c>
      <c r="P1833" s="573" t="s">
        <v>3466</v>
      </c>
      <c r="Q1833" s="571">
        <v>11000</v>
      </c>
      <c r="R1833" s="573" t="s">
        <v>1526</v>
      </c>
      <c r="S1833" s="573">
        <v>6</v>
      </c>
      <c r="T1833" s="573" t="s">
        <v>3486</v>
      </c>
      <c r="U1833" s="573" t="s">
        <v>732</v>
      </c>
      <c r="V1833" s="573">
        <v>143.5</v>
      </c>
      <c r="W1833" s="573">
        <v>26</v>
      </c>
      <c r="X1833" s="571">
        <v>6900</v>
      </c>
      <c r="Y1833" s="573">
        <v>20</v>
      </c>
      <c r="Z1833" s="579" t="s">
        <v>450</v>
      </c>
      <c r="AA1833" s="579" t="s">
        <v>178</v>
      </c>
      <c r="AB1833" s="584">
        <v>38495</v>
      </c>
      <c r="AC1833" s="584" t="s">
        <v>164</v>
      </c>
      <c r="AD1833" s="584">
        <v>34988</v>
      </c>
      <c r="AE1833" s="586">
        <v>7.1999999999999995E-2</v>
      </c>
      <c r="AF1833" s="661" t="str">
        <f t="shared" si="199"/>
        <v>2019-LTK-CHV-SV15-002-17</v>
      </c>
      <c r="AG1833" s="661" t="str">
        <f>IF(AND($Y1833&gt;=32,(AI1833="I"),(Y1833&lt;&gt;"~"),(COUNTIF($AN$1:$AN1833,$AN1833)=1)),"TRUE","FALSE")</f>
        <v>FALSE</v>
      </c>
      <c r="AH1833" s="661" t="str">
        <f>IF(AND($Y1833&gt;=22, (AI1833&lt;&gt;"I"),(Y1833&lt;&gt;"~"),(COUNTIF($AN$1:$AN1833,$AN1833)=1)),"TRUE","FALSE")</f>
        <v>FALSE</v>
      </c>
      <c r="AI1833" s="661" t="str">
        <f t="shared" si="201"/>
        <v>II</v>
      </c>
      <c r="AJ1833" s="662" t="str">
        <f t="shared" si="195"/>
        <v>SV15-002</v>
      </c>
      <c r="AK1833" s="662" t="str">
        <f t="shared" si="196"/>
        <v>LTK</v>
      </c>
      <c r="AL1833" s="662" t="str">
        <f t="shared" si="197"/>
        <v>CHV</v>
      </c>
      <c r="AM1833" s="662" t="str">
        <f t="shared" si="200"/>
        <v>Silverado 1500-LS Crew Cab-2WD-6-5'9"-11000-4.3L-6-CC15543-1LS-143.5-26-E85-Unleaded</v>
      </c>
      <c r="AN1833" s="662" t="str">
        <f t="shared" si="198"/>
        <v>2019-LTK-CHV-SV15-002</v>
      </c>
    </row>
    <row r="1834" spans="1:40" s="572" customFormat="1" ht="15">
      <c r="A1834" s="570" t="s">
        <v>3487</v>
      </c>
      <c r="B1834" s="569" t="s">
        <v>3488</v>
      </c>
      <c r="C1834" s="569" t="s">
        <v>166</v>
      </c>
      <c r="D1834" s="580">
        <v>17</v>
      </c>
      <c r="E1834" s="569" t="s">
        <v>3374</v>
      </c>
      <c r="F1834" s="569" t="s">
        <v>152</v>
      </c>
      <c r="G1834" s="569" t="s">
        <v>153</v>
      </c>
      <c r="H1834" s="569">
        <v>2019</v>
      </c>
      <c r="I1834" s="569" t="s">
        <v>3464</v>
      </c>
      <c r="J1834" s="569" t="s">
        <v>3485</v>
      </c>
      <c r="K1834" s="569" t="s">
        <v>3377</v>
      </c>
      <c r="L1834" s="569">
        <v>6</v>
      </c>
      <c r="M1834" s="569">
        <v>0</v>
      </c>
      <c r="N1834" s="569" t="s">
        <v>157</v>
      </c>
      <c r="O1834" s="569">
        <v>2</v>
      </c>
      <c r="P1834" s="569" t="s">
        <v>3471</v>
      </c>
      <c r="Q1834" s="568">
        <v>11000</v>
      </c>
      <c r="R1834" s="569" t="s">
        <v>1526</v>
      </c>
      <c r="S1834" s="569">
        <v>6</v>
      </c>
      <c r="T1834" s="569" t="s">
        <v>3489</v>
      </c>
      <c r="U1834" s="569" t="s">
        <v>732</v>
      </c>
      <c r="V1834" s="569">
        <v>153</v>
      </c>
      <c r="W1834" s="569">
        <v>26</v>
      </c>
      <c r="X1834" s="568">
        <v>6900</v>
      </c>
      <c r="Y1834" s="569">
        <v>20</v>
      </c>
      <c r="Z1834" s="581" t="s">
        <v>450</v>
      </c>
      <c r="AA1834" s="581" t="s">
        <v>178</v>
      </c>
      <c r="AB1834" s="585">
        <v>36395</v>
      </c>
      <c r="AC1834" s="585" t="s">
        <v>164</v>
      </c>
      <c r="AD1834" s="585">
        <v>27647.41</v>
      </c>
      <c r="AE1834" s="587">
        <v>7.1999999999999995E-2</v>
      </c>
      <c r="AF1834" s="661" t="str">
        <f t="shared" si="199"/>
        <v>2019-LTK-CHV-SV15-003-17</v>
      </c>
      <c r="AG1834" s="661" t="str">
        <f>IF(AND($Y1834&gt;=32,(AI1834="I"),(Y1834&lt;&gt;"~"),(COUNTIF($AN$1:$AN1834,$AN1834)=1)),"TRUE","FALSE")</f>
        <v>FALSE</v>
      </c>
      <c r="AH1834" s="661" t="str">
        <f>IF(AND($Y1834&gt;=22, (AI1834&lt;&gt;"I"),(Y1834&lt;&gt;"~"),(COUNTIF($AN$1:$AN1834,$AN1834)=1)),"TRUE","FALSE")</f>
        <v>FALSE</v>
      </c>
      <c r="AI1834" s="661" t="str">
        <f t="shared" si="201"/>
        <v>II</v>
      </c>
      <c r="AJ1834" s="662" t="str">
        <f t="shared" si="195"/>
        <v>SV15-003</v>
      </c>
      <c r="AK1834" s="662" t="str">
        <f t="shared" si="196"/>
        <v>LTK</v>
      </c>
      <c r="AL1834" s="662" t="str">
        <f t="shared" si="197"/>
        <v>CHV</v>
      </c>
      <c r="AM1834" s="662" t="str">
        <f t="shared" si="200"/>
        <v>Silverado 1500-LS Crew Cab-2WD-6-6'6"-11000-4.3L-6-CC15743-1LS-153-26-E85-Unleaded</v>
      </c>
      <c r="AN1834" s="662" t="str">
        <f t="shared" si="198"/>
        <v>2019-LTK-CHV-SV15-003</v>
      </c>
    </row>
    <row r="1835" spans="1:40" s="572" customFormat="1" ht="15">
      <c r="A1835" s="570" t="s">
        <v>3490</v>
      </c>
      <c r="B1835" s="573" t="s">
        <v>3491</v>
      </c>
      <c r="C1835" s="573" t="s">
        <v>166</v>
      </c>
      <c r="D1835" s="578">
        <v>17</v>
      </c>
      <c r="E1835" s="573" t="s">
        <v>3374</v>
      </c>
      <c r="F1835" s="573" t="s">
        <v>152</v>
      </c>
      <c r="G1835" s="573" t="s">
        <v>153</v>
      </c>
      <c r="H1835" s="573">
        <v>2019</v>
      </c>
      <c r="I1835" s="573" t="s">
        <v>3464</v>
      </c>
      <c r="J1835" s="573" t="s">
        <v>3485</v>
      </c>
      <c r="K1835" s="573" t="s">
        <v>3377</v>
      </c>
      <c r="L1835" s="573">
        <v>6</v>
      </c>
      <c r="M1835" s="573">
        <v>0</v>
      </c>
      <c r="N1835" s="573" t="s">
        <v>157</v>
      </c>
      <c r="O1835" s="573">
        <v>2</v>
      </c>
      <c r="P1835" s="573" t="s">
        <v>3471</v>
      </c>
      <c r="Q1835" s="571">
        <v>11000</v>
      </c>
      <c r="R1835" s="573" t="s">
        <v>753</v>
      </c>
      <c r="S1835" s="573">
        <v>8</v>
      </c>
      <c r="T1835" s="573" t="s">
        <v>3489</v>
      </c>
      <c r="U1835" s="573" t="s">
        <v>732</v>
      </c>
      <c r="V1835" s="573">
        <v>153</v>
      </c>
      <c r="W1835" s="573">
        <v>26</v>
      </c>
      <c r="X1835" s="571">
        <v>6900</v>
      </c>
      <c r="Y1835" s="573">
        <v>19</v>
      </c>
      <c r="Z1835" s="579" t="s">
        <v>450</v>
      </c>
      <c r="AA1835" s="579" t="s">
        <v>178</v>
      </c>
      <c r="AB1835" s="584">
        <v>38795</v>
      </c>
      <c r="AC1835" s="584" t="s">
        <v>164</v>
      </c>
      <c r="AD1835" s="584">
        <v>29453</v>
      </c>
      <c r="AE1835" s="586">
        <v>7.1999999999999995E-2</v>
      </c>
      <c r="AF1835" s="661" t="str">
        <f t="shared" si="199"/>
        <v>2019-LTK-CHV-SV15-004-17</v>
      </c>
      <c r="AG1835" s="661" t="str">
        <f>IF(AND($Y1835&gt;=32,(AI1835="I"),(Y1835&lt;&gt;"~"),(COUNTIF($AN$1:$AN1835,$AN1835)=1)),"TRUE","FALSE")</f>
        <v>FALSE</v>
      </c>
      <c r="AH1835" s="661" t="str">
        <f>IF(AND($Y1835&gt;=22, (AI1835&lt;&gt;"I"),(Y1835&lt;&gt;"~"),(COUNTIF($AN$1:$AN1835,$AN1835)=1)),"TRUE","FALSE")</f>
        <v>FALSE</v>
      </c>
      <c r="AI1835" s="661" t="str">
        <f t="shared" si="201"/>
        <v>II</v>
      </c>
      <c r="AJ1835" s="662" t="str">
        <f t="shared" si="195"/>
        <v>SV15-004</v>
      </c>
      <c r="AK1835" s="662" t="str">
        <f t="shared" si="196"/>
        <v>LTK</v>
      </c>
      <c r="AL1835" s="662" t="str">
        <f t="shared" si="197"/>
        <v>CHV</v>
      </c>
      <c r="AM1835" s="662" t="str">
        <f t="shared" si="200"/>
        <v>Silverado 1500-LS Crew Cab-2WD-6-6'6"-11000-5.3L-8-CC15743-1LS-153-26-E85-Unleaded</v>
      </c>
      <c r="AN1835" s="662" t="str">
        <f t="shared" si="198"/>
        <v>2019-LTK-CHV-SV15-004</v>
      </c>
    </row>
    <row r="1836" spans="1:40" s="572" customFormat="1" ht="15">
      <c r="A1836" s="570" t="s">
        <v>3490</v>
      </c>
      <c r="B1836" s="569" t="s">
        <v>3491</v>
      </c>
      <c r="C1836" s="569" t="s">
        <v>166</v>
      </c>
      <c r="D1836" s="580">
        <v>17</v>
      </c>
      <c r="E1836" s="569" t="s">
        <v>3374</v>
      </c>
      <c r="F1836" s="569" t="s">
        <v>152</v>
      </c>
      <c r="G1836" s="569" t="s">
        <v>153</v>
      </c>
      <c r="H1836" s="569">
        <v>2019</v>
      </c>
      <c r="I1836" s="569" t="s">
        <v>3464</v>
      </c>
      <c r="J1836" s="569" t="s">
        <v>3485</v>
      </c>
      <c r="K1836" s="569" t="s">
        <v>3377</v>
      </c>
      <c r="L1836" s="569">
        <v>6</v>
      </c>
      <c r="M1836" s="569">
        <v>0</v>
      </c>
      <c r="N1836" s="569" t="s">
        <v>157</v>
      </c>
      <c r="O1836" s="569">
        <v>2</v>
      </c>
      <c r="P1836" s="569" t="s">
        <v>3471</v>
      </c>
      <c r="Q1836" s="568">
        <v>11000</v>
      </c>
      <c r="R1836" s="569" t="s">
        <v>753</v>
      </c>
      <c r="S1836" s="569">
        <v>8</v>
      </c>
      <c r="T1836" s="569" t="s">
        <v>3489</v>
      </c>
      <c r="U1836" s="569" t="s">
        <v>732</v>
      </c>
      <c r="V1836" s="569">
        <v>153</v>
      </c>
      <c r="W1836" s="569">
        <v>26</v>
      </c>
      <c r="X1836" s="568">
        <v>7000</v>
      </c>
      <c r="Y1836" s="569">
        <v>19</v>
      </c>
      <c r="Z1836" s="581" t="s">
        <v>450</v>
      </c>
      <c r="AA1836" s="581" t="s">
        <v>178</v>
      </c>
      <c r="AB1836" s="585">
        <v>38795</v>
      </c>
      <c r="AC1836" s="585" t="s">
        <v>164</v>
      </c>
      <c r="AD1836" s="585">
        <v>29453</v>
      </c>
      <c r="AE1836" s="587">
        <v>7.1999999999999995E-2</v>
      </c>
      <c r="AF1836" s="661" t="str">
        <f t="shared" si="199"/>
        <v>2019-LTK-CHV-SV15-004-17</v>
      </c>
      <c r="AG1836" s="661" t="str">
        <f>IF(AND($Y1836&gt;=32,(AI1836="I"),(Y1836&lt;&gt;"~"),(COUNTIF($AN$1:$AN1836,$AN1836)=1)),"TRUE","FALSE")</f>
        <v>FALSE</v>
      </c>
      <c r="AH1836" s="661" t="str">
        <f>IF(AND($Y1836&gt;=22, (AI1836&lt;&gt;"I"),(Y1836&lt;&gt;"~"),(COUNTIF($AN$1:$AN1836,$AN1836)=1)),"TRUE","FALSE")</f>
        <v>FALSE</v>
      </c>
      <c r="AI1836" s="661" t="str">
        <f t="shared" si="201"/>
        <v>II</v>
      </c>
      <c r="AJ1836" s="662" t="str">
        <f t="shared" si="195"/>
        <v>SV15-004</v>
      </c>
      <c r="AK1836" s="662" t="str">
        <f t="shared" si="196"/>
        <v>LTK</v>
      </c>
      <c r="AL1836" s="662" t="str">
        <f t="shared" si="197"/>
        <v>CHV</v>
      </c>
      <c r="AM1836" s="662" t="str">
        <f t="shared" si="200"/>
        <v>Silverado 1500-LS Crew Cab-2WD-6-6'6"-11000-5.3L-8-CC15743-1LS-153-26-E85-Unleaded</v>
      </c>
      <c r="AN1836" s="662" t="str">
        <f t="shared" si="198"/>
        <v>2019-LTK-CHV-SV15-004</v>
      </c>
    </row>
    <row r="1837" spans="1:40" s="572" customFormat="1" ht="15">
      <c r="A1837" s="570" t="s">
        <v>3492</v>
      </c>
      <c r="B1837" s="573" t="s">
        <v>3493</v>
      </c>
      <c r="C1837" s="573" t="s">
        <v>166</v>
      </c>
      <c r="D1837" s="578">
        <v>17</v>
      </c>
      <c r="E1837" s="573" t="s">
        <v>3374</v>
      </c>
      <c r="F1837" s="573" t="s">
        <v>152</v>
      </c>
      <c r="G1837" s="573" t="s">
        <v>153</v>
      </c>
      <c r="H1837" s="573">
        <v>2019</v>
      </c>
      <c r="I1837" s="573" t="s">
        <v>3464</v>
      </c>
      <c r="J1837" s="573" t="s">
        <v>3485</v>
      </c>
      <c r="K1837" s="573" t="s">
        <v>752</v>
      </c>
      <c r="L1837" s="573">
        <v>6</v>
      </c>
      <c r="M1837" s="573">
        <v>0</v>
      </c>
      <c r="N1837" s="573" t="s">
        <v>157</v>
      </c>
      <c r="O1837" s="573">
        <v>2</v>
      </c>
      <c r="P1837" s="573" t="s">
        <v>3466</v>
      </c>
      <c r="Q1837" s="571">
        <v>12800</v>
      </c>
      <c r="R1837" s="573" t="s">
        <v>1526</v>
      </c>
      <c r="S1837" s="573">
        <v>6</v>
      </c>
      <c r="T1837" s="573" t="s">
        <v>3494</v>
      </c>
      <c r="U1837" s="573" t="s">
        <v>732</v>
      </c>
      <c r="V1837" s="573">
        <v>143.5</v>
      </c>
      <c r="W1837" s="573">
        <v>26</v>
      </c>
      <c r="X1837" s="571">
        <v>7100</v>
      </c>
      <c r="Y1837" s="573">
        <v>19</v>
      </c>
      <c r="Z1837" s="579" t="s">
        <v>450</v>
      </c>
      <c r="AA1837" s="579" t="s">
        <v>178</v>
      </c>
      <c r="AB1837" s="584">
        <v>39395</v>
      </c>
      <c r="AC1837" s="584" t="s">
        <v>164</v>
      </c>
      <c r="AD1837" s="584">
        <v>28479.66</v>
      </c>
      <c r="AE1837" s="586">
        <v>7.1999999999999995E-2</v>
      </c>
      <c r="AF1837" s="661" t="str">
        <f t="shared" si="199"/>
        <v>2019-LTK-CHV-SV15-005-17</v>
      </c>
      <c r="AG1837" s="661" t="str">
        <f>IF(AND($Y1837&gt;=32,(AI1837="I"),(Y1837&lt;&gt;"~"),(COUNTIF($AN$1:$AN1837,$AN1837)=1)),"TRUE","FALSE")</f>
        <v>FALSE</v>
      </c>
      <c r="AH1837" s="661" t="str">
        <f>IF(AND($Y1837&gt;=22, (AI1837&lt;&gt;"I"),(Y1837&lt;&gt;"~"),(COUNTIF($AN$1:$AN1837,$AN1837)=1)),"TRUE","FALSE")</f>
        <v>FALSE</v>
      </c>
      <c r="AI1837" s="661" t="str">
        <f t="shared" si="201"/>
        <v>II</v>
      </c>
      <c r="AJ1837" s="662" t="str">
        <f t="shared" si="195"/>
        <v>SV15-005</v>
      </c>
      <c r="AK1837" s="662" t="str">
        <f t="shared" si="196"/>
        <v>LTK</v>
      </c>
      <c r="AL1837" s="662" t="str">
        <f t="shared" si="197"/>
        <v>CHV</v>
      </c>
      <c r="AM1837" s="662" t="str">
        <f t="shared" si="200"/>
        <v>Silverado 1500-LS Crew Cab-4WD-6-5'9"-12800-4.3L-6-CK15543-1LS-143.5-26-E85-Unleaded</v>
      </c>
      <c r="AN1837" s="662" t="str">
        <f t="shared" si="198"/>
        <v>2019-LTK-CHV-SV15-005</v>
      </c>
    </row>
    <row r="1838" spans="1:40" s="572" customFormat="1" ht="15">
      <c r="A1838" s="570" t="s">
        <v>3495</v>
      </c>
      <c r="B1838" s="569" t="s">
        <v>3496</v>
      </c>
      <c r="C1838" s="569" t="s">
        <v>166</v>
      </c>
      <c r="D1838" s="580">
        <v>17</v>
      </c>
      <c r="E1838" s="569" t="s">
        <v>3374</v>
      </c>
      <c r="F1838" s="569" t="s">
        <v>152</v>
      </c>
      <c r="G1838" s="569" t="s">
        <v>153</v>
      </c>
      <c r="H1838" s="569">
        <v>2019</v>
      </c>
      <c r="I1838" s="569" t="s">
        <v>3464</v>
      </c>
      <c r="J1838" s="569" t="s">
        <v>3485</v>
      </c>
      <c r="K1838" s="569" t="s">
        <v>752</v>
      </c>
      <c r="L1838" s="569">
        <v>6</v>
      </c>
      <c r="M1838" s="569">
        <v>0</v>
      </c>
      <c r="N1838" s="569" t="s">
        <v>157</v>
      </c>
      <c r="O1838" s="569">
        <v>2</v>
      </c>
      <c r="P1838" s="569" t="s">
        <v>3471</v>
      </c>
      <c r="Q1838" s="568">
        <v>12800</v>
      </c>
      <c r="R1838" s="569" t="s">
        <v>753</v>
      </c>
      <c r="S1838" s="569">
        <v>8</v>
      </c>
      <c r="T1838" s="569" t="s">
        <v>3497</v>
      </c>
      <c r="U1838" s="569" t="s">
        <v>732</v>
      </c>
      <c r="V1838" s="569">
        <v>153</v>
      </c>
      <c r="W1838" s="569">
        <v>26</v>
      </c>
      <c r="X1838" s="568">
        <v>7100</v>
      </c>
      <c r="Y1838" s="569">
        <v>19</v>
      </c>
      <c r="Z1838" s="581" t="s">
        <v>450</v>
      </c>
      <c r="AA1838" s="581" t="s">
        <v>178</v>
      </c>
      <c r="AB1838" s="585">
        <v>41090</v>
      </c>
      <c r="AC1838" s="585" t="s">
        <v>164</v>
      </c>
      <c r="AD1838" s="585">
        <v>31205.57</v>
      </c>
      <c r="AE1838" s="587">
        <v>7.1999999999999995E-2</v>
      </c>
      <c r="AF1838" s="661" t="str">
        <f t="shared" si="199"/>
        <v>2019-LTK-CHV-SV15-006-17</v>
      </c>
      <c r="AG1838" s="661" t="str">
        <f>IF(AND($Y1838&gt;=32,(AI1838="I"),(Y1838&lt;&gt;"~"),(COUNTIF($AN$1:$AN1838,$AN1838)=1)),"TRUE","FALSE")</f>
        <v>FALSE</v>
      </c>
      <c r="AH1838" s="661" t="str">
        <f>IF(AND($Y1838&gt;=22, (AI1838&lt;&gt;"I"),(Y1838&lt;&gt;"~"),(COUNTIF($AN$1:$AN1838,$AN1838)=1)),"TRUE","FALSE")</f>
        <v>FALSE</v>
      </c>
      <c r="AI1838" s="661" t="str">
        <f t="shared" si="201"/>
        <v>II</v>
      </c>
      <c r="AJ1838" s="662" t="str">
        <f t="shared" si="195"/>
        <v>SV15-006</v>
      </c>
      <c r="AK1838" s="662" t="str">
        <f t="shared" si="196"/>
        <v>LTK</v>
      </c>
      <c r="AL1838" s="662" t="str">
        <f t="shared" si="197"/>
        <v>CHV</v>
      </c>
      <c r="AM1838" s="662" t="str">
        <f t="shared" si="200"/>
        <v>Silverado 1500-LS Crew Cab-4WD-6-6'6"-12800-5.3L-8-CK15743-1LS-153-26-E85-Unleaded</v>
      </c>
      <c r="AN1838" s="662" t="str">
        <f t="shared" si="198"/>
        <v>2019-LTK-CHV-SV15-006</v>
      </c>
    </row>
    <row r="1839" spans="1:40" s="572" customFormat="1" ht="15">
      <c r="A1839" s="570" t="s">
        <v>3495</v>
      </c>
      <c r="B1839" s="573" t="s">
        <v>3496</v>
      </c>
      <c r="C1839" s="573" t="s">
        <v>166</v>
      </c>
      <c r="D1839" s="578">
        <v>17</v>
      </c>
      <c r="E1839" s="573" t="s">
        <v>3374</v>
      </c>
      <c r="F1839" s="573" t="s">
        <v>152</v>
      </c>
      <c r="G1839" s="573" t="s">
        <v>153</v>
      </c>
      <c r="H1839" s="573">
        <v>2019</v>
      </c>
      <c r="I1839" s="573" t="s">
        <v>3464</v>
      </c>
      <c r="J1839" s="573" t="s">
        <v>3485</v>
      </c>
      <c r="K1839" s="573" t="s">
        <v>752</v>
      </c>
      <c r="L1839" s="573">
        <v>6</v>
      </c>
      <c r="M1839" s="573">
        <v>0</v>
      </c>
      <c r="N1839" s="573" t="s">
        <v>157</v>
      </c>
      <c r="O1839" s="573">
        <v>2</v>
      </c>
      <c r="P1839" s="573" t="s">
        <v>3471</v>
      </c>
      <c r="Q1839" s="571">
        <v>12800</v>
      </c>
      <c r="R1839" s="573" t="s">
        <v>753</v>
      </c>
      <c r="S1839" s="573">
        <v>8</v>
      </c>
      <c r="T1839" s="573" t="s">
        <v>3497</v>
      </c>
      <c r="U1839" s="573" t="s">
        <v>732</v>
      </c>
      <c r="V1839" s="573">
        <v>153</v>
      </c>
      <c r="W1839" s="573">
        <v>26</v>
      </c>
      <c r="X1839" s="571">
        <v>7200</v>
      </c>
      <c r="Y1839" s="573">
        <v>19</v>
      </c>
      <c r="Z1839" s="579" t="s">
        <v>450</v>
      </c>
      <c r="AA1839" s="579" t="s">
        <v>178</v>
      </c>
      <c r="AB1839" s="584">
        <v>41090</v>
      </c>
      <c r="AC1839" s="584" t="s">
        <v>164</v>
      </c>
      <c r="AD1839" s="584">
        <v>31205.57</v>
      </c>
      <c r="AE1839" s="586">
        <v>7.1999999999999995E-2</v>
      </c>
      <c r="AF1839" s="661" t="str">
        <f t="shared" si="199"/>
        <v>2019-LTK-CHV-SV15-006-17</v>
      </c>
      <c r="AG1839" s="661" t="str">
        <f>IF(AND($Y1839&gt;=32,(AI1839="I"),(Y1839&lt;&gt;"~"),(COUNTIF($AN$1:$AN1839,$AN1839)=1)),"TRUE","FALSE")</f>
        <v>FALSE</v>
      </c>
      <c r="AH1839" s="661" t="str">
        <f>IF(AND($Y1839&gt;=22, (AI1839&lt;&gt;"I"),(Y1839&lt;&gt;"~"),(COUNTIF($AN$1:$AN1839,$AN1839)=1)),"TRUE","FALSE")</f>
        <v>FALSE</v>
      </c>
      <c r="AI1839" s="661" t="str">
        <f t="shared" si="201"/>
        <v>II</v>
      </c>
      <c r="AJ1839" s="662" t="str">
        <f t="shared" si="195"/>
        <v>SV15-006</v>
      </c>
      <c r="AK1839" s="662" t="str">
        <f t="shared" si="196"/>
        <v>LTK</v>
      </c>
      <c r="AL1839" s="662" t="str">
        <f t="shared" si="197"/>
        <v>CHV</v>
      </c>
      <c r="AM1839" s="662" t="str">
        <f t="shared" si="200"/>
        <v>Silverado 1500-LS Crew Cab-4WD-6-6'6"-12800-5.3L-8-CK15743-1LS-153-26-E85-Unleaded</v>
      </c>
      <c r="AN1839" s="662" t="str">
        <f t="shared" si="198"/>
        <v>2019-LTK-CHV-SV15-006</v>
      </c>
    </row>
    <row r="1840" spans="1:40" s="572" customFormat="1" ht="15">
      <c r="A1840" s="570" t="s">
        <v>3498</v>
      </c>
      <c r="B1840" s="569" t="s">
        <v>3499</v>
      </c>
      <c r="C1840" s="569" t="s">
        <v>166</v>
      </c>
      <c r="D1840" s="580">
        <v>17</v>
      </c>
      <c r="E1840" s="569" t="s">
        <v>3374</v>
      </c>
      <c r="F1840" s="569" t="s">
        <v>152</v>
      </c>
      <c r="G1840" s="569" t="s">
        <v>153</v>
      </c>
      <c r="H1840" s="569">
        <v>2019</v>
      </c>
      <c r="I1840" s="569" t="s">
        <v>3464</v>
      </c>
      <c r="J1840" s="569" t="s">
        <v>3500</v>
      </c>
      <c r="K1840" s="569" t="s">
        <v>3377</v>
      </c>
      <c r="L1840" s="569">
        <v>6</v>
      </c>
      <c r="M1840" s="569">
        <v>0</v>
      </c>
      <c r="N1840" s="569" t="s">
        <v>157</v>
      </c>
      <c r="O1840" s="569">
        <v>2</v>
      </c>
      <c r="P1840" s="569" t="s">
        <v>3471</v>
      </c>
      <c r="Q1840" s="568">
        <v>11000</v>
      </c>
      <c r="R1840" s="569" t="s">
        <v>1526</v>
      </c>
      <c r="S1840" s="569">
        <v>6</v>
      </c>
      <c r="T1840" s="569" t="s">
        <v>3501</v>
      </c>
      <c r="U1840" s="569" t="s">
        <v>732</v>
      </c>
      <c r="V1840" s="569">
        <v>143.5</v>
      </c>
      <c r="W1840" s="569">
        <v>26</v>
      </c>
      <c r="X1840" s="568">
        <v>6900</v>
      </c>
      <c r="Y1840" s="569">
        <v>20</v>
      </c>
      <c r="Z1840" s="581" t="s">
        <v>450</v>
      </c>
      <c r="AA1840" s="581" t="s">
        <v>178</v>
      </c>
      <c r="AB1840" s="585">
        <v>36095</v>
      </c>
      <c r="AC1840" s="585" t="s">
        <v>164</v>
      </c>
      <c r="AD1840" s="585">
        <v>27411</v>
      </c>
      <c r="AE1840" s="587">
        <v>7.1999999999999995E-2</v>
      </c>
      <c r="AF1840" s="661" t="str">
        <f t="shared" si="199"/>
        <v>2019-LTK-CHV-SV15-007-17</v>
      </c>
      <c r="AG1840" s="661" t="str">
        <f>IF(AND($Y1840&gt;=32,(AI1840="I"),(Y1840&lt;&gt;"~"),(COUNTIF($AN$1:$AN1840,$AN1840)=1)),"TRUE","FALSE")</f>
        <v>FALSE</v>
      </c>
      <c r="AH1840" s="661" t="str">
        <f>IF(AND($Y1840&gt;=22, (AI1840&lt;&gt;"I"),(Y1840&lt;&gt;"~"),(COUNTIF($AN$1:$AN1840,$AN1840)=1)),"TRUE","FALSE")</f>
        <v>FALSE</v>
      </c>
      <c r="AI1840" s="661" t="str">
        <f t="shared" si="201"/>
        <v>II</v>
      </c>
      <c r="AJ1840" s="662" t="str">
        <f t="shared" si="195"/>
        <v>SV15-007</v>
      </c>
      <c r="AK1840" s="662" t="str">
        <f t="shared" si="196"/>
        <v>LTK</v>
      </c>
      <c r="AL1840" s="662" t="str">
        <f t="shared" si="197"/>
        <v>CHV</v>
      </c>
      <c r="AM1840" s="662" t="str">
        <f t="shared" si="200"/>
        <v>Silverado 1500-LS Double Cab-2WD-6-6'6"-11000-4.3L-6-CC15753-1LS-143.5-26-E85-Unleaded</v>
      </c>
      <c r="AN1840" s="662" t="str">
        <f t="shared" si="198"/>
        <v>2019-LTK-CHV-SV15-007</v>
      </c>
    </row>
    <row r="1841" spans="1:40" s="572" customFormat="1" ht="15">
      <c r="A1841" s="570" t="s">
        <v>3502</v>
      </c>
      <c r="B1841" s="573" t="s">
        <v>3503</v>
      </c>
      <c r="C1841" s="573" t="s">
        <v>166</v>
      </c>
      <c r="D1841" s="578">
        <v>17</v>
      </c>
      <c r="E1841" s="573" t="s">
        <v>3374</v>
      </c>
      <c r="F1841" s="573" t="s">
        <v>152</v>
      </c>
      <c r="G1841" s="573" t="s">
        <v>153</v>
      </c>
      <c r="H1841" s="573">
        <v>2019</v>
      </c>
      <c r="I1841" s="573" t="s">
        <v>3464</v>
      </c>
      <c r="J1841" s="573" t="s">
        <v>3500</v>
      </c>
      <c r="K1841" s="573" t="s">
        <v>752</v>
      </c>
      <c r="L1841" s="573">
        <v>6</v>
      </c>
      <c r="M1841" s="573">
        <v>0</v>
      </c>
      <c r="N1841" s="573" t="s">
        <v>157</v>
      </c>
      <c r="O1841" s="573">
        <v>2</v>
      </c>
      <c r="P1841" s="573" t="s">
        <v>3471</v>
      </c>
      <c r="Q1841" s="571">
        <v>12800</v>
      </c>
      <c r="R1841" s="573" t="s">
        <v>1526</v>
      </c>
      <c r="S1841" s="573">
        <v>6</v>
      </c>
      <c r="T1841" s="573" t="s">
        <v>3504</v>
      </c>
      <c r="U1841" s="573" t="s">
        <v>732</v>
      </c>
      <c r="V1841" s="573">
        <v>143.5</v>
      </c>
      <c r="W1841" s="573">
        <v>26</v>
      </c>
      <c r="X1841" s="571">
        <v>7100</v>
      </c>
      <c r="Y1841" s="573">
        <v>19</v>
      </c>
      <c r="Z1841" s="579" t="s">
        <v>450</v>
      </c>
      <c r="AA1841" s="579" t="s">
        <v>178</v>
      </c>
      <c r="AB1841" s="584">
        <v>39395</v>
      </c>
      <c r="AC1841" s="584" t="s">
        <v>164</v>
      </c>
      <c r="AD1841" s="584">
        <v>29719.88</v>
      </c>
      <c r="AE1841" s="586">
        <v>7.1999999999999995E-2</v>
      </c>
      <c r="AF1841" s="661" t="str">
        <f t="shared" si="199"/>
        <v>2019-LTK-CHV-SV15-008-17</v>
      </c>
      <c r="AG1841" s="661" t="str">
        <f>IF(AND($Y1841&gt;=32,(AI1841="I"),(Y1841&lt;&gt;"~"),(COUNTIF($AN$1:$AN1841,$AN1841)=1)),"TRUE","FALSE")</f>
        <v>FALSE</v>
      </c>
      <c r="AH1841" s="661" t="str">
        <f>IF(AND($Y1841&gt;=22, (AI1841&lt;&gt;"I"),(Y1841&lt;&gt;"~"),(COUNTIF($AN$1:$AN1841,$AN1841)=1)),"TRUE","FALSE")</f>
        <v>FALSE</v>
      </c>
      <c r="AI1841" s="661" t="str">
        <f t="shared" si="201"/>
        <v>II</v>
      </c>
      <c r="AJ1841" s="662" t="str">
        <f t="shared" si="195"/>
        <v>SV15-008</v>
      </c>
      <c r="AK1841" s="662" t="str">
        <f t="shared" si="196"/>
        <v>LTK</v>
      </c>
      <c r="AL1841" s="662" t="str">
        <f t="shared" si="197"/>
        <v>CHV</v>
      </c>
      <c r="AM1841" s="662" t="str">
        <f t="shared" si="200"/>
        <v>Silverado 1500-LS Double Cab-4WD-6-6'6"-12800-4.3L-6-CK15753-1LS-143.5-26-E85-Unleaded</v>
      </c>
      <c r="AN1841" s="662" t="str">
        <f t="shared" si="198"/>
        <v>2019-LTK-CHV-SV15-008</v>
      </c>
    </row>
    <row r="1842" spans="1:40" s="572" customFormat="1" ht="15">
      <c r="A1842" s="570" t="s">
        <v>3505</v>
      </c>
      <c r="B1842" s="569" t="s">
        <v>3506</v>
      </c>
      <c r="C1842" s="569" t="s">
        <v>166</v>
      </c>
      <c r="D1842" s="580">
        <v>17</v>
      </c>
      <c r="E1842" s="569" t="s">
        <v>3374</v>
      </c>
      <c r="F1842" s="569" t="s">
        <v>152</v>
      </c>
      <c r="G1842" s="569" t="s">
        <v>153</v>
      </c>
      <c r="H1842" s="569">
        <v>2019</v>
      </c>
      <c r="I1842" s="569" t="s">
        <v>3464</v>
      </c>
      <c r="J1842" s="569" t="s">
        <v>3507</v>
      </c>
      <c r="K1842" s="569" t="s">
        <v>3377</v>
      </c>
      <c r="L1842" s="569">
        <v>3</v>
      </c>
      <c r="M1842" s="569">
        <v>0</v>
      </c>
      <c r="N1842" s="569" t="s">
        <v>157</v>
      </c>
      <c r="O1842" s="569">
        <v>1</v>
      </c>
      <c r="P1842" s="569" t="s">
        <v>3508</v>
      </c>
      <c r="Q1842" s="568">
        <v>11000</v>
      </c>
      <c r="R1842" s="569" t="s">
        <v>1526</v>
      </c>
      <c r="S1842" s="569">
        <v>6</v>
      </c>
      <c r="T1842" s="569" t="s">
        <v>3509</v>
      </c>
      <c r="U1842" s="569" t="s">
        <v>732</v>
      </c>
      <c r="V1842" s="569">
        <v>133</v>
      </c>
      <c r="W1842" s="569">
        <v>34</v>
      </c>
      <c r="X1842" s="568">
        <v>6700</v>
      </c>
      <c r="Y1842" s="569">
        <v>20</v>
      </c>
      <c r="Z1842" s="581" t="s">
        <v>450</v>
      </c>
      <c r="AA1842" s="581" t="s">
        <v>178</v>
      </c>
      <c r="AB1842" s="585">
        <v>29795</v>
      </c>
      <c r="AC1842" s="585" t="s">
        <v>164</v>
      </c>
      <c r="AD1842" s="585">
        <v>23555</v>
      </c>
      <c r="AE1842" s="587">
        <v>7.1999999999999995E-2</v>
      </c>
      <c r="AF1842" s="661" t="str">
        <f t="shared" si="199"/>
        <v>2019-LTK-CHV-SV15-009-17</v>
      </c>
      <c r="AG1842" s="661" t="str">
        <f>IF(AND($Y1842&gt;=32,(AI1842="I"),(Y1842&lt;&gt;"~"),(COUNTIF($AN$1:$AN1842,$AN1842)=1)),"TRUE","FALSE")</f>
        <v>FALSE</v>
      </c>
      <c r="AH1842" s="661" t="str">
        <f>IF(AND($Y1842&gt;=22, (AI1842&lt;&gt;"I"),(Y1842&lt;&gt;"~"),(COUNTIF($AN$1:$AN1842,$AN1842)=1)),"TRUE","FALSE")</f>
        <v>FALSE</v>
      </c>
      <c r="AI1842" s="661" t="str">
        <f t="shared" si="201"/>
        <v>II</v>
      </c>
      <c r="AJ1842" s="662" t="str">
        <f t="shared" si="195"/>
        <v>SV15-009</v>
      </c>
      <c r="AK1842" s="662" t="str">
        <f t="shared" si="196"/>
        <v>LTK</v>
      </c>
      <c r="AL1842" s="662" t="str">
        <f t="shared" si="197"/>
        <v>CHV</v>
      </c>
      <c r="AM1842" s="662" t="str">
        <f t="shared" si="200"/>
        <v>Silverado 1500-LS Regular Cab-2WD-3-8'1"-11000-4.3L-6-CC15903-1LS-133-34-E85-Unleaded</v>
      </c>
      <c r="AN1842" s="662" t="str">
        <f t="shared" si="198"/>
        <v>2019-LTK-CHV-SV15-009</v>
      </c>
    </row>
    <row r="1843" spans="1:40" s="572" customFormat="1" ht="15">
      <c r="A1843" s="570" t="s">
        <v>3510</v>
      </c>
      <c r="B1843" s="573" t="s">
        <v>3511</v>
      </c>
      <c r="C1843" s="573" t="s">
        <v>166</v>
      </c>
      <c r="D1843" s="578">
        <v>17</v>
      </c>
      <c r="E1843" s="573" t="s">
        <v>3374</v>
      </c>
      <c r="F1843" s="573" t="s">
        <v>152</v>
      </c>
      <c r="G1843" s="573" t="s">
        <v>153</v>
      </c>
      <c r="H1843" s="573">
        <v>2019</v>
      </c>
      <c r="I1843" s="573" t="s">
        <v>3464</v>
      </c>
      <c r="J1843" s="573" t="s">
        <v>3507</v>
      </c>
      <c r="K1843" s="573" t="s">
        <v>752</v>
      </c>
      <c r="L1843" s="573">
        <v>3</v>
      </c>
      <c r="M1843" s="573">
        <v>0</v>
      </c>
      <c r="N1843" s="573" t="s">
        <v>157</v>
      </c>
      <c r="O1843" s="573">
        <v>1</v>
      </c>
      <c r="P1843" s="573" t="s">
        <v>3471</v>
      </c>
      <c r="Q1843" s="571">
        <v>12400</v>
      </c>
      <c r="R1843" s="573" t="s">
        <v>1526</v>
      </c>
      <c r="S1843" s="573">
        <v>6</v>
      </c>
      <c r="T1843" s="573" t="s">
        <v>3512</v>
      </c>
      <c r="U1843" s="573" t="s">
        <v>732</v>
      </c>
      <c r="V1843" s="573">
        <v>119</v>
      </c>
      <c r="W1843" s="573">
        <v>26</v>
      </c>
      <c r="X1843" s="571">
        <v>6700</v>
      </c>
      <c r="Y1843" s="573">
        <v>19</v>
      </c>
      <c r="Z1843" s="579" t="s">
        <v>450</v>
      </c>
      <c r="AA1843" s="579" t="s">
        <v>178</v>
      </c>
      <c r="AB1843" s="584">
        <v>34395</v>
      </c>
      <c r="AC1843" s="584" t="s">
        <v>164</v>
      </c>
      <c r="AD1843" s="584">
        <v>26411.77</v>
      </c>
      <c r="AE1843" s="586">
        <v>7.1999999999999995E-2</v>
      </c>
      <c r="AF1843" s="661" t="str">
        <f t="shared" si="199"/>
        <v>2019-LTK-CHV-SV15-010-17</v>
      </c>
      <c r="AG1843" s="661" t="str">
        <f>IF(AND($Y1843&gt;=32,(AI1843="I"),(Y1843&lt;&gt;"~"),(COUNTIF($AN$1:$AN1843,$AN1843)=1)),"TRUE","FALSE")</f>
        <v>FALSE</v>
      </c>
      <c r="AH1843" s="661" t="str">
        <f>IF(AND($Y1843&gt;=22, (AI1843&lt;&gt;"I"),(Y1843&lt;&gt;"~"),(COUNTIF($AN$1:$AN1843,$AN1843)=1)),"TRUE","FALSE")</f>
        <v>FALSE</v>
      </c>
      <c r="AI1843" s="661" t="str">
        <f t="shared" si="201"/>
        <v>II</v>
      </c>
      <c r="AJ1843" s="662" t="str">
        <f t="shared" si="195"/>
        <v>SV15-010</v>
      </c>
      <c r="AK1843" s="662" t="str">
        <f t="shared" si="196"/>
        <v>LTK</v>
      </c>
      <c r="AL1843" s="662" t="str">
        <f t="shared" si="197"/>
        <v>CHV</v>
      </c>
      <c r="AM1843" s="662" t="str">
        <f t="shared" si="200"/>
        <v>Silverado 1500-LS Regular Cab-4WD-3-6'6"-12400-4.3L-6-CK15703-1LS-119-26-E85-Unleaded</v>
      </c>
      <c r="AN1843" s="662" t="str">
        <f t="shared" si="198"/>
        <v>2019-LTK-CHV-SV15-010</v>
      </c>
    </row>
    <row r="1844" spans="1:40" s="572" customFormat="1" ht="15">
      <c r="A1844" s="570" t="s">
        <v>3513</v>
      </c>
      <c r="B1844" s="569" t="s">
        <v>3514</v>
      </c>
      <c r="C1844" s="569" t="s">
        <v>169</v>
      </c>
      <c r="D1844" s="580">
        <v>11</v>
      </c>
      <c r="E1844" s="569" t="s">
        <v>3374</v>
      </c>
      <c r="F1844" s="569" t="s">
        <v>152</v>
      </c>
      <c r="G1844" s="569" t="s">
        <v>153</v>
      </c>
      <c r="H1844" s="569">
        <v>2019</v>
      </c>
      <c r="I1844" s="569" t="s">
        <v>3464</v>
      </c>
      <c r="J1844" s="569" t="s">
        <v>3384</v>
      </c>
      <c r="K1844" s="569" t="s">
        <v>3377</v>
      </c>
      <c r="L1844" s="569">
        <v>6</v>
      </c>
      <c r="M1844" s="569">
        <v>0</v>
      </c>
      <c r="N1844" s="569" t="s">
        <v>157</v>
      </c>
      <c r="O1844" s="569">
        <v>2</v>
      </c>
      <c r="P1844" s="569" t="s">
        <v>3515</v>
      </c>
      <c r="Q1844" s="568">
        <v>11600</v>
      </c>
      <c r="R1844" s="569" t="s">
        <v>1500</v>
      </c>
      <c r="S1844" s="569">
        <v>8</v>
      </c>
      <c r="T1844" s="569" t="s">
        <v>3467</v>
      </c>
      <c r="U1844" s="569" t="s">
        <v>213</v>
      </c>
      <c r="V1844" s="569">
        <v>147.43</v>
      </c>
      <c r="W1844" s="569">
        <v>24</v>
      </c>
      <c r="X1844" s="568">
        <v>6800</v>
      </c>
      <c r="Y1844" s="569">
        <v>20</v>
      </c>
      <c r="Z1844" s="581" t="s">
        <v>178</v>
      </c>
      <c r="AA1844" s="581" t="s">
        <v>178</v>
      </c>
      <c r="AB1844" s="585">
        <v>40795</v>
      </c>
      <c r="AC1844" s="585" t="s">
        <v>164</v>
      </c>
      <c r="AD1844" s="585">
        <v>29086.42105263158</v>
      </c>
      <c r="AE1844" s="587">
        <v>0.05</v>
      </c>
      <c r="AF1844" s="661" t="str">
        <f t="shared" si="199"/>
        <v>2019-LTK-CHV-SV15-041-11</v>
      </c>
      <c r="AG1844" s="661" t="str">
        <f>IF(AND($Y1844&gt;=32,(AI1844="I"),(Y1844&lt;&gt;"~"),(COUNTIF($AN$1:$AN1844,$AN1844)=1)),"TRUE","FALSE")</f>
        <v>FALSE</v>
      </c>
      <c r="AH1844" s="661" t="str">
        <f>IF(AND($Y1844&gt;=22, (AI1844&lt;&gt;"I"),(Y1844&lt;&gt;"~"),(COUNTIF($AN$1:$AN1844,$AN1844)=1)),"TRUE","FALSE")</f>
        <v>FALSE</v>
      </c>
      <c r="AI1844" s="661" t="str">
        <f t="shared" si="201"/>
        <v>II</v>
      </c>
      <c r="AJ1844" s="662" t="str">
        <f t="shared" si="195"/>
        <v>SV15-041</v>
      </c>
      <c r="AK1844" s="662" t="str">
        <f t="shared" si="196"/>
        <v>LTK</v>
      </c>
      <c r="AL1844" s="662" t="str">
        <f t="shared" si="197"/>
        <v>CHV</v>
      </c>
      <c r="AM1844" s="662" t="str">
        <f t="shared" si="200"/>
        <v>Silverado 1500-LT Crew Cab-2WD-6-5'8"-11600-2.7L-8-CC10543-1LT-147.43-24-Unleaded-Unleaded</v>
      </c>
      <c r="AN1844" s="662" t="str">
        <f t="shared" si="198"/>
        <v>2019-LTK-CHV-SV15-041</v>
      </c>
    </row>
    <row r="1845" spans="1:40" s="572" customFormat="1" ht="15">
      <c r="A1845" s="570" t="s">
        <v>3516</v>
      </c>
      <c r="B1845" s="573" t="s">
        <v>3517</v>
      </c>
      <c r="C1845" s="573" t="s">
        <v>169</v>
      </c>
      <c r="D1845" s="578">
        <v>11</v>
      </c>
      <c r="E1845" s="573" t="s">
        <v>3374</v>
      </c>
      <c r="F1845" s="573" t="s">
        <v>152</v>
      </c>
      <c r="G1845" s="573" t="s">
        <v>153</v>
      </c>
      <c r="H1845" s="573">
        <v>2019</v>
      </c>
      <c r="I1845" s="573" t="s">
        <v>3464</v>
      </c>
      <c r="J1845" s="573" t="s">
        <v>3384</v>
      </c>
      <c r="K1845" s="573" t="s">
        <v>3377</v>
      </c>
      <c r="L1845" s="573">
        <v>6</v>
      </c>
      <c r="M1845" s="573">
        <v>0</v>
      </c>
      <c r="N1845" s="573" t="s">
        <v>157</v>
      </c>
      <c r="O1845" s="573">
        <v>2</v>
      </c>
      <c r="P1845" s="573" t="s">
        <v>3471</v>
      </c>
      <c r="Q1845" s="571">
        <v>11500</v>
      </c>
      <c r="R1845" s="573" t="s">
        <v>1500</v>
      </c>
      <c r="S1845" s="573">
        <v>8</v>
      </c>
      <c r="T1845" s="573" t="s">
        <v>3472</v>
      </c>
      <c r="U1845" s="573" t="s">
        <v>213</v>
      </c>
      <c r="V1845" s="573">
        <v>156.94999999999999</v>
      </c>
      <c r="W1845" s="573">
        <v>24</v>
      </c>
      <c r="X1845" s="571">
        <v>6800</v>
      </c>
      <c r="Y1845" s="569">
        <v>20</v>
      </c>
      <c r="Z1845" s="579" t="s">
        <v>178</v>
      </c>
      <c r="AA1845" s="579" t="s">
        <v>178</v>
      </c>
      <c r="AB1845" s="584">
        <v>41095</v>
      </c>
      <c r="AC1845" s="584" t="s">
        <v>164</v>
      </c>
      <c r="AD1845" s="584">
        <v>28530.73684210526</v>
      </c>
      <c r="AE1845" s="586">
        <v>0.05</v>
      </c>
      <c r="AF1845" s="661" t="str">
        <f t="shared" si="199"/>
        <v>2019-LTK-CHV-SV15-042-11</v>
      </c>
      <c r="AG1845" s="661" t="str">
        <f>IF(AND($Y1845&gt;=32,(AI1845="I"),(Y1845&lt;&gt;"~"),(COUNTIF($AN$1:$AN1845,$AN1845)=1)),"TRUE","FALSE")</f>
        <v>FALSE</v>
      </c>
      <c r="AH1845" s="661" t="str">
        <f>IF(AND($Y1845&gt;=22, (AI1845&lt;&gt;"I"),(Y1845&lt;&gt;"~"),(COUNTIF($AN$1:$AN1845,$AN1845)=1)),"TRUE","FALSE")</f>
        <v>FALSE</v>
      </c>
      <c r="AI1845" s="661" t="str">
        <f t="shared" si="201"/>
        <v>II</v>
      </c>
      <c r="AJ1845" s="662" t="str">
        <f t="shared" si="195"/>
        <v>SV15-042</v>
      </c>
      <c r="AK1845" s="662" t="str">
        <f t="shared" si="196"/>
        <v>LTK</v>
      </c>
      <c r="AL1845" s="662" t="str">
        <f t="shared" si="197"/>
        <v>CHV</v>
      </c>
      <c r="AM1845" s="662" t="str">
        <f t="shared" si="200"/>
        <v>Silverado 1500-LT Crew Cab-2WD-6-6'6"-11500-2.7L-8-CC10743-1LT-156.95-24-Unleaded-Unleaded</v>
      </c>
      <c r="AN1845" s="662" t="str">
        <f t="shared" si="198"/>
        <v>2019-LTK-CHV-SV15-042</v>
      </c>
    </row>
    <row r="1846" spans="1:40" s="572" customFormat="1" ht="15">
      <c r="A1846" s="570" t="s">
        <v>3518</v>
      </c>
      <c r="B1846" s="569" t="s">
        <v>3519</v>
      </c>
      <c r="C1846" s="569" t="s">
        <v>150</v>
      </c>
      <c r="D1846" s="580">
        <v>13</v>
      </c>
      <c r="E1846" s="569" t="s">
        <v>3374</v>
      </c>
      <c r="F1846" s="569" t="s">
        <v>152</v>
      </c>
      <c r="G1846" s="569" t="s">
        <v>153</v>
      </c>
      <c r="H1846" s="569">
        <v>2019</v>
      </c>
      <c r="I1846" s="569" t="s">
        <v>3464</v>
      </c>
      <c r="J1846" s="569" t="s">
        <v>3384</v>
      </c>
      <c r="K1846" s="569" t="s">
        <v>3377</v>
      </c>
      <c r="L1846" s="569">
        <v>6</v>
      </c>
      <c r="M1846" s="569">
        <v>0</v>
      </c>
      <c r="N1846" s="569" t="s">
        <v>157</v>
      </c>
      <c r="O1846" s="569">
        <v>2</v>
      </c>
      <c r="P1846" s="569" t="s">
        <v>3466</v>
      </c>
      <c r="Q1846" s="568">
        <v>11000</v>
      </c>
      <c r="R1846" s="569" t="s">
        <v>1526</v>
      </c>
      <c r="S1846" s="569">
        <v>6</v>
      </c>
      <c r="T1846" s="569" t="s">
        <v>3467</v>
      </c>
      <c r="U1846" s="569" t="s">
        <v>213</v>
      </c>
      <c r="V1846" s="569">
        <v>143.5</v>
      </c>
      <c r="W1846" s="569">
        <v>26</v>
      </c>
      <c r="X1846" s="568">
        <v>6900</v>
      </c>
      <c r="Y1846" s="569">
        <v>20</v>
      </c>
      <c r="Z1846" s="581" t="s">
        <v>450</v>
      </c>
      <c r="AA1846" s="581" t="s">
        <v>178</v>
      </c>
      <c r="AB1846" s="585">
        <v>41795</v>
      </c>
      <c r="AC1846" s="585" t="s">
        <v>164</v>
      </c>
      <c r="AD1846" s="585">
        <v>32461</v>
      </c>
      <c r="AE1846" s="587">
        <v>0.03</v>
      </c>
      <c r="AF1846" s="661" t="str">
        <f t="shared" si="199"/>
        <v>2019-LTK-CHV-SV15-012-13</v>
      </c>
      <c r="AG1846" s="661" t="str">
        <f>IF(AND($Y1846&gt;=32,(AI1846="I"),(Y1846&lt;&gt;"~"),(COUNTIF($AN$1:$AN1846,$AN1846)=1)),"TRUE","FALSE")</f>
        <v>FALSE</v>
      </c>
      <c r="AH1846" s="661" t="str">
        <f>IF(AND($Y1846&gt;=22, (AI1846&lt;&gt;"I"),(Y1846&lt;&gt;"~"),(COUNTIF($AN$1:$AN1846,$AN1846)=1)),"TRUE","FALSE")</f>
        <v>FALSE</v>
      </c>
      <c r="AI1846" s="661" t="str">
        <f t="shared" si="201"/>
        <v>II</v>
      </c>
      <c r="AJ1846" s="662" t="str">
        <f t="shared" si="195"/>
        <v>SV15-012</v>
      </c>
      <c r="AK1846" s="662" t="str">
        <f t="shared" si="196"/>
        <v>LTK</v>
      </c>
      <c r="AL1846" s="662" t="str">
        <f t="shared" si="197"/>
        <v>CHV</v>
      </c>
      <c r="AM1846" s="662" t="str">
        <f t="shared" si="200"/>
        <v>Silverado 1500-LT Crew Cab-2WD-6-5'9"-11000-4.3L-6-CC10543-1LT-143.5-26-E85-Unleaded</v>
      </c>
      <c r="AN1846" s="662" t="str">
        <f t="shared" si="198"/>
        <v>2019-LTK-CHV-SV15-012</v>
      </c>
    </row>
    <row r="1847" spans="1:40" s="572" customFormat="1" ht="15">
      <c r="A1847" s="570" t="s">
        <v>3520</v>
      </c>
      <c r="B1847" s="573" t="s">
        <v>3521</v>
      </c>
      <c r="C1847" s="573" t="s">
        <v>150</v>
      </c>
      <c r="D1847" s="578">
        <v>13</v>
      </c>
      <c r="E1847" s="573" t="s">
        <v>3374</v>
      </c>
      <c r="F1847" s="573" t="s">
        <v>152</v>
      </c>
      <c r="G1847" s="573" t="s">
        <v>153</v>
      </c>
      <c r="H1847" s="573">
        <v>2019</v>
      </c>
      <c r="I1847" s="573" t="s">
        <v>3464</v>
      </c>
      <c r="J1847" s="573" t="s">
        <v>3384</v>
      </c>
      <c r="K1847" s="573" t="s">
        <v>3377</v>
      </c>
      <c r="L1847" s="573">
        <v>6</v>
      </c>
      <c r="M1847" s="573">
        <v>0</v>
      </c>
      <c r="N1847" s="573" t="s">
        <v>157</v>
      </c>
      <c r="O1847" s="573">
        <v>2</v>
      </c>
      <c r="P1847" s="573" t="s">
        <v>3471</v>
      </c>
      <c r="Q1847" s="571">
        <v>11000</v>
      </c>
      <c r="R1847" s="573" t="s">
        <v>753</v>
      </c>
      <c r="S1847" s="573">
        <v>8</v>
      </c>
      <c r="T1847" s="573" t="s">
        <v>3472</v>
      </c>
      <c r="U1847" s="573" t="s">
        <v>213</v>
      </c>
      <c r="V1847" s="573">
        <v>153</v>
      </c>
      <c r="W1847" s="573">
        <v>26</v>
      </c>
      <c r="X1847" s="571">
        <v>7000</v>
      </c>
      <c r="Y1847" s="573">
        <v>19</v>
      </c>
      <c r="Z1847" s="579" t="s">
        <v>450</v>
      </c>
      <c r="AA1847" s="579" t="s">
        <v>178</v>
      </c>
      <c r="AB1847" s="584">
        <v>41095</v>
      </c>
      <c r="AC1847" s="584" t="s">
        <v>164</v>
      </c>
      <c r="AD1847" s="584">
        <v>33722</v>
      </c>
      <c r="AE1847" s="586">
        <v>0.03</v>
      </c>
      <c r="AF1847" s="661" t="str">
        <f t="shared" si="199"/>
        <v>2019-LTK-CHV-SV15-013-13</v>
      </c>
      <c r="AG1847" s="661" t="str">
        <f>IF(AND($Y1847&gt;=32,(AI1847="I"),(Y1847&lt;&gt;"~"),(COUNTIF($AN$1:$AN1847,$AN1847)=1)),"TRUE","FALSE")</f>
        <v>FALSE</v>
      </c>
      <c r="AH1847" s="661" t="str">
        <f>IF(AND($Y1847&gt;=22, (AI1847&lt;&gt;"I"),(Y1847&lt;&gt;"~"),(COUNTIF($AN$1:$AN1847,$AN1847)=1)),"TRUE","FALSE")</f>
        <v>FALSE</v>
      </c>
      <c r="AI1847" s="661" t="str">
        <f t="shared" si="201"/>
        <v>II</v>
      </c>
      <c r="AJ1847" s="662" t="str">
        <f t="shared" si="195"/>
        <v>SV15-013</v>
      </c>
      <c r="AK1847" s="662" t="str">
        <f t="shared" si="196"/>
        <v>LTK</v>
      </c>
      <c r="AL1847" s="662" t="str">
        <f t="shared" si="197"/>
        <v>CHV</v>
      </c>
      <c r="AM1847" s="662" t="str">
        <f t="shared" si="200"/>
        <v>Silverado 1500-LT Crew Cab-2WD-6-6'6"-11000-5.3L-8-CC10743-1LT-153-26-E85-Unleaded</v>
      </c>
      <c r="AN1847" s="662" t="str">
        <f t="shared" si="198"/>
        <v>2019-LTK-CHV-SV15-013</v>
      </c>
    </row>
    <row r="1848" spans="1:40" s="572" customFormat="1" ht="15">
      <c r="A1848" s="570" t="s">
        <v>3522</v>
      </c>
      <c r="B1848" s="569" t="s">
        <v>3519</v>
      </c>
      <c r="C1848" s="569" t="s">
        <v>166</v>
      </c>
      <c r="D1848" s="580">
        <v>17</v>
      </c>
      <c r="E1848" s="569" t="s">
        <v>3374</v>
      </c>
      <c r="F1848" s="569" t="s">
        <v>152</v>
      </c>
      <c r="G1848" s="569" t="s">
        <v>153</v>
      </c>
      <c r="H1848" s="569">
        <v>2019</v>
      </c>
      <c r="I1848" s="569" t="s">
        <v>3464</v>
      </c>
      <c r="J1848" s="569" t="s">
        <v>3384</v>
      </c>
      <c r="K1848" s="569" t="s">
        <v>3377</v>
      </c>
      <c r="L1848" s="569">
        <v>6</v>
      </c>
      <c r="M1848" s="569">
        <v>0</v>
      </c>
      <c r="N1848" s="569" t="s">
        <v>157</v>
      </c>
      <c r="O1848" s="569">
        <v>2</v>
      </c>
      <c r="P1848" s="569" t="s">
        <v>3466</v>
      </c>
      <c r="Q1848" s="568">
        <v>11000</v>
      </c>
      <c r="R1848" s="569" t="s">
        <v>1526</v>
      </c>
      <c r="S1848" s="569">
        <v>6</v>
      </c>
      <c r="T1848" s="569" t="s">
        <v>3486</v>
      </c>
      <c r="U1848" s="569" t="s">
        <v>213</v>
      </c>
      <c r="V1848" s="569">
        <v>143.5</v>
      </c>
      <c r="W1848" s="569">
        <v>26</v>
      </c>
      <c r="X1848" s="568">
        <v>6900</v>
      </c>
      <c r="Y1848" s="569">
        <v>20</v>
      </c>
      <c r="Z1848" s="581" t="s">
        <v>450</v>
      </c>
      <c r="AA1848" s="581" t="s">
        <v>178</v>
      </c>
      <c r="AB1848" s="585">
        <v>40995</v>
      </c>
      <c r="AC1848" s="585" t="s">
        <v>164</v>
      </c>
      <c r="AD1848" s="585">
        <v>31565</v>
      </c>
      <c r="AE1848" s="587">
        <v>7.1999999999999995E-2</v>
      </c>
      <c r="AF1848" s="661" t="str">
        <f t="shared" si="199"/>
        <v>2019-LTK-CHV-SV15-012-17</v>
      </c>
      <c r="AG1848" s="661" t="str">
        <f>IF(AND($Y1848&gt;=32,(AI1848="I"),(Y1848&lt;&gt;"~"),(COUNTIF($AN$1:$AN1848,$AN1848)=1)),"TRUE","FALSE")</f>
        <v>FALSE</v>
      </c>
      <c r="AH1848" s="661" t="str">
        <f>IF(AND($Y1848&gt;=22, (AI1848&lt;&gt;"I"),(Y1848&lt;&gt;"~"),(COUNTIF($AN$1:$AN1848,$AN1848)=1)),"TRUE","FALSE")</f>
        <v>FALSE</v>
      </c>
      <c r="AI1848" s="661" t="str">
        <f t="shared" si="201"/>
        <v>II</v>
      </c>
      <c r="AJ1848" s="662" t="str">
        <f t="shared" si="195"/>
        <v>SV15-012</v>
      </c>
      <c r="AK1848" s="662" t="str">
        <f t="shared" si="196"/>
        <v>LTK</v>
      </c>
      <c r="AL1848" s="662" t="str">
        <f t="shared" si="197"/>
        <v>CHV</v>
      </c>
      <c r="AM1848" s="662" t="str">
        <f t="shared" si="200"/>
        <v>Silverado 1500-LT Crew Cab-2WD-6-5'9"-11000-4.3L-6-CC15543-1LT-143.5-26-E85-Unleaded</v>
      </c>
      <c r="AN1848" s="662" t="str">
        <f t="shared" si="198"/>
        <v>2019-LTK-CHV-SV15-012</v>
      </c>
    </row>
    <row r="1849" spans="1:40" s="572" customFormat="1" ht="15">
      <c r="A1849" s="570" t="s">
        <v>3523</v>
      </c>
      <c r="B1849" s="573" t="s">
        <v>3521</v>
      </c>
      <c r="C1849" s="573" t="s">
        <v>166</v>
      </c>
      <c r="D1849" s="578">
        <v>17</v>
      </c>
      <c r="E1849" s="573" t="s">
        <v>3374</v>
      </c>
      <c r="F1849" s="573" t="s">
        <v>152</v>
      </c>
      <c r="G1849" s="573" t="s">
        <v>153</v>
      </c>
      <c r="H1849" s="573">
        <v>2019</v>
      </c>
      <c r="I1849" s="573" t="s">
        <v>3464</v>
      </c>
      <c r="J1849" s="573" t="s">
        <v>3384</v>
      </c>
      <c r="K1849" s="573" t="s">
        <v>3377</v>
      </c>
      <c r="L1849" s="573">
        <v>6</v>
      </c>
      <c r="M1849" s="573">
        <v>0</v>
      </c>
      <c r="N1849" s="573" t="s">
        <v>157</v>
      </c>
      <c r="O1849" s="573">
        <v>2</v>
      </c>
      <c r="P1849" s="573" t="s">
        <v>3471</v>
      </c>
      <c r="Q1849" s="571">
        <v>11000</v>
      </c>
      <c r="R1849" s="573" t="s">
        <v>753</v>
      </c>
      <c r="S1849" s="573">
        <v>8</v>
      </c>
      <c r="T1849" s="573" t="s">
        <v>3489</v>
      </c>
      <c r="U1849" s="573" t="s">
        <v>213</v>
      </c>
      <c r="V1849" s="573">
        <v>153</v>
      </c>
      <c r="W1849" s="573">
        <v>26</v>
      </c>
      <c r="X1849" s="571">
        <v>6900</v>
      </c>
      <c r="Y1849" s="573">
        <v>19</v>
      </c>
      <c r="Z1849" s="579" t="s">
        <v>450</v>
      </c>
      <c r="AA1849" s="579" t="s">
        <v>178</v>
      </c>
      <c r="AB1849" s="584">
        <v>41095</v>
      </c>
      <c r="AC1849" s="584" t="s">
        <v>164</v>
      </c>
      <c r="AD1849" s="584">
        <v>30925</v>
      </c>
      <c r="AE1849" s="586">
        <v>7.1999999999999995E-2</v>
      </c>
      <c r="AF1849" s="661" t="str">
        <f t="shared" si="199"/>
        <v>2019-LTK-CHV-SV15-013-17</v>
      </c>
      <c r="AG1849" s="661" t="str">
        <f>IF(AND($Y1849&gt;=32,(AI1849="I"),(Y1849&lt;&gt;"~"),(COUNTIF($AN$1:$AN1849,$AN1849)=1)),"TRUE","FALSE")</f>
        <v>FALSE</v>
      </c>
      <c r="AH1849" s="661" t="str">
        <f>IF(AND($Y1849&gt;=22, (AI1849&lt;&gt;"I"),(Y1849&lt;&gt;"~"),(COUNTIF($AN$1:$AN1849,$AN1849)=1)),"TRUE","FALSE")</f>
        <v>FALSE</v>
      </c>
      <c r="AI1849" s="661" t="str">
        <f t="shared" si="201"/>
        <v>II</v>
      </c>
      <c r="AJ1849" s="662" t="str">
        <f t="shared" si="195"/>
        <v>SV15-013</v>
      </c>
      <c r="AK1849" s="662" t="str">
        <f t="shared" si="196"/>
        <v>LTK</v>
      </c>
      <c r="AL1849" s="662" t="str">
        <f t="shared" si="197"/>
        <v>CHV</v>
      </c>
      <c r="AM1849" s="662" t="str">
        <f t="shared" si="200"/>
        <v>Silverado 1500-LT Crew Cab-2WD-6-6'6"-11000-5.3L-8-CC15743-1LT-153-26-E85-Unleaded</v>
      </c>
      <c r="AN1849" s="662" t="str">
        <f t="shared" si="198"/>
        <v>2019-LTK-CHV-SV15-013</v>
      </c>
    </row>
    <row r="1850" spans="1:40" s="572" customFormat="1" ht="15">
      <c r="A1850" s="570" t="s">
        <v>3523</v>
      </c>
      <c r="B1850" s="569" t="s">
        <v>3521</v>
      </c>
      <c r="C1850" s="569" t="s">
        <v>166</v>
      </c>
      <c r="D1850" s="580">
        <v>17</v>
      </c>
      <c r="E1850" s="569" t="s">
        <v>3374</v>
      </c>
      <c r="F1850" s="569" t="s">
        <v>152</v>
      </c>
      <c r="G1850" s="569" t="s">
        <v>153</v>
      </c>
      <c r="H1850" s="569">
        <v>2019</v>
      </c>
      <c r="I1850" s="569" t="s">
        <v>3464</v>
      </c>
      <c r="J1850" s="569" t="s">
        <v>3384</v>
      </c>
      <c r="K1850" s="569" t="s">
        <v>3377</v>
      </c>
      <c r="L1850" s="569">
        <v>6</v>
      </c>
      <c r="M1850" s="569">
        <v>0</v>
      </c>
      <c r="N1850" s="569" t="s">
        <v>157</v>
      </c>
      <c r="O1850" s="569">
        <v>2</v>
      </c>
      <c r="P1850" s="569" t="s">
        <v>3471</v>
      </c>
      <c r="Q1850" s="568">
        <v>11000</v>
      </c>
      <c r="R1850" s="569" t="s">
        <v>753</v>
      </c>
      <c r="S1850" s="569">
        <v>8</v>
      </c>
      <c r="T1850" s="569" t="s">
        <v>3489</v>
      </c>
      <c r="U1850" s="569" t="s">
        <v>213</v>
      </c>
      <c r="V1850" s="569">
        <v>153</v>
      </c>
      <c r="W1850" s="569">
        <v>26</v>
      </c>
      <c r="X1850" s="568">
        <v>7000</v>
      </c>
      <c r="Y1850" s="569">
        <v>19</v>
      </c>
      <c r="Z1850" s="581" t="s">
        <v>450</v>
      </c>
      <c r="AA1850" s="581" t="s">
        <v>178</v>
      </c>
      <c r="AB1850" s="585">
        <v>41095</v>
      </c>
      <c r="AC1850" s="585" t="s">
        <v>164</v>
      </c>
      <c r="AD1850" s="585">
        <v>30925</v>
      </c>
      <c r="AE1850" s="587">
        <v>7.1999999999999995E-2</v>
      </c>
      <c r="AF1850" s="661" t="str">
        <f t="shared" si="199"/>
        <v>2019-LTK-CHV-SV15-013-17</v>
      </c>
      <c r="AG1850" s="661" t="str">
        <f>IF(AND($Y1850&gt;=32,(AI1850="I"),(Y1850&lt;&gt;"~"),(COUNTIF($AN$1:$AN1850,$AN1850)=1)),"TRUE","FALSE")</f>
        <v>FALSE</v>
      </c>
      <c r="AH1850" s="661" t="str">
        <f>IF(AND($Y1850&gt;=22, (AI1850&lt;&gt;"I"),(Y1850&lt;&gt;"~"),(COUNTIF($AN$1:$AN1850,$AN1850)=1)),"TRUE","FALSE")</f>
        <v>FALSE</v>
      </c>
      <c r="AI1850" s="661" t="str">
        <f t="shared" si="201"/>
        <v>II</v>
      </c>
      <c r="AJ1850" s="662" t="str">
        <f t="shared" si="195"/>
        <v>SV15-013</v>
      </c>
      <c r="AK1850" s="662" t="str">
        <f t="shared" si="196"/>
        <v>LTK</v>
      </c>
      <c r="AL1850" s="662" t="str">
        <f t="shared" si="197"/>
        <v>CHV</v>
      </c>
      <c r="AM1850" s="662" t="str">
        <f t="shared" si="200"/>
        <v>Silverado 1500-LT Crew Cab-2WD-6-6'6"-11000-5.3L-8-CC15743-1LT-153-26-E85-Unleaded</v>
      </c>
      <c r="AN1850" s="662" t="str">
        <f t="shared" si="198"/>
        <v>2019-LTK-CHV-SV15-013</v>
      </c>
    </row>
    <row r="1851" spans="1:40" s="572" customFormat="1" ht="15">
      <c r="A1851" s="570" t="s">
        <v>3524</v>
      </c>
      <c r="B1851" s="573" t="s">
        <v>3525</v>
      </c>
      <c r="C1851" s="573" t="s">
        <v>169</v>
      </c>
      <c r="D1851" s="578">
        <v>11</v>
      </c>
      <c r="E1851" s="573" t="s">
        <v>3374</v>
      </c>
      <c r="F1851" s="573" t="s">
        <v>152</v>
      </c>
      <c r="G1851" s="573" t="s">
        <v>153</v>
      </c>
      <c r="H1851" s="573">
        <v>2019</v>
      </c>
      <c r="I1851" s="573" t="s">
        <v>3464</v>
      </c>
      <c r="J1851" s="573" t="s">
        <v>3384</v>
      </c>
      <c r="K1851" s="573" t="s">
        <v>752</v>
      </c>
      <c r="L1851" s="573">
        <v>6</v>
      </c>
      <c r="M1851" s="573">
        <v>0</v>
      </c>
      <c r="N1851" s="573" t="s">
        <v>157</v>
      </c>
      <c r="O1851" s="573">
        <v>2</v>
      </c>
      <c r="P1851" s="573" t="s">
        <v>3515</v>
      </c>
      <c r="Q1851" s="571">
        <v>11400</v>
      </c>
      <c r="R1851" s="573" t="s">
        <v>1500</v>
      </c>
      <c r="S1851" s="573">
        <v>8</v>
      </c>
      <c r="T1851" s="573" t="s">
        <v>3475</v>
      </c>
      <c r="U1851" s="573" t="s">
        <v>213</v>
      </c>
      <c r="V1851" s="573">
        <v>147.43</v>
      </c>
      <c r="W1851" s="573">
        <v>24</v>
      </c>
      <c r="X1851" s="571">
        <v>7000</v>
      </c>
      <c r="Y1851" s="573">
        <v>19</v>
      </c>
      <c r="Z1851" s="579" t="s">
        <v>178</v>
      </c>
      <c r="AA1851" s="579" t="s">
        <v>178</v>
      </c>
      <c r="AB1851" s="584">
        <v>44095</v>
      </c>
      <c r="AC1851" s="584" t="s">
        <v>164</v>
      </c>
      <c r="AD1851" s="584">
        <v>31394.94736842105</v>
      </c>
      <c r="AE1851" s="586">
        <v>0.05</v>
      </c>
      <c r="AF1851" s="661" t="str">
        <f t="shared" si="199"/>
        <v>2019-LTK-CHV-SV15-043-11</v>
      </c>
      <c r="AG1851" s="661" t="str">
        <f>IF(AND($Y1851&gt;=32,(AI1851="I"),(Y1851&lt;&gt;"~"),(COUNTIF($AN$1:$AN1851,$AN1851)=1)),"TRUE","FALSE")</f>
        <v>FALSE</v>
      </c>
      <c r="AH1851" s="661" t="str">
        <f>IF(AND($Y1851&gt;=22, (AI1851&lt;&gt;"I"),(Y1851&lt;&gt;"~"),(COUNTIF($AN$1:$AN1851,$AN1851)=1)),"TRUE","FALSE")</f>
        <v>FALSE</v>
      </c>
      <c r="AI1851" s="661" t="str">
        <f t="shared" si="201"/>
        <v>II</v>
      </c>
      <c r="AJ1851" s="662" t="str">
        <f t="shared" si="195"/>
        <v>SV15-043</v>
      </c>
      <c r="AK1851" s="662" t="str">
        <f t="shared" si="196"/>
        <v>LTK</v>
      </c>
      <c r="AL1851" s="662" t="str">
        <f t="shared" si="197"/>
        <v>CHV</v>
      </c>
      <c r="AM1851" s="662" t="str">
        <f t="shared" si="200"/>
        <v>Silverado 1500-LT Crew Cab-4WD-6-5'8"-11400-2.7L-8-CK10543-1LT-147.43-24-Unleaded-Unleaded</v>
      </c>
      <c r="AN1851" s="662" t="str">
        <f t="shared" si="198"/>
        <v>2019-LTK-CHV-SV15-043</v>
      </c>
    </row>
    <row r="1852" spans="1:40" s="572" customFormat="1" ht="15">
      <c r="A1852" s="570" t="s">
        <v>3526</v>
      </c>
      <c r="B1852" s="569" t="s">
        <v>3527</v>
      </c>
      <c r="C1852" s="569" t="s">
        <v>169</v>
      </c>
      <c r="D1852" s="580">
        <v>11</v>
      </c>
      <c r="E1852" s="569" t="s">
        <v>3374</v>
      </c>
      <c r="F1852" s="569" t="s">
        <v>152</v>
      </c>
      <c r="G1852" s="569" t="s">
        <v>153</v>
      </c>
      <c r="H1852" s="569">
        <v>2019</v>
      </c>
      <c r="I1852" s="569" t="s">
        <v>3464</v>
      </c>
      <c r="J1852" s="569" t="s">
        <v>3384</v>
      </c>
      <c r="K1852" s="569" t="s">
        <v>752</v>
      </c>
      <c r="L1852" s="569">
        <v>6</v>
      </c>
      <c r="M1852" s="569">
        <v>0</v>
      </c>
      <c r="N1852" s="569" t="s">
        <v>157</v>
      </c>
      <c r="O1852" s="569">
        <v>2</v>
      </c>
      <c r="P1852" s="569" t="s">
        <v>3471</v>
      </c>
      <c r="Q1852" s="568">
        <v>11300</v>
      </c>
      <c r="R1852" s="569" t="s">
        <v>1500</v>
      </c>
      <c r="S1852" s="569">
        <v>8</v>
      </c>
      <c r="T1852" s="569" t="s">
        <v>3478</v>
      </c>
      <c r="U1852" s="569" t="s">
        <v>213</v>
      </c>
      <c r="V1852" s="569">
        <v>156.94999999999999</v>
      </c>
      <c r="W1852" s="569">
        <v>24</v>
      </c>
      <c r="X1852" s="568">
        <v>7000</v>
      </c>
      <c r="Y1852" s="573">
        <v>19</v>
      </c>
      <c r="Z1852" s="581" t="s">
        <v>178</v>
      </c>
      <c r="AA1852" s="581" t="s">
        <v>178</v>
      </c>
      <c r="AB1852" s="585">
        <v>44395</v>
      </c>
      <c r="AC1852" s="585" t="s">
        <v>164</v>
      </c>
      <c r="AD1852" s="585">
        <v>31681.368421052637</v>
      </c>
      <c r="AE1852" s="587">
        <v>0.05</v>
      </c>
      <c r="AF1852" s="661" t="str">
        <f t="shared" si="199"/>
        <v>2019-LTK-CHV-SV15-044-11</v>
      </c>
      <c r="AG1852" s="661" t="str">
        <f>IF(AND($Y1852&gt;=32,(AI1852="I"),(Y1852&lt;&gt;"~"),(COUNTIF($AN$1:$AN1852,$AN1852)=1)),"TRUE","FALSE")</f>
        <v>FALSE</v>
      </c>
      <c r="AH1852" s="661" t="str">
        <f>IF(AND($Y1852&gt;=22, (AI1852&lt;&gt;"I"),(Y1852&lt;&gt;"~"),(COUNTIF($AN$1:$AN1852,$AN1852)=1)),"TRUE","FALSE")</f>
        <v>FALSE</v>
      </c>
      <c r="AI1852" s="661" t="str">
        <f t="shared" si="201"/>
        <v>II</v>
      </c>
      <c r="AJ1852" s="662" t="str">
        <f t="shared" si="195"/>
        <v>SV15-044</v>
      </c>
      <c r="AK1852" s="662" t="str">
        <f t="shared" si="196"/>
        <v>LTK</v>
      </c>
      <c r="AL1852" s="662" t="str">
        <f t="shared" si="197"/>
        <v>CHV</v>
      </c>
      <c r="AM1852" s="662" t="str">
        <f t="shared" si="200"/>
        <v>Silverado 1500-LT Crew Cab-4WD-6-6'6"-11300-2.7L-8-CK10743-1LT-156.95-24-Unleaded-Unleaded</v>
      </c>
      <c r="AN1852" s="662" t="str">
        <f t="shared" si="198"/>
        <v>2019-LTK-CHV-SV15-044</v>
      </c>
    </row>
    <row r="1853" spans="1:40" s="572" customFormat="1" ht="15">
      <c r="A1853" s="570" t="s">
        <v>3528</v>
      </c>
      <c r="B1853" s="573" t="s">
        <v>3529</v>
      </c>
      <c r="C1853" s="573" t="s">
        <v>150</v>
      </c>
      <c r="D1853" s="578">
        <v>13</v>
      </c>
      <c r="E1853" s="573" t="s">
        <v>3374</v>
      </c>
      <c r="F1853" s="573" t="s">
        <v>152</v>
      </c>
      <c r="G1853" s="573" t="s">
        <v>153</v>
      </c>
      <c r="H1853" s="573">
        <v>2019</v>
      </c>
      <c r="I1853" s="573" t="s">
        <v>3464</v>
      </c>
      <c r="J1853" s="573" t="s">
        <v>3384</v>
      </c>
      <c r="K1853" s="573" t="s">
        <v>752</v>
      </c>
      <c r="L1853" s="573">
        <v>6</v>
      </c>
      <c r="M1853" s="573">
        <v>0</v>
      </c>
      <c r="N1853" s="573" t="s">
        <v>157</v>
      </c>
      <c r="O1853" s="573">
        <v>2</v>
      </c>
      <c r="P1853" s="573" t="s">
        <v>3466</v>
      </c>
      <c r="Q1853" s="571">
        <v>12800</v>
      </c>
      <c r="R1853" s="573" t="s">
        <v>1526</v>
      </c>
      <c r="S1853" s="573">
        <v>6</v>
      </c>
      <c r="T1853" s="573" t="s">
        <v>3475</v>
      </c>
      <c r="U1853" s="573" t="s">
        <v>213</v>
      </c>
      <c r="V1853" s="573">
        <v>143.5</v>
      </c>
      <c r="W1853" s="573">
        <v>26</v>
      </c>
      <c r="X1853" s="571">
        <v>7100</v>
      </c>
      <c r="Y1853" s="573">
        <v>19</v>
      </c>
      <c r="Z1853" s="579" t="s">
        <v>450</v>
      </c>
      <c r="AA1853" s="579" t="s">
        <v>178</v>
      </c>
      <c r="AB1853" s="584">
        <v>44095</v>
      </c>
      <c r="AC1853" s="584" t="s">
        <v>164</v>
      </c>
      <c r="AD1853" s="584">
        <v>34895</v>
      </c>
      <c r="AE1853" s="586">
        <v>0.03</v>
      </c>
      <c r="AF1853" s="661" t="str">
        <f t="shared" si="199"/>
        <v>2019-LTK-CHV-SV15-014-13</v>
      </c>
      <c r="AG1853" s="661" t="str">
        <f>IF(AND($Y1853&gt;=32,(AI1853="I"),(Y1853&lt;&gt;"~"),(COUNTIF($AN$1:$AN1853,$AN1853)=1)),"TRUE","FALSE")</f>
        <v>FALSE</v>
      </c>
      <c r="AH1853" s="661" t="str">
        <f>IF(AND($Y1853&gt;=22, (AI1853&lt;&gt;"I"),(Y1853&lt;&gt;"~"),(COUNTIF($AN$1:$AN1853,$AN1853)=1)),"TRUE","FALSE")</f>
        <v>FALSE</v>
      </c>
      <c r="AI1853" s="661" t="str">
        <f t="shared" si="201"/>
        <v>II</v>
      </c>
      <c r="AJ1853" s="662" t="str">
        <f t="shared" si="195"/>
        <v>SV15-014</v>
      </c>
      <c r="AK1853" s="662" t="str">
        <f t="shared" si="196"/>
        <v>LTK</v>
      </c>
      <c r="AL1853" s="662" t="str">
        <f t="shared" si="197"/>
        <v>CHV</v>
      </c>
      <c r="AM1853" s="662" t="str">
        <f t="shared" si="200"/>
        <v>Silverado 1500-LT Crew Cab-4WD-6-5'9"-12800-4.3L-6-CK10543-1LT-143.5-26-E85-Unleaded</v>
      </c>
      <c r="AN1853" s="662" t="str">
        <f t="shared" si="198"/>
        <v>2019-LTK-CHV-SV15-014</v>
      </c>
    </row>
    <row r="1854" spans="1:40" s="572" customFormat="1" ht="15">
      <c r="A1854" s="570" t="s">
        <v>3530</v>
      </c>
      <c r="B1854" s="569" t="s">
        <v>3531</v>
      </c>
      <c r="C1854" s="569" t="s">
        <v>150</v>
      </c>
      <c r="D1854" s="580">
        <v>13</v>
      </c>
      <c r="E1854" s="569" t="s">
        <v>3374</v>
      </c>
      <c r="F1854" s="569" t="s">
        <v>152</v>
      </c>
      <c r="G1854" s="569" t="s">
        <v>153</v>
      </c>
      <c r="H1854" s="569">
        <v>2019</v>
      </c>
      <c r="I1854" s="569" t="s">
        <v>3464</v>
      </c>
      <c r="J1854" s="569" t="s">
        <v>3384</v>
      </c>
      <c r="K1854" s="569" t="s">
        <v>752</v>
      </c>
      <c r="L1854" s="569">
        <v>6</v>
      </c>
      <c r="M1854" s="569">
        <v>0</v>
      </c>
      <c r="N1854" s="569" t="s">
        <v>157</v>
      </c>
      <c r="O1854" s="569">
        <v>2</v>
      </c>
      <c r="P1854" s="569" t="s">
        <v>3471</v>
      </c>
      <c r="Q1854" s="568">
        <v>12800</v>
      </c>
      <c r="R1854" s="569" t="s">
        <v>753</v>
      </c>
      <c r="S1854" s="569">
        <v>8</v>
      </c>
      <c r="T1854" s="569" t="s">
        <v>3478</v>
      </c>
      <c r="U1854" s="569" t="s">
        <v>213</v>
      </c>
      <c r="V1854" s="569">
        <v>153</v>
      </c>
      <c r="W1854" s="569">
        <v>26</v>
      </c>
      <c r="X1854" s="568">
        <v>7200</v>
      </c>
      <c r="Y1854" s="569">
        <v>19</v>
      </c>
      <c r="Z1854" s="581" t="s">
        <v>450</v>
      </c>
      <c r="AA1854" s="581" t="s">
        <v>178</v>
      </c>
      <c r="AB1854" s="585">
        <v>44395</v>
      </c>
      <c r="AC1854" s="585" t="s">
        <v>164</v>
      </c>
      <c r="AD1854" s="585">
        <v>36158</v>
      </c>
      <c r="AE1854" s="587">
        <v>0.03</v>
      </c>
      <c r="AF1854" s="661" t="str">
        <f t="shared" si="199"/>
        <v>2019-LTK-CHV-SV15-015-13</v>
      </c>
      <c r="AG1854" s="661" t="str">
        <f>IF(AND($Y1854&gt;=32,(AI1854="I"),(Y1854&lt;&gt;"~"),(COUNTIF($AN$1:$AN1854,$AN1854)=1)),"TRUE","FALSE")</f>
        <v>FALSE</v>
      </c>
      <c r="AH1854" s="661" t="str">
        <f>IF(AND($Y1854&gt;=22, (AI1854&lt;&gt;"I"),(Y1854&lt;&gt;"~"),(COUNTIF($AN$1:$AN1854,$AN1854)=1)),"TRUE","FALSE")</f>
        <v>FALSE</v>
      </c>
      <c r="AI1854" s="661" t="str">
        <f t="shared" si="201"/>
        <v>II</v>
      </c>
      <c r="AJ1854" s="662" t="str">
        <f t="shared" si="195"/>
        <v>SV15-015</v>
      </c>
      <c r="AK1854" s="662" t="str">
        <f t="shared" si="196"/>
        <v>LTK</v>
      </c>
      <c r="AL1854" s="662" t="str">
        <f t="shared" si="197"/>
        <v>CHV</v>
      </c>
      <c r="AM1854" s="662" t="str">
        <f t="shared" si="200"/>
        <v>Silverado 1500-LT Crew Cab-4WD-6-6'6"-12800-5.3L-8-CK10743-1LT-153-26-E85-Unleaded</v>
      </c>
      <c r="AN1854" s="662" t="str">
        <f t="shared" si="198"/>
        <v>2019-LTK-CHV-SV15-015</v>
      </c>
    </row>
    <row r="1855" spans="1:40" s="572" customFormat="1" ht="15">
      <c r="A1855" s="570" t="s">
        <v>3532</v>
      </c>
      <c r="B1855" s="573" t="s">
        <v>3529</v>
      </c>
      <c r="C1855" s="573" t="s">
        <v>166</v>
      </c>
      <c r="D1855" s="578">
        <v>17</v>
      </c>
      <c r="E1855" s="573" t="s">
        <v>3374</v>
      </c>
      <c r="F1855" s="573" t="s">
        <v>152</v>
      </c>
      <c r="G1855" s="573" t="s">
        <v>153</v>
      </c>
      <c r="H1855" s="573">
        <v>2019</v>
      </c>
      <c r="I1855" s="573" t="s">
        <v>3464</v>
      </c>
      <c r="J1855" s="573" t="s">
        <v>3384</v>
      </c>
      <c r="K1855" s="573" t="s">
        <v>752</v>
      </c>
      <c r="L1855" s="573">
        <v>6</v>
      </c>
      <c r="M1855" s="573">
        <v>0</v>
      </c>
      <c r="N1855" s="573" t="s">
        <v>157</v>
      </c>
      <c r="O1855" s="573">
        <v>2</v>
      </c>
      <c r="P1855" s="573" t="s">
        <v>3466</v>
      </c>
      <c r="Q1855" s="571">
        <v>12800</v>
      </c>
      <c r="R1855" s="573" t="s">
        <v>1526</v>
      </c>
      <c r="S1855" s="573">
        <v>6</v>
      </c>
      <c r="T1855" s="573" t="s">
        <v>3494</v>
      </c>
      <c r="U1855" s="573" t="s">
        <v>213</v>
      </c>
      <c r="V1855" s="573">
        <v>143.5</v>
      </c>
      <c r="W1855" s="573">
        <v>26</v>
      </c>
      <c r="X1855" s="571">
        <v>7100</v>
      </c>
      <c r="Y1855" s="573">
        <v>19</v>
      </c>
      <c r="Z1855" s="579" t="s">
        <v>450</v>
      </c>
      <c r="AA1855" s="579" t="s">
        <v>178</v>
      </c>
      <c r="AB1855" s="584">
        <v>44095</v>
      </c>
      <c r="AC1855" s="584" t="s">
        <v>164</v>
      </c>
      <c r="AD1855" s="584">
        <v>33521</v>
      </c>
      <c r="AE1855" s="586">
        <v>7.1999999999999995E-2</v>
      </c>
      <c r="AF1855" s="661" t="str">
        <f t="shared" si="199"/>
        <v>2019-LTK-CHV-SV15-014-17</v>
      </c>
      <c r="AG1855" s="661" t="str">
        <f>IF(AND($Y1855&gt;=32,(AI1855="I"),(Y1855&lt;&gt;"~"),(COUNTIF($AN$1:$AN1855,$AN1855)=1)),"TRUE","FALSE")</f>
        <v>FALSE</v>
      </c>
      <c r="AH1855" s="661" t="str">
        <f>IF(AND($Y1855&gt;=22, (AI1855&lt;&gt;"I"),(Y1855&lt;&gt;"~"),(COUNTIF($AN$1:$AN1855,$AN1855)=1)),"TRUE","FALSE")</f>
        <v>FALSE</v>
      </c>
      <c r="AI1855" s="661" t="str">
        <f t="shared" si="201"/>
        <v>II</v>
      </c>
      <c r="AJ1855" s="662" t="str">
        <f t="shared" si="195"/>
        <v>SV15-014</v>
      </c>
      <c r="AK1855" s="662" t="str">
        <f t="shared" si="196"/>
        <v>LTK</v>
      </c>
      <c r="AL1855" s="662" t="str">
        <f t="shared" si="197"/>
        <v>CHV</v>
      </c>
      <c r="AM1855" s="662" t="str">
        <f t="shared" si="200"/>
        <v>Silverado 1500-LT Crew Cab-4WD-6-5'9"-12800-4.3L-6-CK15543-1LT-143.5-26-E85-Unleaded</v>
      </c>
      <c r="AN1855" s="662" t="str">
        <f t="shared" si="198"/>
        <v>2019-LTK-CHV-SV15-014</v>
      </c>
    </row>
    <row r="1856" spans="1:40" s="572" customFormat="1" ht="15">
      <c r="A1856" s="570" t="s">
        <v>3533</v>
      </c>
      <c r="B1856" s="569" t="s">
        <v>3531</v>
      </c>
      <c r="C1856" s="569" t="s">
        <v>166</v>
      </c>
      <c r="D1856" s="580">
        <v>17</v>
      </c>
      <c r="E1856" s="569" t="s">
        <v>3374</v>
      </c>
      <c r="F1856" s="569" t="s">
        <v>152</v>
      </c>
      <c r="G1856" s="569" t="s">
        <v>153</v>
      </c>
      <c r="H1856" s="569">
        <v>2019</v>
      </c>
      <c r="I1856" s="569" t="s">
        <v>3464</v>
      </c>
      <c r="J1856" s="569" t="s">
        <v>3384</v>
      </c>
      <c r="K1856" s="569" t="s">
        <v>752</v>
      </c>
      <c r="L1856" s="569">
        <v>6</v>
      </c>
      <c r="M1856" s="569">
        <v>0</v>
      </c>
      <c r="N1856" s="569" t="s">
        <v>157</v>
      </c>
      <c r="O1856" s="569">
        <v>2</v>
      </c>
      <c r="P1856" s="569" t="s">
        <v>3471</v>
      </c>
      <c r="Q1856" s="568">
        <v>12800</v>
      </c>
      <c r="R1856" s="569" t="s">
        <v>753</v>
      </c>
      <c r="S1856" s="569">
        <v>8</v>
      </c>
      <c r="T1856" s="569" t="s">
        <v>3497</v>
      </c>
      <c r="U1856" s="569" t="s">
        <v>213</v>
      </c>
      <c r="V1856" s="569">
        <v>153</v>
      </c>
      <c r="W1856" s="569">
        <v>26</v>
      </c>
      <c r="X1856" s="568">
        <v>7100</v>
      </c>
      <c r="Y1856" s="569">
        <v>19</v>
      </c>
      <c r="Z1856" s="581" t="s">
        <v>450</v>
      </c>
      <c r="AA1856" s="581" t="s">
        <v>178</v>
      </c>
      <c r="AB1856" s="585">
        <v>44395</v>
      </c>
      <c r="AC1856" s="585" t="s">
        <v>164</v>
      </c>
      <c r="AD1856" s="585">
        <v>33988</v>
      </c>
      <c r="AE1856" s="587">
        <v>7.1999999999999995E-2</v>
      </c>
      <c r="AF1856" s="661" t="str">
        <f t="shared" si="199"/>
        <v>2019-LTK-CHV-SV15-015-17</v>
      </c>
      <c r="AG1856" s="661" t="str">
        <f>IF(AND($Y1856&gt;=32,(AI1856="I"),(Y1856&lt;&gt;"~"),(COUNTIF($AN$1:$AN1856,$AN1856)=1)),"TRUE","FALSE")</f>
        <v>FALSE</v>
      </c>
      <c r="AH1856" s="661" t="str">
        <f>IF(AND($Y1856&gt;=22, (AI1856&lt;&gt;"I"),(Y1856&lt;&gt;"~"),(COUNTIF($AN$1:$AN1856,$AN1856)=1)),"TRUE","FALSE")</f>
        <v>FALSE</v>
      </c>
      <c r="AI1856" s="661" t="str">
        <f t="shared" si="201"/>
        <v>II</v>
      </c>
      <c r="AJ1856" s="662" t="str">
        <f t="shared" si="195"/>
        <v>SV15-015</v>
      </c>
      <c r="AK1856" s="662" t="str">
        <f t="shared" si="196"/>
        <v>LTK</v>
      </c>
      <c r="AL1856" s="662" t="str">
        <f t="shared" si="197"/>
        <v>CHV</v>
      </c>
      <c r="AM1856" s="662" t="str">
        <f t="shared" si="200"/>
        <v>Silverado 1500-LT Crew Cab-4WD-6-6'6"-12800-5.3L-8-CK15743-1LT-153-26-E85-Unleaded</v>
      </c>
      <c r="AN1856" s="662" t="str">
        <f t="shared" si="198"/>
        <v>2019-LTK-CHV-SV15-015</v>
      </c>
    </row>
    <row r="1857" spans="1:40" s="572" customFormat="1" ht="15">
      <c r="A1857" s="570" t="s">
        <v>3533</v>
      </c>
      <c r="B1857" s="573" t="s">
        <v>3531</v>
      </c>
      <c r="C1857" s="573" t="s">
        <v>166</v>
      </c>
      <c r="D1857" s="578">
        <v>17</v>
      </c>
      <c r="E1857" s="573" t="s">
        <v>3374</v>
      </c>
      <c r="F1857" s="573" t="s">
        <v>152</v>
      </c>
      <c r="G1857" s="573" t="s">
        <v>153</v>
      </c>
      <c r="H1857" s="573">
        <v>2019</v>
      </c>
      <c r="I1857" s="573" t="s">
        <v>3464</v>
      </c>
      <c r="J1857" s="573" t="s">
        <v>3384</v>
      </c>
      <c r="K1857" s="573" t="s">
        <v>752</v>
      </c>
      <c r="L1857" s="573">
        <v>6</v>
      </c>
      <c r="M1857" s="573">
        <v>0</v>
      </c>
      <c r="N1857" s="573" t="s">
        <v>157</v>
      </c>
      <c r="O1857" s="573">
        <v>2</v>
      </c>
      <c r="P1857" s="573" t="s">
        <v>3471</v>
      </c>
      <c r="Q1857" s="571">
        <v>12800</v>
      </c>
      <c r="R1857" s="573" t="s">
        <v>753</v>
      </c>
      <c r="S1857" s="573">
        <v>8</v>
      </c>
      <c r="T1857" s="573" t="s">
        <v>3497</v>
      </c>
      <c r="U1857" s="573" t="s">
        <v>213</v>
      </c>
      <c r="V1857" s="573">
        <v>153</v>
      </c>
      <c r="W1857" s="573">
        <v>26</v>
      </c>
      <c r="X1857" s="571">
        <v>7200</v>
      </c>
      <c r="Y1857" s="573">
        <v>19</v>
      </c>
      <c r="Z1857" s="579" t="s">
        <v>450</v>
      </c>
      <c r="AA1857" s="579" t="s">
        <v>178</v>
      </c>
      <c r="AB1857" s="584">
        <v>44395</v>
      </c>
      <c r="AC1857" s="584" t="s">
        <v>164</v>
      </c>
      <c r="AD1857" s="584">
        <v>33988</v>
      </c>
      <c r="AE1857" s="586">
        <v>7.1999999999999995E-2</v>
      </c>
      <c r="AF1857" s="661" t="str">
        <f t="shared" si="199"/>
        <v>2019-LTK-CHV-SV15-015-17</v>
      </c>
      <c r="AG1857" s="661" t="str">
        <f>IF(AND($Y1857&gt;=32,(AI1857="I"),(Y1857&lt;&gt;"~"),(COUNTIF($AN$1:$AN1857,$AN1857)=1)),"TRUE","FALSE")</f>
        <v>FALSE</v>
      </c>
      <c r="AH1857" s="661" t="str">
        <f>IF(AND($Y1857&gt;=22, (AI1857&lt;&gt;"I"),(Y1857&lt;&gt;"~"),(COUNTIF($AN$1:$AN1857,$AN1857)=1)),"TRUE","FALSE")</f>
        <v>FALSE</v>
      </c>
      <c r="AI1857" s="661" t="str">
        <f t="shared" si="201"/>
        <v>II</v>
      </c>
      <c r="AJ1857" s="662" t="str">
        <f t="shared" si="195"/>
        <v>SV15-015</v>
      </c>
      <c r="AK1857" s="662" t="str">
        <f t="shared" si="196"/>
        <v>LTK</v>
      </c>
      <c r="AL1857" s="662" t="str">
        <f t="shared" si="197"/>
        <v>CHV</v>
      </c>
      <c r="AM1857" s="662" t="str">
        <f t="shared" si="200"/>
        <v>Silverado 1500-LT Crew Cab-4WD-6-6'6"-12800-5.3L-8-CK15743-1LT-153-26-E85-Unleaded</v>
      </c>
      <c r="AN1857" s="662" t="str">
        <f t="shared" si="198"/>
        <v>2019-LTK-CHV-SV15-015</v>
      </c>
    </row>
    <row r="1858" spans="1:40" s="572" customFormat="1" ht="15">
      <c r="A1858" s="570" t="s">
        <v>3534</v>
      </c>
      <c r="B1858" s="569" t="s">
        <v>3535</v>
      </c>
      <c r="C1858" s="569" t="s">
        <v>169</v>
      </c>
      <c r="D1858" s="580">
        <v>11</v>
      </c>
      <c r="E1858" s="569" t="s">
        <v>3374</v>
      </c>
      <c r="F1858" s="569" t="s">
        <v>152</v>
      </c>
      <c r="G1858" s="569" t="s">
        <v>153</v>
      </c>
      <c r="H1858" s="569">
        <v>2019</v>
      </c>
      <c r="I1858" s="569" t="s">
        <v>3464</v>
      </c>
      <c r="J1858" s="569" t="s">
        <v>3536</v>
      </c>
      <c r="K1858" s="569" t="s">
        <v>3377</v>
      </c>
      <c r="L1858" s="569">
        <v>6</v>
      </c>
      <c r="M1858" s="569">
        <v>0</v>
      </c>
      <c r="N1858" s="569" t="s">
        <v>157</v>
      </c>
      <c r="O1858" s="569">
        <v>2</v>
      </c>
      <c r="P1858" s="569" t="s">
        <v>3471</v>
      </c>
      <c r="Q1858" s="568">
        <v>11600</v>
      </c>
      <c r="R1858" s="569" t="s">
        <v>1500</v>
      </c>
      <c r="S1858" s="569">
        <v>8</v>
      </c>
      <c r="T1858" s="569" t="s">
        <v>3537</v>
      </c>
      <c r="U1858" s="569" t="s">
        <v>213</v>
      </c>
      <c r="V1858" s="569">
        <v>147.44999999999999</v>
      </c>
      <c r="W1858" s="569">
        <v>24</v>
      </c>
      <c r="X1858" s="568">
        <v>6800</v>
      </c>
      <c r="Y1858" s="569">
        <v>20</v>
      </c>
      <c r="Z1858" s="581" t="s">
        <v>178</v>
      </c>
      <c r="AA1858" s="581" t="s">
        <v>178</v>
      </c>
      <c r="AB1858" s="585">
        <v>38395</v>
      </c>
      <c r="AC1858" s="585" t="s">
        <v>164</v>
      </c>
      <c r="AD1858" s="585">
        <v>26900.315789473687</v>
      </c>
      <c r="AE1858" s="587">
        <v>0.05</v>
      </c>
      <c r="AF1858" s="661" t="str">
        <f t="shared" si="199"/>
        <v>2019-LTK-CHV-SV15-045-11</v>
      </c>
      <c r="AG1858" s="661" t="str">
        <f>IF(AND($Y1858&gt;=32,(AI1858="I"),(Y1858&lt;&gt;"~"),(COUNTIF($AN$1:$AN1858,$AN1858)=1)),"TRUE","FALSE")</f>
        <v>FALSE</v>
      </c>
      <c r="AH1858" s="661" t="str">
        <f>IF(AND($Y1858&gt;=22, (AI1858&lt;&gt;"I"),(Y1858&lt;&gt;"~"),(COUNTIF($AN$1:$AN1858,$AN1858)=1)),"TRUE","FALSE")</f>
        <v>FALSE</v>
      </c>
      <c r="AI1858" s="661" t="str">
        <f t="shared" si="201"/>
        <v>II</v>
      </c>
      <c r="AJ1858" s="662" t="str">
        <f t="shared" si="195"/>
        <v>SV15-045</v>
      </c>
      <c r="AK1858" s="662" t="str">
        <f t="shared" si="196"/>
        <v>LTK</v>
      </c>
      <c r="AL1858" s="662" t="str">
        <f t="shared" si="197"/>
        <v>CHV</v>
      </c>
      <c r="AM1858" s="662" t="str">
        <f t="shared" si="200"/>
        <v>Silverado 1500-LT Double Cab-2WD-6-6'6"-11600-2.7L-8-CC10753-1LT-147.45-24-Unleaded-Unleaded</v>
      </c>
      <c r="AN1858" s="662" t="str">
        <f t="shared" si="198"/>
        <v>2019-LTK-CHV-SV15-045</v>
      </c>
    </row>
    <row r="1859" spans="1:40" s="572" customFormat="1" ht="15">
      <c r="A1859" s="570" t="s">
        <v>3538</v>
      </c>
      <c r="B1859" s="573" t="s">
        <v>3539</v>
      </c>
      <c r="C1859" s="573" t="s">
        <v>150</v>
      </c>
      <c r="D1859" s="578">
        <v>13</v>
      </c>
      <c r="E1859" s="573" t="s">
        <v>3374</v>
      </c>
      <c r="F1859" s="573" t="s">
        <v>152</v>
      </c>
      <c r="G1859" s="573" t="s">
        <v>153</v>
      </c>
      <c r="H1859" s="573">
        <v>2019</v>
      </c>
      <c r="I1859" s="573" t="s">
        <v>3464</v>
      </c>
      <c r="J1859" s="573" t="s">
        <v>3536</v>
      </c>
      <c r="K1859" s="573" t="s">
        <v>3377</v>
      </c>
      <c r="L1859" s="573">
        <v>6</v>
      </c>
      <c r="M1859" s="573">
        <v>0</v>
      </c>
      <c r="N1859" s="573" t="s">
        <v>157</v>
      </c>
      <c r="O1859" s="573">
        <v>2</v>
      </c>
      <c r="P1859" s="573" t="s">
        <v>3471</v>
      </c>
      <c r="Q1859" s="571">
        <v>11000</v>
      </c>
      <c r="R1859" s="573" t="s">
        <v>1526</v>
      </c>
      <c r="S1859" s="573">
        <v>6</v>
      </c>
      <c r="T1859" s="573" t="s">
        <v>3537</v>
      </c>
      <c r="U1859" s="573" t="s">
        <v>213</v>
      </c>
      <c r="V1859" s="573">
        <v>143.5</v>
      </c>
      <c r="W1859" s="573">
        <v>26</v>
      </c>
      <c r="X1859" s="571">
        <v>6900</v>
      </c>
      <c r="Y1859" s="573">
        <v>20</v>
      </c>
      <c r="Z1859" s="579" t="s">
        <v>450</v>
      </c>
      <c r="AA1859" s="579" t="s">
        <v>178</v>
      </c>
      <c r="AB1859" s="584">
        <v>38395</v>
      </c>
      <c r="AC1859" s="584" t="s">
        <v>164</v>
      </c>
      <c r="AD1859" s="584">
        <v>32229</v>
      </c>
      <c r="AE1859" s="586">
        <v>0.03</v>
      </c>
      <c r="AF1859" s="661" t="str">
        <f t="shared" si="199"/>
        <v>2019-LTK-CHV-SV15-016-13</v>
      </c>
      <c r="AG1859" s="661" t="str">
        <f>IF(AND($Y1859&gt;=32,(AI1859="I"),(Y1859&lt;&gt;"~"),(COUNTIF($AN$1:$AN1859,$AN1859)=1)),"TRUE","FALSE")</f>
        <v>FALSE</v>
      </c>
      <c r="AH1859" s="661" t="str">
        <f>IF(AND($Y1859&gt;=22, (AI1859&lt;&gt;"I"),(Y1859&lt;&gt;"~"),(COUNTIF($AN$1:$AN1859,$AN1859)=1)),"TRUE","FALSE")</f>
        <v>FALSE</v>
      </c>
      <c r="AI1859" s="661" t="str">
        <f t="shared" si="201"/>
        <v>II</v>
      </c>
      <c r="AJ1859" s="662" t="str">
        <f t="shared" ref="AJ1859:AJ1922" si="202">MID(A1859,14,8)</f>
        <v>SV15-016</v>
      </c>
      <c r="AK1859" s="662" t="str">
        <f t="shared" ref="AK1859:AK1922" si="203">MID(A1859,6,3)</f>
        <v>LTK</v>
      </c>
      <c r="AL1859" s="662" t="str">
        <f t="shared" ref="AL1859:AL1922" si="204">MID(A1859,10,3)</f>
        <v>CHV</v>
      </c>
      <c r="AM1859" s="662" t="str">
        <f t="shared" si="200"/>
        <v>Silverado 1500-LT Double Cab-2WD-6-6'6"-11000-4.3L-6-CC10753-1LT-143.5-26-E85-Unleaded</v>
      </c>
      <c r="AN1859" s="662" t="str">
        <f t="shared" ref="AN1859:AN1922" si="205">LEFT(A1859,21)</f>
        <v>2019-LTK-CHV-SV15-016</v>
      </c>
    </row>
    <row r="1860" spans="1:40" s="572" customFormat="1" ht="15">
      <c r="A1860" s="570" t="s">
        <v>3540</v>
      </c>
      <c r="B1860" s="569" t="s">
        <v>3539</v>
      </c>
      <c r="C1860" s="569" t="s">
        <v>166</v>
      </c>
      <c r="D1860" s="580">
        <v>17</v>
      </c>
      <c r="E1860" s="569" t="s">
        <v>3374</v>
      </c>
      <c r="F1860" s="569" t="s">
        <v>152</v>
      </c>
      <c r="G1860" s="569" t="s">
        <v>153</v>
      </c>
      <c r="H1860" s="569">
        <v>2019</v>
      </c>
      <c r="I1860" s="569" t="s">
        <v>3464</v>
      </c>
      <c r="J1860" s="569" t="s">
        <v>3536</v>
      </c>
      <c r="K1860" s="569" t="s">
        <v>3377</v>
      </c>
      <c r="L1860" s="569">
        <v>6</v>
      </c>
      <c r="M1860" s="569">
        <v>0</v>
      </c>
      <c r="N1860" s="569" t="s">
        <v>157</v>
      </c>
      <c r="O1860" s="569">
        <v>2</v>
      </c>
      <c r="P1860" s="569" t="s">
        <v>3471</v>
      </c>
      <c r="Q1860" s="568">
        <v>11000</v>
      </c>
      <c r="R1860" s="569" t="s">
        <v>1526</v>
      </c>
      <c r="S1860" s="569">
        <v>6</v>
      </c>
      <c r="T1860" s="569" t="s">
        <v>3501</v>
      </c>
      <c r="U1860" s="569" t="s">
        <v>213</v>
      </c>
      <c r="V1860" s="569">
        <v>143.5</v>
      </c>
      <c r="W1860" s="569">
        <v>26</v>
      </c>
      <c r="X1860" s="568">
        <v>6900</v>
      </c>
      <c r="Y1860" s="569">
        <v>20</v>
      </c>
      <c r="Z1860" s="581" t="s">
        <v>450</v>
      </c>
      <c r="AA1860" s="581" t="s">
        <v>178</v>
      </c>
      <c r="AB1860" s="585">
        <v>38395</v>
      </c>
      <c r="AC1860" s="585" t="s">
        <v>164</v>
      </c>
      <c r="AD1860" s="585">
        <v>28601</v>
      </c>
      <c r="AE1860" s="587">
        <v>7.1999999999999995E-2</v>
      </c>
      <c r="AF1860" s="661" t="str">
        <f t="shared" si="199"/>
        <v>2019-LTK-CHV-SV15-016-17</v>
      </c>
      <c r="AG1860" s="661" t="str">
        <f>IF(AND($Y1860&gt;=32,(AI1860="I"),(Y1860&lt;&gt;"~"),(COUNTIF($AN$1:$AN1860,$AN1860)=1)),"TRUE","FALSE")</f>
        <v>FALSE</v>
      </c>
      <c r="AH1860" s="661" t="str">
        <f>IF(AND($Y1860&gt;=22, (AI1860&lt;&gt;"I"),(Y1860&lt;&gt;"~"),(COUNTIF($AN$1:$AN1860,$AN1860)=1)),"TRUE","FALSE")</f>
        <v>FALSE</v>
      </c>
      <c r="AI1860" s="661" t="str">
        <f t="shared" si="201"/>
        <v>II</v>
      </c>
      <c r="AJ1860" s="662" t="str">
        <f t="shared" si="202"/>
        <v>SV15-016</v>
      </c>
      <c r="AK1860" s="662" t="str">
        <f t="shared" si="203"/>
        <v>LTK</v>
      </c>
      <c r="AL1860" s="662" t="str">
        <f t="shared" si="204"/>
        <v>CHV</v>
      </c>
      <c r="AM1860" s="662" t="str">
        <f t="shared" si="200"/>
        <v>Silverado 1500-LT Double Cab-2WD-6-6'6"-11000-4.3L-6-CC15753-1LT-143.5-26-E85-Unleaded</v>
      </c>
      <c r="AN1860" s="662" t="str">
        <f t="shared" si="205"/>
        <v>2019-LTK-CHV-SV15-016</v>
      </c>
    </row>
    <row r="1861" spans="1:40" s="572" customFormat="1" ht="15">
      <c r="A1861" s="570" t="s">
        <v>3541</v>
      </c>
      <c r="B1861" s="573" t="s">
        <v>3542</v>
      </c>
      <c r="C1861" s="573" t="s">
        <v>169</v>
      </c>
      <c r="D1861" s="578">
        <v>11</v>
      </c>
      <c r="E1861" s="573" t="s">
        <v>3374</v>
      </c>
      <c r="F1861" s="573" t="s">
        <v>152</v>
      </c>
      <c r="G1861" s="573" t="s">
        <v>153</v>
      </c>
      <c r="H1861" s="573">
        <v>2019</v>
      </c>
      <c r="I1861" s="573" t="s">
        <v>3464</v>
      </c>
      <c r="J1861" s="573" t="s">
        <v>3536</v>
      </c>
      <c r="K1861" s="573" t="s">
        <v>752</v>
      </c>
      <c r="L1861" s="573">
        <v>6</v>
      </c>
      <c r="M1861" s="573">
        <v>0</v>
      </c>
      <c r="N1861" s="573" t="s">
        <v>157</v>
      </c>
      <c r="O1861" s="573">
        <v>2</v>
      </c>
      <c r="P1861" s="573" t="s">
        <v>3471</v>
      </c>
      <c r="Q1861" s="571">
        <v>11400</v>
      </c>
      <c r="R1861" s="573" t="s">
        <v>1500</v>
      </c>
      <c r="S1861" s="573">
        <v>8</v>
      </c>
      <c r="T1861" s="573" t="s">
        <v>3482</v>
      </c>
      <c r="U1861" s="573" t="s">
        <v>213</v>
      </c>
      <c r="V1861" s="573">
        <v>147.44999999999999</v>
      </c>
      <c r="W1861" s="573">
        <v>24</v>
      </c>
      <c r="X1861" s="571">
        <v>7000</v>
      </c>
      <c r="Y1861" s="573">
        <v>19</v>
      </c>
      <c r="Z1861" s="579" t="s">
        <v>178</v>
      </c>
      <c r="AA1861" s="579" t="s">
        <v>178</v>
      </c>
      <c r="AB1861" s="584">
        <v>41695</v>
      </c>
      <c r="AC1861" s="584" t="s">
        <v>164</v>
      </c>
      <c r="AD1861" s="584">
        <v>29208.84210526316</v>
      </c>
      <c r="AE1861" s="586">
        <v>0.05</v>
      </c>
      <c r="AF1861" s="661" t="str">
        <f t="shared" si="199"/>
        <v>2019-LTK-CHV-SV15-046-11</v>
      </c>
      <c r="AG1861" s="661" t="str">
        <f>IF(AND($Y1861&gt;=32,(AI1861="I"),(Y1861&lt;&gt;"~"),(COUNTIF($AN$1:$AN1861,$AN1861)=1)),"TRUE","FALSE")</f>
        <v>FALSE</v>
      </c>
      <c r="AH1861" s="661" t="str">
        <f>IF(AND($Y1861&gt;=22, (AI1861&lt;&gt;"I"),(Y1861&lt;&gt;"~"),(COUNTIF($AN$1:$AN1861,$AN1861)=1)),"TRUE","FALSE")</f>
        <v>FALSE</v>
      </c>
      <c r="AI1861" s="661" t="str">
        <f t="shared" si="201"/>
        <v>II</v>
      </c>
      <c r="AJ1861" s="662" t="str">
        <f t="shared" si="202"/>
        <v>SV15-046</v>
      </c>
      <c r="AK1861" s="662" t="str">
        <f t="shared" si="203"/>
        <v>LTK</v>
      </c>
      <c r="AL1861" s="662" t="str">
        <f t="shared" si="204"/>
        <v>CHV</v>
      </c>
      <c r="AM1861" s="662" t="str">
        <f t="shared" si="200"/>
        <v>Silverado 1500-LT Double Cab-4WD-6-6'6"-11400-2.7L-8-CK10753-1LT-147.45-24-Unleaded-Unleaded</v>
      </c>
      <c r="AN1861" s="662" t="str">
        <f t="shared" si="205"/>
        <v>2019-LTK-CHV-SV15-046</v>
      </c>
    </row>
    <row r="1862" spans="1:40" s="572" customFormat="1" ht="15">
      <c r="A1862" s="570" t="s">
        <v>3543</v>
      </c>
      <c r="B1862" s="569" t="s">
        <v>3544</v>
      </c>
      <c r="C1862" s="569" t="s">
        <v>150</v>
      </c>
      <c r="D1862" s="580">
        <v>13</v>
      </c>
      <c r="E1862" s="569" t="s">
        <v>3374</v>
      </c>
      <c r="F1862" s="569" t="s">
        <v>152</v>
      </c>
      <c r="G1862" s="569" t="s">
        <v>153</v>
      </c>
      <c r="H1862" s="569">
        <v>2019</v>
      </c>
      <c r="I1862" s="569" t="s">
        <v>3464</v>
      </c>
      <c r="J1862" s="569" t="s">
        <v>3536</v>
      </c>
      <c r="K1862" s="569" t="s">
        <v>752</v>
      </c>
      <c r="L1862" s="569">
        <v>6</v>
      </c>
      <c r="M1862" s="569">
        <v>0</v>
      </c>
      <c r="N1862" s="569" t="s">
        <v>157</v>
      </c>
      <c r="O1862" s="569">
        <v>2</v>
      </c>
      <c r="P1862" s="569" t="s">
        <v>3471</v>
      </c>
      <c r="Q1862" s="568">
        <v>12800</v>
      </c>
      <c r="R1862" s="569" t="s">
        <v>1526</v>
      </c>
      <c r="S1862" s="569">
        <v>6</v>
      </c>
      <c r="T1862" s="569" t="s">
        <v>3482</v>
      </c>
      <c r="U1862" s="569" t="s">
        <v>213</v>
      </c>
      <c r="V1862" s="569">
        <v>143.5</v>
      </c>
      <c r="W1862" s="569">
        <v>26</v>
      </c>
      <c r="X1862" s="568">
        <v>7100</v>
      </c>
      <c r="Y1862" s="569">
        <v>19</v>
      </c>
      <c r="Z1862" s="581" t="s">
        <v>450</v>
      </c>
      <c r="AA1862" s="581" t="s">
        <v>178</v>
      </c>
      <c r="AB1862" s="585">
        <v>41695</v>
      </c>
      <c r="AC1862" s="585" t="s">
        <v>164</v>
      </c>
      <c r="AD1862" s="585">
        <v>32651</v>
      </c>
      <c r="AE1862" s="587">
        <v>0.03</v>
      </c>
      <c r="AF1862" s="661" t="str">
        <f t="shared" si="199"/>
        <v>2019-LTK-CHV-SV15-017-13</v>
      </c>
      <c r="AG1862" s="661" t="str">
        <f>IF(AND($Y1862&gt;=32,(AI1862="I"),(Y1862&lt;&gt;"~"),(COUNTIF($AN$1:$AN1862,$AN1862)=1)),"TRUE","FALSE")</f>
        <v>FALSE</v>
      </c>
      <c r="AH1862" s="661" t="str">
        <f>IF(AND($Y1862&gt;=22, (AI1862&lt;&gt;"I"),(Y1862&lt;&gt;"~"),(COUNTIF($AN$1:$AN1862,$AN1862)=1)),"TRUE","FALSE")</f>
        <v>FALSE</v>
      </c>
      <c r="AI1862" s="661" t="str">
        <f t="shared" si="201"/>
        <v>II</v>
      </c>
      <c r="AJ1862" s="662" t="str">
        <f t="shared" si="202"/>
        <v>SV15-017</v>
      </c>
      <c r="AK1862" s="662" t="str">
        <f t="shared" si="203"/>
        <v>LTK</v>
      </c>
      <c r="AL1862" s="662" t="str">
        <f t="shared" si="204"/>
        <v>CHV</v>
      </c>
      <c r="AM1862" s="662" t="str">
        <f t="shared" si="200"/>
        <v>Silverado 1500-LT Double Cab-4WD-6-6'6"-12800-4.3L-6-CK10753-1LT-143.5-26-E85-Unleaded</v>
      </c>
      <c r="AN1862" s="662" t="str">
        <f t="shared" si="205"/>
        <v>2019-LTK-CHV-SV15-017</v>
      </c>
    </row>
    <row r="1863" spans="1:40" s="572" customFormat="1" ht="15">
      <c r="A1863" s="570" t="s">
        <v>3545</v>
      </c>
      <c r="B1863" s="573" t="s">
        <v>3544</v>
      </c>
      <c r="C1863" s="573" t="s">
        <v>166</v>
      </c>
      <c r="D1863" s="578">
        <v>17</v>
      </c>
      <c r="E1863" s="573" t="s">
        <v>3374</v>
      </c>
      <c r="F1863" s="573" t="s">
        <v>152</v>
      </c>
      <c r="G1863" s="573" t="s">
        <v>153</v>
      </c>
      <c r="H1863" s="573">
        <v>2019</v>
      </c>
      <c r="I1863" s="573" t="s">
        <v>3464</v>
      </c>
      <c r="J1863" s="573" t="s">
        <v>3536</v>
      </c>
      <c r="K1863" s="573" t="s">
        <v>752</v>
      </c>
      <c r="L1863" s="573">
        <v>6</v>
      </c>
      <c r="M1863" s="573">
        <v>0</v>
      </c>
      <c r="N1863" s="573" t="s">
        <v>157</v>
      </c>
      <c r="O1863" s="573">
        <v>2</v>
      </c>
      <c r="P1863" s="573" t="s">
        <v>3471</v>
      </c>
      <c r="Q1863" s="571">
        <v>12800</v>
      </c>
      <c r="R1863" s="573" t="s">
        <v>1526</v>
      </c>
      <c r="S1863" s="573">
        <v>6</v>
      </c>
      <c r="T1863" s="573" t="s">
        <v>3504</v>
      </c>
      <c r="U1863" s="573" t="s">
        <v>213</v>
      </c>
      <c r="V1863" s="573">
        <v>143.5</v>
      </c>
      <c r="W1863" s="573">
        <v>26</v>
      </c>
      <c r="X1863" s="571">
        <v>7100</v>
      </c>
      <c r="Y1863" s="569">
        <v>19</v>
      </c>
      <c r="Z1863" s="579" t="s">
        <v>450</v>
      </c>
      <c r="AA1863" s="579" t="s">
        <v>178</v>
      </c>
      <c r="AB1863" s="584">
        <v>41695</v>
      </c>
      <c r="AC1863" s="584" t="s">
        <v>164</v>
      </c>
      <c r="AD1863" s="584">
        <v>31455</v>
      </c>
      <c r="AE1863" s="586">
        <v>7.1999999999999995E-2</v>
      </c>
      <c r="AF1863" s="661" t="str">
        <f t="shared" si="199"/>
        <v>2019-LTK-CHV-SV15-017-17</v>
      </c>
      <c r="AG1863" s="661" t="str">
        <f>IF(AND($Y1863&gt;=32,(AI1863="I"),(Y1863&lt;&gt;"~"),(COUNTIF($AN$1:$AN1863,$AN1863)=1)),"TRUE","FALSE")</f>
        <v>FALSE</v>
      </c>
      <c r="AH1863" s="661" t="str">
        <f>IF(AND($Y1863&gt;=22, (AI1863&lt;&gt;"I"),(Y1863&lt;&gt;"~"),(COUNTIF($AN$1:$AN1863,$AN1863)=1)),"TRUE","FALSE")</f>
        <v>FALSE</v>
      </c>
      <c r="AI1863" s="661" t="str">
        <f t="shared" si="201"/>
        <v>II</v>
      </c>
      <c r="AJ1863" s="662" t="str">
        <f t="shared" si="202"/>
        <v>SV15-017</v>
      </c>
      <c r="AK1863" s="662" t="str">
        <f t="shared" si="203"/>
        <v>LTK</v>
      </c>
      <c r="AL1863" s="662" t="str">
        <f t="shared" si="204"/>
        <v>CHV</v>
      </c>
      <c r="AM1863" s="662" t="str">
        <f t="shared" si="200"/>
        <v>Silverado 1500-LT Double Cab-4WD-6-6'6"-12800-4.3L-6-CK15753-1LT-143.5-26-E85-Unleaded</v>
      </c>
      <c r="AN1863" s="662" t="str">
        <f t="shared" si="205"/>
        <v>2019-LTK-CHV-SV15-017</v>
      </c>
    </row>
    <row r="1864" spans="1:40" s="572" customFormat="1" ht="15">
      <c r="A1864" s="570" t="s">
        <v>3546</v>
      </c>
      <c r="B1864" s="569" t="s">
        <v>3547</v>
      </c>
      <c r="C1864" s="569" t="s">
        <v>169</v>
      </c>
      <c r="D1864" s="580">
        <v>11</v>
      </c>
      <c r="E1864" s="569" t="s">
        <v>3374</v>
      </c>
      <c r="F1864" s="569" t="s">
        <v>152</v>
      </c>
      <c r="G1864" s="569" t="s">
        <v>153</v>
      </c>
      <c r="H1864" s="569">
        <v>2019</v>
      </c>
      <c r="I1864" s="569" t="s">
        <v>3464</v>
      </c>
      <c r="J1864" s="569" t="s">
        <v>3410</v>
      </c>
      <c r="K1864" s="569" t="s">
        <v>3377</v>
      </c>
      <c r="L1864" s="569">
        <v>6</v>
      </c>
      <c r="M1864" s="569">
        <v>0</v>
      </c>
      <c r="N1864" s="569" t="s">
        <v>157</v>
      </c>
      <c r="O1864" s="569">
        <v>2</v>
      </c>
      <c r="P1864" s="569" t="s">
        <v>3515</v>
      </c>
      <c r="Q1864" s="568">
        <v>9800</v>
      </c>
      <c r="R1864" s="569" t="s">
        <v>1526</v>
      </c>
      <c r="S1864" s="569">
        <v>6</v>
      </c>
      <c r="T1864" s="569" t="s">
        <v>3467</v>
      </c>
      <c r="U1864" s="569" t="s">
        <v>1522</v>
      </c>
      <c r="V1864" s="569">
        <v>147.43</v>
      </c>
      <c r="W1864" s="569">
        <v>24</v>
      </c>
      <c r="X1864" s="568">
        <v>6800</v>
      </c>
      <c r="Y1864" s="569">
        <v>20</v>
      </c>
      <c r="Z1864" s="581" t="s">
        <v>178</v>
      </c>
      <c r="AA1864" s="581" t="s">
        <v>178</v>
      </c>
      <c r="AB1864" s="585">
        <v>36095</v>
      </c>
      <c r="AC1864" s="585" t="s">
        <v>164</v>
      </c>
      <c r="AD1864" s="585">
        <v>25327.57894736842</v>
      </c>
      <c r="AE1864" s="587">
        <v>0.05</v>
      </c>
      <c r="AF1864" s="661" t="str">
        <f t="shared" ref="AF1864:AF1927" si="206">A1864</f>
        <v>2019-LTK-CHV-SV15-047-11</v>
      </c>
      <c r="AG1864" s="661" t="str">
        <f>IF(AND($Y1864&gt;=32,(AI1864="I"),(Y1864&lt;&gt;"~"),(COUNTIF($AN$1:$AN1864,$AN1864)=1)),"TRUE","FALSE")</f>
        <v>FALSE</v>
      </c>
      <c r="AH1864" s="661" t="str">
        <f>IF(AND($Y1864&gt;=22, (AI1864&lt;&gt;"I"),(Y1864&lt;&gt;"~"),(COUNTIF($AN$1:$AN1864,$AN1864)=1)),"TRUE","FALSE")</f>
        <v>FALSE</v>
      </c>
      <c r="AI1864" s="661" t="str">
        <f t="shared" si="201"/>
        <v>II</v>
      </c>
      <c r="AJ1864" s="662" t="str">
        <f t="shared" si="202"/>
        <v>SV15-047</v>
      </c>
      <c r="AK1864" s="662" t="str">
        <f t="shared" si="203"/>
        <v>LTK</v>
      </c>
      <c r="AL1864" s="662" t="str">
        <f t="shared" si="204"/>
        <v>CHV</v>
      </c>
      <c r="AM1864" s="662" t="str">
        <f t="shared" si="200"/>
        <v>Silverado 1500-WT Crew Cab-2WD-6-5'8"-9800-4.3L-6-CC10543-1WT-147.43-24-Unleaded-Unleaded</v>
      </c>
      <c r="AN1864" s="662" t="str">
        <f t="shared" si="205"/>
        <v>2019-LTK-CHV-SV15-047</v>
      </c>
    </row>
    <row r="1865" spans="1:40" s="572" customFormat="1" ht="15">
      <c r="A1865" s="570" t="s">
        <v>3548</v>
      </c>
      <c r="B1865" s="573" t="s">
        <v>3549</v>
      </c>
      <c r="C1865" s="573" t="s">
        <v>169</v>
      </c>
      <c r="D1865" s="578">
        <v>11</v>
      </c>
      <c r="E1865" s="573" t="s">
        <v>3374</v>
      </c>
      <c r="F1865" s="573" t="s">
        <v>152</v>
      </c>
      <c r="G1865" s="573" t="s">
        <v>153</v>
      </c>
      <c r="H1865" s="573">
        <v>2019</v>
      </c>
      <c r="I1865" s="573" t="s">
        <v>3464</v>
      </c>
      <c r="J1865" s="573" t="s">
        <v>3410</v>
      </c>
      <c r="K1865" s="573" t="s">
        <v>3377</v>
      </c>
      <c r="L1865" s="573">
        <v>6</v>
      </c>
      <c r="M1865" s="573">
        <v>0</v>
      </c>
      <c r="N1865" s="573" t="s">
        <v>157</v>
      </c>
      <c r="O1865" s="573">
        <v>2</v>
      </c>
      <c r="P1865" s="573" t="s">
        <v>3471</v>
      </c>
      <c r="Q1865" s="571">
        <v>9700</v>
      </c>
      <c r="R1865" s="573" t="s">
        <v>1526</v>
      </c>
      <c r="S1865" s="573">
        <v>6</v>
      </c>
      <c r="T1865" s="573" t="s">
        <v>3472</v>
      </c>
      <c r="U1865" s="573" t="s">
        <v>1522</v>
      </c>
      <c r="V1865" s="573">
        <v>156.94999999999999</v>
      </c>
      <c r="W1865" s="573">
        <v>24</v>
      </c>
      <c r="X1865" s="571">
        <v>6800</v>
      </c>
      <c r="Y1865" s="569">
        <v>20</v>
      </c>
      <c r="Z1865" s="579" t="s">
        <v>178</v>
      </c>
      <c r="AA1865" s="579" t="s">
        <v>178</v>
      </c>
      <c r="AB1865" s="584">
        <v>36395</v>
      </c>
      <c r="AC1865" s="584" t="s">
        <v>164</v>
      </c>
      <c r="AD1865" s="584">
        <v>24778.210526315794</v>
      </c>
      <c r="AE1865" s="586">
        <v>0.05</v>
      </c>
      <c r="AF1865" s="661" t="str">
        <f t="shared" si="206"/>
        <v>2019-LTK-CHV-SV15-048-11</v>
      </c>
      <c r="AG1865" s="661" t="str">
        <f>IF(AND($Y1865&gt;=32,(AI1865="I"),(Y1865&lt;&gt;"~"),(COUNTIF($AN$1:$AN1865,$AN1865)=1)),"TRUE","FALSE")</f>
        <v>FALSE</v>
      </c>
      <c r="AH1865" s="661" t="str">
        <f>IF(AND($Y1865&gt;=22, (AI1865&lt;&gt;"I"),(Y1865&lt;&gt;"~"),(COUNTIF($AN$1:$AN1865,$AN1865)=1)),"TRUE","FALSE")</f>
        <v>FALSE</v>
      </c>
      <c r="AI1865" s="661" t="str">
        <f t="shared" si="201"/>
        <v>II</v>
      </c>
      <c r="AJ1865" s="662" t="str">
        <f t="shared" si="202"/>
        <v>SV15-048</v>
      </c>
      <c r="AK1865" s="662" t="str">
        <f t="shared" si="203"/>
        <v>LTK</v>
      </c>
      <c r="AL1865" s="662" t="str">
        <f t="shared" si="204"/>
        <v>CHV</v>
      </c>
      <c r="AM1865" s="662" t="str">
        <f t="shared" si="200"/>
        <v>Silverado 1500-WT Crew Cab-2WD-6-6'6"-9700-4.3L-6-CC10743-1WT-156.95-24-Unleaded-Unleaded</v>
      </c>
      <c r="AN1865" s="662" t="str">
        <f t="shared" si="205"/>
        <v>2019-LTK-CHV-SV15-048</v>
      </c>
    </row>
    <row r="1866" spans="1:40" s="572" customFormat="1" ht="15">
      <c r="A1866" s="570" t="s">
        <v>3550</v>
      </c>
      <c r="B1866" s="569" t="s">
        <v>3551</v>
      </c>
      <c r="C1866" s="569" t="s">
        <v>150</v>
      </c>
      <c r="D1866" s="580">
        <v>13</v>
      </c>
      <c r="E1866" s="569" t="s">
        <v>3374</v>
      </c>
      <c r="F1866" s="569" t="s">
        <v>152</v>
      </c>
      <c r="G1866" s="569" t="s">
        <v>153</v>
      </c>
      <c r="H1866" s="569">
        <v>2019</v>
      </c>
      <c r="I1866" s="569" t="s">
        <v>3464</v>
      </c>
      <c r="J1866" s="569" t="s">
        <v>3410</v>
      </c>
      <c r="K1866" s="569" t="s">
        <v>3377</v>
      </c>
      <c r="L1866" s="569">
        <v>6</v>
      </c>
      <c r="M1866" s="569">
        <v>0</v>
      </c>
      <c r="N1866" s="569" t="s">
        <v>157</v>
      </c>
      <c r="O1866" s="569">
        <v>2</v>
      </c>
      <c r="P1866" s="569" t="s">
        <v>3466</v>
      </c>
      <c r="Q1866" s="568">
        <v>11000</v>
      </c>
      <c r="R1866" s="569" t="s">
        <v>1526</v>
      </c>
      <c r="S1866" s="569">
        <v>6</v>
      </c>
      <c r="T1866" s="569" t="s">
        <v>3467</v>
      </c>
      <c r="U1866" s="569" t="s">
        <v>1522</v>
      </c>
      <c r="V1866" s="569">
        <v>143.5</v>
      </c>
      <c r="W1866" s="569">
        <v>26</v>
      </c>
      <c r="X1866" s="568">
        <v>6900</v>
      </c>
      <c r="Y1866" s="569">
        <v>20</v>
      </c>
      <c r="Z1866" s="581" t="s">
        <v>450</v>
      </c>
      <c r="AA1866" s="581" t="s">
        <v>178</v>
      </c>
      <c r="AB1866" s="585">
        <v>36095</v>
      </c>
      <c r="AC1866" s="585" t="s">
        <v>164</v>
      </c>
      <c r="AD1866" s="585">
        <v>28200</v>
      </c>
      <c r="AE1866" s="587">
        <v>0.03</v>
      </c>
      <c r="AF1866" s="661" t="str">
        <f t="shared" si="206"/>
        <v>2019-LTK-CHV-SV15-026-13</v>
      </c>
      <c r="AG1866" s="661" t="str">
        <f>IF(AND($Y1866&gt;=32,(AI1866="I"),(Y1866&lt;&gt;"~"),(COUNTIF($AN$1:$AN1866,$AN1866)=1)),"TRUE","FALSE")</f>
        <v>FALSE</v>
      </c>
      <c r="AH1866" s="661" t="str">
        <f>IF(AND($Y1866&gt;=22, (AI1866&lt;&gt;"I"),(Y1866&lt;&gt;"~"),(COUNTIF($AN$1:$AN1866,$AN1866)=1)),"TRUE","FALSE")</f>
        <v>FALSE</v>
      </c>
      <c r="AI1866" s="661" t="str">
        <f t="shared" si="201"/>
        <v>II</v>
      </c>
      <c r="AJ1866" s="662" t="str">
        <f t="shared" si="202"/>
        <v>SV15-026</v>
      </c>
      <c r="AK1866" s="662" t="str">
        <f t="shared" si="203"/>
        <v>LTK</v>
      </c>
      <c r="AL1866" s="662" t="str">
        <f t="shared" si="204"/>
        <v>CHV</v>
      </c>
      <c r="AM1866" s="662" t="str">
        <f t="shared" si="200"/>
        <v>Silverado 1500-WT Crew Cab-2WD-6-5'9"-11000-4.3L-6-CC10543-1WT-143.5-26-E85-Unleaded</v>
      </c>
      <c r="AN1866" s="662" t="str">
        <f t="shared" si="205"/>
        <v>2019-LTK-CHV-SV15-026</v>
      </c>
    </row>
    <row r="1867" spans="1:40" s="572" customFormat="1" ht="15">
      <c r="A1867" s="570" t="s">
        <v>3552</v>
      </c>
      <c r="B1867" s="573" t="s">
        <v>3553</v>
      </c>
      <c r="C1867" s="573" t="s">
        <v>150</v>
      </c>
      <c r="D1867" s="578">
        <v>13</v>
      </c>
      <c r="E1867" s="573" t="s">
        <v>3374</v>
      </c>
      <c r="F1867" s="573" t="s">
        <v>152</v>
      </c>
      <c r="G1867" s="573" t="s">
        <v>153</v>
      </c>
      <c r="H1867" s="573">
        <v>2019</v>
      </c>
      <c r="I1867" s="573" t="s">
        <v>3464</v>
      </c>
      <c r="J1867" s="573" t="s">
        <v>3410</v>
      </c>
      <c r="K1867" s="573" t="s">
        <v>3377</v>
      </c>
      <c r="L1867" s="573">
        <v>6</v>
      </c>
      <c r="M1867" s="573">
        <v>0</v>
      </c>
      <c r="N1867" s="573" t="s">
        <v>157</v>
      </c>
      <c r="O1867" s="573">
        <v>2</v>
      </c>
      <c r="P1867" s="573" t="s">
        <v>3471</v>
      </c>
      <c r="Q1867" s="571">
        <v>11000</v>
      </c>
      <c r="R1867" s="573" t="s">
        <v>753</v>
      </c>
      <c r="S1867" s="573">
        <v>8</v>
      </c>
      <c r="T1867" s="573" t="s">
        <v>3472</v>
      </c>
      <c r="U1867" s="573" t="s">
        <v>1522</v>
      </c>
      <c r="V1867" s="573">
        <v>153</v>
      </c>
      <c r="W1867" s="573">
        <v>26</v>
      </c>
      <c r="X1867" s="571">
        <v>7100</v>
      </c>
      <c r="Y1867" s="573">
        <v>19</v>
      </c>
      <c r="Z1867" s="579" t="s">
        <v>450</v>
      </c>
      <c r="AA1867" s="579" t="s">
        <v>178</v>
      </c>
      <c r="AB1867" s="584">
        <v>36395</v>
      </c>
      <c r="AC1867" s="584" t="s">
        <v>164</v>
      </c>
      <c r="AD1867" s="584">
        <v>30061</v>
      </c>
      <c r="AE1867" s="586">
        <v>0.03</v>
      </c>
      <c r="AF1867" s="661" t="str">
        <f t="shared" si="206"/>
        <v>2019-LTK-CHV-SV15-027-13</v>
      </c>
      <c r="AG1867" s="661" t="str">
        <f>IF(AND($Y1867&gt;=32,(AI1867="I"),(Y1867&lt;&gt;"~"),(COUNTIF($AN$1:$AN1867,$AN1867)=1)),"TRUE","FALSE")</f>
        <v>FALSE</v>
      </c>
      <c r="AH1867" s="661" t="str">
        <f>IF(AND($Y1867&gt;=22, (AI1867&lt;&gt;"I"),(Y1867&lt;&gt;"~"),(COUNTIF($AN$1:$AN1867,$AN1867)=1)),"TRUE","FALSE")</f>
        <v>FALSE</v>
      </c>
      <c r="AI1867" s="661" t="str">
        <f t="shared" si="201"/>
        <v>II</v>
      </c>
      <c r="AJ1867" s="662" t="str">
        <f t="shared" si="202"/>
        <v>SV15-027</v>
      </c>
      <c r="AK1867" s="662" t="str">
        <f t="shared" si="203"/>
        <v>LTK</v>
      </c>
      <c r="AL1867" s="662" t="str">
        <f t="shared" si="204"/>
        <v>CHV</v>
      </c>
      <c r="AM1867" s="662" t="str">
        <f t="shared" si="200"/>
        <v>Silverado 1500-WT Crew Cab-2WD-6-6'6"-11000-5.3L-8-CC10743-1WT-153-26-E85-Unleaded</v>
      </c>
      <c r="AN1867" s="662" t="str">
        <f t="shared" si="205"/>
        <v>2019-LTK-CHV-SV15-027</v>
      </c>
    </row>
    <row r="1868" spans="1:40" s="572" customFormat="1" ht="15">
      <c r="A1868" s="570" t="s">
        <v>3554</v>
      </c>
      <c r="B1868" s="569" t="s">
        <v>3551</v>
      </c>
      <c r="C1868" s="569" t="s">
        <v>166</v>
      </c>
      <c r="D1868" s="580">
        <v>17</v>
      </c>
      <c r="E1868" s="569" t="s">
        <v>3374</v>
      </c>
      <c r="F1868" s="569" t="s">
        <v>152</v>
      </c>
      <c r="G1868" s="569" t="s">
        <v>153</v>
      </c>
      <c r="H1868" s="569">
        <v>2019</v>
      </c>
      <c r="I1868" s="569" t="s">
        <v>3464</v>
      </c>
      <c r="J1868" s="569" t="s">
        <v>3410</v>
      </c>
      <c r="K1868" s="569" t="s">
        <v>3377</v>
      </c>
      <c r="L1868" s="569">
        <v>6</v>
      </c>
      <c r="M1868" s="569">
        <v>0</v>
      </c>
      <c r="N1868" s="569" t="s">
        <v>157</v>
      </c>
      <c r="O1868" s="569">
        <v>2</v>
      </c>
      <c r="P1868" s="569" t="s">
        <v>3466</v>
      </c>
      <c r="Q1868" s="568">
        <v>11000</v>
      </c>
      <c r="R1868" s="569" t="s">
        <v>1526</v>
      </c>
      <c r="S1868" s="569">
        <v>6</v>
      </c>
      <c r="T1868" s="569" t="s">
        <v>3486</v>
      </c>
      <c r="U1868" s="569" t="s">
        <v>1522</v>
      </c>
      <c r="V1868" s="569">
        <v>143.5</v>
      </c>
      <c r="W1868" s="569">
        <v>26</v>
      </c>
      <c r="X1868" s="568">
        <v>6900</v>
      </c>
      <c r="Y1868" s="569">
        <v>20</v>
      </c>
      <c r="Z1868" s="581" t="s">
        <v>450</v>
      </c>
      <c r="AA1868" s="581" t="s">
        <v>178</v>
      </c>
      <c r="AB1868" s="585">
        <v>36095</v>
      </c>
      <c r="AC1868" s="585" t="s">
        <v>164</v>
      </c>
      <c r="AD1868" s="585">
        <v>27455</v>
      </c>
      <c r="AE1868" s="587">
        <v>7.1999999999999995E-2</v>
      </c>
      <c r="AF1868" s="661" t="str">
        <f t="shared" si="206"/>
        <v>2019-LTK-CHV-SV15-026-17</v>
      </c>
      <c r="AG1868" s="661" t="str">
        <f>IF(AND($Y1868&gt;=32,(AI1868="I"),(Y1868&lt;&gt;"~"),(COUNTIF($AN$1:$AN1868,$AN1868)=1)),"TRUE","FALSE")</f>
        <v>FALSE</v>
      </c>
      <c r="AH1868" s="661" t="str">
        <f>IF(AND($Y1868&gt;=22, (AI1868&lt;&gt;"I"),(Y1868&lt;&gt;"~"),(COUNTIF($AN$1:$AN1868,$AN1868)=1)),"TRUE","FALSE")</f>
        <v>FALSE</v>
      </c>
      <c r="AI1868" s="661" t="str">
        <f t="shared" si="201"/>
        <v>II</v>
      </c>
      <c r="AJ1868" s="662" t="str">
        <f t="shared" si="202"/>
        <v>SV15-026</v>
      </c>
      <c r="AK1868" s="662" t="str">
        <f t="shared" si="203"/>
        <v>LTK</v>
      </c>
      <c r="AL1868" s="662" t="str">
        <f t="shared" si="204"/>
        <v>CHV</v>
      </c>
      <c r="AM1868" s="662" t="str">
        <f t="shared" si="200"/>
        <v>Silverado 1500-WT Crew Cab-2WD-6-5'9"-11000-4.3L-6-CC15543-1WT-143.5-26-E85-Unleaded</v>
      </c>
      <c r="AN1868" s="662" t="str">
        <f t="shared" si="205"/>
        <v>2019-LTK-CHV-SV15-026</v>
      </c>
    </row>
    <row r="1869" spans="1:40" s="572" customFormat="1" ht="15">
      <c r="A1869" s="570" t="s">
        <v>3554</v>
      </c>
      <c r="B1869" s="573" t="s">
        <v>3551</v>
      </c>
      <c r="C1869" s="573" t="s">
        <v>166</v>
      </c>
      <c r="D1869" s="578">
        <v>17</v>
      </c>
      <c r="E1869" s="573" t="s">
        <v>3374</v>
      </c>
      <c r="F1869" s="573" t="s">
        <v>152</v>
      </c>
      <c r="G1869" s="573" t="s">
        <v>153</v>
      </c>
      <c r="H1869" s="573">
        <v>2019</v>
      </c>
      <c r="I1869" s="573" t="s">
        <v>3464</v>
      </c>
      <c r="J1869" s="573" t="s">
        <v>3410</v>
      </c>
      <c r="K1869" s="573" t="s">
        <v>3377</v>
      </c>
      <c r="L1869" s="573">
        <v>6</v>
      </c>
      <c r="M1869" s="573">
        <v>0</v>
      </c>
      <c r="N1869" s="573" t="s">
        <v>157</v>
      </c>
      <c r="O1869" s="573">
        <v>2</v>
      </c>
      <c r="P1869" s="573" t="s">
        <v>3466</v>
      </c>
      <c r="Q1869" s="571">
        <v>11000</v>
      </c>
      <c r="R1869" s="573" t="s">
        <v>1526</v>
      </c>
      <c r="S1869" s="573">
        <v>6</v>
      </c>
      <c r="T1869" s="573" t="s">
        <v>3486</v>
      </c>
      <c r="U1869" s="573" t="s">
        <v>1522</v>
      </c>
      <c r="V1869" s="573">
        <v>143.5</v>
      </c>
      <c r="W1869" s="573">
        <v>26</v>
      </c>
      <c r="X1869" s="571">
        <v>7100</v>
      </c>
      <c r="Y1869" s="569">
        <v>20</v>
      </c>
      <c r="Z1869" s="579" t="s">
        <v>450</v>
      </c>
      <c r="AA1869" s="579" t="s">
        <v>178</v>
      </c>
      <c r="AB1869" s="584">
        <v>36095</v>
      </c>
      <c r="AC1869" s="584" t="s">
        <v>164</v>
      </c>
      <c r="AD1869" s="584">
        <v>27455</v>
      </c>
      <c r="AE1869" s="586">
        <v>7.1999999999999995E-2</v>
      </c>
      <c r="AF1869" s="661" t="str">
        <f t="shared" si="206"/>
        <v>2019-LTK-CHV-SV15-026-17</v>
      </c>
      <c r="AG1869" s="661" t="str">
        <f>IF(AND($Y1869&gt;=32,(AI1869="I"),(Y1869&lt;&gt;"~"),(COUNTIF($AN$1:$AN1869,$AN1869)=1)),"TRUE","FALSE")</f>
        <v>FALSE</v>
      </c>
      <c r="AH1869" s="661" t="str">
        <f>IF(AND($Y1869&gt;=22, (AI1869&lt;&gt;"I"),(Y1869&lt;&gt;"~"),(COUNTIF($AN$1:$AN1869,$AN1869)=1)),"TRUE","FALSE")</f>
        <v>FALSE</v>
      </c>
      <c r="AI1869" s="661" t="str">
        <f t="shared" si="201"/>
        <v>II</v>
      </c>
      <c r="AJ1869" s="662" t="str">
        <f t="shared" si="202"/>
        <v>SV15-026</v>
      </c>
      <c r="AK1869" s="662" t="str">
        <f t="shared" si="203"/>
        <v>LTK</v>
      </c>
      <c r="AL1869" s="662" t="str">
        <f t="shared" si="204"/>
        <v>CHV</v>
      </c>
      <c r="AM1869" s="662" t="str">
        <f t="shared" si="200"/>
        <v>Silverado 1500-WT Crew Cab-2WD-6-5'9"-11000-4.3L-6-CC15543-1WT-143.5-26-E85-Unleaded</v>
      </c>
      <c r="AN1869" s="662" t="str">
        <f t="shared" si="205"/>
        <v>2019-LTK-CHV-SV15-026</v>
      </c>
    </row>
    <row r="1870" spans="1:40" s="572" customFormat="1" ht="15">
      <c r="A1870" s="570" t="s">
        <v>3555</v>
      </c>
      <c r="B1870" s="569" t="s">
        <v>3556</v>
      </c>
      <c r="C1870" s="569" t="s">
        <v>166</v>
      </c>
      <c r="D1870" s="580">
        <v>17</v>
      </c>
      <c r="E1870" s="569" t="s">
        <v>3374</v>
      </c>
      <c r="F1870" s="569" t="s">
        <v>152</v>
      </c>
      <c r="G1870" s="569" t="s">
        <v>153</v>
      </c>
      <c r="H1870" s="569">
        <v>2019</v>
      </c>
      <c r="I1870" s="569" t="s">
        <v>3464</v>
      </c>
      <c r="J1870" s="569" t="s">
        <v>3410</v>
      </c>
      <c r="K1870" s="569" t="s">
        <v>3377</v>
      </c>
      <c r="L1870" s="569">
        <v>6</v>
      </c>
      <c r="M1870" s="569">
        <v>0</v>
      </c>
      <c r="N1870" s="569" t="s">
        <v>157</v>
      </c>
      <c r="O1870" s="569">
        <v>2</v>
      </c>
      <c r="P1870" s="569" t="s">
        <v>3471</v>
      </c>
      <c r="Q1870" s="568">
        <v>11000</v>
      </c>
      <c r="R1870" s="569" t="s">
        <v>753</v>
      </c>
      <c r="S1870" s="569">
        <v>8</v>
      </c>
      <c r="T1870" s="569" t="s">
        <v>3489</v>
      </c>
      <c r="U1870" s="569" t="s">
        <v>1522</v>
      </c>
      <c r="V1870" s="569">
        <v>153</v>
      </c>
      <c r="W1870" s="569">
        <v>26</v>
      </c>
      <c r="X1870" s="568">
        <v>7000</v>
      </c>
      <c r="Y1870" s="569">
        <v>19</v>
      </c>
      <c r="Z1870" s="581" t="s">
        <v>450</v>
      </c>
      <c r="AA1870" s="581" t="s">
        <v>178</v>
      </c>
      <c r="AB1870" s="585">
        <v>36395</v>
      </c>
      <c r="AC1870" s="585" t="s">
        <v>164</v>
      </c>
      <c r="AD1870" s="585">
        <v>27855</v>
      </c>
      <c r="AE1870" s="587">
        <v>7.1999999999999995E-2</v>
      </c>
      <c r="AF1870" s="661" t="str">
        <f t="shared" si="206"/>
        <v>2019-LTK-CHV-SV15-028-17</v>
      </c>
      <c r="AG1870" s="661" t="str">
        <f>IF(AND($Y1870&gt;=32,(AI1870="I"),(Y1870&lt;&gt;"~"),(COUNTIF($AN$1:$AN1870,$AN1870)=1)),"TRUE","FALSE")</f>
        <v>FALSE</v>
      </c>
      <c r="AH1870" s="661" t="str">
        <f>IF(AND($Y1870&gt;=22, (AI1870&lt;&gt;"I"),(Y1870&lt;&gt;"~"),(COUNTIF($AN$1:$AN1870,$AN1870)=1)),"TRUE","FALSE")</f>
        <v>FALSE</v>
      </c>
      <c r="AI1870" s="661" t="str">
        <f t="shared" si="201"/>
        <v>II</v>
      </c>
      <c r="AJ1870" s="662" t="str">
        <f t="shared" si="202"/>
        <v>SV15-028</v>
      </c>
      <c r="AK1870" s="662" t="str">
        <f t="shared" si="203"/>
        <v>LTK</v>
      </c>
      <c r="AL1870" s="662" t="str">
        <f t="shared" si="204"/>
        <v>CHV</v>
      </c>
      <c r="AM1870" s="662" t="str">
        <f t="shared" si="200"/>
        <v>Silverado 1500-WT Crew Cab-2WD-6-6'6"-11000-5.3L-8-CC15743-1WT-153-26-E85-Unleaded</v>
      </c>
      <c r="AN1870" s="662" t="str">
        <f t="shared" si="205"/>
        <v>2019-LTK-CHV-SV15-028</v>
      </c>
    </row>
    <row r="1871" spans="1:40" s="572" customFormat="1" ht="15">
      <c r="A1871" s="570" t="s">
        <v>3555</v>
      </c>
      <c r="B1871" s="573" t="s">
        <v>3556</v>
      </c>
      <c r="C1871" s="573" t="s">
        <v>166</v>
      </c>
      <c r="D1871" s="578">
        <v>17</v>
      </c>
      <c r="E1871" s="573" t="s">
        <v>3374</v>
      </c>
      <c r="F1871" s="573" t="s">
        <v>152</v>
      </c>
      <c r="G1871" s="573" t="s">
        <v>153</v>
      </c>
      <c r="H1871" s="573">
        <v>2019</v>
      </c>
      <c r="I1871" s="573" t="s">
        <v>3464</v>
      </c>
      <c r="J1871" s="573" t="s">
        <v>3410</v>
      </c>
      <c r="K1871" s="573" t="s">
        <v>3377</v>
      </c>
      <c r="L1871" s="573">
        <v>6</v>
      </c>
      <c r="M1871" s="573">
        <v>0</v>
      </c>
      <c r="N1871" s="573" t="s">
        <v>157</v>
      </c>
      <c r="O1871" s="573">
        <v>2</v>
      </c>
      <c r="P1871" s="573" t="s">
        <v>3471</v>
      </c>
      <c r="Q1871" s="571">
        <v>11000</v>
      </c>
      <c r="R1871" s="573" t="s">
        <v>753</v>
      </c>
      <c r="S1871" s="573">
        <v>8</v>
      </c>
      <c r="T1871" s="573" t="s">
        <v>3489</v>
      </c>
      <c r="U1871" s="573" t="s">
        <v>1522</v>
      </c>
      <c r="V1871" s="573">
        <v>153</v>
      </c>
      <c r="W1871" s="573">
        <v>26</v>
      </c>
      <c r="X1871" s="571">
        <v>7100</v>
      </c>
      <c r="Y1871" s="573">
        <v>19</v>
      </c>
      <c r="Z1871" s="579" t="s">
        <v>450</v>
      </c>
      <c r="AA1871" s="579" t="s">
        <v>178</v>
      </c>
      <c r="AB1871" s="584">
        <v>36395</v>
      </c>
      <c r="AC1871" s="584" t="s">
        <v>164</v>
      </c>
      <c r="AD1871" s="584">
        <v>27855</v>
      </c>
      <c r="AE1871" s="586">
        <v>7.1999999999999995E-2</v>
      </c>
      <c r="AF1871" s="661" t="str">
        <f t="shared" si="206"/>
        <v>2019-LTK-CHV-SV15-028-17</v>
      </c>
      <c r="AG1871" s="661" t="str">
        <f>IF(AND($Y1871&gt;=32,(AI1871="I"),(Y1871&lt;&gt;"~"),(COUNTIF($AN$1:$AN1871,$AN1871)=1)),"TRUE","FALSE")</f>
        <v>FALSE</v>
      </c>
      <c r="AH1871" s="661" t="str">
        <f>IF(AND($Y1871&gt;=22, (AI1871&lt;&gt;"I"),(Y1871&lt;&gt;"~"),(COUNTIF($AN$1:$AN1871,$AN1871)=1)),"TRUE","FALSE")</f>
        <v>FALSE</v>
      </c>
      <c r="AI1871" s="661" t="str">
        <f t="shared" si="201"/>
        <v>II</v>
      </c>
      <c r="AJ1871" s="662" t="str">
        <f t="shared" si="202"/>
        <v>SV15-028</v>
      </c>
      <c r="AK1871" s="662" t="str">
        <f t="shared" si="203"/>
        <v>LTK</v>
      </c>
      <c r="AL1871" s="662" t="str">
        <f t="shared" si="204"/>
        <v>CHV</v>
      </c>
      <c r="AM1871" s="662" t="str">
        <f t="shared" si="200"/>
        <v>Silverado 1500-WT Crew Cab-2WD-6-6'6"-11000-5.3L-8-CC15743-1WT-153-26-E85-Unleaded</v>
      </c>
      <c r="AN1871" s="662" t="str">
        <f t="shared" si="205"/>
        <v>2019-LTK-CHV-SV15-028</v>
      </c>
    </row>
    <row r="1872" spans="1:40" s="572" customFormat="1" ht="15">
      <c r="A1872" s="570" t="s">
        <v>3557</v>
      </c>
      <c r="B1872" s="569" t="s">
        <v>3558</v>
      </c>
      <c r="C1872" s="569" t="s">
        <v>169</v>
      </c>
      <c r="D1872" s="580">
        <v>11</v>
      </c>
      <c r="E1872" s="569" t="s">
        <v>3374</v>
      </c>
      <c r="F1872" s="569" t="s">
        <v>152</v>
      </c>
      <c r="G1872" s="569" t="s">
        <v>153</v>
      </c>
      <c r="H1872" s="569">
        <v>2019</v>
      </c>
      <c r="I1872" s="569" t="s">
        <v>3464</v>
      </c>
      <c r="J1872" s="569" t="s">
        <v>3410</v>
      </c>
      <c r="K1872" s="569" t="s">
        <v>752</v>
      </c>
      <c r="L1872" s="569">
        <v>6</v>
      </c>
      <c r="M1872" s="569">
        <v>0</v>
      </c>
      <c r="N1872" s="569" t="s">
        <v>157</v>
      </c>
      <c r="O1872" s="569">
        <v>2</v>
      </c>
      <c r="P1872" s="569" t="s">
        <v>3515</v>
      </c>
      <c r="Q1872" s="568">
        <v>9500</v>
      </c>
      <c r="R1872" s="569" t="s">
        <v>1526</v>
      </c>
      <c r="S1872" s="569">
        <v>6</v>
      </c>
      <c r="T1872" s="569" t="s">
        <v>3475</v>
      </c>
      <c r="U1872" s="569" t="s">
        <v>1522</v>
      </c>
      <c r="V1872" s="569">
        <v>147.43</v>
      </c>
      <c r="W1872" s="569">
        <v>24</v>
      </c>
      <c r="X1872" s="568">
        <v>7000</v>
      </c>
      <c r="Y1872" s="569">
        <v>19</v>
      </c>
      <c r="Z1872" s="581" t="s">
        <v>178</v>
      </c>
      <c r="AA1872" s="581" t="s">
        <v>178</v>
      </c>
      <c r="AB1872" s="585">
        <v>39395</v>
      </c>
      <c r="AC1872" s="585" t="s">
        <v>164</v>
      </c>
      <c r="AD1872" s="585">
        <v>27705.578947368427</v>
      </c>
      <c r="AE1872" s="587">
        <v>0.05</v>
      </c>
      <c r="AF1872" s="661" t="str">
        <f t="shared" si="206"/>
        <v>2019-LTK-CHV-SV15-049-11</v>
      </c>
      <c r="AG1872" s="661" t="str">
        <f>IF(AND($Y1872&gt;=32,(AI1872="I"),(Y1872&lt;&gt;"~"),(COUNTIF($AN$1:$AN1872,$AN1872)=1)),"TRUE","FALSE")</f>
        <v>FALSE</v>
      </c>
      <c r="AH1872" s="661" t="str">
        <f>IF(AND($Y1872&gt;=22, (AI1872&lt;&gt;"I"),(Y1872&lt;&gt;"~"),(COUNTIF($AN$1:$AN1872,$AN1872)=1)),"TRUE","FALSE")</f>
        <v>FALSE</v>
      </c>
      <c r="AI1872" s="661" t="str">
        <f t="shared" si="201"/>
        <v>II</v>
      </c>
      <c r="AJ1872" s="662" t="str">
        <f t="shared" si="202"/>
        <v>SV15-049</v>
      </c>
      <c r="AK1872" s="662" t="str">
        <f t="shared" si="203"/>
        <v>LTK</v>
      </c>
      <c r="AL1872" s="662" t="str">
        <f t="shared" si="204"/>
        <v>CHV</v>
      </c>
      <c r="AM1872" s="662" t="str">
        <f t="shared" si="200"/>
        <v>Silverado 1500-WT Crew Cab-4WD-6-5'8"-9500-4.3L-6-CK10543-1WT-147.43-24-Unleaded-Unleaded</v>
      </c>
      <c r="AN1872" s="662" t="str">
        <f t="shared" si="205"/>
        <v>2019-LTK-CHV-SV15-049</v>
      </c>
    </row>
    <row r="1873" spans="1:40" s="572" customFormat="1" ht="15">
      <c r="A1873" s="570" t="s">
        <v>3559</v>
      </c>
      <c r="B1873" s="573" t="s">
        <v>3560</v>
      </c>
      <c r="C1873" s="573" t="s">
        <v>169</v>
      </c>
      <c r="D1873" s="578">
        <v>11</v>
      </c>
      <c r="E1873" s="573" t="s">
        <v>3374</v>
      </c>
      <c r="F1873" s="573" t="s">
        <v>152</v>
      </c>
      <c r="G1873" s="573" t="s">
        <v>153</v>
      </c>
      <c r="H1873" s="573">
        <v>2019</v>
      </c>
      <c r="I1873" s="573" t="s">
        <v>3464</v>
      </c>
      <c r="J1873" s="573" t="s">
        <v>3410</v>
      </c>
      <c r="K1873" s="573" t="s">
        <v>752</v>
      </c>
      <c r="L1873" s="573">
        <v>6</v>
      </c>
      <c r="M1873" s="573">
        <v>0</v>
      </c>
      <c r="N1873" s="573" t="s">
        <v>157</v>
      </c>
      <c r="O1873" s="573">
        <v>2</v>
      </c>
      <c r="P1873" s="573" t="s">
        <v>3471</v>
      </c>
      <c r="Q1873" s="571">
        <v>9500</v>
      </c>
      <c r="R1873" s="573" t="s">
        <v>1526</v>
      </c>
      <c r="S1873" s="573">
        <v>6</v>
      </c>
      <c r="T1873" s="573" t="s">
        <v>3478</v>
      </c>
      <c r="U1873" s="573" t="s">
        <v>1522</v>
      </c>
      <c r="V1873" s="573">
        <v>156.94999999999999</v>
      </c>
      <c r="W1873" s="573">
        <v>24</v>
      </c>
      <c r="X1873" s="571">
        <v>7000</v>
      </c>
      <c r="Y1873" s="569">
        <v>19</v>
      </c>
      <c r="Z1873" s="579" t="s">
        <v>178</v>
      </c>
      <c r="AA1873" s="579" t="s">
        <v>178</v>
      </c>
      <c r="AB1873" s="584">
        <v>39695</v>
      </c>
      <c r="AC1873" s="584" t="s">
        <v>164</v>
      </c>
      <c r="AD1873" s="584">
        <v>27998.315789473687</v>
      </c>
      <c r="AE1873" s="586">
        <v>0.05</v>
      </c>
      <c r="AF1873" s="661" t="str">
        <f t="shared" si="206"/>
        <v>2019-LTK-CHV-SV15-050-11</v>
      </c>
      <c r="AG1873" s="661" t="str">
        <f>IF(AND($Y1873&gt;=32,(AI1873="I"),(Y1873&lt;&gt;"~"),(COUNTIF($AN$1:$AN1873,$AN1873)=1)),"TRUE","FALSE")</f>
        <v>FALSE</v>
      </c>
      <c r="AH1873" s="661" t="str">
        <f>IF(AND($Y1873&gt;=22, (AI1873&lt;&gt;"I"),(Y1873&lt;&gt;"~"),(COUNTIF($AN$1:$AN1873,$AN1873)=1)),"TRUE","FALSE")</f>
        <v>FALSE</v>
      </c>
      <c r="AI1873" s="661" t="str">
        <f t="shared" si="201"/>
        <v>II</v>
      </c>
      <c r="AJ1873" s="662" t="str">
        <f t="shared" si="202"/>
        <v>SV15-050</v>
      </c>
      <c r="AK1873" s="662" t="str">
        <f t="shared" si="203"/>
        <v>LTK</v>
      </c>
      <c r="AL1873" s="662" t="str">
        <f t="shared" si="204"/>
        <v>CHV</v>
      </c>
      <c r="AM1873" s="662" t="str">
        <f t="shared" si="200"/>
        <v>Silverado 1500-WT Crew Cab-4WD-6-6'6"-9500-4.3L-6-CK10743-1WT-156.95-24-Unleaded-Unleaded</v>
      </c>
      <c r="AN1873" s="662" t="str">
        <f t="shared" si="205"/>
        <v>2019-LTK-CHV-SV15-050</v>
      </c>
    </row>
    <row r="1874" spans="1:40" s="572" customFormat="1" ht="15">
      <c r="A1874" s="570" t="s">
        <v>3561</v>
      </c>
      <c r="B1874" s="569" t="s">
        <v>3562</v>
      </c>
      <c r="C1874" s="569" t="s">
        <v>150</v>
      </c>
      <c r="D1874" s="580">
        <v>13</v>
      </c>
      <c r="E1874" s="569" t="s">
        <v>3374</v>
      </c>
      <c r="F1874" s="569" t="s">
        <v>152</v>
      </c>
      <c r="G1874" s="569" t="s">
        <v>153</v>
      </c>
      <c r="H1874" s="569">
        <v>2019</v>
      </c>
      <c r="I1874" s="569" t="s">
        <v>3464</v>
      </c>
      <c r="J1874" s="569" t="s">
        <v>3410</v>
      </c>
      <c r="K1874" s="569" t="s">
        <v>752</v>
      </c>
      <c r="L1874" s="569">
        <v>6</v>
      </c>
      <c r="M1874" s="569">
        <v>0</v>
      </c>
      <c r="N1874" s="569" t="s">
        <v>157</v>
      </c>
      <c r="O1874" s="569">
        <v>2</v>
      </c>
      <c r="P1874" s="569" t="s">
        <v>3466</v>
      </c>
      <c r="Q1874" s="568">
        <v>12800</v>
      </c>
      <c r="R1874" s="569" t="s">
        <v>1526</v>
      </c>
      <c r="S1874" s="569">
        <v>6</v>
      </c>
      <c r="T1874" s="569" t="s">
        <v>3475</v>
      </c>
      <c r="U1874" s="569" t="s">
        <v>1522</v>
      </c>
      <c r="V1874" s="569">
        <v>143.5</v>
      </c>
      <c r="W1874" s="569">
        <v>26</v>
      </c>
      <c r="X1874" s="568">
        <v>7100</v>
      </c>
      <c r="Y1874" s="569">
        <v>19</v>
      </c>
      <c r="Z1874" s="581" t="s">
        <v>450</v>
      </c>
      <c r="AA1874" s="581" t="s">
        <v>178</v>
      </c>
      <c r="AB1874" s="585">
        <v>39395</v>
      </c>
      <c r="AC1874" s="585" t="s">
        <v>164</v>
      </c>
      <c r="AD1874" s="585">
        <v>31082</v>
      </c>
      <c r="AE1874" s="587">
        <v>0.03</v>
      </c>
      <c r="AF1874" s="661" t="str">
        <f t="shared" si="206"/>
        <v>2019-LTK-CHV-SV15-029-13</v>
      </c>
      <c r="AG1874" s="661" t="str">
        <f>IF(AND($Y1874&gt;=32,(AI1874="I"),(Y1874&lt;&gt;"~"),(COUNTIF($AN$1:$AN1874,$AN1874)=1)),"TRUE","FALSE")</f>
        <v>FALSE</v>
      </c>
      <c r="AH1874" s="661" t="str">
        <f>IF(AND($Y1874&gt;=22, (AI1874&lt;&gt;"I"),(Y1874&lt;&gt;"~"),(COUNTIF($AN$1:$AN1874,$AN1874)=1)),"TRUE","FALSE")</f>
        <v>FALSE</v>
      </c>
      <c r="AI1874" s="661" t="str">
        <f t="shared" si="201"/>
        <v>II</v>
      </c>
      <c r="AJ1874" s="662" t="str">
        <f t="shared" si="202"/>
        <v>SV15-029</v>
      </c>
      <c r="AK1874" s="662" t="str">
        <f t="shared" si="203"/>
        <v>LTK</v>
      </c>
      <c r="AL1874" s="662" t="str">
        <f t="shared" si="204"/>
        <v>CHV</v>
      </c>
      <c r="AM1874" s="662" t="str">
        <f t="shared" si="200"/>
        <v>Silverado 1500-WT Crew Cab-4WD-6-5'9"-12800-4.3L-6-CK10543-1WT-143.5-26-E85-Unleaded</v>
      </c>
      <c r="AN1874" s="662" t="str">
        <f t="shared" si="205"/>
        <v>2019-LTK-CHV-SV15-029</v>
      </c>
    </row>
    <row r="1875" spans="1:40" s="572" customFormat="1" ht="15">
      <c r="A1875" s="570" t="s">
        <v>3563</v>
      </c>
      <c r="B1875" s="573" t="s">
        <v>3564</v>
      </c>
      <c r="C1875" s="573" t="s">
        <v>150</v>
      </c>
      <c r="D1875" s="578">
        <v>13</v>
      </c>
      <c r="E1875" s="573" t="s">
        <v>3374</v>
      </c>
      <c r="F1875" s="573" t="s">
        <v>152</v>
      </c>
      <c r="G1875" s="573" t="s">
        <v>153</v>
      </c>
      <c r="H1875" s="573">
        <v>2019</v>
      </c>
      <c r="I1875" s="573" t="s">
        <v>3464</v>
      </c>
      <c r="J1875" s="573" t="s">
        <v>3410</v>
      </c>
      <c r="K1875" s="573" t="s">
        <v>752</v>
      </c>
      <c r="L1875" s="573">
        <v>6</v>
      </c>
      <c r="M1875" s="573">
        <v>0</v>
      </c>
      <c r="N1875" s="573" t="s">
        <v>157</v>
      </c>
      <c r="O1875" s="573">
        <v>2</v>
      </c>
      <c r="P1875" s="573" t="s">
        <v>3471</v>
      </c>
      <c r="Q1875" s="571">
        <v>12800</v>
      </c>
      <c r="R1875" s="573" t="s">
        <v>753</v>
      </c>
      <c r="S1875" s="573">
        <v>8</v>
      </c>
      <c r="T1875" s="573" t="s">
        <v>3478</v>
      </c>
      <c r="U1875" s="573" t="s">
        <v>1522</v>
      </c>
      <c r="V1875" s="573">
        <v>153</v>
      </c>
      <c r="W1875" s="573">
        <v>26</v>
      </c>
      <c r="X1875" s="571">
        <v>7200</v>
      </c>
      <c r="Y1875" s="573">
        <v>19</v>
      </c>
      <c r="Z1875" s="579" t="s">
        <v>450</v>
      </c>
      <c r="AA1875" s="579" t="s">
        <v>178</v>
      </c>
      <c r="AB1875" s="584">
        <v>39695</v>
      </c>
      <c r="AC1875" s="584" t="s">
        <v>164</v>
      </c>
      <c r="AD1875" s="584">
        <v>32175</v>
      </c>
      <c r="AE1875" s="586">
        <v>0.03</v>
      </c>
      <c r="AF1875" s="661" t="str">
        <f t="shared" si="206"/>
        <v>2019-LTK-CHV-SV15-030-13</v>
      </c>
      <c r="AG1875" s="661" t="str">
        <f>IF(AND($Y1875&gt;=32,(AI1875="I"),(Y1875&lt;&gt;"~"),(COUNTIF($AN$1:$AN1875,$AN1875)=1)),"TRUE","FALSE")</f>
        <v>FALSE</v>
      </c>
      <c r="AH1875" s="661" t="str">
        <f>IF(AND($Y1875&gt;=22, (AI1875&lt;&gt;"I"),(Y1875&lt;&gt;"~"),(COUNTIF($AN$1:$AN1875,$AN1875)=1)),"TRUE","FALSE")</f>
        <v>FALSE</v>
      </c>
      <c r="AI1875" s="661" t="str">
        <f t="shared" si="201"/>
        <v>II</v>
      </c>
      <c r="AJ1875" s="662" t="str">
        <f t="shared" si="202"/>
        <v>SV15-030</v>
      </c>
      <c r="AK1875" s="662" t="str">
        <f t="shared" si="203"/>
        <v>LTK</v>
      </c>
      <c r="AL1875" s="662" t="str">
        <f t="shared" si="204"/>
        <v>CHV</v>
      </c>
      <c r="AM1875" s="662" t="str">
        <f t="shared" si="200"/>
        <v>Silverado 1500-WT Crew Cab-4WD-6-6'6"-12800-5.3L-8-CK10743-1WT-153-26-E85-Unleaded</v>
      </c>
      <c r="AN1875" s="662" t="str">
        <f t="shared" si="205"/>
        <v>2019-LTK-CHV-SV15-030</v>
      </c>
    </row>
    <row r="1876" spans="1:40" s="572" customFormat="1" ht="15">
      <c r="A1876" s="570" t="s">
        <v>3565</v>
      </c>
      <c r="B1876" s="569" t="s">
        <v>3562</v>
      </c>
      <c r="C1876" s="569" t="s">
        <v>166</v>
      </c>
      <c r="D1876" s="580">
        <v>17</v>
      </c>
      <c r="E1876" s="569" t="s">
        <v>3374</v>
      </c>
      <c r="F1876" s="569" t="s">
        <v>152</v>
      </c>
      <c r="G1876" s="569" t="s">
        <v>153</v>
      </c>
      <c r="H1876" s="569">
        <v>2019</v>
      </c>
      <c r="I1876" s="569" t="s">
        <v>3464</v>
      </c>
      <c r="J1876" s="569" t="s">
        <v>3410</v>
      </c>
      <c r="K1876" s="569" t="s">
        <v>752</v>
      </c>
      <c r="L1876" s="569">
        <v>6</v>
      </c>
      <c r="M1876" s="569">
        <v>0</v>
      </c>
      <c r="N1876" s="569" t="s">
        <v>157</v>
      </c>
      <c r="O1876" s="569">
        <v>2</v>
      </c>
      <c r="P1876" s="569" t="s">
        <v>3466</v>
      </c>
      <c r="Q1876" s="568">
        <v>12800</v>
      </c>
      <c r="R1876" s="569" t="s">
        <v>1526</v>
      </c>
      <c r="S1876" s="569">
        <v>6</v>
      </c>
      <c r="T1876" s="569" t="s">
        <v>3494</v>
      </c>
      <c r="U1876" s="569" t="s">
        <v>1522</v>
      </c>
      <c r="V1876" s="569">
        <v>143.5</v>
      </c>
      <c r="W1876" s="569">
        <v>26</v>
      </c>
      <c r="X1876" s="568">
        <v>7100</v>
      </c>
      <c r="Y1876" s="569">
        <v>19</v>
      </c>
      <c r="Z1876" s="581" t="s">
        <v>450</v>
      </c>
      <c r="AA1876" s="581" t="s">
        <v>178</v>
      </c>
      <c r="AB1876" s="585">
        <v>39395</v>
      </c>
      <c r="AC1876" s="585" t="s">
        <v>164</v>
      </c>
      <c r="AD1876" s="585">
        <v>29745</v>
      </c>
      <c r="AE1876" s="587">
        <v>7.1999999999999995E-2</v>
      </c>
      <c r="AF1876" s="661" t="str">
        <f t="shared" si="206"/>
        <v>2019-LTK-CHV-SV15-029-17</v>
      </c>
      <c r="AG1876" s="661" t="str">
        <f>IF(AND($Y1876&gt;=32,(AI1876="I"),(Y1876&lt;&gt;"~"),(COUNTIF($AN$1:$AN1876,$AN1876)=1)),"TRUE","FALSE")</f>
        <v>FALSE</v>
      </c>
      <c r="AH1876" s="661" t="str">
        <f>IF(AND($Y1876&gt;=22, (AI1876&lt;&gt;"I"),(Y1876&lt;&gt;"~"),(COUNTIF($AN$1:$AN1876,$AN1876)=1)),"TRUE","FALSE")</f>
        <v>FALSE</v>
      </c>
      <c r="AI1876" s="661" t="str">
        <f t="shared" si="201"/>
        <v>II</v>
      </c>
      <c r="AJ1876" s="662" t="str">
        <f t="shared" si="202"/>
        <v>SV15-029</v>
      </c>
      <c r="AK1876" s="662" t="str">
        <f t="shared" si="203"/>
        <v>LTK</v>
      </c>
      <c r="AL1876" s="662" t="str">
        <f t="shared" si="204"/>
        <v>CHV</v>
      </c>
      <c r="AM1876" s="662" t="str">
        <f t="shared" si="200"/>
        <v>Silverado 1500-WT Crew Cab-4WD-6-5'9"-12800-4.3L-6-CK15543-1WT-143.5-26-E85-Unleaded</v>
      </c>
      <c r="AN1876" s="662" t="str">
        <f t="shared" si="205"/>
        <v>2019-LTK-CHV-SV15-029</v>
      </c>
    </row>
    <row r="1877" spans="1:40" s="572" customFormat="1" ht="15">
      <c r="A1877" s="570" t="s">
        <v>3566</v>
      </c>
      <c r="B1877" s="573" t="s">
        <v>3564</v>
      </c>
      <c r="C1877" s="573" t="s">
        <v>166</v>
      </c>
      <c r="D1877" s="578">
        <v>17</v>
      </c>
      <c r="E1877" s="573" t="s">
        <v>3374</v>
      </c>
      <c r="F1877" s="573" t="s">
        <v>152</v>
      </c>
      <c r="G1877" s="573" t="s">
        <v>153</v>
      </c>
      <c r="H1877" s="573">
        <v>2019</v>
      </c>
      <c r="I1877" s="573" t="s">
        <v>3464</v>
      </c>
      <c r="J1877" s="573" t="s">
        <v>3410</v>
      </c>
      <c r="K1877" s="573" t="s">
        <v>752</v>
      </c>
      <c r="L1877" s="573">
        <v>6</v>
      </c>
      <c r="M1877" s="573">
        <v>0</v>
      </c>
      <c r="N1877" s="573" t="s">
        <v>157</v>
      </c>
      <c r="O1877" s="573">
        <v>2</v>
      </c>
      <c r="P1877" s="573" t="s">
        <v>3471</v>
      </c>
      <c r="Q1877" s="571">
        <v>12800</v>
      </c>
      <c r="R1877" s="573" t="s">
        <v>753</v>
      </c>
      <c r="S1877" s="573">
        <v>8</v>
      </c>
      <c r="T1877" s="573" t="s">
        <v>3497</v>
      </c>
      <c r="U1877" s="573" t="s">
        <v>1522</v>
      </c>
      <c r="V1877" s="573">
        <v>153</v>
      </c>
      <c r="W1877" s="573">
        <v>26</v>
      </c>
      <c r="X1877" s="571">
        <v>7200</v>
      </c>
      <c r="Y1877" s="573">
        <v>19</v>
      </c>
      <c r="Z1877" s="579" t="s">
        <v>450</v>
      </c>
      <c r="AA1877" s="579" t="s">
        <v>178</v>
      </c>
      <c r="AB1877" s="584">
        <v>39695</v>
      </c>
      <c r="AC1877" s="584" t="s">
        <v>164</v>
      </c>
      <c r="AD1877" s="584">
        <v>29998</v>
      </c>
      <c r="AE1877" s="586">
        <v>7.1999999999999995E-2</v>
      </c>
      <c r="AF1877" s="661" t="str">
        <f t="shared" si="206"/>
        <v>2019-LTK-CHV-SV15-030-17</v>
      </c>
      <c r="AG1877" s="661" t="str">
        <f>IF(AND($Y1877&gt;=32,(AI1877="I"),(Y1877&lt;&gt;"~"),(COUNTIF($AN$1:$AN1877,$AN1877)=1)),"TRUE","FALSE")</f>
        <v>FALSE</v>
      </c>
      <c r="AH1877" s="661" t="str">
        <f>IF(AND($Y1877&gt;=22, (AI1877&lt;&gt;"I"),(Y1877&lt;&gt;"~"),(COUNTIF($AN$1:$AN1877,$AN1877)=1)),"TRUE","FALSE")</f>
        <v>FALSE</v>
      </c>
      <c r="AI1877" s="661" t="str">
        <f t="shared" si="201"/>
        <v>II</v>
      </c>
      <c r="AJ1877" s="662" t="str">
        <f t="shared" si="202"/>
        <v>SV15-030</v>
      </c>
      <c r="AK1877" s="662" t="str">
        <f t="shared" si="203"/>
        <v>LTK</v>
      </c>
      <c r="AL1877" s="662" t="str">
        <f t="shared" si="204"/>
        <v>CHV</v>
      </c>
      <c r="AM1877" s="662" t="str">
        <f t="shared" si="200"/>
        <v>Silverado 1500-WT Crew Cab-4WD-6-6'6"-12800-5.3L-8-CK15743-1WT-153-26-E85-Unleaded</v>
      </c>
      <c r="AN1877" s="662" t="str">
        <f t="shared" si="205"/>
        <v>2019-LTK-CHV-SV15-030</v>
      </c>
    </row>
    <row r="1878" spans="1:40" s="572" customFormat="1" ht="15">
      <c r="A1878" s="570" t="s">
        <v>3567</v>
      </c>
      <c r="B1878" s="569" t="s">
        <v>3568</v>
      </c>
      <c r="C1878" s="569" t="s">
        <v>169</v>
      </c>
      <c r="D1878" s="580">
        <v>11</v>
      </c>
      <c r="E1878" s="569" t="s">
        <v>3374</v>
      </c>
      <c r="F1878" s="569" t="s">
        <v>152</v>
      </c>
      <c r="G1878" s="569" t="s">
        <v>153</v>
      </c>
      <c r="H1878" s="569">
        <v>2019</v>
      </c>
      <c r="I1878" s="569" t="s">
        <v>3464</v>
      </c>
      <c r="J1878" s="569" t="s">
        <v>3569</v>
      </c>
      <c r="K1878" s="569" t="s">
        <v>3377</v>
      </c>
      <c r="L1878" s="569">
        <v>6</v>
      </c>
      <c r="M1878" s="569">
        <v>0</v>
      </c>
      <c r="N1878" s="569" t="s">
        <v>157</v>
      </c>
      <c r="O1878" s="569">
        <v>2</v>
      </c>
      <c r="P1878" s="569" t="s">
        <v>3471</v>
      </c>
      <c r="Q1878" s="568">
        <v>9800</v>
      </c>
      <c r="R1878" s="569" t="s">
        <v>1526</v>
      </c>
      <c r="S1878" s="569">
        <v>6</v>
      </c>
      <c r="T1878" s="569" t="s">
        <v>3537</v>
      </c>
      <c r="U1878" s="569" t="s">
        <v>1522</v>
      </c>
      <c r="V1878" s="569">
        <v>147.44999999999999</v>
      </c>
      <c r="W1878" s="569">
        <v>24</v>
      </c>
      <c r="X1878" s="568">
        <v>6800</v>
      </c>
      <c r="Y1878" s="569">
        <v>20</v>
      </c>
      <c r="Z1878" s="581" t="s">
        <v>178</v>
      </c>
      <c r="AA1878" s="581" t="s">
        <v>178</v>
      </c>
      <c r="AB1878" s="585">
        <v>33695</v>
      </c>
      <c r="AC1878" s="585" t="s">
        <v>164</v>
      </c>
      <c r="AD1878" s="585">
        <v>23090.947368421057</v>
      </c>
      <c r="AE1878" s="587">
        <v>0.05</v>
      </c>
      <c r="AF1878" s="661" t="str">
        <f t="shared" si="206"/>
        <v>2019-LTK-CHV-SV15-051-11</v>
      </c>
      <c r="AG1878" s="661" t="str">
        <f>IF(AND($Y1878&gt;=32,(AI1878="I"),(Y1878&lt;&gt;"~"),(COUNTIF($AN$1:$AN1878,$AN1878)=1)),"TRUE","FALSE")</f>
        <v>FALSE</v>
      </c>
      <c r="AH1878" s="661" t="str">
        <f>IF(AND($Y1878&gt;=22, (AI1878&lt;&gt;"I"),(Y1878&lt;&gt;"~"),(COUNTIF($AN$1:$AN1878,$AN1878)=1)),"TRUE","FALSE")</f>
        <v>FALSE</v>
      </c>
      <c r="AI1878" s="661" t="str">
        <f t="shared" si="201"/>
        <v>II</v>
      </c>
      <c r="AJ1878" s="662" t="str">
        <f t="shared" si="202"/>
        <v>SV15-051</v>
      </c>
      <c r="AK1878" s="662" t="str">
        <f t="shared" si="203"/>
        <v>LTK</v>
      </c>
      <c r="AL1878" s="662" t="str">
        <f t="shared" si="204"/>
        <v>CHV</v>
      </c>
      <c r="AM1878" s="662" t="str">
        <f t="shared" si="200"/>
        <v>Silverado 1500-WT Double Cab-2WD-6-6'6"-9800-4.3L-6-CC10753-1WT-147.45-24-Unleaded-Unleaded</v>
      </c>
      <c r="AN1878" s="662" t="str">
        <f t="shared" si="205"/>
        <v>2019-LTK-CHV-SV15-051</v>
      </c>
    </row>
    <row r="1879" spans="1:40" s="572" customFormat="1" ht="15">
      <c r="A1879" s="570" t="s">
        <v>3570</v>
      </c>
      <c r="B1879" s="573" t="s">
        <v>3571</v>
      </c>
      <c r="C1879" s="573" t="s">
        <v>150</v>
      </c>
      <c r="D1879" s="578">
        <v>13</v>
      </c>
      <c r="E1879" s="573" t="s">
        <v>3374</v>
      </c>
      <c r="F1879" s="573" t="s">
        <v>152</v>
      </c>
      <c r="G1879" s="573" t="s">
        <v>153</v>
      </c>
      <c r="H1879" s="573">
        <v>2019</v>
      </c>
      <c r="I1879" s="573" t="s">
        <v>3464</v>
      </c>
      <c r="J1879" s="573" t="s">
        <v>3569</v>
      </c>
      <c r="K1879" s="573" t="s">
        <v>3377</v>
      </c>
      <c r="L1879" s="573">
        <v>6</v>
      </c>
      <c r="M1879" s="573">
        <v>0</v>
      </c>
      <c r="N1879" s="573" t="s">
        <v>157</v>
      </c>
      <c r="O1879" s="573">
        <v>2</v>
      </c>
      <c r="P1879" s="573" t="s">
        <v>3471</v>
      </c>
      <c r="Q1879" s="571">
        <v>11000</v>
      </c>
      <c r="R1879" s="573" t="s">
        <v>1526</v>
      </c>
      <c r="S1879" s="573">
        <v>6</v>
      </c>
      <c r="T1879" s="573" t="s">
        <v>3537</v>
      </c>
      <c r="U1879" s="573" t="s">
        <v>1522</v>
      </c>
      <c r="V1879" s="573">
        <v>143.5</v>
      </c>
      <c r="W1879" s="573">
        <v>26</v>
      </c>
      <c r="X1879" s="571">
        <v>6900</v>
      </c>
      <c r="Y1879" s="569">
        <v>20</v>
      </c>
      <c r="Z1879" s="579" t="s">
        <v>450</v>
      </c>
      <c r="AA1879" s="579" t="s">
        <v>178</v>
      </c>
      <c r="AB1879" s="584">
        <v>33695</v>
      </c>
      <c r="AC1879" s="584" t="s">
        <v>164</v>
      </c>
      <c r="AD1879" s="584">
        <v>26581</v>
      </c>
      <c r="AE1879" s="586">
        <v>0.03</v>
      </c>
      <c r="AF1879" s="661" t="str">
        <f t="shared" si="206"/>
        <v>2019-LTK-CHV-SV15-031-13</v>
      </c>
      <c r="AG1879" s="661" t="str">
        <f>IF(AND($Y1879&gt;=32,(AI1879="I"),(Y1879&lt;&gt;"~"),(COUNTIF($AN$1:$AN1879,$AN1879)=1)),"TRUE","FALSE")</f>
        <v>FALSE</v>
      </c>
      <c r="AH1879" s="661" t="str">
        <f>IF(AND($Y1879&gt;=22, (AI1879&lt;&gt;"I"),(Y1879&lt;&gt;"~"),(COUNTIF($AN$1:$AN1879,$AN1879)=1)),"TRUE","FALSE")</f>
        <v>FALSE</v>
      </c>
      <c r="AI1879" s="661" t="str">
        <f t="shared" si="201"/>
        <v>II</v>
      </c>
      <c r="AJ1879" s="662" t="str">
        <f t="shared" si="202"/>
        <v>SV15-031</v>
      </c>
      <c r="AK1879" s="662" t="str">
        <f t="shared" si="203"/>
        <v>LTK</v>
      </c>
      <c r="AL1879" s="662" t="str">
        <f t="shared" si="204"/>
        <v>CHV</v>
      </c>
      <c r="AM1879" s="662" t="str">
        <f t="shared" si="200"/>
        <v>Silverado 1500-WT Double Cab-2WD-6-6'6"-11000-4.3L-6-CC10753-1WT-143.5-26-E85-Unleaded</v>
      </c>
      <c r="AN1879" s="662" t="str">
        <f t="shared" si="205"/>
        <v>2019-LTK-CHV-SV15-031</v>
      </c>
    </row>
    <row r="1880" spans="1:40" s="572" customFormat="1" ht="15">
      <c r="A1880" s="570" t="s">
        <v>3572</v>
      </c>
      <c r="B1880" s="569" t="s">
        <v>3571</v>
      </c>
      <c r="C1880" s="569" t="s">
        <v>166</v>
      </c>
      <c r="D1880" s="580">
        <v>17</v>
      </c>
      <c r="E1880" s="569" t="s">
        <v>3374</v>
      </c>
      <c r="F1880" s="569" t="s">
        <v>152</v>
      </c>
      <c r="G1880" s="569" t="s">
        <v>153</v>
      </c>
      <c r="H1880" s="569">
        <v>2019</v>
      </c>
      <c r="I1880" s="569" t="s">
        <v>3464</v>
      </c>
      <c r="J1880" s="569" t="s">
        <v>3569</v>
      </c>
      <c r="K1880" s="569" t="s">
        <v>3377</v>
      </c>
      <c r="L1880" s="569">
        <v>6</v>
      </c>
      <c r="M1880" s="569">
        <v>0</v>
      </c>
      <c r="N1880" s="569" t="s">
        <v>157</v>
      </c>
      <c r="O1880" s="569">
        <v>2</v>
      </c>
      <c r="P1880" s="569" t="s">
        <v>3471</v>
      </c>
      <c r="Q1880" s="568">
        <v>11000</v>
      </c>
      <c r="R1880" s="569" t="s">
        <v>1526</v>
      </c>
      <c r="S1880" s="569">
        <v>6</v>
      </c>
      <c r="T1880" s="569" t="s">
        <v>3501</v>
      </c>
      <c r="U1880" s="569" t="s">
        <v>1522</v>
      </c>
      <c r="V1880" s="569">
        <v>143.5</v>
      </c>
      <c r="W1880" s="569">
        <v>26</v>
      </c>
      <c r="X1880" s="568">
        <v>6900</v>
      </c>
      <c r="Y1880" s="569">
        <v>20</v>
      </c>
      <c r="Z1880" s="581" t="s">
        <v>450</v>
      </c>
      <c r="AA1880" s="581" t="s">
        <v>178</v>
      </c>
      <c r="AB1880" s="585">
        <v>33695</v>
      </c>
      <c r="AC1880" s="585" t="s">
        <v>164</v>
      </c>
      <c r="AD1880" s="585">
        <v>24885</v>
      </c>
      <c r="AE1880" s="587">
        <v>7.1999999999999995E-2</v>
      </c>
      <c r="AF1880" s="661" t="str">
        <f t="shared" si="206"/>
        <v>2019-LTK-CHV-SV15-031-17</v>
      </c>
      <c r="AG1880" s="661" t="str">
        <f>IF(AND($Y1880&gt;=32,(AI1880="I"),(Y1880&lt;&gt;"~"),(COUNTIF($AN$1:$AN1880,$AN1880)=1)),"TRUE","FALSE")</f>
        <v>FALSE</v>
      </c>
      <c r="AH1880" s="661" t="str">
        <f>IF(AND($Y1880&gt;=22, (AI1880&lt;&gt;"I"),(Y1880&lt;&gt;"~"),(COUNTIF($AN$1:$AN1880,$AN1880)=1)),"TRUE","FALSE")</f>
        <v>FALSE</v>
      </c>
      <c r="AI1880" s="661" t="str">
        <f t="shared" si="201"/>
        <v>II</v>
      </c>
      <c r="AJ1880" s="662" t="str">
        <f t="shared" si="202"/>
        <v>SV15-031</v>
      </c>
      <c r="AK1880" s="662" t="str">
        <f t="shared" si="203"/>
        <v>LTK</v>
      </c>
      <c r="AL1880" s="662" t="str">
        <f t="shared" si="204"/>
        <v>CHV</v>
      </c>
      <c r="AM1880" s="662" t="str">
        <f t="shared" si="200"/>
        <v>Silverado 1500-WT Double Cab-2WD-6-6'6"-11000-4.3L-6-CC15753-1WT-143.5-26-E85-Unleaded</v>
      </c>
      <c r="AN1880" s="662" t="str">
        <f t="shared" si="205"/>
        <v>2019-LTK-CHV-SV15-031</v>
      </c>
    </row>
    <row r="1881" spans="1:40" s="572" customFormat="1" ht="15">
      <c r="A1881" s="570" t="s">
        <v>3572</v>
      </c>
      <c r="B1881" s="573" t="s">
        <v>3571</v>
      </c>
      <c r="C1881" s="573" t="s">
        <v>166</v>
      </c>
      <c r="D1881" s="578">
        <v>17</v>
      </c>
      <c r="E1881" s="573" t="s">
        <v>3374</v>
      </c>
      <c r="F1881" s="573" t="s">
        <v>152</v>
      </c>
      <c r="G1881" s="573" t="s">
        <v>153</v>
      </c>
      <c r="H1881" s="573">
        <v>2019</v>
      </c>
      <c r="I1881" s="573" t="s">
        <v>3464</v>
      </c>
      <c r="J1881" s="573" t="s">
        <v>3569</v>
      </c>
      <c r="K1881" s="573" t="s">
        <v>3377</v>
      </c>
      <c r="L1881" s="573">
        <v>6</v>
      </c>
      <c r="M1881" s="573">
        <v>0</v>
      </c>
      <c r="N1881" s="573" t="s">
        <v>157</v>
      </c>
      <c r="O1881" s="573">
        <v>2</v>
      </c>
      <c r="P1881" s="573" t="s">
        <v>3471</v>
      </c>
      <c r="Q1881" s="571">
        <v>11000</v>
      </c>
      <c r="R1881" s="573" t="s">
        <v>1526</v>
      </c>
      <c r="S1881" s="573">
        <v>6</v>
      </c>
      <c r="T1881" s="573" t="s">
        <v>3501</v>
      </c>
      <c r="U1881" s="573" t="s">
        <v>1522</v>
      </c>
      <c r="V1881" s="573">
        <v>143.5</v>
      </c>
      <c r="W1881" s="573">
        <v>26</v>
      </c>
      <c r="X1881" s="571">
        <v>7100</v>
      </c>
      <c r="Y1881" s="569">
        <v>20</v>
      </c>
      <c r="Z1881" s="579" t="s">
        <v>450</v>
      </c>
      <c r="AA1881" s="579" t="s">
        <v>178</v>
      </c>
      <c r="AB1881" s="584">
        <v>33695</v>
      </c>
      <c r="AC1881" s="584" t="s">
        <v>164</v>
      </c>
      <c r="AD1881" s="584">
        <v>24885</v>
      </c>
      <c r="AE1881" s="586">
        <v>7.1999999999999995E-2</v>
      </c>
      <c r="AF1881" s="661" t="str">
        <f t="shared" si="206"/>
        <v>2019-LTK-CHV-SV15-031-17</v>
      </c>
      <c r="AG1881" s="661" t="str">
        <f>IF(AND($Y1881&gt;=32,(AI1881="I"),(Y1881&lt;&gt;"~"),(COUNTIF($AN$1:$AN1881,$AN1881)=1)),"TRUE","FALSE")</f>
        <v>FALSE</v>
      </c>
      <c r="AH1881" s="661" t="str">
        <f>IF(AND($Y1881&gt;=22, (AI1881&lt;&gt;"I"),(Y1881&lt;&gt;"~"),(COUNTIF($AN$1:$AN1881,$AN1881)=1)),"TRUE","FALSE")</f>
        <v>FALSE</v>
      </c>
      <c r="AI1881" s="661" t="str">
        <f t="shared" si="201"/>
        <v>II</v>
      </c>
      <c r="AJ1881" s="662" t="str">
        <f t="shared" si="202"/>
        <v>SV15-031</v>
      </c>
      <c r="AK1881" s="662" t="str">
        <f t="shared" si="203"/>
        <v>LTK</v>
      </c>
      <c r="AL1881" s="662" t="str">
        <f t="shared" si="204"/>
        <v>CHV</v>
      </c>
      <c r="AM1881" s="662" t="str">
        <f t="shared" si="200"/>
        <v>Silverado 1500-WT Double Cab-2WD-6-6'6"-11000-4.3L-6-CC15753-1WT-143.5-26-E85-Unleaded</v>
      </c>
      <c r="AN1881" s="662" t="str">
        <f t="shared" si="205"/>
        <v>2019-LTK-CHV-SV15-031</v>
      </c>
    </row>
    <row r="1882" spans="1:40" s="572" customFormat="1" ht="15">
      <c r="A1882" s="570" t="s">
        <v>3573</v>
      </c>
      <c r="B1882" s="569" t="s">
        <v>3574</v>
      </c>
      <c r="C1882" s="569" t="s">
        <v>169</v>
      </c>
      <c r="D1882" s="580">
        <v>11</v>
      </c>
      <c r="E1882" s="569" t="s">
        <v>3374</v>
      </c>
      <c r="F1882" s="569" t="s">
        <v>152</v>
      </c>
      <c r="G1882" s="569" t="s">
        <v>153</v>
      </c>
      <c r="H1882" s="569">
        <v>2019</v>
      </c>
      <c r="I1882" s="569" t="s">
        <v>3464</v>
      </c>
      <c r="J1882" s="569" t="s">
        <v>3569</v>
      </c>
      <c r="K1882" s="569" t="s">
        <v>752</v>
      </c>
      <c r="L1882" s="569">
        <v>6</v>
      </c>
      <c r="M1882" s="569">
        <v>0</v>
      </c>
      <c r="N1882" s="569" t="s">
        <v>157</v>
      </c>
      <c r="O1882" s="569">
        <v>2</v>
      </c>
      <c r="P1882" s="569" t="s">
        <v>3471</v>
      </c>
      <c r="Q1882" s="568">
        <v>9600</v>
      </c>
      <c r="R1882" s="569" t="s">
        <v>1526</v>
      </c>
      <c r="S1882" s="569">
        <v>6</v>
      </c>
      <c r="T1882" s="569" t="s">
        <v>3482</v>
      </c>
      <c r="U1882" s="569" t="s">
        <v>1522</v>
      </c>
      <c r="V1882" s="569">
        <v>147.44999999999999</v>
      </c>
      <c r="W1882" s="569">
        <v>24</v>
      </c>
      <c r="X1882" s="568">
        <v>7000</v>
      </c>
      <c r="Y1882" s="569">
        <v>19</v>
      </c>
      <c r="Z1882" s="581" t="s">
        <v>178</v>
      </c>
      <c r="AA1882" s="581" t="s">
        <v>178</v>
      </c>
      <c r="AB1882" s="585">
        <v>36995</v>
      </c>
      <c r="AC1882" s="585" t="s">
        <v>164</v>
      </c>
      <c r="AD1882" s="585">
        <v>25468.947368421053</v>
      </c>
      <c r="AE1882" s="587">
        <v>0.05</v>
      </c>
      <c r="AF1882" s="661" t="str">
        <f t="shared" si="206"/>
        <v>2019-LTK-CHV-SV15-052-11</v>
      </c>
      <c r="AG1882" s="661" t="str">
        <f>IF(AND($Y1882&gt;=32,(AI1882="I"),(Y1882&lt;&gt;"~"),(COUNTIF($AN$1:$AN1882,$AN1882)=1)),"TRUE","FALSE")</f>
        <v>FALSE</v>
      </c>
      <c r="AH1882" s="661" t="str">
        <f>IF(AND($Y1882&gt;=22, (AI1882&lt;&gt;"I"),(Y1882&lt;&gt;"~"),(COUNTIF($AN$1:$AN1882,$AN1882)=1)),"TRUE","FALSE")</f>
        <v>FALSE</v>
      </c>
      <c r="AI1882" s="661" t="str">
        <f t="shared" si="201"/>
        <v>II</v>
      </c>
      <c r="AJ1882" s="662" t="str">
        <f t="shared" si="202"/>
        <v>SV15-052</v>
      </c>
      <c r="AK1882" s="662" t="str">
        <f t="shared" si="203"/>
        <v>LTK</v>
      </c>
      <c r="AL1882" s="662" t="str">
        <f t="shared" si="204"/>
        <v>CHV</v>
      </c>
      <c r="AM1882" s="662" t="str">
        <f t="shared" si="200"/>
        <v>Silverado 1500-WT Double Cab-4WD-6-6'6"-9600-4.3L-6-CK10753-1WT-147.45-24-Unleaded-Unleaded</v>
      </c>
      <c r="AN1882" s="662" t="str">
        <f t="shared" si="205"/>
        <v>2019-LTK-CHV-SV15-052</v>
      </c>
    </row>
    <row r="1883" spans="1:40" s="572" customFormat="1" ht="15">
      <c r="A1883" s="570" t="s">
        <v>3575</v>
      </c>
      <c r="B1883" s="573" t="s">
        <v>3576</v>
      </c>
      <c r="C1883" s="573" t="s">
        <v>150</v>
      </c>
      <c r="D1883" s="578">
        <v>13</v>
      </c>
      <c r="E1883" s="573" t="s">
        <v>3374</v>
      </c>
      <c r="F1883" s="573" t="s">
        <v>152</v>
      </c>
      <c r="G1883" s="573" t="s">
        <v>153</v>
      </c>
      <c r="H1883" s="573">
        <v>2019</v>
      </c>
      <c r="I1883" s="573" t="s">
        <v>3464</v>
      </c>
      <c r="J1883" s="573" t="s">
        <v>3569</v>
      </c>
      <c r="K1883" s="573" t="s">
        <v>752</v>
      </c>
      <c r="L1883" s="573">
        <v>6</v>
      </c>
      <c r="M1883" s="573">
        <v>0</v>
      </c>
      <c r="N1883" s="573" t="s">
        <v>157</v>
      </c>
      <c r="O1883" s="573">
        <v>2</v>
      </c>
      <c r="P1883" s="573" t="s">
        <v>3471</v>
      </c>
      <c r="Q1883" s="571">
        <v>12800</v>
      </c>
      <c r="R1883" s="573" t="s">
        <v>1526</v>
      </c>
      <c r="S1883" s="573">
        <v>6</v>
      </c>
      <c r="T1883" s="573" t="s">
        <v>3482</v>
      </c>
      <c r="U1883" s="573" t="s">
        <v>1522</v>
      </c>
      <c r="V1883" s="573">
        <v>143.5</v>
      </c>
      <c r="W1883" s="573">
        <v>26</v>
      </c>
      <c r="X1883" s="571">
        <v>7100</v>
      </c>
      <c r="Y1883" s="569">
        <v>19</v>
      </c>
      <c r="Z1883" s="579" t="s">
        <v>450</v>
      </c>
      <c r="AA1883" s="579" t="s">
        <v>178</v>
      </c>
      <c r="AB1883" s="584">
        <v>36995</v>
      </c>
      <c r="AC1883" s="584" t="s">
        <v>164</v>
      </c>
      <c r="AD1883" s="584">
        <v>29463</v>
      </c>
      <c r="AE1883" s="586">
        <v>0.03</v>
      </c>
      <c r="AF1883" s="661" t="str">
        <f t="shared" si="206"/>
        <v>2019-LTK-CHV-SV15-032-13</v>
      </c>
      <c r="AG1883" s="661" t="str">
        <f>IF(AND($Y1883&gt;=32,(AI1883="I"),(Y1883&lt;&gt;"~"),(COUNTIF($AN$1:$AN1883,$AN1883)=1)),"TRUE","FALSE")</f>
        <v>FALSE</v>
      </c>
      <c r="AH1883" s="661" t="str">
        <f>IF(AND($Y1883&gt;=22, (AI1883&lt;&gt;"I"),(Y1883&lt;&gt;"~"),(COUNTIF($AN$1:$AN1883,$AN1883)=1)),"TRUE","FALSE")</f>
        <v>FALSE</v>
      </c>
      <c r="AI1883" s="661" t="str">
        <f t="shared" si="201"/>
        <v>II</v>
      </c>
      <c r="AJ1883" s="662" t="str">
        <f t="shared" si="202"/>
        <v>SV15-032</v>
      </c>
      <c r="AK1883" s="662" t="str">
        <f t="shared" si="203"/>
        <v>LTK</v>
      </c>
      <c r="AL1883" s="662" t="str">
        <f t="shared" si="204"/>
        <v>CHV</v>
      </c>
      <c r="AM1883" s="662" t="str">
        <f t="shared" ref="AM1883:AM1946" si="207">CONCATENATE(I1883,"-",J1883,"-",K1883,"-",L1883,"-",P1883,"-",Q1883,"-",R1883,"-",S1883,"-",T1883,"-",U1883,"-",V1883,"-",W1883,"-",Z1883,"-",AA1883)</f>
        <v>Silverado 1500-WT Double Cab-4WD-6-6'6"-12800-4.3L-6-CK10753-1WT-143.5-26-E85-Unleaded</v>
      </c>
      <c r="AN1883" s="662" t="str">
        <f t="shared" si="205"/>
        <v>2019-LTK-CHV-SV15-032</v>
      </c>
    </row>
    <row r="1884" spans="1:40" s="572" customFormat="1" ht="15">
      <c r="A1884" s="570" t="s">
        <v>3577</v>
      </c>
      <c r="B1884" s="569" t="s">
        <v>3576</v>
      </c>
      <c r="C1884" s="569" t="s">
        <v>166</v>
      </c>
      <c r="D1884" s="580">
        <v>17</v>
      </c>
      <c r="E1884" s="569" t="s">
        <v>3374</v>
      </c>
      <c r="F1884" s="569" t="s">
        <v>152</v>
      </c>
      <c r="G1884" s="569" t="s">
        <v>153</v>
      </c>
      <c r="H1884" s="569">
        <v>2019</v>
      </c>
      <c r="I1884" s="569" t="s">
        <v>3464</v>
      </c>
      <c r="J1884" s="569" t="s">
        <v>3569</v>
      </c>
      <c r="K1884" s="569" t="s">
        <v>752</v>
      </c>
      <c r="L1884" s="569">
        <v>6</v>
      </c>
      <c r="M1884" s="569">
        <v>0</v>
      </c>
      <c r="N1884" s="569" t="s">
        <v>157</v>
      </c>
      <c r="O1884" s="569">
        <v>2</v>
      </c>
      <c r="P1884" s="569" t="s">
        <v>3471</v>
      </c>
      <c r="Q1884" s="568">
        <v>12800</v>
      </c>
      <c r="R1884" s="569" t="s">
        <v>1526</v>
      </c>
      <c r="S1884" s="569">
        <v>6</v>
      </c>
      <c r="T1884" s="569" t="s">
        <v>3504</v>
      </c>
      <c r="U1884" s="569" t="s">
        <v>1522</v>
      </c>
      <c r="V1884" s="569">
        <v>143.5</v>
      </c>
      <c r="W1884" s="569">
        <v>26</v>
      </c>
      <c r="X1884" s="568">
        <v>7100</v>
      </c>
      <c r="Y1884" s="569">
        <v>19</v>
      </c>
      <c r="Z1884" s="581" t="s">
        <v>450</v>
      </c>
      <c r="AA1884" s="581" t="s">
        <v>178</v>
      </c>
      <c r="AB1884" s="585">
        <v>36995</v>
      </c>
      <c r="AC1884" s="585" t="s">
        <v>164</v>
      </c>
      <c r="AD1884" s="585">
        <v>27468</v>
      </c>
      <c r="AE1884" s="587">
        <v>7.1999999999999995E-2</v>
      </c>
      <c r="AF1884" s="661" t="str">
        <f t="shared" si="206"/>
        <v>2019-LTK-CHV-SV15-032-17</v>
      </c>
      <c r="AG1884" s="661" t="str">
        <f>IF(AND($Y1884&gt;=32,(AI1884="I"),(Y1884&lt;&gt;"~"),(COUNTIF($AN$1:$AN1884,$AN1884)=1)),"TRUE","FALSE")</f>
        <v>FALSE</v>
      </c>
      <c r="AH1884" s="661" t="str">
        <f>IF(AND($Y1884&gt;=22, (AI1884&lt;&gt;"I"),(Y1884&lt;&gt;"~"),(COUNTIF($AN$1:$AN1884,$AN1884)=1)),"TRUE","FALSE")</f>
        <v>FALSE</v>
      </c>
      <c r="AI1884" s="661" t="str">
        <f t="shared" ref="AI1884:AI1947" si="208">IF(OR((LEFT($E1884,2)="01"),AND(LEFT($E1884,2)="06",ISNUMBER(SEARCH("pas",$F1884))),AND(LEFT($E1884,2)="05",ISNUMBER(SEARCH("pas",$F1884)))),"I",IF(AND((LEFT($E1884,2)&lt;&gt;"01"),$X1884&lt;=10000),"II",IF(AND((LEFT($E1884,2)&lt;&gt;"01"),$X1884&gt;10000),"N/A")))</f>
        <v>II</v>
      </c>
      <c r="AJ1884" s="662" t="str">
        <f t="shared" si="202"/>
        <v>SV15-032</v>
      </c>
      <c r="AK1884" s="662" t="str">
        <f t="shared" si="203"/>
        <v>LTK</v>
      </c>
      <c r="AL1884" s="662" t="str">
        <f t="shared" si="204"/>
        <v>CHV</v>
      </c>
      <c r="AM1884" s="662" t="str">
        <f t="shared" si="207"/>
        <v>Silverado 1500-WT Double Cab-4WD-6-6'6"-12800-4.3L-6-CK15753-1WT-143.5-26-E85-Unleaded</v>
      </c>
      <c r="AN1884" s="662" t="str">
        <f t="shared" si="205"/>
        <v>2019-LTK-CHV-SV15-032</v>
      </c>
    </row>
    <row r="1885" spans="1:40" s="572" customFormat="1" ht="15">
      <c r="A1885" s="570" t="s">
        <v>3577</v>
      </c>
      <c r="B1885" s="573" t="s">
        <v>3576</v>
      </c>
      <c r="C1885" s="573" t="s">
        <v>166</v>
      </c>
      <c r="D1885" s="578">
        <v>17</v>
      </c>
      <c r="E1885" s="573" t="s">
        <v>3374</v>
      </c>
      <c r="F1885" s="573" t="s">
        <v>152</v>
      </c>
      <c r="G1885" s="573" t="s">
        <v>153</v>
      </c>
      <c r="H1885" s="573">
        <v>2019</v>
      </c>
      <c r="I1885" s="573" t="s">
        <v>3464</v>
      </c>
      <c r="J1885" s="573" t="s">
        <v>3569</v>
      </c>
      <c r="K1885" s="573" t="s">
        <v>752</v>
      </c>
      <c r="L1885" s="573">
        <v>6</v>
      </c>
      <c r="M1885" s="573">
        <v>0</v>
      </c>
      <c r="N1885" s="573" t="s">
        <v>157</v>
      </c>
      <c r="O1885" s="573">
        <v>2</v>
      </c>
      <c r="P1885" s="573" t="s">
        <v>3471</v>
      </c>
      <c r="Q1885" s="571">
        <v>12800</v>
      </c>
      <c r="R1885" s="573" t="s">
        <v>1526</v>
      </c>
      <c r="S1885" s="573">
        <v>6</v>
      </c>
      <c r="T1885" s="573" t="s">
        <v>3504</v>
      </c>
      <c r="U1885" s="573" t="s">
        <v>1522</v>
      </c>
      <c r="V1885" s="573">
        <v>143.5</v>
      </c>
      <c r="W1885" s="573">
        <v>26</v>
      </c>
      <c r="X1885" s="571">
        <v>7200</v>
      </c>
      <c r="Y1885" s="569">
        <v>19</v>
      </c>
      <c r="Z1885" s="579" t="s">
        <v>450</v>
      </c>
      <c r="AA1885" s="579" t="s">
        <v>178</v>
      </c>
      <c r="AB1885" s="584">
        <v>36995</v>
      </c>
      <c r="AC1885" s="584" t="s">
        <v>164</v>
      </c>
      <c r="AD1885" s="584">
        <v>27468</v>
      </c>
      <c r="AE1885" s="586">
        <v>7.1999999999999995E-2</v>
      </c>
      <c r="AF1885" s="661" t="str">
        <f t="shared" si="206"/>
        <v>2019-LTK-CHV-SV15-032-17</v>
      </c>
      <c r="AG1885" s="661" t="str">
        <f>IF(AND($Y1885&gt;=32,(AI1885="I"),(Y1885&lt;&gt;"~"),(COUNTIF($AN$1:$AN1885,$AN1885)=1)),"TRUE","FALSE")</f>
        <v>FALSE</v>
      </c>
      <c r="AH1885" s="661" t="str">
        <f>IF(AND($Y1885&gt;=22, (AI1885&lt;&gt;"I"),(Y1885&lt;&gt;"~"),(COUNTIF($AN$1:$AN1885,$AN1885)=1)),"TRUE","FALSE")</f>
        <v>FALSE</v>
      </c>
      <c r="AI1885" s="661" t="str">
        <f t="shared" si="208"/>
        <v>II</v>
      </c>
      <c r="AJ1885" s="662" t="str">
        <f t="shared" si="202"/>
        <v>SV15-032</v>
      </c>
      <c r="AK1885" s="662" t="str">
        <f t="shared" si="203"/>
        <v>LTK</v>
      </c>
      <c r="AL1885" s="662" t="str">
        <f t="shared" si="204"/>
        <v>CHV</v>
      </c>
      <c r="AM1885" s="662" t="str">
        <f t="shared" si="207"/>
        <v>Silverado 1500-WT Double Cab-4WD-6-6'6"-12800-4.3L-6-CK15753-1WT-143.5-26-E85-Unleaded</v>
      </c>
      <c r="AN1885" s="662" t="str">
        <f t="shared" si="205"/>
        <v>2019-LTK-CHV-SV15-032</v>
      </c>
    </row>
    <row r="1886" spans="1:40" s="572" customFormat="1" ht="15">
      <c r="A1886" s="570" t="s">
        <v>3578</v>
      </c>
      <c r="B1886" s="569" t="s">
        <v>3579</v>
      </c>
      <c r="C1886" s="569" t="s">
        <v>169</v>
      </c>
      <c r="D1886" s="580">
        <v>11</v>
      </c>
      <c r="E1886" s="569" t="s">
        <v>3374</v>
      </c>
      <c r="F1886" s="569" t="s">
        <v>152</v>
      </c>
      <c r="G1886" s="569" t="s">
        <v>153</v>
      </c>
      <c r="H1886" s="569">
        <v>2019</v>
      </c>
      <c r="I1886" s="569" t="s">
        <v>3464</v>
      </c>
      <c r="J1886" s="569" t="s">
        <v>3580</v>
      </c>
      <c r="K1886" s="569" t="s">
        <v>3377</v>
      </c>
      <c r="L1886" s="569">
        <v>3</v>
      </c>
      <c r="M1886" s="569">
        <v>0</v>
      </c>
      <c r="N1886" s="569" t="s">
        <v>157</v>
      </c>
      <c r="O1886" s="569">
        <v>1</v>
      </c>
      <c r="P1886" s="569" t="s">
        <v>3508</v>
      </c>
      <c r="Q1886" s="568">
        <v>10100</v>
      </c>
      <c r="R1886" s="569" t="s">
        <v>1526</v>
      </c>
      <c r="S1886" s="569">
        <v>6</v>
      </c>
      <c r="T1886" s="569" t="s">
        <v>3581</v>
      </c>
      <c r="U1886" s="569" t="s">
        <v>1522</v>
      </c>
      <c r="V1886" s="569">
        <v>139.56</v>
      </c>
      <c r="W1886" s="569">
        <v>28</v>
      </c>
      <c r="X1886" s="568">
        <v>6800</v>
      </c>
      <c r="Y1886" s="569">
        <v>20</v>
      </c>
      <c r="Z1886" s="581" t="s">
        <v>178</v>
      </c>
      <c r="AA1886" s="581" t="s">
        <v>178</v>
      </c>
      <c r="AB1886" s="585">
        <v>29795</v>
      </c>
      <c r="AC1886" s="585" t="s">
        <v>164</v>
      </c>
      <c r="AD1886" s="585">
        <v>21390.631578947367</v>
      </c>
      <c r="AE1886" s="587">
        <v>0.05</v>
      </c>
      <c r="AF1886" s="661" t="str">
        <f t="shared" si="206"/>
        <v>2019-LTK-CHV-SV15-053-11</v>
      </c>
      <c r="AG1886" s="661" t="str">
        <f>IF(AND($Y1886&gt;=32,(AI1886="I"),(Y1886&lt;&gt;"~"),(COUNTIF($AN$1:$AN1886,$AN1886)=1)),"TRUE","FALSE")</f>
        <v>FALSE</v>
      </c>
      <c r="AH1886" s="661" t="str">
        <f>IF(AND($Y1886&gt;=22, (AI1886&lt;&gt;"I"),(Y1886&lt;&gt;"~"),(COUNTIF($AN$1:$AN1886,$AN1886)=1)),"TRUE","FALSE")</f>
        <v>FALSE</v>
      </c>
      <c r="AI1886" s="661" t="str">
        <f t="shared" si="208"/>
        <v>II</v>
      </c>
      <c r="AJ1886" s="662" t="str">
        <f t="shared" si="202"/>
        <v>SV15-053</v>
      </c>
      <c r="AK1886" s="662" t="str">
        <f t="shared" si="203"/>
        <v>LTK</v>
      </c>
      <c r="AL1886" s="662" t="str">
        <f t="shared" si="204"/>
        <v>CHV</v>
      </c>
      <c r="AM1886" s="662" t="str">
        <f t="shared" si="207"/>
        <v>Silverado 1500-WT Regular Cab-2WD-3-8'1"-10100-4.3L-6-CC10903-1WT-139.56-28-Unleaded-Unleaded</v>
      </c>
      <c r="AN1886" s="662" t="str">
        <f t="shared" si="205"/>
        <v>2019-LTK-CHV-SV15-053</v>
      </c>
    </row>
    <row r="1887" spans="1:40" s="572" customFormat="1" ht="15">
      <c r="A1887" s="570" t="s">
        <v>3582</v>
      </c>
      <c r="B1887" s="573" t="s">
        <v>3583</v>
      </c>
      <c r="C1887" s="573" t="s">
        <v>150</v>
      </c>
      <c r="D1887" s="578">
        <v>13</v>
      </c>
      <c r="E1887" s="573" t="s">
        <v>3374</v>
      </c>
      <c r="F1887" s="573" t="s">
        <v>152</v>
      </c>
      <c r="G1887" s="573" t="s">
        <v>153</v>
      </c>
      <c r="H1887" s="573">
        <v>2019</v>
      </c>
      <c r="I1887" s="573" t="s">
        <v>3464</v>
      </c>
      <c r="J1887" s="573" t="s">
        <v>3580</v>
      </c>
      <c r="K1887" s="573" t="s">
        <v>3377</v>
      </c>
      <c r="L1887" s="573">
        <v>3</v>
      </c>
      <c r="M1887" s="573">
        <v>0</v>
      </c>
      <c r="N1887" s="573" t="s">
        <v>157</v>
      </c>
      <c r="O1887" s="573">
        <v>1</v>
      </c>
      <c r="P1887" s="573" t="s">
        <v>3508</v>
      </c>
      <c r="Q1887" s="571">
        <v>11000</v>
      </c>
      <c r="R1887" s="573" t="s">
        <v>1526</v>
      </c>
      <c r="S1887" s="573">
        <v>6</v>
      </c>
      <c r="T1887" s="573" t="s">
        <v>3581</v>
      </c>
      <c r="U1887" s="573" t="s">
        <v>1522</v>
      </c>
      <c r="V1887" s="573">
        <v>133</v>
      </c>
      <c r="W1887" s="573">
        <v>34</v>
      </c>
      <c r="X1887" s="571">
        <v>6700</v>
      </c>
      <c r="Y1887" s="569">
        <v>20</v>
      </c>
      <c r="Z1887" s="579" t="s">
        <v>450</v>
      </c>
      <c r="AA1887" s="579" t="s">
        <v>178</v>
      </c>
      <c r="AB1887" s="584">
        <v>29795</v>
      </c>
      <c r="AC1887" s="584" t="s">
        <v>164</v>
      </c>
      <c r="AD1887" s="584">
        <v>25119</v>
      </c>
      <c r="AE1887" s="586">
        <v>0.03</v>
      </c>
      <c r="AF1887" s="661" t="str">
        <f t="shared" si="206"/>
        <v>2019-LTK-CHV-SV15-033-13</v>
      </c>
      <c r="AG1887" s="661" t="str">
        <f>IF(AND($Y1887&gt;=32,(AI1887="I"),(Y1887&lt;&gt;"~"),(COUNTIF($AN$1:$AN1887,$AN1887)=1)),"TRUE","FALSE")</f>
        <v>FALSE</v>
      </c>
      <c r="AH1887" s="661" t="str">
        <f>IF(AND($Y1887&gt;=22, (AI1887&lt;&gt;"I"),(Y1887&lt;&gt;"~"),(COUNTIF($AN$1:$AN1887,$AN1887)=1)),"TRUE","FALSE")</f>
        <v>FALSE</v>
      </c>
      <c r="AI1887" s="661" t="str">
        <f t="shared" si="208"/>
        <v>II</v>
      </c>
      <c r="AJ1887" s="662" t="str">
        <f t="shared" si="202"/>
        <v>SV15-033</v>
      </c>
      <c r="AK1887" s="662" t="str">
        <f t="shared" si="203"/>
        <v>LTK</v>
      </c>
      <c r="AL1887" s="662" t="str">
        <f t="shared" si="204"/>
        <v>CHV</v>
      </c>
      <c r="AM1887" s="662" t="str">
        <f t="shared" si="207"/>
        <v>Silverado 1500-WT Regular Cab-2WD-3-8'1"-11000-4.3L-6-CC10903-1WT-133-34-E85-Unleaded</v>
      </c>
      <c r="AN1887" s="662" t="str">
        <f t="shared" si="205"/>
        <v>2019-LTK-CHV-SV15-033</v>
      </c>
    </row>
    <row r="1888" spans="1:40" s="572" customFormat="1" ht="15">
      <c r="A1888" s="570" t="s">
        <v>3584</v>
      </c>
      <c r="B1888" s="569" t="s">
        <v>3583</v>
      </c>
      <c r="C1888" s="569" t="s">
        <v>166</v>
      </c>
      <c r="D1888" s="580">
        <v>17</v>
      </c>
      <c r="E1888" s="569" t="s">
        <v>3374</v>
      </c>
      <c r="F1888" s="569" t="s">
        <v>152</v>
      </c>
      <c r="G1888" s="569" t="s">
        <v>153</v>
      </c>
      <c r="H1888" s="569">
        <v>2019</v>
      </c>
      <c r="I1888" s="569" t="s">
        <v>3464</v>
      </c>
      <c r="J1888" s="569" t="s">
        <v>3580</v>
      </c>
      <c r="K1888" s="569" t="s">
        <v>3377</v>
      </c>
      <c r="L1888" s="569">
        <v>3</v>
      </c>
      <c r="M1888" s="569">
        <v>0</v>
      </c>
      <c r="N1888" s="569" t="s">
        <v>157</v>
      </c>
      <c r="O1888" s="569">
        <v>1</v>
      </c>
      <c r="P1888" s="569" t="s">
        <v>3508</v>
      </c>
      <c r="Q1888" s="568">
        <v>11000</v>
      </c>
      <c r="R1888" s="569" t="s">
        <v>1526</v>
      </c>
      <c r="S1888" s="569">
        <v>6</v>
      </c>
      <c r="T1888" s="569" t="s">
        <v>3509</v>
      </c>
      <c r="U1888" s="569" t="s">
        <v>1522</v>
      </c>
      <c r="V1888" s="569">
        <v>133</v>
      </c>
      <c r="W1888" s="569">
        <v>34</v>
      </c>
      <c r="X1888" s="568">
        <v>6700</v>
      </c>
      <c r="Y1888" s="569">
        <v>20</v>
      </c>
      <c r="Z1888" s="581" t="s">
        <v>450</v>
      </c>
      <c r="AA1888" s="581" t="s">
        <v>178</v>
      </c>
      <c r="AB1888" s="585">
        <v>29795</v>
      </c>
      <c r="AC1888" s="585" t="s">
        <v>164</v>
      </c>
      <c r="AD1888" s="585">
        <v>22788</v>
      </c>
      <c r="AE1888" s="587">
        <v>7.1999999999999995E-2</v>
      </c>
      <c r="AF1888" s="661" t="str">
        <f t="shared" si="206"/>
        <v>2019-LTK-CHV-SV15-033-17</v>
      </c>
      <c r="AG1888" s="661" t="str">
        <f>IF(AND($Y1888&gt;=32,(AI1888="I"),(Y1888&lt;&gt;"~"),(COUNTIF($AN$1:$AN1888,$AN1888)=1)),"TRUE","FALSE")</f>
        <v>FALSE</v>
      </c>
      <c r="AH1888" s="661" t="str">
        <f>IF(AND($Y1888&gt;=22, (AI1888&lt;&gt;"I"),(Y1888&lt;&gt;"~"),(COUNTIF($AN$1:$AN1888,$AN1888)=1)),"TRUE","FALSE")</f>
        <v>FALSE</v>
      </c>
      <c r="AI1888" s="661" t="str">
        <f t="shared" si="208"/>
        <v>II</v>
      </c>
      <c r="AJ1888" s="662" t="str">
        <f t="shared" si="202"/>
        <v>SV15-033</v>
      </c>
      <c r="AK1888" s="662" t="str">
        <f t="shared" si="203"/>
        <v>LTK</v>
      </c>
      <c r="AL1888" s="662" t="str">
        <f t="shared" si="204"/>
        <v>CHV</v>
      </c>
      <c r="AM1888" s="662" t="str">
        <f t="shared" si="207"/>
        <v>Silverado 1500-WT Regular Cab-2WD-3-8'1"-11000-4.3L-6-CC15903-1WT-133-34-E85-Unleaded</v>
      </c>
      <c r="AN1888" s="662" t="str">
        <f t="shared" si="205"/>
        <v>2019-LTK-CHV-SV15-033</v>
      </c>
    </row>
    <row r="1889" spans="1:40" s="572" customFormat="1" ht="15">
      <c r="A1889" s="570" t="s">
        <v>3585</v>
      </c>
      <c r="B1889" s="573" t="s">
        <v>3586</v>
      </c>
      <c r="C1889" s="573" t="s">
        <v>169</v>
      </c>
      <c r="D1889" s="578">
        <v>11</v>
      </c>
      <c r="E1889" s="573" t="s">
        <v>3374</v>
      </c>
      <c r="F1889" s="573" t="s">
        <v>152</v>
      </c>
      <c r="G1889" s="573" t="s">
        <v>153</v>
      </c>
      <c r="H1889" s="573">
        <v>2019</v>
      </c>
      <c r="I1889" s="573" t="s">
        <v>3464</v>
      </c>
      <c r="J1889" s="573" t="s">
        <v>3580</v>
      </c>
      <c r="K1889" s="573" t="s">
        <v>752</v>
      </c>
      <c r="L1889" s="573">
        <v>3</v>
      </c>
      <c r="M1889" s="573">
        <v>0</v>
      </c>
      <c r="N1889" s="573" t="s">
        <v>157</v>
      </c>
      <c r="O1889" s="573">
        <v>1</v>
      </c>
      <c r="P1889" s="573" t="s">
        <v>3508</v>
      </c>
      <c r="Q1889" s="571">
        <v>9900</v>
      </c>
      <c r="R1889" s="573" t="s">
        <v>1526</v>
      </c>
      <c r="S1889" s="573">
        <v>6</v>
      </c>
      <c r="T1889" s="573" t="s">
        <v>3587</v>
      </c>
      <c r="U1889" s="573" t="s">
        <v>1522</v>
      </c>
      <c r="V1889" s="573">
        <v>139.56</v>
      </c>
      <c r="W1889" s="573">
        <v>28</v>
      </c>
      <c r="X1889" s="571">
        <v>6900</v>
      </c>
      <c r="Y1889" s="569">
        <v>19</v>
      </c>
      <c r="Z1889" s="579" t="s">
        <v>178</v>
      </c>
      <c r="AA1889" s="579" t="s">
        <v>178</v>
      </c>
      <c r="AB1889" s="584">
        <v>34395</v>
      </c>
      <c r="AC1889" s="584" t="s">
        <v>164</v>
      </c>
      <c r="AD1889" s="584">
        <v>25037.157894736843</v>
      </c>
      <c r="AE1889" s="586">
        <v>0.05</v>
      </c>
      <c r="AF1889" s="661" t="str">
        <f t="shared" si="206"/>
        <v>2019-LTK-CHV-SV15-054-11</v>
      </c>
      <c r="AG1889" s="661" t="str">
        <f>IF(AND($Y1889&gt;=32,(AI1889="I"),(Y1889&lt;&gt;"~"),(COUNTIF($AN$1:$AN1889,$AN1889)=1)),"TRUE","FALSE")</f>
        <v>FALSE</v>
      </c>
      <c r="AH1889" s="661" t="str">
        <f>IF(AND($Y1889&gt;=22, (AI1889&lt;&gt;"I"),(Y1889&lt;&gt;"~"),(COUNTIF($AN$1:$AN1889,$AN1889)=1)),"TRUE","FALSE")</f>
        <v>FALSE</v>
      </c>
      <c r="AI1889" s="661" t="str">
        <f t="shared" si="208"/>
        <v>II</v>
      </c>
      <c r="AJ1889" s="662" t="str">
        <f t="shared" si="202"/>
        <v>SV15-054</v>
      </c>
      <c r="AK1889" s="662" t="str">
        <f t="shared" si="203"/>
        <v>LTK</v>
      </c>
      <c r="AL1889" s="662" t="str">
        <f t="shared" si="204"/>
        <v>CHV</v>
      </c>
      <c r="AM1889" s="662" t="str">
        <f t="shared" si="207"/>
        <v>Silverado 1500-WT Regular Cab-4WD-3-8'1"-9900-4.3L-6-CK10903-1WT-139.56-28-Unleaded-Unleaded</v>
      </c>
      <c r="AN1889" s="662" t="str">
        <f t="shared" si="205"/>
        <v>2019-LTK-CHV-SV15-054</v>
      </c>
    </row>
    <row r="1890" spans="1:40" s="572" customFormat="1" ht="15">
      <c r="A1890" s="570" t="s">
        <v>3588</v>
      </c>
      <c r="B1890" s="569" t="s">
        <v>3589</v>
      </c>
      <c r="C1890" s="569" t="s">
        <v>150</v>
      </c>
      <c r="D1890" s="580">
        <v>13</v>
      </c>
      <c r="E1890" s="569" t="s">
        <v>3374</v>
      </c>
      <c r="F1890" s="569" t="s">
        <v>152</v>
      </c>
      <c r="G1890" s="569" t="s">
        <v>153</v>
      </c>
      <c r="H1890" s="569">
        <v>2019</v>
      </c>
      <c r="I1890" s="569" t="s">
        <v>3464</v>
      </c>
      <c r="J1890" s="569" t="s">
        <v>3580</v>
      </c>
      <c r="K1890" s="569" t="s">
        <v>752</v>
      </c>
      <c r="L1890" s="569">
        <v>3</v>
      </c>
      <c r="M1890" s="569">
        <v>0</v>
      </c>
      <c r="N1890" s="569" t="s">
        <v>157</v>
      </c>
      <c r="O1890" s="569">
        <v>1</v>
      </c>
      <c r="P1890" s="569" t="s">
        <v>3508</v>
      </c>
      <c r="Q1890" s="568">
        <v>12800</v>
      </c>
      <c r="R1890" s="569" t="s">
        <v>1526</v>
      </c>
      <c r="S1890" s="569">
        <v>6</v>
      </c>
      <c r="T1890" s="569" t="s">
        <v>3587</v>
      </c>
      <c r="U1890" s="569" t="s">
        <v>1522</v>
      </c>
      <c r="V1890" s="569">
        <v>133</v>
      </c>
      <c r="W1890" s="569">
        <v>34</v>
      </c>
      <c r="X1890" s="568">
        <v>6900</v>
      </c>
      <c r="Y1890" s="569">
        <v>19</v>
      </c>
      <c r="Z1890" s="581" t="s">
        <v>450</v>
      </c>
      <c r="AA1890" s="581" t="s">
        <v>178</v>
      </c>
      <c r="AB1890" s="585">
        <v>34395</v>
      </c>
      <c r="AC1890" s="585" t="s">
        <v>164</v>
      </c>
      <c r="AD1890" s="585">
        <v>27880</v>
      </c>
      <c r="AE1890" s="587">
        <v>0.03</v>
      </c>
      <c r="AF1890" s="661" t="str">
        <f t="shared" si="206"/>
        <v>2019-LTK-CHV-SV15-035-13</v>
      </c>
      <c r="AG1890" s="661" t="str">
        <f>IF(AND($Y1890&gt;=32,(AI1890="I"),(Y1890&lt;&gt;"~"),(COUNTIF($AN$1:$AN1890,$AN1890)=1)),"TRUE","FALSE")</f>
        <v>FALSE</v>
      </c>
      <c r="AH1890" s="661" t="str">
        <f>IF(AND($Y1890&gt;=22, (AI1890&lt;&gt;"I"),(Y1890&lt;&gt;"~"),(COUNTIF($AN$1:$AN1890,$AN1890)=1)),"TRUE","FALSE")</f>
        <v>FALSE</v>
      </c>
      <c r="AI1890" s="661" t="str">
        <f t="shared" si="208"/>
        <v>II</v>
      </c>
      <c r="AJ1890" s="662" t="str">
        <f t="shared" si="202"/>
        <v>SV15-035</v>
      </c>
      <c r="AK1890" s="662" t="str">
        <f t="shared" si="203"/>
        <v>LTK</v>
      </c>
      <c r="AL1890" s="662" t="str">
        <f t="shared" si="204"/>
        <v>CHV</v>
      </c>
      <c r="AM1890" s="662" t="str">
        <f t="shared" si="207"/>
        <v>Silverado 1500-WT Regular Cab-4WD-3-8'1"-12800-4.3L-6-CK10903-1WT-133-34-E85-Unleaded</v>
      </c>
      <c r="AN1890" s="662" t="str">
        <f t="shared" si="205"/>
        <v>2019-LTK-CHV-SV15-035</v>
      </c>
    </row>
    <row r="1891" spans="1:40" s="572" customFormat="1" ht="15">
      <c r="A1891" s="570" t="s">
        <v>3590</v>
      </c>
      <c r="B1891" s="573" t="s">
        <v>3589</v>
      </c>
      <c r="C1891" s="573" t="s">
        <v>166</v>
      </c>
      <c r="D1891" s="578">
        <v>17</v>
      </c>
      <c r="E1891" s="573" t="s">
        <v>3374</v>
      </c>
      <c r="F1891" s="573" t="s">
        <v>152</v>
      </c>
      <c r="G1891" s="573" t="s">
        <v>153</v>
      </c>
      <c r="H1891" s="573">
        <v>2019</v>
      </c>
      <c r="I1891" s="573" t="s">
        <v>3464</v>
      </c>
      <c r="J1891" s="573" t="s">
        <v>3580</v>
      </c>
      <c r="K1891" s="573" t="s">
        <v>752</v>
      </c>
      <c r="L1891" s="573">
        <v>3</v>
      </c>
      <c r="M1891" s="573">
        <v>0</v>
      </c>
      <c r="N1891" s="573" t="s">
        <v>157</v>
      </c>
      <c r="O1891" s="573">
        <v>1</v>
      </c>
      <c r="P1891" s="573" t="s">
        <v>3508</v>
      </c>
      <c r="Q1891" s="571">
        <v>12800</v>
      </c>
      <c r="R1891" s="573" t="s">
        <v>1526</v>
      </c>
      <c r="S1891" s="573">
        <v>6</v>
      </c>
      <c r="T1891" s="573" t="s">
        <v>3591</v>
      </c>
      <c r="U1891" s="573" t="s">
        <v>1522</v>
      </c>
      <c r="V1891" s="573">
        <v>133</v>
      </c>
      <c r="W1891" s="573">
        <v>34</v>
      </c>
      <c r="X1891" s="571">
        <v>6900</v>
      </c>
      <c r="Y1891" s="569">
        <v>19</v>
      </c>
      <c r="Z1891" s="579" t="s">
        <v>450</v>
      </c>
      <c r="AA1891" s="579" t="s">
        <v>178</v>
      </c>
      <c r="AB1891" s="584">
        <v>34395</v>
      </c>
      <c r="AC1891" s="584" t="s">
        <v>164</v>
      </c>
      <c r="AD1891" s="584">
        <v>26225</v>
      </c>
      <c r="AE1891" s="586">
        <v>7.1999999999999995E-2</v>
      </c>
      <c r="AF1891" s="661" t="str">
        <f t="shared" si="206"/>
        <v>2019-LTK-CHV-SV15-035-17</v>
      </c>
      <c r="AG1891" s="661" t="str">
        <f>IF(AND($Y1891&gt;=32,(AI1891="I"),(Y1891&lt;&gt;"~"),(COUNTIF($AN$1:$AN1891,$AN1891)=1)),"TRUE","FALSE")</f>
        <v>FALSE</v>
      </c>
      <c r="AH1891" s="661" t="str">
        <f>IF(AND($Y1891&gt;=22, (AI1891&lt;&gt;"I"),(Y1891&lt;&gt;"~"),(COUNTIF($AN$1:$AN1891,$AN1891)=1)),"TRUE","FALSE")</f>
        <v>FALSE</v>
      </c>
      <c r="AI1891" s="661" t="str">
        <f t="shared" si="208"/>
        <v>II</v>
      </c>
      <c r="AJ1891" s="662" t="str">
        <f t="shared" si="202"/>
        <v>SV15-035</v>
      </c>
      <c r="AK1891" s="662" t="str">
        <f t="shared" si="203"/>
        <v>LTK</v>
      </c>
      <c r="AL1891" s="662" t="str">
        <f t="shared" si="204"/>
        <v>CHV</v>
      </c>
      <c r="AM1891" s="662" t="str">
        <f t="shared" si="207"/>
        <v>Silverado 1500-WT Regular Cab-4WD-3-8'1"-12800-4.3L-6-CK15903-1WT-133-34-E85-Unleaded</v>
      </c>
      <c r="AN1891" s="662" t="str">
        <f t="shared" si="205"/>
        <v>2019-LTK-CHV-SV15-035</v>
      </c>
    </row>
    <row r="1892" spans="1:40" s="572" customFormat="1" ht="15">
      <c r="A1892" s="570" t="s">
        <v>3592</v>
      </c>
      <c r="B1892" s="569" t="s">
        <v>3593</v>
      </c>
      <c r="C1892" s="569" t="s">
        <v>169</v>
      </c>
      <c r="D1892" s="580">
        <v>11</v>
      </c>
      <c r="E1892" s="569" t="s">
        <v>3374</v>
      </c>
      <c r="F1892" s="569" t="s">
        <v>196</v>
      </c>
      <c r="G1892" s="569" t="s">
        <v>153</v>
      </c>
      <c r="H1892" s="569">
        <v>2019</v>
      </c>
      <c r="I1892" s="569" t="s">
        <v>3594</v>
      </c>
      <c r="J1892" s="569" t="s">
        <v>3384</v>
      </c>
      <c r="K1892" s="569" t="s">
        <v>3377</v>
      </c>
      <c r="L1892" s="569">
        <v>6</v>
      </c>
      <c r="M1892" s="569">
        <v>0</v>
      </c>
      <c r="N1892" s="569" t="s">
        <v>157</v>
      </c>
      <c r="O1892" s="569">
        <v>2</v>
      </c>
      <c r="P1892" s="569" t="s">
        <v>3471</v>
      </c>
      <c r="Q1892" s="568">
        <v>13000</v>
      </c>
      <c r="R1892" s="569" t="s">
        <v>798</v>
      </c>
      <c r="S1892" s="569">
        <v>8</v>
      </c>
      <c r="T1892" s="569" t="s">
        <v>3595</v>
      </c>
      <c r="U1892" s="569" t="s">
        <v>213</v>
      </c>
      <c r="V1892" s="569">
        <v>153.69999999999999</v>
      </c>
      <c r="W1892" s="569">
        <v>36</v>
      </c>
      <c r="X1892" s="568">
        <v>9500</v>
      </c>
      <c r="Y1892" s="569">
        <v>15</v>
      </c>
      <c r="Z1892" s="581" t="s">
        <v>450</v>
      </c>
      <c r="AA1892" s="581" t="s">
        <v>178</v>
      </c>
      <c r="AB1892" s="585">
        <v>44995</v>
      </c>
      <c r="AC1892" s="585" t="s">
        <v>164</v>
      </c>
      <c r="AD1892" s="585">
        <v>34228.723404255325</v>
      </c>
      <c r="AE1892" s="587">
        <v>0.05</v>
      </c>
      <c r="AF1892" s="661" t="str">
        <f t="shared" si="206"/>
        <v>2019-LTK-CHV-SV25-001-11</v>
      </c>
      <c r="AG1892" s="661" t="str">
        <f>IF(AND($Y1892&gt;=32,(AI1892="I"),(Y1892&lt;&gt;"~"),(COUNTIF($AN$1:$AN1892,$AN1892)=1)),"TRUE","FALSE")</f>
        <v>FALSE</v>
      </c>
      <c r="AH1892" s="661" t="str">
        <f>IF(AND($Y1892&gt;=22, (AI1892&lt;&gt;"I"),(Y1892&lt;&gt;"~"),(COUNTIF($AN$1:$AN1892,$AN1892)=1)),"TRUE","FALSE")</f>
        <v>FALSE</v>
      </c>
      <c r="AI1892" s="661" t="str">
        <f t="shared" si="208"/>
        <v>II</v>
      </c>
      <c r="AJ1892" s="662" t="str">
        <f t="shared" si="202"/>
        <v>SV25-001</v>
      </c>
      <c r="AK1892" s="662" t="str">
        <f t="shared" si="203"/>
        <v>LTK</v>
      </c>
      <c r="AL1892" s="662" t="str">
        <f t="shared" si="204"/>
        <v>CHV</v>
      </c>
      <c r="AM1892" s="662" t="str">
        <f t="shared" si="207"/>
        <v>Silverado 2500-LT Crew Cab-2WD-6-6'6"-13000-6.0L-8-CC25743-1LT-153.7-36-E85-Unleaded</v>
      </c>
      <c r="AN1892" s="662" t="str">
        <f t="shared" si="205"/>
        <v>2019-LTK-CHV-SV25-001</v>
      </c>
    </row>
    <row r="1893" spans="1:40" s="572" customFormat="1" ht="15">
      <c r="A1893" s="570" t="s">
        <v>3596</v>
      </c>
      <c r="B1893" s="573" t="s">
        <v>3597</v>
      </c>
      <c r="C1893" s="573" t="s">
        <v>169</v>
      </c>
      <c r="D1893" s="578">
        <v>11</v>
      </c>
      <c r="E1893" s="573" t="s">
        <v>3374</v>
      </c>
      <c r="F1893" s="573" t="s">
        <v>196</v>
      </c>
      <c r="G1893" s="573" t="s">
        <v>153</v>
      </c>
      <c r="H1893" s="573">
        <v>2019</v>
      </c>
      <c r="I1893" s="573" t="s">
        <v>3594</v>
      </c>
      <c r="J1893" s="573" t="s">
        <v>3384</v>
      </c>
      <c r="K1893" s="573" t="s">
        <v>3377</v>
      </c>
      <c r="L1893" s="573">
        <v>6</v>
      </c>
      <c r="M1893" s="573">
        <v>0</v>
      </c>
      <c r="N1893" s="573" t="s">
        <v>157</v>
      </c>
      <c r="O1893" s="573">
        <v>2</v>
      </c>
      <c r="P1893" s="573" t="s">
        <v>3508</v>
      </c>
      <c r="Q1893" s="571">
        <v>13000</v>
      </c>
      <c r="R1893" s="573" t="s">
        <v>798</v>
      </c>
      <c r="S1893" s="573">
        <v>8</v>
      </c>
      <c r="T1893" s="573" t="s">
        <v>3598</v>
      </c>
      <c r="U1893" s="573" t="s">
        <v>213</v>
      </c>
      <c r="V1893" s="573">
        <v>167.7</v>
      </c>
      <c r="W1893" s="573">
        <v>36</v>
      </c>
      <c r="X1893" s="571">
        <v>9500</v>
      </c>
      <c r="Y1893" s="573">
        <v>15</v>
      </c>
      <c r="Z1893" s="579" t="s">
        <v>450</v>
      </c>
      <c r="AA1893" s="579" t="s">
        <v>178</v>
      </c>
      <c r="AB1893" s="584">
        <v>45195</v>
      </c>
      <c r="AC1893" s="584" t="s">
        <v>164</v>
      </c>
      <c r="AD1893" s="584">
        <v>34420.638297872341</v>
      </c>
      <c r="AE1893" s="586">
        <v>0.05</v>
      </c>
      <c r="AF1893" s="661" t="str">
        <f t="shared" si="206"/>
        <v>2019-LTK-CHV-SV25-002-11</v>
      </c>
      <c r="AG1893" s="661" t="str">
        <f>IF(AND($Y1893&gt;=32,(AI1893="I"),(Y1893&lt;&gt;"~"),(COUNTIF($AN$1:$AN1893,$AN1893)=1)),"TRUE","FALSE")</f>
        <v>FALSE</v>
      </c>
      <c r="AH1893" s="661" t="str">
        <f>IF(AND($Y1893&gt;=22, (AI1893&lt;&gt;"I"),(Y1893&lt;&gt;"~"),(COUNTIF($AN$1:$AN1893,$AN1893)=1)),"TRUE","FALSE")</f>
        <v>FALSE</v>
      </c>
      <c r="AI1893" s="661" t="str">
        <f t="shared" si="208"/>
        <v>II</v>
      </c>
      <c r="AJ1893" s="662" t="str">
        <f t="shared" si="202"/>
        <v>SV25-002</v>
      </c>
      <c r="AK1893" s="662" t="str">
        <f t="shared" si="203"/>
        <v>LTK</v>
      </c>
      <c r="AL1893" s="662" t="str">
        <f t="shared" si="204"/>
        <v>CHV</v>
      </c>
      <c r="AM1893" s="662" t="str">
        <f t="shared" si="207"/>
        <v>Silverado 2500-LT Crew Cab-2WD-6-8'1"-13000-6.0L-8-CC25943-1LT-167.7-36-E85-Unleaded</v>
      </c>
      <c r="AN1893" s="662" t="str">
        <f t="shared" si="205"/>
        <v>2019-LTK-CHV-SV25-002</v>
      </c>
    </row>
    <row r="1894" spans="1:40" s="572" customFormat="1" ht="15">
      <c r="A1894" s="570" t="s">
        <v>3599</v>
      </c>
      <c r="B1894" s="569" t="s">
        <v>3593</v>
      </c>
      <c r="C1894" s="569" t="s">
        <v>150</v>
      </c>
      <c r="D1894" s="580">
        <v>13</v>
      </c>
      <c r="E1894" s="569" t="s">
        <v>3374</v>
      </c>
      <c r="F1894" s="569" t="s">
        <v>196</v>
      </c>
      <c r="G1894" s="569" t="s">
        <v>153</v>
      </c>
      <c r="H1894" s="569">
        <v>2019</v>
      </c>
      <c r="I1894" s="569" t="s">
        <v>3594</v>
      </c>
      <c r="J1894" s="569" t="s">
        <v>3384</v>
      </c>
      <c r="K1894" s="569" t="s">
        <v>3377</v>
      </c>
      <c r="L1894" s="569">
        <v>6</v>
      </c>
      <c r="M1894" s="569">
        <v>0</v>
      </c>
      <c r="N1894" s="569" t="s">
        <v>157</v>
      </c>
      <c r="O1894" s="569">
        <v>2</v>
      </c>
      <c r="P1894" s="569" t="s">
        <v>3471</v>
      </c>
      <c r="Q1894" s="568">
        <v>13000</v>
      </c>
      <c r="R1894" s="569" t="s">
        <v>798</v>
      </c>
      <c r="S1894" s="569">
        <v>8</v>
      </c>
      <c r="T1894" s="569" t="s">
        <v>3595</v>
      </c>
      <c r="U1894" s="569" t="s">
        <v>213</v>
      </c>
      <c r="V1894" s="569">
        <v>153.69999999999999</v>
      </c>
      <c r="W1894" s="569">
        <v>36</v>
      </c>
      <c r="X1894" s="568">
        <v>9500</v>
      </c>
      <c r="Y1894" s="569">
        <v>15</v>
      </c>
      <c r="Z1894" s="581" t="s">
        <v>450</v>
      </c>
      <c r="AA1894" s="581" t="s">
        <v>178</v>
      </c>
      <c r="AB1894" s="585">
        <v>44995</v>
      </c>
      <c r="AC1894" s="585" t="s">
        <v>164</v>
      </c>
      <c r="AD1894" s="585">
        <v>36147</v>
      </c>
      <c r="AE1894" s="587">
        <v>0.03</v>
      </c>
      <c r="AF1894" s="661" t="str">
        <f t="shared" si="206"/>
        <v>2019-LTK-CHV-SV25-001-13</v>
      </c>
      <c r="AG1894" s="661" t="str">
        <f>IF(AND($Y1894&gt;=32,(AI1894="I"),(Y1894&lt;&gt;"~"),(COUNTIF($AN$1:$AN1894,$AN1894)=1)),"TRUE","FALSE")</f>
        <v>FALSE</v>
      </c>
      <c r="AH1894" s="661" t="str">
        <f>IF(AND($Y1894&gt;=22, (AI1894&lt;&gt;"I"),(Y1894&lt;&gt;"~"),(COUNTIF($AN$1:$AN1894,$AN1894)=1)),"TRUE","FALSE")</f>
        <v>FALSE</v>
      </c>
      <c r="AI1894" s="661" t="str">
        <f t="shared" si="208"/>
        <v>II</v>
      </c>
      <c r="AJ1894" s="662" t="str">
        <f t="shared" si="202"/>
        <v>SV25-001</v>
      </c>
      <c r="AK1894" s="662" t="str">
        <f t="shared" si="203"/>
        <v>LTK</v>
      </c>
      <c r="AL1894" s="662" t="str">
        <f t="shared" si="204"/>
        <v>CHV</v>
      </c>
      <c r="AM1894" s="662" t="str">
        <f t="shared" si="207"/>
        <v>Silverado 2500-LT Crew Cab-2WD-6-6'6"-13000-6.0L-8-CC25743-1LT-153.7-36-E85-Unleaded</v>
      </c>
      <c r="AN1894" s="662" t="str">
        <f t="shared" si="205"/>
        <v>2019-LTK-CHV-SV25-001</v>
      </c>
    </row>
    <row r="1895" spans="1:40" s="572" customFormat="1" ht="15">
      <c r="A1895" s="570" t="s">
        <v>3600</v>
      </c>
      <c r="B1895" s="573" t="s">
        <v>3597</v>
      </c>
      <c r="C1895" s="573" t="s">
        <v>150</v>
      </c>
      <c r="D1895" s="578">
        <v>13</v>
      </c>
      <c r="E1895" s="573" t="s">
        <v>3374</v>
      </c>
      <c r="F1895" s="573" t="s">
        <v>196</v>
      </c>
      <c r="G1895" s="573" t="s">
        <v>153</v>
      </c>
      <c r="H1895" s="573">
        <v>2019</v>
      </c>
      <c r="I1895" s="573" t="s">
        <v>3594</v>
      </c>
      <c r="J1895" s="573" t="s">
        <v>3384</v>
      </c>
      <c r="K1895" s="573" t="s">
        <v>3377</v>
      </c>
      <c r="L1895" s="573">
        <v>6</v>
      </c>
      <c r="M1895" s="573">
        <v>0</v>
      </c>
      <c r="N1895" s="573" t="s">
        <v>157</v>
      </c>
      <c r="O1895" s="573">
        <v>2</v>
      </c>
      <c r="P1895" s="573" t="s">
        <v>3508</v>
      </c>
      <c r="Q1895" s="571">
        <v>13000</v>
      </c>
      <c r="R1895" s="573" t="s">
        <v>798</v>
      </c>
      <c r="S1895" s="573">
        <v>8</v>
      </c>
      <c r="T1895" s="573" t="s">
        <v>3598</v>
      </c>
      <c r="U1895" s="573" t="s">
        <v>213</v>
      </c>
      <c r="V1895" s="573">
        <v>167.7</v>
      </c>
      <c r="W1895" s="573">
        <v>36</v>
      </c>
      <c r="X1895" s="571">
        <v>9500</v>
      </c>
      <c r="Y1895" s="573">
        <v>15</v>
      </c>
      <c r="Z1895" s="579" t="s">
        <v>450</v>
      </c>
      <c r="AA1895" s="579" t="s">
        <v>178</v>
      </c>
      <c r="AB1895" s="584">
        <v>45195</v>
      </c>
      <c r="AC1895" s="584" t="s">
        <v>164</v>
      </c>
      <c r="AD1895" s="584">
        <v>36322</v>
      </c>
      <c r="AE1895" s="586">
        <v>0.03</v>
      </c>
      <c r="AF1895" s="661" t="str">
        <f t="shared" si="206"/>
        <v>2019-LTK-CHV-SV25-002-13</v>
      </c>
      <c r="AG1895" s="661" t="str">
        <f>IF(AND($Y1895&gt;=32,(AI1895="I"),(Y1895&lt;&gt;"~"),(COUNTIF($AN$1:$AN1895,$AN1895)=1)),"TRUE","FALSE")</f>
        <v>FALSE</v>
      </c>
      <c r="AH1895" s="661" t="str">
        <f>IF(AND($Y1895&gt;=22, (AI1895&lt;&gt;"I"),(Y1895&lt;&gt;"~"),(COUNTIF($AN$1:$AN1895,$AN1895)=1)),"TRUE","FALSE")</f>
        <v>FALSE</v>
      </c>
      <c r="AI1895" s="661" t="str">
        <f t="shared" si="208"/>
        <v>II</v>
      </c>
      <c r="AJ1895" s="662" t="str">
        <f t="shared" si="202"/>
        <v>SV25-002</v>
      </c>
      <c r="AK1895" s="662" t="str">
        <f t="shared" si="203"/>
        <v>LTK</v>
      </c>
      <c r="AL1895" s="662" t="str">
        <f t="shared" si="204"/>
        <v>CHV</v>
      </c>
      <c r="AM1895" s="662" t="str">
        <f t="shared" si="207"/>
        <v>Silverado 2500-LT Crew Cab-2WD-6-8'1"-13000-6.0L-8-CC25943-1LT-167.7-36-E85-Unleaded</v>
      </c>
      <c r="AN1895" s="662" t="str">
        <f t="shared" si="205"/>
        <v>2019-LTK-CHV-SV25-002</v>
      </c>
    </row>
    <row r="1896" spans="1:40" s="572" customFormat="1" ht="15">
      <c r="A1896" s="570" t="s">
        <v>3601</v>
      </c>
      <c r="B1896" s="569" t="s">
        <v>3593</v>
      </c>
      <c r="C1896" s="569" t="s">
        <v>166</v>
      </c>
      <c r="D1896" s="580">
        <v>17</v>
      </c>
      <c r="E1896" s="569" t="s">
        <v>3374</v>
      </c>
      <c r="F1896" s="569" t="s">
        <v>196</v>
      </c>
      <c r="G1896" s="569" t="s">
        <v>153</v>
      </c>
      <c r="H1896" s="569">
        <v>2019</v>
      </c>
      <c r="I1896" s="569" t="s">
        <v>3594</v>
      </c>
      <c r="J1896" s="569" t="s">
        <v>3384</v>
      </c>
      <c r="K1896" s="569" t="s">
        <v>3377</v>
      </c>
      <c r="L1896" s="569">
        <v>6</v>
      </c>
      <c r="M1896" s="569">
        <v>0</v>
      </c>
      <c r="N1896" s="569" t="s">
        <v>157</v>
      </c>
      <c r="O1896" s="569">
        <v>2</v>
      </c>
      <c r="P1896" s="569" t="s">
        <v>3471</v>
      </c>
      <c r="Q1896" s="568">
        <v>13000</v>
      </c>
      <c r="R1896" s="569" t="s">
        <v>798</v>
      </c>
      <c r="S1896" s="569">
        <v>8</v>
      </c>
      <c r="T1896" s="569" t="s">
        <v>3595</v>
      </c>
      <c r="U1896" s="569" t="s">
        <v>213</v>
      </c>
      <c r="V1896" s="569">
        <v>153.69999999999999</v>
      </c>
      <c r="W1896" s="569">
        <v>36</v>
      </c>
      <c r="X1896" s="568">
        <v>9500</v>
      </c>
      <c r="Y1896" s="569">
        <v>15</v>
      </c>
      <c r="Z1896" s="581" t="s">
        <v>450</v>
      </c>
      <c r="AA1896" s="581" t="s">
        <v>178</v>
      </c>
      <c r="AB1896" s="585">
        <v>44995</v>
      </c>
      <c r="AC1896" s="585" t="s">
        <v>164</v>
      </c>
      <c r="AD1896" s="585">
        <v>33788</v>
      </c>
      <c r="AE1896" s="587">
        <v>7.1999999999999995E-2</v>
      </c>
      <c r="AF1896" s="661" t="str">
        <f t="shared" si="206"/>
        <v>2019-LTK-CHV-SV25-001-17</v>
      </c>
      <c r="AG1896" s="661" t="str">
        <f>IF(AND($Y1896&gt;=32,(AI1896="I"),(Y1896&lt;&gt;"~"),(COUNTIF($AN$1:$AN1896,$AN1896)=1)),"TRUE","FALSE")</f>
        <v>FALSE</v>
      </c>
      <c r="AH1896" s="661" t="str">
        <f>IF(AND($Y1896&gt;=22, (AI1896&lt;&gt;"I"),(Y1896&lt;&gt;"~"),(COUNTIF($AN$1:$AN1896,$AN1896)=1)),"TRUE","FALSE")</f>
        <v>FALSE</v>
      </c>
      <c r="AI1896" s="661" t="str">
        <f t="shared" si="208"/>
        <v>II</v>
      </c>
      <c r="AJ1896" s="662" t="str">
        <f t="shared" si="202"/>
        <v>SV25-001</v>
      </c>
      <c r="AK1896" s="662" t="str">
        <f t="shared" si="203"/>
        <v>LTK</v>
      </c>
      <c r="AL1896" s="662" t="str">
        <f t="shared" si="204"/>
        <v>CHV</v>
      </c>
      <c r="AM1896" s="662" t="str">
        <f t="shared" si="207"/>
        <v>Silverado 2500-LT Crew Cab-2WD-6-6'6"-13000-6.0L-8-CC25743-1LT-153.7-36-E85-Unleaded</v>
      </c>
      <c r="AN1896" s="662" t="str">
        <f t="shared" si="205"/>
        <v>2019-LTK-CHV-SV25-001</v>
      </c>
    </row>
    <row r="1897" spans="1:40" s="572" customFormat="1" ht="15">
      <c r="A1897" s="570" t="s">
        <v>3602</v>
      </c>
      <c r="B1897" s="573" t="s">
        <v>3597</v>
      </c>
      <c r="C1897" s="573" t="s">
        <v>166</v>
      </c>
      <c r="D1897" s="578">
        <v>17</v>
      </c>
      <c r="E1897" s="573" t="s">
        <v>3374</v>
      </c>
      <c r="F1897" s="573" t="s">
        <v>196</v>
      </c>
      <c r="G1897" s="573" t="s">
        <v>153</v>
      </c>
      <c r="H1897" s="573">
        <v>2019</v>
      </c>
      <c r="I1897" s="573" t="s">
        <v>3594</v>
      </c>
      <c r="J1897" s="573" t="s">
        <v>3384</v>
      </c>
      <c r="K1897" s="573" t="s">
        <v>3377</v>
      </c>
      <c r="L1897" s="573">
        <v>6</v>
      </c>
      <c r="M1897" s="573">
        <v>0</v>
      </c>
      <c r="N1897" s="573" t="s">
        <v>157</v>
      </c>
      <c r="O1897" s="573">
        <v>2</v>
      </c>
      <c r="P1897" s="573" t="s">
        <v>3508</v>
      </c>
      <c r="Q1897" s="571">
        <v>13000</v>
      </c>
      <c r="R1897" s="573" t="s">
        <v>798</v>
      </c>
      <c r="S1897" s="573">
        <v>8</v>
      </c>
      <c r="T1897" s="573" t="s">
        <v>3598</v>
      </c>
      <c r="U1897" s="573" t="s">
        <v>213</v>
      </c>
      <c r="V1897" s="573">
        <v>167.7</v>
      </c>
      <c r="W1897" s="573">
        <v>36</v>
      </c>
      <c r="X1897" s="571">
        <v>9500</v>
      </c>
      <c r="Y1897" s="573">
        <v>15</v>
      </c>
      <c r="Z1897" s="579" t="s">
        <v>450</v>
      </c>
      <c r="AA1897" s="579" t="s">
        <v>178</v>
      </c>
      <c r="AB1897" s="584">
        <v>45195</v>
      </c>
      <c r="AC1897" s="584" t="s">
        <v>164</v>
      </c>
      <c r="AD1897" s="584">
        <v>34885</v>
      </c>
      <c r="AE1897" s="586">
        <v>7.1999999999999995E-2</v>
      </c>
      <c r="AF1897" s="661" t="str">
        <f t="shared" si="206"/>
        <v>2019-LTK-CHV-SV25-002-17</v>
      </c>
      <c r="AG1897" s="661" t="str">
        <f>IF(AND($Y1897&gt;=32,(AI1897="I"),(Y1897&lt;&gt;"~"),(COUNTIF($AN$1:$AN1897,$AN1897)=1)),"TRUE","FALSE")</f>
        <v>FALSE</v>
      </c>
      <c r="AH1897" s="661" t="str">
        <f>IF(AND($Y1897&gt;=22, (AI1897&lt;&gt;"I"),(Y1897&lt;&gt;"~"),(COUNTIF($AN$1:$AN1897,$AN1897)=1)),"TRUE","FALSE")</f>
        <v>FALSE</v>
      </c>
      <c r="AI1897" s="661" t="str">
        <f t="shared" si="208"/>
        <v>II</v>
      </c>
      <c r="AJ1897" s="662" t="str">
        <f t="shared" si="202"/>
        <v>SV25-002</v>
      </c>
      <c r="AK1897" s="662" t="str">
        <f t="shared" si="203"/>
        <v>LTK</v>
      </c>
      <c r="AL1897" s="662" t="str">
        <f t="shared" si="204"/>
        <v>CHV</v>
      </c>
      <c r="AM1897" s="662" t="str">
        <f t="shared" si="207"/>
        <v>Silverado 2500-LT Crew Cab-2WD-6-8'1"-13000-6.0L-8-CC25943-1LT-167.7-36-E85-Unleaded</v>
      </c>
      <c r="AN1897" s="662" t="str">
        <f t="shared" si="205"/>
        <v>2019-LTK-CHV-SV25-002</v>
      </c>
    </row>
    <row r="1898" spans="1:40" s="572" customFormat="1" ht="15">
      <c r="A1898" s="570" t="s">
        <v>3603</v>
      </c>
      <c r="B1898" s="569" t="s">
        <v>3604</v>
      </c>
      <c r="C1898" s="569" t="s">
        <v>169</v>
      </c>
      <c r="D1898" s="580">
        <v>11</v>
      </c>
      <c r="E1898" s="569" t="s">
        <v>3374</v>
      </c>
      <c r="F1898" s="569" t="s">
        <v>196</v>
      </c>
      <c r="G1898" s="569" t="s">
        <v>153</v>
      </c>
      <c r="H1898" s="569">
        <v>2019</v>
      </c>
      <c r="I1898" s="569" t="s">
        <v>3594</v>
      </c>
      <c r="J1898" s="569" t="s">
        <v>3384</v>
      </c>
      <c r="K1898" s="569" t="s">
        <v>752</v>
      </c>
      <c r="L1898" s="569">
        <v>6</v>
      </c>
      <c r="M1898" s="569">
        <v>0</v>
      </c>
      <c r="N1898" s="569" t="s">
        <v>157</v>
      </c>
      <c r="O1898" s="569">
        <v>2</v>
      </c>
      <c r="P1898" s="569" t="s">
        <v>3471</v>
      </c>
      <c r="Q1898" s="568">
        <v>13000</v>
      </c>
      <c r="R1898" s="569" t="s">
        <v>798</v>
      </c>
      <c r="S1898" s="569">
        <v>8</v>
      </c>
      <c r="T1898" s="569" t="s">
        <v>3605</v>
      </c>
      <c r="U1898" s="569" t="s">
        <v>213</v>
      </c>
      <c r="V1898" s="569">
        <v>153.69999999999999</v>
      </c>
      <c r="W1898" s="569">
        <v>36</v>
      </c>
      <c r="X1898" s="568">
        <v>9900</v>
      </c>
      <c r="Y1898" s="569">
        <v>14</v>
      </c>
      <c r="Z1898" s="581" t="s">
        <v>450</v>
      </c>
      <c r="AA1898" s="581" t="s">
        <v>178</v>
      </c>
      <c r="AB1898" s="585">
        <v>48295</v>
      </c>
      <c r="AC1898" s="585" t="s">
        <v>164</v>
      </c>
      <c r="AD1898" s="585">
        <v>36757.021276595748</v>
      </c>
      <c r="AE1898" s="587">
        <v>0.05</v>
      </c>
      <c r="AF1898" s="661" t="str">
        <f t="shared" si="206"/>
        <v>2019-LTK-CHV-SV25-003-11</v>
      </c>
      <c r="AG1898" s="661" t="str">
        <f>IF(AND($Y1898&gt;=32,(AI1898="I"),(Y1898&lt;&gt;"~"),(COUNTIF($AN$1:$AN1898,$AN1898)=1)),"TRUE","FALSE")</f>
        <v>FALSE</v>
      </c>
      <c r="AH1898" s="661" t="str">
        <f>IF(AND($Y1898&gt;=22, (AI1898&lt;&gt;"I"),(Y1898&lt;&gt;"~"),(COUNTIF($AN$1:$AN1898,$AN1898)=1)),"TRUE","FALSE")</f>
        <v>FALSE</v>
      </c>
      <c r="AI1898" s="661" t="str">
        <f t="shared" si="208"/>
        <v>II</v>
      </c>
      <c r="AJ1898" s="662" t="str">
        <f t="shared" si="202"/>
        <v>SV25-003</v>
      </c>
      <c r="AK1898" s="662" t="str">
        <f t="shared" si="203"/>
        <v>LTK</v>
      </c>
      <c r="AL1898" s="662" t="str">
        <f t="shared" si="204"/>
        <v>CHV</v>
      </c>
      <c r="AM1898" s="662" t="str">
        <f t="shared" si="207"/>
        <v>Silverado 2500-LT Crew Cab-4WD-6-6'6"-13000-6.0L-8-CK25743-1LT-153.7-36-E85-Unleaded</v>
      </c>
      <c r="AN1898" s="662" t="str">
        <f t="shared" si="205"/>
        <v>2019-LTK-CHV-SV25-003</v>
      </c>
    </row>
    <row r="1899" spans="1:40" s="572" customFormat="1" ht="15">
      <c r="A1899" s="570" t="s">
        <v>3606</v>
      </c>
      <c r="B1899" s="573" t="s">
        <v>3607</v>
      </c>
      <c r="C1899" s="573" t="s">
        <v>169</v>
      </c>
      <c r="D1899" s="578">
        <v>11</v>
      </c>
      <c r="E1899" s="573" t="s">
        <v>3374</v>
      </c>
      <c r="F1899" s="573" t="s">
        <v>196</v>
      </c>
      <c r="G1899" s="573" t="s">
        <v>153</v>
      </c>
      <c r="H1899" s="573">
        <v>2019</v>
      </c>
      <c r="I1899" s="573" t="s">
        <v>3594</v>
      </c>
      <c r="J1899" s="573" t="s">
        <v>3384</v>
      </c>
      <c r="K1899" s="573" t="s">
        <v>752</v>
      </c>
      <c r="L1899" s="573">
        <v>6</v>
      </c>
      <c r="M1899" s="573">
        <v>0</v>
      </c>
      <c r="N1899" s="573" t="s">
        <v>157</v>
      </c>
      <c r="O1899" s="573">
        <v>2</v>
      </c>
      <c r="P1899" s="573" t="s">
        <v>3508</v>
      </c>
      <c r="Q1899" s="571">
        <v>13000</v>
      </c>
      <c r="R1899" s="573" t="s">
        <v>798</v>
      </c>
      <c r="S1899" s="573">
        <v>8</v>
      </c>
      <c r="T1899" s="573" t="s">
        <v>3608</v>
      </c>
      <c r="U1899" s="573" t="s">
        <v>213</v>
      </c>
      <c r="V1899" s="573">
        <v>167.7</v>
      </c>
      <c r="W1899" s="573">
        <v>36</v>
      </c>
      <c r="X1899" s="571">
        <v>9900</v>
      </c>
      <c r="Y1899" s="573">
        <v>14</v>
      </c>
      <c r="Z1899" s="579" t="s">
        <v>450</v>
      </c>
      <c r="AA1899" s="579" t="s">
        <v>178</v>
      </c>
      <c r="AB1899" s="584">
        <v>48495</v>
      </c>
      <c r="AC1899" s="584" t="s">
        <v>164</v>
      </c>
      <c r="AD1899" s="584">
        <v>36948.936170212772</v>
      </c>
      <c r="AE1899" s="586">
        <v>0.05</v>
      </c>
      <c r="AF1899" s="661" t="str">
        <f t="shared" si="206"/>
        <v>2019-LTK-CHV-SV25-004-11</v>
      </c>
      <c r="AG1899" s="661" t="str">
        <f>IF(AND($Y1899&gt;=32,(AI1899="I"),(Y1899&lt;&gt;"~"),(COUNTIF($AN$1:$AN1899,$AN1899)=1)),"TRUE","FALSE")</f>
        <v>FALSE</v>
      </c>
      <c r="AH1899" s="661" t="str">
        <f>IF(AND($Y1899&gt;=22, (AI1899&lt;&gt;"I"),(Y1899&lt;&gt;"~"),(COUNTIF($AN$1:$AN1899,$AN1899)=1)),"TRUE","FALSE")</f>
        <v>FALSE</v>
      </c>
      <c r="AI1899" s="661" t="str">
        <f t="shared" si="208"/>
        <v>II</v>
      </c>
      <c r="AJ1899" s="662" t="str">
        <f t="shared" si="202"/>
        <v>SV25-004</v>
      </c>
      <c r="AK1899" s="662" t="str">
        <f t="shared" si="203"/>
        <v>LTK</v>
      </c>
      <c r="AL1899" s="662" t="str">
        <f t="shared" si="204"/>
        <v>CHV</v>
      </c>
      <c r="AM1899" s="662" t="str">
        <f t="shared" si="207"/>
        <v>Silverado 2500-LT Crew Cab-4WD-6-8'1"-13000-6.0L-8-CK25943-1LT-167.7-36-E85-Unleaded</v>
      </c>
      <c r="AN1899" s="662" t="str">
        <f t="shared" si="205"/>
        <v>2019-LTK-CHV-SV25-004</v>
      </c>
    </row>
    <row r="1900" spans="1:40" s="572" customFormat="1" ht="15">
      <c r="A1900" s="570" t="s">
        <v>3609</v>
      </c>
      <c r="B1900" s="569" t="s">
        <v>3604</v>
      </c>
      <c r="C1900" s="569" t="s">
        <v>150</v>
      </c>
      <c r="D1900" s="580">
        <v>13</v>
      </c>
      <c r="E1900" s="569" t="s">
        <v>3374</v>
      </c>
      <c r="F1900" s="569" t="s">
        <v>196</v>
      </c>
      <c r="G1900" s="569" t="s">
        <v>153</v>
      </c>
      <c r="H1900" s="569">
        <v>2019</v>
      </c>
      <c r="I1900" s="569" t="s">
        <v>3594</v>
      </c>
      <c r="J1900" s="569" t="s">
        <v>3384</v>
      </c>
      <c r="K1900" s="569" t="s">
        <v>752</v>
      </c>
      <c r="L1900" s="569">
        <v>6</v>
      </c>
      <c r="M1900" s="569">
        <v>0</v>
      </c>
      <c r="N1900" s="569" t="s">
        <v>157</v>
      </c>
      <c r="O1900" s="569">
        <v>2</v>
      </c>
      <c r="P1900" s="569" t="s">
        <v>3471</v>
      </c>
      <c r="Q1900" s="568">
        <v>13000</v>
      </c>
      <c r="R1900" s="569" t="s">
        <v>798</v>
      </c>
      <c r="S1900" s="569">
        <v>8</v>
      </c>
      <c r="T1900" s="569" t="s">
        <v>3605</v>
      </c>
      <c r="U1900" s="569" t="s">
        <v>213</v>
      </c>
      <c r="V1900" s="569">
        <v>153.69999999999999</v>
      </c>
      <c r="W1900" s="569">
        <v>36</v>
      </c>
      <c r="X1900" s="568">
        <v>9900</v>
      </c>
      <c r="Y1900" s="569">
        <v>14</v>
      </c>
      <c r="Z1900" s="581" t="s">
        <v>450</v>
      </c>
      <c r="AA1900" s="581" t="s">
        <v>178</v>
      </c>
      <c r="AB1900" s="585">
        <v>48295</v>
      </c>
      <c r="AC1900" s="585" t="s">
        <v>164</v>
      </c>
      <c r="AD1900" s="585">
        <v>38612</v>
      </c>
      <c r="AE1900" s="587">
        <v>0.03</v>
      </c>
      <c r="AF1900" s="661" t="str">
        <f t="shared" si="206"/>
        <v>2019-LTK-CHV-SV25-003-13</v>
      </c>
      <c r="AG1900" s="661" t="str">
        <f>IF(AND($Y1900&gt;=32,(AI1900="I"),(Y1900&lt;&gt;"~"),(COUNTIF($AN$1:$AN1900,$AN1900)=1)),"TRUE","FALSE")</f>
        <v>FALSE</v>
      </c>
      <c r="AH1900" s="661" t="str">
        <f>IF(AND($Y1900&gt;=22, (AI1900&lt;&gt;"I"),(Y1900&lt;&gt;"~"),(COUNTIF($AN$1:$AN1900,$AN1900)=1)),"TRUE","FALSE")</f>
        <v>FALSE</v>
      </c>
      <c r="AI1900" s="661" t="str">
        <f t="shared" si="208"/>
        <v>II</v>
      </c>
      <c r="AJ1900" s="662" t="str">
        <f t="shared" si="202"/>
        <v>SV25-003</v>
      </c>
      <c r="AK1900" s="662" t="str">
        <f t="shared" si="203"/>
        <v>LTK</v>
      </c>
      <c r="AL1900" s="662" t="str">
        <f t="shared" si="204"/>
        <v>CHV</v>
      </c>
      <c r="AM1900" s="662" t="str">
        <f t="shared" si="207"/>
        <v>Silverado 2500-LT Crew Cab-4WD-6-6'6"-13000-6.0L-8-CK25743-1LT-153.7-36-E85-Unleaded</v>
      </c>
      <c r="AN1900" s="662" t="str">
        <f t="shared" si="205"/>
        <v>2019-LTK-CHV-SV25-003</v>
      </c>
    </row>
    <row r="1901" spans="1:40" s="572" customFormat="1" ht="15">
      <c r="A1901" s="570" t="s">
        <v>3610</v>
      </c>
      <c r="B1901" s="573" t="s">
        <v>3607</v>
      </c>
      <c r="C1901" s="573" t="s">
        <v>150</v>
      </c>
      <c r="D1901" s="578">
        <v>13</v>
      </c>
      <c r="E1901" s="573" t="s">
        <v>3374</v>
      </c>
      <c r="F1901" s="573" t="s">
        <v>196</v>
      </c>
      <c r="G1901" s="573" t="s">
        <v>153</v>
      </c>
      <c r="H1901" s="573">
        <v>2019</v>
      </c>
      <c r="I1901" s="573" t="s">
        <v>3594</v>
      </c>
      <c r="J1901" s="573" t="s">
        <v>3384</v>
      </c>
      <c r="K1901" s="573" t="s">
        <v>752</v>
      </c>
      <c r="L1901" s="573">
        <v>6</v>
      </c>
      <c r="M1901" s="573">
        <v>0</v>
      </c>
      <c r="N1901" s="573" t="s">
        <v>157</v>
      </c>
      <c r="O1901" s="573">
        <v>2</v>
      </c>
      <c r="P1901" s="573" t="s">
        <v>3508</v>
      </c>
      <c r="Q1901" s="571">
        <v>13000</v>
      </c>
      <c r="R1901" s="573" t="s">
        <v>798</v>
      </c>
      <c r="S1901" s="573">
        <v>8</v>
      </c>
      <c r="T1901" s="573" t="s">
        <v>3608</v>
      </c>
      <c r="U1901" s="573" t="s">
        <v>213</v>
      </c>
      <c r="V1901" s="573">
        <v>167.7</v>
      </c>
      <c r="W1901" s="573">
        <v>36</v>
      </c>
      <c r="X1901" s="571">
        <v>9900</v>
      </c>
      <c r="Y1901" s="573">
        <v>14</v>
      </c>
      <c r="Z1901" s="579" t="s">
        <v>450</v>
      </c>
      <c r="AA1901" s="579" t="s">
        <v>178</v>
      </c>
      <c r="AB1901" s="584">
        <v>48495</v>
      </c>
      <c r="AC1901" s="584" t="s">
        <v>164</v>
      </c>
      <c r="AD1901" s="584">
        <v>38688</v>
      </c>
      <c r="AE1901" s="586">
        <v>0.03</v>
      </c>
      <c r="AF1901" s="661" t="str">
        <f t="shared" si="206"/>
        <v>2019-LTK-CHV-SV25-004-13</v>
      </c>
      <c r="AG1901" s="661" t="str">
        <f>IF(AND($Y1901&gt;=32,(AI1901="I"),(Y1901&lt;&gt;"~"),(COUNTIF($AN$1:$AN1901,$AN1901)=1)),"TRUE","FALSE")</f>
        <v>FALSE</v>
      </c>
      <c r="AH1901" s="661" t="str">
        <f>IF(AND($Y1901&gt;=22, (AI1901&lt;&gt;"I"),(Y1901&lt;&gt;"~"),(COUNTIF($AN$1:$AN1901,$AN1901)=1)),"TRUE","FALSE")</f>
        <v>FALSE</v>
      </c>
      <c r="AI1901" s="661" t="str">
        <f t="shared" si="208"/>
        <v>II</v>
      </c>
      <c r="AJ1901" s="662" t="str">
        <f t="shared" si="202"/>
        <v>SV25-004</v>
      </c>
      <c r="AK1901" s="662" t="str">
        <f t="shared" si="203"/>
        <v>LTK</v>
      </c>
      <c r="AL1901" s="662" t="str">
        <f t="shared" si="204"/>
        <v>CHV</v>
      </c>
      <c r="AM1901" s="662" t="str">
        <f t="shared" si="207"/>
        <v>Silverado 2500-LT Crew Cab-4WD-6-8'1"-13000-6.0L-8-CK25943-1LT-167.7-36-E85-Unleaded</v>
      </c>
      <c r="AN1901" s="662" t="str">
        <f t="shared" si="205"/>
        <v>2019-LTK-CHV-SV25-004</v>
      </c>
    </row>
    <row r="1902" spans="1:40" s="572" customFormat="1" ht="15">
      <c r="A1902" s="570" t="s">
        <v>3611</v>
      </c>
      <c r="B1902" s="569" t="s">
        <v>3604</v>
      </c>
      <c r="C1902" s="569" t="s">
        <v>166</v>
      </c>
      <c r="D1902" s="580">
        <v>17</v>
      </c>
      <c r="E1902" s="569" t="s">
        <v>3374</v>
      </c>
      <c r="F1902" s="569" t="s">
        <v>196</v>
      </c>
      <c r="G1902" s="569" t="s">
        <v>153</v>
      </c>
      <c r="H1902" s="569">
        <v>2019</v>
      </c>
      <c r="I1902" s="569" t="s">
        <v>3594</v>
      </c>
      <c r="J1902" s="569" t="s">
        <v>3384</v>
      </c>
      <c r="K1902" s="569" t="s">
        <v>752</v>
      </c>
      <c r="L1902" s="569">
        <v>6</v>
      </c>
      <c r="M1902" s="569">
        <v>0</v>
      </c>
      <c r="N1902" s="569" t="s">
        <v>157</v>
      </c>
      <c r="O1902" s="569">
        <v>2</v>
      </c>
      <c r="P1902" s="569" t="s">
        <v>3471</v>
      </c>
      <c r="Q1902" s="568">
        <v>13000</v>
      </c>
      <c r="R1902" s="569" t="s">
        <v>798</v>
      </c>
      <c r="S1902" s="569">
        <v>8</v>
      </c>
      <c r="T1902" s="569" t="s">
        <v>3605</v>
      </c>
      <c r="U1902" s="569" t="s">
        <v>213</v>
      </c>
      <c r="V1902" s="569">
        <v>153.69999999999999</v>
      </c>
      <c r="W1902" s="569">
        <v>36</v>
      </c>
      <c r="X1902" s="568">
        <v>9900</v>
      </c>
      <c r="Y1902" s="569">
        <v>14</v>
      </c>
      <c r="Z1902" s="581" t="s">
        <v>450</v>
      </c>
      <c r="AA1902" s="581" t="s">
        <v>178</v>
      </c>
      <c r="AB1902" s="585">
        <v>48295</v>
      </c>
      <c r="AC1902" s="585" t="s">
        <v>164</v>
      </c>
      <c r="AD1902" s="585">
        <v>38890</v>
      </c>
      <c r="AE1902" s="587">
        <v>7.1999999999999995E-2</v>
      </c>
      <c r="AF1902" s="661" t="str">
        <f t="shared" si="206"/>
        <v>2019-LTK-CHV-SV25-003-17</v>
      </c>
      <c r="AG1902" s="661" t="str">
        <f>IF(AND($Y1902&gt;=32,(AI1902="I"),(Y1902&lt;&gt;"~"),(COUNTIF($AN$1:$AN1902,$AN1902)=1)),"TRUE","FALSE")</f>
        <v>FALSE</v>
      </c>
      <c r="AH1902" s="661" t="str">
        <f>IF(AND($Y1902&gt;=22, (AI1902&lt;&gt;"I"),(Y1902&lt;&gt;"~"),(COUNTIF($AN$1:$AN1902,$AN1902)=1)),"TRUE","FALSE")</f>
        <v>FALSE</v>
      </c>
      <c r="AI1902" s="661" t="str">
        <f t="shared" si="208"/>
        <v>II</v>
      </c>
      <c r="AJ1902" s="662" t="str">
        <f t="shared" si="202"/>
        <v>SV25-003</v>
      </c>
      <c r="AK1902" s="662" t="str">
        <f t="shared" si="203"/>
        <v>LTK</v>
      </c>
      <c r="AL1902" s="662" t="str">
        <f t="shared" si="204"/>
        <v>CHV</v>
      </c>
      <c r="AM1902" s="662" t="str">
        <f t="shared" si="207"/>
        <v>Silverado 2500-LT Crew Cab-4WD-6-6'6"-13000-6.0L-8-CK25743-1LT-153.7-36-E85-Unleaded</v>
      </c>
      <c r="AN1902" s="662" t="str">
        <f t="shared" si="205"/>
        <v>2019-LTK-CHV-SV25-003</v>
      </c>
    </row>
    <row r="1903" spans="1:40" s="572" customFormat="1" ht="15">
      <c r="A1903" s="570" t="s">
        <v>3612</v>
      </c>
      <c r="B1903" s="573" t="s">
        <v>3607</v>
      </c>
      <c r="C1903" s="573" t="s">
        <v>166</v>
      </c>
      <c r="D1903" s="578">
        <v>17</v>
      </c>
      <c r="E1903" s="573" t="s">
        <v>3374</v>
      </c>
      <c r="F1903" s="573" t="s">
        <v>196</v>
      </c>
      <c r="G1903" s="573" t="s">
        <v>153</v>
      </c>
      <c r="H1903" s="573">
        <v>2019</v>
      </c>
      <c r="I1903" s="573" t="s">
        <v>3594</v>
      </c>
      <c r="J1903" s="573" t="s">
        <v>3384</v>
      </c>
      <c r="K1903" s="573" t="s">
        <v>752</v>
      </c>
      <c r="L1903" s="573">
        <v>6</v>
      </c>
      <c r="M1903" s="573">
        <v>0</v>
      </c>
      <c r="N1903" s="573" t="s">
        <v>157</v>
      </c>
      <c r="O1903" s="573">
        <v>2</v>
      </c>
      <c r="P1903" s="573" t="s">
        <v>3508</v>
      </c>
      <c r="Q1903" s="571">
        <v>13000</v>
      </c>
      <c r="R1903" s="573" t="s">
        <v>798</v>
      </c>
      <c r="S1903" s="573">
        <v>8</v>
      </c>
      <c r="T1903" s="573" t="s">
        <v>3608</v>
      </c>
      <c r="U1903" s="573" t="s">
        <v>213</v>
      </c>
      <c r="V1903" s="573">
        <v>167.7</v>
      </c>
      <c r="W1903" s="573">
        <v>36</v>
      </c>
      <c r="X1903" s="571">
        <v>9900</v>
      </c>
      <c r="Y1903" s="573">
        <v>14</v>
      </c>
      <c r="Z1903" s="579" t="s">
        <v>450</v>
      </c>
      <c r="AA1903" s="579" t="s">
        <v>178</v>
      </c>
      <c r="AB1903" s="584">
        <v>48495</v>
      </c>
      <c r="AC1903" s="584" t="s">
        <v>164</v>
      </c>
      <c r="AD1903" s="584">
        <v>32555</v>
      </c>
      <c r="AE1903" s="586">
        <v>7.1999999999999995E-2</v>
      </c>
      <c r="AF1903" s="661" t="str">
        <f t="shared" si="206"/>
        <v>2019-LTK-CHV-SV25-004-17</v>
      </c>
      <c r="AG1903" s="661" t="str">
        <f>IF(AND($Y1903&gt;=32,(AI1903="I"),(Y1903&lt;&gt;"~"),(COUNTIF($AN$1:$AN1903,$AN1903)=1)),"TRUE","FALSE")</f>
        <v>FALSE</v>
      </c>
      <c r="AH1903" s="661" t="str">
        <f>IF(AND($Y1903&gt;=22, (AI1903&lt;&gt;"I"),(Y1903&lt;&gt;"~"),(COUNTIF($AN$1:$AN1903,$AN1903)=1)),"TRUE","FALSE")</f>
        <v>FALSE</v>
      </c>
      <c r="AI1903" s="661" t="str">
        <f t="shared" si="208"/>
        <v>II</v>
      </c>
      <c r="AJ1903" s="662" t="str">
        <f t="shared" si="202"/>
        <v>SV25-004</v>
      </c>
      <c r="AK1903" s="662" t="str">
        <f t="shared" si="203"/>
        <v>LTK</v>
      </c>
      <c r="AL1903" s="662" t="str">
        <f t="shared" si="204"/>
        <v>CHV</v>
      </c>
      <c r="AM1903" s="662" t="str">
        <f t="shared" si="207"/>
        <v>Silverado 2500-LT Crew Cab-4WD-6-8'1"-13000-6.0L-8-CK25943-1LT-167.7-36-E85-Unleaded</v>
      </c>
      <c r="AN1903" s="662" t="str">
        <f t="shared" si="205"/>
        <v>2019-LTK-CHV-SV25-004</v>
      </c>
    </row>
    <row r="1904" spans="1:40" s="572" customFormat="1" ht="15">
      <c r="A1904" s="570" t="s">
        <v>3613</v>
      </c>
      <c r="B1904" s="569" t="s">
        <v>3614</v>
      </c>
      <c r="C1904" s="569" t="s">
        <v>169</v>
      </c>
      <c r="D1904" s="580">
        <v>11</v>
      </c>
      <c r="E1904" s="569" t="s">
        <v>3374</v>
      </c>
      <c r="F1904" s="569" t="s">
        <v>196</v>
      </c>
      <c r="G1904" s="569" t="s">
        <v>153</v>
      </c>
      <c r="H1904" s="569">
        <v>2019</v>
      </c>
      <c r="I1904" s="569" t="s">
        <v>3594</v>
      </c>
      <c r="J1904" s="569" t="s">
        <v>3536</v>
      </c>
      <c r="K1904" s="569" t="s">
        <v>3377</v>
      </c>
      <c r="L1904" s="569">
        <v>6</v>
      </c>
      <c r="M1904" s="569">
        <v>0</v>
      </c>
      <c r="N1904" s="569" t="s">
        <v>157</v>
      </c>
      <c r="O1904" s="569">
        <v>2</v>
      </c>
      <c r="P1904" s="569" t="s">
        <v>3508</v>
      </c>
      <c r="Q1904" s="568">
        <v>13000</v>
      </c>
      <c r="R1904" s="569" t="s">
        <v>798</v>
      </c>
      <c r="S1904" s="569">
        <v>8</v>
      </c>
      <c r="T1904" s="569" t="s">
        <v>3615</v>
      </c>
      <c r="U1904" s="569" t="s">
        <v>213</v>
      </c>
      <c r="V1904" s="569">
        <v>158.1</v>
      </c>
      <c r="W1904" s="569">
        <v>36</v>
      </c>
      <c r="X1904" s="568">
        <v>9500</v>
      </c>
      <c r="Y1904" s="569">
        <v>15</v>
      </c>
      <c r="Z1904" s="581" t="s">
        <v>450</v>
      </c>
      <c r="AA1904" s="581" t="s">
        <v>178</v>
      </c>
      <c r="AB1904" s="585">
        <v>43895</v>
      </c>
      <c r="AC1904" s="585" t="s">
        <v>164</v>
      </c>
      <c r="AD1904" s="585">
        <v>31364.680851063833</v>
      </c>
      <c r="AE1904" s="587">
        <v>0.05</v>
      </c>
      <c r="AF1904" s="661" t="str">
        <f t="shared" si="206"/>
        <v>2019-LTK-CHV-SV25-006-11</v>
      </c>
      <c r="AG1904" s="661" t="str">
        <f>IF(AND($Y1904&gt;=32,(AI1904="I"),(Y1904&lt;&gt;"~"),(COUNTIF($AN$1:$AN1904,$AN1904)=1)),"TRUE","FALSE")</f>
        <v>FALSE</v>
      </c>
      <c r="AH1904" s="661" t="str">
        <f>IF(AND($Y1904&gt;=22, (AI1904&lt;&gt;"I"),(Y1904&lt;&gt;"~"),(COUNTIF($AN$1:$AN1904,$AN1904)=1)),"TRUE","FALSE")</f>
        <v>FALSE</v>
      </c>
      <c r="AI1904" s="661" t="str">
        <f t="shared" si="208"/>
        <v>II</v>
      </c>
      <c r="AJ1904" s="662" t="str">
        <f t="shared" si="202"/>
        <v>SV25-006</v>
      </c>
      <c r="AK1904" s="662" t="str">
        <f t="shared" si="203"/>
        <v>LTK</v>
      </c>
      <c r="AL1904" s="662" t="str">
        <f t="shared" si="204"/>
        <v>CHV</v>
      </c>
      <c r="AM1904" s="662" t="str">
        <f t="shared" si="207"/>
        <v>Silverado 2500-LT Double Cab-2WD-6-8'1"-13000-6.0L-8-CC25953-1LT-158.1-36-E85-Unleaded</v>
      </c>
      <c r="AN1904" s="662" t="str">
        <f t="shared" si="205"/>
        <v>2019-LTK-CHV-SV25-006</v>
      </c>
    </row>
    <row r="1905" spans="1:40" s="572" customFormat="1" ht="15">
      <c r="A1905" s="570" t="s">
        <v>3616</v>
      </c>
      <c r="B1905" s="573" t="s">
        <v>3614</v>
      </c>
      <c r="C1905" s="573" t="s">
        <v>150</v>
      </c>
      <c r="D1905" s="578">
        <v>13</v>
      </c>
      <c r="E1905" s="573" t="s">
        <v>3374</v>
      </c>
      <c r="F1905" s="573" t="s">
        <v>196</v>
      </c>
      <c r="G1905" s="573" t="s">
        <v>153</v>
      </c>
      <c r="H1905" s="573">
        <v>2019</v>
      </c>
      <c r="I1905" s="573" t="s">
        <v>3594</v>
      </c>
      <c r="J1905" s="573" t="s">
        <v>3536</v>
      </c>
      <c r="K1905" s="573" t="s">
        <v>3377</v>
      </c>
      <c r="L1905" s="573">
        <v>6</v>
      </c>
      <c r="M1905" s="573">
        <v>0</v>
      </c>
      <c r="N1905" s="573" t="s">
        <v>157</v>
      </c>
      <c r="O1905" s="573">
        <v>2</v>
      </c>
      <c r="P1905" s="573" t="s">
        <v>3508</v>
      </c>
      <c r="Q1905" s="571">
        <v>13000</v>
      </c>
      <c r="R1905" s="573" t="s">
        <v>798</v>
      </c>
      <c r="S1905" s="573">
        <v>8</v>
      </c>
      <c r="T1905" s="573" t="s">
        <v>3615</v>
      </c>
      <c r="U1905" s="573" t="s">
        <v>213</v>
      </c>
      <c r="V1905" s="573">
        <v>158.1</v>
      </c>
      <c r="W1905" s="573">
        <v>36</v>
      </c>
      <c r="X1905" s="571">
        <v>9500</v>
      </c>
      <c r="Y1905" s="573">
        <v>15</v>
      </c>
      <c r="Z1905" s="579" t="s">
        <v>450</v>
      </c>
      <c r="AA1905" s="579" t="s">
        <v>178</v>
      </c>
      <c r="AB1905" s="584">
        <v>43895</v>
      </c>
      <c r="AC1905" s="584" t="s">
        <v>164</v>
      </c>
      <c r="AD1905" s="584">
        <v>34760</v>
      </c>
      <c r="AE1905" s="586">
        <v>0.03</v>
      </c>
      <c r="AF1905" s="661" t="str">
        <f t="shared" si="206"/>
        <v>2019-LTK-CHV-SV25-006-13</v>
      </c>
      <c r="AG1905" s="661" t="str">
        <f>IF(AND($Y1905&gt;=32,(AI1905="I"),(Y1905&lt;&gt;"~"),(COUNTIF($AN$1:$AN1905,$AN1905)=1)),"TRUE","FALSE")</f>
        <v>FALSE</v>
      </c>
      <c r="AH1905" s="661" t="str">
        <f>IF(AND($Y1905&gt;=22, (AI1905&lt;&gt;"I"),(Y1905&lt;&gt;"~"),(COUNTIF($AN$1:$AN1905,$AN1905)=1)),"TRUE","FALSE")</f>
        <v>FALSE</v>
      </c>
      <c r="AI1905" s="661" t="str">
        <f t="shared" si="208"/>
        <v>II</v>
      </c>
      <c r="AJ1905" s="662" t="str">
        <f t="shared" si="202"/>
        <v>SV25-006</v>
      </c>
      <c r="AK1905" s="662" t="str">
        <f t="shared" si="203"/>
        <v>LTK</v>
      </c>
      <c r="AL1905" s="662" t="str">
        <f t="shared" si="204"/>
        <v>CHV</v>
      </c>
      <c r="AM1905" s="662" t="str">
        <f t="shared" si="207"/>
        <v>Silverado 2500-LT Double Cab-2WD-6-8'1"-13000-6.0L-8-CC25953-1LT-158.1-36-E85-Unleaded</v>
      </c>
      <c r="AN1905" s="662" t="str">
        <f t="shared" si="205"/>
        <v>2019-LTK-CHV-SV25-006</v>
      </c>
    </row>
    <row r="1906" spans="1:40" s="572" customFormat="1" ht="15">
      <c r="A1906" s="570" t="s">
        <v>3617</v>
      </c>
      <c r="B1906" s="569" t="s">
        <v>3614</v>
      </c>
      <c r="C1906" s="569" t="s">
        <v>166</v>
      </c>
      <c r="D1906" s="580">
        <v>17</v>
      </c>
      <c r="E1906" s="569" t="s">
        <v>3374</v>
      </c>
      <c r="F1906" s="569" t="s">
        <v>196</v>
      </c>
      <c r="G1906" s="569" t="s">
        <v>153</v>
      </c>
      <c r="H1906" s="569">
        <v>2019</v>
      </c>
      <c r="I1906" s="569" t="s">
        <v>3594</v>
      </c>
      <c r="J1906" s="569" t="s">
        <v>3536</v>
      </c>
      <c r="K1906" s="569" t="s">
        <v>3377</v>
      </c>
      <c r="L1906" s="569">
        <v>6</v>
      </c>
      <c r="M1906" s="569">
        <v>0</v>
      </c>
      <c r="N1906" s="569" t="s">
        <v>157</v>
      </c>
      <c r="O1906" s="569">
        <v>2</v>
      </c>
      <c r="P1906" s="569" t="s">
        <v>3508</v>
      </c>
      <c r="Q1906" s="568">
        <v>13000</v>
      </c>
      <c r="R1906" s="569" t="s">
        <v>798</v>
      </c>
      <c r="S1906" s="569">
        <v>8</v>
      </c>
      <c r="T1906" s="569" t="s">
        <v>3615</v>
      </c>
      <c r="U1906" s="569" t="s">
        <v>213</v>
      </c>
      <c r="V1906" s="569">
        <v>158.1</v>
      </c>
      <c r="W1906" s="569">
        <v>36</v>
      </c>
      <c r="X1906" s="568">
        <v>9500</v>
      </c>
      <c r="Y1906" s="569">
        <v>15</v>
      </c>
      <c r="Z1906" s="581" t="s">
        <v>450</v>
      </c>
      <c r="AA1906" s="581" t="s">
        <v>178</v>
      </c>
      <c r="AB1906" s="585">
        <v>43895</v>
      </c>
      <c r="AC1906" s="585" t="s">
        <v>164</v>
      </c>
      <c r="AD1906" s="585">
        <v>27998</v>
      </c>
      <c r="AE1906" s="587">
        <v>7.1999999999999995E-2</v>
      </c>
      <c r="AF1906" s="661" t="str">
        <f t="shared" si="206"/>
        <v>2019-LTK-CHV-SV25-006-17</v>
      </c>
      <c r="AG1906" s="661" t="str">
        <f>IF(AND($Y1906&gt;=32,(AI1906="I"),(Y1906&lt;&gt;"~"),(COUNTIF($AN$1:$AN1906,$AN1906)=1)),"TRUE","FALSE")</f>
        <v>FALSE</v>
      </c>
      <c r="AH1906" s="661" t="str">
        <f>IF(AND($Y1906&gt;=22, (AI1906&lt;&gt;"I"),(Y1906&lt;&gt;"~"),(COUNTIF($AN$1:$AN1906,$AN1906)=1)),"TRUE","FALSE")</f>
        <v>FALSE</v>
      </c>
      <c r="AI1906" s="661" t="str">
        <f t="shared" si="208"/>
        <v>II</v>
      </c>
      <c r="AJ1906" s="662" t="str">
        <f t="shared" si="202"/>
        <v>SV25-006</v>
      </c>
      <c r="AK1906" s="662" t="str">
        <f t="shared" si="203"/>
        <v>LTK</v>
      </c>
      <c r="AL1906" s="662" t="str">
        <f t="shared" si="204"/>
        <v>CHV</v>
      </c>
      <c r="AM1906" s="662" t="str">
        <f t="shared" si="207"/>
        <v>Silverado 2500-LT Double Cab-2WD-6-8'1"-13000-6.0L-8-CC25953-1LT-158.1-36-E85-Unleaded</v>
      </c>
      <c r="AN1906" s="662" t="str">
        <f t="shared" si="205"/>
        <v>2019-LTK-CHV-SV25-006</v>
      </c>
    </row>
    <row r="1907" spans="1:40" s="572" customFormat="1" ht="15">
      <c r="A1907" s="570" t="s">
        <v>3618</v>
      </c>
      <c r="B1907" s="573" t="s">
        <v>3619</v>
      </c>
      <c r="C1907" s="573" t="s">
        <v>169</v>
      </c>
      <c r="D1907" s="578">
        <v>11</v>
      </c>
      <c r="E1907" s="573" t="s">
        <v>3374</v>
      </c>
      <c r="F1907" s="573" t="s">
        <v>196</v>
      </c>
      <c r="G1907" s="573" t="s">
        <v>153</v>
      </c>
      <c r="H1907" s="573">
        <v>2019</v>
      </c>
      <c r="I1907" s="573" t="s">
        <v>3594</v>
      </c>
      <c r="J1907" s="573" t="s">
        <v>3536</v>
      </c>
      <c r="K1907" s="573" t="s">
        <v>752</v>
      </c>
      <c r="L1907" s="573">
        <v>6</v>
      </c>
      <c r="M1907" s="573">
        <v>0</v>
      </c>
      <c r="N1907" s="573" t="s">
        <v>157</v>
      </c>
      <c r="O1907" s="573">
        <v>2</v>
      </c>
      <c r="P1907" s="573" t="s">
        <v>3471</v>
      </c>
      <c r="Q1907" s="571">
        <v>13000</v>
      </c>
      <c r="R1907" s="573" t="s">
        <v>798</v>
      </c>
      <c r="S1907" s="573">
        <v>8</v>
      </c>
      <c r="T1907" s="573" t="s">
        <v>3620</v>
      </c>
      <c r="U1907" s="573" t="s">
        <v>213</v>
      </c>
      <c r="V1907" s="573">
        <v>144.19999999999999</v>
      </c>
      <c r="W1907" s="573">
        <v>36</v>
      </c>
      <c r="X1907" s="571">
        <v>9500</v>
      </c>
      <c r="Y1907" s="573">
        <v>14</v>
      </c>
      <c r="Z1907" s="579" t="s">
        <v>450</v>
      </c>
      <c r="AA1907" s="579" t="s">
        <v>178</v>
      </c>
      <c r="AB1907" s="584">
        <v>47095</v>
      </c>
      <c r="AC1907" s="584" t="s">
        <v>164</v>
      </c>
      <c r="AD1907" s="584">
        <v>33797.02127659574</v>
      </c>
      <c r="AE1907" s="586">
        <v>0.05</v>
      </c>
      <c r="AF1907" s="661" t="str">
        <f t="shared" si="206"/>
        <v>2019-LTK-CHV-SV25-007-11</v>
      </c>
      <c r="AG1907" s="661" t="str">
        <f>IF(AND($Y1907&gt;=32,(AI1907="I"),(Y1907&lt;&gt;"~"),(COUNTIF($AN$1:$AN1907,$AN1907)=1)),"TRUE","FALSE")</f>
        <v>FALSE</v>
      </c>
      <c r="AH1907" s="661" t="str">
        <f>IF(AND($Y1907&gt;=22, (AI1907&lt;&gt;"I"),(Y1907&lt;&gt;"~"),(COUNTIF($AN$1:$AN1907,$AN1907)=1)),"TRUE","FALSE")</f>
        <v>FALSE</v>
      </c>
      <c r="AI1907" s="661" t="str">
        <f t="shared" si="208"/>
        <v>II</v>
      </c>
      <c r="AJ1907" s="662" t="str">
        <f t="shared" si="202"/>
        <v>SV25-007</v>
      </c>
      <c r="AK1907" s="662" t="str">
        <f t="shared" si="203"/>
        <v>LTK</v>
      </c>
      <c r="AL1907" s="662" t="str">
        <f t="shared" si="204"/>
        <v>CHV</v>
      </c>
      <c r="AM1907" s="662" t="str">
        <f t="shared" si="207"/>
        <v>Silverado 2500-LT Double Cab-4WD-6-6'6"-13000-6.0L-8-CK25753-1LT-144.2-36-E85-Unleaded</v>
      </c>
      <c r="AN1907" s="662" t="str">
        <f t="shared" si="205"/>
        <v>2019-LTK-CHV-SV25-007</v>
      </c>
    </row>
    <row r="1908" spans="1:40" s="572" customFormat="1" ht="15">
      <c r="A1908" s="570" t="s">
        <v>3621</v>
      </c>
      <c r="B1908" s="569" t="s">
        <v>3622</v>
      </c>
      <c r="C1908" s="569" t="s">
        <v>169</v>
      </c>
      <c r="D1908" s="580">
        <v>11</v>
      </c>
      <c r="E1908" s="569" t="s">
        <v>3374</v>
      </c>
      <c r="F1908" s="569" t="s">
        <v>196</v>
      </c>
      <c r="G1908" s="569" t="s">
        <v>153</v>
      </c>
      <c r="H1908" s="569">
        <v>2019</v>
      </c>
      <c r="I1908" s="569" t="s">
        <v>3594</v>
      </c>
      <c r="J1908" s="569" t="s">
        <v>3536</v>
      </c>
      <c r="K1908" s="569" t="s">
        <v>752</v>
      </c>
      <c r="L1908" s="569">
        <v>6</v>
      </c>
      <c r="M1908" s="569">
        <v>0</v>
      </c>
      <c r="N1908" s="569" t="s">
        <v>157</v>
      </c>
      <c r="O1908" s="569">
        <v>2</v>
      </c>
      <c r="P1908" s="569" t="s">
        <v>3508</v>
      </c>
      <c r="Q1908" s="568">
        <v>13000</v>
      </c>
      <c r="R1908" s="569" t="s">
        <v>798</v>
      </c>
      <c r="S1908" s="569">
        <v>8</v>
      </c>
      <c r="T1908" s="569" t="s">
        <v>3623</v>
      </c>
      <c r="U1908" s="569" t="s">
        <v>213</v>
      </c>
      <c r="V1908" s="569">
        <v>158.1</v>
      </c>
      <c r="W1908" s="569">
        <v>36</v>
      </c>
      <c r="X1908" s="568">
        <v>9500</v>
      </c>
      <c r="Y1908" s="569">
        <v>14</v>
      </c>
      <c r="Z1908" s="581" t="s">
        <v>450</v>
      </c>
      <c r="AA1908" s="581" t="s">
        <v>178</v>
      </c>
      <c r="AB1908" s="585">
        <v>47295</v>
      </c>
      <c r="AC1908" s="585" t="s">
        <v>164</v>
      </c>
      <c r="AD1908" s="585">
        <v>33988.936170212764</v>
      </c>
      <c r="AE1908" s="587">
        <v>0.05</v>
      </c>
      <c r="AF1908" s="661" t="str">
        <f t="shared" si="206"/>
        <v>2019-LTK-CHV-SV25-008-11</v>
      </c>
      <c r="AG1908" s="661" t="str">
        <f>IF(AND($Y1908&gt;=32,(AI1908="I"),(Y1908&lt;&gt;"~"),(COUNTIF($AN$1:$AN1908,$AN1908)=1)),"TRUE","FALSE")</f>
        <v>FALSE</v>
      </c>
      <c r="AH1908" s="661" t="str">
        <f>IF(AND($Y1908&gt;=22, (AI1908&lt;&gt;"I"),(Y1908&lt;&gt;"~"),(COUNTIF($AN$1:$AN1908,$AN1908)=1)),"TRUE","FALSE")</f>
        <v>FALSE</v>
      </c>
      <c r="AI1908" s="661" t="str">
        <f t="shared" si="208"/>
        <v>II</v>
      </c>
      <c r="AJ1908" s="662" t="str">
        <f t="shared" si="202"/>
        <v>SV25-008</v>
      </c>
      <c r="AK1908" s="662" t="str">
        <f t="shared" si="203"/>
        <v>LTK</v>
      </c>
      <c r="AL1908" s="662" t="str">
        <f t="shared" si="204"/>
        <v>CHV</v>
      </c>
      <c r="AM1908" s="662" t="str">
        <f t="shared" si="207"/>
        <v>Silverado 2500-LT Double Cab-4WD-6-8'1"-13000-6.0L-8-CK25953-1LT-158.1-36-E85-Unleaded</v>
      </c>
      <c r="AN1908" s="662" t="str">
        <f t="shared" si="205"/>
        <v>2019-LTK-CHV-SV25-008</v>
      </c>
    </row>
    <row r="1909" spans="1:40" s="572" customFormat="1" ht="15">
      <c r="A1909" s="570" t="s">
        <v>3624</v>
      </c>
      <c r="B1909" s="573" t="s">
        <v>3619</v>
      </c>
      <c r="C1909" s="573" t="s">
        <v>150</v>
      </c>
      <c r="D1909" s="578">
        <v>13</v>
      </c>
      <c r="E1909" s="573" t="s">
        <v>3374</v>
      </c>
      <c r="F1909" s="573" t="s">
        <v>196</v>
      </c>
      <c r="G1909" s="573" t="s">
        <v>153</v>
      </c>
      <c r="H1909" s="573">
        <v>2019</v>
      </c>
      <c r="I1909" s="573" t="s">
        <v>3594</v>
      </c>
      <c r="J1909" s="573" t="s">
        <v>3536</v>
      </c>
      <c r="K1909" s="573" t="s">
        <v>752</v>
      </c>
      <c r="L1909" s="573">
        <v>6</v>
      </c>
      <c r="M1909" s="573">
        <v>0</v>
      </c>
      <c r="N1909" s="573" t="s">
        <v>157</v>
      </c>
      <c r="O1909" s="573">
        <v>2</v>
      </c>
      <c r="P1909" s="573" t="s">
        <v>3471</v>
      </c>
      <c r="Q1909" s="571">
        <v>13000</v>
      </c>
      <c r="R1909" s="573" t="s">
        <v>798</v>
      </c>
      <c r="S1909" s="573">
        <v>8</v>
      </c>
      <c r="T1909" s="573" t="s">
        <v>3620</v>
      </c>
      <c r="U1909" s="573" t="s">
        <v>213</v>
      </c>
      <c r="V1909" s="573">
        <v>144.19999999999999</v>
      </c>
      <c r="W1909" s="573">
        <v>36</v>
      </c>
      <c r="X1909" s="571">
        <v>9500</v>
      </c>
      <c r="Y1909" s="573">
        <v>14</v>
      </c>
      <c r="Z1909" s="579" t="s">
        <v>450</v>
      </c>
      <c r="AA1909" s="579" t="s">
        <v>178</v>
      </c>
      <c r="AB1909" s="584">
        <v>47095</v>
      </c>
      <c r="AC1909" s="584" t="s">
        <v>164</v>
      </c>
      <c r="AD1909" s="584">
        <v>36995</v>
      </c>
      <c r="AE1909" s="586">
        <v>0.03</v>
      </c>
      <c r="AF1909" s="661" t="str">
        <f t="shared" si="206"/>
        <v>2019-LTK-CHV-SV25-007-13</v>
      </c>
      <c r="AG1909" s="661" t="str">
        <f>IF(AND($Y1909&gt;=32,(AI1909="I"),(Y1909&lt;&gt;"~"),(COUNTIF($AN$1:$AN1909,$AN1909)=1)),"TRUE","FALSE")</f>
        <v>FALSE</v>
      </c>
      <c r="AH1909" s="661" t="str">
        <f>IF(AND($Y1909&gt;=22, (AI1909&lt;&gt;"I"),(Y1909&lt;&gt;"~"),(COUNTIF($AN$1:$AN1909,$AN1909)=1)),"TRUE","FALSE")</f>
        <v>FALSE</v>
      </c>
      <c r="AI1909" s="661" t="str">
        <f t="shared" si="208"/>
        <v>II</v>
      </c>
      <c r="AJ1909" s="662" t="str">
        <f t="shared" si="202"/>
        <v>SV25-007</v>
      </c>
      <c r="AK1909" s="662" t="str">
        <f t="shared" si="203"/>
        <v>LTK</v>
      </c>
      <c r="AL1909" s="662" t="str">
        <f t="shared" si="204"/>
        <v>CHV</v>
      </c>
      <c r="AM1909" s="662" t="str">
        <f t="shared" si="207"/>
        <v>Silverado 2500-LT Double Cab-4WD-6-6'6"-13000-6.0L-8-CK25753-1LT-144.2-36-E85-Unleaded</v>
      </c>
      <c r="AN1909" s="662" t="str">
        <f t="shared" si="205"/>
        <v>2019-LTK-CHV-SV25-007</v>
      </c>
    </row>
    <row r="1910" spans="1:40" s="572" customFormat="1" ht="15">
      <c r="A1910" s="570" t="s">
        <v>3625</v>
      </c>
      <c r="B1910" s="569" t="s">
        <v>3622</v>
      </c>
      <c r="C1910" s="569" t="s">
        <v>150</v>
      </c>
      <c r="D1910" s="580">
        <v>13</v>
      </c>
      <c r="E1910" s="569" t="s">
        <v>3374</v>
      </c>
      <c r="F1910" s="569" t="s">
        <v>196</v>
      </c>
      <c r="G1910" s="569" t="s">
        <v>153</v>
      </c>
      <c r="H1910" s="569">
        <v>2019</v>
      </c>
      <c r="I1910" s="569" t="s">
        <v>3594</v>
      </c>
      <c r="J1910" s="569" t="s">
        <v>3536</v>
      </c>
      <c r="K1910" s="569" t="s">
        <v>752</v>
      </c>
      <c r="L1910" s="569">
        <v>6</v>
      </c>
      <c r="M1910" s="569">
        <v>0</v>
      </c>
      <c r="N1910" s="569" t="s">
        <v>157</v>
      </c>
      <c r="O1910" s="569">
        <v>2</v>
      </c>
      <c r="P1910" s="569" t="s">
        <v>3508</v>
      </c>
      <c r="Q1910" s="568">
        <v>13000</v>
      </c>
      <c r="R1910" s="569" t="s">
        <v>798</v>
      </c>
      <c r="S1910" s="569">
        <v>8</v>
      </c>
      <c r="T1910" s="569" t="s">
        <v>3623</v>
      </c>
      <c r="U1910" s="569" t="s">
        <v>213</v>
      </c>
      <c r="V1910" s="569">
        <v>158.1</v>
      </c>
      <c r="W1910" s="569">
        <v>36</v>
      </c>
      <c r="X1910" s="568">
        <v>9500</v>
      </c>
      <c r="Y1910" s="569">
        <v>14</v>
      </c>
      <c r="Z1910" s="581" t="s">
        <v>450</v>
      </c>
      <c r="AA1910" s="581" t="s">
        <v>178</v>
      </c>
      <c r="AB1910" s="585">
        <v>47295</v>
      </c>
      <c r="AC1910" s="585" t="s">
        <v>164</v>
      </c>
      <c r="AD1910" s="585">
        <v>37271</v>
      </c>
      <c r="AE1910" s="587">
        <v>0.03</v>
      </c>
      <c r="AF1910" s="661" t="str">
        <f t="shared" si="206"/>
        <v>2019-LTK-CHV-SV25-008-13</v>
      </c>
      <c r="AG1910" s="661" t="str">
        <f>IF(AND($Y1910&gt;=32,(AI1910="I"),(Y1910&lt;&gt;"~"),(COUNTIF($AN$1:$AN1910,$AN1910)=1)),"TRUE","FALSE")</f>
        <v>FALSE</v>
      </c>
      <c r="AH1910" s="661" t="str">
        <f>IF(AND($Y1910&gt;=22, (AI1910&lt;&gt;"I"),(Y1910&lt;&gt;"~"),(COUNTIF($AN$1:$AN1910,$AN1910)=1)),"TRUE","FALSE")</f>
        <v>FALSE</v>
      </c>
      <c r="AI1910" s="661" t="str">
        <f t="shared" si="208"/>
        <v>II</v>
      </c>
      <c r="AJ1910" s="662" t="str">
        <f t="shared" si="202"/>
        <v>SV25-008</v>
      </c>
      <c r="AK1910" s="662" t="str">
        <f t="shared" si="203"/>
        <v>LTK</v>
      </c>
      <c r="AL1910" s="662" t="str">
        <f t="shared" si="204"/>
        <v>CHV</v>
      </c>
      <c r="AM1910" s="662" t="str">
        <f t="shared" si="207"/>
        <v>Silverado 2500-LT Double Cab-4WD-6-8'1"-13000-6.0L-8-CK25953-1LT-158.1-36-E85-Unleaded</v>
      </c>
      <c r="AN1910" s="662" t="str">
        <f t="shared" si="205"/>
        <v>2019-LTK-CHV-SV25-008</v>
      </c>
    </row>
    <row r="1911" spans="1:40" s="572" customFormat="1" ht="15">
      <c r="A1911" s="570" t="s">
        <v>3626</v>
      </c>
      <c r="B1911" s="573" t="s">
        <v>3619</v>
      </c>
      <c r="C1911" s="573" t="s">
        <v>166</v>
      </c>
      <c r="D1911" s="578">
        <v>17</v>
      </c>
      <c r="E1911" s="573" t="s">
        <v>3374</v>
      </c>
      <c r="F1911" s="573" t="s">
        <v>196</v>
      </c>
      <c r="G1911" s="573" t="s">
        <v>153</v>
      </c>
      <c r="H1911" s="573">
        <v>2019</v>
      </c>
      <c r="I1911" s="573" t="s">
        <v>3594</v>
      </c>
      <c r="J1911" s="573" t="s">
        <v>3536</v>
      </c>
      <c r="K1911" s="573" t="s">
        <v>752</v>
      </c>
      <c r="L1911" s="573">
        <v>6</v>
      </c>
      <c r="M1911" s="573">
        <v>0</v>
      </c>
      <c r="N1911" s="573" t="s">
        <v>157</v>
      </c>
      <c r="O1911" s="573">
        <v>2</v>
      </c>
      <c r="P1911" s="573" t="s">
        <v>3471</v>
      </c>
      <c r="Q1911" s="571">
        <v>13000</v>
      </c>
      <c r="R1911" s="573" t="s">
        <v>798</v>
      </c>
      <c r="S1911" s="573">
        <v>8</v>
      </c>
      <c r="T1911" s="573" t="s">
        <v>3620</v>
      </c>
      <c r="U1911" s="573" t="s">
        <v>213</v>
      </c>
      <c r="V1911" s="573">
        <v>144.19999999999999</v>
      </c>
      <c r="W1911" s="573">
        <v>36</v>
      </c>
      <c r="X1911" s="571">
        <v>9500</v>
      </c>
      <c r="Y1911" s="573">
        <v>14</v>
      </c>
      <c r="Z1911" s="579" t="s">
        <v>450</v>
      </c>
      <c r="AA1911" s="579" t="s">
        <v>178</v>
      </c>
      <c r="AB1911" s="584">
        <v>47095</v>
      </c>
      <c r="AC1911" s="584" t="s">
        <v>164</v>
      </c>
      <c r="AD1911" s="584">
        <v>30125</v>
      </c>
      <c r="AE1911" s="586">
        <v>7.1999999999999995E-2</v>
      </c>
      <c r="AF1911" s="661" t="str">
        <f t="shared" si="206"/>
        <v>2019-LTK-CHV-SV25-007-17</v>
      </c>
      <c r="AG1911" s="661" t="str">
        <f>IF(AND($Y1911&gt;=32,(AI1911="I"),(Y1911&lt;&gt;"~"),(COUNTIF($AN$1:$AN1911,$AN1911)=1)),"TRUE","FALSE")</f>
        <v>FALSE</v>
      </c>
      <c r="AH1911" s="661" t="str">
        <f>IF(AND($Y1911&gt;=22, (AI1911&lt;&gt;"I"),(Y1911&lt;&gt;"~"),(COUNTIF($AN$1:$AN1911,$AN1911)=1)),"TRUE","FALSE")</f>
        <v>FALSE</v>
      </c>
      <c r="AI1911" s="661" t="str">
        <f t="shared" si="208"/>
        <v>II</v>
      </c>
      <c r="AJ1911" s="662" t="str">
        <f t="shared" si="202"/>
        <v>SV25-007</v>
      </c>
      <c r="AK1911" s="662" t="str">
        <f t="shared" si="203"/>
        <v>LTK</v>
      </c>
      <c r="AL1911" s="662" t="str">
        <f t="shared" si="204"/>
        <v>CHV</v>
      </c>
      <c r="AM1911" s="662" t="str">
        <f t="shared" si="207"/>
        <v>Silverado 2500-LT Double Cab-4WD-6-6'6"-13000-6.0L-8-CK25753-1LT-144.2-36-E85-Unleaded</v>
      </c>
      <c r="AN1911" s="662" t="str">
        <f t="shared" si="205"/>
        <v>2019-LTK-CHV-SV25-007</v>
      </c>
    </row>
    <row r="1912" spans="1:40" s="572" customFormat="1" ht="15">
      <c r="A1912" s="570" t="s">
        <v>3627</v>
      </c>
      <c r="B1912" s="569" t="s">
        <v>3622</v>
      </c>
      <c r="C1912" s="569" t="s">
        <v>166</v>
      </c>
      <c r="D1912" s="580">
        <v>17</v>
      </c>
      <c r="E1912" s="569" t="s">
        <v>3374</v>
      </c>
      <c r="F1912" s="569" t="s">
        <v>196</v>
      </c>
      <c r="G1912" s="569" t="s">
        <v>153</v>
      </c>
      <c r="H1912" s="569">
        <v>2019</v>
      </c>
      <c r="I1912" s="569" t="s">
        <v>3594</v>
      </c>
      <c r="J1912" s="569" t="s">
        <v>3536</v>
      </c>
      <c r="K1912" s="569" t="s">
        <v>752</v>
      </c>
      <c r="L1912" s="569">
        <v>6</v>
      </c>
      <c r="M1912" s="569">
        <v>0</v>
      </c>
      <c r="N1912" s="569" t="s">
        <v>157</v>
      </c>
      <c r="O1912" s="569">
        <v>2</v>
      </c>
      <c r="P1912" s="569" t="s">
        <v>3508</v>
      </c>
      <c r="Q1912" s="568">
        <v>13000</v>
      </c>
      <c r="R1912" s="569" t="s">
        <v>798</v>
      </c>
      <c r="S1912" s="569">
        <v>8</v>
      </c>
      <c r="T1912" s="569" t="s">
        <v>3623</v>
      </c>
      <c r="U1912" s="569" t="s">
        <v>213</v>
      </c>
      <c r="V1912" s="569">
        <v>158.1</v>
      </c>
      <c r="W1912" s="569">
        <v>36</v>
      </c>
      <c r="X1912" s="568">
        <v>9500</v>
      </c>
      <c r="Y1912" s="569">
        <v>14</v>
      </c>
      <c r="Z1912" s="581" t="s">
        <v>450</v>
      </c>
      <c r="AA1912" s="581" t="s">
        <v>178</v>
      </c>
      <c r="AB1912" s="585">
        <v>47295</v>
      </c>
      <c r="AC1912" s="585" t="s">
        <v>164</v>
      </c>
      <c r="AD1912" s="585">
        <v>29755</v>
      </c>
      <c r="AE1912" s="587">
        <v>7.1999999999999995E-2</v>
      </c>
      <c r="AF1912" s="661" t="str">
        <f t="shared" si="206"/>
        <v>2019-LTK-CHV-SV25-008-17</v>
      </c>
      <c r="AG1912" s="661" t="str">
        <f>IF(AND($Y1912&gt;=32,(AI1912="I"),(Y1912&lt;&gt;"~"),(COUNTIF($AN$1:$AN1912,$AN1912)=1)),"TRUE","FALSE")</f>
        <v>FALSE</v>
      </c>
      <c r="AH1912" s="661" t="str">
        <f>IF(AND($Y1912&gt;=22, (AI1912&lt;&gt;"I"),(Y1912&lt;&gt;"~"),(COUNTIF($AN$1:$AN1912,$AN1912)=1)),"TRUE","FALSE")</f>
        <v>FALSE</v>
      </c>
      <c r="AI1912" s="661" t="str">
        <f t="shared" si="208"/>
        <v>II</v>
      </c>
      <c r="AJ1912" s="662" t="str">
        <f t="shared" si="202"/>
        <v>SV25-008</v>
      </c>
      <c r="AK1912" s="662" t="str">
        <f t="shared" si="203"/>
        <v>LTK</v>
      </c>
      <c r="AL1912" s="662" t="str">
        <f t="shared" si="204"/>
        <v>CHV</v>
      </c>
      <c r="AM1912" s="662" t="str">
        <f t="shared" si="207"/>
        <v>Silverado 2500-LT Double Cab-4WD-6-8'1"-13000-6.0L-8-CK25953-1LT-158.1-36-E85-Unleaded</v>
      </c>
      <c r="AN1912" s="662" t="str">
        <f t="shared" si="205"/>
        <v>2019-LTK-CHV-SV25-008</v>
      </c>
    </row>
    <row r="1913" spans="1:40" s="572" customFormat="1" ht="15">
      <c r="A1913" s="570" t="s">
        <v>3628</v>
      </c>
      <c r="B1913" s="573" t="s">
        <v>3629</v>
      </c>
      <c r="C1913" s="573" t="s">
        <v>150</v>
      </c>
      <c r="D1913" s="578">
        <v>13</v>
      </c>
      <c r="E1913" s="573" t="s">
        <v>3374</v>
      </c>
      <c r="F1913" s="573" t="s">
        <v>196</v>
      </c>
      <c r="G1913" s="573" t="s">
        <v>153</v>
      </c>
      <c r="H1913" s="573">
        <v>2019</v>
      </c>
      <c r="I1913" s="573" t="s">
        <v>3594</v>
      </c>
      <c r="J1913" s="573" t="s">
        <v>3630</v>
      </c>
      <c r="K1913" s="573" t="s">
        <v>3377</v>
      </c>
      <c r="L1913" s="573">
        <v>3</v>
      </c>
      <c r="M1913" s="573">
        <v>0</v>
      </c>
      <c r="N1913" s="573" t="s">
        <v>157</v>
      </c>
      <c r="O1913" s="573">
        <v>1</v>
      </c>
      <c r="P1913" s="573" t="s">
        <v>3508</v>
      </c>
      <c r="Q1913" s="571">
        <v>13000</v>
      </c>
      <c r="R1913" s="573" t="s">
        <v>798</v>
      </c>
      <c r="S1913" s="573">
        <v>8</v>
      </c>
      <c r="T1913" s="573" t="s">
        <v>3631</v>
      </c>
      <c r="U1913" s="573" t="s">
        <v>213</v>
      </c>
      <c r="V1913" s="573">
        <v>133.6</v>
      </c>
      <c r="W1913" s="573">
        <v>36</v>
      </c>
      <c r="X1913" s="571">
        <v>9300</v>
      </c>
      <c r="Y1913" s="573">
        <v>15</v>
      </c>
      <c r="Z1913" s="579" t="s">
        <v>450</v>
      </c>
      <c r="AA1913" s="579" t="s">
        <v>178</v>
      </c>
      <c r="AB1913" s="584">
        <v>42309</v>
      </c>
      <c r="AC1913" s="584" t="s">
        <v>164</v>
      </c>
      <c r="AD1913" s="584">
        <v>37896</v>
      </c>
      <c r="AE1913" s="586">
        <v>0.03</v>
      </c>
      <c r="AF1913" s="661" t="str">
        <f t="shared" si="206"/>
        <v>2019-LTK-CHV-SV25-009-13</v>
      </c>
      <c r="AG1913" s="661" t="str">
        <f>IF(AND($Y1913&gt;=32,(AI1913="I"),(Y1913&lt;&gt;"~"),(COUNTIF($AN$1:$AN1913,$AN1913)=1)),"TRUE","FALSE")</f>
        <v>FALSE</v>
      </c>
      <c r="AH1913" s="661" t="str">
        <f>IF(AND($Y1913&gt;=22, (AI1913&lt;&gt;"I"),(Y1913&lt;&gt;"~"),(COUNTIF($AN$1:$AN1913,$AN1913)=1)),"TRUE","FALSE")</f>
        <v>FALSE</v>
      </c>
      <c r="AI1913" s="661" t="str">
        <f t="shared" si="208"/>
        <v>II</v>
      </c>
      <c r="AJ1913" s="662" t="str">
        <f t="shared" si="202"/>
        <v>SV25-009</v>
      </c>
      <c r="AK1913" s="662" t="str">
        <f t="shared" si="203"/>
        <v>LTK</v>
      </c>
      <c r="AL1913" s="662" t="str">
        <f t="shared" si="204"/>
        <v>CHV</v>
      </c>
      <c r="AM1913" s="662" t="str">
        <f t="shared" si="207"/>
        <v>Silverado 2500-LT Regular Cab-2WD-3-8'1"-13000-6.0L-8-CC25903-1LT-133.6-36-E85-Unleaded</v>
      </c>
      <c r="AN1913" s="662" t="str">
        <f t="shared" si="205"/>
        <v>2019-LTK-CHV-SV25-009</v>
      </c>
    </row>
    <row r="1914" spans="1:40" s="572" customFormat="1" ht="15">
      <c r="A1914" s="570" t="s">
        <v>3632</v>
      </c>
      <c r="B1914" s="569" t="s">
        <v>3633</v>
      </c>
      <c r="C1914" s="569" t="s">
        <v>150</v>
      </c>
      <c r="D1914" s="580">
        <v>13</v>
      </c>
      <c r="E1914" s="569" t="s">
        <v>3374</v>
      </c>
      <c r="F1914" s="569" t="s">
        <v>196</v>
      </c>
      <c r="G1914" s="569" t="s">
        <v>153</v>
      </c>
      <c r="H1914" s="569">
        <v>2019</v>
      </c>
      <c r="I1914" s="569" t="s">
        <v>3594</v>
      </c>
      <c r="J1914" s="569" t="s">
        <v>3630</v>
      </c>
      <c r="K1914" s="569" t="s">
        <v>752</v>
      </c>
      <c r="L1914" s="569">
        <v>3</v>
      </c>
      <c r="M1914" s="569">
        <v>0</v>
      </c>
      <c r="N1914" s="569" t="s">
        <v>157</v>
      </c>
      <c r="O1914" s="569">
        <v>1</v>
      </c>
      <c r="P1914" s="569" t="s">
        <v>3508</v>
      </c>
      <c r="Q1914" s="568">
        <v>13000</v>
      </c>
      <c r="R1914" s="569" t="s">
        <v>798</v>
      </c>
      <c r="S1914" s="569">
        <v>8</v>
      </c>
      <c r="T1914" s="569" t="s">
        <v>3634</v>
      </c>
      <c r="U1914" s="569" t="s">
        <v>213</v>
      </c>
      <c r="V1914" s="569">
        <v>133.6</v>
      </c>
      <c r="W1914" s="569">
        <v>36</v>
      </c>
      <c r="X1914" s="568">
        <v>9500</v>
      </c>
      <c r="Y1914" s="569">
        <v>14</v>
      </c>
      <c r="Z1914" s="581" t="s">
        <v>450</v>
      </c>
      <c r="AA1914" s="581" t="s">
        <v>178</v>
      </c>
      <c r="AB1914" s="585">
        <v>45564</v>
      </c>
      <c r="AC1914" s="585" t="s">
        <v>164</v>
      </c>
      <c r="AD1914" s="585">
        <v>39380</v>
      </c>
      <c r="AE1914" s="587">
        <v>0.03</v>
      </c>
      <c r="AF1914" s="661" t="str">
        <f t="shared" si="206"/>
        <v>2019-LTK-CHV-SV25-010-13</v>
      </c>
      <c r="AG1914" s="661" t="str">
        <f>IF(AND($Y1914&gt;=32,(AI1914="I"),(Y1914&lt;&gt;"~"),(COUNTIF($AN$1:$AN1914,$AN1914)=1)),"TRUE","FALSE")</f>
        <v>FALSE</v>
      </c>
      <c r="AH1914" s="661" t="str">
        <f>IF(AND($Y1914&gt;=22, (AI1914&lt;&gt;"I"),(Y1914&lt;&gt;"~"),(COUNTIF($AN$1:$AN1914,$AN1914)=1)),"TRUE","FALSE")</f>
        <v>FALSE</v>
      </c>
      <c r="AI1914" s="661" t="str">
        <f t="shared" si="208"/>
        <v>II</v>
      </c>
      <c r="AJ1914" s="662" t="str">
        <f t="shared" si="202"/>
        <v>SV25-010</v>
      </c>
      <c r="AK1914" s="662" t="str">
        <f t="shared" si="203"/>
        <v>LTK</v>
      </c>
      <c r="AL1914" s="662" t="str">
        <f t="shared" si="204"/>
        <v>CHV</v>
      </c>
      <c r="AM1914" s="662" t="str">
        <f t="shared" si="207"/>
        <v>Silverado 2500-LT Regular Cab-4WD-3-8'1"-13000-6.0L-8-CK25903-1LT-133.6-36-E85-Unleaded</v>
      </c>
      <c r="AN1914" s="662" t="str">
        <f t="shared" si="205"/>
        <v>2019-LTK-CHV-SV25-010</v>
      </c>
    </row>
    <row r="1915" spans="1:40" s="572" customFormat="1" ht="15">
      <c r="A1915" s="570" t="s">
        <v>3635</v>
      </c>
      <c r="B1915" s="573" t="s">
        <v>3636</v>
      </c>
      <c r="C1915" s="573" t="s">
        <v>169</v>
      </c>
      <c r="D1915" s="578">
        <v>11</v>
      </c>
      <c r="E1915" s="573" t="s">
        <v>3374</v>
      </c>
      <c r="F1915" s="573" t="s">
        <v>196</v>
      </c>
      <c r="G1915" s="573" t="s">
        <v>153</v>
      </c>
      <c r="H1915" s="573">
        <v>2019</v>
      </c>
      <c r="I1915" s="573" t="s">
        <v>3594</v>
      </c>
      <c r="J1915" s="573" t="s">
        <v>3410</v>
      </c>
      <c r="K1915" s="573" t="s">
        <v>3377</v>
      </c>
      <c r="L1915" s="573">
        <v>6</v>
      </c>
      <c r="M1915" s="573">
        <v>0</v>
      </c>
      <c r="N1915" s="573" t="s">
        <v>157</v>
      </c>
      <c r="O1915" s="573">
        <v>2</v>
      </c>
      <c r="P1915" s="573" t="s">
        <v>3471</v>
      </c>
      <c r="Q1915" s="571">
        <v>13000</v>
      </c>
      <c r="R1915" s="573" t="s">
        <v>798</v>
      </c>
      <c r="S1915" s="573">
        <v>8</v>
      </c>
      <c r="T1915" s="573" t="s">
        <v>3595</v>
      </c>
      <c r="U1915" s="573" t="s">
        <v>1522</v>
      </c>
      <c r="V1915" s="573">
        <v>153.69999999999999</v>
      </c>
      <c r="W1915" s="573">
        <v>36</v>
      </c>
      <c r="X1915" s="571">
        <v>9500</v>
      </c>
      <c r="Y1915" s="573">
        <v>15</v>
      </c>
      <c r="Z1915" s="579" t="s">
        <v>450</v>
      </c>
      <c r="AA1915" s="579" t="s">
        <v>178</v>
      </c>
      <c r="AB1915" s="584">
        <v>39695</v>
      </c>
      <c r="AC1915" s="584" t="s">
        <v>164</v>
      </c>
      <c r="AD1915" s="584">
        <v>29549.361702127662</v>
      </c>
      <c r="AE1915" s="586">
        <v>0.05</v>
      </c>
      <c r="AF1915" s="661" t="str">
        <f t="shared" si="206"/>
        <v>2019-LTK-CHV-SV25-011-11</v>
      </c>
      <c r="AG1915" s="661" t="str">
        <f>IF(AND($Y1915&gt;=32,(AI1915="I"),(Y1915&lt;&gt;"~"),(COUNTIF($AN$1:$AN1915,$AN1915)=1)),"TRUE","FALSE")</f>
        <v>FALSE</v>
      </c>
      <c r="AH1915" s="661" t="str">
        <f>IF(AND($Y1915&gt;=22, (AI1915&lt;&gt;"I"),(Y1915&lt;&gt;"~"),(COUNTIF($AN$1:$AN1915,$AN1915)=1)),"TRUE","FALSE")</f>
        <v>FALSE</v>
      </c>
      <c r="AI1915" s="661" t="str">
        <f t="shared" si="208"/>
        <v>II</v>
      </c>
      <c r="AJ1915" s="662" t="str">
        <f t="shared" si="202"/>
        <v>SV25-011</v>
      </c>
      <c r="AK1915" s="662" t="str">
        <f t="shared" si="203"/>
        <v>LTK</v>
      </c>
      <c r="AL1915" s="662" t="str">
        <f t="shared" si="204"/>
        <v>CHV</v>
      </c>
      <c r="AM1915" s="662" t="str">
        <f t="shared" si="207"/>
        <v>Silverado 2500-WT Crew Cab-2WD-6-6'6"-13000-6.0L-8-CC25743-1WT-153.7-36-E85-Unleaded</v>
      </c>
      <c r="AN1915" s="662" t="str">
        <f t="shared" si="205"/>
        <v>2019-LTK-CHV-SV25-011</v>
      </c>
    </row>
    <row r="1916" spans="1:40" s="572" customFormat="1" ht="15">
      <c r="A1916" s="570" t="s">
        <v>3637</v>
      </c>
      <c r="B1916" s="569" t="s">
        <v>3638</v>
      </c>
      <c r="C1916" s="569" t="s">
        <v>169</v>
      </c>
      <c r="D1916" s="580">
        <v>11</v>
      </c>
      <c r="E1916" s="569" t="s">
        <v>3374</v>
      </c>
      <c r="F1916" s="569" t="s">
        <v>196</v>
      </c>
      <c r="G1916" s="569" t="s">
        <v>153</v>
      </c>
      <c r="H1916" s="569">
        <v>2019</v>
      </c>
      <c r="I1916" s="569" t="s">
        <v>3594</v>
      </c>
      <c r="J1916" s="569" t="s">
        <v>3410</v>
      </c>
      <c r="K1916" s="569" t="s">
        <v>3377</v>
      </c>
      <c r="L1916" s="569">
        <v>6</v>
      </c>
      <c r="M1916" s="569">
        <v>0</v>
      </c>
      <c r="N1916" s="569" t="s">
        <v>157</v>
      </c>
      <c r="O1916" s="569">
        <v>2</v>
      </c>
      <c r="P1916" s="569" t="s">
        <v>3508</v>
      </c>
      <c r="Q1916" s="568">
        <v>13000</v>
      </c>
      <c r="R1916" s="569" t="s">
        <v>798</v>
      </c>
      <c r="S1916" s="569">
        <v>8</v>
      </c>
      <c r="T1916" s="569" t="s">
        <v>3598</v>
      </c>
      <c r="U1916" s="569" t="s">
        <v>1522</v>
      </c>
      <c r="V1916" s="569">
        <v>167.7</v>
      </c>
      <c r="W1916" s="569">
        <v>36</v>
      </c>
      <c r="X1916" s="568">
        <v>9500</v>
      </c>
      <c r="Y1916" s="569">
        <v>15</v>
      </c>
      <c r="Z1916" s="581" t="s">
        <v>450</v>
      </c>
      <c r="AA1916" s="581" t="s">
        <v>178</v>
      </c>
      <c r="AB1916" s="585">
        <v>39895</v>
      </c>
      <c r="AC1916" s="585" t="s">
        <v>164</v>
      </c>
      <c r="AD1916" s="585">
        <v>29743.404255319154</v>
      </c>
      <c r="AE1916" s="587">
        <v>0.05</v>
      </c>
      <c r="AF1916" s="661" t="str">
        <f t="shared" si="206"/>
        <v>2019-LTK-CHV-SV25-012-11</v>
      </c>
      <c r="AG1916" s="661" t="str">
        <f>IF(AND($Y1916&gt;=32,(AI1916="I"),(Y1916&lt;&gt;"~"),(COUNTIF($AN$1:$AN1916,$AN1916)=1)),"TRUE","FALSE")</f>
        <v>FALSE</v>
      </c>
      <c r="AH1916" s="661" t="str">
        <f>IF(AND($Y1916&gt;=22, (AI1916&lt;&gt;"I"),(Y1916&lt;&gt;"~"),(COUNTIF($AN$1:$AN1916,$AN1916)=1)),"TRUE","FALSE")</f>
        <v>FALSE</v>
      </c>
      <c r="AI1916" s="661" t="str">
        <f t="shared" si="208"/>
        <v>II</v>
      </c>
      <c r="AJ1916" s="662" t="str">
        <f t="shared" si="202"/>
        <v>SV25-012</v>
      </c>
      <c r="AK1916" s="662" t="str">
        <f t="shared" si="203"/>
        <v>LTK</v>
      </c>
      <c r="AL1916" s="662" t="str">
        <f t="shared" si="204"/>
        <v>CHV</v>
      </c>
      <c r="AM1916" s="662" t="str">
        <f t="shared" si="207"/>
        <v>Silverado 2500-WT Crew Cab-2WD-6-8'1"-13000-6.0L-8-CC25943-1WT-167.7-36-E85-Unleaded</v>
      </c>
      <c r="AN1916" s="662" t="str">
        <f t="shared" si="205"/>
        <v>2019-LTK-CHV-SV25-012</v>
      </c>
    </row>
    <row r="1917" spans="1:40" s="572" customFormat="1" ht="15">
      <c r="A1917" s="570" t="s">
        <v>3639</v>
      </c>
      <c r="B1917" s="573" t="s">
        <v>3636</v>
      </c>
      <c r="C1917" s="573" t="s">
        <v>150</v>
      </c>
      <c r="D1917" s="578">
        <v>13</v>
      </c>
      <c r="E1917" s="573" t="s">
        <v>3374</v>
      </c>
      <c r="F1917" s="573" t="s">
        <v>196</v>
      </c>
      <c r="G1917" s="573" t="s">
        <v>153</v>
      </c>
      <c r="H1917" s="573">
        <v>2019</v>
      </c>
      <c r="I1917" s="573" t="s">
        <v>3594</v>
      </c>
      <c r="J1917" s="573" t="s">
        <v>3410</v>
      </c>
      <c r="K1917" s="573" t="s">
        <v>3377</v>
      </c>
      <c r="L1917" s="573">
        <v>6</v>
      </c>
      <c r="M1917" s="573">
        <v>0</v>
      </c>
      <c r="N1917" s="573" t="s">
        <v>157</v>
      </c>
      <c r="O1917" s="573">
        <v>2</v>
      </c>
      <c r="P1917" s="573" t="s">
        <v>3471</v>
      </c>
      <c r="Q1917" s="571">
        <v>13000</v>
      </c>
      <c r="R1917" s="573" t="s">
        <v>798</v>
      </c>
      <c r="S1917" s="573">
        <v>8</v>
      </c>
      <c r="T1917" s="573" t="s">
        <v>3595</v>
      </c>
      <c r="U1917" s="573" t="s">
        <v>1522</v>
      </c>
      <c r="V1917" s="573">
        <v>153.69999999999999</v>
      </c>
      <c r="W1917" s="573">
        <v>36</v>
      </c>
      <c r="X1917" s="571">
        <v>9500</v>
      </c>
      <c r="Y1917" s="573">
        <v>15</v>
      </c>
      <c r="Z1917" s="579" t="s">
        <v>450</v>
      </c>
      <c r="AA1917" s="579" t="s">
        <v>178</v>
      </c>
      <c r="AB1917" s="584">
        <v>39695</v>
      </c>
      <c r="AC1917" s="584" t="s">
        <v>164</v>
      </c>
      <c r="AD1917" s="584">
        <v>31724</v>
      </c>
      <c r="AE1917" s="586">
        <v>0.03</v>
      </c>
      <c r="AF1917" s="661" t="str">
        <f t="shared" si="206"/>
        <v>2019-LTK-CHV-SV25-011-13</v>
      </c>
      <c r="AG1917" s="661" t="str">
        <f>IF(AND($Y1917&gt;=32,(AI1917="I"),(Y1917&lt;&gt;"~"),(COUNTIF($AN$1:$AN1917,$AN1917)=1)),"TRUE","FALSE")</f>
        <v>FALSE</v>
      </c>
      <c r="AH1917" s="661" t="str">
        <f>IF(AND($Y1917&gt;=22, (AI1917&lt;&gt;"I"),(Y1917&lt;&gt;"~"),(COUNTIF($AN$1:$AN1917,$AN1917)=1)),"TRUE","FALSE")</f>
        <v>FALSE</v>
      </c>
      <c r="AI1917" s="661" t="str">
        <f t="shared" si="208"/>
        <v>II</v>
      </c>
      <c r="AJ1917" s="662" t="str">
        <f t="shared" si="202"/>
        <v>SV25-011</v>
      </c>
      <c r="AK1917" s="662" t="str">
        <f t="shared" si="203"/>
        <v>LTK</v>
      </c>
      <c r="AL1917" s="662" t="str">
        <f t="shared" si="204"/>
        <v>CHV</v>
      </c>
      <c r="AM1917" s="662" t="str">
        <f t="shared" si="207"/>
        <v>Silverado 2500-WT Crew Cab-2WD-6-6'6"-13000-6.0L-8-CC25743-1WT-153.7-36-E85-Unleaded</v>
      </c>
      <c r="AN1917" s="662" t="str">
        <f t="shared" si="205"/>
        <v>2019-LTK-CHV-SV25-011</v>
      </c>
    </row>
    <row r="1918" spans="1:40" s="572" customFormat="1" ht="15">
      <c r="A1918" s="570" t="s">
        <v>3640</v>
      </c>
      <c r="B1918" s="569" t="s">
        <v>3638</v>
      </c>
      <c r="C1918" s="569" t="s">
        <v>150</v>
      </c>
      <c r="D1918" s="580">
        <v>13</v>
      </c>
      <c r="E1918" s="569" t="s">
        <v>3374</v>
      </c>
      <c r="F1918" s="569" t="s">
        <v>196</v>
      </c>
      <c r="G1918" s="569" t="s">
        <v>153</v>
      </c>
      <c r="H1918" s="569">
        <v>2019</v>
      </c>
      <c r="I1918" s="569" t="s">
        <v>3594</v>
      </c>
      <c r="J1918" s="569" t="s">
        <v>3410</v>
      </c>
      <c r="K1918" s="569" t="s">
        <v>3377</v>
      </c>
      <c r="L1918" s="569">
        <v>6</v>
      </c>
      <c r="M1918" s="569">
        <v>0</v>
      </c>
      <c r="N1918" s="569" t="s">
        <v>157</v>
      </c>
      <c r="O1918" s="569">
        <v>2</v>
      </c>
      <c r="P1918" s="569" t="s">
        <v>3508</v>
      </c>
      <c r="Q1918" s="568">
        <v>13000</v>
      </c>
      <c r="R1918" s="569" t="s">
        <v>798</v>
      </c>
      <c r="S1918" s="569">
        <v>8</v>
      </c>
      <c r="T1918" s="569" t="s">
        <v>3598</v>
      </c>
      <c r="U1918" s="569" t="s">
        <v>1522</v>
      </c>
      <c r="V1918" s="569">
        <v>167.7</v>
      </c>
      <c r="W1918" s="569">
        <v>36</v>
      </c>
      <c r="X1918" s="568">
        <v>9500</v>
      </c>
      <c r="Y1918" s="569">
        <v>15</v>
      </c>
      <c r="Z1918" s="581" t="s">
        <v>450</v>
      </c>
      <c r="AA1918" s="581" t="s">
        <v>178</v>
      </c>
      <c r="AB1918" s="585">
        <v>39895</v>
      </c>
      <c r="AC1918" s="585" t="s">
        <v>164</v>
      </c>
      <c r="AD1918" s="585">
        <v>32002</v>
      </c>
      <c r="AE1918" s="587">
        <v>0.03</v>
      </c>
      <c r="AF1918" s="661" t="str">
        <f t="shared" si="206"/>
        <v>2019-LTK-CHV-SV25-012-13</v>
      </c>
      <c r="AG1918" s="661" t="str">
        <f>IF(AND($Y1918&gt;=32,(AI1918="I"),(Y1918&lt;&gt;"~"),(COUNTIF($AN$1:$AN1918,$AN1918)=1)),"TRUE","FALSE")</f>
        <v>FALSE</v>
      </c>
      <c r="AH1918" s="661" t="str">
        <f>IF(AND($Y1918&gt;=22, (AI1918&lt;&gt;"I"),(Y1918&lt;&gt;"~"),(COUNTIF($AN$1:$AN1918,$AN1918)=1)),"TRUE","FALSE")</f>
        <v>FALSE</v>
      </c>
      <c r="AI1918" s="661" t="str">
        <f t="shared" si="208"/>
        <v>II</v>
      </c>
      <c r="AJ1918" s="662" t="str">
        <f t="shared" si="202"/>
        <v>SV25-012</v>
      </c>
      <c r="AK1918" s="662" t="str">
        <f t="shared" si="203"/>
        <v>LTK</v>
      </c>
      <c r="AL1918" s="662" t="str">
        <f t="shared" si="204"/>
        <v>CHV</v>
      </c>
      <c r="AM1918" s="662" t="str">
        <f t="shared" si="207"/>
        <v>Silverado 2500-WT Crew Cab-2WD-6-8'1"-13000-6.0L-8-CC25943-1WT-167.7-36-E85-Unleaded</v>
      </c>
      <c r="AN1918" s="662" t="str">
        <f t="shared" si="205"/>
        <v>2019-LTK-CHV-SV25-012</v>
      </c>
    </row>
    <row r="1919" spans="1:40" s="572" customFormat="1" ht="15">
      <c r="A1919" s="570" t="s">
        <v>3641</v>
      </c>
      <c r="B1919" s="573" t="s">
        <v>3636</v>
      </c>
      <c r="C1919" s="573" t="s">
        <v>166</v>
      </c>
      <c r="D1919" s="578">
        <v>17</v>
      </c>
      <c r="E1919" s="573" t="s">
        <v>3374</v>
      </c>
      <c r="F1919" s="573" t="s">
        <v>196</v>
      </c>
      <c r="G1919" s="573" t="s">
        <v>153</v>
      </c>
      <c r="H1919" s="573">
        <v>2019</v>
      </c>
      <c r="I1919" s="573" t="s">
        <v>3594</v>
      </c>
      <c r="J1919" s="573" t="s">
        <v>3410</v>
      </c>
      <c r="K1919" s="573" t="s">
        <v>3377</v>
      </c>
      <c r="L1919" s="573">
        <v>6</v>
      </c>
      <c r="M1919" s="573">
        <v>0</v>
      </c>
      <c r="N1919" s="573" t="s">
        <v>157</v>
      </c>
      <c r="O1919" s="573">
        <v>2</v>
      </c>
      <c r="P1919" s="573" t="s">
        <v>3471</v>
      </c>
      <c r="Q1919" s="571">
        <v>13000</v>
      </c>
      <c r="R1919" s="573" t="s">
        <v>798</v>
      </c>
      <c r="S1919" s="573">
        <v>8</v>
      </c>
      <c r="T1919" s="573" t="s">
        <v>3595</v>
      </c>
      <c r="U1919" s="573" t="s">
        <v>1522</v>
      </c>
      <c r="V1919" s="573">
        <v>153.69999999999999</v>
      </c>
      <c r="W1919" s="573">
        <v>36</v>
      </c>
      <c r="X1919" s="571">
        <v>9500</v>
      </c>
      <c r="Y1919" s="573">
        <v>15</v>
      </c>
      <c r="Z1919" s="579" t="s">
        <v>450</v>
      </c>
      <c r="AA1919" s="579" t="s">
        <v>178</v>
      </c>
      <c r="AB1919" s="584">
        <v>39695</v>
      </c>
      <c r="AC1919" s="584" t="s">
        <v>164</v>
      </c>
      <c r="AD1919" s="584">
        <v>30223</v>
      </c>
      <c r="AE1919" s="586">
        <v>7.1999999999999995E-2</v>
      </c>
      <c r="AF1919" s="661" t="str">
        <f t="shared" si="206"/>
        <v>2019-LTK-CHV-SV25-011-17</v>
      </c>
      <c r="AG1919" s="661" t="str">
        <f>IF(AND($Y1919&gt;=32,(AI1919="I"),(Y1919&lt;&gt;"~"),(COUNTIF($AN$1:$AN1919,$AN1919)=1)),"TRUE","FALSE")</f>
        <v>FALSE</v>
      </c>
      <c r="AH1919" s="661" t="str">
        <f>IF(AND($Y1919&gt;=22, (AI1919&lt;&gt;"I"),(Y1919&lt;&gt;"~"),(COUNTIF($AN$1:$AN1919,$AN1919)=1)),"TRUE","FALSE")</f>
        <v>FALSE</v>
      </c>
      <c r="AI1919" s="661" t="str">
        <f t="shared" si="208"/>
        <v>II</v>
      </c>
      <c r="AJ1919" s="662" t="str">
        <f t="shared" si="202"/>
        <v>SV25-011</v>
      </c>
      <c r="AK1919" s="662" t="str">
        <f t="shared" si="203"/>
        <v>LTK</v>
      </c>
      <c r="AL1919" s="662" t="str">
        <f t="shared" si="204"/>
        <v>CHV</v>
      </c>
      <c r="AM1919" s="662" t="str">
        <f t="shared" si="207"/>
        <v>Silverado 2500-WT Crew Cab-2WD-6-6'6"-13000-6.0L-8-CC25743-1WT-153.7-36-E85-Unleaded</v>
      </c>
      <c r="AN1919" s="662" t="str">
        <f t="shared" si="205"/>
        <v>2019-LTK-CHV-SV25-011</v>
      </c>
    </row>
    <row r="1920" spans="1:40" s="572" customFormat="1" ht="15">
      <c r="A1920" s="570" t="s">
        <v>3642</v>
      </c>
      <c r="B1920" s="569" t="s">
        <v>3638</v>
      </c>
      <c r="C1920" s="569" t="s">
        <v>166</v>
      </c>
      <c r="D1920" s="580">
        <v>17</v>
      </c>
      <c r="E1920" s="569" t="s">
        <v>3374</v>
      </c>
      <c r="F1920" s="569" t="s">
        <v>196</v>
      </c>
      <c r="G1920" s="569" t="s">
        <v>153</v>
      </c>
      <c r="H1920" s="569">
        <v>2019</v>
      </c>
      <c r="I1920" s="569" t="s">
        <v>3594</v>
      </c>
      <c r="J1920" s="569" t="s">
        <v>3410</v>
      </c>
      <c r="K1920" s="569" t="s">
        <v>3377</v>
      </c>
      <c r="L1920" s="569">
        <v>6</v>
      </c>
      <c r="M1920" s="569">
        <v>0</v>
      </c>
      <c r="N1920" s="569" t="s">
        <v>157</v>
      </c>
      <c r="O1920" s="569">
        <v>2</v>
      </c>
      <c r="P1920" s="569" t="s">
        <v>3508</v>
      </c>
      <c r="Q1920" s="568">
        <v>13000</v>
      </c>
      <c r="R1920" s="569" t="s">
        <v>798</v>
      </c>
      <c r="S1920" s="569">
        <v>8</v>
      </c>
      <c r="T1920" s="569" t="s">
        <v>3598</v>
      </c>
      <c r="U1920" s="569" t="s">
        <v>1522</v>
      </c>
      <c r="V1920" s="569">
        <v>167.7</v>
      </c>
      <c r="W1920" s="569">
        <v>36</v>
      </c>
      <c r="X1920" s="568">
        <v>9500</v>
      </c>
      <c r="Y1920" s="569">
        <v>15</v>
      </c>
      <c r="Z1920" s="581" t="s">
        <v>450</v>
      </c>
      <c r="AA1920" s="581" t="s">
        <v>178</v>
      </c>
      <c r="AB1920" s="585">
        <v>39895</v>
      </c>
      <c r="AC1920" s="585" t="s">
        <v>164</v>
      </c>
      <c r="AD1920" s="585">
        <v>30650</v>
      </c>
      <c r="AE1920" s="587">
        <v>7.1999999999999995E-2</v>
      </c>
      <c r="AF1920" s="661" t="str">
        <f t="shared" si="206"/>
        <v>2019-LTK-CHV-SV25-012-17</v>
      </c>
      <c r="AG1920" s="661" t="str">
        <f>IF(AND($Y1920&gt;=32,(AI1920="I"),(Y1920&lt;&gt;"~"),(COUNTIF($AN$1:$AN1920,$AN1920)=1)),"TRUE","FALSE")</f>
        <v>FALSE</v>
      </c>
      <c r="AH1920" s="661" t="str">
        <f>IF(AND($Y1920&gt;=22, (AI1920&lt;&gt;"I"),(Y1920&lt;&gt;"~"),(COUNTIF($AN$1:$AN1920,$AN1920)=1)),"TRUE","FALSE")</f>
        <v>FALSE</v>
      </c>
      <c r="AI1920" s="661" t="str">
        <f t="shared" si="208"/>
        <v>II</v>
      </c>
      <c r="AJ1920" s="662" t="str">
        <f t="shared" si="202"/>
        <v>SV25-012</v>
      </c>
      <c r="AK1920" s="662" t="str">
        <f t="shared" si="203"/>
        <v>LTK</v>
      </c>
      <c r="AL1920" s="662" t="str">
        <f t="shared" si="204"/>
        <v>CHV</v>
      </c>
      <c r="AM1920" s="662" t="str">
        <f t="shared" si="207"/>
        <v>Silverado 2500-WT Crew Cab-2WD-6-8'1"-13000-6.0L-8-CC25943-1WT-167.7-36-E85-Unleaded</v>
      </c>
      <c r="AN1920" s="662" t="str">
        <f t="shared" si="205"/>
        <v>2019-LTK-CHV-SV25-012</v>
      </c>
    </row>
    <row r="1921" spans="1:40" s="572" customFormat="1" ht="15">
      <c r="A1921" s="570" t="s">
        <v>3643</v>
      </c>
      <c r="B1921" s="573" t="s">
        <v>3644</v>
      </c>
      <c r="C1921" s="573" t="s">
        <v>169</v>
      </c>
      <c r="D1921" s="578">
        <v>11</v>
      </c>
      <c r="E1921" s="573" t="s">
        <v>3374</v>
      </c>
      <c r="F1921" s="573" t="s">
        <v>196</v>
      </c>
      <c r="G1921" s="573" t="s">
        <v>153</v>
      </c>
      <c r="H1921" s="573">
        <v>2019</v>
      </c>
      <c r="I1921" s="573" t="s">
        <v>3594</v>
      </c>
      <c r="J1921" s="573" t="s">
        <v>3410</v>
      </c>
      <c r="K1921" s="573" t="s">
        <v>752</v>
      </c>
      <c r="L1921" s="573">
        <v>6</v>
      </c>
      <c r="M1921" s="573">
        <v>0</v>
      </c>
      <c r="N1921" s="573" t="s">
        <v>157</v>
      </c>
      <c r="O1921" s="573">
        <v>2</v>
      </c>
      <c r="P1921" s="573" t="s">
        <v>3471</v>
      </c>
      <c r="Q1921" s="571">
        <v>13000</v>
      </c>
      <c r="R1921" s="573" t="s">
        <v>798</v>
      </c>
      <c r="S1921" s="573">
        <v>8</v>
      </c>
      <c r="T1921" s="573" t="s">
        <v>3605</v>
      </c>
      <c r="U1921" s="573" t="s">
        <v>1522</v>
      </c>
      <c r="V1921" s="573">
        <v>153.69999999999999</v>
      </c>
      <c r="W1921" s="573">
        <v>36</v>
      </c>
      <c r="X1921" s="571">
        <v>9900</v>
      </c>
      <c r="Y1921" s="573">
        <v>14</v>
      </c>
      <c r="Z1921" s="579" t="s">
        <v>450</v>
      </c>
      <c r="AA1921" s="579" t="s">
        <v>178</v>
      </c>
      <c r="AB1921" s="584">
        <v>42595</v>
      </c>
      <c r="AC1921" s="584" t="s">
        <v>164</v>
      </c>
      <c r="AD1921" s="584">
        <v>31724.680851063829</v>
      </c>
      <c r="AE1921" s="586">
        <v>0.05</v>
      </c>
      <c r="AF1921" s="661" t="str">
        <f t="shared" si="206"/>
        <v>2019-LTK-CHV-SV25-013-11</v>
      </c>
      <c r="AG1921" s="661" t="str">
        <f>IF(AND($Y1921&gt;=32,(AI1921="I"),(Y1921&lt;&gt;"~"),(COUNTIF($AN$1:$AN1921,$AN1921)=1)),"TRUE","FALSE")</f>
        <v>FALSE</v>
      </c>
      <c r="AH1921" s="661" t="str">
        <f>IF(AND($Y1921&gt;=22, (AI1921&lt;&gt;"I"),(Y1921&lt;&gt;"~"),(COUNTIF($AN$1:$AN1921,$AN1921)=1)),"TRUE","FALSE")</f>
        <v>FALSE</v>
      </c>
      <c r="AI1921" s="661" t="str">
        <f t="shared" si="208"/>
        <v>II</v>
      </c>
      <c r="AJ1921" s="662" t="str">
        <f t="shared" si="202"/>
        <v>SV25-013</v>
      </c>
      <c r="AK1921" s="662" t="str">
        <f t="shared" si="203"/>
        <v>LTK</v>
      </c>
      <c r="AL1921" s="662" t="str">
        <f t="shared" si="204"/>
        <v>CHV</v>
      </c>
      <c r="AM1921" s="662" t="str">
        <f t="shared" si="207"/>
        <v>Silverado 2500-WT Crew Cab-4WD-6-6'6"-13000-6.0L-8-CK25743-1WT-153.7-36-E85-Unleaded</v>
      </c>
      <c r="AN1921" s="662" t="str">
        <f t="shared" si="205"/>
        <v>2019-LTK-CHV-SV25-013</v>
      </c>
    </row>
    <row r="1922" spans="1:40" s="572" customFormat="1" ht="15">
      <c r="A1922" s="570" t="s">
        <v>3645</v>
      </c>
      <c r="B1922" s="569" t="s">
        <v>3646</v>
      </c>
      <c r="C1922" s="569" t="s">
        <v>169</v>
      </c>
      <c r="D1922" s="580">
        <v>11</v>
      </c>
      <c r="E1922" s="569" t="s">
        <v>3374</v>
      </c>
      <c r="F1922" s="569" t="s">
        <v>196</v>
      </c>
      <c r="G1922" s="569" t="s">
        <v>153</v>
      </c>
      <c r="H1922" s="569">
        <v>2019</v>
      </c>
      <c r="I1922" s="569" t="s">
        <v>3594</v>
      </c>
      <c r="J1922" s="569" t="s">
        <v>3410</v>
      </c>
      <c r="K1922" s="569" t="s">
        <v>752</v>
      </c>
      <c r="L1922" s="569">
        <v>6</v>
      </c>
      <c r="M1922" s="569">
        <v>0</v>
      </c>
      <c r="N1922" s="569" t="s">
        <v>157</v>
      </c>
      <c r="O1922" s="569">
        <v>2</v>
      </c>
      <c r="P1922" s="569" t="s">
        <v>3508</v>
      </c>
      <c r="Q1922" s="568">
        <v>13000</v>
      </c>
      <c r="R1922" s="569" t="s">
        <v>798</v>
      </c>
      <c r="S1922" s="569">
        <v>8</v>
      </c>
      <c r="T1922" s="569" t="s">
        <v>3608</v>
      </c>
      <c r="U1922" s="569" t="s">
        <v>1522</v>
      </c>
      <c r="V1922" s="569">
        <v>167.7</v>
      </c>
      <c r="W1922" s="569">
        <v>36</v>
      </c>
      <c r="X1922" s="568">
        <v>9900</v>
      </c>
      <c r="Y1922" s="569">
        <v>14</v>
      </c>
      <c r="Z1922" s="581" t="s">
        <v>450</v>
      </c>
      <c r="AA1922" s="581" t="s">
        <v>178</v>
      </c>
      <c r="AB1922" s="585">
        <v>42795</v>
      </c>
      <c r="AC1922" s="585" t="s">
        <v>164</v>
      </c>
      <c r="AD1922" s="585">
        <v>31918.723404255321</v>
      </c>
      <c r="AE1922" s="587">
        <v>0.05</v>
      </c>
      <c r="AF1922" s="661" t="str">
        <f t="shared" si="206"/>
        <v>2019-LTK-CHV-SV25-014-11</v>
      </c>
      <c r="AG1922" s="661" t="str">
        <f>IF(AND($Y1922&gt;=32,(AI1922="I"),(Y1922&lt;&gt;"~"),(COUNTIF($AN$1:$AN1922,$AN1922)=1)),"TRUE","FALSE")</f>
        <v>FALSE</v>
      </c>
      <c r="AH1922" s="661" t="str">
        <f>IF(AND($Y1922&gt;=22, (AI1922&lt;&gt;"I"),(Y1922&lt;&gt;"~"),(COUNTIF($AN$1:$AN1922,$AN1922)=1)),"TRUE","FALSE")</f>
        <v>FALSE</v>
      </c>
      <c r="AI1922" s="661" t="str">
        <f t="shared" si="208"/>
        <v>II</v>
      </c>
      <c r="AJ1922" s="662" t="str">
        <f t="shared" si="202"/>
        <v>SV25-014</v>
      </c>
      <c r="AK1922" s="662" t="str">
        <f t="shared" si="203"/>
        <v>LTK</v>
      </c>
      <c r="AL1922" s="662" t="str">
        <f t="shared" si="204"/>
        <v>CHV</v>
      </c>
      <c r="AM1922" s="662" t="str">
        <f t="shared" si="207"/>
        <v>Silverado 2500-WT Crew Cab-4WD-6-8'1"-13000-6.0L-8-CK25943-1WT-167.7-36-E85-Unleaded</v>
      </c>
      <c r="AN1922" s="662" t="str">
        <f t="shared" si="205"/>
        <v>2019-LTK-CHV-SV25-014</v>
      </c>
    </row>
    <row r="1923" spans="1:40" s="572" customFormat="1" ht="15">
      <c r="A1923" s="570" t="s">
        <v>3647</v>
      </c>
      <c r="B1923" s="573" t="s">
        <v>3644</v>
      </c>
      <c r="C1923" s="573" t="s">
        <v>150</v>
      </c>
      <c r="D1923" s="578">
        <v>13</v>
      </c>
      <c r="E1923" s="573" t="s">
        <v>3374</v>
      </c>
      <c r="F1923" s="573" t="s">
        <v>196</v>
      </c>
      <c r="G1923" s="573" t="s">
        <v>153</v>
      </c>
      <c r="H1923" s="573">
        <v>2019</v>
      </c>
      <c r="I1923" s="573" t="s">
        <v>3594</v>
      </c>
      <c r="J1923" s="573" t="s">
        <v>3410</v>
      </c>
      <c r="K1923" s="573" t="s">
        <v>752</v>
      </c>
      <c r="L1923" s="573">
        <v>6</v>
      </c>
      <c r="M1923" s="573">
        <v>0</v>
      </c>
      <c r="N1923" s="573" t="s">
        <v>157</v>
      </c>
      <c r="O1923" s="573">
        <v>2</v>
      </c>
      <c r="P1923" s="573" t="s">
        <v>3471</v>
      </c>
      <c r="Q1923" s="571">
        <v>13000</v>
      </c>
      <c r="R1923" s="573" t="s">
        <v>798</v>
      </c>
      <c r="S1923" s="573">
        <v>8</v>
      </c>
      <c r="T1923" s="573" t="s">
        <v>3605</v>
      </c>
      <c r="U1923" s="573" t="s">
        <v>1522</v>
      </c>
      <c r="V1923" s="573">
        <v>153.69999999999999</v>
      </c>
      <c r="W1923" s="573">
        <v>36</v>
      </c>
      <c r="X1923" s="571">
        <v>9500</v>
      </c>
      <c r="Y1923" s="573">
        <v>14</v>
      </c>
      <c r="Z1923" s="579" t="s">
        <v>450</v>
      </c>
      <c r="AA1923" s="579" t="s">
        <v>178</v>
      </c>
      <c r="AB1923" s="584">
        <v>42595</v>
      </c>
      <c r="AC1923" s="584" t="s">
        <v>164</v>
      </c>
      <c r="AD1923" s="584">
        <v>33714</v>
      </c>
      <c r="AE1923" s="586">
        <v>0.03</v>
      </c>
      <c r="AF1923" s="661" t="str">
        <f t="shared" si="206"/>
        <v>2019-LTK-CHV-SV25-013-13</v>
      </c>
      <c r="AG1923" s="661" t="str">
        <f>IF(AND($Y1923&gt;=32,(AI1923="I"),(Y1923&lt;&gt;"~"),(COUNTIF($AN$1:$AN1923,$AN1923)=1)),"TRUE","FALSE")</f>
        <v>FALSE</v>
      </c>
      <c r="AH1923" s="661" t="str">
        <f>IF(AND($Y1923&gt;=22, (AI1923&lt;&gt;"I"),(Y1923&lt;&gt;"~"),(COUNTIF($AN$1:$AN1923,$AN1923)=1)),"TRUE","FALSE")</f>
        <v>FALSE</v>
      </c>
      <c r="AI1923" s="661" t="str">
        <f t="shared" si="208"/>
        <v>II</v>
      </c>
      <c r="AJ1923" s="662" t="str">
        <f t="shared" ref="AJ1923:AJ1986" si="209">MID(A1923,14,8)</f>
        <v>SV25-013</v>
      </c>
      <c r="AK1923" s="662" t="str">
        <f t="shared" ref="AK1923:AK1986" si="210">MID(A1923,6,3)</f>
        <v>LTK</v>
      </c>
      <c r="AL1923" s="662" t="str">
        <f t="shared" ref="AL1923:AL1986" si="211">MID(A1923,10,3)</f>
        <v>CHV</v>
      </c>
      <c r="AM1923" s="662" t="str">
        <f t="shared" si="207"/>
        <v>Silverado 2500-WT Crew Cab-4WD-6-6'6"-13000-6.0L-8-CK25743-1WT-153.7-36-E85-Unleaded</v>
      </c>
      <c r="AN1923" s="662" t="str">
        <f t="shared" ref="AN1923:AN1986" si="212">LEFT(A1923,21)</f>
        <v>2019-LTK-CHV-SV25-013</v>
      </c>
    </row>
    <row r="1924" spans="1:40" s="572" customFormat="1" ht="15">
      <c r="A1924" s="570" t="s">
        <v>3648</v>
      </c>
      <c r="B1924" s="569" t="s">
        <v>3646</v>
      </c>
      <c r="C1924" s="569" t="s">
        <v>150</v>
      </c>
      <c r="D1924" s="580">
        <v>13</v>
      </c>
      <c r="E1924" s="569" t="s">
        <v>3374</v>
      </c>
      <c r="F1924" s="569" t="s">
        <v>196</v>
      </c>
      <c r="G1924" s="569" t="s">
        <v>153</v>
      </c>
      <c r="H1924" s="569">
        <v>2019</v>
      </c>
      <c r="I1924" s="569" t="s">
        <v>3594</v>
      </c>
      <c r="J1924" s="569" t="s">
        <v>3410</v>
      </c>
      <c r="K1924" s="569" t="s">
        <v>752</v>
      </c>
      <c r="L1924" s="569">
        <v>6</v>
      </c>
      <c r="M1924" s="569">
        <v>0</v>
      </c>
      <c r="N1924" s="569" t="s">
        <v>157</v>
      </c>
      <c r="O1924" s="569">
        <v>2</v>
      </c>
      <c r="P1924" s="569" t="s">
        <v>3508</v>
      </c>
      <c r="Q1924" s="568">
        <v>13000</v>
      </c>
      <c r="R1924" s="569" t="s">
        <v>798</v>
      </c>
      <c r="S1924" s="569">
        <v>8</v>
      </c>
      <c r="T1924" s="569" t="s">
        <v>3608</v>
      </c>
      <c r="U1924" s="569" t="s">
        <v>1522</v>
      </c>
      <c r="V1924" s="569">
        <v>167.7</v>
      </c>
      <c r="W1924" s="569">
        <v>36</v>
      </c>
      <c r="X1924" s="568">
        <v>9900</v>
      </c>
      <c r="Y1924" s="569">
        <v>14</v>
      </c>
      <c r="Z1924" s="581" t="s">
        <v>450</v>
      </c>
      <c r="AA1924" s="581" t="s">
        <v>178</v>
      </c>
      <c r="AB1924" s="585">
        <v>42795</v>
      </c>
      <c r="AC1924" s="585" t="s">
        <v>164</v>
      </c>
      <c r="AD1924" s="585">
        <v>33990</v>
      </c>
      <c r="AE1924" s="587">
        <v>0.03</v>
      </c>
      <c r="AF1924" s="661" t="str">
        <f t="shared" si="206"/>
        <v>2019-LTK-CHV-SV25-014-13</v>
      </c>
      <c r="AG1924" s="661" t="str">
        <f>IF(AND($Y1924&gt;=32,(AI1924="I"),(Y1924&lt;&gt;"~"),(COUNTIF($AN$1:$AN1924,$AN1924)=1)),"TRUE","FALSE")</f>
        <v>FALSE</v>
      </c>
      <c r="AH1924" s="661" t="str">
        <f>IF(AND($Y1924&gt;=22, (AI1924&lt;&gt;"I"),(Y1924&lt;&gt;"~"),(COUNTIF($AN$1:$AN1924,$AN1924)=1)),"TRUE","FALSE")</f>
        <v>FALSE</v>
      </c>
      <c r="AI1924" s="661" t="str">
        <f t="shared" si="208"/>
        <v>II</v>
      </c>
      <c r="AJ1924" s="662" t="str">
        <f t="shared" si="209"/>
        <v>SV25-014</v>
      </c>
      <c r="AK1924" s="662" t="str">
        <f t="shared" si="210"/>
        <v>LTK</v>
      </c>
      <c r="AL1924" s="662" t="str">
        <f t="shared" si="211"/>
        <v>CHV</v>
      </c>
      <c r="AM1924" s="662" t="str">
        <f t="shared" si="207"/>
        <v>Silverado 2500-WT Crew Cab-4WD-6-8'1"-13000-6.0L-8-CK25943-1WT-167.7-36-E85-Unleaded</v>
      </c>
      <c r="AN1924" s="662" t="str">
        <f t="shared" si="212"/>
        <v>2019-LTK-CHV-SV25-014</v>
      </c>
    </row>
    <row r="1925" spans="1:40" s="572" customFormat="1" ht="15">
      <c r="A1925" s="570" t="s">
        <v>3649</v>
      </c>
      <c r="B1925" s="573" t="s">
        <v>3644</v>
      </c>
      <c r="C1925" s="573" t="s">
        <v>166</v>
      </c>
      <c r="D1925" s="578">
        <v>17</v>
      </c>
      <c r="E1925" s="573" t="s">
        <v>3374</v>
      </c>
      <c r="F1925" s="573" t="s">
        <v>196</v>
      </c>
      <c r="G1925" s="573" t="s">
        <v>153</v>
      </c>
      <c r="H1925" s="573">
        <v>2019</v>
      </c>
      <c r="I1925" s="573" t="s">
        <v>3594</v>
      </c>
      <c r="J1925" s="573" t="s">
        <v>3410</v>
      </c>
      <c r="K1925" s="573" t="s">
        <v>752</v>
      </c>
      <c r="L1925" s="573">
        <v>6</v>
      </c>
      <c r="M1925" s="573">
        <v>0</v>
      </c>
      <c r="N1925" s="573" t="s">
        <v>157</v>
      </c>
      <c r="O1925" s="573">
        <v>2</v>
      </c>
      <c r="P1925" s="573" t="s">
        <v>3471</v>
      </c>
      <c r="Q1925" s="571">
        <v>13000</v>
      </c>
      <c r="R1925" s="573" t="s">
        <v>798</v>
      </c>
      <c r="S1925" s="573">
        <v>8</v>
      </c>
      <c r="T1925" s="573" t="s">
        <v>3605</v>
      </c>
      <c r="U1925" s="573" t="s">
        <v>1522</v>
      </c>
      <c r="V1925" s="573">
        <v>153.69999999999999</v>
      </c>
      <c r="W1925" s="573">
        <v>36</v>
      </c>
      <c r="X1925" s="571">
        <v>9500</v>
      </c>
      <c r="Y1925" s="573">
        <v>14</v>
      </c>
      <c r="Z1925" s="579" t="s">
        <v>450</v>
      </c>
      <c r="AA1925" s="579" t="s">
        <v>178</v>
      </c>
      <c r="AB1925" s="584">
        <v>42595</v>
      </c>
      <c r="AC1925" s="584" t="s">
        <v>164</v>
      </c>
      <c r="AD1925" s="584">
        <v>32111</v>
      </c>
      <c r="AE1925" s="586">
        <v>7.1999999999999995E-2</v>
      </c>
      <c r="AF1925" s="661" t="str">
        <f t="shared" si="206"/>
        <v>2019-LTK-CHV-SV25-013-17</v>
      </c>
      <c r="AG1925" s="661" t="str">
        <f>IF(AND($Y1925&gt;=32,(AI1925="I"),(Y1925&lt;&gt;"~"),(COUNTIF($AN$1:$AN1925,$AN1925)=1)),"TRUE","FALSE")</f>
        <v>FALSE</v>
      </c>
      <c r="AH1925" s="661" t="str">
        <f>IF(AND($Y1925&gt;=22, (AI1925&lt;&gt;"I"),(Y1925&lt;&gt;"~"),(COUNTIF($AN$1:$AN1925,$AN1925)=1)),"TRUE","FALSE")</f>
        <v>FALSE</v>
      </c>
      <c r="AI1925" s="661" t="str">
        <f t="shared" si="208"/>
        <v>II</v>
      </c>
      <c r="AJ1925" s="662" t="str">
        <f t="shared" si="209"/>
        <v>SV25-013</v>
      </c>
      <c r="AK1925" s="662" t="str">
        <f t="shared" si="210"/>
        <v>LTK</v>
      </c>
      <c r="AL1925" s="662" t="str">
        <f t="shared" si="211"/>
        <v>CHV</v>
      </c>
      <c r="AM1925" s="662" t="str">
        <f t="shared" si="207"/>
        <v>Silverado 2500-WT Crew Cab-4WD-6-6'6"-13000-6.0L-8-CK25743-1WT-153.7-36-E85-Unleaded</v>
      </c>
      <c r="AN1925" s="662" t="str">
        <f t="shared" si="212"/>
        <v>2019-LTK-CHV-SV25-013</v>
      </c>
    </row>
    <row r="1926" spans="1:40" s="572" customFormat="1" ht="15">
      <c r="A1926" s="570" t="s">
        <v>3650</v>
      </c>
      <c r="B1926" s="569" t="s">
        <v>3646</v>
      </c>
      <c r="C1926" s="569" t="s">
        <v>166</v>
      </c>
      <c r="D1926" s="580">
        <v>17</v>
      </c>
      <c r="E1926" s="569" t="s">
        <v>3374</v>
      </c>
      <c r="F1926" s="569" t="s">
        <v>196</v>
      </c>
      <c r="G1926" s="569" t="s">
        <v>153</v>
      </c>
      <c r="H1926" s="569">
        <v>2019</v>
      </c>
      <c r="I1926" s="569" t="s">
        <v>3594</v>
      </c>
      <c r="J1926" s="569" t="s">
        <v>3410</v>
      </c>
      <c r="K1926" s="569" t="s">
        <v>752</v>
      </c>
      <c r="L1926" s="569">
        <v>6</v>
      </c>
      <c r="M1926" s="569">
        <v>0</v>
      </c>
      <c r="N1926" s="569" t="s">
        <v>157</v>
      </c>
      <c r="O1926" s="569">
        <v>2</v>
      </c>
      <c r="P1926" s="569" t="s">
        <v>3508</v>
      </c>
      <c r="Q1926" s="568">
        <v>13000</v>
      </c>
      <c r="R1926" s="569" t="s">
        <v>798</v>
      </c>
      <c r="S1926" s="569">
        <v>8</v>
      </c>
      <c r="T1926" s="569" t="s">
        <v>3608</v>
      </c>
      <c r="U1926" s="569" t="s">
        <v>1522</v>
      </c>
      <c r="V1926" s="569">
        <v>167.7</v>
      </c>
      <c r="W1926" s="569">
        <v>36</v>
      </c>
      <c r="X1926" s="568">
        <v>9900</v>
      </c>
      <c r="Y1926" s="569">
        <v>14</v>
      </c>
      <c r="Z1926" s="581" t="s">
        <v>450</v>
      </c>
      <c r="AA1926" s="581" t="s">
        <v>178</v>
      </c>
      <c r="AB1926" s="585">
        <v>42795</v>
      </c>
      <c r="AC1926" s="585" t="s">
        <v>164</v>
      </c>
      <c r="AD1926" s="585">
        <v>32299</v>
      </c>
      <c r="AE1926" s="587">
        <v>7.1999999999999995E-2</v>
      </c>
      <c r="AF1926" s="661" t="str">
        <f t="shared" si="206"/>
        <v>2019-LTK-CHV-SV25-014-17</v>
      </c>
      <c r="AG1926" s="661" t="str">
        <f>IF(AND($Y1926&gt;=32,(AI1926="I"),(Y1926&lt;&gt;"~"),(COUNTIF($AN$1:$AN1926,$AN1926)=1)),"TRUE","FALSE")</f>
        <v>FALSE</v>
      </c>
      <c r="AH1926" s="661" t="str">
        <f>IF(AND($Y1926&gt;=22, (AI1926&lt;&gt;"I"),(Y1926&lt;&gt;"~"),(COUNTIF($AN$1:$AN1926,$AN1926)=1)),"TRUE","FALSE")</f>
        <v>FALSE</v>
      </c>
      <c r="AI1926" s="661" t="str">
        <f t="shared" si="208"/>
        <v>II</v>
      </c>
      <c r="AJ1926" s="662" t="str">
        <f t="shared" si="209"/>
        <v>SV25-014</v>
      </c>
      <c r="AK1926" s="662" t="str">
        <f t="shared" si="210"/>
        <v>LTK</v>
      </c>
      <c r="AL1926" s="662" t="str">
        <f t="shared" si="211"/>
        <v>CHV</v>
      </c>
      <c r="AM1926" s="662" t="str">
        <f t="shared" si="207"/>
        <v>Silverado 2500-WT Crew Cab-4WD-6-8'1"-13000-6.0L-8-CK25943-1WT-167.7-36-E85-Unleaded</v>
      </c>
      <c r="AN1926" s="662" t="str">
        <f t="shared" si="212"/>
        <v>2019-LTK-CHV-SV25-014</v>
      </c>
    </row>
    <row r="1927" spans="1:40" s="572" customFormat="1" ht="15">
      <c r="A1927" s="570" t="s">
        <v>3651</v>
      </c>
      <c r="B1927" s="573" t="s">
        <v>3652</v>
      </c>
      <c r="C1927" s="573" t="s">
        <v>169</v>
      </c>
      <c r="D1927" s="578">
        <v>11</v>
      </c>
      <c r="E1927" s="573" t="s">
        <v>3374</v>
      </c>
      <c r="F1927" s="573" t="s">
        <v>196</v>
      </c>
      <c r="G1927" s="573" t="s">
        <v>153</v>
      </c>
      <c r="H1927" s="573">
        <v>2019</v>
      </c>
      <c r="I1927" s="573" t="s">
        <v>3594</v>
      </c>
      <c r="J1927" s="573" t="s">
        <v>3569</v>
      </c>
      <c r="K1927" s="573" t="s">
        <v>3377</v>
      </c>
      <c r="L1927" s="573">
        <v>6</v>
      </c>
      <c r="M1927" s="573">
        <v>0</v>
      </c>
      <c r="N1927" s="573" t="s">
        <v>157</v>
      </c>
      <c r="O1927" s="573">
        <v>2</v>
      </c>
      <c r="P1927" s="573" t="s">
        <v>3508</v>
      </c>
      <c r="Q1927" s="571">
        <v>13000</v>
      </c>
      <c r="R1927" s="573" t="s">
        <v>798</v>
      </c>
      <c r="S1927" s="573">
        <v>8</v>
      </c>
      <c r="T1927" s="573" t="s">
        <v>3615</v>
      </c>
      <c r="U1927" s="573" t="s">
        <v>1522</v>
      </c>
      <c r="V1927" s="573">
        <v>158.1</v>
      </c>
      <c r="W1927" s="573">
        <v>36</v>
      </c>
      <c r="X1927" s="571">
        <v>9500</v>
      </c>
      <c r="Y1927" s="573">
        <v>15</v>
      </c>
      <c r="Z1927" s="579" t="s">
        <v>450</v>
      </c>
      <c r="AA1927" s="579" t="s">
        <v>178</v>
      </c>
      <c r="AB1927" s="584">
        <v>38995</v>
      </c>
      <c r="AC1927" s="584" t="s">
        <v>164</v>
      </c>
      <c r="AD1927" s="584">
        <v>27061.702127659577</v>
      </c>
      <c r="AE1927" s="586">
        <v>0.05</v>
      </c>
      <c r="AF1927" s="661" t="str">
        <f t="shared" si="206"/>
        <v>2019-LTK-CHV-SV25-016-11</v>
      </c>
      <c r="AG1927" s="661" t="str">
        <f>IF(AND($Y1927&gt;=32,(AI1927="I"),(Y1927&lt;&gt;"~"),(COUNTIF($AN$1:$AN1927,$AN1927)=1)),"TRUE","FALSE")</f>
        <v>FALSE</v>
      </c>
      <c r="AH1927" s="661" t="str">
        <f>IF(AND($Y1927&gt;=22, (AI1927&lt;&gt;"I"),(Y1927&lt;&gt;"~"),(COUNTIF($AN$1:$AN1927,$AN1927)=1)),"TRUE","FALSE")</f>
        <v>FALSE</v>
      </c>
      <c r="AI1927" s="661" t="str">
        <f t="shared" si="208"/>
        <v>II</v>
      </c>
      <c r="AJ1927" s="662" t="str">
        <f t="shared" si="209"/>
        <v>SV25-016</v>
      </c>
      <c r="AK1927" s="662" t="str">
        <f t="shared" si="210"/>
        <v>LTK</v>
      </c>
      <c r="AL1927" s="662" t="str">
        <f t="shared" si="211"/>
        <v>CHV</v>
      </c>
      <c r="AM1927" s="662" t="str">
        <f t="shared" si="207"/>
        <v>Silverado 2500-WT Double Cab-2WD-6-8'1"-13000-6.0L-8-CC25953-1WT-158.1-36-E85-Unleaded</v>
      </c>
      <c r="AN1927" s="662" t="str">
        <f t="shared" si="212"/>
        <v>2019-LTK-CHV-SV25-016</v>
      </c>
    </row>
    <row r="1928" spans="1:40" s="572" customFormat="1" ht="15">
      <c r="A1928" s="570" t="s">
        <v>3653</v>
      </c>
      <c r="B1928" s="569" t="s">
        <v>3652</v>
      </c>
      <c r="C1928" s="569" t="s">
        <v>150</v>
      </c>
      <c r="D1928" s="580">
        <v>13</v>
      </c>
      <c r="E1928" s="569" t="s">
        <v>3374</v>
      </c>
      <c r="F1928" s="569" t="s">
        <v>196</v>
      </c>
      <c r="G1928" s="569" t="s">
        <v>153</v>
      </c>
      <c r="H1928" s="569">
        <v>2019</v>
      </c>
      <c r="I1928" s="569" t="s">
        <v>3594</v>
      </c>
      <c r="J1928" s="569" t="s">
        <v>3569</v>
      </c>
      <c r="K1928" s="569" t="s">
        <v>3377</v>
      </c>
      <c r="L1928" s="569">
        <v>6</v>
      </c>
      <c r="M1928" s="569">
        <v>0</v>
      </c>
      <c r="N1928" s="569" t="s">
        <v>157</v>
      </c>
      <c r="O1928" s="569">
        <v>2</v>
      </c>
      <c r="P1928" s="569" t="s">
        <v>3508</v>
      </c>
      <c r="Q1928" s="568">
        <v>13000</v>
      </c>
      <c r="R1928" s="569" t="s">
        <v>798</v>
      </c>
      <c r="S1928" s="569">
        <v>8</v>
      </c>
      <c r="T1928" s="569" t="s">
        <v>3615</v>
      </c>
      <c r="U1928" s="569" t="s">
        <v>1522</v>
      </c>
      <c r="V1928" s="569">
        <v>158.1</v>
      </c>
      <c r="W1928" s="569">
        <v>36</v>
      </c>
      <c r="X1928" s="568">
        <v>9500</v>
      </c>
      <c r="Y1928" s="569">
        <v>15</v>
      </c>
      <c r="Z1928" s="581" t="s">
        <v>450</v>
      </c>
      <c r="AA1928" s="581" t="s">
        <v>178</v>
      </c>
      <c r="AB1928" s="585">
        <v>38995</v>
      </c>
      <c r="AC1928" s="585" t="s">
        <v>164</v>
      </c>
      <c r="AD1928" s="585">
        <v>30741</v>
      </c>
      <c r="AE1928" s="587">
        <v>0.03</v>
      </c>
      <c r="AF1928" s="661" t="str">
        <f t="shared" ref="AF1928:AF1991" si="213">A1928</f>
        <v>2019-LTK-CHV-SV25-016-13</v>
      </c>
      <c r="AG1928" s="661" t="str">
        <f>IF(AND($Y1928&gt;=32,(AI1928="I"),(Y1928&lt;&gt;"~"),(COUNTIF($AN$1:$AN1928,$AN1928)=1)),"TRUE","FALSE")</f>
        <v>FALSE</v>
      </c>
      <c r="AH1928" s="661" t="str">
        <f>IF(AND($Y1928&gt;=22, (AI1928&lt;&gt;"I"),(Y1928&lt;&gt;"~"),(COUNTIF($AN$1:$AN1928,$AN1928)=1)),"TRUE","FALSE")</f>
        <v>FALSE</v>
      </c>
      <c r="AI1928" s="661" t="str">
        <f t="shared" si="208"/>
        <v>II</v>
      </c>
      <c r="AJ1928" s="662" t="str">
        <f t="shared" si="209"/>
        <v>SV25-016</v>
      </c>
      <c r="AK1928" s="662" t="str">
        <f t="shared" si="210"/>
        <v>LTK</v>
      </c>
      <c r="AL1928" s="662" t="str">
        <f t="shared" si="211"/>
        <v>CHV</v>
      </c>
      <c r="AM1928" s="662" t="str">
        <f t="shared" si="207"/>
        <v>Silverado 2500-WT Double Cab-2WD-6-8'1"-13000-6.0L-8-CC25953-1WT-158.1-36-E85-Unleaded</v>
      </c>
      <c r="AN1928" s="662" t="str">
        <f t="shared" si="212"/>
        <v>2019-LTK-CHV-SV25-016</v>
      </c>
    </row>
    <row r="1929" spans="1:40" s="572" customFormat="1" ht="15">
      <c r="A1929" s="570" t="s">
        <v>3654</v>
      </c>
      <c r="B1929" s="573" t="s">
        <v>3652</v>
      </c>
      <c r="C1929" s="573" t="s">
        <v>166</v>
      </c>
      <c r="D1929" s="578">
        <v>17</v>
      </c>
      <c r="E1929" s="573" t="s">
        <v>3374</v>
      </c>
      <c r="F1929" s="573" t="s">
        <v>196</v>
      </c>
      <c r="G1929" s="573" t="s">
        <v>153</v>
      </c>
      <c r="H1929" s="573">
        <v>2019</v>
      </c>
      <c r="I1929" s="573" t="s">
        <v>3594</v>
      </c>
      <c r="J1929" s="573" t="s">
        <v>3569</v>
      </c>
      <c r="K1929" s="573" t="s">
        <v>3377</v>
      </c>
      <c r="L1929" s="573">
        <v>6</v>
      </c>
      <c r="M1929" s="573">
        <v>0</v>
      </c>
      <c r="N1929" s="573" t="s">
        <v>157</v>
      </c>
      <c r="O1929" s="573">
        <v>2</v>
      </c>
      <c r="P1929" s="573" t="s">
        <v>3508</v>
      </c>
      <c r="Q1929" s="571">
        <v>13000</v>
      </c>
      <c r="R1929" s="573" t="s">
        <v>798</v>
      </c>
      <c r="S1929" s="573">
        <v>8</v>
      </c>
      <c r="T1929" s="573" t="s">
        <v>3615</v>
      </c>
      <c r="U1929" s="573" t="s">
        <v>1522</v>
      </c>
      <c r="V1929" s="573">
        <v>158.1</v>
      </c>
      <c r="W1929" s="573">
        <v>36</v>
      </c>
      <c r="X1929" s="571">
        <v>9500</v>
      </c>
      <c r="Y1929" s="573">
        <v>15</v>
      </c>
      <c r="Z1929" s="579" t="s">
        <v>450</v>
      </c>
      <c r="AA1929" s="579" t="s">
        <v>178</v>
      </c>
      <c r="AB1929" s="584">
        <v>38995</v>
      </c>
      <c r="AC1929" s="584" t="s">
        <v>164</v>
      </c>
      <c r="AD1929" s="584">
        <v>28240</v>
      </c>
      <c r="AE1929" s="586">
        <v>7.1999999999999995E-2</v>
      </c>
      <c r="AF1929" s="661" t="str">
        <f t="shared" si="213"/>
        <v>2019-LTK-CHV-SV25-016-17</v>
      </c>
      <c r="AG1929" s="661" t="str">
        <f>IF(AND($Y1929&gt;=32,(AI1929="I"),(Y1929&lt;&gt;"~"),(COUNTIF($AN$1:$AN1929,$AN1929)=1)),"TRUE","FALSE")</f>
        <v>FALSE</v>
      </c>
      <c r="AH1929" s="661" t="str">
        <f>IF(AND($Y1929&gt;=22, (AI1929&lt;&gt;"I"),(Y1929&lt;&gt;"~"),(COUNTIF($AN$1:$AN1929,$AN1929)=1)),"TRUE","FALSE")</f>
        <v>FALSE</v>
      </c>
      <c r="AI1929" s="661" t="str">
        <f t="shared" si="208"/>
        <v>II</v>
      </c>
      <c r="AJ1929" s="662" t="str">
        <f t="shared" si="209"/>
        <v>SV25-016</v>
      </c>
      <c r="AK1929" s="662" t="str">
        <f t="shared" si="210"/>
        <v>LTK</v>
      </c>
      <c r="AL1929" s="662" t="str">
        <f t="shared" si="211"/>
        <v>CHV</v>
      </c>
      <c r="AM1929" s="662" t="str">
        <f t="shared" si="207"/>
        <v>Silverado 2500-WT Double Cab-2WD-6-8'1"-13000-6.0L-8-CC25953-1WT-158.1-36-E85-Unleaded</v>
      </c>
      <c r="AN1929" s="662" t="str">
        <f t="shared" si="212"/>
        <v>2019-LTK-CHV-SV25-016</v>
      </c>
    </row>
    <row r="1930" spans="1:40" s="572" customFormat="1" ht="15">
      <c r="A1930" s="570" t="s">
        <v>3655</v>
      </c>
      <c r="B1930" s="569" t="s">
        <v>3656</v>
      </c>
      <c r="C1930" s="569" t="s">
        <v>169</v>
      </c>
      <c r="D1930" s="580">
        <v>11</v>
      </c>
      <c r="E1930" s="569" t="s">
        <v>3374</v>
      </c>
      <c r="F1930" s="569" t="s">
        <v>196</v>
      </c>
      <c r="G1930" s="569" t="s">
        <v>153</v>
      </c>
      <c r="H1930" s="569">
        <v>2019</v>
      </c>
      <c r="I1930" s="569" t="s">
        <v>3594</v>
      </c>
      <c r="J1930" s="569" t="s">
        <v>3569</v>
      </c>
      <c r="K1930" s="569" t="s">
        <v>752</v>
      </c>
      <c r="L1930" s="569">
        <v>6</v>
      </c>
      <c r="M1930" s="569">
        <v>0</v>
      </c>
      <c r="N1930" s="569" t="s">
        <v>157</v>
      </c>
      <c r="O1930" s="569">
        <v>2</v>
      </c>
      <c r="P1930" s="569" t="s">
        <v>3471</v>
      </c>
      <c r="Q1930" s="568">
        <v>13000</v>
      </c>
      <c r="R1930" s="569" t="s">
        <v>798</v>
      </c>
      <c r="S1930" s="569">
        <v>8</v>
      </c>
      <c r="T1930" s="569" t="s">
        <v>3620</v>
      </c>
      <c r="U1930" s="569" t="s">
        <v>1522</v>
      </c>
      <c r="V1930" s="569">
        <v>144.19999999999999</v>
      </c>
      <c r="W1930" s="569">
        <v>36</v>
      </c>
      <c r="X1930" s="568">
        <v>9500</v>
      </c>
      <c r="Y1930" s="569">
        <v>14</v>
      </c>
      <c r="Z1930" s="581" t="s">
        <v>450</v>
      </c>
      <c r="AA1930" s="581" t="s">
        <v>178</v>
      </c>
      <c r="AB1930" s="585">
        <v>41695</v>
      </c>
      <c r="AC1930" s="585" t="s">
        <v>164</v>
      </c>
      <c r="AD1930" s="585">
        <v>29042.97872340426</v>
      </c>
      <c r="AE1930" s="587">
        <v>0.05</v>
      </c>
      <c r="AF1930" s="661" t="str">
        <f t="shared" si="213"/>
        <v>2019-LTK-CHV-SV25-017-11</v>
      </c>
      <c r="AG1930" s="661" t="str">
        <f>IF(AND($Y1930&gt;=32,(AI1930="I"),(Y1930&lt;&gt;"~"),(COUNTIF($AN$1:$AN1930,$AN1930)=1)),"TRUE","FALSE")</f>
        <v>FALSE</v>
      </c>
      <c r="AH1930" s="661" t="str">
        <f>IF(AND($Y1930&gt;=22, (AI1930&lt;&gt;"I"),(Y1930&lt;&gt;"~"),(COUNTIF($AN$1:$AN1930,$AN1930)=1)),"TRUE","FALSE")</f>
        <v>FALSE</v>
      </c>
      <c r="AI1930" s="661" t="str">
        <f t="shared" si="208"/>
        <v>II</v>
      </c>
      <c r="AJ1930" s="662" t="str">
        <f t="shared" si="209"/>
        <v>SV25-017</v>
      </c>
      <c r="AK1930" s="662" t="str">
        <f t="shared" si="210"/>
        <v>LTK</v>
      </c>
      <c r="AL1930" s="662" t="str">
        <f t="shared" si="211"/>
        <v>CHV</v>
      </c>
      <c r="AM1930" s="662" t="str">
        <f t="shared" si="207"/>
        <v>Silverado 2500-WT Double Cab-4WD-6-6'6"-13000-6.0L-8-CK25753-1WT-144.2-36-E85-Unleaded</v>
      </c>
      <c r="AN1930" s="662" t="str">
        <f t="shared" si="212"/>
        <v>2019-LTK-CHV-SV25-017</v>
      </c>
    </row>
    <row r="1931" spans="1:40" s="572" customFormat="1" ht="15">
      <c r="A1931" s="570" t="s">
        <v>3657</v>
      </c>
      <c r="B1931" s="573" t="s">
        <v>3658</v>
      </c>
      <c r="C1931" s="573" t="s">
        <v>169</v>
      </c>
      <c r="D1931" s="578">
        <v>11</v>
      </c>
      <c r="E1931" s="573" t="s">
        <v>3374</v>
      </c>
      <c r="F1931" s="573" t="s">
        <v>196</v>
      </c>
      <c r="G1931" s="573" t="s">
        <v>153</v>
      </c>
      <c r="H1931" s="573">
        <v>2019</v>
      </c>
      <c r="I1931" s="573" t="s">
        <v>3594</v>
      </c>
      <c r="J1931" s="573" t="s">
        <v>3569</v>
      </c>
      <c r="K1931" s="573" t="s">
        <v>752</v>
      </c>
      <c r="L1931" s="573">
        <v>6</v>
      </c>
      <c r="M1931" s="573">
        <v>0</v>
      </c>
      <c r="N1931" s="573" t="s">
        <v>157</v>
      </c>
      <c r="O1931" s="573">
        <v>2</v>
      </c>
      <c r="P1931" s="573" t="s">
        <v>3508</v>
      </c>
      <c r="Q1931" s="571">
        <v>13000</v>
      </c>
      <c r="R1931" s="573" t="s">
        <v>798</v>
      </c>
      <c r="S1931" s="573">
        <v>8</v>
      </c>
      <c r="T1931" s="573" t="s">
        <v>3623</v>
      </c>
      <c r="U1931" s="573" t="s">
        <v>1522</v>
      </c>
      <c r="V1931" s="573">
        <v>158.1</v>
      </c>
      <c r="W1931" s="573">
        <v>36</v>
      </c>
      <c r="X1931" s="571">
        <v>9500</v>
      </c>
      <c r="Y1931" s="573">
        <v>14</v>
      </c>
      <c r="Z1931" s="579" t="s">
        <v>450</v>
      </c>
      <c r="AA1931" s="579" t="s">
        <v>178</v>
      </c>
      <c r="AB1931" s="584">
        <v>41895</v>
      </c>
      <c r="AC1931" s="584" t="s">
        <v>164</v>
      </c>
      <c r="AD1931" s="584">
        <v>29237.021276595748</v>
      </c>
      <c r="AE1931" s="586">
        <v>0.05</v>
      </c>
      <c r="AF1931" s="661" t="str">
        <f t="shared" si="213"/>
        <v>2019-LTK-CHV-SV25-018-11</v>
      </c>
      <c r="AG1931" s="661" t="str">
        <f>IF(AND($Y1931&gt;=32,(AI1931="I"),(Y1931&lt;&gt;"~"),(COUNTIF($AN$1:$AN1931,$AN1931)=1)),"TRUE","FALSE")</f>
        <v>FALSE</v>
      </c>
      <c r="AH1931" s="661" t="str">
        <f>IF(AND($Y1931&gt;=22, (AI1931&lt;&gt;"I"),(Y1931&lt;&gt;"~"),(COUNTIF($AN$1:$AN1931,$AN1931)=1)),"TRUE","FALSE")</f>
        <v>FALSE</v>
      </c>
      <c r="AI1931" s="661" t="str">
        <f t="shared" si="208"/>
        <v>II</v>
      </c>
      <c r="AJ1931" s="662" t="str">
        <f t="shared" si="209"/>
        <v>SV25-018</v>
      </c>
      <c r="AK1931" s="662" t="str">
        <f t="shared" si="210"/>
        <v>LTK</v>
      </c>
      <c r="AL1931" s="662" t="str">
        <f t="shared" si="211"/>
        <v>CHV</v>
      </c>
      <c r="AM1931" s="662" t="str">
        <f t="shared" si="207"/>
        <v>Silverado 2500-WT Double Cab-4WD-6-8'1"-13000-6.0L-8-CK25953-1WT-158.1-36-E85-Unleaded</v>
      </c>
      <c r="AN1931" s="662" t="str">
        <f t="shared" si="212"/>
        <v>2019-LTK-CHV-SV25-018</v>
      </c>
    </row>
    <row r="1932" spans="1:40" s="572" customFormat="1" ht="15">
      <c r="A1932" s="570" t="s">
        <v>3659</v>
      </c>
      <c r="B1932" s="569" t="s">
        <v>3656</v>
      </c>
      <c r="C1932" s="569" t="s">
        <v>150</v>
      </c>
      <c r="D1932" s="580">
        <v>13</v>
      </c>
      <c r="E1932" s="569" t="s">
        <v>3374</v>
      </c>
      <c r="F1932" s="569" t="s">
        <v>196</v>
      </c>
      <c r="G1932" s="569" t="s">
        <v>153</v>
      </c>
      <c r="H1932" s="569">
        <v>2019</v>
      </c>
      <c r="I1932" s="569" t="s">
        <v>3594</v>
      </c>
      <c r="J1932" s="569" t="s">
        <v>3569</v>
      </c>
      <c r="K1932" s="569" t="s">
        <v>752</v>
      </c>
      <c r="L1932" s="569">
        <v>6</v>
      </c>
      <c r="M1932" s="569">
        <v>0</v>
      </c>
      <c r="N1932" s="569" t="s">
        <v>157</v>
      </c>
      <c r="O1932" s="569">
        <v>2</v>
      </c>
      <c r="P1932" s="569" t="s">
        <v>3471</v>
      </c>
      <c r="Q1932" s="568">
        <v>13000</v>
      </c>
      <c r="R1932" s="569" t="s">
        <v>798</v>
      </c>
      <c r="S1932" s="569">
        <v>8</v>
      </c>
      <c r="T1932" s="569" t="s">
        <v>3620</v>
      </c>
      <c r="U1932" s="569" t="s">
        <v>1522</v>
      </c>
      <c r="V1932" s="569">
        <v>144.19999999999999</v>
      </c>
      <c r="W1932" s="569">
        <v>36</v>
      </c>
      <c r="X1932" s="568">
        <v>9500</v>
      </c>
      <c r="Y1932" s="569">
        <v>14</v>
      </c>
      <c r="Z1932" s="581" t="s">
        <v>450</v>
      </c>
      <c r="AA1932" s="581" t="s">
        <v>178</v>
      </c>
      <c r="AB1932" s="585">
        <v>41695</v>
      </c>
      <c r="AC1932" s="585" t="s">
        <v>164</v>
      </c>
      <c r="AD1932" s="585">
        <v>32653</v>
      </c>
      <c r="AE1932" s="587">
        <v>0.03</v>
      </c>
      <c r="AF1932" s="661" t="str">
        <f t="shared" si="213"/>
        <v>2019-LTK-CHV-SV25-017-13</v>
      </c>
      <c r="AG1932" s="661" t="str">
        <f>IF(AND($Y1932&gt;=32,(AI1932="I"),(Y1932&lt;&gt;"~"),(COUNTIF($AN$1:$AN1932,$AN1932)=1)),"TRUE","FALSE")</f>
        <v>FALSE</v>
      </c>
      <c r="AH1932" s="661" t="str">
        <f>IF(AND($Y1932&gt;=22, (AI1932&lt;&gt;"I"),(Y1932&lt;&gt;"~"),(COUNTIF($AN$1:$AN1932,$AN1932)=1)),"TRUE","FALSE")</f>
        <v>FALSE</v>
      </c>
      <c r="AI1932" s="661" t="str">
        <f t="shared" si="208"/>
        <v>II</v>
      </c>
      <c r="AJ1932" s="662" t="str">
        <f t="shared" si="209"/>
        <v>SV25-017</v>
      </c>
      <c r="AK1932" s="662" t="str">
        <f t="shared" si="210"/>
        <v>LTK</v>
      </c>
      <c r="AL1932" s="662" t="str">
        <f t="shared" si="211"/>
        <v>CHV</v>
      </c>
      <c r="AM1932" s="662" t="str">
        <f t="shared" si="207"/>
        <v>Silverado 2500-WT Double Cab-4WD-6-6'6"-13000-6.0L-8-CK25753-1WT-144.2-36-E85-Unleaded</v>
      </c>
      <c r="AN1932" s="662" t="str">
        <f t="shared" si="212"/>
        <v>2019-LTK-CHV-SV25-017</v>
      </c>
    </row>
    <row r="1933" spans="1:40" s="572" customFormat="1" ht="15">
      <c r="A1933" s="570" t="s">
        <v>3660</v>
      </c>
      <c r="B1933" s="573" t="s">
        <v>3658</v>
      </c>
      <c r="C1933" s="573" t="s">
        <v>150</v>
      </c>
      <c r="D1933" s="578">
        <v>13</v>
      </c>
      <c r="E1933" s="573" t="s">
        <v>3374</v>
      </c>
      <c r="F1933" s="573" t="s">
        <v>196</v>
      </c>
      <c r="G1933" s="573" t="s">
        <v>153</v>
      </c>
      <c r="H1933" s="573">
        <v>2019</v>
      </c>
      <c r="I1933" s="573" t="s">
        <v>3594</v>
      </c>
      <c r="J1933" s="573" t="s">
        <v>3569</v>
      </c>
      <c r="K1933" s="573" t="s">
        <v>752</v>
      </c>
      <c r="L1933" s="573">
        <v>6</v>
      </c>
      <c r="M1933" s="573">
        <v>0</v>
      </c>
      <c r="N1933" s="573" t="s">
        <v>157</v>
      </c>
      <c r="O1933" s="573">
        <v>2</v>
      </c>
      <c r="P1933" s="573" t="s">
        <v>3508</v>
      </c>
      <c r="Q1933" s="571">
        <v>13000</v>
      </c>
      <c r="R1933" s="573" t="s">
        <v>798</v>
      </c>
      <c r="S1933" s="573">
        <v>8</v>
      </c>
      <c r="T1933" s="573" t="s">
        <v>3623</v>
      </c>
      <c r="U1933" s="573" t="s">
        <v>1522</v>
      </c>
      <c r="V1933" s="573">
        <v>158.1</v>
      </c>
      <c r="W1933" s="573">
        <v>36</v>
      </c>
      <c r="X1933" s="571">
        <v>9500</v>
      </c>
      <c r="Y1933" s="573">
        <v>14</v>
      </c>
      <c r="Z1933" s="579" t="s">
        <v>450</v>
      </c>
      <c r="AA1933" s="579" t="s">
        <v>178</v>
      </c>
      <c r="AB1933" s="584">
        <v>41895</v>
      </c>
      <c r="AC1933" s="584" t="s">
        <v>164</v>
      </c>
      <c r="AD1933" s="584">
        <v>32830</v>
      </c>
      <c r="AE1933" s="586">
        <v>0.03</v>
      </c>
      <c r="AF1933" s="661" t="str">
        <f t="shared" si="213"/>
        <v>2019-LTK-CHV-SV25-018-13</v>
      </c>
      <c r="AG1933" s="661" t="str">
        <f>IF(AND($Y1933&gt;=32,(AI1933="I"),(Y1933&lt;&gt;"~"),(COUNTIF($AN$1:$AN1933,$AN1933)=1)),"TRUE","FALSE")</f>
        <v>FALSE</v>
      </c>
      <c r="AH1933" s="661" t="str">
        <f>IF(AND($Y1933&gt;=22, (AI1933&lt;&gt;"I"),(Y1933&lt;&gt;"~"),(COUNTIF($AN$1:$AN1933,$AN1933)=1)),"TRUE","FALSE")</f>
        <v>FALSE</v>
      </c>
      <c r="AI1933" s="661" t="str">
        <f t="shared" si="208"/>
        <v>II</v>
      </c>
      <c r="AJ1933" s="662" t="str">
        <f t="shared" si="209"/>
        <v>SV25-018</v>
      </c>
      <c r="AK1933" s="662" t="str">
        <f t="shared" si="210"/>
        <v>LTK</v>
      </c>
      <c r="AL1933" s="662" t="str">
        <f t="shared" si="211"/>
        <v>CHV</v>
      </c>
      <c r="AM1933" s="662" t="str">
        <f t="shared" si="207"/>
        <v>Silverado 2500-WT Double Cab-4WD-6-8'1"-13000-6.0L-8-CK25953-1WT-158.1-36-E85-Unleaded</v>
      </c>
      <c r="AN1933" s="662" t="str">
        <f t="shared" si="212"/>
        <v>2019-LTK-CHV-SV25-018</v>
      </c>
    </row>
    <row r="1934" spans="1:40" s="572" customFormat="1" ht="15">
      <c r="A1934" s="570" t="s">
        <v>3661</v>
      </c>
      <c r="B1934" s="569" t="s">
        <v>3656</v>
      </c>
      <c r="C1934" s="569" t="s">
        <v>166</v>
      </c>
      <c r="D1934" s="580">
        <v>17</v>
      </c>
      <c r="E1934" s="569" t="s">
        <v>3374</v>
      </c>
      <c r="F1934" s="569" t="s">
        <v>196</v>
      </c>
      <c r="G1934" s="569" t="s">
        <v>153</v>
      </c>
      <c r="H1934" s="569">
        <v>2019</v>
      </c>
      <c r="I1934" s="569" t="s">
        <v>3594</v>
      </c>
      <c r="J1934" s="569" t="s">
        <v>3569</v>
      </c>
      <c r="K1934" s="569" t="s">
        <v>752</v>
      </c>
      <c r="L1934" s="569">
        <v>6</v>
      </c>
      <c r="M1934" s="569">
        <v>0</v>
      </c>
      <c r="N1934" s="569" t="s">
        <v>157</v>
      </c>
      <c r="O1934" s="569">
        <v>2</v>
      </c>
      <c r="P1934" s="569" t="s">
        <v>3471</v>
      </c>
      <c r="Q1934" s="568">
        <v>13000</v>
      </c>
      <c r="R1934" s="569" t="s">
        <v>798</v>
      </c>
      <c r="S1934" s="569">
        <v>8</v>
      </c>
      <c r="T1934" s="569" t="s">
        <v>3620</v>
      </c>
      <c r="U1934" s="569" t="s">
        <v>1522</v>
      </c>
      <c r="V1934" s="569">
        <v>144.19999999999999</v>
      </c>
      <c r="W1934" s="569">
        <v>36</v>
      </c>
      <c r="X1934" s="568">
        <v>9500</v>
      </c>
      <c r="Y1934" s="569">
        <v>14</v>
      </c>
      <c r="Z1934" s="581" t="s">
        <v>450</v>
      </c>
      <c r="AA1934" s="581" t="s">
        <v>178</v>
      </c>
      <c r="AB1934" s="585">
        <v>41695</v>
      </c>
      <c r="AC1934" s="585" t="s">
        <v>164</v>
      </c>
      <c r="AD1934" s="585">
        <v>30160</v>
      </c>
      <c r="AE1934" s="587">
        <v>7.1999999999999995E-2</v>
      </c>
      <c r="AF1934" s="661" t="str">
        <f t="shared" si="213"/>
        <v>2019-LTK-CHV-SV25-017-17</v>
      </c>
      <c r="AG1934" s="661" t="str">
        <f>IF(AND($Y1934&gt;=32,(AI1934="I"),(Y1934&lt;&gt;"~"),(COUNTIF($AN$1:$AN1934,$AN1934)=1)),"TRUE","FALSE")</f>
        <v>FALSE</v>
      </c>
      <c r="AH1934" s="661" t="str">
        <f>IF(AND($Y1934&gt;=22, (AI1934&lt;&gt;"I"),(Y1934&lt;&gt;"~"),(COUNTIF($AN$1:$AN1934,$AN1934)=1)),"TRUE","FALSE")</f>
        <v>FALSE</v>
      </c>
      <c r="AI1934" s="661" t="str">
        <f t="shared" si="208"/>
        <v>II</v>
      </c>
      <c r="AJ1934" s="662" t="str">
        <f t="shared" si="209"/>
        <v>SV25-017</v>
      </c>
      <c r="AK1934" s="662" t="str">
        <f t="shared" si="210"/>
        <v>LTK</v>
      </c>
      <c r="AL1934" s="662" t="str">
        <f t="shared" si="211"/>
        <v>CHV</v>
      </c>
      <c r="AM1934" s="662" t="str">
        <f t="shared" si="207"/>
        <v>Silverado 2500-WT Double Cab-4WD-6-6'6"-13000-6.0L-8-CK25753-1WT-144.2-36-E85-Unleaded</v>
      </c>
      <c r="AN1934" s="662" t="str">
        <f t="shared" si="212"/>
        <v>2019-LTK-CHV-SV25-017</v>
      </c>
    </row>
    <row r="1935" spans="1:40" s="572" customFormat="1" ht="15">
      <c r="A1935" s="570" t="s">
        <v>3662</v>
      </c>
      <c r="B1935" s="573" t="s">
        <v>3658</v>
      </c>
      <c r="C1935" s="573" t="s">
        <v>166</v>
      </c>
      <c r="D1935" s="578">
        <v>17</v>
      </c>
      <c r="E1935" s="573" t="s">
        <v>3374</v>
      </c>
      <c r="F1935" s="573" t="s">
        <v>196</v>
      </c>
      <c r="G1935" s="573" t="s">
        <v>153</v>
      </c>
      <c r="H1935" s="573">
        <v>2019</v>
      </c>
      <c r="I1935" s="573" t="s">
        <v>3594</v>
      </c>
      <c r="J1935" s="573" t="s">
        <v>3569</v>
      </c>
      <c r="K1935" s="573" t="s">
        <v>752</v>
      </c>
      <c r="L1935" s="573">
        <v>6</v>
      </c>
      <c r="M1935" s="573">
        <v>0</v>
      </c>
      <c r="N1935" s="573" t="s">
        <v>157</v>
      </c>
      <c r="O1935" s="573">
        <v>2</v>
      </c>
      <c r="P1935" s="573" t="s">
        <v>3508</v>
      </c>
      <c r="Q1935" s="571">
        <v>13000</v>
      </c>
      <c r="R1935" s="573" t="s">
        <v>798</v>
      </c>
      <c r="S1935" s="573">
        <v>8</v>
      </c>
      <c r="T1935" s="573" t="s">
        <v>3623</v>
      </c>
      <c r="U1935" s="573" t="s">
        <v>1522</v>
      </c>
      <c r="V1935" s="573">
        <v>158.1</v>
      </c>
      <c r="W1935" s="573">
        <v>36</v>
      </c>
      <c r="X1935" s="571">
        <v>9500</v>
      </c>
      <c r="Y1935" s="573">
        <v>14</v>
      </c>
      <c r="Z1935" s="579" t="s">
        <v>450</v>
      </c>
      <c r="AA1935" s="579" t="s">
        <v>178</v>
      </c>
      <c r="AB1935" s="584">
        <v>41895</v>
      </c>
      <c r="AC1935" s="584" t="s">
        <v>164</v>
      </c>
      <c r="AD1935" s="584">
        <v>35644</v>
      </c>
      <c r="AE1935" s="586">
        <v>7.1999999999999995E-2</v>
      </c>
      <c r="AF1935" s="661" t="str">
        <f t="shared" si="213"/>
        <v>2019-LTK-CHV-SV25-018-17</v>
      </c>
      <c r="AG1935" s="661" t="str">
        <f>IF(AND($Y1935&gt;=32,(AI1935="I"),(Y1935&lt;&gt;"~"),(COUNTIF($AN$1:$AN1935,$AN1935)=1)),"TRUE","FALSE")</f>
        <v>FALSE</v>
      </c>
      <c r="AH1935" s="661" t="str">
        <f>IF(AND($Y1935&gt;=22, (AI1935&lt;&gt;"I"),(Y1935&lt;&gt;"~"),(COUNTIF($AN$1:$AN1935,$AN1935)=1)),"TRUE","FALSE")</f>
        <v>FALSE</v>
      </c>
      <c r="AI1935" s="661" t="str">
        <f t="shared" si="208"/>
        <v>II</v>
      </c>
      <c r="AJ1935" s="662" t="str">
        <f t="shared" si="209"/>
        <v>SV25-018</v>
      </c>
      <c r="AK1935" s="662" t="str">
        <f t="shared" si="210"/>
        <v>LTK</v>
      </c>
      <c r="AL1935" s="662" t="str">
        <f t="shared" si="211"/>
        <v>CHV</v>
      </c>
      <c r="AM1935" s="662" t="str">
        <f t="shared" si="207"/>
        <v>Silverado 2500-WT Double Cab-4WD-6-8'1"-13000-6.0L-8-CK25953-1WT-158.1-36-E85-Unleaded</v>
      </c>
      <c r="AN1935" s="662" t="str">
        <f t="shared" si="212"/>
        <v>2019-LTK-CHV-SV25-018</v>
      </c>
    </row>
    <row r="1936" spans="1:40" s="572" customFormat="1" ht="15">
      <c r="A1936" s="570" t="s">
        <v>3663</v>
      </c>
      <c r="B1936" s="569" t="s">
        <v>3664</v>
      </c>
      <c r="C1936" s="569" t="s">
        <v>150</v>
      </c>
      <c r="D1936" s="580">
        <v>13</v>
      </c>
      <c r="E1936" s="569" t="s">
        <v>3374</v>
      </c>
      <c r="F1936" s="569" t="s">
        <v>196</v>
      </c>
      <c r="G1936" s="569" t="s">
        <v>153</v>
      </c>
      <c r="H1936" s="569">
        <v>2019</v>
      </c>
      <c r="I1936" s="569" t="s">
        <v>3594</v>
      </c>
      <c r="J1936" s="569" t="s">
        <v>3580</v>
      </c>
      <c r="K1936" s="569" t="s">
        <v>3377</v>
      </c>
      <c r="L1936" s="569">
        <v>3</v>
      </c>
      <c r="M1936" s="569">
        <v>0</v>
      </c>
      <c r="N1936" s="569" t="s">
        <v>157</v>
      </c>
      <c r="O1936" s="569">
        <v>1</v>
      </c>
      <c r="P1936" s="569" t="s">
        <v>3508</v>
      </c>
      <c r="Q1936" s="568">
        <v>13000</v>
      </c>
      <c r="R1936" s="569" t="s">
        <v>798</v>
      </c>
      <c r="S1936" s="569">
        <v>8</v>
      </c>
      <c r="T1936" s="569" t="s">
        <v>3631</v>
      </c>
      <c r="U1936" s="569" t="s">
        <v>1522</v>
      </c>
      <c r="V1936" s="569">
        <v>133.6</v>
      </c>
      <c r="W1936" s="569">
        <v>36</v>
      </c>
      <c r="X1936" s="568">
        <v>9300</v>
      </c>
      <c r="Y1936" s="569">
        <v>15</v>
      </c>
      <c r="Z1936" s="581" t="s">
        <v>450</v>
      </c>
      <c r="AA1936" s="581" t="s">
        <v>178</v>
      </c>
      <c r="AB1936" s="585">
        <v>37689</v>
      </c>
      <c r="AC1936" s="585" t="s">
        <v>164</v>
      </c>
      <c r="AD1936" s="585">
        <v>33694</v>
      </c>
      <c r="AE1936" s="587">
        <v>0.03</v>
      </c>
      <c r="AF1936" s="661" t="str">
        <f t="shared" si="213"/>
        <v>2019-LTK-CHV-SV25-019-13</v>
      </c>
      <c r="AG1936" s="661" t="str">
        <f>IF(AND($Y1936&gt;=32,(AI1936="I"),(Y1936&lt;&gt;"~"),(COUNTIF($AN$1:$AN1936,$AN1936)=1)),"TRUE","FALSE")</f>
        <v>FALSE</v>
      </c>
      <c r="AH1936" s="661" t="str">
        <f>IF(AND($Y1936&gt;=22, (AI1936&lt;&gt;"I"),(Y1936&lt;&gt;"~"),(COUNTIF($AN$1:$AN1936,$AN1936)=1)),"TRUE","FALSE")</f>
        <v>FALSE</v>
      </c>
      <c r="AI1936" s="661" t="str">
        <f t="shared" si="208"/>
        <v>II</v>
      </c>
      <c r="AJ1936" s="662" t="str">
        <f t="shared" si="209"/>
        <v>SV25-019</v>
      </c>
      <c r="AK1936" s="662" t="str">
        <f t="shared" si="210"/>
        <v>LTK</v>
      </c>
      <c r="AL1936" s="662" t="str">
        <f t="shared" si="211"/>
        <v>CHV</v>
      </c>
      <c r="AM1936" s="662" t="str">
        <f t="shared" si="207"/>
        <v>Silverado 2500-WT Regular Cab-2WD-3-8'1"-13000-6.0L-8-CC25903-1WT-133.6-36-E85-Unleaded</v>
      </c>
      <c r="AN1936" s="662" t="str">
        <f t="shared" si="212"/>
        <v>2019-LTK-CHV-SV25-019</v>
      </c>
    </row>
    <row r="1937" spans="1:40" s="572" customFormat="1" ht="15">
      <c r="A1937" s="570" t="s">
        <v>3665</v>
      </c>
      <c r="B1937" s="573" t="s">
        <v>3666</v>
      </c>
      <c r="C1937" s="573" t="s">
        <v>169</v>
      </c>
      <c r="D1937" s="578">
        <v>11</v>
      </c>
      <c r="E1937" s="573" t="s">
        <v>3374</v>
      </c>
      <c r="F1937" s="573" t="s">
        <v>196</v>
      </c>
      <c r="G1937" s="573" t="s">
        <v>153</v>
      </c>
      <c r="H1937" s="573">
        <v>2019</v>
      </c>
      <c r="I1937" s="573" t="s">
        <v>3594</v>
      </c>
      <c r="J1937" s="573" t="s">
        <v>3580</v>
      </c>
      <c r="K1937" s="573" t="s">
        <v>752</v>
      </c>
      <c r="L1937" s="573">
        <v>3</v>
      </c>
      <c r="M1937" s="573">
        <v>0</v>
      </c>
      <c r="N1937" s="573" t="s">
        <v>157</v>
      </c>
      <c r="O1937" s="573">
        <v>1</v>
      </c>
      <c r="P1937" s="573" t="s">
        <v>3508</v>
      </c>
      <c r="Q1937" s="571">
        <v>13000</v>
      </c>
      <c r="R1937" s="573" t="s">
        <v>798</v>
      </c>
      <c r="S1937" s="573">
        <v>8</v>
      </c>
      <c r="T1937" s="573" t="s">
        <v>3634</v>
      </c>
      <c r="U1937" s="573" t="s">
        <v>1522</v>
      </c>
      <c r="V1937" s="573">
        <v>133.6</v>
      </c>
      <c r="W1937" s="573">
        <v>36</v>
      </c>
      <c r="X1937" s="571">
        <v>9500</v>
      </c>
      <c r="Y1937" s="573">
        <v>14</v>
      </c>
      <c r="Z1937" s="579" t="s">
        <v>450</v>
      </c>
      <c r="AA1937" s="579" t="s">
        <v>178</v>
      </c>
      <c r="AB1937" s="584">
        <v>39595</v>
      </c>
      <c r="AC1937" s="584" t="s">
        <v>164</v>
      </c>
      <c r="AD1937" s="584">
        <v>38282.127659574464</v>
      </c>
      <c r="AE1937" s="586">
        <v>0.05</v>
      </c>
      <c r="AF1937" s="661" t="str">
        <f t="shared" si="213"/>
        <v>2019-LTK-CHV-SV25-020-11</v>
      </c>
      <c r="AG1937" s="661" t="str">
        <f>IF(AND($Y1937&gt;=32,(AI1937="I"),(Y1937&lt;&gt;"~"),(COUNTIF($AN$1:$AN1937,$AN1937)=1)),"TRUE","FALSE")</f>
        <v>FALSE</v>
      </c>
      <c r="AH1937" s="661" t="str">
        <f>IF(AND($Y1937&gt;=22, (AI1937&lt;&gt;"I"),(Y1937&lt;&gt;"~"),(COUNTIF($AN$1:$AN1937,$AN1937)=1)),"TRUE","FALSE")</f>
        <v>FALSE</v>
      </c>
      <c r="AI1937" s="661" t="str">
        <f t="shared" si="208"/>
        <v>II</v>
      </c>
      <c r="AJ1937" s="662" t="str">
        <f t="shared" si="209"/>
        <v>SV25-020</v>
      </c>
      <c r="AK1937" s="662" t="str">
        <f t="shared" si="210"/>
        <v>LTK</v>
      </c>
      <c r="AL1937" s="662" t="str">
        <f t="shared" si="211"/>
        <v>CHV</v>
      </c>
      <c r="AM1937" s="662" t="str">
        <f t="shared" si="207"/>
        <v>Silverado 2500-WT Regular Cab-4WD-3-8'1"-13000-6.0L-8-CK25903-1WT-133.6-36-E85-Unleaded</v>
      </c>
      <c r="AN1937" s="662" t="str">
        <f t="shared" si="212"/>
        <v>2019-LTK-CHV-SV25-020</v>
      </c>
    </row>
    <row r="1938" spans="1:40" s="572" customFormat="1" ht="15">
      <c r="A1938" s="570" t="s">
        <v>3667</v>
      </c>
      <c r="B1938" s="569" t="s">
        <v>3666</v>
      </c>
      <c r="C1938" s="569" t="s">
        <v>150</v>
      </c>
      <c r="D1938" s="580">
        <v>13</v>
      </c>
      <c r="E1938" s="569" t="s">
        <v>3374</v>
      </c>
      <c r="F1938" s="569" t="s">
        <v>196</v>
      </c>
      <c r="G1938" s="569" t="s">
        <v>153</v>
      </c>
      <c r="H1938" s="569">
        <v>2019</v>
      </c>
      <c r="I1938" s="569" t="s">
        <v>3594</v>
      </c>
      <c r="J1938" s="569" t="s">
        <v>3580</v>
      </c>
      <c r="K1938" s="569" t="s">
        <v>752</v>
      </c>
      <c r="L1938" s="569">
        <v>3</v>
      </c>
      <c r="M1938" s="569">
        <v>0</v>
      </c>
      <c r="N1938" s="569" t="s">
        <v>157</v>
      </c>
      <c r="O1938" s="569">
        <v>1</v>
      </c>
      <c r="P1938" s="569" t="s">
        <v>3508</v>
      </c>
      <c r="Q1938" s="568">
        <v>13000</v>
      </c>
      <c r="R1938" s="569" t="s">
        <v>798</v>
      </c>
      <c r="S1938" s="569">
        <v>8</v>
      </c>
      <c r="T1938" s="569" t="s">
        <v>3634</v>
      </c>
      <c r="U1938" s="569" t="s">
        <v>1522</v>
      </c>
      <c r="V1938" s="569">
        <v>133.6</v>
      </c>
      <c r="W1938" s="569">
        <v>36</v>
      </c>
      <c r="X1938" s="568">
        <v>9500</v>
      </c>
      <c r="Y1938" s="569">
        <v>14</v>
      </c>
      <c r="Z1938" s="581" t="s">
        <v>450</v>
      </c>
      <c r="AA1938" s="581" t="s">
        <v>178</v>
      </c>
      <c r="AB1938" s="585">
        <v>40839</v>
      </c>
      <c r="AC1938" s="585" t="s">
        <v>164</v>
      </c>
      <c r="AD1938" s="585">
        <v>35756</v>
      </c>
      <c r="AE1938" s="587">
        <v>0.03</v>
      </c>
      <c r="AF1938" s="661" t="str">
        <f t="shared" si="213"/>
        <v>2019-LTK-CHV-SV25-020-13</v>
      </c>
      <c r="AG1938" s="661" t="str">
        <f>IF(AND($Y1938&gt;=32,(AI1938="I"),(Y1938&lt;&gt;"~"),(COUNTIF($AN$1:$AN1938,$AN1938)=1)),"TRUE","FALSE")</f>
        <v>FALSE</v>
      </c>
      <c r="AH1938" s="661" t="str">
        <f>IF(AND($Y1938&gt;=22, (AI1938&lt;&gt;"I"),(Y1938&lt;&gt;"~"),(COUNTIF($AN$1:$AN1938,$AN1938)=1)),"TRUE","FALSE")</f>
        <v>FALSE</v>
      </c>
      <c r="AI1938" s="661" t="str">
        <f t="shared" si="208"/>
        <v>II</v>
      </c>
      <c r="AJ1938" s="662" t="str">
        <f t="shared" si="209"/>
        <v>SV25-020</v>
      </c>
      <c r="AK1938" s="662" t="str">
        <f t="shared" si="210"/>
        <v>LTK</v>
      </c>
      <c r="AL1938" s="662" t="str">
        <f t="shared" si="211"/>
        <v>CHV</v>
      </c>
      <c r="AM1938" s="662" t="str">
        <f t="shared" si="207"/>
        <v>Silverado 2500-WT Regular Cab-4WD-3-8'1"-13000-6.0L-8-CK25903-1WT-133.6-36-E85-Unleaded</v>
      </c>
      <c r="AN1938" s="662" t="str">
        <f t="shared" si="212"/>
        <v>2019-LTK-CHV-SV25-020</v>
      </c>
    </row>
    <row r="1939" spans="1:40" s="572" customFormat="1" ht="15">
      <c r="A1939" s="570" t="s">
        <v>3668</v>
      </c>
      <c r="B1939" s="573" t="s">
        <v>3669</v>
      </c>
      <c r="C1939" s="573" t="s">
        <v>169</v>
      </c>
      <c r="D1939" s="578">
        <v>11</v>
      </c>
      <c r="E1939" s="573" t="s">
        <v>3374</v>
      </c>
      <c r="F1939" s="573" t="s">
        <v>187</v>
      </c>
      <c r="G1939" s="573" t="s">
        <v>153</v>
      </c>
      <c r="H1939" s="573">
        <v>2019</v>
      </c>
      <c r="I1939" s="573" t="s">
        <v>3670</v>
      </c>
      <c r="J1939" s="573" t="s">
        <v>3384</v>
      </c>
      <c r="K1939" s="573" t="s">
        <v>3377</v>
      </c>
      <c r="L1939" s="573">
        <v>6</v>
      </c>
      <c r="M1939" s="573">
        <v>0</v>
      </c>
      <c r="N1939" s="573" t="s">
        <v>157</v>
      </c>
      <c r="O1939" s="573">
        <v>2</v>
      </c>
      <c r="P1939" s="573" t="s">
        <v>3471</v>
      </c>
      <c r="Q1939" s="571">
        <v>13000</v>
      </c>
      <c r="R1939" s="573" t="s">
        <v>798</v>
      </c>
      <c r="S1939" s="573">
        <v>8</v>
      </c>
      <c r="T1939" s="573" t="s">
        <v>3671</v>
      </c>
      <c r="U1939" s="573" t="s">
        <v>213</v>
      </c>
      <c r="V1939" s="573">
        <v>153.69999999999999</v>
      </c>
      <c r="W1939" s="573">
        <v>36</v>
      </c>
      <c r="X1939" s="571">
        <v>10000</v>
      </c>
      <c r="Y1939" s="573">
        <v>15</v>
      </c>
      <c r="Z1939" s="579" t="s">
        <v>450</v>
      </c>
      <c r="AA1939" s="579" t="s">
        <v>178</v>
      </c>
      <c r="AB1939" s="584">
        <v>47090</v>
      </c>
      <c r="AC1939" s="584" t="s">
        <v>164</v>
      </c>
      <c r="AD1939" s="584">
        <v>37288.26315789474</v>
      </c>
      <c r="AE1939" s="586">
        <v>0.05</v>
      </c>
      <c r="AF1939" s="661" t="str">
        <f t="shared" si="213"/>
        <v>2019-LTK-CHV-SV35-001-11</v>
      </c>
      <c r="AG1939" s="661" t="str">
        <f>IF(AND($Y1939&gt;=32,(AI1939="I"),(Y1939&lt;&gt;"~"),(COUNTIF($AN$1:$AN1939,$AN1939)=1)),"TRUE","FALSE")</f>
        <v>FALSE</v>
      </c>
      <c r="AH1939" s="661" t="str">
        <f>IF(AND($Y1939&gt;=22, (AI1939&lt;&gt;"I"),(Y1939&lt;&gt;"~"),(COUNTIF($AN$1:$AN1939,$AN1939)=1)),"TRUE","FALSE")</f>
        <v>FALSE</v>
      </c>
      <c r="AI1939" s="661" t="str">
        <f t="shared" si="208"/>
        <v>II</v>
      </c>
      <c r="AJ1939" s="662" t="str">
        <f t="shared" si="209"/>
        <v>SV35-001</v>
      </c>
      <c r="AK1939" s="662" t="str">
        <f t="shared" si="210"/>
        <v>LTK</v>
      </c>
      <c r="AL1939" s="662" t="str">
        <f t="shared" si="211"/>
        <v>CHV</v>
      </c>
      <c r="AM1939" s="662" t="str">
        <f t="shared" si="207"/>
        <v>Silverado 3500-LT Crew Cab-2WD-6-6'6"-13000-6.0L-8-CC35743-1LT-153.7-36-E85-Unleaded</v>
      </c>
      <c r="AN1939" s="662" t="str">
        <f t="shared" si="212"/>
        <v>2019-LTK-CHV-SV35-001</v>
      </c>
    </row>
    <row r="1940" spans="1:40" s="572" customFormat="1" ht="15">
      <c r="A1940" s="570" t="s">
        <v>3672</v>
      </c>
      <c r="B1940" s="569" t="s">
        <v>3673</v>
      </c>
      <c r="C1940" s="569" t="s">
        <v>169</v>
      </c>
      <c r="D1940" s="580">
        <v>11</v>
      </c>
      <c r="E1940" s="569" t="s">
        <v>3374</v>
      </c>
      <c r="F1940" s="569" t="s">
        <v>187</v>
      </c>
      <c r="G1940" s="569" t="s">
        <v>153</v>
      </c>
      <c r="H1940" s="569">
        <v>2019</v>
      </c>
      <c r="I1940" s="569" t="s">
        <v>3670</v>
      </c>
      <c r="J1940" s="569" t="s">
        <v>3384</v>
      </c>
      <c r="K1940" s="569" t="s">
        <v>3377</v>
      </c>
      <c r="L1940" s="569">
        <v>6</v>
      </c>
      <c r="M1940" s="569">
        <v>0</v>
      </c>
      <c r="N1940" s="569" t="s">
        <v>157</v>
      </c>
      <c r="O1940" s="569">
        <v>2</v>
      </c>
      <c r="P1940" s="569" t="s">
        <v>3508</v>
      </c>
      <c r="Q1940" s="568">
        <v>20000</v>
      </c>
      <c r="R1940" s="569" t="s">
        <v>798</v>
      </c>
      <c r="S1940" s="569">
        <v>8</v>
      </c>
      <c r="T1940" s="569" t="s">
        <v>3674</v>
      </c>
      <c r="U1940" s="569" t="s">
        <v>213</v>
      </c>
      <c r="V1940" s="569">
        <v>167.7</v>
      </c>
      <c r="W1940" s="569">
        <v>36</v>
      </c>
      <c r="X1940" s="568">
        <v>10000</v>
      </c>
      <c r="Y1940" s="569">
        <v>15</v>
      </c>
      <c r="Z1940" s="581" t="s">
        <v>450</v>
      </c>
      <c r="AA1940" s="581" t="s">
        <v>178</v>
      </c>
      <c r="AB1940" s="585">
        <v>47290</v>
      </c>
      <c r="AC1940" s="585" t="s">
        <v>164</v>
      </c>
      <c r="AD1940" s="585">
        <v>37484.473684210527</v>
      </c>
      <c r="AE1940" s="587">
        <v>0.05</v>
      </c>
      <c r="AF1940" s="661" t="str">
        <f t="shared" si="213"/>
        <v>2019-LTK-CHV-SV35-002-11</v>
      </c>
      <c r="AG1940" s="661" t="str">
        <f>IF(AND($Y1940&gt;=32,(AI1940="I"),(Y1940&lt;&gt;"~"),(COUNTIF($AN$1:$AN1940,$AN1940)=1)),"TRUE","FALSE")</f>
        <v>FALSE</v>
      </c>
      <c r="AH1940" s="661" t="str">
        <f>IF(AND($Y1940&gt;=22, (AI1940&lt;&gt;"I"),(Y1940&lt;&gt;"~"),(COUNTIF($AN$1:$AN1940,$AN1940)=1)),"TRUE","FALSE")</f>
        <v>FALSE</v>
      </c>
      <c r="AI1940" s="661" t="str">
        <f t="shared" si="208"/>
        <v>II</v>
      </c>
      <c r="AJ1940" s="662" t="str">
        <f t="shared" si="209"/>
        <v>SV35-002</v>
      </c>
      <c r="AK1940" s="662" t="str">
        <f t="shared" si="210"/>
        <v>LTK</v>
      </c>
      <c r="AL1940" s="662" t="str">
        <f t="shared" si="211"/>
        <v>CHV</v>
      </c>
      <c r="AM1940" s="662" t="str">
        <f t="shared" si="207"/>
        <v>Silverado 3500-LT Crew Cab-2WD-6-8'1"-20000-6.0L-8-CC35943-1LT-167.7-36-E85-Unleaded</v>
      </c>
      <c r="AN1940" s="662" t="str">
        <f t="shared" si="212"/>
        <v>2019-LTK-CHV-SV35-002</v>
      </c>
    </row>
    <row r="1941" spans="1:40" s="572" customFormat="1" ht="15">
      <c r="A1941" s="570" t="s">
        <v>3675</v>
      </c>
      <c r="B1941" s="573" t="s">
        <v>3669</v>
      </c>
      <c r="C1941" s="573" t="s">
        <v>166</v>
      </c>
      <c r="D1941" s="578">
        <v>17</v>
      </c>
      <c r="E1941" s="573" t="s">
        <v>3374</v>
      </c>
      <c r="F1941" s="573" t="s">
        <v>187</v>
      </c>
      <c r="G1941" s="573" t="s">
        <v>153</v>
      </c>
      <c r="H1941" s="573">
        <v>2019</v>
      </c>
      <c r="I1941" s="573" t="s">
        <v>3670</v>
      </c>
      <c r="J1941" s="573" t="s">
        <v>3384</v>
      </c>
      <c r="K1941" s="573" t="s">
        <v>3377</v>
      </c>
      <c r="L1941" s="573">
        <v>6</v>
      </c>
      <c r="M1941" s="573">
        <v>0</v>
      </c>
      <c r="N1941" s="573" t="s">
        <v>157</v>
      </c>
      <c r="O1941" s="573">
        <v>2</v>
      </c>
      <c r="P1941" s="573" t="s">
        <v>3471</v>
      </c>
      <c r="Q1941" s="571">
        <v>17500</v>
      </c>
      <c r="R1941" s="573" t="s">
        <v>798</v>
      </c>
      <c r="S1941" s="573">
        <v>8</v>
      </c>
      <c r="T1941" s="573" t="s">
        <v>3671</v>
      </c>
      <c r="U1941" s="573" t="s">
        <v>213</v>
      </c>
      <c r="V1941" s="573">
        <v>153.69999999999999</v>
      </c>
      <c r="W1941" s="573">
        <v>36</v>
      </c>
      <c r="X1941" s="571">
        <v>10000</v>
      </c>
      <c r="Y1941" s="573">
        <v>15</v>
      </c>
      <c r="Z1941" s="579" t="s">
        <v>450</v>
      </c>
      <c r="AA1941" s="579" t="s">
        <v>178</v>
      </c>
      <c r="AB1941" s="584">
        <v>46595</v>
      </c>
      <c r="AC1941" s="584" t="s">
        <v>164</v>
      </c>
      <c r="AD1941" s="584">
        <v>35980</v>
      </c>
      <c r="AE1941" s="586">
        <v>7.1999999999999995E-2</v>
      </c>
      <c r="AF1941" s="661" t="str">
        <f t="shared" si="213"/>
        <v>2019-LTK-CHV-SV35-001-17</v>
      </c>
      <c r="AG1941" s="661" t="str">
        <f>IF(AND($Y1941&gt;=32,(AI1941="I"),(Y1941&lt;&gt;"~"),(COUNTIF($AN$1:$AN1941,$AN1941)=1)),"TRUE","FALSE")</f>
        <v>FALSE</v>
      </c>
      <c r="AH1941" s="661" t="str">
        <f>IF(AND($Y1941&gt;=22, (AI1941&lt;&gt;"I"),(Y1941&lt;&gt;"~"),(COUNTIF($AN$1:$AN1941,$AN1941)=1)),"TRUE","FALSE")</f>
        <v>FALSE</v>
      </c>
      <c r="AI1941" s="661" t="str">
        <f t="shared" si="208"/>
        <v>II</v>
      </c>
      <c r="AJ1941" s="662" t="str">
        <f t="shared" si="209"/>
        <v>SV35-001</v>
      </c>
      <c r="AK1941" s="662" t="str">
        <f t="shared" si="210"/>
        <v>LTK</v>
      </c>
      <c r="AL1941" s="662" t="str">
        <f t="shared" si="211"/>
        <v>CHV</v>
      </c>
      <c r="AM1941" s="662" t="str">
        <f t="shared" si="207"/>
        <v>Silverado 3500-LT Crew Cab-2WD-6-6'6"-17500-6.0L-8-CC35743-1LT-153.7-36-E85-Unleaded</v>
      </c>
      <c r="AN1941" s="662" t="str">
        <f t="shared" si="212"/>
        <v>2019-LTK-CHV-SV35-001</v>
      </c>
    </row>
    <row r="1942" spans="1:40" s="572" customFormat="1" ht="15">
      <c r="A1942" s="570" t="s">
        <v>3676</v>
      </c>
      <c r="B1942" s="569" t="s">
        <v>3673</v>
      </c>
      <c r="C1942" s="569" t="s">
        <v>166</v>
      </c>
      <c r="D1942" s="580">
        <v>17</v>
      </c>
      <c r="E1942" s="569" t="s">
        <v>3374</v>
      </c>
      <c r="F1942" s="569" t="s">
        <v>187</v>
      </c>
      <c r="G1942" s="569" t="s">
        <v>153</v>
      </c>
      <c r="H1942" s="569">
        <v>2019</v>
      </c>
      <c r="I1942" s="569" t="s">
        <v>3670</v>
      </c>
      <c r="J1942" s="569" t="s">
        <v>3384</v>
      </c>
      <c r="K1942" s="569" t="s">
        <v>3377</v>
      </c>
      <c r="L1942" s="569">
        <v>6</v>
      </c>
      <c r="M1942" s="569">
        <v>0</v>
      </c>
      <c r="N1942" s="569" t="s">
        <v>157</v>
      </c>
      <c r="O1942" s="569">
        <v>2</v>
      </c>
      <c r="P1942" s="569" t="s">
        <v>3508</v>
      </c>
      <c r="Q1942" s="568">
        <v>23100</v>
      </c>
      <c r="R1942" s="569" t="s">
        <v>798</v>
      </c>
      <c r="S1942" s="569">
        <v>8</v>
      </c>
      <c r="T1942" s="569" t="s">
        <v>3674</v>
      </c>
      <c r="U1942" s="569" t="s">
        <v>213</v>
      </c>
      <c r="V1942" s="569">
        <v>167.7</v>
      </c>
      <c r="W1942" s="569">
        <v>36</v>
      </c>
      <c r="X1942" s="568">
        <v>10000</v>
      </c>
      <c r="Y1942" s="569">
        <v>15</v>
      </c>
      <c r="Z1942" s="581" t="s">
        <v>450</v>
      </c>
      <c r="AA1942" s="581" t="s">
        <v>178</v>
      </c>
      <c r="AB1942" s="585">
        <v>46595</v>
      </c>
      <c r="AC1942" s="585" t="s">
        <v>164</v>
      </c>
      <c r="AD1942" s="585">
        <v>35980</v>
      </c>
      <c r="AE1942" s="587">
        <v>7.1999999999999995E-2</v>
      </c>
      <c r="AF1942" s="661" t="str">
        <f t="shared" si="213"/>
        <v>2019-LTK-CHV-SV35-002-17</v>
      </c>
      <c r="AG1942" s="661" t="str">
        <f>IF(AND($Y1942&gt;=32,(AI1942="I"),(Y1942&lt;&gt;"~"),(COUNTIF($AN$1:$AN1942,$AN1942)=1)),"TRUE","FALSE")</f>
        <v>FALSE</v>
      </c>
      <c r="AH1942" s="661" t="str">
        <f>IF(AND($Y1942&gt;=22, (AI1942&lt;&gt;"I"),(Y1942&lt;&gt;"~"),(COUNTIF($AN$1:$AN1942,$AN1942)=1)),"TRUE","FALSE")</f>
        <v>FALSE</v>
      </c>
      <c r="AI1942" s="661" t="str">
        <f t="shared" si="208"/>
        <v>II</v>
      </c>
      <c r="AJ1942" s="662" t="str">
        <f t="shared" si="209"/>
        <v>SV35-002</v>
      </c>
      <c r="AK1942" s="662" t="str">
        <f t="shared" si="210"/>
        <v>LTK</v>
      </c>
      <c r="AL1942" s="662" t="str">
        <f t="shared" si="211"/>
        <v>CHV</v>
      </c>
      <c r="AM1942" s="662" t="str">
        <f t="shared" si="207"/>
        <v>Silverado 3500-LT Crew Cab-2WD-6-8'1"-23100-6.0L-8-CC35943-1LT-167.7-36-E85-Unleaded</v>
      </c>
      <c r="AN1942" s="662" t="str">
        <f t="shared" si="212"/>
        <v>2019-LTK-CHV-SV35-002</v>
      </c>
    </row>
    <row r="1943" spans="1:40" s="572" customFormat="1" ht="15">
      <c r="A1943" s="570" t="s">
        <v>3677</v>
      </c>
      <c r="B1943" s="573" t="s">
        <v>3678</v>
      </c>
      <c r="C1943" s="573" t="s">
        <v>169</v>
      </c>
      <c r="D1943" s="578">
        <v>11</v>
      </c>
      <c r="E1943" s="573" t="s">
        <v>3374</v>
      </c>
      <c r="F1943" s="573" t="s">
        <v>187</v>
      </c>
      <c r="G1943" s="573" t="s">
        <v>153</v>
      </c>
      <c r="H1943" s="573">
        <v>2019</v>
      </c>
      <c r="I1943" s="573" t="s">
        <v>3670</v>
      </c>
      <c r="J1943" s="573" t="s">
        <v>3384</v>
      </c>
      <c r="K1943" s="573" t="s">
        <v>752</v>
      </c>
      <c r="L1943" s="573">
        <v>6</v>
      </c>
      <c r="M1943" s="573">
        <v>0</v>
      </c>
      <c r="N1943" s="573" t="s">
        <v>157</v>
      </c>
      <c r="O1943" s="573">
        <v>2</v>
      </c>
      <c r="P1943" s="573" t="s">
        <v>3471</v>
      </c>
      <c r="Q1943" s="571">
        <v>13000</v>
      </c>
      <c r="R1943" s="573" t="s">
        <v>798</v>
      </c>
      <c r="S1943" s="573">
        <v>8</v>
      </c>
      <c r="T1943" s="573" t="s">
        <v>3679</v>
      </c>
      <c r="U1943" s="573" t="s">
        <v>213</v>
      </c>
      <c r="V1943" s="573">
        <v>153.69999999999999</v>
      </c>
      <c r="W1943" s="573">
        <v>36</v>
      </c>
      <c r="X1943" s="571">
        <v>10000</v>
      </c>
      <c r="Y1943" s="573">
        <v>14</v>
      </c>
      <c r="Z1943" s="579" t="s">
        <v>450</v>
      </c>
      <c r="AA1943" s="579" t="s">
        <v>178</v>
      </c>
      <c r="AB1943" s="584">
        <v>50190</v>
      </c>
      <c r="AC1943" s="584" t="s">
        <v>164</v>
      </c>
      <c r="AD1943" s="584">
        <v>39697.947368421061</v>
      </c>
      <c r="AE1943" s="586">
        <v>0.05</v>
      </c>
      <c r="AF1943" s="661" t="str">
        <f t="shared" si="213"/>
        <v>2019-LTK-CHV-SV35-003-11</v>
      </c>
      <c r="AG1943" s="661" t="str">
        <f>IF(AND($Y1943&gt;=32,(AI1943="I"),(Y1943&lt;&gt;"~"),(COUNTIF($AN$1:$AN1943,$AN1943)=1)),"TRUE","FALSE")</f>
        <v>FALSE</v>
      </c>
      <c r="AH1943" s="661" t="str">
        <f>IF(AND($Y1943&gt;=22, (AI1943&lt;&gt;"I"),(Y1943&lt;&gt;"~"),(COUNTIF($AN$1:$AN1943,$AN1943)=1)),"TRUE","FALSE")</f>
        <v>FALSE</v>
      </c>
      <c r="AI1943" s="661" t="str">
        <f t="shared" si="208"/>
        <v>II</v>
      </c>
      <c r="AJ1943" s="662" t="str">
        <f t="shared" si="209"/>
        <v>SV35-003</v>
      </c>
      <c r="AK1943" s="662" t="str">
        <f t="shared" si="210"/>
        <v>LTK</v>
      </c>
      <c r="AL1943" s="662" t="str">
        <f t="shared" si="211"/>
        <v>CHV</v>
      </c>
      <c r="AM1943" s="662" t="str">
        <f t="shared" si="207"/>
        <v>Silverado 3500-LT Crew Cab-4WD-6-6'6"-13000-6.0L-8-CK35743-1LT-153.7-36-E85-Unleaded</v>
      </c>
      <c r="AN1943" s="662" t="str">
        <f t="shared" si="212"/>
        <v>2019-LTK-CHV-SV35-003</v>
      </c>
    </row>
    <row r="1944" spans="1:40" s="572" customFormat="1" ht="15">
      <c r="A1944" s="570" t="s">
        <v>3680</v>
      </c>
      <c r="B1944" s="569" t="s">
        <v>3681</v>
      </c>
      <c r="C1944" s="569" t="s">
        <v>169</v>
      </c>
      <c r="D1944" s="580">
        <v>11</v>
      </c>
      <c r="E1944" s="569" t="s">
        <v>3374</v>
      </c>
      <c r="F1944" s="569" t="s">
        <v>187</v>
      </c>
      <c r="G1944" s="569" t="s">
        <v>153</v>
      </c>
      <c r="H1944" s="569">
        <v>2019</v>
      </c>
      <c r="I1944" s="569" t="s">
        <v>3670</v>
      </c>
      <c r="J1944" s="569" t="s">
        <v>3384</v>
      </c>
      <c r="K1944" s="569" t="s">
        <v>752</v>
      </c>
      <c r="L1944" s="569">
        <v>6</v>
      </c>
      <c r="M1944" s="569">
        <v>0</v>
      </c>
      <c r="N1944" s="569" t="s">
        <v>157</v>
      </c>
      <c r="O1944" s="569">
        <v>2</v>
      </c>
      <c r="P1944" s="569" t="s">
        <v>3508</v>
      </c>
      <c r="Q1944" s="568">
        <v>20000</v>
      </c>
      <c r="R1944" s="569" t="s">
        <v>798</v>
      </c>
      <c r="S1944" s="569">
        <v>8</v>
      </c>
      <c r="T1944" s="569" t="s">
        <v>3682</v>
      </c>
      <c r="U1944" s="569" t="s">
        <v>213</v>
      </c>
      <c r="V1944" s="569">
        <v>167.7</v>
      </c>
      <c r="W1944" s="569">
        <v>36</v>
      </c>
      <c r="X1944" s="568">
        <v>11000</v>
      </c>
      <c r="Y1944" s="569" t="s">
        <v>164</v>
      </c>
      <c r="Z1944" s="581" t="s">
        <v>450</v>
      </c>
      <c r="AA1944" s="581" t="s">
        <v>178</v>
      </c>
      <c r="AB1944" s="585">
        <v>49995</v>
      </c>
      <c r="AC1944" s="585" t="s">
        <v>164</v>
      </c>
      <c r="AD1944" s="585">
        <v>39515.789473684214</v>
      </c>
      <c r="AE1944" s="587">
        <v>0.05</v>
      </c>
      <c r="AF1944" s="661" t="str">
        <f t="shared" si="213"/>
        <v>2019-LTK-CHV-SV35-004-11</v>
      </c>
      <c r="AG1944" s="661" t="str">
        <f>IF(AND($Y1944&gt;=32,(AI1944="I"),(Y1944&lt;&gt;"~"),(COUNTIF($AN$1:$AN1944,$AN1944)=1)),"TRUE","FALSE")</f>
        <v>FALSE</v>
      </c>
      <c r="AH1944" s="661" t="str">
        <f>IF(AND($Y1944&gt;=22, (AI1944&lt;&gt;"I"),(Y1944&lt;&gt;"~"),(COUNTIF($AN$1:$AN1944,$AN1944)=1)),"TRUE","FALSE")</f>
        <v>TRUE</v>
      </c>
      <c r="AI1944" s="661" t="str">
        <f t="shared" si="208"/>
        <v>N/A</v>
      </c>
      <c r="AJ1944" s="662" t="str">
        <f t="shared" si="209"/>
        <v>SV35-004</v>
      </c>
      <c r="AK1944" s="662" t="str">
        <f t="shared" si="210"/>
        <v>LTK</v>
      </c>
      <c r="AL1944" s="662" t="str">
        <f t="shared" si="211"/>
        <v>CHV</v>
      </c>
      <c r="AM1944" s="662" t="str">
        <f t="shared" si="207"/>
        <v>Silverado 3500-LT Crew Cab-4WD-6-8'1"-20000-6.0L-8-CK35943-1LT-167.7-36-E85-Unleaded</v>
      </c>
      <c r="AN1944" s="662" t="str">
        <f t="shared" si="212"/>
        <v>2019-LTK-CHV-SV35-004</v>
      </c>
    </row>
    <row r="1945" spans="1:40" s="572" customFormat="1" ht="15">
      <c r="A1945" s="570" t="s">
        <v>3683</v>
      </c>
      <c r="B1945" s="573" t="s">
        <v>3678</v>
      </c>
      <c r="C1945" s="573" t="s">
        <v>166</v>
      </c>
      <c r="D1945" s="578">
        <v>17</v>
      </c>
      <c r="E1945" s="573" t="s">
        <v>3374</v>
      </c>
      <c r="F1945" s="573" t="s">
        <v>187</v>
      </c>
      <c r="G1945" s="573" t="s">
        <v>153</v>
      </c>
      <c r="H1945" s="573">
        <v>2019</v>
      </c>
      <c r="I1945" s="573" t="s">
        <v>3670</v>
      </c>
      <c r="J1945" s="573" t="s">
        <v>3384</v>
      </c>
      <c r="K1945" s="573" t="s">
        <v>752</v>
      </c>
      <c r="L1945" s="573">
        <v>6</v>
      </c>
      <c r="M1945" s="573">
        <v>0</v>
      </c>
      <c r="N1945" s="573" t="s">
        <v>157</v>
      </c>
      <c r="O1945" s="573">
        <v>2</v>
      </c>
      <c r="P1945" s="573" t="s">
        <v>3471</v>
      </c>
      <c r="Q1945" s="571">
        <v>17200</v>
      </c>
      <c r="R1945" s="573" t="s">
        <v>798</v>
      </c>
      <c r="S1945" s="573">
        <v>8</v>
      </c>
      <c r="T1945" s="573" t="s">
        <v>3679</v>
      </c>
      <c r="U1945" s="573" t="s">
        <v>213</v>
      </c>
      <c r="V1945" s="573">
        <v>153.69999999999999</v>
      </c>
      <c r="W1945" s="573">
        <v>36</v>
      </c>
      <c r="X1945" s="571">
        <v>10000</v>
      </c>
      <c r="Y1945" s="573">
        <v>14</v>
      </c>
      <c r="Z1945" s="579" t="s">
        <v>450</v>
      </c>
      <c r="AA1945" s="579" t="s">
        <v>178</v>
      </c>
      <c r="AB1945" s="584">
        <v>46595</v>
      </c>
      <c r="AC1945" s="584" t="s">
        <v>164</v>
      </c>
      <c r="AD1945" s="584">
        <v>35980</v>
      </c>
      <c r="AE1945" s="586">
        <v>7.1999999999999995E-2</v>
      </c>
      <c r="AF1945" s="661" t="str">
        <f t="shared" si="213"/>
        <v>2019-LTK-CHV-SV35-003-17</v>
      </c>
      <c r="AG1945" s="661" t="str">
        <f>IF(AND($Y1945&gt;=32,(AI1945="I"),(Y1945&lt;&gt;"~"),(COUNTIF($AN$1:$AN1945,$AN1945)=1)),"TRUE","FALSE")</f>
        <v>FALSE</v>
      </c>
      <c r="AH1945" s="661" t="str">
        <f>IF(AND($Y1945&gt;=22, (AI1945&lt;&gt;"I"),(Y1945&lt;&gt;"~"),(COUNTIF($AN$1:$AN1945,$AN1945)=1)),"TRUE","FALSE")</f>
        <v>FALSE</v>
      </c>
      <c r="AI1945" s="661" t="str">
        <f t="shared" si="208"/>
        <v>II</v>
      </c>
      <c r="AJ1945" s="662" t="str">
        <f t="shared" si="209"/>
        <v>SV35-003</v>
      </c>
      <c r="AK1945" s="662" t="str">
        <f t="shared" si="210"/>
        <v>LTK</v>
      </c>
      <c r="AL1945" s="662" t="str">
        <f t="shared" si="211"/>
        <v>CHV</v>
      </c>
      <c r="AM1945" s="662" t="str">
        <f t="shared" si="207"/>
        <v>Silverado 3500-LT Crew Cab-4WD-6-6'6"-17200-6.0L-8-CK35743-1LT-153.7-36-E85-Unleaded</v>
      </c>
      <c r="AN1945" s="662" t="str">
        <f t="shared" si="212"/>
        <v>2019-LTK-CHV-SV35-003</v>
      </c>
    </row>
    <row r="1946" spans="1:40" s="572" customFormat="1" ht="15">
      <c r="A1946" s="570" t="s">
        <v>3684</v>
      </c>
      <c r="B1946" s="569" t="s">
        <v>3681</v>
      </c>
      <c r="C1946" s="569" t="s">
        <v>166</v>
      </c>
      <c r="D1946" s="580">
        <v>17</v>
      </c>
      <c r="E1946" s="569" t="s">
        <v>3374</v>
      </c>
      <c r="F1946" s="569" t="s">
        <v>187</v>
      </c>
      <c r="G1946" s="569" t="s">
        <v>153</v>
      </c>
      <c r="H1946" s="569">
        <v>2019</v>
      </c>
      <c r="I1946" s="569" t="s">
        <v>3670</v>
      </c>
      <c r="J1946" s="569" t="s">
        <v>3384</v>
      </c>
      <c r="K1946" s="569" t="s">
        <v>752</v>
      </c>
      <c r="L1946" s="569">
        <v>6</v>
      </c>
      <c r="M1946" s="569">
        <v>0</v>
      </c>
      <c r="N1946" s="569" t="s">
        <v>157</v>
      </c>
      <c r="O1946" s="569">
        <v>2</v>
      </c>
      <c r="P1946" s="569" t="s">
        <v>3508</v>
      </c>
      <c r="Q1946" s="568">
        <v>22700</v>
      </c>
      <c r="R1946" s="569" t="s">
        <v>798</v>
      </c>
      <c r="S1946" s="569">
        <v>8</v>
      </c>
      <c r="T1946" s="569" t="s">
        <v>3682</v>
      </c>
      <c r="U1946" s="569" t="s">
        <v>213</v>
      </c>
      <c r="V1946" s="569">
        <v>167.7</v>
      </c>
      <c r="W1946" s="569">
        <v>36</v>
      </c>
      <c r="X1946" s="568">
        <v>11000</v>
      </c>
      <c r="Y1946" s="569" t="s">
        <v>164</v>
      </c>
      <c r="Z1946" s="581" t="s">
        <v>450</v>
      </c>
      <c r="AA1946" s="581" t="s">
        <v>178</v>
      </c>
      <c r="AB1946" s="585">
        <v>49695</v>
      </c>
      <c r="AC1946" s="585" t="s">
        <v>164</v>
      </c>
      <c r="AD1946" s="585">
        <v>38540</v>
      </c>
      <c r="AE1946" s="587">
        <v>7.1999999999999995E-2</v>
      </c>
      <c r="AF1946" s="661" t="str">
        <f t="shared" si="213"/>
        <v>2019-LTK-CHV-SV35-004-17</v>
      </c>
      <c r="AG1946" s="661" t="str">
        <f>IF(AND($Y1946&gt;=32,(AI1946="I"),(Y1946&lt;&gt;"~"),(COUNTIF($AN$1:$AN1946,$AN1946)=1)),"TRUE","FALSE")</f>
        <v>FALSE</v>
      </c>
      <c r="AH1946" s="661" t="str">
        <f>IF(AND($Y1946&gt;=22, (AI1946&lt;&gt;"I"),(Y1946&lt;&gt;"~"),(COUNTIF($AN$1:$AN1946,$AN1946)=1)),"TRUE","FALSE")</f>
        <v>FALSE</v>
      </c>
      <c r="AI1946" s="661" t="str">
        <f t="shared" si="208"/>
        <v>N/A</v>
      </c>
      <c r="AJ1946" s="662" t="str">
        <f t="shared" si="209"/>
        <v>SV35-004</v>
      </c>
      <c r="AK1946" s="662" t="str">
        <f t="shared" si="210"/>
        <v>LTK</v>
      </c>
      <c r="AL1946" s="662" t="str">
        <f t="shared" si="211"/>
        <v>CHV</v>
      </c>
      <c r="AM1946" s="662" t="str">
        <f t="shared" si="207"/>
        <v>Silverado 3500-LT Crew Cab-4WD-6-8'1"-22700-6.0L-8-CK35943-1LT-167.7-36-E85-Unleaded</v>
      </c>
      <c r="AN1946" s="662" t="str">
        <f t="shared" si="212"/>
        <v>2019-LTK-CHV-SV35-004</v>
      </c>
    </row>
    <row r="1947" spans="1:40" s="572" customFormat="1" ht="15">
      <c r="A1947" s="570" t="s">
        <v>3685</v>
      </c>
      <c r="B1947" s="573" t="s">
        <v>3686</v>
      </c>
      <c r="C1947" s="573" t="s">
        <v>169</v>
      </c>
      <c r="D1947" s="578">
        <v>11</v>
      </c>
      <c r="E1947" s="573" t="s">
        <v>3374</v>
      </c>
      <c r="F1947" s="573" t="s">
        <v>187</v>
      </c>
      <c r="G1947" s="573" t="s">
        <v>153</v>
      </c>
      <c r="H1947" s="573">
        <v>2019</v>
      </c>
      <c r="I1947" s="573" t="s">
        <v>3670</v>
      </c>
      <c r="J1947" s="573" t="s">
        <v>3410</v>
      </c>
      <c r="K1947" s="573" t="s">
        <v>3377</v>
      </c>
      <c r="L1947" s="573">
        <v>6</v>
      </c>
      <c r="M1947" s="573">
        <v>0</v>
      </c>
      <c r="N1947" s="573" t="s">
        <v>157</v>
      </c>
      <c r="O1947" s="573">
        <v>2</v>
      </c>
      <c r="P1947" s="573" t="s">
        <v>3471</v>
      </c>
      <c r="Q1947" s="571">
        <v>13000</v>
      </c>
      <c r="R1947" s="573" t="s">
        <v>798</v>
      </c>
      <c r="S1947" s="573">
        <v>8</v>
      </c>
      <c r="T1947" s="573" t="s">
        <v>3671</v>
      </c>
      <c r="U1947" s="573" t="s">
        <v>1522</v>
      </c>
      <c r="V1947" s="573">
        <v>153.69999999999999</v>
      </c>
      <c r="W1947" s="573">
        <v>36</v>
      </c>
      <c r="X1947" s="571">
        <v>10000</v>
      </c>
      <c r="Y1947" s="573">
        <v>15</v>
      </c>
      <c r="Z1947" s="579" t="s">
        <v>450</v>
      </c>
      <c r="AA1947" s="579" t="s">
        <v>178</v>
      </c>
      <c r="AB1947" s="584">
        <v>41990</v>
      </c>
      <c r="AC1947" s="584" t="s">
        <v>164</v>
      </c>
      <c r="AD1947" s="584">
        <v>32707.000000000004</v>
      </c>
      <c r="AE1947" s="586">
        <v>0.05</v>
      </c>
      <c r="AF1947" s="661" t="str">
        <f t="shared" si="213"/>
        <v>2019-LTK-CHV-SV35-009-11</v>
      </c>
      <c r="AG1947" s="661" t="str">
        <f>IF(AND($Y1947&gt;=32,(AI1947="I"),(Y1947&lt;&gt;"~"),(COUNTIF($AN$1:$AN1947,$AN1947)=1)),"TRUE","FALSE")</f>
        <v>FALSE</v>
      </c>
      <c r="AH1947" s="661" t="str">
        <f>IF(AND($Y1947&gt;=22, (AI1947&lt;&gt;"I"),(Y1947&lt;&gt;"~"),(COUNTIF($AN$1:$AN1947,$AN1947)=1)),"TRUE","FALSE")</f>
        <v>FALSE</v>
      </c>
      <c r="AI1947" s="661" t="str">
        <f t="shared" si="208"/>
        <v>II</v>
      </c>
      <c r="AJ1947" s="662" t="str">
        <f t="shared" si="209"/>
        <v>SV35-009</v>
      </c>
      <c r="AK1947" s="662" t="str">
        <f t="shared" si="210"/>
        <v>LTK</v>
      </c>
      <c r="AL1947" s="662" t="str">
        <f t="shared" si="211"/>
        <v>CHV</v>
      </c>
      <c r="AM1947" s="662" t="str">
        <f t="shared" ref="AM1947:AM2010" si="214">CONCATENATE(I1947,"-",J1947,"-",K1947,"-",L1947,"-",P1947,"-",Q1947,"-",R1947,"-",S1947,"-",T1947,"-",U1947,"-",V1947,"-",W1947,"-",Z1947,"-",AA1947)</f>
        <v>Silverado 3500-WT Crew Cab-2WD-6-6'6"-13000-6.0L-8-CC35743-1WT-153.7-36-E85-Unleaded</v>
      </c>
      <c r="AN1947" s="662" t="str">
        <f t="shared" si="212"/>
        <v>2019-LTK-CHV-SV35-009</v>
      </c>
    </row>
    <row r="1948" spans="1:40" s="572" customFormat="1" ht="15">
      <c r="A1948" s="570" t="s">
        <v>3687</v>
      </c>
      <c r="B1948" s="569" t="s">
        <v>3688</v>
      </c>
      <c r="C1948" s="569" t="s">
        <v>169</v>
      </c>
      <c r="D1948" s="580">
        <v>11</v>
      </c>
      <c r="E1948" s="569" t="s">
        <v>3374</v>
      </c>
      <c r="F1948" s="569" t="s">
        <v>187</v>
      </c>
      <c r="G1948" s="569" t="s">
        <v>153</v>
      </c>
      <c r="H1948" s="569">
        <v>2019</v>
      </c>
      <c r="I1948" s="569" t="s">
        <v>3670</v>
      </c>
      <c r="J1948" s="569" t="s">
        <v>3410</v>
      </c>
      <c r="K1948" s="569" t="s">
        <v>3377</v>
      </c>
      <c r="L1948" s="569">
        <v>6</v>
      </c>
      <c r="M1948" s="569">
        <v>0</v>
      </c>
      <c r="N1948" s="569" t="s">
        <v>157</v>
      </c>
      <c r="O1948" s="569">
        <v>2</v>
      </c>
      <c r="P1948" s="569" t="s">
        <v>3508</v>
      </c>
      <c r="Q1948" s="568">
        <v>20000</v>
      </c>
      <c r="R1948" s="569" t="s">
        <v>798</v>
      </c>
      <c r="S1948" s="569">
        <v>8</v>
      </c>
      <c r="T1948" s="569" t="s">
        <v>3674</v>
      </c>
      <c r="U1948" s="569" t="s">
        <v>1522</v>
      </c>
      <c r="V1948" s="569">
        <v>167.7</v>
      </c>
      <c r="W1948" s="569">
        <v>36</v>
      </c>
      <c r="X1948" s="568">
        <v>10000</v>
      </c>
      <c r="Y1948" s="569">
        <v>15</v>
      </c>
      <c r="Z1948" s="581" t="s">
        <v>450</v>
      </c>
      <c r="AA1948" s="581" t="s">
        <v>178</v>
      </c>
      <c r="AB1948" s="585">
        <v>42190</v>
      </c>
      <c r="AC1948" s="585" t="s">
        <v>164</v>
      </c>
      <c r="AD1948" s="585">
        <v>32905.315789473687</v>
      </c>
      <c r="AE1948" s="587">
        <v>0.05</v>
      </c>
      <c r="AF1948" s="661" t="str">
        <f t="shared" si="213"/>
        <v>2019-LTK-CHV-SV35-010-11</v>
      </c>
      <c r="AG1948" s="661" t="str">
        <f>IF(AND($Y1948&gt;=32,(AI1948="I"),(Y1948&lt;&gt;"~"),(COUNTIF($AN$1:$AN1948,$AN1948)=1)),"TRUE","FALSE")</f>
        <v>FALSE</v>
      </c>
      <c r="AH1948" s="661" t="str">
        <f>IF(AND($Y1948&gt;=22, (AI1948&lt;&gt;"I"),(Y1948&lt;&gt;"~"),(COUNTIF($AN$1:$AN1948,$AN1948)=1)),"TRUE","FALSE")</f>
        <v>FALSE</v>
      </c>
      <c r="AI1948" s="661" t="str">
        <f t="shared" ref="AI1948:AI2011" si="215">IF(OR((LEFT($E1948,2)="01"),AND(LEFT($E1948,2)="06",ISNUMBER(SEARCH("pas",$F1948))),AND(LEFT($E1948,2)="05",ISNUMBER(SEARCH("pas",$F1948)))),"I",IF(AND((LEFT($E1948,2)&lt;&gt;"01"),$X1948&lt;=10000),"II",IF(AND((LEFT($E1948,2)&lt;&gt;"01"),$X1948&gt;10000),"N/A")))</f>
        <v>II</v>
      </c>
      <c r="AJ1948" s="662" t="str">
        <f t="shared" si="209"/>
        <v>SV35-010</v>
      </c>
      <c r="AK1948" s="662" t="str">
        <f t="shared" si="210"/>
        <v>LTK</v>
      </c>
      <c r="AL1948" s="662" t="str">
        <f t="shared" si="211"/>
        <v>CHV</v>
      </c>
      <c r="AM1948" s="662" t="str">
        <f t="shared" si="214"/>
        <v>Silverado 3500-WT Crew Cab-2WD-6-8'1"-20000-6.0L-8-CC35943-1WT-167.7-36-E85-Unleaded</v>
      </c>
      <c r="AN1948" s="662" t="str">
        <f t="shared" si="212"/>
        <v>2019-LTK-CHV-SV35-010</v>
      </c>
    </row>
    <row r="1949" spans="1:40" s="572" customFormat="1" ht="15">
      <c r="A1949" s="570" t="s">
        <v>3689</v>
      </c>
      <c r="B1949" s="573" t="s">
        <v>3686</v>
      </c>
      <c r="C1949" s="573" t="s">
        <v>166</v>
      </c>
      <c r="D1949" s="578">
        <v>17</v>
      </c>
      <c r="E1949" s="573" t="s">
        <v>3374</v>
      </c>
      <c r="F1949" s="573" t="s">
        <v>187</v>
      </c>
      <c r="G1949" s="573" t="s">
        <v>153</v>
      </c>
      <c r="H1949" s="573">
        <v>2019</v>
      </c>
      <c r="I1949" s="573" t="s">
        <v>3670</v>
      </c>
      <c r="J1949" s="573" t="s">
        <v>3410</v>
      </c>
      <c r="K1949" s="573" t="s">
        <v>3377</v>
      </c>
      <c r="L1949" s="573">
        <v>6</v>
      </c>
      <c r="M1949" s="573">
        <v>0</v>
      </c>
      <c r="N1949" s="573" t="s">
        <v>157</v>
      </c>
      <c r="O1949" s="573">
        <v>2</v>
      </c>
      <c r="P1949" s="573" t="s">
        <v>3471</v>
      </c>
      <c r="Q1949" s="571">
        <v>17500</v>
      </c>
      <c r="R1949" s="573" t="s">
        <v>798</v>
      </c>
      <c r="S1949" s="573">
        <v>8</v>
      </c>
      <c r="T1949" s="573" t="s">
        <v>3671</v>
      </c>
      <c r="U1949" s="573" t="s">
        <v>1522</v>
      </c>
      <c r="V1949" s="573">
        <v>153.69999999999999</v>
      </c>
      <c r="W1949" s="573">
        <v>36</v>
      </c>
      <c r="X1949" s="571">
        <v>10000</v>
      </c>
      <c r="Y1949" s="573">
        <v>15</v>
      </c>
      <c r="Z1949" s="579" t="s">
        <v>450</v>
      </c>
      <c r="AA1949" s="579" t="s">
        <v>178</v>
      </c>
      <c r="AB1949" s="584">
        <v>41495</v>
      </c>
      <c r="AC1949" s="584" t="s">
        <v>164</v>
      </c>
      <c r="AD1949" s="584">
        <v>32120</v>
      </c>
      <c r="AE1949" s="586">
        <v>7.1999999999999995E-2</v>
      </c>
      <c r="AF1949" s="661" t="str">
        <f t="shared" si="213"/>
        <v>2019-LTK-CHV-SV35-009-17</v>
      </c>
      <c r="AG1949" s="661" t="str">
        <f>IF(AND($Y1949&gt;=32,(AI1949="I"),(Y1949&lt;&gt;"~"),(COUNTIF($AN$1:$AN1949,$AN1949)=1)),"TRUE","FALSE")</f>
        <v>FALSE</v>
      </c>
      <c r="AH1949" s="661" t="str">
        <f>IF(AND($Y1949&gt;=22, (AI1949&lt;&gt;"I"),(Y1949&lt;&gt;"~"),(COUNTIF($AN$1:$AN1949,$AN1949)=1)),"TRUE","FALSE")</f>
        <v>FALSE</v>
      </c>
      <c r="AI1949" s="661" t="str">
        <f t="shared" si="215"/>
        <v>II</v>
      </c>
      <c r="AJ1949" s="662" t="str">
        <f t="shared" si="209"/>
        <v>SV35-009</v>
      </c>
      <c r="AK1949" s="662" t="str">
        <f t="shared" si="210"/>
        <v>LTK</v>
      </c>
      <c r="AL1949" s="662" t="str">
        <f t="shared" si="211"/>
        <v>CHV</v>
      </c>
      <c r="AM1949" s="662" t="str">
        <f t="shared" si="214"/>
        <v>Silverado 3500-WT Crew Cab-2WD-6-6'6"-17500-6.0L-8-CC35743-1WT-153.7-36-E85-Unleaded</v>
      </c>
      <c r="AN1949" s="662" t="str">
        <f t="shared" si="212"/>
        <v>2019-LTK-CHV-SV35-009</v>
      </c>
    </row>
    <row r="1950" spans="1:40" s="572" customFormat="1" ht="15">
      <c r="A1950" s="570" t="s">
        <v>3690</v>
      </c>
      <c r="B1950" s="569" t="s">
        <v>3688</v>
      </c>
      <c r="C1950" s="569" t="s">
        <v>166</v>
      </c>
      <c r="D1950" s="580">
        <v>17</v>
      </c>
      <c r="E1950" s="569" t="s">
        <v>3374</v>
      </c>
      <c r="F1950" s="569" t="s">
        <v>187</v>
      </c>
      <c r="G1950" s="569" t="s">
        <v>153</v>
      </c>
      <c r="H1950" s="569">
        <v>2019</v>
      </c>
      <c r="I1950" s="569" t="s">
        <v>3670</v>
      </c>
      <c r="J1950" s="569" t="s">
        <v>3410</v>
      </c>
      <c r="K1950" s="569" t="s">
        <v>3377</v>
      </c>
      <c r="L1950" s="569">
        <v>6</v>
      </c>
      <c r="M1950" s="569">
        <v>0</v>
      </c>
      <c r="N1950" s="569" t="s">
        <v>157</v>
      </c>
      <c r="O1950" s="569">
        <v>2</v>
      </c>
      <c r="P1950" s="569" t="s">
        <v>3508</v>
      </c>
      <c r="Q1950" s="568">
        <v>23100</v>
      </c>
      <c r="R1950" s="569" t="s">
        <v>798</v>
      </c>
      <c r="S1950" s="569">
        <v>8</v>
      </c>
      <c r="T1950" s="569" t="s">
        <v>3674</v>
      </c>
      <c r="U1950" s="569" t="s">
        <v>1522</v>
      </c>
      <c r="V1950" s="569">
        <v>167.7</v>
      </c>
      <c r="W1950" s="569">
        <v>36</v>
      </c>
      <c r="X1950" s="568">
        <v>10000</v>
      </c>
      <c r="Y1950" s="569">
        <v>15</v>
      </c>
      <c r="Z1950" s="581" t="s">
        <v>450</v>
      </c>
      <c r="AA1950" s="581" t="s">
        <v>178</v>
      </c>
      <c r="AB1950" s="585">
        <v>42195</v>
      </c>
      <c r="AC1950" s="585" t="s">
        <v>164</v>
      </c>
      <c r="AD1950" s="585">
        <v>32875</v>
      </c>
      <c r="AE1950" s="587">
        <v>7.1999999999999995E-2</v>
      </c>
      <c r="AF1950" s="661" t="str">
        <f t="shared" si="213"/>
        <v>2019-LTK-CHV-SV35-010-17</v>
      </c>
      <c r="AG1950" s="661" t="str">
        <f>IF(AND($Y1950&gt;=32,(AI1950="I"),(Y1950&lt;&gt;"~"),(COUNTIF($AN$1:$AN1950,$AN1950)=1)),"TRUE","FALSE")</f>
        <v>FALSE</v>
      </c>
      <c r="AH1950" s="661" t="str">
        <f>IF(AND($Y1950&gt;=22, (AI1950&lt;&gt;"I"),(Y1950&lt;&gt;"~"),(COUNTIF($AN$1:$AN1950,$AN1950)=1)),"TRUE","FALSE")</f>
        <v>FALSE</v>
      </c>
      <c r="AI1950" s="661" t="str">
        <f t="shared" si="215"/>
        <v>II</v>
      </c>
      <c r="AJ1950" s="662" t="str">
        <f t="shared" si="209"/>
        <v>SV35-010</v>
      </c>
      <c r="AK1950" s="662" t="str">
        <f t="shared" si="210"/>
        <v>LTK</v>
      </c>
      <c r="AL1950" s="662" t="str">
        <f t="shared" si="211"/>
        <v>CHV</v>
      </c>
      <c r="AM1950" s="662" t="str">
        <f t="shared" si="214"/>
        <v>Silverado 3500-WT Crew Cab-2WD-6-8'1"-23100-6.0L-8-CC35943-1WT-167.7-36-E85-Unleaded</v>
      </c>
      <c r="AN1950" s="662" t="str">
        <f t="shared" si="212"/>
        <v>2019-LTK-CHV-SV35-010</v>
      </c>
    </row>
    <row r="1951" spans="1:40" s="572" customFormat="1" ht="15">
      <c r="A1951" s="570" t="s">
        <v>3691</v>
      </c>
      <c r="B1951" s="573" t="s">
        <v>3692</v>
      </c>
      <c r="C1951" s="573" t="s">
        <v>169</v>
      </c>
      <c r="D1951" s="578">
        <v>11</v>
      </c>
      <c r="E1951" s="573" t="s">
        <v>3374</v>
      </c>
      <c r="F1951" s="573" t="s">
        <v>187</v>
      </c>
      <c r="G1951" s="573" t="s">
        <v>153</v>
      </c>
      <c r="H1951" s="573">
        <v>2019</v>
      </c>
      <c r="I1951" s="573" t="s">
        <v>3670</v>
      </c>
      <c r="J1951" s="573" t="s">
        <v>3410</v>
      </c>
      <c r="K1951" s="573" t="s">
        <v>752</v>
      </c>
      <c r="L1951" s="573">
        <v>6</v>
      </c>
      <c r="M1951" s="573">
        <v>0</v>
      </c>
      <c r="N1951" s="573" t="s">
        <v>157</v>
      </c>
      <c r="O1951" s="573">
        <v>2</v>
      </c>
      <c r="P1951" s="573" t="s">
        <v>3471</v>
      </c>
      <c r="Q1951" s="571">
        <v>13000</v>
      </c>
      <c r="R1951" s="573" t="s">
        <v>798</v>
      </c>
      <c r="S1951" s="573">
        <v>8</v>
      </c>
      <c r="T1951" s="573" t="s">
        <v>3679</v>
      </c>
      <c r="U1951" s="573" t="s">
        <v>1522</v>
      </c>
      <c r="V1951" s="573">
        <v>153.69999999999999</v>
      </c>
      <c r="W1951" s="573">
        <v>36</v>
      </c>
      <c r="X1951" s="571">
        <v>10000</v>
      </c>
      <c r="Y1951" s="573">
        <v>14</v>
      </c>
      <c r="Z1951" s="579" t="s">
        <v>450</v>
      </c>
      <c r="AA1951" s="579" t="s">
        <v>178</v>
      </c>
      <c r="AB1951" s="584">
        <v>44890</v>
      </c>
      <c r="AC1951" s="584" t="s">
        <v>164</v>
      </c>
      <c r="AD1951" s="584">
        <v>34951</v>
      </c>
      <c r="AE1951" s="586">
        <v>0.05</v>
      </c>
      <c r="AF1951" s="661" t="str">
        <f t="shared" si="213"/>
        <v>2019-LTK-CHV-SV35-011-11</v>
      </c>
      <c r="AG1951" s="661" t="str">
        <f>IF(AND($Y1951&gt;=32,(AI1951="I"),(Y1951&lt;&gt;"~"),(COUNTIF($AN$1:$AN1951,$AN1951)=1)),"TRUE","FALSE")</f>
        <v>FALSE</v>
      </c>
      <c r="AH1951" s="661" t="str">
        <f>IF(AND($Y1951&gt;=22, (AI1951&lt;&gt;"I"),(Y1951&lt;&gt;"~"),(COUNTIF($AN$1:$AN1951,$AN1951)=1)),"TRUE","FALSE")</f>
        <v>FALSE</v>
      </c>
      <c r="AI1951" s="661" t="str">
        <f t="shared" si="215"/>
        <v>II</v>
      </c>
      <c r="AJ1951" s="662" t="str">
        <f t="shared" si="209"/>
        <v>SV35-011</v>
      </c>
      <c r="AK1951" s="662" t="str">
        <f t="shared" si="210"/>
        <v>LTK</v>
      </c>
      <c r="AL1951" s="662" t="str">
        <f t="shared" si="211"/>
        <v>CHV</v>
      </c>
      <c r="AM1951" s="662" t="str">
        <f t="shared" si="214"/>
        <v>Silverado 3500-WT Crew Cab-4WD-6-6'6"-13000-6.0L-8-CK35743-1WT-153.7-36-E85-Unleaded</v>
      </c>
      <c r="AN1951" s="662" t="str">
        <f t="shared" si="212"/>
        <v>2019-LTK-CHV-SV35-011</v>
      </c>
    </row>
    <row r="1952" spans="1:40" s="572" customFormat="1" ht="15">
      <c r="A1952" s="570" t="s">
        <v>3693</v>
      </c>
      <c r="B1952" s="569" t="s">
        <v>3694</v>
      </c>
      <c r="C1952" s="569" t="s">
        <v>169</v>
      </c>
      <c r="D1952" s="580">
        <v>11</v>
      </c>
      <c r="E1952" s="569" t="s">
        <v>3374</v>
      </c>
      <c r="F1952" s="569" t="s">
        <v>187</v>
      </c>
      <c r="G1952" s="569" t="s">
        <v>153</v>
      </c>
      <c r="H1952" s="569">
        <v>2019</v>
      </c>
      <c r="I1952" s="569" t="s">
        <v>3670</v>
      </c>
      <c r="J1952" s="569" t="s">
        <v>3410</v>
      </c>
      <c r="K1952" s="569" t="s">
        <v>752</v>
      </c>
      <c r="L1952" s="569">
        <v>6</v>
      </c>
      <c r="M1952" s="569">
        <v>0</v>
      </c>
      <c r="N1952" s="569" t="s">
        <v>157</v>
      </c>
      <c r="O1952" s="569">
        <v>2</v>
      </c>
      <c r="P1952" s="569" t="s">
        <v>3508</v>
      </c>
      <c r="Q1952" s="568">
        <v>20000</v>
      </c>
      <c r="R1952" s="569" t="s">
        <v>798</v>
      </c>
      <c r="S1952" s="569">
        <v>8</v>
      </c>
      <c r="T1952" s="569" t="s">
        <v>3682</v>
      </c>
      <c r="U1952" s="569" t="s">
        <v>1522</v>
      </c>
      <c r="V1952" s="569">
        <v>167.7</v>
      </c>
      <c r="W1952" s="569">
        <v>36</v>
      </c>
      <c r="X1952" s="568">
        <v>11000</v>
      </c>
      <c r="Y1952" s="569" t="s">
        <v>164</v>
      </c>
      <c r="Z1952" s="581" t="s">
        <v>450</v>
      </c>
      <c r="AA1952" s="581" t="s">
        <v>178</v>
      </c>
      <c r="AB1952" s="585">
        <v>44695</v>
      </c>
      <c r="AC1952" s="585" t="s">
        <v>164</v>
      </c>
      <c r="AD1952" s="585">
        <v>34770.947368421053</v>
      </c>
      <c r="AE1952" s="587">
        <v>0.05</v>
      </c>
      <c r="AF1952" s="661" t="str">
        <f t="shared" si="213"/>
        <v>2019-LTK-CHV-SV35-012-11</v>
      </c>
      <c r="AG1952" s="661" t="str">
        <f>IF(AND($Y1952&gt;=32,(AI1952="I"),(Y1952&lt;&gt;"~"),(COUNTIF($AN$1:$AN1952,$AN1952)=1)),"TRUE","FALSE")</f>
        <v>FALSE</v>
      </c>
      <c r="AH1952" s="661" t="str">
        <f>IF(AND($Y1952&gt;=22, (AI1952&lt;&gt;"I"),(Y1952&lt;&gt;"~"),(COUNTIF($AN$1:$AN1952,$AN1952)=1)),"TRUE","FALSE")</f>
        <v>TRUE</v>
      </c>
      <c r="AI1952" s="661" t="str">
        <f t="shared" si="215"/>
        <v>N/A</v>
      </c>
      <c r="AJ1952" s="662" t="str">
        <f t="shared" si="209"/>
        <v>SV35-012</v>
      </c>
      <c r="AK1952" s="662" t="str">
        <f t="shared" si="210"/>
        <v>LTK</v>
      </c>
      <c r="AL1952" s="662" t="str">
        <f t="shared" si="211"/>
        <v>CHV</v>
      </c>
      <c r="AM1952" s="662" t="str">
        <f t="shared" si="214"/>
        <v>Silverado 3500-WT Crew Cab-4WD-6-8'1"-20000-6.0L-8-CK35943-1WT-167.7-36-E85-Unleaded</v>
      </c>
      <c r="AN1952" s="662" t="str">
        <f t="shared" si="212"/>
        <v>2019-LTK-CHV-SV35-012</v>
      </c>
    </row>
    <row r="1953" spans="1:40" s="572" customFormat="1" ht="15">
      <c r="A1953" s="570" t="s">
        <v>3695</v>
      </c>
      <c r="B1953" s="573" t="s">
        <v>3692</v>
      </c>
      <c r="C1953" s="573" t="s">
        <v>150</v>
      </c>
      <c r="D1953" s="578">
        <v>13</v>
      </c>
      <c r="E1953" s="573" t="s">
        <v>3374</v>
      </c>
      <c r="F1953" s="573" t="s">
        <v>187</v>
      </c>
      <c r="G1953" s="573" t="s">
        <v>153</v>
      </c>
      <c r="H1953" s="573">
        <v>2019</v>
      </c>
      <c r="I1953" s="573" t="s">
        <v>3670</v>
      </c>
      <c r="J1953" s="573" t="s">
        <v>3410</v>
      </c>
      <c r="K1953" s="573" t="s">
        <v>752</v>
      </c>
      <c r="L1953" s="573">
        <v>6</v>
      </c>
      <c r="M1953" s="573">
        <v>0</v>
      </c>
      <c r="N1953" s="573" t="s">
        <v>157</v>
      </c>
      <c r="O1953" s="573">
        <v>2</v>
      </c>
      <c r="P1953" s="573" t="s">
        <v>3471</v>
      </c>
      <c r="Q1953" s="571">
        <v>17200</v>
      </c>
      <c r="R1953" s="573" t="s">
        <v>798</v>
      </c>
      <c r="S1953" s="573">
        <v>8</v>
      </c>
      <c r="T1953" s="573" t="s">
        <v>3679</v>
      </c>
      <c r="U1953" s="573" t="s">
        <v>1522</v>
      </c>
      <c r="V1953" s="573">
        <v>153.69999999999999</v>
      </c>
      <c r="W1953" s="573">
        <v>36</v>
      </c>
      <c r="X1953" s="571">
        <v>10000</v>
      </c>
      <c r="Y1953" s="573">
        <v>14</v>
      </c>
      <c r="Z1953" s="579" t="s">
        <v>450</v>
      </c>
      <c r="AA1953" s="579" t="s">
        <v>178</v>
      </c>
      <c r="AB1953" s="584">
        <v>44495</v>
      </c>
      <c r="AC1953" s="584" t="s">
        <v>164</v>
      </c>
      <c r="AD1953" s="584">
        <v>35467</v>
      </c>
      <c r="AE1953" s="586">
        <v>0.03</v>
      </c>
      <c r="AF1953" s="661" t="str">
        <f t="shared" si="213"/>
        <v>2019-LTK-CHV-SV35-011-13</v>
      </c>
      <c r="AG1953" s="661" t="str">
        <f>IF(AND($Y1953&gt;=32,(AI1953="I"),(Y1953&lt;&gt;"~"),(COUNTIF($AN$1:$AN1953,$AN1953)=1)),"TRUE","FALSE")</f>
        <v>FALSE</v>
      </c>
      <c r="AH1953" s="661" t="str">
        <f>IF(AND($Y1953&gt;=22, (AI1953&lt;&gt;"I"),(Y1953&lt;&gt;"~"),(COUNTIF($AN$1:$AN1953,$AN1953)=1)),"TRUE","FALSE")</f>
        <v>FALSE</v>
      </c>
      <c r="AI1953" s="661" t="str">
        <f t="shared" si="215"/>
        <v>II</v>
      </c>
      <c r="AJ1953" s="662" t="str">
        <f t="shared" si="209"/>
        <v>SV35-011</v>
      </c>
      <c r="AK1953" s="662" t="str">
        <f t="shared" si="210"/>
        <v>LTK</v>
      </c>
      <c r="AL1953" s="662" t="str">
        <f t="shared" si="211"/>
        <v>CHV</v>
      </c>
      <c r="AM1953" s="662" t="str">
        <f t="shared" si="214"/>
        <v>Silverado 3500-WT Crew Cab-4WD-6-6'6"-17200-6.0L-8-CK35743-1WT-153.7-36-E85-Unleaded</v>
      </c>
      <c r="AN1953" s="662" t="str">
        <f t="shared" si="212"/>
        <v>2019-LTK-CHV-SV35-011</v>
      </c>
    </row>
    <row r="1954" spans="1:40" s="572" customFormat="1" ht="15">
      <c r="A1954" s="570" t="s">
        <v>3696</v>
      </c>
      <c r="B1954" s="569" t="s">
        <v>3694</v>
      </c>
      <c r="C1954" s="569" t="s">
        <v>150</v>
      </c>
      <c r="D1954" s="580">
        <v>13</v>
      </c>
      <c r="E1954" s="569" t="s">
        <v>3374</v>
      </c>
      <c r="F1954" s="569" t="s">
        <v>187</v>
      </c>
      <c r="G1954" s="569" t="s">
        <v>153</v>
      </c>
      <c r="H1954" s="569">
        <v>2019</v>
      </c>
      <c r="I1954" s="569" t="s">
        <v>3670</v>
      </c>
      <c r="J1954" s="569" t="s">
        <v>3410</v>
      </c>
      <c r="K1954" s="569" t="s">
        <v>752</v>
      </c>
      <c r="L1954" s="569">
        <v>6</v>
      </c>
      <c r="M1954" s="569">
        <v>0</v>
      </c>
      <c r="N1954" s="569" t="s">
        <v>157</v>
      </c>
      <c r="O1954" s="569">
        <v>2</v>
      </c>
      <c r="P1954" s="569" t="s">
        <v>3508</v>
      </c>
      <c r="Q1954" s="568">
        <v>22700</v>
      </c>
      <c r="R1954" s="569" t="s">
        <v>798</v>
      </c>
      <c r="S1954" s="569">
        <v>8</v>
      </c>
      <c r="T1954" s="569" t="s">
        <v>3682</v>
      </c>
      <c r="U1954" s="569" t="s">
        <v>1522</v>
      </c>
      <c r="V1954" s="569">
        <v>167.7</v>
      </c>
      <c r="W1954" s="569">
        <v>36</v>
      </c>
      <c r="X1954" s="568">
        <v>11000</v>
      </c>
      <c r="Y1954" s="569" t="s">
        <v>164</v>
      </c>
      <c r="Z1954" s="581" t="s">
        <v>450</v>
      </c>
      <c r="AA1954" s="581" t="s">
        <v>178</v>
      </c>
      <c r="AB1954" s="585">
        <v>44695</v>
      </c>
      <c r="AC1954" s="585" t="s">
        <v>164</v>
      </c>
      <c r="AD1954" s="585">
        <v>35797</v>
      </c>
      <c r="AE1954" s="587">
        <v>0.03</v>
      </c>
      <c r="AF1954" s="661" t="str">
        <f t="shared" si="213"/>
        <v>2019-LTK-CHV-SV35-012-13</v>
      </c>
      <c r="AG1954" s="661" t="str">
        <f>IF(AND($Y1954&gt;=32,(AI1954="I"),(Y1954&lt;&gt;"~"),(COUNTIF($AN$1:$AN1954,$AN1954)=1)),"TRUE","FALSE")</f>
        <v>FALSE</v>
      </c>
      <c r="AH1954" s="661" t="str">
        <f>IF(AND($Y1954&gt;=22, (AI1954&lt;&gt;"I"),(Y1954&lt;&gt;"~"),(COUNTIF($AN$1:$AN1954,$AN1954)=1)),"TRUE","FALSE")</f>
        <v>FALSE</v>
      </c>
      <c r="AI1954" s="661" t="str">
        <f t="shared" si="215"/>
        <v>N/A</v>
      </c>
      <c r="AJ1954" s="662" t="str">
        <f t="shared" si="209"/>
        <v>SV35-012</v>
      </c>
      <c r="AK1954" s="662" t="str">
        <f t="shared" si="210"/>
        <v>LTK</v>
      </c>
      <c r="AL1954" s="662" t="str">
        <f t="shared" si="211"/>
        <v>CHV</v>
      </c>
      <c r="AM1954" s="662" t="str">
        <f t="shared" si="214"/>
        <v>Silverado 3500-WT Crew Cab-4WD-6-8'1"-22700-6.0L-8-CK35943-1WT-167.7-36-E85-Unleaded</v>
      </c>
      <c r="AN1954" s="662" t="str">
        <f t="shared" si="212"/>
        <v>2019-LTK-CHV-SV35-012</v>
      </c>
    </row>
    <row r="1955" spans="1:40" s="572" customFormat="1" ht="15">
      <c r="A1955" s="570" t="s">
        <v>3697</v>
      </c>
      <c r="B1955" s="573" t="s">
        <v>3692</v>
      </c>
      <c r="C1955" s="573" t="s">
        <v>166</v>
      </c>
      <c r="D1955" s="578">
        <v>17</v>
      </c>
      <c r="E1955" s="573" t="s">
        <v>3374</v>
      </c>
      <c r="F1955" s="573" t="s">
        <v>187</v>
      </c>
      <c r="G1955" s="573" t="s">
        <v>153</v>
      </c>
      <c r="H1955" s="573">
        <v>2019</v>
      </c>
      <c r="I1955" s="573" t="s">
        <v>3670</v>
      </c>
      <c r="J1955" s="573" t="s">
        <v>3410</v>
      </c>
      <c r="K1955" s="573" t="s">
        <v>752</v>
      </c>
      <c r="L1955" s="573">
        <v>6</v>
      </c>
      <c r="M1955" s="573">
        <v>0</v>
      </c>
      <c r="N1955" s="573" t="s">
        <v>157</v>
      </c>
      <c r="O1955" s="573">
        <v>2</v>
      </c>
      <c r="P1955" s="573" t="s">
        <v>3471</v>
      </c>
      <c r="Q1955" s="571">
        <v>17200</v>
      </c>
      <c r="R1955" s="573" t="s">
        <v>798</v>
      </c>
      <c r="S1955" s="573">
        <v>8</v>
      </c>
      <c r="T1955" s="573" t="s">
        <v>3679</v>
      </c>
      <c r="U1955" s="573" t="s">
        <v>1522</v>
      </c>
      <c r="V1955" s="573">
        <v>153.69999999999999</v>
      </c>
      <c r="W1955" s="573">
        <v>36</v>
      </c>
      <c r="X1955" s="571">
        <v>10000</v>
      </c>
      <c r="Y1955" s="573">
        <v>14</v>
      </c>
      <c r="Z1955" s="579" t="s">
        <v>450</v>
      </c>
      <c r="AA1955" s="579" t="s">
        <v>178</v>
      </c>
      <c r="AB1955" s="584">
        <v>44395</v>
      </c>
      <c r="AC1955" s="584" t="s">
        <v>164</v>
      </c>
      <c r="AD1955" s="584">
        <v>34201</v>
      </c>
      <c r="AE1955" s="586">
        <v>7.1999999999999995E-2</v>
      </c>
      <c r="AF1955" s="661" t="str">
        <f t="shared" si="213"/>
        <v>2019-LTK-CHV-SV35-011-17</v>
      </c>
      <c r="AG1955" s="661" t="str">
        <f>IF(AND($Y1955&gt;=32,(AI1955="I"),(Y1955&lt;&gt;"~"),(COUNTIF($AN$1:$AN1955,$AN1955)=1)),"TRUE","FALSE")</f>
        <v>FALSE</v>
      </c>
      <c r="AH1955" s="661" t="str">
        <f>IF(AND($Y1955&gt;=22, (AI1955&lt;&gt;"I"),(Y1955&lt;&gt;"~"),(COUNTIF($AN$1:$AN1955,$AN1955)=1)),"TRUE","FALSE")</f>
        <v>FALSE</v>
      </c>
      <c r="AI1955" s="661" t="str">
        <f t="shared" si="215"/>
        <v>II</v>
      </c>
      <c r="AJ1955" s="662" t="str">
        <f t="shared" si="209"/>
        <v>SV35-011</v>
      </c>
      <c r="AK1955" s="662" t="str">
        <f t="shared" si="210"/>
        <v>LTK</v>
      </c>
      <c r="AL1955" s="662" t="str">
        <f t="shared" si="211"/>
        <v>CHV</v>
      </c>
      <c r="AM1955" s="662" t="str">
        <f t="shared" si="214"/>
        <v>Silverado 3500-WT Crew Cab-4WD-6-6'6"-17200-6.0L-8-CK35743-1WT-153.7-36-E85-Unleaded</v>
      </c>
      <c r="AN1955" s="662" t="str">
        <f t="shared" si="212"/>
        <v>2019-LTK-CHV-SV35-011</v>
      </c>
    </row>
    <row r="1956" spans="1:40" s="572" customFormat="1" ht="15">
      <c r="A1956" s="570" t="s">
        <v>3698</v>
      </c>
      <c r="B1956" s="569" t="s">
        <v>3694</v>
      </c>
      <c r="C1956" s="569" t="s">
        <v>166</v>
      </c>
      <c r="D1956" s="580">
        <v>17</v>
      </c>
      <c r="E1956" s="569" t="s">
        <v>3374</v>
      </c>
      <c r="F1956" s="569" t="s">
        <v>187</v>
      </c>
      <c r="G1956" s="569" t="s">
        <v>153</v>
      </c>
      <c r="H1956" s="569">
        <v>2019</v>
      </c>
      <c r="I1956" s="569" t="s">
        <v>3670</v>
      </c>
      <c r="J1956" s="569" t="s">
        <v>3410</v>
      </c>
      <c r="K1956" s="569" t="s">
        <v>752</v>
      </c>
      <c r="L1956" s="569">
        <v>6</v>
      </c>
      <c r="M1956" s="569">
        <v>0</v>
      </c>
      <c r="N1956" s="569" t="s">
        <v>157</v>
      </c>
      <c r="O1956" s="569">
        <v>2</v>
      </c>
      <c r="P1956" s="569" t="s">
        <v>3508</v>
      </c>
      <c r="Q1956" s="568">
        <v>22700</v>
      </c>
      <c r="R1956" s="569" t="s">
        <v>798</v>
      </c>
      <c r="S1956" s="569">
        <v>8</v>
      </c>
      <c r="T1956" s="569" t="s">
        <v>3682</v>
      </c>
      <c r="U1956" s="569" t="s">
        <v>1522</v>
      </c>
      <c r="V1956" s="569">
        <v>167.7</v>
      </c>
      <c r="W1956" s="569">
        <v>36</v>
      </c>
      <c r="X1956" s="568">
        <v>11000</v>
      </c>
      <c r="Y1956" s="569" t="s">
        <v>164</v>
      </c>
      <c r="Z1956" s="581" t="s">
        <v>450</v>
      </c>
      <c r="AA1956" s="581" t="s">
        <v>178</v>
      </c>
      <c r="AB1956" s="585">
        <v>44695</v>
      </c>
      <c r="AC1956" s="585" t="s">
        <v>164</v>
      </c>
      <c r="AD1956" s="585">
        <v>34821</v>
      </c>
      <c r="AE1956" s="587">
        <v>7.1999999999999995E-2</v>
      </c>
      <c r="AF1956" s="661" t="str">
        <f t="shared" si="213"/>
        <v>2019-LTK-CHV-SV35-012-17</v>
      </c>
      <c r="AG1956" s="661" t="str">
        <f>IF(AND($Y1956&gt;=32,(AI1956="I"),(Y1956&lt;&gt;"~"),(COUNTIF($AN$1:$AN1956,$AN1956)=1)),"TRUE","FALSE")</f>
        <v>FALSE</v>
      </c>
      <c r="AH1956" s="661" t="str">
        <f>IF(AND($Y1956&gt;=22, (AI1956&lt;&gt;"I"),(Y1956&lt;&gt;"~"),(COUNTIF($AN$1:$AN1956,$AN1956)=1)),"TRUE","FALSE")</f>
        <v>FALSE</v>
      </c>
      <c r="AI1956" s="661" t="str">
        <f t="shared" si="215"/>
        <v>N/A</v>
      </c>
      <c r="AJ1956" s="662" t="str">
        <f t="shared" si="209"/>
        <v>SV35-012</v>
      </c>
      <c r="AK1956" s="662" t="str">
        <f t="shared" si="210"/>
        <v>LTK</v>
      </c>
      <c r="AL1956" s="662" t="str">
        <f t="shared" si="211"/>
        <v>CHV</v>
      </c>
      <c r="AM1956" s="662" t="str">
        <f t="shared" si="214"/>
        <v>Silverado 3500-WT Crew Cab-4WD-6-8'1"-22700-6.0L-8-CK35943-1WT-167.7-36-E85-Unleaded</v>
      </c>
      <c r="AN1956" s="662" t="str">
        <f t="shared" si="212"/>
        <v>2019-LTK-CHV-SV35-012</v>
      </c>
    </row>
    <row r="1957" spans="1:40" s="572" customFormat="1" ht="15">
      <c r="A1957" s="570" t="s">
        <v>3699</v>
      </c>
      <c r="B1957" s="573" t="s">
        <v>3700</v>
      </c>
      <c r="C1957" s="573" t="s">
        <v>150</v>
      </c>
      <c r="D1957" s="578">
        <v>13</v>
      </c>
      <c r="E1957" s="573" t="s">
        <v>3374</v>
      </c>
      <c r="F1957" s="573" t="s">
        <v>187</v>
      </c>
      <c r="G1957" s="573" t="s">
        <v>153</v>
      </c>
      <c r="H1957" s="573">
        <v>2019</v>
      </c>
      <c r="I1957" s="573" t="s">
        <v>3670</v>
      </c>
      <c r="J1957" s="573" t="s">
        <v>3569</v>
      </c>
      <c r="K1957" s="573" t="s">
        <v>752</v>
      </c>
      <c r="L1957" s="573">
        <v>6</v>
      </c>
      <c r="M1957" s="573">
        <v>0</v>
      </c>
      <c r="N1957" s="573" t="s">
        <v>157</v>
      </c>
      <c r="O1957" s="573">
        <v>2</v>
      </c>
      <c r="P1957" s="573" t="s">
        <v>3508</v>
      </c>
      <c r="Q1957" s="571">
        <v>13900</v>
      </c>
      <c r="R1957" s="573" t="s">
        <v>798</v>
      </c>
      <c r="S1957" s="573">
        <v>8</v>
      </c>
      <c r="T1957" s="573" t="s">
        <v>3701</v>
      </c>
      <c r="U1957" s="573" t="s">
        <v>1522</v>
      </c>
      <c r="V1957" s="573">
        <v>158.1</v>
      </c>
      <c r="W1957" s="573">
        <v>36</v>
      </c>
      <c r="X1957" s="571">
        <v>10000</v>
      </c>
      <c r="Y1957" s="573">
        <v>14</v>
      </c>
      <c r="Z1957" s="579" t="s">
        <v>450</v>
      </c>
      <c r="AA1957" s="579" t="s">
        <v>178</v>
      </c>
      <c r="AB1957" s="584">
        <v>45459</v>
      </c>
      <c r="AC1957" s="584" t="s">
        <v>164</v>
      </c>
      <c r="AD1957" s="584">
        <v>40144</v>
      </c>
      <c r="AE1957" s="586">
        <v>0.03</v>
      </c>
      <c r="AF1957" s="661" t="str">
        <f t="shared" si="213"/>
        <v>2019-LTK-CHV-SV35-014-13</v>
      </c>
      <c r="AG1957" s="661" t="str">
        <f>IF(AND($Y1957&gt;=32,(AI1957="I"),(Y1957&lt;&gt;"~"),(COUNTIF($AN$1:$AN1957,$AN1957)=1)),"TRUE","FALSE")</f>
        <v>FALSE</v>
      </c>
      <c r="AH1957" s="661" t="str">
        <f>IF(AND($Y1957&gt;=22, (AI1957&lt;&gt;"I"),(Y1957&lt;&gt;"~"),(COUNTIF($AN$1:$AN1957,$AN1957)=1)),"TRUE","FALSE")</f>
        <v>FALSE</v>
      </c>
      <c r="AI1957" s="661" t="str">
        <f t="shared" si="215"/>
        <v>II</v>
      </c>
      <c r="AJ1957" s="662" t="str">
        <f t="shared" si="209"/>
        <v>SV35-014</v>
      </c>
      <c r="AK1957" s="662" t="str">
        <f t="shared" si="210"/>
        <v>LTK</v>
      </c>
      <c r="AL1957" s="662" t="str">
        <f t="shared" si="211"/>
        <v>CHV</v>
      </c>
      <c r="AM1957" s="662" t="str">
        <f t="shared" si="214"/>
        <v>Silverado 3500-WT Double Cab-4WD-6-8'1"-13900-6.0L-8-CK35953-1WT-158.1-36-E85-Unleaded</v>
      </c>
      <c r="AN1957" s="662" t="str">
        <f t="shared" si="212"/>
        <v>2019-LTK-CHV-SV35-014</v>
      </c>
    </row>
    <row r="1958" spans="1:40" s="572" customFormat="1" ht="15">
      <c r="A1958" s="570" t="s">
        <v>3702</v>
      </c>
      <c r="B1958" s="569" t="s">
        <v>3703</v>
      </c>
      <c r="C1958" s="569" t="s">
        <v>150</v>
      </c>
      <c r="D1958" s="580">
        <v>13</v>
      </c>
      <c r="E1958" s="569" t="s">
        <v>3374</v>
      </c>
      <c r="F1958" s="569" t="s">
        <v>187</v>
      </c>
      <c r="G1958" s="569" t="s">
        <v>153</v>
      </c>
      <c r="H1958" s="569">
        <v>2019</v>
      </c>
      <c r="I1958" s="569" t="s">
        <v>3670</v>
      </c>
      <c r="J1958" s="569" t="s">
        <v>3580</v>
      </c>
      <c r="K1958" s="569" t="s">
        <v>752</v>
      </c>
      <c r="L1958" s="569">
        <v>3</v>
      </c>
      <c r="M1958" s="569">
        <v>0</v>
      </c>
      <c r="N1958" s="569" t="s">
        <v>157</v>
      </c>
      <c r="O1958" s="569">
        <v>1</v>
      </c>
      <c r="P1958" s="569" t="s">
        <v>3508</v>
      </c>
      <c r="Q1958" s="568">
        <v>14300</v>
      </c>
      <c r="R1958" s="569" t="s">
        <v>798</v>
      </c>
      <c r="S1958" s="569">
        <v>8</v>
      </c>
      <c r="T1958" s="569" t="s">
        <v>3704</v>
      </c>
      <c r="U1958" s="569" t="s">
        <v>1522</v>
      </c>
      <c r="V1958" s="569">
        <v>133.6</v>
      </c>
      <c r="W1958" s="569">
        <v>36</v>
      </c>
      <c r="X1958" s="568">
        <v>10000</v>
      </c>
      <c r="Y1958" s="569">
        <v>14</v>
      </c>
      <c r="Z1958" s="581" t="s">
        <v>450</v>
      </c>
      <c r="AA1958" s="581" t="s">
        <v>178</v>
      </c>
      <c r="AB1958" s="585">
        <v>41994</v>
      </c>
      <c r="AC1958" s="585" t="s">
        <v>164</v>
      </c>
      <c r="AD1958" s="585">
        <v>37208</v>
      </c>
      <c r="AE1958" s="587">
        <v>0.03</v>
      </c>
      <c r="AF1958" s="661" t="str">
        <f t="shared" si="213"/>
        <v>2019-LTK-CHV-SV35-016-13</v>
      </c>
      <c r="AG1958" s="661" t="str">
        <f>IF(AND($Y1958&gt;=32,(AI1958="I"),(Y1958&lt;&gt;"~"),(COUNTIF($AN$1:$AN1958,$AN1958)=1)),"TRUE","FALSE")</f>
        <v>FALSE</v>
      </c>
      <c r="AH1958" s="661" t="str">
        <f>IF(AND($Y1958&gt;=22, (AI1958&lt;&gt;"I"),(Y1958&lt;&gt;"~"),(COUNTIF($AN$1:$AN1958,$AN1958)=1)),"TRUE","FALSE")</f>
        <v>FALSE</v>
      </c>
      <c r="AI1958" s="661" t="str">
        <f t="shared" si="215"/>
        <v>II</v>
      </c>
      <c r="AJ1958" s="662" t="str">
        <f t="shared" si="209"/>
        <v>SV35-016</v>
      </c>
      <c r="AK1958" s="662" t="str">
        <f t="shared" si="210"/>
        <v>LTK</v>
      </c>
      <c r="AL1958" s="662" t="str">
        <f t="shared" si="211"/>
        <v>CHV</v>
      </c>
      <c r="AM1958" s="662" t="str">
        <f t="shared" si="214"/>
        <v>Silverado 3500-WT Regular Cab-4WD-3-8'1"-14300-6.0L-8-CK35903-1WT-133.6-36-E85-Unleaded</v>
      </c>
      <c r="AN1958" s="662" t="str">
        <f t="shared" si="212"/>
        <v>2019-LTK-CHV-SV35-016</v>
      </c>
    </row>
    <row r="1959" spans="1:40" s="572" customFormat="1" ht="30">
      <c r="A1959" s="570" t="s">
        <v>3705</v>
      </c>
      <c r="B1959" s="573" t="s">
        <v>3706</v>
      </c>
      <c r="C1959" s="573" t="s">
        <v>169</v>
      </c>
      <c r="D1959" s="578">
        <v>11</v>
      </c>
      <c r="E1959" s="573" t="s">
        <v>3374</v>
      </c>
      <c r="F1959" s="573" t="s">
        <v>1684</v>
      </c>
      <c r="G1959" s="573" t="s">
        <v>153</v>
      </c>
      <c r="H1959" s="573">
        <v>2019</v>
      </c>
      <c r="I1959" s="573" t="s">
        <v>3707</v>
      </c>
      <c r="J1959" s="573" t="s">
        <v>3384</v>
      </c>
      <c r="K1959" s="573" t="s">
        <v>3377</v>
      </c>
      <c r="L1959" s="573">
        <v>6</v>
      </c>
      <c r="M1959" s="573">
        <v>0</v>
      </c>
      <c r="N1959" s="573" t="s">
        <v>157</v>
      </c>
      <c r="O1959" s="573">
        <v>2</v>
      </c>
      <c r="P1959" s="573" t="s">
        <v>157</v>
      </c>
      <c r="Q1959" s="571" t="s">
        <v>157</v>
      </c>
      <c r="R1959" s="573" t="s">
        <v>798</v>
      </c>
      <c r="S1959" s="573">
        <v>8</v>
      </c>
      <c r="T1959" s="573" t="s">
        <v>3708</v>
      </c>
      <c r="U1959" s="573" t="s">
        <v>213</v>
      </c>
      <c r="V1959" s="573">
        <v>171.5</v>
      </c>
      <c r="W1959" s="573">
        <v>23.5</v>
      </c>
      <c r="X1959" s="571">
        <v>13200</v>
      </c>
      <c r="Y1959" s="569" t="s">
        <v>164</v>
      </c>
      <c r="Z1959" s="579" t="s">
        <v>450</v>
      </c>
      <c r="AA1959" s="579" t="s">
        <v>178</v>
      </c>
      <c r="AB1959" s="584">
        <v>44495</v>
      </c>
      <c r="AC1959" s="584" t="s">
        <v>164</v>
      </c>
      <c r="AD1959" s="584">
        <v>34856.84210526316</v>
      </c>
      <c r="AE1959" s="586">
        <v>0.05</v>
      </c>
      <c r="AF1959" s="661" t="str">
        <f t="shared" si="213"/>
        <v>2019-LTK-CHV-SV3C-001-11</v>
      </c>
      <c r="AG1959" s="661" t="str">
        <f>IF(AND($Y1959&gt;=32,(AI1959="I"),(Y1959&lt;&gt;"~"),(COUNTIF($AN$1:$AN1959,$AN1959)=1)),"TRUE","FALSE")</f>
        <v>FALSE</v>
      </c>
      <c r="AH1959" s="661" t="str">
        <f>IF(AND($Y1959&gt;=22, (AI1959&lt;&gt;"I"),(Y1959&lt;&gt;"~"),(COUNTIF($AN$1:$AN1959,$AN1959)=1)),"TRUE","FALSE")</f>
        <v>TRUE</v>
      </c>
      <c r="AI1959" s="661" t="str">
        <f t="shared" si="215"/>
        <v>N/A</v>
      </c>
      <c r="AJ1959" s="662" t="str">
        <f t="shared" si="209"/>
        <v>SV3C-001</v>
      </c>
      <c r="AK1959" s="662" t="str">
        <f t="shared" si="210"/>
        <v>LTK</v>
      </c>
      <c r="AL1959" s="662" t="str">
        <f t="shared" si="211"/>
        <v>CHV</v>
      </c>
      <c r="AM1959" s="662" t="str">
        <f t="shared" si="214"/>
        <v>Silverado 3500 Chassis Cab-LT Crew Cab-2WD-6-~-~-6.0L-8-CC36043-1LT-171.5-23.5-E85-Unleaded</v>
      </c>
      <c r="AN1959" s="662" t="str">
        <f t="shared" si="212"/>
        <v>2019-LTK-CHV-SV3C-001</v>
      </c>
    </row>
    <row r="1960" spans="1:40" s="572" customFormat="1" ht="30">
      <c r="A1960" s="570" t="s">
        <v>3709</v>
      </c>
      <c r="B1960" s="569" t="s">
        <v>3706</v>
      </c>
      <c r="C1960" s="569" t="s">
        <v>166</v>
      </c>
      <c r="D1960" s="580">
        <v>17</v>
      </c>
      <c r="E1960" s="569" t="s">
        <v>3374</v>
      </c>
      <c r="F1960" s="569" t="s">
        <v>1684</v>
      </c>
      <c r="G1960" s="569" t="s">
        <v>153</v>
      </c>
      <c r="H1960" s="569">
        <v>2019</v>
      </c>
      <c r="I1960" s="569" t="s">
        <v>3707</v>
      </c>
      <c r="J1960" s="569" t="s">
        <v>3384</v>
      </c>
      <c r="K1960" s="569" t="s">
        <v>3377</v>
      </c>
      <c r="L1960" s="569">
        <v>6</v>
      </c>
      <c r="M1960" s="569">
        <v>0</v>
      </c>
      <c r="N1960" s="569" t="s">
        <v>157</v>
      </c>
      <c r="O1960" s="569">
        <v>2</v>
      </c>
      <c r="P1960" s="569" t="s">
        <v>157</v>
      </c>
      <c r="Q1960" s="568" t="s">
        <v>157</v>
      </c>
      <c r="R1960" s="569" t="s">
        <v>798</v>
      </c>
      <c r="S1960" s="569">
        <v>8</v>
      </c>
      <c r="T1960" s="569" t="s">
        <v>3708</v>
      </c>
      <c r="U1960" s="569" t="s">
        <v>213</v>
      </c>
      <c r="V1960" s="569">
        <v>171.5</v>
      </c>
      <c r="W1960" s="569">
        <v>23.5</v>
      </c>
      <c r="X1960" s="568">
        <v>13200</v>
      </c>
      <c r="Y1960" s="569" t="s">
        <v>164</v>
      </c>
      <c r="Z1960" s="581" t="s">
        <v>450</v>
      </c>
      <c r="AA1960" s="581" t="s">
        <v>178</v>
      </c>
      <c r="AB1960" s="585">
        <v>36195</v>
      </c>
      <c r="AC1960" s="585" t="s">
        <v>164</v>
      </c>
      <c r="AD1960" s="585">
        <v>27744</v>
      </c>
      <c r="AE1960" s="587">
        <v>7.1999999999999995E-2</v>
      </c>
      <c r="AF1960" s="661" t="str">
        <f t="shared" si="213"/>
        <v>2019-LTK-CHV-SV3C-001-17</v>
      </c>
      <c r="AG1960" s="661" t="str">
        <f>IF(AND($Y1960&gt;=32,(AI1960="I"),(Y1960&lt;&gt;"~"),(COUNTIF($AN$1:$AN1960,$AN1960)=1)),"TRUE","FALSE")</f>
        <v>FALSE</v>
      </c>
      <c r="AH1960" s="661" t="str">
        <f>IF(AND($Y1960&gt;=22, (AI1960&lt;&gt;"I"),(Y1960&lt;&gt;"~"),(COUNTIF($AN$1:$AN1960,$AN1960)=1)),"TRUE","FALSE")</f>
        <v>FALSE</v>
      </c>
      <c r="AI1960" s="661" t="str">
        <f t="shared" si="215"/>
        <v>N/A</v>
      </c>
      <c r="AJ1960" s="662" t="str">
        <f t="shared" si="209"/>
        <v>SV3C-001</v>
      </c>
      <c r="AK1960" s="662" t="str">
        <f t="shared" si="210"/>
        <v>LTK</v>
      </c>
      <c r="AL1960" s="662" t="str">
        <f t="shared" si="211"/>
        <v>CHV</v>
      </c>
      <c r="AM1960" s="662" t="str">
        <f t="shared" si="214"/>
        <v>Silverado 3500 Chassis Cab-LT Crew Cab-2WD-6-~-~-6.0L-8-CC36043-1LT-171.5-23.5-E85-Unleaded</v>
      </c>
      <c r="AN1960" s="662" t="str">
        <f t="shared" si="212"/>
        <v>2019-LTK-CHV-SV3C-001</v>
      </c>
    </row>
    <row r="1961" spans="1:40" s="572" customFormat="1" ht="30">
      <c r="A1961" s="570" t="s">
        <v>3710</v>
      </c>
      <c r="B1961" s="573" t="s">
        <v>3711</v>
      </c>
      <c r="C1961" s="573" t="s">
        <v>169</v>
      </c>
      <c r="D1961" s="578">
        <v>11</v>
      </c>
      <c r="E1961" s="573" t="s">
        <v>3374</v>
      </c>
      <c r="F1961" s="573" t="s">
        <v>1684</v>
      </c>
      <c r="G1961" s="573" t="s">
        <v>153</v>
      </c>
      <c r="H1961" s="573">
        <v>2019</v>
      </c>
      <c r="I1961" s="573" t="s">
        <v>3707</v>
      </c>
      <c r="J1961" s="573" t="s">
        <v>3384</v>
      </c>
      <c r="K1961" s="573" t="s">
        <v>752</v>
      </c>
      <c r="L1961" s="573">
        <v>6</v>
      </c>
      <c r="M1961" s="573">
        <v>0</v>
      </c>
      <c r="N1961" s="573" t="s">
        <v>157</v>
      </c>
      <c r="O1961" s="573">
        <v>2</v>
      </c>
      <c r="P1961" s="573" t="s">
        <v>157</v>
      </c>
      <c r="Q1961" s="571" t="s">
        <v>157</v>
      </c>
      <c r="R1961" s="573" t="s">
        <v>798</v>
      </c>
      <c r="S1961" s="573">
        <v>8</v>
      </c>
      <c r="T1961" s="573" t="s">
        <v>3712</v>
      </c>
      <c r="U1961" s="573" t="s">
        <v>213</v>
      </c>
      <c r="V1961" s="573">
        <v>171.5</v>
      </c>
      <c r="W1961" s="573">
        <v>23.5</v>
      </c>
      <c r="X1961" s="571">
        <v>13200</v>
      </c>
      <c r="Y1961" s="569" t="s">
        <v>164</v>
      </c>
      <c r="Z1961" s="579" t="s">
        <v>450</v>
      </c>
      <c r="AA1961" s="579" t="s">
        <v>178</v>
      </c>
      <c r="AB1961" s="584">
        <v>47695</v>
      </c>
      <c r="AC1961" s="584" t="s">
        <v>164</v>
      </c>
      <c r="AD1961" s="584">
        <v>37364.631578947374</v>
      </c>
      <c r="AE1961" s="586">
        <v>0.05</v>
      </c>
      <c r="AF1961" s="661" t="str">
        <f t="shared" si="213"/>
        <v>2019-LTK-CHV-SV3C-002-11</v>
      </c>
      <c r="AG1961" s="661" t="str">
        <f>IF(AND($Y1961&gt;=32,(AI1961="I"),(Y1961&lt;&gt;"~"),(COUNTIF($AN$1:$AN1961,$AN1961)=1)),"TRUE","FALSE")</f>
        <v>FALSE</v>
      </c>
      <c r="AH1961" s="661" t="str">
        <f>IF(AND($Y1961&gt;=22, (AI1961&lt;&gt;"I"),(Y1961&lt;&gt;"~"),(COUNTIF($AN$1:$AN1961,$AN1961)=1)),"TRUE","FALSE")</f>
        <v>TRUE</v>
      </c>
      <c r="AI1961" s="661" t="str">
        <f t="shared" si="215"/>
        <v>N/A</v>
      </c>
      <c r="AJ1961" s="662" t="str">
        <f t="shared" si="209"/>
        <v>SV3C-002</v>
      </c>
      <c r="AK1961" s="662" t="str">
        <f t="shared" si="210"/>
        <v>LTK</v>
      </c>
      <c r="AL1961" s="662" t="str">
        <f t="shared" si="211"/>
        <v>CHV</v>
      </c>
      <c r="AM1961" s="662" t="str">
        <f t="shared" si="214"/>
        <v>Silverado 3500 Chassis Cab-LT Crew Cab-4WD-6-~-~-6.0L-8-CK36043-1LT-171.5-23.5-E85-Unleaded</v>
      </c>
      <c r="AN1961" s="662" t="str">
        <f t="shared" si="212"/>
        <v>2019-LTK-CHV-SV3C-002</v>
      </c>
    </row>
    <row r="1962" spans="1:40" s="572" customFormat="1" ht="30">
      <c r="A1962" s="570" t="s">
        <v>3713</v>
      </c>
      <c r="B1962" s="569" t="s">
        <v>3711</v>
      </c>
      <c r="C1962" s="569" t="s">
        <v>166</v>
      </c>
      <c r="D1962" s="580">
        <v>17</v>
      </c>
      <c r="E1962" s="569" t="s">
        <v>3374</v>
      </c>
      <c r="F1962" s="569" t="s">
        <v>1684</v>
      </c>
      <c r="G1962" s="569" t="s">
        <v>153</v>
      </c>
      <c r="H1962" s="569">
        <v>2019</v>
      </c>
      <c r="I1962" s="569" t="s">
        <v>3707</v>
      </c>
      <c r="J1962" s="569" t="s">
        <v>3384</v>
      </c>
      <c r="K1962" s="569" t="s">
        <v>752</v>
      </c>
      <c r="L1962" s="569">
        <v>6</v>
      </c>
      <c r="M1962" s="569">
        <v>0</v>
      </c>
      <c r="N1962" s="569" t="s">
        <v>157</v>
      </c>
      <c r="O1962" s="569">
        <v>2</v>
      </c>
      <c r="P1962" s="569" t="s">
        <v>157</v>
      </c>
      <c r="Q1962" s="568" t="s">
        <v>157</v>
      </c>
      <c r="R1962" s="569" t="s">
        <v>798</v>
      </c>
      <c r="S1962" s="569">
        <v>8</v>
      </c>
      <c r="T1962" s="569" t="s">
        <v>3712</v>
      </c>
      <c r="U1962" s="569" t="s">
        <v>213</v>
      </c>
      <c r="V1962" s="569">
        <v>171.5</v>
      </c>
      <c r="W1962" s="569">
        <v>23.5</v>
      </c>
      <c r="X1962" s="568">
        <v>13200</v>
      </c>
      <c r="Y1962" s="569" t="s">
        <v>164</v>
      </c>
      <c r="Z1962" s="581" t="s">
        <v>450</v>
      </c>
      <c r="AA1962" s="581" t="s">
        <v>178</v>
      </c>
      <c r="AB1962" s="585">
        <v>47195</v>
      </c>
      <c r="AC1962" s="585" t="s">
        <v>164</v>
      </c>
      <c r="AD1962" s="585">
        <v>36301</v>
      </c>
      <c r="AE1962" s="587">
        <v>7.1999999999999995E-2</v>
      </c>
      <c r="AF1962" s="661" t="str">
        <f t="shared" si="213"/>
        <v>2019-LTK-CHV-SV3C-002-17</v>
      </c>
      <c r="AG1962" s="661" t="str">
        <f>IF(AND($Y1962&gt;=32,(AI1962="I"),(Y1962&lt;&gt;"~"),(COUNTIF($AN$1:$AN1962,$AN1962)=1)),"TRUE","FALSE")</f>
        <v>FALSE</v>
      </c>
      <c r="AH1962" s="661" t="str">
        <f>IF(AND($Y1962&gt;=22, (AI1962&lt;&gt;"I"),(Y1962&lt;&gt;"~"),(COUNTIF($AN$1:$AN1962,$AN1962)=1)),"TRUE","FALSE")</f>
        <v>FALSE</v>
      </c>
      <c r="AI1962" s="661" t="str">
        <f t="shared" si="215"/>
        <v>N/A</v>
      </c>
      <c r="AJ1962" s="662" t="str">
        <f t="shared" si="209"/>
        <v>SV3C-002</v>
      </c>
      <c r="AK1962" s="662" t="str">
        <f t="shared" si="210"/>
        <v>LTK</v>
      </c>
      <c r="AL1962" s="662" t="str">
        <f t="shared" si="211"/>
        <v>CHV</v>
      </c>
      <c r="AM1962" s="662" t="str">
        <f t="shared" si="214"/>
        <v>Silverado 3500 Chassis Cab-LT Crew Cab-4WD-6-~-~-6.0L-8-CK36043-1LT-171.5-23.5-E85-Unleaded</v>
      </c>
      <c r="AN1962" s="662" t="str">
        <f t="shared" si="212"/>
        <v>2019-LTK-CHV-SV3C-002</v>
      </c>
    </row>
    <row r="1963" spans="1:40" s="572" customFormat="1" ht="30">
      <c r="A1963" s="570" t="s">
        <v>3714</v>
      </c>
      <c r="B1963" s="573" t="s">
        <v>3715</v>
      </c>
      <c r="C1963" s="573" t="s">
        <v>169</v>
      </c>
      <c r="D1963" s="578">
        <v>11</v>
      </c>
      <c r="E1963" s="573" t="s">
        <v>3374</v>
      </c>
      <c r="F1963" s="573" t="s">
        <v>1684</v>
      </c>
      <c r="G1963" s="573" t="s">
        <v>153</v>
      </c>
      <c r="H1963" s="573">
        <v>2019</v>
      </c>
      <c r="I1963" s="573" t="s">
        <v>3707</v>
      </c>
      <c r="J1963" s="573" t="s">
        <v>3630</v>
      </c>
      <c r="K1963" s="573" t="s">
        <v>3377</v>
      </c>
      <c r="L1963" s="573">
        <v>3</v>
      </c>
      <c r="M1963" s="573">
        <v>0</v>
      </c>
      <c r="N1963" s="573" t="s">
        <v>157</v>
      </c>
      <c r="O1963" s="573">
        <v>1</v>
      </c>
      <c r="P1963" s="573" t="s">
        <v>157</v>
      </c>
      <c r="Q1963" s="571" t="s">
        <v>157</v>
      </c>
      <c r="R1963" s="573" t="s">
        <v>798</v>
      </c>
      <c r="S1963" s="573">
        <v>8</v>
      </c>
      <c r="T1963" s="573" t="s">
        <v>3716</v>
      </c>
      <c r="U1963" s="573" t="s">
        <v>213</v>
      </c>
      <c r="V1963" s="573">
        <v>137.5</v>
      </c>
      <c r="W1963" s="573">
        <v>23.5</v>
      </c>
      <c r="X1963" s="571">
        <v>13200</v>
      </c>
      <c r="Y1963" s="569" t="s">
        <v>164</v>
      </c>
      <c r="Z1963" s="579" t="s">
        <v>450</v>
      </c>
      <c r="AA1963" s="579" t="s">
        <v>178</v>
      </c>
      <c r="AB1963" s="584">
        <v>39395</v>
      </c>
      <c r="AC1963" s="584" t="s">
        <v>164</v>
      </c>
      <c r="AD1963" s="584">
        <v>30379.789473684214</v>
      </c>
      <c r="AE1963" s="586">
        <v>0.05</v>
      </c>
      <c r="AF1963" s="661" t="str">
        <f t="shared" si="213"/>
        <v>2019-LTK-CHV-SV3C-003-11</v>
      </c>
      <c r="AG1963" s="661" t="str">
        <f>IF(AND($Y1963&gt;=32,(AI1963="I"),(Y1963&lt;&gt;"~"),(COUNTIF($AN$1:$AN1963,$AN1963)=1)),"TRUE","FALSE")</f>
        <v>FALSE</v>
      </c>
      <c r="AH1963" s="661" t="str">
        <f>IF(AND($Y1963&gt;=22, (AI1963&lt;&gt;"I"),(Y1963&lt;&gt;"~"),(COUNTIF($AN$1:$AN1963,$AN1963)=1)),"TRUE","FALSE")</f>
        <v>TRUE</v>
      </c>
      <c r="AI1963" s="661" t="str">
        <f t="shared" si="215"/>
        <v>N/A</v>
      </c>
      <c r="AJ1963" s="662" t="str">
        <f t="shared" si="209"/>
        <v>SV3C-003</v>
      </c>
      <c r="AK1963" s="662" t="str">
        <f t="shared" si="210"/>
        <v>LTK</v>
      </c>
      <c r="AL1963" s="662" t="str">
        <f t="shared" si="211"/>
        <v>CHV</v>
      </c>
      <c r="AM1963" s="662" t="str">
        <f t="shared" si="214"/>
        <v>Silverado 3500 Chassis Cab-LT Regular Cab-2WD-3-~-~-6.0L-8-CC36003-1LT-137.5-23.5-E85-Unleaded</v>
      </c>
      <c r="AN1963" s="662" t="str">
        <f t="shared" si="212"/>
        <v>2019-LTK-CHV-SV3C-003</v>
      </c>
    </row>
    <row r="1964" spans="1:40" s="572" customFormat="1" ht="30">
      <c r="A1964" s="570" t="s">
        <v>3717</v>
      </c>
      <c r="B1964" s="569" t="s">
        <v>3718</v>
      </c>
      <c r="C1964" s="569" t="s">
        <v>169</v>
      </c>
      <c r="D1964" s="580">
        <v>11</v>
      </c>
      <c r="E1964" s="569" t="s">
        <v>3374</v>
      </c>
      <c r="F1964" s="569" t="s">
        <v>1684</v>
      </c>
      <c r="G1964" s="569" t="s">
        <v>153</v>
      </c>
      <c r="H1964" s="569">
        <v>2019</v>
      </c>
      <c r="I1964" s="569" t="s">
        <v>3707</v>
      </c>
      <c r="J1964" s="569" t="s">
        <v>3630</v>
      </c>
      <c r="K1964" s="569" t="s">
        <v>3377</v>
      </c>
      <c r="L1964" s="569">
        <v>3</v>
      </c>
      <c r="M1964" s="569">
        <v>0</v>
      </c>
      <c r="N1964" s="569" t="s">
        <v>157</v>
      </c>
      <c r="O1964" s="569">
        <v>1</v>
      </c>
      <c r="P1964" s="569" t="s">
        <v>157</v>
      </c>
      <c r="Q1964" s="568" t="s">
        <v>157</v>
      </c>
      <c r="R1964" s="569" t="s">
        <v>798</v>
      </c>
      <c r="S1964" s="569">
        <v>8</v>
      </c>
      <c r="T1964" s="569" t="s">
        <v>3719</v>
      </c>
      <c r="U1964" s="569" t="s">
        <v>213</v>
      </c>
      <c r="V1964" s="569">
        <v>162</v>
      </c>
      <c r="W1964" s="569">
        <v>23.5</v>
      </c>
      <c r="X1964" s="568">
        <v>13200</v>
      </c>
      <c r="Y1964" s="569" t="s">
        <v>164</v>
      </c>
      <c r="Z1964" s="581" t="s">
        <v>450</v>
      </c>
      <c r="AA1964" s="581" t="s">
        <v>178</v>
      </c>
      <c r="AB1964" s="585">
        <v>37004.199999999997</v>
      </c>
      <c r="AC1964" s="585" t="s">
        <v>164</v>
      </c>
      <c r="AD1964" s="585">
        <v>33303.157894736847</v>
      </c>
      <c r="AE1964" s="587">
        <v>0.05</v>
      </c>
      <c r="AF1964" s="661" t="str">
        <f t="shared" si="213"/>
        <v>2019-LTK-CHV-SV3C-004-11</v>
      </c>
      <c r="AG1964" s="661" t="str">
        <f>IF(AND($Y1964&gt;=32,(AI1964="I"),(Y1964&lt;&gt;"~"),(COUNTIF($AN$1:$AN1964,$AN1964)=1)),"TRUE","FALSE")</f>
        <v>FALSE</v>
      </c>
      <c r="AH1964" s="661" t="str">
        <f>IF(AND($Y1964&gt;=22, (AI1964&lt;&gt;"I"),(Y1964&lt;&gt;"~"),(COUNTIF($AN$1:$AN1964,$AN1964)=1)),"TRUE","FALSE")</f>
        <v>TRUE</v>
      </c>
      <c r="AI1964" s="661" t="str">
        <f t="shared" si="215"/>
        <v>N/A</v>
      </c>
      <c r="AJ1964" s="662" t="str">
        <f t="shared" si="209"/>
        <v>SV3C-004</v>
      </c>
      <c r="AK1964" s="662" t="str">
        <f t="shared" si="210"/>
        <v>LTK</v>
      </c>
      <c r="AL1964" s="662" t="str">
        <f t="shared" si="211"/>
        <v>CHV</v>
      </c>
      <c r="AM1964" s="662" t="str">
        <f t="shared" si="214"/>
        <v>Silverado 3500 Chassis Cab-LT Regular Cab-2WD-3-~-~-6.0L-8-CC36403-1LT-162-23.5-E85-Unleaded</v>
      </c>
      <c r="AN1964" s="662" t="str">
        <f t="shared" si="212"/>
        <v>2019-LTK-CHV-SV3C-004</v>
      </c>
    </row>
    <row r="1965" spans="1:40" s="572" customFormat="1" ht="30">
      <c r="A1965" s="570" t="s">
        <v>3720</v>
      </c>
      <c r="B1965" s="573" t="s">
        <v>3715</v>
      </c>
      <c r="C1965" s="573" t="s">
        <v>166</v>
      </c>
      <c r="D1965" s="578">
        <v>17</v>
      </c>
      <c r="E1965" s="573" t="s">
        <v>3374</v>
      </c>
      <c r="F1965" s="573" t="s">
        <v>1684</v>
      </c>
      <c r="G1965" s="573" t="s">
        <v>153</v>
      </c>
      <c r="H1965" s="573">
        <v>2019</v>
      </c>
      <c r="I1965" s="573" t="s">
        <v>3707</v>
      </c>
      <c r="J1965" s="573" t="s">
        <v>3630</v>
      </c>
      <c r="K1965" s="573" t="s">
        <v>3377</v>
      </c>
      <c r="L1965" s="573">
        <v>3</v>
      </c>
      <c r="M1965" s="573">
        <v>0</v>
      </c>
      <c r="N1965" s="573" t="s">
        <v>157</v>
      </c>
      <c r="O1965" s="573">
        <v>1</v>
      </c>
      <c r="P1965" s="573" t="s">
        <v>157</v>
      </c>
      <c r="Q1965" s="571" t="s">
        <v>157</v>
      </c>
      <c r="R1965" s="573" t="s">
        <v>798</v>
      </c>
      <c r="S1965" s="573">
        <v>8</v>
      </c>
      <c r="T1965" s="573" t="s">
        <v>3716</v>
      </c>
      <c r="U1965" s="573" t="s">
        <v>213</v>
      </c>
      <c r="V1965" s="573">
        <v>137.5</v>
      </c>
      <c r="W1965" s="573">
        <v>23.5</v>
      </c>
      <c r="X1965" s="571">
        <v>13200</v>
      </c>
      <c r="Y1965" s="569" t="s">
        <v>164</v>
      </c>
      <c r="Z1965" s="579" t="s">
        <v>450</v>
      </c>
      <c r="AA1965" s="579" t="s">
        <v>178</v>
      </c>
      <c r="AB1965" s="584">
        <v>39295</v>
      </c>
      <c r="AC1965" s="584" t="s">
        <v>164</v>
      </c>
      <c r="AD1965" s="584">
        <v>29995</v>
      </c>
      <c r="AE1965" s="586">
        <v>7.1999999999999995E-2</v>
      </c>
      <c r="AF1965" s="661" t="str">
        <f t="shared" si="213"/>
        <v>2019-LTK-CHV-SV3C-003-17</v>
      </c>
      <c r="AG1965" s="661" t="str">
        <f>IF(AND($Y1965&gt;=32,(AI1965="I"),(Y1965&lt;&gt;"~"),(COUNTIF($AN$1:$AN1965,$AN1965)=1)),"TRUE","FALSE")</f>
        <v>FALSE</v>
      </c>
      <c r="AH1965" s="661" t="str">
        <f>IF(AND($Y1965&gt;=22, (AI1965&lt;&gt;"I"),(Y1965&lt;&gt;"~"),(COUNTIF($AN$1:$AN1965,$AN1965)=1)),"TRUE","FALSE")</f>
        <v>FALSE</v>
      </c>
      <c r="AI1965" s="661" t="str">
        <f t="shared" si="215"/>
        <v>N/A</v>
      </c>
      <c r="AJ1965" s="662" t="str">
        <f t="shared" si="209"/>
        <v>SV3C-003</v>
      </c>
      <c r="AK1965" s="662" t="str">
        <f t="shared" si="210"/>
        <v>LTK</v>
      </c>
      <c r="AL1965" s="662" t="str">
        <f t="shared" si="211"/>
        <v>CHV</v>
      </c>
      <c r="AM1965" s="662" t="str">
        <f t="shared" si="214"/>
        <v>Silverado 3500 Chassis Cab-LT Regular Cab-2WD-3-~-~-6.0L-8-CC36003-1LT-137.5-23.5-E85-Unleaded</v>
      </c>
      <c r="AN1965" s="662" t="str">
        <f t="shared" si="212"/>
        <v>2019-LTK-CHV-SV3C-003</v>
      </c>
    </row>
    <row r="1966" spans="1:40" s="572" customFormat="1" ht="30">
      <c r="A1966" s="570" t="s">
        <v>3721</v>
      </c>
      <c r="B1966" s="569" t="s">
        <v>3718</v>
      </c>
      <c r="C1966" s="569" t="s">
        <v>166</v>
      </c>
      <c r="D1966" s="580">
        <v>17</v>
      </c>
      <c r="E1966" s="569" t="s">
        <v>3374</v>
      </c>
      <c r="F1966" s="569" t="s">
        <v>1684</v>
      </c>
      <c r="G1966" s="569" t="s">
        <v>153</v>
      </c>
      <c r="H1966" s="569">
        <v>2019</v>
      </c>
      <c r="I1966" s="569" t="s">
        <v>3707</v>
      </c>
      <c r="J1966" s="569" t="s">
        <v>3630</v>
      </c>
      <c r="K1966" s="569" t="s">
        <v>3377</v>
      </c>
      <c r="L1966" s="569">
        <v>3</v>
      </c>
      <c r="M1966" s="569">
        <v>0</v>
      </c>
      <c r="N1966" s="569" t="s">
        <v>157</v>
      </c>
      <c r="O1966" s="569">
        <v>1</v>
      </c>
      <c r="P1966" s="569" t="s">
        <v>157</v>
      </c>
      <c r="Q1966" s="568" t="s">
        <v>157</v>
      </c>
      <c r="R1966" s="569" t="s">
        <v>798</v>
      </c>
      <c r="S1966" s="569">
        <v>8</v>
      </c>
      <c r="T1966" s="569" t="s">
        <v>3719</v>
      </c>
      <c r="U1966" s="569" t="s">
        <v>213</v>
      </c>
      <c r="V1966" s="569">
        <v>162</v>
      </c>
      <c r="W1966" s="569">
        <v>23.5</v>
      </c>
      <c r="X1966" s="568">
        <v>13200</v>
      </c>
      <c r="Y1966" s="569" t="s">
        <v>164</v>
      </c>
      <c r="Z1966" s="581" t="s">
        <v>450</v>
      </c>
      <c r="AA1966" s="581" t="s">
        <v>178</v>
      </c>
      <c r="AB1966" s="585">
        <v>39495</v>
      </c>
      <c r="AC1966" s="585" t="s">
        <v>164</v>
      </c>
      <c r="AD1966" s="585">
        <v>30210</v>
      </c>
      <c r="AE1966" s="587">
        <v>7.1999999999999995E-2</v>
      </c>
      <c r="AF1966" s="661" t="str">
        <f t="shared" si="213"/>
        <v>2019-LTK-CHV-SV3C-004-17</v>
      </c>
      <c r="AG1966" s="661" t="str">
        <f>IF(AND($Y1966&gt;=32,(AI1966="I"),(Y1966&lt;&gt;"~"),(COUNTIF($AN$1:$AN1966,$AN1966)=1)),"TRUE","FALSE")</f>
        <v>FALSE</v>
      </c>
      <c r="AH1966" s="661" t="str">
        <f>IF(AND($Y1966&gt;=22, (AI1966&lt;&gt;"I"),(Y1966&lt;&gt;"~"),(COUNTIF($AN$1:$AN1966,$AN1966)=1)),"TRUE","FALSE")</f>
        <v>FALSE</v>
      </c>
      <c r="AI1966" s="661" t="str">
        <f t="shared" si="215"/>
        <v>N/A</v>
      </c>
      <c r="AJ1966" s="662" t="str">
        <f t="shared" si="209"/>
        <v>SV3C-004</v>
      </c>
      <c r="AK1966" s="662" t="str">
        <f t="shared" si="210"/>
        <v>LTK</v>
      </c>
      <c r="AL1966" s="662" t="str">
        <f t="shared" si="211"/>
        <v>CHV</v>
      </c>
      <c r="AM1966" s="662" t="str">
        <f t="shared" si="214"/>
        <v>Silverado 3500 Chassis Cab-LT Regular Cab-2WD-3-~-~-6.0L-8-CC36403-1LT-162-23.5-E85-Unleaded</v>
      </c>
      <c r="AN1966" s="662" t="str">
        <f t="shared" si="212"/>
        <v>2019-LTK-CHV-SV3C-004</v>
      </c>
    </row>
    <row r="1967" spans="1:40" s="572" customFormat="1" ht="30">
      <c r="A1967" s="570" t="s">
        <v>3722</v>
      </c>
      <c r="B1967" s="573" t="s">
        <v>3723</v>
      </c>
      <c r="C1967" s="573" t="s">
        <v>169</v>
      </c>
      <c r="D1967" s="578">
        <v>11</v>
      </c>
      <c r="E1967" s="573" t="s">
        <v>3374</v>
      </c>
      <c r="F1967" s="573" t="s">
        <v>1684</v>
      </c>
      <c r="G1967" s="573" t="s">
        <v>153</v>
      </c>
      <c r="H1967" s="573">
        <v>2019</v>
      </c>
      <c r="I1967" s="573" t="s">
        <v>3707</v>
      </c>
      <c r="J1967" s="573" t="s">
        <v>3630</v>
      </c>
      <c r="K1967" s="573" t="s">
        <v>752</v>
      </c>
      <c r="L1967" s="573">
        <v>3</v>
      </c>
      <c r="M1967" s="573">
        <v>0</v>
      </c>
      <c r="N1967" s="573" t="s">
        <v>157</v>
      </c>
      <c r="O1967" s="573">
        <v>1</v>
      </c>
      <c r="P1967" s="573" t="s">
        <v>157</v>
      </c>
      <c r="Q1967" s="571" t="s">
        <v>157</v>
      </c>
      <c r="R1967" s="573" t="s">
        <v>798</v>
      </c>
      <c r="S1967" s="573">
        <v>8</v>
      </c>
      <c r="T1967" s="573" t="s">
        <v>3724</v>
      </c>
      <c r="U1967" s="573" t="s">
        <v>213</v>
      </c>
      <c r="V1967" s="573">
        <v>137.5</v>
      </c>
      <c r="W1967" s="573">
        <v>23.5</v>
      </c>
      <c r="X1967" s="571">
        <v>13200</v>
      </c>
      <c r="Y1967" s="569" t="s">
        <v>164</v>
      </c>
      <c r="Z1967" s="579" t="s">
        <v>450</v>
      </c>
      <c r="AA1967" s="579" t="s">
        <v>178</v>
      </c>
      <c r="AB1967" s="584">
        <v>42495</v>
      </c>
      <c r="AC1967" s="584" t="s">
        <v>164</v>
      </c>
      <c r="AD1967" s="584">
        <v>32789.473684210527</v>
      </c>
      <c r="AE1967" s="586">
        <v>0.05</v>
      </c>
      <c r="AF1967" s="661" t="str">
        <f t="shared" si="213"/>
        <v>2019-LTK-CHV-SV3C-005-11</v>
      </c>
      <c r="AG1967" s="661" t="str">
        <f>IF(AND($Y1967&gt;=32,(AI1967="I"),(Y1967&lt;&gt;"~"),(COUNTIF($AN$1:$AN1967,$AN1967)=1)),"TRUE","FALSE")</f>
        <v>FALSE</v>
      </c>
      <c r="AH1967" s="661" t="str">
        <f>IF(AND($Y1967&gt;=22, (AI1967&lt;&gt;"I"),(Y1967&lt;&gt;"~"),(COUNTIF($AN$1:$AN1967,$AN1967)=1)),"TRUE","FALSE")</f>
        <v>TRUE</v>
      </c>
      <c r="AI1967" s="661" t="str">
        <f t="shared" si="215"/>
        <v>N/A</v>
      </c>
      <c r="AJ1967" s="662" t="str">
        <f t="shared" si="209"/>
        <v>SV3C-005</v>
      </c>
      <c r="AK1967" s="662" t="str">
        <f t="shared" si="210"/>
        <v>LTK</v>
      </c>
      <c r="AL1967" s="662" t="str">
        <f t="shared" si="211"/>
        <v>CHV</v>
      </c>
      <c r="AM1967" s="662" t="str">
        <f t="shared" si="214"/>
        <v>Silverado 3500 Chassis Cab-LT Regular Cab-4WD-3-~-~-6.0L-8-CK36003-1LT-137.5-23.5-E85-Unleaded</v>
      </c>
      <c r="AN1967" s="662" t="str">
        <f t="shared" si="212"/>
        <v>2019-LTK-CHV-SV3C-005</v>
      </c>
    </row>
    <row r="1968" spans="1:40" s="572" customFormat="1" ht="30">
      <c r="A1968" s="570" t="s">
        <v>3725</v>
      </c>
      <c r="B1968" s="569" t="s">
        <v>3726</v>
      </c>
      <c r="C1968" s="569" t="s">
        <v>169</v>
      </c>
      <c r="D1968" s="580">
        <v>11</v>
      </c>
      <c r="E1968" s="569" t="s">
        <v>3374</v>
      </c>
      <c r="F1968" s="569" t="s">
        <v>1684</v>
      </c>
      <c r="G1968" s="569" t="s">
        <v>153</v>
      </c>
      <c r="H1968" s="569">
        <v>2019</v>
      </c>
      <c r="I1968" s="569" t="s">
        <v>3707</v>
      </c>
      <c r="J1968" s="569" t="s">
        <v>3630</v>
      </c>
      <c r="K1968" s="569" t="s">
        <v>752</v>
      </c>
      <c r="L1968" s="569">
        <v>3</v>
      </c>
      <c r="M1968" s="569">
        <v>0</v>
      </c>
      <c r="N1968" s="569" t="s">
        <v>157</v>
      </c>
      <c r="O1968" s="569">
        <v>1</v>
      </c>
      <c r="P1968" s="569" t="s">
        <v>157</v>
      </c>
      <c r="Q1968" s="568" t="s">
        <v>157</v>
      </c>
      <c r="R1968" s="569" t="s">
        <v>798</v>
      </c>
      <c r="S1968" s="569">
        <v>8</v>
      </c>
      <c r="T1968" s="569" t="s">
        <v>3727</v>
      </c>
      <c r="U1968" s="569" t="s">
        <v>213</v>
      </c>
      <c r="V1968" s="569">
        <v>162</v>
      </c>
      <c r="W1968" s="569">
        <v>23.5</v>
      </c>
      <c r="X1968" s="568">
        <v>13200</v>
      </c>
      <c r="Y1968" s="569" t="s">
        <v>164</v>
      </c>
      <c r="Z1968" s="581" t="s">
        <v>450</v>
      </c>
      <c r="AA1968" s="581" t="s">
        <v>178</v>
      </c>
      <c r="AB1968" s="585">
        <v>42695</v>
      </c>
      <c r="AC1968" s="585" t="s">
        <v>164</v>
      </c>
      <c r="AD1968" s="585">
        <v>32985.68421052632</v>
      </c>
      <c r="AE1968" s="587">
        <v>0.05</v>
      </c>
      <c r="AF1968" s="661" t="str">
        <f t="shared" si="213"/>
        <v>2019-LTK-CHV-SV3C-006-11</v>
      </c>
      <c r="AG1968" s="661" t="str">
        <f>IF(AND($Y1968&gt;=32,(AI1968="I"),(Y1968&lt;&gt;"~"),(COUNTIF($AN$1:$AN1968,$AN1968)=1)),"TRUE","FALSE")</f>
        <v>FALSE</v>
      </c>
      <c r="AH1968" s="661" t="str">
        <f>IF(AND($Y1968&gt;=22, (AI1968&lt;&gt;"I"),(Y1968&lt;&gt;"~"),(COUNTIF($AN$1:$AN1968,$AN1968)=1)),"TRUE","FALSE")</f>
        <v>TRUE</v>
      </c>
      <c r="AI1968" s="661" t="str">
        <f t="shared" si="215"/>
        <v>N/A</v>
      </c>
      <c r="AJ1968" s="662" t="str">
        <f t="shared" si="209"/>
        <v>SV3C-006</v>
      </c>
      <c r="AK1968" s="662" t="str">
        <f t="shared" si="210"/>
        <v>LTK</v>
      </c>
      <c r="AL1968" s="662" t="str">
        <f t="shared" si="211"/>
        <v>CHV</v>
      </c>
      <c r="AM1968" s="662" t="str">
        <f t="shared" si="214"/>
        <v>Silverado 3500 Chassis Cab-LT Regular Cab-4WD-3-~-~-6.0L-8-CK36403-1LT-162-23.5-E85-Unleaded</v>
      </c>
      <c r="AN1968" s="662" t="str">
        <f t="shared" si="212"/>
        <v>2019-LTK-CHV-SV3C-006</v>
      </c>
    </row>
    <row r="1969" spans="1:40" s="572" customFormat="1" ht="30">
      <c r="A1969" s="570" t="s">
        <v>3728</v>
      </c>
      <c r="B1969" s="573" t="s">
        <v>3723</v>
      </c>
      <c r="C1969" s="573" t="s">
        <v>166</v>
      </c>
      <c r="D1969" s="578">
        <v>17</v>
      </c>
      <c r="E1969" s="573" t="s">
        <v>3374</v>
      </c>
      <c r="F1969" s="573" t="s">
        <v>1684</v>
      </c>
      <c r="G1969" s="573" t="s">
        <v>153</v>
      </c>
      <c r="H1969" s="573">
        <v>2019</v>
      </c>
      <c r="I1969" s="573" t="s">
        <v>3707</v>
      </c>
      <c r="J1969" s="573" t="s">
        <v>3630</v>
      </c>
      <c r="K1969" s="573" t="s">
        <v>752</v>
      </c>
      <c r="L1969" s="573">
        <v>3</v>
      </c>
      <c r="M1969" s="573">
        <v>0</v>
      </c>
      <c r="N1969" s="573" t="s">
        <v>157</v>
      </c>
      <c r="O1969" s="573">
        <v>1</v>
      </c>
      <c r="P1969" s="573" t="s">
        <v>157</v>
      </c>
      <c r="Q1969" s="571" t="s">
        <v>157</v>
      </c>
      <c r="R1969" s="573" t="s">
        <v>798</v>
      </c>
      <c r="S1969" s="573">
        <v>8</v>
      </c>
      <c r="T1969" s="573" t="s">
        <v>3724</v>
      </c>
      <c r="U1969" s="573" t="s">
        <v>213</v>
      </c>
      <c r="V1969" s="573">
        <v>137.5</v>
      </c>
      <c r="W1969" s="573">
        <v>23.5</v>
      </c>
      <c r="X1969" s="571">
        <v>13200</v>
      </c>
      <c r="Y1969" s="569" t="s">
        <v>164</v>
      </c>
      <c r="Z1969" s="579" t="s">
        <v>450</v>
      </c>
      <c r="AA1969" s="579" t="s">
        <v>178</v>
      </c>
      <c r="AB1969" s="584">
        <v>42395</v>
      </c>
      <c r="AC1969" s="584" t="s">
        <v>164</v>
      </c>
      <c r="AD1969" s="584">
        <v>32501</v>
      </c>
      <c r="AE1969" s="586">
        <v>7.1999999999999995E-2</v>
      </c>
      <c r="AF1969" s="661" t="str">
        <f t="shared" si="213"/>
        <v>2019-LTK-CHV-SV3C-005-17</v>
      </c>
      <c r="AG1969" s="661" t="str">
        <f>IF(AND($Y1969&gt;=32,(AI1969="I"),(Y1969&lt;&gt;"~"),(COUNTIF($AN$1:$AN1969,$AN1969)=1)),"TRUE","FALSE")</f>
        <v>FALSE</v>
      </c>
      <c r="AH1969" s="661" t="str">
        <f>IF(AND($Y1969&gt;=22, (AI1969&lt;&gt;"I"),(Y1969&lt;&gt;"~"),(COUNTIF($AN$1:$AN1969,$AN1969)=1)),"TRUE","FALSE")</f>
        <v>FALSE</v>
      </c>
      <c r="AI1969" s="661" t="str">
        <f t="shared" si="215"/>
        <v>N/A</v>
      </c>
      <c r="AJ1969" s="662" t="str">
        <f t="shared" si="209"/>
        <v>SV3C-005</v>
      </c>
      <c r="AK1969" s="662" t="str">
        <f t="shared" si="210"/>
        <v>LTK</v>
      </c>
      <c r="AL1969" s="662" t="str">
        <f t="shared" si="211"/>
        <v>CHV</v>
      </c>
      <c r="AM1969" s="662" t="str">
        <f t="shared" si="214"/>
        <v>Silverado 3500 Chassis Cab-LT Regular Cab-4WD-3-~-~-6.0L-8-CK36003-1LT-137.5-23.5-E85-Unleaded</v>
      </c>
      <c r="AN1969" s="662" t="str">
        <f t="shared" si="212"/>
        <v>2019-LTK-CHV-SV3C-005</v>
      </c>
    </row>
    <row r="1970" spans="1:40" s="572" customFormat="1" ht="30">
      <c r="A1970" s="570" t="s">
        <v>3729</v>
      </c>
      <c r="B1970" s="569" t="s">
        <v>3726</v>
      </c>
      <c r="C1970" s="569" t="s">
        <v>166</v>
      </c>
      <c r="D1970" s="580">
        <v>17</v>
      </c>
      <c r="E1970" s="569" t="s">
        <v>3374</v>
      </c>
      <c r="F1970" s="569" t="s">
        <v>1684</v>
      </c>
      <c r="G1970" s="569" t="s">
        <v>153</v>
      </c>
      <c r="H1970" s="569">
        <v>2019</v>
      </c>
      <c r="I1970" s="569" t="s">
        <v>3707</v>
      </c>
      <c r="J1970" s="569" t="s">
        <v>3630</v>
      </c>
      <c r="K1970" s="569" t="s">
        <v>752</v>
      </c>
      <c r="L1970" s="569">
        <v>3</v>
      </c>
      <c r="M1970" s="569">
        <v>0</v>
      </c>
      <c r="N1970" s="569" t="s">
        <v>157</v>
      </c>
      <c r="O1970" s="569">
        <v>1</v>
      </c>
      <c r="P1970" s="569" t="s">
        <v>157</v>
      </c>
      <c r="Q1970" s="568" t="s">
        <v>157</v>
      </c>
      <c r="R1970" s="569" t="s">
        <v>798</v>
      </c>
      <c r="S1970" s="569">
        <v>8</v>
      </c>
      <c r="T1970" s="569" t="s">
        <v>3727</v>
      </c>
      <c r="U1970" s="569" t="s">
        <v>213</v>
      </c>
      <c r="V1970" s="569">
        <v>162</v>
      </c>
      <c r="W1970" s="569">
        <v>23.5</v>
      </c>
      <c r="X1970" s="568">
        <v>13200</v>
      </c>
      <c r="Y1970" s="569" t="s">
        <v>164</v>
      </c>
      <c r="Z1970" s="581" t="s">
        <v>450</v>
      </c>
      <c r="AA1970" s="581" t="s">
        <v>178</v>
      </c>
      <c r="AB1970" s="585">
        <v>42595</v>
      </c>
      <c r="AC1970" s="585" t="s">
        <v>164</v>
      </c>
      <c r="AD1970" s="585">
        <v>32411</v>
      </c>
      <c r="AE1970" s="587">
        <v>7.1999999999999995E-2</v>
      </c>
      <c r="AF1970" s="661" t="str">
        <f t="shared" si="213"/>
        <v>2019-LTK-CHV-SV3C-006-17</v>
      </c>
      <c r="AG1970" s="661" t="str">
        <f>IF(AND($Y1970&gt;=32,(AI1970="I"),(Y1970&lt;&gt;"~"),(COUNTIF($AN$1:$AN1970,$AN1970)=1)),"TRUE","FALSE")</f>
        <v>FALSE</v>
      </c>
      <c r="AH1970" s="661" t="str">
        <f>IF(AND($Y1970&gt;=22, (AI1970&lt;&gt;"I"),(Y1970&lt;&gt;"~"),(COUNTIF($AN$1:$AN1970,$AN1970)=1)),"TRUE","FALSE")</f>
        <v>FALSE</v>
      </c>
      <c r="AI1970" s="661" t="str">
        <f t="shared" si="215"/>
        <v>N/A</v>
      </c>
      <c r="AJ1970" s="662" t="str">
        <f t="shared" si="209"/>
        <v>SV3C-006</v>
      </c>
      <c r="AK1970" s="662" t="str">
        <f t="shared" si="210"/>
        <v>LTK</v>
      </c>
      <c r="AL1970" s="662" t="str">
        <f t="shared" si="211"/>
        <v>CHV</v>
      </c>
      <c r="AM1970" s="662" t="str">
        <f t="shared" si="214"/>
        <v>Silverado 3500 Chassis Cab-LT Regular Cab-4WD-3-~-~-6.0L-8-CK36403-1LT-162-23.5-E85-Unleaded</v>
      </c>
      <c r="AN1970" s="662" t="str">
        <f t="shared" si="212"/>
        <v>2019-LTK-CHV-SV3C-006</v>
      </c>
    </row>
    <row r="1971" spans="1:40" s="572" customFormat="1" ht="30">
      <c r="A1971" s="570" t="s">
        <v>3730</v>
      </c>
      <c r="B1971" s="573" t="s">
        <v>3731</v>
      </c>
      <c r="C1971" s="573" t="s">
        <v>169</v>
      </c>
      <c r="D1971" s="578">
        <v>11</v>
      </c>
      <c r="E1971" s="573" t="s">
        <v>3374</v>
      </c>
      <c r="F1971" s="573" t="s">
        <v>1684</v>
      </c>
      <c r="G1971" s="573" t="s">
        <v>153</v>
      </c>
      <c r="H1971" s="573">
        <v>2019</v>
      </c>
      <c r="I1971" s="573" t="s">
        <v>3707</v>
      </c>
      <c r="J1971" s="573" t="s">
        <v>3410</v>
      </c>
      <c r="K1971" s="573" t="s">
        <v>3377</v>
      </c>
      <c r="L1971" s="573">
        <v>6</v>
      </c>
      <c r="M1971" s="573">
        <v>0</v>
      </c>
      <c r="N1971" s="573" t="s">
        <v>157</v>
      </c>
      <c r="O1971" s="573">
        <v>2</v>
      </c>
      <c r="P1971" s="573" t="s">
        <v>157</v>
      </c>
      <c r="Q1971" s="571" t="s">
        <v>157</v>
      </c>
      <c r="R1971" s="573" t="s">
        <v>798</v>
      </c>
      <c r="S1971" s="573">
        <v>8</v>
      </c>
      <c r="T1971" s="573" t="s">
        <v>3708</v>
      </c>
      <c r="U1971" s="573" t="s">
        <v>1522</v>
      </c>
      <c r="V1971" s="573">
        <v>171.5</v>
      </c>
      <c r="W1971" s="573">
        <v>23.5</v>
      </c>
      <c r="X1971" s="571">
        <v>13200</v>
      </c>
      <c r="Y1971" s="569" t="s">
        <v>164</v>
      </c>
      <c r="Z1971" s="579" t="s">
        <v>450</v>
      </c>
      <c r="AA1971" s="579" t="s">
        <v>178</v>
      </c>
      <c r="AB1971" s="584">
        <v>39595</v>
      </c>
      <c r="AC1971" s="584" t="s">
        <v>164</v>
      </c>
      <c r="AD1971" s="584">
        <v>30450.73684210526</v>
      </c>
      <c r="AE1971" s="586">
        <v>0.05</v>
      </c>
      <c r="AF1971" s="661" t="str">
        <f t="shared" si="213"/>
        <v>2019-LTK-CHV-SV3C-007-11</v>
      </c>
      <c r="AG1971" s="661" t="str">
        <f>IF(AND($Y1971&gt;=32,(AI1971="I"),(Y1971&lt;&gt;"~"),(COUNTIF($AN$1:$AN1971,$AN1971)=1)),"TRUE","FALSE")</f>
        <v>FALSE</v>
      </c>
      <c r="AH1971" s="661" t="str">
        <f>IF(AND($Y1971&gt;=22, (AI1971&lt;&gt;"I"),(Y1971&lt;&gt;"~"),(COUNTIF($AN$1:$AN1971,$AN1971)=1)),"TRUE","FALSE")</f>
        <v>TRUE</v>
      </c>
      <c r="AI1971" s="661" t="str">
        <f t="shared" si="215"/>
        <v>N/A</v>
      </c>
      <c r="AJ1971" s="662" t="str">
        <f t="shared" si="209"/>
        <v>SV3C-007</v>
      </c>
      <c r="AK1971" s="662" t="str">
        <f t="shared" si="210"/>
        <v>LTK</v>
      </c>
      <c r="AL1971" s="662" t="str">
        <f t="shared" si="211"/>
        <v>CHV</v>
      </c>
      <c r="AM1971" s="662" t="str">
        <f t="shared" si="214"/>
        <v>Silverado 3500 Chassis Cab-WT Crew Cab-2WD-6-~-~-6.0L-8-CC36043-1WT-171.5-23.5-E85-Unleaded</v>
      </c>
      <c r="AN1971" s="662" t="str">
        <f t="shared" si="212"/>
        <v>2019-LTK-CHV-SV3C-007</v>
      </c>
    </row>
    <row r="1972" spans="1:40" s="572" customFormat="1" ht="30">
      <c r="A1972" s="570" t="s">
        <v>3732</v>
      </c>
      <c r="B1972" s="569" t="s">
        <v>3731</v>
      </c>
      <c r="C1972" s="569" t="s">
        <v>166</v>
      </c>
      <c r="D1972" s="580">
        <v>17</v>
      </c>
      <c r="E1972" s="569" t="s">
        <v>3374</v>
      </c>
      <c r="F1972" s="569" t="s">
        <v>1684</v>
      </c>
      <c r="G1972" s="569" t="s">
        <v>153</v>
      </c>
      <c r="H1972" s="569">
        <v>2019</v>
      </c>
      <c r="I1972" s="569" t="s">
        <v>3707</v>
      </c>
      <c r="J1972" s="569" t="s">
        <v>3410</v>
      </c>
      <c r="K1972" s="569" t="s">
        <v>3377</v>
      </c>
      <c r="L1972" s="569">
        <v>6</v>
      </c>
      <c r="M1972" s="569">
        <v>0</v>
      </c>
      <c r="N1972" s="569" t="s">
        <v>157</v>
      </c>
      <c r="O1972" s="569">
        <v>2</v>
      </c>
      <c r="P1972" s="569" t="s">
        <v>157</v>
      </c>
      <c r="Q1972" s="568" t="s">
        <v>157</v>
      </c>
      <c r="R1972" s="569" t="s">
        <v>798</v>
      </c>
      <c r="S1972" s="569">
        <v>8</v>
      </c>
      <c r="T1972" s="569" t="s">
        <v>3708</v>
      </c>
      <c r="U1972" s="569" t="s">
        <v>1522</v>
      </c>
      <c r="V1972" s="569">
        <v>171.5</v>
      </c>
      <c r="W1972" s="569">
        <v>23.5</v>
      </c>
      <c r="X1972" s="568">
        <v>13200</v>
      </c>
      <c r="Y1972" s="569" t="s">
        <v>164</v>
      </c>
      <c r="Z1972" s="581" t="s">
        <v>450</v>
      </c>
      <c r="AA1972" s="581" t="s">
        <v>178</v>
      </c>
      <c r="AB1972" s="585">
        <v>36195</v>
      </c>
      <c r="AC1972" s="585" t="s">
        <v>164</v>
      </c>
      <c r="AD1972" s="585">
        <v>28112</v>
      </c>
      <c r="AE1972" s="587">
        <v>7.1999999999999995E-2</v>
      </c>
      <c r="AF1972" s="661" t="str">
        <f t="shared" si="213"/>
        <v>2019-LTK-CHV-SV3C-007-17</v>
      </c>
      <c r="AG1972" s="661" t="str">
        <f>IF(AND($Y1972&gt;=32,(AI1972="I"),(Y1972&lt;&gt;"~"),(COUNTIF($AN$1:$AN1972,$AN1972)=1)),"TRUE","FALSE")</f>
        <v>FALSE</v>
      </c>
      <c r="AH1972" s="661" t="str">
        <f>IF(AND($Y1972&gt;=22, (AI1972&lt;&gt;"I"),(Y1972&lt;&gt;"~"),(COUNTIF($AN$1:$AN1972,$AN1972)=1)),"TRUE","FALSE")</f>
        <v>FALSE</v>
      </c>
      <c r="AI1972" s="661" t="str">
        <f t="shared" si="215"/>
        <v>N/A</v>
      </c>
      <c r="AJ1972" s="662" t="str">
        <f t="shared" si="209"/>
        <v>SV3C-007</v>
      </c>
      <c r="AK1972" s="662" t="str">
        <f t="shared" si="210"/>
        <v>LTK</v>
      </c>
      <c r="AL1972" s="662" t="str">
        <f t="shared" si="211"/>
        <v>CHV</v>
      </c>
      <c r="AM1972" s="662" t="str">
        <f t="shared" si="214"/>
        <v>Silverado 3500 Chassis Cab-WT Crew Cab-2WD-6-~-~-6.0L-8-CC36043-1WT-171.5-23.5-E85-Unleaded</v>
      </c>
      <c r="AN1972" s="662" t="str">
        <f t="shared" si="212"/>
        <v>2019-LTK-CHV-SV3C-007</v>
      </c>
    </row>
    <row r="1973" spans="1:40" s="572" customFormat="1" ht="30">
      <c r="A1973" s="570" t="s">
        <v>3733</v>
      </c>
      <c r="B1973" s="573" t="s">
        <v>3734</v>
      </c>
      <c r="C1973" s="573" t="s">
        <v>169</v>
      </c>
      <c r="D1973" s="578">
        <v>11</v>
      </c>
      <c r="E1973" s="573" t="s">
        <v>3374</v>
      </c>
      <c r="F1973" s="573" t="s">
        <v>1684</v>
      </c>
      <c r="G1973" s="573" t="s">
        <v>153</v>
      </c>
      <c r="H1973" s="573">
        <v>2019</v>
      </c>
      <c r="I1973" s="573" t="s">
        <v>3707</v>
      </c>
      <c r="J1973" s="573" t="s">
        <v>3410</v>
      </c>
      <c r="K1973" s="573" t="s">
        <v>752</v>
      </c>
      <c r="L1973" s="573">
        <v>6</v>
      </c>
      <c r="M1973" s="573">
        <v>0</v>
      </c>
      <c r="N1973" s="573" t="s">
        <v>157</v>
      </c>
      <c r="O1973" s="573">
        <v>2</v>
      </c>
      <c r="P1973" s="573" t="s">
        <v>157</v>
      </c>
      <c r="Q1973" s="571" t="s">
        <v>157</v>
      </c>
      <c r="R1973" s="573" t="s">
        <v>798</v>
      </c>
      <c r="S1973" s="573">
        <v>8</v>
      </c>
      <c r="T1973" s="573" t="s">
        <v>3712</v>
      </c>
      <c r="U1973" s="573" t="s">
        <v>1522</v>
      </c>
      <c r="V1973" s="573">
        <v>171.5</v>
      </c>
      <c r="W1973" s="573">
        <v>23.5</v>
      </c>
      <c r="X1973" s="571">
        <v>13200</v>
      </c>
      <c r="Y1973" s="569" t="s">
        <v>164</v>
      </c>
      <c r="Z1973" s="579" t="s">
        <v>450</v>
      </c>
      <c r="AA1973" s="579" t="s">
        <v>178</v>
      </c>
      <c r="AB1973" s="584">
        <v>42595</v>
      </c>
      <c r="AC1973" s="584" t="s">
        <v>164</v>
      </c>
      <c r="AD1973" s="584">
        <v>32793.894736842107</v>
      </c>
      <c r="AE1973" s="586">
        <v>0.05</v>
      </c>
      <c r="AF1973" s="661" t="str">
        <f t="shared" si="213"/>
        <v>2019-LTK-CHV-SV3C-008-11</v>
      </c>
      <c r="AG1973" s="661" t="str">
        <f>IF(AND($Y1973&gt;=32,(AI1973="I"),(Y1973&lt;&gt;"~"),(COUNTIF($AN$1:$AN1973,$AN1973)=1)),"TRUE","FALSE")</f>
        <v>FALSE</v>
      </c>
      <c r="AH1973" s="661" t="str">
        <f>IF(AND($Y1973&gt;=22, (AI1973&lt;&gt;"I"),(Y1973&lt;&gt;"~"),(COUNTIF($AN$1:$AN1973,$AN1973)=1)),"TRUE","FALSE")</f>
        <v>TRUE</v>
      </c>
      <c r="AI1973" s="661" t="str">
        <f t="shared" si="215"/>
        <v>N/A</v>
      </c>
      <c r="AJ1973" s="662" t="str">
        <f t="shared" si="209"/>
        <v>SV3C-008</v>
      </c>
      <c r="AK1973" s="662" t="str">
        <f t="shared" si="210"/>
        <v>LTK</v>
      </c>
      <c r="AL1973" s="662" t="str">
        <f t="shared" si="211"/>
        <v>CHV</v>
      </c>
      <c r="AM1973" s="662" t="str">
        <f t="shared" si="214"/>
        <v>Silverado 3500 Chassis Cab-WT Crew Cab-4WD-6-~-~-6.0L-8-CK36043-1WT-171.5-23.5-E85-Unleaded</v>
      </c>
      <c r="AN1973" s="662" t="str">
        <f t="shared" si="212"/>
        <v>2019-LTK-CHV-SV3C-008</v>
      </c>
    </row>
    <row r="1974" spans="1:40" s="572" customFormat="1" ht="30">
      <c r="A1974" s="570" t="s">
        <v>3735</v>
      </c>
      <c r="B1974" s="569" t="s">
        <v>3736</v>
      </c>
      <c r="C1974" s="569" t="s">
        <v>150</v>
      </c>
      <c r="D1974" s="580">
        <v>13</v>
      </c>
      <c r="E1974" s="569" t="s">
        <v>3374</v>
      </c>
      <c r="F1974" s="569" t="s">
        <v>1684</v>
      </c>
      <c r="G1974" s="569" t="s">
        <v>153</v>
      </c>
      <c r="H1974" s="569">
        <v>2019</v>
      </c>
      <c r="I1974" s="569" t="s">
        <v>3707</v>
      </c>
      <c r="J1974" s="569" t="s">
        <v>3410</v>
      </c>
      <c r="K1974" s="569" t="s">
        <v>752</v>
      </c>
      <c r="L1974" s="569">
        <v>6</v>
      </c>
      <c r="M1974" s="569">
        <v>0</v>
      </c>
      <c r="N1974" s="569" t="s">
        <v>157</v>
      </c>
      <c r="O1974" s="569">
        <v>2</v>
      </c>
      <c r="P1974" s="569" t="s">
        <v>157</v>
      </c>
      <c r="Q1974" s="568" t="s">
        <v>157</v>
      </c>
      <c r="R1974" s="569" t="s">
        <v>798</v>
      </c>
      <c r="S1974" s="569">
        <v>8</v>
      </c>
      <c r="T1974" s="569" t="s">
        <v>3712</v>
      </c>
      <c r="U1974" s="569" t="s">
        <v>1522</v>
      </c>
      <c r="V1974" s="569">
        <v>171</v>
      </c>
      <c r="W1974" s="569">
        <v>63.5</v>
      </c>
      <c r="X1974" s="568">
        <v>13200</v>
      </c>
      <c r="Y1974" s="569" t="s">
        <v>164</v>
      </c>
      <c r="Z1974" s="581" t="s">
        <v>450</v>
      </c>
      <c r="AA1974" s="581" t="s">
        <v>178</v>
      </c>
      <c r="AB1974" s="585">
        <v>42595</v>
      </c>
      <c r="AC1974" s="585" t="s">
        <v>164</v>
      </c>
      <c r="AD1974" s="585">
        <v>34830</v>
      </c>
      <c r="AE1974" s="587">
        <v>0.03</v>
      </c>
      <c r="AF1974" s="661" t="str">
        <f t="shared" si="213"/>
        <v>2019-LTK-CHV-SV3C-009-13</v>
      </c>
      <c r="AG1974" s="661" t="str">
        <f>IF(AND($Y1974&gt;=32,(AI1974="I"),(Y1974&lt;&gt;"~"),(COUNTIF($AN$1:$AN1974,$AN1974)=1)),"TRUE","FALSE")</f>
        <v>FALSE</v>
      </c>
      <c r="AH1974" s="661" t="str">
        <f>IF(AND($Y1974&gt;=22, (AI1974&lt;&gt;"I"),(Y1974&lt;&gt;"~"),(COUNTIF($AN$1:$AN1974,$AN1974)=1)),"TRUE","FALSE")</f>
        <v>TRUE</v>
      </c>
      <c r="AI1974" s="661" t="str">
        <f t="shared" si="215"/>
        <v>N/A</v>
      </c>
      <c r="AJ1974" s="662" t="str">
        <f t="shared" si="209"/>
        <v>SV3C-009</v>
      </c>
      <c r="AK1974" s="662" t="str">
        <f t="shared" si="210"/>
        <v>LTK</v>
      </c>
      <c r="AL1974" s="662" t="str">
        <f t="shared" si="211"/>
        <v>CHV</v>
      </c>
      <c r="AM1974" s="662" t="str">
        <f t="shared" si="214"/>
        <v>Silverado 3500 Chassis Cab-WT Crew Cab-4WD-6-~-~-6.0L-8-CK36043-1WT-171-63.5-E85-Unleaded</v>
      </c>
      <c r="AN1974" s="662" t="str">
        <f t="shared" si="212"/>
        <v>2019-LTK-CHV-SV3C-009</v>
      </c>
    </row>
    <row r="1975" spans="1:40" s="572" customFormat="1" ht="30">
      <c r="A1975" s="570" t="s">
        <v>3737</v>
      </c>
      <c r="B1975" s="573" t="s">
        <v>3734</v>
      </c>
      <c r="C1975" s="573" t="s">
        <v>166</v>
      </c>
      <c r="D1975" s="578">
        <v>17</v>
      </c>
      <c r="E1975" s="573" t="s">
        <v>3374</v>
      </c>
      <c r="F1975" s="573" t="s">
        <v>1684</v>
      </c>
      <c r="G1975" s="573" t="s">
        <v>153</v>
      </c>
      <c r="H1975" s="573">
        <v>2019</v>
      </c>
      <c r="I1975" s="573" t="s">
        <v>3707</v>
      </c>
      <c r="J1975" s="573" t="s">
        <v>3410</v>
      </c>
      <c r="K1975" s="573" t="s">
        <v>752</v>
      </c>
      <c r="L1975" s="573">
        <v>6</v>
      </c>
      <c r="M1975" s="573">
        <v>0</v>
      </c>
      <c r="N1975" s="573" t="s">
        <v>157</v>
      </c>
      <c r="O1975" s="573">
        <v>2</v>
      </c>
      <c r="P1975" s="573" t="s">
        <v>157</v>
      </c>
      <c r="Q1975" s="571" t="s">
        <v>157</v>
      </c>
      <c r="R1975" s="573" t="s">
        <v>798</v>
      </c>
      <c r="S1975" s="573">
        <v>8</v>
      </c>
      <c r="T1975" s="573" t="s">
        <v>3712</v>
      </c>
      <c r="U1975" s="573" t="s">
        <v>1522</v>
      </c>
      <c r="V1975" s="573">
        <v>171.5</v>
      </c>
      <c r="W1975" s="573">
        <v>23.5</v>
      </c>
      <c r="X1975" s="571">
        <v>13200</v>
      </c>
      <c r="Y1975" s="569" t="s">
        <v>164</v>
      </c>
      <c r="Z1975" s="579" t="s">
        <v>450</v>
      </c>
      <c r="AA1975" s="579" t="s">
        <v>178</v>
      </c>
      <c r="AB1975" s="584">
        <v>42495</v>
      </c>
      <c r="AC1975" s="584" t="s">
        <v>164</v>
      </c>
      <c r="AD1975" s="584">
        <v>32477</v>
      </c>
      <c r="AE1975" s="586">
        <v>7.1999999999999995E-2</v>
      </c>
      <c r="AF1975" s="661" t="str">
        <f t="shared" si="213"/>
        <v>2019-LTK-CHV-SV3C-008-17</v>
      </c>
      <c r="AG1975" s="661" t="str">
        <f>IF(AND($Y1975&gt;=32,(AI1975="I"),(Y1975&lt;&gt;"~"),(COUNTIF($AN$1:$AN1975,$AN1975)=1)),"TRUE","FALSE")</f>
        <v>FALSE</v>
      </c>
      <c r="AH1975" s="661" t="str">
        <f>IF(AND($Y1975&gt;=22, (AI1975&lt;&gt;"I"),(Y1975&lt;&gt;"~"),(COUNTIF($AN$1:$AN1975,$AN1975)=1)),"TRUE","FALSE")</f>
        <v>FALSE</v>
      </c>
      <c r="AI1975" s="661" t="str">
        <f t="shared" si="215"/>
        <v>N/A</v>
      </c>
      <c r="AJ1975" s="662" t="str">
        <f t="shared" si="209"/>
        <v>SV3C-008</v>
      </c>
      <c r="AK1975" s="662" t="str">
        <f t="shared" si="210"/>
        <v>LTK</v>
      </c>
      <c r="AL1975" s="662" t="str">
        <f t="shared" si="211"/>
        <v>CHV</v>
      </c>
      <c r="AM1975" s="662" t="str">
        <f t="shared" si="214"/>
        <v>Silverado 3500 Chassis Cab-WT Crew Cab-4WD-6-~-~-6.0L-8-CK36043-1WT-171.5-23.5-E85-Unleaded</v>
      </c>
      <c r="AN1975" s="662" t="str">
        <f t="shared" si="212"/>
        <v>2019-LTK-CHV-SV3C-008</v>
      </c>
    </row>
    <row r="1976" spans="1:40" s="572" customFormat="1" ht="30">
      <c r="A1976" s="570" t="s">
        <v>3738</v>
      </c>
      <c r="B1976" s="569" t="s">
        <v>3736</v>
      </c>
      <c r="C1976" s="569" t="s">
        <v>166</v>
      </c>
      <c r="D1976" s="580">
        <v>17</v>
      </c>
      <c r="E1976" s="569" t="s">
        <v>3374</v>
      </c>
      <c r="F1976" s="569" t="s">
        <v>1684</v>
      </c>
      <c r="G1976" s="569" t="s">
        <v>153</v>
      </c>
      <c r="H1976" s="569">
        <v>2019</v>
      </c>
      <c r="I1976" s="569" t="s">
        <v>3707</v>
      </c>
      <c r="J1976" s="569" t="s">
        <v>3410</v>
      </c>
      <c r="K1976" s="569" t="s">
        <v>752</v>
      </c>
      <c r="L1976" s="569">
        <v>6</v>
      </c>
      <c r="M1976" s="569">
        <v>0</v>
      </c>
      <c r="N1976" s="569" t="s">
        <v>157</v>
      </c>
      <c r="O1976" s="569">
        <v>2</v>
      </c>
      <c r="P1976" s="569" t="s">
        <v>157</v>
      </c>
      <c r="Q1976" s="568" t="s">
        <v>157</v>
      </c>
      <c r="R1976" s="569" t="s">
        <v>798</v>
      </c>
      <c r="S1976" s="569">
        <v>8</v>
      </c>
      <c r="T1976" s="569" t="s">
        <v>3712</v>
      </c>
      <c r="U1976" s="569" t="s">
        <v>1522</v>
      </c>
      <c r="V1976" s="569">
        <v>171</v>
      </c>
      <c r="W1976" s="569">
        <v>63.5</v>
      </c>
      <c r="X1976" s="568">
        <v>13200</v>
      </c>
      <c r="Y1976" s="569" t="s">
        <v>164</v>
      </c>
      <c r="Z1976" s="581" t="s">
        <v>450</v>
      </c>
      <c r="AA1976" s="581" t="s">
        <v>178</v>
      </c>
      <c r="AB1976" s="585">
        <v>42495</v>
      </c>
      <c r="AC1976" s="585" t="s">
        <v>164</v>
      </c>
      <c r="AD1976" s="585">
        <v>32477</v>
      </c>
      <c r="AE1976" s="587">
        <v>7.1999999999999995E-2</v>
      </c>
      <c r="AF1976" s="661" t="str">
        <f t="shared" si="213"/>
        <v>2019-LTK-CHV-SV3C-009-17</v>
      </c>
      <c r="AG1976" s="661" t="str">
        <f>IF(AND($Y1976&gt;=32,(AI1976="I"),(Y1976&lt;&gt;"~"),(COUNTIF($AN$1:$AN1976,$AN1976)=1)),"TRUE","FALSE")</f>
        <v>FALSE</v>
      </c>
      <c r="AH1976" s="661" t="str">
        <f>IF(AND($Y1976&gt;=22, (AI1976&lt;&gt;"I"),(Y1976&lt;&gt;"~"),(COUNTIF($AN$1:$AN1976,$AN1976)=1)),"TRUE","FALSE")</f>
        <v>FALSE</v>
      </c>
      <c r="AI1976" s="661" t="str">
        <f t="shared" si="215"/>
        <v>N/A</v>
      </c>
      <c r="AJ1976" s="662" t="str">
        <f t="shared" si="209"/>
        <v>SV3C-009</v>
      </c>
      <c r="AK1976" s="662" t="str">
        <f t="shared" si="210"/>
        <v>LTK</v>
      </c>
      <c r="AL1976" s="662" t="str">
        <f t="shared" si="211"/>
        <v>CHV</v>
      </c>
      <c r="AM1976" s="662" t="str">
        <f t="shared" si="214"/>
        <v>Silverado 3500 Chassis Cab-WT Crew Cab-4WD-6-~-~-6.0L-8-CK36043-1WT-171-63.5-E85-Unleaded</v>
      </c>
      <c r="AN1976" s="662" t="str">
        <f t="shared" si="212"/>
        <v>2019-LTK-CHV-SV3C-009</v>
      </c>
    </row>
    <row r="1977" spans="1:40" s="572" customFormat="1" ht="30">
      <c r="A1977" s="570" t="s">
        <v>3739</v>
      </c>
      <c r="B1977" s="573" t="s">
        <v>3740</v>
      </c>
      <c r="C1977" s="573" t="s">
        <v>169</v>
      </c>
      <c r="D1977" s="578">
        <v>11</v>
      </c>
      <c r="E1977" s="573" t="s">
        <v>3374</v>
      </c>
      <c r="F1977" s="573" t="s">
        <v>1684</v>
      </c>
      <c r="G1977" s="573" t="s">
        <v>153</v>
      </c>
      <c r="H1977" s="573">
        <v>2019</v>
      </c>
      <c r="I1977" s="573" t="s">
        <v>3707</v>
      </c>
      <c r="J1977" s="573" t="s">
        <v>3580</v>
      </c>
      <c r="K1977" s="573" t="s">
        <v>3377</v>
      </c>
      <c r="L1977" s="573">
        <v>3</v>
      </c>
      <c r="M1977" s="573">
        <v>0</v>
      </c>
      <c r="N1977" s="573" t="s">
        <v>157</v>
      </c>
      <c r="O1977" s="573">
        <v>1</v>
      </c>
      <c r="P1977" s="573" t="s">
        <v>157</v>
      </c>
      <c r="Q1977" s="571" t="s">
        <v>157</v>
      </c>
      <c r="R1977" s="573" t="s">
        <v>798</v>
      </c>
      <c r="S1977" s="573">
        <v>8</v>
      </c>
      <c r="T1977" s="573" t="s">
        <v>3716</v>
      </c>
      <c r="U1977" s="573" t="s">
        <v>1522</v>
      </c>
      <c r="V1977" s="573">
        <v>137.5</v>
      </c>
      <c r="W1977" s="573">
        <v>23.5</v>
      </c>
      <c r="X1977" s="571">
        <v>13200</v>
      </c>
      <c r="Y1977" s="569" t="s">
        <v>164</v>
      </c>
      <c r="Z1977" s="579" t="s">
        <v>450</v>
      </c>
      <c r="AA1977" s="579" t="s">
        <v>178</v>
      </c>
      <c r="AB1977" s="584">
        <v>36195</v>
      </c>
      <c r="AC1977" s="584" t="s">
        <v>164</v>
      </c>
      <c r="AD1977" s="584">
        <v>27605.68421052632</v>
      </c>
      <c r="AE1977" s="586">
        <v>0.05</v>
      </c>
      <c r="AF1977" s="661" t="str">
        <f t="shared" si="213"/>
        <v>2019-LTK-CHV-SV3C-012-11</v>
      </c>
      <c r="AG1977" s="661" t="str">
        <f>IF(AND($Y1977&gt;=32,(AI1977="I"),(Y1977&lt;&gt;"~"),(COUNTIF($AN$1:$AN1977,$AN1977)=1)),"TRUE","FALSE")</f>
        <v>FALSE</v>
      </c>
      <c r="AH1977" s="661" t="str">
        <f>IF(AND($Y1977&gt;=22, (AI1977&lt;&gt;"I"),(Y1977&lt;&gt;"~"),(COUNTIF($AN$1:$AN1977,$AN1977)=1)),"TRUE","FALSE")</f>
        <v>TRUE</v>
      </c>
      <c r="AI1977" s="661" t="str">
        <f t="shared" si="215"/>
        <v>N/A</v>
      </c>
      <c r="AJ1977" s="662" t="str">
        <f t="shared" si="209"/>
        <v>SV3C-012</v>
      </c>
      <c r="AK1977" s="662" t="str">
        <f t="shared" si="210"/>
        <v>LTK</v>
      </c>
      <c r="AL1977" s="662" t="str">
        <f t="shared" si="211"/>
        <v>CHV</v>
      </c>
      <c r="AM1977" s="662" t="str">
        <f t="shared" si="214"/>
        <v>Silverado 3500 Chassis Cab-WT Regular Cab-2WD-3-~-~-6.0L-8-CC36003-1WT-137.5-23.5-E85-Unleaded</v>
      </c>
      <c r="AN1977" s="662" t="str">
        <f t="shared" si="212"/>
        <v>2019-LTK-CHV-SV3C-012</v>
      </c>
    </row>
    <row r="1978" spans="1:40" s="572" customFormat="1" ht="30">
      <c r="A1978" s="570" t="s">
        <v>3741</v>
      </c>
      <c r="B1978" s="569" t="s">
        <v>3742</v>
      </c>
      <c r="C1978" s="569" t="s">
        <v>169</v>
      </c>
      <c r="D1978" s="580">
        <v>11</v>
      </c>
      <c r="E1978" s="569" t="s">
        <v>3374</v>
      </c>
      <c r="F1978" s="569" t="s">
        <v>1684</v>
      </c>
      <c r="G1978" s="569" t="s">
        <v>153</v>
      </c>
      <c r="H1978" s="569">
        <v>2019</v>
      </c>
      <c r="I1978" s="569" t="s">
        <v>3707</v>
      </c>
      <c r="J1978" s="569" t="s">
        <v>3580</v>
      </c>
      <c r="K1978" s="569" t="s">
        <v>3377</v>
      </c>
      <c r="L1978" s="569">
        <v>3</v>
      </c>
      <c r="M1978" s="569">
        <v>0</v>
      </c>
      <c r="N1978" s="569" t="s">
        <v>157</v>
      </c>
      <c r="O1978" s="569">
        <v>1</v>
      </c>
      <c r="P1978" s="569" t="s">
        <v>157</v>
      </c>
      <c r="Q1978" s="568" t="s">
        <v>157</v>
      </c>
      <c r="R1978" s="569" t="s">
        <v>798</v>
      </c>
      <c r="S1978" s="569">
        <v>8</v>
      </c>
      <c r="T1978" s="569" t="s">
        <v>3719</v>
      </c>
      <c r="U1978" s="569" t="s">
        <v>1522</v>
      </c>
      <c r="V1978" s="569">
        <v>162</v>
      </c>
      <c r="W1978" s="569">
        <v>23.5</v>
      </c>
      <c r="X1978" s="568">
        <v>13200</v>
      </c>
      <c r="Y1978" s="569" t="s">
        <v>164</v>
      </c>
      <c r="Z1978" s="581" t="s">
        <v>450</v>
      </c>
      <c r="AA1978" s="581" t="s">
        <v>178</v>
      </c>
      <c r="AB1978" s="585">
        <v>36295</v>
      </c>
      <c r="AC1978" s="585" t="s">
        <v>164</v>
      </c>
      <c r="AD1978" s="585">
        <v>27704.842105263157</v>
      </c>
      <c r="AE1978" s="587">
        <v>0.05</v>
      </c>
      <c r="AF1978" s="661" t="str">
        <f t="shared" si="213"/>
        <v>2019-LTK-CHV-SV3C-013-11</v>
      </c>
      <c r="AG1978" s="661" t="str">
        <f>IF(AND($Y1978&gt;=32,(AI1978="I"),(Y1978&lt;&gt;"~"),(COUNTIF($AN$1:$AN1978,$AN1978)=1)),"TRUE","FALSE")</f>
        <v>FALSE</v>
      </c>
      <c r="AH1978" s="661" t="str">
        <f>IF(AND($Y1978&gt;=22, (AI1978&lt;&gt;"I"),(Y1978&lt;&gt;"~"),(COUNTIF($AN$1:$AN1978,$AN1978)=1)),"TRUE","FALSE")</f>
        <v>TRUE</v>
      </c>
      <c r="AI1978" s="661" t="str">
        <f t="shared" si="215"/>
        <v>N/A</v>
      </c>
      <c r="AJ1978" s="662" t="str">
        <f t="shared" si="209"/>
        <v>SV3C-013</v>
      </c>
      <c r="AK1978" s="662" t="str">
        <f t="shared" si="210"/>
        <v>LTK</v>
      </c>
      <c r="AL1978" s="662" t="str">
        <f t="shared" si="211"/>
        <v>CHV</v>
      </c>
      <c r="AM1978" s="662" t="str">
        <f t="shared" si="214"/>
        <v>Silverado 3500 Chassis Cab-WT Regular Cab-2WD-3-~-~-6.0L-8-CC36403-1WT-162-23.5-E85-Unleaded</v>
      </c>
      <c r="AN1978" s="662" t="str">
        <f t="shared" si="212"/>
        <v>2019-LTK-CHV-SV3C-013</v>
      </c>
    </row>
    <row r="1979" spans="1:40" s="572" customFormat="1" ht="30">
      <c r="A1979" s="570" t="s">
        <v>3743</v>
      </c>
      <c r="B1979" s="573" t="s">
        <v>3740</v>
      </c>
      <c r="C1979" s="573" t="s">
        <v>166</v>
      </c>
      <c r="D1979" s="578">
        <v>17</v>
      </c>
      <c r="E1979" s="573" t="s">
        <v>3374</v>
      </c>
      <c r="F1979" s="573" t="s">
        <v>1684</v>
      </c>
      <c r="G1979" s="573" t="s">
        <v>153</v>
      </c>
      <c r="H1979" s="573">
        <v>2019</v>
      </c>
      <c r="I1979" s="573" t="s">
        <v>3707</v>
      </c>
      <c r="J1979" s="573" t="s">
        <v>3580</v>
      </c>
      <c r="K1979" s="573" t="s">
        <v>3377</v>
      </c>
      <c r="L1979" s="573">
        <v>3</v>
      </c>
      <c r="M1979" s="573">
        <v>0</v>
      </c>
      <c r="N1979" s="573" t="s">
        <v>157</v>
      </c>
      <c r="O1979" s="573">
        <v>1</v>
      </c>
      <c r="P1979" s="573" t="s">
        <v>157</v>
      </c>
      <c r="Q1979" s="571" t="s">
        <v>157</v>
      </c>
      <c r="R1979" s="573" t="s">
        <v>798</v>
      </c>
      <c r="S1979" s="573">
        <v>8</v>
      </c>
      <c r="T1979" s="573" t="s">
        <v>3716</v>
      </c>
      <c r="U1979" s="573" t="s">
        <v>1522</v>
      </c>
      <c r="V1979" s="573">
        <v>137.5</v>
      </c>
      <c r="W1979" s="573">
        <v>23.5</v>
      </c>
      <c r="X1979" s="571">
        <v>13200</v>
      </c>
      <c r="Y1979" s="569" t="s">
        <v>164</v>
      </c>
      <c r="Z1979" s="579" t="s">
        <v>450</v>
      </c>
      <c r="AA1979" s="579" t="s">
        <v>178</v>
      </c>
      <c r="AB1979" s="584">
        <v>36095</v>
      </c>
      <c r="AC1979" s="584" t="s">
        <v>164</v>
      </c>
      <c r="AD1979" s="584">
        <v>29995</v>
      </c>
      <c r="AE1979" s="586">
        <v>7.1999999999999995E-2</v>
      </c>
      <c r="AF1979" s="661" t="str">
        <f t="shared" si="213"/>
        <v>2019-LTK-CHV-SV3C-012-17</v>
      </c>
      <c r="AG1979" s="661" t="str">
        <f>IF(AND($Y1979&gt;=32,(AI1979="I"),(Y1979&lt;&gt;"~"),(COUNTIF($AN$1:$AN1979,$AN1979)=1)),"TRUE","FALSE")</f>
        <v>FALSE</v>
      </c>
      <c r="AH1979" s="661" t="str">
        <f>IF(AND($Y1979&gt;=22, (AI1979&lt;&gt;"I"),(Y1979&lt;&gt;"~"),(COUNTIF($AN$1:$AN1979,$AN1979)=1)),"TRUE","FALSE")</f>
        <v>FALSE</v>
      </c>
      <c r="AI1979" s="661" t="str">
        <f t="shared" si="215"/>
        <v>N/A</v>
      </c>
      <c r="AJ1979" s="662" t="str">
        <f t="shared" si="209"/>
        <v>SV3C-012</v>
      </c>
      <c r="AK1979" s="662" t="str">
        <f t="shared" si="210"/>
        <v>LTK</v>
      </c>
      <c r="AL1979" s="662" t="str">
        <f t="shared" si="211"/>
        <v>CHV</v>
      </c>
      <c r="AM1979" s="662" t="str">
        <f t="shared" si="214"/>
        <v>Silverado 3500 Chassis Cab-WT Regular Cab-2WD-3-~-~-6.0L-8-CC36003-1WT-137.5-23.5-E85-Unleaded</v>
      </c>
      <c r="AN1979" s="662" t="str">
        <f t="shared" si="212"/>
        <v>2019-LTK-CHV-SV3C-012</v>
      </c>
    </row>
    <row r="1980" spans="1:40" s="572" customFormat="1" ht="30">
      <c r="A1980" s="570" t="s">
        <v>3744</v>
      </c>
      <c r="B1980" s="569" t="s">
        <v>3742</v>
      </c>
      <c r="C1980" s="569" t="s">
        <v>166</v>
      </c>
      <c r="D1980" s="580">
        <v>17</v>
      </c>
      <c r="E1980" s="569" t="s">
        <v>3374</v>
      </c>
      <c r="F1980" s="569" t="s">
        <v>1684</v>
      </c>
      <c r="G1980" s="569" t="s">
        <v>153</v>
      </c>
      <c r="H1980" s="569">
        <v>2019</v>
      </c>
      <c r="I1980" s="569" t="s">
        <v>3707</v>
      </c>
      <c r="J1980" s="569" t="s">
        <v>3580</v>
      </c>
      <c r="K1980" s="569" t="s">
        <v>3377</v>
      </c>
      <c r="L1980" s="569">
        <v>3</v>
      </c>
      <c r="M1980" s="569">
        <v>0</v>
      </c>
      <c r="N1980" s="569" t="s">
        <v>157</v>
      </c>
      <c r="O1980" s="569">
        <v>1</v>
      </c>
      <c r="P1980" s="569" t="s">
        <v>157</v>
      </c>
      <c r="Q1980" s="568" t="s">
        <v>157</v>
      </c>
      <c r="R1980" s="569" t="s">
        <v>798</v>
      </c>
      <c r="S1980" s="569">
        <v>8</v>
      </c>
      <c r="T1980" s="569" t="s">
        <v>3719</v>
      </c>
      <c r="U1980" s="569" t="s">
        <v>1522</v>
      </c>
      <c r="V1980" s="569">
        <v>162</v>
      </c>
      <c r="W1980" s="569">
        <v>23.5</v>
      </c>
      <c r="X1980" s="568">
        <v>13200</v>
      </c>
      <c r="Y1980" s="569" t="s">
        <v>164</v>
      </c>
      <c r="Z1980" s="581" t="s">
        <v>450</v>
      </c>
      <c r="AA1980" s="581" t="s">
        <v>178</v>
      </c>
      <c r="AB1980" s="585">
        <v>36195</v>
      </c>
      <c r="AC1980" s="585" t="s">
        <v>164</v>
      </c>
      <c r="AD1980" s="585">
        <v>27744</v>
      </c>
      <c r="AE1980" s="587">
        <v>7.1999999999999995E-2</v>
      </c>
      <c r="AF1980" s="661" t="str">
        <f t="shared" si="213"/>
        <v>2019-LTK-CHV-SV3C-013-17</v>
      </c>
      <c r="AG1980" s="661" t="str">
        <f>IF(AND($Y1980&gt;=32,(AI1980="I"),(Y1980&lt;&gt;"~"),(COUNTIF($AN$1:$AN1980,$AN1980)=1)),"TRUE","FALSE")</f>
        <v>FALSE</v>
      </c>
      <c r="AH1980" s="661" t="str">
        <f>IF(AND($Y1980&gt;=22, (AI1980&lt;&gt;"I"),(Y1980&lt;&gt;"~"),(COUNTIF($AN$1:$AN1980,$AN1980)=1)),"TRUE","FALSE")</f>
        <v>FALSE</v>
      </c>
      <c r="AI1980" s="661" t="str">
        <f t="shared" si="215"/>
        <v>N/A</v>
      </c>
      <c r="AJ1980" s="662" t="str">
        <f t="shared" si="209"/>
        <v>SV3C-013</v>
      </c>
      <c r="AK1980" s="662" t="str">
        <f t="shared" si="210"/>
        <v>LTK</v>
      </c>
      <c r="AL1980" s="662" t="str">
        <f t="shared" si="211"/>
        <v>CHV</v>
      </c>
      <c r="AM1980" s="662" t="str">
        <f t="shared" si="214"/>
        <v>Silverado 3500 Chassis Cab-WT Regular Cab-2WD-3-~-~-6.0L-8-CC36403-1WT-162-23.5-E85-Unleaded</v>
      </c>
      <c r="AN1980" s="662" t="str">
        <f t="shared" si="212"/>
        <v>2019-LTK-CHV-SV3C-013</v>
      </c>
    </row>
    <row r="1981" spans="1:40" s="572" customFormat="1" ht="30">
      <c r="A1981" s="570" t="s">
        <v>3745</v>
      </c>
      <c r="B1981" s="573" t="s">
        <v>3746</v>
      </c>
      <c r="C1981" s="573" t="s">
        <v>169</v>
      </c>
      <c r="D1981" s="578">
        <v>11</v>
      </c>
      <c r="E1981" s="573" t="s">
        <v>3374</v>
      </c>
      <c r="F1981" s="573" t="s">
        <v>1684</v>
      </c>
      <c r="G1981" s="573" t="s">
        <v>153</v>
      </c>
      <c r="H1981" s="573">
        <v>2019</v>
      </c>
      <c r="I1981" s="573" t="s">
        <v>3707</v>
      </c>
      <c r="J1981" s="573" t="s">
        <v>3580</v>
      </c>
      <c r="K1981" s="573" t="s">
        <v>752</v>
      </c>
      <c r="L1981" s="573">
        <v>3</v>
      </c>
      <c r="M1981" s="573">
        <v>0</v>
      </c>
      <c r="N1981" s="573" t="s">
        <v>157</v>
      </c>
      <c r="O1981" s="573">
        <v>1</v>
      </c>
      <c r="P1981" s="573" t="s">
        <v>157</v>
      </c>
      <c r="Q1981" s="571" t="s">
        <v>157</v>
      </c>
      <c r="R1981" s="573" t="s">
        <v>798</v>
      </c>
      <c r="S1981" s="573">
        <v>8</v>
      </c>
      <c r="T1981" s="573" t="s">
        <v>3724</v>
      </c>
      <c r="U1981" s="573" t="s">
        <v>1522</v>
      </c>
      <c r="V1981" s="573">
        <v>137.5</v>
      </c>
      <c r="W1981" s="573">
        <v>23.5</v>
      </c>
      <c r="X1981" s="571">
        <v>13200</v>
      </c>
      <c r="Y1981" s="569" t="s">
        <v>164</v>
      </c>
      <c r="Z1981" s="579" t="s">
        <v>450</v>
      </c>
      <c r="AA1981" s="579" t="s">
        <v>178</v>
      </c>
      <c r="AB1981" s="584">
        <v>39295</v>
      </c>
      <c r="AC1981" s="584" t="s">
        <v>164</v>
      </c>
      <c r="AD1981" s="584">
        <v>30048</v>
      </c>
      <c r="AE1981" s="586">
        <v>0.05</v>
      </c>
      <c r="AF1981" s="661" t="str">
        <f t="shared" si="213"/>
        <v>2019-LTK-CHV-SV3C-014-11</v>
      </c>
      <c r="AG1981" s="661" t="str">
        <f>IF(AND($Y1981&gt;=32,(AI1981="I"),(Y1981&lt;&gt;"~"),(COUNTIF($AN$1:$AN1981,$AN1981)=1)),"TRUE","FALSE")</f>
        <v>FALSE</v>
      </c>
      <c r="AH1981" s="661" t="str">
        <f>IF(AND($Y1981&gt;=22, (AI1981&lt;&gt;"I"),(Y1981&lt;&gt;"~"),(COUNTIF($AN$1:$AN1981,$AN1981)=1)),"TRUE","FALSE")</f>
        <v>TRUE</v>
      </c>
      <c r="AI1981" s="661" t="str">
        <f t="shared" si="215"/>
        <v>N/A</v>
      </c>
      <c r="AJ1981" s="662" t="str">
        <f t="shared" si="209"/>
        <v>SV3C-014</v>
      </c>
      <c r="AK1981" s="662" t="str">
        <f t="shared" si="210"/>
        <v>LTK</v>
      </c>
      <c r="AL1981" s="662" t="str">
        <f t="shared" si="211"/>
        <v>CHV</v>
      </c>
      <c r="AM1981" s="662" t="str">
        <f t="shared" si="214"/>
        <v>Silverado 3500 Chassis Cab-WT Regular Cab-4WD-3-~-~-6.0L-8-CK36003-1WT-137.5-23.5-E85-Unleaded</v>
      </c>
      <c r="AN1981" s="662" t="str">
        <f t="shared" si="212"/>
        <v>2019-LTK-CHV-SV3C-014</v>
      </c>
    </row>
    <row r="1982" spans="1:40" s="572" customFormat="1" ht="30">
      <c r="A1982" s="570" t="s">
        <v>3745</v>
      </c>
      <c r="B1982" s="569" t="s">
        <v>3746</v>
      </c>
      <c r="C1982" s="569" t="s">
        <v>169</v>
      </c>
      <c r="D1982" s="580">
        <v>11</v>
      </c>
      <c r="E1982" s="569" t="s">
        <v>3374</v>
      </c>
      <c r="F1982" s="569" t="s">
        <v>1684</v>
      </c>
      <c r="G1982" s="569" t="s">
        <v>153</v>
      </c>
      <c r="H1982" s="569">
        <v>2019</v>
      </c>
      <c r="I1982" s="569" t="s">
        <v>3707</v>
      </c>
      <c r="J1982" s="569" t="s">
        <v>3580</v>
      </c>
      <c r="K1982" s="569" t="s">
        <v>752</v>
      </c>
      <c r="L1982" s="569">
        <v>3</v>
      </c>
      <c r="M1982" s="569">
        <v>0</v>
      </c>
      <c r="N1982" s="569" t="s">
        <v>157</v>
      </c>
      <c r="O1982" s="569">
        <v>1</v>
      </c>
      <c r="P1982" s="569" t="s">
        <v>157</v>
      </c>
      <c r="Q1982" s="568" t="s">
        <v>157</v>
      </c>
      <c r="R1982" s="569" t="s">
        <v>798</v>
      </c>
      <c r="S1982" s="569">
        <v>8</v>
      </c>
      <c r="T1982" s="569" t="s">
        <v>3724</v>
      </c>
      <c r="U1982" s="569" t="s">
        <v>3747</v>
      </c>
      <c r="V1982" s="569">
        <v>137.5</v>
      </c>
      <c r="W1982" s="569">
        <v>23.5</v>
      </c>
      <c r="X1982" s="568">
        <v>13200</v>
      </c>
      <c r="Y1982" s="569" t="s">
        <v>164</v>
      </c>
      <c r="Z1982" s="581" t="s">
        <v>450</v>
      </c>
      <c r="AA1982" s="581" t="s">
        <v>178</v>
      </c>
      <c r="AB1982" s="585">
        <v>42495</v>
      </c>
      <c r="AC1982" s="585" t="s">
        <v>164</v>
      </c>
      <c r="AD1982" s="585">
        <v>32789.473684210527</v>
      </c>
      <c r="AE1982" s="587">
        <v>0.05</v>
      </c>
      <c r="AF1982" s="661" t="str">
        <f t="shared" si="213"/>
        <v>2019-LTK-CHV-SV3C-014-11</v>
      </c>
      <c r="AG1982" s="661" t="str">
        <f>IF(AND($Y1982&gt;=32,(AI1982="I"),(Y1982&lt;&gt;"~"),(COUNTIF($AN$1:$AN1982,$AN1982)=1)),"TRUE","FALSE")</f>
        <v>FALSE</v>
      </c>
      <c r="AH1982" s="661" t="str">
        <f>IF(AND($Y1982&gt;=22, (AI1982&lt;&gt;"I"),(Y1982&lt;&gt;"~"),(COUNTIF($AN$1:$AN1982,$AN1982)=1)),"TRUE","FALSE")</f>
        <v>FALSE</v>
      </c>
      <c r="AI1982" s="661" t="str">
        <f t="shared" si="215"/>
        <v>N/A</v>
      </c>
      <c r="AJ1982" s="662" t="str">
        <f t="shared" si="209"/>
        <v>SV3C-014</v>
      </c>
      <c r="AK1982" s="662" t="str">
        <f t="shared" si="210"/>
        <v>LTK</v>
      </c>
      <c r="AL1982" s="662" t="str">
        <f t="shared" si="211"/>
        <v>CHV</v>
      </c>
      <c r="AM1982" s="662" t="str">
        <f t="shared" si="214"/>
        <v>Silverado 3500 Chassis Cab-WT Regular Cab-4WD-3-~-~-6.0L-8-CK36003-WT-137.5-23.5-E85-Unleaded</v>
      </c>
      <c r="AN1982" s="662" t="str">
        <f t="shared" si="212"/>
        <v>2019-LTK-CHV-SV3C-014</v>
      </c>
    </row>
    <row r="1983" spans="1:40" s="572" customFormat="1" ht="30">
      <c r="A1983" s="570" t="s">
        <v>3748</v>
      </c>
      <c r="B1983" s="573" t="s">
        <v>3749</v>
      </c>
      <c r="C1983" s="573" t="s">
        <v>169</v>
      </c>
      <c r="D1983" s="578">
        <v>11</v>
      </c>
      <c r="E1983" s="573" t="s">
        <v>3374</v>
      </c>
      <c r="F1983" s="573" t="s">
        <v>1684</v>
      </c>
      <c r="G1983" s="573" t="s">
        <v>153</v>
      </c>
      <c r="H1983" s="573">
        <v>2019</v>
      </c>
      <c r="I1983" s="573" t="s">
        <v>3707</v>
      </c>
      <c r="J1983" s="573" t="s">
        <v>3580</v>
      </c>
      <c r="K1983" s="573" t="s">
        <v>752</v>
      </c>
      <c r="L1983" s="573">
        <v>3</v>
      </c>
      <c r="M1983" s="573">
        <v>0</v>
      </c>
      <c r="N1983" s="573" t="s">
        <v>157</v>
      </c>
      <c r="O1983" s="573">
        <v>1</v>
      </c>
      <c r="P1983" s="573" t="s">
        <v>157</v>
      </c>
      <c r="Q1983" s="571" t="s">
        <v>157</v>
      </c>
      <c r="R1983" s="573" t="s">
        <v>798</v>
      </c>
      <c r="S1983" s="573">
        <v>8</v>
      </c>
      <c r="T1983" s="573" t="s">
        <v>3727</v>
      </c>
      <c r="U1983" s="573" t="s">
        <v>1522</v>
      </c>
      <c r="V1983" s="573">
        <v>162</v>
      </c>
      <c r="W1983" s="573">
        <v>23.5</v>
      </c>
      <c r="X1983" s="571">
        <v>13200</v>
      </c>
      <c r="Y1983" s="569" t="s">
        <v>164</v>
      </c>
      <c r="Z1983" s="579" t="s">
        <v>450</v>
      </c>
      <c r="AA1983" s="579" t="s">
        <v>178</v>
      </c>
      <c r="AB1983" s="584">
        <v>39495</v>
      </c>
      <c r="AC1983" s="584" t="s">
        <v>164</v>
      </c>
      <c r="AD1983" s="584">
        <v>30246.315789473687</v>
      </c>
      <c r="AE1983" s="586">
        <v>0.05</v>
      </c>
      <c r="AF1983" s="661" t="str">
        <f t="shared" si="213"/>
        <v>2019-LTK-CHV-SV3C-016-11</v>
      </c>
      <c r="AG1983" s="661" t="str">
        <f>IF(AND($Y1983&gt;=32,(AI1983="I"),(Y1983&lt;&gt;"~"),(COUNTIF($AN$1:$AN1983,$AN1983)=1)),"TRUE","FALSE")</f>
        <v>FALSE</v>
      </c>
      <c r="AH1983" s="661" t="str">
        <f>IF(AND($Y1983&gt;=22, (AI1983&lt;&gt;"I"),(Y1983&lt;&gt;"~"),(COUNTIF($AN$1:$AN1983,$AN1983)=1)),"TRUE","FALSE")</f>
        <v>TRUE</v>
      </c>
      <c r="AI1983" s="661" t="str">
        <f t="shared" si="215"/>
        <v>N/A</v>
      </c>
      <c r="AJ1983" s="662" t="str">
        <f t="shared" si="209"/>
        <v>SV3C-016</v>
      </c>
      <c r="AK1983" s="662" t="str">
        <f t="shared" si="210"/>
        <v>LTK</v>
      </c>
      <c r="AL1983" s="662" t="str">
        <f t="shared" si="211"/>
        <v>CHV</v>
      </c>
      <c r="AM1983" s="662" t="str">
        <f t="shared" si="214"/>
        <v>Silverado 3500 Chassis Cab-WT Regular Cab-4WD-3-~-~-6.0L-8-CK36403-1WT-162-23.5-E85-Unleaded</v>
      </c>
      <c r="AN1983" s="662" t="str">
        <f t="shared" si="212"/>
        <v>2019-LTK-CHV-SV3C-016</v>
      </c>
    </row>
    <row r="1984" spans="1:40" s="572" customFormat="1" ht="30">
      <c r="A1984" s="570" t="s">
        <v>3750</v>
      </c>
      <c r="B1984" s="569" t="s">
        <v>3746</v>
      </c>
      <c r="C1984" s="569" t="s">
        <v>166</v>
      </c>
      <c r="D1984" s="580">
        <v>17</v>
      </c>
      <c r="E1984" s="569" t="s">
        <v>3374</v>
      </c>
      <c r="F1984" s="569" t="s">
        <v>1684</v>
      </c>
      <c r="G1984" s="569" t="s">
        <v>153</v>
      </c>
      <c r="H1984" s="569">
        <v>2019</v>
      </c>
      <c r="I1984" s="569" t="s">
        <v>3707</v>
      </c>
      <c r="J1984" s="569" t="s">
        <v>3580</v>
      </c>
      <c r="K1984" s="569" t="s">
        <v>752</v>
      </c>
      <c r="L1984" s="569">
        <v>3</v>
      </c>
      <c r="M1984" s="569">
        <v>0</v>
      </c>
      <c r="N1984" s="569" t="s">
        <v>157</v>
      </c>
      <c r="O1984" s="569">
        <v>1</v>
      </c>
      <c r="P1984" s="569" t="s">
        <v>157</v>
      </c>
      <c r="Q1984" s="568" t="s">
        <v>157</v>
      </c>
      <c r="R1984" s="569" t="s">
        <v>798</v>
      </c>
      <c r="S1984" s="569">
        <v>8</v>
      </c>
      <c r="T1984" s="569" t="s">
        <v>3724</v>
      </c>
      <c r="U1984" s="569" t="s">
        <v>1522</v>
      </c>
      <c r="V1984" s="569">
        <v>137.5</v>
      </c>
      <c r="W1984" s="569">
        <v>23.5</v>
      </c>
      <c r="X1984" s="568">
        <v>13200</v>
      </c>
      <c r="Y1984" s="569" t="s">
        <v>164</v>
      </c>
      <c r="Z1984" s="581" t="s">
        <v>450</v>
      </c>
      <c r="AA1984" s="581" t="s">
        <v>178</v>
      </c>
      <c r="AB1984" s="585">
        <v>42395</v>
      </c>
      <c r="AC1984" s="585" t="s">
        <v>164</v>
      </c>
      <c r="AD1984" s="585">
        <v>32501</v>
      </c>
      <c r="AE1984" s="587">
        <v>7.1999999999999995E-2</v>
      </c>
      <c r="AF1984" s="661" t="str">
        <f t="shared" si="213"/>
        <v>2019-LTK-CHV-SV3C-014-17</v>
      </c>
      <c r="AG1984" s="661" t="str">
        <f>IF(AND($Y1984&gt;=32,(AI1984="I"),(Y1984&lt;&gt;"~"),(COUNTIF($AN$1:$AN1984,$AN1984)=1)),"TRUE","FALSE")</f>
        <v>FALSE</v>
      </c>
      <c r="AH1984" s="661" t="str">
        <f>IF(AND($Y1984&gt;=22, (AI1984&lt;&gt;"I"),(Y1984&lt;&gt;"~"),(COUNTIF($AN$1:$AN1984,$AN1984)=1)),"TRUE","FALSE")</f>
        <v>FALSE</v>
      </c>
      <c r="AI1984" s="661" t="str">
        <f t="shared" si="215"/>
        <v>N/A</v>
      </c>
      <c r="AJ1984" s="662" t="str">
        <f t="shared" si="209"/>
        <v>SV3C-014</v>
      </c>
      <c r="AK1984" s="662" t="str">
        <f t="shared" si="210"/>
        <v>LTK</v>
      </c>
      <c r="AL1984" s="662" t="str">
        <f t="shared" si="211"/>
        <v>CHV</v>
      </c>
      <c r="AM1984" s="662" t="str">
        <f t="shared" si="214"/>
        <v>Silverado 3500 Chassis Cab-WT Regular Cab-4WD-3-~-~-6.0L-8-CK36003-1WT-137.5-23.5-E85-Unleaded</v>
      </c>
      <c r="AN1984" s="662" t="str">
        <f t="shared" si="212"/>
        <v>2019-LTK-CHV-SV3C-014</v>
      </c>
    </row>
    <row r="1985" spans="1:40" s="572" customFormat="1" ht="30">
      <c r="A1985" s="570" t="s">
        <v>3751</v>
      </c>
      <c r="B1985" s="573" t="s">
        <v>3752</v>
      </c>
      <c r="C1985" s="573" t="s">
        <v>166</v>
      </c>
      <c r="D1985" s="578">
        <v>17</v>
      </c>
      <c r="E1985" s="573" t="s">
        <v>3374</v>
      </c>
      <c r="F1985" s="573" t="s">
        <v>1684</v>
      </c>
      <c r="G1985" s="573" t="s">
        <v>153</v>
      </c>
      <c r="H1985" s="573">
        <v>2019</v>
      </c>
      <c r="I1985" s="573" t="s">
        <v>3707</v>
      </c>
      <c r="J1985" s="573" t="s">
        <v>3580</v>
      </c>
      <c r="K1985" s="573" t="s">
        <v>752</v>
      </c>
      <c r="L1985" s="573">
        <v>3</v>
      </c>
      <c r="M1985" s="573">
        <v>0</v>
      </c>
      <c r="N1985" s="573" t="s">
        <v>157</v>
      </c>
      <c r="O1985" s="573">
        <v>1</v>
      </c>
      <c r="P1985" s="573" t="s">
        <v>157</v>
      </c>
      <c r="Q1985" s="571" t="s">
        <v>157</v>
      </c>
      <c r="R1985" s="573" t="s">
        <v>798</v>
      </c>
      <c r="S1985" s="573">
        <v>8</v>
      </c>
      <c r="T1985" s="573" t="s">
        <v>3724</v>
      </c>
      <c r="U1985" s="573" t="s">
        <v>3747</v>
      </c>
      <c r="V1985" s="573">
        <v>137.5</v>
      </c>
      <c r="W1985" s="573">
        <v>31</v>
      </c>
      <c r="X1985" s="571">
        <v>13200</v>
      </c>
      <c r="Y1985" s="569" t="s">
        <v>164</v>
      </c>
      <c r="Z1985" s="579" t="s">
        <v>450</v>
      </c>
      <c r="AA1985" s="579" t="s">
        <v>178</v>
      </c>
      <c r="AB1985" s="584">
        <v>42395</v>
      </c>
      <c r="AC1985" s="584" t="s">
        <v>164</v>
      </c>
      <c r="AD1985" s="584">
        <v>32501</v>
      </c>
      <c r="AE1985" s="586">
        <v>7.1999999999999995E-2</v>
      </c>
      <c r="AF1985" s="661" t="str">
        <f t="shared" si="213"/>
        <v>2019-LTK-CHV-SV3C-015-17</v>
      </c>
      <c r="AG1985" s="661" t="str">
        <f>IF(AND($Y1985&gt;=32,(AI1985="I"),(Y1985&lt;&gt;"~"),(COUNTIF($AN$1:$AN1985,$AN1985)=1)),"TRUE","FALSE")</f>
        <v>FALSE</v>
      </c>
      <c r="AH1985" s="661" t="str">
        <f>IF(AND($Y1985&gt;=22, (AI1985&lt;&gt;"I"),(Y1985&lt;&gt;"~"),(COUNTIF($AN$1:$AN1985,$AN1985)=1)),"TRUE","FALSE")</f>
        <v>TRUE</v>
      </c>
      <c r="AI1985" s="661" t="str">
        <f t="shared" si="215"/>
        <v>N/A</v>
      </c>
      <c r="AJ1985" s="662" t="str">
        <f t="shared" si="209"/>
        <v>SV3C-015</v>
      </c>
      <c r="AK1985" s="662" t="str">
        <f t="shared" si="210"/>
        <v>LTK</v>
      </c>
      <c r="AL1985" s="662" t="str">
        <f t="shared" si="211"/>
        <v>CHV</v>
      </c>
      <c r="AM1985" s="662" t="str">
        <f t="shared" si="214"/>
        <v>Silverado 3500 Chassis Cab-WT Regular Cab-4WD-3-~-~-6.0L-8-CK36003-WT-137.5-31-E85-Unleaded</v>
      </c>
      <c r="AN1985" s="662" t="str">
        <f t="shared" si="212"/>
        <v>2019-LTK-CHV-SV3C-015</v>
      </c>
    </row>
    <row r="1986" spans="1:40" s="572" customFormat="1" ht="30">
      <c r="A1986" s="570" t="s">
        <v>3753</v>
      </c>
      <c r="B1986" s="569" t="s">
        <v>3749</v>
      </c>
      <c r="C1986" s="569" t="s">
        <v>166</v>
      </c>
      <c r="D1986" s="580">
        <v>17</v>
      </c>
      <c r="E1986" s="569" t="s">
        <v>3374</v>
      </c>
      <c r="F1986" s="569" t="s">
        <v>1684</v>
      </c>
      <c r="G1986" s="569" t="s">
        <v>153</v>
      </c>
      <c r="H1986" s="569">
        <v>2019</v>
      </c>
      <c r="I1986" s="569" t="s">
        <v>3707</v>
      </c>
      <c r="J1986" s="569" t="s">
        <v>3580</v>
      </c>
      <c r="K1986" s="569" t="s">
        <v>752</v>
      </c>
      <c r="L1986" s="569">
        <v>3</v>
      </c>
      <c r="M1986" s="569">
        <v>0</v>
      </c>
      <c r="N1986" s="569" t="s">
        <v>157</v>
      </c>
      <c r="O1986" s="569">
        <v>1</v>
      </c>
      <c r="P1986" s="569" t="s">
        <v>157</v>
      </c>
      <c r="Q1986" s="568" t="s">
        <v>157</v>
      </c>
      <c r="R1986" s="569" t="s">
        <v>798</v>
      </c>
      <c r="S1986" s="569">
        <v>8</v>
      </c>
      <c r="T1986" s="569" t="s">
        <v>3727</v>
      </c>
      <c r="U1986" s="569" t="s">
        <v>1522</v>
      </c>
      <c r="V1986" s="569">
        <v>162</v>
      </c>
      <c r="W1986" s="569">
        <v>23.5</v>
      </c>
      <c r="X1986" s="568">
        <v>13200</v>
      </c>
      <c r="Y1986" s="569" t="s">
        <v>164</v>
      </c>
      <c r="Z1986" s="581" t="s">
        <v>450</v>
      </c>
      <c r="AA1986" s="581" t="s">
        <v>178</v>
      </c>
      <c r="AB1986" s="585">
        <v>42595</v>
      </c>
      <c r="AC1986" s="585" t="s">
        <v>164</v>
      </c>
      <c r="AD1986" s="585">
        <v>32411</v>
      </c>
      <c r="AE1986" s="587">
        <v>7.1999999999999995E-2</v>
      </c>
      <c r="AF1986" s="661" t="str">
        <f t="shared" si="213"/>
        <v>2019-LTK-CHV-SV3C-016-17</v>
      </c>
      <c r="AG1986" s="661" t="str">
        <f>IF(AND($Y1986&gt;=32,(AI1986="I"),(Y1986&lt;&gt;"~"),(COUNTIF($AN$1:$AN1986,$AN1986)=1)),"TRUE","FALSE")</f>
        <v>FALSE</v>
      </c>
      <c r="AH1986" s="661" t="str">
        <f>IF(AND($Y1986&gt;=22, (AI1986&lt;&gt;"I"),(Y1986&lt;&gt;"~"),(COUNTIF($AN$1:$AN1986,$AN1986)=1)),"TRUE","FALSE")</f>
        <v>FALSE</v>
      </c>
      <c r="AI1986" s="661" t="str">
        <f t="shared" si="215"/>
        <v>N/A</v>
      </c>
      <c r="AJ1986" s="662" t="str">
        <f t="shared" si="209"/>
        <v>SV3C-016</v>
      </c>
      <c r="AK1986" s="662" t="str">
        <f t="shared" si="210"/>
        <v>LTK</v>
      </c>
      <c r="AL1986" s="662" t="str">
        <f t="shared" si="211"/>
        <v>CHV</v>
      </c>
      <c r="AM1986" s="662" t="str">
        <f t="shared" si="214"/>
        <v>Silverado 3500 Chassis Cab-WT Regular Cab-4WD-3-~-~-6.0L-8-CK36403-1WT-162-23.5-E85-Unleaded</v>
      </c>
      <c r="AN1986" s="662" t="str">
        <f t="shared" si="212"/>
        <v>2019-LTK-CHV-SV3C-016</v>
      </c>
    </row>
    <row r="1987" spans="1:40" s="572" customFormat="1" ht="30">
      <c r="A1987" s="570" t="s">
        <v>3754</v>
      </c>
      <c r="B1987" s="573" t="s">
        <v>3755</v>
      </c>
      <c r="C1987" s="573" t="s">
        <v>169</v>
      </c>
      <c r="D1987" s="578">
        <v>11</v>
      </c>
      <c r="E1987" s="573" t="s">
        <v>3374</v>
      </c>
      <c r="F1987" s="573" t="s">
        <v>1684</v>
      </c>
      <c r="G1987" s="573" t="s">
        <v>153</v>
      </c>
      <c r="H1987" s="573">
        <v>2019</v>
      </c>
      <c r="I1987" s="573" t="s">
        <v>3707</v>
      </c>
      <c r="J1987" s="573" t="s">
        <v>3756</v>
      </c>
      <c r="K1987" s="573" t="s">
        <v>752</v>
      </c>
      <c r="L1987" s="573">
        <v>3</v>
      </c>
      <c r="M1987" s="573">
        <v>0</v>
      </c>
      <c r="N1987" s="573" t="s">
        <v>157</v>
      </c>
      <c r="O1987" s="573">
        <v>1</v>
      </c>
      <c r="P1987" s="573" t="s">
        <v>157</v>
      </c>
      <c r="Q1987" s="571" t="s">
        <v>157</v>
      </c>
      <c r="R1987" s="573" t="s">
        <v>798</v>
      </c>
      <c r="S1987" s="573">
        <v>8</v>
      </c>
      <c r="T1987" s="573" t="s">
        <v>3724</v>
      </c>
      <c r="U1987" s="573" t="s">
        <v>1522</v>
      </c>
      <c r="V1987" s="573">
        <v>137.5</v>
      </c>
      <c r="W1987" s="573">
        <v>23.5</v>
      </c>
      <c r="X1987" s="571">
        <v>13200</v>
      </c>
      <c r="Y1987" s="569" t="s">
        <v>164</v>
      </c>
      <c r="Z1987" s="579" t="s">
        <v>450</v>
      </c>
      <c r="AA1987" s="579" t="s">
        <v>178</v>
      </c>
      <c r="AB1987" s="584">
        <v>39295</v>
      </c>
      <c r="AC1987" s="584" t="s">
        <v>164</v>
      </c>
      <c r="AD1987" s="584">
        <v>30048</v>
      </c>
      <c r="AE1987" s="586">
        <v>0.05</v>
      </c>
      <c r="AF1987" s="661" t="str">
        <f t="shared" si="213"/>
        <v>2019-LTK-CHV-SV3C-010-11</v>
      </c>
      <c r="AG1987" s="661" t="str">
        <f>IF(AND($Y1987&gt;=32,(AI1987="I"),(Y1987&lt;&gt;"~"),(COUNTIF($AN$1:$AN1987,$AN1987)=1)),"TRUE","FALSE")</f>
        <v>FALSE</v>
      </c>
      <c r="AH1987" s="661" t="str">
        <f>IF(AND($Y1987&gt;=22, (AI1987&lt;&gt;"I"),(Y1987&lt;&gt;"~"),(COUNTIF($AN$1:$AN1987,$AN1987)=1)),"TRUE","FALSE")</f>
        <v>TRUE</v>
      </c>
      <c r="AI1987" s="661" t="str">
        <f t="shared" si="215"/>
        <v>N/A</v>
      </c>
      <c r="AJ1987" s="662" t="str">
        <f t="shared" ref="AJ1987:AJ2050" si="216">MID(A1987,14,8)</f>
        <v>SV3C-010</v>
      </c>
      <c r="AK1987" s="662" t="str">
        <f t="shared" ref="AK1987:AK2050" si="217">MID(A1987,6,3)</f>
        <v>LTK</v>
      </c>
      <c r="AL1987" s="662" t="str">
        <f t="shared" ref="AL1987:AL2050" si="218">MID(A1987,10,3)</f>
        <v>CHV</v>
      </c>
      <c r="AM1987" s="662" t="str">
        <f t="shared" si="214"/>
        <v>Silverado 3500 Chassis Cab-WT Regular Cab DRW-4WD-3-~-~-6.0L-8-CK36003-1WT-137.5-23.5-E85-Unleaded</v>
      </c>
      <c r="AN1987" s="662" t="str">
        <f t="shared" ref="AN1987:AN2050" si="219">LEFT(A1987,21)</f>
        <v>2019-LTK-CHV-SV3C-010</v>
      </c>
    </row>
    <row r="1988" spans="1:40" s="572" customFormat="1" ht="30">
      <c r="A1988" s="570" t="s">
        <v>3757</v>
      </c>
      <c r="B1988" s="569" t="s">
        <v>3758</v>
      </c>
      <c r="C1988" s="569" t="s">
        <v>169</v>
      </c>
      <c r="D1988" s="580">
        <v>11</v>
      </c>
      <c r="E1988" s="569" t="s">
        <v>3374</v>
      </c>
      <c r="F1988" s="569" t="s">
        <v>1684</v>
      </c>
      <c r="G1988" s="569" t="s">
        <v>153</v>
      </c>
      <c r="H1988" s="569">
        <v>2019</v>
      </c>
      <c r="I1988" s="569" t="s">
        <v>3707</v>
      </c>
      <c r="J1988" s="569" t="s">
        <v>3756</v>
      </c>
      <c r="K1988" s="569" t="s">
        <v>752</v>
      </c>
      <c r="L1988" s="569">
        <v>3</v>
      </c>
      <c r="M1988" s="569">
        <v>0</v>
      </c>
      <c r="N1988" s="569" t="s">
        <v>157</v>
      </c>
      <c r="O1988" s="569">
        <v>1</v>
      </c>
      <c r="P1988" s="569" t="s">
        <v>157</v>
      </c>
      <c r="Q1988" s="568" t="s">
        <v>157</v>
      </c>
      <c r="R1988" s="569" t="s">
        <v>798</v>
      </c>
      <c r="S1988" s="569">
        <v>8</v>
      </c>
      <c r="T1988" s="569" t="s">
        <v>3727</v>
      </c>
      <c r="U1988" s="569" t="s">
        <v>1522</v>
      </c>
      <c r="V1988" s="569">
        <v>162</v>
      </c>
      <c r="W1988" s="569">
        <v>23.5</v>
      </c>
      <c r="X1988" s="568">
        <v>13200</v>
      </c>
      <c r="Y1988" s="569" t="s">
        <v>164</v>
      </c>
      <c r="Z1988" s="581" t="s">
        <v>450</v>
      </c>
      <c r="AA1988" s="581" t="s">
        <v>178</v>
      </c>
      <c r="AB1988" s="585">
        <v>39495</v>
      </c>
      <c r="AC1988" s="585" t="s">
        <v>164</v>
      </c>
      <c r="AD1988" s="585">
        <v>30246.315789473687</v>
      </c>
      <c r="AE1988" s="587">
        <v>0.05</v>
      </c>
      <c r="AF1988" s="661" t="str">
        <f t="shared" si="213"/>
        <v>2019-LTK-CHV-SV3C-011-11</v>
      </c>
      <c r="AG1988" s="661" t="str">
        <f>IF(AND($Y1988&gt;=32,(AI1988="I"),(Y1988&lt;&gt;"~"),(COUNTIF($AN$1:$AN1988,$AN1988)=1)),"TRUE","FALSE")</f>
        <v>FALSE</v>
      </c>
      <c r="AH1988" s="661" t="str">
        <f>IF(AND($Y1988&gt;=22, (AI1988&lt;&gt;"I"),(Y1988&lt;&gt;"~"),(COUNTIF($AN$1:$AN1988,$AN1988)=1)),"TRUE","FALSE")</f>
        <v>TRUE</v>
      </c>
      <c r="AI1988" s="661" t="str">
        <f t="shared" si="215"/>
        <v>N/A</v>
      </c>
      <c r="AJ1988" s="662" t="str">
        <f t="shared" si="216"/>
        <v>SV3C-011</v>
      </c>
      <c r="AK1988" s="662" t="str">
        <f t="shared" si="217"/>
        <v>LTK</v>
      </c>
      <c r="AL1988" s="662" t="str">
        <f t="shared" si="218"/>
        <v>CHV</v>
      </c>
      <c r="AM1988" s="662" t="str">
        <f t="shared" si="214"/>
        <v>Silverado 3500 Chassis Cab-WT Regular Cab DRW-4WD-3-~-~-6.0L-8-CK36403-1WT-162-23.5-E85-Unleaded</v>
      </c>
      <c r="AN1988" s="662" t="str">
        <f t="shared" si="219"/>
        <v>2019-LTK-CHV-SV3C-011</v>
      </c>
    </row>
    <row r="1989" spans="1:40" s="572" customFormat="1" ht="30">
      <c r="A1989" s="570" t="s">
        <v>3759</v>
      </c>
      <c r="B1989" s="573" t="s">
        <v>3755</v>
      </c>
      <c r="C1989" s="573" t="s">
        <v>150</v>
      </c>
      <c r="D1989" s="578">
        <v>13</v>
      </c>
      <c r="E1989" s="573" t="s">
        <v>3374</v>
      </c>
      <c r="F1989" s="573" t="s">
        <v>1684</v>
      </c>
      <c r="G1989" s="573" t="s">
        <v>153</v>
      </c>
      <c r="H1989" s="573">
        <v>2019</v>
      </c>
      <c r="I1989" s="573" t="s">
        <v>3707</v>
      </c>
      <c r="J1989" s="573" t="s">
        <v>3756</v>
      </c>
      <c r="K1989" s="573" t="s">
        <v>752</v>
      </c>
      <c r="L1989" s="573">
        <v>3</v>
      </c>
      <c r="M1989" s="573">
        <v>0</v>
      </c>
      <c r="N1989" s="573" t="s">
        <v>157</v>
      </c>
      <c r="O1989" s="573">
        <v>1</v>
      </c>
      <c r="P1989" s="573" t="s">
        <v>157</v>
      </c>
      <c r="Q1989" s="571" t="s">
        <v>157</v>
      </c>
      <c r="R1989" s="573" t="s">
        <v>798</v>
      </c>
      <c r="S1989" s="573">
        <v>8</v>
      </c>
      <c r="T1989" s="573" t="s">
        <v>3724</v>
      </c>
      <c r="U1989" s="573" t="s">
        <v>1522</v>
      </c>
      <c r="V1989" s="573">
        <v>137</v>
      </c>
      <c r="W1989" s="573">
        <v>63.5</v>
      </c>
      <c r="X1989" s="571">
        <v>13200</v>
      </c>
      <c r="Y1989" s="569" t="s">
        <v>164</v>
      </c>
      <c r="Z1989" s="579" t="s">
        <v>450</v>
      </c>
      <c r="AA1989" s="579" t="s">
        <v>178</v>
      </c>
      <c r="AB1989" s="584">
        <v>39295</v>
      </c>
      <c r="AC1989" s="584" t="s">
        <v>164</v>
      </c>
      <c r="AD1989" s="584">
        <v>31670</v>
      </c>
      <c r="AE1989" s="586">
        <v>0.03</v>
      </c>
      <c r="AF1989" s="661" t="str">
        <f t="shared" si="213"/>
        <v>2019-LTK-CHV-SV3C-010-13</v>
      </c>
      <c r="AG1989" s="661" t="str">
        <f>IF(AND($Y1989&gt;=32,(AI1989="I"),(Y1989&lt;&gt;"~"),(COUNTIF($AN$1:$AN1989,$AN1989)=1)),"TRUE","FALSE")</f>
        <v>FALSE</v>
      </c>
      <c r="AH1989" s="661" t="str">
        <f>IF(AND($Y1989&gt;=22, (AI1989&lt;&gt;"I"),(Y1989&lt;&gt;"~"),(COUNTIF($AN$1:$AN1989,$AN1989)=1)),"TRUE","FALSE")</f>
        <v>FALSE</v>
      </c>
      <c r="AI1989" s="661" t="str">
        <f t="shared" si="215"/>
        <v>N/A</v>
      </c>
      <c r="AJ1989" s="662" t="str">
        <f t="shared" si="216"/>
        <v>SV3C-010</v>
      </c>
      <c r="AK1989" s="662" t="str">
        <f t="shared" si="217"/>
        <v>LTK</v>
      </c>
      <c r="AL1989" s="662" t="str">
        <f t="shared" si="218"/>
        <v>CHV</v>
      </c>
      <c r="AM1989" s="662" t="str">
        <f t="shared" si="214"/>
        <v>Silverado 3500 Chassis Cab-WT Regular Cab DRW-4WD-3-~-~-6.0L-8-CK36003-1WT-137-63.5-E85-Unleaded</v>
      </c>
      <c r="AN1989" s="662" t="str">
        <f t="shared" si="219"/>
        <v>2019-LTK-CHV-SV3C-010</v>
      </c>
    </row>
    <row r="1990" spans="1:40" s="572" customFormat="1" ht="30">
      <c r="A1990" s="570" t="s">
        <v>3760</v>
      </c>
      <c r="B1990" s="569" t="s">
        <v>3758</v>
      </c>
      <c r="C1990" s="569" t="s">
        <v>150</v>
      </c>
      <c r="D1990" s="580">
        <v>13</v>
      </c>
      <c r="E1990" s="569" t="s">
        <v>3374</v>
      </c>
      <c r="F1990" s="569" t="s">
        <v>1684</v>
      </c>
      <c r="G1990" s="569" t="s">
        <v>153</v>
      </c>
      <c r="H1990" s="569">
        <v>2019</v>
      </c>
      <c r="I1990" s="569" t="s">
        <v>3707</v>
      </c>
      <c r="J1990" s="569" t="s">
        <v>3756</v>
      </c>
      <c r="K1990" s="569" t="s">
        <v>752</v>
      </c>
      <c r="L1990" s="569">
        <v>3</v>
      </c>
      <c r="M1990" s="569">
        <v>0</v>
      </c>
      <c r="N1990" s="569" t="s">
        <v>157</v>
      </c>
      <c r="O1990" s="569">
        <v>1</v>
      </c>
      <c r="P1990" s="569" t="s">
        <v>157</v>
      </c>
      <c r="Q1990" s="568" t="s">
        <v>157</v>
      </c>
      <c r="R1990" s="569" t="s">
        <v>798</v>
      </c>
      <c r="S1990" s="569">
        <v>8</v>
      </c>
      <c r="T1990" s="569" t="s">
        <v>3727</v>
      </c>
      <c r="U1990" s="569" t="s">
        <v>1522</v>
      </c>
      <c r="V1990" s="569">
        <v>162</v>
      </c>
      <c r="W1990" s="569">
        <v>63.5</v>
      </c>
      <c r="X1990" s="568">
        <v>13200</v>
      </c>
      <c r="Y1990" s="569" t="s">
        <v>164</v>
      </c>
      <c r="Z1990" s="581" t="s">
        <v>450</v>
      </c>
      <c r="AA1990" s="581" t="s">
        <v>178</v>
      </c>
      <c r="AB1990" s="585">
        <v>39495</v>
      </c>
      <c r="AC1990" s="585" t="s">
        <v>164</v>
      </c>
      <c r="AD1990" s="585">
        <v>31829</v>
      </c>
      <c r="AE1990" s="587">
        <v>0.03</v>
      </c>
      <c r="AF1990" s="661" t="str">
        <f t="shared" si="213"/>
        <v>2019-LTK-CHV-SV3C-011-13</v>
      </c>
      <c r="AG1990" s="661" t="str">
        <f>IF(AND($Y1990&gt;=32,(AI1990="I"),(Y1990&lt;&gt;"~"),(COUNTIF($AN$1:$AN1990,$AN1990)=1)),"TRUE","FALSE")</f>
        <v>FALSE</v>
      </c>
      <c r="AH1990" s="661" t="str">
        <f>IF(AND($Y1990&gt;=22, (AI1990&lt;&gt;"I"),(Y1990&lt;&gt;"~"),(COUNTIF($AN$1:$AN1990,$AN1990)=1)),"TRUE","FALSE")</f>
        <v>FALSE</v>
      </c>
      <c r="AI1990" s="661" t="str">
        <f t="shared" si="215"/>
        <v>N/A</v>
      </c>
      <c r="AJ1990" s="662" t="str">
        <f t="shared" si="216"/>
        <v>SV3C-011</v>
      </c>
      <c r="AK1990" s="662" t="str">
        <f t="shared" si="217"/>
        <v>LTK</v>
      </c>
      <c r="AL1990" s="662" t="str">
        <f t="shared" si="218"/>
        <v>CHV</v>
      </c>
      <c r="AM1990" s="662" t="str">
        <f t="shared" si="214"/>
        <v>Silverado 3500 Chassis Cab-WT Regular Cab DRW-4WD-3-~-~-6.0L-8-CK36403-1WT-162-63.5-E85-Unleaded</v>
      </c>
      <c r="AN1990" s="662" t="str">
        <f t="shared" si="219"/>
        <v>2019-LTK-CHV-SV3C-011</v>
      </c>
    </row>
    <row r="1991" spans="1:40" s="572" customFormat="1" ht="30">
      <c r="A1991" s="570" t="s">
        <v>3761</v>
      </c>
      <c r="B1991" s="573" t="s">
        <v>3755</v>
      </c>
      <c r="C1991" s="573" t="s">
        <v>166</v>
      </c>
      <c r="D1991" s="578">
        <v>17</v>
      </c>
      <c r="E1991" s="573" t="s">
        <v>3374</v>
      </c>
      <c r="F1991" s="573" t="s">
        <v>1684</v>
      </c>
      <c r="G1991" s="573" t="s">
        <v>153</v>
      </c>
      <c r="H1991" s="573">
        <v>2019</v>
      </c>
      <c r="I1991" s="573" t="s">
        <v>3707</v>
      </c>
      <c r="J1991" s="573" t="s">
        <v>3756</v>
      </c>
      <c r="K1991" s="573" t="s">
        <v>752</v>
      </c>
      <c r="L1991" s="573">
        <v>3</v>
      </c>
      <c r="M1991" s="573">
        <v>0</v>
      </c>
      <c r="N1991" s="573" t="s">
        <v>157</v>
      </c>
      <c r="O1991" s="573">
        <v>1</v>
      </c>
      <c r="P1991" s="573" t="s">
        <v>157</v>
      </c>
      <c r="Q1991" s="571" t="s">
        <v>157</v>
      </c>
      <c r="R1991" s="573" t="s">
        <v>798</v>
      </c>
      <c r="S1991" s="573">
        <v>8</v>
      </c>
      <c r="T1991" s="573" t="s">
        <v>3724</v>
      </c>
      <c r="U1991" s="573" t="s">
        <v>1522</v>
      </c>
      <c r="V1991" s="573">
        <v>137</v>
      </c>
      <c r="W1991" s="573">
        <v>63.5</v>
      </c>
      <c r="X1991" s="571">
        <v>13200</v>
      </c>
      <c r="Y1991" s="569" t="s">
        <v>164</v>
      </c>
      <c r="Z1991" s="579" t="s">
        <v>450</v>
      </c>
      <c r="AA1991" s="579" t="s">
        <v>178</v>
      </c>
      <c r="AB1991" s="584">
        <v>42395</v>
      </c>
      <c r="AC1991" s="584" t="s">
        <v>164</v>
      </c>
      <c r="AD1991" s="584">
        <v>32501</v>
      </c>
      <c r="AE1991" s="586">
        <v>7.1999999999999995E-2</v>
      </c>
      <c r="AF1991" s="661" t="str">
        <f t="shared" si="213"/>
        <v>2019-LTK-CHV-SV3C-010-17</v>
      </c>
      <c r="AG1991" s="661" t="str">
        <f>IF(AND($Y1991&gt;=32,(AI1991="I"),(Y1991&lt;&gt;"~"),(COUNTIF($AN$1:$AN1991,$AN1991)=1)),"TRUE","FALSE")</f>
        <v>FALSE</v>
      </c>
      <c r="AH1991" s="661" t="str">
        <f>IF(AND($Y1991&gt;=22, (AI1991&lt;&gt;"I"),(Y1991&lt;&gt;"~"),(COUNTIF($AN$1:$AN1991,$AN1991)=1)),"TRUE","FALSE")</f>
        <v>FALSE</v>
      </c>
      <c r="AI1991" s="661" t="str">
        <f t="shared" si="215"/>
        <v>N/A</v>
      </c>
      <c r="AJ1991" s="662" t="str">
        <f t="shared" si="216"/>
        <v>SV3C-010</v>
      </c>
      <c r="AK1991" s="662" t="str">
        <f t="shared" si="217"/>
        <v>LTK</v>
      </c>
      <c r="AL1991" s="662" t="str">
        <f t="shared" si="218"/>
        <v>CHV</v>
      </c>
      <c r="AM1991" s="662" t="str">
        <f t="shared" si="214"/>
        <v>Silverado 3500 Chassis Cab-WT Regular Cab DRW-4WD-3-~-~-6.0L-8-CK36003-1WT-137-63.5-E85-Unleaded</v>
      </c>
      <c r="AN1991" s="662" t="str">
        <f t="shared" si="219"/>
        <v>2019-LTK-CHV-SV3C-010</v>
      </c>
    </row>
    <row r="1992" spans="1:40" s="572" customFormat="1" ht="30">
      <c r="A1992" s="570" t="s">
        <v>3762</v>
      </c>
      <c r="B1992" s="569" t="s">
        <v>3758</v>
      </c>
      <c r="C1992" s="569" t="s">
        <v>166</v>
      </c>
      <c r="D1992" s="580">
        <v>17</v>
      </c>
      <c r="E1992" s="569" t="s">
        <v>3374</v>
      </c>
      <c r="F1992" s="569" t="s">
        <v>1684</v>
      </c>
      <c r="G1992" s="569" t="s">
        <v>153</v>
      </c>
      <c r="H1992" s="569">
        <v>2019</v>
      </c>
      <c r="I1992" s="569" t="s">
        <v>3707</v>
      </c>
      <c r="J1992" s="569" t="s">
        <v>3756</v>
      </c>
      <c r="K1992" s="569" t="s">
        <v>752</v>
      </c>
      <c r="L1992" s="569">
        <v>3</v>
      </c>
      <c r="M1992" s="569">
        <v>0</v>
      </c>
      <c r="N1992" s="569" t="s">
        <v>157</v>
      </c>
      <c r="O1992" s="569">
        <v>1</v>
      </c>
      <c r="P1992" s="569" t="s">
        <v>157</v>
      </c>
      <c r="Q1992" s="568" t="s">
        <v>157</v>
      </c>
      <c r="R1992" s="569" t="s">
        <v>798</v>
      </c>
      <c r="S1992" s="569">
        <v>8</v>
      </c>
      <c r="T1992" s="569" t="s">
        <v>3727</v>
      </c>
      <c r="U1992" s="569" t="s">
        <v>1522</v>
      </c>
      <c r="V1992" s="569">
        <v>162</v>
      </c>
      <c r="W1992" s="569">
        <v>63.5</v>
      </c>
      <c r="X1992" s="568">
        <v>13200</v>
      </c>
      <c r="Y1992" s="569" t="s">
        <v>164</v>
      </c>
      <c r="Z1992" s="581" t="s">
        <v>450</v>
      </c>
      <c r="AA1992" s="581" t="s">
        <v>178</v>
      </c>
      <c r="AB1992" s="585">
        <v>42595</v>
      </c>
      <c r="AC1992" s="585" t="s">
        <v>164</v>
      </c>
      <c r="AD1992" s="585">
        <v>32411</v>
      </c>
      <c r="AE1992" s="587">
        <v>7.1999999999999995E-2</v>
      </c>
      <c r="AF1992" s="661" t="str">
        <f t="shared" ref="AF1992:AF2055" si="220">A1992</f>
        <v>2019-LTK-CHV-SV3C-011-17</v>
      </c>
      <c r="AG1992" s="661" t="str">
        <f>IF(AND($Y1992&gt;=32,(AI1992="I"),(Y1992&lt;&gt;"~"),(COUNTIF($AN$1:$AN1992,$AN1992)=1)),"TRUE","FALSE")</f>
        <v>FALSE</v>
      </c>
      <c r="AH1992" s="661" t="str">
        <f>IF(AND($Y1992&gt;=22, (AI1992&lt;&gt;"I"),(Y1992&lt;&gt;"~"),(COUNTIF($AN$1:$AN1992,$AN1992)=1)),"TRUE","FALSE")</f>
        <v>FALSE</v>
      </c>
      <c r="AI1992" s="661" t="str">
        <f t="shared" si="215"/>
        <v>N/A</v>
      </c>
      <c r="AJ1992" s="662" t="str">
        <f t="shared" si="216"/>
        <v>SV3C-011</v>
      </c>
      <c r="AK1992" s="662" t="str">
        <f t="shared" si="217"/>
        <v>LTK</v>
      </c>
      <c r="AL1992" s="662" t="str">
        <f t="shared" si="218"/>
        <v>CHV</v>
      </c>
      <c r="AM1992" s="662" t="str">
        <f t="shared" si="214"/>
        <v>Silverado 3500 Chassis Cab-WT Regular Cab DRW-4WD-3-~-~-6.0L-8-CK36403-1WT-162-63.5-E85-Unleaded</v>
      </c>
      <c r="AN1992" s="662" t="str">
        <f t="shared" si="219"/>
        <v>2019-LTK-CHV-SV3C-011</v>
      </c>
    </row>
    <row r="1993" spans="1:40" s="572" customFormat="1" ht="15">
      <c r="A1993" s="570" t="s">
        <v>3763</v>
      </c>
      <c r="B1993" s="573" t="s">
        <v>3764</v>
      </c>
      <c r="C1993" s="573" t="s">
        <v>269</v>
      </c>
      <c r="D1993" s="578" t="s">
        <v>270</v>
      </c>
      <c r="E1993" s="573" t="s">
        <v>3374</v>
      </c>
      <c r="F1993" s="573" t="s">
        <v>152</v>
      </c>
      <c r="G1993" s="573" t="s">
        <v>271</v>
      </c>
      <c r="H1993" s="573">
        <v>2019</v>
      </c>
      <c r="I1993" s="573" t="s">
        <v>3765</v>
      </c>
      <c r="J1993" s="573" t="s">
        <v>3766</v>
      </c>
      <c r="K1993" s="573" t="s">
        <v>752</v>
      </c>
      <c r="L1993" s="573">
        <v>6</v>
      </c>
      <c r="M1993" s="573">
        <v>0</v>
      </c>
      <c r="N1993" s="573" t="s">
        <v>157</v>
      </c>
      <c r="O1993" s="573">
        <v>2</v>
      </c>
      <c r="P1993" s="573" t="s">
        <v>3767</v>
      </c>
      <c r="Q1993" s="571">
        <v>5000</v>
      </c>
      <c r="R1993" s="573" t="s">
        <v>3768</v>
      </c>
      <c r="S1993" s="573">
        <v>6</v>
      </c>
      <c r="T1993" s="573" t="s">
        <v>3769</v>
      </c>
      <c r="U1993" s="573" t="s">
        <v>276</v>
      </c>
      <c r="V1993" s="573">
        <v>145</v>
      </c>
      <c r="W1993" s="573">
        <v>26</v>
      </c>
      <c r="X1993" s="571">
        <v>6600</v>
      </c>
      <c r="Y1993" s="573">
        <v>21</v>
      </c>
      <c r="Z1993" s="579" t="s">
        <v>178</v>
      </c>
      <c r="AA1993" s="579" t="s">
        <v>178</v>
      </c>
      <c r="AB1993" s="584">
        <v>40695</v>
      </c>
      <c r="AC1993" s="584" t="s">
        <v>164</v>
      </c>
      <c r="AD1993" s="584">
        <v>29344.926315789475</v>
      </c>
      <c r="AE1993" s="586">
        <v>0.03</v>
      </c>
      <c r="AF1993" s="661" t="str">
        <f t="shared" si="220"/>
        <v>2019-LTK-FRD-F150-001-05</v>
      </c>
      <c r="AG1993" s="661" t="str">
        <f>IF(AND($Y1993&gt;=32,(AI1993="I"),(Y1993&lt;&gt;"~"),(COUNTIF($AN$1:$AN1993,$AN1993)=1)),"TRUE","FALSE")</f>
        <v>FALSE</v>
      </c>
      <c r="AH1993" s="661" t="str">
        <f>IF(AND($Y1993&gt;=22, (AI1993&lt;&gt;"I"),(Y1993&lt;&gt;"~"),(COUNTIF($AN$1:$AN1993,$AN1993)=1)),"TRUE","FALSE")</f>
        <v>FALSE</v>
      </c>
      <c r="AI1993" s="661" t="str">
        <f t="shared" si="215"/>
        <v>II</v>
      </c>
      <c r="AJ1993" s="662" t="str">
        <f t="shared" si="216"/>
        <v>F150-001</v>
      </c>
      <c r="AK1993" s="662" t="str">
        <f t="shared" si="217"/>
        <v>LTK</v>
      </c>
      <c r="AL1993" s="662" t="str">
        <f t="shared" si="218"/>
        <v>FRD</v>
      </c>
      <c r="AM1993" s="662" t="str">
        <f t="shared" si="214"/>
        <v>F150-Crew Cab XL-4WD-6-5'5"-5000-2.7L EcoBoost -6-W1E-100A-145-26-Unleaded-Unleaded</v>
      </c>
      <c r="AN1993" s="662" t="str">
        <f t="shared" si="219"/>
        <v>2019-LTK-FRD-F150-001</v>
      </c>
    </row>
    <row r="1994" spans="1:40" s="572" customFormat="1" ht="15">
      <c r="A1994" s="570" t="s">
        <v>3770</v>
      </c>
      <c r="B1994" s="569" t="s">
        <v>3771</v>
      </c>
      <c r="C1994" s="569" t="s">
        <v>269</v>
      </c>
      <c r="D1994" s="580" t="s">
        <v>270</v>
      </c>
      <c r="E1994" s="569" t="s">
        <v>3374</v>
      </c>
      <c r="F1994" s="569" t="s">
        <v>152</v>
      </c>
      <c r="G1994" s="569" t="s">
        <v>271</v>
      </c>
      <c r="H1994" s="569">
        <v>2019</v>
      </c>
      <c r="I1994" s="569" t="s">
        <v>3765</v>
      </c>
      <c r="J1994" s="569" t="s">
        <v>3766</v>
      </c>
      <c r="K1994" s="569" t="s">
        <v>752</v>
      </c>
      <c r="L1994" s="569">
        <v>6</v>
      </c>
      <c r="M1994" s="569">
        <v>0</v>
      </c>
      <c r="N1994" s="569" t="s">
        <v>157</v>
      </c>
      <c r="O1994" s="569">
        <v>2</v>
      </c>
      <c r="P1994" s="569" t="s">
        <v>3767</v>
      </c>
      <c r="Q1994" s="568">
        <v>5000</v>
      </c>
      <c r="R1994" s="569" t="s">
        <v>3772</v>
      </c>
      <c r="S1994" s="569">
        <v>6</v>
      </c>
      <c r="T1994" s="569" t="s">
        <v>3769</v>
      </c>
      <c r="U1994" s="569" t="s">
        <v>276</v>
      </c>
      <c r="V1994" s="569">
        <v>145</v>
      </c>
      <c r="W1994" s="569">
        <v>26</v>
      </c>
      <c r="X1994" s="568">
        <v>6500</v>
      </c>
      <c r="Y1994" s="569">
        <v>20</v>
      </c>
      <c r="Z1994" s="581" t="s">
        <v>450</v>
      </c>
      <c r="AA1994" s="581" t="s">
        <v>178</v>
      </c>
      <c r="AB1994" s="585">
        <v>39700</v>
      </c>
      <c r="AC1994" s="585" t="s">
        <v>164</v>
      </c>
      <c r="AD1994" s="585">
        <v>28451.242105263158</v>
      </c>
      <c r="AE1994" s="587">
        <v>0.03</v>
      </c>
      <c r="AF1994" s="661" t="str">
        <f t="shared" si="220"/>
        <v>2019-LTK-FRD-F150-002-05</v>
      </c>
      <c r="AG1994" s="661" t="str">
        <f>IF(AND($Y1994&gt;=32,(AI1994="I"),(Y1994&lt;&gt;"~"),(COUNTIF($AN$1:$AN1994,$AN1994)=1)),"TRUE","FALSE")</f>
        <v>FALSE</v>
      </c>
      <c r="AH1994" s="661" t="str">
        <f>IF(AND($Y1994&gt;=22, (AI1994&lt;&gt;"I"),(Y1994&lt;&gt;"~"),(COUNTIF($AN$1:$AN1994,$AN1994)=1)),"TRUE","FALSE")</f>
        <v>FALSE</v>
      </c>
      <c r="AI1994" s="661" t="str">
        <f t="shared" si="215"/>
        <v>II</v>
      </c>
      <c r="AJ1994" s="662" t="str">
        <f t="shared" si="216"/>
        <v>F150-002</v>
      </c>
      <c r="AK1994" s="662" t="str">
        <f t="shared" si="217"/>
        <v>LTK</v>
      </c>
      <c r="AL1994" s="662" t="str">
        <f t="shared" si="218"/>
        <v>FRD</v>
      </c>
      <c r="AM1994" s="662" t="str">
        <f t="shared" si="214"/>
        <v>F150-Crew Cab XL-4WD-6-5'5"-5000-3.3L FFV-6-W1E-100A-145-26-E85-Unleaded</v>
      </c>
      <c r="AN1994" s="662" t="str">
        <f t="shared" si="219"/>
        <v>2019-LTK-FRD-F150-002</v>
      </c>
    </row>
    <row r="1995" spans="1:40" s="572" customFormat="1" ht="15">
      <c r="A1995" s="570" t="s">
        <v>3773</v>
      </c>
      <c r="B1995" s="573" t="s">
        <v>3774</v>
      </c>
      <c r="C1995" s="573" t="s">
        <v>269</v>
      </c>
      <c r="D1995" s="578" t="s">
        <v>270</v>
      </c>
      <c r="E1995" s="573" t="s">
        <v>3374</v>
      </c>
      <c r="F1995" s="573" t="s">
        <v>152</v>
      </c>
      <c r="G1995" s="573" t="s">
        <v>271</v>
      </c>
      <c r="H1995" s="573">
        <v>2019</v>
      </c>
      <c r="I1995" s="573" t="s">
        <v>3765</v>
      </c>
      <c r="J1995" s="573" t="s">
        <v>3766</v>
      </c>
      <c r="K1995" s="573" t="s">
        <v>752</v>
      </c>
      <c r="L1995" s="573">
        <v>6</v>
      </c>
      <c r="M1995" s="573">
        <v>0</v>
      </c>
      <c r="N1995" s="573" t="s">
        <v>157</v>
      </c>
      <c r="O1995" s="573">
        <v>2</v>
      </c>
      <c r="P1995" s="573" t="s">
        <v>3767</v>
      </c>
      <c r="Q1995" s="571">
        <v>5000</v>
      </c>
      <c r="R1995" s="573" t="s">
        <v>3775</v>
      </c>
      <c r="S1995" s="573">
        <v>6</v>
      </c>
      <c r="T1995" s="573" t="s">
        <v>3769</v>
      </c>
      <c r="U1995" s="573" t="s">
        <v>276</v>
      </c>
      <c r="V1995" s="573">
        <v>145</v>
      </c>
      <c r="W1995" s="573">
        <v>26</v>
      </c>
      <c r="X1995" s="571">
        <v>7000</v>
      </c>
      <c r="Y1995" s="573">
        <v>19</v>
      </c>
      <c r="Z1995" s="579" t="s">
        <v>178</v>
      </c>
      <c r="AA1995" s="579" t="s">
        <v>178</v>
      </c>
      <c r="AB1995" s="584">
        <v>42295</v>
      </c>
      <c r="AC1995" s="584" t="s">
        <v>164</v>
      </c>
      <c r="AD1995" s="584">
        <v>30780.715789473685</v>
      </c>
      <c r="AE1995" s="586">
        <v>0.03</v>
      </c>
      <c r="AF1995" s="661" t="str">
        <f t="shared" si="220"/>
        <v>2019-LTK-FRD-F150-003-05</v>
      </c>
      <c r="AG1995" s="661" t="str">
        <f>IF(AND($Y1995&gt;=32,(AI1995="I"),(Y1995&lt;&gt;"~"),(COUNTIF($AN$1:$AN1995,$AN1995)=1)),"TRUE","FALSE")</f>
        <v>FALSE</v>
      </c>
      <c r="AH1995" s="661" t="str">
        <f>IF(AND($Y1995&gt;=22, (AI1995&lt;&gt;"I"),(Y1995&lt;&gt;"~"),(COUNTIF($AN$1:$AN1995,$AN1995)=1)),"TRUE","FALSE")</f>
        <v>FALSE</v>
      </c>
      <c r="AI1995" s="661" t="str">
        <f t="shared" si="215"/>
        <v>II</v>
      </c>
      <c r="AJ1995" s="662" t="str">
        <f t="shared" si="216"/>
        <v>F150-003</v>
      </c>
      <c r="AK1995" s="662" t="str">
        <f t="shared" si="217"/>
        <v>LTK</v>
      </c>
      <c r="AL1995" s="662" t="str">
        <f t="shared" si="218"/>
        <v>FRD</v>
      </c>
      <c r="AM1995" s="662" t="str">
        <f t="shared" si="214"/>
        <v>F150-Crew Cab XL-4WD-6-5'5"-5000-3.5L Eco Boost-6-W1E-100A-145-26-Unleaded-Unleaded</v>
      </c>
      <c r="AN1995" s="662" t="str">
        <f t="shared" si="219"/>
        <v>2019-LTK-FRD-F150-003</v>
      </c>
    </row>
    <row r="1996" spans="1:40" s="572" customFormat="1" ht="15">
      <c r="A1996" s="570" t="s">
        <v>3776</v>
      </c>
      <c r="B1996" s="569" t="s">
        <v>3777</v>
      </c>
      <c r="C1996" s="569" t="s">
        <v>269</v>
      </c>
      <c r="D1996" s="580" t="s">
        <v>270</v>
      </c>
      <c r="E1996" s="569" t="s">
        <v>3374</v>
      </c>
      <c r="F1996" s="569" t="s">
        <v>152</v>
      </c>
      <c r="G1996" s="569" t="s">
        <v>271</v>
      </c>
      <c r="H1996" s="569">
        <v>2019</v>
      </c>
      <c r="I1996" s="569" t="s">
        <v>3765</v>
      </c>
      <c r="J1996" s="569" t="s">
        <v>3766</v>
      </c>
      <c r="K1996" s="569" t="s">
        <v>752</v>
      </c>
      <c r="L1996" s="569">
        <v>6</v>
      </c>
      <c r="M1996" s="569">
        <v>0</v>
      </c>
      <c r="N1996" s="569" t="s">
        <v>157</v>
      </c>
      <c r="O1996" s="569">
        <v>2</v>
      </c>
      <c r="P1996" s="569" t="s">
        <v>3767</v>
      </c>
      <c r="Q1996" s="568">
        <v>5000</v>
      </c>
      <c r="R1996" s="569" t="s">
        <v>3778</v>
      </c>
      <c r="S1996" s="569">
        <v>6</v>
      </c>
      <c r="T1996" s="569" t="s">
        <v>3769</v>
      </c>
      <c r="U1996" s="569" t="s">
        <v>276</v>
      </c>
      <c r="V1996" s="569">
        <v>145</v>
      </c>
      <c r="W1996" s="569">
        <v>26</v>
      </c>
      <c r="X1996" s="568">
        <v>7000</v>
      </c>
      <c r="Y1996" s="569">
        <v>18</v>
      </c>
      <c r="Z1996" s="581" t="s">
        <v>450</v>
      </c>
      <c r="AA1996" s="581" t="s">
        <v>178</v>
      </c>
      <c r="AB1996" s="585">
        <v>41695</v>
      </c>
      <c r="AC1996" s="585" t="s">
        <v>164</v>
      </c>
      <c r="AD1996" s="585">
        <v>30241.768421052635</v>
      </c>
      <c r="AE1996" s="587">
        <v>0.03</v>
      </c>
      <c r="AF1996" s="661" t="str">
        <f t="shared" si="220"/>
        <v>2019-LTK-FRD-F150-004-05</v>
      </c>
      <c r="AG1996" s="661" t="str">
        <f>IF(AND($Y1996&gt;=32,(AI1996="I"),(Y1996&lt;&gt;"~"),(COUNTIF($AN$1:$AN1996,$AN1996)=1)),"TRUE","FALSE")</f>
        <v>FALSE</v>
      </c>
      <c r="AH1996" s="661" t="str">
        <f>IF(AND($Y1996&gt;=22, (AI1996&lt;&gt;"I"),(Y1996&lt;&gt;"~"),(COUNTIF($AN$1:$AN1996,$AN1996)=1)),"TRUE","FALSE")</f>
        <v>FALSE</v>
      </c>
      <c r="AI1996" s="661" t="str">
        <f t="shared" si="215"/>
        <v>II</v>
      </c>
      <c r="AJ1996" s="662" t="str">
        <f t="shared" si="216"/>
        <v>F150-004</v>
      </c>
      <c r="AK1996" s="662" t="str">
        <f t="shared" si="217"/>
        <v>LTK</v>
      </c>
      <c r="AL1996" s="662" t="str">
        <f t="shared" si="218"/>
        <v>FRD</v>
      </c>
      <c r="AM1996" s="662" t="str">
        <f t="shared" si="214"/>
        <v>F150-Crew Cab XL-4WD-6-5'5"-5000-5.0L FFV-6-W1E-100A-145-26-E85-Unleaded</v>
      </c>
      <c r="AN1996" s="662" t="str">
        <f t="shared" si="219"/>
        <v>2019-LTK-FRD-F150-004</v>
      </c>
    </row>
    <row r="1997" spans="1:40" s="572" customFormat="1" ht="15">
      <c r="A1997" s="570" t="s">
        <v>3779</v>
      </c>
      <c r="B1997" s="573" t="s">
        <v>3780</v>
      </c>
      <c r="C1997" s="573" t="s">
        <v>269</v>
      </c>
      <c r="D1997" s="578" t="s">
        <v>270</v>
      </c>
      <c r="E1997" s="573" t="s">
        <v>3374</v>
      </c>
      <c r="F1997" s="573" t="s">
        <v>152</v>
      </c>
      <c r="G1997" s="573" t="s">
        <v>271</v>
      </c>
      <c r="H1997" s="573">
        <v>2019</v>
      </c>
      <c r="I1997" s="573" t="s">
        <v>3765</v>
      </c>
      <c r="J1997" s="573" t="s">
        <v>3766</v>
      </c>
      <c r="K1997" s="573" t="s">
        <v>752</v>
      </c>
      <c r="L1997" s="573">
        <v>6</v>
      </c>
      <c r="M1997" s="573">
        <v>0</v>
      </c>
      <c r="N1997" s="573" t="s">
        <v>157</v>
      </c>
      <c r="O1997" s="573">
        <v>2</v>
      </c>
      <c r="P1997" s="573" t="s">
        <v>3781</v>
      </c>
      <c r="Q1997" s="571">
        <v>7000</v>
      </c>
      <c r="R1997" s="573" t="s">
        <v>3775</v>
      </c>
      <c r="S1997" s="573">
        <v>6</v>
      </c>
      <c r="T1997" s="573" t="s">
        <v>3769</v>
      </c>
      <c r="U1997" s="573" t="s">
        <v>276</v>
      </c>
      <c r="V1997" s="573">
        <v>157</v>
      </c>
      <c r="W1997" s="573">
        <v>26</v>
      </c>
      <c r="X1997" s="571">
        <v>7050</v>
      </c>
      <c r="Y1997" s="573">
        <v>19</v>
      </c>
      <c r="Z1997" s="579" t="s">
        <v>178</v>
      </c>
      <c r="AA1997" s="579" t="s">
        <v>178</v>
      </c>
      <c r="AB1997" s="584">
        <v>42555</v>
      </c>
      <c r="AC1997" s="584" t="s">
        <v>164</v>
      </c>
      <c r="AD1997" s="584">
        <v>31083.873684210528</v>
      </c>
      <c r="AE1997" s="586">
        <v>0.03</v>
      </c>
      <c r="AF1997" s="661" t="str">
        <f t="shared" si="220"/>
        <v>2019-LTK-FRD-F150-006-05</v>
      </c>
      <c r="AG1997" s="661" t="str">
        <f>IF(AND($Y1997&gt;=32,(AI1997="I"),(Y1997&lt;&gt;"~"),(COUNTIF($AN$1:$AN1997,$AN1997)=1)),"TRUE","FALSE")</f>
        <v>FALSE</v>
      </c>
      <c r="AH1997" s="661" t="str">
        <f>IF(AND($Y1997&gt;=22, (AI1997&lt;&gt;"I"),(Y1997&lt;&gt;"~"),(COUNTIF($AN$1:$AN1997,$AN1997)=1)),"TRUE","FALSE")</f>
        <v>FALSE</v>
      </c>
      <c r="AI1997" s="661" t="str">
        <f t="shared" si="215"/>
        <v>II</v>
      </c>
      <c r="AJ1997" s="662" t="str">
        <f t="shared" si="216"/>
        <v>F150-006</v>
      </c>
      <c r="AK1997" s="662" t="str">
        <f t="shared" si="217"/>
        <v>LTK</v>
      </c>
      <c r="AL1997" s="662" t="str">
        <f t="shared" si="218"/>
        <v>FRD</v>
      </c>
      <c r="AM1997" s="662" t="str">
        <f t="shared" si="214"/>
        <v>F150-Crew Cab XL-4WD-6-6'5"-7000-3.5L Eco Boost-6-W1E-100A-157-26-Unleaded-Unleaded</v>
      </c>
      <c r="AN1997" s="662" t="str">
        <f t="shared" si="219"/>
        <v>2019-LTK-FRD-F150-006</v>
      </c>
    </row>
    <row r="1998" spans="1:40" s="572" customFormat="1" ht="15">
      <c r="A1998" s="570" t="s">
        <v>3782</v>
      </c>
      <c r="B1998" s="569" t="s">
        <v>3783</v>
      </c>
      <c r="C1998" s="569" t="s">
        <v>269</v>
      </c>
      <c r="D1998" s="580" t="s">
        <v>270</v>
      </c>
      <c r="E1998" s="569" t="s">
        <v>3374</v>
      </c>
      <c r="F1998" s="569" t="s">
        <v>152</v>
      </c>
      <c r="G1998" s="569" t="s">
        <v>271</v>
      </c>
      <c r="H1998" s="569">
        <v>2019</v>
      </c>
      <c r="I1998" s="569" t="s">
        <v>3765</v>
      </c>
      <c r="J1998" s="569" t="s">
        <v>3766</v>
      </c>
      <c r="K1998" s="569" t="s">
        <v>752</v>
      </c>
      <c r="L1998" s="569">
        <v>6</v>
      </c>
      <c r="M1998" s="569">
        <v>0</v>
      </c>
      <c r="N1998" s="569" t="s">
        <v>157</v>
      </c>
      <c r="O1998" s="569">
        <v>2</v>
      </c>
      <c r="P1998" s="569" t="s">
        <v>3781</v>
      </c>
      <c r="Q1998" s="568">
        <v>7000</v>
      </c>
      <c r="R1998" s="569" t="s">
        <v>3778</v>
      </c>
      <c r="S1998" s="569">
        <v>6</v>
      </c>
      <c r="T1998" s="569" t="s">
        <v>3769</v>
      </c>
      <c r="U1998" s="569" t="s">
        <v>276</v>
      </c>
      <c r="V1998" s="569">
        <v>157</v>
      </c>
      <c r="W1998" s="569">
        <v>26</v>
      </c>
      <c r="X1998" s="568">
        <v>7050</v>
      </c>
      <c r="Y1998" s="569">
        <v>18</v>
      </c>
      <c r="Z1998" s="581" t="s">
        <v>450</v>
      </c>
      <c r="AA1998" s="581" t="s">
        <v>178</v>
      </c>
      <c r="AB1998" s="585">
        <v>41955</v>
      </c>
      <c r="AC1998" s="585" t="s">
        <v>164</v>
      </c>
      <c r="AD1998" s="585">
        <v>30545.978947368421</v>
      </c>
      <c r="AE1998" s="587">
        <v>0.03</v>
      </c>
      <c r="AF1998" s="661" t="str">
        <f t="shared" si="220"/>
        <v>2019-LTK-FRD-F150-007-05</v>
      </c>
      <c r="AG1998" s="661" t="str">
        <f>IF(AND($Y1998&gt;=32,(AI1998="I"),(Y1998&lt;&gt;"~"),(COUNTIF($AN$1:$AN1998,$AN1998)=1)),"TRUE","FALSE")</f>
        <v>FALSE</v>
      </c>
      <c r="AH1998" s="661" t="str">
        <f>IF(AND($Y1998&gt;=22, (AI1998&lt;&gt;"I"),(Y1998&lt;&gt;"~"),(COUNTIF($AN$1:$AN1998,$AN1998)=1)),"TRUE","FALSE")</f>
        <v>FALSE</v>
      </c>
      <c r="AI1998" s="661" t="str">
        <f t="shared" si="215"/>
        <v>II</v>
      </c>
      <c r="AJ1998" s="662" t="str">
        <f t="shared" si="216"/>
        <v>F150-007</v>
      </c>
      <c r="AK1998" s="662" t="str">
        <f t="shared" si="217"/>
        <v>LTK</v>
      </c>
      <c r="AL1998" s="662" t="str">
        <f t="shared" si="218"/>
        <v>FRD</v>
      </c>
      <c r="AM1998" s="662" t="str">
        <f t="shared" si="214"/>
        <v>F150-Crew Cab XL-4WD-6-6'5"-7000-5.0L FFV-6-W1E-100A-157-26-E85-Unleaded</v>
      </c>
      <c r="AN1998" s="662" t="str">
        <f t="shared" si="219"/>
        <v>2019-LTK-FRD-F150-007</v>
      </c>
    </row>
    <row r="1999" spans="1:40" s="572" customFormat="1" ht="15">
      <c r="A1999" s="570" t="s">
        <v>3784</v>
      </c>
      <c r="B1999" s="573" t="s">
        <v>3764</v>
      </c>
      <c r="C1999" s="573" t="s">
        <v>278</v>
      </c>
      <c r="D1999" s="578">
        <v>15</v>
      </c>
      <c r="E1999" s="573" t="s">
        <v>3374</v>
      </c>
      <c r="F1999" s="573" t="s">
        <v>152</v>
      </c>
      <c r="G1999" s="573" t="s">
        <v>271</v>
      </c>
      <c r="H1999" s="573">
        <v>2019</v>
      </c>
      <c r="I1999" s="573" t="s">
        <v>3765</v>
      </c>
      <c r="J1999" s="573" t="s">
        <v>3766</v>
      </c>
      <c r="K1999" s="573" t="s">
        <v>752</v>
      </c>
      <c r="L1999" s="573">
        <v>6</v>
      </c>
      <c r="M1999" s="573">
        <v>0</v>
      </c>
      <c r="N1999" s="573" t="s">
        <v>157</v>
      </c>
      <c r="O1999" s="573">
        <v>2</v>
      </c>
      <c r="P1999" s="573" t="s">
        <v>3767</v>
      </c>
      <c r="Q1999" s="571">
        <v>5000</v>
      </c>
      <c r="R1999" s="573" t="s">
        <v>3768</v>
      </c>
      <c r="S1999" s="573">
        <v>6</v>
      </c>
      <c r="T1999" s="573" t="s">
        <v>3769</v>
      </c>
      <c r="U1999" s="573" t="s">
        <v>276</v>
      </c>
      <c r="V1999" s="573">
        <v>145</v>
      </c>
      <c r="W1999" s="573">
        <v>26</v>
      </c>
      <c r="X1999" s="571">
        <v>6500</v>
      </c>
      <c r="Y1999" s="573">
        <v>24</v>
      </c>
      <c r="Z1999" s="579" t="s">
        <v>178</v>
      </c>
      <c r="AA1999" s="579" t="s">
        <v>178</v>
      </c>
      <c r="AB1999" s="584">
        <v>40695</v>
      </c>
      <c r="AC1999" s="584" t="s">
        <v>164</v>
      </c>
      <c r="AD1999" s="584">
        <v>29500</v>
      </c>
      <c r="AE1999" s="586">
        <v>0.01</v>
      </c>
      <c r="AF1999" s="661" t="str">
        <f t="shared" si="220"/>
        <v>2019-LTK-FRD-F150-001-15</v>
      </c>
      <c r="AG1999" s="661" t="str">
        <f>IF(AND($Y1999&gt;=32,(AI1999="I"),(Y1999&lt;&gt;"~"),(COUNTIF($AN$1:$AN1999,$AN1999)=1)),"TRUE","FALSE")</f>
        <v>FALSE</v>
      </c>
      <c r="AH1999" s="661" t="str">
        <f>IF(AND($Y1999&gt;=22, (AI1999&lt;&gt;"I"),(Y1999&lt;&gt;"~"),(COUNTIF($AN$1:$AN1999,$AN1999)=1)),"TRUE","FALSE")</f>
        <v>FALSE</v>
      </c>
      <c r="AI1999" s="661" t="str">
        <f t="shared" si="215"/>
        <v>II</v>
      </c>
      <c r="AJ1999" s="662" t="str">
        <f t="shared" si="216"/>
        <v>F150-001</v>
      </c>
      <c r="AK1999" s="662" t="str">
        <f t="shared" si="217"/>
        <v>LTK</v>
      </c>
      <c r="AL1999" s="662" t="str">
        <f t="shared" si="218"/>
        <v>FRD</v>
      </c>
      <c r="AM1999" s="662" t="str">
        <f t="shared" si="214"/>
        <v>F150-Crew Cab XL-4WD-6-5'5"-5000-2.7L EcoBoost -6-W1E-100A-145-26-Unleaded-Unleaded</v>
      </c>
      <c r="AN1999" s="662" t="str">
        <f t="shared" si="219"/>
        <v>2019-LTK-FRD-F150-001</v>
      </c>
    </row>
    <row r="2000" spans="1:40" s="572" customFormat="1" ht="15">
      <c r="A2000" s="570" t="s">
        <v>3785</v>
      </c>
      <c r="B2000" s="569" t="s">
        <v>3771</v>
      </c>
      <c r="C2000" s="569" t="s">
        <v>278</v>
      </c>
      <c r="D2000" s="580">
        <v>15</v>
      </c>
      <c r="E2000" s="569" t="s">
        <v>3374</v>
      </c>
      <c r="F2000" s="569" t="s">
        <v>152</v>
      </c>
      <c r="G2000" s="569" t="s">
        <v>271</v>
      </c>
      <c r="H2000" s="569">
        <v>2019</v>
      </c>
      <c r="I2000" s="569" t="s">
        <v>3765</v>
      </c>
      <c r="J2000" s="569" t="s">
        <v>3766</v>
      </c>
      <c r="K2000" s="569" t="s">
        <v>752</v>
      </c>
      <c r="L2000" s="569">
        <v>6</v>
      </c>
      <c r="M2000" s="569">
        <v>0</v>
      </c>
      <c r="N2000" s="569" t="s">
        <v>157</v>
      </c>
      <c r="O2000" s="569">
        <v>2</v>
      </c>
      <c r="P2000" s="569" t="s">
        <v>3767</v>
      </c>
      <c r="Q2000" s="568">
        <v>5000</v>
      </c>
      <c r="R2000" s="569" t="s">
        <v>3772</v>
      </c>
      <c r="S2000" s="569">
        <v>6</v>
      </c>
      <c r="T2000" s="569" t="s">
        <v>3769</v>
      </c>
      <c r="U2000" s="569" t="s">
        <v>276</v>
      </c>
      <c r="V2000" s="569">
        <v>145</v>
      </c>
      <c r="W2000" s="569">
        <v>26</v>
      </c>
      <c r="X2000" s="568">
        <v>6500</v>
      </c>
      <c r="Y2000" s="569">
        <v>23</v>
      </c>
      <c r="Z2000" s="581" t="s">
        <v>450</v>
      </c>
      <c r="AA2000" s="581" t="s">
        <v>178</v>
      </c>
      <c r="AB2000" s="585">
        <v>39700</v>
      </c>
      <c r="AC2000" s="585" t="s">
        <v>164</v>
      </c>
      <c r="AD2000" s="585">
        <v>28550</v>
      </c>
      <c r="AE2000" s="587">
        <v>0.01</v>
      </c>
      <c r="AF2000" s="661" t="str">
        <f t="shared" si="220"/>
        <v>2019-LTK-FRD-F150-002-15</v>
      </c>
      <c r="AG2000" s="661" t="str">
        <f>IF(AND($Y2000&gt;=32,(AI2000="I"),(Y2000&lt;&gt;"~"),(COUNTIF($AN$1:$AN2000,$AN2000)=1)),"TRUE","FALSE")</f>
        <v>FALSE</v>
      </c>
      <c r="AH2000" s="661" t="str">
        <f>IF(AND($Y2000&gt;=22, (AI2000&lt;&gt;"I"),(Y2000&lt;&gt;"~"),(COUNTIF($AN$1:$AN2000,$AN2000)=1)),"TRUE","FALSE")</f>
        <v>FALSE</v>
      </c>
      <c r="AI2000" s="661" t="str">
        <f t="shared" si="215"/>
        <v>II</v>
      </c>
      <c r="AJ2000" s="662" t="str">
        <f t="shared" si="216"/>
        <v>F150-002</v>
      </c>
      <c r="AK2000" s="662" t="str">
        <f t="shared" si="217"/>
        <v>LTK</v>
      </c>
      <c r="AL2000" s="662" t="str">
        <f t="shared" si="218"/>
        <v>FRD</v>
      </c>
      <c r="AM2000" s="662" t="str">
        <f t="shared" si="214"/>
        <v>F150-Crew Cab XL-4WD-6-5'5"-5000-3.3L FFV-6-W1E-100A-145-26-E85-Unleaded</v>
      </c>
      <c r="AN2000" s="662" t="str">
        <f t="shared" si="219"/>
        <v>2019-LTK-FRD-F150-002</v>
      </c>
    </row>
    <row r="2001" spans="1:40" s="572" customFormat="1" ht="15">
      <c r="A2001" s="570" t="s">
        <v>3786</v>
      </c>
      <c r="B2001" s="573" t="s">
        <v>3774</v>
      </c>
      <c r="C2001" s="573" t="s">
        <v>278</v>
      </c>
      <c r="D2001" s="578">
        <v>15</v>
      </c>
      <c r="E2001" s="573" t="s">
        <v>3374</v>
      </c>
      <c r="F2001" s="573" t="s">
        <v>152</v>
      </c>
      <c r="G2001" s="573" t="s">
        <v>271</v>
      </c>
      <c r="H2001" s="573">
        <v>2019</v>
      </c>
      <c r="I2001" s="573" t="s">
        <v>3765</v>
      </c>
      <c r="J2001" s="573" t="s">
        <v>3766</v>
      </c>
      <c r="K2001" s="573" t="s">
        <v>752</v>
      </c>
      <c r="L2001" s="573">
        <v>6</v>
      </c>
      <c r="M2001" s="573">
        <v>0</v>
      </c>
      <c r="N2001" s="573" t="s">
        <v>157</v>
      </c>
      <c r="O2001" s="573">
        <v>2</v>
      </c>
      <c r="P2001" s="573" t="s">
        <v>3767</v>
      </c>
      <c r="Q2001" s="571">
        <v>5000</v>
      </c>
      <c r="R2001" s="573" t="s">
        <v>3775</v>
      </c>
      <c r="S2001" s="573">
        <v>6</v>
      </c>
      <c r="T2001" s="573" t="s">
        <v>3769</v>
      </c>
      <c r="U2001" s="573" t="s">
        <v>276</v>
      </c>
      <c r="V2001" s="573">
        <v>145</v>
      </c>
      <c r="W2001" s="573">
        <v>26</v>
      </c>
      <c r="X2001" s="571">
        <v>6750</v>
      </c>
      <c r="Y2001" s="573">
        <v>24</v>
      </c>
      <c r="Z2001" s="579" t="s">
        <v>178</v>
      </c>
      <c r="AA2001" s="579" t="s">
        <v>178</v>
      </c>
      <c r="AB2001" s="584">
        <v>42295</v>
      </c>
      <c r="AC2001" s="584" t="s">
        <v>164</v>
      </c>
      <c r="AD2001" s="584">
        <v>30900</v>
      </c>
      <c r="AE2001" s="586">
        <v>0.01</v>
      </c>
      <c r="AF2001" s="661" t="str">
        <f t="shared" si="220"/>
        <v>2019-LTK-FRD-F150-003-15</v>
      </c>
      <c r="AG2001" s="661" t="str">
        <f>IF(AND($Y2001&gt;=32,(AI2001="I"),(Y2001&lt;&gt;"~"),(COUNTIF($AN$1:$AN2001,$AN2001)=1)),"TRUE","FALSE")</f>
        <v>FALSE</v>
      </c>
      <c r="AH2001" s="661" t="str">
        <f>IF(AND($Y2001&gt;=22, (AI2001&lt;&gt;"I"),(Y2001&lt;&gt;"~"),(COUNTIF($AN$1:$AN2001,$AN2001)=1)),"TRUE","FALSE")</f>
        <v>FALSE</v>
      </c>
      <c r="AI2001" s="661" t="str">
        <f t="shared" si="215"/>
        <v>II</v>
      </c>
      <c r="AJ2001" s="662" t="str">
        <f t="shared" si="216"/>
        <v>F150-003</v>
      </c>
      <c r="AK2001" s="662" t="str">
        <f t="shared" si="217"/>
        <v>LTK</v>
      </c>
      <c r="AL2001" s="662" t="str">
        <f t="shared" si="218"/>
        <v>FRD</v>
      </c>
      <c r="AM2001" s="662" t="str">
        <f t="shared" si="214"/>
        <v>F150-Crew Cab XL-4WD-6-5'5"-5000-3.5L Eco Boost-6-W1E-100A-145-26-Unleaded-Unleaded</v>
      </c>
      <c r="AN2001" s="662" t="str">
        <f t="shared" si="219"/>
        <v>2019-LTK-FRD-F150-003</v>
      </c>
    </row>
    <row r="2002" spans="1:40" s="572" customFormat="1" ht="15">
      <c r="A2002" s="570" t="s">
        <v>3787</v>
      </c>
      <c r="B2002" s="569" t="s">
        <v>3777</v>
      </c>
      <c r="C2002" s="569" t="s">
        <v>278</v>
      </c>
      <c r="D2002" s="580">
        <v>15</v>
      </c>
      <c r="E2002" s="569" t="s">
        <v>3374</v>
      </c>
      <c r="F2002" s="569" t="s">
        <v>152</v>
      </c>
      <c r="G2002" s="569" t="s">
        <v>271</v>
      </c>
      <c r="H2002" s="569">
        <v>2019</v>
      </c>
      <c r="I2002" s="569" t="s">
        <v>3765</v>
      </c>
      <c r="J2002" s="569" t="s">
        <v>3766</v>
      </c>
      <c r="K2002" s="569" t="s">
        <v>752</v>
      </c>
      <c r="L2002" s="569">
        <v>6</v>
      </c>
      <c r="M2002" s="569">
        <v>0</v>
      </c>
      <c r="N2002" s="569" t="s">
        <v>157</v>
      </c>
      <c r="O2002" s="569">
        <v>2</v>
      </c>
      <c r="P2002" s="569" t="s">
        <v>3767</v>
      </c>
      <c r="Q2002" s="568">
        <v>5000</v>
      </c>
      <c r="R2002" s="569" t="s">
        <v>3778</v>
      </c>
      <c r="S2002" s="569">
        <v>6</v>
      </c>
      <c r="T2002" s="569" t="s">
        <v>3769</v>
      </c>
      <c r="U2002" s="569" t="s">
        <v>276</v>
      </c>
      <c r="V2002" s="569">
        <v>145</v>
      </c>
      <c r="W2002" s="569">
        <v>26</v>
      </c>
      <c r="X2002" s="568">
        <v>6800</v>
      </c>
      <c r="Y2002" s="569">
        <v>23</v>
      </c>
      <c r="Z2002" s="581" t="s">
        <v>450</v>
      </c>
      <c r="AA2002" s="581" t="s">
        <v>178</v>
      </c>
      <c r="AB2002" s="585">
        <v>41695</v>
      </c>
      <c r="AC2002" s="585" t="s">
        <v>164</v>
      </c>
      <c r="AD2002" s="585">
        <v>30350</v>
      </c>
      <c r="AE2002" s="587">
        <v>0.01</v>
      </c>
      <c r="AF2002" s="661" t="str">
        <f t="shared" si="220"/>
        <v>2019-LTK-FRD-F150-004-15</v>
      </c>
      <c r="AG2002" s="661" t="str">
        <f>IF(AND($Y2002&gt;=32,(AI2002="I"),(Y2002&lt;&gt;"~"),(COUNTIF($AN$1:$AN2002,$AN2002)=1)),"TRUE","FALSE")</f>
        <v>FALSE</v>
      </c>
      <c r="AH2002" s="661" t="str">
        <f>IF(AND($Y2002&gt;=22, (AI2002&lt;&gt;"I"),(Y2002&lt;&gt;"~"),(COUNTIF($AN$1:$AN2002,$AN2002)=1)),"TRUE","FALSE")</f>
        <v>FALSE</v>
      </c>
      <c r="AI2002" s="661" t="str">
        <f t="shared" si="215"/>
        <v>II</v>
      </c>
      <c r="AJ2002" s="662" t="str">
        <f t="shared" si="216"/>
        <v>F150-004</v>
      </c>
      <c r="AK2002" s="662" t="str">
        <f t="shared" si="217"/>
        <v>LTK</v>
      </c>
      <c r="AL2002" s="662" t="str">
        <f t="shared" si="218"/>
        <v>FRD</v>
      </c>
      <c r="AM2002" s="662" t="str">
        <f t="shared" si="214"/>
        <v>F150-Crew Cab XL-4WD-6-5'5"-5000-5.0L FFV-6-W1E-100A-145-26-E85-Unleaded</v>
      </c>
      <c r="AN2002" s="662" t="str">
        <f t="shared" si="219"/>
        <v>2019-LTK-FRD-F150-004</v>
      </c>
    </row>
    <row r="2003" spans="1:40" s="572" customFormat="1" ht="15">
      <c r="A2003" s="570" t="s">
        <v>3788</v>
      </c>
      <c r="B2003" s="573" t="s">
        <v>3780</v>
      </c>
      <c r="C2003" s="573" t="s">
        <v>278</v>
      </c>
      <c r="D2003" s="578">
        <v>15</v>
      </c>
      <c r="E2003" s="573" t="s">
        <v>3374</v>
      </c>
      <c r="F2003" s="573" t="s">
        <v>152</v>
      </c>
      <c r="G2003" s="573" t="s">
        <v>271</v>
      </c>
      <c r="H2003" s="573">
        <v>2019</v>
      </c>
      <c r="I2003" s="573" t="s">
        <v>3765</v>
      </c>
      <c r="J2003" s="573" t="s">
        <v>3766</v>
      </c>
      <c r="K2003" s="573" t="s">
        <v>752</v>
      </c>
      <c r="L2003" s="573">
        <v>6</v>
      </c>
      <c r="M2003" s="573">
        <v>0</v>
      </c>
      <c r="N2003" s="573" t="s">
        <v>157</v>
      </c>
      <c r="O2003" s="573">
        <v>2</v>
      </c>
      <c r="P2003" s="573" t="s">
        <v>3781</v>
      </c>
      <c r="Q2003" s="571">
        <v>7000</v>
      </c>
      <c r="R2003" s="573" t="s">
        <v>3775</v>
      </c>
      <c r="S2003" s="573">
        <v>6</v>
      </c>
      <c r="T2003" s="573" t="s">
        <v>3769</v>
      </c>
      <c r="U2003" s="573" t="s">
        <v>276</v>
      </c>
      <c r="V2003" s="573">
        <v>157</v>
      </c>
      <c r="W2003" s="573">
        <v>26</v>
      </c>
      <c r="X2003" s="571">
        <v>7050</v>
      </c>
      <c r="Y2003" s="573">
        <v>26</v>
      </c>
      <c r="Z2003" s="579" t="s">
        <v>178</v>
      </c>
      <c r="AA2003" s="579" t="s">
        <v>178</v>
      </c>
      <c r="AB2003" s="584">
        <v>42555</v>
      </c>
      <c r="AC2003" s="584" t="s">
        <v>164</v>
      </c>
      <c r="AD2003" s="584">
        <v>31200</v>
      </c>
      <c r="AE2003" s="586">
        <v>0.01</v>
      </c>
      <c r="AF2003" s="661" t="str">
        <f t="shared" si="220"/>
        <v>2019-LTK-FRD-F150-006-15</v>
      </c>
      <c r="AG2003" s="661" t="str">
        <f>IF(AND($Y2003&gt;=32,(AI2003="I"),(Y2003&lt;&gt;"~"),(COUNTIF($AN$1:$AN2003,$AN2003)=1)),"TRUE","FALSE")</f>
        <v>FALSE</v>
      </c>
      <c r="AH2003" s="661" t="str">
        <f>IF(AND($Y2003&gt;=22, (AI2003&lt;&gt;"I"),(Y2003&lt;&gt;"~"),(COUNTIF($AN$1:$AN2003,$AN2003)=1)),"TRUE","FALSE")</f>
        <v>FALSE</v>
      </c>
      <c r="AI2003" s="661" t="str">
        <f t="shared" si="215"/>
        <v>II</v>
      </c>
      <c r="AJ2003" s="662" t="str">
        <f t="shared" si="216"/>
        <v>F150-006</v>
      </c>
      <c r="AK2003" s="662" t="str">
        <f t="shared" si="217"/>
        <v>LTK</v>
      </c>
      <c r="AL2003" s="662" t="str">
        <f t="shared" si="218"/>
        <v>FRD</v>
      </c>
      <c r="AM2003" s="662" t="str">
        <f t="shared" si="214"/>
        <v>F150-Crew Cab XL-4WD-6-6'5"-7000-3.5L Eco Boost-6-W1E-100A-157-26-Unleaded-Unleaded</v>
      </c>
      <c r="AN2003" s="662" t="str">
        <f t="shared" si="219"/>
        <v>2019-LTK-FRD-F150-006</v>
      </c>
    </row>
    <row r="2004" spans="1:40" s="572" customFormat="1" ht="15">
      <c r="A2004" s="570" t="s">
        <v>3789</v>
      </c>
      <c r="B2004" s="569" t="s">
        <v>3783</v>
      </c>
      <c r="C2004" s="569" t="s">
        <v>278</v>
      </c>
      <c r="D2004" s="580">
        <v>15</v>
      </c>
      <c r="E2004" s="569" t="s">
        <v>3374</v>
      </c>
      <c r="F2004" s="569" t="s">
        <v>152</v>
      </c>
      <c r="G2004" s="569" t="s">
        <v>271</v>
      </c>
      <c r="H2004" s="569">
        <v>2019</v>
      </c>
      <c r="I2004" s="569" t="s">
        <v>3765</v>
      </c>
      <c r="J2004" s="569" t="s">
        <v>3766</v>
      </c>
      <c r="K2004" s="569" t="s">
        <v>752</v>
      </c>
      <c r="L2004" s="569">
        <v>6</v>
      </c>
      <c r="M2004" s="569">
        <v>0</v>
      </c>
      <c r="N2004" s="569" t="s">
        <v>157</v>
      </c>
      <c r="O2004" s="569">
        <v>2</v>
      </c>
      <c r="P2004" s="569" t="s">
        <v>3781</v>
      </c>
      <c r="Q2004" s="568">
        <v>7000</v>
      </c>
      <c r="R2004" s="569" t="s">
        <v>3778</v>
      </c>
      <c r="S2004" s="569">
        <v>6</v>
      </c>
      <c r="T2004" s="569" t="s">
        <v>3769</v>
      </c>
      <c r="U2004" s="569" t="s">
        <v>276</v>
      </c>
      <c r="V2004" s="569">
        <v>157</v>
      </c>
      <c r="W2004" s="569">
        <v>26</v>
      </c>
      <c r="X2004" s="568">
        <v>7050</v>
      </c>
      <c r="Y2004" s="569">
        <v>26</v>
      </c>
      <c r="Z2004" s="581" t="s">
        <v>450</v>
      </c>
      <c r="AA2004" s="581" t="s">
        <v>178</v>
      </c>
      <c r="AB2004" s="585">
        <v>41955</v>
      </c>
      <c r="AC2004" s="585" t="s">
        <v>164</v>
      </c>
      <c r="AD2004" s="585">
        <v>30650</v>
      </c>
      <c r="AE2004" s="587">
        <v>0.01</v>
      </c>
      <c r="AF2004" s="661" t="str">
        <f t="shared" si="220"/>
        <v>2019-LTK-FRD-F150-007-15</v>
      </c>
      <c r="AG2004" s="661" t="str">
        <f>IF(AND($Y2004&gt;=32,(AI2004="I"),(Y2004&lt;&gt;"~"),(COUNTIF($AN$1:$AN2004,$AN2004)=1)),"TRUE","FALSE")</f>
        <v>FALSE</v>
      </c>
      <c r="AH2004" s="661" t="str">
        <f>IF(AND($Y2004&gt;=22, (AI2004&lt;&gt;"I"),(Y2004&lt;&gt;"~"),(COUNTIF($AN$1:$AN2004,$AN2004)=1)),"TRUE","FALSE")</f>
        <v>FALSE</v>
      </c>
      <c r="AI2004" s="661" t="str">
        <f t="shared" si="215"/>
        <v>II</v>
      </c>
      <c r="AJ2004" s="662" t="str">
        <f t="shared" si="216"/>
        <v>F150-007</v>
      </c>
      <c r="AK2004" s="662" t="str">
        <f t="shared" si="217"/>
        <v>LTK</v>
      </c>
      <c r="AL2004" s="662" t="str">
        <f t="shared" si="218"/>
        <v>FRD</v>
      </c>
      <c r="AM2004" s="662" t="str">
        <f t="shared" si="214"/>
        <v>F150-Crew Cab XL-4WD-6-6'5"-7000-5.0L FFV-6-W1E-100A-157-26-E85-Unleaded</v>
      </c>
      <c r="AN2004" s="662" t="str">
        <f t="shared" si="219"/>
        <v>2019-LTK-FRD-F150-007</v>
      </c>
    </row>
    <row r="2005" spans="1:40" s="572" customFormat="1" ht="15">
      <c r="A2005" s="570" t="s">
        <v>3790</v>
      </c>
      <c r="B2005" s="573" t="s">
        <v>3764</v>
      </c>
      <c r="C2005" s="573" t="s">
        <v>287</v>
      </c>
      <c r="D2005" s="578">
        <v>26</v>
      </c>
      <c r="E2005" s="573" t="s">
        <v>3374</v>
      </c>
      <c r="F2005" s="573" t="s">
        <v>152</v>
      </c>
      <c r="G2005" s="573" t="s">
        <v>271</v>
      </c>
      <c r="H2005" s="573">
        <v>2019</v>
      </c>
      <c r="I2005" s="573" t="s">
        <v>3765</v>
      </c>
      <c r="J2005" s="573" t="s">
        <v>3766</v>
      </c>
      <c r="K2005" s="573" t="s">
        <v>752</v>
      </c>
      <c r="L2005" s="573">
        <v>6</v>
      </c>
      <c r="M2005" s="573">
        <v>0</v>
      </c>
      <c r="N2005" s="573" t="s">
        <v>157</v>
      </c>
      <c r="O2005" s="573">
        <v>2</v>
      </c>
      <c r="P2005" s="573" t="s">
        <v>3767</v>
      </c>
      <c r="Q2005" s="571">
        <v>5000</v>
      </c>
      <c r="R2005" s="573" t="s">
        <v>3768</v>
      </c>
      <c r="S2005" s="573">
        <v>6</v>
      </c>
      <c r="T2005" s="573" t="s">
        <v>3769</v>
      </c>
      <c r="U2005" s="573" t="s">
        <v>276</v>
      </c>
      <c r="V2005" s="573">
        <v>145</v>
      </c>
      <c r="W2005" s="573">
        <v>26</v>
      </c>
      <c r="X2005" s="571">
        <v>6500</v>
      </c>
      <c r="Y2005" s="573">
        <v>24</v>
      </c>
      <c r="Z2005" s="579" t="s">
        <v>178</v>
      </c>
      <c r="AA2005" s="579" t="s">
        <v>178</v>
      </c>
      <c r="AB2005" s="584">
        <v>40695</v>
      </c>
      <c r="AC2005" s="584" t="s">
        <v>164</v>
      </c>
      <c r="AD2005" s="584">
        <v>29875</v>
      </c>
      <c r="AE2005" s="586">
        <v>0.05</v>
      </c>
      <c r="AF2005" s="661" t="str">
        <f t="shared" si="220"/>
        <v>2019-LTK-FRD-F150-001-26</v>
      </c>
      <c r="AG2005" s="661" t="str">
        <f>IF(AND($Y2005&gt;=32,(AI2005="I"),(Y2005&lt;&gt;"~"),(COUNTIF($AN$1:$AN2005,$AN2005)=1)),"TRUE","FALSE")</f>
        <v>FALSE</v>
      </c>
      <c r="AH2005" s="661" t="str">
        <f>IF(AND($Y2005&gt;=22, (AI2005&lt;&gt;"I"),(Y2005&lt;&gt;"~"),(COUNTIF($AN$1:$AN2005,$AN2005)=1)),"TRUE","FALSE")</f>
        <v>FALSE</v>
      </c>
      <c r="AI2005" s="661" t="str">
        <f t="shared" si="215"/>
        <v>II</v>
      </c>
      <c r="AJ2005" s="662" t="str">
        <f t="shared" si="216"/>
        <v>F150-001</v>
      </c>
      <c r="AK2005" s="662" t="str">
        <f t="shared" si="217"/>
        <v>LTK</v>
      </c>
      <c r="AL2005" s="662" t="str">
        <f t="shared" si="218"/>
        <v>FRD</v>
      </c>
      <c r="AM2005" s="662" t="str">
        <f t="shared" si="214"/>
        <v>F150-Crew Cab XL-4WD-6-5'5"-5000-2.7L EcoBoost -6-W1E-100A-145-26-Unleaded-Unleaded</v>
      </c>
      <c r="AN2005" s="662" t="str">
        <f t="shared" si="219"/>
        <v>2019-LTK-FRD-F150-001</v>
      </c>
    </row>
    <row r="2006" spans="1:40" s="572" customFormat="1" ht="15">
      <c r="A2006" s="570" t="s">
        <v>3791</v>
      </c>
      <c r="B2006" s="569" t="s">
        <v>3774</v>
      </c>
      <c r="C2006" s="569" t="s">
        <v>287</v>
      </c>
      <c r="D2006" s="580">
        <v>26</v>
      </c>
      <c r="E2006" s="569" t="s">
        <v>3374</v>
      </c>
      <c r="F2006" s="569" t="s">
        <v>152</v>
      </c>
      <c r="G2006" s="569" t="s">
        <v>271</v>
      </c>
      <c r="H2006" s="569">
        <v>2019</v>
      </c>
      <c r="I2006" s="569" t="s">
        <v>3765</v>
      </c>
      <c r="J2006" s="569" t="s">
        <v>3766</v>
      </c>
      <c r="K2006" s="569" t="s">
        <v>752</v>
      </c>
      <c r="L2006" s="569">
        <v>6</v>
      </c>
      <c r="M2006" s="569">
        <v>0</v>
      </c>
      <c r="N2006" s="569" t="s">
        <v>157</v>
      </c>
      <c r="O2006" s="569">
        <v>2</v>
      </c>
      <c r="P2006" s="569" t="s">
        <v>3767</v>
      </c>
      <c r="Q2006" s="568">
        <v>5000</v>
      </c>
      <c r="R2006" s="569" t="s">
        <v>3775</v>
      </c>
      <c r="S2006" s="569">
        <v>6</v>
      </c>
      <c r="T2006" s="569" t="s">
        <v>3769</v>
      </c>
      <c r="U2006" s="569" t="s">
        <v>276</v>
      </c>
      <c r="V2006" s="569">
        <v>145</v>
      </c>
      <c r="W2006" s="569">
        <v>26</v>
      </c>
      <c r="X2006" s="568">
        <v>6750</v>
      </c>
      <c r="Y2006" s="569">
        <v>24</v>
      </c>
      <c r="Z2006" s="581" t="s">
        <v>178</v>
      </c>
      <c r="AA2006" s="581" t="s">
        <v>178</v>
      </c>
      <c r="AB2006" s="585">
        <v>42295</v>
      </c>
      <c r="AC2006" s="585" t="s">
        <v>164</v>
      </c>
      <c r="AD2006" s="585">
        <v>31330</v>
      </c>
      <c r="AE2006" s="587">
        <v>0.05</v>
      </c>
      <c r="AF2006" s="661" t="str">
        <f t="shared" si="220"/>
        <v>2019-LTK-FRD-F150-003-26</v>
      </c>
      <c r="AG2006" s="661" t="str">
        <f>IF(AND($Y2006&gt;=32,(AI2006="I"),(Y2006&lt;&gt;"~"),(COUNTIF($AN$1:$AN2006,$AN2006)=1)),"TRUE","FALSE")</f>
        <v>FALSE</v>
      </c>
      <c r="AH2006" s="661" t="str">
        <f>IF(AND($Y2006&gt;=22, (AI2006&lt;&gt;"I"),(Y2006&lt;&gt;"~"),(COUNTIF($AN$1:$AN2006,$AN2006)=1)),"TRUE","FALSE")</f>
        <v>FALSE</v>
      </c>
      <c r="AI2006" s="661" t="str">
        <f t="shared" si="215"/>
        <v>II</v>
      </c>
      <c r="AJ2006" s="662" t="str">
        <f t="shared" si="216"/>
        <v>F150-003</v>
      </c>
      <c r="AK2006" s="662" t="str">
        <f t="shared" si="217"/>
        <v>LTK</v>
      </c>
      <c r="AL2006" s="662" t="str">
        <f t="shared" si="218"/>
        <v>FRD</v>
      </c>
      <c r="AM2006" s="662" t="str">
        <f t="shared" si="214"/>
        <v>F150-Crew Cab XL-4WD-6-5'5"-5000-3.5L Eco Boost-6-W1E-100A-145-26-Unleaded-Unleaded</v>
      </c>
      <c r="AN2006" s="662" t="str">
        <f t="shared" si="219"/>
        <v>2019-LTK-FRD-F150-003</v>
      </c>
    </row>
    <row r="2007" spans="1:40" s="572" customFormat="1" ht="15">
      <c r="A2007" s="570" t="s">
        <v>3792</v>
      </c>
      <c r="B2007" s="573" t="s">
        <v>3777</v>
      </c>
      <c r="C2007" s="573" t="s">
        <v>287</v>
      </c>
      <c r="D2007" s="578">
        <v>26</v>
      </c>
      <c r="E2007" s="573" t="s">
        <v>3374</v>
      </c>
      <c r="F2007" s="573" t="s">
        <v>152</v>
      </c>
      <c r="G2007" s="573" t="s">
        <v>271</v>
      </c>
      <c r="H2007" s="573">
        <v>2019</v>
      </c>
      <c r="I2007" s="573" t="s">
        <v>3765</v>
      </c>
      <c r="J2007" s="573" t="s">
        <v>3766</v>
      </c>
      <c r="K2007" s="573" t="s">
        <v>752</v>
      </c>
      <c r="L2007" s="573">
        <v>6</v>
      </c>
      <c r="M2007" s="573">
        <v>0</v>
      </c>
      <c r="N2007" s="573" t="s">
        <v>157</v>
      </c>
      <c r="O2007" s="573">
        <v>2</v>
      </c>
      <c r="P2007" s="573" t="s">
        <v>3767</v>
      </c>
      <c r="Q2007" s="571">
        <v>5000</v>
      </c>
      <c r="R2007" s="573" t="s">
        <v>3778</v>
      </c>
      <c r="S2007" s="573">
        <v>6</v>
      </c>
      <c r="T2007" s="573" t="s">
        <v>3769</v>
      </c>
      <c r="U2007" s="573" t="s">
        <v>276</v>
      </c>
      <c r="V2007" s="573">
        <v>145</v>
      </c>
      <c r="W2007" s="573">
        <v>26</v>
      </c>
      <c r="X2007" s="571">
        <v>6800</v>
      </c>
      <c r="Y2007" s="573">
        <v>23</v>
      </c>
      <c r="Z2007" s="579" t="s">
        <v>450</v>
      </c>
      <c r="AA2007" s="579" t="s">
        <v>178</v>
      </c>
      <c r="AB2007" s="584">
        <v>41695</v>
      </c>
      <c r="AC2007" s="584" t="s">
        <v>164</v>
      </c>
      <c r="AD2007" s="584">
        <v>30784</v>
      </c>
      <c r="AE2007" s="586">
        <v>0.05</v>
      </c>
      <c r="AF2007" s="661" t="str">
        <f t="shared" si="220"/>
        <v>2019-LTK-FRD-F150-004-26</v>
      </c>
      <c r="AG2007" s="661" t="str">
        <f>IF(AND($Y2007&gt;=32,(AI2007="I"),(Y2007&lt;&gt;"~"),(COUNTIF($AN$1:$AN2007,$AN2007)=1)),"TRUE","FALSE")</f>
        <v>FALSE</v>
      </c>
      <c r="AH2007" s="661" t="str">
        <f>IF(AND($Y2007&gt;=22, (AI2007&lt;&gt;"I"),(Y2007&lt;&gt;"~"),(COUNTIF($AN$1:$AN2007,$AN2007)=1)),"TRUE","FALSE")</f>
        <v>FALSE</v>
      </c>
      <c r="AI2007" s="661" t="str">
        <f t="shared" si="215"/>
        <v>II</v>
      </c>
      <c r="AJ2007" s="662" t="str">
        <f t="shared" si="216"/>
        <v>F150-004</v>
      </c>
      <c r="AK2007" s="662" t="str">
        <f t="shared" si="217"/>
        <v>LTK</v>
      </c>
      <c r="AL2007" s="662" t="str">
        <f t="shared" si="218"/>
        <v>FRD</v>
      </c>
      <c r="AM2007" s="662" t="str">
        <f t="shared" si="214"/>
        <v>F150-Crew Cab XL-4WD-6-5'5"-5000-5.0L FFV-6-W1E-100A-145-26-E85-Unleaded</v>
      </c>
      <c r="AN2007" s="662" t="str">
        <f t="shared" si="219"/>
        <v>2019-LTK-FRD-F150-004</v>
      </c>
    </row>
    <row r="2008" spans="1:40" s="572" customFormat="1" ht="15">
      <c r="A2008" s="570" t="s">
        <v>3793</v>
      </c>
      <c r="B2008" s="569" t="s">
        <v>3794</v>
      </c>
      <c r="C2008" s="569" t="s">
        <v>287</v>
      </c>
      <c r="D2008" s="580">
        <v>26</v>
      </c>
      <c r="E2008" s="569" t="s">
        <v>3374</v>
      </c>
      <c r="F2008" s="569" t="s">
        <v>152</v>
      </c>
      <c r="G2008" s="569" t="s">
        <v>271</v>
      </c>
      <c r="H2008" s="569">
        <v>2019</v>
      </c>
      <c r="I2008" s="569" t="s">
        <v>3765</v>
      </c>
      <c r="J2008" s="569" t="s">
        <v>3766</v>
      </c>
      <c r="K2008" s="569" t="s">
        <v>752</v>
      </c>
      <c r="L2008" s="569">
        <v>6</v>
      </c>
      <c r="M2008" s="569">
        <v>0</v>
      </c>
      <c r="N2008" s="569" t="s">
        <v>157</v>
      </c>
      <c r="O2008" s="569">
        <v>2</v>
      </c>
      <c r="P2008" s="569" t="s">
        <v>3767</v>
      </c>
      <c r="Q2008" s="568">
        <v>7700</v>
      </c>
      <c r="R2008" s="569" t="s">
        <v>1322</v>
      </c>
      <c r="S2008" s="569">
        <v>6</v>
      </c>
      <c r="T2008" s="569" t="s">
        <v>3769</v>
      </c>
      <c r="U2008" s="569" t="s">
        <v>276</v>
      </c>
      <c r="V2008" s="569">
        <v>145</v>
      </c>
      <c r="W2008" s="569">
        <v>23</v>
      </c>
      <c r="X2008" s="568">
        <v>6100</v>
      </c>
      <c r="Y2008" s="569">
        <v>20</v>
      </c>
      <c r="Z2008" s="581" t="s">
        <v>178</v>
      </c>
      <c r="AA2008" s="581" t="s">
        <v>178</v>
      </c>
      <c r="AB2008" s="585">
        <v>39700</v>
      </c>
      <c r="AC2008" s="585" t="s">
        <v>164</v>
      </c>
      <c r="AD2008" s="585">
        <v>28969</v>
      </c>
      <c r="AE2008" s="587">
        <v>0.05</v>
      </c>
      <c r="AF2008" s="661" t="str">
        <f t="shared" si="220"/>
        <v>2019-LTK-FRD-F150-005-26</v>
      </c>
      <c r="AG2008" s="661" t="str">
        <f>IF(AND($Y2008&gt;=32,(AI2008="I"),(Y2008&lt;&gt;"~"),(COUNTIF($AN$1:$AN2008,$AN2008)=1)),"TRUE","FALSE")</f>
        <v>FALSE</v>
      </c>
      <c r="AH2008" s="661" t="str">
        <f>IF(AND($Y2008&gt;=22, (AI2008&lt;&gt;"I"),(Y2008&lt;&gt;"~"),(COUNTIF($AN$1:$AN2008,$AN2008)=1)),"TRUE","FALSE")</f>
        <v>FALSE</v>
      </c>
      <c r="AI2008" s="661" t="str">
        <f t="shared" si="215"/>
        <v>II</v>
      </c>
      <c r="AJ2008" s="662" t="str">
        <f t="shared" si="216"/>
        <v>F150-005</v>
      </c>
      <c r="AK2008" s="662" t="str">
        <f t="shared" si="217"/>
        <v>LTK</v>
      </c>
      <c r="AL2008" s="662" t="str">
        <f t="shared" si="218"/>
        <v>FRD</v>
      </c>
      <c r="AM2008" s="662" t="str">
        <f t="shared" si="214"/>
        <v>F150-Crew Cab XL-4WD-6-5'5"-7700-3.3L-6-W1E-100A-145-23-Unleaded-Unleaded</v>
      </c>
      <c r="AN2008" s="662" t="str">
        <f t="shared" si="219"/>
        <v>2019-LTK-FRD-F150-005</v>
      </c>
    </row>
    <row r="2009" spans="1:40" s="572" customFormat="1" ht="15">
      <c r="A2009" s="570" t="s">
        <v>3795</v>
      </c>
      <c r="B2009" s="573" t="s">
        <v>3780</v>
      </c>
      <c r="C2009" s="573" t="s">
        <v>287</v>
      </c>
      <c r="D2009" s="578">
        <v>26</v>
      </c>
      <c r="E2009" s="573" t="s">
        <v>3374</v>
      </c>
      <c r="F2009" s="573" t="s">
        <v>152</v>
      </c>
      <c r="G2009" s="573" t="s">
        <v>271</v>
      </c>
      <c r="H2009" s="573">
        <v>2019</v>
      </c>
      <c r="I2009" s="573" t="s">
        <v>3765</v>
      </c>
      <c r="J2009" s="573" t="s">
        <v>3766</v>
      </c>
      <c r="K2009" s="573" t="s">
        <v>752</v>
      </c>
      <c r="L2009" s="573">
        <v>6</v>
      </c>
      <c r="M2009" s="573">
        <v>0</v>
      </c>
      <c r="N2009" s="573" t="s">
        <v>157</v>
      </c>
      <c r="O2009" s="573">
        <v>2</v>
      </c>
      <c r="P2009" s="573" t="s">
        <v>3781</v>
      </c>
      <c r="Q2009" s="571">
        <v>7000</v>
      </c>
      <c r="R2009" s="573" t="s">
        <v>3775</v>
      </c>
      <c r="S2009" s="573">
        <v>6</v>
      </c>
      <c r="T2009" s="573" t="s">
        <v>3769</v>
      </c>
      <c r="U2009" s="573" t="s">
        <v>276</v>
      </c>
      <c r="V2009" s="573">
        <v>157</v>
      </c>
      <c r="W2009" s="573">
        <v>26</v>
      </c>
      <c r="X2009" s="571">
        <v>7050</v>
      </c>
      <c r="Y2009" s="573">
        <v>26</v>
      </c>
      <c r="Z2009" s="579" t="s">
        <v>178</v>
      </c>
      <c r="AA2009" s="579" t="s">
        <v>178</v>
      </c>
      <c r="AB2009" s="584">
        <v>42555</v>
      </c>
      <c r="AC2009" s="584" t="s">
        <v>164</v>
      </c>
      <c r="AD2009" s="584">
        <v>31641</v>
      </c>
      <c r="AE2009" s="586">
        <v>0.05</v>
      </c>
      <c r="AF2009" s="661" t="str">
        <f t="shared" si="220"/>
        <v>2019-LTK-FRD-F150-006-26</v>
      </c>
      <c r="AG2009" s="661" t="str">
        <f>IF(AND($Y2009&gt;=32,(AI2009="I"),(Y2009&lt;&gt;"~"),(COUNTIF($AN$1:$AN2009,$AN2009)=1)),"TRUE","FALSE")</f>
        <v>FALSE</v>
      </c>
      <c r="AH2009" s="661" t="str">
        <f>IF(AND($Y2009&gt;=22, (AI2009&lt;&gt;"I"),(Y2009&lt;&gt;"~"),(COUNTIF($AN$1:$AN2009,$AN2009)=1)),"TRUE","FALSE")</f>
        <v>FALSE</v>
      </c>
      <c r="AI2009" s="661" t="str">
        <f t="shared" si="215"/>
        <v>II</v>
      </c>
      <c r="AJ2009" s="662" t="str">
        <f t="shared" si="216"/>
        <v>F150-006</v>
      </c>
      <c r="AK2009" s="662" t="str">
        <f t="shared" si="217"/>
        <v>LTK</v>
      </c>
      <c r="AL2009" s="662" t="str">
        <f t="shared" si="218"/>
        <v>FRD</v>
      </c>
      <c r="AM2009" s="662" t="str">
        <f t="shared" si="214"/>
        <v>F150-Crew Cab XL-4WD-6-6'5"-7000-3.5L Eco Boost-6-W1E-100A-157-26-Unleaded-Unleaded</v>
      </c>
      <c r="AN2009" s="662" t="str">
        <f t="shared" si="219"/>
        <v>2019-LTK-FRD-F150-006</v>
      </c>
    </row>
    <row r="2010" spans="1:40" s="572" customFormat="1" ht="15">
      <c r="A2010" s="570" t="s">
        <v>3796</v>
      </c>
      <c r="B2010" s="569" t="s">
        <v>3783</v>
      </c>
      <c r="C2010" s="569" t="s">
        <v>287</v>
      </c>
      <c r="D2010" s="580">
        <v>26</v>
      </c>
      <c r="E2010" s="569" t="s">
        <v>3374</v>
      </c>
      <c r="F2010" s="569" t="s">
        <v>152</v>
      </c>
      <c r="G2010" s="569" t="s">
        <v>271</v>
      </c>
      <c r="H2010" s="569">
        <v>2019</v>
      </c>
      <c r="I2010" s="569" t="s">
        <v>3765</v>
      </c>
      <c r="J2010" s="569" t="s">
        <v>3766</v>
      </c>
      <c r="K2010" s="569" t="s">
        <v>752</v>
      </c>
      <c r="L2010" s="569">
        <v>6</v>
      </c>
      <c r="M2010" s="569">
        <v>0</v>
      </c>
      <c r="N2010" s="569" t="s">
        <v>157</v>
      </c>
      <c r="O2010" s="569">
        <v>2</v>
      </c>
      <c r="P2010" s="569" t="s">
        <v>3781</v>
      </c>
      <c r="Q2010" s="568">
        <v>7000</v>
      </c>
      <c r="R2010" s="569" t="s">
        <v>3778</v>
      </c>
      <c r="S2010" s="569">
        <v>6</v>
      </c>
      <c r="T2010" s="569" t="s">
        <v>3769</v>
      </c>
      <c r="U2010" s="569" t="s">
        <v>276</v>
      </c>
      <c r="V2010" s="569">
        <v>157</v>
      </c>
      <c r="W2010" s="569">
        <v>26</v>
      </c>
      <c r="X2010" s="568">
        <v>7050</v>
      </c>
      <c r="Y2010" s="569">
        <v>26</v>
      </c>
      <c r="Z2010" s="581" t="s">
        <v>450</v>
      </c>
      <c r="AA2010" s="581" t="s">
        <v>178</v>
      </c>
      <c r="AB2010" s="585">
        <v>41955</v>
      </c>
      <c r="AC2010" s="585" t="s">
        <v>164</v>
      </c>
      <c r="AD2010" s="585">
        <v>31096</v>
      </c>
      <c r="AE2010" s="587">
        <v>0.05</v>
      </c>
      <c r="AF2010" s="661" t="str">
        <f t="shared" si="220"/>
        <v>2019-LTK-FRD-F150-007-26</v>
      </c>
      <c r="AG2010" s="661" t="str">
        <f>IF(AND($Y2010&gt;=32,(AI2010="I"),(Y2010&lt;&gt;"~"),(COUNTIF($AN$1:$AN2010,$AN2010)=1)),"TRUE","FALSE")</f>
        <v>FALSE</v>
      </c>
      <c r="AH2010" s="661" t="str">
        <f>IF(AND($Y2010&gt;=22, (AI2010&lt;&gt;"I"),(Y2010&lt;&gt;"~"),(COUNTIF($AN$1:$AN2010,$AN2010)=1)),"TRUE","FALSE")</f>
        <v>FALSE</v>
      </c>
      <c r="AI2010" s="661" t="str">
        <f t="shared" si="215"/>
        <v>II</v>
      </c>
      <c r="AJ2010" s="662" t="str">
        <f t="shared" si="216"/>
        <v>F150-007</v>
      </c>
      <c r="AK2010" s="662" t="str">
        <f t="shared" si="217"/>
        <v>LTK</v>
      </c>
      <c r="AL2010" s="662" t="str">
        <f t="shared" si="218"/>
        <v>FRD</v>
      </c>
      <c r="AM2010" s="662" t="str">
        <f t="shared" si="214"/>
        <v>F150-Crew Cab XL-4WD-6-6'5"-7000-5.0L FFV-6-W1E-100A-157-26-E85-Unleaded</v>
      </c>
      <c r="AN2010" s="662" t="str">
        <f t="shared" si="219"/>
        <v>2019-LTK-FRD-F150-007</v>
      </c>
    </row>
    <row r="2011" spans="1:40" s="572" customFormat="1" ht="15">
      <c r="A2011" s="570" t="s">
        <v>3797</v>
      </c>
      <c r="B2011" s="573" t="s">
        <v>3764</v>
      </c>
      <c r="C2011" s="573" t="s">
        <v>280</v>
      </c>
      <c r="D2011" s="578">
        <v>27</v>
      </c>
      <c r="E2011" s="573" t="s">
        <v>3374</v>
      </c>
      <c r="F2011" s="573" t="s">
        <v>152</v>
      </c>
      <c r="G2011" s="573" t="s">
        <v>271</v>
      </c>
      <c r="H2011" s="573">
        <v>2019</v>
      </c>
      <c r="I2011" s="573" t="s">
        <v>3765</v>
      </c>
      <c r="J2011" s="573" t="s">
        <v>3766</v>
      </c>
      <c r="K2011" s="573" t="s">
        <v>752</v>
      </c>
      <c r="L2011" s="573">
        <v>6</v>
      </c>
      <c r="M2011" s="573">
        <v>0</v>
      </c>
      <c r="N2011" s="573" t="s">
        <v>157</v>
      </c>
      <c r="O2011" s="573">
        <v>2</v>
      </c>
      <c r="P2011" s="573" t="s">
        <v>3767</v>
      </c>
      <c r="Q2011" s="571">
        <v>5000</v>
      </c>
      <c r="R2011" s="573" t="s">
        <v>3768</v>
      </c>
      <c r="S2011" s="573">
        <v>6</v>
      </c>
      <c r="T2011" s="573" t="s">
        <v>3769</v>
      </c>
      <c r="U2011" s="573" t="s">
        <v>276</v>
      </c>
      <c r="V2011" s="573">
        <v>145</v>
      </c>
      <c r="W2011" s="573">
        <v>26</v>
      </c>
      <c r="X2011" s="571">
        <v>6600</v>
      </c>
      <c r="Y2011" s="573">
        <v>21</v>
      </c>
      <c r="Z2011" s="579" t="s">
        <v>178</v>
      </c>
      <c r="AA2011" s="579" t="s">
        <v>178</v>
      </c>
      <c r="AB2011" s="584">
        <v>40695</v>
      </c>
      <c r="AC2011" s="584" t="s">
        <v>164</v>
      </c>
      <c r="AD2011" s="584">
        <v>29344.926315789475</v>
      </c>
      <c r="AE2011" s="586">
        <v>0.03</v>
      </c>
      <c r="AF2011" s="661" t="str">
        <f t="shared" si="220"/>
        <v>2019-LTK-FRD-F150-001-27</v>
      </c>
      <c r="AG2011" s="661" t="str">
        <f>IF(AND($Y2011&gt;=32,(AI2011="I"),(Y2011&lt;&gt;"~"),(COUNTIF($AN$1:$AN2011,$AN2011)=1)),"TRUE","FALSE")</f>
        <v>FALSE</v>
      </c>
      <c r="AH2011" s="661" t="str">
        <f>IF(AND($Y2011&gt;=22, (AI2011&lt;&gt;"I"),(Y2011&lt;&gt;"~"),(COUNTIF($AN$1:$AN2011,$AN2011)=1)),"TRUE","FALSE")</f>
        <v>FALSE</v>
      </c>
      <c r="AI2011" s="661" t="str">
        <f t="shared" si="215"/>
        <v>II</v>
      </c>
      <c r="AJ2011" s="662" t="str">
        <f t="shared" si="216"/>
        <v>F150-001</v>
      </c>
      <c r="AK2011" s="662" t="str">
        <f t="shared" si="217"/>
        <v>LTK</v>
      </c>
      <c r="AL2011" s="662" t="str">
        <f t="shared" si="218"/>
        <v>FRD</v>
      </c>
      <c r="AM2011" s="662" t="str">
        <f t="shared" ref="AM2011:AM2074" si="221">CONCATENATE(I2011,"-",J2011,"-",K2011,"-",L2011,"-",P2011,"-",Q2011,"-",R2011,"-",S2011,"-",T2011,"-",U2011,"-",V2011,"-",W2011,"-",Z2011,"-",AA2011)</f>
        <v>F150-Crew Cab XL-4WD-6-5'5"-5000-2.7L EcoBoost -6-W1E-100A-145-26-Unleaded-Unleaded</v>
      </c>
      <c r="AN2011" s="662" t="str">
        <f t="shared" si="219"/>
        <v>2019-LTK-FRD-F150-001</v>
      </c>
    </row>
    <row r="2012" spans="1:40" s="572" customFormat="1" ht="15">
      <c r="A2012" s="570" t="s">
        <v>3798</v>
      </c>
      <c r="B2012" s="569" t="s">
        <v>3771</v>
      </c>
      <c r="C2012" s="569" t="s">
        <v>280</v>
      </c>
      <c r="D2012" s="580">
        <v>27</v>
      </c>
      <c r="E2012" s="569" t="s">
        <v>3374</v>
      </c>
      <c r="F2012" s="569" t="s">
        <v>152</v>
      </c>
      <c r="G2012" s="569" t="s">
        <v>271</v>
      </c>
      <c r="H2012" s="569">
        <v>2019</v>
      </c>
      <c r="I2012" s="569" t="s">
        <v>3765</v>
      </c>
      <c r="J2012" s="569" t="s">
        <v>3766</v>
      </c>
      <c r="K2012" s="569" t="s">
        <v>752</v>
      </c>
      <c r="L2012" s="569">
        <v>6</v>
      </c>
      <c r="M2012" s="569">
        <v>0</v>
      </c>
      <c r="N2012" s="569" t="s">
        <v>157</v>
      </c>
      <c r="O2012" s="569">
        <v>2</v>
      </c>
      <c r="P2012" s="569" t="s">
        <v>3767</v>
      </c>
      <c r="Q2012" s="568">
        <v>5000</v>
      </c>
      <c r="R2012" s="569" t="s">
        <v>3772</v>
      </c>
      <c r="S2012" s="569">
        <v>6</v>
      </c>
      <c r="T2012" s="569" t="s">
        <v>3769</v>
      </c>
      <c r="U2012" s="569" t="s">
        <v>276</v>
      </c>
      <c r="V2012" s="569">
        <v>145</v>
      </c>
      <c r="W2012" s="569">
        <v>26</v>
      </c>
      <c r="X2012" s="568">
        <v>6500</v>
      </c>
      <c r="Y2012" s="569">
        <v>20</v>
      </c>
      <c r="Z2012" s="581" t="s">
        <v>450</v>
      </c>
      <c r="AA2012" s="581" t="s">
        <v>178</v>
      </c>
      <c r="AB2012" s="585">
        <v>39700</v>
      </c>
      <c r="AC2012" s="585" t="s">
        <v>164</v>
      </c>
      <c r="AD2012" s="585">
        <v>28451.242105263158</v>
      </c>
      <c r="AE2012" s="587">
        <v>0.03</v>
      </c>
      <c r="AF2012" s="661" t="str">
        <f t="shared" si="220"/>
        <v>2019-LTK-FRD-F150-002-27</v>
      </c>
      <c r="AG2012" s="661" t="str">
        <f>IF(AND($Y2012&gt;=32,(AI2012="I"),(Y2012&lt;&gt;"~"),(COUNTIF($AN$1:$AN2012,$AN2012)=1)),"TRUE","FALSE")</f>
        <v>FALSE</v>
      </c>
      <c r="AH2012" s="661" t="str">
        <f>IF(AND($Y2012&gt;=22, (AI2012&lt;&gt;"I"),(Y2012&lt;&gt;"~"),(COUNTIF($AN$1:$AN2012,$AN2012)=1)),"TRUE","FALSE")</f>
        <v>FALSE</v>
      </c>
      <c r="AI2012" s="661" t="str">
        <f t="shared" ref="AI2012:AI2075" si="222">IF(OR((LEFT($E2012,2)="01"),AND(LEFT($E2012,2)="06",ISNUMBER(SEARCH("pas",$F2012))),AND(LEFT($E2012,2)="05",ISNUMBER(SEARCH("pas",$F2012)))),"I",IF(AND((LEFT($E2012,2)&lt;&gt;"01"),$X2012&lt;=10000),"II",IF(AND((LEFT($E2012,2)&lt;&gt;"01"),$X2012&gt;10000),"N/A")))</f>
        <v>II</v>
      </c>
      <c r="AJ2012" s="662" t="str">
        <f t="shared" si="216"/>
        <v>F150-002</v>
      </c>
      <c r="AK2012" s="662" t="str">
        <f t="shared" si="217"/>
        <v>LTK</v>
      </c>
      <c r="AL2012" s="662" t="str">
        <f t="shared" si="218"/>
        <v>FRD</v>
      </c>
      <c r="AM2012" s="662" t="str">
        <f t="shared" si="221"/>
        <v>F150-Crew Cab XL-4WD-6-5'5"-5000-3.3L FFV-6-W1E-100A-145-26-E85-Unleaded</v>
      </c>
      <c r="AN2012" s="662" t="str">
        <f t="shared" si="219"/>
        <v>2019-LTK-FRD-F150-002</v>
      </c>
    </row>
    <row r="2013" spans="1:40" s="572" customFormat="1" ht="15">
      <c r="A2013" s="570" t="s">
        <v>3799</v>
      </c>
      <c r="B2013" s="573" t="s">
        <v>3774</v>
      </c>
      <c r="C2013" s="573" t="s">
        <v>280</v>
      </c>
      <c r="D2013" s="578">
        <v>27</v>
      </c>
      <c r="E2013" s="573" t="s">
        <v>3374</v>
      </c>
      <c r="F2013" s="573" t="s">
        <v>152</v>
      </c>
      <c r="G2013" s="573" t="s">
        <v>271</v>
      </c>
      <c r="H2013" s="573">
        <v>2019</v>
      </c>
      <c r="I2013" s="573" t="s">
        <v>3765</v>
      </c>
      <c r="J2013" s="573" t="s">
        <v>3766</v>
      </c>
      <c r="K2013" s="573" t="s">
        <v>752</v>
      </c>
      <c r="L2013" s="573">
        <v>6</v>
      </c>
      <c r="M2013" s="573">
        <v>0</v>
      </c>
      <c r="N2013" s="573" t="s">
        <v>157</v>
      </c>
      <c r="O2013" s="573">
        <v>2</v>
      </c>
      <c r="P2013" s="573" t="s">
        <v>3767</v>
      </c>
      <c r="Q2013" s="571">
        <v>5000</v>
      </c>
      <c r="R2013" s="573" t="s">
        <v>3775</v>
      </c>
      <c r="S2013" s="573">
        <v>6</v>
      </c>
      <c r="T2013" s="573" t="s">
        <v>3769</v>
      </c>
      <c r="U2013" s="573" t="s">
        <v>276</v>
      </c>
      <c r="V2013" s="573">
        <v>145</v>
      </c>
      <c r="W2013" s="573">
        <v>26</v>
      </c>
      <c r="X2013" s="571">
        <v>7000</v>
      </c>
      <c r="Y2013" s="573">
        <v>19</v>
      </c>
      <c r="Z2013" s="579" t="s">
        <v>178</v>
      </c>
      <c r="AA2013" s="579" t="s">
        <v>178</v>
      </c>
      <c r="AB2013" s="584">
        <v>42295</v>
      </c>
      <c r="AC2013" s="584" t="s">
        <v>164</v>
      </c>
      <c r="AD2013" s="584">
        <v>30780.715789473685</v>
      </c>
      <c r="AE2013" s="586">
        <v>0.03</v>
      </c>
      <c r="AF2013" s="661" t="str">
        <f t="shared" si="220"/>
        <v>2019-LTK-FRD-F150-003-27</v>
      </c>
      <c r="AG2013" s="661" t="str">
        <f>IF(AND($Y2013&gt;=32,(AI2013="I"),(Y2013&lt;&gt;"~"),(COUNTIF($AN$1:$AN2013,$AN2013)=1)),"TRUE","FALSE")</f>
        <v>FALSE</v>
      </c>
      <c r="AH2013" s="661" t="str">
        <f>IF(AND($Y2013&gt;=22, (AI2013&lt;&gt;"I"),(Y2013&lt;&gt;"~"),(COUNTIF($AN$1:$AN2013,$AN2013)=1)),"TRUE","FALSE")</f>
        <v>FALSE</v>
      </c>
      <c r="AI2013" s="661" t="str">
        <f t="shared" si="222"/>
        <v>II</v>
      </c>
      <c r="AJ2013" s="662" t="str">
        <f t="shared" si="216"/>
        <v>F150-003</v>
      </c>
      <c r="AK2013" s="662" t="str">
        <f t="shared" si="217"/>
        <v>LTK</v>
      </c>
      <c r="AL2013" s="662" t="str">
        <f t="shared" si="218"/>
        <v>FRD</v>
      </c>
      <c r="AM2013" s="662" t="str">
        <f t="shared" si="221"/>
        <v>F150-Crew Cab XL-4WD-6-5'5"-5000-3.5L Eco Boost-6-W1E-100A-145-26-Unleaded-Unleaded</v>
      </c>
      <c r="AN2013" s="662" t="str">
        <f t="shared" si="219"/>
        <v>2019-LTK-FRD-F150-003</v>
      </c>
    </row>
    <row r="2014" spans="1:40" s="572" customFormat="1" ht="15">
      <c r="A2014" s="570" t="s">
        <v>3800</v>
      </c>
      <c r="B2014" s="569" t="s">
        <v>3777</v>
      </c>
      <c r="C2014" s="569" t="s">
        <v>280</v>
      </c>
      <c r="D2014" s="580">
        <v>27</v>
      </c>
      <c r="E2014" s="569" t="s">
        <v>3374</v>
      </c>
      <c r="F2014" s="569" t="s">
        <v>152</v>
      </c>
      <c r="G2014" s="569" t="s">
        <v>271</v>
      </c>
      <c r="H2014" s="569">
        <v>2019</v>
      </c>
      <c r="I2014" s="569" t="s">
        <v>3765</v>
      </c>
      <c r="J2014" s="569" t="s">
        <v>3766</v>
      </c>
      <c r="K2014" s="569" t="s">
        <v>752</v>
      </c>
      <c r="L2014" s="569">
        <v>6</v>
      </c>
      <c r="M2014" s="569">
        <v>0</v>
      </c>
      <c r="N2014" s="569" t="s">
        <v>157</v>
      </c>
      <c r="O2014" s="569">
        <v>2</v>
      </c>
      <c r="P2014" s="569" t="s">
        <v>3767</v>
      </c>
      <c r="Q2014" s="568">
        <v>5000</v>
      </c>
      <c r="R2014" s="569" t="s">
        <v>3778</v>
      </c>
      <c r="S2014" s="569">
        <v>6</v>
      </c>
      <c r="T2014" s="569" t="s">
        <v>3769</v>
      </c>
      <c r="U2014" s="569" t="s">
        <v>276</v>
      </c>
      <c r="V2014" s="569">
        <v>145</v>
      </c>
      <c r="W2014" s="569">
        <v>26</v>
      </c>
      <c r="X2014" s="568">
        <v>7000</v>
      </c>
      <c r="Y2014" s="569">
        <v>18</v>
      </c>
      <c r="Z2014" s="581" t="s">
        <v>450</v>
      </c>
      <c r="AA2014" s="581" t="s">
        <v>178</v>
      </c>
      <c r="AB2014" s="585">
        <v>41695</v>
      </c>
      <c r="AC2014" s="585" t="s">
        <v>164</v>
      </c>
      <c r="AD2014" s="585">
        <v>30241.768421052635</v>
      </c>
      <c r="AE2014" s="587">
        <v>0.03</v>
      </c>
      <c r="AF2014" s="661" t="str">
        <f t="shared" si="220"/>
        <v>2019-LTK-FRD-F150-004-27</v>
      </c>
      <c r="AG2014" s="661" t="str">
        <f>IF(AND($Y2014&gt;=32,(AI2014="I"),(Y2014&lt;&gt;"~"),(COUNTIF($AN$1:$AN2014,$AN2014)=1)),"TRUE","FALSE")</f>
        <v>FALSE</v>
      </c>
      <c r="AH2014" s="661" t="str">
        <f>IF(AND($Y2014&gt;=22, (AI2014&lt;&gt;"I"),(Y2014&lt;&gt;"~"),(COUNTIF($AN$1:$AN2014,$AN2014)=1)),"TRUE","FALSE")</f>
        <v>FALSE</v>
      </c>
      <c r="AI2014" s="661" t="str">
        <f t="shared" si="222"/>
        <v>II</v>
      </c>
      <c r="AJ2014" s="662" t="str">
        <f t="shared" si="216"/>
        <v>F150-004</v>
      </c>
      <c r="AK2014" s="662" t="str">
        <f t="shared" si="217"/>
        <v>LTK</v>
      </c>
      <c r="AL2014" s="662" t="str">
        <f t="shared" si="218"/>
        <v>FRD</v>
      </c>
      <c r="AM2014" s="662" t="str">
        <f t="shared" si="221"/>
        <v>F150-Crew Cab XL-4WD-6-5'5"-5000-5.0L FFV-6-W1E-100A-145-26-E85-Unleaded</v>
      </c>
      <c r="AN2014" s="662" t="str">
        <f t="shared" si="219"/>
        <v>2019-LTK-FRD-F150-004</v>
      </c>
    </row>
    <row r="2015" spans="1:40" s="572" customFormat="1" ht="15">
      <c r="A2015" s="570" t="s">
        <v>3801</v>
      </c>
      <c r="B2015" s="573" t="s">
        <v>3780</v>
      </c>
      <c r="C2015" s="573" t="s">
        <v>280</v>
      </c>
      <c r="D2015" s="578">
        <v>27</v>
      </c>
      <c r="E2015" s="573" t="s">
        <v>3374</v>
      </c>
      <c r="F2015" s="573" t="s">
        <v>152</v>
      </c>
      <c r="G2015" s="573" t="s">
        <v>271</v>
      </c>
      <c r="H2015" s="573">
        <v>2019</v>
      </c>
      <c r="I2015" s="573" t="s">
        <v>3765</v>
      </c>
      <c r="J2015" s="573" t="s">
        <v>3766</v>
      </c>
      <c r="K2015" s="573" t="s">
        <v>752</v>
      </c>
      <c r="L2015" s="573">
        <v>6</v>
      </c>
      <c r="M2015" s="573">
        <v>0</v>
      </c>
      <c r="N2015" s="573" t="s">
        <v>157</v>
      </c>
      <c r="O2015" s="573">
        <v>2</v>
      </c>
      <c r="P2015" s="573" t="s">
        <v>3781</v>
      </c>
      <c r="Q2015" s="571">
        <v>7000</v>
      </c>
      <c r="R2015" s="573" t="s">
        <v>3775</v>
      </c>
      <c r="S2015" s="573">
        <v>6</v>
      </c>
      <c r="T2015" s="573" t="s">
        <v>3769</v>
      </c>
      <c r="U2015" s="573" t="s">
        <v>276</v>
      </c>
      <c r="V2015" s="573">
        <v>157</v>
      </c>
      <c r="W2015" s="573">
        <v>26</v>
      </c>
      <c r="X2015" s="571">
        <v>7050</v>
      </c>
      <c r="Y2015" s="573">
        <v>19</v>
      </c>
      <c r="Z2015" s="579" t="s">
        <v>178</v>
      </c>
      <c r="AA2015" s="579" t="s">
        <v>178</v>
      </c>
      <c r="AB2015" s="584">
        <v>42555</v>
      </c>
      <c r="AC2015" s="584" t="s">
        <v>164</v>
      </c>
      <c r="AD2015" s="584">
        <v>31083.873684210528</v>
      </c>
      <c r="AE2015" s="586">
        <v>0.03</v>
      </c>
      <c r="AF2015" s="661" t="str">
        <f t="shared" si="220"/>
        <v>2019-LTK-FRD-F150-006-27</v>
      </c>
      <c r="AG2015" s="661" t="str">
        <f>IF(AND($Y2015&gt;=32,(AI2015="I"),(Y2015&lt;&gt;"~"),(COUNTIF($AN$1:$AN2015,$AN2015)=1)),"TRUE","FALSE")</f>
        <v>FALSE</v>
      </c>
      <c r="AH2015" s="661" t="str">
        <f>IF(AND($Y2015&gt;=22, (AI2015&lt;&gt;"I"),(Y2015&lt;&gt;"~"),(COUNTIF($AN$1:$AN2015,$AN2015)=1)),"TRUE","FALSE")</f>
        <v>FALSE</v>
      </c>
      <c r="AI2015" s="661" t="str">
        <f t="shared" si="222"/>
        <v>II</v>
      </c>
      <c r="AJ2015" s="662" t="str">
        <f t="shared" si="216"/>
        <v>F150-006</v>
      </c>
      <c r="AK2015" s="662" t="str">
        <f t="shared" si="217"/>
        <v>LTK</v>
      </c>
      <c r="AL2015" s="662" t="str">
        <f t="shared" si="218"/>
        <v>FRD</v>
      </c>
      <c r="AM2015" s="662" t="str">
        <f t="shared" si="221"/>
        <v>F150-Crew Cab XL-4WD-6-6'5"-7000-3.5L Eco Boost-6-W1E-100A-157-26-Unleaded-Unleaded</v>
      </c>
      <c r="AN2015" s="662" t="str">
        <f t="shared" si="219"/>
        <v>2019-LTK-FRD-F150-006</v>
      </c>
    </row>
    <row r="2016" spans="1:40" s="572" customFormat="1" ht="15">
      <c r="A2016" s="570" t="s">
        <v>3802</v>
      </c>
      <c r="B2016" s="569" t="s">
        <v>3783</v>
      </c>
      <c r="C2016" s="569" t="s">
        <v>280</v>
      </c>
      <c r="D2016" s="580">
        <v>27</v>
      </c>
      <c r="E2016" s="569" t="s">
        <v>3374</v>
      </c>
      <c r="F2016" s="569" t="s">
        <v>152</v>
      </c>
      <c r="G2016" s="569" t="s">
        <v>271</v>
      </c>
      <c r="H2016" s="569">
        <v>2019</v>
      </c>
      <c r="I2016" s="569" t="s">
        <v>3765</v>
      </c>
      <c r="J2016" s="569" t="s">
        <v>3766</v>
      </c>
      <c r="K2016" s="569" t="s">
        <v>752</v>
      </c>
      <c r="L2016" s="569">
        <v>6</v>
      </c>
      <c r="M2016" s="569">
        <v>0</v>
      </c>
      <c r="N2016" s="569" t="s">
        <v>157</v>
      </c>
      <c r="O2016" s="569">
        <v>2</v>
      </c>
      <c r="P2016" s="569" t="s">
        <v>3781</v>
      </c>
      <c r="Q2016" s="568">
        <v>7000</v>
      </c>
      <c r="R2016" s="569" t="s">
        <v>3778</v>
      </c>
      <c r="S2016" s="569">
        <v>6</v>
      </c>
      <c r="T2016" s="569" t="s">
        <v>3769</v>
      </c>
      <c r="U2016" s="569" t="s">
        <v>276</v>
      </c>
      <c r="V2016" s="569">
        <v>157</v>
      </c>
      <c r="W2016" s="569">
        <v>26</v>
      </c>
      <c r="X2016" s="568">
        <v>7050</v>
      </c>
      <c r="Y2016" s="569">
        <v>18</v>
      </c>
      <c r="Z2016" s="581" t="s">
        <v>450</v>
      </c>
      <c r="AA2016" s="581" t="s">
        <v>178</v>
      </c>
      <c r="AB2016" s="585">
        <v>41955</v>
      </c>
      <c r="AC2016" s="585" t="s">
        <v>164</v>
      </c>
      <c r="AD2016" s="585">
        <v>30545.978947368421</v>
      </c>
      <c r="AE2016" s="587">
        <v>0.03</v>
      </c>
      <c r="AF2016" s="661" t="str">
        <f t="shared" si="220"/>
        <v>2019-LTK-FRD-F150-007-27</v>
      </c>
      <c r="AG2016" s="661" t="str">
        <f>IF(AND($Y2016&gt;=32,(AI2016="I"),(Y2016&lt;&gt;"~"),(COUNTIF($AN$1:$AN2016,$AN2016)=1)),"TRUE","FALSE")</f>
        <v>FALSE</v>
      </c>
      <c r="AH2016" s="661" t="str">
        <f>IF(AND($Y2016&gt;=22, (AI2016&lt;&gt;"I"),(Y2016&lt;&gt;"~"),(COUNTIF($AN$1:$AN2016,$AN2016)=1)),"TRUE","FALSE")</f>
        <v>FALSE</v>
      </c>
      <c r="AI2016" s="661" t="str">
        <f t="shared" si="222"/>
        <v>II</v>
      </c>
      <c r="AJ2016" s="662" t="str">
        <f t="shared" si="216"/>
        <v>F150-007</v>
      </c>
      <c r="AK2016" s="662" t="str">
        <f t="shared" si="217"/>
        <v>LTK</v>
      </c>
      <c r="AL2016" s="662" t="str">
        <f t="shared" si="218"/>
        <v>FRD</v>
      </c>
      <c r="AM2016" s="662" t="str">
        <f t="shared" si="221"/>
        <v>F150-Crew Cab XL-4WD-6-6'5"-7000-5.0L FFV-6-W1E-100A-157-26-E85-Unleaded</v>
      </c>
      <c r="AN2016" s="662" t="str">
        <f t="shared" si="219"/>
        <v>2019-LTK-FRD-F150-007</v>
      </c>
    </row>
    <row r="2017" spans="1:40" s="572" customFormat="1" ht="15">
      <c r="A2017" s="570" t="s">
        <v>3803</v>
      </c>
      <c r="B2017" s="573" t="s">
        <v>3804</v>
      </c>
      <c r="C2017" s="573" t="s">
        <v>269</v>
      </c>
      <c r="D2017" s="578" t="s">
        <v>270</v>
      </c>
      <c r="E2017" s="573" t="s">
        <v>3374</v>
      </c>
      <c r="F2017" s="573" t="s">
        <v>152</v>
      </c>
      <c r="G2017" s="573" t="s">
        <v>271</v>
      </c>
      <c r="H2017" s="573">
        <v>2019</v>
      </c>
      <c r="I2017" s="573" t="s">
        <v>3765</v>
      </c>
      <c r="J2017" s="573" t="s">
        <v>3805</v>
      </c>
      <c r="K2017" s="573" t="s">
        <v>752</v>
      </c>
      <c r="L2017" s="573">
        <v>6</v>
      </c>
      <c r="M2017" s="573">
        <v>0</v>
      </c>
      <c r="N2017" s="573" t="s">
        <v>157</v>
      </c>
      <c r="O2017" s="573">
        <v>2</v>
      </c>
      <c r="P2017" s="573" t="s">
        <v>3767</v>
      </c>
      <c r="Q2017" s="571">
        <v>5000</v>
      </c>
      <c r="R2017" s="573" t="s">
        <v>3768</v>
      </c>
      <c r="S2017" s="573">
        <v>6</v>
      </c>
      <c r="T2017" s="573" t="s">
        <v>3769</v>
      </c>
      <c r="U2017" s="573" t="s">
        <v>318</v>
      </c>
      <c r="V2017" s="573">
        <v>145</v>
      </c>
      <c r="W2017" s="573">
        <v>26</v>
      </c>
      <c r="X2017" s="571">
        <v>6600</v>
      </c>
      <c r="Y2017" s="573">
        <v>21</v>
      </c>
      <c r="Z2017" s="579" t="s">
        <v>178</v>
      </c>
      <c r="AA2017" s="579" t="s">
        <v>178</v>
      </c>
      <c r="AB2017" s="584">
        <v>45405</v>
      </c>
      <c r="AC2017" s="584" t="s">
        <v>164</v>
      </c>
      <c r="AD2017" s="584">
        <v>32816.505263157895</v>
      </c>
      <c r="AE2017" s="586">
        <v>0.03</v>
      </c>
      <c r="AF2017" s="661" t="str">
        <f t="shared" si="220"/>
        <v>2019-LTK-FRD-F150-009-05</v>
      </c>
      <c r="AG2017" s="661" t="str">
        <f>IF(AND($Y2017&gt;=32,(AI2017="I"),(Y2017&lt;&gt;"~"),(COUNTIF($AN$1:$AN2017,$AN2017)=1)),"TRUE","FALSE")</f>
        <v>FALSE</v>
      </c>
      <c r="AH2017" s="661" t="str">
        <f>IF(AND($Y2017&gt;=22, (AI2017&lt;&gt;"I"),(Y2017&lt;&gt;"~"),(COUNTIF($AN$1:$AN2017,$AN2017)=1)),"TRUE","FALSE")</f>
        <v>FALSE</v>
      </c>
      <c r="AI2017" s="661" t="str">
        <f t="shared" si="222"/>
        <v>II</v>
      </c>
      <c r="AJ2017" s="662" t="str">
        <f t="shared" si="216"/>
        <v>F150-009</v>
      </c>
      <c r="AK2017" s="662" t="str">
        <f t="shared" si="217"/>
        <v>LTK</v>
      </c>
      <c r="AL2017" s="662" t="str">
        <f t="shared" si="218"/>
        <v>FRD</v>
      </c>
      <c r="AM2017" s="662" t="str">
        <f t="shared" si="221"/>
        <v>F150-Crew Cab XLT-4WD-6-5'5"-5000-2.7L EcoBoost -6-W1E-300A-145-26-Unleaded-Unleaded</v>
      </c>
      <c r="AN2017" s="662" t="str">
        <f t="shared" si="219"/>
        <v>2019-LTK-FRD-F150-009</v>
      </c>
    </row>
    <row r="2018" spans="1:40" s="572" customFormat="1" ht="15">
      <c r="A2018" s="570" t="s">
        <v>3806</v>
      </c>
      <c r="B2018" s="569" t="s">
        <v>3807</v>
      </c>
      <c r="C2018" s="569" t="s">
        <v>269</v>
      </c>
      <c r="D2018" s="580" t="s">
        <v>270</v>
      </c>
      <c r="E2018" s="569" t="s">
        <v>3374</v>
      </c>
      <c r="F2018" s="569" t="s">
        <v>152</v>
      </c>
      <c r="G2018" s="569" t="s">
        <v>271</v>
      </c>
      <c r="H2018" s="569">
        <v>2019</v>
      </c>
      <c r="I2018" s="569" t="s">
        <v>3765</v>
      </c>
      <c r="J2018" s="569" t="s">
        <v>3805</v>
      </c>
      <c r="K2018" s="569" t="s">
        <v>752</v>
      </c>
      <c r="L2018" s="569">
        <v>6</v>
      </c>
      <c r="M2018" s="569">
        <v>0</v>
      </c>
      <c r="N2018" s="569" t="s">
        <v>157</v>
      </c>
      <c r="O2018" s="569">
        <v>2</v>
      </c>
      <c r="P2018" s="569" t="s">
        <v>3767</v>
      </c>
      <c r="Q2018" s="568">
        <v>5000</v>
      </c>
      <c r="R2018" s="569" t="s">
        <v>3772</v>
      </c>
      <c r="S2018" s="569">
        <v>6</v>
      </c>
      <c r="T2018" s="569" t="s">
        <v>3769</v>
      </c>
      <c r="U2018" s="569" t="s">
        <v>318</v>
      </c>
      <c r="V2018" s="569">
        <v>145</v>
      </c>
      <c r="W2018" s="569">
        <v>26</v>
      </c>
      <c r="X2018" s="568">
        <v>6500</v>
      </c>
      <c r="Y2018" s="569">
        <v>20</v>
      </c>
      <c r="Z2018" s="581" t="s">
        <v>450</v>
      </c>
      <c r="AA2018" s="581" t="s">
        <v>178</v>
      </c>
      <c r="AB2018" s="585">
        <v>39700</v>
      </c>
      <c r="AC2018" s="585" t="s">
        <v>164</v>
      </c>
      <c r="AD2018" s="585">
        <v>28451.242105263158</v>
      </c>
      <c r="AE2018" s="587">
        <v>0.03</v>
      </c>
      <c r="AF2018" s="661" t="str">
        <f t="shared" si="220"/>
        <v>2019-LTK-FRD-F150-010-05</v>
      </c>
      <c r="AG2018" s="661" t="str">
        <f>IF(AND($Y2018&gt;=32,(AI2018="I"),(Y2018&lt;&gt;"~"),(COUNTIF($AN$1:$AN2018,$AN2018)=1)),"TRUE","FALSE")</f>
        <v>FALSE</v>
      </c>
      <c r="AH2018" s="661" t="str">
        <f>IF(AND($Y2018&gt;=22, (AI2018&lt;&gt;"I"),(Y2018&lt;&gt;"~"),(COUNTIF($AN$1:$AN2018,$AN2018)=1)),"TRUE","FALSE")</f>
        <v>FALSE</v>
      </c>
      <c r="AI2018" s="661" t="str">
        <f t="shared" si="222"/>
        <v>II</v>
      </c>
      <c r="AJ2018" s="662" t="str">
        <f t="shared" si="216"/>
        <v>F150-010</v>
      </c>
      <c r="AK2018" s="662" t="str">
        <f t="shared" si="217"/>
        <v>LTK</v>
      </c>
      <c r="AL2018" s="662" t="str">
        <f t="shared" si="218"/>
        <v>FRD</v>
      </c>
      <c r="AM2018" s="662" t="str">
        <f t="shared" si="221"/>
        <v>F150-Crew Cab XLT-4WD-6-5'5"-5000-3.3L FFV-6-W1E-300A-145-26-E85-Unleaded</v>
      </c>
      <c r="AN2018" s="662" t="str">
        <f t="shared" si="219"/>
        <v>2019-LTK-FRD-F150-010</v>
      </c>
    </row>
    <row r="2019" spans="1:40" s="572" customFormat="1" ht="15">
      <c r="A2019" s="570" t="s">
        <v>3806</v>
      </c>
      <c r="B2019" s="573" t="s">
        <v>3807</v>
      </c>
      <c r="C2019" s="573" t="s">
        <v>269</v>
      </c>
      <c r="D2019" s="578" t="s">
        <v>270</v>
      </c>
      <c r="E2019" s="573" t="s">
        <v>3374</v>
      </c>
      <c r="F2019" s="573" t="s">
        <v>152</v>
      </c>
      <c r="G2019" s="573" t="s">
        <v>271</v>
      </c>
      <c r="H2019" s="573">
        <v>2019</v>
      </c>
      <c r="I2019" s="573" t="s">
        <v>3765</v>
      </c>
      <c r="J2019" s="573" t="s">
        <v>3805</v>
      </c>
      <c r="K2019" s="573" t="s">
        <v>752</v>
      </c>
      <c r="L2019" s="573">
        <v>6</v>
      </c>
      <c r="M2019" s="573">
        <v>0</v>
      </c>
      <c r="N2019" s="573" t="s">
        <v>157</v>
      </c>
      <c r="O2019" s="573">
        <v>2</v>
      </c>
      <c r="P2019" s="573" t="s">
        <v>3767</v>
      </c>
      <c r="Q2019" s="571">
        <v>5000</v>
      </c>
      <c r="R2019" s="573" t="s">
        <v>3772</v>
      </c>
      <c r="S2019" s="573">
        <v>6</v>
      </c>
      <c r="T2019" s="573" t="s">
        <v>3769</v>
      </c>
      <c r="U2019" s="573" t="s">
        <v>318</v>
      </c>
      <c r="V2019" s="573">
        <v>145</v>
      </c>
      <c r="W2019" s="573">
        <v>26</v>
      </c>
      <c r="X2019" s="571">
        <v>6500</v>
      </c>
      <c r="Y2019" s="573">
        <v>20</v>
      </c>
      <c r="Z2019" s="579" t="s">
        <v>450</v>
      </c>
      <c r="AA2019" s="579" t="s">
        <v>178</v>
      </c>
      <c r="AB2019" s="584">
        <v>44410</v>
      </c>
      <c r="AC2019" s="584" t="s">
        <v>164</v>
      </c>
      <c r="AD2019" s="584">
        <v>31922.821052631582</v>
      </c>
      <c r="AE2019" s="586">
        <v>0.03</v>
      </c>
      <c r="AF2019" s="661" t="str">
        <f t="shared" si="220"/>
        <v>2019-LTK-FRD-F150-010-05</v>
      </c>
      <c r="AG2019" s="661" t="str">
        <f>IF(AND($Y2019&gt;=32,(AI2019="I"),(Y2019&lt;&gt;"~"),(COUNTIF($AN$1:$AN2019,$AN2019)=1)),"TRUE","FALSE")</f>
        <v>FALSE</v>
      </c>
      <c r="AH2019" s="661" t="str">
        <f>IF(AND($Y2019&gt;=22, (AI2019&lt;&gt;"I"),(Y2019&lt;&gt;"~"),(COUNTIF($AN$1:$AN2019,$AN2019)=1)),"TRUE","FALSE")</f>
        <v>FALSE</v>
      </c>
      <c r="AI2019" s="661" t="str">
        <f t="shared" si="222"/>
        <v>II</v>
      </c>
      <c r="AJ2019" s="662" t="str">
        <f t="shared" si="216"/>
        <v>F150-010</v>
      </c>
      <c r="AK2019" s="662" t="str">
        <f t="shared" si="217"/>
        <v>LTK</v>
      </c>
      <c r="AL2019" s="662" t="str">
        <f t="shared" si="218"/>
        <v>FRD</v>
      </c>
      <c r="AM2019" s="662" t="str">
        <f t="shared" si="221"/>
        <v>F150-Crew Cab XLT-4WD-6-5'5"-5000-3.3L FFV-6-W1E-300A-145-26-E85-Unleaded</v>
      </c>
      <c r="AN2019" s="662" t="str">
        <f t="shared" si="219"/>
        <v>2019-LTK-FRD-F150-010</v>
      </c>
    </row>
    <row r="2020" spans="1:40" s="572" customFormat="1" ht="15">
      <c r="A2020" s="570" t="s">
        <v>3808</v>
      </c>
      <c r="B2020" s="569" t="s">
        <v>3809</v>
      </c>
      <c r="C2020" s="569" t="s">
        <v>269</v>
      </c>
      <c r="D2020" s="580" t="s">
        <v>270</v>
      </c>
      <c r="E2020" s="569" t="s">
        <v>3374</v>
      </c>
      <c r="F2020" s="569" t="s">
        <v>152</v>
      </c>
      <c r="G2020" s="569" t="s">
        <v>271</v>
      </c>
      <c r="H2020" s="569">
        <v>2019</v>
      </c>
      <c r="I2020" s="569" t="s">
        <v>3765</v>
      </c>
      <c r="J2020" s="569" t="s">
        <v>3805</v>
      </c>
      <c r="K2020" s="569" t="s">
        <v>752</v>
      </c>
      <c r="L2020" s="569">
        <v>6</v>
      </c>
      <c r="M2020" s="569">
        <v>0</v>
      </c>
      <c r="N2020" s="569" t="s">
        <v>157</v>
      </c>
      <c r="O2020" s="569">
        <v>2</v>
      </c>
      <c r="P2020" s="569" t="s">
        <v>3767</v>
      </c>
      <c r="Q2020" s="568">
        <v>5000</v>
      </c>
      <c r="R2020" s="569" t="s">
        <v>3775</v>
      </c>
      <c r="S2020" s="569">
        <v>6</v>
      </c>
      <c r="T2020" s="569" t="s">
        <v>3769</v>
      </c>
      <c r="U2020" s="569" t="s">
        <v>318</v>
      </c>
      <c r="V2020" s="569">
        <v>145</v>
      </c>
      <c r="W2020" s="569">
        <v>26</v>
      </c>
      <c r="X2020" s="568">
        <v>7000</v>
      </c>
      <c r="Y2020" s="569">
        <v>19</v>
      </c>
      <c r="Z2020" s="581" t="s">
        <v>178</v>
      </c>
      <c r="AA2020" s="581" t="s">
        <v>178</v>
      </c>
      <c r="AB2020" s="585">
        <v>47005</v>
      </c>
      <c r="AC2020" s="585" t="s">
        <v>164</v>
      </c>
      <c r="AD2020" s="585">
        <v>34252.294736842108</v>
      </c>
      <c r="AE2020" s="587">
        <v>0.03</v>
      </c>
      <c r="AF2020" s="661" t="str">
        <f t="shared" si="220"/>
        <v>2019-LTK-FRD-F150-011-05</v>
      </c>
      <c r="AG2020" s="661" t="str">
        <f>IF(AND($Y2020&gt;=32,(AI2020="I"),(Y2020&lt;&gt;"~"),(COUNTIF($AN$1:$AN2020,$AN2020)=1)),"TRUE","FALSE")</f>
        <v>FALSE</v>
      </c>
      <c r="AH2020" s="661" t="str">
        <f>IF(AND($Y2020&gt;=22, (AI2020&lt;&gt;"I"),(Y2020&lt;&gt;"~"),(COUNTIF($AN$1:$AN2020,$AN2020)=1)),"TRUE","FALSE")</f>
        <v>FALSE</v>
      </c>
      <c r="AI2020" s="661" t="str">
        <f t="shared" si="222"/>
        <v>II</v>
      </c>
      <c r="AJ2020" s="662" t="str">
        <f t="shared" si="216"/>
        <v>F150-011</v>
      </c>
      <c r="AK2020" s="662" t="str">
        <f t="shared" si="217"/>
        <v>LTK</v>
      </c>
      <c r="AL2020" s="662" t="str">
        <f t="shared" si="218"/>
        <v>FRD</v>
      </c>
      <c r="AM2020" s="662" t="str">
        <f t="shared" si="221"/>
        <v>F150-Crew Cab XLT-4WD-6-5'5"-5000-3.5L Eco Boost-6-W1E-300A-145-26-Unleaded-Unleaded</v>
      </c>
      <c r="AN2020" s="662" t="str">
        <f t="shared" si="219"/>
        <v>2019-LTK-FRD-F150-011</v>
      </c>
    </row>
    <row r="2021" spans="1:40" s="572" customFormat="1" ht="15">
      <c r="A2021" s="570" t="s">
        <v>3810</v>
      </c>
      <c r="B2021" s="573" t="s">
        <v>3811</v>
      </c>
      <c r="C2021" s="573" t="s">
        <v>269</v>
      </c>
      <c r="D2021" s="578" t="s">
        <v>270</v>
      </c>
      <c r="E2021" s="573" t="s">
        <v>3374</v>
      </c>
      <c r="F2021" s="573" t="s">
        <v>152</v>
      </c>
      <c r="G2021" s="573" t="s">
        <v>271</v>
      </c>
      <c r="H2021" s="573">
        <v>2019</v>
      </c>
      <c r="I2021" s="573" t="s">
        <v>3765</v>
      </c>
      <c r="J2021" s="573" t="s">
        <v>3805</v>
      </c>
      <c r="K2021" s="573" t="s">
        <v>752</v>
      </c>
      <c r="L2021" s="573">
        <v>6</v>
      </c>
      <c r="M2021" s="573">
        <v>0</v>
      </c>
      <c r="N2021" s="573" t="s">
        <v>157</v>
      </c>
      <c r="O2021" s="573">
        <v>2</v>
      </c>
      <c r="P2021" s="573" t="s">
        <v>3767</v>
      </c>
      <c r="Q2021" s="571">
        <v>5000</v>
      </c>
      <c r="R2021" s="573" t="s">
        <v>3778</v>
      </c>
      <c r="S2021" s="573">
        <v>6</v>
      </c>
      <c r="T2021" s="573" t="s">
        <v>3769</v>
      </c>
      <c r="U2021" s="573" t="s">
        <v>318</v>
      </c>
      <c r="V2021" s="573">
        <v>145</v>
      </c>
      <c r="W2021" s="573">
        <v>26</v>
      </c>
      <c r="X2021" s="571">
        <v>7000</v>
      </c>
      <c r="Y2021" s="573">
        <v>18</v>
      </c>
      <c r="Z2021" s="579" t="s">
        <v>450</v>
      </c>
      <c r="AA2021" s="579" t="s">
        <v>178</v>
      </c>
      <c r="AB2021" s="584">
        <v>46405</v>
      </c>
      <c r="AC2021" s="584" t="s">
        <v>164</v>
      </c>
      <c r="AD2021" s="584">
        <v>33713.347368421055</v>
      </c>
      <c r="AE2021" s="586">
        <v>0.03</v>
      </c>
      <c r="AF2021" s="661" t="str">
        <f t="shared" si="220"/>
        <v>2019-LTK-FRD-F150-012-05</v>
      </c>
      <c r="AG2021" s="661" t="str">
        <f>IF(AND($Y2021&gt;=32,(AI2021="I"),(Y2021&lt;&gt;"~"),(COUNTIF($AN$1:$AN2021,$AN2021)=1)),"TRUE","FALSE")</f>
        <v>FALSE</v>
      </c>
      <c r="AH2021" s="661" t="str">
        <f>IF(AND($Y2021&gt;=22, (AI2021&lt;&gt;"I"),(Y2021&lt;&gt;"~"),(COUNTIF($AN$1:$AN2021,$AN2021)=1)),"TRUE","FALSE")</f>
        <v>FALSE</v>
      </c>
      <c r="AI2021" s="661" t="str">
        <f t="shared" si="222"/>
        <v>II</v>
      </c>
      <c r="AJ2021" s="662" t="str">
        <f t="shared" si="216"/>
        <v>F150-012</v>
      </c>
      <c r="AK2021" s="662" t="str">
        <f t="shared" si="217"/>
        <v>LTK</v>
      </c>
      <c r="AL2021" s="662" t="str">
        <f t="shared" si="218"/>
        <v>FRD</v>
      </c>
      <c r="AM2021" s="662" t="str">
        <f t="shared" si="221"/>
        <v>F150-Crew Cab XLT-4WD-6-5'5"-5000-5.0L FFV-6-W1E-300A-145-26-E85-Unleaded</v>
      </c>
      <c r="AN2021" s="662" t="str">
        <f t="shared" si="219"/>
        <v>2019-LTK-FRD-F150-012</v>
      </c>
    </row>
    <row r="2022" spans="1:40" s="572" customFormat="1" ht="15">
      <c r="A2022" s="570" t="s">
        <v>3812</v>
      </c>
      <c r="B2022" s="569" t="s">
        <v>3813</v>
      </c>
      <c r="C2022" s="569" t="s">
        <v>269</v>
      </c>
      <c r="D2022" s="580" t="s">
        <v>270</v>
      </c>
      <c r="E2022" s="569" t="s">
        <v>3374</v>
      </c>
      <c r="F2022" s="569" t="s">
        <v>152</v>
      </c>
      <c r="G2022" s="569" t="s">
        <v>271</v>
      </c>
      <c r="H2022" s="569">
        <v>2019</v>
      </c>
      <c r="I2022" s="569" t="s">
        <v>3765</v>
      </c>
      <c r="J2022" s="569" t="s">
        <v>3805</v>
      </c>
      <c r="K2022" s="569" t="s">
        <v>752</v>
      </c>
      <c r="L2022" s="569">
        <v>6</v>
      </c>
      <c r="M2022" s="569">
        <v>0</v>
      </c>
      <c r="N2022" s="569" t="s">
        <v>157</v>
      </c>
      <c r="O2022" s="569">
        <v>2</v>
      </c>
      <c r="P2022" s="569" t="s">
        <v>3781</v>
      </c>
      <c r="Q2022" s="568">
        <v>7000</v>
      </c>
      <c r="R2022" s="569" t="s">
        <v>3775</v>
      </c>
      <c r="S2022" s="569">
        <v>6</v>
      </c>
      <c r="T2022" s="569" t="s">
        <v>3769</v>
      </c>
      <c r="U2022" s="569" t="s">
        <v>318</v>
      </c>
      <c r="V2022" s="569">
        <v>157</v>
      </c>
      <c r="W2022" s="569">
        <v>26</v>
      </c>
      <c r="X2022" s="568">
        <v>7050</v>
      </c>
      <c r="Y2022" s="569">
        <v>19</v>
      </c>
      <c r="Z2022" s="581" t="s">
        <v>178</v>
      </c>
      <c r="AA2022" s="581" t="s">
        <v>178</v>
      </c>
      <c r="AB2022" s="585">
        <v>47265</v>
      </c>
      <c r="AC2022" s="585" t="s">
        <v>164</v>
      </c>
      <c r="AD2022" s="585">
        <v>34508.084210526315</v>
      </c>
      <c r="AE2022" s="587">
        <v>0.03</v>
      </c>
      <c r="AF2022" s="661" t="str">
        <f t="shared" si="220"/>
        <v>2019-LTK-FRD-F150-014-05</v>
      </c>
      <c r="AG2022" s="661" t="str">
        <f>IF(AND($Y2022&gt;=32,(AI2022="I"),(Y2022&lt;&gt;"~"),(COUNTIF($AN$1:$AN2022,$AN2022)=1)),"TRUE","FALSE")</f>
        <v>FALSE</v>
      </c>
      <c r="AH2022" s="661" t="str">
        <f>IF(AND($Y2022&gt;=22, (AI2022&lt;&gt;"I"),(Y2022&lt;&gt;"~"),(COUNTIF($AN$1:$AN2022,$AN2022)=1)),"TRUE","FALSE")</f>
        <v>FALSE</v>
      </c>
      <c r="AI2022" s="661" t="str">
        <f t="shared" si="222"/>
        <v>II</v>
      </c>
      <c r="AJ2022" s="662" t="str">
        <f t="shared" si="216"/>
        <v>F150-014</v>
      </c>
      <c r="AK2022" s="662" t="str">
        <f t="shared" si="217"/>
        <v>LTK</v>
      </c>
      <c r="AL2022" s="662" t="str">
        <f t="shared" si="218"/>
        <v>FRD</v>
      </c>
      <c r="AM2022" s="662" t="str">
        <f t="shared" si="221"/>
        <v>F150-Crew Cab XLT-4WD-6-6'5"-7000-3.5L Eco Boost-6-W1E-300A-157-26-Unleaded-Unleaded</v>
      </c>
      <c r="AN2022" s="662" t="str">
        <f t="shared" si="219"/>
        <v>2019-LTK-FRD-F150-014</v>
      </c>
    </row>
    <row r="2023" spans="1:40" s="572" customFormat="1" ht="15">
      <c r="A2023" s="570" t="s">
        <v>3814</v>
      </c>
      <c r="B2023" s="573" t="s">
        <v>3815</v>
      </c>
      <c r="C2023" s="573" t="s">
        <v>269</v>
      </c>
      <c r="D2023" s="578" t="s">
        <v>270</v>
      </c>
      <c r="E2023" s="573" t="s">
        <v>3374</v>
      </c>
      <c r="F2023" s="573" t="s">
        <v>152</v>
      </c>
      <c r="G2023" s="573" t="s">
        <v>271</v>
      </c>
      <c r="H2023" s="573">
        <v>2019</v>
      </c>
      <c r="I2023" s="573" t="s">
        <v>3765</v>
      </c>
      <c r="J2023" s="573" t="s">
        <v>3805</v>
      </c>
      <c r="K2023" s="573" t="s">
        <v>752</v>
      </c>
      <c r="L2023" s="573">
        <v>6</v>
      </c>
      <c r="M2023" s="573">
        <v>0</v>
      </c>
      <c r="N2023" s="573" t="s">
        <v>157</v>
      </c>
      <c r="O2023" s="573">
        <v>2</v>
      </c>
      <c r="P2023" s="573" t="s">
        <v>3781</v>
      </c>
      <c r="Q2023" s="571">
        <v>7000</v>
      </c>
      <c r="R2023" s="573" t="s">
        <v>3778</v>
      </c>
      <c r="S2023" s="573">
        <v>6</v>
      </c>
      <c r="T2023" s="573" t="s">
        <v>3769</v>
      </c>
      <c r="U2023" s="573" t="s">
        <v>318</v>
      </c>
      <c r="V2023" s="573">
        <v>157</v>
      </c>
      <c r="W2023" s="573">
        <v>26</v>
      </c>
      <c r="X2023" s="571">
        <v>7050</v>
      </c>
      <c r="Y2023" s="573">
        <v>18</v>
      </c>
      <c r="Z2023" s="579" t="s">
        <v>450</v>
      </c>
      <c r="AA2023" s="579" t="s">
        <v>178</v>
      </c>
      <c r="AB2023" s="584">
        <v>46665</v>
      </c>
      <c r="AC2023" s="584" t="s">
        <v>164</v>
      </c>
      <c r="AD2023" s="584">
        <v>33970.189473684215</v>
      </c>
      <c r="AE2023" s="586">
        <v>0.03</v>
      </c>
      <c r="AF2023" s="661" t="str">
        <f t="shared" si="220"/>
        <v>2019-LTK-FRD-F150-015-05</v>
      </c>
      <c r="AG2023" s="661" t="str">
        <f>IF(AND($Y2023&gt;=32,(AI2023="I"),(Y2023&lt;&gt;"~"),(COUNTIF($AN$1:$AN2023,$AN2023)=1)),"TRUE","FALSE")</f>
        <v>FALSE</v>
      </c>
      <c r="AH2023" s="661" t="str">
        <f>IF(AND($Y2023&gt;=22, (AI2023&lt;&gt;"I"),(Y2023&lt;&gt;"~"),(COUNTIF($AN$1:$AN2023,$AN2023)=1)),"TRUE","FALSE")</f>
        <v>FALSE</v>
      </c>
      <c r="AI2023" s="661" t="str">
        <f t="shared" si="222"/>
        <v>II</v>
      </c>
      <c r="AJ2023" s="662" t="str">
        <f t="shared" si="216"/>
        <v>F150-015</v>
      </c>
      <c r="AK2023" s="662" t="str">
        <f t="shared" si="217"/>
        <v>LTK</v>
      </c>
      <c r="AL2023" s="662" t="str">
        <f t="shared" si="218"/>
        <v>FRD</v>
      </c>
      <c r="AM2023" s="662" t="str">
        <f t="shared" si="221"/>
        <v>F150-Crew Cab XLT-4WD-6-6'5"-7000-5.0L FFV-6-W1E-300A-157-26-E85-Unleaded</v>
      </c>
      <c r="AN2023" s="662" t="str">
        <f t="shared" si="219"/>
        <v>2019-LTK-FRD-F150-015</v>
      </c>
    </row>
    <row r="2024" spans="1:40" s="572" customFormat="1" ht="15">
      <c r="A2024" s="570" t="s">
        <v>3816</v>
      </c>
      <c r="B2024" s="569" t="s">
        <v>3804</v>
      </c>
      <c r="C2024" s="569" t="s">
        <v>278</v>
      </c>
      <c r="D2024" s="580">
        <v>15</v>
      </c>
      <c r="E2024" s="569" t="s">
        <v>3374</v>
      </c>
      <c r="F2024" s="569" t="s">
        <v>152</v>
      </c>
      <c r="G2024" s="569" t="s">
        <v>271</v>
      </c>
      <c r="H2024" s="569">
        <v>2019</v>
      </c>
      <c r="I2024" s="569" t="s">
        <v>3765</v>
      </c>
      <c r="J2024" s="569" t="s">
        <v>3805</v>
      </c>
      <c r="K2024" s="569" t="s">
        <v>752</v>
      </c>
      <c r="L2024" s="569">
        <v>6</v>
      </c>
      <c r="M2024" s="569">
        <v>0</v>
      </c>
      <c r="N2024" s="569" t="s">
        <v>157</v>
      </c>
      <c r="O2024" s="569">
        <v>2</v>
      </c>
      <c r="P2024" s="569" t="s">
        <v>3767</v>
      </c>
      <c r="Q2024" s="568">
        <v>5000</v>
      </c>
      <c r="R2024" s="569" t="s">
        <v>3768</v>
      </c>
      <c r="S2024" s="569">
        <v>6</v>
      </c>
      <c r="T2024" s="569" t="s">
        <v>3769</v>
      </c>
      <c r="U2024" s="569" t="s">
        <v>318</v>
      </c>
      <c r="V2024" s="569">
        <v>145</v>
      </c>
      <c r="W2024" s="569">
        <v>26</v>
      </c>
      <c r="X2024" s="568">
        <v>6600</v>
      </c>
      <c r="Y2024" s="569">
        <v>24</v>
      </c>
      <c r="Z2024" s="581" t="s">
        <v>178</v>
      </c>
      <c r="AA2024" s="581" t="s">
        <v>178</v>
      </c>
      <c r="AB2024" s="585">
        <v>45405</v>
      </c>
      <c r="AC2024" s="585" t="s">
        <v>164</v>
      </c>
      <c r="AD2024" s="585">
        <v>32995</v>
      </c>
      <c r="AE2024" s="587">
        <v>0.01</v>
      </c>
      <c r="AF2024" s="661" t="str">
        <f t="shared" si="220"/>
        <v>2019-LTK-FRD-F150-009-15</v>
      </c>
      <c r="AG2024" s="661" t="str">
        <f>IF(AND($Y2024&gt;=32,(AI2024="I"),(Y2024&lt;&gt;"~"),(COUNTIF($AN$1:$AN2024,$AN2024)=1)),"TRUE","FALSE")</f>
        <v>FALSE</v>
      </c>
      <c r="AH2024" s="661" t="str">
        <f>IF(AND($Y2024&gt;=22, (AI2024&lt;&gt;"I"),(Y2024&lt;&gt;"~"),(COUNTIF($AN$1:$AN2024,$AN2024)=1)),"TRUE","FALSE")</f>
        <v>FALSE</v>
      </c>
      <c r="AI2024" s="661" t="str">
        <f t="shared" si="222"/>
        <v>II</v>
      </c>
      <c r="AJ2024" s="662" t="str">
        <f t="shared" si="216"/>
        <v>F150-009</v>
      </c>
      <c r="AK2024" s="662" t="str">
        <f t="shared" si="217"/>
        <v>LTK</v>
      </c>
      <c r="AL2024" s="662" t="str">
        <f t="shared" si="218"/>
        <v>FRD</v>
      </c>
      <c r="AM2024" s="662" t="str">
        <f t="shared" si="221"/>
        <v>F150-Crew Cab XLT-4WD-6-5'5"-5000-2.7L EcoBoost -6-W1E-300A-145-26-Unleaded-Unleaded</v>
      </c>
      <c r="AN2024" s="662" t="str">
        <f t="shared" si="219"/>
        <v>2019-LTK-FRD-F150-009</v>
      </c>
    </row>
    <row r="2025" spans="1:40" s="572" customFormat="1" ht="15">
      <c r="A2025" s="570" t="s">
        <v>3817</v>
      </c>
      <c r="B2025" s="573" t="s">
        <v>3807</v>
      </c>
      <c r="C2025" s="573" t="s">
        <v>278</v>
      </c>
      <c r="D2025" s="578">
        <v>15</v>
      </c>
      <c r="E2025" s="573" t="s">
        <v>3374</v>
      </c>
      <c r="F2025" s="573" t="s">
        <v>152</v>
      </c>
      <c r="G2025" s="573" t="s">
        <v>271</v>
      </c>
      <c r="H2025" s="573">
        <v>2019</v>
      </c>
      <c r="I2025" s="573" t="s">
        <v>3765</v>
      </c>
      <c r="J2025" s="573" t="s">
        <v>3805</v>
      </c>
      <c r="K2025" s="573" t="s">
        <v>752</v>
      </c>
      <c r="L2025" s="573">
        <v>6</v>
      </c>
      <c r="M2025" s="573">
        <v>0</v>
      </c>
      <c r="N2025" s="573" t="s">
        <v>157</v>
      </c>
      <c r="O2025" s="573">
        <v>2</v>
      </c>
      <c r="P2025" s="573" t="s">
        <v>3767</v>
      </c>
      <c r="Q2025" s="571">
        <v>5000</v>
      </c>
      <c r="R2025" s="573" t="s">
        <v>3772</v>
      </c>
      <c r="S2025" s="573">
        <v>6</v>
      </c>
      <c r="T2025" s="573" t="s">
        <v>3769</v>
      </c>
      <c r="U2025" s="573" t="s">
        <v>318</v>
      </c>
      <c r="V2025" s="573">
        <v>145</v>
      </c>
      <c r="W2025" s="573">
        <v>26</v>
      </c>
      <c r="X2025" s="571">
        <v>6500</v>
      </c>
      <c r="Y2025" s="573">
        <v>23</v>
      </c>
      <c r="Z2025" s="579" t="s">
        <v>450</v>
      </c>
      <c r="AA2025" s="579" t="s">
        <v>178</v>
      </c>
      <c r="AB2025" s="584">
        <v>44410</v>
      </c>
      <c r="AC2025" s="584" t="s">
        <v>164</v>
      </c>
      <c r="AD2025" s="584">
        <v>32050</v>
      </c>
      <c r="AE2025" s="586">
        <v>0.01</v>
      </c>
      <c r="AF2025" s="661" t="str">
        <f t="shared" si="220"/>
        <v>2019-LTK-FRD-F150-010-15</v>
      </c>
      <c r="AG2025" s="661" t="str">
        <f>IF(AND($Y2025&gt;=32,(AI2025="I"),(Y2025&lt;&gt;"~"),(COUNTIF($AN$1:$AN2025,$AN2025)=1)),"TRUE","FALSE")</f>
        <v>FALSE</v>
      </c>
      <c r="AH2025" s="661" t="str">
        <f>IF(AND($Y2025&gt;=22, (AI2025&lt;&gt;"I"),(Y2025&lt;&gt;"~"),(COUNTIF($AN$1:$AN2025,$AN2025)=1)),"TRUE","FALSE")</f>
        <v>FALSE</v>
      </c>
      <c r="AI2025" s="661" t="str">
        <f t="shared" si="222"/>
        <v>II</v>
      </c>
      <c r="AJ2025" s="662" t="str">
        <f t="shared" si="216"/>
        <v>F150-010</v>
      </c>
      <c r="AK2025" s="662" t="str">
        <f t="shared" si="217"/>
        <v>LTK</v>
      </c>
      <c r="AL2025" s="662" t="str">
        <f t="shared" si="218"/>
        <v>FRD</v>
      </c>
      <c r="AM2025" s="662" t="str">
        <f t="shared" si="221"/>
        <v>F150-Crew Cab XLT-4WD-6-5'5"-5000-3.3L FFV-6-W1E-300A-145-26-E85-Unleaded</v>
      </c>
      <c r="AN2025" s="662" t="str">
        <f t="shared" si="219"/>
        <v>2019-LTK-FRD-F150-010</v>
      </c>
    </row>
    <row r="2026" spans="1:40" s="572" customFormat="1" ht="15">
      <c r="A2026" s="570" t="s">
        <v>3818</v>
      </c>
      <c r="B2026" s="569" t="s">
        <v>3809</v>
      </c>
      <c r="C2026" s="569" t="s">
        <v>278</v>
      </c>
      <c r="D2026" s="580">
        <v>15</v>
      </c>
      <c r="E2026" s="569" t="s">
        <v>3374</v>
      </c>
      <c r="F2026" s="569" t="s">
        <v>152</v>
      </c>
      <c r="G2026" s="569" t="s">
        <v>271</v>
      </c>
      <c r="H2026" s="569">
        <v>2019</v>
      </c>
      <c r="I2026" s="569" t="s">
        <v>3765</v>
      </c>
      <c r="J2026" s="569" t="s">
        <v>3805</v>
      </c>
      <c r="K2026" s="569" t="s">
        <v>752</v>
      </c>
      <c r="L2026" s="569">
        <v>6</v>
      </c>
      <c r="M2026" s="569">
        <v>0</v>
      </c>
      <c r="N2026" s="569" t="s">
        <v>157</v>
      </c>
      <c r="O2026" s="569">
        <v>2</v>
      </c>
      <c r="P2026" s="569" t="s">
        <v>3767</v>
      </c>
      <c r="Q2026" s="568">
        <v>5000</v>
      </c>
      <c r="R2026" s="569" t="s">
        <v>3775</v>
      </c>
      <c r="S2026" s="569">
        <v>6</v>
      </c>
      <c r="T2026" s="569" t="s">
        <v>3769</v>
      </c>
      <c r="U2026" s="569" t="s">
        <v>318</v>
      </c>
      <c r="V2026" s="569">
        <v>145</v>
      </c>
      <c r="W2026" s="569">
        <v>26</v>
      </c>
      <c r="X2026" s="568">
        <v>6750</v>
      </c>
      <c r="Y2026" s="569">
        <v>24</v>
      </c>
      <c r="Z2026" s="581" t="s">
        <v>178</v>
      </c>
      <c r="AA2026" s="581" t="s">
        <v>178</v>
      </c>
      <c r="AB2026" s="585">
        <v>47005</v>
      </c>
      <c r="AC2026" s="585" t="s">
        <v>164</v>
      </c>
      <c r="AD2026" s="585">
        <v>34400</v>
      </c>
      <c r="AE2026" s="587">
        <v>0.01</v>
      </c>
      <c r="AF2026" s="661" t="str">
        <f t="shared" si="220"/>
        <v>2019-LTK-FRD-F150-011-15</v>
      </c>
      <c r="AG2026" s="661" t="str">
        <f>IF(AND($Y2026&gt;=32,(AI2026="I"),(Y2026&lt;&gt;"~"),(COUNTIF($AN$1:$AN2026,$AN2026)=1)),"TRUE","FALSE")</f>
        <v>FALSE</v>
      </c>
      <c r="AH2026" s="661" t="str">
        <f>IF(AND($Y2026&gt;=22, (AI2026&lt;&gt;"I"),(Y2026&lt;&gt;"~"),(COUNTIF($AN$1:$AN2026,$AN2026)=1)),"TRUE","FALSE")</f>
        <v>FALSE</v>
      </c>
      <c r="AI2026" s="661" t="str">
        <f t="shared" si="222"/>
        <v>II</v>
      </c>
      <c r="AJ2026" s="662" t="str">
        <f t="shared" si="216"/>
        <v>F150-011</v>
      </c>
      <c r="AK2026" s="662" t="str">
        <f t="shared" si="217"/>
        <v>LTK</v>
      </c>
      <c r="AL2026" s="662" t="str">
        <f t="shared" si="218"/>
        <v>FRD</v>
      </c>
      <c r="AM2026" s="662" t="str">
        <f t="shared" si="221"/>
        <v>F150-Crew Cab XLT-4WD-6-5'5"-5000-3.5L Eco Boost-6-W1E-300A-145-26-Unleaded-Unleaded</v>
      </c>
      <c r="AN2026" s="662" t="str">
        <f t="shared" si="219"/>
        <v>2019-LTK-FRD-F150-011</v>
      </c>
    </row>
    <row r="2027" spans="1:40" s="572" customFormat="1" ht="15">
      <c r="A2027" s="570" t="s">
        <v>3819</v>
      </c>
      <c r="B2027" s="573" t="s">
        <v>3811</v>
      </c>
      <c r="C2027" s="573" t="s">
        <v>278</v>
      </c>
      <c r="D2027" s="578">
        <v>15</v>
      </c>
      <c r="E2027" s="573" t="s">
        <v>3374</v>
      </c>
      <c r="F2027" s="573" t="s">
        <v>152</v>
      </c>
      <c r="G2027" s="573" t="s">
        <v>271</v>
      </c>
      <c r="H2027" s="573">
        <v>2019</v>
      </c>
      <c r="I2027" s="573" t="s">
        <v>3765</v>
      </c>
      <c r="J2027" s="573" t="s">
        <v>3805</v>
      </c>
      <c r="K2027" s="573" t="s">
        <v>752</v>
      </c>
      <c r="L2027" s="573">
        <v>6</v>
      </c>
      <c r="M2027" s="573">
        <v>0</v>
      </c>
      <c r="N2027" s="573" t="s">
        <v>157</v>
      </c>
      <c r="O2027" s="573">
        <v>2</v>
      </c>
      <c r="P2027" s="573" t="s">
        <v>3767</v>
      </c>
      <c r="Q2027" s="571">
        <v>5000</v>
      </c>
      <c r="R2027" s="573" t="s">
        <v>3778</v>
      </c>
      <c r="S2027" s="573">
        <v>6</v>
      </c>
      <c r="T2027" s="573" t="s">
        <v>3769</v>
      </c>
      <c r="U2027" s="573" t="s">
        <v>318</v>
      </c>
      <c r="V2027" s="573">
        <v>145</v>
      </c>
      <c r="W2027" s="573">
        <v>26</v>
      </c>
      <c r="X2027" s="571">
        <v>6800</v>
      </c>
      <c r="Y2027" s="573">
        <v>23</v>
      </c>
      <c r="Z2027" s="579" t="s">
        <v>450</v>
      </c>
      <c r="AA2027" s="579" t="s">
        <v>178</v>
      </c>
      <c r="AB2027" s="584">
        <v>46405</v>
      </c>
      <c r="AC2027" s="584" t="s">
        <v>164</v>
      </c>
      <c r="AD2027" s="584">
        <v>33900</v>
      </c>
      <c r="AE2027" s="586">
        <v>0.01</v>
      </c>
      <c r="AF2027" s="661" t="str">
        <f t="shared" si="220"/>
        <v>2019-LTK-FRD-F150-012-15</v>
      </c>
      <c r="AG2027" s="661" t="str">
        <f>IF(AND($Y2027&gt;=32,(AI2027="I"),(Y2027&lt;&gt;"~"),(COUNTIF($AN$1:$AN2027,$AN2027)=1)),"TRUE","FALSE")</f>
        <v>FALSE</v>
      </c>
      <c r="AH2027" s="661" t="str">
        <f>IF(AND($Y2027&gt;=22, (AI2027&lt;&gt;"I"),(Y2027&lt;&gt;"~"),(COUNTIF($AN$1:$AN2027,$AN2027)=1)),"TRUE","FALSE")</f>
        <v>FALSE</v>
      </c>
      <c r="AI2027" s="661" t="str">
        <f t="shared" si="222"/>
        <v>II</v>
      </c>
      <c r="AJ2027" s="662" t="str">
        <f t="shared" si="216"/>
        <v>F150-012</v>
      </c>
      <c r="AK2027" s="662" t="str">
        <f t="shared" si="217"/>
        <v>LTK</v>
      </c>
      <c r="AL2027" s="662" t="str">
        <f t="shared" si="218"/>
        <v>FRD</v>
      </c>
      <c r="AM2027" s="662" t="str">
        <f t="shared" si="221"/>
        <v>F150-Crew Cab XLT-4WD-6-5'5"-5000-5.0L FFV-6-W1E-300A-145-26-E85-Unleaded</v>
      </c>
      <c r="AN2027" s="662" t="str">
        <f t="shared" si="219"/>
        <v>2019-LTK-FRD-F150-012</v>
      </c>
    </row>
    <row r="2028" spans="1:40" s="572" customFormat="1" ht="15">
      <c r="A2028" s="570" t="s">
        <v>3820</v>
      </c>
      <c r="B2028" s="569" t="s">
        <v>3813</v>
      </c>
      <c r="C2028" s="569" t="s">
        <v>278</v>
      </c>
      <c r="D2028" s="580">
        <v>15</v>
      </c>
      <c r="E2028" s="569" t="s">
        <v>3374</v>
      </c>
      <c r="F2028" s="569" t="s">
        <v>152</v>
      </c>
      <c r="G2028" s="569" t="s">
        <v>271</v>
      </c>
      <c r="H2028" s="569">
        <v>2019</v>
      </c>
      <c r="I2028" s="569" t="s">
        <v>3765</v>
      </c>
      <c r="J2028" s="569" t="s">
        <v>3805</v>
      </c>
      <c r="K2028" s="569" t="s">
        <v>752</v>
      </c>
      <c r="L2028" s="569">
        <v>6</v>
      </c>
      <c r="M2028" s="569">
        <v>0</v>
      </c>
      <c r="N2028" s="569" t="s">
        <v>157</v>
      </c>
      <c r="O2028" s="569">
        <v>2</v>
      </c>
      <c r="P2028" s="569" t="s">
        <v>3781</v>
      </c>
      <c r="Q2028" s="568">
        <v>7000</v>
      </c>
      <c r="R2028" s="569" t="s">
        <v>3775</v>
      </c>
      <c r="S2028" s="569">
        <v>6</v>
      </c>
      <c r="T2028" s="569" t="s">
        <v>3769</v>
      </c>
      <c r="U2028" s="569" t="s">
        <v>318</v>
      </c>
      <c r="V2028" s="569">
        <v>157</v>
      </c>
      <c r="W2028" s="569">
        <v>26</v>
      </c>
      <c r="X2028" s="568">
        <v>7050</v>
      </c>
      <c r="Y2028" s="569">
        <v>26</v>
      </c>
      <c r="Z2028" s="581" t="s">
        <v>178</v>
      </c>
      <c r="AA2028" s="581" t="s">
        <v>178</v>
      </c>
      <c r="AB2028" s="585">
        <v>47265</v>
      </c>
      <c r="AC2028" s="585" t="s">
        <v>164</v>
      </c>
      <c r="AD2028" s="585">
        <v>34650</v>
      </c>
      <c r="AE2028" s="587">
        <v>0.01</v>
      </c>
      <c r="AF2028" s="661" t="str">
        <f t="shared" si="220"/>
        <v>2019-LTK-FRD-F150-014-15</v>
      </c>
      <c r="AG2028" s="661" t="str">
        <f>IF(AND($Y2028&gt;=32,(AI2028="I"),(Y2028&lt;&gt;"~"),(COUNTIF($AN$1:$AN2028,$AN2028)=1)),"TRUE","FALSE")</f>
        <v>FALSE</v>
      </c>
      <c r="AH2028" s="661" t="str">
        <f>IF(AND($Y2028&gt;=22, (AI2028&lt;&gt;"I"),(Y2028&lt;&gt;"~"),(COUNTIF($AN$1:$AN2028,$AN2028)=1)),"TRUE","FALSE")</f>
        <v>FALSE</v>
      </c>
      <c r="AI2028" s="661" t="str">
        <f t="shared" si="222"/>
        <v>II</v>
      </c>
      <c r="AJ2028" s="662" t="str">
        <f t="shared" si="216"/>
        <v>F150-014</v>
      </c>
      <c r="AK2028" s="662" t="str">
        <f t="shared" si="217"/>
        <v>LTK</v>
      </c>
      <c r="AL2028" s="662" t="str">
        <f t="shared" si="218"/>
        <v>FRD</v>
      </c>
      <c r="AM2028" s="662" t="str">
        <f t="shared" si="221"/>
        <v>F150-Crew Cab XLT-4WD-6-6'5"-7000-3.5L Eco Boost-6-W1E-300A-157-26-Unleaded-Unleaded</v>
      </c>
      <c r="AN2028" s="662" t="str">
        <f t="shared" si="219"/>
        <v>2019-LTK-FRD-F150-014</v>
      </c>
    </row>
    <row r="2029" spans="1:40" s="572" customFormat="1" ht="15">
      <c r="A2029" s="570" t="s">
        <v>3821</v>
      </c>
      <c r="B2029" s="573" t="s">
        <v>3815</v>
      </c>
      <c r="C2029" s="573" t="s">
        <v>278</v>
      </c>
      <c r="D2029" s="578">
        <v>15</v>
      </c>
      <c r="E2029" s="573" t="s">
        <v>3374</v>
      </c>
      <c r="F2029" s="573" t="s">
        <v>152</v>
      </c>
      <c r="G2029" s="573" t="s">
        <v>271</v>
      </c>
      <c r="H2029" s="573">
        <v>2019</v>
      </c>
      <c r="I2029" s="573" t="s">
        <v>3765</v>
      </c>
      <c r="J2029" s="573" t="s">
        <v>3805</v>
      </c>
      <c r="K2029" s="573" t="s">
        <v>752</v>
      </c>
      <c r="L2029" s="573">
        <v>6</v>
      </c>
      <c r="M2029" s="573">
        <v>0</v>
      </c>
      <c r="N2029" s="573" t="s">
        <v>157</v>
      </c>
      <c r="O2029" s="573">
        <v>2</v>
      </c>
      <c r="P2029" s="573" t="s">
        <v>3781</v>
      </c>
      <c r="Q2029" s="571">
        <v>7000</v>
      </c>
      <c r="R2029" s="573" t="s">
        <v>3778</v>
      </c>
      <c r="S2029" s="573">
        <v>6</v>
      </c>
      <c r="T2029" s="573" t="s">
        <v>3769</v>
      </c>
      <c r="U2029" s="573" t="s">
        <v>318</v>
      </c>
      <c r="V2029" s="573">
        <v>157</v>
      </c>
      <c r="W2029" s="573">
        <v>26</v>
      </c>
      <c r="X2029" s="571">
        <v>7050</v>
      </c>
      <c r="Y2029" s="573">
        <v>26</v>
      </c>
      <c r="Z2029" s="579" t="s">
        <v>450</v>
      </c>
      <c r="AA2029" s="579" t="s">
        <v>178</v>
      </c>
      <c r="AB2029" s="584">
        <v>46665</v>
      </c>
      <c r="AC2029" s="584" t="s">
        <v>164</v>
      </c>
      <c r="AD2029" s="584">
        <v>34100</v>
      </c>
      <c r="AE2029" s="586">
        <v>0.01</v>
      </c>
      <c r="AF2029" s="661" t="str">
        <f t="shared" si="220"/>
        <v>2019-LTK-FRD-F150-015-15</v>
      </c>
      <c r="AG2029" s="661" t="str">
        <f>IF(AND($Y2029&gt;=32,(AI2029="I"),(Y2029&lt;&gt;"~"),(COUNTIF($AN$1:$AN2029,$AN2029)=1)),"TRUE","FALSE")</f>
        <v>FALSE</v>
      </c>
      <c r="AH2029" s="661" t="str">
        <f>IF(AND($Y2029&gt;=22, (AI2029&lt;&gt;"I"),(Y2029&lt;&gt;"~"),(COUNTIF($AN$1:$AN2029,$AN2029)=1)),"TRUE","FALSE")</f>
        <v>FALSE</v>
      </c>
      <c r="AI2029" s="661" t="str">
        <f t="shared" si="222"/>
        <v>II</v>
      </c>
      <c r="AJ2029" s="662" t="str">
        <f t="shared" si="216"/>
        <v>F150-015</v>
      </c>
      <c r="AK2029" s="662" t="str">
        <f t="shared" si="217"/>
        <v>LTK</v>
      </c>
      <c r="AL2029" s="662" t="str">
        <f t="shared" si="218"/>
        <v>FRD</v>
      </c>
      <c r="AM2029" s="662" t="str">
        <f t="shared" si="221"/>
        <v>F150-Crew Cab XLT-4WD-6-6'5"-7000-5.0L FFV-6-W1E-300A-157-26-E85-Unleaded</v>
      </c>
      <c r="AN2029" s="662" t="str">
        <f t="shared" si="219"/>
        <v>2019-LTK-FRD-F150-015</v>
      </c>
    </row>
    <row r="2030" spans="1:40" s="572" customFormat="1" ht="15">
      <c r="A2030" s="570" t="s">
        <v>3822</v>
      </c>
      <c r="B2030" s="569" t="s">
        <v>3804</v>
      </c>
      <c r="C2030" s="569" t="s">
        <v>287</v>
      </c>
      <c r="D2030" s="580">
        <v>26</v>
      </c>
      <c r="E2030" s="569" t="s">
        <v>3374</v>
      </c>
      <c r="F2030" s="569" t="s">
        <v>152</v>
      </c>
      <c r="G2030" s="569" t="s">
        <v>271</v>
      </c>
      <c r="H2030" s="569">
        <v>2019</v>
      </c>
      <c r="I2030" s="569" t="s">
        <v>3765</v>
      </c>
      <c r="J2030" s="569" t="s">
        <v>3805</v>
      </c>
      <c r="K2030" s="569" t="s">
        <v>752</v>
      </c>
      <c r="L2030" s="569">
        <v>6</v>
      </c>
      <c r="M2030" s="569">
        <v>0</v>
      </c>
      <c r="N2030" s="569" t="s">
        <v>157</v>
      </c>
      <c r="O2030" s="569">
        <v>2</v>
      </c>
      <c r="P2030" s="569" t="s">
        <v>3767</v>
      </c>
      <c r="Q2030" s="568">
        <v>5000</v>
      </c>
      <c r="R2030" s="569" t="s">
        <v>3768</v>
      </c>
      <c r="S2030" s="569">
        <v>6</v>
      </c>
      <c r="T2030" s="569" t="s">
        <v>3769</v>
      </c>
      <c r="U2030" s="569" t="s">
        <v>318</v>
      </c>
      <c r="V2030" s="569">
        <v>145</v>
      </c>
      <c r="W2030" s="569">
        <v>26</v>
      </c>
      <c r="X2030" s="568">
        <v>6600</v>
      </c>
      <c r="Y2030" s="569">
        <v>24</v>
      </c>
      <c r="Z2030" s="581" t="s">
        <v>178</v>
      </c>
      <c r="AA2030" s="581" t="s">
        <v>178</v>
      </c>
      <c r="AB2030" s="585">
        <v>45405</v>
      </c>
      <c r="AC2030" s="585" t="s">
        <v>164</v>
      </c>
      <c r="AD2030" s="585">
        <v>33398</v>
      </c>
      <c r="AE2030" s="587">
        <v>0.05</v>
      </c>
      <c r="AF2030" s="661" t="str">
        <f t="shared" si="220"/>
        <v>2019-LTK-FRD-F150-009-26</v>
      </c>
      <c r="AG2030" s="661" t="str">
        <f>IF(AND($Y2030&gt;=32,(AI2030="I"),(Y2030&lt;&gt;"~"),(COUNTIF($AN$1:$AN2030,$AN2030)=1)),"TRUE","FALSE")</f>
        <v>FALSE</v>
      </c>
      <c r="AH2030" s="661" t="str">
        <f>IF(AND($Y2030&gt;=22, (AI2030&lt;&gt;"I"),(Y2030&lt;&gt;"~"),(COUNTIF($AN$1:$AN2030,$AN2030)=1)),"TRUE","FALSE")</f>
        <v>FALSE</v>
      </c>
      <c r="AI2030" s="661" t="str">
        <f t="shared" si="222"/>
        <v>II</v>
      </c>
      <c r="AJ2030" s="662" t="str">
        <f t="shared" si="216"/>
        <v>F150-009</v>
      </c>
      <c r="AK2030" s="662" t="str">
        <f t="shared" si="217"/>
        <v>LTK</v>
      </c>
      <c r="AL2030" s="662" t="str">
        <f t="shared" si="218"/>
        <v>FRD</v>
      </c>
      <c r="AM2030" s="662" t="str">
        <f t="shared" si="221"/>
        <v>F150-Crew Cab XLT-4WD-6-5'5"-5000-2.7L EcoBoost -6-W1E-300A-145-26-Unleaded-Unleaded</v>
      </c>
      <c r="AN2030" s="662" t="str">
        <f t="shared" si="219"/>
        <v>2019-LTK-FRD-F150-009</v>
      </c>
    </row>
    <row r="2031" spans="1:40" s="572" customFormat="1" ht="15">
      <c r="A2031" s="570" t="s">
        <v>3823</v>
      </c>
      <c r="B2031" s="573" t="s">
        <v>3809</v>
      </c>
      <c r="C2031" s="573" t="s">
        <v>287</v>
      </c>
      <c r="D2031" s="578">
        <v>26</v>
      </c>
      <c r="E2031" s="573" t="s">
        <v>3374</v>
      </c>
      <c r="F2031" s="573" t="s">
        <v>152</v>
      </c>
      <c r="G2031" s="573" t="s">
        <v>271</v>
      </c>
      <c r="H2031" s="573">
        <v>2019</v>
      </c>
      <c r="I2031" s="573" t="s">
        <v>3765</v>
      </c>
      <c r="J2031" s="573" t="s">
        <v>3805</v>
      </c>
      <c r="K2031" s="573" t="s">
        <v>752</v>
      </c>
      <c r="L2031" s="573">
        <v>6</v>
      </c>
      <c r="M2031" s="573">
        <v>0</v>
      </c>
      <c r="N2031" s="573" t="s">
        <v>157</v>
      </c>
      <c r="O2031" s="573">
        <v>2</v>
      </c>
      <c r="P2031" s="573" t="s">
        <v>3767</v>
      </c>
      <c r="Q2031" s="571">
        <v>5000</v>
      </c>
      <c r="R2031" s="573" t="s">
        <v>3775</v>
      </c>
      <c r="S2031" s="573">
        <v>6</v>
      </c>
      <c r="T2031" s="573" t="s">
        <v>3769</v>
      </c>
      <c r="U2031" s="573" t="s">
        <v>318</v>
      </c>
      <c r="V2031" s="573">
        <v>145</v>
      </c>
      <c r="W2031" s="573">
        <v>26</v>
      </c>
      <c r="X2031" s="571">
        <v>6750</v>
      </c>
      <c r="Y2031" s="573">
        <v>24</v>
      </c>
      <c r="Z2031" s="579" t="s">
        <v>178</v>
      </c>
      <c r="AA2031" s="579" t="s">
        <v>178</v>
      </c>
      <c r="AB2031" s="584">
        <v>47005</v>
      </c>
      <c r="AC2031" s="584" t="s">
        <v>164</v>
      </c>
      <c r="AD2031" s="584">
        <v>34853</v>
      </c>
      <c r="AE2031" s="586">
        <v>0.05</v>
      </c>
      <c r="AF2031" s="661" t="str">
        <f t="shared" si="220"/>
        <v>2019-LTK-FRD-F150-011-26</v>
      </c>
      <c r="AG2031" s="661" t="str">
        <f>IF(AND($Y2031&gt;=32,(AI2031="I"),(Y2031&lt;&gt;"~"),(COUNTIF($AN$1:$AN2031,$AN2031)=1)),"TRUE","FALSE")</f>
        <v>FALSE</v>
      </c>
      <c r="AH2031" s="661" t="str">
        <f>IF(AND($Y2031&gt;=22, (AI2031&lt;&gt;"I"),(Y2031&lt;&gt;"~"),(COUNTIF($AN$1:$AN2031,$AN2031)=1)),"TRUE","FALSE")</f>
        <v>FALSE</v>
      </c>
      <c r="AI2031" s="661" t="str">
        <f t="shared" si="222"/>
        <v>II</v>
      </c>
      <c r="AJ2031" s="662" t="str">
        <f t="shared" si="216"/>
        <v>F150-011</v>
      </c>
      <c r="AK2031" s="662" t="str">
        <f t="shared" si="217"/>
        <v>LTK</v>
      </c>
      <c r="AL2031" s="662" t="str">
        <f t="shared" si="218"/>
        <v>FRD</v>
      </c>
      <c r="AM2031" s="662" t="str">
        <f t="shared" si="221"/>
        <v>F150-Crew Cab XLT-4WD-6-5'5"-5000-3.5L Eco Boost-6-W1E-300A-145-26-Unleaded-Unleaded</v>
      </c>
      <c r="AN2031" s="662" t="str">
        <f t="shared" si="219"/>
        <v>2019-LTK-FRD-F150-011</v>
      </c>
    </row>
    <row r="2032" spans="1:40" s="572" customFormat="1" ht="15">
      <c r="A2032" s="570" t="s">
        <v>3824</v>
      </c>
      <c r="B2032" s="569" t="s">
        <v>3811</v>
      </c>
      <c r="C2032" s="569" t="s">
        <v>287</v>
      </c>
      <c r="D2032" s="580">
        <v>26</v>
      </c>
      <c r="E2032" s="569" t="s">
        <v>3374</v>
      </c>
      <c r="F2032" s="569" t="s">
        <v>152</v>
      </c>
      <c r="G2032" s="569" t="s">
        <v>271</v>
      </c>
      <c r="H2032" s="569">
        <v>2019</v>
      </c>
      <c r="I2032" s="569" t="s">
        <v>3765</v>
      </c>
      <c r="J2032" s="569" t="s">
        <v>3805</v>
      </c>
      <c r="K2032" s="569" t="s">
        <v>752</v>
      </c>
      <c r="L2032" s="569">
        <v>6</v>
      </c>
      <c r="M2032" s="569">
        <v>0</v>
      </c>
      <c r="N2032" s="569" t="s">
        <v>157</v>
      </c>
      <c r="O2032" s="569">
        <v>2</v>
      </c>
      <c r="P2032" s="569" t="s">
        <v>3767</v>
      </c>
      <c r="Q2032" s="568">
        <v>5000</v>
      </c>
      <c r="R2032" s="569" t="s">
        <v>3778</v>
      </c>
      <c r="S2032" s="569">
        <v>6</v>
      </c>
      <c r="T2032" s="569" t="s">
        <v>3769</v>
      </c>
      <c r="U2032" s="569" t="s">
        <v>276</v>
      </c>
      <c r="V2032" s="569">
        <v>145</v>
      </c>
      <c r="W2032" s="569">
        <v>26</v>
      </c>
      <c r="X2032" s="568">
        <v>6800</v>
      </c>
      <c r="Y2032" s="569">
        <v>23</v>
      </c>
      <c r="Z2032" s="581" t="s">
        <v>450</v>
      </c>
      <c r="AA2032" s="581" t="s">
        <v>178</v>
      </c>
      <c r="AB2032" s="585">
        <v>46405</v>
      </c>
      <c r="AC2032" s="585" t="s">
        <v>164</v>
      </c>
      <c r="AD2032" s="585">
        <v>34307</v>
      </c>
      <c r="AE2032" s="587">
        <v>0.05</v>
      </c>
      <c r="AF2032" s="661" t="str">
        <f t="shared" si="220"/>
        <v>2019-LTK-FRD-F150-012-26</v>
      </c>
      <c r="AG2032" s="661" t="str">
        <f>IF(AND($Y2032&gt;=32,(AI2032="I"),(Y2032&lt;&gt;"~"),(COUNTIF($AN$1:$AN2032,$AN2032)=1)),"TRUE","FALSE")</f>
        <v>FALSE</v>
      </c>
      <c r="AH2032" s="661" t="str">
        <f>IF(AND($Y2032&gt;=22, (AI2032&lt;&gt;"I"),(Y2032&lt;&gt;"~"),(COUNTIF($AN$1:$AN2032,$AN2032)=1)),"TRUE","FALSE")</f>
        <v>FALSE</v>
      </c>
      <c r="AI2032" s="661" t="str">
        <f t="shared" si="222"/>
        <v>II</v>
      </c>
      <c r="AJ2032" s="662" t="str">
        <f t="shared" si="216"/>
        <v>F150-012</v>
      </c>
      <c r="AK2032" s="662" t="str">
        <f t="shared" si="217"/>
        <v>LTK</v>
      </c>
      <c r="AL2032" s="662" t="str">
        <f t="shared" si="218"/>
        <v>FRD</v>
      </c>
      <c r="AM2032" s="662" t="str">
        <f t="shared" si="221"/>
        <v>F150-Crew Cab XLT-4WD-6-5'5"-5000-5.0L FFV-6-W1E-100A-145-26-E85-Unleaded</v>
      </c>
      <c r="AN2032" s="662" t="str">
        <f t="shared" si="219"/>
        <v>2019-LTK-FRD-F150-012</v>
      </c>
    </row>
    <row r="2033" spans="1:40" s="572" customFormat="1" ht="15">
      <c r="A2033" s="570" t="s">
        <v>3825</v>
      </c>
      <c r="B2033" s="573" t="s">
        <v>3826</v>
      </c>
      <c r="C2033" s="573" t="s">
        <v>287</v>
      </c>
      <c r="D2033" s="578">
        <v>26</v>
      </c>
      <c r="E2033" s="573" t="s">
        <v>3374</v>
      </c>
      <c r="F2033" s="573" t="s">
        <v>152</v>
      </c>
      <c r="G2033" s="573" t="s">
        <v>271</v>
      </c>
      <c r="H2033" s="573">
        <v>2019</v>
      </c>
      <c r="I2033" s="573" t="s">
        <v>3765</v>
      </c>
      <c r="J2033" s="573" t="s">
        <v>3805</v>
      </c>
      <c r="K2033" s="573" t="s">
        <v>752</v>
      </c>
      <c r="L2033" s="573">
        <v>6</v>
      </c>
      <c r="M2033" s="573">
        <v>0</v>
      </c>
      <c r="N2033" s="573" t="s">
        <v>157</v>
      </c>
      <c r="O2033" s="573">
        <v>2</v>
      </c>
      <c r="P2033" s="573" t="s">
        <v>3767</v>
      </c>
      <c r="Q2033" s="571">
        <v>7700</v>
      </c>
      <c r="R2033" s="573" t="s">
        <v>1322</v>
      </c>
      <c r="S2033" s="573">
        <v>6</v>
      </c>
      <c r="T2033" s="573" t="s">
        <v>3769</v>
      </c>
      <c r="U2033" s="573" t="s">
        <v>318</v>
      </c>
      <c r="V2033" s="573">
        <v>145</v>
      </c>
      <c r="W2033" s="573">
        <v>23</v>
      </c>
      <c r="X2033" s="571">
        <v>6100</v>
      </c>
      <c r="Y2033" s="573">
        <v>20</v>
      </c>
      <c r="Z2033" s="579" t="s">
        <v>178</v>
      </c>
      <c r="AA2033" s="579" t="s">
        <v>178</v>
      </c>
      <c r="AB2033" s="584">
        <v>44410</v>
      </c>
      <c r="AC2033" s="584" t="s">
        <v>164</v>
      </c>
      <c r="AD2033" s="584">
        <v>32492</v>
      </c>
      <c r="AE2033" s="586">
        <v>0.05</v>
      </c>
      <c r="AF2033" s="661" t="str">
        <f t="shared" si="220"/>
        <v>2019-LTK-FRD-F150-013-26</v>
      </c>
      <c r="AG2033" s="661" t="str">
        <f>IF(AND($Y2033&gt;=32,(AI2033="I"),(Y2033&lt;&gt;"~"),(COUNTIF($AN$1:$AN2033,$AN2033)=1)),"TRUE","FALSE")</f>
        <v>FALSE</v>
      </c>
      <c r="AH2033" s="661" t="str">
        <f>IF(AND($Y2033&gt;=22, (AI2033&lt;&gt;"I"),(Y2033&lt;&gt;"~"),(COUNTIF($AN$1:$AN2033,$AN2033)=1)),"TRUE","FALSE")</f>
        <v>FALSE</v>
      </c>
      <c r="AI2033" s="661" t="str">
        <f t="shared" si="222"/>
        <v>II</v>
      </c>
      <c r="AJ2033" s="662" t="str">
        <f t="shared" si="216"/>
        <v>F150-013</v>
      </c>
      <c r="AK2033" s="662" t="str">
        <f t="shared" si="217"/>
        <v>LTK</v>
      </c>
      <c r="AL2033" s="662" t="str">
        <f t="shared" si="218"/>
        <v>FRD</v>
      </c>
      <c r="AM2033" s="662" t="str">
        <f t="shared" si="221"/>
        <v>F150-Crew Cab XLT-4WD-6-5'5"-7700-3.3L-6-W1E-300A-145-23-Unleaded-Unleaded</v>
      </c>
      <c r="AN2033" s="662" t="str">
        <f t="shared" si="219"/>
        <v>2019-LTK-FRD-F150-013</v>
      </c>
    </row>
    <row r="2034" spans="1:40" s="572" customFormat="1" ht="15">
      <c r="A2034" s="570" t="s">
        <v>3827</v>
      </c>
      <c r="B2034" s="569" t="s">
        <v>3813</v>
      </c>
      <c r="C2034" s="569" t="s">
        <v>287</v>
      </c>
      <c r="D2034" s="580">
        <v>26</v>
      </c>
      <c r="E2034" s="569" t="s">
        <v>3374</v>
      </c>
      <c r="F2034" s="569" t="s">
        <v>152</v>
      </c>
      <c r="G2034" s="569" t="s">
        <v>271</v>
      </c>
      <c r="H2034" s="569">
        <v>2019</v>
      </c>
      <c r="I2034" s="569" t="s">
        <v>3765</v>
      </c>
      <c r="J2034" s="569" t="s">
        <v>3805</v>
      </c>
      <c r="K2034" s="569" t="s">
        <v>752</v>
      </c>
      <c r="L2034" s="569">
        <v>6</v>
      </c>
      <c r="M2034" s="569">
        <v>0</v>
      </c>
      <c r="N2034" s="569" t="s">
        <v>157</v>
      </c>
      <c r="O2034" s="569">
        <v>2</v>
      </c>
      <c r="P2034" s="569" t="s">
        <v>3781</v>
      </c>
      <c r="Q2034" s="568">
        <v>7000</v>
      </c>
      <c r="R2034" s="569" t="s">
        <v>3775</v>
      </c>
      <c r="S2034" s="569">
        <v>6</v>
      </c>
      <c r="T2034" s="569" t="s">
        <v>3769</v>
      </c>
      <c r="U2034" s="569" t="s">
        <v>276</v>
      </c>
      <c r="V2034" s="569">
        <v>157</v>
      </c>
      <c r="W2034" s="569">
        <v>26</v>
      </c>
      <c r="X2034" s="568">
        <v>7050</v>
      </c>
      <c r="Y2034" s="569">
        <v>26</v>
      </c>
      <c r="Z2034" s="581" t="s">
        <v>178</v>
      </c>
      <c r="AA2034" s="581" t="s">
        <v>178</v>
      </c>
      <c r="AB2034" s="585">
        <v>47265</v>
      </c>
      <c r="AC2034" s="585" t="s">
        <v>164</v>
      </c>
      <c r="AD2034" s="585">
        <v>35116</v>
      </c>
      <c r="AE2034" s="587">
        <v>0.05</v>
      </c>
      <c r="AF2034" s="661" t="str">
        <f t="shared" si="220"/>
        <v>2019-LTK-FRD-F150-014-26</v>
      </c>
      <c r="AG2034" s="661" t="str">
        <f>IF(AND($Y2034&gt;=32,(AI2034="I"),(Y2034&lt;&gt;"~"),(COUNTIF($AN$1:$AN2034,$AN2034)=1)),"TRUE","FALSE")</f>
        <v>FALSE</v>
      </c>
      <c r="AH2034" s="661" t="str">
        <f>IF(AND($Y2034&gt;=22, (AI2034&lt;&gt;"I"),(Y2034&lt;&gt;"~"),(COUNTIF($AN$1:$AN2034,$AN2034)=1)),"TRUE","FALSE")</f>
        <v>FALSE</v>
      </c>
      <c r="AI2034" s="661" t="str">
        <f t="shared" si="222"/>
        <v>II</v>
      </c>
      <c r="AJ2034" s="662" t="str">
        <f t="shared" si="216"/>
        <v>F150-014</v>
      </c>
      <c r="AK2034" s="662" t="str">
        <f t="shared" si="217"/>
        <v>LTK</v>
      </c>
      <c r="AL2034" s="662" t="str">
        <f t="shared" si="218"/>
        <v>FRD</v>
      </c>
      <c r="AM2034" s="662" t="str">
        <f t="shared" si="221"/>
        <v>F150-Crew Cab XLT-4WD-6-6'5"-7000-3.5L Eco Boost-6-W1E-100A-157-26-Unleaded-Unleaded</v>
      </c>
      <c r="AN2034" s="662" t="str">
        <f t="shared" si="219"/>
        <v>2019-LTK-FRD-F150-014</v>
      </c>
    </row>
    <row r="2035" spans="1:40" s="572" customFormat="1" ht="15">
      <c r="A2035" s="570" t="s">
        <v>3828</v>
      </c>
      <c r="B2035" s="573" t="s">
        <v>3815</v>
      </c>
      <c r="C2035" s="573" t="s">
        <v>287</v>
      </c>
      <c r="D2035" s="578">
        <v>26</v>
      </c>
      <c r="E2035" s="573" t="s">
        <v>3374</v>
      </c>
      <c r="F2035" s="573" t="s">
        <v>152</v>
      </c>
      <c r="G2035" s="573" t="s">
        <v>271</v>
      </c>
      <c r="H2035" s="573">
        <v>2019</v>
      </c>
      <c r="I2035" s="573" t="s">
        <v>3765</v>
      </c>
      <c r="J2035" s="573" t="s">
        <v>3805</v>
      </c>
      <c r="K2035" s="573" t="s">
        <v>752</v>
      </c>
      <c r="L2035" s="573">
        <v>6</v>
      </c>
      <c r="M2035" s="573">
        <v>0</v>
      </c>
      <c r="N2035" s="573" t="s">
        <v>157</v>
      </c>
      <c r="O2035" s="573">
        <v>2</v>
      </c>
      <c r="P2035" s="573" t="s">
        <v>3781</v>
      </c>
      <c r="Q2035" s="571">
        <v>7000</v>
      </c>
      <c r="R2035" s="573" t="s">
        <v>3778</v>
      </c>
      <c r="S2035" s="573">
        <v>6</v>
      </c>
      <c r="T2035" s="573" t="s">
        <v>3769</v>
      </c>
      <c r="U2035" s="573" t="s">
        <v>276</v>
      </c>
      <c r="V2035" s="573">
        <v>157</v>
      </c>
      <c r="W2035" s="573">
        <v>26</v>
      </c>
      <c r="X2035" s="571">
        <v>7050</v>
      </c>
      <c r="Y2035" s="573">
        <v>26</v>
      </c>
      <c r="Z2035" s="579" t="s">
        <v>450</v>
      </c>
      <c r="AA2035" s="579" t="s">
        <v>178</v>
      </c>
      <c r="AB2035" s="584">
        <v>46665</v>
      </c>
      <c r="AC2035" s="584" t="s">
        <v>164</v>
      </c>
      <c r="AD2035" s="584">
        <v>34571</v>
      </c>
      <c r="AE2035" s="586">
        <v>0.05</v>
      </c>
      <c r="AF2035" s="661" t="str">
        <f t="shared" si="220"/>
        <v>2019-LTK-FRD-F150-015-26</v>
      </c>
      <c r="AG2035" s="661" t="str">
        <f>IF(AND($Y2035&gt;=32,(AI2035="I"),(Y2035&lt;&gt;"~"),(COUNTIF($AN$1:$AN2035,$AN2035)=1)),"TRUE","FALSE")</f>
        <v>FALSE</v>
      </c>
      <c r="AH2035" s="661" t="str">
        <f>IF(AND($Y2035&gt;=22, (AI2035&lt;&gt;"I"),(Y2035&lt;&gt;"~"),(COUNTIF($AN$1:$AN2035,$AN2035)=1)),"TRUE","FALSE")</f>
        <v>FALSE</v>
      </c>
      <c r="AI2035" s="661" t="str">
        <f t="shared" si="222"/>
        <v>II</v>
      </c>
      <c r="AJ2035" s="662" t="str">
        <f t="shared" si="216"/>
        <v>F150-015</v>
      </c>
      <c r="AK2035" s="662" t="str">
        <f t="shared" si="217"/>
        <v>LTK</v>
      </c>
      <c r="AL2035" s="662" t="str">
        <f t="shared" si="218"/>
        <v>FRD</v>
      </c>
      <c r="AM2035" s="662" t="str">
        <f t="shared" si="221"/>
        <v>F150-Crew Cab XLT-4WD-6-6'5"-7000-5.0L FFV-6-W1E-100A-157-26-E85-Unleaded</v>
      </c>
      <c r="AN2035" s="662" t="str">
        <f t="shared" si="219"/>
        <v>2019-LTK-FRD-F150-015</v>
      </c>
    </row>
    <row r="2036" spans="1:40" s="572" customFormat="1" ht="15">
      <c r="A2036" s="570" t="s">
        <v>3829</v>
      </c>
      <c r="B2036" s="569" t="s">
        <v>3804</v>
      </c>
      <c r="C2036" s="569" t="s">
        <v>280</v>
      </c>
      <c r="D2036" s="580">
        <v>27</v>
      </c>
      <c r="E2036" s="569" t="s">
        <v>3374</v>
      </c>
      <c r="F2036" s="569" t="s">
        <v>152</v>
      </c>
      <c r="G2036" s="569" t="s">
        <v>271</v>
      </c>
      <c r="H2036" s="569">
        <v>2019</v>
      </c>
      <c r="I2036" s="569" t="s">
        <v>3765</v>
      </c>
      <c r="J2036" s="569" t="s">
        <v>3805</v>
      </c>
      <c r="K2036" s="569" t="s">
        <v>752</v>
      </c>
      <c r="L2036" s="569">
        <v>6</v>
      </c>
      <c r="M2036" s="569">
        <v>0</v>
      </c>
      <c r="N2036" s="569" t="s">
        <v>157</v>
      </c>
      <c r="O2036" s="569">
        <v>2</v>
      </c>
      <c r="P2036" s="569" t="s">
        <v>3767</v>
      </c>
      <c r="Q2036" s="568">
        <v>5000</v>
      </c>
      <c r="R2036" s="569" t="s">
        <v>3768</v>
      </c>
      <c r="S2036" s="569">
        <v>6</v>
      </c>
      <c r="T2036" s="569" t="s">
        <v>3769</v>
      </c>
      <c r="U2036" s="569" t="s">
        <v>318</v>
      </c>
      <c r="V2036" s="569">
        <v>145</v>
      </c>
      <c r="W2036" s="569">
        <v>26</v>
      </c>
      <c r="X2036" s="568">
        <v>6600</v>
      </c>
      <c r="Y2036" s="569">
        <v>21</v>
      </c>
      <c r="Z2036" s="581" t="s">
        <v>178</v>
      </c>
      <c r="AA2036" s="581" t="s">
        <v>178</v>
      </c>
      <c r="AB2036" s="585">
        <v>45405</v>
      </c>
      <c r="AC2036" s="585" t="s">
        <v>164</v>
      </c>
      <c r="AD2036" s="585">
        <v>32816.505263157895</v>
      </c>
      <c r="AE2036" s="587">
        <v>0.03</v>
      </c>
      <c r="AF2036" s="661" t="str">
        <f t="shared" si="220"/>
        <v>2019-LTK-FRD-F150-009-27</v>
      </c>
      <c r="AG2036" s="661" t="str">
        <f>IF(AND($Y2036&gt;=32,(AI2036="I"),(Y2036&lt;&gt;"~"),(COUNTIF($AN$1:$AN2036,$AN2036)=1)),"TRUE","FALSE")</f>
        <v>FALSE</v>
      </c>
      <c r="AH2036" s="661" t="str">
        <f>IF(AND($Y2036&gt;=22, (AI2036&lt;&gt;"I"),(Y2036&lt;&gt;"~"),(COUNTIF($AN$1:$AN2036,$AN2036)=1)),"TRUE","FALSE")</f>
        <v>FALSE</v>
      </c>
      <c r="AI2036" s="661" t="str">
        <f t="shared" si="222"/>
        <v>II</v>
      </c>
      <c r="AJ2036" s="662" t="str">
        <f t="shared" si="216"/>
        <v>F150-009</v>
      </c>
      <c r="AK2036" s="662" t="str">
        <f t="shared" si="217"/>
        <v>LTK</v>
      </c>
      <c r="AL2036" s="662" t="str">
        <f t="shared" si="218"/>
        <v>FRD</v>
      </c>
      <c r="AM2036" s="662" t="str">
        <f t="shared" si="221"/>
        <v>F150-Crew Cab XLT-4WD-6-5'5"-5000-2.7L EcoBoost -6-W1E-300A-145-26-Unleaded-Unleaded</v>
      </c>
      <c r="AN2036" s="662" t="str">
        <f t="shared" si="219"/>
        <v>2019-LTK-FRD-F150-009</v>
      </c>
    </row>
    <row r="2037" spans="1:40" s="572" customFormat="1" ht="15">
      <c r="A2037" s="570" t="s">
        <v>3830</v>
      </c>
      <c r="B2037" s="573" t="s">
        <v>3807</v>
      </c>
      <c r="C2037" s="573" t="s">
        <v>280</v>
      </c>
      <c r="D2037" s="578">
        <v>27</v>
      </c>
      <c r="E2037" s="573" t="s">
        <v>3374</v>
      </c>
      <c r="F2037" s="573" t="s">
        <v>152</v>
      </c>
      <c r="G2037" s="573" t="s">
        <v>271</v>
      </c>
      <c r="H2037" s="573">
        <v>2019</v>
      </c>
      <c r="I2037" s="573" t="s">
        <v>3765</v>
      </c>
      <c r="J2037" s="573" t="s">
        <v>3805</v>
      </c>
      <c r="K2037" s="573" t="s">
        <v>752</v>
      </c>
      <c r="L2037" s="573">
        <v>6</v>
      </c>
      <c r="M2037" s="573">
        <v>0</v>
      </c>
      <c r="N2037" s="573" t="s">
        <v>157</v>
      </c>
      <c r="O2037" s="573">
        <v>2</v>
      </c>
      <c r="P2037" s="573" t="s">
        <v>3767</v>
      </c>
      <c r="Q2037" s="571">
        <v>5000</v>
      </c>
      <c r="R2037" s="573" t="s">
        <v>3772</v>
      </c>
      <c r="S2037" s="573">
        <v>6</v>
      </c>
      <c r="T2037" s="573" t="s">
        <v>3769</v>
      </c>
      <c r="U2037" s="573" t="s">
        <v>318</v>
      </c>
      <c r="V2037" s="573">
        <v>145</v>
      </c>
      <c r="W2037" s="573">
        <v>26</v>
      </c>
      <c r="X2037" s="571">
        <v>6500</v>
      </c>
      <c r="Y2037" s="573">
        <v>20</v>
      </c>
      <c r="Z2037" s="579" t="s">
        <v>450</v>
      </c>
      <c r="AA2037" s="579" t="s">
        <v>178</v>
      </c>
      <c r="AB2037" s="584">
        <v>39700</v>
      </c>
      <c r="AC2037" s="584" t="s">
        <v>164</v>
      </c>
      <c r="AD2037" s="584">
        <v>28451.242105263158</v>
      </c>
      <c r="AE2037" s="586">
        <v>0.03</v>
      </c>
      <c r="AF2037" s="661" t="str">
        <f t="shared" si="220"/>
        <v>2019-LTK-FRD-F150-010-27</v>
      </c>
      <c r="AG2037" s="661" t="str">
        <f>IF(AND($Y2037&gt;=32,(AI2037="I"),(Y2037&lt;&gt;"~"),(COUNTIF($AN$1:$AN2037,$AN2037)=1)),"TRUE","FALSE")</f>
        <v>FALSE</v>
      </c>
      <c r="AH2037" s="661" t="str">
        <f>IF(AND($Y2037&gt;=22, (AI2037&lt;&gt;"I"),(Y2037&lt;&gt;"~"),(COUNTIF($AN$1:$AN2037,$AN2037)=1)),"TRUE","FALSE")</f>
        <v>FALSE</v>
      </c>
      <c r="AI2037" s="661" t="str">
        <f t="shared" si="222"/>
        <v>II</v>
      </c>
      <c r="AJ2037" s="662" t="str">
        <f t="shared" si="216"/>
        <v>F150-010</v>
      </c>
      <c r="AK2037" s="662" t="str">
        <f t="shared" si="217"/>
        <v>LTK</v>
      </c>
      <c r="AL2037" s="662" t="str">
        <f t="shared" si="218"/>
        <v>FRD</v>
      </c>
      <c r="AM2037" s="662" t="str">
        <f t="shared" si="221"/>
        <v>F150-Crew Cab XLT-4WD-6-5'5"-5000-3.3L FFV-6-W1E-300A-145-26-E85-Unleaded</v>
      </c>
      <c r="AN2037" s="662" t="str">
        <f t="shared" si="219"/>
        <v>2019-LTK-FRD-F150-010</v>
      </c>
    </row>
    <row r="2038" spans="1:40" s="572" customFormat="1" ht="15">
      <c r="A2038" s="570" t="s">
        <v>3830</v>
      </c>
      <c r="B2038" s="569" t="s">
        <v>3807</v>
      </c>
      <c r="C2038" s="569" t="s">
        <v>280</v>
      </c>
      <c r="D2038" s="580">
        <v>27</v>
      </c>
      <c r="E2038" s="569" t="s">
        <v>3374</v>
      </c>
      <c r="F2038" s="569" t="s">
        <v>152</v>
      </c>
      <c r="G2038" s="569" t="s">
        <v>271</v>
      </c>
      <c r="H2038" s="569">
        <v>2019</v>
      </c>
      <c r="I2038" s="569" t="s">
        <v>3765</v>
      </c>
      <c r="J2038" s="569" t="s">
        <v>3805</v>
      </c>
      <c r="K2038" s="569" t="s">
        <v>752</v>
      </c>
      <c r="L2038" s="569">
        <v>6</v>
      </c>
      <c r="M2038" s="569">
        <v>0</v>
      </c>
      <c r="N2038" s="569" t="s">
        <v>157</v>
      </c>
      <c r="O2038" s="569">
        <v>2</v>
      </c>
      <c r="P2038" s="569" t="s">
        <v>3767</v>
      </c>
      <c r="Q2038" s="568">
        <v>5000</v>
      </c>
      <c r="R2038" s="569" t="s">
        <v>3772</v>
      </c>
      <c r="S2038" s="569">
        <v>6</v>
      </c>
      <c r="T2038" s="569" t="s">
        <v>3769</v>
      </c>
      <c r="U2038" s="569" t="s">
        <v>318</v>
      </c>
      <c r="V2038" s="569">
        <v>145</v>
      </c>
      <c r="W2038" s="569">
        <v>26</v>
      </c>
      <c r="X2038" s="568">
        <v>6500</v>
      </c>
      <c r="Y2038" s="569">
        <v>20</v>
      </c>
      <c r="Z2038" s="581" t="s">
        <v>450</v>
      </c>
      <c r="AA2038" s="581" t="s">
        <v>178</v>
      </c>
      <c r="AB2038" s="585">
        <v>44410</v>
      </c>
      <c r="AC2038" s="585" t="s">
        <v>164</v>
      </c>
      <c r="AD2038" s="585">
        <v>31922.821052631582</v>
      </c>
      <c r="AE2038" s="587">
        <v>0.03</v>
      </c>
      <c r="AF2038" s="661" t="str">
        <f t="shared" si="220"/>
        <v>2019-LTK-FRD-F150-010-27</v>
      </c>
      <c r="AG2038" s="661" t="str">
        <f>IF(AND($Y2038&gt;=32,(AI2038="I"),(Y2038&lt;&gt;"~"),(COUNTIF($AN$1:$AN2038,$AN2038)=1)),"TRUE","FALSE")</f>
        <v>FALSE</v>
      </c>
      <c r="AH2038" s="661" t="str">
        <f>IF(AND($Y2038&gt;=22, (AI2038&lt;&gt;"I"),(Y2038&lt;&gt;"~"),(COUNTIF($AN$1:$AN2038,$AN2038)=1)),"TRUE","FALSE")</f>
        <v>FALSE</v>
      </c>
      <c r="AI2038" s="661" t="str">
        <f t="shared" si="222"/>
        <v>II</v>
      </c>
      <c r="AJ2038" s="662" t="str">
        <f t="shared" si="216"/>
        <v>F150-010</v>
      </c>
      <c r="AK2038" s="662" t="str">
        <f t="shared" si="217"/>
        <v>LTK</v>
      </c>
      <c r="AL2038" s="662" t="str">
        <f t="shared" si="218"/>
        <v>FRD</v>
      </c>
      <c r="AM2038" s="662" t="str">
        <f t="shared" si="221"/>
        <v>F150-Crew Cab XLT-4WD-6-5'5"-5000-3.3L FFV-6-W1E-300A-145-26-E85-Unleaded</v>
      </c>
      <c r="AN2038" s="662" t="str">
        <f t="shared" si="219"/>
        <v>2019-LTK-FRD-F150-010</v>
      </c>
    </row>
    <row r="2039" spans="1:40" s="572" customFormat="1" ht="15">
      <c r="A2039" s="570" t="s">
        <v>3831</v>
      </c>
      <c r="B2039" s="573" t="s">
        <v>3809</v>
      </c>
      <c r="C2039" s="573" t="s">
        <v>280</v>
      </c>
      <c r="D2039" s="578">
        <v>27</v>
      </c>
      <c r="E2039" s="573" t="s">
        <v>3374</v>
      </c>
      <c r="F2039" s="573" t="s">
        <v>152</v>
      </c>
      <c r="G2039" s="573" t="s">
        <v>271</v>
      </c>
      <c r="H2039" s="573">
        <v>2019</v>
      </c>
      <c r="I2039" s="573" t="s">
        <v>3765</v>
      </c>
      <c r="J2039" s="573" t="s">
        <v>3805</v>
      </c>
      <c r="K2039" s="573" t="s">
        <v>752</v>
      </c>
      <c r="L2039" s="573">
        <v>6</v>
      </c>
      <c r="M2039" s="573">
        <v>0</v>
      </c>
      <c r="N2039" s="573" t="s">
        <v>157</v>
      </c>
      <c r="O2039" s="573">
        <v>2</v>
      </c>
      <c r="P2039" s="573" t="s">
        <v>3767</v>
      </c>
      <c r="Q2039" s="571">
        <v>5000</v>
      </c>
      <c r="R2039" s="573" t="s">
        <v>3775</v>
      </c>
      <c r="S2039" s="573">
        <v>6</v>
      </c>
      <c r="T2039" s="573" t="s">
        <v>3769</v>
      </c>
      <c r="U2039" s="573" t="s">
        <v>318</v>
      </c>
      <c r="V2039" s="573">
        <v>145</v>
      </c>
      <c r="W2039" s="573">
        <v>26</v>
      </c>
      <c r="X2039" s="571">
        <v>7000</v>
      </c>
      <c r="Y2039" s="573">
        <v>19</v>
      </c>
      <c r="Z2039" s="579" t="s">
        <v>178</v>
      </c>
      <c r="AA2039" s="579" t="s">
        <v>178</v>
      </c>
      <c r="AB2039" s="584">
        <v>47005</v>
      </c>
      <c r="AC2039" s="584" t="s">
        <v>164</v>
      </c>
      <c r="AD2039" s="584">
        <v>34252.294736842108</v>
      </c>
      <c r="AE2039" s="586">
        <v>0.03</v>
      </c>
      <c r="AF2039" s="661" t="str">
        <f t="shared" si="220"/>
        <v>2019-LTK-FRD-F150-011-27</v>
      </c>
      <c r="AG2039" s="661" t="str">
        <f>IF(AND($Y2039&gt;=32,(AI2039="I"),(Y2039&lt;&gt;"~"),(COUNTIF($AN$1:$AN2039,$AN2039)=1)),"TRUE","FALSE")</f>
        <v>FALSE</v>
      </c>
      <c r="AH2039" s="661" t="str">
        <f>IF(AND($Y2039&gt;=22, (AI2039&lt;&gt;"I"),(Y2039&lt;&gt;"~"),(COUNTIF($AN$1:$AN2039,$AN2039)=1)),"TRUE","FALSE")</f>
        <v>FALSE</v>
      </c>
      <c r="AI2039" s="661" t="str">
        <f t="shared" si="222"/>
        <v>II</v>
      </c>
      <c r="AJ2039" s="662" t="str">
        <f t="shared" si="216"/>
        <v>F150-011</v>
      </c>
      <c r="AK2039" s="662" t="str">
        <f t="shared" si="217"/>
        <v>LTK</v>
      </c>
      <c r="AL2039" s="662" t="str">
        <f t="shared" si="218"/>
        <v>FRD</v>
      </c>
      <c r="AM2039" s="662" t="str">
        <f t="shared" si="221"/>
        <v>F150-Crew Cab XLT-4WD-6-5'5"-5000-3.5L Eco Boost-6-W1E-300A-145-26-Unleaded-Unleaded</v>
      </c>
      <c r="AN2039" s="662" t="str">
        <f t="shared" si="219"/>
        <v>2019-LTK-FRD-F150-011</v>
      </c>
    </row>
    <row r="2040" spans="1:40" s="572" customFormat="1" ht="15">
      <c r="A2040" s="570" t="s">
        <v>3832</v>
      </c>
      <c r="B2040" s="569" t="s">
        <v>3811</v>
      </c>
      <c r="C2040" s="569" t="s">
        <v>280</v>
      </c>
      <c r="D2040" s="580">
        <v>27</v>
      </c>
      <c r="E2040" s="569" t="s">
        <v>3374</v>
      </c>
      <c r="F2040" s="569" t="s">
        <v>152</v>
      </c>
      <c r="G2040" s="569" t="s">
        <v>271</v>
      </c>
      <c r="H2040" s="569">
        <v>2019</v>
      </c>
      <c r="I2040" s="569" t="s">
        <v>3765</v>
      </c>
      <c r="J2040" s="569" t="s">
        <v>3805</v>
      </c>
      <c r="K2040" s="569" t="s">
        <v>752</v>
      </c>
      <c r="L2040" s="569">
        <v>6</v>
      </c>
      <c r="M2040" s="569">
        <v>0</v>
      </c>
      <c r="N2040" s="569" t="s">
        <v>157</v>
      </c>
      <c r="O2040" s="569">
        <v>2</v>
      </c>
      <c r="P2040" s="569" t="s">
        <v>3767</v>
      </c>
      <c r="Q2040" s="568">
        <v>5000</v>
      </c>
      <c r="R2040" s="569" t="s">
        <v>3778</v>
      </c>
      <c r="S2040" s="569">
        <v>6</v>
      </c>
      <c r="T2040" s="569" t="s">
        <v>3769</v>
      </c>
      <c r="U2040" s="569" t="s">
        <v>318</v>
      </c>
      <c r="V2040" s="569">
        <v>145</v>
      </c>
      <c r="W2040" s="569">
        <v>26</v>
      </c>
      <c r="X2040" s="568">
        <v>7000</v>
      </c>
      <c r="Y2040" s="569">
        <v>18</v>
      </c>
      <c r="Z2040" s="581" t="s">
        <v>450</v>
      </c>
      <c r="AA2040" s="581" t="s">
        <v>178</v>
      </c>
      <c r="AB2040" s="585">
        <v>46405</v>
      </c>
      <c r="AC2040" s="585" t="s">
        <v>164</v>
      </c>
      <c r="AD2040" s="585">
        <v>33713.347368421055</v>
      </c>
      <c r="AE2040" s="587">
        <v>0.03</v>
      </c>
      <c r="AF2040" s="661" t="str">
        <f t="shared" si="220"/>
        <v>2019-LTK-FRD-F150-012-27</v>
      </c>
      <c r="AG2040" s="661" t="str">
        <f>IF(AND($Y2040&gt;=32,(AI2040="I"),(Y2040&lt;&gt;"~"),(COUNTIF($AN$1:$AN2040,$AN2040)=1)),"TRUE","FALSE")</f>
        <v>FALSE</v>
      </c>
      <c r="AH2040" s="661" t="str">
        <f>IF(AND($Y2040&gt;=22, (AI2040&lt;&gt;"I"),(Y2040&lt;&gt;"~"),(COUNTIF($AN$1:$AN2040,$AN2040)=1)),"TRUE","FALSE")</f>
        <v>FALSE</v>
      </c>
      <c r="AI2040" s="661" t="str">
        <f t="shared" si="222"/>
        <v>II</v>
      </c>
      <c r="AJ2040" s="662" t="str">
        <f t="shared" si="216"/>
        <v>F150-012</v>
      </c>
      <c r="AK2040" s="662" t="str">
        <f t="shared" si="217"/>
        <v>LTK</v>
      </c>
      <c r="AL2040" s="662" t="str">
        <f t="shared" si="218"/>
        <v>FRD</v>
      </c>
      <c r="AM2040" s="662" t="str">
        <f t="shared" si="221"/>
        <v>F150-Crew Cab XLT-4WD-6-5'5"-5000-5.0L FFV-6-W1E-300A-145-26-E85-Unleaded</v>
      </c>
      <c r="AN2040" s="662" t="str">
        <f t="shared" si="219"/>
        <v>2019-LTK-FRD-F150-012</v>
      </c>
    </row>
    <row r="2041" spans="1:40" s="572" customFormat="1" ht="15">
      <c r="A2041" s="570" t="s">
        <v>3833</v>
      </c>
      <c r="B2041" s="573" t="s">
        <v>3813</v>
      </c>
      <c r="C2041" s="573" t="s">
        <v>280</v>
      </c>
      <c r="D2041" s="578">
        <v>27</v>
      </c>
      <c r="E2041" s="573" t="s">
        <v>3374</v>
      </c>
      <c r="F2041" s="573" t="s">
        <v>152</v>
      </c>
      <c r="G2041" s="573" t="s">
        <v>271</v>
      </c>
      <c r="H2041" s="573">
        <v>2019</v>
      </c>
      <c r="I2041" s="573" t="s">
        <v>3765</v>
      </c>
      <c r="J2041" s="573" t="s">
        <v>3805</v>
      </c>
      <c r="K2041" s="573" t="s">
        <v>752</v>
      </c>
      <c r="L2041" s="573">
        <v>6</v>
      </c>
      <c r="M2041" s="573">
        <v>0</v>
      </c>
      <c r="N2041" s="573" t="s">
        <v>157</v>
      </c>
      <c r="O2041" s="573">
        <v>2</v>
      </c>
      <c r="P2041" s="573" t="s">
        <v>3781</v>
      </c>
      <c r="Q2041" s="571">
        <v>7000</v>
      </c>
      <c r="R2041" s="573" t="s">
        <v>3775</v>
      </c>
      <c r="S2041" s="573">
        <v>6</v>
      </c>
      <c r="T2041" s="573" t="s">
        <v>3769</v>
      </c>
      <c r="U2041" s="573" t="s">
        <v>318</v>
      </c>
      <c r="V2041" s="573">
        <v>157</v>
      </c>
      <c r="W2041" s="573">
        <v>26</v>
      </c>
      <c r="X2041" s="571">
        <v>7050</v>
      </c>
      <c r="Y2041" s="573">
        <v>19</v>
      </c>
      <c r="Z2041" s="579" t="s">
        <v>178</v>
      </c>
      <c r="AA2041" s="579" t="s">
        <v>178</v>
      </c>
      <c r="AB2041" s="584">
        <v>47265</v>
      </c>
      <c r="AC2041" s="584" t="s">
        <v>164</v>
      </c>
      <c r="AD2041" s="584">
        <v>34508.084210526315</v>
      </c>
      <c r="AE2041" s="586">
        <v>0.03</v>
      </c>
      <c r="AF2041" s="661" t="str">
        <f t="shared" si="220"/>
        <v>2019-LTK-FRD-F150-014-27</v>
      </c>
      <c r="AG2041" s="661" t="str">
        <f>IF(AND($Y2041&gt;=32,(AI2041="I"),(Y2041&lt;&gt;"~"),(COUNTIF($AN$1:$AN2041,$AN2041)=1)),"TRUE","FALSE")</f>
        <v>FALSE</v>
      </c>
      <c r="AH2041" s="661" t="str">
        <f>IF(AND($Y2041&gt;=22, (AI2041&lt;&gt;"I"),(Y2041&lt;&gt;"~"),(COUNTIF($AN$1:$AN2041,$AN2041)=1)),"TRUE","FALSE")</f>
        <v>FALSE</v>
      </c>
      <c r="AI2041" s="661" t="str">
        <f t="shared" si="222"/>
        <v>II</v>
      </c>
      <c r="AJ2041" s="662" t="str">
        <f t="shared" si="216"/>
        <v>F150-014</v>
      </c>
      <c r="AK2041" s="662" t="str">
        <f t="shared" si="217"/>
        <v>LTK</v>
      </c>
      <c r="AL2041" s="662" t="str">
        <f t="shared" si="218"/>
        <v>FRD</v>
      </c>
      <c r="AM2041" s="662" t="str">
        <f t="shared" si="221"/>
        <v>F150-Crew Cab XLT-4WD-6-6'5"-7000-3.5L Eco Boost-6-W1E-300A-157-26-Unleaded-Unleaded</v>
      </c>
      <c r="AN2041" s="662" t="str">
        <f t="shared" si="219"/>
        <v>2019-LTK-FRD-F150-014</v>
      </c>
    </row>
    <row r="2042" spans="1:40" s="572" customFormat="1" ht="15">
      <c r="A2042" s="570" t="s">
        <v>3834</v>
      </c>
      <c r="B2042" s="569" t="s">
        <v>3815</v>
      </c>
      <c r="C2042" s="569" t="s">
        <v>280</v>
      </c>
      <c r="D2042" s="580">
        <v>27</v>
      </c>
      <c r="E2042" s="569" t="s">
        <v>3374</v>
      </c>
      <c r="F2042" s="569" t="s">
        <v>152</v>
      </c>
      <c r="G2042" s="569" t="s">
        <v>271</v>
      </c>
      <c r="H2042" s="569">
        <v>2019</v>
      </c>
      <c r="I2042" s="569" t="s">
        <v>3765</v>
      </c>
      <c r="J2042" s="569" t="s">
        <v>3805</v>
      </c>
      <c r="K2042" s="569" t="s">
        <v>752</v>
      </c>
      <c r="L2042" s="569">
        <v>6</v>
      </c>
      <c r="M2042" s="569">
        <v>0</v>
      </c>
      <c r="N2042" s="569" t="s">
        <v>157</v>
      </c>
      <c r="O2042" s="569">
        <v>2</v>
      </c>
      <c r="P2042" s="569" t="s">
        <v>3781</v>
      </c>
      <c r="Q2042" s="568">
        <v>7000</v>
      </c>
      <c r="R2042" s="569" t="s">
        <v>3778</v>
      </c>
      <c r="S2042" s="569">
        <v>6</v>
      </c>
      <c r="T2042" s="569" t="s">
        <v>3769</v>
      </c>
      <c r="U2042" s="569" t="s">
        <v>318</v>
      </c>
      <c r="V2042" s="569">
        <v>157</v>
      </c>
      <c r="W2042" s="569">
        <v>26</v>
      </c>
      <c r="X2042" s="568">
        <v>7050</v>
      </c>
      <c r="Y2042" s="569">
        <v>18</v>
      </c>
      <c r="Z2042" s="581" t="s">
        <v>450</v>
      </c>
      <c r="AA2042" s="581" t="s">
        <v>178</v>
      </c>
      <c r="AB2042" s="585">
        <v>46665</v>
      </c>
      <c r="AC2042" s="585" t="s">
        <v>164</v>
      </c>
      <c r="AD2042" s="585">
        <v>33970.189473684215</v>
      </c>
      <c r="AE2042" s="587">
        <v>0.03</v>
      </c>
      <c r="AF2042" s="661" t="str">
        <f t="shared" si="220"/>
        <v>2019-LTK-FRD-F150-015-27</v>
      </c>
      <c r="AG2042" s="661" t="str">
        <f>IF(AND($Y2042&gt;=32,(AI2042="I"),(Y2042&lt;&gt;"~"),(COUNTIF($AN$1:$AN2042,$AN2042)=1)),"TRUE","FALSE")</f>
        <v>FALSE</v>
      </c>
      <c r="AH2042" s="661" t="str">
        <f>IF(AND($Y2042&gt;=22, (AI2042&lt;&gt;"I"),(Y2042&lt;&gt;"~"),(COUNTIF($AN$1:$AN2042,$AN2042)=1)),"TRUE","FALSE")</f>
        <v>FALSE</v>
      </c>
      <c r="AI2042" s="661" t="str">
        <f t="shared" si="222"/>
        <v>II</v>
      </c>
      <c r="AJ2042" s="662" t="str">
        <f t="shared" si="216"/>
        <v>F150-015</v>
      </c>
      <c r="AK2042" s="662" t="str">
        <f t="shared" si="217"/>
        <v>LTK</v>
      </c>
      <c r="AL2042" s="662" t="str">
        <f t="shared" si="218"/>
        <v>FRD</v>
      </c>
      <c r="AM2042" s="662" t="str">
        <f t="shared" si="221"/>
        <v>F150-Crew Cab XLT-4WD-6-6'5"-7000-5.0L FFV-6-W1E-300A-157-26-E85-Unleaded</v>
      </c>
      <c r="AN2042" s="662" t="str">
        <f t="shared" si="219"/>
        <v>2019-LTK-FRD-F150-015</v>
      </c>
    </row>
    <row r="2043" spans="1:40" s="572" customFormat="1" ht="15">
      <c r="A2043" s="570" t="s">
        <v>3835</v>
      </c>
      <c r="B2043" s="573" t="s">
        <v>3836</v>
      </c>
      <c r="C2043" s="573" t="s">
        <v>269</v>
      </c>
      <c r="D2043" s="578" t="s">
        <v>270</v>
      </c>
      <c r="E2043" s="573" t="s">
        <v>3374</v>
      </c>
      <c r="F2043" s="573" t="s">
        <v>152</v>
      </c>
      <c r="G2043" s="573" t="s">
        <v>271</v>
      </c>
      <c r="H2043" s="573">
        <v>2019</v>
      </c>
      <c r="I2043" s="573" t="s">
        <v>3765</v>
      </c>
      <c r="J2043" s="573" t="s">
        <v>3837</v>
      </c>
      <c r="K2043" s="573" t="s">
        <v>3377</v>
      </c>
      <c r="L2043" s="573">
        <v>3</v>
      </c>
      <c r="M2043" s="573">
        <v>0</v>
      </c>
      <c r="N2043" s="573" t="s">
        <v>157</v>
      </c>
      <c r="O2043" s="573">
        <v>1</v>
      </c>
      <c r="P2043" s="573" t="s">
        <v>3781</v>
      </c>
      <c r="Q2043" s="571">
        <v>5100</v>
      </c>
      <c r="R2043" s="573" t="s">
        <v>3772</v>
      </c>
      <c r="S2043" s="573">
        <v>6</v>
      </c>
      <c r="T2043" s="573" t="s">
        <v>3838</v>
      </c>
      <c r="U2043" s="573" t="s">
        <v>276</v>
      </c>
      <c r="V2043" s="573">
        <v>122.4</v>
      </c>
      <c r="W2043" s="573">
        <v>23</v>
      </c>
      <c r="X2043" s="571">
        <v>6010</v>
      </c>
      <c r="Y2043" s="573">
        <v>22</v>
      </c>
      <c r="Z2043" s="579" t="s">
        <v>450</v>
      </c>
      <c r="AA2043" s="579" t="s">
        <v>178</v>
      </c>
      <c r="AB2043" s="584">
        <v>29650</v>
      </c>
      <c r="AC2043" s="584" t="s">
        <v>164</v>
      </c>
      <c r="AD2043" s="584">
        <v>20589.136842105265</v>
      </c>
      <c r="AE2043" s="586">
        <v>0.03</v>
      </c>
      <c r="AF2043" s="661" t="str">
        <f t="shared" si="220"/>
        <v>2019-LTK-FRD-F150-020-05</v>
      </c>
      <c r="AG2043" s="661" t="str">
        <f>IF(AND($Y2043&gt;=32,(AI2043="I"),(Y2043&lt;&gt;"~"),(COUNTIF($AN$1:$AN2043,$AN2043)=1)),"TRUE","FALSE")</f>
        <v>FALSE</v>
      </c>
      <c r="AH2043" s="661" t="str">
        <f>IF(AND($Y2043&gt;=22, (AI2043&lt;&gt;"I"),(Y2043&lt;&gt;"~"),(COUNTIF($AN$1:$AN2043,$AN2043)=1)),"TRUE","FALSE")</f>
        <v>TRUE</v>
      </c>
      <c r="AI2043" s="661" t="str">
        <f t="shared" si="222"/>
        <v>II</v>
      </c>
      <c r="AJ2043" s="662" t="str">
        <f t="shared" si="216"/>
        <v>F150-020</v>
      </c>
      <c r="AK2043" s="662" t="str">
        <f t="shared" si="217"/>
        <v>LTK</v>
      </c>
      <c r="AL2043" s="662" t="str">
        <f t="shared" si="218"/>
        <v>FRD</v>
      </c>
      <c r="AM2043" s="662" t="str">
        <f t="shared" si="221"/>
        <v>F150-Regular Cab XL-2WD-3-6'5"-5100-3.3L FFV-6-F1C-100A-122.4-23-E85-Unleaded</v>
      </c>
      <c r="AN2043" s="662" t="str">
        <f t="shared" si="219"/>
        <v>2019-LTK-FRD-F150-020</v>
      </c>
    </row>
    <row r="2044" spans="1:40" s="572" customFormat="1" ht="15">
      <c r="A2044" s="570" t="s">
        <v>3839</v>
      </c>
      <c r="B2044" s="569" t="s">
        <v>3840</v>
      </c>
      <c r="C2044" s="569" t="s">
        <v>269</v>
      </c>
      <c r="D2044" s="580" t="s">
        <v>270</v>
      </c>
      <c r="E2044" s="569" t="s">
        <v>3374</v>
      </c>
      <c r="F2044" s="569" t="s">
        <v>152</v>
      </c>
      <c r="G2044" s="569" t="s">
        <v>271</v>
      </c>
      <c r="H2044" s="569">
        <v>2019</v>
      </c>
      <c r="I2044" s="569" t="s">
        <v>3765</v>
      </c>
      <c r="J2044" s="569" t="s">
        <v>3837</v>
      </c>
      <c r="K2044" s="569" t="s">
        <v>3377</v>
      </c>
      <c r="L2044" s="569">
        <v>3</v>
      </c>
      <c r="M2044" s="569">
        <v>0</v>
      </c>
      <c r="N2044" s="569" t="s">
        <v>157</v>
      </c>
      <c r="O2044" s="569">
        <v>1</v>
      </c>
      <c r="P2044" s="569" t="s">
        <v>3781</v>
      </c>
      <c r="Q2044" s="568">
        <v>7600</v>
      </c>
      <c r="R2044" s="569" t="s">
        <v>3841</v>
      </c>
      <c r="S2044" s="569">
        <v>6</v>
      </c>
      <c r="T2044" s="569" t="s">
        <v>3838</v>
      </c>
      <c r="U2044" s="569" t="s">
        <v>276</v>
      </c>
      <c r="V2044" s="569">
        <v>122.4</v>
      </c>
      <c r="W2044" s="569">
        <v>23</v>
      </c>
      <c r="X2044" s="568">
        <v>6010</v>
      </c>
      <c r="Y2044" s="569">
        <v>22</v>
      </c>
      <c r="Z2044" s="581" t="s">
        <v>178</v>
      </c>
      <c r="AA2044" s="581" t="s">
        <v>178</v>
      </c>
      <c r="AB2044" s="585">
        <v>30645</v>
      </c>
      <c r="AC2044" s="585" t="s">
        <v>164</v>
      </c>
      <c r="AD2044" s="585">
        <v>21482.821052631582</v>
      </c>
      <c r="AE2044" s="587">
        <v>0.03</v>
      </c>
      <c r="AF2044" s="661" t="str">
        <f t="shared" si="220"/>
        <v>2019-LTK-FRD-F150-021-05</v>
      </c>
      <c r="AG2044" s="661" t="str">
        <f>IF(AND($Y2044&gt;=32,(AI2044="I"),(Y2044&lt;&gt;"~"),(COUNTIF($AN$1:$AN2044,$AN2044)=1)),"TRUE","FALSE")</f>
        <v>FALSE</v>
      </c>
      <c r="AH2044" s="661" t="str">
        <f>IF(AND($Y2044&gt;=22, (AI2044&lt;&gt;"I"),(Y2044&lt;&gt;"~"),(COUNTIF($AN$1:$AN2044,$AN2044)=1)),"TRUE","FALSE")</f>
        <v>TRUE</v>
      </c>
      <c r="AI2044" s="661" t="str">
        <f t="shared" si="222"/>
        <v>II</v>
      </c>
      <c r="AJ2044" s="662" t="str">
        <f t="shared" si="216"/>
        <v>F150-021</v>
      </c>
      <c r="AK2044" s="662" t="str">
        <f t="shared" si="217"/>
        <v>LTK</v>
      </c>
      <c r="AL2044" s="662" t="str">
        <f t="shared" si="218"/>
        <v>FRD</v>
      </c>
      <c r="AM2044" s="662" t="str">
        <f t="shared" si="221"/>
        <v>F150-Regular Cab XL-2WD-3-6'5"-7600-2.7L EcoBoost-6-F1C-100A-122.4-23-Unleaded-Unleaded</v>
      </c>
      <c r="AN2044" s="662" t="str">
        <f t="shared" si="219"/>
        <v>2019-LTK-FRD-F150-021</v>
      </c>
    </row>
    <row r="2045" spans="1:40" s="572" customFormat="1" ht="15">
      <c r="A2045" s="570" t="s">
        <v>3842</v>
      </c>
      <c r="B2045" s="573" t="s">
        <v>3843</v>
      </c>
      <c r="C2045" s="573" t="s">
        <v>269</v>
      </c>
      <c r="D2045" s="578" t="s">
        <v>270</v>
      </c>
      <c r="E2045" s="573" t="s">
        <v>3374</v>
      </c>
      <c r="F2045" s="573" t="s">
        <v>152</v>
      </c>
      <c r="G2045" s="573" t="s">
        <v>271</v>
      </c>
      <c r="H2045" s="573">
        <v>2019</v>
      </c>
      <c r="I2045" s="573" t="s">
        <v>3765</v>
      </c>
      <c r="J2045" s="573" t="s">
        <v>3837</v>
      </c>
      <c r="K2045" s="573" t="s">
        <v>3377</v>
      </c>
      <c r="L2045" s="573">
        <v>3</v>
      </c>
      <c r="M2045" s="573">
        <v>0</v>
      </c>
      <c r="N2045" s="573" t="s">
        <v>157</v>
      </c>
      <c r="O2045" s="573">
        <v>1</v>
      </c>
      <c r="P2045" s="573" t="s">
        <v>3781</v>
      </c>
      <c r="Q2045" s="571">
        <v>8400</v>
      </c>
      <c r="R2045" s="573" t="s">
        <v>3778</v>
      </c>
      <c r="S2045" s="573">
        <v>8</v>
      </c>
      <c r="T2045" s="573" t="s">
        <v>3838</v>
      </c>
      <c r="U2045" s="573" t="s">
        <v>276</v>
      </c>
      <c r="V2045" s="573">
        <v>122.4</v>
      </c>
      <c r="W2045" s="573">
        <v>23</v>
      </c>
      <c r="X2045" s="571">
        <v>6200</v>
      </c>
      <c r="Y2045" s="573">
        <v>19</v>
      </c>
      <c r="Z2045" s="579" t="s">
        <v>450</v>
      </c>
      <c r="AA2045" s="579" t="s">
        <v>178</v>
      </c>
      <c r="AB2045" s="584">
        <v>31645</v>
      </c>
      <c r="AC2045" s="584" t="s">
        <v>164</v>
      </c>
      <c r="AD2045" s="584">
        <v>22379.663157894738</v>
      </c>
      <c r="AE2045" s="586">
        <v>0.03</v>
      </c>
      <c r="AF2045" s="661" t="str">
        <f t="shared" si="220"/>
        <v>2019-LTK-FRD-F150-023-05</v>
      </c>
      <c r="AG2045" s="661" t="str">
        <f>IF(AND($Y2045&gt;=32,(AI2045="I"),(Y2045&lt;&gt;"~"),(COUNTIF($AN$1:$AN2045,$AN2045)=1)),"TRUE","FALSE")</f>
        <v>FALSE</v>
      </c>
      <c r="AH2045" s="661" t="str">
        <f>IF(AND($Y2045&gt;=22, (AI2045&lt;&gt;"I"),(Y2045&lt;&gt;"~"),(COUNTIF($AN$1:$AN2045,$AN2045)=1)),"TRUE","FALSE")</f>
        <v>FALSE</v>
      </c>
      <c r="AI2045" s="661" t="str">
        <f t="shared" si="222"/>
        <v>II</v>
      </c>
      <c r="AJ2045" s="662" t="str">
        <f t="shared" si="216"/>
        <v>F150-023</v>
      </c>
      <c r="AK2045" s="662" t="str">
        <f t="shared" si="217"/>
        <v>LTK</v>
      </c>
      <c r="AL2045" s="662" t="str">
        <f t="shared" si="218"/>
        <v>FRD</v>
      </c>
      <c r="AM2045" s="662" t="str">
        <f t="shared" si="221"/>
        <v>F150-Regular Cab XL-2WD-3-6'5"-8400-5.0L FFV-8-F1C-100A-122.4-23-E85-Unleaded</v>
      </c>
      <c r="AN2045" s="662" t="str">
        <f t="shared" si="219"/>
        <v>2019-LTK-FRD-F150-023</v>
      </c>
    </row>
    <row r="2046" spans="1:40" s="572" customFormat="1" ht="15">
      <c r="A2046" s="570" t="s">
        <v>3844</v>
      </c>
      <c r="B2046" s="569" t="s">
        <v>3845</v>
      </c>
      <c r="C2046" s="569" t="s">
        <v>269</v>
      </c>
      <c r="D2046" s="580" t="s">
        <v>270</v>
      </c>
      <c r="E2046" s="569" t="s">
        <v>3374</v>
      </c>
      <c r="F2046" s="569" t="s">
        <v>152</v>
      </c>
      <c r="G2046" s="569" t="s">
        <v>271</v>
      </c>
      <c r="H2046" s="569">
        <v>2019</v>
      </c>
      <c r="I2046" s="569" t="s">
        <v>3765</v>
      </c>
      <c r="J2046" s="569" t="s">
        <v>3837</v>
      </c>
      <c r="K2046" s="569" t="s">
        <v>3377</v>
      </c>
      <c r="L2046" s="569">
        <v>3</v>
      </c>
      <c r="M2046" s="569">
        <v>0</v>
      </c>
      <c r="N2046" s="569" t="s">
        <v>157</v>
      </c>
      <c r="O2046" s="569">
        <v>1</v>
      </c>
      <c r="P2046" s="569" t="s">
        <v>3846</v>
      </c>
      <c r="Q2046" s="568">
        <v>10700</v>
      </c>
      <c r="R2046" s="569" t="s">
        <v>1259</v>
      </c>
      <c r="S2046" s="569">
        <v>6</v>
      </c>
      <c r="T2046" s="569" t="s">
        <v>3838</v>
      </c>
      <c r="U2046" s="569" t="s">
        <v>276</v>
      </c>
      <c r="V2046" s="569">
        <v>141.1</v>
      </c>
      <c r="W2046" s="569">
        <v>23</v>
      </c>
      <c r="X2046" s="568">
        <v>7050</v>
      </c>
      <c r="Y2046" s="569">
        <v>21</v>
      </c>
      <c r="Z2046" s="581" t="s">
        <v>178</v>
      </c>
      <c r="AA2046" s="581" t="s">
        <v>178</v>
      </c>
      <c r="AB2046" s="585">
        <v>32545</v>
      </c>
      <c r="AC2046" s="585" t="s">
        <v>164</v>
      </c>
      <c r="AD2046" s="585">
        <v>23196.505263157895</v>
      </c>
      <c r="AE2046" s="587">
        <v>0.03</v>
      </c>
      <c r="AF2046" s="661" t="str">
        <f t="shared" si="220"/>
        <v>2019-LTK-FRD-F150-024-05</v>
      </c>
      <c r="AG2046" s="661" t="str">
        <f>IF(AND($Y2046&gt;=32,(AI2046="I"),(Y2046&lt;&gt;"~"),(COUNTIF($AN$1:$AN2046,$AN2046)=1)),"TRUE","FALSE")</f>
        <v>FALSE</v>
      </c>
      <c r="AH2046" s="661" t="str">
        <f>IF(AND($Y2046&gt;=22, (AI2046&lt;&gt;"I"),(Y2046&lt;&gt;"~"),(COUNTIF($AN$1:$AN2046,$AN2046)=1)),"TRUE","FALSE")</f>
        <v>FALSE</v>
      </c>
      <c r="AI2046" s="661" t="str">
        <f t="shared" si="222"/>
        <v>II</v>
      </c>
      <c r="AJ2046" s="662" t="str">
        <f t="shared" si="216"/>
        <v>F150-024</v>
      </c>
      <c r="AK2046" s="662" t="str">
        <f t="shared" si="217"/>
        <v>LTK</v>
      </c>
      <c r="AL2046" s="662" t="str">
        <f t="shared" si="218"/>
        <v>FRD</v>
      </c>
      <c r="AM2046" s="662" t="str">
        <f t="shared" si="221"/>
        <v>F150-Regular Cab XL-2WD-3-8'-10700-3.5L EcoBoost-6-F1C-100A-141.1-23-Unleaded-Unleaded</v>
      </c>
      <c r="AN2046" s="662" t="str">
        <f t="shared" si="219"/>
        <v>2019-LTK-FRD-F150-024</v>
      </c>
    </row>
    <row r="2047" spans="1:40" s="572" customFormat="1" ht="15">
      <c r="A2047" s="570" t="s">
        <v>3847</v>
      </c>
      <c r="B2047" s="573" t="s">
        <v>3848</v>
      </c>
      <c r="C2047" s="573" t="s">
        <v>269</v>
      </c>
      <c r="D2047" s="578" t="s">
        <v>270</v>
      </c>
      <c r="E2047" s="573" t="s">
        <v>3374</v>
      </c>
      <c r="F2047" s="573" t="s">
        <v>152</v>
      </c>
      <c r="G2047" s="573" t="s">
        <v>271</v>
      </c>
      <c r="H2047" s="573">
        <v>2019</v>
      </c>
      <c r="I2047" s="573" t="s">
        <v>3765</v>
      </c>
      <c r="J2047" s="573" t="s">
        <v>3837</v>
      </c>
      <c r="K2047" s="573" t="s">
        <v>3377</v>
      </c>
      <c r="L2047" s="573">
        <v>3</v>
      </c>
      <c r="M2047" s="573">
        <v>0</v>
      </c>
      <c r="N2047" s="573" t="s">
        <v>157</v>
      </c>
      <c r="O2047" s="573">
        <v>1</v>
      </c>
      <c r="P2047" s="573" t="s">
        <v>3846</v>
      </c>
      <c r="Q2047" s="571">
        <v>5100</v>
      </c>
      <c r="R2047" s="573" t="s">
        <v>3772</v>
      </c>
      <c r="S2047" s="573">
        <v>6</v>
      </c>
      <c r="T2047" s="573" t="s">
        <v>3838</v>
      </c>
      <c r="U2047" s="573" t="s">
        <v>276</v>
      </c>
      <c r="V2047" s="573">
        <v>141.1</v>
      </c>
      <c r="W2047" s="573">
        <v>23</v>
      </c>
      <c r="X2047" s="571">
        <v>6100</v>
      </c>
      <c r="Y2047" s="573">
        <v>22</v>
      </c>
      <c r="Z2047" s="579" t="s">
        <v>450</v>
      </c>
      <c r="AA2047" s="579" t="s">
        <v>178</v>
      </c>
      <c r="AB2047" s="584">
        <v>29950</v>
      </c>
      <c r="AC2047" s="584" t="s">
        <v>164</v>
      </c>
      <c r="AD2047" s="584">
        <v>20867.031578947368</v>
      </c>
      <c r="AE2047" s="586">
        <v>0.03</v>
      </c>
      <c r="AF2047" s="661" t="str">
        <f t="shared" si="220"/>
        <v>2019-LTK-FRD-F150-025-05</v>
      </c>
      <c r="AG2047" s="661" t="str">
        <f>IF(AND($Y2047&gt;=32,(AI2047="I"),(Y2047&lt;&gt;"~"),(COUNTIF($AN$1:$AN2047,$AN2047)=1)),"TRUE","FALSE")</f>
        <v>FALSE</v>
      </c>
      <c r="AH2047" s="661" t="str">
        <f>IF(AND($Y2047&gt;=22, (AI2047&lt;&gt;"I"),(Y2047&lt;&gt;"~"),(COUNTIF($AN$1:$AN2047,$AN2047)=1)),"TRUE","FALSE")</f>
        <v>TRUE</v>
      </c>
      <c r="AI2047" s="661" t="str">
        <f t="shared" si="222"/>
        <v>II</v>
      </c>
      <c r="AJ2047" s="662" t="str">
        <f t="shared" si="216"/>
        <v>F150-025</v>
      </c>
      <c r="AK2047" s="662" t="str">
        <f t="shared" si="217"/>
        <v>LTK</v>
      </c>
      <c r="AL2047" s="662" t="str">
        <f t="shared" si="218"/>
        <v>FRD</v>
      </c>
      <c r="AM2047" s="662" t="str">
        <f t="shared" si="221"/>
        <v>F150-Regular Cab XL-2WD-3-8'-5100-3.3L FFV-6-F1C-100A-141.1-23-E85-Unleaded</v>
      </c>
      <c r="AN2047" s="662" t="str">
        <f t="shared" si="219"/>
        <v>2019-LTK-FRD-F150-025</v>
      </c>
    </row>
    <row r="2048" spans="1:40" s="572" customFormat="1" ht="15">
      <c r="A2048" s="570" t="s">
        <v>3849</v>
      </c>
      <c r="B2048" s="569" t="s">
        <v>3850</v>
      </c>
      <c r="C2048" s="569" t="s">
        <v>269</v>
      </c>
      <c r="D2048" s="580" t="s">
        <v>270</v>
      </c>
      <c r="E2048" s="569" t="s">
        <v>3374</v>
      </c>
      <c r="F2048" s="569" t="s">
        <v>152</v>
      </c>
      <c r="G2048" s="569" t="s">
        <v>271</v>
      </c>
      <c r="H2048" s="569">
        <v>2019</v>
      </c>
      <c r="I2048" s="569" t="s">
        <v>3765</v>
      </c>
      <c r="J2048" s="569" t="s">
        <v>3837</v>
      </c>
      <c r="K2048" s="569" t="s">
        <v>3377</v>
      </c>
      <c r="L2048" s="569">
        <v>3</v>
      </c>
      <c r="M2048" s="569">
        <v>0</v>
      </c>
      <c r="N2048" s="569" t="s">
        <v>157</v>
      </c>
      <c r="O2048" s="569">
        <v>1</v>
      </c>
      <c r="P2048" s="569" t="s">
        <v>3846</v>
      </c>
      <c r="Q2048" s="568">
        <v>7600</v>
      </c>
      <c r="R2048" s="569" t="s">
        <v>3841</v>
      </c>
      <c r="S2048" s="569">
        <v>6</v>
      </c>
      <c r="T2048" s="569" t="s">
        <v>3838</v>
      </c>
      <c r="U2048" s="569" t="s">
        <v>276</v>
      </c>
      <c r="V2048" s="569">
        <v>141.1</v>
      </c>
      <c r="W2048" s="569">
        <v>23</v>
      </c>
      <c r="X2048" s="568">
        <v>6100</v>
      </c>
      <c r="Y2048" s="569">
        <v>22</v>
      </c>
      <c r="Z2048" s="581" t="s">
        <v>178</v>
      </c>
      <c r="AA2048" s="581" t="s">
        <v>178</v>
      </c>
      <c r="AB2048" s="585">
        <v>30945</v>
      </c>
      <c r="AC2048" s="585" t="s">
        <v>164</v>
      </c>
      <c r="AD2048" s="585">
        <v>21760.715789473685</v>
      </c>
      <c r="AE2048" s="587">
        <v>0.03</v>
      </c>
      <c r="AF2048" s="661" t="str">
        <f t="shared" si="220"/>
        <v>2019-LTK-FRD-F150-027-05</v>
      </c>
      <c r="AG2048" s="661" t="str">
        <f>IF(AND($Y2048&gt;=32,(AI2048="I"),(Y2048&lt;&gt;"~"),(COUNTIF($AN$1:$AN2048,$AN2048)=1)),"TRUE","FALSE")</f>
        <v>FALSE</v>
      </c>
      <c r="AH2048" s="661" t="str">
        <f>IF(AND($Y2048&gt;=22, (AI2048&lt;&gt;"I"),(Y2048&lt;&gt;"~"),(COUNTIF($AN$1:$AN2048,$AN2048)=1)),"TRUE","FALSE")</f>
        <v>TRUE</v>
      </c>
      <c r="AI2048" s="661" t="str">
        <f t="shared" si="222"/>
        <v>II</v>
      </c>
      <c r="AJ2048" s="662" t="str">
        <f t="shared" si="216"/>
        <v>F150-027</v>
      </c>
      <c r="AK2048" s="662" t="str">
        <f t="shared" si="217"/>
        <v>LTK</v>
      </c>
      <c r="AL2048" s="662" t="str">
        <f t="shared" si="218"/>
        <v>FRD</v>
      </c>
      <c r="AM2048" s="662" t="str">
        <f t="shared" si="221"/>
        <v>F150-Regular Cab XL-2WD-3-8'-7600-2.7L EcoBoost-6-F1C-100A-141.1-23-Unleaded-Unleaded</v>
      </c>
      <c r="AN2048" s="662" t="str">
        <f t="shared" si="219"/>
        <v>2019-LTK-FRD-F150-027</v>
      </c>
    </row>
    <row r="2049" spans="1:40" s="572" customFormat="1" ht="15">
      <c r="A2049" s="570" t="s">
        <v>3851</v>
      </c>
      <c r="B2049" s="573" t="s">
        <v>3852</v>
      </c>
      <c r="C2049" s="573" t="s">
        <v>269</v>
      </c>
      <c r="D2049" s="578" t="s">
        <v>270</v>
      </c>
      <c r="E2049" s="573" t="s">
        <v>3374</v>
      </c>
      <c r="F2049" s="573" t="s">
        <v>152</v>
      </c>
      <c r="G2049" s="573" t="s">
        <v>271</v>
      </c>
      <c r="H2049" s="573">
        <v>2019</v>
      </c>
      <c r="I2049" s="573" t="s">
        <v>3765</v>
      </c>
      <c r="J2049" s="573" t="s">
        <v>3837</v>
      </c>
      <c r="K2049" s="573" t="s">
        <v>3377</v>
      </c>
      <c r="L2049" s="573">
        <v>3</v>
      </c>
      <c r="M2049" s="573">
        <v>0</v>
      </c>
      <c r="N2049" s="573" t="s">
        <v>157</v>
      </c>
      <c r="O2049" s="573">
        <v>1</v>
      </c>
      <c r="P2049" s="573" t="s">
        <v>3846</v>
      </c>
      <c r="Q2049" s="571">
        <v>9100</v>
      </c>
      <c r="R2049" s="573" t="s">
        <v>3778</v>
      </c>
      <c r="S2049" s="573">
        <v>8</v>
      </c>
      <c r="T2049" s="573" t="s">
        <v>3838</v>
      </c>
      <c r="U2049" s="573" t="s">
        <v>276</v>
      </c>
      <c r="V2049" s="573">
        <v>141.1</v>
      </c>
      <c r="W2049" s="573">
        <v>23</v>
      </c>
      <c r="X2049" s="571">
        <v>6750</v>
      </c>
      <c r="Y2049" s="573">
        <v>19</v>
      </c>
      <c r="Z2049" s="579" t="s">
        <v>450</v>
      </c>
      <c r="AA2049" s="579" t="s">
        <v>178</v>
      </c>
      <c r="AB2049" s="584">
        <v>31945</v>
      </c>
      <c r="AC2049" s="584" t="s">
        <v>164</v>
      </c>
      <c r="AD2049" s="584">
        <v>22657.557894736845</v>
      </c>
      <c r="AE2049" s="586">
        <v>0.03</v>
      </c>
      <c r="AF2049" s="661" t="str">
        <f t="shared" si="220"/>
        <v>2019-LTK-FRD-F150-029-05</v>
      </c>
      <c r="AG2049" s="661" t="str">
        <f>IF(AND($Y2049&gt;=32,(AI2049="I"),(Y2049&lt;&gt;"~"),(COUNTIF($AN$1:$AN2049,$AN2049)=1)),"TRUE","FALSE")</f>
        <v>FALSE</v>
      </c>
      <c r="AH2049" s="661" t="str">
        <f>IF(AND($Y2049&gt;=22, (AI2049&lt;&gt;"I"),(Y2049&lt;&gt;"~"),(COUNTIF($AN$1:$AN2049,$AN2049)=1)),"TRUE","FALSE")</f>
        <v>FALSE</v>
      </c>
      <c r="AI2049" s="661" t="str">
        <f t="shared" si="222"/>
        <v>II</v>
      </c>
      <c r="AJ2049" s="662" t="str">
        <f t="shared" si="216"/>
        <v>F150-029</v>
      </c>
      <c r="AK2049" s="662" t="str">
        <f t="shared" si="217"/>
        <v>LTK</v>
      </c>
      <c r="AL2049" s="662" t="str">
        <f t="shared" si="218"/>
        <v>FRD</v>
      </c>
      <c r="AM2049" s="662" t="str">
        <f t="shared" si="221"/>
        <v>F150-Regular Cab XL-2WD-3-8'-9100-5.0L FFV-8-F1C-100A-141.1-23-E85-Unleaded</v>
      </c>
      <c r="AN2049" s="662" t="str">
        <f t="shared" si="219"/>
        <v>2019-LTK-FRD-F150-029</v>
      </c>
    </row>
    <row r="2050" spans="1:40" s="572" customFormat="1" ht="15">
      <c r="A2050" s="570" t="s">
        <v>3853</v>
      </c>
      <c r="B2050" s="569" t="s">
        <v>3836</v>
      </c>
      <c r="C2050" s="569" t="s">
        <v>278</v>
      </c>
      <c r="D2050" s="580">
        <v>15</v>
      </c>
      <c r="E2050" s="569" t="s">
        <v>3374</v>
      </c>
      <c r="F2050" s="569" t="s">
        <v>152</v>
      </c>
      <c r="G2050" s="569" t="s">
        <v>271</v>
      </c>
      <c r="H2050" s="569">
        <v>2019</v>
      </c>
      <c r="I2050" s="569" t="s">
        <v>3765</v>
      </c>
      <c r="J2050" s="569" t="s">
        <v>3837</v>
      </c>
      <c r="K2050" s="569" t="s">
        <v>3377</v>
      </c>
      <c r="L2050" s="569">
        <v>3</v>
      </c>
      <c r="M2050" s="569">
        <v>0</v>
      </c>
      <c r="N2050" s="569" t="s">
        <v>157</v>
      </c>
      <c r="O2050" s="569">
        <v>1</v>
      </c>
      <c r="P2050" s="569" t="s">
        <v>3781</v>
      </c>
      <c r="Q2050" s="568">
        <v>5100</v>
      </c>
      <c r="R2050" s="569" t="s">
        <v>3772</v>
      </c>
      <c r="S2050" s="569">
        <v>6</v>
      </c>
      <c r="T2050" s="569" t="s">
        <v>3838</v>
      </c>
      <c r="U2050" s="569" t="s">
        <v>276</v>
      </c>
      <c r="V2050" s="569">
        <v>122.4</v>
      </c>
      <c r="W2050" s="569">
        <v>23</v>
      </c>
      <c r="X2050" s="568">
        <v>6010</v>
      </c>
      <c r="Y2050" s="569">
        <v>20</v>
      </c>
      <c r="Z2050" s="581" t="s">
        <v>450</v>
      </c>
      <c r="AA2050" s="581" t="s">
        <v>178</v>
      </c>
      <c r="AB2050" s="585">
        <v>29650</v>
      </c>
      <c r="AC2050" s="585" t="s">
        <v>164</v>
      </c>
      <c r="AD2050" s="585">
        <v>20575</v>
      </c>
      <c r="AE2050" s="587">
        <v>0.01</v>
      </c>
      <c r="AF2050" s="661" t="str">
        <f t="shared" si="220"/>
        <v>2019-LTK-FRD-F150-020-15</v>
      </c>
      <c r="AG2050" s="661" t="str">
        <f>IF(AND($Y2050&gt;=32,(AI2050="I"),(Y2050&lt;&gt;"~"),(COUNTIF($AN$1:$AN2050,$AN2050)=1)),"TRUE","FALSE")</f>
        <v>FALSE</v>
      </c>
      <c r="AH2050" s="661" t="str">
        <f>IF(AND($Y2050&gt;=22, (AI2050&lt;&gt;"I"),(Y2050&lt;&gt;"~"),(COUNTIF($AN$1:$AN2050,$AN2050)=1)),"TRUE","FALSE")</f>
        <v>FALSE</v>
      </c>
      <c r="AI2050" s="661" t="str">
        <f t="shared" si="222"/>
        <v>II</v>
      </c>
      <c r="AJ2050" s="662" t="str">
        <f t="shared" si="216"/>
        <v>F150-020</v>
      </c>
      <c r="AK2050" s="662" t="str">
        <f t="shared" si="217"/>
        <v>LTK</v>
      </c>
      <c r="AL2050" s="662" t="str">
        <f t="shared" si="218"/>
        <v>FRD</v>
      </c>
      <c r="AM2050" s="662" t="str">
        <f t="shared" si="221"/>
        <v>F150-Regular Cab XL-2WD-3-6'5"-5100-3.3L FFV-6-F1C-100A-122.4-23-E85-Unleaded</v>
      </c>
      <c r="AN2050" s="662" t="str">
        <f t="shared" si="219"/>
        <v>2019-LTK-FRD-F150-020</v>
      </c>
    </row>
    <row r="2051" spans="1:40" s="572" customFormat="1" ht="15">
      <c r="A2051" s="570" t="s">
        <v>3854</v>
      </c>
      <c r="B2051" s="573" t="s">
        <v>3840</v>
      </c>
      <c r="C2051" s="573" t="s">
        <v>278</v>
      </c>
      <c r="D2051" s="578">
        <v>15</v>
      </c>
      <c r="E2051" s="573" t="s">
        <v>3374</v>
      </c>
      <c r="F2051" s="573" t="s">
        <v>152</v>
      </c>
      <c r="G2051" s="573" t="s">
        <v>271</v>
      </c>
      <c r="H2051" s="573">
        <v>2019</v>
      </c>
      <c r="I2051" s="573" t="s">
        <v>3765</v>
      </c>
      <c r="J2051" s="573" t="s">
        <v>3837</v>
      </c>
      <c r="K2051" s="573" t="s">
        <v>3377</v>
      </c>
      <c r="L2051" s="573">
        <v>3</v>
      </c>
      <c r="M2051" s="573">
        <v>0</v>
      </c>
      <c r="N2051" s="573" t="s">
        <v>157</v>
      </c>
      <c r="O2051" s="573">
        <v>1</v>
      </c>
      <c r="P2051" s="573" t="s">
        <v>3781</v>
      </c>
      <c r="Q2051" s="571">
        <v>7600</v>
      </c>
      <c r="R2051" s="573" t="s">
        <v>3841</v>
      </c>
      <c r="S2051" s="573">
        <v>6</v>
      </c>
      <c r="T2051" s="573" t="s">
        <v>3838</v>
      </c>
      <c r="U2051" s="573" t="s">
        <v>276</v>
      </c>
      <c r="V2051" s="573">
        <v>122.4</v>
      </c>
      <c r="W2051" s="573">
        <v>23</v>
      </c>
      <c r="X2051" s="571">
        <v>6010</v>
      </c>
      <c r="Y2051" s="573">
        <v>22</v>
      </c>
      <c r="Z2051" s="579" t="s">
        <v>178</v>
      </c>
      <c r="AA2051" s="579" t="s">
        <v>178</v>
      </c>
      <c r="AB2051" s="584">
        <v>30645</v>
      </c>
      <c r="AC2051" s="584" t="s">
        <v>164</v>
      </c>
      <c r="AD2051" s="584">
        <v>21500</v>
      </c>
      <c r="AE2051" s="586">
        <v>0.01</v>
      </c>
      <c r="AF2051" s="661" t="str">
        <f t="shared" si="220"/>
        <v>2019-LTK-FRD-F150-021-15</v>
      </c>
      <c r="AG2051" s="661" t="str">
        <f>IF(AND($Y2051&gt;=32,(AI2051="I"),(Y2051&lt;&gt;"~"),(COUNTIF($AN$1:$AN2051,$AN2051)=1)),"TRUE","FALSE")</f>
        <v>FALSE</v>
      </c>
      <c r="AH2051" s="661" t="str">
        <f>IF(AND($Y2051&gt;=22, (AI2051&lt;&gt;"I"),(Y2051&lt;&gt;"~"),(COUNTIF($AN$1:$AN2051,$AN2051)=1)),"TRUE","FALSE")</f>
        <v>FALSE</v>
      </c>
      <c r="AI2051" s="661" t="str">
        <f t="shared" si="222"/>
        <v>II</v>
      </c>
      <c r="AJ2051" s="662" t="str">
        <f t="shared" ref="AJ2051:AJ2114" si="223">MID(A2051,14,8)</f>
        <v>F150-021</v>
      </c>
      <c r="AK2051" s="662" t="str">
        <f t="shared" ref="AK2051:AK2114" si="224">MID(A2051,6,3)</f>
        <v>LTK</v>
      </c>
      <c r="AL2051" s="662" t="str">
        <f t="shared" ref="AL2051:AL2114" si="225">MID(A2051,10,3)</f>
        <v>FRD</v>
      </c>
      <c r="AM2051" s="662" t="str">
        <f t="shared" si="221"/>
        <v>F150-Regular Cab XL-2WD-3-6'5"-7600-2.7L EcoBoost-6-F1C-100A-122.4-23-Unleaded-Unleaded</v>
      </c>
      <c r="AN2051" s="662" t="str">
        <f t="shared" ref="AN2051:AN2114" si="226">LEFT(A2051,21)</f>
        <v>2019-LTK-FRD-F150-021</v>
      </c>
    </row>
    <row r="2052" spans="1:40" s="572" customFormat="1" ht="15">
      <c r="A2052" s="570" t="s">
        <v>3855</v>
      </c>
      <c r="B2052" s="569" t="s">
        <v>3843</v>
      </c>
      <c r="C2052" s="569" t="s">
        <v>278</v>
      </c>
      <c r="D2052" s="580">
        <v>15</v>
      </c>
      <c r="E2052" s="569" t="s">
        <v>3374</v>
      </c>
      <c r="F2052" s="569" t="s">
        <v>152</v>
      </c>
      <c r="G2052" s="569" t="s">
        <v>271</v>
      </c>
      <c r="H2052" s="569">
        <v>2019</v>
      </c>
      <c r="I2052" s="569" t="s">
        <v>3765</v>
      </c>
      <c r="J2052" s="569" t="s">
        <v>3837</v>
      </c>
      <c r="K2052" s="569" t="s">
        <v>3377</v>
      </c>
      <c r="L2052" s="569">
        <v>3</v>
      </c>
      <c r="M2052" s="569">
        <v>0</v>
      </c>
      <c r="N2052" s="569" t="s">
        <v>157</v>
      </c>
      <c r="O2052" s="569">
        <v>1</v>
      </c>
      <c r="P2052" s="569" t="s">
        <v>3781</v>
      </c>
      <c r="Q2052" s="568">
        <v>8400</v>
      </c>
      <c r="R2052" s="569" t="s">
        <v>3778</v>
      </c>
      <c r="S2052" s="569">
        <v>8</v>
      </c>
      <c r="T2052" s="569" t="s">
        <v>3838</v>
      </c>
      <c r="U2052" s="569" t="s">
        <v>276</v>
      </c>
      <c r="V2052" s="569">
        <v>122.4</v>
      </c>
      <c r="W2052" s="569">
        <v>23</v>
      </c>
      <c r="X2052" s="568">
        <v>6200</v>
      </c>
      <c r="Y2052" s="569">
        <v>18</v>
      </c>
      <c r="Z2052" s="581" t="s">
        <v>450</v>
      </c>
      <c r="AA2052" s="581" t="s">
        <v>178</v>
      </c>
      <c r="AB2052" s="585">
        <v>31645</v>
      </c>
      <c r="AC2052" s="585" t="s">
        <v>164</v>
      </c>
      <c r="AD2052" s="585">
        <v>22395</v>
      </c>
      <c r="AE2052" s="587">
        <v>0.01</v>
      </c>
      <c r="AF2052" s="661" t="str">
        <f t="shared" si="220"/>
        <v>2019-LTK-FRD-F150-023-15</v>
      </c>
      <c r="AG2052" s="661" t="str">
        <f>IF(AND($Y2052&gt;=32,(AI2052="I"),(Y2052&lt;&gt;"~"),(COUNTIF($AN$1:$AN2052,$AN2052)=1)),"TRUE","FALSE")</f>
        <v>FALSE</v>
      </c>
      <c r="AH2052" s="661" t="str">
        <f>IF(AND($Y2052&gt;=22, (AI2052&lt;&gt;"I"),(Y2052&lt;&gt;"~"),(COUNTIF($AN$1:$AN2052,$AN2052)=1)),"TRUE","FALSE")</f>
        <v>FALSE</v>
      </c>
      <c r="AI2052" s="661" t="str">
        <f t="shared" si="222"/>
        <v>II</v>
      </c>
      <c r="AJ2052" s="662" t="str">
        <f t="shared" si="223"/>
        <v>F150-023</v>
      </c>
      <c r="AK2052" s="662" t="str">
        <f t="shared" si="224"/>
        <v>LTK</v>
      </c>
      <c r="AL2052" s="662" t="str">
        <f t="shared" si="225"/>
        <v>FRD</v>
      </c>
      <c r="AM2052" s="662" t="str">
        <f t="shared" si="221"/>
        <v>F150-Regular Cab XL-2WD-3-6'5"-8400-5.0L FFV-8-F1C-100A-122.4-23-E85-Unleaded</v>
      </c>
      <c r="AN2052" s="662" t="str">
        <f t="shared" si="226"/>
        <v>2019-LTK-FRD-F150-023</v>
      </c>
    </row>
    <row r="2053" spans="1:40" s="572" customFormat="1" ht="15">
      <c r="A2053" s="570" t="s">
        <v>3856</v>
      </c>
      <c r="B2053" s="573" t="s">
        <v>3845</v>
      </c>
      <c r="C2053" s="573" t="s">
        <v>278</v>
      </c>
      <c r="D2053" s="578">
        <v>15</v>
      </c>
      <c r="E2053" s="573" t="s">
        <v>3374</v>
      </c>
      <c r="F2053" s="573" t="s">
        <v>152</v>
      </c>
      <c r="G2053" s="573" t="s">
        <v>271</v>
      </c>
      <c r="H2053" s="573">
        <v>2019</v>
      </c>
      <c r="I2053" s="573" t="s">
        <v>3765</v>
      </c>
      <c r="J2053" s="573" t="s">
        <v>3837</v>
      </c>
      <c r="K2053" s="573" t="s">
        <v>3377</v>
      </c>
      <c r="L2053" s="573">
        <v>3</v>
      </c>
      <c r="M2053" s="573">
        <v>0</v>
      </c>
      <c r="N2053" s="573" t="s">
        <v>157</v>
      </c>
      <c r="O2053" s="573">
        <v>1</v>
      </c>
      <c r="P2053" s="573" t="s">
        <v>3846</v>
      </c>
      <c r="Q2053" s="571">
        <v>10700</v>
      </c>
      <c r="R2053" s="573" t="s">
        <v>1259</v>
      </c>
      <c r="S2053" s="573">
        <v>6</v>
      </c>
      <c r="T2053" s="573" t="s">
        <v>3838</v>
      </c>
      <c r="U2053" s="573" t="s">
        <v>276</v>
      </c>
      <c r="V2053" s="573">
        <v>141.1</v>
      </c>
      <c r="W2053" s="573">
        <v>23</v>
      </c>
      <c r="X2053" s="571">
        <v>7050</v>
      </c>
      <c r="Y2053" s="573">
        <v>20</v>
      </c>
      <c r="Z2053" s="579" t="s">
        <v>178</v>
      </c>
      <c r="AA2053" s="579" t="s">
        <v>178</v>
      </c>
      <c r="AB2053" s="584">
        <v>32545</v>
      </c>
      <c r="AC2053" s="584" t="s">
        <v>164</v>
      </c>
      <c r="AD2053" s="584">
        <v>23250</v>
      </c>
      <c r="AE2053" s="586">
        <v>0.01</v>
      </c>
      <c r="AF2053" s="661" t="str">
        <f t="shared" si="220"/>
        <v>2019-LTK-FRD-F150-024-15</v>
      </c>
      <c r="AG2053" s="661" t="str">
        <f>IF(AND($Y2053&gt;=32,(AI2053="I"),(Y2053&lt;&gt;"~"),(COUNTIF($AN$1:$AN2053,$AN2053)=1)),"TRUE","FALSE")</f>
        <v>FALSE</v>
      </c>
      <c r="AH2053" s="661" t="str">
        <f>IF(AND($Y2053&gt;=22, (AI2053&lt;&gt;"I"),(Y2053&lt;&gt;"~"),(COUNTIF($AN$1:$AN2053,$AN2053)=1)),"TRUE","FALSE")</f>
        <v>FALSE</v>
      </c>
      <c r="AI2053" s="661" t="str">
        <f t="shared" si="222"/>
        <v>II</v>
      </c>
      <c r="AJ2053" s="662" t="str">
        <f t="shared" si="223"/>
        <v>F150-024</v>
      </c>
      <c r="AK2053" s="662" t="str">
        <f t="shared" si="224"/>
        <v>LTK</v>
      </c>
      <c r="AL2053" s="662" t="str">
        <f t="shared" si="225"/>
        <v>FRD</v>
      </c>
      <c r="AM2053" s="662" t="str">
        <f t="shared" si="221"/>
        <v>F150-Regular Cab XL-2WD-3-8'-10700-3.5L EcoBoost-6-F1C-100A-141.1-23-Unleaded-Unleaded</v>
      </c>
      <c r="AN2053" s="662" t="str">
        <f t="shared" si="226"/>
        <v>2019-LTK-FRD-F150-024</v>
      </c>
    </row>
    <row r="2054" spans="1:40" s="572" customFormat="1" ht="15">
      <c r="A2054" s="570" t="s">
        <v>3857</v>
      </c>
      <c r="B2054" s="569" t="s">
        <v>3848</v>
      </c>
      <c r="C2054" s="569" t="s">
        <v>278</v>
      </c>
      <c r="D2054" s="580">
        <v>15</v>
      </c>
      <c r="E2054" s="569" t="s">
        <v>3374</v>
      </c>
      <c r="F2054" s="569" t="s">
        <v>152</v>
      </c>
      <c r="G2054" s="569" t="s">
        <v>271</v>
      </c>
      <c r="H2054" s="569">
        <v>2019</v>
      </c>
      <c r="I2054" s="569" t="s">
        <v>3765</v>
      </c>
      <c r="J2054" s="569" t="s">
        <v>3837</v>
      </c>
      <c r="K2054" s="569" t="s">
        <v>3377</v>
      </c>
      <c r="L2054" s="569">
        <v>3</v>
      </c>
      <c r="M2054" s="569">
        <v>0</v>
      </c>
      <c r="N2054" s="569" t="s">
        <v>157</v>
      </c>
      <c r="O2054" s="569">
        <v>1</v>
      </c>
      <c r="P2054" s="569" t="s">
        <v>3846</v>
      </c>
      <c r="Q2054" s="568">
        <v>5100</v>
      </c>
      <c r="R2054" s="569" t="s">
        <v>3772</v>
      </c>
      <c r="S2054" s="569">
        <v>6</v>
      </c>
      <c r="T2054" s="569" t="s">
        <v>3838</v>
      </c>
      <c r="U2054" s="569" t="s">
        <v>276</v>
      </c>
      <c r="V2054" s="569">
        <v>141.1</v>
      </c>
      <c r="W2054" s="569">
        <v>23</v>
      </c>
      <c r="X2054" s="568">
        <v>6100</v>
      </c>
      <c r="Y2054" s="569">
        <v>20</v>
      </c>
      <c r="Z2054" s="581" t="s">
        <v>450</v>
      </c>
      <c r="AA2054" s="581" t="s">
        <v>178</v>
      </c>
      <c r="AB2054" s="585">
        <v>29950</v>
      </c>
      <c r="AC2054" s="585" t="s">
        <v>164</v>
      </c>
      <c r="AD2054" s="585">
        <v>20900</v>
      </c>
      <c r="AE2054" s="587">
        <v>0.01</v>
      </c>
      <c r="AF2054" s="661" t="str">
        <f t="shared" si="220"/>
        <v>2019-LTK-FRD-F150-025-15</v>
      </c>
      <c r="AG2054" s="661" t="str">
        <f>IF(AND($Y2054&gt;=32,(AI2054="I"),(Y2054&lt;&gt;"~"),(COUNTIF($AN$1:$AN2054,$AN2054)=1)),"TRUE","FALSE")</f>
        <v>FALSE</v>
      </c>
      <c r="AH2054" s="661" t="str">
        <f>IF(AND($Y2054&gt;=22, (AI2054&lt;&gt;"I"),(Y2054&lt;&gt;"~"),(COUNTIF($AN$1:$AN2054,$AN2054)=1)),"TRUE","FALSE")</f>
        <v>FALSE</v>
      </c>
      <c r="AI2054" s="661" t="str">
        <f t="shared" si="222"/>
        <v>II</v>
      </c>
      <c r="AJ2054" s="662" t="str">
        <f t="shared" si="223"/>
        <v>F150-025</v>
      </c>
      <c r="AK2054" s="662" t="str">
        <f t="shared" si="224"/>
        <v>LTK</v>
      </c>
      <c r="AL2054" s="662" t="str">
        <f t="shared" si="225"/>
        <v>FRD</v>
      </c>
      <c r="AM2054" s="662" t="str">
        <f t="shared" si="221"/>
        <v>F150-Regular Cab XL-2WD-3-8'-5100-3.3L FFV-6-F1C-100A-141.1-23-E85-Unleaded</v>
      </c>
      <c r="AN2054" s="662" t="str">
        <f t="shared" si="226"/>
        <v>2019-LTK-FRD-F150-025</v>
      </c>
    </row>
    <row r="2055" spans="1:40" s="572" customFormat="1" ht="15">
      <c r="A2055" s="570" t="s">
        <v>3858</v>
      </c>
      <c r="B2055" s="573" t="s">
        <v>3850</v>
      </c>
      <c r="C2055" s="573" t="s">
        <v>278</v>
      </c>
      <c r="D2055" s="578">
        <v>15</v>
      </c>
      <c r="E2055" s="573" t="s">
        <v>3374</v>
      </c>
      <c r="F2055" s="573" t="s">
        <v>152</v>
      </c>
      <c r="G2055" s="573" t="s">
        <v>271</v>
      </c>
      <c r="H2055" s="573">
        <v>2019</v>
      </c>
      <c r="I2055" s="573" t="s">
        <v>3765</v>
      </c>
      <c r="J2055" s="573" t="s">
        <v>3837</v>
      </c>
      <c r="K2055" s="573" t="s">
        <v>3377</v>
      </c>
      <c r="L2055" s="573">
        <v>3</v>
      </c>
      <c r="M2055" s="573">
        <v>0</v>
      </c>
      <c r="N2055" s="573" t="s">
        <v>157</v>
      </c>
      <c r="O2055" s="573">
        <v>1</v>
      </c>
      <c r="P2055" s="573" t="s">
        <v>3846</v>
      </c>
      <c r="Q2055" s="571">
        <v>7600</v>
      </c>
      <c r="R2055" s="573" t="s">
        <v>3841</v>
      </c>
      <c r="S2055" s="573">
        <v>6</v>
      </c>
      <c r="T2055" s="573" t="s">
        <v>3838</v>
      </c>
      <c r="U2055" s="573" t="s">
        <v>276</v>
      </c>
      <c r="V2055" s="573">
        <v>141.1</v>
      </c>
      <c r="W2055" s="573">
        <v>23</v>
      </c>
      <c r="X2055" s="571">
        <v>6100</v>
      </c>
      <c r="Y2055" s="573">
        <v>22</v>
      </c>
      <c r="Z2055" s="579" t="s">
        <v>178</v>
      </c>
      <c r="AA2055" s="579" t="s">
        <v>178</v>
      </c>
      <c r="AB2055" s="584">
        <v>30945</v>
      </c>
      <c r="AC2055" s="584" t="s">
        <v>164</v>
      </c>
      <c r="AD2055" s="584">
        <v>21800</v>
      </c>
      <c r="AE2055" s="586">
        <v>0.01</v>
      </c>
      <c r="AF2055" s="661" t="str">
        <f t="shared" si="220"/>
        <v>2019-LTK-FRD-F150-027-15</v>
      </c>
      <c r="AG2055" s="661" t="str">
        <f>IF(AND($Y2055&gt;=32,(AI2055="I"),(Y2055&lt;&gt;"~"),(COUNTIF($AN$1:$AN2055,$AN2055)=1)),"TRUE","FALSE")</f>
        <v>FALSE</v>
      </c>
      <c r="AH2055" s="661" t="str">
        <f>IF(AND($Y2055&gt;=22, (AI2055&lt;&gt;"I"),(Y2055&lt;&gt;"~"),(COUNTIF($AN$1:$AN2055,$AN2055)=1)),"TRUE","FALSE")</f>
        <v>FALSE</v>
      </c>
      <c r="AI2055" s="661" t="str">
        <f t="shared" si="222"/>
        <v>II</v>
      </c>
      <c r="AJ2055" s="662" t="str">
        <f t="shared" si="223"/>
        <v>F150-027</v>
      </c>
      <c r="AK2055" s="662" t="str">
        <f t="shared" si="224"/>
        <v>LTK</v>
      </c>
      <c r="AL2055" s="662" t="str">
        <f t="shared" si="225"/>
        <v>FRD</v>
      </c>
      <c r="AM2055" s="662" t="str">
        <f t="shared" si="221"/>
        <v>F150-Regular Cab XL-2WD-3-8'-7600-2.7L EcoBoost-6-F1C-100A-141.1-23-Unleaded-Unleaded</v>
      </c>
      <c r="AN2055" s="662" t="str">
        <f t="shared" si="226"/>
        <v>2019-LTK-FRD-F150-027</v>
      </c>
    </row>
    <row r="2056" spans="1:40" s="572" customFormat="1" ht="15">
      <c r="A2056" s="570" t="s">
        <v>3859</v>
      </c>
      <c r="B2056" s="569" t="s">
        <v>3852</v>
      </c>
      <c r="C2056" s="569" t="s">
        <v>278</v>
      </c>
      <c r="D2056" s="580">
        <v>15</v>
      </c>
      <c r="E2056" s="569" t="s">
        <v>3374</v>
      </c>
      <c r="F2056" s="569" t="s">
        <v>152</v>
      </c>
      <c r="G2056" s="569" t="s">
        <v>271</v>
      </c>
      <c r="H2056" s="569">
        <v>2019</v>
      </c>
      <c r="I2056" s="569" t="s">
        <v>3765</v>
      </c>
      <c r="J2056" s="569" t="s">
        <v>3837</v>
      </c>
      <c r="K2056" s="569" t="s">
        <v>3377</v>
      </c>
      <c r="L2056" s="569">
        <v>3</v>
      </c>
      <c r="M2056" s="569">
        <v>0</v>
      </c>
      <c r="N2056" s="569" t="s">
        <v>157</v>
      </c>
      <c r="O2056" s="569">
        <v>1</v>
      </c>
      <c r="P2056" s="569" t="s">
        <v>3846</v>
      </c>
      <c r="Q2056" s="568">
        <v>9100</v>
      </c>
      <c r="R2056" s="569" t="s">
        <v>3778</v>
      </c>
      <c r="S2056" s="569">
        <v>8</v>
      </c>
      <c r="T2056" s="569" t="s">
        <v>3838</v>
      </c>
      <c r="U2056" s="569" t="s">
        <v>276</v>
      </c>
      <c r="V2056" s="569">
        <v>141.1</v>
      </c>
      <c r="W2056" s="569">
        <v>23</v>
      </c>
      <c r="X2056" s="568">
        <v>6750</v>
      </c>
      <c r="Y2056" s="569">
        <v>18</v>
      </c>
      <c r="Z2056" s="581" t="s">
        <v>450</v>
      </c>
      <c r="AA2056" s="581" t="s">
        <v>178</v>
      </c>
      <c r="AB2056" s="585">
        <v>31945</v>
      </c>
      <c r="AC2056" s="585" t="s">
        <v>164</v>
      </c>
      <c r="AD2056" s="585">
        <v>22700</v>
      </c>
      <c r="AE2056" s="587">
        <v>0.01</v>
      </c>
      <c r="AF2056" s="661" t="str">
        <f t="shared" ref="AF2056:AF2119" si="227">A2056</f>
        <v>2019-LTK-FRD-F150-029-15</v>
      </c>
      <c r="AG2056" s="661" t="str">
        <f>IF(AND($Y2056&gt;=32,(AI2056="I"),(Y2056&lt;&gt;"~"),(COUNTIF($AN$1:$AN2056,$AN2056)=1)),"TRUE","FALSE")</f>
        <v>FALSE</v>
      </c>
      <c r="AH2056" s="661" t="str">
        <f>IF(AND($Y2056&gt;=22, (AI2056&lt;&gt;"I"),(Y2056&lt;&gt;"~"),(COUNTIF($AN$1:$AN2056,$AN2056)=1)),"TRUE","FALSE")</f>
        <v>FALSE</v>
      </c>
      <c r="AI2056" s="661" t="str">
        <f t="shared" si="222"/>
        <v>II</v>
      </c>
      <c r="AJ2056" s="662" t="str">
        <f t="shared" si="223"/>
        <v>F150-029</v>
      </c>
      <c r="AK2056" s="662" t="str">
        <f t="shared" si="224"/>
        <v>LTK</v>
      </c>
      <c r="AL2056" s="662" t="str">
        <f t="shared" si="225"/>
        <v>FRD</v>
      </c>
      <c r="AM2056" s="662" t="str">
        <f t="shared" si="221"/>
        <v>F150-Regular Cab XL-2WD-3-8'-9100-5.0L FFV-8-F1C-100A-141.1-23-E85-Unleaded</v>
      </c>
      <c r="AN2056" s="662" t="str">
        <f t="shared" si="226"/>
        <v>2019-LTK-FRD-F150-029</v>
      </c>
    </row>
    <row r="2057" spans="1:40" s="572" customFormat="1" ht="15">
      <c r="A2057" s="570" t="s">
        <v>3860</v>
      </c>
      <c r="B2057" s="573" t="s">
        <v>3836</v>
      </c>
      <c r="C2057" s="573" t="s">
        <v>287</v>
      </c>
      <c r="D2057" s="578">
        <v>26</v>
      </c>
      <c r="E2057" s="573" t="s">
        <v>3374</v>
      </c>
      <c r="F2057" s="573" t="s">
        <v>152</v>
      </c>
      <c r="G2057" s="573" t="s">
        <v>271</v>
      </c>
      <c r="H2057" s="573">
        <v>2019</v>
      </c>
      <c r="I2057" s="573" t="s">
        <v>3765</v>
      </c>
      <c r="J2057" s="573" t="s">
        <v>3837</v>
      </c>
      <c r="K2057" s="573" t="s">
        <v>3377</v>
      </c>
      <c r="L2057" s="573">
        <v>3</v>
      </c>
      <c r="M2057" s="573">
        <v>0</v>
      </c>
      <c r="N2057" s="573" t="s">
        <v>157</v>
      </c>
      <c r="O2057" s="573">
        <v>1</v>
      </c>
      <c r="P2057" s="573" t="s">
        <v>3781</v>
      </c>
      <c r="Q2057" s="571">
        <v>5100</v>
      </c>
      <c r="R2057" s="573" t="s">
        <v>3772</v>
      </c>
      <c r="S2057" s="573">
        <v>6</v>
      </c>
      <c r="T2057" s="573" t="s">
        <v>3838</v>
      </c>
      <c r="U2057" s="573" t="s">
        <v>276</v>
      </c>
      <c r="V2057" s="573">
        <v>122.4</v>
      </c>
      <c r="W2057" s="573">
        <v>23</v>
      </c>
      <c r="X2057" s="571">
        <v>6010</v>
      </c>
      <c r="Y2057" s="573">
        <v>20</v>
      </c>
      <c r="Z2057" s="579" t="s">
        <v>450</v>
      </c>
      <c r="AA2057" s="579" t="s">
        <v>178</v>
      </c>
      <c r="AB2057" s="584">
        <v>29650</v>
      </c>
      <c r="AC2057" s="584" t="s">
        <v>164</v>
      </c>
      <c r="AD2057" s="584">
        <v>20988</v>
      </c>
      <c r="AE2057" s="586">
        <v>0.05</v>
      </c>
      <c r="AF2057" s="661" t="str">
        <f t="shared" si="227"/>
        <v>2019-LTK-FRD-F150-020-26</v>
      </c>
      <c r="AG2057" s="661" t="str">
        <f>IF(AND($Y2057&gt;=32,(AI2057="I"),(Y2057&lt;&gt;"~"),(COUNTIF($AN$1:$AN2057,$AN2057)=1)),"TRUE","FALSE")</f>
        <v>FALSE</v>
      </c>
      <c r="AH2057" s="661" t="str">
        <f>IF(AND($Y2057&gt;=22, (AI2057&lt;&gt;"I"),(Y2057&lt;&gt;"~"),(COUNTIF($AN$1:$AN2057,$AN2057)=1)),"TRUE","FALSE")</f>
        <v>FALSE</v>
      </c>
      <c r="AI2057" s="661" t="str">
        <f t="shared" si="222"/>
        <v>II</v>
      </c>
      <c r="AJ2057" s="662" t="str">
        <f t="shared" si="223"/>
        <v>F150-020</v>
      </c>
      <c r="AK2057" s="662" t="str">
        <f t="shared" si="224"/>
        <v>LTK</v>
      </c>
      <c r="AL2057" s="662" t="str">
        <f t="shared" si="225"/>
        <v>FRD</v>
      </c>
      <c r="AM2057" s="662" t="str">
        <f t="shared" si="221"/>
        <v>F150-Regular Cab XL-2WD-3-6'5"-5100-3.3L FFV-6-F1C-100A-122.4-23-E85-Unleaded</v>
      </c>
      <c r="AN2057" s="662" t="str">
        <f t="shared" si="226"/>
        <v>2019-LTK-FRD-F150-020</v>
      </c>
    </row>
    <row r="2058" spans="1:40" s="572" customFormat="1" ht="15">
      <c r="A2058" s="570" t="s">
        <v>3861</v>
      </c>
      <c r="B2058" s="569" t="s">
        <v>3840</v>
      </c>
      <c r="C2058" s="569" t="s">
        <v>287</v>
      </c>
      <c r="D2058" s="580">
        <v>26</v>
      </c>
      <c r="E2058" s="569" t="s">
        <v>3374</v>
      </c>
      <c r="F2058" s="569" t="s">
        <v>152</v>
      </c>
      <c r="G2058" s="569" t="s">
        <v>271</v>
      </c>
      <c r="H2058" s="569">
        <v>2019</v>
      </c>
      <c r="I2058" s="569" t="s">
        <v>3765</v>
      </c>
      <c r="J2058" s="569" t="s">
        <v>3837</v>
      </c>
      <c r="K2058" s="569" t="s">
        <v>3377</v>
      </c>
      <c r="L2058" s="569">
        <v>3</v>
      </c>
      <c r="M2058" s="569">
        <v>0</v>
      </c>
      <c r="N2058" s="569" t="s">
        <v>157</v>
      </c>
      <c r="O2058" s="569">
        <v>1</v>
      </c>
      <c r="P2058" s="569" t="s">
        <v>3781</v>
      </c>
      <c r="Q2058" s="568">
        <v>7600</v>
      </c>
      <c r="R2058" s="569" t="s">
        <v>3841</v>
      </c>
      <c r="S2058" s="569">
        <v>6</v>
      </c>
      <c r="T2058" s="569" t="s">
        <v>3838</v>
      </c>
      <c r="U2058" s="569" t="s">
        <v>276</v>
      </c>
      <c r="V2058" s="569">
        <v>122.4</v>
      </c>
      <c r="W2058" s="569">
        <v>23</v>
      </c>
      <c r="X2058" s="568">
        <v>6010</v>
      </c>
      <c r="Y2058" s="569">
        <v>22</v>
      </c>
      <c r="Z2058" s="581" t="s">
        <v>178</v>
      </c>
      <c r="AA2058" s="581" t="s">
        <v>178</v>
      </c>
      <c r="AB2058" s="585">
        <v>30645</v>
      </c>
      <c r="AC2058" s="585" t="s">
        <v>164</v>
      </c>
      <c r="AD2058" s="585">
        <v>21894</v>
      </c>
      <c r="AE2058" s="587">
        <v>0.05</v>
      </c>
      <c r="AF2058" s="661" t="str">
        <f t="shared" si="227"/>
        <v>2019-LTK-FRD-F150-021-26</v>
      </c>
      <c r="AG2058" s="661" t="str">
        <f>IF(AND($Y2058&gt;=32,(AI2058="I"),(Y2058&lt;&gt;"~"),(COUNTIF($AN$1:$AN2058,$AN2058)=1)),"TRUE","FALSE")</f>
        <v>FALSE</v>
      </c>
      <c r="AH2058" s="661" t="str">
        <f>IF(AND($Y2058&gt;=22, (AI2058&lt;&gt;"I"),(Y2058&lt;&gt;"~"),(COUNTIF($AN$1:$AN2058,$AN2058)=1)),"TRUE","FALSE")</f>
        <v>FALSE</v>
      </c>
      <c r="AI2058" s="661" t="str">
        <f t="shared" si="222"/>
        <v>II</v>
      </c>
      <c r="AJ2058" s="662" t="str">
        <f t="shared" si="223"/>
        <v>F150-021</v>
      </c>
      <c r="AK2058" s="662" t="str">
        <f t="shared" si="224"/>
        <v>LTK</v>
      </c>
      <c r="AL2058" s="662" t="str">
        <f t="shared" si="225"/>
        <v>FRD</v>
      </c>
      <c r="AM2058" s="662" t="str">
        <f t="shared" si="221"/>
        <v>F150-Regular Cab XL-2WD-3-6'5"-7600-2.7L EcoBoost-6-F1C-100A-122.4-23-Unleaded-Unleaded</v>
      </c>
      <c r="AN2058" s="662" t="str">
        <f t="shared" si="226"/>
        <v>2019-LTK-FRD-F150-021</v>
      </c>
    </row>
    <row r="2059" spans="1:40" s="572" customFormat="1" ht="15">
      <c r="A2059" s="570" t="s">
        <v>3862</v>
      </c>
      <c r="B2059" s="573" t="s">
        <v>3843</v>
      </c>
      <c r="C2059" s="573" t="s">
        <v>287</v>
      </c>
      <c r="D2059" s="578">
        <v>26</v>
      </c>
      <c r="E2059" s="573" t="s">
        <v>3374</v>
      </c>
      <c r="F2059" s="573" t="s">
        <v>152</v>
      </c>
      <c r="G2059" s="573" t="s">
        <v>271</v>
      </c>
      <c r="H2059" s="573">
        <v>2019</v>
      </c>
      <c r="I2059" s="573" t="s">
        <v>3765</v>
      </c>
      <c r="J2059" s="573" t="s">
        <v>3837</v>
      </c>
      <c r="K2059" s="573" t="s">
        <v>3377</v>
      </c>
      <c r="L2059" s="573">
        <v>3</v>
      </c>
      <c r="M2059" s="573">
        <v>0</v>
      </c>
      <c r="N2059" s="573" t="s">
        <v>157</v>
      </c>
      <c r="O2059" s="573">
        <v>1</v>
      </c>
      <c r="P2059" s="573" t="s">
        <v>3781</v>
      </c>
      <c r="Q2059" s="571">
        <v>8400</v>
      </c>
      <c r="R2059" s="573" t="s">
        <v>3778</v>
      </c>
      <c r="S2059" s="573">
        <v>8</v>
      </c>
      <c r="T2059" s="573" t="s">
        <v>3838</v>
      </c>
      <c r="U2059" s="573" t="s">
        <v>276</v>
      </c>
      <c r="V2059" s="573">
        <v>122.4</v>
      </c>
      <c r="W2059" s="573">
        <v>23</v>
      </c>
      <c r="X2059" s="571">
        <v>6200</v>
      </c>
      <c r="Y2059" s="573">
        <v>18</v>
      </c>
      <c r="Z2059" s="579" t="s">
        <v>450</v>
      </c>
      <c r="AA2059" s="579" t="s">
        <v>178</v>
      </c>
      <c r="AB2059" s="584">
        <v>31645</v>
      </c>
      <c r="AC2059" s="584" t="s">
        <v>164</v>
      </c>
      <c r="AD2059" s="584">
        <v>22804</v>
      </c>
      <c r="AE2059" s="586">
        <v>0.05</v>
      </c>
      <c r="AF2059" s="661" t="str">
        <f t="shared" si="227"/>
        <v>2019-LTK-FRD-F150-023-26</v>
      </c>
      <c r="AG2059" s="661" t="str">
        <f>IF(AND($Y2059&gt;=32,(AI2059="I"),(Y2059&lt;&gt;"~"),(COUNTIF($AN$1:$AN2059,$AN2059)=1)),"TRUE","FALSE")</f>
        <v>FALSE</v>
      </c>
      <c r="AH2059" s="661" t="str">
        <f>IF(AND($Y2059&gt;=22, (AI2059&lt;&gt;"I"),(Y2059&lt;&gt;"~"),(COUNTIF($AN$1:$AN2059,$AN2059)=1)),"TRUE","FALSE")</f>
        <v>FALSE</v>
      </c>
      <c r="AI2059" s="661" t="str">
        <f t="shared" si="222"/>
        <v>II</v>
      </c>
      <c r="AJ2059" s="662" t="str">
        <f t="shared" si="223"/>
        <v>F150-023</v>
      </c>
      <c r="AK2059" s="662" t="str">
        <f t="shared" si="224"/>
        <v>LTK</v>
      </c>
      <c r="AL2059" s="662" t="str">
        <f t="shared" si="225"/>
        <v>FRD</v>
      </c>
      <c r="AM2059" s="662" t="str">
        <f t="shared" si="221"/>
        <v>F150-Regular Cab XL-2WD-3-6'5"-8400-5.0L FFV-8-F1C-100A-122.4-23-E85-Unleaded</v>
      </c>
      <c r="AN2059" s="662" t="str">
        <f t="shared" si="226"/>
        <v>2019-LTK-FRD-F150-023</v>
      </c>
    </row>
    <row r="2060" spans="1:40" s="572" customFormat="1" ht="15">
      <c r="A2060" s="570" t="s">
        <v>3863</v>
      </c>
      <c r="B2060" s="569" t="s">
        <v>3845</v>
      </c>
      <c r="C2060" s="569" t="s">
        <v>287</v>
      </c>
      <c r="D2060" s="580">
        <v>26</v>
      </c>
      <c r="E2060" s="569" t="s">
        <v>3374</v>
      </c>
      <c r="F2060" s="569" t="s">
        <v>152</v>
      </c>
      <c r="G2060" s="569" t="s">
        <v>271</v>
      </c>
      <c r="H2060" s="569">
        <v>2019</v>
      </c>
      <c r="I2060" s="569" t="s">
        <v>3765</v>
      </c>
      <c r="J2060" s="569" t="s">
        <v>3837</v>
      </c>
      <c r="K2060" s="569" t="s">
        <v>3377</v>
      </c>
      <c r="L2060" s="569">
        <v>3</v>
      </c>
      <c r="M2060" s="569">
        <v>0</v>
      </c>
      <c r="N2060" s="569" t="s">
        <v>157</v>
      </c>
      <c r="O2060" s="569">
        <v>1</v>
      </c>
      <c r="P2060" s="569" t="s">
        <v>3846</v>
      </c>
      <c r="Q2060" s="568">
        <v>10700</v>
      </c>
      <c r="R2060" s="569" t="s">
        <v>1259</v>
      </c>
      <c r="S2060" s="569">
        <v>6</v>
      </c>
      <c r="T2060" s="569" t="s">
        <v>3838</v>
      </c>
      <c r="U2060" s="569" t="s">
        <v>276</v>
      </c>
      <c r="V2060" s="569">
        <v>141.1</v>
      </c>
      <c r="W2060" s="569">
        <v>23</v>
      </c>
      <c r="X2060" s="568">
        <v>7050</v>
      </c>
      <c r="Y2060" s="569">
        <v>20</v>
      </c>
      <c r="Z2060" s="581" t="s">
        <v>178</v>
      </c>
      <c r="AA2060" s="581" t="s">
        <v>178</v>
      </c>
      <c r="AB2060" s="585">
        <v>32545</v>
      </c>
      <c r="AC2060" s="585" t="s">
        <v>164</v>
      </c>
      <c r="AD2060" s="585">
        <v>23632</v>
      </c>
      <c r="AE2060" s="587">
        <v>0.05</v>
      </c>
      <c r="AF2060" s="661" t="str">
        <f t="shared" si="227"/>
        <v>2019-LTK-FRD-F150-024-26</v>
      </c>
      <c r="AG2060" s="661" t="str">
        <f>IF(AND($Y2060&gt;=32,(AI2060="I"),(Y2060&lt;&gt;"~"),(COUNTIF($AN$1:$AN2060,$AN2060)=1)),"TRUE","FALSE")</f>
        <v>FALSE</v>
      </c>
      <c r="AH2060" s="661" t="str">
        <f>IF(AND($Y2060&gt;=22, (AI2060&lt;&gt;"I"),(Y2060&lt;&gt;"~"),(COUNTIF($AN$1:$AN2060,$AN2060)=1)),"TRUE","FALSE")</f>
        <v>FALSE</v>
      </c>
      <c r="AI2060" s="661" t="str">
        <f t="shared" si="222"/>
        <v>II</v>
      </c>
      <c r="AJ2060" s="662" t="str">
        <f t="shared" si="223"/>
        <v>F150-024</v>
      </c>
      <c r="AK2060" s="662" t="str">
        <f t="shared" si="224"/>
        <v>LTK</v>
      </c>
      <c r="AL2060" s="662" t="str">
        <f t="shared" si="225"/>
        <v>FRD</v>
      </c>
      <c r="AM2060" s="662" t="str">
        <f t="shared" si="221"/>
        <v>F150-Regular Cab XL-2WD-3-8'-10700-3.5L EcoBoost-6-F1C-100A-141.1-23-Unleaded-Unleaded</v>
      </c>
      <c r="AN2060" s="662" t="str">
        <f t="shared" si="226"/>
        <v>2019-LTK-FRD-F150-024</v>
      </c>
    </row>
    <row r="2061" spans="1:40" s="572" customFormat="1" ht="15">
      <c r="A2061" s="570" t="s">
        <v>3864</v>
      </c>
      <c r="B2061" s="573" t="s">
        <v>3850</v>
      </c>
      <c r="C2061" s="573" t="s">
        <v>287</v>
      </c>
      <c r="D2061" s="578">
        <v>26</v>
      </c>
      <c r="E2061" s="573" t="s">
        <v>3374</v>
      </c>
      <c r="F2061" s="573" t="s">
        <v>152</v>
      </c>
      <c r="G2061" s="573" t="s">
        <v>271</v>
      </c>
      <c r="H2061" s="573">
        <v>2019</v>
      </c>
      <c r="I2061" s="573" t="s">
        <v>3765</v>
      </c>
      <c r="J2061" s="573" t="s">
        <v>3837</v>
      </c>
      <c r="K2061" s="573" t="s">
        <v>3377</v>
      </c>
      <c r="L2061" s="573">
        <v>3</v>
      </c>
      <c r="M2061" s="573">
        <v>0</v>
      </c>
      <c r="N2061" s="573" t="s">
        <v>157</v>
      </c>
      <c r="O2061" s="573">
        <v>1</v>
      </c>
      <c r="P2061" s="573" t="s">
        <v>3846</v>
      </c>
      <c r="Q2061" s="571">
        <v>7600</v>
      </c>
      <c r="R2061" s="573" t="s">
        <v>3841</v>
      </c>
      <c r="S2061" s="573">
        <v>6</v>
      </c>
      <c r="T2061" s="573" t="s">
        <v>3838</v>
      </c>
      <c r="U2061" s="573" t="s">
        <v>276</v>
      </c>
      <c r="V2061" s="573">
        <v>141.1</v>
      </c>
      <c r="W2061" s="573">
        <v>23</v>
      </c>
      <c r="X2061" s="571">
        <v>6100</v>
      </c>
      <c r="Y2061" s="573">
        <v>22</v>
      </c>
      <c r="Z2061" s="579" t="s">
        <v>178</v>
      </c>
      <c r="AA2061" s="579" t="s">
        <v>178</v>
      </c>
      <c r="AB2061" s="584">
        <v>30945</v>
      </c>
      <c r="AC2061" s="584" t="s">
        <v>164</v>
      </c>
      <c r="AD2061" s="584">
        <v>22177</v>
      </c>
      <c r="AE2061" s="586">
        <v>0.05</v>
      </c>
      <c r="AF2061" s="661" t="str">
        <f t="shared" si="227"/>
        <v>2019-LTK-FRD-F150-027-26</v>
      </c>
      <c r="AG2061" s="661" t="str">
        <f>IF(AND($Y2061&gt;=32,(AI2061="I"),(Y2061&lt;&gt;"~"),(COUNTIF($AN$1:$AN2061,$AN2061)=1)),"TRUE","FALSE")</f>
        <v>FALSE</v>
      </c>
      <c r="AH2061" s="661" t="str">
        <f>IF(AND($Y2061&gt;=22, (AI2061&lt;&gt;"I"),(Y2061&lt;&gt;"~"),(COUNTIF($AN$1:$AN2061,$AN2061)=1)),"TRUE","FALSE")</f>
        <v>FALSE</v>
      </c>
      <c r="AI2061" s="661" t="str">
        <f t="shared" si="222"/>
        <v>II</v>
      </c>
      <c r="AJ2061" s="662" t="str">
        <f t="shared" si="223"/>
        <v>F150-027</v>
      </c>
      <c r="AK2061" s="662" t="str">
        <f t="shared" si="224"/>
        <v>LTK</v>
      </c>
      <c r="AL2061" s="662" t="str">
        <f t="shared" si="225"/>
        <v>FRD</v>
      </c>
      <c r="AM2061" s="662" t="str">
        <f t="shared" si="221"/>
        <v>F150-Regular Cab XL-2WD-3-8'-7600-2.7L EcoBoost-6-F1C-100A-141.1-23-Unleaded-Unleaded</v>
      </c>
      <c r="AN2061" s="662" t="str">
        <f t="shared" si="226"/>
        <v>2019-LTK-FRD-F150-027</v>
      </c>
    </row>
    <row r="2062" spans="1:40" s="572" customFormat="1" ht="15">
      <c r="A2062" s="570" t="s">
        <v>3865</v>
      </c>
      <c r="B2062" s="569" t="s">
        <v>3866</v>
      </c>
      <c r="C2062" s="569" t="s">
        <v>287</v>
      </c>
      <c r="D2062" s="580">
        <v>26</v>
      </c>
      <c r="E2062" s="569" t="s">
        <v>3374</v>
      </c>
      <c r="F2062" s="569" t="s">
        <v>152</v>
      </c>
      <c r="G2062" s="569" t="s">
        <v>271</v>
      </c>
      <c r="H2062" s="569">
        <v>2019</v>
      </c>
      <c r="I2062" s="569" t="s">
        <v>3765</v>
      </c>
      <c r="J2062" s="569" t="s">
        <v>3837</v>
      </c>
      <c r="K2062" s="569" t="s">
        <v>3377</v>
      </c>
      <c r="L2062" s="569">
        <v>3</v>
      </c>
      <c r="M2062" s="569">
        <v>0</v>
      </c>
      <c r="N2062" s="569" t="s">
        <v>157</v>
      </c>
      <c r="O2062" s="569">
        <v>1</v>
      </c>
      <c r="P2062" s="569" t="s">
        <v>3846</v>
      </c>
      <c r="Q2062" s="568">
        <v>7700</v>
      </c>
      <c r="R2062" s="569" t="s">
        <v>3867</v>
      </c>
      <c r="S2062" s="569">
        <v>6</v>
      </c>
      <c r="T2062" s="569" t="s">
        <v>3838</v>
      </c>
      <c r="U2062" s="569" t="s">
        <v>276</v>
      </c>
      <c r="V2062" s="569">
        <v>141.1</v>
      </c>
      <c r="W2062" s="569">
        <v>23</v>
      </c>
      <c r="X2062" s="568">
        <v>6100</v>
      </c>
      <c r="Y2062" s="569">
        <v>20</v>
      </c>
      <c r="Z2062" s="581" t="s">
        <v>178</v>
      </c>
      <c r="AA2062" s="581" t="s">
        <v>178</v>
      </c>
      <c r="AB2062" s="585">
        <v>29950</v>
      </c>
      <c r="AC2062" s="585" t="s">
        <v>164</v>
      </c>
      <c r="AD2062" s="585">
        <v>21271</v>
      </c>
      <c r="AE2062" s="587">
        <v>0.05</v>
      </c>
      <c r="AF2062" s="661" t="str">
        <f t="shared" si="227"/>
        <v>2019-LTK-FRD-F150-028-26</v>
      </c>
      <c r="AG2062" s="661" t="str">
        <f>IF(AND($Y2062&gt;=32,(AI2062="I"),(Y2062&lt;&gt;"~"),(COUNTIF($AN$1:$AN2062,$AN2062)=1)),"TRUE","FALSE")</f>
        <v>FALSE</v>
      </c>
      <c r="AH2062" s="661" t="str">
        <f>IF(AND($Y2062&gt;=22, (AI2062&lt;&gt;"I"),(Y2062&lt;&gt;"~"),(COUNTIF($AN$1:$AN2062,$AN2062)=1)),"TRUE","FALSE")</f>
        <v>FALSE</v>
      </c>
      <c r="AI2062" s="661" t="str">
        <f t="shared" si="222"/>
        <v>II</v>
      </c>
      <c r="AJ2062" s="662" t="str">
        <f t="shared" si="223"/>
        <v>F150-028</v>
      </c>
      <c r="AK2062" s="662" t="str">
        <f t="shared" si="224"/>
        <v>LTK</v>
      </c>
      <c r="AL2062" s="662" t="str">
        <f t="shared" si="225"/>
        <v>FRD</v>
      </c>
      <c r="AM2062" s="662" t="str">
        <f t="shared" si="221"/>
        <v>F150-Regular Cab XL-2WD-3-8'-7700-3.3L Ti-VCT-6-F1C-100A-141.1-23-Unleaded-Unleaded</v>
      </c>
      <c r="AN2062" s="662" t="str">
        <f t="shared" si="226"/>
        <v>2019-LTK-FRD-F150-028</v>
      </c>
    </row>
    <row r="2063" spans="1:40" s="572" customFormat="1" ht="15">
      <c r="A2063" s="570" t="s">
        <v>3868</v>
      </c>
      <c r="B2063" s="573" t="s">
        <v>3852</v>
      </c>
      <c r="C2063" s="573" t="s">
        <v>287</v>
      </c>
      <c r="D2063" s="578">
        <v>26</v>
      </c>
      <c r="E2063" s="573" t="s">
        <v>3374</v>
      </c>
      <c r="F2063" s="573" t="s">
        <v>152</v>
      </c>
      <c r="G2063" s="573" t="s">
        <v>271</v>
      </c>
      <c r="H2063" s="573">
        <v>2019</v>
      </c>
      <c r="I2063" s="573" t="s">
        <v>3765</v>
      </c>
      <c r="J2063" s="573" t="s">
        <v>3837</v>
      </c>
      <c r="K2063" s="573" t="s">
        <v>3377</v>
      </c>
      <c r="L2063" s="573">
        <v>3</v>
      </c>
      <c r="M2063" s="573">
        <v>0</v>
      </c>
      <c r="N2063" s="573" t="s">
        <v>157</v>
      </c>
      <c r="O2063" s="573">
        <v>1</v>
      </c>
      <c r="P2063" s="573" t="s">
        <v>3846</v>
      </c>
      <c r="Q2063" s="571">
        <v>9100</v>
      </c>
      <c r="R2063" s="573" t="s">
        <v>3778</v>
      </c>
      <c r="S2063" s="573">
        <v>8</v>
      </c>
      <c r="T2063" s="573" t="s">
        <v>3838</v>
      </c>
      <c r="U2063" s="573" t="s">
        <v>276</v>
      </c>
      <c r="V2063" s="573">
        <v>141.1</v>
      </c>
      <c r="W2063" s="573">
        <v>23</v>
      </c>
      <c r="X2063" s="571">
        <v>6750</v>
      </c>
      <c r="Y2063" s="573">
        <v>18</v>
      </c>
      <c r="Z2063" s="579" t="s">
        <v>450</v>
      </c>
      <c r="AA2063" s="579" t="s">
        <v>178</v>
      </c>
      <c r="AB2063" s="584">
        <v>30450</v>
      </c>
      <c r="AC2063" s="584" t="s">
        <v>164</v>
      </c>
      <c r="AD2063" s="584">
        <v>23087</v>
      </c>
      <c r="AE2063" s="586">
        <v>0.05</v>
      </c>
      <c r="AF2063" s="661" t="str">
        <f t="shared" si="227"/>
        <v>2019-LTK-FRD-F150-029-26</v>
      </c>
      <c r="AG2063" s="661" t="str">
        <f>IF(AND($Y2063&gt;=32,(AI2063="I"),(Y2063&lt;&gt;"~"),(COUNTIF($AN$1:$AN2063,$AN2063)=1)),"TRUE","FALSE")</f>
        <v>FALSE</v>
      </c>
      <c r="AH2063" s="661" t="str">
        <f>IF(AND($Y2063&gt;=22, (AI2063&lt;&gt;"I"),(Y2063&lt;&gt;"~"),(COUNTIF($AN$1:$AN2063,$AN2063)=1)),"TRUE","FALSE")</f>
        <v>FALSE</v>
      </c>
      <c r="AI2063" s="661" t="str">
        <f t="shared" si="222"/>
        <v>II</v>
      </c>
      <c r="AJ2063" s="662" t="str">
        <f t="shared" si="223"/>
        <v>F150-029</v>
      </c>
      <c r="AK2063" s="662" t="str">
        <f t="shared" si="224"/>
        <v>LTK</v>
      </c>
      <c r="AL2063" s="662" t="str">
        <f t="shared" si="225"/>
        <v>FRD</v>
      </c>
      <c r="AM2063" s="662" t="str">
        <f t="shared" si="221"/>
        <v>F150-Regular Cab XL-2WD-3-8'-9100-5.0L FFV-8-F1C-100A-141.1-23-E85-Unleaded</v>
      </c>
      <c r="AN2063" s="662" t="str">
        <f t="shared" si="226"/>
        <v>2019-LTK-FRD-F150-029</v>
      </c>
    </row>
    <row r="2064" spans="1:40" s="572" customFormat="1" ht="15">
      <c r="A2064" s="570" t="s">
        <v>3869</v>
      </c>
      <c r="B2064" s="569" t="s">
        <v>3836</v>
      </c>
      <c r="C2064" s="569" t="s">
        <v>280</v>
      </c>
      <c r="D2064" s="580">
        <v>27</v>
      </c>
      <c r="E2064" s="569" t="s">
        <v>3374</v>
      </c>
      <c r="F2064" s="569" t="s">
        <v>152</v>
      </c>
      <c r="G2064" s="569" t="s">
        <v>271</v>
      </c>
      <c r="H2064" s="569">
        <v>2019</v>
      </c>
      <c r="I2064" s="569" t="s">
        <v>3765</v>
      </c>
      <c r="J2064" s="569" t="s">
        <v>3837</v>
      </c>
      <c r="K2064" s="569" t="s">
        <v>3377</v>
      </c>
      <c r="L2064" s="569">
        <v>3</v>
      </c>
      <c r="M2064" s="569">
        <v>0</v>
      </c>
      <c r="N2064" s="569" t="s">
        <v>157</v>
      </c>
      <c r="O2064" s="569">
        <v>1</v>
      </c>
      <c r="P2064" s="569" t="s">
        <v>3781</v>
      </c>
      <c r="Q2064" s="568">
        <v>5100</v>
      </c>
      <c r="R2064" s="569" t="s">
        <v>3772</v>
      </c>
      <c r="S2064" s="569">
        <v>6</v>
      </c>
      <c r="T2064" s="569" t="s">
        <v>3838</v>
      </c>
      <c r="U2064" s="569" t="s">
        <v>276</v>
      </c>
      <c r="V2064" s="569">
        <v>122.4</v>
      </c>
      <c r="W2064" s="569">
        <v>23</v>
      </c>
      <c r="X2064" s="568">
        <v>6010</v>
      </c>
      <c r="Y2064" s="569">
        <v>22</v>
      </c>
      <c r="Z2064" s="581" t="s">
        <v>450</v>
      </c>
      <c r="AA2064" s="581" t="s">
        <v>178</v>
      </c>
      <c r="AB2064" s="585">
        <v>29650</v>
      </c>
      <c r="AC2064" s="585" t="s">
        <v>164</v>
      </c>
      <c r="AD2064" s="585">
        <v>20589.136842105265</v>
      </c>
      <c r="AE2064" s="587">
        <v>0.03</v>
      </c>
      <c r="AF2064" s="661" t="str">
        <f t="shared" si="227"/>
        <v>2019-LTK-FRD-F150-020-27</v>
      </c>
      <c r="AG2064" s="661" t="str">
        <f>IF(AND($Y2064&gt;=32,(AI2064="I"),(Y2064&lt;&gt;"~"),(COUNTIF($AN$1:$AN2064,$AN2064)=1)),"TRUE","FALSE")</f>
        <v>FALSE</v>
      </c>
      <c r="AH2064" s="661" t="str">
        <f>IF(AND($Y2064&gt;=22, (AI2064&lt;&gt;"I"),(Y2064&lt;&gt;"~"),(COUNTIF($AN$1:$AN2064,$AN2064)=1)),"TRUE","FALSE")</f>
        <v>FALSE</v>
      </c>
      <c r="AI2064" s="661" t="str">
        <f t="shared" si="222"/>
        <v>II</v>
      </c>
      <c r="AJ2064" s="662" t="str">
        <f t="shared" si="223"/>
        <v>F150-020</v>
      </c>
      <c r="AK2064" s="662" t="str">
        <f t="shared" si="224"/>
        <v>LTK</v>
      </c>
      <c r="AL2064" s="662" t="str">
        <f t="shared" si="225"/>
        <v>FRD</v>
      </c>
      <c r="AM2064" s="662" t="str">
        <f t="shared" si="221"/>
        <v>F150-Regular Cab XL-2WD-3-6'5"-5100-3.3L FFV-6-F1C-100A-122.4-23-E85-Unleaded</v>
      </c>
      <c r="AN2064" s="662" t="str">
        <f t="shared" si="226"/>
        <v>2019-LTK-FRD-F150-020</v>
      </c>
    </row>
    <row r="2065" spans="1:40" s="572" customFormat="1" ht="15">
      <c r="A2065" s="570" t="s">
        <v>3870</v>
      </c>
      <c r="B2065" s="573" t="s">
        <v>3840</v>
      </c>
      <c r="C2065" s="573" t="s">
        <v>280</v>
      </c>
      <c r="D2065" s="578">
        <v>27</v>
      </c>
      <c r="E2065" s="573" t="s">
        <v>3374</v>
      </c>
      <c r="F2065" s="573" t="s">
        <v>152</v>
      </c>
      <c r="G2065" s="573" t="s">
        <v>271</v>
      </c>
      <c r="H2065" s="573">
        <v>2019</v>
      </c>
      <c r="I2065" s="573" t="s">
        <v>3765</v>
      </c>
      <c r="J2065" s="573" t="s">
        <v>3837</v>
      </c>
      <c r="K2065" s="573" t="s">
        <v>3377</v>
      </c>
      <c r="L2065" s="573">
        <v>3</v>
      </c>
      <c r="M2065" s="573">
        <v>0</v>
      </c>
      <c r="N2065" s="573" t="s">
        <v>157</v>
      </c>
      <c r="O2065" s="573">
        <v>1</v>
      </c>
      <c r="P2065" s="573" t="s">
        <v>3781</v>
      </c>
      <c r="Q2065" s="571">
        <v>7600</v>
      </c>
      <c r="R2065" s="573" t="s">
        <v>3841</v>
      </c>
      <c r="S2065" s="573">
        <v>6</v>
      </c>
      <c r="T2065" s="573" t="s">
        <v>3838</v>
      </c>
      <c r="U2065" s="573" t="s">
        <v>276</v>
      </c>
      <c r="V2065" s="573">
        <v>122.4</v>
      </c>
      <c r="W2065" s="573">
        <v>23</v>
      </c>
      <c r="X2065" s="571">
        <v>6010</v>
      </c>
      <c r="Y2065" s="573">
        <v>22</v>
      </c>
      <c r="Z2065" s="579" t="s">
        <v>178</v>
      </c>
      <c r="AA2065" s="579" t="s">
        <v>178</v>
      </c>
      <c r="AB2065" s="584">
        <v>30645</v>
      </c>
      <c r="AC2065" s="584" t="s">
        <v>164</v>
      </c>
      <c r="AD2065" s="584">
        <v>21482.821052631582</v>
      </c>
      <c r="AE2065" s="586">
        <v>0.03</v>
      </c>
      <c r="AF2065" s="661" t="str">
        <f t="shared" si="227"/>
        <v>2019-LTK-FRD-F150-021-27</v>
      </c>
      <c r="AG2065" s="661" t="str">
        <f>IF(AND($Y2065&gt;=32,(AI2065="I"),(Y2065&lt;&gt;"~"),(COUNTIF($AN$1:$AN2065,$AN2065)=1)),"TRUE","FALSE")</f>
        <v>FALSE</v>
      </c>
      <c r="AH2065" s="661" t="str">
        <f>IF(AND($Y2065&gt;=22, (AI2065&lt;&gt;"I"),(Y2065&lt;&gt;"~"),(COUNTIF($AN$1:$AN2065,$AN2065)=1)),"TRUE","FALSE")</f>
        <v>FALSE</v>
      </c>
      <c r="AI2065" s="661" t="str">
        <f t="shared" si="222"/>
        <v>II</v>
      </c>
      <c r="AJ2065" s="662" t="str">
        <f t="shared" si="223"/>
        <v>F150-021</v>
      </c>
      <c r="AK2065" s="662" t="str">
        <f t="shared" si="224"/>
        <v>LTK</v>
      </c>
      <c r="AL2065" s="662" t="str">
        <f t="shared" si="225"/>
        <v>FRD</v>
      </c>
      <c r="AM2065" s="662" t="str">
        <f t="shared" si="221"/>
        <v>F150-Regular Cab XL-2WD-3-6'5"-7600-2.7L EcoBoost-6-F1C-100A-122.4-23-Unleaded-Unleaded</v>
      </c>
      <c r="AN2065" s="662" t="str">
        <f t="shared" si="226"/>
        <v>2019-LTK-FRD-F150-021</v>
      </c>
    </row>
    <row r="2066" spans="1:40" s="572" customFormat="1" ht="15">
      <c r="A2066" s="570" t="s">
        <v>3871</v>
      </c>
      <c r="B2066" s="569" t="s">
        <v>3843</v>
      </c>
      <c r="C2066" s="569" t="s">
        <v>280</v>
      </c>
      <c r="D2066" s="580">
        <v>27</v>
      </c>
      <c r="E2066" s="569" t="s">
        <v>3374</v>
      </c>
      <c r="F2066" s="569" t="s">
        <v>152</v>
      </c>
      <c r="G2066" s="569" t="s">
        <v>271</v>
      </c>
      <c r="H2066" s="569">
        <v>2019</v>
      </c>
      <c r="I2066" s="569" t="s">
        <v>3765</v>
      </c>
      <c r="J2066" s="569" t="s">
        <v>3837</v>
      </c>
      <c r="K2066" s="569" t="s">
        <v>3377</v>
      </c>
      <c r="L2066" s="569">
        <v>3</v>
      </c>
      <c r="M2066" s="569">
        <v>0</v>
      </c>
      <c r="N2066" s="569" t="s">
        <v>157</v>
      </c>
      <c r="O2066" s="569">
        <v>1</v>
      </c>
      <c r="P2066" s="569" t="s">
        <v>3781</v>
      </c>
      <c r="Q2066" s="568">
        <v>8400</v>
      </c>
      <c r="R2066" s="569" t="s">
        <v>3778</v>
      </c>
      <c r="S2066" s="569">
        <v>8</v>
      </c>
      <c r="T2066" s="569" t="s">
        <v>3838</v>
      </c>
      <c r="U2066" s="569" t="s">
        <v>276</v>
      </c>
      <c r="V2066" s="569">
        <v>122.4</v>
      </c>
      <c r="W2066" s="569">
        <v>23</v>
      </c>
      <c r="X2066" s="568">
        <v>6200</v>
      </c>
      <c r="Y2066" s="569">
        <v>19</v>
      </c>
      <c r="Z2066" s="581" t="s">
        <v>450</v>
      </c>
      <c r="AA2066" s="581" t="s">
        <v>178</v>
      </c>
      <c r="AB2066" s="585">
        <v>31645</v>
      </c>
      <c r="AC2066" s="585" t="s">
        <v>164</v>
      </c>
      <c r="AD2066" s="585">
        <v>22379.663157894738</v>
      </c>
      <c r="AE2066" s="587">
        <v>0.03</v>
      </c>
      <c r="AF2066" s="661" t="str">
        <f t="shared" si="227"/>
        <v>2019-LTK-FRD-F150-023-27</v>
      </c>
      <c r="AG2066" s="661" t="str">
        <f>IF(AND($Y2066&gt;=32,(AI2066="I"),(Y2066&lt;&gt;"~"),(COUNTIF($AN$1:$AN2066,$AN2066)=1)),"TRUE","FALSE")</f>
        <v>FALSE</v>
      </c>
      <c r="AH2066" s="661" t="str">
        <f>IF(AND($Y2066&gt;=22, (AI2066&lt;&gt;"I"),(Y2066&lt;&gt;"~"),(COUNTIF($AN$1:$AN2066,$AN2066)=1)),"TRUE","FALSE")</f>
        <v>FALSE</v>
      </c>
      <c r="AI2066" s="661" t="str">
        <f t="shared" si="222"/>
        <v>II</v>
      </c>
      <c r="AJ2066" s="662" t="str">
        <f t="shared" si="223"/>
        <v>F150-023</v>
      </c>
      <c r="AK2066" s="662" t="str">
        <f t="shared" si="224"/>
        <v>LTK</v>
      </c>
      <c r="AL2066" s="662" t="str">
        <f t="shared" si="225"/>
        <v>FRD</v>
      </c>
      <c r="AM2066" s="662" t="str">
        <f t="shared" si="221"/>
        <v>F150-Regular Cab XL-2WD-3-6'5"-8400-5.0L FFV-8-F1C-100A-122.4-23-E85-Unleaded</v>
      </c>
      <c r="AN2066" s="662" t="str">
        <f t="shared" si="226"/>
        <v>2019-LTK-FRD-F150-023</v>
      </c>
    </row>
    <row r="2067" spans="1:40" s="572" customFormat="1" ht="15">
      <c r="A2067" s="570" t="s">
        <v>3872</v>
      </c>
      <c r="B2067" s="573" t="s">
        <v>3845</v>
      </c>
      <c r="C2067" s="573" t="s">
        <v>280</v>
      </c>
      <c r="D2067" s="578">
        <v>27</v>
      </c>
      <c r="E2067" s="573" t="s">
        <v>3374</v>
      </c>
      <c r="F2067" s="573" t="s">
        <v>152</v>
      </c>
      <c r="G2067" s="573" t="s">
        <v>271</v>
      </c>
      <c r="H2067" s="573">
        <v>2019</v>
      </c>
      <c r="I2067" s="573" t="s">
        <v>3765</v>
      </c>
      <c r="J2067" s="573" t="s">
        <v>3837</v>
      </c>
      <c r="K2067" s="573" t="s">
        <v>3377</v>
      </c>
      <c r="L2067" s="573">
        <v>3</v>
      </c>
      <c r="M2067" s="573">
        <v>0</v>
      </c>
      <c r="N2067" s="573" t="s">
        <v>157</v>
      </c>
      <c r="O2067" s="573">
        <v>1</v>
      </c>
      <c r="P2067" s="573" t="s">
        <v>3846</v>
      </c>
      <c r="Q2067" s="571">
        <v>10700</v>
      </c>
      <c r="R2067" s="573" t="s">
        <v>1259</v>
      </c>
      <c r="S2067" s="573">
        <v>6</v>
      </c>
      <c r="T2067" s="573" t="s">
        <v>3838</v>
      </c>
      <c r="U2067" s="573" t="s">
        <v>276</v>
      </c>
      <c r="V2067" s="573">
        <v>141.1</v>
      </c>
      <c r="W2067" s="573">
        <v>23</v>
      </c>
      <c r="X2067" s="571">
        <v>7050</v>
      </c>
      <c r="Y2067" s="573">
        <v>21</v>
      </c>
      <c r="Z2067" s="579" t="s">
        <v>178</v>
      </c>
      <c r="AA2067" s="579" t="s">
        <v>178</v>
      </c>
      <c r="AB2067" s="584">
        <v>32545</v>
      </c>
      <c r="AC2067" s="584" t="s">
        <v>164</v>
      </c>
      <c r="AD2067" s="584">
        <v>23196.505263157895</v>
      </c>
      <c r="AE2067" s="586">
        <v>0.03</v>
      </c>
      <c r="AF2067" s="661" t="str">
        <f t="shared" si="227"/>
        <v>2019-LTK-FRD-F150-024-27</v>
      </c>
      <c r="AG2067" s="661" t="str">
        <f>IF(AND($Y2067&gt;=32,(AI2067="I"),(Y2067&lt;&gt;"~"),(COUNTIF($AN$1:$AN2067,$AN2067)=1)),"TRUE","FALSE")</f>
        <v>FALSE</v>
      </c>
      <c r="AH2067" s="661" t="str">
        <f>IF(AND($Y2067&gt;=22, (AI2067&lt;&gt;"I"),(Y2067&lt;&gt;"~"),(COUNTIF($AN$1:$AN2067,$AN2067)=1)),"TRUE","FALSE")</f>
        <v>FALSE</v>
      </c>
      <c r="AI2067" s="661" t="str">
        <f t="shared" si="222"/>
        <v>II</v>
      </c>
      <c r="AJ2067" s="662" t="str">
        <f t="shared" si="223"/>
        <v>F150-024</v>
      </c>
      <c r="AK2067" s="662" t="str">
        <f t="shared" si="224"/>
        <v>LTK</v>
      </c>
      <c r="AL2067" s="662" t="str">
        <f t="shared" si="225"/>
        <v>FRD</v>
      </c>
      <c r="AM2067" s="662" t="str">
        <f t="shared" si="221"/>
        <v>F150-Regular Cab XL-2WD-3-8'-10700-3.5L EcoBoost-6-F1C-100A-141.1-23-Unleaded-Unleaded</v>
      </c>
      <c r="AN2067" s="662" t="str">
        <f t="shared" si="226"/>
        <v>2019-LTK-FRD-F150-024</v>
      </c>
    </row>
    <row r="2068" spans="1:40" s="572" customFormat="1" ht="15">
      <c r="A2068" s="570" t="s">
        <v>3873</v>
      </c>
      <c r="B2068" s="569" t="s">
        <v>3848</v>
      </c>
      <c r="C2068" s="569" t="s">
        <v>280</v>
      </c>
      <c r="D2068" s="580">
        <v>27</v>
      </c>
      <c r="E2068" s="569" t="s">
        <v>3374</v>
      </c>
      <c r="F2068" s="569" t="s">
        <v>152</v>
      </c>
      <c r="G2068" s="569" t="s">
        <v>271</v>
      </c>
      <c r="H2068" s="569">
        <v>2019</v>
      </c>
      <c r="I2068" s="569" t="s">
        <v>3765</v>
      </c>
      <c r="J2068" s="569" t="s">
        <v>3837</v>
      </c>
      <c r="K2068" s="569" t="s">
        <v>3377</v>
      </c>
      <c r="L2068" s="569">
        <v>3</v>
      </c>
      <c r="M2068" s="569">
        <v>0</v>
      </c>
      <c r="N2068" s="569" t="s">
        <v>157</v>
      </c>
      <c r="O2068" s="569">
        <v>1</v>
      </c>
      <c r="P2068" s="569" t="s">
        <v>3846</v>
      </c>
      <c r="Q2068" s="568">
        <v>5100</v>
      </c>
      <c r="R2068" s="569" t="s">
        <v>3772</v>
      </c>
      <c r="S2068" s="569">
        <v>6</v>
      </c>
      <c r="T2068" s="569" t="s">
        <v>3838</v>
      </c>
      <c r="U2068" s="569" t="s">
        <v>276</v>
      </c>
      <c r="V2068" s="569">
        <v>141.1</v>
      </c>
      <c r="W2068" s="569">
        <v>23</v>
      </c>
      <c r="X2068" s="568">
        <v>6100</v>
      </c>
      <c r="Y2068" s="569">
        <v>22</v>
      </c>
      <c r="Z2068" s="581" t="s">
        <v>450</v>
      </c>
      <c r="AA2068" s="581" t="s">
        <v>178</v>
      </c>
      <c r="AB2068" s="585">
        <v>29950</v>
      </c>
      <c r="AC2068" s="585" t="s">
        <v>164</v>
      </c>
      <c r="AD2068" s="585">
        <v>20867.031578947368</v>
      </c>
      <c r="AE2068" s="587">
        <v>0.03</v>
      </c>
      <c r="AF2068" s="661" t="str">
        <f t="shared" si="227"/>
        <v>2019-LTK-FRD-F150-025-27</v>
      </c>
      <c r="AG2068" s="661" t="str">
        <f>IF(AND($Y2068&gt;=32,(AI2068="I"),(Y2068&lt;&gt;"~"),(COUNTIF($AN$1:$AN2068,$AN2068)=1)),"TRUE","FALSE")</f>
        <v>FALSE</v>
      </c>
      <c r="AH2068" s="661" t="str">
        <f>IF(AND($Y2068&gt;=22, (AI2068&lt;&gt;"I"),(Y2068&lt;&gt;"~"),(COUNTIF($AN$1:$AN2068,$AN2068)=1)),"TRUE","FALSE")</f>
        <v>FALSE</v>
      </c>
      <c r="AI2068" s="661" t="str">
        <f t="shared" si="222"/>
        <v>II</v>
      </c>
      <c r="AJ2068" s="662" t="str">
        <f t="shared" si="223"/>
        <v>F150-025</v>
      </c>
      <c r="AK2068" s="662" t="str">
        <f t="shared" si="224"/>
        <v>LTK</v>
      </c>
      <c r="AL2068" s="662" t="str">
        <f t="shared" si="225"/>
        <v>FRD</v>
      </c>
      <c r="AM2068" s="662" t="str">
        <f t="shared" si="221"/>
        <v>F150-Regular Cab XL-2WD-3-8'-5100-3.3L FFV-6-F1C-100A-141.1-23-E85-Unleaded</v>
      </c>
      <c r="AN2068" s="662" t="str">
        <f t="shared" si="226"/>
        <v>2019-LTK-FRD-F150-025</v>
      </c>
    </row>
    <row r="2069" spans="1:40" s="572" customFormat="1" ht="15">
      <c r="A2069" s="570" t="s">
        <v>3874</v>
      </c>
      <c r="B2069" s="573" t="s">
        <v>3850</v>
      </c>
      <c r="C2069" s="573" t="s">
        <v>280</v>
      </c>
      <c r="D2069" s="578">
        <v>27</v>
      </c>
      <c r="E2069" s="573" t="s">
        <v>3374</v>
      </c>
      <c r="F2069" s="573" t="s">
        <v>152</v>
      </c>
      <c r="G2069" s="573" t="s">
        <v>271</v>
      </c>
      <c r="H2069" s="573">
        <v>2019</v>
      </c>
      <c r="I2069" s="573" t="s">
        <v>3765</v>
      </c>
      <c r="J2069" s="573" t="s">
        <v>3837</v>
      </c>
      <c r="K2069" s="573" t="s">
        <v>3377</v>
      </c>
      <c r="L2069" s="573">
        <v>3</v>
      </c>
      <c r="M2069" s="573">
        <v>0</v>
      </c>
      <c r="N2069" s="573" t="s">
        <v>157</v>
      </c>
      <c r="O2069" s="573">
        <v>1</v>
      </c>
      <c r="P2069" s="573" t="s">
        <v>3846</v>
      </c>
      <c r="Q2069" s="571">
        <v>7600</v>
      </c>
      <c r="R2069" s="573" t="s">
        <v>3841</v>
      </c>
      <c r="S2069" s="573">
        <v>6</v>
      </c>
      <c r="T2069" s="573" t="s">
        <v>3838</v>
      </c>
      <c r="U2069" s="573" t="s">
        <v>276</v>
      </c>
      <c r="V2069" s="573">
        <v>141.1</v>
      </c>
      <c r="W2069" s="573">
        <v>23</v>
      </c>
      <c r="X2069" s="571">
        <v>6100</v>
      </c>
      <c r="Y2069" s="573">
        <v>22</v>
      </c>
      <c r="Z2069" s="579" t="s">
        <v>178</v>
      </c>
      <c r="AA2069" s="579" t="s">
        <v>178</v>
      </c>
      <c r="AB2069" s="584">
        <v>30945</v>
      </c>
      <c r="AC2069" s="584" t="s">
        <v>164</v>
      </c>
      <c r="AD2069" s="584">
        <v>21760.715789473685</v>
      </c>
      <c r="AE2069" s="586">
        <v>0.03</v>
      </c>
      <c r="AF2069" s="661" t="str">
        <f t="shared" si="227"/>
        <v>2019-LTK-FRD-F150-027-27</v>
      </c>
      <c r="AG2069" s="661" t="str">
        <f>IF(AND($Y2069&gt;=32,(AI2069="I"),(Y2069&lt;&gt;"~"),(COUNTIF($AN$1:$AN2069,$AN2069)=1)),"TRUE","FALSE")</f>
        <v>FALSE</v>
      </c>
      <c r="AH2069" s="661" t="str">
        <f>IF(AND($Y2069&gt;=22, (AI2069&lt;&gt;"I"),(Y2069&lt;&gt;"~"),(COUNTIF($AN$1:$AN2069,$AN2069)=1)),"TRUE","FALSE")</f>
        <v>FALSE</v>
      </c>
      <c r="AI2069" s="661" t="str">
        <f t="shared" si="222"/>
        <v>II</v>
      </c>
      <c r="AJ2069" s="662" t="str">
        <f t="shared" si="223"/>
        <v>F150-027</v>
      </c>
      <c r="AK2069" s="662" t="str">
        <f t="shared" si="224"/>
        <v>LTK</v>
      </c>
      <c r="AL2069" s="662" t="str">
        <f t="shared" si="225"/>
        <v>FRD</v>
      </c>
      <c r="AM2069" s="662" t="str">
        <f t="shared" si="221"/>
        <v>F150-Regular Cab XL-2WD-3-8'-7600-2.7L EcoBoost-6-F1C-100A-141.1-23-Unleaded-Unleaded</v>
      </c>
      <c r="AN2069" s="662" t="str">
        <f t="shared" si="226"/>
        <v>2019-LTK-FRD-F150-027</v>
      </c>
    </row>
    <row r="2070" spans="1:40" s="572" customFormat="1" ht="15">
      <c r="A2070" s="570" t="s">
        <v>3875</v>
      </c>
      <c r="B2070" s="569" t="s">
        <v>3852</v>
      </c>
      <c r="C2070" s="569" t="s">
        <v>280</v>
      </c>
      <c r="D2070" s="580">
        <v>27</v>
      </c>
      <c r="E2070" s="569" t="s">
        <v>3374</v>
      </c>
      <c r="F2070" s="569" t="s">
        <v>152</v>
      </c>
      <c r="G2070" s="569" t="s">
        <v>271</v>
      </c>
      <c r="H2070" s="569">
        <v>2019</v>
      </c>
      <c r="I2070" s="569" t="s">
        <v>3765</v>
      </c>
      <c r="J2070" s="569" t="s">
        <v>3837</v>
      </c>
      <c r="K2070" s="569" t="s">
        <v>3377</v>
      </c>
      <c r="L2070" s="569">
        <v>3</v>
      </c>
      <c r="M2070" s="569">
        <v>0</v>
      </c>
      <c r="N2070" s="569" t="s">
        <v>157</v>
      </c>
      <c r="O2070" s="569">
        <v>1</v>
      </c>
      <c r="P2070" s="569" t="s">
        <v>3846</v>
      </c>
      <c r="Q2070" s="568">
        <v>9100</v>
      </c>
      <c r="R2070" s="569" t="s">
        <v>3778</v>
      </c>
      <c r="S2070" s="569">
        <v>8</v>
      </c>
      <c r="T2070" s="569" t="s">
        <v>3838</v>
      </c>
      <c r="U2070" s="569" t="s">
        <v>276</v>
      </c>
      <c r="V2070" s="569">
        <v>141.1</v>
      </c>
      <c r="W2070" s="569">
        <v>23</v>
      </c>
      <c r="X2070" s="568">
        <v>6750</v>
      </c>
      <c r="Y2070" s="569">
        <v>19</v>
      </c>
      <c r="Z2070" s="581" t="s">
        <v>450</v>
      </c>
      <c r="AA2070" s="581" t="s">
        <v>178</v>
      </c>
      <c r="AB2070" s="585">
        <v>31945</v>
      </c>
      <c r="AC2070" s="585" t="s">
        <v>164</v>
      </c>
      <c r="AD2070" s="585">
        <v>22657.557894736845</v>
      </c>
      <c r="AE2070" s="587">
        <v>0.03</v>
      </c>
      <c r="AF2070" s="661" t="str">
        <f t="shared" si="227"/>
        <v>2019-LTK-FRD-F150-029-27</v>
      </c>
      <c r="AG2070" s="661" t="str">
        <f>IF(AND($Y2070&gt;=32,(AI2070="I"),(Y2070&lt;&gt;"~"),(COUNTIF($AN$1:$AN2070,$AN2070)=1)),"TRUE","FALSE")</f>
        <v>FALSE</v>
      </c>
      <c r="AH2070" s="661" t="str">
        <f>IF(AND($Y2070&gt;=22, (AI2070&lt;&gt;"I"),(Y2070&lt;&gt;"~"),(COUNTIF($AN$1:$AN2070,$AN2070)=1)),"TRUE","FALSE")</f>
        <v>FALSE</v>
      </c>
      <c r="AI2070" s="661" t="str">
        <f t="shared" si="222"/>
        <v>II</v>
      </c>
      <c r="AJ2070" s="662" t="str">
        <f t="shared" si="223"/>
        <v>F150-029</v>
      </c>
      <c r="AK2070" s="662" t="str">
        <f t="shared" si="224"/>
        <v>LTK</v>
      </c>
      <c r="AL2070" s="662" t="str">
        <f t="shared" si="225"/>
        <v>FRD</v>
      </c>
      <c r="AM2070" s="662" t="str">
        <f t="shared" si="221"/>
        <v>F150-Regular Cab XL-2WD-3-8'-9100-5.0L FFV-8-F1C-100A-141.1-23-E85-Unleaded</v>
      </c>
      <c r="AN2070" s="662" t="str">
        <f t="shared" si="226"/>
        <v>2019-LTK-FRD-F150-029</v>
      </c>
    </row>
    <row r="2071" spans="1:40" s="572" customFormat="1" ht="15">
      <c r="A2071" s="570" t="s">
        <v>3876</v>
      </c>
      <c r="B2071" s="573" t="s">
        <v>3877</v>
      </c>
      <c r="C2071" s="573" t="s">
        <v>269</v>
      </c>
      <c r="D2071" s="578" t="s">
        <v>270</v>
      </c>
      <c r="E2071" s="573" t="s">
        <v>3374</v>
      </c>
      <c r="F2071" s="573" t="s">
        <v>152</v>
      </c>
      <c r="G2071" s="573" t="s">
        <v>271</v>
      </c>
      <c r="H2071" s="573">
        <v>2019</v>
      </c>
      <c r="I2071" s="573" t="s">
        <v>3765</v>
      </c>
      <c r="J2071" s="573" t="s">
        <v>3837</v>
      </c>
      <c r="K2071" s="573" t="s">
        <v>752</v>
      </c>
      <c r="L2071" s="573">
        <v>3</v>
      </c>
      <c r="M2071" s="573">
        <v>0</v>
      </c>
      <c r="N2071" s="573" t="s">
        <v>157</v>
      </c>
      <c r="O2071" s="573">
        <v>1</v>
      </c>
      <c r="P2071" s="573" t="s">
        <v>3781</v>
      </c>
      <c r="Q2071" s="571">
        <v>7500</v>
      </c>
      <c r="R2071" s="573" t="s">
        <v>3772</v>
      </c>
      <c r="S2071" s="573">
        <v>6</v>
      </c>
      <c r="T2071" s="573" t="s">
        <v>3878</v>
      </c>
      <c r="U2071" s="573" t="s">
        <v>276</v>
      </c>
      <c r="V2071" s="573">
        <v>122.4</v>
      </c>
      <c r="W2071" s="573">
        <v>23</v>
      </c>
      <c r="X2071" s="571">
        <v>6050</v>
      </c>
      <c r="Y2071" s="573">
        <v>20</v>
      </c>
      <c r="Z2071" s="579" t="s">
        <v>450</v>
      </c>
      <c r="AA2071" s="579" t="s">
        <v>178</v>
      </c>
      <c r="AB2071" s="584">
        <v>34295</v>
      </c>
      <c r="AC2071" s="584" t="s">
        <v>164</v>
      </c>
      <c r="AD2071" s="584">
        <v>24903.873684210528</v>
      </c>
      <c r="AE2071" s="586">
        <v>0.03</v>
      </c>
      <c r="AF2071" s="661" t="str">
        <f t="shared" si="227"/>
        <v>2019-LTK-FRD-F150-030-05</v>
      </c>
      <c r="AG2071" s="661" t="str">
        <f>IF(AND($Y2071&gt;=32,(AI2071="I"),(Y2071&lt;&gt;"~"),(COUNTIF($AN$1:$AN2071,$AN2071)=1)),"TRUE","FALSE")</f>
        <v>FALSE</v>
      </c>
      <c r="AH2071" s="661" t="str">
        <f>IF(AND($Y2071&gt;=22, (AI2071&lt;&gt;"I"),(Y2071&lt;&gt;"~"),(COUNTIF($AN$1:$AN2071,$AN2071)=1)),"TRUE","FALSE")</f>
        <v>FALSE</v>
      </c>
      <c r="AI2071" s="661" t="str">
        <f t="shared" si="222"/>
        <v>II</v>
      </c>
      <c r="AJ2071" s="662" t="str">
        <f t="shared" si="223"/>
        <v>F150-030</v>
      </c>
      <c r="AK2071" s="662" t="str">
        <f t="shared" si="224"/>
        <v>LTK</v>
      </c>
      <c r="AL2071" s="662" t="str">
        <f t="shared" si="225"/>
        <v>FRD</v>
      </c>
      <c r="AM2071" s="662" t="str">
        <f t="shared" si="221"/>
        <v>F150-Regular Cab XL-4WD-3-6'5"-7500-3.3L FFV-6-F1E-100A-122.4-23-E85-Unleaded</v>
      </c>
      <c r="AN2071" s="662" t="str">
        <f t="shared" si="226"/>
        <v>2019-LTK-FRD-F150-030</v>
      </c>
    </row>
    <row r="2072" spans="1:40" s="572" customFormat="1" ht="15">
      <c r="A2072" s="570" t="s">
        <v>3879</v>
      </c>
      <c r="B2072" s="569" t="s">
        <v>3880</v>
      </c>
      <c r="C2072" s="569" t="s">
        <v>269</v>
      </c>
      <c r="D2072" s="580" t="s">
        <v>270</v>
      </c>
      <c r="E2072" s="569" t="s">
        <v>3374</v>
      </c>
      <c r="F2072" s="569" t="s">
        <v>152</v>
      </c>
      <c r="G2072" s="569" t="s">
        <v>271</v>
      </c>
      <c r="H2072" s="569">
        <v>2019</v>
      </c>
      <c r="I2072" s="569" t="s">
        <v>3765</v>
      </c>
      <c r="J2072" s="569" t="s">
        <v>3837</v>
      </c>
      <c r="K2072" s="569" t="s">
        <v>752</v>
      </c>
      <c r="L2072" s="569">
        <v>3</v>
      </c>
      <c r="M2072" s="569">
        <v>0</v>
      </c>
      <c r="N2072" s="569" t="s">
        <v>157</v>
      </c>
      <c r="O2072" s="569">
        <v>1</v>
      </c>
      <c r="P2072" s="569" t="s">
        <v>3781</v>
      </c>
      <c r="Q2072" s="568">
        <v>7600</v>
      </c>
      <c r="R2072" s="569" t="s">
        <v>3768</v>
      </c>
      <c r="S2072" s="569">
        <v>6</v>
      </c>
      <c r="T2072" s="569" t="s">
        <v>3878</v>
      </c>
      <c r="U2072" s="569" t="s">
        <v>276</v>
      </c>
      <c r="V2072" s="569">
        <v>122.4</v>
      </c>
      <c r="W2072" s="569">
        <v>23</v>
      </c>
      <c r="X2072" s="568">
        <v>6050</v>
      </c>
      <c r="Y2072" s="569">
        <v>21</v>
      </c>
      <c r="Z2072" s="581" t="s">
        <v>178</v>
      </c>
      <c r="AA2072" s="581" t="s">
        <v>178</v>
      </c>
      <c r="AB2072" s="585">
        <v>35290</v>
      </c>
      <c r="AC2072" s="585" t="s">
        <v>164</v>
      </c>
      <c r="AD2072" s="585">
        <v>25797.557894736845</v>
      </c>
      <c r="AE2072" s="587">
        <v>0.03</v>
      </c>
      <c r="AF2072" s="661" t="str">
        <f t="shared" si="227"/>
        <v>2019-LTK-FRD-F150-031-05</v>
      </c>
      <c r="AG2072" s="661" t="str">
        <f>IF(AND($Y2072&gt;=32,(AI2072="I"),(Y2072&lt;&gt;"~"),(COUNTIF($AN$1:$AN2072,$AN2072)=1)),"TRUE","FALSE")</f>
        <v>FALSE</v>
      </c>
      <c r="AH2072" s="661" t="str">
        <f>IF(AND($Y2072&gt;=22, (AI2072&lt;&gt;"I"),(Y2072&lt;&gt;"~"),(COUNTIF($AN$1:$AN2072,$AN2072)=1)),"TRUE","FALSE")</f>
        <v>FALSE</v>
      </c>
      <c r="AI2072" s="661" t="str">
        <f t="shared" si="222"/>
        <v>II</v>
      </c>
      <c r="AJ2072" s="662" t="str">
        <f t="shared" si="223"/>
        <v>F150-031</v>
      </c>
      <c r="AK2072" s="662" t="str">
        <f t="shared" si="224"/>
        <v>LTK</v>
      </c>
      <c r="AL2072" s="662" t="str">
        <f t="shared" si="225"/>
        <v>FRD</v>
      </c>
      <c r="AM2072" s="662" t="str">
        <f t="shared" si="221"/>
        <v>F150-Regular Cab XL-4WD-3-6'5"-7600-2.7L EcoBoost -6-F1E-100A-122.4-23-Unleaded-Unleaded</v>
      </c>
      <c r="AN2072" s="662" t="str">
        <f t="shared" si="226"/>
        <v>2019-LTK-FRD-F150-031</v>
      </c>
    </row>
    <row r="2073" spans="1:40" s="572" customFormat="1" ht="15">
      <c r="A2073" s="570" t="s">
        <v>3881</v>
      </c>
      <c r="B2073" s="573" t="s">
        <v>3882</v>
      </c>
      <c r="C2073" s="573" t="s">
        <v>269</v>
      </c>
      <c r="D2073" s="578" t="s">
        <v>270</v>
      </c>
      <c r="E2073" s="573" t="s">
        <v>3374</v>
      </c>
      <c r="F2073" s="573" t="s">
        <v>152</v>
      </c>
      <c r="G2073" s="573" t="s">
        <v>271</v>
      </c>
      <c r="H2073" s="573">
        <v>2019</v>
      </c>
      <c r="I2073" s="573" t="s">
        <v>3765</v>
      </c>
      <c r="J2073" s="573" t="s">
        <v>3837</v>
      </c>
      <c r="K2073" s="573" t="s">
        <v>752</v>
      </c>
      <c r="L2073" s="573">
        <v>3</v>
      </c>
      <c r="M2073" s="573">
        <v>0</v>
      </c>
      <c r="N2073" s="573" t="s">
        <v>157</v>
      </c>
      <c r="O2073" s="573">
        <v>1</v>
      </c>
      <c r="P2073" s="573" t="s">
        <v>3781</v>
      </c>
      <c r="Q2073" s="571">
        <v>7600</v>
      </c>
      <c r="R2073" s="573" t="s">
        <v>3778</v>
      </c>
      <c r="S2073" s="573">
        <v>8</v>
      </c>
      <c r="T2073" s="573" t="s">
        <v>3878</v>
      </c>
      <c r="U2073" s="573" t="s">
        <v>276</v>
      </c>
      <c r="V2073" s="573">
        <v>122.4</v>
      </c>
      <c r="W2073" s="573">
        <v>23</v>
      </c>
      <c r="X2073" s="571">
        <v>6400</v>
      </c>
      <c r="Y2073" s="573">
        <v>18</v>
      </c>
      <c r="Z2073" s="579" t="s">
        <v>450</v>
      </c>
      <c r="AA2073" s="579" t="s">
        <v>178</v>
      </c>
      <c r="AB2073" s="584">
        <v>36290</v>
      </c>
      <c r="AC2073" s="584" t="s">
        <v>164</v>
      </c>
      <c r="AD2073" s="584">
        <v>26694.400000000001</v>
      </c>
      <c r="AE2073" s="586">
        <v>0.03</v>
      </c>
      <c r="AF2073" s="661" t="str">
        <f t="shared" si="227"/>
        <v>2019-LTK-FRD-F150-032-05</v>
      </c>
      <c r="AG2073" s="661" t="str">
        <f>IF(AND($Y2073&gt;=32,(AI2073="I"),(Y2073&lt;&gt;"~"),(COUNTIF($AN$1:$AN2073,$AN2073)=1)),"TRUE","FALSE")</f>
        <v>FALSE</v>
      </c>
      <c r="AH2073" s="661" t="str">
        <f>IF(AND($Y2073&gt;=22, (AI2073&lt;&gt;"I"),(Y2073&lt;&gt;"~"),(COUNTIF($AN$1:$AN2073,$AN2073)=1)),"TRUE","FALSE")</f>
        <v>FALSE</v>
      </c>
      <c r="AI2073" s="661" t="str">
        <f t="shared" si="222"/>
        <v>II</v>
      </c>
      <c r="AJ2073" s="662" t="str">
        <f t="shared" si="223"/>
        <v>F150-032</v>
      </c>
      <c r="AK2073" s="662" t="str">
        <f t="shared" si="224"/>
        <v>LTK</v>
      </c>
      <c r="AL2073" s="662" t="str">
        <f t="shared" si="225"/>
        <v>FRD</v>
      </c>
      <c r="AM2073" s="662" t="str">
        <f t="shared" si="221"/>
        <v>F150-Regular Cab XL-4WD-3-6'5"-7600-5.0L FFV-8-F1E-100A-122.4-23-E85-Unleaded</v>
      </c>
      <c r="AN2073" s="662" t="str">
        <f t="shared" si="226"/>
        <v>2019-LTK-FRD-F150-032</v>
      </c>
    </row>
    <row r="2074" spans="1:40" s="572" customFormat="1" ht="15">
      <c r="A2074" s="570" t="s">
        <v>3883</v>
      </c>
      <c r="B2074" s="569" t="s">
        <v>3884</v>
      </c>
      <c r="C2074" s="569" t="s">
        <v>269</v>
      </c>
      <c r="D2074" s="580" t="s">
        <v>270</v>
      </c>
      <c r="E2074" s="569" t="s">
        <v>3374</v>
      </c>
      <c r="F2074" s="569" t="s">
        <v>152</v>
      </c>
      <c r="G2074" s="569" t="s">
        <v>271</v>
      </c>
      <c r="H2074" s="569">
        <v>2019</v>
      </c>
      <c r="I2074" s="569" t="s">
        <v>3765</v>
      </c>
      <c r="J2074" s="569" t="s">
        <v>3837</v>
      </c>
      <c r="K2074" s="569" t="s">
        <v>752</v>
      </c>
      <c r="L2074" s="569">
        <v>3</v>
      </c>
      <c r="M2074" s="569">
        <v>0</v>
      </c>
      <c r="N2074" s="569" t="s">
        <v>157</v>
      </c>
      <c r="O2074" s="569">
        <v>1</v>
      </c>
      <c r="P2074" s="569" t="s">
        <v>3846</v>
      </c>
      <c r="Q2074" s="568">
        <v>10700</v>
      </c>
      <c r="R2074" s="569" t="s">
        <v>1259</v>
      </c>
      <c r="S2074" s="569">
        <v>6</v>
      </c>
      <c r="T2074" s="569" t="s">
        <v>3878</v>
      </c>
      <c r="U2074" s="569" t="s">
        <v>276</v>
      </c>
      <c r="V2074" s="569">
        <v>141.1</v>
      </c>
      <c r="W2074" s="569">
        <v>23</v>
      </c>
      <c r="X2074" s="568">
        <v>6800</v>
      </c>
      <c r="Y2074" s="569">
        <v>19</v>
      </c>
      <c r="Z2074" s="581" t="s">
        <v>178</v>
      </c>
      <c r="AA2074" s="581" t="s">
        <v>178</v>
      </c>
      <c r="AB2074" s="585">
        <v>37190</v>
      </c>
      <c r="AC2074" s="585" t="s">
        <v>164</v>
      </c>
      <c r="AD2074" s="585">
        <v>27512.294736842108</v>
      </c>
      <c r="AE2074" s="587">
        <v>0.03</v>
      </c>
      <c r="AF2074" s="661" t="str">
        <f t="shared" si="227"/>
        <v>2019-LTK-FRD-F150-034-05</v>
      </c>
      <c r="AG2074" s="661" t="str">
        <f>IF(AND($Y2074&gt;=32,(AI2074="I"),(Y2074&lt;&gt;"~"),(COUNTIF($AN$1:$AN2074,$AN2074)=1)),"TRUE","FALSE")</f>
        <v>FALSE</v>
      </c>
      <c r="AH2074" s="661" t="str">
        <f>IF(AND($Y2074&gt;=22, (AI2074&lt;&gt;"I"),(Y2074&lt;&gt;"~"),(COUNTIF($AN$1:$AN2074,$AN2074)=1)),"TRUE","FALSE")</f>
        <v>FALSE</v>
      </c>
      <c r="AI2074" s="661" t="str">
        <f t="shared" si="222"/>
        <v>II</v>
      </c>
      <c r="AJ2074" s="662" t="str">
        <f t="shared" si="223"/>
        <v>F150-034</v>
      </c>
      <c r="AK2074" s="662" t="str">
        <f t="shared" si="224"/>
        <v>LTK</v>
      </c>
      <c r="AL2074" s="662" t="str">
        <f t="shared" si="225"/>
        <v>FRD</v>
      </c>
      <c r="AM2074" s="662" t="str">
        <f t="shared" si="221"/>
        <v>F150-Regular Cab XL-4WD-3-8'-10700-3.5L EcoBoost-6-F1E-100A-141.1-23-Unleaded-Unleaded</v>
      </c>
      <c r="AN2074" s="662" t="str">
        <f t="shared" si="226"/>
        <v>2019-LTK-FRD-F150-034</v>
      </c>
    </row>
    <row r="2075" spans="1:40" s="572" customFormat="1" ht="15">
      <c r="A2075" s="570" t="s">
        <v>3885</v>
      </c>
      <c r="B2075" s="573" t="s">
        <v>3886</v>
      </c>
      <c r="C2075" s="573" t="s">
        <v>269</v>
      </c>
      <c r="D2075" s="578" t="s">
        <v>270</v>
      </c>
      <c r="E2075" s="573" t="s">
        <v>3374</v>
      </c>
      <c r="F2075" s="573" t="s">
        <v>152</v>
      </c>
      <c r="G2075" s="573" t="s">
        <v>271</v>
      </c>
      <c r="H2075" s="573">
        <v>2019</v>
      </c>
      <c r="I2075" s="573" t="s">
        <v>3765</v>
      </c>
      <c r="J2075" s="573" t="s">
        <v>3837</v>
      </c>
      <c r="K2075" s="573" t="s">
        <v>752</v>
      </c>
      <c r="L2075" s="573">
        <v>3</v>
      </c>
      <c r="M2075" s="573">
        <v>0</v>
      </c>
      <c r="N2075" s="573" t="s">
        <v>157</v>
      </c>
      <c r="O2075" s="573">
        <v>1</v>
      </c>
      <c r="P2075" s="573" t="s">
        <v>3846</v>
      </c>
      <c r="Q2075" s="571">
        <v>7400</v>
      </c>
      <c r="R2075" s="573" t="s">
        <v>3772</v>
      </c>
      <c r="S2075" s="573">
        <v>6</v>
      </c>
      <c r="T2075" s="573" t="s">
        <v>3878</v>
      </c>
      <c r="U2075" s="573" t="s">
        <v>276</v>
      </c>
      <c r="V2075" s="573">
        <v>141.1</v>
      </c>
      <c r="W2075" s="573">
        <v>23</v>
      </c>
      <c r="X2075" s="571">
        <v>6050</v>
      </c>
      <c r="Y2075" s="573">
        <v>18</v>
      </c>
      <c r="Z2075" s="579" t="s">
        <v>450</v>
      </c>
      <c r="AA2075" s="579" t="s">
        <v>178</v>
      </c>
      <c r="AB2075" s="584">
        <v>34595</v>
      </c>
      <c r="AC2075" s="584" t="s">
        <v>164</v>
      </c>
      <c r="AD2075" s="584">
        <v>25182.821052631582</v>
      </c>
      <c r="AE2075" s="586">
        <v>0.03</v>
      </c>
      <c r="AF2075" s="661" t="str">
        <f t="shared" si="227"/>
        <v>2019-LTK-FRD-F150-035-05</v>
      </c>
      <c r="AG2075" s="661" t="str">
        <f>IF(AND($Y2075&gt;=32,(AI2075="I"),(Y2075&lt;&gt;"~"),(COUNTIF($AN$1:$AN2075,$AN2075)=1)),"TRUE","FALSE")</f>
        <v>FALSE</v>
      </c>
      <c r="AH2075" s="661" t="str">
        <f>IF(AND($Y2075&gt;=22, (AI2075&lt;&gt;"I"),(Y2075&lt;&gt;"~"),(COUNTIF($AN$1:$AN2075,$AN2075)=1)),"TRUE","FALSE")</f>
        <v>FALSE</v>
      </c>
      <c r="AI2075" s="661" t="str">
        <f t="shared" si="222"/>
        <v>II</v>
      </c>
      <c r="AJ2075" s="662" t="str">
        <f t="shared" si="223"/>
        <v>F150-035</v>
      </c>
      <c r="AK2075" s="662" t="str">
        <f t="shared" si="224"/>
        <v>LTK</v>
      </c>
      <c r="AL2075" s="662" t="str">
        <f t="shared" si="225"/>
        <v>FRD</v>
      </c>
      <c r="AM2075" s="662" t="str">
        <f t="shared" ref="AM2075:AM2138" si="228">CONCATENATE(I2075,"-",J2075,"-",K2075,"-",L2075,"-",P2075,"-",Q2075,"-",R2075,"-",S2075,"-",T2075,"-",U2075,"-",V2075,"-",W2075,"-",Z2075,"-",AA2075)</f>
        <v>F150-Regular Cab XL-4WD-3-8'-7400-3.3L FFV-6-F1E-100A-141.1-23-E85-Unleaded</v>
      </c>
      <c r="AN2075" s="662" t="str">
        <f t="shared" si="226"/>
        <v>2019-LTK-FRD-F150-035</v>
      </c>
    </row>
    <row r="2076" spans="1:40" s="572" customFormat="1" ht="15">
      <c r="A2076" s="570" t="s">
        <v>3887</v>
      </c>
      <c r="B2076" s="569" t="s">
        <v>3888</v>
      </c>
      <c r="C2076" s="569" t="s">
        <v>269</v>
      </c>
      <c r="D2076" s="580" t="s">
        <v>270</v>
      </c>
      <c r="E2076" s="569" t="s">
        <v>3374</v>
      </c>
      <c r="F2076" s="569" t="s">
        <v>152</v>
      </c>
      <c r="G2076" s="569" t="s">
        <v>271</v>
      </c>
      <c r="H2076" s="569">
        <v>2019</v>
      </c>
      <c r="I2076" s="569" t="s">
        <v>3765</v>
      </c>
      <c r="J2076" s="569" t="s">
        <v>3837</v>
      </c>
      <c r="K2076" s="569" t="s">
        <v>752</v>
      </c>
      <c r="L2076" s="569">
        <v>3</v>
      </c>
      <c r="M2076" s="569">
        <v>0</v>
      </c>
      <c r="N2076" s="569" t="s">
        <v>157</v>
      </c>
      <c r="O2076" s="569">
        <v>1</v>
      </c>
      <c r="P2076" s="569" t="s">
        <v>3846</v>
      </c>
      <c r="Q2076" s="568">
        <v>7600</v>
      </c>
      <c r="R2076" s="569" t="s">
        <v>3768</v>
      </c>
      <c r="S2076" s="569">
        <v>6</v>
      </c>
      <c r="T2076" s="569" t="s">
        <v>3878</v>
      </c>
      <c r="U2076" s="569" t="s">
        <v>276</v>
      </c>
      <c r="V2076" s="569">
        <v>141.1</v>
      </c>
      <c r="W2076" s="569">
        <v>23</v>
      </c>
      <c r="X2076" s="568">
        <v>6050</v>
      </c>
      <c r="Y2076" s="569">
        <v>21</v>
      </c>
      <c r="Z2076" s="581" t="s">
        <v>178</v>
      </c>
      <c r="AA2076" s="581" t="s">
        <v>178</v>
      </c>
      <c r="AB2076" s="585">
        <v>35590</v>
      </c>
      <c r="AC2076" s="585" t="s">
        <v>164</v>
      </c>
      <c r="AD2076" s="585">
        <v>26076.505263157895</v>
      </c>
      <c r="AE2076" s="587">
        <v>0.03</v>
      </c>
      <c r="AF2076" s="661" t="str">
        <f t="shared" si="227"/>
        <v>2019-LTK-FRD-F150-036-05</v>
      </c>
      <c r="AG2076" s="661" t="str">
        <f>IF(AND($Y2076&gt;=32,(AI2076="I"),(Y2076&lt;&gt;"~"),(COUNTIF($AN$1:$AN2076,$AN2076)=1)),"TRUE","FALSE")</f>
        <v>FALSE</v>
      </c>
      <c r="AH2076" s="661" t="str">
        <f>IF(AND($Y2076&gt;=22, (AI2076&lt;&gt;"I"),(Y2076&lt;&gt;"~"),(COUNTIF($AN$1:$AN2076,$AN2076)=1)),"TRUE","FALSE")</f>
        <v>FALSE</v>
      </c>
      <c r="AI2076" s="661" t="str">
        <f t="shared" ref="AI2076:AI2139" si="229">IF(OR((LEFT($E2076,2)="01"),AND(LEFT($E2076,2)="06",ISNUMBER(SEARCH("pas",$F2076))),AND(LEFT($E2076,2)="05",ISNUMBER(SEARCH("pas",$F2076)))),"I",IF(AND((LEFT($E2076,2)&lt;&gt;"01"),$X2076&lt;=10000),"II",IF(AND((LEFT($E2076,2)&lt;&gt;"01"),$X2076&gt;10000),"N/A")))</f>
        <v>II</v>
      </c>
      <c r="AJ2076" s="662" t="str">
        <f t="shared" si="223"/>
        <v>F150-036</v>
      </c>
      <c r="AK2076" s="662" t="str">
        <f t="shared" si="224"/>
        <v>LTK</v>
      </c>
      <c r="AL2076" s="662" t="str">
        <f t="shared" si="225"/>
        <v>FRD</v>
      </c>
      <c r="AM2076" s="662" t="str">
        <f t="shared" si="228"/>
        <v>F150-Regular Cab XL-4WD-3-8'-7600-2.7L EcoBoost -6-F1E-100A-141.1-23-Unleaded-Unleaded</v>
      </c>
      <c r="AN2076" s="662" t="str">
        <f t="shared" si="226"/>
        <v>2019-LTK-FRD-F150-036</v>
      </c>
    </row>
    <row r="2077" spans="1:40" s="572" customFormat="1" ht="15">
      <c r="A2077" s="570" t="s">
        <v>3889</v>
      </c>
      <c r="B2077" s="573" t="s">
        <v>3890</v>
      </c>
      <c r="C2077" s="573" t="s">
        <v>269</v>
      </c>
      <c r="D2077" s="578" t="s">
        <v>270</v>
      </c>
      <c r="E2077" s="573" t="s">
        <v>3374</v>
      </c>
      <c r="F2077" s="573" t="s">
        <v>152</v>
      </c>
      <c r="G2077" s="573" t="s">
        <v>271</v>
      </c>
      <c r="H2077" s="573">
        <v>2019</v>
      </c>
      <c r="I2077" s="573" t="s">
        <v>3765</v>
      </c>
      <c r="J2077" s="573" t="s">
        <v>3837</v>
      </c>
      <c r="K2077" s="573" t="s">
        <v>752</v>
      </c>
      <c r="L2077" s="573">
        <v>3</v>
      </c>
      <c r="M2077" s="573">
        <v>0</v>
      </c>
      <c r="N2077" s="573" t="s">
        <v>157</v>
      </c>
      <c r="O2077" s="573">
        <v>1</v>
      </c>
      <c r="P2077" s="573" t="s">
        <v>3846</v>
      </c>
      <c r="Q2077" s="571">
        <v>7600</v>
      </c>
      <c r="R2077" s="573" t="s">
        <v>3778</v>
      </c>
      <c r="S2077" s="573">
        <v>8</v>
      </c>
      <c r="T2077" s="573" t="s">
        <v>3878</v>
      </c>
      <c r="U2077" s="573" t="s">
        <v>276</v>
      </c>
      <c r="V2077" s="573">
        <v>141.1</v>
      </c>
      <c r="W2077" s="573">
        <v>23</v>
      </c>
      <c r="X2077" s="571">
        <v>6400</v>
      </c>
      <c r="Y2077" s="573">
        <v>18</v>
      </c>
      <c r="Z2077" s="579" t="s">
        <v>450</v>
      </c>
      <c r="AA2077" s="579" t="s">
        <v>178</v>
      </c>
      <c r="AB2077" s="584">
        <v>36590</v>
      </c>
      <c r="AC2077" s="584" t="s">
        <v>164</v>
      </c>
      <c r="AD2077" s="584">
        <v>26973.347368421055</v>
      </c>
      <c r="AE2077" s="586">
        <v>0.03</v>
      </c>
      <c r="AF2077" s="661" t="str">
        <f t="shared" si="227"/>
        <v>2019-LTK-FRD-F150-037-05</v>
      </c>
      <c r="AG2077" s="661" t="str">
        <f>IF(AND($Y2077&gt;=32,(AI2077="I"),(Y2077&lt;&gt;"~"),(COUNTIF($AN$1:$AN2077,$AN2077)=1)),"TRUE","FALSE")</f>
        <v>FALSE</v>
      </c>
      <c r="AH2077" s="661" t="str">
        <f>IF(AND($Y2077&gt;=22, (AI2077&lt;&gt;"I"),(Y2077&lt;&gt;"~"),(COUNTIF($AN$1:$AN2077,$AN2077)=1)),"TRUE","FALSE")</f>
        <v>FALSE</v>
      </c>
      <c r="AI2077" s="661" t="str">
        <f t="shared" si="229"/>
        <v>II</v>
      </c>
      <c r="AJ2077" s="662" t="str">
        <f t="shared" si="223"/>
        <v>F150-037</v>
      </c>
      <c r="AK2077" s="662" t="str">
        <f t="shared" si="224"/>
        <v>LTK</v>
      </c>
      <c r="AL2077" s="662" t="str">
        <f t="shared" si="225"/>
        <v>FRD</v>
      </c>
      <c r="AM2077" s="662" t="str">
        <f t="shared" si="228"/>
        <v>F150-Regular Cab XL-4WD-3-8'-7600-5.0L FFV-8-F1E-100A-141.1-23-E85-Unleaded</v>
      </c>
      <c r="AN2077" s="662" t="str">
        <f t="shared" si="226"/>
        <v>2019-LTK-FRD-F150-037</v>
      </c>
    </row>
    <row r="2078" spans="1:40" s="572" customFormat="1" ht="15">
      <c r="A2078" s="570" t="s">
        <v>3891</v>
      </c>
      <c r="B2078" s="569" t="s">
        <v>3877</v>
      </c>
      <c r="C2078" s="569" t="s">
        <v>278</v>
      </c>
      <c r="D2078" s="580">
        <v>15</v>
      </c>
      <c r="E2078" s="569" t="s">
        <v>3374</v>
      </c>
      <c r="F2078" s="569" t="s">
        <v>152</v>
      </c>
      <c r="G2078" s="569" t="s">
        <v>271</v>
      </c>
      <c r="H2078" s="569">
        <v>2019</v>
      </c>
      <c r="I2078" s="569" t="s">
        <v>3765</v>
      </c>
      <c r="J2078" s="569" t="s">
        <v>3837</v>
      </c>
      <c r="K2078" s="569" t="s">
        <v>752</v>
      </c>
      <c r="L2078" s="569">
        <v>3</v>
      </c>
      <c r="M2078" s="569">
        <v>0</v>
      </c>
      <c r="N2078" s="569" t="s">
        <v>157</v>
      </c>
      <c r="O2078" s="569">
        <v>1</v>
      </c>
      <c r="P2078" s="569" t="s">
        <v>3781</v>
      </c>
      <c r="Q2078" s="568">
        <v>7500</v>
      </c>
      <c r="R2078" s="569" t="s">
        <v>3772</v>
      </c>
      <c r="S2078" s="569">
        <v>6</v>
      </c>
      <c r="T2078" s="569" t="s">
        <v>3878</v>
      </c>
      <c r="U2078" s="569" t="s">
        <v>276</v>
      </c>
      <c r="V2078" s="569">
        <v>122.4</v>
      </c>
      <c r="W2078" s="569">
        <v>23</v>
      </c>
      <c r="X2078" s="568">
        <v>6050</v>
      </c>
      <c r="Y2078" s="569">
        <v>19</v>
      </c>
      <c r="Z2078" s="581" t="s">
        <v>450</v>
      </c>
      <c r="AA2078" s="581" t="s">
        <v>178</v>
      </c>
      <c r="AB2078" s="585">
        <v>34295</v>
      </c>
      <c r="AC2078" s="585" t="s">
        <v>164</v>
      </c>
      <c r="AD2078" s="585">
        <v>24950</v>
      </c>
      <c r="AE2078" s="587">
        <v>0.01</v>
      </c>
      <c r="AF2078" s="661" t="str">
        <f t="shared" si="227"/>
        <v>2019-LTK-FRD-F150-030-15</v>
      </c>
      <c r="AG2078" s="661" t="str">
        <f>IF(AND($Y2078&gt;=32,(AI2078="I"),(Y2078&lt;&gt;"~"),(COUNTIF($AN$1:$AN2078,$AN2078)=1)),"TRUE","FALSE")</f>
        <v>FALSE</v>
      </c>
      <c r="AH2078" s="661" t="str">
        <f>IF(AND($Y2078&gt;=22, (AI2078&lt;&gt;"I"),(Y2078&lt;&gt;"~"),(COUNTIF($AN$1:$AN2078,$AN2078)=1)),"TRUE","FALSE")</f>
        <v>FALSE</v>
      </c>
      <c r="AI2078" s="661" t="str">
        <f t="shared" si="229"/>
        <v>II</v>
      </c>
      <c r="AJ2078" s="662" t="str">
        <f t="shared" si="223"/>
        <v>F150-030</v>
      </c>
      <c r="AK2078" s="662" t="str">
        <f t="shared" si="224"/>
        <v>LTK</v>
      </c>
      <c r="AL2078" s="662" t="str">
        <f t="shared" si="225"/>
        <v>FRD</v>
      </c>
      <c r="AM2078" s="662" t="str">
        <f t="shared" si="228"/>
        <v>F150-Regular Cab XL-4WD-3-6'5"-7500-3.3L FFV-6-F1E-100A-122.4-23-E85-Unleaded</v>
      </c>
      <c r="AN2078" s="662" t="str">
        <f t="shared" si="226"/>
        <v>2019-LTK-FRD-F150-030</v>
      </c>
    </row>
    <row r="2079" spans="1:40" s="572" customFormat="1" ht="15">
      <c r="A2079" s="570" t="s">
        <v>3892</v>
      </c>
      <c r="B2079" s="573" t="s">
        <v>3880</v>
      </c>
      <c r="C2079" s="573" t="s">
        <v>278</v>
      </c>
      <c r="D2079" s="578">
        <v>15</v>
      </c>
      <c r="E2079" s="573" t="s">
        <v>3374</v>
      </c>
      <c r="F2079" s="573" t="s">
        <v>152</v>
      </c>
      <c r="G2079" s="573" t="s">
        <v>271</v>
      </c>
      <c r="H2079" s="573">
        <v>2019</v>
      </c>
      <c r="I2079" s="573" t="s">
        <v>3765</v>
      </c>
      <c r="J2079" s="573" t="s">
        <v>3837</v>
      </c>
      <c r="K2079" s="573" t="s">
        <v>752</v>
      </c>
      <c r="L2079" s="573">
        <v>3</v>
      </c>
      <c r="M2079" s="573">
        <v>0</v>
      </c>
      <c r="N2079" s="573" t="s">
        <v>157</v>
      </c>
      <c r="O2079" s="573">
        <v>1</v>
      </c>
      <c r="P2079" s="573" t="s">
        <v>3781</v>
      </c>
      <c r="Q2079" s="571">
        <v>7600</v>
      </c>
      <c r="R2079" s="573" t="s">
        <v>3768</v>
      </c>
      <c r="S2079" s="573">
        <v>6</v>
      </c>
      <c r="T2079" s="573" t="s">
        <v>3878</v>
      </c>
      <c r="U2079" s="573" t="s">
        <v>276</v>
      </c>
      <c r="V2079" s="573">
        <v>122.4</v>
      </c>
      <c r="W2079" s="573">
        <v>23</v>
      </c>
      <c r="X2079" s="571">
        <v>6050</v>
      </c>
      <c r="Y2079" s="573">
        <v>20</v>
      </c>
      <c r="Z2079" s="579" t="s">
        <v>178</v>
      </c>
      <c r="AA2079" s="579" t="s">
        <v>178</v>
      </c>
      <c r="AB2079" s="584">
        <v>35290</v>
      </c>
      <c r="AC2079" s="584" t="s">
        <v>164</v>
      </c>
      <c r="AD2079" s="584">
        <v>25900</v>
      </c>
      <c r="AE2079" s="586">
        <v>0.01</v>
      </c>
      <c r="AF2079" s="661" t="str">
        <f t="shared" si="227"/>
        <v>2019-LTK-FRD-F150-031-15</v>
      </c>
      <c r="AG2079" s="661" t="str">
        <f>IF(AND($Y2079&gt;=32,(AI2079="I"),(Y2079&lt;&gt;"~"),(COUNTIF($AN$1:$AN2079,$AN2079)=1)),"TRUE","FALSE")</f>
        <v>FALSE</v>
      </c>
      <c r="AH2079" s="661" t="str">
        <f>IF(AND($Y2079&gt;=22, (AI2079&lt;&gt;"I"),(Y2079&lt;&gt;"~"),(COUNTIF($AN$1:$AN2079,$AN2079)=1)),"TRUE","FALSE")</f>
        <v>FALSE</v>
      </c>
      <c r="AI2079" s="661" t="str">
        <f t="shared" si="229"/>
        <v>II</v>
      </c>
      <c r="AJ2079" s="662" t="str">
        <f t="shared" si="223"/>
        <v>F150-031</v>
      </c>
      <c r="AK2079" s="662" t="str">
        <f t="shared" si="224"/>
        <v>LTK</v>
      </c>
      <c r="AL2079" s="662" t="str">
        <f t="shared" si="225"/>
        <v>FRD</v>
      </c>
      <c r="AM2079" s="662" t="str">
        <f t="shared" si="228"/>
        <v>F150-Regular Cab XL-4WD-3-6'5"-7600-2.7L EcoBoost -6-F1E-100A-122.4-23-Unleaded-Unleaded</v>
      </c>
      <c r="AN2079" s="662" t="str">
        <f t="shared" si="226"/>
        <v>2019-LTK-FRD-F150-031</v>
      </c>
    </row>
    <row r="2080" spans="1:40" s="572" customFormat="1" ht="15">
      <c r="A2080" s="570" t="s">
        <v>3893</v>
      </c>
      <c r="B2080" s="569" t="s">
        <v>3882</v>
      </c>
      <c r="C2080" s="569" t="s">
        <v>278</v>
      </c>
      <c r="D2080" s="580">
        <v>15</v>
      </c>
      <c r="E2080" s="569" t="s">
        <v>3374</v>
      </c>
      <c r="F2080" s="569" t="s">
        <v>152</v>
      </c>
      <c r="G2080" s="569" t="s">
        <v>271</v>
      </c>
      <c r="H2080" s="569">
        <v>2019</v>
      </c>
      <c r="I2080" s="569" t="s">
        <v>3765</v>
      </c>
      <c r="J2080" s="569" t="s">
        <v>3837</v>
      </c>
      <c r="K2080" s="569" t="s">
        <v>752</v>
      </c>
      <c r="L2080" s="569">
        <v>3</v>
      </c>
      <c r="M2080" s="569">
        <v>0</v>
      </c>
      <c r="N2080" s="569" t="s">
        <v>157</v>
      </c>
      <c r="O2080" s="569">
        <v>1</v>
      </c>
      <c r="P2080" s="569" t="s">
        <v>3781</v>
      </c>
      <c r="Q2080" s="568">
        <v>7600</v>
      </c>
      <c r="R2080" s="569" t="s">
        <v>3778</v>
      </c>
      <c r="S2080" s="569">
        <v>8</v>
      </c>
      <c r="T2080" s="569" t="s">
        <v>3878</v>
      </c>
      <c r="U2080" s="569" t="s">
        <v>276</v>
      </c>
      <c r="V2080" s="569">
        <v>122.4</v>
      </c>
      <c r="W2080" s="569">
        <v>23</v>
      </c>
      <c r="X2080" s="568">
        <v>6400</v>
      </c>
      <c r="Y2080" s="569">
        <v>17</v>
      </c>
      <c r="Z2080" s="581" t="s">
        <v>450</v>
      </c>
      <c r="AA2080" s="581" t="s">
        <v>178</v>
      </c>
      <c r="AB2080" s="585">
        <v>36290</v>
      </c>
      <c r="AC2080" s="585" t="s">
        <v>164</v>
      </c>
      <c r="AD2080" s="585">
        <v>26750</v>
      </c>
      <c r="AE2080" s="587">
        <v>0.01</v>
      </c>
      <c r="AF2080" s="661" t="str">
        <f t="shared" si="227"/>
        <v>2019-LTK-FRD-F150-032-15</v>
      </c>
      <c r="AG2080" s="661" t="str">
        <f>IF(AND($Y2080&gt;=32,(AI2080="I"),(Y2080&lt;&gt;"~"),(COUNTIF($AN$1:$AN2080,$AN2080)=1)),"TRUE","FALSE")</f>
        <v>FALSE</v>
      </c>
      <c r="AH2080" s="661" t="str">
        <f>IF(AND($Y2080&gt;=22, (AI2080&lt;&gt;"I"),(Y2080&lt;&gt;"~"),(COUNTIF($AN$1:$AN2080,$AN2080)=1)),"TRUE","FALSE")</f>
        <v>FALSE</v>
      </c>
      <c r="AI2080" s="661" t="str">
        <f t="shared" si="229"/>
        <v>II</v>
      </c>
      <c r="AJ2080" s="662" t="str">
        <f t="shared" si="223"/>
        <v>F150-032</v>
      </c>
      <c r="AK2080" s="662" t="str">
        <f t="shared" si="224"/>
        <v>LTK</v>
      </c>
      <c r="AL2080" s="662" t="str">
        <f t="shared" si="225"/>
        <v>FRD</v>
      </c>
      <c r="AM2080" s="662" t="str">
        <f t="shared" si="228"/>
        <v>F150-Regular Cab XL-4WD-3-6'5"-7600-5.0L FFV-8-F1E-100A-122.4-23-E85-Unleaded</v>
      </c>
      <c r="AN2080" s="662" t="str">
        <f t="shared" si="226"/>
        <v>2019-LTK-FRD-F150-032</v>
      </c>
    </row>
    <row r="2081" spans="1:40" s="572" customFormat="1" ht="15">
      <c r="A2081" s="570" t="s">
        <v>3894</v>
      </c>
      <c r="B2081" s="573" t="s">
        <v>3884</v>
      </c>
      <c r="C2081" s="573" t="s">
        <v>278</v>
      </c>
      <c r="D2081" s="578">
        <v>15</v>
      </c>
      <c r="E2081" s="573" t="s">
        <v>3374</v>
      </c>
      <c r="F2081" s="573" t="s">
        <v>152</v>
      </c>
      <c r="G2081" s="573" t="s">
        <v>271</v>
      </c>
      <c r="H2081" s="573">
        <v>2019</v>
      </c>
      <c r="I2081" s="573" t="s">
        <v>3765</v>
      </c>
      <c r="J2081" s="573" t="s">
        <v>3837</v>
      </c>
      <c r="K2081" s="573" t="s">
        <v>752</v>
      </c>
      <c r="L2081" s="573">
        <v>3</v>
      </c>
      <c r="M2081" s="573">
        <v>0</v>
      </c>
      <c r="N2081" s="573" t="s">
        <v>157</v>
      </c>
      <c r="O2081" s="573">
        <v>1</v>
      </c>
      <c r="P2081" s="573" t="s">
        <v>3846</v>
      </c>
      <c r="Q2081" s="571">
        <v>10700</v>
      </c>
      <c r="R2081" s="573" t="s">
        <v>1259</v>
      </c>
      <c r="S2081" s="573">
        <v>6</v>
      </c>
      <c r="T2081" s="573" t="s">
        <v>3878</v>
      </c>
      <c r="U2081" s="573" t="s">
        <v>276</v>
      </c>
      <c r="V2081" s="573">
        <v>141.1</v>
      </c>
      <c r="W2081" s="573">
        <v>23</v>
      </c>
      <c r="X2081" s="571">
        <v>6800</v>
      </c>
      <c r="Y2081" s="573">
        <v>19</v>
      </c>
      <c r="Z2081" s="579" t="s">
        <v>178</v>
      </c>
      <c r="AA2081" s="579" t="s">
        <v>178</v>
      </c>
      <c r="AB2081" s="584">
        <v>37190</v>
      </c>
      <c r="AC2081" s="584" t="s">
        <v>164</v>
      </c>
      <c r="AD2081" s="584">
        <v>27600</v>
      </c>
      <c r="AE2081" s="586">
        <v>0.01</v>
      </c>
      <c r="AF2081" s="661" t="str">
        <f t="shared" si="227"/>
        <v>2019-LTK-FRD-F150-034-15</v>
      </c>
      <c r="AG2081" s="661" t="str">
        <f>IF(AND($Y2081&gt;=32,(AI2081="I"),(Y2081&lt;&gt;"~"),(COUNTIF($AN$1:$AN2081,$AN2081)=1)),"TRUE","FALSE")</f>
        <v>FALSE</v>
      </c>
      <c r="AH2081" s="661" t="str">
        <f>IF(AND($Y2081&gt;=22, (AI2081&lt;&gt;"I"),(Y2081&lt;&gt;"~"),(COUNTIF($AN$1:$AN2081,$AN2081)=1)),"TRUE","FALSE")</f>
        <v>FALSE</v>
      </c>
      <c r="AI2081" s="661" t="str">
        <f t="shared" si="229"/>
        <v>II</v>
      </c>
      <c r="AJ2081" s="662" t="str">
        <f t="shared" si="223"/>
        <v>F150-034</v>
      </c>
      <c r="AK2081" s="662" t="str">
        <f t="shared" si="224"/>
        <v>LTK</v>
      </c>
      <c r="AL2081" s="662" t="str">
        <f t="shared" si="225"/>
        <v>FRD</v>
      </c>
      <c r="AM2081" s="662" t="str">
        <f t="shared" si="228"/>
        <v>F150-Regular Cab XL-4WD-3-8'-10700-3.5L EcoBoost-6-F1E-100A-141.1-23-Unleaded-Unleaded</v>
      </c>
      <c r="AN2081" s="662" t="str">
        <f t="shared" si="226"/>
        <v>2019-LTK-FRD-F150-034</v>
      </c>
    </row>
    <row r="2082" spans="1:40" s="572" customFormat="1" ht="15">
      <c r="A2082" s="570" t="s">
        <v>3895</v>
      </c>
      <c r="B2082" s="569" t="s">
        <v>3886</v>
      </c>
      <c r="C2082" s="569" t="s">
        <v>278</v>
      </c>
      <c r="D2082" s="580">
        <v>15</v>
      </c>
      <c r="E2082" s="569" t="s">
        <v>3374</v>
      </c>
      <c r="F2082" s="569" t="s">
        <v>152</v>
      </c>
      <c r="G2082" s="569" t="s">
        <v>271</v>
      </c>
      <c r="H2082" s="569">
        <v>2019</v>
      </c>
      <c r="I2082" s="569" t="s">
        <v>3765</v>
      </c>
      <c r="J2082" s="569" t="s">
        <v>3837</v>
      </c>
      <c r="K2082" s="569" t="s">
        <v>752</v>
      </c>
      <c r="L2082" s="569">
        <v>3</v>
      </c>
      <c r="M2082" s="569">
        <v>0</v>
      </c>
      <c r="N2082" s="569" t="s">
        <v>157</v>
      </c>
      <c r="O2082" s="569">
        <v>1</v>
      </c>
      <c r="P2082" s="569" t="s">
        <v>3846</v>
      </c>
      <c r="Q2082" s="568">
        <v>7400</v>
      </c>
      <c r="R2082" s="569" t="s">
        <v>3772</v>
      </c>
      <c r="S2082" s="569">
        <v>6</v>
      </c>
      <c r="T2082" s="569" t="s">
        <v>3878</v>
      </c>
      <c r="U2082" s="569" t="s">
        <v>276</v>
      </c>
      <c r="V2082" s="569">
        <v>141.1</v>
      </c>
      <c r="W2082" s="569">
        <v>23</v>
      </c>
      <c r="X2082" s="568">
        <v>6050</v>
      </c>
      <c r="Y2082" s="569">
        <v>19</v>
      </c>
      <c r="Z2082" s="581" t="s">
        <v>450</v>
      </c>
      <c r="AA2082" s="581" t="s">
        <v>178</v>
      </c>
      <c r="AB2082" s="585">
        <v>34595</v>
      </c>
      <c r="AC2082" s="585" t="s">
        <v>164</v>
      </c>
      <c r="AD2082" s="585">
        <v>25250</v>
      </c>
      <c r="AE2082" s="587">
        <v>0.01</v>
      </c>
      <c r="AF2082" s="661" t="str">
        <f t="shared" si="227"/>
        <v>2019-LTK-FRD-F150-035-15</v>
      </c>
      <c r="AG2082" s="661" t="str">
        <f>IF(AND($Y2082&gt;=32,(AI2082="I"),(Y2082&lt;&gt;"~"),(COUNTIF($AN$1:$AN2082,$AN2082)=1)),"TRUE","FALSE")</f>
        <v>FALSE</v>
      </c>
      <c r="AH2082" s="661" t="str">
        <f>IF(AND($Y2082&gt;=22, (AI2082&lt;&gt;"I"),(Y2082&lt;&gt;"~"),(COUNTIF($AN$1:$AN2082,$AN2082)=1)),"TRUE","FALSE")</f>
        <v>FALSE</v>
      </c>
      <c r="AI2082" s="661" t="str">
        <f t="shared" si="229"/>
        <v>II</v>
      </c>
      <c r="AJ2082" s="662" t="str">
        <f t="shared" si="223"/>
        <v>F150-035</v>
      </c>
      <c r="AK2082" s="662" t="str">
        <f t="shared" si="224"/>
        <v>LTK</v>
      </c>
      <c r="AL2082" s="662" t="str">
        <f t="shared" si="225"/>
        <v>FRD</v>
      </c>
      <c r="AM2082" s="662" t="str">
        <f t="shared" si="228"/>
        <v>F150-Regular Cab XL-4WD-3-8'-7400-3.3L FFV-6-F1E-100A-141.1-23-E85-Unleaded</v>
      </c>
      <c r="AN2082" s="662" t="str">
        <f t="shared" si="226"/>
        <v>2019-LTK-FRD-F150-035</v>
      </c>
    </row>
    <row r="2083" spans="1:40" s="572" customFormat="1" ht="15">
      <c r="A2083" s="570" t="s">
        <v>3896</v>
      </c>
      <c r="B2083" s="573" t="s">
        <v>3888</v>
      </c>
      <c r="C2083" s="573" t="s">
        <v>278</v>
      </c>
      <c r="D2083" s="578">
        <v>15</v>
      </c>
      <c r="E2083" s="573" t="s">
        <v>3374</v>
      </c>
      <c r="F2083" s="573" t="s">
        <v>152</v>
      </c>
      <c r="G2083" s="573" t="s">
        <v>271</v>
      </c>
      <c r="H2083" s="573">
        <v>2019</v>
      </c>
      <c r="I2083" s="573" t="s">
        <v>3765</v>
      </c>
      <c r="J2083" s="573" t="s">
        <v>3837</v>
      </c>
      <c r="K2083" s="573" t="s">
        <v>752</v>
      </c>
      <c r="L2083" s="573">
        <v>3</v>
      </c>
      <c r="M2083" s="573">
        <v>0</v>
      </c>
      <c r="N2083" s="573" t="s">
        <v>157</v>
      </c>
      <c r="O2083" s="573">
        <v>1</v>
      </c>
      <c r="P2083" s="573" t="s">
        <v>3846</v>
      </c>
      <c r="Q2083" s="571">
        <v>7600</v>
      </c>
      <c r="R2083" s="573" t="s">
        <v>3768</v>
      </c>
      <c r="S2083" s="573">
        <v>6</v>
      </c>
      <c r="T2083" s="573" t="s">
        <v>3878</v>
      </c>
      <c r="U2083" s="573" t="s">
        <v>276</v>
      </c>
      <c r="V2083" s="573">
        <v>141.1</v>
      </c>
      <c r="W2083" s="573">
        <v>23</v>
      </c>
      <c r="X2083" s="571">
        <v>6050</v>
      </c>
      <c r="Y2083" s="573">
        <v>20</v>
      </c>
      <c r="Z2083" s="579" t="s">
        <v>178</v>
      </c>
      <c r="AA2083" s="579" t="s">
        <v>178</v>
      </c>
      <c r="AB2083" s="584">
        <v>35590</v>
      </c>
      <c r="AC2083" s="584" t="s">
        <v>164</v>
      </c>
      <c r="AD2083" s="584">
        <v>26150</v>
      </c>
      <c r="AE2083" s="586">
        <v>0.01</v>
      </c>
      <c r="AF2083" s="661" t="str">
        <f t="shared" si="227"/>
        <v>2019-LTK-FRD-F150-036-15</v>
      </c>
      <c r="AG2083" s="661" t="str">
        <f>IF(AND($Y2083&gt;=32,(AI2083="I"),(Y2083&lt;&gt;"~"),(COUNTIF($AN$1:$AN2083,$AN2083)=1)),"TRUE","FALSE")</f>
        <v>FALSE</v>
      </c>
      <c r="AH2083" s="661" t="str">
        <f>IF(AND($Y2083&gt;=22, (AI2083&lt;&gt;"I"),(Y2083&lt;&gt;"~"),(COUNTIF($AN$1:$AN2083,$AN2083)=1)),"TRUE","FALSE")</f>
        <v>FALSE</v>
      </c>
      <c r="AI2083" s="661" t="str">
        <f t="shared" si="229"/>
        <v>II</v>
      </c>
      <c r="AJ2083" s="662" t="str">
        <f t="shared" si="223"/>
        <v>F150-036</v>
      </c>
      <c r="AK2083" s="662" t="str">
        <f t="shared" si="224"/>
        <v>LTK</v>
      </c>
      <c r="AL2083" s="662" t="str">
        <f t="shared" si="225"/>
        <v>FRD</v>
      </c>
      <c r="AM2083" s="662" t="str">
        <f t="shared" si="228"/>
        <v>F150-Regular Cab XL-4WD-3-8'-7600-2.7L EcoBoost -6-F1E-100A-141.1-23-Unleaded-Unleaded</v>
      </c>
      <c r="AN2083" s="662" t="str">
        <f t="shared" si="226"/>
        <v>2019-LTK-FRD-F150-036</v>
      </c>
    </row>
    <row r="2084" spans="1:40" s="572" customFormat="1" ht="15">
      <c r="A2084" s="570" t="s">
        <v>3897</v>
      </c>
      <c r="B2084" s="569" t="s">
        <v>3890</v>
      </c>
      <c r="C2084" s="569" t="s">
        <v>278</v>
      </c>
      <c r="D2084" s="580">
        <v>15</v>
      </c>
      <c r="E2084" s="569" t="s">
        <v>3374</v>
      </c>
      <c r="F2084" s="569" t="s">
        <v>152</v>
      </c>
      <c r="G2084" s="569" t="s">
        <v>271</v>
      </c>
      <c r="H2084" s="569">
        <v>2019</v>
      </c>
      <c r="I2084" s="569" t="s">
        <v>3765</v>
      </c>
      <c r="J2084" s="569" t="s">
        <v>3837</v>
      </c>
      <c r="K2084" s="569" t="s">
        <v>752</v>
      </c>
      <c r="L2084" s="569">
        <v>3</v>
      </c>
      <c r="M2084" s="569">
        <v>0</v>
      </c>
      <c r="N2084" s="569" t="s">
        <v>157</v>
      </c>
      <c r="O2084" s="569">
        <v>1</v>
      </c>
      <c r="P2084" s="569" t="s">
        <v>3846</v>
      </c>
      <c r="Q2084" s="568">
        <v>7600</v>
      </c>
      <c r="R2084" s="569" t="s">
        <v>3778</v>
      </c>
      <c r="S2084" s="569">
        <v>8</v>
      </c>
      <c r="T2084" s="569" t="s">
        <v>3878</v>
      </c>
      <c r="U2084" s="569" t="s">
        <v>276</v>
      </c>
      <c r="V2084" s="569">
        <v>141.1</v>
      </c>
      <c r="W2084" s="569">
        <v>23</v>
      </c>
      <c r="X2084" s="568">
        <v>6400</v>
      </c>
      <c r="Y2084" s="569">
        <v>17</v>
      </c>
      <c r="Z2084" s="581" t="s">
        <v>450</v>
      </c>
      <c r="AA2084" s="581" t="s">
        <v>178</v>
      </c>
      <c r="AB2084" s="585">
        <v>36590</v>
      </c>
      <c r="AC2084" s="585" t="s">
        <v>164</v>
      </c>
      <c r="AD2084" s="585">
        <v>27050</v>
      </c>
      <c r="AE2084" s="587">
        <v>0.01</v>
      </c>
      <c r="AF2084" s="661" t="str">
        <f t="shared" si="227"/>
        <v>2019-LTK-FRD-F150-037-15</v>
      </c>
      <c r="AG2084" s="661" t="str">
        <f>IF(AND($Y2084&gt;=32,(AI2084="I"),(Y2084&lt;&gt;"~"),(COUNTIF($AN$1:$AN2084,$AN2084)=1)),"TRUE","FALSE")</f>
        <v>FALSE</v>
      </c>
      <c r="AH2084" s="661" t="str">
        <f>IF(AND($Y2084&gt;=22, (AI2084&lt;&gt;"I"),(Y2084&lt;&gt;"~"),(COUNTIF($AN$1:$AN2084,$AN2084)=1)),"TRUE","FALSE")</f>
        <v>FALSE</v>
      </c>
      <c r="AI2084" s="661" t="str">
        <f t="shared" si="229"/>
        <v>II</v>
      </c>
      <c r="AJ2084" s="662" t="str">
        <f t="shared" si="223"/>
        <v>F150-037</v>
      </c>
      <c r="AK2084" s="662" t="str">
        <f t="shared" si="224"/>
        <v>LTK</v>
      </c>
      <c r="AL2084" s="662" t="str">
        <f t="shared" si="225"/>
        <v>FRD</v>
      </c>
      <c r="AM2084" s="662" t="str">
        <f t="shared" si="228"/>
        <v>F150-Regular Cab XL-4WD-3-8'-7600-5.0L FFV-8-F1E-100A-141.1-23-E85-Unleaded</v>
      </c>
      <c r="AN2084" s="662" t="str">
        <f t="shared" si="226"/>
        <v>2019-LTK-FRD-F150-037</v>
      </c>
    </row>
    <row r="2085" spans="1:40" s="572" customFormat="1" ht="15">
      <c r="A2085" s="570" t="s">
        <v>3898</v>
      </c>
      <c r="B2085" s="573" t="s">
        <v>3884</v>
      </c>
      <c r="C2085" s="573" t="s">
        <v>287</v>
      </c>
      <c r="D2085" s="578">
        <v>26</v>
      </c>
      <c r="E2085" s="573" t="s">
        <v>3374</v>
      </c>
      <c r="F2085" s="573" t="s">
        <v>152</v>
      </c>
      <c r="G2085" s="573" t="s">
        <v>271</v>
      </c>
      <c r="H2085" s="573">
        <v>2018</v>
      </c>
      <c r="I2085" s="573" t="s">
        <v>3765</v>
      </c>
      <c r="J2085" s="573" t="s">
        <v>3837</v>
      </c>
      <c r="K2085" s="573" t="s">
        <v>752</v>
      </c>
      <c r="L2085" s="573">
        <v>3</v>
      </c>
      <c r="M2085" s="573">
        <v>0</v>
      </c>
      <c r="N2085" s="573" t="s">
        <v>157</v>
      </c>
      <c r="O2085" s="573">
        <v>1</v>
      </c>
      <c r="P2085" s="573" t="s">
        <v>3846</v>
      </c>
      <c r="Q2085" s="571">
        <v>10700</v>
      </c>
      <c r="R2085" s="573" t="s">
        <v>1259</v>
      </c>
      <c r="S2085" s="573">
        <v>6</v>
      </c>
      <c r="T2085" s="573" t="s">
        <v>3878</v>
      </c>
      <c r="U2085" s="573" t="s">
        <v>276</v>
      </c>
      <c r="V2085" s="573">
        <v>141.1</v>
      </c>
      <c r="W2085" s="573">
        <v>23</v>
      </c>
      <c r="X2085" s="571">
        <v>6800</v>
      </c>
      <c r="Y2085" s="573">
        <v>19</v>
      </c>
      <c r="Z2085" s="579" t="s">
        <v>178</v>
      </c>
      <c r="AA2085" s="579" t="s">
        <v>178</v>
      </c>
      <c r="AB2085" s="584">
        <v>37190</v>
      </c>
      <c r="AC2085" s="584" t="s">
        <v>164</v>
      </c>
      <c r="AD2085" s="584">
        <v>28012</v>
      </c>
      <c r="AE2085" s="586">
        <v>0.05</v>
      </c>
      <c r="AF2085" s="661" t="str">
        <f t="shared" si="227"/>
        <v>2018-LTK-FRD-F150-034-26</v>
      </c>
      <c r="AG2085" s="661" t="str">
        <f>IF(AND($Y2085&gt;=32,(AI2085="I"),(Y2085&lt;&gt;"~"),(COUNTIF($AN$1:$AN2085,$AN2085)=1)),"TRUE","FALSE")</f>
        <v>FALSE</v>
      </c>
      <c r="AH2085" s="661" t="str">
        <f>IF(AND($Y2085&gt;=22, (AI2085&lt;&gt;"I"),(Y2085&lt;&gt;"~"),(COUNTIF($AN$1:$AN2085,$AN2085)=1)),"TRUE","FALSE")</f>
        <v>FALSE</v>
      </c>
      <c r="AI2085" s="661" t="str">
        <f t="shared" si="229"/>
        <v>II</v>
      </c>
      <c r="AJ2085" s="662" t="str">
        <f t="shared" si="223"/>
        <v>F150-034</v>
      </c>
      <c r="AK2085" s="662" t="str">
        <f t="shared" si="224"/>
        <v>LTK</v>
      </c>
      <c r="AL2085" s="662" t="str">
        <f t="shared" si="225"/>
        <v>FRD</v>
      </c>
      <c r="AM2085" s="662" t="str">
        <f t="shared" si="228"/>
        <v>F150-Regular Cab XL-4WD-3-8'-10700-3.5L EcoBoost-6-F1E-100A-141.1-23-Unleaded-Unleaded</v>
      </c>
      <c r="AN2085" s="662" t="str">
        <f t="shared" si="226"/>
        <v>2018-LTK-FRD-F150-034</v>
      </c>
    </row>
    <row r="2086" spans="1:40" s="572" customFormat="1" ht="15">
      <c r="A2086" s="570" t="s">
        <v>3899</v>
      </c>
      <c r="B2086" s="569" t="s">
        <v>3888</v>
      </c>
      <c r="C2086" s="569" t="s">
        <v>287</v>
      </c>
      <c r="D2086" s="580">
        <v>26</v>
      </c>
      <c r="E2086" s="569" t="s">
        <v>3374</v>
      </c>
      <c r="F2086" s="569" t="s">
        <v>152</v>
      </c>
      <c r="G2086" s="569" t="s">
        <v>271</v>
      </c>
      <c r="H2086" s="569">
        <v>2018</v>
      </c>
      <c r="I2086" s="569" t="s">
        <v>3765</v>
      </c>
      <c r="J2086" s="569" t="s">
        <v>3837</v>
      </c>
      <c r="K2086" s="569" t="s">
        <v>752</v>
      </c>
      <c r="L2086" s="569">
        <v>3</v>
      </c>
      <c r="M2086" s="569">
        <v>0</v>
      </c>
      <c r="N2086" s="569" t="s">
        <v>157</v>
      </c>
      <c r="O2086" s="569">
        <v>1</v>
      </c>
      <c r="P2086" s="569" t="s">
        <v>3846</v>
      </c>
      <c r="Q2086" s="568">
        <v>7600</v>
      </c>
      <c r="R2086" s="569" t="s">
        <v>3768</v>
      </c>
      <c r="S2086" s="569">
        <v>6</v>
      </c>
      <c r="T2086" s="569" t="s">
        <v>3878</v>
      </c>
      <c r="U2086" s="569" t="s">
        <v>276</v>
      </c>
      <c r="V2086" s="569">
        <v>141.1</v>
      </c>
      <c r="W2086" s="569">
        <v>23</v>
      </c>
      <c r="X2086" s="568">
        <v>6050</v>
      </c>
      <c r="Y2086" s="569">
        <v>20</v>
      </c>
      <c r="Z2086" s="581" t="s">
        <v>178</v>
      </c>
      <c r="AA2086" s="581" t="s">
        <v>178</v>
      </c>
      <c r="AB2086" s="585">
        <v>35590</v>
      </c>
      <c r="AC2086" s="585" t="s">
        <v>164</v>
      </c>
      <c r="AD2086" s="585">
        <v>26556</v>
      </c>
      <c r="AE2086" s="587">
        <v>0.05</v>
      </c>
      <c r="AF2086" s="661" t="str">
        <f t="shared" si="227"/>
        <v>2018-LTK-FRD-F150-036-26</v>
      </c>
      <c r="AG2086" s="661" t="str">
        <f>IF(AND($Y2086&gt;=32,(AI2086="I"),(Y2086&lt;&gt;"~"),(COUNTIF($AN$1:$AN2086,$AN2086)=1)),"TRUE","FALSE")</f>
        <v>FALSE</v>
      </c>
      <c r="AH2086" s="661" t="str">
        <f>IF(AND($Y2086&gt;=22, (AI2086&lt;&gt;"I"),(Y2086&lt;&gt;"~"),(COUNTIF($AN$1:$AN2086,$AN2086)=1)),"TRUE","FALSE")</f>
        <v>FALSE</v>
      </c>
      <c r="AI2086" s="661" t="str">
        <f t="shared" si="229"/>
        <v>II</v>
      </c>
      <c r="AJ2086" s="662" t="str">
        <f t="shared" si="223"/>
        <v>F150-036</v>
      </c>
      <c r="AK2086" s="662" t="str">
        <f t="shared" si="224"/>
        <v>LTK</v>
      </c>
      <c r="AL2086" s="662" t="str">
        <f t="shared" si="225"/>
        <v>FRD</v>
      </c>
      <c r="AM2086" s="662" t="str">
        <f t="shared" si="228"/>
        <v>F150-Regular Cab XL-4WD-3-8'-7600-2.7L EcoBoost -6-F1E-100A-141.1-23-Unleaded-Unleaded</v>
      </c>
      <c r="AN2086" s="662" t="str">
        <f t="shared" si="226"/>
        <v>2018-LTK-FRD-F150-036</v>
      </c>
    </row>
    <row r="2087" spans="1:40" s="572" customFormat="1" ht="15">
      <c r="A2087" s="570" t="s">
        <v>3900</v>
      </c>
      <c r="B2087" s="573" t="s">
        <v>3890</v>
      </c>
      <c r="C2087" s="573" t="s">
        <v>287</v>
      </c>
      <c r="D2087" s="578">
        <v>26</v>
      </c>
      <c r="E2087" s="573" t="s">
        <v>3374</v>
      </c>
      <c r="F2087" s="573" t="s">
        <v>152</v>
      </c>
      <c r="G2087" s="573" t="s">
        <v>271</v>
      </c>
      <c r="H2087" s="573">
        <v>2018</v>
      </c>
      <c r="I2087" s="573" t="s">
        <v>3765</v>
      </c>
      <c r="J2087" s="573" t="s">
        <v>3837</v>
      </c>
      <c r="K2087" s="573" t="s">
        <v>752</v>
      </c>
      <c r="L2087" s="573">
        <v>3</v>
      </c>
      <c r="M2087" s="573">
        <v>0</v>
      </c>
      <c r="N2087" s="573" t="s">
        <v>157</v>
      </c>
      <c r="O2087" s="573">
        <v>1</v>
      </c>
      <c r="P2087" s="573" t="s">
        <v>3846</v>
      </c>
      <c r="Q2087" s="571">
        <v>7600</v>
      </c>
      <c r="R2087" s="573" t="s">
        <v>3778</v>
      </c>
      <c r="S2087" s="573">
        <v>8</v>
      </c>
      <c r="T2087" s="573" t="s">
        <v>3878</v>
      </c>
      <c r="U2087" s="573" t="s">
        <v>276</v>
      </c>
      <c r="V2087" s="573">
        <v>141.1</v>
      </c>
      <c r="W2087" s="573">
        <v>23</v>
      </c>
      <c r="X2087" s="571">
        <v>6400</v>
      </c>
      <c r="Y2087" s="573">
        <v>17</v>
      </c>
      <c r="Z2087" s="579" t="s">
        <v>450</v>
      </c>
      <c r="AA2087" s="579" t="s">
        <v>178</v>
      </c>
      <c r="AB2087" s="584">
        <v>36590</v>
      </c>
      <c r="AC2087" s="584" t="s">
        <v>164</v>
      </c>
      <c r="AD2087" s="584">
        <v>27466</v>
      </c>
      <c r="AE2087" s="586">
        <v>0.05</v>
      </c>
      <c r="AF2087" s="661" t="str">
        <f t="shared" si="227"/>
        <v>2018-LTK-FRD-F150-037-26</v>
      </c>
      <c r="AG2087" s="661" t="str">
        <f>IF(AND($Y2087&gt;=32,(AI2087="I"),(Y2087&lt;&gt;"~"),(COUNTIF($AN$1:$AN2087,$AN2087)=1)),"TRUE","FALSE")</f>
        <v>FALSE</v>
      </c>
      <c r="AH2087" s="661" t="str">
        <f>IF(AND($Y2087&gt;=22, (AI2087&lt;&gt;"I"),(Y2087&lt;&gt;"~"),(COUNTIF($AN$1:$AN2087,$AN2087)=1)),"TRUE","FALSE")</f>
        <v>FALSE</v>
      </c>
      <c r="AI2087" s="661" t="str">
        <f t="shared" si="229"/>
        <v>II</v>
      </c>
      <c r="AJ2087" s="662" t="str">
        <f t="shared" si="223"/>
        <v>F150-037</v>
      </c>
      <c r="AK2087" s="662" t="str">
        <f t="shared" si="224"/>
        <v>LTK</v>
      </c>
      <c r="AL2087" s="662" t="str">
        <f t="shared" si="225"/>
        <v>FRD</v>
      </c>
      <c r="AM2087" s="662" t="str">
        <f t="shared" si="228"/>
        <v>F150-Regular Cab XL-4WD-3-8'-7600-5.0L FFV-8-F1E-100A-141.1-23-E85-Unleaded</v>
      </c>
      <c r="AN2087" s="662" t="str">
        <f t="shared" si="226"/>
        <v>2018-LTK-FRD-F150-037</v>
      </c>
    </row>
    <row r="2088" spans="1:40" s="572" customFormat="1" ht="15">
      <c r="A2088" s="570" t="s">
        <v>3901</v>
      </c>
      <c r="B2088" s="569" t="s">
        <v>3880</v>
      </c>
      <c r="C2088" s="569" t="s">
        <v>287</v>
      </c>
      <c r="D2088" s="580">
        <v>26</v>
      </c>
      <c r="E2088" s="569" t="s">
        <v>3374</v>
      </c>
      <c r="F2088" s="569" t="s">
        <v>152</v>
      </c>
      <c r="G2088" s="569" t="s">
        <v>271</v>
      </c>
      <c r="H2088" s="569">
        <v>2019</v>
      </c>
      <c r="I2088" s="569" t="s">
        <v>3765</v>
      </c>
      <c r="J2088" s="569" t="s">
        <v>3837</v>
      </c>
      <c r="K2088" s="569" t="s">
        <v>752</v>
      </c>
      <c r="L2088" s="569">
        <v>3</v>
      </c>
      <c r="M2088" s="569">
        <v>0</v>
      </c>
      <c r="N2088" s="569" t="s">
        <v>157</v>
      </c>
      <c r="O2088" s="569">
        <v>1</v>
      </c>
      <c r="P2088" s="569" t="s">
        <v>3781</v>
      </c>
      <c r="Q2088" s="568">
        <v>7600</v>
      </c>
      <c r="R2088" s="569" t="s">
        <v>3768</v>
      </c>
      <c r="S2088" s="569">
        <v>6</v>
      </c>
      <c r="T2088" s="569" t="s">
        <v>3878</v>
      </c>
      <c r="U2088" s="569" t="s">
        <v>276</v>
      </c>
      <c r="V2088" s="569">
        <v>122.4</v>
      </c>
      <c r="W2088" s="569">
        <v>23</v>
      </c>
      <c r="X2088" s="568">
        <v>6050</v>
      </c>
      <c r="Y2088" s="569">
        <v>20</v>
      </c>
      <c r="Z2088" s="581" t="s">
        <v>178</v>
      </c>
      <c r="AA2088" s="581" t="s">
        <v>178</v>
      </c>
      <c r="AB2088" s="585">
        <v>35290</v>
      </c>
      <c r="AC2088" s="585" t="s">
        <v>164</v>
      </c>
      <c r="AD2088" s="585">
        <v>26274</v>
      </c>
      <c r="AE2088" s="587">
        <v>0.05</v>
      </c>
      <c r="AF2088" s="661" t="str">
        <f t="shared" si="227"/>
        <v>2019-LTK-FRD-F150-031-26</v>
      </c>
      <c r="AG2088" s="661" t="str">
        <f>IF(AND($Y2088&gt;=32,(AI2088="I"),(Y2088&lt;&gt;"~"),(COUNTIF($AN$1:$AN2088,$AN2088)=1)),"TRUE","FALSE")</f>
        <v>FALSE</v>
      </c>
      <c r="AH2088" s="661" t="str">
        <f>IF(AND($Y2088&gt;=22, (AI2088&lt;&gt;"I"),(Y2088&lt;&gt;"~"),(COUNTIF($AN$1:$AN2088,$AN2088)=1)),"TRUE","FALSE")</f>
        <v>FALSE</v>
      </c>
      <c r="AI2088" s="661" t="str">
        <f t="shared" si="229"/>
        <v>II</v>
      </c>
      <c r="AJ2088" s="662" t="str">
        <f t="shared" si="223"/>
        <v>F150-031</v>
      </c>
      <c r="AK2088" s="662" t="str">
        <f t="shared" si="224"/>
        <v>LTK</v>
      </c>
      <c r="AL2088" s="662" t="str">
        <f t="shared" si="225"/>
        <v>FRD</v>
      </c>
      <c r="AM2088" s="662" t="str">
        <f t="shared" si="228"/>
        <v>F150-Regular Cab XL-4WD-3-6'5"-7600-2.7L EcoBoost -6-F1E-100A-122.4-23-Unleaded-Unleaded</v>
      </c>
      <c r="AN2088" s="662" t="str">
        <f t="shared" si="226"/>
        <v>2019-LTK-FRD-F150-031</v>
      </c>
    </row>
    <row r="2089" spans="1:40" s="572" customFormat="1" ht="15">
      <c r="A2089" s="570" t="s">
        <v>3902</v>
      </c>
      <c r="B2089" s="573" t="s">
        <v>3882</v>
      </c>
      <c r="C2089" s="573" t="s">
        <v>287</v>
      </c>
      <c r="D2089" s="578">
        <v>26</v>
      </c>
      <c r="E2089" s="573" t="s">
        <v>3374</v>
      </c>
      <c r="F2089" s="573" t="s">
        <v>152</v>
      </c>
      <c r="G2089" s="573" t="s">
        <v>271</v>
      </c>
      <c r="H2089" s="573">
        <v>2019</v>
      </c>
      <c r="I2089" s="573" t="s">
        <v>3765</v>
      </c>
      <c r="J2089" s="573" t="s">
        <v>3837</v>
      </c>
      <c r="K2089" s="573" t="s">
        <v>752</v>
      </c>
      <c r="L2089" s="573">
        <v>3</v>
      </c>
      <c r="M2089" s="573">
        <v>0</v>
      </c>
      <c r="N2089" s="573" t="s">
        <v>157</v>
      </c>
      <c r="O2089" s="573">
        <v>1</v>
      </c>
      <c r="P2089" s="573" t="s">
        <v>3781</v>
      </c>
      <c r="Q2089" s="571">
        <v>7600</v>
      </c>
      <c r="R2089" s="573" t="s">
        <v>3778</v>
      </c>
      <c r="S2089" s="573">
        <v>8</v>
      </c>
      <c r="T2089" s="573" t="s">
        <v>3878</v>
      </c>
      <c r="U2089" s="573" t="s">
        <v>276</v>
      </c>
      <c r="V2089" s="573">
        <v>122.4</v>
      </c>
      <c r="W2089" s="573">
        <v>23</v>
      </c>
      <c r="X2089" s="571">
        <v>6400</v>
      </c>
      <c r="Y2089" s="573">
        <v>17</v>
      </c>
      <c r="Z2089" s="579" t="s">
        <v>450</v>
      </c>
      <c r="AA2089" s="579" t="s">
        <v>178</v>
      </c>
      <c r="AB2089" s="584">
        <v>36290</v>
      </c>
      <c r="AC2089" s="584" t="s">
        <v>164</v>
      </c>
      <c r="AD2089" s="584">
        <v>27183</v>
      </c>
      <c r="AE2089" s="586">
        <v>0.05</v>
      </c>
      <c r="AF2089" s="661" t="str">
        <f t="shared" si="227"/>
        <v>2019-LTK-FRD-F150-032-26</v>
      </c>
      <c r="AG2089" s="661" t="str">
        <f>IF(AND($Y2089&gt;=32,(AI2089="I"),(Y2089&lt;&gt;"~"),(COUNTIF($AN$1:$AN2089,$AN2089)=1)),"TRUE","FALSE")</f>
        <v>FALSE</v>
      </c>
      <c r="AH2089" s="661" t="str">
        <f>IF(AND($Y2089&gt;=22, (AI2089&lt;&gt;"I"),(Y2089&lt;&gt;"~"),(COUNTIF($AN$1:$AN2089,$AN2089)=1)),"TRUE","FALSE")</f>
        <v>FALSE</v>
      </c>
      <c r="AI2089" s="661" t="str">
        <f t="shared" si="229"/>
        <v>II</v>
      </c>
      <c r="AJ2089" s="662" t="str">
        <f t="shared" si="223"/>
        <v>F150-032</v>
      </c>
      <c r="AK2089" s="662" t="str">
        <f t="shared" si="224"/>
        <v>LTK</v>
      </c>
      <c r="AL2089" s="662" t="str">
        <f t="shared" si="225"/>
        <v>FRD</v>
      </c>
      <c r="AM2089" s="662" t="str">
        <f t="shared" si="228"/>
        <v>F150-Regular Cab XL-4WD-3-6'5"-7600-5.0L FFV-8-F1E-100A-122.4-23-E85-Unleaded</v>
      </c>
      <c r="AN2089" s="662" t="str">
        <f t="shared" si="226"/>
        <v>2019-LTK-FRD-F150-032</v>
      </c>
    </row>
    <row r="2090" spans="1:40" s="572" customFormat="1" ht="15">
      <c r="A2090" s="570" t="s">
        <v>3903</v>
      </c>
      <c r="B2090" s="569" t="s">
        <v>3904</v>
      </c>
      <c r="C2090" s="569" t="s">
        <v>287</v>
      </c>
      <c r="D2090" s="580">
        <v>26</v>
      </c>
      <c r="E2090" s="569" t="s">
        <v>3374</v>
      </c>
      <c r="F2090" s="569" t="s">
        <v>152</v>
      </c>
      <c r="G2090" s="569" t="s">
        <v>271</v>
      </c>
      <c r="H2090" s="569">
        <v>2019</v>
      </c>
      <c r="I2090" s="569" t="s">
        <v>3765</v>
      </c>
      <c r="J2090" s="569" t="s">
        <v>3837</v>
      </c>
      <c r="K2090" s="569" t="s">
        <v>752</v>
      </c>
      <c r="L2090" s="569">
        <v>3</v>
      </c>
      <c r="M2090" s="569">
        <v>0</v>
      </c>
      <c r="N2090" s="569" t="s">
        <v>157</v>
      </c>
      <c r="O2090" s="569">
        <v>1</v>
      </c>
      <c r="P2090" s="569" t="s">
        <v>3781</v>
      </c>
      <c r="Q2090" s="568">
        <v>7700</v>
      </c>
      <c r="R2090" s="569" t="s">
        <v>1322</v>
      </c>
      <c r="S2090" s="569">
        <v>6</v>
      </c>
      <c r="T2090" s="569" t="s">
        <v>3878</v>
      </c>
      <c r="U2090" s="569" t="s">
        <v>276</v>
      </c>
      <c r="V2090" s="569">
        <v>122.4</v>
      </c>
      <c r="W2090" s="569">
        <v>23</v>
      </c>
      <c r="X2090" s="568">
        <v>6050</v>
      </c>
      <c r="Y2090" s="569">
        <v>20</v>
      </c>
      <c r="Z2090" s="581" t="s">
        <v>178</v>
      </c>
      <c r="AA2090" s="581" t="s">
        <v>178</v>
      </c>
      <c r="AB2090" s="585">
        <v>34295</v>
      </c>
      <c r="AC2090" s="585" t="s">
        <v>164</v>
      </c>
      <c r="AD2090" s="585">
        <v>25368</v>
      </c>
      <c r="AE2090" s="587">
        <v>0.05</v>
      </c>
      <c r="AF2090" s="661" t="str">
        <f t="shared" si="227"/>
        <v>2019-LTK-FRD-F150-033-26</v>
      </c>
      <c r="AG2090" s="661" t="str">
        <f>IF(AND($Y2090&gt;=32,(AI2090="I"),(Y2090&lt;&gt;"~"),(COUNTIF($AN$1:$AN2090,$AN2090)=1)),"TRUE","FALSE")</f>
        <v>FALSE</v>
      </c>
      <c r="AH2090" s="661" t="str">
        <f>IF(AND($Y2090&gt;=22, (AI2090&lt;&gt;"I"),(Y2090&lt;&gt;"~"),(COUNTIF($AN$1:$AN2090,$AN2090)=1)),"TRUE","FALSE")</f>
        <v>FALSE</v>
      </c>
      <c r="AI2090" s="661" t="str">
        <f t="shared" si="229"/>
        <v>II</v>
      </c>
      <c r="AJ2090" s="662" t="str">
        <f t="shared" si="223"/>
        <v>F150-033</v>
      </c>
      <c r="AK2090" s="662" t="str">
        <f t="shared" si="224"/>
        <v>LTK</v>
      </c>
      <c r="AL2090" s="662" t="str">
        <f t="shared" si="225"/>
        <v>FRD</v>
      </c>
      <c r="AM2090" s="662" t="str">
        <f t="shared" si="228"/>
        <v>F150-Regular Cab XL-4WD-3-6'5"-7700-3.3L-6-F1E-100A-122.4-23-Unleaded-Unleaded</v>
      </c>
      <c r="AN2090" s="662" t="str">
        <f t="shared" si="226"/>
        <v>2019-LTK-FRD-F150-033</v>
      </c>
    </row>
    <row r="2091" spans="1:40" s="572" customFormat="1" ht="15">
      <c r="A2091" s="570" t="s">
        <v>3905</v>
      </c>
      <c r="B2091" s="573" t="s">
        <v>3906</v>
      </c>
      <c r="C2091" s="573" t="s">
        <v>287</v>
      </c>
      <c r="D2091" s="578">
        <v>26</v>
      </c>
      <c r="E2091" s="573" t="s">
        <v>3374</v>
      </c>
      <c r="F2091" s="573" t="s">
        <v>152</v>
      </c>
      <c r="G2091" s="573" t="s">
        <v>271</v>
      </c>
      <c r="H2091" s="573">
        <v>2019</v>
      </c>
      <c r="I2091" s="573" t="s">
        <v>3765</v>
      </c>
      <c r="J2091" s="573" t="s">
        <v>3837</v>
      </c>
      <c r="K2091" s="573" t="s">
        <v>752</v>
      </c>
      <c r="L2091" s="573">
        <v>3</v>
      </c>
      <c r="M2091" s="573">
        <v>0</v>
      </c>
      <c r="N2091" s="573" t="s">
        <v>157</v>
      </c>
      <c r="O2091" s="573">
        <v>1</v>
      </c>
      <c r="P2091" s="573" t="s">
        <v>3846</v>
      </c>
      <c r="Q2091" s="571">
        <v>7700</v>
      </c>
      <c r="R2091" s="573" t="s">
        <v>1322</v>
      </c>
      <c r="S2091" s="573">
        <v>6</v>
      </c>
      <c r="T2091" s="573" t="s">
        <v>3878</v>
      </c>
      <c r="U2091" s="573" t="s">
        <v>276</v>
      </c>
      <c r="V2091" s="573">
        <v>141.1</v>
      </c>
      <c r="W2091" s="573">
        <v>23</v>
      </c>
      <c r="X2091" s="571">
        <v>6100</v>
      </c>
      <c r="Y2091" s="573">
        <v>20</v>
      </c>
      <c r="Z2091" s="579" t="s">
        <v>178</v>
      </c>
      <c r="AA2091" s="579" t="s">
        <v>178</v>
      </c>
      <c r="AB2091" s="584">
        <v>34595</v>
      </c>
      <c r="AC2091" s="584" t="s">
        <v>164</v>
      </c>
      <c r="AD2091" s="584">
        <v>25651</v>
      </c>
      <c r="AE2091" s="586">
        <v>0.05</v>
      </c>
      <c r="AF2091" s="661" t="str">
        <f t="shared" si="227"/>
        <v>2019-LTK-FRD-F150-038-26</v>
      </c>
      <c r="AG2091" s="661" t="str">
        <f>IF(AND($Y2091&gt;=32,(AI2091="I"),(Y2091&lt;&gt;"~"),(COUNTIF($AN$1:$AN2091,$AN2091)=1)),"TRUE","FALSE")</f>
        <v>FALSE</v>
      </c>
      <c r="AH2091" s="661" t="str">
        <f>IF(AND($Y2091&gt;=22, (AI2091&lt;&gt;"I"),(Y2091&lt;&gt;"~"),(COUNTIF($AN$1:$AN2091,$AN2091)=1)),"TRUE","FALSE")</f>
        <v>FALSE</v>
      </c>
      <c r="AI2091" s="661" t="str">
        <f t="shared" si="229"/>
        <v>II</v>
      </c>
      <c r="AJ2091" s="662" t="str">
        <f t="shared" si="223"/>
        <v>F150-038</v>
      </c>
      <c r="AK2091" s="662" t="str">
        <f t="shared" si="224"/>
        <v>LTK</v>
      </c>
      <c r="AL2091" s="662" t="str">
        <f t="shared" si="225"/>
        <v>FRD</v>
      </c>
      <c r="AM2091" s="662" t="str">
        <f t="shared" si="228"/>
        <v>F150-Regular Cab XL-4WD-3-8'-7700-3.3L-6-F1E-100A-141.1-23-Unleaded-Unleaded</v>
      </c>
      <c r="AN2091" s="662" t="str">
        <f t="shared" si="226"/>
        <v>2019-LTK-FRD-F150-038</v>
      </c>
    </row>
    <row r="2092" spans="1:40" s="572" customFormat="1" ht="15">
      <c r="A2092" s="570" t="s">
        <v>3907</v>
      </c>
      <c r="B2092" s="569" t="s">
        <v>3877</v>
      </c>
      <c r="C2092" s="569" t="s">
        <v>280</v>
      </c>
      <c r="D2092" s="580">
        <v>27</v>
      </c>
      <c r="E2092" s="569" t="s">
        <v>3374</v>
      </c>
      <c r="F2092" s="569" t="s">
        <v>152</v>
      </c>
      <c r="G2092" s="569" t="s">
        <v>271</v>
      </c>
      <c r="H2092" s="569">
        <v>2019</v>
      </c>
      <c r="I2092" s="569" t="s">
        <v>3765</v>
      </c>
      <c r="J2092" s="569" t="s">
        <v>3837</v>
      </c>
      <c r="K2092" s="569" t="s">
        <v>752</v>
      </c>
      <c r="L2092" s="569">
        <v>3</v>
      </c>
      <c r="M2092" s="569">
        <v>0</v>
      </c>
      <c r="N2092" s="569" t="s">
        <v>157</v>
      </c>
      <c r="O2092" s="569">
        <v>1</v>
      </c>
      <c r="P2092" s="569" t="s">
        <v>3781</v>
      </c>
      <c r="Q2092" s="568">
        <v>7500</v>
      </c>
      <c r="R2092" s="569" t="s">
        <v>3772</v>
      </c>
      <c r="S2092" s="569">
        <v>6</v>
      </c>
      <c r="T2092" s="569" t="s">
        <v>3878</v>
      </c>
      <c r="U2092" s="569" t="s">
        <v>276</v>
      </c>
      <c r="V2092" s="569">
        <v>122.4</v>
      </c>
      <c r="W2092" s="569">
        <v>23</v>
      </c>
      <c r="X2092" s="568">
        <v>6050</v>
      </c>
      <c r="Y2092" s="569">
        <v>20</v>
      </c>
      <c r="Z2092" s="581" t="s">
        <v>450</v>
      </c>
      <c r="AA2092" s="581" t="s">
        <v>178</v>
      </c>
      <c r="AB2092" s="585">
        <v>34295</v>
      </c>
      <c r="AC2092" s="585" t="s">
        <v>164</v>
      </c>
      <c r="AD2092" s="585">
        <v>24903.873684210528</v>
      </c>
      <c r="AE2092" s="587">
        <v>0.03</v>
      </c>
      <c r="AF2092" s="661" t="str">
        <f t="shared" si="227"/>
        <v>2019-LTK-FRD-F150-030-27</v>
      </c>
      <c r="AG2092" s="661" t="str">
        <f>IF(AND($Y2092&gt;=32,(AI2092="I"),(Y2092&lt;&gt;"~"),(COUNTIF($AN$1:$AN2092,$AN2092)=1)),"TRUE","FALSE")</f>
        <v>FALSE</v>
      </c>
      <c r="AH2092" s="661" t="str">
        <f>IF(AND($Y2092&gt;=22, (AI2092&lt;&gt;"I"),(Y2092&lt;&gt;"~"),(COUNTIF($AN$1:$AN2092,$AN2092)=1)),"TRUE","FALSE")</f>
        <v>FALSE</v>
      </c>
      <c r="AI2092" s="661" t="str">
        <f t="shared" si="229"/>
        <v>II</v>
      </c>
      <c r="AJ2092" s="662" t="str">
        <f t="shared" si="223"/>
        <v>F150-030</v>
      </c>
      <c r="AK2092" s="662" t="str">
        <f t="shared" si="224"/>
        <v>LTK</v>
      </c>
      <c r="AL2092" s="662" t="str">
        <f t="shared" si="225"/>
        <v>FRD</v>
      </c>
      <c r="AM2092" s="662" t="str">
        <f t="shared" si="228"/>
        <v>F150-Regular Cab XL-4WD-3-6'5"-7500-3.3L FFV-6-F1E-100A-122.4-23-E85-Unleaded</v>
      </c>
      <c r="AN2092" s="662" t="str">
        <f t="shared" si="226"/>
        <v>2019-LTK-FRD-F150-030</v>
      </c>
    </row>
    <row r="2093" spans="1:40" s="572" customFormat="1" ht="15">
      <c r="A2093" s="570" t="s">
        <v>3908</v>
      </c>
      <c r="B2093" s="573" t="s">
        <v>3880</v>
      </c>
      <c r="C2093" s="573" t="s">
        <v>280</v>
      </c>
      <c r="D2093" s="578">
        <v>27</v>
      </c>
      <c r="E2093" s="573" t="s">
        <v>3374</v>
      </c>
      <c r="F2093" s="573" t="s">
        <v>152</v>
      </c>
      <c r="G2093" s="573" t="s">
        <v>271</v>
      </c>
      <c r="H2093" s="573">
        <v>2019</v>
      </c>
      <c r="I2093" s="573" t="s">
        <v>3765</v>
      </c>
      <c r="J2093" s="573" t="s">
        <v>3837</v>
      </c>
      <c r="K2093" s="573" t="s">
        <v>752</v>
      </c>
      <c r="L2093" s="573">
        <v>3</v>
      </c>
      <c r="M2093" s="573">
        <v>0</v>
      </c>
      <c r="N2093" s="573" t="s">
        <v>157</v>
      </c>
      <c r="O2093" s="573">
        <v>1</v>
      </c>
      <c r="P2093" s="573" t="s">
        <v>3781</v>
      </c>
      <c r="Q2093" s="571">
        <v>7600</v>
      </c>
      <c r="R2093" s="573" t="s">
        <v>3768</v>
      </c>
      <c r="S2093" s="573">
        <v>6</v>
      </c>
      <c r="T2093" s="573" t="s">
        <v>3878</v>
      </c>
      <c r="U2093" s="573" t="s">
        <v>276</v>
      </c>
      <c r="V2093" s="573">
        <v>122.4</v>
      </c>
      <c r="W2093" s="573">
        <v>23</v>
      </c>
      <c r="X2093" s="571">
        <v>6050</v>
      </c>
      <c r="Y2093" s="573">
        <v>21</v>
      </c>
      <c r="Z2093" s="579" t="s">
        <v>178</v>
      </c>
      <c r="AA2093" s="579" t="s">
        <v>178</v>
      </c>
      <c r="AB2093" s="584">
        <v>35290</v>
      </c>
      <c r="AC2093" s="584" t="s">
        <v>164</v>
      </c>
      <c r="AD2093" s="584">
        <v>25797.557894736845</v>
      </c>
      <c r="AE2093" s="586">
        <v>0.03</v>
      </c>
      <c r="AF2093" s="661" t="str">
        <f t="shared" si="227"/>
        <v>2019-LTK-FRD-F150-031-27</v>
      </c>
      <c r="AG2093" s="661" t="str">
        <f>IF(AND($Y2093&gt;=32,(AI2093="I"),(Y2093&lt;&gt;"~"),(COUNTIF($AN$1:$AN2093,$AN2093)=1)),"TRUE","FALSE")</f>
        <v>FALSE</v>
      </c>
      <c r="AH2093" s="661" t="str">
        <f>IF(AND($Y2093&gt;=22, (AI2093&lt;&gt;"I"),(Y2093&lt;&gt;"~"),(COUNTIF($AN$1:$AN2093,$AN2093)=1)),"TRUE","FALSE")</f>
        <v>FALSE</v>
      </c>
      <c r="AI2093" s="661" t="str">
        <f t="shared" si="229"/>
        <v>II</v>
      </c>
      <c r="AJ2093" s="662" t="str">
        <f t="shared" si="223"/>
        <v>F150-031</v>
      </c>
      <c r="AK2093" s="662" t="str">
        <f t="shared" si="224"/>
        <v>LTK</v>
      </c>
      <c r="AL2093" s="662" t="str">
        <f t="shared" si="225"/>
        <v>FRD</v>
      </c>
      <c r="AM2093" s="662" t="str">
        <f t="shared" si="228"/>
        <v>F150-Regular Cab XL-4WD-3-6'5"-7600-2.7L EcoBoost -6-F1E-100A-122.4-23-Unleaded-Unleaded</v>
      </c>
      <c r="AN2093" s="662" t="str">
        <f t="shared" si="226"/>
        <v>2019-LTK-FRD-F150-031</v>
      </c>
    </row>
    <row r="2094" spans="1:40" s="572" customFormat="1" ht="15">
      <c r="A2094" s="570" t="s">
        <v>3909</v>
      </c>
      <c r="B2094" s="569" t="s">
        <v>3882</v>
      </c>
      <c r="C2094" s="569" t="s">
        <v>280</v>
      </c>
      <c r="D2094" s="580">
        <v>27</v>
      </c>
      <c r="E2094" s="569" t="s">
        <v>3374</v>
      </c>
      <c r="F2094" s="569" t="s">
        <v>152</v>
      </c>
      <c r="G2094" s="569" t="s">
        <v>271</v>
      </c>
      <c r="H2094" s="569">
        <v>2019</v>
      </c>
      <c r="I2094" s="569" t="s">
        <v>3765</v>
      </c>
      <c r="J2094" s="569" t="s">
        <v>3837</v>
      </c>
      <c r="K2094" s="569" t="s">
        <v>752</v>
      </c>
      <c r="L2094" s="569">
        <v>3</v>
      </c>
      <c r="M2094" s="569">
        <v>0</v>
      </c>
      <c r="N2094" s="569" t="s">
        <v>157</v>
      </c>
      <c r="O2094" s="569">
        <v>1</v>
      </c>
      <c r="P2094" s="569" t="s">
        <v>3781</v>
      </c>
      <c r="Q2094" s="568">
        <v>7600</v>
      </c>
      <c r="R2094" s="569" t="s">
        <v>3778</v>
      </c>
      <c r="S2094" s="569">
        <v>8</v>
      </c>
      <c r="T2094" s="569" t="s">
        <v>3878</v>
      </c>
      <c r="U2094" s="569" t="s">
        <v>276</v>
      </c>
      <c r="V2094" s="569">
        <v>122.4</v>
      </c>
      <c r="W2094" s="569">
        <v>23</v>
      </c>
      <c r="X2094" s="568">
        <v>6400</v>
      </c>
      <c r="Y2094" s="569">
        <v>18</v>
      </c>
      <c r="Z2094" s="581" t="s">
        <v>450</v>
      </c>
      <c r="AA2094" s="581" t="s">
        <v>178</v>
      </c>
      <c r="AB2094" s="585">
        <v>36290</v>
      </c>
      <c r="AC2094" s="585" t="s">
        <v>164</v>
      </c>
      <c r="AD2094" s="585">
        <v>26694.400000000001</v>
      </c>
      <c r="AE2094" s="587">
        <v>0.03</v>
      </c>
      <c r="AF2094" s="661" t="str">
        <f t="shared" si="227"/>
        <v>2019-LTK-FRD-F150-032-27</v>
      </c>
      <c r="AG2094" s="661" t="str">
        <f>IF(AND($Y2094&gt;=32,(AI2094="I"),(Y2094&lt;&gt;"~"),(COUNTIF($AN$1:$AN2094,$AN2094)=1)),"TRUE","FALSE")</f>
        <v>FALSE</v>
      </c>
      <c r="AH2094" s="661" t="str">
        <f>IF(AND($Y2094&gt;=22, (AI2094&lt;&gt;"I"),(Y2094&lt;&gt;"~"),(COUNTIF($AN$1:$AN2094,$AN2094)=1)),"TRUE","FALSE")</f>
        <v>FALSE</v>
      </c>
      <c r="AI2094" s="661" t="str">
        <f t="shared" si="229"/>
        <v>II</v>
      </c>
      <c r="AJ2094" s="662" t="str">
        <f t="shared" si="223"/>
        <v>F150-032</v>
      </c>
      <c r="AK2094" s="662" t="str">
        <f t="shared" si="224"/>
        <v>LTK</v>
      </c>
      <c r="AL2094" s="662" t="str">
        <f t="shared" si="225"/>
        <v>FRD</v>
      </c>
      <c r="AM2094" s="662" t="str">
        <f t="shared" si="228"/>
        <v>F150-Regular Cab XL-4WD-3-6'5"-7600-5.0L FFV-8-F1E-100A-122.4-23-E85-Unleaded</v>
      </c>
      <c r="AN2094" s="662" t="str">
        <f t="shared" si="226"/>
        <v>2019-LTK-FRD-F150-032</v>
      </c>
    </row>
    <row r="2095" spans="1:40" s="572" customFormat="1" ht="15">
      <c r="A2095" s="570" t="s">
        <v>3910</v>
      </c>
      <c r="B2095" s="573" t="s">
        <v>3884</v>
      </c>
      <c r="C2095" s="573" t="s">
        <v>280</v>
      </c>
      <c r="D2095" s="578">
        <v>27</v>
      </c>
      <c r="E2095" s="573" t="s">
        <v>3374</v>
      </c>
      <c r="F2095" s="573" t="s">
        <v>152</v>
      </c>
      <c r="G2095" s="573" t="s">
        <v>271</v>
      </c>
      <c r="H2095" s="573">
        <v>2019</v>
      </c>
      <c r="I2095" s="573" t="s">
        <v>3765</v>
      </c>
      <c r="J2095" s="573" t="s">
        <v>3837</v>
      </c>
      <c r="K2095" s="573" t="s">
        <v>752</v>
      </c>
      <c r="L2095" s="573">
        <v>3</v>
      </c>
      <c r="M2095" s="573">
        <v>0</v>
      </c>
      <c r="N2095" s="573" t="s">
        <v>157</v>
      </c>
      <c r="O2095" s="573">
        <v>1</v>
      </c>
      <c r="P2095" s="573" t="s">
        <v>3846</v>
      </c>
      <c r="Q2095" s="571">
        <v>10700</v>
      </c>
      <c r="R2095" s="573" t="s">
        <v>1259</v>
      </c>
      <c r="S2095" s="573">
        <v>6</v>
      </c>
      <c r="T2095" s="573" t="s">
        <v>3878</v>
      </c>
      <c r="U2095" s="573" t="s">
        <v>276</v>
      </c>
      <c r="V2095" s="573">
        <v>141.1</v>
      </c>
      <c r="W2095" s="573">
        <v>23</v>
      </c>
      <c r="X2095" s="571">
        <v>6800</v>
      </c>
      <c r="Y2095" s="573">
        <v>19</v>
      </c>
      <c r="Z2095" s="579" t="s">
        <v>178</v>
      </c>
      <c r="AA2095" s="579" t="s">
        <v>178</v>
      </c>
      <c r="AB2095" s="584">
        <v>37190</v>
      </c>
      <c r="AC2095" s="584" t="s">
        <v>164</v>
      </c>
      <c r="AD2095" s="584">
        <v>27512.294736842108</v>
      </c>
      <c r="AE2095" s="586">
        <v>0.03</v>
      </c>
      <c r="AF2095" s="661" t="str">
        <f t="shared" si="227"/>
        <v>2019-LTK-FRD-F150-034-27</v>
      </c>
      <c r="AG2095" s="661" t="str">
        <f>IF(AND($Y2095&gt;=32,(AI2095="I"),(Y2095&lt;&gt;"~"),(COUNTIF($AN$1:$AN2095,$AN2095)=1)),"TRUE","FALSE")</f>
        <v>FALSE</v>
      </c>
      <c r="AH2095" s="661" t="str">
        <f>IF(AND($Y2095&gt;=22, (AI2095&lt;&gt;"I"),(Y2095&lt;&gt;"~"),(COUNTIF($AN$1:$AN2095,$AN2095)=1)),"TRUE","FALSE")</f>
        <v>FALSE</v>
      </c>
      <c r="AI2095" s="661" t="str">
        <f t="shared" si="229"/>
        <v>II</v>
      </c>
      <c r="AJ2095" s="662" t="str">
        <f t="shared" si="223"/>
        <v>F150-034</v>
      </c>
      <c r="AK2095" s="662" t="str">
        <f t="shared" si="224"/>
        <v>LTK</v>
      </c>
      <c r="AL2095" s="662" t="str">
        <f t="shared" si="225"/>
        <v>FRD</v>
      </c>
      <c r="AM2095" s="662" t="str">
        <f t="shared" si="228"/>
        <v>F150-Regular Cab XL-4WD-3-8'-10700-3.5L EcoBoost-6-F1E-100A-141.1-23-Unleaded-Unleaded</v>
      </c>
      <c r="AN2095" s="662" t="str">
        <f t="shared" si="226"/>
        <v>2019-LTK-FRD-F150-034</v>
      </c>
    </row>
    <row r="2096" spans="1:40" s="572" customFormat="1" ht="15">
      <c r="A2096" s="570" t="s">
        <v>3911</v>
      </c>
      <c r="B2096" s="569" t="s">
        <v>3886</v>
      </c>
      <c r="C2096" s="569" t="s">
        <v>280</v>
      </c>
      <c r="D2096" s="580">
        <v>27</v>
      </c>
      <c r="E2096" s="569" t="s">
        <v>3374</v>
      </c>
      <c r="F2096" s="569" t="s">
        <v>152</v>
      </c>
      <c r="G2096" s="569" t="s">
        <v>271</v>
      </c>
      <c r="H2096" s="569">
        <v>2019</v>
      </c>
      <c r="I2096" s="569" t="s">
        <v>3765</v>
      </c>
      <c r="J2096" s="569" t="s">
        <v>3837</v>
      </c>
      <c r="K2096" s="569" t="s">
        <v>752</v>
      </c>
      <c r="L2096" s="569">
        <v>3</v>
      </c>
      <c r="M2096" s="569">
        <v>0</v>
      </c>
      <c r="N2096" s="569" t="s">
        <v>157</v>
      </c>
      <c r="O2096" s="569">
        <v>1</v>
      </c>
      <c r="P2096" s="569" t="s">
        <v>3846</v>
      </c>
      <c r="Q2096" s="568">
        <v>7400</v>
      </c>
      <c r="R2096" s="569" t="s">
        <v>3772</v>
      </c>
      <c r="S2096" s="569">
        <v>6</v>
      </c>
      <c r="T2096" s="569" t="s">
        <v>3878</v>
      </c>
      <c r="U2096" s="569" t="s">
        <v>276</v>
      </c>
      <c r="V2096" s="569">
        <v>141.1</v>
      </c>
      <c r="W2096" s="569">
        <v>23</v>
      </c>
      <c r="X2096" s="568">
        <v>6050</v>
      </c>
      <c r="Y2096" s="569">
        <v>18</v>
      </c>
      <c r="Z2096" s="581" t="s">
        <v>450</v>
      </c>
      <c r="AA2096" s="581" t="s">
        <v>178</v>
      </c>
      <c r="AB2096" s="585">
        <v>34595</v>
      </c>
      <c r="AC2096" s="585" t="s">
        <v>164</v>
      </c>
      <c r="AD2096" s="585">
        <v>25182.821052631582</v>
      </c>
      <c r="AE2096" s="587">
        <v>0.03</v>
      </c>
      <c r="AF2096" s="661" t="str">
        <f t="shared" si="227"/>
        <v>2019-LTK-FRD-F150-035-27</v>
      </c>
      <c r="AG2096" s="661" t="str">
        <f>IF(AND($Y2096&gt;=32,(AI2096="I"),(Y2096&lt;&gt;"~"),(COUNTIF($AN$1:$AN2096,$AN2096)=1)),"TRUE","FALSE")</f>
        <v>FALSE</v>
      </c>
      <c r="AH2096" s="661" t="str">
        <f>IF(AND($Y2096&gt;=22, (AI2096&lt;&gt;"I"),(Y2096&lt;&gt;"~"),(COUNTIF($AN$1:$AN2096,$AN2096)=1)),"TRUE","FALSE")</f>
        <v>FALSE</v>
      </c>
      <c r="AI2096" s="661" t="str">
        <f t="shared" si="229"/>
        <v>II</v>
      </c>
      <c r="AJ2096" s="662" t="str">
        <f t="shared" si="223"/>
        <v>F150-035</v>
      </c>
      <c r="AK2096" s="662" t="str">
        <f t="shared" si="224"/>
        <v>LTK</v>
      </c>
      <c r="AL2096" s="662" t="str">
        <f t="shared" si="225"/>
        <v>FRD</v>
      </c>
      <c r="AM2096" s="662" t="str">
        <f t="shared" si="228"/>
        <v>F150-Regular Cab XL-4WD-3-8'-7400-3.3L FFV-6-F1E-100A-141.1-23-E85-Unleaded</v>
      </c>
      <c r="AN2096" s="662" t="str">
        <f t="shared" si="226"/>
        <v>2019-LTK-FRD-F150-035</v>
      </c>
    </row>
    <row r="2097" spans="1:40" s="572" customFormat="1" ht="15">
      <c r="A2097" s="570" t="s">
        <v>3912</v>
      </c>
      <c r="B2097" s="573" t="s">
        <v>3888</v>
      </c>
      <c r="C2097" s="573" t="s">
        <v>280</v>
      </c>
      <c r="D2097" s="578">
        <v>27</v>
      </c>
      <c r="E2097" s="573" t="s">
        <v>3374</v>
      </c>
      <c r="F2097" s="573" t="s">
        <v>152</v>
      </c>
      <c r="G2097" s="573" t="s">
        <v>271</v>
      </c>
      <c r="H2097" s="573">
        <v>2019</v>
      </c>
      <c r="I2097" s="573" t="s">
        <v>3765</v>
      </c>
      <c r="J2097" s="573" t="s">
        <v>3837</v>
      </c>
      <c r="K2097" s="573" t="s">
        <v>752</v>
      </c>
      <c r="L2097" s="573">
        <v>3</v>
      </c>
      <c r="M2097" s="573">
        <v>0</v>
      </c>
      <c r="N2097" s="573" t="s">
        <v>157</v>
      </c>
      <c r="O2097" s="573">
        <v>1</v>
      </c>
      <c r="P2097" s="573" t="s">
        <v>3846</v>
      </c>
      <c r="Q2097" s="571">
        <v>7600</v>
      </c>
      <c r="R2097" s="573" t="s">
        <v>3768</v>
      </c>
      <c r="S2097" s="573">
        <v>6</v>
      </c>
      <c r="T2097" s="573" t="s">
        <v>3878</v>
      </c>
      <c r="U2097" s="573" t="s">
        <v>276</v>
      </c>
      <c r="V2097" s="573">
        <v>141.1</v>
      </c>
      <c r="W2097" s="573">
        <v>23</v>
      </c>
      <c r="X2097" s="571">
        <v>6050</v>
      </c>
      <c r="Y2097" s="573">
        <v>21</v>
      </c>
      <c r="Z2097" s="579" t="s">
        <v>178</v>
      </c>
      <c r="AA2097" s="579" t="s">
        <v>178</v>
      </c>
      <c r="AB2097" s="584">
        <v>35590</v>
      </c>
      <c r="AC2097" s="584" t="s">
        <v>164</v>
      </c>
      <c r="AD2097" s="584">
        <v>26076.505263157895</v>
      </c>
      <c r="AE2097" s="586">
        <v>0.03</v>
      </c>
      <c r="AF2097" s="661" t="str">
        <f t="shared" si="227"/>
        <v>2019-LTK-FRD-F150-036-27</v>
      </c>
      <c r="AG2097" s="661" t="str">
        <f>IF(AND($Y2097&gt;=32,(AI2097="I"),(Y2097&lt;&gt;"~"),(COUNTIF($AN$1:$AN2097,$AN2097)=1)),"TRUE","FALSE")</f>
        <v>FALSE</v>
      </c>
      <c r="AH2097" s="661" t="str">
        <f>IF(AND($Y2097&gt;=22, (AI2097&lt;&gt;"I"),(Y2097&lt;&gt;"~"),(COUNTIF($AN$1:$AN2097,$AN2097)=1)),"TRUE","FALSE")</f>
        <v>FALSE</v>
      </c>
      <c r="AI2097" s="661" t="str">
        <f t="shared" si="229"/>
        <v>II</v>
      </c>
      <c r="AJ2097" s="662" t="str">
        <f t="shared" si="223"/>
        <v>F150-036</v>
      </c>
      <c r="AK2097" s="662" t="str">
        <f t="shared" si="224"/>
        <v>LTK</v>
      </c>
      <c r="AL2097" s="662" t="str">
        <f t="shared" si="225"/>
        <v>FRD</v>
      </c>
      <c r="AM2097" s="662" t="str">
        <f t="shared" si="228"/>
        <v>F150-Regular Cab XL-4WD-3-8'-7600-2.7L EcoBoost -6-F1E-100A-141.1-23-Unleaded-Unleaded</v>
      </c>
      <c r="AN2097" s="662" t="str">
        <f t="shared" si="226"/>
        <v>2019-LTK-FRD-F150-036</v>
      </c>
    </row>
    <row r="2098" spans="1:40" s="572" customFormat="1" ht="15">
      <c r="A2098" s="570" t="s">
        <v>3913</v>
      </c>
      <c r="B2098" s="569" t="s">
        <v>3890</v>
      </c>
      <c r="C2098" s="569" t="s">
        <v>280</v>
      </c>
      <c r="D2098" s="580">
        <v>27</v>
      </c>
      <c r="E2098" s="569" t="s">
        <v>3374</v>
      </c>
      <c r="F2098" s="569" t="s">
        <v>152</v>
      </c>
      <c r="G2098" s="569" t="s">
        <v>271</v>
      </c>
      <c r="H2098" s="569">
        <v>2019</v>
      </c>
      <c r="I2098" s="569" t="s">
        <v>3765</v>
      </c>
      <c r="J2098" s="569" t="s">
        <v>3837</v>
      </c>
      <c r="K2098" s="569" t="s">
        <v>752</v>
      </c>
      <c r="L2098" s="569">
        <v>3</v>
      </c>
      <c r="M2098" s="569">
        <v>0</v>
      </c>
      <c r="N2098" s="569" t="s">
        <v>157</v>
      </c>
      <c r="O2098" s="569">
        <v>1</v>
      </c>
      <c r="P2098" s="569" t="s">
        <v>3846</v>
      </c>
      <c r="Q2098" s="568">
        <v>7600</v>
      </c>
      <c r="R2098" s="569" t="s">
        <v>3778</v>
      </c>
      <c r="S2098" s="569">
        <v>8</v>
      </c>
      <c r="T2098" s="569" t="s">
        <v>3878</v>
      </c>
      <c r="U2098" s="569" t="s">
        <v>276</v>
      </c>
      <c r="V2098" s="569">
        <v>141.1</v>
      </c>
      <c r="W2098" s="569">
        <v>23</v>
      </c>
      <c r="X2098" s="568">
        <v>6400</v>
      </c>
      <c r="Y2098" s="569">
        <v>18</v>
      </c>
      <c r="Z2098" s="581" t="s">
        <v>450</v>
      </c>
      <c r="AA2098" s="581" t="s">
        <v>178</v>
      </c>
      <c r="AB2098" s="585">
        <v>36590</v>
      </c>
      <c r="AC2098" s="585" t="s">
        <v>164</v>
      </c>
      <c r="AD2098" s="585">
        <v>26973.347368421055</v>
      </c>
      <c r="AE2098" s="587">
        <v>0.03</v>
      </c>
      <c r="AF2098" s="661" t="str">
        <f t="shared" si="227"/>
        <v>2019-LTK-FRD-F150-037-27</v>
      </c>
      <c r="AG2098" s="661" t="str">
        <f>IF(AND($Y2098&gt;=32,(AI2098="I"),(Y2098&lt;&gt;"~"),(COUNTIF($AN$1:$AN2098,$AN2098)=1)),"TRUE","FALSE")</f>
        <v>FALSE</v>
      </c>
      <c r="AH2098" s="661" t="str">
        <f>IF(AND($Y2098&gt;=22, (AI2098&lt;&gt;"I"),(Y2098&lt;&gt;"~"),(COUNTIF($AN$1:$AN2098,$AN2098)=1)),"TRUE","FALSE")</f>
        <v>FALSE</v>
      </c>
      <c r="AI2098" s="661" t="str">
        <f t="shared" si="229"/>
        <v>II</v>
      </c>
      <c r="AJ2098" s="662" t="str">
        <f t="shared" si="223"/>
        <v>F150-037</v>
      </c>
      <c r="AK2098" s="662" t="str">
        <f t="shared" si="224"/>
        <v>LTK</v>
      </c>
      <c r="AL2098" s="662" t="str">
        <f t="shared" si="225"/>
        <v>FRD</v>
      </c>
      <c r="AM2098" s="662" t="str">
        <f t="shared" si="228"/>
        <v>F150-Regular Cab XL-4WD-3-8'-7600-5.0L FFV-8-F1E-100A-141.1-23-E85-Unleaded</v>
      </c>
      <c r="AN2098" s="662" t="str">
        <f t="shared" si="226"/>
        <v>2019-LTK-FRD-F150-037</v>
      </c>
    </row>
    <row r="2099" spans="1:40" s="572" customFormat="1" ht="15">
      <c r="A2099" s="570" t="s">
        <v>3914</v>
      </c>
      <c r="B2099" s="573" t="s">
        <v>3915</v>
      </c>
      <c r="C2099" s="573" t="s">
        <v>269</v>
      </c>
      <c r="D2099" s="578" t="s">
        <v>270</v>
      </c>
      <c r="E2099" s="573" t="s">
        <v>3374</v>
      </c>
      <c r="F2099" s="573" t="s">
        <v>152</v>
      </c>
      <c r="G2099" s="573" t="s">
        <v>271</v>
      </c>
      <c r="H2099" s="573">
        <v>2019</v>
      </c>
      <c r="I2099" s="573" t="s">
        <v>3765</v>
      </c>
      <c r="J2099" s="573" t="s">
        <v>3916</v>
      </c>
      <c r="K2099" s="573" t="s">
        <v>3377</v>
      </c>
      <c r="L2099" s="573">
        <v>3</v>
      </c>
      <c r="M2099" s="573">
        <v>0</v>
      </c>
      <c r="N2099" s="573" t="s">
        <v>157</v>
      </c>
      <c r="O2099" s="573">
        <v>1</v>
      </c>
      <c r="P2099" s="573" t="s">
        <v>3781</v>
      </c>
      <c r="Q2099" s="571">
        <v>5100</v>
      </c>
      <c r="R2099" s="573" t="s">
        <v>3772</v>
      </c>
      <c r="S2099" s="573">
        <v>6</v>
      </c>
      <c r="T2099" s="573" t="s">
        <v>3838</v>
      </c>
      <c r="U2099" s="573" t="s">
        <v>318</v>
      </c>
      <c r="V2099" s="573">
        <v>122.4</v>
      </c>
      <c r="W2099" s="573">
        <v>23</v>
      </c>
      <c r="X2099" s="571">
        <v>6010</v>
      </c>
      <c r="Y2099" s="573">
        <v>22</v>
      </c>
      <c r="Z2099" s="579" t="s">
        <v>450</v>
      </c>
      <c r="AA2099" s="579" t="s">
        <v>178</v>
      </c>
      <c r="AB2099" s="584">
        <v>35655</v>
      </c>
      <c r="AC2099" s="584" t="s">
        <v>164</v>
      </c>
      <c r="AD2099" s="584">
        <v>25448.084210526318</v>
      </c>
      <c r="AE2099" s="586">
        <v>0.03</v>
      </c>
      <c r="AF2099" s="661" t="str">
        <f t="shared" si="227"/>
        <v>2019-LTK-FRD-F150-039-05</v>
      </c>
      <c r="AG2099" s="661" t="str">
        <f>IF(AND($Y2099&gt;=32,(AI2099="I"),(Y2099&lt;&gt;"~"),(COUNTIF($AN$1:$AN2099,$AN2099)=1)),"TRUE","FALSE")</f>
        <v>FALSE</v>
      </c>
      <c r="AH2099" s="661" t="str">
        <f>IF(AND($Y2099&gt;=22, (AI2099&lt;&gt;"I"),(Y2099&lt;&gt;"~"),(COUNTIF($AN$1:$AN2099,$AN2099)=1)),"TRUE","FALSE")</f>
        <v>TRUE</v>
      </c>
      <c r="AI2099" s="661" t="str">
        <f t="shared" si="229"/>
        <v>II</v>
      </c>
      <c r="AJ2099" s="662" t="str">
        <f t="shared" si="223"/>
        <v>F150-039</v>
      </c>
      <c r="AK2099" s="662" t="str">
        <f t="shared" si="224"/>
        <v>LTK</v>
      </c>
      <c r="AL2099" s="662" t="str">
        <f t="shared" si="225"/>
        <v>FRD</v>
      </c>
      <c r="AM2099" s="662" t="str">
        <f t="shared" si="228"/>
        <v>F150-Regular Cab XLT-2WD-3-6'5"-5100-3.3L FFV-6-F1C-300A-122.4-23-E85-Unleaded</v>
      </c>
      <c r="AN2099" s="662" t="str">
        <f t="shared" si="226"/>
        <v>2019-LTK-FRD-F150-039</v>
      </c>
    </row>
    <row r="2100" spans="1:40" s="572" customFormat="1" ht="15">
      <c r="A2100" s="570" t="s">
        <v>3917</v>
      </c>
      <c r="B2100" s="569" t="s">
        <v>3918</v>
      </c>
      <c r="C2100" s="569" t="s">
        <v>269</v>
      </c>
      <c r="D2100" s="580" t="s">
        <v>270</v>
      </c>
      <c r="E2100" s="569" t="s">
        <v>3374</v>
      </c>
      <c r="F2100" s="569" t="s">
        <v>152</v>
      </c>
      <c r="G2100" s="569" t="s">
        <v>271</v>
      </c>
      <c r="H2100" s="569">
        <v>2019</v>
      </c>
      <c r="I2100" s="569" t="s">
        <v>3765</v>
      </c>
      <c r="J2100" s="569" t="s">
        <v>3916</v>
      </c>
      <c r="K2100" s="569" t="s">
        <v>3377</v>
      </c>
      <c r="L2100" s="569">
        <v>3</v>
      </c>
      <c r="M2100" s="569">
        <v>0</v>
      </c>
      <c r="N2100" s="569" t="s">
        <v>157</v>
      </c>
      <c r="O2100" s="569">
        <v>1</v>
      </c>
      <c r="P2100" s="569" t="s">
        <v>3781</v>
      </c>
      <c r="Q2100" s="568">
        <v>7600</v>
      </c>
      <c r="R2100" s="569" t="s">
        <v>3841</v>
      </c>
      <c r="S2100" s="569">
        <v>6</v>
      </c>
      <c r="T2100" s="569" t="s">
        <v>3838</v>
      </c>
      <c r="U2100" s="569" t="s">
        <v>318</v>
      </c>
      <c r="V2100" s="569">
        <v>122.4</v>
      </c>
      <c r="W2100" s="569">
        <v>23</v>
      </c>
      <c r="X2100" s="568">
        <v>6010</v>
      </c>
      <c r="Y2100" s="569">
        <v>22</v>
      </c>
      <c r="Z2100" s="581" t="s">
        <v>178</v>
      </c>
      <c r="AA2100" s="581" t="s">
        <v>178</v>
      </c>
      <c r="AB2100" s="585">
        <v>36650</v>
      </c>
      <c r="AC2100" s="585" t="s">
        <v>164</v>
      </c>
      <c r="AD2100" s="585">
        <v>26341.768421052631</v>
      </c>
      <c r="AE2100" s="587">
        <v>0.03</v>
      </c>
      <c r="AF2100" s="661" t="str">
        <f t="shared" si="227"/>
        <v>2019-LTK-FRD-F150-040-05</v>
      </c>
      <c r="AG2100" s="661" t="str">
        <f>IF(AND($Y2100&gt;=32,(AI2100="I"),(Y2100&lt;&gt;"~"),(COUNTIF($AN$1:$AN2100,$AN2100)=1)),"TRUE","FALSE")</f>
        <v>FALSE</v>
      </c>
      <c r="AH2100" s="661" t="str">
        <f>IF(AND($Y2100&gt;=22, (AI2100&lt;&gt;"I"),(Y2100&lt;&gt;"~"),(COUNTIF($AN$1:$AN2100,$AN2100)=1)),"TRUE","FALSE")</f>
        <v>TRUE</v>
      </c>
      <c r="AI2100" s="661" t="str">
        <f t="shared" si="229"/>
        <v>II</v>
      </c>
      <c r="AJ2100" s="662" t="str">
        <f t="shared" si="223"/>
        <v>F150-040</v>
      </c>
      <c r="AK2100" s="662" t="str">
        <f t="shared" si="224"/>
        <v>LTK</v>
      </c>
      <c r="AL2100" s="662" t="str">
        <f t="shared" si="225"/>
        <v>FRD</v>
      </c>
      <c r="AM2100" s="662" t="str">
        <f t="shared" si="228"/>
        <v>F150-Regular Cab XLT-2WD-3-6'5"-7600-2.7L EcoBoost-6-F1C-300A-122.4-23-Unleaded-Unleaded</v>
      </c>
      <c r="AN2100" s="662" t="str">
        <f t="shared" si="226"/>
        <v>2019-LTK-FRD-F150-040</v>
      </c>
    </row>
    <row r="2101" spans="1:40" s="572" customFormat="1" ht="15">
      <c r="A2101" s="570" t="s">
        <v>3919</v>
      </c>
      <c r="B2101" s="573" t="s">
        <v>3920</v>
      </c>
      <c r="C2101" s="573" t="s">
        <v>269</v>
      </c>
      <c r="D2101" s="578" t="s">
        <v>270</v>
      </c>
      <c r="E2101" s="573" t="s">
        <v>3374</v>
      </c>
      <c r="F2101" s="573" t="s">
        <v>152</v>
      </c>
      <c r="G2101" s="573" t="s">
        <v>271</v>
      </c>
      <c r="H2101" s="573">
        <v>2019</v>
      </c>
      <c r="I2101" s="573" t="s">
        <v>3765</v>
      </c>
      <c r="J2101" s="573" t="s">
        <v>3916</v>
      </c>
      <c r="K2101" s="573" t="s">
        <v>3377</v>
      </c>
      <c r="L2101" s="573">
        <v>3</v>
      </c>
      <c r="M2101" s="573">
        <v>0</v>
      </c>
      <c r="N2101" s="573" t="s">
        <v>157</v>
      </c>
      <c r="O2101" s="573">
        <v>1</v>
      </c>
      <c r="P2101" s="573" t="s">
        <v>3781</v>
      </c>
      <c r="Q2101" s="571">
        <v>8400</v>
      </c>
      <c r="R2101" s="573" t="s">
        <v>3778</v>
      </c>
      <c r="S2101" s="573">
        <v>8</v>
      </c>
      <c r="T2101" s="573" t="s">
        <v>3838</v>
      </c>
      <c r="U2101" s="573" t="s">
        <v>318</v>
      </c>
      <c r="V2101" s="573">
        <v>122.4</v>
      </c>
      <c r="W2101" s="573">
        <v>23</v>
      </c>
      <c r="X2101" s="571">
        <v>6200</v>
      </c>
      <c r="Y2101" s="573">
        <v>19</v>
      </c>
      <c r="Z2101" s="579" t="s">
        <v>450</v>
      </c>
      <c r="AA2101" s="579" t="s">
        <v>178</v>
      </c>
      <c r="AB2101" s="584">
        <v>37650</v>
      </c>
      <c r="AC2101" s="584" t="s">
        <v>164</v>
      </c>
      <c r="AD2101" s="584">
        <v>27238.610526315792</v>
      </c>
      <c r="AE2101" s="586">
        <v>0.03</v>
      </c>
      <c r="AF2101" s="661" t="str">
        <f t="shared" si="227"/>
        <v>2019-LTK-FRD-F150-042-05</v>
      </c>
      <c r="AG2101" s="661" t="str">
        <f>IF(AND($Y2101&gt;=32,(AI2101="I"),(Y2101&lt;&gt;"~"),(COUNTIF($AN$1:$AN2101,$AN2101)=1)),"TRUE","FALSE")</f>
        <v>FALSE</v>
      </c>
      <c r="AH2101" s="661" t="str">
        <f>IF(AND($Y2101&gt;=22, (AI2101&lt;&gt;"I"),(Y2101&lt;&gt;"~"),(COUNTIF($AN$1:$AN2101,$AN2101)=1)),"TRUE","FALSE")</f>
        <v>FALSE</v>
      </c>
      <c r="AI2101" s="661" t="str">
        <f t="shared" si="229"/>
        <v>II</v>
      </c>
      <c r="AJ2101" s="662" t="str">
        <f t="shared" si="223"/>
        <v>F150-042</v>
      </c>
      <c r="AK2101" s="662" t="str">
        <f t="shared" si="224"/>
        <v>LTK</v>
      </c>
      <c r="AL2101" s="662" t="str">
        <f t="shared" si="225"/>
        <v>FRD</v>
      </c>
      <c r="AM2101" s="662" t="str">
        <f t="shared" si="228"/>
        <v>F150-Regular Cab XLT-2WD-3-6'5"-8400-5.0L FFV-8-F1C-300A-122.4-23-E85-Unleaded</v>
      </c>
      <c r="AN2101" s="662" t="str">
        <f t="shared" si="226"/>
        <v>2019-LTK-FRD-F150-042</v>
      </c>
    </row>
    <row r="2102" spans="1:40" s="572" customFormat="1" ht="15">
      <c r="A2102" s="570" t="s">
        <v>3921</v>
      </c>
      <c r="B2102" s="569" t="s">
        <v>3922</v>
      </c>
      <c r="C2102" s="569" t="s">
        <v>269</v>
      </c>
      <c r="D2102" s="580" t="s">
        <v>270</v>
      </c>
      <c r="E2102" s="569" t="s">
        <v>3374</v>
      </c>
      <c r="F2102" s="569" t="s">
        <v>152</v>
      </c>
      <c r="G2102" s="569" t="s">
        <v>271</v>
      </c>
      <c r="H2102" s="569">
        <v>2019</v>
      </c>
      <c r="I2102" s="569" t="s">
        <v>3765</v>
      </c>
      <c r="J2102" s="569" t="s">
        <v>3916</v>
      </c>
      <c r="K2102" s="569" t="s">
        <v>3377</v>
      </c>
      <c r="L2102" s="569">
        <v>3</v>
      </c>
      <c r="M2102" s="569">
        <v>0</v>
      </c>
      <c r="N2102" s="569" t="s">
        <v>157</v>
      </c>
      <c r="O2102" s="569">
        <v>1</v>
      </c>
      <c r="P2102" s="569" t="s">
        <v>3846</v>
      </c>
      <c r="Q2102" s="568">
        <v>10700</v>
      </c>
      <c r="R2102" s="569" t="s">
        <v>1259</v>
      </c>
      <c r="S2102" s="569">
        <v>6</v>
      </c>
      <c r="T2102" s="569" t="s">
        <v>3838</v>
      </c>
      <c r="U2102" s="569" t="s">
        <v>318</v>
      </c>
      <c r="V2102" s="569">
        <v>141.1</v>
      </c>
      <c r="W2102" s="569">
        <v>23</v>
      </c>
      <c r="X2102" s="568">
        <v>7050</v>
      </c>
      <c r="Y2102" s="569">
        <v>21</v>
      </c>
      <c r="Z2102" s="581" t="s">
        <v>178</v>
      </c>
      <c r="AA2102" s="581" t="s">
        <v>178</v>
      </c>
      <c r="AB2102" s="585">
        <v>38550</v>
      </c>
      <c r="AC2102" s="585" t="s">
        <v>164</v>
      </c>
      <c r="AD2102" s="585">
        <v>28049.136842105265</v>
      </c>
      <c r="AE2102" s="587">
        <v>0.03</v>
      </c>
      <c r="AF2102" s="661" t="str">
        <f t="shared" si="227"/>
        <v>2019-LTK-FRD-F150-043-05</v>
      </c>
      <c r="AG2102" s="661" t="str">
        <f>IF(AND($Y2102&gt;=32,(AI2102="I"),(Y2102&lt;&gt;"~"),(COUNTIF($AN$1:$AN2102,$AN2102)=1)),"TRUE","FALSE")</f>
        <v>FALSE</v>
      </c>
      <c r="AH2102" s="661" t="str">
        <f>IF(AND($Y2102&gt;=22, (AI2102&lt;&gt;"I"),(Y2102&lt;&gt;"~"),(COUNTIF($AN$1:$AN2102,$AN2102)=1)),"TRUE","FALSE")</f>
        <v>FALSE</v>
      </c>
      <c r="AI2102" s="661" t="str">
        <f t="shared" si="229"/>
        <v>II</v>
      </c>
      <c r="AJ2102" s="662" t="str">
        <f t="shared" si="223"/>
        <v>F150-043</v>
      </c>
      <c r="AK2102" s="662" t="str">
        <f t="shared" si="224"/>
        <v>LTK</v>
      </c>
      <c r="AL2102" s="662" t="str">
        <f t="shared" si="225"/>
        <v>FRD</v>
      </c>
      <c r="AM2102" s="662" t="str">
        <f t="shared" si="228"/>
        <v>F150-Regular Cab XLT-2WD-3-8'-10700-3.5L EcoBoost-6-F1C-300A-141.1-23-Unleaded-Unleaded</v>
      </c>
      <c r="AN2102" s="662" t="str">
        <f t="shared" si="226"/>
        <v>2019-LTK-FRD-F150-043</v>
      </c>
    </row>
    <row r="2103" spans="1:40" s="572" customFormat="1" ht="15">
      <c r="A2103" s="570" t="s">
        <v>3923</v>
      </c>
      <c r="B2103" s="573" t="s">
        <v>3924</v>
      </c>
      <c r="C2103" s="573" t="s">
        <v>269</v>
      </c>
      <c r="D2103" s="578" t="s">
        <v>270</v>
      </c>
      <c r="E2103" s="573" t="s">
        <v>3374</v>
      </c>
      <c r="F2103" s="573" t="s">
        <v>152</v>
      </c>
      <c r="G2103" s="573" t="s">
        <v>271</v>
      </c>
      <c r="H2103" s="573">
        <v>2019</v>
      </c>
      <c r="I2103" s="573" t="s">
        <v>3765</v>
      </c>
      <c r="J2103" s="573" t="s">
        <v>3916</v>
      </c>
      <c r="K2103" s="573" t="s">
        <v>3377</v>
      </c>
      <c r="L2103" s="573">
        <v>3</v>
      </c>
      <c r="M2103" s="573">
        <v>0</v>
      </c>
      <c r="N2103" s="573" t="s">
        <v>157</v>
      </c>
      <c r="O2103" s="573">
        <v>1</v>
      </c>
      <c r="P2103" s="573" t="s">
        <v>3846</v>
      </c>
      <c r="Q2103" s="571">
        <v>5100</v>
      </c>
      <c r="R2103" s="573" t="s">
        <v>3772</v>
      </c>
      <c r="S2103" s="573">
        <v>6</v>
      </c>
      <c r="T2103" s="573" t="s">
        <v>3838</v>
      </c>
      <c r="U2103" s="573" t="s">
        <v>318</v>
      </c>
      <c r="V2103" s="573">
        <v>141.1</v>
      </c>
      <c r="W2103" s="573">
        <v>23</v>
      </c>
      <c r="X2103" s="571">
        <v>6100</v>
      </c>
      <c r="Y2103" s="573">
        <v>22</v>
      </c>
      <c r="Z2103" s="579" t="s">
        <v>450</v>
      </c>
      <c r="AA2103" s="579" t="s">
        <v>178</v>
      </c>
      <c r="AB2103" s="584">
        <v>35955</v>
      </c>
      <c r="AC2103" s="584" t="s">
        <v>164</v>
      </c>
      <c r="AD2103" s="584">
        <v>25719.663157894738</v>
      </c>
      <c r="AE2103" s="586">
        <v>0.03</v>
      </c>
      <c r="AF2103" s="661" t="str">
        <f t="shared" si="227"/>
        <v>2019-LTK-FRD-F150-044-05</v>
      </c>
      <c r="AG2103" s="661" t="str">
        <f>IF(AND($Y2103&gt;=32,(AI2103="I"),(Y2103&lt;&gt;"~"),(COUNTIF($AN$1:$AN2103,$AN2103)=1)),"TRUE","FALSE")</f>
        <v>FALSE</v>
      </c>
      <c r="AH2103" s="661" t="str">
        <f>IF(AND($Y2103&gt;=22, (AI2103&lt;&gt;"I"),(Y2103&lt;&gt;"~"),(COUNTIF($AN$1:$AN2103,$AN2103)=1)),"TRUE","FALSE")</f>
        <v>TRUE</v>
      </c>
      <c r="AI2103" s="661" t="str">
        <f t="shared" si="229"/>
        <v>II</v>
      </c>
      <c r="AJ2103" s="662" t="str">
        <f t="shared" si="223"/>
        <v>F150-044</v>
      </c>
      <c r="AK2103" s="662" t="str">
        <f t="shared" si="224"/>
        <v>LTK</v>
      </c>
      <c r="AL2103" s="662" t="str">
        <f t="shared" si="225"/>
        <v>FRD</v>
      </c>
      <c r="AM2103" s="662" t="str">
        <f t="shared" si="228"/>
        <v>F150-Regular Cab XLT-2WD-3-8'-5100-3.3L FFV-6-F1C-300A-141.1-23-E85-Unleaded</v>
      </c>
      <c r="AN2103" s="662" t="str">
        <f t="shared" si="226"/>
        <v>2019-LTK-FRD-F150-044</v>
      </c>
    </row>
    <row r="2104" spans="1:40" s="572" customFormat="1" ht="15">
      <c r="A2104" s="570" t="s">
        <v>3925</v>
      </c>
      <c r="B2104" s="569" t="s">
        <v>3926</v>
      </c>
      <c r="C2104" s="569" t="s">
        <v>269</v>
      </c>
      <c r="D2104" s="580" t="s">
        <v>270</v>
      </c>
      <c r="E2104" s="569" t="s">
        <v>3374</v>
      </c>
      <c r="F2104" s="569" t="s">
        <v>152</v>
      </c>
      <c r="G2104" s="569" t="s">
        <v>271</v>
      </c>
      <c r="H2104" s="569">
        <v>2019</v>
      </c>
      <c r="I2104" s="569" t="s">
        <v>3765</v>
      </c>
      <c r="J2104" s="569" t="s">
        <v>3916</v>
      </c>
      <c r="K2104" s="569" t="s">
        <v>3377</v>
      </c>
      <c r="L2104" s="569">
        <v>3</v>
      </c>
      <c r="M2104" s="569">
        <v>0</v>
      </c>
      <c r="N2104" s="569" t="s">
        <v>157</v>
      </c>
      <c r="O2104" s="569">
        <v>1</v>
      </c>
      <c r="P2104" s="569" t="s">
        <v>3846</v>
      </c>
      <c r="Q2104" s="568">
        <v>7600</v>
      </c>
      <c r="R2104" s="569" t="s">
        <v>3841</v>
      </c>
      <c r="S2104" s="569">
        <v>6</v>
      </c>
      <c r="T2104" s="569" t="s">
        <v>3838</v>
      </c>
      <c r="U2104" s="569" t="s">
        <v>318</v>
      </c>
      <c r="V2104" s="569">
        <v>141.1</v>
      </c>
      <c r="W2104" s="569">
        <v>23</v>
      </c>
      <c r="X2104" s="568">
        <v>6100</v>
      </c>
      <c r="Y2104" s="569">
        <v>22</v>
      </c>
      <c r="Z2104" s="581" t="s">
        <v>178</v>
      </c>
      <c r="AA2104" s="581" t="s">
        <v>178</v>
      </c>
      <c r="AB2104" s="585">
        <v>36950</v>
      </c>
      <c r="AC2104" s="585" t="s">
        <v>164</v>
      </c>
      <c r="AD2104" s="585">
        <v>26613.347368421055</v>
      </c>
      <c r="AE2104" s="587">
        <v>0.03</v>
      </c>
      <c r="AF2104" s="661" t="str">
        <f t="shared" si="227"/>
        <v>2019-LTK-FRD-F150-045-05</v>
      </c>
      <c r="AG2104" s="661" t="str">
        <f>IF(AND($Y2104&gt;=32,(AI2104="I"),(Y2104&lt;&gt;"~"),(COUNTIF($AN$1:$AN2104,$AN2104)=1)),"TRUE","FALSE")</f>
        <v>FALSE</v>
      </c>
      <c r="AH2104" s="661" t="str">
        <f>IF(AND($Y2104&gt;=22, (AI2104&lt;&gt;"I"),(Y2104&lt;&gt;"~"),(COUNTIF($AN$1:$AN2104,$AN2104)=1)),"TRUE","FALSE")</f>
        <v>TRUE</v>
      </c>
      <c r="AI2104" s="661" t="str">
        <f t="shared" si="229"/>
        <v>II</v>
      </c>
      <c r="AJ2104" s="662" t="str">
        <f t="shared" si="223"/>
        <v>F150-045</v>
      </c>
      <c r="AK2104" s="662" t="str">
        <f t="shared" si="224"/>
        <v>LTK</v>
      </c>
      <c r="AL2104" s="662" t="str">
        <f t="shared" si="225"/>
        <v>FRD</v>
      </c>
      <c r="AM2104" s="662" t="str">
        <f t="shared" si="228"/>
        <v>F150-Regular Cab XLT-2WD-3-8'-7600-2.7L EcoBoost-6-F1C-300A-141.1-23-Unleaded-Unleaded</v>
      </c>
      <c r="AN2104" s="662" t="str">
        <f t="shared" si="226"/>
        <v>2019-LTK-FRD-F150-045</v>
      </c>
    </row>
    <row r="2105" spans="1:40" s="572" customFormat="1" ht="15">
      <c r="A2105" s="570" t="s">
        <v>3927</v>
      </c>
      <c r="B2105" s="573" t="s">
        <v>3928</v>
      </c>
      <c r="C2105" s="573" t="s">
        <v>269</v>
      </c>
      <c r="D2105" s="578" t="s">
        <v>270</v>
      </c>
      <c r="E2105" s="573" t="s">
        <v>3374</v>
      </c>
      <c r="F2105" s="573" t="s">
        <v>152</v>
      </c>
      <c r="G2105" s="573" t="s">
        <v>271</v>
      </c>
      <c r="H2105" s="573">
        <v>2019</v>
      </c>
      <c r="I2105" s="573" t="s">
        <v>3765</v>
      </c>
      <c r="J2105" s="573" t="s">
        <v>3916</v>
      </c>
      <c r="K2105" s="573" t="s">
        <v>3377</v>
      </c>
      <c r="L2105" s="573">
        <v>3</v>
      </c>
      <c r="M2105" s="573">
        <v>0</v>
      </c>
      <c r="N2105" s="573" t="s">
        <v>157</v>
      </c>
      <c r="O2105" s="573">
        <v>1</v>
      </c>
      <c r="P2105" s="573" t="s">
        <v>3846</v>
      </c>
      <c r="Q2105" s="571">
        <v>9100</v>
      </c>
      <c r="R2105" s="573" t="s">
        <v>3778</v>
      </c>
      <c r="S2105" s="573">
        <v>8</v>
      </c>
      <c r="T2105" s="573" t="s">
        <v>3838</v>
      </c>
      <c r="U2105" s="573" t="s">
        <v>318</v>
      </c>
      <c r="V2105" s="573">
        <v>141.1</v>
      </c>
      <c r="W2105" s="573">
        <v>23</v>
      </c>
      <c r="X2105" s="571">
        <v>6750</v>
      </c>
      <c r="Y2105" s="573">
        <v>19</v>
      </c>
      <c r="Z2105" s="579" t="s">
        <v>450</v>
      </c>
      <c r="AA2105" s="579" t="s">
        <v>178</v>
      </c>
      <c r="AB2105" s="584">
        <v>37950</v>
      </c>
      <c r="AC2105" s="584" t="s">
        <v>164</v>
      </c>
      <c r="AD2105" s="584">
        <v>27510.189473684211</v>
      </c>
      <c r="AE2105" s="586">
        <v>0.03</v>
      </c>
      <c r="AF2105" s="661" t="str">
        <f t="shared" si="227"/>
        <v>2019-LTK-FRD-F150-047-05</v>
      </c>
      <c r="AG2105" s="661" t="str">
        <f>IF(AND($Y2105&gt;=32,(AI2105="I"),(Y2105&lt;&gt;"~"),(COUNTIF($AN$1:$AN2105,$AN2105)=1)),"TRUE","FALSE")</f>
        <v>FALSE</v>
      </c>
      <c r="AH2105" s="661" t="str">
        <f>IF(AND($Y2105&gt;=22, (AI2105&lt;&gt;"I"),(Y2105&lt;&gt;"~"),(COUNTIF($AN$1:$AN2105,$AN2105)=1)),"TRUE","FALSE")</f>
        <v>FALSE</v>
      </c>
      <c r="AI2105" s="661" t="str">
        <f t="shared" si="229"/>
        <v>II</v>
      </c>
      <c r="AJ2105" s="662" t="str">
        <f t="shared" si="223"/>
        <v>F150-047</v>
      </c>
      <c r="AK2105" s="662" t="str">
        <f t="shared" si="224"/>
        <v>LTK</v>
      </c>
      <c r="AL2105" s="662" t="str">
        <f t="shared" si="225"/>
        <v>FRD</v>
      </c>
      <c r="AM2105" s="662" t="str">
        <f t="shared" si="228"/>
        <v>F150-Regular Cab XLT-2WD-3-8'-9100-5.0L FFV-8-F1C-300A-141.1-23-E85-Unleaded</v>
      </c>
      <c r="AN2105" s="662" t="str">
        <f t="shared" si="226"/>
        <v>2019-LTK-FRD-F150-047</v>
      </c>
    </row>
    <row r="2106" spans="1:40" s="572" customFormat="1" ht="15">
      <c r="A2106" s="570" t="s">
        <v>3929</v>
      </c>
      <c r="B2106" s="569" t="s">
        <v>3915</v>
      </c>
      <c r="C2106" s="569" t="s">
        <v>278</v>
      </c>
      <c r="D2106" s="580">
        <v>15</v>
      </c>
      <c r="E2106" s="569" t="s">
        <v>3374</v>
      </c>
      <c r="F2106" s="569" t="s">
        <v>152</v>
      </c>
      <c r="G2106" s="569" t="s">
        <v>271</v>
      </c>
      <c r="H2106" s="569">
        <v>2019</v>
      </c>
      <c r="I2106" s="569" t="s">
        <v>3765</v>
      </c>
      <c r="J2106" s="569" t="s">
        <v>3916</v>
      </c>
      <c r="K2106" s="569" t="s">
        <v>3377</v>
      </c>
      <c r="L2106" s="569">
        <v>3</v>
      </c>
      <c r="M2106" s="569">
        <v>0</v>
      </c>
      <c r="N2106" s="569" t="s">
        <v>157</v>
      </c>
      <c r="O2106" s="569">
        <v>1</v>
      </c>
      <c r="P2106" s="569" t="s">
        <v>3781</v>
      </c>
      <c r="Q2106" s="568">
        <v>5100</v>
      </c>
      <c r="R2106" s="569" t="s">
        <v>3772</v>
      </c>
      <c r="S2106" s="569">
        <v>6</v>
      </c>
      <c r="T2106" s="569" t="s">
        <v>3838</v>
      </c>
      <c r="U2106" s="569" t="s">
        <v>318</v>
      </c>
      <c r="V2106" s="569">
        <v>122.4</v>
      </c>
      <c r="W2106" s="569">
        <v>23</v>
      </c>
      <c r="X2106" s="568">
        <v>6010</v>
      </c>
      <c r="Y2106" s="569">
        <v>20</v>
      </c>
      <c r="Z2106" s="581" t="s">
        <v>450</v>
      </c>
      <c r="AA2106" s="581" t="s">
        <v>178</v>
      </c>
      <c r="AB2106" s="585">
        <v>35655</v>
      </c>
      <c r="AC2106" s="585" t="s">
        <v>164</v>
      </c>
      <c r="AD2106" s="585">
        <v>25500</v>
      </c>
      <c r="AE2106" s="587">
        <v>0.01</v>
      </c>
      <c r="AF2106" s="661" t="str">
        <f t="shared" si="227"/>
        <v>2019-LTK-FRD-F150-039-15</v>
      </c>
      <c r="AG2106" s="661" t="str">
        <f>IF(AND($Y2106&gt;=32,(AI2106="I"),(Y2106&lt;&gt;"~"),(COUNTIF($AN$1:$AN2106,$AN2106)=1)),"TRUE","FALSE")</f>
        <v>FALSE</v>
      </c>
      <c r="AH2106" s="661" t="str">
        <f>IF(AND($Y2106&gt;=22, (AI2106&lt;&gt;"I"),(Y2106&lt;&gt;"~"),(COUNTIF($AN$1:$AN2106,$AN2106)=1)),"TRUE","FALSE")</f>
        <v>FALSE</v>
      </c>
      <c r="AI2106" s="661" t="str">
        <f t="shared" si="229"/>
        <v>II</v>
      </c>
      <c r="AJ2106" s="662" t="str">
        <f t="shared" si="223"/>
        <v>F150-039</v>
      </c>
      <c r="AK2106" s="662" t="str">
        <f t="shared" si="224"/>
        <v>LTK</v>
      </c>
      <c r="AL2106" s="662" t="str">
        <f t="shared" si="225"/>
        <v>FRD</v>
      </c>
      <c r="AM2106" s="662" t="str">
        <f t="shared" si="228"/>
        <v>F150-Regular Cab XLT-2WD-3-6'5"-5100-3.3L FFV-6-F1C-300A-122.4-23-E85-Unleaded</v>
      </c>
      <c r="AN2106" s="662" t="str">
        <f t="shared" si="226"/>
        <v>2019-LTK-FRD-F150-039</v>
      </c>
    </row>
    <row r="2107" spans="1:40" s="572" customFormat="1" ht="15">
      <c r="A2107" s="570" t="s">
        <v>3930</v>
      </c>
      <c r="B2107" s="573" t="s">
        <v>3918</v>
      </c>
      <c r="C2107" s="573" t="s">
        <v>278</v>
      </c>
      <c r="D2107" s="578">
        <v>15</v>
      </c>
      <c r="E2107" s="573" t="s">
        <v>3374</v>
      </c>
      <c r="F2107" s="573" t="s">
        <v>152</v>
      </c>
      <c r="G2107" s="573" t="s">
        <v>271</v>
      </c>
      <c r="H2107" s="573">
        <v>2019</v>
      </c>
      <c r="I2107" s="573" t="s">
        <v>3765</v>
      </c>
      <c r="J2107" s="573" t="s">
        <v>3916</v>
      </c>
      <c r="K2107" s="573" t="s">
        <v>3377</v>
      </c>
      <c r="L2107" s="573">
        <v>3</v>
      </c>
      <c r="M2107" s="573">
        <v>0</v>
      </c>
      <c r="N2107" s="573" t="s">
        <v>157</v>
      </c>
      <c r="O2107" s="573">
        <v>1</v>
      </c>
      <c r="P2107" s="573" t="s">
        <v>3781</v>
      </c>
      <c r="Q2107" s="571">
        <v>7600</v>
      </c>
      <c r="R2107" s="573" t="s">
        <v>3841</v>
      </c>
      <c r="S2107" s="573">
        <v>6</v>
      </c>
      <c r="T2107" s="573" t="s">
        <v>3838</v>
      </c>
      <c r="U2107" s="573" t="s">
        <v>318</v>
      </c>
      <c r="V2107" s="573">
        <v>122.4</v>
      </c>
      <c r="W2107" s="573">
        <v>23</v>
      </c>
      <c r="X2107" s="571">
        <v>6010</v>
      </c>
      <c r="Y2107" s="573">
        <v>22</v>
      </c>
      <c r="Z2107" s="579" t="s">
        <v>178</v>
      </c>
      <c r="AA2107" s="579" t="s">
        <v>178</v>
      </c>
      <c r="AB2107" s="584">
        <v>36650</v>
      </c>
      <c r="AC2107" s="584" t="s">
        <v>164</v>
      </c>
      <c r="AD2107" s="584">
        <v>26400</v>
      </c>
      <c r="AE2107" s="586">
        <v>0.01</v>
      </c>
      <c r="AF2107" s="661" t="str">
        <f t="shared" si="227"/>
        <v>2019-LTK-FRD-F150-040-15</v>
      </c>
      <c r="AG2107" s="661" t="str">
        <f>IF(AND($Y2107&gt;=32,(AI2107="I"),(Y2107&lt;&gt;"~"),(COUNTIF($AN$1:$AN2107,$AN2107)=1)),"TRUE","FALSE")</f>
        <v>FALSE</v>
      </c>
      <c r="AH2107" s="661" t="str">
        <f>IF(AND($Y2107&gt;=22, (AI2107&lt;&gt;"I"),(Y2107&lt;&gt;"~"),(COUNTIF($AN$1:$AN2107,$AN2107)=1)),"TRUE","FALSE")</f>
        <v>FALSE</v>
      </c>
      <c r="AI2107" s="661" t="str">
        <f t="shared" si="229"/>
        <v>II</v>
      </c>
      <c r="AJ2107" s="662" t="str">
        <f t="shared" si="223"/>
        <v>F150-040</v>
      </c>
      <c r="AK2107" s="662" t="str">
        <f t="shared" si="224"/>
        <v>LTK</v>
      </c>
      <c r="AL2107" s="662" t="str">
        <f t="shared" si="225"/>
        <v>FRD</v>
      </c>
      <c r="AM2107" s="662" t="str">
        <f t="shared" si="228"/>
        <v>F150-Regular Cab XLT-2WD-3-6'5"-7600-2.7L EcoBoost-6-F1C-300A-122.4-23-Unleaded-Unleaded</v>
      </c>
      <c r="AN2107" s="662" t="str">
        <f t="shared" si="226"/>
        <v>2019-LTK-FRD-F150-040</v>
      </c>
    </row>
    <row r="2108" spans="1:40" s="572" customFormat="1" ht="15">
      <c r="A2108" s="570" t="s">
        <v>3931</v>
      </c>
      <c r="B2108" s="569" t="s">
        <v>3920</v>
      </c>
      <c r="C2108" s="569" t="s">
        <v>278</v>
      </c>
      <c r="D2108" s="580">
        <v>15</v>
      </c>
      <c r="E2108" s="569" t="s">
        <v>3374</v>
      </c>
      <c r="F2108" s="569" t="s">
        <v>152</v>
      </c>
      <c r="G2108" s="569" t="s">
        <v>271</v>
      </c>
      <c r="H2108" s="569">
        <v>2019</v>
      </c>
      <c r="I2108" s="569" t="s">
        <v>3765</v>
      </c>
      <c r="J2108" s="569" t="s">
        <v>3916</v>
      </c>
      <c r="K2108" s="569" t="s">
        <v>3377</v>
      </c>
      <c r="L2108" s="569">
        <v>3</v>
      </c>
      <c r="M2108" s="569">
        <v>0</v>
      </c>
      <c r="N2108" s="569" t="s">
        <v>157</v>
      </c>
      <c r="O2108" s="569">
        <v>1</v>
      </c>
      <c r="P2108" s="569" t="s">
        <v>3781</v>
      </c>
      <c r="Q2108" s="568">
        <v>8400</v>
      </c>
      <c r="R2108" s="569" t="s">
        <v>3778</v>
      </c>
      <c r="S2108" s="569">
        <v>8</v>
      </c>
      <c r="T2108" s="569" t="s">
        <v>3838</v>
      </c>
      <c r="U2108" s="569" t="s">
        <v>318</v>
      </c>
      <c r="V2108" s="569">
        <v>122.4</v>
      </c>
      <c r="W2108" s="569">
        <v>23</v>
      </c>
      <c r="X2108" s="568">
        <v>6200</v>
      </c>
      <c r="Y2108" s="569">
        <v>18</v>
      </c>
      <c r="Z2108" s="581" t="s">
        <v>450</v>
      </c>
      <c r="AA2108" s="581" t="s">
        <v>178</v>
      </c>
      <c r="AB2108" s="585">
        <v>37650</v>
      </c>
      <c r="AC2108" s="585" t="s">
        <v>164</v>
      </c>
      <c r="AD2108" s="585">
        <v>27300</v>
      </c>
      <c r="AE2108" s="587">
        <v>0.01</v>
      </c>
      <c r="AF2108" s="661" t="str">
        <f t="shared" si="227"/>
        <v>2019-LTK-FRD-F150-042-15</v>
      </c>
      <c r="AG2108" s="661" t="str">
        <f>IF(AND($Y2108&gt;=32,(AI2108="I"),(Y2108&lt;&gt;"~"),(COUNTIF($AN$1:$AN2108,$AN2108)=1)),"TRUE","FALSE")</f>
        <v>FALSE</v>
      </c>
      <c r="AH2108" s="661" t="str">
        <f>IF(AND($Y2108&gt;=22, (AI2108&lt;&gt;"I"),(Y2108&lt;&gt;"~"),(COUNTIF($AN$1:$AN2108,$AN2108)=1)),"TRUE","FALSE")</f>
        <v>FALSE</v>
      </c>
      <c r="AI2108" s="661" t="str">
        <f t="shared" si="229"/>
        <v>II</v>
      </c>
      <c r="AJ2108" s="662" t="str">
        <f t="shared" si="223"/>
        <v>F150-042</v>
      </c>
      <c r="AK2108" s="662" t="str">
        <f t="shared" si="224"/>
        <v>LTK</v>
      </c>
      <c r="AL2108" s="662" t="str">
        <f t="shared" si="225"/>
        <v>FRD</v>
      </c>
      <c r="AM2108" s="662" t="str">
        <f t="shared" si="228"/>
        <v>F150-Regular Cab XLT-2WD-3-6'5"-8400-5.0L FFV-8-F1C-300A-122.4-23-E85-Unleaded</v>
      </c>
      <c r="AN2108" s="662" t="str">
        <f t="shared" si="226"/>
        <v>2019-LTK-FRD-F150-042</v>
      </c>
    </row>
    <row r="2109" spans="1:40" s="572" customFormat="1" ht="15">
      <c r="A2109" s="570" t="s">
        <v>3932</v>
      </c>
      <c r="B2109" s="573" t="s">
        <v>3922</v>
      </c>
      <c r="C2109" s="573" t="s">
        <v>278</v>
      </c>
      <c r="D2109" s="578">
        <v>15</v>
      </c>
      <c r="E2109" s="573" t="s">
        <v>3374</v>
      </c>
      <c r="F2109" s="573" t="s">
        <v>152</v>
      </c>
      <c r="G2109" s="573" t="s">
        <v>271</v>
      </c>
      <c r="H2109" s="573">
        <v>2019</v>
      </c>
      <c r="I2109" s="573" t="s">
        <v>3765</v>
      </c>
      <c r="J2109" s="573" t="s">
        <v>3916</v>
      </c>
      <c r="K2109" s="573" t="s">
        <v>3377</v>
      </c>
      <c r="L2109" s="573">
        <v>3</v>
      </c>
      <c r="M2109" s="573">
        <v>0</v>
      </c>
      <c r="N2109" s="573" t="s">
        <v>157</v>
      </c>
      <c r="O2109" s="573">
        <v>1</v>
      </c>
      <c r="P2109" s="573" t="s">
        <v>3846</v>
      </c>
      <c r="Q2109" s="571">
        <v>10700</v>
      </c>
      <c r="R2109" s="573" t="s">
        <v>1259</v>
      </c>
      <c r="S2109" s="573">
        <v>6</v>
      </c>
      <c r="T2109" s="573" t="s">
        <v>3838</v>
      </c>
      <c r="U2109" s="573" t="s">
        <v>318</v>
      </c>
      <c r="V2109" s="573">
        <v>141.1</v>
      </c>
      <c r="W2109" s="573">
        <v>23</v>
      </c>
      <c r="X2109" s="571">
        <v>7050</v>
      </c>
      <c r="Y2109" s="573">
        <v>20</v>
      </c>
      <c r="Z2109" s="579" t="s">
        <v>178</v>
      </c>
      <c r="AA2109" s="579" t="s">
        <v>178</v>
      </c>
      <c r="AB2109" s="584">
        <v>38550</v>
      </c>
      <c r="AC2109" s="584" t="s">
        <v>164</v>
      </c>
      <c r="AD2109" s="584">
        <v>28150</v>
      </c>
      <c r="AE2109" s="586">
        <v>0.01</v>
      </c>
      <c r="AF2109" s="661" t="str">
        <f t="shared" si="227"/>
        <v>2019-LTK-FRD-F150-043-15</v>
      </c>
      <c r="AG2109" s="661" t="str">
        <f>IF(AND($Y2109&gt;=32,(AI2109="I"),(Y2109&lt;&gt;"~"),(COUNTIF($AN$1:$AN2109,$AN2109)=1)),"TRUE","FALSE")</f>
        <v>FALSE</v>
      </c>
      <c r="AH2109" s="661" t="str">
        <f>IF(AND($Y2109&gt;=22, (AI2109&lt;&gt;"I"),(Y2109&lt;&gt;"~"),(COUNTIF($AN$1:$AN2109,$AN2109)=1)),"TRUE","FALSE")</f>
        <v>FALSE</v>
      </c>
      <c r="AI2109" s="661" t="str">
        <f t="shared" si="229"/>
        <v>II</v>
      </c>
      <c r="AJ2109" s="662" t="str">
        <f t="shared" si="223"/>
        <v>F150-043</v>
      </c>
      <c r="AK2109" s="662" t="str">
        <f t="shared" si="224"/>
        <v>LTK</v>
      </c>
      <c r="AL2109" s="662" t="str">
        <f t="shared" si="225"/>
        <v>FRD</v>
      </c>
      <c r="AM2109" s="662" t="str">
        <f t="shared" si="228"/>
        <v>F150-Regular Cab XLT-2WD-3-8'-10700-3.5L EcoBoost-6-F1C-300A-141.1-23-Unleaded-Unleaded</v>
      </c>
      <c r="AN2109" s="662" t="str">
        <f t="shared" si="226"/>
        <v>2019-LTK-FRD-F150-043</v>
      </c>
    </row>
    <row r="2110" spans="1:40" s="572" customFormat="1" ht="15">
      <c r="A2110" s="570" t="s">
        <v>3933</v>
      </c>
      <c r="B2110" s="569" t="s">
        <v>3924</v>
      </c>
      <c r="C2110" s="569" t="s">
        <v>278</v>
      </c>
      <c r="D2110" s="580">
        <v>15</v>
      </c>
      <c r="E2110" s="569" t="s">
        <v>3374</v>
      </c>
      <c r="F2110" s="569" t="s">
        <v>152</v>
      </c>
      <c r="G2110" s="569" t="s">
        <v>271</v>
      </c>
      <c r="H2110" s="569">
        <v>2019</v>
      </c>
      <c r="I2110" s="569" t="s">
        <v>3765</v>
      </c>
      <c r="J2110" s="569" t="s">
        <v>3916</v>
      </c>
      <c r="K2110" s="569" t="s">
        <v>3377</v>
      </c>
      <c r="L2110" s="569">
        <v>3</v>
      </c>
      <c r="M2110" s="569">
        <v>0</v>
      </c>
      <c r="N2110" s="569" t="s">
        <v>157</v>
      </c>
      <c r="O2110" s="569">
        <v>1</v>
      </c>
      <c r="P2110" s="569" t="s">
        <v>3846</v>
      </c>
      <c r="Q2110" s="568">
        <v>5100</v>
      </c>
      <c r="R2110" s="569" t="s">
        <v>3772</v>
      </c>
      <c r="S2110" s="569">
        <v>6</v>
      </c>
      <c r="T2110" s="569" t="s">
        <v>3838</v>
      </c>
      <c r="U2110" s="569" t="s">
        <v>318</v>
      </c>
      <c r="V2110" s="569">
        <v>141.1</v>
      </c>
      <c r="W2110" s="569">
        <v>23</v>
      </c>
      <c r="X2110" s="568">
        <v>6100</v>
      </c>
      <c r="Y2110" s="569">
        <v>20</v>
      </c>
      <c r="Z2110" s="581" t="s">
        <v>450</v>
      </c>
      <c r="AA2110" s="581" t="s">
        <v>178</v>
      </c>
      <c r="AB2110" s="585">
        <v>35955</v>
      </c>
      <c r="AC2110" s="585" t="s">
        <v>164</v>
      </c>
      <c r="AD2110" s="585">
        <v>25750</v>
      </c>
      <c r="AE2110" s="587">
        <v>0.01</v>
      </c>
      <c r="AF2110" s="661" t="str">
        <f t="shared" si="227"/>
        <v>2019-LTK-FRD-F150-044-15</v>
      </c>
      <c r="AG2110" s="661" t="str">
        <f>IF(AND($Y2110&gt;=32,(AI2110="I"),(Y2110&lt;&gt;"~"),(COUNTIF($AN$1:$AN2110,$AN2110)=1)),"TRUE","FALSE")</f>
        <v>FALSE</v>
      </c>
      <c r="AH2110" s="661" t="str">
        <f>IF(AND($Y2110&gt;=22, (AI2110&lt;&gt;"I"),(Y2110&lt;&gt;"~"),(COUNTIF($AN$1:$AN2110,$AN2110)=1)),"TRUE","FALSE")</f>
        <v>FALSE</v>
      </c>
      <c r="AI2110" s="661" t="str">
        <f t="shared" si="229"/>
        <v>II</v>
      </c>
      <c r="AJ2110" s="662" t="str">
        <f t="shared" si="223"/>
        <v>F150-044</v>
      </c>
      <c r="AK2110" s="662" t="str">
        <f t="shared" si="224"/>
        <v>LTK</v>
      </c>
      <c r="AL2110" s="662" t="str">
        <f t="shared" si="225"/>
        <v>FRD</v>
      </c>
      <c r="AM2110" s="662" t="str">
        <f t="shared" si="228"/>
        <v>F150-Regular Cab XLT-2WD-3-8'-5100-3.3L FFV-6-F1C-300A-141.1-23-E85-Unleaded</v>
      </c>
      <c r="AN2110" s="662" t="str">
        <f t="shared" si="226"/>
        <v>2019-LTK-FRD-F150-044</v>
      </c>
    </row>
    <row r="2111" spans="1:40" s="572" customFormat="1" ht="15">
      <c r="A2111" s="570" t="s">
        <v>3934</v>
      </c>
      <c r="B2111" s="573" t="s">
        <v>3926</v>
      </c>
      <c r="C2111" s="573" t="s">
        <v>278</v>
      </c>
      <c r="D2111" s="578">
        <v>15</v>
      </c>
      <c r="E2111" s="573" t="s">
        <v>3374</v>
      </c>
      <c r="F2111" s="573" t="s">
        <v>152</v>
      </c>
      <c r="G2111" s="573" t="s">
        <v>271</v>
      </c>
      <c r="H2111" s="573">
        <v>2019</v>
      </c>
      <c r="I2111" s="573" t="s">
        <v>3765</v>
      </c>
      <c r="J2111" s="573" t="s">
        <v>3916</v>
      </c>
      <c r="K2111" s="573" t="s">
        <v>3377</v>
      </c>
      <c r="L2111" s="573">
        <v>3</v>
      </c>
      <c r="M2111" s="573">
        <v>0</v>
      </c>
      <c r="N2111" s="573" t="s">
        <v>157</v>
      </c>
      <c r="O2111" s="573">
        <v>1</v>
      </c>
      <c r="P2111" s="573" t="s">
        <v>3846</v>
      </c>
      <c r="Q2111" s="571">
        <v>7600</v>
      </c>
      <c r="R2111" s="573" t="s">
        <v>3841</v>
      </c>
      <c r="S2111" s="573">
        <v>6</v>
      </c>
      <c r="T2111" s="573" t="s">
        <v>3838</v>
      </c>
      <c r="U2111" s="573" t="s">
        <v>318</v>
      </c>
      <c r="V2111" s="573">
        <v>141.1</v>
      </c>
      <c r="W2111" s="573">
        <v>23</v>
      </c>
      <c r="X2111" s="571">
        <v>6100</v>
      </c>
      <c r="Y2111" s="573">
        <v>22</v>
      </c>
      <c r="Z2111" s="579" t="s">
        <v>178</v>
      </c>
      <c r="AA2111" s="579" t="s">
        <v>178</v>
      </c>
      <c r="AB2111" s="584">
        <v>36950</v>
      </c>
      <c r="AC2111" s="584" t="s">
        <v>164</v>
      </c>
      <c r="AD2111" s="584">
        <v>26700</v>
      </c>
      <c r="AE2111" s="586">
        <v>0.01</v>
      </c>
      <c r="AF2111" s="661" t="str">
        <f t="shared" si="227"/>
        <v>2019-LTK-FRD-F150-045-15</v>
      </c>
      <c r="AG2111" s="661" t="str">
        <f>IF(AND($Y2111&gt;=32,(AI2111="I"),(Y2111&lt;&gt;"~"),(COUNTIF($AN$1:$AN2111,$AN2111)=1)),"TRUE","FALSE")</f>
        <v>FALSE</v>
      </c>
      <c r="AH2111" s="661" t="str">
        <f>IF(AND($Y2111&gt;=22, (AI2111&lt;&gt;"I"),(Y2111&lt;&gt;"~"),(COUNTIF($AN$1:$AN2111,$AN2111)=1)),"TRUE","FALSE")</f>
        <v>FALSE</v>
      </c>
      <c r="AI2111" s="661" t="str">
        <f t="shared" si="229"/>
        <v>II</v>
      </c>
      <c r="AJ2111" s="662" t="str">
        <f t="shared" si="223"/>
        <v>F150-045</v>
      </c>
      <c r="AK2111" s="662" t="str">
        <f t="shared" si="224"/>
        <v>LTK</v>
      </c>
      <c r="AL2111" s="662" t="str">
        <f t="shared" si="225"/>
        <v>FRD</v>
      </c>
      <c r="AM2111" s="662" t="str">
        <f t="shared" si="228"/>
        <v>F150-Regular Cab XLT-2WD-3-8'-7600-2.7L EcoBoost-6-F1C-300A-141.1-23-Unleaded-Unleaded</v>
      </c>
      <c r="AN2111" s="662" t="str">
        <f t="shared" si="226"/>
        <v>2019-LTK-FRD-F150-045</v>
      </c>
    </row>
    <row r="2112" spans="1:40" s="572" customFormat="1" ht="15">
      <c r="A2112" s="570" t="s">
        <v>3935</v>
      </c>
      <c r="B2112" s="569" t="s">
        <v>3928</v>
      </c>
      <c r="C2112" s="569" t="s">
        <v>278</v>
      </c>
      <c r="D2112" s="580">
        <v>15</v>
      </c>
      <c r="E2112" s="569" t="s">
        <v>3374</v>
      </c>
      <c r="F2112" s="569" t="s">
        <v>152</v>
      </c>
      <c r="G2112" s="569" t="s">
        <v>271</v>
      </c>
      <c r="H2112" s="569">
        <v>2019</v>
      </c>
      <c r="I2112" s="569" t="s">
        <v>3765</v>
      </c>
      <c r="J2112" s="569" t="s">
        <v>3916</v>
      </c>
      <c r="K2112" s="569" t="s">
        <v>3377</v>
      </c>
      <c r="L2112" s="569">
        <v>3</v>
      </c>
      <c r="M2112" s="569">
        <v>0</v>
      </c>
      <c r="N2112" s="569" t="s">
        <v>157</v>
      </c>
      <c r="O2112" s="569">
        <v>1</v>
      </c>
      <c r="P2112" s="569" t="s">
        <v>3846</v>
      </c>
      <c r="Q2112" s="568">
        <v>9100</v>
      </c>
      <c r="R2112" s="569" t="s">
        <v>3778</v>
      </c>
      <c r="S2112" s="569">
        <v>8</v>
      </c>
      <c r="T2112" s="569" t="s">
        <v>3838</v>
      </c>
      <c r="U2112" s="569" t="s">
        <v>318</v>
      </c>
      <c r="V2112" s="569">
        <v>141.1</v>
      </c>
      <c r="W2112" s="569">
        <v>23</v>
      </c>
      <c r="X2112" s="568">
        <v>6750</v>
      </c>
      <c r="Y2112" s="569">
        <v>18</v>
      </c>
      <c r="Z2112" s="581" t="s">
        <v>450</v>
      </c>
      <c r="AA2112" s="581" t="s">
        <v>178</v>
      </c>
      <c r="AB2112" s="585">
        <v>37950</v>
      </c>
      <c r="AC2112" s="585" t="s">
        <v>164</v>
      </c>
      <c r="AD2112" s="585">
        <v>27600</v>
      </c>
      <c r="AE2112" s="587">
        <v>0.01</v>
      </c>
      <c r="AF2112" s="661" t="str">
        <f t="shared" si="227"/>
        <v>2019-LTK-FRD-F150-047-15</v>
      </c>
      <c r="AG2112" s="661" t="str">
        <f>IF(AND($Y2112&gt;=32,(AI2112="I"),(Y2112&lt;&gt;"~"),(COUNTIF($AN$1:$AN2112,$AN2112)=1)),"TRUE","FALSE")</f>
        <v>FALSE</v>
      </c>
      <c r="AH2112" s="661" t="str">
        <f>IF(AND($Y2112&gt;=22, (AI2112&lt;&gt;"I"),(Y2112&lt;&gt;"~"),(COUNTIF($AN$1:$AN2112,$AN2112)=1)),"TRUE","FALSE")</f>
        <v>FALSE</v>
      </c>
      <c r="AI2112" s="661" t="str">
        <f t="shared" si="229"/>
        <v>II</v>
      </c>
      <c r="AJ2112" s="662" t="str">
        <f t="shared" si="223"/>
        <v>F150-047</v>
      </c>
      <c r="AK2112" s="662" t="str">
        <f t="shared" si="224"/>
        <v>LTK</v>
      </c>
      <c r="AL2112" s="662" t="str">
        <f t="shared" si="225"/>
        <v>FRD</v>
      </c>
      <c r="AM2112" s="662" t="str">
        <f t="shared" si="228"/>
        <v>F150-Regular Cab XLT-2WD-3-8'-9100-5.0L FFV-8-F1C-300A-141.1-23-E85-Unleaded</v>
      </c>
      <c r="AN2112" s="662" t="str">
        <f t="shared" si="226"/>
        <v>2019-LTK-FRD-F150-047</v>
      </c>
    </row>
    <row r="2113" spans="1:40" s="572" customFormat="1" ht="15">
      <c r="A2113" s="570" t="s">
        <v>3936</v>
      </c>
      <c r="B2113" s="573" t="s">
        <v>3915</v>
      </c>
      <c r="C2113" s="573" t="s">
        <v>287</v>
      </c>
      <c r="D2113" s="578">
        <v>26</v>
      </c>
      <c r="E2113" s="573" t="s">
        <v>3374</v>
      </c>
      <c r="F2113" s="573" t="s">
        <v>152</v>
      </c>
      <c r="G2113" s="573" t="s">
        <v>271</v>
      </c>
      <c r="H2113" s="573">
        <v>2019</v>
      </c>
      <c r="I2113" s="573" t="s">
        <v>3765</v>
      </c>
      <c r="J2113" s="573" t="s">
        <v>3916</v>
      </c>
      <c r="K2113" s="573" t="s">
        <v>3377</v>
      </c>
      <c r="L2113" s="573">
        <v>3</v>
      </c>
      <c r="M2113" s="573">
        <v>0</v>
      </c>
      <c r="N2113" s="573" t="s">
        <v>157</v>
      </c>
      <c r="O2113" s="573">
        <v>1</v>
      </c>
      <c r="P2113" s="573" t="s">
        <v>3781</v>
      </c>
      <c r="Q2113" s="571">
        <v>5100</v>
      </c>
      <c r="R2113" s="573" t="s">
        <v>3772</v>
      </c>
      <c r="S2113" s="573">
        <v>6</v>
      </c>
      <c r="T2113" s="573" t="s">
        <v>3838</v>
      </c>
      <c r="U2113" s="573" t="s">
        <v>318</v>
      </c>
      <c r="V2113" s="573">
        <v>122.4</v>
      </c>
      <c r="W2113" s="573">
        <v>23</v>
      </c>
      <c r="X2113" s="571">
        <v>6010</v>
      </c>
      <c r="Y2113" s="573">
        <v>20</v>
      </c>
      <c r="Z2113" s="579" t="s">
        <v>450</v>
      </c>
      <c r="AA2113" s="579" t="s">
        <v>178</v>
      </c>
      <c r="AB2113" s="584">
        <v>35655</v>
      </c>
      <c r="AC2113" s="584" t="s">
        <v>164</v>
      </c>
      <c r="AD2113" s="584">
        <v>25920</v>
      </c>
      <c r="AE2113" s="586">
        <v>0.05</v>
      </c>
      <c r="AF2113" s="661" t="str">
        <f t="shared" si="227"/>
        <v>2019-LTK-FRD-F150-039-26</v>
      </c>
      <c r="AG2113" s="661" t="str">
        <f>IF(AND($Y2113&gt;=32,(AI2113="I"),(Y2113&lt;&gt;"~"),(COUNTIF($AN$1:$AN2113,$AN2113)=1)),"TRUE","FALSE")</f>
        <v>FALSE</v>
      </c>
      <c r="AH2113" s="661" t="str">
        <f>IF(AND($Y2113&gt;=22, (AI2113&lt;&gt;"I"),(Y2113&lt;&gt;"~"),(COUNTIF($AN$1:$AN2113,$AN2113)=1)),"TRUE","FALSE")</f>
        <v>FALSE</v>
      </c>
      <c r="AI2113" s="661" t="str">
        <f t="shared" si="229"/>
        <v>II</v>
      </c>
      <c r="AJ2113" s="662" t="str">
        <f t="shared" si="223"/>
        <v>F150-039</v>
      </c>
      <c r="AK2113" s="662" t="str">
        <f t="shared" si="224"/>
        <v>LTK</v>
      </c>
      <c r="AL2113" s="662" t="str">
        <f t="shared" si="225"/>
        <v>FRD</v>
      </c>
      <c r="AM2113" s="662" t="str">
        <f t="shared" si="228"/>
        <v>F150-Regular Cab XLT-2WD-3-6'5"-5100-3.3L FFV-6-F1C-300A-122.4-23-E85-Unleaded</v>
      </c>
      <c r="AN2113" s="662" t="str">
        <f t="shared" si="226"/>
        <v>2019-LTK-FRD-F150-039</v>
      </c>
    </row>
    <row r="2114" spans="1:40" s="572" customFormat="1" ht="15">
      <c r="A2114" s="570" t="s">
        <v>3937</v>
      </c>
      <c r="B2114" s="569" t="s">
        <v>3918</v>
      </c>
      <c r="C2114" s="569" t="s">
        <v>287</v>
      </c>
      <c r="D2114" s="580">
        <v>26</v>
      </c>
      <c r="E2114" s="569" t="s">
        <v>3374</v>
      </c>
      <c r="F2114" s="569" t="s">
        <v>152</v>
      </c>
      <c r="G2114" s="569" t="s">
        <v>271</v>
      </c>
      <c r="H2114" s="569">
        <v>2019</v>
      </c>
      <c r="I2114" s="569" t="s">
        <v>3765</v>
      </c>
      <c r="J2114" s="569" t="s">
        <v>3916</v>
      </c>
      <c r="K2114" s="569" t="s">
        <v>3377</v>
      </c>
      <c r="L2114" s="569">
        <v>3</v>
      </c>
      <c r="M2114" s="569">
        <v>0</v>
      </c>
      <c r="N2114" s="569" t="s">
        <v>157</v>
      </c>
      <c r="O2114" s="569">
        <v>1</v>
      </c>
      <c r="P2114" s="569" t="s">
        <v>3781</v>
      </c>
      <c r="Q2114" s="568">
        <v>7600</v>
      </c>
      <c r="R2114" s="569" t="s">
        <v>3841</v>
      </c>
      <c r="S2114" s="569">
        <v>6</v>
      </c>
      <c r="T2114" s="569" t="s">
        <v>3838</v>
      </c>
      <c r="U2114" s="569" t="s">
        <v>318</v>
      </c>
      <c r="V2114" s="569">
        <v>122.4</v>
      </c>
      <c r="W2114" s="569">
        <v>23</v>
      </c>
      <c r="X2114" s="568">
        <v>6010</v>
      </c>
      <c r="Y2114" s="569">
        <v>22</v>
      </c>
      <c r="Z2114" s="581" t="s">
        <v>178</v>
      </c>
      <c r="AA2114" s="581" t="s">
        <v>178</v>
      </c>
      <c r="AB2114" s="585">
        <v>36650</v>
      </c>
      <c r="AC2114" s="585" t="s">
        <v>164</v>
      </c>
      <c r="AD2114" s="585">
        <v>26826</v>
      </c>
      <c r="AE2114" s="587">
        <v>0.05</v>
      </c>
      <c r="AF2114" s="661" t="str">
        <f t="shared" si="227"/>
        <v>2019-LTK-FRD-F150-040-26</v>
      </c>
      <c r="AG2114" s="661" t="str">
        <f>IF(AND($Y2114&gt;=32,(AI2114="I"),(Y2114&lt;&gt;"~"),(COUNTIF($AN$1:$AN2114,$AN2114)=1)),"TRUE","FALSE")</f>
        <v>FALSE</v>
      </c>
      <c r="AH2114" s="661" t="str">
        <f>IF(AND($Y2114&gt;=22, (AI2114&lt;&gt;"I"),(Y2114&lt;&gt;"~"),(COUNTIF($AN$1:$AN2114,$AN2114)=1)),"TRUE","FALSE")</f>
        <v>FALSE</v>
      </c>
      <c r="AI2114" s="661" t="str">
        <f t="shared" si="229"/>
        <v>II</v>
      </c>
      <c r="AJ2114" s="662" t="str">
        <f t="shared" si="223"/>
        <v>F150-040</v>
      </c>
      <c r="AK2114" s="662" t="str">
        <f t="shared" si="224"/>
        <v>LTK</v>
      </c>
      <c r="AL2114" s="662" t="str">
        <f t="shared" si="225"/>
        <v>FRD</v>
      </c>
      <c r="AM2114" s="662" t="str">
        <f t="shared" si="228"/>
        <v>F150-Regular Cab XLT-2WD-3-6'5"-7600-2.7L EcoBoost-6-F1C-300A-122.4-23-Unleaded-Unleaded</v>
      </c>
      <c r="AN2114" s="662" t="str">
        <f t="shared" si="226"/>
        <v>2019-LTK-FRD-F150-040</v>
      </c>
    </row>
    <row r="2115" spans="1:40" s="572" customFormat="1" ht="15">
      <c r="A2115" s="570" t="s">
        <v>3938</v>
      </c>
      <c r="B2115" s="573" t="s">
        <v>3920</v>
      </c>
      <c r="C2115" s="573" t="s">
        <v>287</v>
      </c>
      <c r="D2115" s="578">
        <v>26</v>
      </c>
      <c r="E2115" s="573" t="s">
        <v>3374</v>
      </c>
      <c r="F2115" s="573" t="s">
        <v>152</v>
      </c>
      <c r="G2115" s="573" t="s">
        <v>271</v>
      </c>
      <c r="H2115" s="573">
        <v>2019</v>
      </c>
      <c r="I2115" s="573" t="s">
        <v>3765</v>
      </c>
      <c r="J2115" s="573" t="s">
        <v>3916</v>
      </c>
      <c r="K2115" s="573" t="s">
        <v>3377</v>
      </c>
      <c r="L2115" s="573">
        <v>3</v>
      </c>
      <c r="M2115" s="573">
        <v>0</v>
      </c>
      <c r="N2115" s="573" t="s">
        <v>157</v>
      </c>
      <c r="O2115" s="573">
        <v>1</v>
      </c>
      <c r="P2115" s="573" t="s">
        <v>3781</v>
      </c>
      <c r="Q2115" s="571">
        <v>8400</v>
      </c>
      <c r="R2115" s="573" t="s">
        <v>3778</v>
      </c>
      <c r="S2115" s="573">
        <v>8</v>
      </c>
      <c r="T2115" s="573" t="s">
        <v>3838</v>
      </c>
      <c r="U2115" s="573" t="s">
        <v>318</v>
      </c>
      <c r="V2115" s="573">
        <v>122.4</v>
      </c>
      <c r="W2115" s="573">
        <v>23</v>
      </c>
      <c r="X2115" s="571">
        <v>6200</v>
      </c>
      <c r="Y2115" s="573">
        <v>18</v>
      </c>
      <c r="Z2115" s="579" t="s">
        <v>450</v>
      </c>
      <c r="AA2115" s="579" t="s">
        <v>178</v>
      </c>
      <c r="AB2115" s="584">
        <v>37650</v>
      </c>
      <c r="AC2115" s="584" t="s">
        <v>164</v>
      </c>
      <c r="AD2115" s="584">
        <v>27738</v>
      </c>
      <c r="AE2115" s="586">
        <v>0.05</v>
      </c>
      <c r="AF2115" s="661" t="str">
        <f t="shared" si="227"/>
        <v>2019-LTK-FRD-F150-042-26</v>
      </c>
      <c r="AG2115" s="661" t="str">
        <f>IF(AND($Y2115&gt;=32,(AI2115="I"),(Y2115&lt;&gt;"~"),(COUNTIF($AN$1:$AN2115,$AN2115)=1)),"TRUE","FALSE")</f>
        <v>FALSE</v>
      </c>
      <c r="AH2115" s="661" t="str">
        <f>IF(AND($Y2115&gt;=22, (AI2115&lt;&gt;"I"),(Y2115&lt;&gt;"~"),(COUNTIF($AN$1:$AN2115,$AN2115)=1)),"TRUE","FALSE")</f>
        <v>FALSE</v>
      </c>
      <c r="AI2115" s="661" t="str">
        <f t="shared" si="229"/>
        <v>II</v>
      </c>
      <c r="AJ2115" s="662" t="str">
        <f t="shared" ref="AJ2115:AJ2178" si="230">MID(A2115,14,8)</f>
        <v>F150-042</v>
      </c>
      <c r="AK2115" s="662" t="str">
        <f t="shared" ref="AK2115:AK2178" si="231">MID(A2115,6,3)</f>
        <v>LTK</v>
      </c>
      <c r="AL2115" s="662" t="str">
        <f t="shared" ref="AL2115:AL2178" si="232">MID(A2115,10,3)</f>
        <v>FRD</v>
      </c>
      <c r="AM2115" s="662" t="str">
        <f t="shared" si="228"/>
        <v>F150-Regular Cab XLT-2WD-3-6'5"-8400-5.0L FFV-8-F1C-300A-122.4-23-E85-Unleaded</v>
      </c>
      <c r="AN2115" s="662" t="str">
        <f t="shared" ref="AN2115:AN2178" si="233">LEFT(A2115,21)</f>
        <v>2019-LTK-FRD-F150-042</v>
      </c>
    </row>
    <row r="2116" spans="1:40" s="572" customFormat="1" ht="15">
      <c r="A2116" s="570" t="s">
        <v>3939</v>
      </c>
      <c r="B2116" s="569" t="s">
        <v>3922</v>
      </c>
      <c r="C2116" s="569" t="s">
        <v>287</v>
      </c>
      <c r="D2116" s="580">
        <v>26</v>
      </c>
      <c r="E2116" s="569" t="s">
        <v>3374</v>
      </c>
      <c r="F2116" s="569" t="s">
        <v>152</v>
      </c>
      <c r="G2116" s="569" t="s">
        <v>271</v>
      </c>
      <c r="H2116" s="569">
        <v>2019</v>
      </c>
      <c r="I2116" s="569" t="s">
        <v>3765</v>
      </c>
      <c r="J2116" s="569" t="s">
        <v>3916</v>
      </c>
      <c r="K2116" s="569" t="s">
        <v>3377</v>
      </c>
      <c r="L2116" s="569">
        <v>3</v>
      </c>
      <c r="M2116" s="569">
        <v>0</v>
      </c>
      <c r="N2116" s="569" t="s">
        <v>157</v>
      </c>
      <c r="O2116" s="569">
        <v>1</v>
      </c>
      <c r="P2116" s="569" t="s">
        <v>3846</v>
      </c>
      <c r="Q2116" s="568">
        <v>10700</v>
      </c>
      <c r="R2116" s="569" t="s">
        <v>1259</v>
      </c>
      <c r="S2116" s="569">
        <v>6</v>
      </c>
      <c r="T2116" s="569" t="s">
        <v>3838</v>
      </c>
      <c r="U2116" s="569" t="s">
        <v>318</v>
      </c>
      <c r="V2116" s="569">
        <v>141.1</v>
      </c>
      <c r="W2116" s="569">
        <v>23</v>
      </c>
      <c r="X2116" s="568">
        <v>7050</v>
      </c>
      <c r="Y2116" s="569">
        <v>20</v>
      </c>
      <c r="Z2116" s="581" t="s">
        <v>178</v>
      </c>
      <c r="AA2116" s="581" t="s">
        <v>178</v>
      </c>
      <c r="AB2116" s="585">
        <v>38550</v>
      </c>
      <c r="AC2116" s="585" t="s">
        <v>164</v>
      </c>
      <c r="AD2116" s="585">
        <v>28558</v>
      </c>
      <c r="AE2116" s="587">
        <v>0.05</v>
      </c>
      <c r="AF2116" s="661" t="str">
        <f t="shared" si="227"/>
        <v>2019-LTK-FRD-F150-043-26</v>
      </c>
      <c r="AG2116" s="661" t="str">
        <f>IF(AND($Y2116&gt;=32,(AI2116="I"),(Y2116&lt;&gt;"~"),(COUNTIF($AN$1:$AN2116,$AN2116)=1)),"TRUE","FALSE")</f>
        <v>FALSE</v>
      </c>
      <c r="AH2116" s="661" t="str">
        <f>IF(AND($Y2116&gt;=22, (AI2116&lt;&gt;"I"),(Y2116&lt;&gt;"~"),(COUNTIF($AN$1:$AN2116,$AN2116)=1)),"TRUE","FALSE")</f>
        <v>FALSE</v>
      </c>
      <c r="AI2116" s="661" t="str">
        <f t="shared" si="229"/>
        <v>II</v>
      </c>
      <c r="AJ2116" s="662" t="str">
        <f t="shared" si="230"/>
        <v>F150-043</v>
      </c>
      <c r="AK2116" s="662" t="str">
        <f t="shared" si="231"/>
        <v>LTK</v>
      </c>
      <c r="AL2116" s="662" t="str">
        <f t="shared" si="232"/>
        <v>FRD</v>
      </c>
      <c r="AM2116" s="662" t="str">
        <f t="shared" si="228"/>
        <v>F150-Regular Cab XLT-2WD-3-8'-10700-3.5L EcoBoost-6-F1C-300A-141.1-23-Unleaded-Unleaded</v>
      </c>
      <c r="AN2116" s="662" t="str">
        <f t="shared" si="233"/>
        <v>2019-LTK-FRD-F150-043</v>
      </c>
    </row>
    <row r="2117" spans="1:40" s="572" customFormat="1" ht="15">
      <c r="A2117" s="570" t="s">
        <v>3940</v>
      </c>
      <c r="B2117" s="573" t="s">
        <v>3926</v>
      </c>
      <c r="C2117" s="573" t="s">
        <v>287</v>
      </c>
      <c r="D2117" s="578">
        <v>26</v>
      </c>
      <c r="E2117" s="573" t="s">
        <v>3374</v>
      </c>
      <c r="F2117" s="573" t="s">
        <v>152</v>
      </c>
      <c r="G2117" s="573" t="s">
        <v>271</v>
      </c>
      <c r="H2117" s="573">
        <v>2019</v>
      </c>
      <c r="I2117" s="573" t="s">
        <v>3765</v>
      </c>
      <c r="J2117" s="573" t="s">
        <v>3916</v>
      </c>
      <c r="K2117" s="573" t="s">
        <v>3377</v>
      </c>
      <c r="L2117" s="573">
        <v>3</v>
      </c>
      <c r="M2117" s="573">
        <v>0</v>
      </c>
      <c r="N2117" s="573" t="s">
        <v>157</v>
      </c>
      <c r="O2117" s="573">
        <v>1</v>
      </c>
      <c r="P2117" s="573" t="s">
        <v>3846</v>
      </c>
      <c r="Q2117" s="571">
        <v>7600</v>
      </c>
      <c r="R2117" s="573" t="s">
        <v>3841</v>
      </c>
      <c r="S2117" s="573">
        <v>6</v>
      </c>
      <c r="T2117" s="573" t="s">
        <v>3838</v>
      </c>
      <c r="U2117" s="573" t="s">
        <v>318</v>
      </c>
      <c r="V2117" s="573">
        <v>141.1</v>
      </c>
      <c r="W2117" s="573">
        <v>23</v>
      </c>
      <c r="X2117" s="571">
        <v>6100</v>
      </c>
      <c r="Y2117" s="573">
        <v>22</v>
      </c>
      <c r="Z2117" s="579" t="s">
        <v>178</v>
      </c>
      <c r="AA2117" s="579" t="s">
        <v>178</v>
      </c>
      <c r="AB2117" s="584">
        <v>36950</v>
      </c>
      <c r="AC2117" s="584" t="s">
        <v>164</v>
      </c>
      <c r="AD2117" s="584">
        <v>27103</v>
      </c>
      <c r="AE2117" s="586">
        <v>0.05</v>
      </c>
      <c r="AF2117" s="661" t="str">
        <f t="shared" si="227"/>
        <v>2019-LTK-FRD-F150-045-26</v>
      </c>
      <c r="AG2117" s="661" t="str">
        <f>IF(AND($Y2117&gt;=32,(AI2117="I"),(Y2117&lt;&gt;"~"),(COUNTIF($AN$1:$AN2117,$AN2117)=1)),"TRUE","FALSE")</f>
        <v>FALSE</v>
      </c>
      <c r="AH2117" s="661" t="str">
        <f>IF(AND($Y2117&gt;=22, (AI2117&lt;&gt;"I"),(Y2117&lt;&gt;"~"),(COUNTIF($AN$1:$AN2117,$AN2117)=1)),"TRUE","FALSE")</f>
        <v>FALSE</v>
      </c>
      <c r="AI2117" s="661" t="str">
        <f t="shared" si="229"/>
        <v>II</v>
      </c>
      <c r="AJ2117" s="662" t="str">
        <f t="shared" si="230"/>
        <v>F150-045</v>
      </c>
      <c r="AK2117" s="662" t="str">
        <f t="shared" si="231"/>
        <v>LTK</v>
      </c>
      <c r="AL2117" s="662" t="str">
        <f t="shared" si="232"/>
        <v>FRD</v>
      </c>
      <c r="AM2117" s="662" t="str">
        <f t="shared" si="228"/>
        <v>F150-Regular Cab XLT-2WD-3-8'-7600-2.7L EcoBoost-6-F1C-300A-141.1-23-Unleaded-Unleaded</v>
      </c>
      <c r="AN2117" s="662" t="str">
        <f t="shared" si="233"/>
        <v>2019-LTK-FRD-F150-045</v>
      </c>
    </row>
    <row r="2118" spans="1:40" s="572" customFormat="1" ht="15">
      <c r="A2118" s="570" t="s">
        <v>3941</v>
      </c>
      <c r="B2118" s="569" t="s">
        <v>3942</v>
      </c>
      <c r="C2118" s="569" t="s">
        <v>287</v>
      </c>
      <c r="D2118" s="580">
        <v>26</v>
      </c>
      <c r="E2118" s="569" t="s">
        <v>3374</v>
      </c>
      <c r="F2118" s="569" t="s">
        <v>152</v>
      </c>
      <c r="G2118" s="569" t="s">
        <v>271</v>
      </c>
      <c r="H2118" s="569">
        <v>2019</v>
      </c>
      <c r="I2118" s="569" t="s">
        <v>3765</v>
      </c>
      <c r="J2118" s="569" t="s">
        <v>3916</v>
      </c>
      <c r="K2118" s="569" t="s">
        <v>3377</v>
      </c>
      <c r="L2118" s="569">
        <v>3</v>
      </c>
      <c r="M2118" s="569">
        <v>0</v>
      </c>
      <c r="N2118" s="569" t="s">
        <v>157</v>
      </c>
      <c r="O2118" s="569">
        <v>1</v>
      </c>
      <c r="P2118" s="569" t="s">
        <v>3846</v>
      </c>
      <c r="Q2118" s="568">
        <v>7700</v>
      </c>
      <c r="R2118" s="569" t="s">
        <v>3867</v>
      </c>
      <c r="S2118" s="569">
        <v>6</v>
      </c>
      <c r="T2118" s="569" t="s">
        <v>3838</v>
      </c>
      <c r="U2118" s="569" t="s">
        <v>318</v>
      </c>
      <c r="V2118" s="569">
        <v>141.1</v>
      </c>
      <c r="W2118" s="569">
        <v>23</v>
      </c>
      <c r="X2118" s="568">
        <v>6100</v>
      </c>
      <c r="Y2118" s="569">
        <v>20</v>
      </c>
      <c r="Z2118" s="581" t="s">
        <v>178</v>
      </c>
      <c r="AA2118" s="581" t="s">
        <v>178</v>
      </c>
      <c r="AB2118" s="585">
        <v>35955</v>
      </c>
      <c r="AC2118" s="585" t="s">
        <v>164</v>
      </c>
      <c r="AD2118" s="585">
        <v>26197</v>
      </c>
      <c r="AE2118" s="587">
        <v>0.05</v>
      </c>
      <c r="AF2118" s="661" t="str">
        <f t="shared" si="227"/>
        <v>2019-LTK-FRD-F150-046-26</v>
      </c>
      <c r="AG2118" s="661" t="str">
        <f>IF(AND($Y2118&gt;=32,(AI2118="I"),(Y2118&lt;&gt;"~"),(COUNTIF($AN$1:$AN2118,$AN2118)=1)),"TRUE","FALSE")</f>
        <v>FALSE</v>
      </c>
      <c r="AH2118" s="661" t="str">
        <f>IF(AND($Y2118&gt;=22, (AI2118&lt;&gt;"I"),(Y2118&lt;&gt;"~"),(COUNTIF($AN$1:$AN2118,$AN2118)=1)),"TRUE","FALSE")</f>
        <v>FALSE</v>
      </c>
      <c r="AI2118" s="661" t="str">
        <f t="shared" si="229"/>
        <v>II</v>
      </c>
      <c r="AJ2118" s="662" t="str">
        <f t="shared" si="230"/>
        <v>F150-046</v>
      </c>
      <c r="AK2118" s="662" t="str">
        <f t="shared" si="231"/>
        <v>LTK</v>
      </c>
      <c r="AL2118" s="662" t="str">
        <f t="shared" si="232"/>
        <v>FRD</v>
      </c>
      <c r="AM2118" s="662" t="str">
        <f t="shared" si="228"/>
        <v>F150-Regular Cab XLT-2WD-3-8'-7700-3.3L Ti-VCT-6-F1C-300A-141.1-23-Unleaded-Unleaded</v>
      </c>
      <c r="AN2118" s="662" t="str">
        <f t="shared" si="233"/>
        <v>2019-LTK-FRD-F150-046</v>
      </c>
    </row>
    <row r="2119" spans="1:40" s="572" customFormat="1" ht="15">
      <c r="A2119" s="570" t="s">
        <v>3943</v>
      </c>
      <c r="B2119" s="573" t="s">
        <v>3928</v>
      </c>
      <c r="C2119" s="573" t="s">
        <v>287</v>
      </c>
      <c r="D2119" s="578">
        <v>26</v>
      </c>
      <c r="E2119" s="573" t="s">
        <v>3374</v>
      </c>
      <c r="F2119" s="573" t="s">
        <v>152</v>
      </c>
      <c r="G2119" s="573" t="s">
        <v>271</v>
      </c>
      <c r="H2119" s="573">
        <v>2019</v>
      </c>
      <c r="I2119" s="573" t="s">
        <v>3765</v>
      </c>
      <c r="J2119" s="573" t="s">
        <v>3916</v>
      </c>
      <c r="K2119" s="573" t="s">
        <v>3377</v>
      </c>
      <c r="L2119" s="573">
        <v>3</v>
      </c>
      <c r="M2119" s="573">
        <v>0</v>
      </c>
      <c r="N2119" s="573" t="s">
        <v>157</v>
      </c>
      <c r="O2119" s="573">
        <v>1</v>
      </c>
      <c r="P2119" s="573" t="s">
        <v>3846</v>
      </c>
      <c r="Q2119" s="571">
        <v>9100</v>
      </c>
      <c r="R2119" s="573" t="s">
        <v>3778</v>
      </c>
      <c r="S2119" s="573">
        <v>8</v>
      </c>
      <c r="T2119" s="573" t="s">
        <v>3838</v>
      </c>
      <c r="U2119" s="573" t="s">
        <v>318</v>
      </c>
      <c r="V2119" s="573">
        <v>141.1</v>
      </c>
      <c r="W2119" s="573">
        <v>23</v>
      </c>
      <c r="X2119" s="571">
        <v>6750</v>
      </c>
      <c r="Y2119" s="573">
        <v>18</v>
      </c>
      <c r="Z2119" s="579" t="s">
        <v>450</v>
      </c>
      <c r="AA2119" s="579" t="s">
        <v>178</v>
      </c>
      <c r="AB2119" s="584">
        <v>37950</v>
      </c>
      <c r="AC2119" s="584" t="s">
        <v>164</v>
      </c>
      <c r="AD2119" s="584">
        <v>28013</v>
      </c>
      <c r="AE2119" s="586">
        <v>0.05</v>
      </c>
      <c r="AF2119" s="661" t="str">
        <f t="shared" si="227"/>
        <v>2019-LTK-FRD-F150-047-26</v>
      </c>
      <c r="AG2119" s="661" t="str">
        <f>IF(AND($Y2119&gt;=32,(AI2119="I"),(Y2119&lt;&gt;"~"),(COUNTIF($AN$1:$AN2119,$AN2119)=1)),"TRUE","FALSE")</f>
        <v>FALSE</v>
      </c>
      <c r="AH2119" s="661" t="str">
        <f>IF(AND($Y2119&gt;=22, (AI2119&lt;&gt;"I"),(Y2119&lt;&gt;"~"),(COUNTIF($AN$1:$AN2119,$AN2119)=1)),"TRUE","FALSE")</f>
        <v>FALSE</v>
      </c>
      <c r="AI2119" s="661" t="str">
        <f t="shared" si="229"/>
        <v>II</v>
      </c>
      <c r="AJ2119" s="662" t="str">
        <f t="shared" si="230"/>
        <v>F150-047</v>
      </c>
      <c r="AK2119" s="662" t="str">
        <f t="shared" si="231"/>
        <v>LTK</v>
      </c>
      <c r="AL2119" s="662" t="str">
        <f t="shared" si="232"/>
        <v>FRD</v>
      </c>
      <c r="AM2119" s="662" t="str">
        <f t="shared" si="228"/>
        <v>F150-Regular Cab XLT-2WD-3-8'-9100-5.0L FFV-8-F1C-300A-141.1-23-E85-Unleaded</v>
      </c>
      <c r="AN2119" s="662" t="str">
        <f t="shared" si="233"/>
        <v>2019-LTK-FRD-F150-047</v>
      </c>
    </row>
    <row r="2120" spans="1:40" s="572" customFormat="1" ht="15">
      <c r="A2120" s="570" t="s">
        <v>3944</v>
      </c>
      <c r="B2120" s="569" t="s">
        <v>3915</v>
      </c>
      <c r="C2120" s="569" t="s">
        <v>280</v>
      </c>
      <c r="D2120" s="580">
        <v>27</v>
      </c>
      <c r="E2120" s="569" t="s">
        <v>3374</v>
      </c>
      <c r="F2120" s="569" t="s">
        <v>152</v>
      </c>
      <c r="G2120" s="569" t="s">
        <v>271</v>
      </c>
      <c r="H2120" s="569">
        <v>2019</v>
      </c>
      <c r="I2120" s="569" t="s">
        <v>3765</v>
      </c>
      <c r="J2120" s="569" t="s">
        <v>3916</v>
      </c>
      <c r="K2120" s="569" t="s">
        <v>3377</v>
      </c>
      <c r="L2120" s="569">
        <v>3</v>
      </c>
      <c r="M2120" s="569">
        <v>0</v>
      </c>
      <c r="N2120" s="569" t="s">
        <v>157</v>
      </c>
      <c r="O2120" s="569">
        <v>1</v>
      </c>
      <c r="P2120" s="569" t="s">
        <v>3781</v>
      </c>
      <c r="Q2120" s="568">
        <v>5100</v>
      </c>
      <c r="R2120" s="569" t="s">
        <v>3772</v>
      </c>
      <c r="S2120" s="569">
        <v>6</v>
      </c>
      <c r="T2120" s="569" t="s">
        <v>3838</v>
      </c>
      <c r="U2120" s="569" t="s">
        <v>318</v>
      </c>
      <c r="V2120" s="569">
        <v>122.4</v>
      </c>
      <c r="W2120" s="569">
        <v>23</v>
      </c>
      <c r="X2120" s="568">
        <v>6010</v>
      </c>
      <c r="Y2120" s="569">
        <v>22</v>
      </c>
      <c r="Z2120" s="581" t="s">
        <v>450</v>
      </c>
      <c r="AA2120" s="581" t="s">
        <v>178</v>
      </c>
      <c r="AB2120" s="585">
        <v>35655</v>
      </c>
      <c r="AC2120" s="585" t="s">
        <v>164</v>
      </c>
      <c r="AD2120" s="585">
        <v>25448.084210526318</v>
      </c>
      <c r="AE2120" s="587">
        <v>0.03</v>
      </c>
      <c r="AF2120" s="661" t="str">
        <f t="shared" ref="AF2120:AF2183" si="234">A2120</f>
        <v>2019-LTK-FRD-F150-039-27</v>
      </c>
      <c r="AG2120" s="661" t="str">
        <f>IF(AND($Y2120&gt;=32,(AI2120="I"),(Y2120&lt;&gt;"~"),(COUNTIF($AN$1:$AN2120,$AN2120)=1)),"TRUE","FALSE")</f>
        <v>FALSE</v>
      </c>
      <c r="AH2120" s="661" t="str">
        <f>IF(AND($Y2120&gt;=22, (AI2120&lt;&gt;"I"),(Y2120&lt;&gt;"~"),(COUNTIF($AN$1:$AN2120,$AN2120)=1)),"TRUE","FALSE")</f>
        <v>FALSE</v>
      </c>
      <c r="AI2120" s="661" t="str">
        <f t="shared" si="229"/>
        <v>II</v>
      </c>
      <c r="AJ2120" s="662" t="str">
        <f t="shared" si="230"/>
        <v>F150-039</v>
      </c>
      <c r="AK2120" s="662" t="str">
        <f t="shared" si="231"/>
        <v>LTK</v>
      </c>
      <c r="AL2120" s="662" t="str">
        <f t="shared" si="232"/>
        <v>FRD</v>
      </c>
      <c r="AM2120" s="662" t="str">
        <f t="shared" si="228"/>
        <v>F150-Regular Cab XLT-2WD-3-6'5"-5100-3.3L FFV-6-F1C-300A-122.4-23-E85-Unleaded</v>
      </c>
      <c r="AN2120" s="662" t="str">
        <f t="shared" si="233"/>
        <v>2019-LTK-FRD-F150-039</v>
      </c>
    </row>
    <row r="2121" spans="1:40" s="572" customFormat="1" ht="15">
      <c r="A2121" s="570" t="s">
        <v>3945</v>
      </c>
      <c r="B2121" s="573" t="s">
        <v>3918</v>
      </c>
      <c r="C2121" s="573" t="s">
        <v>280</v>
      </c>
      <c r="D2121" s="578">
        <v>27</v>
      </c>
      <c r="E2121" s="573" t="s">
        <v>3374</v>
      </c>
      <c r="F2121" s="573" t="s">
        <v>152</v>
      </c>
      <c r="G2121" s="573" t="s">
        <v>271</v>
      </c>
      <c r="H2121" s="573">
        <v>2019</v>
      </c>
      <c r="I2121" s="573" t="s">
        <v>3765</v>
      </c>
      <c r="J2121" s="573" t="s">
        <v>3916</v>
      </c>
      <c r="K2121" s="573" t="s">
        <v>3377</v>
      </c>
      <c r="L2121" s="573">
        <v>3</v>
      </c>
      <c r="M2121" s="573">
        <v>0</v>
      </c>
      <c r="N2121" s="573" t="s">
        <v>157</v>
      </c>
      <c r="O2121" s="573">
        <v>1</v>
      </c>
      <c r="P2121" s="573" t="s">
        <v>3781</v>
      </c>
      <c r="Q2121" s="571">
        <v>7600</v>
      </c>
      <c r="R2121" s="573" t="s">
        <v>3841</v>
      </c>
      <c r="S2121" s="573">
        <v>6</v>
      </c>
      <c r="T2121" s="573" t="s">
        <v>3838</v>
      </c>
      <c r="U2121" s="573" t="s">
        <v>318</v>
      </c>
      <c r="V2121" s="573">
        <v>122.4</v>
      </c>
      <c r="W2121" s="573">
        <v>23</v>
      </c>
      <c r="X2121" s="571">
        <v>6010</v>
      </c>
      <c r="Y2121" s="573">
        <v>22</v>
      </c>
      <c r="Z2121" s="579" t="s">
        <v>178</v>
      </c>
      <c r="AA2121" s="579" t="s">
        <v>178</v>
      </c>
      <c r="AB2121" s="584">
        <v>36650</v>
      </c>
      <c r="AC2121" s="584" t="s">
        <v>164</v>
      </c>
      <c r="AD2121" s="584">
        <v>26341.768421052631</v>
      </c>
      <c r="AE2121" s="586">
        <v>0.03</v>
      </c>
      <c r="AF2121" s="661" t="str">
        <f t="shared" si="234"/>
        <v>2019-LTK-FRD-F150-040-27</v>
      </c>
      <c r="AG2121" s="661" t="str">
        <f>IF(AND($Y2121&gt;=32,(AI2121="I"),(Y2121&lt;&gt;"~"),(COUNTIF($AN$1:$AN2121,$AN2121)=1)),"TRUE","FALSE")</f>
        <v>FALSE</v>
      </c>
      <c r="AH2121" s="661" t="str">
        <f>IF(AND($Y2121&gt;=22, (AI2121&lt;&gt;"I"),(Y2121&lt;&gt;"~"),(COUNTIF($AN$1:$AN2121,$AN2121)=1)),"TRUE","FALSE")</f>
        <v>FALSE</v>
      </c>
      <c r="AI2121" s="661" t="str">
        <f t="shared" si="229"/>
        <v>II</v>
      </c>
      <c r="AJ2121" s="662" t="str">
        <f t="shared" si="230"/>
        <v>F150-040</v>
      </c>
      <c r="AK2121" s="662" t="str">
        <f t="shared" si="231"/>
        <v>LTK</v>
      </c>
      <c r="AL2121" s="662" t="str">
        <f t="shared" si="232"/>
        <v>FRD</v>
      </c>
      <c r="AM2121" s="662" t="str">
        <f t="shared" si="228"/>
        <v>F150-Regular Cab XLT-2WD-3-6'5"-7600-2.7L EcoBoost-6-F1C-300A-122.4-23-Unleaded-Unleaded</v>
      </c>
      <c r="AN2121" s="662" t="str">
        <f t="shared" si="233"/>
        <v>2019-LTK-FRD-F150-040</v>
      </c>
    </row>
    <row r="2122" spans="1:40" s="572" customFormat="1" ht="15">
      <c r="A2122" s="570" t="s">
        <v>3946</v>
      </c>
      <c r="B2122" s="569" t="s">
        <v>3920</v>
      </c>
      <c r="C2122" s="569" t="s">
        <v>280</v>
      </c>
      <c r="D2122" s="580">
        <v>27</v>
      </c>
      <c r="E2122" s="569" t="s">
        <v>3374</v>
      </c>
      <c r="F2122" s="569" t="s">
        <v>152</v>
      </c>
      <c r="G2122" s="569" t="s">
        <v>271</v>
      </c>
      <c r="H2122" s="569">
        <v>2019</v>
      </c>
      <c r="I2122" s="569" t="s">
        <v>3765</v>
      </c>
      <c r="J2122" s="569" t="s">
        <v>3916</v>
      </c>
      <c r="K2122" s="569" t="s">
        <v>3377</v>
      </c>
      <c r="L2122" s="569">
        <v>3</v>
      </c>
      <c r="M2122" s="569">
        <v>0</v>
      </c>
      <c r="N2122" s="569" t="s">
        <v>157</v>
      </c>
      <c r="O2122" s="569">
        <v>1</v>
      </c>
      <c r="P2122" s="569" t="s">
        <v>3781</v>
      </c>
      <c r="Q2122" s="568">
        <v>8400</v>
      </c>
      <c r="R2122" s="569" t="s">
        <v>3778</v>
      </c>
      <c r="S2122" s="569">
        <v>8</v>
      </c>
      <c r="T2122" s="569" t="s">
        <v>3838</v>
      </c>
      <c r="U2122" s="569" t="s">
        <v>318</v>
      </c>
      <c r="V2122" s="569">
        <v>122.4</v>
      </c>
      <c r="W2122" s="569">
        <v>23</v>
      </c>
      <c r="X2122" s="568">
        <v>6200</v>
      </c>
      <c r="Y2122" s="569">
        <v>19</v>
      </c>
      <c r="Z2122" s="581" t="s">
        <v>450</v>
      </c>
      <c r="AA2122" s="581" t="s">
        <v>178</v>
      </c>
      <c r="AB2122" s="585">
        <v>37650</v>
      </c>
      <c r="AC2122" s="585" t="s">
        <v>164</v>
      </c>
      <c r="AD2122" s="585">
        <v>27238.610526315792</v>
      </c>
      <c r="AE2122" s="587">
        <v>0.03</v>
      </c>
      <c r="AF2122" s="661" t="str">
        <f t="shared" si="234"/>
        <v>2019-LTK-FRD-F150-042-27</v>
      </c>
      <c r="AG2122" s="661" t="str">
        <f>IF(AND($Y2122&gt;=32,(AI2122="I"),(Y2122&lt;&gt;"~"),(COUNTIF($AN$1:$AN2122,$AN2122)=1)),"TRUE","FALSE")</f>
        <v>FALSE</v>
      </c>
      <c r="AH2122" s="661" t="str">
        <f>IF(AND($Y2122&gt;=22, (AI2122&lt;&gt;"I"),(Y2122&lt;&gt;"~"),(COUNTIF($AN$1:$AN2122,$AN2122)=1)),"TRUE","FALSE")</f>
        <v>FALSE</v>
      </c>
      <c r="AI2122" s="661" t="str">
        <f t="shared" si="229"/>
        <v>II</v>
      </c>
      <c r="AJ2122" s="662" t="str">
        <f t="shared" si="230"/>
        <v>F150-042</v>
      </c>
      <c r="AK2122" s="662" t="str">
        <f t="shared" si="231"/>
        <v>LTK</v>
      </c>
      <c r="AL2122" s="662" t="str">
        <f t="shared" si="232"/>
        <v>FRD</v>
      </c>
      <c r="AM2122" s="662" t="str">
        <f t="shared" si="228"/>
        <v>F150-Regular Cab XLT-2WD-3-6'5"-8400-5.0L FFV-8-F1C-300A-122.4-23-E85-Unleaded</v>
      </c>
      <c r="AN2122" s="662" t="str">
        <f t="shared" si="233"/>
        <v>2019-LTK-FRD-F150-042</v>
      </c>
    </row>
    <row r="2123" spans="1:40" s="572" customFormat="1" ht="15">
      <c r="A2123" s="570" t="s">
        <v>3947</v>
      </c>
      <c r="B2123" s="573" t="s">
        <v>3922</v>
      </c>
      <c r="C2123" s="573" t="s">
        <v>280</v>
      </c>
      <c r="D2123" s="578">
        <v>27</v>
      </c>
      <c r="E2123" s="573" t="s">
        <v>3374</v>
      </c>
      <c r="F2123" s="573" t="s">
        <v>152</v>
      </c>
      <c r="G2123" s="573" t="s">
        <v>271</v>
      </c>
      <c r="H2123" s="573">
        <v>2019</v>
      </c>
      <c r="I2123" s="573" t="s">
        <v>3765</v>
      </c>
      <c r="J2123" s="573" t="s">
        <v>3916</v>
      </c>
      <c r="K2123" s="573" t="s">
        <v>3377</v>
      </c>
      <c r="L2123" s="573">
        <v>3</v>
      </c>
      <c r="M2123" s="573">
        <v>0</v>
      </c>
      <c r="N2123" s="573" t="s">
        <v>157</v>
      </c>
      <c r="O2123" s="573">
        <v>1</v>
      </c>
      <c r="P2123" s="573" t="s">
        <v>3846</v>
      </c>
      <c r="Q2123" s="571">
        <v>10700</v>
      </c>
      <c r="R2123" s="573" t="s">
        <v>1259</v>
      </c>
      <c r="S2123" s="573">
        <v>6</v>
      </c>
      <c r="T2123" s="573" t="s">
        <v>3838</v>
      </c>
      <c r="U2123" s="573" t="s">
        <v>318</v>
      </c>
      <c r="V2123" s="573">
        <v>141.1</v>
      </c>
      <c r="W2123" s="573">
        <v>23</v>
      </c>
      <c r="X2123" s="571">
        <v>7050</v>
      </c>
      <c r="Y2123" s="573">
        <v>21</v>
      </c>
      <c r="Z2123" s="579" t="s">
        <v>178</v>
      </c>
      <c r="AA2123" s="579" t="s">
        <v>178</v>
      </c>
      <c r="AB2123" s="584">
        <v>38550</v>
      </c>
      <c r="AC2123" s="584" t="s">
        <v>164</v>
      </c>
      <c r="AD2123" s="584">
        <v>28049.136842105265</v>
      </c>
      <c r="AE2123" s="586">
        <v>0.03</v>
      </c>
      <c r="AF2123" s="661" t="str">
        <f t="shared" si="234"/>
        <v>2019-LTK-FRD-F150-043-27</v>
      </c>
      <c r="AG2123" s="661" t="str">
        <f>IF(AND($Y2123&gt;=32,(AI2123="I"),(Y2123&lt;&gt;"~"),(COUNTIF($AN$1:$AN2123,$AN2123)=1)),"TRUE","FALSE")</f>
        <v>FALSE</v>
      </c>
      <c r="AH2123" s="661" t="str">
        <f>IF(AND($Y2123&gt;=22, (AI2123&lt;&gt;"I"),(Y2123&lt;&gt;"~"),(COUNTIF($AN$1:$AN2123,$AN2123)=1)),"TRUE","FALSE")</f>
        <v>FALSE</v>
      </c>
      <c r="AI2123" s="661" t="str">
        <f t="shared" si="229"/>
        <v>II</v>
      </c>
      <c r="AJ2123" s="662" t="str">
        <f t="shared" si="230"/>
        <v>F150-043</v>
      </c>
      <c r="AK2123" s="662" t="str">
        <f t="shared" si="231"/>
        <v>LTK</v>
      </c>
      <c r="AL2123" s="662" t="str">
        <f t="shared" si="232"/>
        <v>FRD</v>
      </c>
      <c r="AM2123" s="662" t="str">
        <f t="shared" si="228"/>
        <v>F150-Regular Cab XLT-2WD-3-8'-10700-3.5L EcoBoost-6-F1C-300A-141.1-23-Unleaded-Unleaded</v>
      </c>
      <c r="AN2123" s="662" t="str">
        <f t="shared" si="233"/>
        <v>2019-LTK-FRD-F150-043</v>
      </c>
    </row>
    <row r="2124" spans="1:40" s="572" customFormat="1" ht="15">
      <c r="A2124" s="570" t="s">
        <v>3948</v>
      </c>
      <c r="B2124" s="569" t="s">
        <v>3924</v>
      </c>
      <c r="C2124" s="569" t="s">
        <v>280</v>
      </c>
      <c r="D2124" s="580">
        <v>27</v>
      </c>
      <c r="E2124" s="569" t="s">
        <v>3374</v>
      </c>
      <c r="F2124" s="569" t="s">
        <v>152</v>
      </c>
      <c r="G2124" s="569" t="s">
        <v>271</v>
      </c>
      <c r="H2124" s="569">
        <v>2019</v>
      </c>
      <c r="I2124" s="569" t="s">
        <v>3765</v>
      </c>
      <c r="J2124" s="569" t="s">
        <v>3916</v>
      </c>
      <c r="K2124" s="569" t="s">
        <v>3377</v>
      </c>
      <c r="L2124" s="569">
        <v>3</v>
      </c>
      <c r="M2124" s="569">
        <v>0</v>
      </c>
      <c r="N2124" s="569" t="s">
        <v>157</v>
      </c>
      <c r="O2124" s="569">
        <v>1</v>
      </c>
      <c r="P2124" s="569" t="s">
        <v>3846</v>
      </c>
      <c r="Q2124" s="568">
        <v>5100</v>
      </c>
      <c r="R2124" s="569" t="s">
        <v>3772</v>
      </c>
      <c r="S2124" s="569">
        <v>6</v>
      </c>
      <c r="T2124" s="569" t="s">
        <v>3838</v>
      </c>
      <c r="U2124" s="569" t="s">
        <v>318</v>
      </c>
      <c r="V2124" s="569">
        <v>141.1</v>
      </c>
      <c r="W2124" s="569">
        <v>23</v>
      </c>
      <c r="X2124" s="568">
        <v>6100</v>
      </c>
      <c r="Y2124" s="569">
        <v>22</v>
      </c>
      <c r="Z2124" s="581" t="s">
        <v>450</v>
      </c>
      <c r="AA2124" s="581" t="s">
        <v>178</v>
      </c>
      <c r="AB2124" s="585">
        <v>35955</v>
      </c>
      <c r="AC2124" s="585" t="s">
        <v>164</v>
      </c>
      <c r="AD2124" s="585">
        <v>25719.663157894738</v>
      </c>
      <c r="AE2124" s="587">
        <v>0.03</v>
      </c>
      <c r="AF2124" s="661" t="str">
        <f t="shared" si="234"/>
        <v>2019-LTK-FRD-F150-044-27</v>
      </c>
      <c r="AG2124" s="661" t="str">
        <f>IF(AND($Y2124&gt;=32,(AI2124="I"),(Y2124&lt;&gt;"~"),(COUNTIF($AN$1:$AN2124,$AN2124)=1)),"TRUE","FALSE")</f>
        <v>FALSE</v>
      </c>
      <c r="AH2124" s="661" t="str">
        <f>IF(AND($Y2124&gt;=22, (AI2124&lt;&gt;"I"),(Y2124&lt;&gt;"~"),(COUNTIF($AN$1:$AN2124,$AN2124)=1)),"TRUE","FALSE")</f>
        <v>FALSE</v>
      </c>
      <c r="AI2124" s="661" t="str">
        <f t="shared" si="229"/>
        <v>II</v>
      </c>
      <c r="AJ2124" s="662" t="str">
        <f t="shared" si="230"/>
        <v>F150-044</v>
      </c>
      <c r="AK2124" s="662" t="str">
        <f t="shared" si="231"/>
        <v>LTK</v>
      </c>
      <c r="AL2124" s="662" t="str">
        <f t="shared" si="232"/>
        <v>FRD</v>
      </c>
      <c r="AM2124" s="662" t="str">
        <f t="shared" si="228"/>
        <v>F150-Regular Cab XLT-2WD-3-8'-5100-3.3L FFV-6-F1C-300A-141.1-23-E85-Unleaded</v>
      </c>
      <c r="AN2124" s="662" t="str">
        <f t="shared" si="233"/>
        <v>2019-LTK-FRD-F150-044</v>
      </c>
    </row>
    <row r="2125" spans="1:40" s="572" customFormat="1" ht="15">
      <c r="A2125" s="570" t="s">
        <v>3949</v>
      </c>
      <c r="B2125" s="573" t="s">
        <v>3926</v>
      </c>
      <c r="C2125" s="573" t="s">
        <v>280</v>
      </c>
      <c r="D2125" s="578">
        <v>27</v>
      </c>
      <c r="E2125" s="573" t="s">
        <v>3374</v>
      </c>
      <c r="F2125" s="573" t="s">
        <v>152</v>
      </c>
      <c r="G2125" s="573" t="s">
        <v>271</v>
      </c>
      <c r="H2125" s="573">
        <v>2019</v>
      </c>
      <c r="I2125" s="573" t="s">
        <v>3765</v>
      </c>
      <c r="J2125" s="573" t="s">
        <v>3916</v>
      </c>
      <c r="K2125" s="573" t="s">
        <v>3377</v>
      </c>
      <c r="L2125" s="573">
        <v>3</v>
      </c>
      <c r="M2125" s="573">
        <v>0</v>
      </c>
      <c r="N2125" s="573" t="s">
        <v>157</v>
      </c>
      <c r="O2125" s="573">
        <v>1</v>
      </c>
      <c r="P2125" s="573" t="s">
        <v>3846</v>
      </c>
      <c r="Q2125" s="571">
        <v>7600</v>
      </c>
      <c r="R2125" s="573" t="s">
        <v>3841</v>
      </c>
      <c r="S2125" s="573">
        <v>6</v>
      </c>
      <c r="T2125" s="573" t="s">
        <v>3838</v>
      </c>
      <c r="U2125" s="573" t="s">
        <v>318</v>
      </c>
      <c r="V2125" s="573">
        <v>141.1</v>
      </c>
      <c r="W2125" s="573">
        <v>23</v>
      </c>
      <c r="X2125" s="571">
        <v>6100</v>
      </c>
      <c r="Y2125" s="573">
        <v>22</v>
      </c>
      <c r="Z2125" s="579" t="s">
        <v>178</v>
      </c>
      <c r="AA2125" s="579" t="s">
        <v>178</v>
      </c>
      <c r="AB2125" s="584">
        <v>36950</v>
      </c>
      <c r="AC2125" s="584" t="s">
        <v>164</v>
      </c>
      <c r="AD2125" s="584">
        <v>26613.347368421055</v>
      </c>
      <c r="AE2125" s="586">
        <v>0.03</v>
      </c>
      <c r="AF2125" s="661" t="str">
        <f t="shared" si="234"/>
        <v>2019-LTK-FRD-F150-045-27</v>
      </c>
      <c r="AG2125" s="661" t="str">
        <f>IF(AND($Y2125&gt;=32,(AI2125="I"),(Y2125&lt;&gt;"~"),(COUNTIF($AN$1:$AN2125,$AN2125)=1)),"TRUE","FALSE")</f>
        <v>FALSE</v>
      </c>
      <c r="AH2125" s="661" t="str">
        <f>IF(AND($Y2125&gt;=22, (AI2125&lt;&gt;"I"),(Y2125&lt;&gt;"~"),(COUNTIF($AN$1:$AN2125,$AN2125)=1)),"TRUE","FALSE")</f>
        <v>FALSE</v>
      </c>
      <c r="AI2125" s="661" t="str">
        <f t="shared" si="229"/>
        <v>II</v>
      </c>
      <c r="AJ2125" s="662" t="str">
        <f t="shared" si="230"/>
        <v>F150-045</v>
      </c>
      <c r="AK2125" s="662" t="str">
        <f t="shared" si="231"/>
        <v>LTK</v>
      </c>
      <c r="AL2125" s="662" t="str">
        <f t="shared" si="232"/>
        <v>FRD</v>
      </c>
      <c r="AM2125" s="662" t="str">
        <f t="shared" si="228"/>
        <v>F150-Regular Cab XLT-2WD-3-8'-7600-2.7L EcoBoost-6-F1C-300A-141.1-23-Unleaded-Unleaded</v>
      </c>
      <c r="AN2125" s="662" t="str">
        <f t="shared" si="233"/>
        <v>2019-LTK-FRD-F150-045</v>
      </c>
    </row>
    <row r="2126" spans="1:40" s="572" customFormat="1" ht="15">
      <c r="A2126" s="570" t="s">
        <v>3950</v>
      </c>
      <c r="B2126" s="569" t="s">
        <v>3928</v>
      </c>
      <c r="C2126" s="569" t="s">
        <v>280</v>
      </c>
      <c r="D2126" s="580">
        <v>27</v>
      </c>
      <c r="E2126" s="569" t="s">
        <v>3374</v>
      </c>
      <c r="F2126" s="569" t="s">
        <v>152</v>
      </c>
      <c r="G2126" s="569" t="s">
        <v>271</v>
      </c>
      <c r="H2126" s="569">
        <v>2019</v>
      </c>
      <c r="I2126" s="569" t="s">
        <v>3765</v>
      </c>
      <c r="J2126" s="569" t="s">
        <v>3916</v>
      </c>
      <c r="K2126" s="569" t="s">
        <v>3377</v>
      </c>
      <c r="L2126" s="569">
        <v>3</v>
      </c>
      <c r="M2126" s="569">
        <v>0</v>
      </c>
      <c r="N2126" s="569" t="s">
        <v>157</v>
      </c>
      <c r="O2126" s="569">
        <v>1</v>
      </c>
      <c r="P2126" s="569" t="s">
        <v>3846</v>
      </c>
      <c r="Q2126" s="568">
        <v>9100</v>
      </c>
      <c r="R2126" s="569" t="s">
        <v>3778</v>
      </c>
      <c r="S2126" s="569">
        <v>8</v>
      </c>
      <c r="T2126" s="569" t="s">
        <v>3838</v>
      </c>
      <c r="U2126" s="569" t="s">
        <v>318</v>
      </c>
      <c r="V2126" s="569">
        <v>141.1</v>
      </c>
      <c r="W2126" s="569">
        <v>23</v>
      </c>
      <c r="X2126" s="568">
        <v>6750</v>
      </c>
      <c r="Y2126" s="569">
        <v>19</v>
      </c>
      <c r="Z2126" s="581" t="s">
        <v>450</v>
      </c>
      <c r="AA2126" s="581" t="s">
        <v>178</v>
      </c>
      <c r="AB2126" s="585">
        <v>37950</v>
      </c>
      <c r="AC2126" s="585" t="s">
        <v>164</v>
      </c>
      <c r="AD2126" s="585">
        <v>27510.189473684211</v>
      </c>
      <c r="AE2126" s="587">
        <v>0.03</v>
      </c>
      <c r="AF2126" s="661" t="str">
        <f t="shared" si="234"/>
        <v>2019-LTK-FRD-F150-047-27</v>
      </c>
      <c r="AG2126" s="661" t="str">
        <f>IF(AND($Y2126&gt;=32,(AI2126="I"),(Y2126&lt;&gt;"~"),(COUNTIF($AN$1:$AN2126,$AN2126)=1)),"TRUE","FALSE")</f>
        <v>FALSE</v>
      </c>
      <c r="AH2126" s="661" t="str">
        <f>IF(AND($Y2126&gt;=22, (AI2126&lt;&gt;"I"),(Y2126&lt;&gt;"~"),(COUNTIF($AN$1:$AN2126,$AN2126)=1)),"TRUE","FALSE")</f>
        <v>FALSE</v>
      </c>
      <c r="AI2126" s="661" t="str">
        <f t="shared" si="229"/>
        <v>II</v>
      </c>
      <c r="AJ2126" s="662" t="str">
        <f t="shared" si="230"/>
        <v>F150-047</v>
      </c>
      <c r="AK2126" s="662" t="str">
        <f t="shared" si="231"/>
        <v>LTK</v>
      </c>
      <c r="AL2126" s="662" t="str">
        <f t="shared" si="232"/>
        <v>FRD</v>
      </c>
      <c r="AM2126" s="662" t="str">
        <f t="shared" si="228"/>
        <v>F150-Regular Cab XLT-2WD-3-8'-9100-5.0L FFV-8-F1C-300A-141.1-23-E85-Unleaded</v>
      </c>
      <c r="AN2126" s="662" t="str">
        <f t="shared" si="233"/>
        <v>2019-LTK-FRD-F150-047</v>
      </c>
    </row>
    <row r="2127" spans="1:40" s="572" customFormat="1" ht="15">
      <c r="A2127" s="570" t="s">
        <v>3951</v>
      </c>
      <c r="B2127" s="573" t="s">
        <v>3952</v>
      </c>
      <c r="C2127" s="573" t="s">
        <v>269</v>
      </c>
      <c r="D2127" s="578" t="s">
        <v>270</v>
      </c>
      <c r="E2127" s="573" t="s">
        <v>3374</v>
      </c>
      <c r="F2127" s="573" t="s">
        <v>152</v>
      </c>
      <c r="G2127" s="573" t="s">
        <v>271</v>
      </c>
      <c r="H2127" s="573">
        <v>2019</v>
      </c>
      <c r="I2127" s="573" t="s">
        <v>3765</v>
      </c>
      <c r="J2127" s="573" t="s">
        <v>3916</v>
      </c>
      <c r="K2127" s="573" t="s">
        <v>752</v>
      </c>
      <c r="L2127" s="573">
        <v>3</v>
      </c>
      <c r="M2127" s="573">
        <v>0</v>
      </c>
      <c r="N2127" s="573" t="s">
        <v>157</v>
      </c>
      <c r="O2127" s="573">
        <v>1</v>
      </c>
      <c r="P2127" s="573" t="s">
        <v>3781</v>
      </c>
      <c r="Q2127" s="571" t="s">
        <v>157</v>
      </c>
      <c r="R2127" s="573" t="s">
        <v>3778</v>
      </c>
      <c r="S2127" s="573">
        <v>8</v>
      </c>
      <c r="T2127" s="573" t="s">
        <v>3878</v>
      </c>
      <c r="U2127" s="573" t="s">
        <v>318</v>
      </c>
      <c r="V2127" s="573">
        <v>122.4</v>
      </c>
      <c r="W2127" s="573">
        <v>23</v>
      </c>
      <c r="X2127" s="571">
        <v>6400</v>
      </c>
      <c r="Y2127" s="573">
        <v>18</v>
      </c>
      <c r="Z2127" s="579" t="s">
        <v>450</v>
      </c>
      <c r="AA2127" s="579" t="s">
        <v>178</v>
      </c>
      <c r="AB2127" s="584">
        <v>41075</v>
      </c>
      <c r="AC2127" s="584" t="s">
        <v>164</v>
      </c>
      <c r="AD2127" s="584">
        <v>30348.084210526318</v>
      </c>
      <c r="AE2127" s="586">
        <v>0.03</v>
      </c>
      <c r="AF2127" s="661" t="str">
        <f t="shared" si="234"/>
        <v>2019-LTK-FRD-F150-048-05</v>
      </c>
      <c r="AG2127" s="661" t="str">
        <f>IF(AND($Y2127&gt;=32,(AI2127="I"),(Y2127&lt;&gt;"~"),(COUNTIF($AN$1:$AN2127,$AN2127)=1)),"TRUE","FALSE")</f>
        <v>FALSE</v>
      </c>
      <c r="AH2127" s="661" t="str">
        <f>IF(AND($Y2127&gt;=22, (AI2127&lt;&gt;"I"),(Y2127&lt;&gt;"~"),(COUNTIF($AN$1:$AN2127,$AN2127)=1)),"TRUE","FALSE")</f>
        <v>FALSE</v>
      </c>
      <c r="AI2127" s="661" t="str">
        <f t="shared" si="229"/>
        <v>II</v>
      </c>
      <c r="AJ2127" s="662" t="str">
        <f t="shared" si="230"/>
        <v>F150-048</v>
      </c>
      <c r="AK2127" s="662" t="str">
        <f t="shared" si="231"/>
        <v>LTK</v>
      </c>
      <c r="AL2127" s="662" t="str">
        <f t="shared" si="232"/>
        <v>FRD</v>
      </c>
      <c r="AM2127" s="662" t="str">
        <f t="shared" si="228"/>
        <v>F150-Regular Cab XLT-4WD-3-6'5"-~-5.0L FFV-8-F1E-300A-122.4-23-E85-Unleaded</v>
      </c>
      <c r="AN2127" s="662" t="str">
        <f t="shared" si="233"/>
        <v>2019-LTK-FRD-F150-048</v>
      </c>
    </row>
    <row r="2128" spans="1:40" s="572" customFormat="1" ht="15">
      <c r="A2128" s="570" t="s">
        <v>3953</v>
      </c>
      <c r="B2128" s="569" t="s">
        <v>3954</v>
      </c>
      <c r="C2128" s="569" t="s">
        <v>269</v>
      </c>
      <c r="D2128" s="580" t="s">
        <v>270</v>
      </c>
      <c r="E2128" s="569" t="s">
        <v>3374</v>
      </c>
      <c r="F2128" s="569" t="s">
        <v>152</v>
      </c>
      <c r="G2128" s="569" t="s">
        <v>271</v>
      </c>
      <c r="H2128" s="569">
        <v>2019</v>
      </c>
      <c r="I2128" s="569" t="s">
        <v>3765</v>
      </c>
      <c r="J2128" s="569" t="s">
        <v>3916</v>
      </c>
      <c r="K2128" s="569" t="s">
        <v>752</v>
      </c>
      <c r="L2128" s="569">
        <v>3</v>
      </c>
      <c r="M2128" s="569">
        <v>0</v>
      </c>
      <c r="N2128" s="569" t="s">
        <v>157</v>
      </c>
      <c r="O2128" s="569">
        <v>1</v>
      </c>
      <c r="P2128" s="569" t="s">
        <v>3781</v>
      </c>
      <c r="Q2128" s="568">
        <v>7500</v>
      </c>
      <c r="R2128" s="569" t="s">
        <v>3772</v>
      </c>
      <c r="S2128" s="569">
        <v>6</v>
      </c>
      <c r="T2128" s="569" t="s">
        <v>3878</v>
      </c>
      <c r="U2128" s="569" t="s">
        <v>318</v>
      </c>
      <c r="V2128" s="569">
        <v>122.4</v>
      </c>
      <c r="W2128" s="569">
        <v>23</v>
      </c>
      <c r="X2128" s="568">
        <v>6050</v>
      </c>
      <c r="Y2128" s="569">
        <v>20</v>
      </c>
      <c r="Z2128" s="581" t="s">
        <v>450</v>
      </c>
      <c r="AA2128" s="581" t="s">
        <v>178</v>
      </c>
      <c r="AB2128" s="585">
        <v>39080</v>
      </c>
      <c r="AC2128" s="585" t="s">
        <v>164</v>
      </c>
      <c r="AD2128" s="585">
        <v>28557.557894736845</v>
      </c>
      <c r="AE2128" s="587">
        <v>0.03</v>
      </c>
      <c r="AF2128" s="661" t="str">
        <f t="shared" si="234"/>
        <v>2019-LTK-FRD-F150-049-05</v>
      </c>
      <c r="AG2128" s="661" t="str">
        <f>IF(AND($Y2128&gt;=32,(AI2128="I"),(Y2128&lt;&gt;"~"),(COUNTIF($AN$1:$AN2128,$AN2128)=1)),"TRUE","FALSE")</f>
        <v>FALSE</v>
      </c>
      <c r="AH2128" s="661" t="str">
        <f>IF(AND($Y2128&gt;=22, (AI2128&lt;&gt;"I"),(Y2128&lt;&gt;"~"),(COUNTIF($AN$1:$AN2128,$AN2128)=1)),"TRUE","FALSE")</f>
        <v>FALSE</v>
      </c>
      <c r="AI2128" s="661" t="str">
        <f t="shared" si="229"/>
        <v>II</v>
      </c>
      <c r="AJ2128" s="662" t="str">
        <f t="shared" si="230"/>
        <v>F150-049</v>
      </c>
      <c r="AK2128" s="662" t="str">
        <f t="shared" si="231"/>
        <v>LTK</v>
      </c>
      <c r="AL2128" s="662" t="str">
        <f t="shared" si="232"/>
        <v>FRD</v>
      </c>
      <c r="AM2128" s="662" t="str">
        <f t="shared" si="228"/>
        <v>F150-Regular Cab XLT-4WD-3-6'5"-7500-3.3L FFV-6-F1E-300A-122.4-23-E85-Unleaded</v>
      </c>
      <c r="AN2128" s="662" t="str">
        <f t="shared" si="233"/>
        <v>2019-LTK-FRD-F150-049</v>
      </c>
    </row>
    <row r="2129" spans="1:40" s="572" customFormat="1" ht="15">
      <c r="A2129" s="570" t="s">
        <v>3955</v>
      </c>
      <c r="B2129" s="573" t="s">
        <v>3956</v>
      </c>
      <c r="C2129" s="573" t="s">
        <v>269</v>
      </c>
      <c r="D2129" s="578" t="s">
        <v>270</v>
      </c>
      <c r="E2129" s="573" t="s">
        <v>3374</v>
      </c>
      <c r="F2129" s="573" t="s">
        <v>152</v>
      </c>
      <c r="G2129" s="573" t="s">
        <v>271</v>
      </c>
      <c r="H2129" s="573">
        <v>2019</v>
      </c>
      <c r="I2129" s="573" t="s">
        <v>3765</v>
      </c>
      <c r="J2129" s="573" t="s">
        <v>3916</v>
      </c>
      <c r="K2129" s="573" t="s">
        <v>752</v>
      </c>
      <c r="L2129" s="573">
        <v>3</v>
      </c>
      <c r="M2129" s="573">
        <v>0</v>
      </c>
      <c r="N2129" s="573" t="s">
        <v>157</v>
      </c>
      <c r="O2129" s="573">
        <v>1</v>
      </c>
      <c r="P2129" s="573" t="s">
        <v>3781</v>
      </c>
      <c r="Q2129" s="571">
        <v>7600</v>
      </c>
      <c r="R2129" s="573" t="s">
        <v>3768</v>
      </c>
      <c r="S2129" s="573">
        <v>6</v>
      </c>
      <c r="T2129" s="573" t="s">
        <v>3878</v>
      </c>
      <c r="U2129" s="573" t="s">
        <v>318</v>
      </c>
      <c r="V2129" s="573">
        <v>122.4</v>
      </c>
      <c r="W2129" s="573">
        <v>23</v>
      </c>
      <c r="X2129" s="571">
        <v>6050</v>
      </c>
      <c r="Y2129" s="573">
        <v>21</v>
      </c>
      <c r="Z2129" s="579" t="s">
        <v>178</v>
      </c>
      <c r="AA2129" s="579" t="s">
        <v>178</v>
      </c>
      <c r="AB2129" s="584">
        <v>40075</v>
      </c>
      <c r="AC2129" s="584" t="s">
        <v>164</v>
      </c>
      <c r="AD2129" s="584">
        <v>29451.242105263158</v>
      </c>
      <c r="AE2129" s="586">
        <v>0.03</v>
      </c>
      <c r="AF2129" s="661" t="str">
        <f t="shared" si="234"/>
        <v>2019-LTK-FRD-F150-050-05</v>
      </c>
      <c r="AG2129" s="661" t="str">
        <f>IF(AND($Y2129&gt;=32,(AI2129="I"),(Y2129&lt;&gt;"~"),(COUNTIF($AN$1:$AN2129,$AN2129)=1)),"TRUE","FALSE")</f>
        <v>FALSE</v>
      </c>
      <c r="AH2129" s="661" t="str">
        <f>IF(AND($Y2129&gt;=22, (AI2129&lt;&gt;"I"),(Y2129&lt;&gt;"~"),(COUNTIF($AN$1:$AN2129,$AN2129)=1)),"TRUE","FALSE")</f>
        <v>FALSE</v>
      </c>
      <c r="AI2129" s="661" t="str">
        <f t="shared" si="229"/>
        <v>II</v>
      </c>
      <c r="AJ2129" s="662" t="str">
        <f t="shared" si="230"/>
        <v>F150-050</v>
      </c>
      <c r="AK2129" s="662" t="str">
        <f t="shared" si="231"/>
        <v>LTK</v>
      </c>
      <c r="AL2129" s="662" t="str">
        <f t="shared" si="232"/>
        <v>FRD</v>
      </c>
      <c r="AM2129" s="662" t="str">
        <f t="shared" si="228"/>
        <v>F150-Regular Cab XLT-4WD-3-6'5"-7600-2.7L EcoBoost -6-F1E-300A-122.4-23-Unleaded-Unleaded</v>
      </c>
      <c r="AN2129" s="662" t="str">
        <f t="shared" si="233"/>
        <v>2019-LTK-FRD-F150-050</v>
      </c>
    </row>
    <row r="2130" spans="1:40" s="572" customFormat="1" ht="15">
      <c r="A2130" s="570" t="s">
        <v>3957</v>
      </c>
      <c r="B2130" s="569" t="s">
        <v>3958</v>
      </c>
      <c r="C2130" s="569" t="s">
        <v>269</v>
      </c>
      <c r="D2130" s="580" t="s">
        <v>270</v>
      </c>
      <c r="E2130" s="569" t="s">
        <v>3374</v>
      </c>
      <c r="F2130" s="569" t="s">
        <v>152</v>
      </c>
      <c r="G2130" s="569" t="s">
        <v>271</v>
      </c>
      <c r="H2130" s="569">
        <v>2019</v>
      </c>
      <c r="I2130" s="569" t="s">
        <v>3765</v>
      </c>
      <c r="J2130" s="569" t="s">
        <v>3916</v>
      </c>
      <c r="K2130" s="569" t="s">
        <v>752</v>
      </c>
      <c r="L2130" s="569">
        <v>3</v>
      </c>
      <c r="M2130" s="569">
        <v>0</v>
      </c>
      <c r="N2130" s="569" t="s">
        <v>157</v>
      </c>
      <c r="O2130" s="569">
        <v>1</v>
      </c>
      <c r="P2130" s="569" t="s">
        <v>3781</v>
      </c>
      <c r="Q2130" s="568">
        <v>7600</v>
      </c>
      <c r="R2130" s="569" t="s">
        <v>3778</v>
      </c>
      <c r="S2130" s="569">
        <v>8</v>
      </c>
      <c r="T2130" s="569" t="s">
        <v>3878</v>
      </c>
      <c r="U2130" s="569" t="s">
        <v>318</v>
      </c>
      <c r="V2130" s="569">
        <v>122.4</v>
      </c>
      <c r="W2130" s="569">
        <v>23</v>
      </c>
      <c r="X2130" s="568">
        <v>6400</v>
      </c>
      <c r="Y2130" s="569">
        <v>18</v>
      </c>
      <c r="Z2130" s="581" t="s">
        <v>450</v>
      </c>
      <c r="AA2130" s="581" t="s">
        <v>178</v>
      </c>
      <c r="AB2130" s="585">
        <v>41075</v>
      </c>
      <c r="AC2130" s="585" t="s">
        <v>164</v>
      </c>
      <c r="AD2130" s="585">
        <v>30348.084210526318</v>
      </c>
      <c r="AE2130" s="587">
        <v>0.03</v>
      </c>
      <c r="AF2130" s="661" t="str">
        <f t="shared" si="234"/>
        <v>2019-LTK-FRD-F150-051-05</v>
      </c>
      <c r="AG2130" s="661" t="str">
        <f>IF(AND($Y2130&gt;=32,(AI2130="I"),(Y2130&lt;&gt;"~"),(COUNTIF($AN$1:$AN2130,$AN2130)=1)),"TRUE","FALSE")</f>
        <v>FALSE</v>
      </c>
      <c r="AH2130" s="661" t="str">
        <f>IF(AND($Y2130&gt;=22, (AI2130&lt;&gt;"I"),(Y2130&lt;&gt;"~"),(COUNTIF($AN$1:$AN2130,$AN2130)=1)),"TRUE","FALSE")</f>
        <v>FALSE</v>
      </c>
      <c r="AI2130" s="661" t="str">
        <f t="shared" si="229"/>
        <v>II</v>
      </c>
      <c r="AJ2130" s="662" t="str">
        <f t="shared" si="230"/>
        <v>F150-051</v>
      </c>
      <c r="AK2130" s="662" t="str">
        <f t="shared" si="231"/>
        <v>LTK</v>
      </c>
      <c r="AL2130" s="662" t="str">
        <f t="shared" si="232"/>
        <v>FRD</v>
      </c>
      <c r="AM2130" s="662" t="str">
        <f t="shared" si="228"/>
        <v>F150-Regular Cab XLT-4WD-3-6'5"-7600-5.0L FFV-8-F1E-300A-122.4-23-E85-Unleaded</v>
      </c>
      <c r="AN2130" s="662" t="str">
        <f t="shared" si="233"/>
        <v>2019-LTK-FRD-F150-051</v>
      </c>
    </row>
    <row r="2131" spans="1:40" s="572" customFormat="1" ht="15">
      <c r="A2131" s="570" t="s">
        <v>3959</v>
      </c>
      <c r="B2131" s="573" t="s">
        <v>3960</v>
      </c>
      <c r="C2131" s="573" t="s">
        <v>269</v>
      </c>
      <c r="D2131" s="578" t="s">
        <v>270</v>
      </c>
      <c r="E2131" s="573" t="s">
        <v>3374</v>
      </c>
      <c r="F2131" s="573" t="s">
        <v>152</v>
      </c>
      <c r="G2131" s="573" t="s">
        <v>271</v>
      </c>
      <c r="H2131" s="573">
        <v>2019</v>
      </c>
      <c r="I2131" s="573" t="s">
        <v>3765</v>
      </c>
      <c r="J2131" s="573" t="s">
        <v>3916</v>
      </c>
      <c r="K2131" s="573" t="s">
        <v>752</v>
      </c>
      <c r="L2131" s="573">
        <v>3</v>
      </c>
      <c r="M2131" s="573">
        <v>0</v>
      </c>
      <c r="N2131" s="573" t="s">
        <v>157</v>
      </c>
      <c r="O2131" s="573">
        <v>1</v>
      </c>
      <c r="P2131" s="573" t="s">
        <v>3846</v>
      </c>
      <c r="Q2131" s="571" t="s">
        <v>157</v>
      </c>
      <c r="R2131" s="573" t="s">
        <v>3778</v>
      </c>
      <c r="S2131" s="573">
        <v>8</v>
      </c>
      <c r="T2131" s="573" t="s">
        <v>3878</v>
      </c>
      <c r="U2131" s="573" t="s">
        <v>318</v>
      </c>
      <c r="V2131" s="573">
        <v>141.1</v>
      </c>
      <c r="W2131" s="573">
        <v>23</v>
      </c>
      <c r="X2131" s="571">
        <v>6400</v>
      </c>
      <c r="Y2131" s="573">
        <v>18</v>
      </c>
      <c r="Z2131" s="579" t="s">
        <v>450</v>
      </c>
      <c r="AA2131" s="579" t="s">
        <v>178</v>
      </c>
      <c r="AB2131" s="584">
        <v>41375</v>
      </c>
      <c r="AC2131" s="584" t="s">
        <v>164</v>
      </c>
      <c r="AD2131" s="584">
        <v>30620.715789473685</v>
      </c>
      <c r="AE2131" s="586">
        <v>0.03</v>
      </c>
      <c r="AF2131" s="661" t="str">
        <f t="shared" si="234"/>
        <v>2019-LTK-FRD-F150-053-05</v>
      </c>
      <c r="AG2131" s="661" t="str">
        <f>IF(AND($Y2131&gt;=32,(AI2131="I"),(Y2131&lt;&gt;"~"),(COUNTIF($AN$1:$AN2131,$AN2131)=1)),"TRUE","FALSE")</f>
        <v>FALSE</v>
      </c>
      <c r="AH2131" s="661" t="str">
        <f>IF(AND($Y2131&gt;=22, (AI2131&lt;&gt;"I"),(Y2131&lt;&gt;"~"),(COUNTIF($AN$1:$AN2131,$AN2131)=1)),"TRUE","FALSE")</f>
        <v>FALSE</v>
      </c>
      <c r="AI2131" s="661" t="str">
        <f t="shared" si="229"/>
        <v>II</v>
      </c>
      <c r="AJ2131" s="662" t="str">
        <f t="shared" si="230"/>
        <v>F150-053</v>
      </c>
      <c r="AK2131" s="662" t="str">
        <f t="shared" si="231"/>
        <v>LTK</v>
      </c>
      <c r="AL2131" s="662" t="str">
        <f t="shared" si="232"/>
        <v>FRD</v>
      </c>
      <c r="AM2131" s="662" t="str">
        <f t="shared" si="228"/>
        <v>F150-Regular Cab XLT-4WD-3-8'-~-5.0L FFV-8-F1E-300A-141.1-23-E85-Unleaded</v>
      </c>
      <c r="AN2131" s="662" t="str">
        <f t="shared" si="233"/>
        <v>2019-LTK-FRD-F150-053</v>
      </c>
    </row>
    <row r="2132" spans="1:40" s="572" customFormat="1" ht="15">
      <c r="A2132" s="570" t="s">
        <v>3961</v>
      </c>
      <c r="B2132" s="569" t="s">
        <v>3962</v>
      </c>
      <c r="C2132" s="569" t="s">
        <v>269</v>
      </c>
      <c r="D2132" s="580" t="s">
        <v>270</v>
      </c>
      <c r="E2132" s="569" t="s">
        <v>3374</v>
      </c>
      <c r="F2132" s="569" t="s">
        <v>152</v>
      </c>
      <c r="G2132" s="569" t="s">
        <v>271</v>
      </c>
      <c r="H2132" s="569">
        <v>2019</v>
      </c>
      <c r="I2132" s="569" t="s">
        <v>3765</v>
      </c>
      <c r="J2132" s="569" t="s">
        <v>3916</v>
      </c>
      <c r="K2132" s="569" t="s">
        <v>752</v>
      </c>
      <c r="L2132" s="569">
        <v>3</v>
      </c>
      <c r="M2132" s="569">
        <v>0</v>
      </c>
      <c r="N2132" s="569" t="s">
        <v>157</v>
      </c>
      <c r="O2132" s="569">
        <v>1</v>
      </c>
      <c r="P2132" s="569" t="s">
        <v>3846</v>
      </c>
      <c r="Q2132" s="568">
        <v>10700</v>
      </c>
      <c r="R2132" s="569" t="s">
        <v>1259</v>
      </c>
      <c r="S2132" s="569">
        <v>6</v>
      </c>
      <c r="T2132" s="569" t="s">
        <v>3878</v>
      </c>
      <c r="U2132" s="569" t="s">
        <v>318</v>
      </c>
      <c r="V2132" s="569">
        <v>141.1</v>
      </c>
      <c r="W2132" s="569">
        <v>23</v>
      </c>
      <c r="X2132" s="568">
        <v>6800</v>
      </c>
      <c r="Y2132" s="569">
        <v>19</v>
      </c>
      <c r="Z2132" s="581" t="s">
        <v>178</v>
      </c>
      <c r="AA2132" s="581" t="s">
        <v>178</v>
      </c>
      <c r="AB2132" s="585">
        <v>41975</v>
      </c>
      <c r="AC2132" s="585" t="s">
        <v>164</v>
      </c>
      <c r="AD2132" s="585">
        <v>31159.663157894738</v>
      </c>
      <c r="AE2132" s="587">
        <v>0.03</v>
      </c>
      <c r="AF2132" s="661" t="str">
        <f t="shared" si="234"/>
        <v>2019-LTK-FRD-F150-054-05</v>
      </c>
      <c r="AG2132" s="661" t="str">
        <f>IF(AND($Y2132&gt;=32,(AI2132="I"),(Y2132&lt;&gt;"~"),(COUNTIF($AN$1:$AN2132,$AN2132)=1)),"TRUE","FALSE")</f>
        <v>FALSE</v>
      </c>
      <c r="AH2132" s="661" t="str">
        <f>IF(AND($Y2132&gt;=22, (AI2132&lt;&gt;"I"),(Y2132&lt;&gt;"~"),(COUNTIF($AN$1:$AN2132,$AN2132)=1)),"TRUE","FALSE")</f>
        <v>FALSE</v>
      </c>
      <c r="AI2132" s="661" t="str">
        <f t="shared" si="229"/>
        <v>II</v>
      </c>
      <c r="AJ2132" s="662" t="str">
        <f t="shared" si="230"/>
        <v>F150-054</v>
      </c>
      <c r="AK2132" s="662" t="str">
        <f t="shared" si="231"/>
        <v>LTK</v>
      </c>
      <c r="AL2132" s="662" t="str">
        <f t="shared" si="232"/>
        <v>FRD</v>
      </c>
      <c r="AM2132" s="662" t="str">
        <f t="shared" si="228"/>
        <v>F150-Regular Cab XLT-4WD-3-8'-10700-3.5L EcoBoost-6-F1E-300A-141.1-23-Unleaded-Unleaded</v>
      </c>
      <c r="AN2132" s="662" t="str">
        <f t="shared" si="233"/>
        <v>2019-LTK-FRD-F150-054</v>
      </c>
    </row>
    <row r="2133" spans="1:40" s="572" customFormat="1" ht="15">
      <c r="A2133" s="570" t="s">
        <v>3963</v>
      </c>
      <c r="B2133" s="573" t="s">
        <v>3964</v>
      </c>
      <c r="C2133" s="573" t="s">
        <v>269</v>
      </c>
      <c r="D2133" s="578" t="s">
        <v>270</v>
      </c>
      <c r="E2133" s="573" t="s">
        <v>3374</v>
      </c>
      <c r="F2133" s="573" t="s">
        <v>152</v>
      </c>
      <c r="G2133" s="573" t="s">
        <v>271</v>
      </c>
      <c r="H2133" s="573">
        <v>2019</v>
      </c>
      <c r="I2133" s="573" t="s">
        <v>3765</v>
      </c>
      <c r="J2133" s="573" t="s">
        <v>3916</v>
      </c>
      <c r="K2133" s="573" t="s">
        <v>752</v>
      </c>
      <c r="L2133" s="573">
        <v>3</v>
      </c>
      <c r="M2133" s="573">
        <v>0</v>
      </c>
      <c r="N2133" s="573" t="s">
        <v>157</v>
      </c>
      <c r="O2133" s="573">
        <v>1</v>
      </c>
      <c r="P2133" s="573" t="s">
        <v>3846</v>
      </c>
      <c r="Q2133" s="571">
        <v>7400</v>
      </c>
      <c r="R2133" s="573" t="s">
        <v>3772</v>
      </c>
      <c r="S2133" s="573">
        <v>6</v>
      </c>
      <c r="T2133" s="573" t="s">
        <v>3878</v>
      </c>
      <c r="U2133" s="573" t="s">
        <v>318</v>
      </c>
      <c r="V2133" s="573">
        <v>141.1</v>
      </c>
      <c r="W2133" s="573">
        <v>23</v>
      </c>
      <c r="X2133" s="571">
        <v>6050</v>
      </c>
      <c r="Y2133" s="573">
        <v>18</v>
      </c>
      <c r="Z2133" s="579" t="s">
        <v>450</v>
      </c>
      <c r="AA2133" s="579" t="s">
        <v>178</v>
      </c>
      <c r="AB2133" s="584">
        <v>39380</v>
      </c>
      <c r="AC2133" s="584" t="s">
        <v>164</v>
      </c>
      <c r="AD2133" s="584">
        <v>28830.189473684211</v>
      </c>
      <c r="AE2133" s="586">
        <v>0.03</v>
      </c>
      <c r="AF2133" s="661" t="str">
        <f t="shared" si="234"/>
        <v>2019-LTK-FRD-F150-055-05</v>
      </c>
      <c r="AG2133" s="661" t="str">
        <f>IF(AND($Y2133&gt;=32,(AI2133="I"),(Y2133&lt;&gt;"~"),(COUNTIF($AN$1:$AN2133,$AN2133)=1)),"TRUE","FALSE")</f>
        <v>FALSE</v>
      </c>
      <c r="AH2133" s="661" t="str">
        <f>IF(AND($Y2133&gt;=22, (AI2133&lt;&gt;"I"),(Y2133&lt;&gt;"~"),(COUNTIF($AN$1:$AN2133,$AN2133)=1)),"TRUE","FALSE")</f>
        <v>FALSE</v>
      </c>
      <c r="AI2133" s="661" t="str">
        <f t="shared" si="229"/>
        <v>II</v>
      </c>
      <c r="AJ2133" s="662" t="str">
        <f t="shared" si="230"/>
        <v>F150-055</v>
      </c>
      <c r="AK2133" s="662" t="str">
        <f t="shared" si="231"/>
        <v>LTK</v>
      </c>
      <c r="AL2133" s="662" t="str">
        <f t="shared" si="232"/>
        <v>FRD</v>
      </c>
      <c r="AM2133" s="662" t="str">
        <f t="shared" si="228"/>
        <v>F150-Regular Cab XLT-4WD-3-8'-7400-3.3L FFV-6-F1E-300A-141.1-23-E85-Unleaded</v>
      </c>
      <c r="AN2133" s="662" t="str">
        <f t="shared" si="233"/>
        <v>2019-LTK-FRD-F150-055</v>
      </c>
    </row>
    <row r="2134" spans="1:40" s="572" customFormat="1" ht="15">
      <c r="A2134" s="570" t="s">
        <v>3965</v>
      </c>
      <c r="B2134" s="569" t="s">
        <v>3966</v>
      </c>
      <c r="C2134" s="569" t="s">
        <v>269</v>
      </c>
      <c r="D2134" s="580" t="s">
        <v>270</v>
      </c>
      <c r="E2134" s="569" t="s">
        <v>3374</v>
      </c>
      <c r="F2134" s="569" t="s">
        <v>152</v>
      </c>
      <c r="G2134" s="569" t="s">
        <v>271</v>
      </c>
      <c r="H2134" s="569">
        <v>2019</v>
      </c>
      <c r="I2134" s="569" t="s">
        <v>3765</v>
      </c>
      <c r="J2134" s="569" t="s">
        <v>3916</v>
      </c>
      <c r="K2134" s="569" t="s">
        <v>752</v>
      </c>
      <c r="L2134" s="569">
        <v>3</v>
      </c>
      <c r="M2134" s="569">
        <v>0</v>
      </c>
      <c r="N2134" s="569" t="s">
        <v>157</v>
      </c>
      <c r="O2134" s="569">
        <v>1</v>
      </c>
      <c r="P2134" s="569" t="s">
        <v>3846</v>
      </c>
      <c r="Q2134" s="568">
        <v>7600</v>
      </c>
      <c r="R2134" s="569" t="s">
        <v>3768</v>
      </c>
      <c r="S2134" s="569">
        <v>6</v>
      </c>
      <c r="T2134" s="569" t="s">
        <v>3878</v>
      </c>
      <c r="U2134" s="569" t="s">
        <v>318</v>
      </c>
      <c r="V2134" s="569">
        <v>141.1</v>
      </c>
      <c r="W2134" s="569">
        <v>23</v>
      </c>
      <c r="X2134" s="568">
        <v>6050</v>
      </c>
      <c r="Y2134" s="569">
        <v>21</v>
      </c>
      <c r="Z2134" s="581" t="s">
        <v>178</v>
      </c>
      <c r="AA2134" s="581" t="s">
        <v>178</v>
      </c>
      <c r="AB2134" s="585">
        <v>40375</v>
      </c>
      <c r="AC2134" s="585" t="s">
        <v>164</v>
      </c>
      <c r="AD2134" s="585">
        <v>29723.873684210528</v>
      </c>
      <c r="AE2134" s="587">
        <v>0.03</v>
      </c>
      <c r="AF2134" s="661" t="str">
        <f t="shared" si="234"/>
        <v>2019-LTK-FRD-F150-056-05</v>
      </c>
      <c r="AG2134" s="661" t="str">
        <f>IF(AND($Y2134&gt;=32,(AI2134="I"),(Y2134&lt;&gt;"~"),(COUNTIF($AN$1:$AN2134,$AN2134)=1)),"TRUE","FALSE")</f>
        <v>FALSE</v>
      </c>
      <c r="AH2134" s="661" t="str">
        <f>IF(AND($Y2134&gt;=22, (AI2134&lt;&gt;"I"),(Y2134&lt;&gt;"~"),(COUNTIF($AN$1:$AN2134,$AN2134)=1)),"TRUE","FALSE")</f>
        <v>FALSE</v>
      </c>
      <c r="AI2134" s="661" t="str">
        <f t="shared" si="229"/>
        <v>II</v>
      </c>
      <c r="AJ2134" s="662" t="str">
        <f t="shared" si="230"/>
        <v>F150-056</v>
      </c>
      <c r="AK2134" s="662" t="str">
        <f t="shared" si="231"/>
        <v>LTK</v>
      </c>
      <c r="AL2134" s="662" t="str">
        <f t="shared" si="232"/>
        <v>FRD</v>
      </c>
      <c r="AM2134" s="662" t="str">
        <f t="shared" si="228"/>
        <v>F150-Regular Cab XLT-4WD-3-8'-7600-2.7L EcoBoost -6-F1E-300A-141.1-23-Unleaded-Unleaded</v>
      </c>
      <c r="AN2134" s="662" t="str">
        <f t="shared" si="233"/>
        <v>2019-LTK-FRD-F150-056</v>
      </c>
    </row>
    <row r="2135" spans="1:40" s="572" customFormat="1" ht="15">
      <c r="A2135" s="570" t="s">
        <v>3967</v>
      </c>
      <c r="B2135" s="573" t="s">
        <v>3968</v>
      </c>
      <c r="C2135" s="573" t="s">
        <v>269</v>
      </c>
      <c r="D2135" s="578" t="s">
        <v>270</v>
      </c>
      <c r="E2135" s="573" t="s">
        <v>3374</v>
      </c>
      <c r="F2135" s="573" t="s">
        <v>152</v>
      </c>
      <c r="G2135" s="573" t="s">
        <v>271</v>
      </c>
      <c r="H2135" s="573">
        <v>2019</v>
      </c>
      <c r="I2135" s="573" t="s">
        <v>3765</v>
      </c>
      <c r="J2135" s="573" t="s">
        <v>3916</v>
      </c>
      <c r="K2135" s="573" t="s">
        <v>752</v>
      </c>
      <c r="L2135" s="573">
        <v>3</v>
      </c>
      <c r="M2135" s="573">
        <v>0</v>
      </c>
      <c r="N2135" s="573" t="s">
        <v>157</v>
      </c>
      <c r="O2135" s="573">
        <v>1</v>
      </c>
      <c r="P2135" s="573" t="s">
        <v>3846</v>
      </c>
      <c r="Q2135" s="571">
        <v>7600</v>
      </c>
      <c r="R2135" s="573" t="s">
        <v>3778</v>
      </c>
      <c r="S2135" s="573">
        <v>8</v>
      </c>
      <c r="T2135" s="573" t="s">
        <v>3878</v>
      </c>
      <c r="U2135" s="573" t="s">
        <v>318</v>
      </c>
      <c r="V2135" s="573">
        <v>141.1</v>
      </c>
      <c r="W2135" s="573">
        <v>23</v>
      </c>
      <c r="X2135" s="571">
        <v>6400</v>
      </c>
      <c r="Y2135" s="573">
        <v>18</v>
      </c>
      <c r="Z2135" s="579" t="s">
        <v>450</v>
      </c>
      <c r="AA2135" s="579" t="s">
        <v>178</v>
      </c>
      <c r="AB2135" s="584">
        <v>41375</v>
      </c>
      <c r="AC2135" s="584" t="s">
        <v>164</v>
      </c>
      <c r="AD2135" s="584">
        <v>30620.715789473685</v>
      </c>
      <c r="AE2135" s="586">
        <v>0.03</v>
      </c>
      <c r="AF2135" s="661" t="str">
        <f t="shared" si="234"/>
        <v>2019-LTK-FRD-F150-057-05</v>
      </c>
      <c r="AG2135" s="661" t="str">
        <f>IF(AND($Y2135&gt;=32,(AI2135="I"),(Y2135&lt;&gt;"~"),(COUNTIF($AN$1:$AN2135,$AN2135)=1)),"TRUE","FALSE")</f>
        <v>FALSE</v>
      </c>
      <c r="AH2135" s="661" t="str">
        <f>IF(AND($Y2135&gt;=22, (AI2135&lt;&gt;"I"),(Y2135&lt;&gt;"~"),(COUNTIF($AN$1:$AN2135,$AN2135)=1)),"TRUE","FALSE")</f>
        <v>FALSE</v>
      </c>
      <c r="AI2135" s="661" t="str">
        <f t="shared" si="229"/>
        <v>II</v>
      </c>
      <c r="AJ2135" s="662" t="str">
        <f t="shared" si="230"/>
        <v>F150-057</v>
      </c>
      <c r="AK2135" s="662" t="str">
        <f t="shared" si="231"/>
        <v>LTK</v>
      </c>
      <c r="AL2135" s="662" t="str">
        <f t="shared" si="232"/>
        <v>FRD</v>
      </c>
      <c r="AM2135" s="662" t="str">
        <f t="shared" si="228"/>
        <v>F150-Regular Cab XLT-4WD-3-8'-7600-5.0L FFV-8-F1E-300A-141.1-23-E85-Unleaded</v>
      </c>
      <c r="AN2135" s="662" t="str">
        <f t="shared" si="233"/>
        <v>2019-LTK-FRD-F150-057</v>
      </c>
    </row>
    <row r="2136" spans="1:40" s="572" customFormat="1" ht="15">
      <c r="A2136" s="570" t="s">
        <v>3969</v>
      </c>
      <c r="B2136" s="569" t="s">
        <v>3954</v>
      </c>
      <c r="C2136" s="569" t="s">
        <v>278</v>
      </c>
      <c r="D2136" s="580">
        <v>15</v>
      </c>
      <c r="E2136" s="569" t="s">
        <v>3374</v>
      </c>
      <c r="F2136" s="569" t="s">
        <v>152</v>
      </c>
      <c r="G2136" s="569" t="s">
        <v>271</v>
      </c>
      <c r="H2136" s="569">
        <v>2019</v>
      </c>
      <c r="I2136" s="569" t="s">
        <v>3765</v>
      </c>
      <c r="J2136" s="569" t="s">
        <v>3916</v>
      </c>
      <c r="K2136" s="569" t="s">
        <v>752</v>
      </c>
      <c r="L2136" s="569">
        <v>3</v>
      </c>
      <c r="M2136" s="569">
        <v>0</v>
      </c>
      <c r="N2136" s="569" t="s">
        <v>157</v>
      </c>
      <c r="O2136" s="569">
        <v>1</v>
      </c>
      <c r="P2136" s="569" t="s">
        <v>3781</v>
      </c>
      <c r="Q2136" s="568">
        <v>7500</v>
      </c>
      <c r="R2136" s="569" t="s">
        <v>3772</v>
      </c>
      <c r="S2136" s="569">
        <v>6</v>
      </c>
      <c r="T2136" s="569" t="s">
        <v>3878</v>
      </c>
      <c r="U2136" s="569" t="s">
        <v>318</v>
      </c>
      <c r="V2136" s="569">
        <v>122.4</v>
      </c>
      <c r="W2136" s="569">
        <v>23</v>
      </c>
      <c r="X2136" s="568">
        <v>6050</v>
      </c>
      <c r="Y2136" s="569">
        <v>19</v>
      </c>
      <c r="Z2136" s="581" t="s">
        <v>450</v>
      </c>
      <c r="AA2136" s="581" t="s">
        <v>178</v>
      </c>
      <c r="AB2136" s="585">
        <v>39080</v>
      </c>
      <c r="AC2136" s="585" t="s">
        <v>164</v>
      </c>
      <c r="AD2136" s="585">
        <v>28650</v>
      </c>
      <c r="AE2136" s="587">
        <v>0.01</v>
      </c>
      <c r="AF2136" s="661" t="str">
        <f t="shared" si="234"/>
        <v>2019-LTK-FRD-F150-049-15</v>
      </c>
      <c r="AG2136" s="661" t="str">
        <f>IF(AND($Y2136&gt;=32,(AI2136="I"),(Y2136&lt;&gt;"~"),(COUNTIF($AN$1:$AN2136,$AN2136)=1)),"TRUE","FALSE")</f>
        <v>FALSE</v>
      </c>
      <c r="AH2136" s="661" t="str">
        <f>IF(AND($Y2136&gt;=22, (AI2136&lt;&gt;"I"),(Y2136&lt;&gt;"~"),(COUNTIF($AN$1:$AN2136,$AN2136)=1)),"TRUE","FALSE")</f>
        <v>FALSE</v>
      </c>
      <c r="AI2136" s="661" t="str">
        <f t="shared" si="229"/>
        <v>II</v>
      </c>
      <c r="AJ2136" s="662" t="str">
        <f t="shared" si="230"/>
        <v>F150-049</v>
      </c>
      <c r="AK2136" s="662" t="str">
        <f t="shared" si="231"/>
        <v>LTK</v>
      </c>
      <c r="AL2136" s="662" t="str">
        <f t="shared" si="232"/>
        <v>FRD</v>
      </c>
      <c r="AM2136" s="662" t="str">
        <f t="shared" si="228"/>
        <v>F150-Regular Cab XLT-4WD-3-6'5"-7500-3.3L FFV-6-F1E-300A-122.4-23-E85-Unleaded</v>
      </c>
      <c r="AN2136" s="662" t="str">
        <f t="shared" si="233"/>
        <v>2019-LTK-FRD-F150-049</v>
      </c>
    </row>
    <row r="2137" spans="1:40" s="572" customFormat="1" ht="15">
      <c r="A2137" s="570" t="s">
        <v>3970</v>
      </c>
      <c r="B2137" s="573" t="s">
        <v>3956</v>
      </c>
      <c r="C2137" s="573" t="s">
        <v>278</v>
      </c>
      <c r="D2137" s="578">
        <v>15</v>
      </c>
      <c r="E2137" s="573" t="s">
        <v>3374</v>
      </c>
      <c r="F2137" s="573" t="s">
        <v>152</v>
      </c>
      <c r="G2137" s="573" t="s">
        <v>271</v>
      </c>
      <c r="H2137" s="573">
        <v>2019</v>
      </c>
      <c r="I2137" s="573" t="s">
        <v>3765</v>
      </c>
      <c r="J2137" s="573" t="s">
        <v>3916</v>
      </c>
      <c r="K2137" s="573" t="s">
        <v>752</v>
      </c>
      <c r="L2137" s="573">
        <v>3</v>
      </c>
      <c r="M2137" s="573">
        <v>0</v>
      </c>
      <c r="N2137" s="573" t="s">
        <v>157</v>
      </c>
      <c r="O2137" s="573">
        <v>1</v>
      </c>
      <c r="P2137" s="573" t="s">
        <v>3781</v>
      </c>
      <c r="Q2137" s="571">
        <v>7600</v>
      </c>
      <c r="R2137" s="573" t="s">
        <v>3768</v>
      </c>
      <c r="S2137" s="573">
        <v>6</v>
      </c>
      <c r="T2137" s="573" t="s">
        <v>3878</v>
      </c>
      <c r="U2137" s="573" t="s">
        <v>318</v>
      </c>
      <c r="V2137" s="573">
        <v>122.4</v>
      </c>
      <c r="W2137" s="573">
        <v>23</v>
      </c>
      <c r="X2137" s="571">
        <v>6050</v>
      </c>
      <c r="Y2137" s="573">
        <v>20</v>
      </c>
      <c r="Z2137" s="579" t="s">
        <v>178</v>
      </c>
      <c r="AA2137" s="579" t="s">
        <v>178</v>
      </c>
      <c r="AB2137" s="584">
        <v>40075</v>
      </c>
      <c r="AC2137" s="584" t="s">
        <v>164</v>
      </c>
      <c r="AD2137" s="584">
        <v>29550</v>
      </c>
      <c r="AE2137" s="586">
        <v>0.01</v>
      </c>
      <c r="AF2137" s="661" t="str">
        <f t="shared" si="234"/>
        <v>2019-LTK-FRD-F150-050-15</v>
      </c>
      <c r="AG2137" s="661" t="str">
        <f>IF(AND($Y2137&gt;=32,(AI2137="I"),(Y2137&lt;&gt;"~"),(COUNTIF($AN$1:$AN2137,$AN2137)=1)),"TRUE","FALSE")</f>
        <v>FALSE</v>
      </c>
      <c r="AH2137" s="661" t="str">
        <f>IF(AND($Y2137&gt;=22, (AI2137&lt;&gt;"I"),(Y2137&lt;&gt;"~"),(COUNTIF($AN$1:$AN2137,$AN2137)=1)),"TRUE","FALSE")</f>
        <v>FALSE</v>
      </c>
      <c r="AI2137" s="661" t="str">
        <f t="shared" si="229"/>
        <v>II</v>
      </c>
      <c r="AJ2137" s="662" t="str">
        <f t="shared" si="230"/>
        <v>F150-050</v>
      </c>
      <c r="AK2137" s="662" t="str">
        <f t="shared" si="231"/>
        <v>LTK</v>
      </c>
      <c r="AL2137" s="662" t="str">
        <f t="shared" si="232"/>
        <v>FRD</v>
      </c>
      <c r="AM2137" s="662" t="str">
        <f t="shared" si="228"/>
        <v>F150-Regular Cab XLT-4WD-3-6'5"-7600-2.7L EcoBoost -6-F1E-300A-122.4-23-Unleaded-Unleaded</v>
      </c>
      <c r="AN2137" s="662" t="str">
        <f t="shared" si="233"/>
        <v>2019-LTK-FRD-F150-050</v>
      </c>
    </row>
    <row r="2138" spans="1:40" s="572" customFormat="1" ht="15">
      <c r="A2138" s="570" t="s">
        <v>3971</v>
      </c>
      <c r="B2138" s="569" t="s">
        <v>3958</v>
      </c>
      <c r="C2138" s="569" t="s">
        <v>278</v>
      </c>
      <c r="D2138" s="580">
        <v>15</v>
      </c>
      <c r="E2138" s="569" t="s">
        <v>3374</v>
      </c>
      <c r="F2138" s="569" t="s">
        <v>152</v>
      </c>
      <c r="G2138" s="569" t="s">
        <v>271</v>
      </c>
      <c r="H2138" s="569">
        <v>2019</v>
      </c>
      <c r="I2138" s="569" t="s">
        <v>3765</v>
      </c>
      <c r="J2138" s="569" t="s">
        <v>3916</v>
      </c>
      <c r="K2138" s="569" t="s">
        <v>752</v>
      </c>
      <c r="L2138" s="569">
        <v>3</v>
      </c>
      <c r="M2138" s="569">
        <v>0</v>
      </c>
      <c r="N2138" s="569" t="s">
        <v>157</v>
      </c>
      <c r="O2138" s="569">
        <v>1</v>
      </c>
      <c r="P2138" s="569" t="s">
        <v>3781</v>
      </c>
      <c r="Q2138" s="568">
        <v>7600</v>
      </c>
      <c r="R2138" s="569" t="s">
        <v>3778</v>
      </c>
      <c r="S2138" s="569">
        <v>8</v>
      </c>
      <c r="T2138" s="569" t="s">
        <v>3878</v>
      </c>
      <c r="U2138" s="569" t="s">
        <v>318</v>
      </c>
      <c r="V2138" s="569">
        <v>122.4</v>
      </c>
      <c r="W2138" s="569">
        <v>23</v>
      </c>
      <c r="X2138" s="568">
        <v>6400</v>
      </c>
      <c r="Y2138" s="569">
        <v>17</v>
      </c>
      <c r="Z2138" s="581" t="s">
        <v>450</v>
      </c>
      <c r="AA2138" s="581" t="s">
        <v>178</v>
      </c>
      <c r="AB2138" s="585">
        <v>41075</v>
      </c>
      <c r="AC2138" s="585" t="s">
        <v>164</v>
      </c>
      <c r="AD2138" s="585">
        <v>30450</v>
      </c>
      <c r="AE2138" s="587">
        <v>0.01</v>
      </c>
      <c r="AF2138" s="661" t="str">
        <f t="shared" si="234"/>
        <v>2019-LTK-FRD-F150-051-15</v>
      </c>
      <c r="AG2138" s="661" t="str">
        <f>IF(AND($Y2138&gt;=32,(AI2138="I"),(Y2138&lt;&gt;"~"),(COUNTIF($AN$1:$AN2138,$AN2138)=1)),"TRUE","FALSE")</f>
        <v>FALSE</v>
      </c>
      <c r="AH2138" s="661" t="str">
        <f>IF(AND($Y2138&gt;=22, (AI2138&lt;&gt;"I"),(Y2138&lt;&gt;"~"),(COUNTIF($AN$1:$AN2138,$AN2138)=1)),"TRUE","FALSE")</f>
        <v>FALSE</v>
      </c>
      <c r="AI2138" s="661" t="str">
        <f t="shared" si="229"/>
        <v>II</v>
      </c>
      <c r="AJ2138" s="662" t="str">
        <f t="shared" si="230"/>
        <v>F150-051</v>
      </c>
      <c r="AK2138" s="662" t="str">
        <f t="shared" si="231"/>
        <v>LTK</v>
      </c>
      <c r="AL2138" s="662" t="str">
        <f t="shared" si="232"/>
        <v>FRD</v>
      </c>
      <c r="AM2138" s="662" t="str">
        <f t="shared" si="228"/>
        <v>F150-Regular Cab XLT-4WD-3-6'5"-7600-5.0L FFV-8-F1E-300A-122.4-23-E85-Unleaded</v>
      </c>
      <c r="AN2138" s="662" t="str">
        <f t="shared" si="233"/>
        <v>2019-LTK-FRD-F150-051</v>
      </c>
    </row>
    <row r="2139" spans="1:40" s="572" customFormat="1" ht="15">
      <c r="A2139" s="570" t="s">
        <v>3972</v>
      </c>
      <c r="B2139" s="573" t="s">
        <v>3962</v>
      </c>
      <c r="C2139" s="573" t="s">
        <v>278</v>
      </c>
      <c r="D2139" s="578">
        <v>15</v>
      </c>
      <c r="E2139" s="573" t="s">
        <v>3374</v>
      </c>
      <c r="F2139" s="573" t="s">
        <v>152</v>
      </c>
      <c r="G2139" s="573" t="s">
        <v>271</v>
      </c>
      <c r="H2139" s="573">
        <v>2019</v>
      </c>
      <c r="I2139" s="573" t="s">
        <v>3765</v>
      </c>
      <c r="J2139" s="573" t="s">
        <v>3916</v>
      </c>
      <c r="K2139" s="573" t="s">
        <v>752</v>
      </c>
      <c r="L2139" s="573">
        <v>3</v>
      </c>
      <c r="M2139" s="573">
        <v>0</v>
      </c>
      <c r="N2139" s="573" t="s">
        <v>157</v>
      </c>
      <c r="O2139" s="573">
        <v>1</v>
      </c>
      <c r="P2139" s="573" t="s">
        <v>3846</v>
      </c>
      <c r="Q2139" s="571">
        <v>10700</v>
      </c>
      <c r="R2139" s="573" t="s">
        <v>1259</v>
      </c>
      <c r="S2139" s="573">
        <v>6</v>
      </c>
      <c r="T2139" s="573" t="s">
        <v>3878</v>
      </c>
      <c r="U2139" s="573" t="s">
        <v>318</v>
      </c>
      <c r="V2139" s="573">
        <v>141.1</v>
      </c>
      <c r="W2139" s="573">
        <v>23</v>
      </c>
      <c r="X2139" s="571">
        <v>6800</v>
      </c>
      <c r="Y2139" s="573">
        <v>19</v>
      </c>
      <c r="Z2139" s="579" t="s">
        <v>178</v>
      </c>
      <c r="AA2139" s="579" t="s">
        <v>178</v>
      </c>
      <c r="AB2139" s="584">
        <v>41975</v>
      </c>
      <c r="AC2139" s="584" t="s">
        <v>164</v>
      </c>
      <c r="AD2139" s="584">
        <v>31250</v>
      </c>
      <c r="AE2139" s="586">
        <v>0.01</v>
      </c>
      <c r="AF2139" s="661" t="str">
        <f t="shared" si="234"/>
        <v>2019-LTK-FRD-F150-054-15</v>
      </c>
      <c r="AG2139" s="661" t="str">
        <f>IF(AND($Y2139&gt;=32,(AI2139="I"),(Y2139&lt;&gt;"~"),(COUNTIF($AN$1:$AN2139,$AN2139)=1)),"TRUE","FALSE")</f>
        <v>FALSE</v>
      </c>
      <c r="AH2139" s="661" t="str">
        <f>IF(AND($Y2139&gt;=22, (AI2139&lt;&gt;"I"),(Y2139&lt;&gt;"~"),(COUNTIF($AN$1:$AN2139,$AN2139)=1)),"TRUE","FALSE")</f>
        <v>FALSE</v>
      </c>
      <c r="AI2139" s="661" t="str">
        <f t="shared" si="229"/>
        <v>II</v>
      </c>
      <c r="AJ2139" s="662" t="str">
        <f t="shared" si="230"/>
        <v>F150-054</v>
      </c>
      <c r="AK2139" s="662" t="str">
        <f t="shared" si="231"/>
        <v>LTK</v>
      </c>
      <c r="AL2139" s="662" t="str">
        <f t="shared" si="232"/>
        <v>FRD</v>
      </c>
      <c r="AM2139" s="662" t="str">
        <f t="shared" ref="AM2139:AM2202" si="235">CONCATENATE(I2139,"-",J2139,"-",K2139,"-",L2139,"-",P2139,"-",Q2139,"-",R2139,"-",S2139,"-",T2139,"-",U2139,"-",V2139,"-",W2139,"-",Z2139,"-",AA2139)</f>
        <v>F150-Regular Cab XLT-4WD-3-8'-10700-3.5L EcoBoost-6-F1E-300A-141.1-23-Unleaded-Unleaded</v>
      </c>
      <c r="AN2139" s="662" t="str">
        <f t="shared" si="233"/>
        <v>2019-LTK-FRD-F150-054</v>
      </c>
    </row>
    <row r="2140" spans="1:40" s="572" customFormat="1" ht="15">
      <c r="A2140" s="570" t="s">
        <v>3973</v>
      </c>
      <c r="B2140" s="569" t="s">
        <v>3964</v>
      </c>
      <c r="C2140" s="569" t="s">
        <v>278</v>
      </c>
      <c r="D2140" s="580">
        <v>15</v>
      </c>
      <c r="E2140" s="569" t="s">
        <v>3374</v>
      </c>
      <c r="F2140" s="569" t="s">
        <v>152</v>
      </c>
      <c r="G2140" s="569" t="s">
        <v>271</v>
      </c>
      <c r="H2140" s="569">
        <v>2019</v>
      </c>
      <c r="I2140" s="569" t="s">
        <v>3765</v>
      </c>
      <c r="J2140" s="569" t="s">
        <v>3916</v>
      </c>
      <c r="K2140" s="569" t="s">
        <v>752</v>
      </c>
      <c r="L2140" s="569">
        <v>3</v>
      </c>
      <c r="M2140" s="569">
        <v>0</v>
      </c>
      <c r="N2140" s="569" t="s">
        <v>157</v>
      </c>
      <c r="O2140" s="569">
        <v>1</v>
      </c>
      <c r="P2140" s="569" t="s">
        <v>3846</v>
      </c>
      <c r="Q2140" s="568">
        <v>7400</v>
      </c>
      <c r="R2140" s="569" t="s">
        <v>3772</v>
      </c>
      <c r="S2140" s="569">
        <v>6</v>
      </c>
      <c r="T2140" s="569" t="s">
        <v>3878</v>
      </c>
      <c r="U2140" s="569" t="s">
        <v>318</v>
      </c>
      <c r="V2140" s="569">
        <v>141.1</v>
      </c>
      <c r="W2140" s="569">
        <v>23</v>
      </c>
      <c r="X2140" s="568">
        <v>6050</v>
      </c>
      <c r="Y2140" s="569">
        <v>19</v>
      </c>
      <c r="Z2140" s="581" t="s">
        <v>450</v>
      </c>
      <c r="AA2140" s="581" t="s">
        <v>178</v>
      </c>
      <c r="AB2140" s="585">
        <v>39380</v>
      </c>
      <c r="AC2140" s="585" t="s">
        <v>164</v>
      </c>
      <c r="AD2140" s="585">
        <v>28900</v>
      </c>
      <c r="AE2140" s="587">
        <v>0.01</v>
      </c>
      <c r="AF2140" s="661" t="str">
        <f t="shared" si="234"/>
        <v>2019-LTK-FRD-F150-055-15</v>
      </c>
      <c r="AG2140" s="661" t="str">
        <f>IF(AND($Y2140&gt;=32,(AI2140="I"),(Y2140&lt;&gt;"~"),(COUNTIF($AN$1:$AN2140,$AN2140)=1)),"TRUE","FALSE")</f>
        <v>FALSE</v>
      </c>
      <c r="AH2140" s="661" t="str">
        <f>IF(AND($Y2140&gt;=22, (AI2140&lt;&gt;"I"),(Y2140&lt;&gt;"~"),(COUNTIF($AN$1:$AN2140,$AN2140)=1)),"TRUE","FALSE")</f>
        <v>FALSE</v>
      </c>
      <c r="AI2140" s="661" t="str">
        <f t="shared" ref="AI2140:AI2203" si="236">IF(OR((LEFT($E2140,2)="01"),AND(LEFT($E2140,2)="06",ISNUMBER(SEARCH("pas",$F2140))),AND(LEFT($E2140,2)="05",ISNUMBER(SEARCH("pas",$F2140)))),"I",IF(AND((LEFT($E2140,2)&lt;&gt;"01"),$X2140&lt;=10000),"II",IF(AND((LEFT($E2140,2)&lt;&gt;"01"),$X2140&gt;10000),"N/A")))</f>
        <v>II</v>
      </c>
      <c r="AJ2140" s="662" t="str">
        <f t="shared" si="230"/>
        <v>F150-055</v>
      </c>
      <c r="AK2140" s="662" t="str">
        <f t="shared" si="231"/>
        <v>LTK</v>
      </c>
      <c r="AL2140" s="662" t="str">
        <f t="shared" si="232"/>
        <v>FRD</v>
      </c>
      <c r="AM2140" s="662" t="str">
        <f t="shared" si="235"/>
        <v>F150-Regular Cab XLT-4WD-3-8'-7400-3.3L FFV-6-F1E-300A-141.1-23-E85-Unleaded</v>
      </c>
      <c r="AN2140" s="662" t="str">
        <f t="shared" si="233"/>
        <v>2019-LTK-FRD-F150-055</v>
      </c>
    </row>
    <row r="2141" spans="1:40" s="572" customFormat="1" ht="15">
      <c r="A2141" s="570" t="s">
        <v>3974</v>
      </c>
      <c r="B2141" s="573" t="s">
        <v>3966</v>
      </c>
      <c r="C2141" s="573" t="s">
        <v>278</v>
      </c>
      <c r="D2141" s="578">
        <v>15</v>
      </c>
      <c r="E2141" s="573" t="s">
        <v>3374</v>
      </c>
      <c r="F2141" s="573" t="s">
        <v>152</v>
      </c>
      <c r="G2141" s="573" t="s">
        <v>271</v>
      </c>
      <c r="H2141" s="573">
        <v>2019</v>
      </c>
      <c r="I2141" s="573" t="s">
        <v>3765</v>
      </c>
      <c r="J2141" s="573" t="s">
        <v>3916</v>
      </c>
      <c r="K2141" s="573" t="s">
        <v>752</v>
      </c>
      <c r="L2141" s="573">
        <v>3</v>
      </c>
      <c r="M2141" s="573">
        <v>0</v>
      </c>
      <c r="N2141" s="573" t="s">
        <v>157</v>
      </c>
      <c r="O2141" s="573">
        <v>1</v>
      </c>
      <c r="P2141" s="573" t="s">
        <v>3846</v>
      </c>
      <c r="Q2141" s="571">
        <v>7600</v>
      </c>
      <c r="R2141" s="573" t="s">
        <v>3768</v>
      </c>
      <c r="S2141" s="573">
        <v>6</v>
      </c>
      <c r="T2141" s="573" t="s">
        <v>3878</v>
      </c>
      <c r="U2141" s="573" t="s">
        <v>318</v>
      </c>
      <c r="V2141" s="573">
        <v>141.1</v>
      </c>
      <c r="W2141" s="573">
        <v>23</v>
      </c>
      <c r="X2141" s="571">
        <v>6050</v>
      </c>
      <c r="Y2141" s="573">
        <v>20</v>
      </c>
      <c r="Z2141" s="579" t="s">
        <v>178</v>
      </c>
      <c r="AA2141" s="579" t="s">
        <v>178</v>
      </c>
      <c r="AB2141" s="584">
        <v>40375</v>
      </c>
      <c r="AC2141" s="584" t="s">
        <v>164</v>
      </c>
      <c r="AD2141" s="584">
        <v>29800</v>
      </c>
      <c r="AE2141" s="586">
        <v>0.01</v>
      </c>
      <c r="AF2141" s="661" t="str">
        <f t="shared" si="234"/>
        <v>2019-LTK-FRD-F150-056-15</v>
      </c>
      <c r="AG2141" s="661" t="str">
        <f>IF(AND($Y2141&gt;=32,(AI2141="I"),(Y2141&lt;&gt;"~"),(COUNTIF($AN$1:$AN2141,$AN2141)=1)),"TRUE","FALSE")</f>
        <v>FALSE</v>
      </c>
      <c r="AH2141" s="661" t="str">
        <f>IF(AND($Y2141&gt;=22, (AI2141&lt;&gt;"I"),(Y2141&lt;&gt;"~"),(COUNTIF($AN$1:$AN2141,$AN2141)=1)),"TRUE","FALSE")</f>
        <v>FALSE</v>
      </c>
      <c r="AI2141" s="661" t="str">
        <f t="shared" si="236"/>
        <v>II</v>
      </c>
      <c r="AJ2141" s="662" t="str">
        <f t="shared" si="230"/>
        <v>F150-056</v>
      </c>
      <c r="AK2141" s="662" t="str">
        <f t="shared" si="231"/>
        <v>LTK</v>
      </c>
      <c r="AL2141" s="662" t="str">
        <f t="shared" si="232"/>
        <v>FRD</v>
      </c>
      <c r="AM2141" s="662" t="str">
        <f t="shared" si="235"/>
        <v>F150-Regular Cab XLT-4WD-3-8'-7600-2.7L EcoBoost -6-F1E-300A-141.1-23-Unleaded-Unleaded</v>
      </c>
      <c r="AN2141" s="662" t="str">
        <f t="shared" si="233"/>
        <v>2019-LTK-FRD-F150-056</v>
      </c>
    </row>
    <row r="2142" spans="1:40" s="572" customFormat="1" ht="15">
      <c r="A2142" s="570" t="s">
        <v>3975</v>
      </c>
      <c r="B2142" s="569" t="s">
        <v>3968</v>
      </c>
      <c r="C2142" s="569" t="s">
        <v>278</v>
      </c>
      <c r="D2142" s="580">
        <v>15</v>
      </c>
      <c r="E2142" s="569" t="s">
        <v>3374</v>
      </c>
      <c r="F2142" s="569" t="s">
        <v>152</v>
      </c>
      <c r="G2142" s="569" t="s">
        <v>271</v>
      </c>
      <c r="H2142" s="569">
        <v>2019</v>
      </c>
      <c r="I2142" s="569" t="s">
        <v>3765</v>
      </c>
      <c r="J2142" s="569" t="s">
        <v>3916</v>
      </c>
      <c r="K2142" s="569" t="s">
        <v>752</v>
      </c>
      <c r="L2142" s="569">
        <v>3</v>
      </c>
      <c r="M2142" s="569">
        <v>0</v>
      </c>
      <c r="N2142" s="569" t="s">
        <v>157</v>
      </c>
      <c r="O2142" s="569">
        <v>1</v>
      </c>
      <c r="P2142" s="569" t="s">
        <v>3846</v>
      </c>
      <c r="Q2142" s="568">
        <v>7600</v>
      </c>
      <c r="R2142" s="569" t="s">
        <v>3778</v>
      </c>
      <c r="S2142" s="569">
        <v>8</v>
      </c>
      <c r="T2142" s="569" t="s">
        <v>3878</v>
      </c>
      <c r="U2142" s="569" t="s">
        <v>318</v>
      </c>
      <c r="V2142" s="569">
        <v>141.1</v>
      </c>
      <c r="W2142" s="569">
        <v>23</v>
      </c>
      <c r="X2142" s="568">
        <v>6400</v>
      </c>
      <c r="Y2142" s="569">
        <v>17</v>
      </c>
      <c r="Z2142" s="581" t="s">
        <v>450</v>
      </c>
      <c r="AA2142" s="581" t="s">
        <v>178</v>
      </c>
      <c r="AB2142" s="585">
        <v>41375</v>
      </c>
      <c r="AC2142" s="585" t="s">
        <v>164</v>
      </c>
      <c r="AD2142" s="585">
        <v>30750</v>
      </c>
      <c r="AE2142" s="587">
        <v>0.01</v>
      </c>
      <c r="AF2142" s="661" t="str">
        <f t="shared" si="234"/>
        <v>2019-LTK-FRD-F150-057-15</v>
      </c>
      <c r="AG2142" s="661" t="str">
        <f>IF(AND($Y2142&gt;=32,(AI2142="I"),(Y2142&lt;&gt;"~"),(COUNTIF($AN$1:$AN2142,$AN2142)=1)),"TRUE","FALSE")</f>
        <v>FALSE</v>
      </c>
      <c r="AH2142" s="661" t="str">
        <f>IF(AND($Y2142&gt;=22, (AI2142&lt;&gt;"I"),(Y2142&lt;&gt;"~"),(COUNTIF($AN$1:$AN2142,$AN2142)=1)),"TRUE","FALSE")</f>
        <v>FALSE</v>
      </c>
      <c r="AI2142" s="661" t="str">
        <f t="shared" si="236"/>
        <v>II</v>
      </c>
      <c r="AJ2142" s="662" t="str">
        <f t="shared" si="230"/>
        <v>F150-057</v>
      </c>
      <c r="AK2142" s="662" t="str">
        <f t="shared" si="231"/>
        <v>LTK</v>
      </c>
      <c r="AL2142" s="662" t="str">
        <f t="shared" si="232"/>
        <v>FRD</v>
      </c>
      <c r="AM2142" s="662" t="str">
        <f t="shared" si="235"/>
        <v>F150-Regular Cab XLT-4WD-3-8'-7600-5.0L FFV-8-F1E-300A-141.1-23-E85-Unleaded</v>
      </c>
      <c r="AN2142" s="662" t="str">
        <f t="shared" si="233"/>
        <v>2019-LTK-FRD-F150-057</v>
      </c>
    </row>
    <row r="2143" spans="1:40" s="572" customFormat="1" ht="15">
      <c r="A2143" s="570" t="s">
        <v>3976</v>
      </c>
      <c r="B2143" s="573" t="s">
        <v>3956</v>
      </c>
      <c r="C2143" s="573" t="s">
        <v>287</v>
      </c>
      <c r="D2143" s="578">
        <v>26</v>
      </c>
      <c r="E2143" s="573" t="s">
        <v>3374</v>
      </c>
      <c r="F2143" s="573" t="s">
        <v>152</v>
      </c>
      <c r="G2143" s="573" t="s">
        <v>271</v>
      </c>
      <c r="H2143" s="573">
        <v>2019</v>
      </c>
      <c r="I2143" s="573" t="s">
        <v>3765</v>
      </c>
      <c r="J2143" s="573" t="s">
        <v>3916</v>
      </c>
      <c r="K2143" s="573" t="s">
        <v>752</v>
      </c>
      <c r="L2143" s="573">
        <v>3</v>
      </c>
      <c r="M2143" s="573">
        <v>0</v>
      </c>
      <c r="N2143" s="573" t="s">
        <v>157</v>
      </c>
      <c r="O2143" s="573">
        <v>1</v>
      </c>
      <c r="P2143" s="573" t="s">
        <v>3781</v>
      </c>
      <c r="Q2143" s="571">
        <v>7600</v>
      </c>
      <c r="R2143" s="573" t="s">
        <v>3768</v>
      </c>
      <c r="S2143" s="573">
        <v>6</v>
      </c>
      <c r="T2143" s="573" t="s">
        <v>3878</v>
      </c>
      <c r="U2143" s="573" t="s">
        <v>318</v>
      </c>
      <c r="V2143" s="573">
        <v>122.4</v>
      </c>
      <c r="W2143" s="573">
        <v>23</v>
      </c>
      <c r="X2143" s="571">
        <v>6050</v>
      </c>
      <c r="Y2143" s="573">
        <v>20</v>
      </c>
      <c r="Z2143" s="579" t="s">
        <v>178</v>
      </c>
      <c r="AA2143" s="579" t="s">
        <v>178</v>
      </c>
      <c r="AB2143" s="584">
        <v>40075</v>
      </c>
      <c r="AC2143" s="584" t="s">
        <v>164</v>
      </c>
      <c r="AD2143" s="584">
        <v>29983</v>
      </c>
      <c r="AE2143" s="586">
        <v>0.05</v>
      </c>
      <c r="AF2143" s="661" t="str">
        <f t="shared" si="234"/>
        <v>2019-LTK-FRD-F150-050-26</v>
      </c>
      <c r="AG2143" s="661" t="str">
        <f>IF(AND($Y2143&gt;=32,(AI2143="I"),(Y2143&lt;&gt;"~"),(COUNTIF($AN$1:$AN2143,$AN2143)=1)),"TRUE","FALSE")</f>
        <v>FALSE</v>
      </c>
      <c r="AH2143" s="661" t="str">
        <f>IF(AND($Y2143&gt;=22, (AI2143&lt;&gt;"I"),(Y2143&lt;&gt;"~"),(COUNTIF($AN$1:$AN2143,$AN2143)=1)),"TRUE","FALSE")</f>
        <v>FALSE</v>
      </c>
      <c r="AI2143" s="661" t="str">
        <f t="shared" si="236"/>
        <v>II</v>
      </c>
      <c r="AJ2143" s="662" t="str">
        <f t="shared" si="230"/>
        <v>F150-050</v>
      </c>
      <c r="AK2143" s="662" t="str">
        <f t="shared" si="231"/>
        <v>LTK</v>
      </c>
      <c r="AL2143" s="662" t="str">
        <f t="shared" si="232"/>
        <v>FRD</v>
      </c>
      <c r="AM2143" s="662" t="str">
        <f t="shared" si="235"/>
        <v>F150-Regular Cab XLT-4WD-3-6'5"-7600-2.7L EcoBoost -6-F1E-300A-122.4-23-Unleaded-Unleaded</v>
      </c>
      <c r="AN2143" s="662" t="str">
        <f t="shared" si="233"/>
        <v>2019-LTK-FRD-F150-050</v>
      </c>
    </row>
    <row r="2144" spans="1:40" s="572" customFormat="1" ht="15">
      <c r="A2144" s="570" t="s">
        <v>3977</v>
      </c>
      <c r="B2144" s="569" t="s">
        <v>3958</v>
      </c>
      <c r="C2144" s="569" t="s">
        <v>287</v>
      </c>
      <c r="D2144" s="580">
        <v>26</v>
      </c>
      <c r="E2144" s="569" t="s">
        <v>3374</v>
      </c>
      <c r="F2144" s="569" t="s">
        <v>152</v>
      </c>
      <c r="G2144" s="569" t="s">
        <v>271</v>
      </c>
      <c r="H2144" s="569">
        <v>2019</v>
      </c>
      <c r="I2144" s="569" t="s">
        <v>3765</v>
      </c>
      <c r="J2144" s="569" t="s">
        <v>3916</v>
      </c>
      <c r="K2144" s="569" t="s">
        <v>752</v>
      </c>
      <c r="L2144" s="569">
        <v>3</v>
      </c>
      <c r="M2144" s="569">
        <v>0</v>
      </c>
      <c r="N2144" s="569" t="s">
        <v>157</v>
      </c>
      <c r="O2144" s="569">
        <v>1</v>
      </c>
      <c r="P2144" s="569" t="s">
        <v>3781</v>
      </c>
      <c r="Q2144" s="568">
        <v>7600</v>
      </c>
      <c r="R2144" s="569" t="s">
        <v>3778</v>
      </c>
      <c r="S2144" s="569">
        <v>8</v>
      </c>
      <c r="T2144" s="569" t="s">
        <v>3878</v>
      </c>
      <c r="U2144" s="569" t="s">
        <v>318</v>
      </c>
      <c r="V2144" s="569">
        <v>122.4</v>
      </c>
      <c r="W2144" s="569">
        <v>23</v>
      </c>
      <c r="X2144" s="568">
        <v>6400</v>
      </c>
      <c r="Y2144" s="569">
        <v>17</v>
      </c>
      <c r="Z2144" s="581" t="s">
        <v>450</v>
      </c>
      <c r="AA2144" s="581" t="s">
        <v>178</v>
      </c>
      <c r="AB2144" s="585">
        <v>41075</v>
      </c>
      <c r="AC2144" s="585" t="s">
        <v>164</v>
      </c>
      <c r="AD2144" s="585">
        <v>30893</v>
      </c>
      <c r="AE2144" s="587">
        <v>0.05</v>
      </c>
      <c r="AF2144" s="661" t="str">
        <f t="shared" si="234"/>
        <v>2019-LTK-FRD-F150-051-26</v>
      </c>
      <c r="AG2144" s="661" t="str">
        <f>IF(AND($Y2144&gt;=32,(AI2144="I"),(Y2144&lt;&gt;"~"),(COUNTIF($AN$1:$AN2144,$AN2144)=1)),"TRUE","FALSE")</f>
        <v>FALSE</v>
      </c>
      <c r="AH2144" s="661" t="str">
        <f>IF(AND($Y2144&gt;=22, (AI2144&lt;&gt;"I"),(Y2144&lt;&gt;"~"),(COUNTIF($AN$1:$AN2144,$AN2144)=1)),"TRUE","FALSE")</f>
        <v>FALSE</v>
      </c>
      <c r="AI2144" s="661" t="str">
        <f t="shared" si="236"/>
        <v>II</v>
      </c>
      <c r="AJ2144" s="662" t="str">
        <f t="shared" si="230"/>
        <v>F150-051</v>
      </c>
      <c r="AK2144" s="662" t="str">
        <f t="shared" si="231"/>
        <v>LTK</v>
      </c>
      <c r="AL2144" s="662" t="str">
        <f t="shared" si="232"/>
        <v>FRD</v>
      </c>
      <c r="AM2144" s="662" t="str">
        <f t="shared" si="235"/>
        <v>F150-Regular Cab XLT-4WD-3-6'5"-7600-5.0L FFV-8-F1E-300A-122.4-23-E85-Unleaded</v>
      </c>
      <c r="AN2144" s="662" t="str">
        <f t="shared" si="233"/>
        <v>2019-LTK-FRD-F150-051</v>
      </c>
    </row>
    <row r="2145" spans="1:40" s="572" customFormat="1" ht="15">
      <c r="A2145" s="570" t="s">
        <v>3978</v>
      </c>
      <c r="B2145" s="573" t="s">
        <v>3979</v>
      </c>
      <c r="C2145" s="573" t="s">
        <v>287</v>
      </c>
      <c r="D2145" s="578">
        <v>26</v>
      </c>
      <c r="E2145" s="573" t="s">
        <v>3374</v>
      </c>
      <c r="F2145" s="573" t="s">
        <v>152</v>
      </c>
      <c r="G2145" s="573" t="s">
        <v>271</v>
      </c>
      <c r="H2145" s="573">
        <v>2019</v>
      </c>
      <c r="I2145" s="573" t="s">
        <v>3765</v>
      </c>
      <c r="J2145" s="573" t="s">
        <v>3916</v>
      </c>
      <c r="K2145" s="573" t="s">
        <v>752</v>
      </c>
      <c r="L2145" s="573">
        <v>3</v>
      </c>
      <c r="M2145" s="573">
        <v>0</v>
      </c>
      <c r="N2145" s="573" t="s">
        <v>157</v>
      </c>
      <c r="O2145" s="573">
        <v>1</v>
      </c>
      <c r="P2145" s="573" t="s">
        <v>3781</v>
      </c>
      <c r="Q2145" s="571">
        <v>7700</v>
      </c>
      <c r="R2145" s="573" t="s">
        <v>1322</v>
      </c>
      <c r="S2145" s="573">
        <v>6</v>
      </c>
      <c r="T2145" s="573" t="s">
        <v>3878</v>
      </c>
      <c r="U2145" s="573" t="s">
        <v>318</v>
      </c>
      <c r="V2145" s="573">
        <v>122.4</v>
      </c>
      <c r="W2145" s="573">
        <v>23</v>
      </c>
      <c r="X2145" s="571">
        <v>6050</v>
      </c>
      <c r="Y2145" s="573">
        <v>20</v>
      </c>
      <c r="Z2145" s="579" t="s">
        <v>178</v>
      </c>
      <c r="AA2145" s="579" t="s">
        <v>178</v>
      </c>
      <c r="AB2145" s="584">
        <v>39080</v>
      </c>
      <c r="AC2145" s="584" t="s">
        <v>164</v>
      </c>
      <c r="AD2145" s="584">
        <v>29078</v>
      </c>
      <c r="AE2145" s="586">
        <v>0.05</v>
      </c>
      <c r="AF2145" s="661" t="str">
        <f t="shared" si="234"/>
        <v>2019-LTK-FRD-F150-052-26</v>
      </c>
      <c r="AG2145" s="661" t="str">
        <f>IF(AND($Y2145&gt;=32,(AI2145="I"),(Y2145&lt;&gt;"~"),(COUNTIF($AN$1:$AN2145,$AN2145)=1)),"TRUE","FALSE")</f>
        <v>FALSE</v>
      </c>
      <c r="AH2145" s="661" t="str">
        <f>IF(AND($Y2145&gt;=22, (AI2145&lt;&gt;"I"),(Y2145&lt;&gt;"~"),(COUNTIF($AN$1:$AN2145,$AN2145)=1)),"TRUE","FALSE")</f>
        <v>FALSE</v>
      </c>
      <c r="AI2145" s="661" t="str">
        <f t="shared" si="236"/>
        <v>II</v>
      </c>
      <c r="AJ2145" s="662" t="str">
        <f t="shared" si="230"/>
        <v>F150-052</v>
      </c>
      <c r="AK2145" s="662" t="str">
        <f t="shared" si="231"/>
        <v>LTK</v>
      </c>
      <c r="AL2145" s="662" t="str">
        <f t="shared" si="232"/>
        <v>FRD</v>
      </c>
      <c r="AM2145" s="662" t="str">
        <f t="shared" si="235"/>
        <v>F150-Regular Cab XLT-4WD-3-6'5"-7700-3.3L-6-F1E-300A-122.4-23-Unleaded-Unleaded</v>
      </c>
      <c r="AN2145" s="662" t="str">
        <f t="shared" si="233"/>
        <v>2019-LTK-FRD-F150-052</v>
      </c>
    </row>
    <row r="2146" spans="1:40" s="572" customFormat="1" ht="15">
      <c r="A2146" s="570" t="s">
        <v>3980</v>
      </c>
      <c r="B2146" s="569" t="s">
        <v>3962</v>
      </c>
      <c r="C2146" s="569" t="s">
        <v>287</v>
      </c>
      <c r="D2146" s="580">
        <v>26</v>
      </c>
      <c r="E2146" s="569" t="s">
        <v>3374</v>
      </c>
      <c r="F2146" s="569" t="s">
        <v>152</v>
      </c>
      <c r="G2146" s="569" t="s">
        <v>271</v>
      </c>
      <c r="H2146" s="569">
        <v>2019</v>
      </c>
      <c r="I2146" s="569" t="s">
        <v>3765</v>
      </c>
      <c r="J2146" s="569" t="s">
        <v>3916</v>
      </c>
      <c r="K2146" s="569" t="s">
        <v>752</v>
      </c>
      <c r="L2146" s="569">
        <v>3</v>
      </c>
      <c r="M2146" s="569">
        <v>0</v>
      </c>
      <c r="N2146" s="569" t="s">
        <v>157</v>
      </c>
      <c r="O2146" s="569">
        <v>1</v>
      </c>
      <c r="P2146" s="569" t="s">
        <v>3846</v>
      </c>
      <c r="Q2146" s="568">
        <v>10700</v>
      </c>
      <c r="R2146" s="569" t="s">
        <v>1259</v>
      </c>
      <c r="S2146" s="569">
        <v>6</v>
      </c>
      <c r="T2146" s="569" t="s">
        <v>3878</v>
      </c>
      <c r="U2146" s="569" t="s">
        <v>318</v>
      </c>
      <c r="V2146" s="569">
        <v>141.1</v>
      </c>
      <c r="W2146" s="569">
        <v>23</v>
      </c>
      <c r="X2146" s="568">
        <v>6800</v>
      </c>
      <c r="Y2146" s="569">
        <v>19</v>
      </c>
      <c r="Z2146" s="581" t="s">
        <v>178</v>
      </c>
      <c r="AA2146" s="581" t="s">
        <v>178</v>
      </c>
      <c r="AB2146" s="585">
        <v>41975</v>
      </c>
      <c r="AC2146" s="585" t="s">
        <v>164</v>
      </c>
      <c r="AD2146" s="585">
        <v>31715</v>
      </c>
      <c r="AE2146" s="587">
        <v>0.05</v>
      </c>
      <c r="AF2146" s="661" t="str">
        <f t="shared" si="234"/>
        <v>2019-LTK-FRD-F150-054-26</v>
      </c>
      <c r="AG2146" s="661" t="str">
        <f>IF(AND($Y2146&gt;=32,(AI2146="I"),(Y2146&lt;&gt;"~"),(COUNTIF($AN$1:$AN2146,$AN2146)=1)),"TRUE","FALSE")</f>
        <v>FALSE</v>
      </c>
      <c r="AH2146" s="661" t="str">
        <f>IF(AND($Y2146&gt;=22, (AI2146&lt;&gt;"I"),(Y2146&lt;&gt;"~"),(COUNTIF($AN$1:$AN2146,$AN2146)=1)),"TRUE","FALSE")</f>
        <v>FALSE</v>
      </c>
      <c r="AI2146" s="661" t="str">
        <f t="shared" si="236"/>
        <v>II</v>
      </c>
      <c r="AJ2146" s="662" t="str">
        <f t="shared" si="230"/>
        <v>F150-054</v>
      </c>
      <c r="AK2146" s="662" t="str">
        <f t="shared" si="231"/>
        <v>LTK</v>
      </c>
      <c r="AL2146" s="662" t="str">
        <f t="shared" si="232"/>
        <v>FRD</v>
      </c>
      <c r="AM2146" s="662" t="str">
        <f t="shared" si="235"/>
        <v>F150-Regular Cab XLT-4WD-3-8'-10700-3.5L EcoBoost-6-F1E-300A-141.1-23-Unleaded-Unleaded</v>
      </c>
      <c r="AN2146" s="662" t="str">
        <f t="shared" si="233"/>
        <v>2019-LTK-FRD-F150-054</v>
      </c>
    </row>
    <row r="2147" spans="1:40" s="572" customFormat="1" ht="15">
      <c r="A2147" s="570" t="s">
        <v>3981</v>
      </c>
      <c r="B2147" s="573" t="s">
        <v>3966</v>
      </c>
      <c r="C2147" s="573" t="s">
        <v>287</v>
      </c>
      <c r="D2147" s="578">
        <v>26</v>
      </c>
      <c r="E2147" s="573" t="s">
        <v>3374</v>
      </c>
      <c r="F2147" s="573" t="s">
        <v>152</v>
      </c>
      <c r="G2147" s="573" t="s">
        <v>271</v>
      </c>
      <c r="H2147" s="573">
        <v>2019</v>
      </c>
      <c r="I2147" s="573" t="s">
        <v>3765</v>
      </c>
      <c r="J2147" s="573" t="s">
        <v>3916</v>
      </c>
      <c r="K2147" s="573" t="s">
        <v>752</v>
      </c>
      <c r="L2147" s="573">
        <v>3</v>
      </c>
      <c r="M2147" s="573">
        <v>0</v>
      </c>
      <c r="N2147" s="573" t="s">
        <v>157</v>
      </c>
      <c r="O2147" s="573">
        <v>1</v>
      </c>
      <c r="P2147" s="573" t="s">
        <v>3846</v>
      </c>
      <c r="Q2147" s="571">
        <v>7600</v>
      </c>
      <c r="R2147" s="573" t="s">
        <v>3768</v>
      </c>
      <c r="S2147" s="573">
        <v>6</v>
      </c>
      <c r="T2147" s="573" t="s">
        <v>3878</v>
      </c>
      <c r="U2147" s="573" t="s">
        <v>318</v>
      </c>
      <c r="V2147" s="573">
        <v>141.1</v>
      </c>
      <c r="W2147" s="573">
        <v>23</v>
      </c>
      <c r="X2147" s="571">
        <v>6050</v>
      </c>
      <c r="Y2147" s="573">
        <v>20</v>
      </c>
      <c r="Z2147" s="579" t="s">
        <v>178</v>
      </c>
      <c r="AA2147" s="579" t="s">
        <v>178</v>
      </c>
      <c r="AB2147" s="584">
        <v>40375</v>
      </c>
      <c r="AC2147" s="584" t="s">
        <v>164</v>
      </c>
      <c r="AD2147" s="584">
        <v>30260</v>
      </c>
      <c r="AE2147" s="586">
        <v>0.05</v>
      </c>
      <c r="AF2147" s="661" t="str">
        <f t="shared" si="234"/>
        <v>2019-LTK-FRD-F150-056-26</v>
      </c>
      <c r="AG2147" s="661" t="str">
        <f>IF(AND($Y2147&gt;=32,(AI2147="I"),(Y2147&lt;&gt;"~"),(COUNTIF($AN$1:$AN2147,$AN2147)=1)),"TRUE","FALSE")</f>
        <v>FALSE</v>
      </c>
      <c r="AH2147" s="661" t="str">
        <f>IF(AND($Y2147&gt;=22, (AI2147&lt;&gt;"I"),(Y2147&lt;&gt;"~"),(COUNTIF($AN$1:$AN2147,$AN2147)=1)),"TRUE","FALSE")</f>
        <v>FALSE</v>
      </c>
      <c r="AI2147" s="661" t="str">
        <f t="shared" si="236"/>
        <v>II</v>
      </c>
      <c r="AJ2147" s="662" t="str">
        <f t="shared" si="230"/>
        <v>F150-056</v>
      </c>
      <c r="AK2147" s="662" t="str">
        <f t="shared" si="231"/>
        <v>LTK</v>
      </c>
      <c r="AL2147" s="662" t="str">
        <f t="shared" si="232"/>
        <v>FRD</v>
      </c>
      <c r="AM2147" s="662" t="str">
        <f t="shared" si="235"/>
        <v>F150-Regular Cab XLT-4WD-3-8'-7600-2.7L EcoBoost -6-F1E-300A-141.1-23-Unleaded-Unleaded</v>
      </c>
      <c r="AN2147" s="662" t="str">
        <f t="shared" si="233"/>
        <v>2019-LTK-FRD-F150-056</v>
      </c>
    </row>
    <row r="2148" spans="1:40" s="572" customFormat="1" ht="15">
      <c r="A2148" s="570" t="s">
        <v>3982</v>
      </c>
      <c r="B2148" s="569" t="s">
        <v>3968</v>
      </c>
      <c r="C2148" s="569" t="s">
        <v>287</v>
      </c>
      <c r="D2148" s="580">
        <v>26</v>
      </c>
      <c r="E2148" s="569" t="s">
        <v>3374</v>
      </c>
      <c r="F2148" s="569" t="s">
        <v>152</v>
      </c>
      <c r="G2148" s="569" t="s">
        <v>271</v>
      </c>
      <c r="H2148" s="569">
        <v>2019</v>
      </c>
      <c r="I2148" s="569" t="s">
        <v>3765</v>
      </c>
      <c r="J2148" s="569" t="s">
        <v>3916</v>
      </c>
      <c r="K2148" s="569" t="s">
        <v>752</v>
      </c>
      <c r="L2148" s="569">
        <v>3</v>
      </c>
      <c r="M2148" s="569">
        <v>0</v>
      </c>
      <c r="N2148" s="569" t="s">
        <v>157</v>
      </c>
      <c r="O2148" s="569">
        <v>1</v>
      </c>
      <c r="P2148" s="569" t="s">
        <v>3846</v>
      </c>
      <c r="Q2148" s="568">
        <v>7600</v>
      </c>
      <c r="R2148" s="569" t="s">
        <v>3778</v>
      </c>
      <c r="S2148" s="569">
        <v>8</v>
      </c>
      <c r="T2148" s="569" t="s">
        <v>3878</v>
      </c>
      <c r="U2148" s="569" t="s">
        <v>318</v>
      </c>
      <c r="V2148" s="569">
        <v>141.1</v>
      </c>
      <c r="W2148" s="569">
        <v>23</v>
      </c>
      <c r="X2148" s="568">
        <v>6400</v>
      </c>
      <c r="Y2148" s="569">
        <v>17</v>
      </c>
      <c r="Z2148" s="581" t="s">
        <v>450</v>
      </c>
      <c r="AA2148" s="581" t="s">
        <v>178</v>
      </c>
      <c r="AB2148" s="585">
        <v>41375</v>
      </c>
      <c r="AC2148" s="585" t="s">
        <v>164</v>
      </c>
      <c r="AD2148" s="585">
        <v>31170</v>
      </c>
      <c r="AE2148" s="587">
        <v>0.05</v>
      </c>
      <c r="AF2148" s="661" t="str">
        <f t="shared" si="234"/>
        <v>2019-LTK-FRD-F150-057-26</v>
      </c>
      <c r="AG2148" s="661" t="str">
        <f>IF(AND($Y2148&gt;=32,(AI2148="I"),(Y2148&lt;&gt;"~"),(COUNTIF($AN$1:$AN2148,$AN2148)=1)),"TRUE","FALSE")</f>
        <v>FALSE</v>
      </c>
      <c r="AH2148" s="661" t="str">
        <f>IF(AND($Y2148&gt;=22, (AI2148&lt;&gt;"I"),(Y2148&lt;&gt;"~"),(COUNTIF($AN$1:$AN2148,$AN2148)=1)),"TRUE","FALSE")</f>
        <v>FALSE</v>
      </c>
      <c r="AI2148" s="661" t="str">
        <f t="shared" si="236"/>
        <v>II</v>
      </c>
      <c r="AJ2148" s="662" t="str">
        <f t="shared" si="230"/>
        <v>F150-057</v>
      </c>
      <c r="AK2148" s="662" t="str">
        <f t="shared" si="231"/>
        <v>LTK</v>
      </c>
      <c r="AL2148" s="662" t="str">
        <f t="shared" si="232"/>
        <v>FRD</v>
      </c>
      <c r="AM2148" s="662" t="str">
        <f t="shared" si="235"/>
        <v>F150-Regular Cab XLT-4WD-3-8'-7600-5.0L FFV-8-F1E-300A-141.1-23-E85-Unleaded</v>
      </c>
      <c r="AN2148" s="662" t="str">
        <f t="shared" si="233"/>
        <v>2019-LTK-FRD-F150-057</v>
      </c>
    </row>
    <row r="2149" spans="1:40" s="572" customFormat="1" ht="15">
      <c r="A2149" s="570" t="s">
        <v>3983</v>
      </c>
      <c r="B2149" s="573" t="s">
        <v>3984</v>
      </c>
      <c r="C2149" s="573" t="s">
        <v>287</v>
      </c>
      <c r="D2149" s="578">
        <v>26</v>
      </c>
      <c r="E2149" s="573" t="s">
        <v>3374</v>
      </c>
      <c r="F2149" s="573" t="s">
        <v>152</v>
      </c>
      <c r="G2149" s="573" t="s">
        <v>271</v>
      </c>
      <c r="H2149" s="573">
        <v>2019</v>
      </c>
      <c r="I2149" s="573" t="s">
        <v>3765</v>
      </c>
      <c r="J2149" s="573" t="s">
        <v>3916</v>
      </c>
      <c r="K2149" s="573" t="s">
        <v>752</v>
      </c>
      <c r="L2149" s="573">
        <v>3</v>
      </c>
      <c r="M2149" s="573">
        <v>0</v>
      </c>
      <c r="N2149" s="573" t="s">
        <v>157</v>
      </c>
      <c r="O2149" s="573">
        <v>1</v>
      </c>
      <c r="P2149" s="573" t="s">
        <v>3846</v>
      </c>
      <c r="Q2149" s="571">
        <v>7700</v>
      </c>
      <c r="R2149" s="573" t="s">
        <v>1322</v>
      </c>
      <c r="S2149" s="573">
        <v>6</v>
      </c>
      <c r="T2149" s="573" t="s">
        <v>3878</v>
      </c>
      <c r="U2149" s="573" t="s">
        <v>318</v>
      </c>
      <c r="V2149" s="573">
        <v>141.1</v>
      </c>
      <c r="W2149" s="573">
        <v>23</v>
      </c>
      <c r="X2149" s="571">
        <v>6100</v>
      </c>
      <c r="Y2149" s="573">
        <v>20</v>
      </c>
      <c r="Z2149" s="579" t="s">
        <v>178</v>
      </c>
      <c r="AA2149" s="579" t="s">
        <v>178</v>
      </c>
      <c r="AB2149" s="584">
        <v>29380</v>
      </c>
      <c r="AC2149" s="584" t="s">
        <v>164</v>
      </c>
      <c r="AD2149" s="584">
        <v>29354</v>
      </c>
      <c r="AE2149" s="586">
        <v>0.05</v>
      </c>
      <c r="AF2149" s="661" t="str">
        <f t="shared" si="234"/>
        <v>2019-LTK-FRD-F150-058-26</v>
      </c>
      <c r="AG2149" s="661" t="str">
        <f>IF(AND($Y2149&gt;=32,(AI2149="I"),(Y2149&lt;&gt;"~"),(COUNTIF($AN$1:$AN2149,$AN2149)=1)),"TRUE","FALSE")</f>
        <v>FALSE</v>
      </c>
      <c r="AH2149" s="661" t="str">
        <f>IF(AND($Y2149&gt;=22, (AI2149&lt;&gt;"I"),(Y2149&lt;&gt;"~"),(COUNTIF($AN$1:$AN2149,$AN2149)=1)),"TRUE","FALSE")</f>
        <v>FALSE</v>
      </c>
      <c r="AI2149" s="661" t="str">
        <f t="shared" si="236"/>
        <v>II</v>
      </c>
      <c r="AJ2149" s="662" t="str">
        <f t="shared" si="230"/>
        <v>F150-058</v>
      </c>
      <c r="AK2149" s="662" t="str">
        <f t="shared" si="231"/>
        <v>LTK</v>
      </c>
      <c r="AL2149" s="662" t="str">
        <f t="shared" si="232"/>
        <v>FRD</v>
      </c>
      <c r="AM2149" s="662" t="str">
        <f t="shared" si="235"/>
        <v>F150-Regular Cab XLT-4WD-3-8'-7700-3.3L-6-F1E-300A-141.1-23-Unleaded-Unleaded</v>
      </c>
      <c r="AN2149" s="662" t="str">
        <f t="shared" si="233"/>
        <v>2019-LTK-FRD-F150-058</v>
      </c>
    </row>
    <row r="2150" spans="1:40" s="572" customFormat="1" ht="15">
      <c r="A2150" s="570" t="s">
        <v>3985</v>
      </c>
      <c r="B2150" s="569" t="s">
        <v>3952</v>
      </c>
      <c r="C2150" s="569" t="s">
        <v>280</v>
      </c>
      <c r="D2150" s="580">
        <v>27</v>
      </c>
      <c r="E2150" s="569" t="s">
        <v>3374</v>
      </c>
      <c r="F2150" s="569" t="s">
        <v>152</v>
      </c>
      <c r="G2150" s="569" t="s">
        <v>271</v>
      </c>
      <c r="H2150" s="569">
        <v>2019</v>
      </c>
      <c r="I2150" s="569" t="s">
        <v>3765</v>
      </c>
      <c r="J2150" s="569" t="s">
        <v>3916</v>
      </c>
      <c r="K2150" s="569" t="s">
        <v>752</v>
      </c>
      <c r="L2150" s="569">
        <v>3</v>
      </c>
      <c r="M2150" s="569">
        <v>0</v>
      </c>
      <c r="N2150" s="569" t="s">
        <v>157</v>
      </c>
      <c r="O2150" s="569">
        <v>1</v>
      </c>
      <c r="P2150" s="569" t="s">
        <v>3781</v>
      </c>
      <c r="Q2150" s="568" t="s">
        <v>157</v>
      </c>
      <c r="R2150" s="569" t="s">
        <v>3778</v>
      </c>
      <c r="S2150" s="569">
        <v>8</v>
      </c>
      <c r="T2150" s="569" t="s">
        <v>3878</v>
      </c>
      <c r="U2150" s="569" t="s">
        <v>318</v>
      </c>
      <c r="V2150" s="569">
        <v>122.4</v>
      </c>
      <c r="W2150" s="569">
        <v>23</v>
      </c>
      <c r="X2150" s="568">
        <v>6400</v>
      </c>
      <c r="Y2150" s="569">
        <v>18</v>
      </c>
      <c r="Z2150" s="581" t="s">
        <v>450</v>
      </c>
      <c r="AA2150" s="581" t="s">
        <v>178</v>
      </c>
      <c r="AB2150" s="585">
        <v>41075</v>
      </c>
      <c r="AC2150" s="585" t="s">
        <v>164</v>
      </c>
      <c r="AD2150" s="585">
        <v>30348.084210526318</v>
      </c>
      <c r="AE2150" s="587">
        <v>0.03</v>
      </c>
      <c r="AF2150" s="661" t="str">
        <f t="shared" si="234"/>
        <v>2019-LTK-FRD-F150-048-27</v>
      </c>
      <c r="AG2150" s="661" t="str">
        <f>IF(AND($Y2150&gt;=32,(AI2150="I"),(Y2150&lt;&gt;"~"),(COUNTIF($AN$1:$AN2150,$AN2150)=1)),"TRUE","FALSE")</f>
        <v>FALSE</v>
      </c>
      <c r="AH2150" s="661" t="str">
        <f>IF(AND($Y2150&gt;=22, (AI2150&lt;&gt;"I"),(Y2150&lt;&gt;"~"),(COUNTIF($AN$1:$AN2150,$AN2150)=1)),"TRUE","FALSE")</f>
        <v>FALSE</v>
      </c>
      <c r="AI2150" s="661" t="str">
        <f t="shared" si="236"/>
        <v>II</v>
      </c>
      <c r="AJ2150" s="662" t="str">
        <f t="shared" si="230"/>
        <v>F150-048</v>
      </c>
      <c r="AK2150" s="662" t="str">
        <f t="shared" si="231"/>
        <v>LTK</v>
      </c>
      <c r="AL2150" s="662" t="str">
        <f t="shared" si="232"/>
        <v>FRD</v>
      </c>
      <c r="AM2150" s="662" t="str">
        <f t="shared" si="235"/>
        <v>F150-Regular Cab XLT-4WD-3-6'5"-~-5.0L FFV-8-F1E-300A-122.4-23-E85-Unleaded</v>
      </c>
      <c r="AN2150" s="662" t="str">
        <f t="shared" si="233"/>
        <v>2019-LTK-FRD-F150-048</v>
      </c>
    </row>
    <row r="2151" spans="1:40" s="572" customFormat="1" ht="15">
      <c r="A2151" s="570" t="s">
        <v>3986</v>
      </c>
      <c r="B2151" s="573" t="s">
        <v>3954</v>
      </c>
      <c r="C2151" s="573" t="s">
        <v>280</v>
      </c>
      <c r="D2151" s="578">
        <v>27</v>
      </c>
      <c r="E2151" s="573" t="s">
        <v>3374</v>
      </c>
      <c r="F2151" s="573" t="s">
        <v>152</v>
      </c>
      <c r="G2151" s="573" t="s">
        <v>271</v>
      </c>
      <c r="H2151" s="573">
        <v>2019</v>
      </c>
      <c r="I2151" s="573" t="s">
        <v>3765</v>
      </c>
      <c r="J2151" s="573" t="s">
        <v>3916</v>
      </c>
      <c r="K2151" s="573" t="s">
        <v>752</v>
      </c>
      <c r="L2151" s="573">
        <v>3</v>
      </c>
      <c r="M2151" s="573">
        <v>0</v>
      </c>
      <c r="N2151" s="573" t="s">
        <v>157</v>
      </c>
      <c r="O2151" s="573">
        <v>1</v>
      </c>
      <c r="P2151" s="573" t="s">
        <v>3781</v>
      </c>
      <c r="Q2151" s="571">
        <v>7500</v>
      </c>
      <c r="R2151" s="573" t="s">
        <v>3772</v>
      </c>
      <c r="S2151" s="573">
        <v>6</v>
      </c>
      <c r="T2151" s="573" t="s">
        <v>3878</v>
      </c>
      <c r="U2151" s="573" t="s">
        <v>318</v>
      </c>
      <c r="V2151" s="573">
        <v>122.4</v>
      </c>
      <c r="W2151" s="573">
        <v>23</v>
      </c>
      <c r="X2151" s="571">
        <v>6050</v>
      </c>
      <c r="Y2151" s="573">
        <v>20</v>
      </c>
      <c r="Z2151" s="579" t="s">
        <v>450</v>
      </c>
      <c r="AA2151" s="579" t="s">
        <v>178</v>
      </c>
      <c r="AB2151" s="584">
        <v>39080</v>
      </c>
      <c r="AC2151" s="584" t="s">
        <v>164</v>
      </c>
      <c r="AD2151" s="584">
        <v>28557.557894736845</v>
      </c>
      <c r="AE2151" s="586">
        <v>0.03</v>
      </c>
      <c r="AF2151" s="661" t="str">
        <f t="shared" si="234"/>
        <v>2019-LTK-FRD-F150-049-27</v>
      </c>
      <c r="AG2151" s="661" t="str">
        <f>IF(AND($Y2151&gt;=32,(AI2151="I"),(Y2151&lt;&gt;"~"),(COUNTIF($AN$1:$AN2151,$AN2151)=1)),"TRUE","FALSE")</f>
        <v>FALSE</v>
      </c>
      <c r="AH2151" s="661" t="str">
        <f>IF(AND($Y2151&gt;=22, (AI2151&lt;&gt;"I"),(Y2151&lt;&gt;"~"),(COUNTIF($AN$1:$AN2151,$AN2151)=1)),"TRUE","FALSE")</f>
        <v>FALSE</v>
      </c>
      <c r="AI2151" s="661" t="str">
        <f t="shared" si="236"/>
        <v>II</v>
      </c>
      <c r="AJ2151" s="662" t="str">
        <f t="shared" si="230"/>
        <v>F150-049</v>
      </c>
      <c r="AK2151" s="662" t="str">
        <f t="shared" si="231"/>
        <v>LTK</v>
      </c>
      <c r="AL2151" s="662" t="str">
        <f t="shared" si="232"/>
        <v>FRD</v>
      </c>
      <c r="AM2151" s="662" t="str">
        <f t="shared" si="235"/>
        <v>F150-Regular Cab XLT-4WD-3-6'5"-7500-3.3L FFV-6-F1E-300A-122.4-23-E85-Unleaded</v>
      </c>
      <c r="AN2151" s="662" t="str">
        <f t="shared" si="233"/>
        <v>2019-LTK-FRD-F150-049</v>
      </c>
    </row>
    <row r="2152" spans="1:40" s="572" customFormat="1" ht="15">
      <c r="A2152" s="570" t="s">
        <v>3987</v>
      </c>
      <c r="B2152" s="569" t="s">
        <v>3956</v>
      </c>
      <c r="C2152" s="569" t="s">
        <v>280</v>
      </c>
      <c r="D2152" s="580">
        <v>27</v>
      </c>
      <c r="E2152" s="569" t="s">
        <v>3374</v>
      </c>
      <c r="F2152" s="569" t="s">
        <v>152</v>
      </c>
      <c r="G2152" s="569" t="s">
        <v>271</v>
      </c>
      <c r="H2152" s="569">
        <v>2019</v>
      </c>
      <c r="I2152" s="569" t="s">
        <v>3765</v>
      </c>
      <c r="J2152" s="569" t="s">
        <v>3916</v>
      </c>
      <c r="K2152" s="569" t="s">
        <v>752</v>
      </c>
      <c r="L2152" s="569">
        <v>3</v>
      </c>
      <c r="M2152" s="569">
        <v>0</v>
      </c>
      <c r="N2152" s="569" t="s">
        <v>157</v>
      </c>
      <c r="O2152" s="569">
        <v>1</v>
      </c>
      <c r="P2152" s="569" t="s">
        <v>3781</v>
      </c>
      <c r="Q2152" s="568">
        <v>7600</v>
      </c>
      <c r="R2152" s="569" t="s">
        <v>3768</v>
      </c>
      <c r="S2152" s="569">
        <v>6</v>
      </c>
      <c r="T2152" s="569" t="s">
        <v>3878</v>
      </c>
      <c r="U2152" s="569" t="s">
        <v>318</v>
      </c>
      <c r="V2152" s="569">
        <v>122.4</v>
      </c>
      <c r="W2152" s="569">
        <v>23</v>
      </c>
      <c r="X2152" s="568">
        <v>6050</v>
      </c>
      <c r="Y2152" s="569">
        <v>21</v>
      </c>
      <c r="Z2152" s="581" t="s">
        <v>178</v>
      </c>
      <c r="AA2152" s="581" t="s">
        <v>178</v>
      </c>
      <c r="AB2152" s="585">
        <v>40075</v>
      </c>
      <c r="AC2152" s="585" t="s">
        <v>164</v>
      </c>
      <c r="AD2152" s="585">
        <v>29451.242105263158</v>
      </c>
      <c r="AE2152" s="587">
        <v>0.03</v>
      </c>
      <c r="AF2152" s="661" t="str">
        <f t="shared" si="234"/>
        <v>2019-LTK-FRD-F150-050-27</v>
      </c>
      <c r="AG2152" s="661" t="str">
        <f>IF(AND($Y2152&gt;=32,(AI2152="I"),(Y2152&lt;&gt;"~"),(COUNTIF($AN$1:$AN2152,$AN2152)=1)),"TRUE","FALSE")</f>
        <v>FALSE</v>
      </c>
      <c r="AH2152" s="661" t="str">
        <f>IF(AND($Y2152&gt;=22, (AI2152&lt;&gt;"I"),(Y2152&lt;&gt;"~"),(COUNTIF($AN$1:$AN2152,$AN2152)=1)),"TRUE","FALSE")</f>
        <v>FALSE</v>
      </c>
      <c r="AI2152" s="661" t="str">
        <f t="shared" si="236"/>
        <v>II</v>
      </c>
      <c r="AJ2152" s="662" t="str">
        <f t="shared" si="230"/>
        <v>F150-050</v>
      </c>
      <c r="AK2152" s="662" t="str">
        <f t="shared" si="231"/>
        <v>LTK</v>
      </c>
      <c r="AL2152" s="662" t="str">
        <f t="shared" si="232"/>
        <v>FRD</v>
      </c>
      <c r="AM2152" s="662" t="str">
        <f t="shared" si="235"/>
        <v>F150-Regular Cab XLT-4WD-3-6'5"-7600-2.7L EcoBoost -6-F1E-300A-122.4-23-Unleaded-Unleaded</v>
      </c>
      <c r="AN2152" s="662" t="str">
        <f t="shared" si="233"/>
        <v>2019-LTK-FRD-F150-050</v>
      </c>
    </row>
    <row r="2153" spans="1:40" s="572" customFormat="1" ht="15">
      <c r="A2153" s="570" t="s">
        <v>3988</v>
      </c>
      <c r="B2153" s="573" t="s">
        <v>3958</v>
      </c>
      <c r="C2153" s="573" t="s">
        <v>280</v>
      </c>
      <c r="D2153" s="578">
        <v>27</v>
      </c>
      <c r="E2153" s="573" t="s">
        <v>3374</v>
      </c>
      <c r="F2153" s="573" t="s">
        <v>152</v>
      </c>
      <c r="G2153" s="573" t="s">
        <v>271</v>
      </c>
      <c r="H2153" s="573">
        <v>2019</v>
      </c>
      <c r="I2153" s="573" t="s">
        <v>3765</v>
      </c>
      <c r="J2153" s="573" t="s">
        <v>3916</v>
      </c>
      <c r="K2153" s="573" t="s">
        <v>752</v>
      </c>
      <c r="L2153" s="573">
        <v>3</v>
      </c>
      <c r="M2153" s="573">
        <v>0</v>
      </c>
      <c r="N2153" s="573" t="s">
        <v>157</v>
      </c>
      <c r="O2153" s="573">
        <v>1</v>
      </c>
      <c r="P2153" s="573" t="s">
        <v>3781</v>
      </c>
      <c r="Q2153" s="571">
        <v>7600</v>
      </c>
      <c r="R2153" s="573" t="s">
        <v>3778</v>
      </c>
      <c r="S2153" s="573">
        <v>8</v>
      </c>
      <c r="T2153" s="573" t="s">
        <v>3878</v>
      </c>
      <c r="U2153" s="573" t="s">
        <v>318</v>
      </c>
      <c r="V2153" s="573">
        <v>122.4</v>
      </c>
      <c r="W2153" s="573">
        <v>23</v>
      </c>
      <c r="X2153" s="571">
        <v>6400</v>
      </c>
      <c r="Y2153" s="573">
        <v>18</v>
      </c>
      <c r="Z2153" s="579" t="s">
        <v>450</v>
      </c>
      <c r="AA2153" s="579" t="s">
        <v>178</v>
      </c>
      <c r="AB2153" s="584">
        <v>41075</v>
      </c>
      <c r="AC2153" s="584" t="s">
        <v>164</v>
      </c>
      <c r="AD2153" s="584">
        <v>30348.084210526318</v>
      </c>
      <c r="AE2153" s="586">
        <v>0.03</v>
      </c>
      <c r="AF2153" s="661" t="str">
        <f t="shared" si="234"/>
        <v>2019-LTK-FRD-F150-051-27</v>
      </c>
      <c r="AG2153" s="661" t="str">
        <f>IF(AND($Y2153&gt;=32,(AI2153="I"),(Y2153&lt;&gt;"~"),(COUNTIF($AN$1:$AN2153,$AN2153)=1)),"TRUE","FALSE")</f>
        <v>FALSE</v>
      </c>
      <c r="AH2153" s="661" t="str">
        <f>IF(AND($Y2153&gt;=22, (AI2153&lt;&gt;"I"),(Y2153&lt;&gt;"~"),(COUNTIF($AN$1:$AN2153,$AN2153)=1)),"TRUE","FALSE")</f>
        <v>FALSE</v>
      </c>
      <c r="AI2153" s="661" t="str">
        <f t="shared" si="236"/>
        <v>II</v>
      </c>
      <c r="AJ2153" s="662" t="str">
        <f t="shared" si="230"/>
        <v>F150-051</v>
      </c>
      <c r="AK2153" s="662" t="str">
        <f t="shared" si="231"/>
        <v>LTK</v>
      </c>
      <c r="AL2153" s="662" t="str">
        <f t="shared" si="232"/>
        <v>FRD</v>
      </c>
      <c r="AM2153" s="662" t="str">
        <f t="shared" si="235"/>
        <v>F150-Regular Cab XLT-4WD-3-6'5"-7600-5.0L FFV-8-F1E-300A-122.4-23-E85-Unleaded</v>
      </c>
      <c r="AN2153" s="662" t="str">
        <f t="shared" si="233"/>
        <v>2019-LTK-FRD-F150-051</v>
      </c>
    </row>
    <row r="2154" spans="1:40" s="572" customFormat="1" ht="15">
      <c r="A2154" s="570" t="s">
        <v>3989</v>
      </c>
      <c r="B2154" s="569" t="s">
        <v>3960</v>
      </c>
      <c r="C2154" s="569" t="s">
        <v>280</v>
      </c>
      <c r="D2154" s="580">
        <v>27</v>
      </c>
      <c r="E2154" s="569" t="s">
        <v>3374</v>
      </c>
      <c r="F2154" s="569" t="s">
        <v>152</v>
      </c>
      <c r="G2154" s="569" t="s">
        <v>271</v>
      </c>
      <c r="H2154" s="569">
        <v>2019</v>
      </c>
      <c r="I2154" s="569" t="s">
        <v>3765</v>
      </c>
      <c r="J2154" s="569" t="s">
        <v>3916</v>
      </c>
      <c r="K2154" s="569" t="s">
        <v>752</v>
      </c>
      <c r="L2154" s="569">
        <v>3</v>
      </c>
      <c r="M2154" s="569">
        <v>0</v>
      </c>
      <c r="N2154" s="569" t="s">
        <v>157</v>
      </c>
      <c r="O2154" s="569">
        <v>1</v>
      </c>
      <c r="P2154" s="569" t="s">
        <v>3846</v>
      </c>
      <c r="Q2154" s="568" t="s">
        <v>157</v>
      </c>
      <c r="R2154" s="569" t="s">
        <v>3778</v>
      </c>
      <c r="S2154" s="569">
        <v>8</v>
      </c>
      <c r="T2154" s="569" t="s">
        <v>3878</v>
      </c>
      <c r="U2154" s="569" t="s">
        <v>318</v>
      </c>
      <c r="V2154" s="569">
        <v>141.1</v>
      </c>
      <c r="W2154" s="569">
        <v>23</v>
      </c>
      <c r="X2154" s="568">
        <v>6400</v>
      </c>
      <c r="Y2154" s="569">
        <v>18</v>
      </c>
      <c r="Z2154" s="581" t="s">
        <v>450</v>
      </c>
      <c r="AA2154" s="581" t="s">
        <v>178</v>
      </c>
      <c r="AB2154" s="585">
        <v>41375</v>
      </c>
      <c r="AC2154" s="585" t="s">
        <v>164</v>
      </c>
      <c r="AD2154" s="585">
        <v>30620.715789473685</v>
      </c>
      <c r="AE2154" s="587">
        <v>0.03</v>
      </c>
      <c r="AF2154" s="661" t="str">
        <f t="shared" si="234"/>
        <v>2019-LTK-FRD-F150-053-27</v>
      </c>
      <c r="AG2154" s="661" t="str">
        <f>IF(AND($Y2154&gt;=32,(AI2154="I"),(Y2154&lt;&gt;"~"),(COUNTIF($AN$1:$AN2154,$AN2154)=1)),"TRUE","FALSE")</f>
        <v>FALSE</v>
      </c>
      <c r="AH2154" s="661" t="str">
        <f>IF(AND($Y2154&gt;=22, (AI2154&lt;&gt;"I"),(Y2154&lt;&gt;"~"),(COUNTIF($AN$1:$AN2154,$AN2154)=1)),"TRUE","FALSE")</f>
        <v>FALSE</v>
      </c>
      <c r="AI2154" s="661" t="str">
        <f t="shared" si="236"/>
        <v>II</v>
      </c>
      <c r="AJ2154" s="662" t="str">
        <f t="shared" si="230"/>
        <v>F150-053</v>
      </c>
      <c r="AK2154" s="662" t="str">
        <f t="shared" si="231"/>
        <v>LTK</v>
      </c>
      <c r="AL2154" s="662" t="str">
        <f t="shared" si="232"/>
        <v>FRD</v>
      </c>
      <c r="AM2154" s="662" t="str">
        <f t="shared" si="235"/>
        <v>F150-Regular Cab XLT-4WD-3-8'-~-5.0L FFV-8-F1E-300A-141.1-23-E85-Unleaded</v>
      </c>
      <c r="AN2154" s="662" t="str">
        <f t="shared" si="233"/>
        <v>2019-LTK-FRD-F150-053</v>
      </c>
    </row>
    <row r="2155" spans="1:40" s="572" customFormat="1" ht="15">
      <c r="A2155" s="570" t="s">
        <v>3990</v>
      </c>
      <c r="B2155" s="573" t="s">
        <v>3962</v>
      </c>
      <c r="C2155" s="573" t="s">
        <v>280</v>
      </c>
      <c r="D2155" s="578">
        <v>27</v>
      </c>
      <c r="E2155" s="573" t="s">
        <v>3374</v>
      </c>
      <c r="F2155" s="573" t="s">
        <v>152</v>
      </c>
      <c r="G2155" s="573" t="s">
        <v>271</v>
      </c>
      <c r="H2155" s="573">
        <v>2019</v>
      </c>
      <c r="I2155" s="573" t="s">
        <v>3765</v>
      </c>
      <c r="J2155" s="573" t="s">
        <v>3916</v>
      </c>
      <c r="K2155" s="573" t="s">
        <v>752</v>
      </c>
      <c r="L2155" s="573">
        <v>3</v>
      </c>
      <c r="M2155" s="573">
        <v>0</v>
      </c>
      <c r="N2155" s="573" t="s">
        <v>157</v>
      </c>
      <c r="O2155" s="573">
        <v>1</v>
      </c>
      <c r="P2155" s="573" t="s">
        <v>3846</v>
      </c>
      <c r="Q2155" s="571">
        <v>10700</v>
      </c>
      <c r="R2155" s="573" t="s">
        <v>1259</v>
      </c>
      <c r="S2155" s="573">
        <v>6</v>
      </c>
      <c r="T2155" s="573" t="s">
        <v>3878</v>
      </c>
      <c r="U2155" s="573" t="s">
        <v>318</v>
      </c>
      <c r="V2155" s="573">
        <v>141.1</v>
      </c>
      <c r="W2155" s="573">
        <v>23</v>
      </c>
      <c r="X2155" s="571">
        <v>6800</v>
      </c>
      <c r="Y2155" s="573">
        <v>19</v>
      </c>
      <c r="Z2155" s="579" t="s">
        <v>178</v>
      </c>
      <c r="AA2155" s="579" t="s">
        <v>178</v>
      </c>
      <c r="AB2155" s="584">
        <v>41975</v>
      </c>
      <c r="AC2155" s="584" t="s">
        <v>164</v>
      </c>
      <c r="AD2155" s="584">
        <v>31159.663157894738</v>
      </c>
      <c r="AE2155" s="586">
        <v>0.03</v>
      </c>
      <c r="AF2155" s="661" t="str">
        <f t="shared" si="234"/>
        <v>2019-LTK-FRD-F150-054-27</v>
      </c>
      <c r="AG2155" s="661" t="str">
        <f>IF(AND($Y2155&gt;=32,(AI2155="I"),(Y2155&lt;&gt;"~"),(COUNTIF($AN$1:$AN2155,$AN2155)=1)),"TRUE","FALSE")</f>
        <v>FALSE</v>
      </c>
      <c r="AH2155" s="661" t="str">
        <f>IF(AND($Y2155&gt;=22, (AI2155&lt;&gt;"I"),(Y2155&lt;&gt;"~"),(COUNTIF($AN$1:$AN2155,$AN2155)=1)),"TRUE","FALSE")</f>
        <v>FALSE</v>
      </c>
      <c r="AI2155" s="661" t="str">
        <f t="shared" si="236"/>
        <v>II</v>
      </c>
      <c r="AJ2155" s="662" t="str">
        <f t="shared" si="230"/>
        <v>F150-054</v>
      </c>
      <c r="AK2155" s="662" t="str">
        <f t="shared" si="231"/>
        <v>LTK</v>
      </c>
      <c r="AL2155" s="662" t="str">
        <f t="shared" si="232"/>
        <v>FRD</v>
      </c>
      <c r="AM2155" s="662" t="str">
        <f t="shared" si="235"/>
        <v>F150-Regular Cab XLT-4WD-3-8'-10700-3.5L EcoBoost-6-F1E-300A-141.1-23-Unleaded-Unleaded</v>
      </c>
      <c r="AN2155" s="662" t="str">
        <f t="shared" si="233"/>
        <v>2019-LTK-FRD-F150-054</v>
      </c>
    </row>
    <row r="2156" spans="1:40" s="572" customFormat="1" ht="15">
      <c r="A2156" s="570" t="s">
        <v>3991</v>
      </c>
      <c r="B2156" s="569" t="s">
        <v>3964</v>
      </c>
      <c r="C2156" s="569" t="s">
        <v>280</v>
      </c>
      <c r="D2156" s="580">
        <v>27</v>
      </c>
      <c r="E2156" s="569" t="s">
        <v>3374</v>
      </c>
      <c r="F2156" s="569" t="s">
        <v>152</v>
      </c>
      <c r="G2156" s="569" t="s">
        <v>271</v>
      </c>
      <c r="H2156" s="569">
        <v>2019</v>
      </c>
      <c r="I2156" s="569" t="s">
        <v>3765</v>
      </c>
      <c r="J2156" s="569" t="s">
        <v>3916</v>
      </c>
      <c r="K2156" s="569" t="s">
        <v>752</v>
      </c>
      <c r="L2156" s="569">
        <v>3</v>
      </c>
      <c r="M2156" s="569">
        <v>0</v>
      </c>
      <c r="N2156" s="569" t="s">
        <v>157</v>
      </c>
      <c r="O2156" s="569">
        <v>1</v>
      </c>
      <c r="P2156" s="569" t="s">
        <v>3846</v>
      </c>
      <c r="Q2156" s="568">
        <v>7400</v>
      </c>
      <c r="R2156" s="569" t="s">
        <v>3772</v>
      </c>
      <c r="S2156" s="569">
        <v>6</v>
      </c>
      <c r="T2156" s="569" t="s">
        <v>3878</v>
      </c>
      <c r="U2156" s="569" t="s">
        <v>318</v>
      </c>
      <c r="V2156" s="569">
        <v>141.1</v>
      </c>
      <c r="W2156" s="569">
        <v>23</v>
      </c>
      <c r="X2156" s="568">
        <v>6050</v>
      </c>
      <c r="Y2156" s="569">
        <v>18</v>
      </c>
      <c r="Z2156" s="581" t="s">
        <v>450</v>
      </c>
      <c r="AA2156" s="581" t="s">
        <v>178</v>
      </c>
      <c r="AB2156" s="585">
        <v>39380</v>
      </c>
      <c r="AC2156" s="585" t="s">
        <v>164</v>
      </c>
      <c r="AD2156" s="585">
        <v>28830.189473684211</v>
      </c>
      <c r="AE2156" s="587">
        <v>0.03</v>
      </c>
      <c r="AF2156" s="661" t="str">
        <f t="shared" si="234"/>
        <v>2019-LTK-FRD-F150-055-27</v>
      </c>
      <c r="AG2156" s="661" t="str">
        <f>IF(AND($Y2156&gt;=32,(AI2156="I"),(Y2156&lt;&gt;"~"),(COUNTIF($AN$1:$AN2156,$AN2156)=1)),"TRUE","FALSE")</f>
        <v>FALSE</v>
      </c>
      <c r="AH2156" s="661" t="str">
        <f>IF(AND($Y2156&gt;=22, (AI2156&lt;&gt;"I"),(Y2156&lt;&gt;"~"),(COUNTIF($AN$1:$AN2156,$AN2156)=1)),"TRUE","FALSE")</f>
        <v>FALSE</v>
      </c>
      <c r="AI2156" s="661" t="str">
        <f t="shared" si="236"/>
        <v>II</v>
      </c>
      <c r="AJ2156" s="662" t="str">
        <f t="shared" si="230"/>
        <v>F150-055</v>
      </c>
      <c r="AK2156" s="662" t="str">
        <f t="shared" si="231"/>
        <v>LTK</v>
      </c>
      <c r="AL2156" s="662" t="str">
        <f t="shared" si="232"/>
        <v>FRD</v>
      </c>
      <c r="AM2156" s="662" t="str">
        <f t="shared" si="235"/>
        <v>F150-Regular Cab XLT-4WD-3-8'-7400-3.3L FFV-6-F1E-300A-141.1-23-E85-Unleaded</v>
      </c>
      <c r="AN2156" s="662" t="str">
        <f t="shared" si="233"/>
        <v>2019-LTK-FRD-F150-055</v>
      </c>
    </row>
    <row r="2157" spans="1:40" s="572" customFormat="1" ht="15">
      <c r="A2157" s="570" t="s">
        <v>3992</v>
      </c>
      <c r="B2157" s="573" t="s">
        <v>3966</v>
      </c>
      <c r="C2157" s="573" t="s">
        <v>280</v>
      </c>
      <c r="D2157" s="578">
        <v>27</v>
      </c>
      <c r="E2157" s="573" t="s">
        <v>3374</v>
      </c>
      <c r="F2157" s="573" t="s">
        <v>152</v>
      </c>
      <c r="G2157" s="573" t="s">
        <v>271</v>
      </c>
      <c r="H2157" s="573">
        <v>2019</v>
      </c>
      <c r="I2157" s="573" t="s">
        <v>3765</v>
      </c>
      <c r="J2157" s="573" t="s">
        <v>3916</v>
      </c>
      <c r="K2157" s="573" t="s">
        <v>752</v>
      </c>
      <c r="L2157" s="573">
        <v>3</v>
      </c>
      <c r="M2157" s="573">
        <v>0</v>
      </c>
      <c r="N2157" s="573" t="s">
        <v>157</v>
      </c>
      <c r="O2157" s="573">
        <v>1</v>
      </c>
      <c r="P2157" s="573" t="s">
        <v>3846</v>
      </c>
      <c r="Q2157" s="571">
        <v>7600</v>
      </c>
      <c r="R2157" s="573" t="s">
        <v>3768</v>
      </c>
      <c r="S2157" s="573">
        <v>6</v>
      </c>
      <c r="T2157" s="573" t="s">
        <v>3878</v>
      </c>
      <c r="U2157" s="573" t="s">
        <v>318</v>
      </c>
      <c r="V2157" s="573">
        <v>141.1</v>
      </c>
      <c r="W2157" s="573">
        <v>23</v>
      </c>
      <c r="X2157" s="571">
        <v>6050</v>
      </c>
      <c r="Y2157" s="573">
        <v>21</v>
      </c>
      <c r="Z2157" s="579" t="s">
        <v>178</v>
      </c>
      <c r="AA2157" s="579" t="s">
        <v>178</v>
      </c>
      <c r="AB2157" s="584">
        <v>40375</v>
      </c>
      <c r="AC2157" s="584" t="s">
        <v>164</v>
      </c>
      <c r="AD2157" s="584">
        <v>29723.873684210528</v>
      </c>
      <c r="AE2157" s="586">
        <v>0.03</v>
      </c>
      <c r="AF2157" s="661" t="str">
        <f t="shared" si="234"/>
        <v>2019-LTK-FRD-F150-056-27</v>
      </c>
      <c r="AG2157" s="661" t="str">
        <f>IF(AND($Y2157&gt;=32,(AI2157="I"),(Y2157&lt;&gt;"~"),(COUNTIF($AN$1:$AN2157,$AN2157)=1)),"TRUE","FALSE")</f>
        <v>FALSE</v>
      </c>
      <c r="AH2157" s="661" t="str">
        <f>IF(AND($Y2157&gt;=22, (AI2157&lt;&gt;"I"),(Y2157&lt;&gt;"~"),(COUNTIF($AN$1:$AN2157,$AN2157)=1)),"TRUE","FALSE")</f>
        <v>FALSE</v>
      </c>
      <c r="AI2157" s="661" t="str">
        <f t="shared" si="236"/>
        <v>II</v>
      </c>
      <c r="AJ2157" s="662" t="str">
        <f t="shared" si="230"/>
        <v>F150-056</v>
      </c>
      <c r="AK2157" s="662" t="str">
        <f t="shared" si="231"/>
        <v>LTK</v>
      </c>
      <c r="AL2157" s="662" t="str">
        <f t="shared" si="232"/>
        <v>FRD</v>
      </c>
      <c r="AM2157" s="662" t="str">
        <f t="shared" si="235"/>
        <v>F150-Regular Cab XLT-4WD-3-8'-7600-2.7L EcoBoost -6-F1E-300A-141.1-23-Unleaded-Unleaded</v>
      </c>
      <c r="AN2157" s="662" t="str">
        <f t="shared" si="233"/>
        <v>2019-LTK-FRD-F150-056</v>
      </c>
    </row>
    <row r="2158" spans="1:40" s="572" customFormat="1" ht="15">
      <c r="A2158" s="570" t="s">
        <v>3993</v>
      </c>
      <c r="B2158" s="569" t="s">
        <v>3968</v>
      </c>
      <c r="C2158" s="569" t="s">
        <v>280</v>
      </c>
      <c r="D2158" s="580">
        <v>27</v>
      </c>
      <c r="E2158" s="569" t="s">
        <v>3374</v>
      </c>
      <c r="F2158" s="569" t="s">
        <v>152</v>
      </c>
      <c r="G2158" s="569" t="s">
        <v>271</v>
      </c>
      <c r="H2158" s="569">
        <v>2019</v>
      </c>
      <c r="I2158" s="569" t="s">
        <v>3765</v>
      </c>
      <c r="J2158" s="569" t="s">
        <v>3916</v>
      </c>
      <c r="K2158" s="569" t="s">
        <v>752</v>
      </c>
      <c r="L2158" s="569">
        <v>3</v>
      </c>
      <c r="M2158" s="569">
        <v>0</v>
      </c>
      <c r="N2158" s="569" t="s">
        <v>157</v>
      </c>
      <c r="O2158" s="569">
        <v>1</v>
      </c>
      <c r="P2158" s="569" t="s">
        <v>3846</v>
      </c>
      <c r="Q2158" s="568">
        <v>7600</v>
      </c>
      <c r="R2158" s="569" t="s">
        <v>3778</v>
      </c>
      <c r="S2158" s="569">
        <v>8</v>
      </c>
      <c r="T2158" s="569" t="s">
        <v>3878</v>
      </c>
      <c r="U2158" s="569" t="s">
        <v>318</v>
      </c>
      <c r="V2158" s="569">
        <v>141.1</v>
      </c>
      <c r="W2158" s="569">
        <v>23</v>
      </c>
      <c r="X2158" s="568">
        <v>6400</v>
      </c>
      <c r="Y2158" s="569">
        <v>18</v>
      </c>
      <c r="Z2158" s="581" t="s">
        <v>450</v>
      </c>
      <c r="AA2158" s="581" t="s">
        <v>178</v>
      </c>
      <c r="AB2158" s="585">
        <v>41375</v>
      </c>
      <c r="AC2158" s="585" t="s">
        <v>164</v>
      </c>
      <c r="AD2158" s="585">
        <v>30620.715789473685</v>
      </c>
      <c r="AE2158" s="587">
        <v>0.03</v>
      </c>
      <c r="AF2158" s="661" t="str">
        <f t="shared" si="234"/>
        <v>2019-LTK-FRD-F150-057-27</v>
      </c>
      <c r="AG2158" s="661" t="str">
        <f>IF(AND($Y2158&gt;=32,(AI2158="I"),(Y2158&lt;&gt;"~"),(COUNTIF($AN$1:$AN2158,$AN2158)=1)),"TRUE","FALSE")</f>
        <v>FALSE</v>
      </c>
      <c r="AH2158" s="661" t="str">
        <f>IF(AND($Y2158&gt;=22, (AI2158&lt;&gt;"I"),(Y2158&lt;&gt;"~"),(COUNTIF($AN$1:$AN2158,$AN2158)=1)),"TRUE","FALSE")</f>
        <v>FALSE</v>
      </c>
      <c r="AI2158" s="661" t="str">
        <f t="shared" si="236"/>
        <v>II</v>
      </c>
      <c r="AJ2158" s="662" t="str">
        <f t="shared" si="230"/>
        <v>F150-057</v>
      </c>
      <c r="AK2158" s="662" t="str">
        <f t="shared" si="231"/>
        <v>LTK</v>
      </c>
      <c r="AL2158" s="662" t="str">
        <f t="shared" si="232"/>
        <v>FRD</v>
      </c>
      <c r="AM2158" s="662" t="str">
        <f t="shared" si="235"/>
        <v>F150-Regular Cab XLT-4WD-3-8'-7600-5.0L FFV-8-F1E-300A-141.1-23-E85-Unleaded</v>
      </c>
      <c r="AN2158" s="662" t="str">
        <f t="shared" si="233"/>
        <v>2019-LTK-FRD-F150-057</v>
      </c>
    </row>
    <row r="2159" spans="1:40" s="572" customFormat="1" ht="15">
      <c r="A2159" s="570" t="s">
        <v>3994</v>
      </c>
      <c r="B2159" s="573" t="s">
        <v>3995</v>
      </c>
      <c r="C2159" s="573" t="s">
        <v>269</v>
      </c>
      <c r="D2159" s="578" t="s">
        <v>270</v>
      </c>
      <c r="E2159" s="573" t="s">
        <v>3374</v>
      </c>
      <c r="F2159" s="573" t="s">
        <v>152</v>
      </c>
      <c r="G2159" s="573" t="s">
        <v>271</v>
      </c>
      <c r="H2159" s="573">
        <v>2019</v>
      </c>
      <c r="I2159" s="573" t="s">
        <v>3765</v>
      </c>
      <c r="J2159" s="573" t="s">
        <v>3996</v>
      </c>
      <c r="K2159" s="573" t="s">
        <v>3377</v>
      </c>
      <c r="L2159" s="573">
        <v>6</v>
      </c>
      <c r="M2159" s="573">
        <v>0</v>
      </c>
      <c r="N2159" s="573" t="s">
        <v>157</v>
      </c>
      <c r="O2159" s="573">
        <v>2</v>
      </c>
      <c r="P2159" s="573" t="s">
        <v>3781</v>
      </c>
      <c r="Q2159" s="571">
        <v>10800</v>
      </c>
      <c r="R2159" s="573" t="s">
        <v>1259</v>
      </c>
      <c r="S2159" s="573">
        <v>6</v>
      </c>
      <c r="T2159" s="573" t="s">
        <v>3997</v>
      </c>
      <c r="U2159" s="573" t="s">
        <v>276</v>
      </c>
      <c r="V2159" s="573">
        <v>145</v>
      </c>
      <c r="W2159" s="573">
        <v>23</v>
      </c>
      <c r="X2159" s="571">
        <v>6900</v>
      </c>
      <c r="Y2159" s="573">
        <v>21</v>
      </c>
      <c r="Z2159" s="579" t="s">
        <v>178</v>
      </c>
      <c r="AA2159" s="579" t="s">
        <v>178</v>
      </c>
      <c r="AB2159" s="584">
        <v>36330</v>
      </c>
      <c r="AC2159" s="584" t="s">
        <v>164</v>
      </c>
      <c r="AD2159" s="584">
        <v>25028.084210526318</v>
      </c>
      <c r="AE2159" s="586">
        <v>0.03</v>
      </c>
      <c r="AF2159" s="661" t="str">
        <f t="shared" si="234"/>
        <v>2019-LTK-FRD-F150-059-05</v>
      </c>
      <c r="AG2159" s="661" t="str">
        <f>IF(AND($Y2159&gt;=32,(AI2159="I"),(Y2159&lt;&gt;"~"),(COUNTIF($AN$1:$AN2159,$AN2159)=1)),"TRUE","FALSE")</f>
        <v>FALSE</v>
      </c>
      <c r="AH2159" s="661" t="str">
        <f>IF(AND($Y2159&gt;=22, (AI2159&lt;&gt;"I"),(Y2159&lt;&gt;"~"),(COUNTIF($AN$1:$AN2159,$AN2159)=1)),"TRUE","FALSE")</f>
        <v>FALSE</v>
      </c>
      <c r="AI2159" s="661" t="str">
        <f t="shared" si="236"/>
        <v>II</v>
      </c>
      <c r="AJ2159" s="662" t="str">
        <f t="shared" si="230"/>
        <v>F150-059</v>
      </c>
      <c r="AK2159" s="662" t="str">
        <f t="shared" si="231"/>
        <v>LTK</v>
      </c>
      <c r="AL2159" s="662" t="str">
        <f t="shared" si="232"/>
        <v>FRD</v>
      </c>
      <c r="AM2159" s="662" t="str">
        <f t="shared" si="235"/>
        <v>F150-Super Cab XL-2WD-6-6'5"-10800-3.5L EcoBoost-6-X1C-100A-145-23-Unleaded-Unleaded</v>
      </c>
      <c r="AN2159" s="662" t="str">
        <f t="shared" si="233"/>
        <v>2019-LTK-FRD-F150-059</v>
      </c>
    </row>
    <row r="2160" spans="1:40" s="572" customFormat="1" ht="15">
      <c r="A2160" s="570" t="s">
        <v>3998</v>
      </c>
      <c r="B2160" s="569" t="s">
        <v>3999</v>
      </c>
      <c r="C2160" s="569" t="s">
        <v>269</v>
      </c>
      <c r="D2160" s="580" t="s">
        <v>270</v>
      </c>
      <c r="E2160" s="569" t="s">
        <v>3374</v>
      </c>
      <c r="F2160" s="569" t="s">
        <v>152</v>
      </c>
      <c r="G2160" s="569" t="s">
        <v>271</v>
      </c>
      <c r="H2160" s="569">
        <v>2019</v>
      </c>
      <c r="I2160" s="569" t="s">
        <v>3765</v>
      </c>
      <c r="J2160" s="569" t="s">
        <v>3996</v>
      </c>
      <c r="K2160" s="569" t="s">
        <v>3377</v>
      </c>
      <c r="L2160" s="569">
        <v>6</v>
      </c>
      <c r="M2160" s="569">
        <v>0</v>
      </c>
      <c r="N2160" s="569" t="s">
        <v>157</v>
      </c>
      <c r="O2160" s="569">
        <v>2</v>
      </c>
      <c r="P2160" s="569" t="s">
        <v>3781</v>
      </c>
      <c r="Q2160" s="568">
        <v>5100</v>
      </c>
      <c r="R2160" s="569" t="s">
        <v>3772</v>
      </c>
      <c r="S2160" s="569">
        <v>6</v>
      </c>
      <c r="T2160" s="569" t="s">
        <v>3997</v>
      </c>
      <c r="U2160" s="569" t="s">
        <v>276</v>
      </c>
      <c r="V2160" s="569">
        <v>145</v>
      </c>
      <c r="W2160" s="569">
        <v>23</v>
      </c>
      <c r="X2160" s="568">
        <v>6100</v>
      </c>
      <c r="Y2160" s="569">
        <v>22</v>
      </c>
      <c r="Z2160" s="581" t="s">
        <v>450</v>
      </c>
      <c r="AA2160" s="581" t="s">
        <v>178</v>
      </c>
      <c r="AB2160" s="585">
        <v>33735</v>
      </c>
      <c r="AC2160" s="585" t="s">
        <v>164</v>
      </c>
      <c r="AD2160" s="585">
        <v>22698.610526315792</v>
      </c>
      <c r="AE2160" s="587">
        <v>0.03</v>
      </c>
      <c r="AF2160" s="661" t="str">
        <f t="shared" si="234"/>
        <v>2019-LTK-FRD-F150-060-05</v>
      </c>
      <c r="AG2160" s="661" t="str">
        <f>IF(AND($Y2160&gt;=32,(AI2160="I"),(Y2160&lt;&gt;"~"),(COUNTIF($AN$1:$AN2160,$AN2160)=1)),"TRUE","FALSE")</f>
        <v>FALSE</v>
      </c>
      <c r="AH2160" s="661" t="str">
        <f>IF(AND($Y2160&gt;=22, (AI2160&lt;&gt;"I"),(Y2160&lt;&gt;"~"),(COUNTIF($AN$1:$AN2160,$AN2160)=1)),"TRUE","FALSE")</f>
        <v>TRUE</v>
      </c>
      <c r="AI2160" s="661" t="str">
        <f t="shared" si="236"/>
        <v>II</v>
      </c>
      <c r="AJ2160" s="662" t="str">
        <f t="shared" si="230"/>
        <v>F150-060</v>
      </c>
      <c r="AK2160" s="662" t="str">
        <f t="shared" si="231"/>
        <v>LTK</v>
      </c>
      <c r="AL2160" s="662" t="str">
        <f t="shared" si="232"/>
        <v>FRD</v>
      </c>
      <c r="AM2160" s="662" t="str">
        <f t="shared" si="235"/>
        <v>F150-Super Cab XL-2WD-6-6'5"-5100-3.3L FFV-6-X1C-100A-145-23-E85-Unleaded</v>
      </c>
      <c r="AN2160" s="662" t="str">
        <f t="shared" si="233"/>
        <v>2019-LTK-FRD-F150-060</v>
      </c>
    </row>
    <row r="2161" spans="1:40" s="572" customFormat="1" ht="15">
      <c r="A2161" s="570" t="s">
        <v>4000</v>
      </c>
      <c r="B2161" s="573" t="s">
        <v>4001</v>
      </c>
      <c r="C2161" s="573" t="s">
        <v>269</v>
      </c>
      <c r="D2161" s="578" t="s">
        <v>270</v>
      </c>
      <c r="E2161" s="573" t="s">
        <v>3374</v>
      </c>
      <c r="F2161" s="573" t="s">
        <v>152</v>
      </c>
      <c r="G2161" s="573" t="s">
        <v>271</v>
      </c>
      <c r="H2161" s="573">
        <v>2019</v>
      </c>
      <c r="I2161" s="573" t="s">
        <v>3765</v>
      </c>
      <c r="J2161" s="573" t="s">
        <v>3996</v>
      </c>
      <c r="K2161" s="573" t="s">
        <v>3377</v>
      </c>
      <c r="L2161" s="573">
        <v>6</v>
      </c>
      <c r="M2161" s="573">
        <v>0</v>
      </c>
      <c r="N2161" s="573" t="s">
        <v>157</v>
      </c>
      <c r="O2161" s="573">
        <v>2</v>
      </c>
      <c r="P2161" s="573" t="s">
        <v>3781</v>
      </c>
      <c r="Q2161" s="571">
        <v>7600</v>
      </c>
      <c r="R2161" s="573" t="s">
        <v>3841</v>
      </c>
      <c r="S2161" s="573">
        <v>6</v>
      </c>
      <c r="T2161" s="573" t="s">
        <v>3997</v>
      </c>
      <c r="U2161" s="573" t="s">
        <v>276</v>
      </c>
      <c r="V2161" s="573">
        <v>145</v>
      </c>
      <c r="W2161" s="573">
        <v>23</v>
      </c>
      <c r="X2161" s="571">
        <v>6250</v>
      </c>
      <c r="Y2161" s="573">
        <v>22</v>
      </c>
      <c r="Z2161" s="579" t="s">
        <v>178</v>
      </c>
      <c r="AA2161" s="579" t="s">
        <v>178</v>
      </c>
      <c r="AB2161" s="584">
        <v>34730</v>
      </c>
      <c r="AC2161" s="584" t="s">
        <v>164</v>
      </c>
      <c r="AD2161" s="584">
        <v>23592.294736842108</v>
      </c>
      <c r="AE2161" s="586">
        <v>0.03</v>
      </c>
      <c r="AF2161" s="661" t="str">
        <f t="shared" si="234"/>
        <v>2019-LTK-FRD-F150-061-05</v>
      </c>
      <c r="AG2161" s="661" t="str">
        <f>IF(AND($Y2161&gt;=32,(AI2161="I"),(Y2161&lt;&gt;"~"),(COUNTIF($AN$1:$AN2161,$AN2161)=1)),"TRUE","FALSE")</f>
        <v>FALSE</v>
      </c>
      <c r="AH2161" s="661" t="str">
        <f>IF(AND($Y2161&gt;=22, (AI2161&lt;&gt;"I"),(Y2161&lt;&gt;"~"),(COUNTIF($AN$1:$AN2161,$AN2161)=1)),"TRUE","FALSE")</f>
        <v>TRUE</v>
      </c>
      <c r="AI2161" s="661" t="str">
        <f t="shared" si="236"/>
        <v>II</v>
      </c>
      <c r="AJ2161" s="662" t="str">
        <f t="shared" si="230"/>
        <v>F150-061</v>
      </c>
      <c r="AK2161" s="662" t="str">
        <f t="shared" si="231"/>
        <v>LTK</v>
      </c>
      <c r="AL2161" s="662" t="str">
        <f t="shared" si="232"/>
        <v>FRD</v>
      </c>
      <c r="AM2161" s="662" t="str">
        <f t="shared" si="235"/>
        <v>F150-Super Cab XL-2WD-6-6'5"-7600-2.7L EcoBoost-6-X1C-100A-145-23-Unleaded-Unleaded</v>
      </c>
      <c r="AN2161" s="662" t="str">
        <f t="shared" si="233"/>
        <v>2019-LTK-FRD-F150-061</v>
      </c>
    </row>
    <row r="2162" spans="1:40" s="572" customFormat="1" ht="15">
      <c r="A2162" s="570" t="s">
        <v>4002</v>
      </c>
      <c r="B2162" s="569" t="s">
        <v>4003</v>
      </c>
      <c r="C2162" s="569" t="s">
        <v>269</v>
      </c>
      <c r="D2162" s="580" t="s">
        <v>270</v>
      </c>
      <c r="E2162" s="569" t="s">
        <v>3374</v>
      </c>
      <c r="F2162" s="569" t="s">
        <v>152</v>
      </c>
      <c r="G2162" s="569" t="s">
        <v>271</v>
      </c>
      <c r="H2162" s="569">
        <v>2019</v>
      </c>
      <c r="I2162" s="569" t="s">
        <v>3765</v>
      </c>
      <c r="J2162" s="569" t="s">
        <v>3996</v>
      </c>
      <c r="K2162" s="569" t="s">
        <v>3377</v>
      </c>
      <c r="L2162" s="569">
        <v>6</v>
      </c>
      <c r="M2162" s="569">
        <v>0</v>
      </c>
      <c r="N2162" s="569" t="s">
        <v>157</v>
      </c>
      <c r="O2162" s="569">
        <v>2</v>
      </c>
      <c r="P2162" s="569" t="s">
        <v>3781</v>
      </c>
      <c r="Q2162" s="568">
        <v>9200</v>
      </c>
      <c r="R2162" s="569" t="s">
        <v>3778</v>
      </c>
      <c r="S2162" s="569">
        <v>8</v>
      </c>
      <c r="T2162" s="569" t="s">
        <v>3997</v>
      </c>
      <c r="U2162" s="569" t="s">
        <v>276</v>
      </c>
      <c r="V2162" s="569">
        <v>145</v>
      </c>
      <c r="W2162" s="569">
        <v>23</v>
      </c>
      <c r="X2162" s="568">
        <v>6900</v>
      </c>
      <c r="Y2162" s="569">
        <v>19</v>
      </c>
      <c r="Z2162" s="581" t="s">
        <v>450</v>
      </c>
      <c r="AA2162" s="581" t="s">
        <v>178</v>
      </c>
      <c r="AB2162" s="585">
        <v>35730</v>
      </c>
      <c r="AC2162" s="585" t="s">
        <v>164</v>
      </c>
      <c r="AD2162" s="585">
        <v>24489.136842105265</v>
      </c>
      <c r="AE2162" s="587">
        <v>0.03</v>
      </c>
      <c r="AF2162" s="661" t="str">
        <f t="shared" si="234"/>
        <v>2019-LTK-FRD-F150-062-05</v>
      </c>
      <c r="AG2162" s="661" t="str">
        <f>IF(AND($Y2162&gt;=32,(AI2162="I"),(Y2162&lt;&gt;"~"),(COUNTIF($AN$1:$AN2162,$AN2162)=1)),"TRUE","FALSE")</f>
        <v>FALSE</v>
      </c>
      <c r="AH2162" s="661" t="str">
        <f>IF(AND($Y2162&gt;=22, (AI2162&lt;&gt;"I"),(Y2162&lt;&gt;"~"),(COUNTIF($AN$1:$AN2162,$AN2162)=1)),"TRUE","FALSE")</f>
        <v>FALSE</v>
      </c>
      <c r="AI2162" s="661" t="str">
        <f t="shared" si="236"/>
        <v>II</v>
      </c>
      <c r="AJ2162" s="662" t="str">
        <f t="shared" si="230"/>
        <v>F150-062</v>
      </c>
      <c r="AK2162" s="662" t="str">
        <f t="shared" si="231"/>
        <v>LTK</v>
      </c>
      <c r="AL2162" s="662" t="str">
        <f t="shared" si="232"/>
        <v>FRD</v>
      </c>
      <c r="AM2162" s="662" t="str">
        <f t="shared" si="235"/>
        <v>F150-Super Cab XL-2WD-6-6'5"-9200-5.0L FFV-8-X1C-100A-145-23-E85-Unleaded</v>
      </c>
      <c r="AN2162" s="662" t="str">
        <f t="shared" si="233"/>
        <v>2019-LTK-FRD-F150-062</v>
      </c>
    </row>
    <row r="2163" spans="1:40" s="572" customFormat="1" ht="15">
      <c r="A2163" s="570" t="s">
        <v>4004</v>
      </c>
      <c r="B2163" s="573" t="s">
        <v>4005</v>
      </c>
      <c r="C2163" s="573" t="s">
        <v>269</v>
      </c>
      <c r="D2163" s="578" t="s">
        <v>270</v>
      </c>
      <c r="E2163" s="573" t="s">
        <v>3374</v>
      </c>
      <c r="F2163" s="573" t="s">
        <v>152</v>
      </c>
      <c r="G2163" s="573" t="s">
        <v>271</v>
      </c>
      <c r="H2163" s="573">
        <v>2019</v>
      </c>
      <c r="I2163" s="573" t="s">
        <v>3765</v>
      </c>
      <c r="J2163" s="573" t="s">
        <v>3996</v>
      </c>
      <c r="K2163" s="573" t="s">
        <v>3377</v>
      </c>
      <c r="L2163" s="573">
        <v>6</v>
      </c>
      <c r="M2163" s="573">
        <v>0</v>
      </c>
      <c r="N2163" s="573" t="s">
        <v>157</v>
      </c>
      <c r="O2163" s="573">
        <v>2</v>
      </c>
      <c r="P2163" s="573" t="s">
        <v>3846</v>
      </c>
      <c r="Q2163" s="571">
        <v>10700</v>
      </c>
      <c r="R2163" s="573" t="s">
        <v>1259</v>
      </c>
      <c r="S2163" s="573">
        <v>6</v>
      </c>
      <c r="T2163" s="573" t="s">
        <v>3997</v>
      </c>
      <c r="U2163" s="573" t="s">
        <v>276</v>
      </c>
      <c r="V2163" s="573">
        <v>163.69999999999999</v>
      </c>
      <c r="W2163" s="573">
        <v>23</v>
      </c>
      <c r="X2163" s="571">
        <v>7050</v>
      </c>
      <c r="Y2163" s="573">
        <v>21</v>
      </c>
      <c r="Z2163" s="579" t="s">
        <v>178</v>
      </c>
      <c r="AA2163" s="579" t="s">
        <v>178</v>
      </c>
      <c r="AB2163" s="584">
        <v>36640</v>
      </c>
      <c r="AC2163" s="584" t="s">
        <v>164</v>
      </c>
      <c r="AD2163" s="584">
        <v>25348.084210526318</v>
      </c>
      <c r="AE2163" s="586">
        <v>0.03</v>
      </c>
      <c r="AF2163" s="661" t="str">
        <f t="shared" si="234"/>
        <v>2019-LTK-FRD-F150-063-05</v>
      </c>
      <c r="AG2163" s="661" t="str">
        <f>IF(AND($Y2163&gt;=32,(AI2163="I"),(Y2163&lt;&gt;"~"),(COUNTIF($AN$1:$AN2163,$AN2163)=1)),"TRUE","FALSE")</f>
        <v>FALSE</v>
      </c>
      <c r="AH2163" s="661" t="str">
        <f>IF(AND($Y2163&gt;=22, (AI2163&lt;&gt;"I"),(Y2163&lt;&gt;"~"),(COUNTIF($AN$1:$AN2163,$AN2163)=1)),"TRUE","FALSE")</f>
        <v>FALSE</v>
      </c>
      <c r="AI2163" s="661" t="str">
        <f t="shared" si="236"/>
        <v>II</v>
      </c>
      <c r="AJ2163" s="662" t="str">
        <f t="shared" si="230"/>
        <v>F150-063</v>
      </c>
      <c r="AK2163" s="662" t="str">
        <f t="shared" si="231"/>
        <v>LTK</v>
      </c>
      <c r="AL2163" s="662" t="str">
        <f t="shared" si="232"/>
        <v>FRD</v>
      </c>
      <c r="AM2163" s="662" t="str">
        <f t="shared" si="235"/>
        <v>F150-Super Cab XL-2WD-6-8'-10700-3.5L EcoBoost-6-X1C-100A-163.7-23-Unleaded-Unleaded</v>
      </c>
      <c r="AN2163" s="662" t="str">
        <f t="shared" si="233"/>
        <v>2019-LTK-FRD-F150-063</v>
      </c>
    </row>
    <row r="2164" spans="1:40" s="572" customFormat="1" ht="15">
      <c r="A2164" s="570" t="s">
        <v>4006</v>
      </c>
      <c r="B2164" s="569" t="s">
        <v>4007</v>
      </c>
      <c r="C2164" s="569" t="s">
        <v>269</v>
      </c>
      <c r="D2164" s="580" t="s">
        <v>270</v>
      </c>
      <c r="E2164" s="569" t="s">
        <v>3374</v>
      </c>
      <c r="F2164" s="569" t="s">
        <v>152</v>
      </c>
      <c r="G2164" s="569" t="s">
        <v>271</v>
      </c>
      <c r="H2164" s="569">
        <v>2019</v>
      </c>
      <c r="I2164" s="569" t="s">
        <v>3765</v>
      </c>
      <c r="J2164" s="569" t="s">
        <v>3996</v>
      </c>
      <c r="K2164" s="569" t="s">
        <v>3377</v>
      </c>
      <c r="L2164" s="569">
        <v>6</v>
      </c>
      <c r="M2164" s="569">
        <v>0</v>
      </c>
      <c r="N2164" s="569" t="s">
        <v>157</v>
      </c>
      <c r="O2164" s="569">
        <v>2</v>
      </c>
      <c r="P2164" s="569" t="s">
        <v>3846</v>
      </c>
      <c r="Q2164" s="568">
        <v>7600</v>
      </c>
      <c r="R2164" s="569" t="s">
        <v>3841</v>
      </c>
      <c r="S2164" s="569">
        <v>6</v>
      </c>
      <c r="T2164" s="569" t="s">
        <v>3997</v>
      </c>
      <c r="U2164" s="569" t="s">
        <v>276</v>
      </c>
      <c r="V2164" s="569">
        <v>163.69999999999999</v>
      </c>
      <c r="W2164" s="569">
        <v>23</v>
      </c>
      <c r="X2164" s="568">
        <v>6500</v>
      </c>
      <c r="Y2164" s="569">
        <v>22</v>
      </c>
      <c r="Z2164" s="581" t="s">
        <v>178</v>
      </c>
      <c r="AA2164" s="581" t="s">
        <v>178</v>
      </c>
      <c r="AB2164" s="585">
        <v>35040</v>
      </c>
      <c r="AC2164" s="585" t="s">
        <v>164</v>
      </c>
      <c r="AD2164" s="585">
        <v>23912.294736842108</v>
      </c>
      <c r="AE2164" s="587">
        <v>0.03</v>
      </c>
      <c r="AF2164" s="661" t="str">
        <f t="shared" si="234"/>
        <v>2019-LTK-FRD-F150-064-05</v>
      </c>
      <c r="AG2164" s="661" t="str">
        <f>IF(AND($Y2164&gt;=32,(AI2164="I"),(Y2164&lt;&gt;"~"),(COUNTIF($AN$1:$AN2164,$AN2164)=1)),"TRUE","FALSE")</f>
        <v>FALSE</v>
      </c>
      <c r="AH2164" s="661" t="str">
        <f>IF(AND($Y2164&gt;=22, (AI2164&lt;&gt;"I"),(Y2164&lt;&gt;"~"),(COUNTIF($AN$1:$AN2164,$AN2164)=1)),"TRUE","FALSE")</f>
        <v>TRUE</v>
      </c>
      <c r="AI2164" s="661" t="str">
        <f t="shared" si="236"/>
        <v>II</v>
      </c>
      <c r="AJ2164" s="662" t="str">
        <f t="shared" si="230"/>
        <v>F150-064</v>
      </c>
      <c r="AK2164" s="662" t="str">
        <f t="shared" si="231"/>
        <v>LTK</v>
      </c>
      <c r="AL2164" s="662" t="str">
        <f t="shared" si="232"/>
        <v>FRD</v>
      </c>
      <c r="AM2164" s="662" t="str">
        <f t="shared" si="235"/>
        <v>F150-Super Cab XL-2WD-6-8'-7600-2.7L EcoBoost-6-X1C-100A-163.7-23-Unleaded-Unleaded</v>
      </c>
      <c r="AN2164" s="662" t="str">
        <f t="shared" si="233"/>
        <v>2019-LTK-FRD-F150-064</v>
      </c>
    </row>
    <row r="2165" spans="1:40" s="572" customFormat="1" ht="15">
      <c r="A2165" s="570" t="s">
        <v>4008</v>
      </c>
      <c r="B2165" s="573" t="s">
        <v>4009</v>
      </c>
      <c r="C2165" s="573" t="s">
        <v>269</v>
      </c>
      <c r="D2165" s="578" t="s">
        <v>270</v>
      </c>
      <c r="E2165" s="573" t="s">
        <v>3374</v>
      </c>
      <c r="F2165" s="573" t="s">
        <v>152</v>
      </c>
      <c r="G2165" s="573" t="s">
        <v>271</v>
      </c>
      <c r="H2165" s="573">
        <v>2019</v>
      </c>
      <c r="I2165" s="573" t="s">
        <v>3765</v>
      </c>
      <c r="J2165" s="573" t="s">
        <v>3996</v>
      </c>
      <c r="K2165" s="573" t="s">
        <v>3377</v>
      </c>
      <c r="L2165" s="573">
        <v>6</v>
      </c>
      <c r="M2165" s="573">
        <v>0</v>
      </c>
      <c r="N2165" s="573" t="s">
        <v>157</v>
      </c>
      <c r="O2165" s="573">
        <v>2</v>
      </c>
      <c r="P2165" s="573" t="s">
        <v>3846</v>
      </c>
      <c r="Q2165" s="571">
        <v>9200</v>
      </c>
      <c r="R2165" s="573" t="s">
        <v>3778</v>
      </c>
      <c r="S2165" s="573">
        <v>8</v>
      </c>
      <c r="T2165" s="573" t="s">
        <v>3997</v>
      </c>
      <c r="U2165" s="573" t="s">
        <v>276</v>
      </c>
      <c r="V2165" s="573">
        <v>163.69999999999999</v>
      </c>
      <c r="W2165" s="573">
        <v>23</v>
      </c>
      <c r="X2165" s="571">
        <v>7000</v>
      </c>
      <c r="Y2165" s="573">
        <v>19</v>
      </c>
      <c r="Z2165" s="579" t="s">
        <v>450</v>
      </c>
      <c r="AA2165" s="579" t="s">
        <v>178</v>
      </c>
      <c r="AB2165" s="584">
        <v>36040</v>
      </c>
      <c r="AC2165" s="584" t="s">
        <v>164</v>
      </c>
      <c r="AD2165" s="584">
        <v>24809.136842105265</v>
      </c>
      <c r="AE2165" s="586">
        <v>0.03</v>
      </c>
      <c r="AF2165" s="661" t="str">
        <f t="shared" si="234"/>
        <v>2019-LTK-FRD-F150-065-05</v>
      </c>
      <c r="AG2165" s="661" t="str">
        <f>IF(AND($Y2165&gt;=32,(AI2165="I"),(Y2165&lt;&gt;"~"),(COUNTIF($AN$1:$AN2165,$AN2165)=1)),"TRUE","FALSE")</f>
        <v>FALSE</v>
      </c>
      <c r="AH2165" s="661" t="str">
        <f>IF(AND($Y2165&gt;=22, (AI2165&lt;&gt;"I"),(Y2165&lt;&gt;"~"),(COUNTIF($AN$1:$AN2165,$AN2165)=1)),"TRUE","FALSE")</f>
        <v>FALSE</v>
      </c>
      <c r="AI2165" s="661" t="str">
        <f t="shared" si="236"/>
        <v>II</v>
      </c>
      <c r="AJ2165" s="662" t="str">
        <f t="shared" si="230"/>
        <v>F150-065</v>
      </c>
      <c r="AK2165" s="662" t="str">
        <f t="shared" si="231"/>
        <v>LTK</v>
      </c>
      <c r="AL2165" s="662" t="str">
        <f t="shared" si="232"/>
        <v>FRD</v>
      </c>
      <c r="AM2165" s="662" t="str">
        <f t="shared" si="235"/>
        <v>F150-Super Cab XL-2WD-6-8'-9200-5.0L FFV-8-X1C-100A-163.7-23-E85-Unleaded</v>
      </c>
      <c r="AN2165" s="662" t="str">
        <f t="shared" si="233"/>
        <v>2019-LTK-FRD-F150-065</v>
      </c>
    </row>
    <row r="2166" spans="1:40" s="572" customFormat="1" ht="15">
      <c r="A2166" s="570" t="s">
        <v>4010</v>
      </c>
      <c r="B2166" s="569" t="s">
        <v>3995</v>
      </c>
      <c r="C2166" s="569" t="s">
        <v>278</v>
      </c>
      <c r="D2166" s="580">
        <v>15</v>
      </c>
      <c r="E2166" s="569" t="s">
        <v>3374</v>
      </c>
      <c r="F2166" s="569" t="s">
        <v>152</v>
      </c>
      <c r="G2166" s="569" t="s">
        <v>271</v>
      </c>
      <c r="H2166" s="569">
        <v>2019</v>
      </c>
      <c r="I2166" s="569" t="s">
        <v>3765</v>
      </c>
      <c r="J2166" s="569" t="s">
        <v>3996</v>
      </c>
      <c r="K2166" s="569" t="s">
        <v>3377</v>
      </c>
      <c r="L2166" s="569">
        <v>6</v>
      </c>
      <c r="M2166" s="569">
        <v>0</v>
      </c>
      <c r="N2166" s="569" t="s">
        <v>157</v>
      </c>
      <c r="O2166" s="569">
        <v>2</v>
      </c>
      <c r="P2166" s="569" t="s">
        <v>3781</v>
      </c>
      <c r="Q2166" s="568">
        <v>10800</v>
      </c>
      <c r="R2166" s="569" t="s">
        <v>1259</v>
      </c>
      <c r="S2166" s="569">
        <v>6</v>
      </c>
      <c r="T2166" s="569" t="s">
        <v>3997</v>
      </c>
      <c r="U2166" s="569" t="s">
        <v>276</v>
      </c>
      <c r="V2166" s="569">
        <v>145</v>
      </c>
      <c r="W2166" s="569">
        <v>23</v>
      </c>
      <c r="X2166" s="568">
        <v>6900</v>
      </c>
      <c r="Y2166" s="569">
        <v>20</v>
      </c>
      <c r="Z2166" s="581" t="s">
        <v>178</v>
      </c>
      <c r="AA2166" s="581" t="s">
        <v>178</v>
      </c>
      <c r="AB2166" s="585">
        <v>36330</v>
      </c>
      <c r="AC2166" s="585" t="s">
        <v>164</v>
      </c>
      <c r="AD2166" s="585">
        <v>25100</v>
      </c>
      <c r="AE2166" s="587">
        <v>0.01</v>
      </c>
      <c r="AF2166" s="661" t="str">
        <f t="shared" si="234"/>
        <v>2019-LTK-FRD-F150-059-15</v>
      </c>
      <c r="AG2166" s="661" t="str">
        <f>IF(AND($Y2166&gt;=32,(AI2166="I"),(Y2166&lt;&gt;"~"),(COUNTIF($AN$1:$AN2166,$AN2166)=1)),"TRUE","FALSE")</f>
        <v>FALSE</v>
      </c>
      <c r="AH2166" s="661" t="str">
        <f>IF(AND($Y2166&gt;=22, (AI2166&lt;&gt;"I"),(Y2166&lt;&gt;"~"),(COUNTIF($AN$1:$AN2166,$AN2166)=1)),"TRUE","FALSE")</f>
        <v>FALSE</v>
      </c>
      <c r="AI2166" s="661" t="str">
        <f t="shared" si="236"/>
        <v>II</v>
      </c>
      <c r="AJ2166" s="662" t="str">
        <f t="shared" si="230"/>
        <v>F150-059</v>
      </c>
      <c r="AK2166" s="662" t="str">
        <f t="shared" si="231"/>
        <v>LTK</v>
      </c>
      <c r="AL2166" s="662" t="str">
        <f t="shared" si="232"/>
        <v>FRD</v>
      </c>
      <c r="AM2166" s="662" t="str">
        <f t="shared" si="235"/>
        <v>F150-Super Cab XL-2WD-6-6'5"-10800-3.5L EcoBoost-6-X1C-100A-145-23-Unleaded-Unleaded</v>
      </c>
      <c r="AN2166" s="662" t="str">
        <f t="shared" si="233"/>
        <v>2019-LTK-FRD-F150-059</v>
      </c>
    </row>
    <row r="2167" spans="1:40" s="572" customFormat="1" ht="15">
      <c r="A2167" s="570" t="s">
        <v>4011</v>
      </c>
      <c r="B2167" s="573" t="s">
        <v>3999</v>
      </c>
      <c r="C2167" s="573" t="s">
        <v>278</v>
      </c>
      <c r="D2167" s="578">
        <v>15</v>
      </c>
      <c r="E2167" s="573" t="s">
        <v>3374</v>
      </c>
      <c r="F2167" s="573" t="s">
        <v>152</v>
      </c>
      <c r="G2167" s="573" t="s">
        <v>271</v>
      </c>
      <c r="H2167" s="573">
        <v>2019</v>
      </c>
      <c r="I2167" s="573" t="s">
        <v>3765</v>
      </c>
      <c r="J2167" s="573" t="s">
        <v>3996</v>
      </c>
      <c r="K2167" s="573" t="s">
        <v>3377</v>
      </c>
      <c r="L2167" s="573">
        <v>6</v>
      </c>
      <c r="M2167" s="573">
        <v>0</v>
      </c>
      <c r="N2167" s="573" t="s">
        <v>157</v>
      </c>
      <c r="O2167" s="573">
        <v>2</v>
      </c>
      <c r="P2167" s="573" t="s">
        <v>3781</v>
      </c>
      <c r="Q2167" s="571">
        <v>5100</v>
      </c>
      <c r="R2167" s="573" t="s">
        <v>3772</v>
      </c>
      <c r="S2167" s="573">
        <v>6</v>
      </c>
      <c r="T2167" s="573" t="s">
        <v>3997</v>
      </c>
      <c r="U2167" s="573" t="s">
        <v>276</v>
      </c>
      <c r="V2167" s="573">
        <v>145</v>
      </c>
      <c r="W2167" s="573">
        <v>23</v>
      </c>
      <c r="X2167" s="571">
        <v>6100</v>
      </c>
      <c r="Y2167" s="573">
        <v>20</v>
      </c>
      <c r="Z2167" s="579" t="s">
        <v>450</v>
      </c>
      <c r="AA2167" s="579" t="s">
        <v>178</v>
      </c>
      <c r="AB2167" s="584">
        <v>33735</v>
      </c>
      <c r="AC2167" s="584" t="s">
        <v>164</v>
      </c>
      <c r="AD2167" s="584">
        <v>22700</v>
      </c>
      <c r="AE2167" s="586">
        <v>0.01</v>
      </c>
      <c r="AF2167" s="661" t="str">
        <f t="shared" si="234"/>
        <v>2019-LTK-FRD-F150-060-15</v>
      </c>
      <c r="AG2167" s="661" t="str">
        <f>IF(AND($Y2167&gt;=32,(AI2167="I"),(Y2167&lt;&gt;"~"),(COUNTIF($AN$1:$AN2167,$AN2167)=1)),"TRUE","FALSE")</f>
        <v>FALSE</v>
      </c>
      <c r="AH2167" s="661" t="str">
        <f>IF(AND($Y2167&gt;=22, (AI2167&lt;&gt;"I"),(Y2167&lt;&gt;"~"),(COUNTIF($AN$1:$AN2167,$AN2167)=1)),"TRUE","FALSE")</f>
        <v>FALSE</v>
      </c>
      <c r="AI2167" s="661" t="str">
        <f t="shared" si="236"/>
        <v>II</v>
      </c>
      <c r="AJ2167" s="662" t="str">
        <f t="shared" si="230"/>
        <v>F150-060</v>
      </c>
      <c r="AK2167" s="662" t="str">
        <f t="shared" si="231"/>
        <v>LTK</v>
      </c>
      <c r="AL2167" s="662" t="str">
        <f t="shared" si="232"/>
        <v>FRD</v>
      </c>
      <c r="AM2167" s="662" t="str">
        <f t="shared" si="235"/>
        <v>F150-Super Cab XL-2WD-6-6'5"-5100-3.3L FFV-6-X1C-100A-145-23-E85-Unleaded</v>
      </c>
      <c r="AN2167" s="662" t="str">
        <f t="shared" si="233"/>
        <v>2019-LTK-FRD-F150-060</v>
      </c>
    </row>
    <row r="2168" spans="1:40" s="572" customFormat="1" ht="15">
      <c r="A2168" s="570" t="s">
        <v>4012</v>
      </c>
      <c r="B2168" s="569" t="s">
        <v>4001</v>
      </c>
      <c r="C2168" s="569" t="s">
        <v>278</v>
      </c>
      <c r="D2168" s="580">
        <v>15</v>
      </c>
      <c r="E2168" s="569" t="s">
        <v>3374</v>
      </c>
      <c r="F2168" s="569" t="s">
        <v>152</v>
      </c>
      <c r="G2168" s="569" t="s">
        <v>271</v>
      </c>
      <c r="H2168" s="569">
        <v>2019</v>
      </c>
      <c r="I2168" s="569" t="s">
        <v>3765</v>
      </c>
      <c r="J2168" s="569" t="s">
        <v>3996</v>
      </c>
      <c r="K2168" s="569" t="s">
        <v>3377</v>
      </c>
      <c r="L2168" s="569">
        <v>6</v>
      </c>
      <c r="M2168" s="569">
        <v>0</v>
      </c>
      <c r="N2168" s="569" t="s">
        <v>157</v>
      </c>
      <c r="O2168" s="569">
        <v>2</v>
      </c>
      <c r="P2168" s="569" t="s">
        <v>3781</v>
      </c>
      <c r="Q2168" s="568">
        <v>7600</v>
      </c>
      <c r="R2168" s="569" t="s">
        <v>3841</v>
      </c>
      <c r="S2168" s="569">
        <v>6</v>
      </c>
      <c r="T2168" s="569" t="s">
        <v>3997</v>
      </c>
      <c r="U2168" s="569" t="s">
        <v>276</v>
      </c>
      <c r="V2168" s="569">
        <v>145</v>
      </c>
      <c r="W2168" s="569">
        <v>23</v>
      </c>
      <c r="X2168" s="568">
        <v>6250</v>
      </c>
      <c r="Y2168" s="569">
        <v>22</v>
      </c>
      <c r="Z2168" s="581" t="s">
        <v>178</v>
      </c>
      <c r="AA2168" s="581" t="s">
        <v>178</v>
      </c>
      <c r="AB2168" s="585">
        <v>34730</v>
      </c>
      <c r="AC2168" s="585" t="s">
        <v>164</v>
      </c>
      <c r="AD2168" s="585">
        <v>23650</v>
      </c>
      <c r="AE2168" s="587">
        <v>0.01</v>
      </c>
      <c r="AF2168" s="661" t="str">
        <f t="shared" si="234"/>
        <v>2019-LTK-FRD-F150-061-15</v>
      </c>
      <c r="AG2168" s="661" t="str">
        <f>IF(AND($Y2168&gt;=32,(AI2168="I"),(Y2168&lt;&gt;"~"),(COUNTIF($AN$1:$AN2168,$AN2168)=1)),"TRUE","FALSE")</f>
        <v>FALSE</v>
      </c>
      <c r="AH2168" s="661" t="str">
        <f>IF(AND($Y2168&gt;=22, (AI2168&lt;&gt;"I"),(Y2168&lt;&gt;"~"),(COUNTIF($AN$1:$AN2168,$AN2168)=1)),"TRUE","FALSE")</f>
        <v>FALSE</v>
      </c>
      <c r="AI2168" s="661" t="str">
        <f t="shared" si="236"/>
        <v>II</v>
      </c>
      <c r="AJ2168" s="662" t="str">
        <f t="shared" si="230"/>
        <v>F150-061</v>
      </c>
      <c r="AK2168" s="662" t="str">
        <f t="shared" si="231"/>
        <v>LTK</v>
      </c>
      <c r="AL2168" s="662" t="str">
        <f t="shared" si="232"/>
        <v>FRD</v>
      </c>
      <c r="AM2168" s="662" t="str">
        <f t="shared" si="235"/>
        <v>F150-Super Cab XL-2WD-6-6'5"-7600-2.7L EcoBoost-6-X1C-100A-145-23-Unleaded-Unleaded</v>
      </c>
      <c r="AN2168" s="662" t="str">
        <f t="shared" si="233"/>
        <v>2019-LTK-FRD-F150-061</v>
      </c>
    </row>
    <row r="2169" spans="1:40" s="572" customFormat="1" ht="15">
      <c r="A2169" s="570" t="s">
        <v>4013</v>
      </c>
      <c r="B2169" s="573" t="s">
        <v>4003</v>
      </c>
      <c r="C2169" s="573" t="s">
        <v>278</v>
      </c>
      <c r="D2169" s="578">
        <v>15</v>
      </c>
      <c r="E2169" s="573" t="s">
        <v>3374</v>
      </c>
      <c r="F2169" s="573" t="s">
        <v>152</v>
      </c>
      <c r="G2169" s="573" t="s">
        <v>271</v>
      </c>
      <c r="H2169" s="573">
        <v>2019</v>
      </c>
      <c r="I2169" s="573" t="s">
        <v>3765</v>
      </c>
      <c r="J2169" s="573" t="s">
        <v>3996</v>
      </c>
      <c r="K2169" s="573" t="s">
        <v>3377</v>
      </c>
      <c r="L2169" s="573">
        <v>6</v>
      </c>
      <c r="M2169" s="573">
        <v>0</v>
      </c>
      <c r="N2169" s="573" t="s">
        <v>157</v>
      </c>
      <c r="O2169" s="573">
        <v>2</v>
      </c>
      <c r="P2169" s="573" t="s">
        <v>3781</v>
      </c>
      <c r="Q2169" s="571">
        <v>9200</v>
      </c>
      <c r="R2169" s="573" t="s">
        <v>3778</v>
      </c>
      <c r="S2169" s="573">
        <v>8</v>
      </c>
      <c r="T2169" s="573" t="s">
        <v>3997</v>
      </c>
      <c r="U2169" s="573" t="s">
        <v>276</v>
      </c>
      <c r="V2169" s="573">
        <v>145</v>
      </c>
      <c r="W2169" s="573">
        <v>23</v>
      </c>
      <c r="X2169" s="571">
        <v>6900</v>
      </c>
      <c r="Y2169" s="573">
        <v>18</v>
      </c>
      <c r="Z2169" s="579" t="s">
        <v>450</v>
      </c>
      <c r="AA2169" s="579" t="s">
        <v>178</v>
      </c>
      <c r="AB2169" s="584">
        <v>35730</v>
      </c>
      <c r="AC2169" s="584" t="s">
        <v>164</v>
      </c>
      <c r="AD2169" s="584">
        <v>24500</v>
      </c>
      <c r="AE2169" s="586">
        <v>0.01</v>
      </c>
      <c r="AF2169" s="661" t="str">
        <f t="shared" si="234"/>
        <v>2019-LTK-FRD-F150-062-15</v>
      </c>
      <c r="AG2169" s="661" t="str">
        <f>IF(AND($Y2169&gt;=32,(AI2169="I"),(Y2169&lt;&gt;"~"),(COUNTIF($AN$1:$AN2169,$AN2169)=1)),"TRUE","FALSE")</f>
        <v>FALSE</v>
      </c>
      <c r="AH2169" s="661" t="str">
        <f>IF(AND($Y2169&gt;=22, (AI2169&lt;&gt;"I"),(Y2169&lt;&gt;"~"),(COUNTIF($AN$1:$AN2169,$AN2169)=1)),"TRUE","FALSE")</f>
        <v>FALSE</v>
      </c>
      <c r="AI2169" s="661" t="str">
        <f t="shared" si="236"/>
        <v>II</v>
      </c>
      <c r="AJ2169" s="662" t="str">
        <f t="shared" si="230"/>
        <v>F150-062</v>
      </c>
      <c r="AK2169" s="662" t="str">
        <f t="shared" si="231"/>
        <v>LTK</v>
      </c>
      <c r="AL2169" s="662" t="str">
        <f t="shared" si="232"/>
        <v>FRD</v>
      </c>
      <c r="AM2169" s="662" t="str">
        <f t="shared" si="235"/>
        <v>F150-Super Cab XL-2WD-6-6'5"-9200-5.0L FFV-8-X1C-100A-145-23-E85-Unleaded</v>
      </c>
      <c r="AN2169" s="662" t="str">
        <f t="shared" si="233"/>
        <v>2019-LTK-FRD-F150-062</v>
      </c>
    </row>
    <row r="2170" spans="1:40" s="572" customFormat="1" ht="15">
      <c r="A2170" s="570" t="s">
        <v>4014</v>
      </c>
      <c r="B2170" s="569" t="s">
        <v>4005</v>
      </c>
      <c r="C2170" s="569" t="s">
        <v>278</v>
      </c>
      <c r="D2170" s="580">
        <v>15</v>
      </c>
      <c r="E2170" s="569" t="s">
        <v>3374</v>
      </c>
      <c r="F2170" s="569" t="s">
        <v>152</v>
      </c>
      <c r="G2170" s="569" t="s">
        <v>271</v>
      </c>
      <c r="H2170" s="569">
        <v>2019</v>
      </c>
      <c r="I2170" s="569" t="s">
        <v>3765</v>
      </c>
      <c r="J2170" s="569" t="s">
        <v>3996</v>
      </c>
      <c r="K2170" s="569" t="s">
        <v>3377</v>
      </c>
      <c r="L2170" s="569">
        <v>6</v>
      </c>
      <c r="M2170" s="569">
        <v>0</v>
      </c>
      <c r="N2170" s="569" t="s">
        <v>157</v>
      </c>
      <c r="O2170" s="569">
        <v>2</v>
      </c>
      <c r="P2170" s="569" t="s">
        <v>3846</v>
      </c>
      <c r="Q2170" s="568">
        <v>10700</v>
      </c>
      <c r="R2170" s="569" t="s">
        <v>1259</v>
      </c>
      <c r="S2170" s="569">
        <v>6</v>
      </c>
      <c r="T2170" s="569" t="s">
        <v>3997</v>
      </c>
      <c r="U2170" s="569" t="s">
        <v>276</v>
      </c>
      <c r="V2170" s="569">
        <v>163.69999999999999</v>
      </c>
      <c r="W2170" s="569">
        <v>23</v>
      </c>
      <c r="X2170" s="568">
        <v>7050</v>
      </c>
      <c r="Y2170" s="569">
        <v>20</v>
      </c>
      <c r="Z2170" s="581" t="s">
        <v>178</v>
      </c>
      <c r="AA2170" s="581" t="s">
        <v>178</v>
      </c>
      <c r="AB2170" s="585">
        <v>36640</v>
      </c>
      <c r="AC2170" s="585" t="s">
        <v>164</v>
      </c>
      <c r="AD2170" s="585">
        <v>25400</v>
      </c>
      <c r="AE2170" s="587">
        <v>0.01</v>
      </c>
      <c r="AF2170" s="661" t="str">
        <f t="shared" si="234"/>
        <v>2019-LTK-FRD-F150-063-15</v>
      </c>
      <c r="AG2170" s="661" t="str">
        <f>IF(AND($Y2170&gt;=32,(AI2170="I"),(Y2170&lt;&gt;"~"),(COUNTIF($AN$1:$AN2170,$AN2170)=1)),"TRUE","FALSE")</f>
        <v>FALSE</v>
      </c>
      <c r="AH2170" s="661" t="str">
        <f>IF(AND($Y2170&gt;=22, (AI2170&lt;&gt;"I"),(Y2170&lt;&gt;"~"),(COUNTIF($AN$1:$AN2170,$AN2170)=1)),"TRUE","FALSE")</f>
        <v>FALSE</v>
      </c>
      <c r="AI2170" s="661" t="str">
        <f t="shared" si="236"/>
        <v>II</v>
      </c>
      <c r="AJ2170" s="662" t="str">
        <f t="shared" si="230"/>
        <v>F150-063</v>
      </c>
      <c r="AK2170" s="662" t="str">
        <f t="shared" si="231"/>
        <v>LTK</v>
      </c>
      <c r="AL2170" s="662" t="str">
        <f t="shared" si="232"/>
        <v>FRD</v>
      </c>
      <c r="AM2170" s="662" t="str">
        <f t="shared" si="235"/>
        <v>F150-Super Cab XL-2WD-6-8'-10700-3.5L EcoBoost-6-X1C-100A-163.7-23-Unleaded-Unleaded</v>
      </c>
      <c r="AN2170" s="662" t="str">
        <f t="shared" si="233"/>
        <v>2019-LTK-FRD-F150-063</v>
      </c>
    </row>
    <row r="2171" spans="1:40" s="572" customFormat="1" ht="15">
      <c r="A2171" s="570" t="s">
        <v>4015</v>
      </c>
      <c r="B2171" s="573" t="s">
        <v>4007</v>
      </c>
      <c r="C2171" s="573" t="s">
        <v>278</v>
      </c>
      <c r="D2171" s="578">
        <v>15</v>
      </c>
      <c r="E2171" s="573" t="s">
        <v>3374</v>
      </c>
      <c r="F2171" s="573" t="s">
        <v>152</v>
      </c>
      <c r="G2171" s="573" t="s">
        <v>271</v>
      </c>
      <c r="H2171" s="573">
        <v>2019</v>
      </c>
      <c r="I2171" s="573" t="s">
        <v>3765</v>
      </c>
      <c r="J2171" s="573" t="s">
        <v>3996</v>
      </c>
      <c r="K2171" s="573" t="s">
        <v>3377</v>
      </c>
      <c r="L2171" s="573">
        <v>6</v>
      </c>
      <c r="M2171" s="573">
        <v>0</v>
      </c>
      <c r="N2171" s="573" t="s">
        <v>157</v>
      </c>
      <c r="O2171" s="573">
        <v>2</v>
      </c>
      <c r="P2171" s="573" t="s">
        <v>3846</v>
      </c>
      <c r="Q2171" s="571">
        <v>7600</v>
      </c>
      <c r="R2171" s="573" t="s">
        <v>3841</v>
      </c>
      <c r="S2171" s="573">
        <v>6</v>
      </c>
      <c r="T2171" s="573" t="s">
        <v>3997</v>
      </c>
      <c r="U2171" s="573" t="s">
        <v>276</v>
      </c>
      <c r="V2171" s="573">
        <v>163.69999999999999</v>
      </c>
      <c r="W2171" s="573">
        <v>23</v>
      </c>
      <c r="X2171" s="571">
        <v>6500</v>
      </c>
      <c r="Y2171" s="573">
        <v>22</v>
      </c>
      <c r="Z2171" s="579" t="s">
        <v>178</v>
      </c>
      <c r="AA2171" s="579" t="s">
        <v>178</v>
      </c>
      <c r="AB2171" s="584">
        <v>35040</v>
      </c>
      <c r="AC2171" s="584" t="s">
        <v>164</v>
      </c>
      <c r="AD2171" s="584">
        <v>23995</v>
      </c>
      <c r="AE2171" s="586">
        <v>0.01</v>
      </c>
      <c r="AF2171" s="661" t="str">
        <f t="shared" si="234"/>
        <v>2019-LTK-FRD-F150-064-15</v>
      </c>
      <c r="AG2171" s="661" t="str">
        <f>IF(AND($Y2171&gt;=32,(AI2171="I"),(Y2171&lt;&gt;"~"),(COUNTIF($AN$1:$AN2171,$AN2171)=1)),"TRUE","FALSE")</f>
        <v>FALSE</v>
      </c>
      <c r="AH2171" s="661" t="str">
        <f>IF(AND($Y2171&gt;=22, (AI2171&lt;&gt;"I"),(Y2171&lt;&gt;"~"),(COUNTIF($AN$1:$AN2171,$AN2171)=1)),"TRUE","FALSE")</f>
        <v>FALSE</v>
      </c>
      <c r="AI2171" s="661" t="str">
        <f t="shared" si="236"/>
        <v>II</v>
      </c>
      <c r="AJ2171" s="662" t="str">
        <f t="shared" si="230"/>
        <v>F150-064</v>
      </c>
      <c r="AK2171" s="662" t="str">
        <f t="shared" si="231"/>
        <v>LTK</v>
      </c>
      <c r="AL2171" s="662" t="str">
        <f t="shared" si="232"/>
        <v>FRD</v>
      </c>
      <c r="AM2171" s="662" t="str">
        <f t="shared" si="235"/>
        <v>F150-Super Cab XL-2WD-6-8'-7600-2.7L EcoBoost-6-X1C-100A-163.7-23-Unleaded-Unleaded</v>
      </c>
      <c r="AN2171" s="662" t="str">
        <f t="shared" si="233"/>
        <v>2019-LTK-FRD-F150-064</v>
      </c>
    </row>
    <row r="2172" spans="1:40" s="572" customFormat="1" ht="15">
      <c r="A2172" s="570" t="s">
        <v>4016</v>
      </c>
      <c r="B2172" s="569" t="s">
        <v>4009</v>
      </c>
      <c r="C2172" s="569" t="s">
        <v>278</v>
      </c>
      <c r="D2172" s="580">
        <v>15</v>
      </c>
      <c r="E2172" s="569" t="s">
        <v>3374</v>
      </c>
      <c r="F2172" s="569" t="s">
        <v>152</v>
      </c>
      <c r="G2172" s="569" t="s">
        <v>271</v>
      </c>
      <c r="H2172" s="569">
        <v>2019</v>
      </c>
      <c r="I2172" s="569" t="s">
        <v>3765</v>
      </c>
      <c r="J2172" s="569" t="s">
        <v>3996</v>
      </c>
      <c r="K2172" s="569" t="s">
        <v>3377</v>
      </c>
      <c r="L2172" s="569">
        <v>6</v>
      </c>
      <c r="M2172" s="569">
        <v>0</v>
      </c>
      <c r="N2172" s="569" t="s">
        <v>157</v>
      </c>
      <c r="O2172" s="569">
        <v>2</v>
      </c>
      <c r="P2172" s="569" t="s">
        <v>3846</v>
      </c>
      <c r="Q2172" s="568">
        <v>9200</v>
      </c>
      <c r="R2172" s="569" t="s">
        <v>3778</v>
      </c>
      <c r="S2172" s="569">
        <v>8</v>
      </c>
      <c r="T2172" s="569" t="s">
        <v>3997</v>
      </c>
      <c r="U2172" s="569" t="s">
        <v>276</v>
      </c>
      <c r="V2172" s="569">
        <v>163.69999999999999</v>
      </c>
      <c r="W2172" s="569">
        <v>23</v>
      </c>
      <c r="X2172" s="568">
        <v>7000</v>
      </c>
      <c r="Y2172" s="569">
        <v>18</v>
      </c>
      <c r="Z2172" s="581" t="s">
        <v>450</v>
      </c>
      <c r="AA2172" s="581" t="s">
        <v>178</v>
      </c>
      <c r="AB2172" s="585">
        <v>36040</v>
      </c>
      <c r="AC2172" s="585" t="s">
        <v>164</v>
      </c>
      <c r="AD2172" s="585">
        <v>24850</v>
      </c>
      <c r="AE2172" s="587">
        <v>0.01</v>
      </c>
      <c r="AF2172" s="661" t="str">
        <f t="shared" si="234"/>
        <v>2019-LTK-FRD-F150-065-15</v>
      </c>
      <c r="AG2172" s="661" t="str">
        <f>IF(AND($Y2172&gt;=32,(AI2172="I"),(Y2172&lt;&gt;"~"),(COUNTIF($AN$1:$AN2172,$AN2172)=1)),"TRUE","FALSE")</f>
        <v>FALSE</v>
      </c>
      <c r="AH2172" s="661" t="str">
        <f>IF(AND($Y2172&gt;=22, (AI2172&lt;&gt;"I"),(Y2172&lt;&gt;"~"),(COUNTIF($AN$1:$AN2172,$AN2172)=1)),"TRUE","FALSE")</f>
        <v>FALSE</v>
      </c>
      <c r="AI2172" s="661" t="str">
        <f t="shared" si="236"/>
        <v>II</v>
      </c>
      <c r="AJ2172" s="662" t="str">
        <f t="shared" si="230"/>
        <v>F150-065</v>
      </c>
      <c r="AK2172" s="662" t="str">
        <f t="shared" si="231"/>
        <v>LTK</v>
      </c>
      <c r="AL2172" s="662" t="str">
        <f t="shared" si="232"/>
        <v>FRD</v>
      </c>
      <c r="AM2172" s="662" t="str">
        <f t="shared" si="235"/>
        <v>F150-Super Cab XL-2WD-6-8'-9200-5.0L FFV-8-X1C-100A-163.7-23-E85-Unleaded</v>
      </c>
      <c r="AN2172" s="662" t="str">
        <f t="shared" si="233"/>
        <v>2019-LTK-FRD-F150-065</v>
      </c>
    </row>
    <row r="2173" spans="1:40" s="572" customFormat="1" ht="15">
      <c r="A2173" s="570" t="s">
        <v>4017</v>
      </c>
      <c r="B2173" s="573" t="s">
        <v>3995</v>
      </c>
      <c r="C2173" s="573" t="s">
        <v>287</v>
      </c>
      <c r="D2173" s="578">
        <v>26</v>
      </c>
      <c r="E2173" s="573" t="s">
        <v>3374</v>
      </c>
      <c r="F2173" s="573" t="s">
        <v>152</v>
      </c>
      <c r="G2173" s="573" t="s">
        <v>271</v>
      </c>
      <c r="H2173" s="573">
        <v>2019</v>
      </c>
      <c r="I2173" s="573" t="s">
        <v>3765</v>
      </c>
      <c r="J2173" s="573" t="s">
        <v>3996</v>
      </c>
      <c r="K2173" s="573" t="s">
        <v>3377</v>
      </c>
      <c r="L2173" s="573">
        <v>6</v>
      </c>
      <c r="M2173" s="573">
        <v>0</v>
      </c>
      <c r="N2173" s="573" t="s">
        <v>157</v>
      </c>
      <c r="O2173" s="573">
        <v>2</v>
      </c>
      <c r="P2173" s="573" t="s">
        <v>3781</v>
      </c>
      <c r="Q2173" s="571">
        <v>10800</v>
      </c>
      <c r="R2173" s="573" t="s">
        <v>1259</v>
      </c>
      <c r="S2173" s="573">
        <v>6</v>
      </c>
      <c r="T2173" s="573" t="s">
        <v>3997</v>
      </c>
      <c r="U2173" s="573" t="s">
        <v>276</v>
      </c>
      <c r="V2173" s="573">
        <v>145</v>
      </c>
      <c r="W2173" s="573">
        <v>23</v>
      </c>
      <c r="X2173" s="571">
        <v>6900</v>
      </c>
      <c r="Y2173" s="573">
        <v>20</v>
      </c>
      <c r="Z2173" s="579" t="s">
        <v>178</v>
      </c>
      <c r="AA2173" s="579" t="s">
        <v>178</v>
      </c>
      <c r="AB2173" s="584">
        <v>36330</v>
      </c>
      <c r="AC2173" s="584" t="s">
        <v>164</v>
      </c>
      <c r="AD2173" s="584">
        <v>25490</v>
      </c>
      <c r="AE2173" s="586">
        <v>0.05</v>
      </c>
      <c r="AF2173" s="661" t="str">
        <f t="shared" si="234"/>
        <v>2019-LTK-FRD-F150-059-26</v>
      </c>
      <c r="AG2173" s="661" t="str">
        <f>IF(AND($Y2173&gt;=32,(AI2173="I"),(Y2173&lt;&gt;"~"),(COUNTIF($AN$1:$AN2173,$AN2173)=1)),"TRUE","FALSE")</f>
        <v>FALSE</v>
      </c>
      <c r="AH2173" s="661" t="str">
        <f>IF(AND($Y2173&gt;=22, (AI2173&lt;&gt;"I"),(Y2173&lt;&gt;"~"),(COUNTIF($AN$1:$AN2173,$AN2173)=1)),"TRUE","FALSE")</f>
        <v>FALSE</v>
      </c>
      <c r="AI2173" s="661" t="str">
        <f t="shared" si="236"/>
        <v>II</v>
      </c>
      <c r="AJ2173" s="662" t="str">
        <f t="shared" si="230"/>
        <v>F150-059</v>
      </c>
      <c r="AK2173" s="662" t="str">
        <f t="shared" si="231"/>
        <v>LTK</v>
      </c>
      <c r="AL2173" s="662" t="str">
        <f t="shared" si="232"/>
        <v>FRD</v>
      </c>
      <c r="AM2173" s="662" t="str">
        <f t="shared" si="235"/>
        <v>F150-Super Cab XL-2WD-6-6'5"-10800-3.5L EcoBoost-6-X1C-100A-145-23-Unleaded-Unleaded</v>
      </c>
      <c r="AN2173" s="662" t="str">
        <f t="shared" si="233"/>
        <v>2019-LTK-FRD-F150-059</v>
      </c>
    </row>
    <row r="2174" spans="1:40" s="572" customFormat="1" ht="15">
      <c r="A2174" s="570" t="s">
        <v>4018</v>
      </c>
      <c r="B2174" s="569" t="s">
        <v>3999</v>
      </c>
      <c r="C2174" s="569" t="s">
        <v>287</v>
      </c>
      <c r="D2174" s="580">
        <v>26</v>
      </c>
      <c r="E2174" s="569" t="s">
        <v>3374</v>
      </c>
      <c r="F2174" s="569" t="s">
        <v>152</v>
      </c>
      <c r="G2174" s="569" t="s">
        <v>271</v>
      </c>
      <c r="H2174" s="569">
        <v>2019</v>
      </c>
      <c r="I2174" s="569" t="s">
        <v>3765</v>
      </c>
      <c r="J2174" s="569" t="s">
        <v>3996</v>
      </c>
      <c r="K2174" s="569" t="s">
        <v>3377</v>
      </c>
      <c r="L2174" s="569">
        <v>6</v>
      </c>
      <c r="M2174" s="569">
        <v>0</v>
      </c>
      <c r="N2174" s="569" t="s">
        <v>157</v>
      </c>
      <c r="O2174" s="569">
        <v>2</v>
      </c>
      <c r="P2174" s="569" t="s">
        <v>3781</v>
      </c>
      <c r="Q2174" s="568">
        <v>5100</v>
      </c>
      <c r="R2174" s="569" t="s">
        <v>1322</v>
      </c>
      <c r="S2174" s="569">
        <v>6</v>
      </c>
      <c r="T2174" s="569" t="s">
        <v>3997</v>
      </c>
      <c r="U2174" s="569" t="s">
        <v>276</v>
      </c>
      <c r="V2174" s="569">
        <v>145</v>
      </c>
      <c r="W2174" s="569">
        <v>23</v>
      </c>
      <c r="X2174" s="568">
        <v>6100</v>
      </c>
      <c r="Y2174" s="569">
        <v>20</v>
      </c>
      <c r="Z2174" s="581" t="s">
        <v>450</v>
      </c>
      <c r="AA2174" s="581" t="s">
        <v>178</v>
      </c>
      <c r="AB2174" s="585">
        <v>33735</v>
      </c>
      <c r="AC2174" s="585" t="s">
        <v>164</v>
      </c>
      <c r="AD2174" s="585">
        <v>23129</v>
      </c>
      <c r="AE2174" s="587">
        <v>0.05</v>
      </c>
      <c r="AF2174" s="661" t="str">
        <f t="shared" si="234"/>
        <v>2019-LTK-FRD-F150-060-26</v>
      </c>
      <c r="AG2174" s="661" t="str">
        <f>IF(AND($Y2174&gt;=32,(AI2174="I"),(Y2174&lt;&gt;"~"),(COUNTIF($AN$1:$AN2174,$AN2174)=1)),"TRUE","FALSE")</f>
        <v>FALSE</v>
      </c>
      <c r="AH2174" s="661" t="str">
        <f>IF(AND($Y2174&gt;=22, (AI2174&lt;&gt;"I"),(Y2174&lt;&gt;"~"),(COUNTIF($AN$1:$AN2174,$AN2174)=1)),"TRUE","FALSE")</f>
        <v>FALSE</v>
      </c>
      <c r="AI2174" s="661" t="str">
        <f t="shared" si="236"/>
        <v>II</v>
      </c>
      <c r="AJ2174" s="662" t="str">
        <f t="shared" si="230"/>
        <v>F150-060</v>
      </c>
      <c r="AK2174" s="662" t="str">
        <f t="shared" si="231"/>
        <v>LTK</v>
      </c>
      <c r="AL2174" s="662" t="str">
        <f t="shared" si="232"/>
        <v>FRD</v>
      </c>
      <c r="AM2174" s="662" t="str">
        <f t="shared" si="235"/>
        <v>F150-Super Cab XL-2WD-6-6'5"-5100-3.3L-6-X1C-100A-145-23-E85-Unleaded</v>
      </c>
      <c r="AN2174" s="662" t="str">
        <f t="shared" si="233"/>
        <v>2019-LTK-FRD-F150-060</v>
      </c>
    </row>
    <row r="2175" spans="1:40" s="572" customFormat="1" ht="15">
      <c r="A2175" s="570" t="s">
        <v>4019</v>
      </c>
      <c r="B2175" s="573" t="s">
        <v>4001</v>
      </c>
      <c r="C2175" s="573" t="s">
        <v>287</v>
      </c>
      <c r="D2175" s="578">
        <v>26</v>
      </c>
      <c r="E2175" s="573" t="s">
        <v>3374</v>
      </c>
      <c r="F2175" s="573" t="s">
        <v>152</v>
      </c>
      <c r="G2175" s="573" t="s">
        <v>271</v>
      </c>
      <c r="H2175" s="573">
        <v>2019</v>
      </c>
      <c r="I2175" s="573" t="s">
        <v>3765</v>
      </c>
      <c r="J2175" s="573" t="s">
        <v>3996</v>
      </c>
      <c r="K2175" s="573" t="s">
        <v>3377</v>
      </c>
      <c r="L2175" s="573">
        <v>6</v>
      </c>
      <c r="M2175" s="573">
        <v>0</v>
      </c>
      <c r="N2175" s="573" t="s">
        <v>157</v>
      </c>
      <c r="O2175" s="573">
        <v>2</v>
      </c>
      <c r="P2175" s="573" t="s">
        <v>3781</v>
      </c>
      <c r="Q2175" s="571">
        <v>7600</v>
      </c>
      <c r="R2175" s="573" t="s">
        <v>3841</v>
      </c>
      <c r="S2175" s="573">
        <v>6</v>
      </c>
      <c r="T2175" s="573" t="s">
        <v>3997</v>
      </c>
      <c r="U2175" s="573" t="s">
        <v>276</v>
      </c>
      <c r="V2175" s="573">
        <v>145</v>
      </c>
      <c r="W2175" s="573">
        <v>23</v>
      </c>
      <c r="X2175" s="571">
        <v>6250</v>
      </c>
      <c r="Y2175" s="573">
        <v>22</v>
      </c>
      <c r="Z2175" s="579" t="s">
        <v>178</v>
      </c>
      <c r="AA2175" s="579" t="s">
        <v>178</v>
      </c>
      <c r="AB2175" s="584">
        <v>34730</v>
      </c>
      <c r="AC2175" s="584" t="s">
        <v>164</v>
      </c>
      <c r="AD2175" s="584">
        <v>24035</v>
      </c>
      <c r="AE2175" s="586">
        <v>0.05</v>
      </c>
      <c r="AF2175" s="661" t="str">
        <f t="shared" si="234"/>
        <v>2019-LTK-FRD-F150-061-26</v>
      </c>
      <c r="AG2175" s="661" t="str">
        <f>IF(AND($Y2175&gt;=32,(AI2175="I"),(Y2175&lt;&gt;"~"),(COUNTIF($AN$1:$AN2175,$AN2175)=1)),"TRUE","FALSE")</f>
        <v>FALSE</v>
      </c>
      <c r="AH2175" s="661" t="str">
        <f>IF(AND($Y2175&gt;=22, (AI2175&lt;&gt;"I"),(Y2175&lt;&gt;"~"),(COUNTIF($AN$1:$AN2175,$AN2175)=1)),"TRUE","FALSE")</f>
        <v>FALSE</v>
      </c>
      <c r="AI2175" s="661" t="str">
        <f t="shared" si="236"/>
        <v>II</v>
      </c>
      <c r="AJ2175" s="662" t="str">
        <f t="shared" si="230"/>
        <v>F150-061</v>
      </c>
      <c r="AK2175" s="662" t="str">
        <f t="shared" si="231"/>
        <v>LTK</v>
      </c>
      <c r="AL2175" s="662" t="str">
        <f t="shared" si="232"/>
        <v>FRD</v>
      </c>
      <c r="AM2175" s="662" t="str">
        <f t="shared" si="235"/>
        <v>F150-Super Cab XL-2WD-6-6'5"-7600-2.7L EcoBoost-6-X1C-100A-145-23-Unleaded-Unleaded</v>
      </c>
      <c r="AN2175" s="662" t="str">
        <f t="shared" si="233"/>
        <v>2019-LTK-FRD-F150-061</v>
      </c>
    </row>
    <row r="2176" spans="1:40" s="572" customFormat="1" ht="15">
      <c r="A2176" s="570" t="s">
        <v>4020</v>
      </c>
      <c r="B2176" s="569" t="s">
        <v>4003</v>
      </c>
      <c r="C2176" s="569" t="s">
        <v>287</v>
      </c>
      <c r="D2176" s="580">
        <v>26</v>
      </c>
      <c r="E2176" s="569" t="s">
        <v>3374</v>
      </c>
      <c r="F2176" s="569" t="s">
        <v>152</v>
      </c>
      <c r="G2176" s="569" t="s">
        <v>271</v>
      </c>
      <c r="H2176" s="569">
        <v>2019</v>
      </c>
      <c r="I2176" s="569" t="s">
        <v>3765</v>
      </c>
      <c r="J2176" s="569" t="s">
        <v>3996</v>
      </c>
      <c r="K2176" s="569" t="s">
        <v>3377</v>
      </c>
      <c r="L2176" s="569">
        <v>6</v>
      </c>
      <c r="M2176" s="569">
        <v>0</v>
      </c>
      <c r="N2176" s="569" t="s">
        <v>157</v>
      </c>
      <c r="O2176" s="569">
        <v>2</v>
      </c>
      <c r="P2176" s="569" t="s">
        <v>3781</v>
      </c>
      <c r="Q2176" s="568">
        <v>9200</v>
      </c>
      <c r="R2176" s="569" t="s">
        <v>3778</v>
      </c>
      <c r="S2176" s="569">
        <v>8</v>
      </c>
      <c r="T2176" s="569" t="s">
        <v>3997</v>
      </c>
      <c r="U2176" s="569" t="s">
        <v>276</v>
      </c>
      <c r="V2176" s="569">
        <v>145</v>
      </c>
      <c r="W2176" s="569">
        <v>23</v>
      </c>
      <c r="X2176" s="568">
        <v>6900</v>
      </c>
      <c r="Y2176" s="569">
        <v>18</v>
      </c>
      <c r="Z2176" s="581" t="s">
        <v>450</v>
      </c>
      <c r="AA2176" s="581" t="s">
        <v>178</v>
      </c>
      <c r="AB2176" s="585">
        <v>35730</v>
      </c>
      <c r="AC2176" s="585" t="s">
        <v>164</v>
      </c>
      <c r="AD2176" s="585">
        <v>24945</v>
      </c>
      <c r="AE2176" s="587">
        <v>0.05</v>
      </c>
      <c r="AF2176" s="661" t="str">
        <f t="shared" si="234"/>
        <v>2019-LTK-FRD-F150-062-26</v>
      </c>
      <c r="AG2176" s="661" t="str">
        <f>IF(AND($Y2176&gt;=32,(AI2176="I"),(Y2176&lt;&gt;"~"),(COUNTIF($AN$1:$AN2176,$AN2176)=1)),"TRUE","FALSE")</f>
        <v>FALSE</v>
      </c>
      <c r="AH2176" s="661" t="str">
        <f>IF(AND($Y2176&gt;=22, (AI2176&lt;&gt;"I"),(Y2176&lt;&gt;"~"),(COUNTIF($AN$1:$AN2176,$AN2176)=1)),"TRUE","FALSE")</f>
        <v>FALSE</v>
      </c>
      <c r="AI2176" s="661" t="str">
        <f t="shared" si="236"/>
        <v>II</v>
      </c>
      <c r="AJ2176" s="662" t="str">
        <f t="shared" si="230"/>
        <v>F150-062</v>
      </c>
      <c r="AK2176" s="662" t="str">
        <f t="shared" si="231"/>
        <v>LTK</v>
      </c>
      <c r="AL2176" s="662" t="str">
        <f t="shared" si="232"/>
        <v>FRD</v>
      </c>
      <c r="AM2176" s="662" t="str">
        <f t="shared" si="235"/>
        <v>F150-Super Cab XL-2WD-6-6'5"-9200-5.0L FFV-8-X1C-100A-145-23-E85-Unleaded</v>
      </c>
      <c r="AN2176" s="662" t="str">
        <f t="shared" si="233"/>
        <v>2019-LTK-FRD-F150-062</v>
      </c>
    </row>
    <row r="2177" spans="1:40" s="572" customFormat="1" ht="15">
      <c r="A2177" s="570" t="s">
        <v>4021</v>
      </c>
      <c r="B2177" s="573" t="s">
        <v>4005</v>
      </c>
      <c r="C2177" s="573" t="s">
        <v>287</v>
      </c>
      <c r="D2177" s="578">
        <v>26</v>
      </c>
      <c r="E2177" s="573" t="s">
        <v>3374</v>
      </c>
      <c r="F2177" s="573" t="s">
        <v>152</v>
      </c>
      <c r="G2177" s="573" t="s">
        <v>271</v>
      </c>
      <c r="H2177" s="573">
        <v>2019</v>
      </c>
      <c r="I2177" s="573" t="s">
        <v>3765</v>
      </c>
      <c r="J2177" s="573" t="s">
        <v>3996</v>
      </c>
      <c r="K2177" s="573" t="s">
        <v>3377</v>
      </c>
      <c r="L2177" s="573">
        <v>6</v>
      </c>
      <c r="M2177" s="573">
        <v>0</v>
      </c>
      <c r="N2177" s="573" t="s">
        <v>157</v>
      </c>
      <c r="O2177" s="573">
        <v>2</v>
      </c>
      <c r="P2177" s="573" t="s">
        <v>3846</v>
      </c>
      <c r="Q2177" s="571">
        <v>10700</v>
      </c>
      <c r="R2177" s="573" t="s">
        <v>1259</v>
      </c>
      <c r="S2177" s="573">
        <v>6</v>
      </c>
      <c r="T2177" s="573" t="s">
        <v>3997</v>
      </c>
      <c r="U2177" s="573" t="s">
        <v>276</v>
      </c>
      <c r="V2177" s="573">
        <v>163.69999999999999</v>
      </c>
      <c r="W2177" s="573">
        <v>23</v>
      </c>
      <c r="X2177" s="571">
        <v>7050</v>
      </c>
      <c r="Y2177" s="573">
        <v>20</v>
      </c>
      <c r="Z2177" s="579" t="s">
        <v>178</v>
      </c>
      <c r="AA2177" s="579" t="s">
        <v>178</v>
      </c>
      <c r="AB2177" s="584">
        <v>36640</v>
      </c>
      <c r="AC2177" s="584" t="s">
        <v>164</v>
      </c>
      <c r="AD2177" s="584">
        <v>25816</v>
      </c>
      <c r="AE2177" s="586">
        <v>0.05</v>
      </c>
      <c r="AF2177" s="661" t="str">
        <f t="shared" si="234"/>
        <v>2019-LTK-FRD-F150-063-26</v>
      </c>
      <c r="AG2177" s="661" t="str">
        <f>IF(AND($Y2177&gt;=32,(AI2177="I"),(Y2177&lt;&gt;"~"),(COUNTIF($AN$1:$AN2177,$AN2177)=1)),"TRUE","FALSE")</f>
        <v>FALSE</v>
      </c>
      <c r="AH2177" s="661" t="str">
        <f>IF(AND($Y2177&gt;=22, (AI2177&lt;&gt;"I"),(Y2177&lt;&gt;"~"),(COUNTIF($AN$1:$AN2177,$AN2177)=1)),"TRUE","FALSE")</f>
        <v>FALSE</v>
      </c>
      <c r="AI2177" s="661" t="str">
        <f t="shared" si="236"/>
        <v>II</v>
      </c>
      <c r="AJ2177" s="662" t="str">
        <f t="shared" si="230"/>
        <v>F150-063</v>
      </c>
      <c r="AK2177" s="662" t="str">
        <f t="shared" si="231"/>
        <v>LTK</v>
      </c>
      <c r="AL2177" s="662" t="str">
        <f t="shared" si="232"/>
        <v>FRD</v>
      </c>
      <c r="AM2177" s="662" t="str">
        <f t="shared" si="235"/>
        <v>F150-Super Cab XL-2WD-6-8'-10700-3.5L EcoBoost-6-X1C-100A-163.7-23-Unleaded-Unleaded</v>
      </c>
      <c r="AN2177" s="662" t="str">
        <f t="shared" si="233"/>
        <v>2019-LTK-FRD-F150-063</v>
      </c>
    </row>
    <row r="2178" spans="1:40" s="572" customFormat="1" ht="15">
      <c r="A2178" s="570" t="s">
        <v>4022</v>
      </c>
      <c r="B2178" s="569" t="s">
        <v>4007</v>
      </c>
      <c r="C2178" s="569" t="s">
        <v>287</v>
      </c>
      <c r="D2178" s="580">
        <v>26</v>
      </c>
      <c r="E2178" s="569" t="s">
        <v>3374</v>
      </c>
      <c r="F2178" s="569" t="s">
        <v>152</v>
      </c>
      <c r="G2178" s="569" t="s">
        <v>271</v>
      </c>
      <c r="H2178" s="569">
        <v>2019</v>
      </c>
      <c r="I2178" s="569" t="s">
        <v>3765</v>
      </c>
      <c r="J2178" s="569" t="s">
        <v>3996</v>
      </c>
      <c r="K2178" s="569" t="s">
        <v>3377</v>
      </c>
      <c r="L2178" s="569">
        <v>6</v>
      </c>
      <c r="M2178" s="569">
        <v>0</v>
      </c>
      <c r="N2178" s="569" t="s">
        <v>157</v>
      </c>
      <c r="O2178" s="569">
        <v>2</v>
      </c>
      <c r="P2178" s="569" t="s">
        <v>3846</v>
      </c>
      <c r="Q2178" s="568">
        <v>7600</v>
      </c>
      <c r="R2178" s="569" t="s">
        <v>3841</v>
      </c>
      <c r="S2178" s="569">
        <v>6</v>
      </c>
      <c r="T2178" s="569" t="s">
        <v>3997</v>
      </c>
      <c r="U2178" s="569" t="s">
        <v>276</v>
      </c>
      <c r="V2178" s="569">
        <v>163.69999999999999</v>
      </c>
      <c r="W2178" s="569">
        <v>23</v>
      </c>
      <c r="X2178" s="568">
        <v>6500</v>
      </c>
      <c r="Y2178" s="569">
        <v>22</v>
      </c>
      <c r="Z2178" s="581" t="s">
        <v>178</v>
      </c>
      <c r="AA2178" s="581" t="s">
        <v>178</v>
      </c>
      <c r="AB2178" s="585">
        <v>35040</v>
      </c>
      <c r="AC2178" s="585" t="s">
        <v>164</v>
      </c>
      <c r="AD2178" s="585">
        <v>24360</v>
      </c>
      <c r="AE2178" s="587">
        <v>0.05</v>
      </c>
      <c r="AF2178" s="661" t="str">
        <f t="shared" si="234"/>
        <v>2019-LTK-FRD-F150-064-26</v>
      </c>
      <c r="AG2178" s="661" t="str">
        <f>IF(AND($Y2178&gt;=32,(AI2178="I"),(Y2178&lt;&gt;"~"),(COUNTIF($AN$1:$AN2178,$AN2178)=1)),"TRUE","FALSE")</f>
        <v>FALSE</v>
      </c>
      <c r="AH2178" s="661" t="str">
        <f>IF(AND($Y2178&gt;=22, (AI2178&lt;&gt;"I"),(Y2178&lt;&gt;"~"),(COUNTIF($AN$1:$AN2178,$AN2178)=1)),"TRUE","FALSE")</f>
        <v>FALSE</v>
      </c>
      <c r="AI2178" s="661" t="str">
        <f t="shared" si="236"/>
        <v>II</v>
      </c>
      <c r="AJ2178" s="662" t="str">
        <f t="shared" si="230"/>
        <v>F150-064</v>
      </c>
      <c r="AK2178" s="662" t="str">
        <f t="shared" si="231"/>
        <v>LTK</v>
      </c>
      <c r="AL2178" s="662" t="str">
        <f t="shared" si="232"/>
        <v>FRD</v>
      </c>
      <c r="AM2178" s="662" t="str">
        <f t="shared" si="235"/>
        <v>F150-Super Cab XL-2WD-6-8'-7600-2.7L EcoBoost-6-X1C-100A-163.7-23-Unleaded-Unleaded</v>
      </c>
      <c r="AN2178" s="662" t="str">
        <f t="shared" si="233"/>
        <v>2019-LTK-FRD-F150-064</v>
      </c>
    </row>
    <row r="2179" spans="1:40" s="572" customFormat="1" ht="15">
      <c r="A2179" s="570" t="s">
        <v>4023</v>
      </c>
      <c r="B2179" s="573" t="s">
        <v>4009</v>
      </c>
      <c r="C2179" s="573" t="s">
        <v>287</v>
      </c>
      <c r="D2179" s="578">
        <v>26</v>
      </c>
      <c r="E2179" s="573" t="s">
        <v>3374</v>
      </c>
      <c r="F2179" s="573" t="s">
        <v>152</v>
      </c>
      <c r="G2179" s="573" t="s">
        <v>271</v>
      </c>
      <c r="H2179" s="573">
        <v>2019</v>
      </c>
      <c r="I2179" s="573" t="s">
        <v>3765</v>
      </c>
      <c r="J2179" s="573" t="s">
        <v>3996</v>
      </c>
      <c r="K2179" s="573" t="s">
        <v>3377</v>
      </c>
      <c r="L2179" s="573">
        <v>6</v>
      </c>
      <c r="M2179" s="573">
        <v>0</v>
      </c>
      <c r="N2179" s="573" t="s">
        <v>157</v>
      </c>
      <c r="O2179" s="573">
        <v>2</v>
      </c>
      <c r="P2179" s="573" t="s">
        <v>3846</v>
      </c>
      <c r="Q2179" s="571">
        <v>9200</v>
      </c>
      <c r="R2179" s="573" t="s">
        <v>3778</v>
      </c>
      <c r="S2179" s="573">
        <v>8</v>
      </c>
      <c r="T2179" s="573" t="s">
        <v>3997</v>
      </c>
      <c r="U2179" s="573" t="s">
        <v>276</v>
      </c>
      <c r="V2179" s="573">
        <v>163.69999999999999</v>
      </c>
      <c r="W2179" s="573">
        <v>23</v>
      </c>
      <c r="X2179" s="571">
        <v>7000</v>
      </c>
      <c r="Y2179" s="573">
        <v>18</v>
      </c>
      <c r="Z2179" s="579" t="s">
        <v>450</v>
      </c>
      <c r="AA2179" s="579" t="s">
        <v>178</v>
      </c>
      <c r="AB2179" s="584">
        <v>36040</v>
      </c>
      <c r="AC2179" s="584" t="s">
        <v>164</v>
      </c>
      <c r="AD2179" s="584">
        <v>25268</v>
      </c>
      <c r="AE2179" s="586">
        <v>0.05</v>
      </c>
      <c r="AF2179" s="661" t="str">
        <f t="shared" si="234"/>
        <v>2019-LTK-FRD-F150-065-26</v>
      </c>
      <c r="AG2179" s="661" t="str">
        <f>IF(AND($Y2179&gt;=32,(AI2179="I"),(Y2179&lt;&gt;"~"),(COUNTIF($AN$1:$AN2179,$AN2179)=1)),"TRUE","FALSE")</f>
        <v>FALSE</v>
      </c>
      <c r="AH2179" s="661" t="str">
        <f>IF(AND($Y2179&gt;=22, (AI2179&lt;&gt;"I"),(Y2179&lt;&gt;"~"),(COUNTIF($AN$1:$AN2179,$AN2179)=1)),"TRUE","FALSE")</f>
        <v>FALSE</v>
      </c>
      <c r="AI2179" s="661" t="str">
        <f t="shared" si="236"/>
        <v>II</v>
      </c>
      <c r="AJ2179" s="662" t="str">
        <f t="shared" ref="AJ2179:AJ2242" si="237">MID(A2179,14,8)</f>
        <v>F150-065</v>
      </c>
      <c r="AK2179" s="662" t="str">
        <f t="shared" ref="AK2179:AK2242" si="238">MID(A2179,6,3)</f>
        <v>LTK</v>
      </c>
      <c r="AL2179" s="662" t="str">
        <f t="shared" ref="AL2179:AL2242" si="239">MID(A2179,10,3)</f>
        <v>FRD</v>
      </c>
      <c r="AM2179" s="662" t="str">
        <f t="shared" si="235"/>
        <v>F150-Super Cab XL-2WD-6-8'-9200-5.0L FFV-8-X1C-100A-163.7-23-E85-Unleaded</v>
      </c>
      <c r="AN2179" s="662" t="str">
        <f t="shared" ref="AN2179:AN2242" si="240">LEFT(A2179,21)</f>
        <v>2019-LTK-FRD-F150-065</v>
      </c>
    </row>
    <row r="2180" spans="1:40" s="572" customFormat="1" ht="15">
      <c r="A2180" s="570" t="s">
        <v>4024</v>
      </c>
      <c r="B2180" s="569" t="s">
        <v>3995</v>
      </c>
      <c r="C2180" s="569" t="s">
        <v>280</v>
      </c>
      <c r="D2180" s="580">
        <v>27</v>
      </c>
      <c r="E2180" s="569" t="s">
        <v>3374</v>
      </c>
      <c r="F2180" s="569" t="s">
        <v>152</v>
      </c>
      <c r="G2180" s="569" t="s">
        <v>271</v>
      </c>
      <c r="H2180" s="569">
        <v>2019</v>
      </c>
      <c r="I2180" s="569" t="s">
        <v>3765</v>
      </c>
      <c r="J2180" s="569" t="s">
        <v>3996</v>
      </c>
      <c r="K2180" s="569" t="s">
        <v>3377</v>
      </c>
      <c r="L2180" s="569">
        <v>6</v>
      </c>
      <c r="M2180" s="569">
        <v>0</v>
      </c>
      <c r="N2180" s="569" t="s">
        <v>157</v>
      </c>
      <c r="O2180" s="569">
        <v>2</v>
      </c>
      <c r="P2180" s="569" t="s">
        <v>3781</v>
      </c>
      <c r="Q2180" s="568">
        <v>10800</v>
      </c>
      <c r="R2180" s="569" t="s">
        <v>1259</v>
      </c>
      <c r="S2180" s="569">
        <v>6</v>
      </c>
      <c r="T2180" s="569" t="s">
        <v>3997</v>
      </c>
      <c r="U2180" s="569" t="s">
        <v>276</v>
      </c>
      <c r="V2180" s="569">
        <v>145</v>
      </c>
      <c r="W2180" s="569">
        <v>23</v>
      </c>
      <c r="X2180" s="568">
        <v>6900</v>
      </c>
      <c r="Y2180" s="569">
        <v>21</v>
      </c>
      <c r="Z2180" s="581" t="s">
        <v>178</v>
      </c>
      <c r="AA2180" s="581" t="s">
        <v>178</v>
      </c>
      <c r="AB2180" s="585">
        <v>36330</v>
      </c>
      <c r="AC2180" s="585" t="s">
        <v>164</v>
      </c>
      <c r="AD2180" s="585">
        <v>25028.084210526318</v>
      </c>
      <c r="AE2180" s="587">
        <v>0.03</v>
      </c>
      <c r="AF2180" s="661" t="str">
        <f t="shared" si="234"/>
        <v>2019-LTK-FRD-F150-059-27</v>
      </c>
      <c r="AG2180" s="661" t="str">
        <f>IF(AND($Y2180&gt;=32,(AI2180="I"),(Y2180&lt;&gt;"~"),(COUNTIF($AN$1:$AN2180,$AN2180)=1)),"TRUE","FALSE")</f>
        <v>FALSE</v>
      </c>
      <c r="AH2180" s="661" t="str">
        <f>IF(AND($Y2180&gt;=22, (AI2180&lt;&gt;"I"),(Y2180&lt;&gt;"~"),(COUNTIF($AN$1:$AN2180,$AN2180)=1)),"TRUE","FALSE")</f>
        <v>FALSE</v>
      </c>
      <c r="AI2180" s="661" t="str">
        <f t="shared" si="236"/>
        <v>II</v>
      </c>
      <c r="AJ2180" s="662" t="str">
        <f t="shared" si="237"/>
        <v>F150-059</v>
      </c>
      <c r="AK2180" s="662" t="str">
        <f t="shared" si="238"/>
        <v>LTK</v>
      </c>
      <c r="AL2180" s="662" t="str">
        <f t="shared" si="239"/>
        <v>FRD</v>
      </c>
      <c r="AM2180" s="662" t="str">
        <f t="shared" si="235"/>
        <v>F150-Super Cab XL-2WD-6-6'5"-10800-3.5L EcoBoost-6-X1C-100A-145-23-Unleaded-Unleaded</v>
      </c>
      <c r="AN2180" s="662" t="str">
        <f t="shared" si="240"/>
        <v>2019-LTK-FRD-F150-059</v>
      </c>
    </row>
    <row r="2181" spans="1:40" s="572" customFormat="1" ht="15">
      <c r="A2181" s="570" t="s">
        <v>4025</v>
      </c>
      <c r="B2181" s="573" t="s">
        <v>3999</v>
      </c>
      <c r="C2181" s="573" t="s">
        <v>280</v>
      </c>
      <c r="D2181" s="578">
        <v>27</v>
      </c>
      <c r="E2181" s="573" t="s">
        <v>3374</v>
      </c>
      <c r="F2181" s="573" t="s">
        <v>152</v>
      </c>
      <c r="G2181" s="573" t="s">
        <v>271</v>
      </c>
      <c r="H2181" s="573">
        <v>2019</v>
      </c>
      <c r="I2181" s="573" t="s">
        <v>3765</v>
      </c>
      <c r="J2181" s="573" t="s">
        <v>3996</v>
      </c>
      <c r="K2181" s="573" t="s">
        <v>3377</v>
      </c>
      <c r="L2181" s="573">
        <v>6</v>
      </c>
      <c r="M2181" s="573">
        <v>0</v>
      </c>
      <c r="N2181" s="573" t="s">
        <v>157</v>
      </c>
      <c r="O2181" s="573">
        <v>2</v>
      </c>
      <c r="P2181" s="573" t="s">
        <v>3781</v>
      </c>
      <c r="Q2181" s="571">
        <v>5100</v>
      </c>
      <c r="R2181" s="573" t="s">
        <v>3772</v>
      </c>
      <c r="S2181" s="573">
        <v>6</v>
      </c>
      <c r="T2181" s="573" t="s">
        <v>3997</v>
      </c>
      <c r="U2181" s="573" t="s">
        <v>276</v>
      </c>
      <c r="V2181" s="573">
        <v>145</v>
      </c>
      <c r="W2181" s="573">
        <v>23</v>
      </c>
      <c r="X2181" s="571">
        <v>6100</v>
      </c>
      <c r="Y2181" s="573">
        <v>22</v>
      </c>
      <c r="Z2181" s="579" t="s">
        <v>450</v>
      </c>
      <c r="AA2181" s="579" t="s">
        <v>178</v>
      </c>
      <c r="AB2181" s="584">
        <v>33735</v>
      </c>
      <c r="AC2181" s="584" t="s">
        <v>164</v>
      </c>
      <c r="AD2181" s="584">
        <v>22698.610526315792</v>
      </c>
      <c r="AE2181" s="586">
        <v>0.03</v>
      </c>
      <c r="AF2181" s="661" t="str">
        <f t="shared" si="234"/>
        <v>2019-LTK-FRD-F150-060-27</v>
      </c>
      <c r="AG2181" s="661" t="str">
        <f>IF(AND($Y2181&gt;=32,(AI2181="I"),(Y2181&lt;&gt;"~"),(COUNTIF($AN$1:$AN2181,$AN2181)=1)),"TRUE","FALSE")</f>
        <v>FALSE</v>
      </c>
      <c r="AH2181" s="661" t="str">
        <f>IF(AND($Y2181&gt;=22, (AI2181&lt;&gt;"I"),(Y2181&lt;&gt;"~"),(COUNTIF($AN$1:$AN2181,$AN2181)=1)),"TRUE","FALSE")</f>
        <v>FALSE</v>
      </c>
      <c r="AI2181" s="661" t="str">
        <f t="shared" si="236"/>
        <v>II</v>
      </c>
      <c r="AJ2181" s="662" t="str">
        <f t="shared" si="237"/>
        <v>F150-060</v>
      </c>
      <c r="AK2181" s="662" t="str">
        <f t="shared" si="238"/>
        <v>LTK</v>
      </c>
      <c r="AL2181" s="662" t="str">
        <f t="shared" si="239"/>
        <v>FRD</v>
      </c>
      <c r="AM2181" s="662" t="str">
        <f t="shared" si="235"/>
        <v>F150-Super Cab XL-2WD-6-6'5"-5100-3.3L FFV-6-X1C-100A-145-23-E85-Unleaded</v>
      </c>
      <c r="AN2181" s="662" t="str">
        <f t="shared" si="240"/>
        <v>2019-LTK-FRD-F150-060</v>
      </c>
    </row>
    <row r="2182" spans="1:40" s="572" customFormat="1" ht="15">
      <c r="A2182" s="570" t="s">
        <v>4026</v>
      </c>
      <c r="B2182" s="569" t="s">
        <v>4001</v>
      </c>
      <c r="C2182" s="569" t="s">
        <v>280</v>
      </c>
      <c r="D2182" s="580">
        <v>27</v>
      </c>
      <c r="E2182" s="569" t="s">
        <v>3374</v>
      </c>
      <c r="F2182" s="569" t="s">
        <v>152</v>
      </c>
      <c r="G2182" s="569" t="s">
        <v>271</v>
      </c>
      <c r="H2182" s="569">
        <v>2019</v>
      </c>
      <c r="I2182" s="569" t="s">
        <v>3765</v>
      </c>
      <c r="J2182" s="569" t="s">
        <v>3996</v>
      </c>
      <c r="K2182" s="569" t="s">
        <v>3377</v>
      </c>
      <c r="L2182" s="569">
        <v>6</v>
      </c>
      <c r="M2182" s="569">
        <v>0</v>
      </c>
      <c r="N2182" s="569" t="s">
        <v>157</v>
      </c>
      <c r="O2182" s="569">
        <v>2</v>
      </c>
      <c r="P2182" s="569" t="s">
        <v>3781</v>
      </c>
      <c r="Q2182" s="568">
        <v>7600</v>
      </c>
      <c r="R2182" s="569" t="s">
        <v>3841</v>
      </c>
      <c r="S2182" s="569">
        <v>6</v>
      </c>
      <c r="T2182" s="569" t="s">
        <v>3997</v>
      </c>
      <c r="U2182" s="569" t="s">
        <v>276</v>
      </c>
      <c r="V2182" s="569">
        <v>145</v>
      </c>
      <c r="W2182" s="569">
        <v>23</v>
      </c>
      <c r="X2182" s="568">
        <v>6250</v>
      </c>
      <c r="Y2182" s="569">
        <v>22</v>
      </c>
      <c r="Z2182" s="581" t="s">
        <v>178</v>
      </c>
      <c r="AA2182" s="581" t="s">
        <v>178</v>
      </c>
      <c r="AB2182" s="585">
        <v>34730</v>
      </c>
      <c r="AC2182" s="585" t="s">
        <v>164</v>
      </c>
      <c r="AD2182" s="585">
        <v>23592.294736842108</v>
      </c>
      <c r="AE2182" s="587">
        <v>0.03</v>
      </c>
      <c r="AF2182" s="661" t="str">
        <f t="shared" si="234"/>
        <v>2019-LTK-FRD-F150-061-27</v>
      </c>
      <c r="AG2182" s="661" t="str">
        <f>IF(AND($Y2182&gt;=32,(AI2182="I"),(Y2182&lt;&gt;"~"),(COUNTIF($AN$1:$AN2182,$AN2182)=1)),"TRUE","FALSE")</f>
        <v>FALSE</v>
      </c>
      <c r="AH2182" s="661" t="str">
        <f>IF(AND($Y2182&gt;=22, (AI2182&lt;&gt;"I"),(Y2182&lt;&gt;"~"),(COUNTIF($AN$1:$AN2182,$AN2182)=1)),"TRUE","FALSE")</f>
        <v>FALSE</v>
      </c>
      <c r="AI2182" s="661" t="str">
        <f t="shared" si="236"/>
        <v>II</v>
      </c>
      <c r="AJ2182" s="662" t="str">
        <f t="shared" si="237"/>
        <v>F150-061</v>
      </c>
      <c r="AK2182" s="662" t="str">
        <f t="shared" si="238"/>
        <v>LTK</v>
      </c>
      <c r="AL2182" s="662" t="str">
        <f t="shared" si="239"/>
        <v>FRD</v>
      </c>
      <c r="AM2182" s="662" t="str">
        <f t="shared" si="235"/>
        <v>F150-Super Cab XL-2WD-6-6'5"-7600-2.7L EcoBoost-6-X1C-100A-145-23-Unleaded-Unleaded</v>
      </c>
      <c r="AN2182" s="662" t="str">
        <f t="shared" si="240"/>
        <v>2019-LTK-FRD-F150-061</v>
      </c>
    </row>
    <row r="2183" spans="1:40" s="572" customFormat="1" ht="15">
      <c r="A2183" s="570" t="s">
        <v>4027</v>
      </c>
      <c r="B2183" s="573" t="s">
        <v>4003</v>
      </c>
      <c r="C2183" s="573" t="s">
        <v>280</v>
      </c>
      <c r="D2183" s="578">
        <v>27</v>
      </c>
      <c r="E2183" s="573" t="s">
        <v>3374</v>
      </c>
      <c r="F2183" s="573" t="s">
        <v>152</v>
      </c>
      <c r="G2183" s="573" t="s">
        <v>271</v>
      </c>
      <c r="H2183" s="573">
        <v>2019</v>
      </c>
      <c r="I2183" s="573" t="s">
        <v>3765</v>
      </c>
      <c r="J2183" s="573" t="s">
        <v>3996</v>
      </c>
      <c r="K2183" s="573" t="s">
        <v>3377</v>
      </c>
      <c r="L2183" s="573">
        <v>6</v>
      </c>
      <c r="M2183" s="573">
        <v>0</v>
      </c>
      <c r="N2183" s="573" t="s">
        <v>157</v>
      </c>
      <c r="O2183" s="573">
        <v>2</v>
      </c>
      <c r="P2183" s="573" t="s">
        <v>3781</v>
      </c>
      <c r="Q2183" s="571">
        <v>9200</v>
      </c>
      <c r="R2183" s="573" t="s">
        <v>3778</v>
      </c>
      <c r="S2183" s="573">
        <v>8</v>
      </c>
      <c r="T2183" s="573" t="s">
        <v>3997</v>
      </c>
      <c r="U2183" s="573" t="s">
        <v>276</v>
      </c>
      <c r="V2183" s="573">
        <v>145</v>
      </c>
      <c r="W2183" s="573">
        <v>23</v>
      </c>
      <c r="X2183" s="571">
        <v>6900</v>
      </c>
      <c r="Y2183" s="573">
        <v>19</v>
      </c>
      <c r="Z2183" s="579" t="s">
        <v>450</v>
      </c>
      <c r="AA2183" s="579" t="s">
        <v>178</v>
      </c>
      <c r="AB2183" s="584">
        <v>35730</v>
      </c>
      <c r="AC2183" s="584" t="s">
        <v>164</v>
      </c>
      <c r="AD2183" s="584">
        <v>24489.136842105265</v>
      </c>
      <c r="AE2183" s="586">
        <v>0.03</v>
      </c>
      <c r="AF2183" s="661" t="str">
        <f t="shared" si="234"/>
        <v>2019-LTK-FRD-F150-062-27</v>
      </c>
      <c r="AG2183" s="661" t="str">
        <f>IF(AND($Y2183&gt;=32,(AI2183="I"),(Y2183&lt;&gt;"~"),(COUNTIF($AN$1:$AN2183,$AN2183)=1)),"TRUE","FALSE")</f>
        <v>FALSE</v>
      </c>
      <c r="AH2183" s="661" t="str">
        <f>IF(AND($Y2183&gt;=22, (AI2183&lt;&gt;"I"),(Y2183&lt;&gt;"~"),(COUNTIF($AN$1:$AN2183,$AN2183)=1)),"TRUE","FALSE")</f>
        <v>FALSE</v>
      </c>
      <c r="AI2183" s="661" t="str">
        <f t="shared" si="236"/>
        <v>II</v>
      </c>
      <c r="AJ2183" s="662" t="str">
        <f t="shared" si="237"/>
        <v>F150-062</v>
      </c>
      <c r="AK2183" s="662" t="str">
        <f t="shared" si="238"/>
        <v>LTK</v>
      </c>
      <c r="AL2183" s="662" t="str">
        <f t="shared" si="239"/>
        <v>FRD</v>
      </c>
      <c r="AM2183" s="662" t="str">
        <f t="shared" si="235"/>
        <v>F150-Super Cab XL-2WD-6-6'5"-9200-5.0L FFV-8-X1C-100A-145-23-E85-Unleaded</v>
      </c>
      <c r="AN2183" s="662" t="str">
        <f t="shared" si="240"/>
        <v>2019-LTK-FRD-F150-062</v>
      </c>
    </row>
    <row r="2184" spans="1:40" s="572" customFormat="1" ht="15">
      <c r="A2184" s="570" t="s">
        <v>4028</v>
      </c>
      <c r="B2184" s="569" t="s">
        <v>4005</v>
      </c>
      <c r="C2184" s="569" t="s">
        <v>280</v>
      </c>
      <c r="D2184" s="580">
        <v>27</v>
      </c>
      <c r="E2184" s="569" t="s">
        <v>3374</v>
      </c>
      <c r="F2184" s="569" t="s">
        <v>152</v>
      </c>
      <c r="G2184" s="569" t="s">
        <v>271</v>
      </c>
      <c r="H2184" s="569">
        <v>2019</v>
      </c>
      <c r="I2184" s="569" t="s">
        <v>3765</v>
      </c>
      <c r="J2184" s="569" t="s">
        <v>3996</v>
      </c>
      <c r="K2184" s="569" t="s">
        <v>3377</v>
      </c>
      <c r="L2184" s="569">
        <v>6</v>
      </c>
      <c r="M2184" s="569">
        <v>0</v>
      </c>
      <c r="N2184" s="569" t="s">
        <v>157</v>
      </c>
      <c r="O2184" s="569">
        <v>2</v>
      </c>
      <c r="P2184" s="569" t="s">
        <v>3846</v>
      </c>
      <c r="Q2184" s="568">
        <v>10700</v>
      </c>
      <c r="R2184" s="569" t="s">
        <v>1259</v>
      </c>
      <c r="S2184" s="569">
        <v>6</v>
      </c>
      <c r="T2184" s="569" t="s">
        <v>3997</v>
      </c>
      <c r="U2184" s="569" t="s">
        <v>276</v>
      </c>
      <c r="V2184" s="569">
        <v>163.69999999999999</v>
      </c>
      <c r="W2184" s="569">
        <v>23</v>
      </c>
      <c r="X2184" s="568">
        <v>7050</v>
      </c>
      <c r="Y2184" s="569">
        <v>21</v>
      </c>
      <c r="Z2184" s="581" t="s">
        <v>178</v>
      </c>
      <c r="AA2184" s="581" t="s">
        <v>178</v>
      </c>
      <c r="AB2184" s="585">
        <v>36640</v>
      </c>
      <c r="AC2184" s="585" t="s">
        <v>164</v>
      </c>
      <c r="AD2184" s="585">
        <v>25348.084210526318</v>
      </c>
      <c r="AE2184" s="587">
        <v>0.03</v>
      </c>
      <c r="AF2184" s="661" t="str">
        <f t="shared" ref="AF2184:AF2247" si="241">A2184</f>
        <v>2019-LTK-FRD-F150-063-27</v>
      </c>
      <c r="AG2184" s="661" t="str">
        <f>IF(AND($Y2184&gt;=32,(AI2184="I"),(Y2184&lt;&gt;"~"),(COUNTIF($AN$1:$AN2184,$AN2184)=1)),"TRUE","FALSE")</f>
        <v>FALSE</v>
      </c>
      <c r="AH2184" s="661" t="str">
        <f>IF(AND($Y2184&gt;=22, (AI2184&lt;&gt;"I"),(Y2184&lt;&gt;"~"),(COUNTIF($AN$1:$AN2184,$AN2184)=1)),"TRUE","FALSE")</f>
        <v>FALSE</v>
      </c>
      <c r="AI2184" s="661" t="str">
        <f t="shared" si="236"/>
        <v>II</v>
      </c>
      <c r="AJ2184" s="662" t="str">
        <f t="shared" si="237"/>
        <v>F150-063</v>
      </c>
      <c r="AK2184" s="662" t="str">
        <f t="shared" si="238"/>
        <v>LTK</v>
      </c>
      <c r="AL2184" s="662" t="str">
        <f t="shared" si="239"/>
        <v>FRD</v>
      </c>
      <c r="AM2184" s="662" t="str">
        <f t="shared" si="235"/>
        <v>F150-Super Cab XL-2WD-6-8'-10700-3.5L EcoBoost-6-X1C-100A-163.7-23-Unleaded-Unleaded</v>
      </c>
      <c r="AN2184" s="662" t="str">
        <f t="shared" si="240"/>
        <v>2019-LTK-FRD-F150-063</v>
      </c>
    </row>
    <row r="2185" spans="1:40" s="572" customFormat="1" ht="15">
      <c r="A2185" s="570" t="s">
        <v>4029</v>
      </c>
      <c r="B2185" s="573" t="s">
        <v>4007</v>
      </c>
      <c r="C2185" s="573" t="s">
        <v>280</v>
      </c>
      <c r="D2185" s="578">
        <v>27</v>
      </c>
      <c r="E2185" s="573" t="s">
        <v>3374</v>
      </c>
      <c r="F2185" s="573" t="s">
        <v>152</v>
      </c>
      <c r="G2185" s="573" t="s">
        <v>271</v>
      </c>
      <c r="H2185" s="573">
        <v>2019</v>
      </c>
      <c r="I2185" s="573" t="s">
        <v>3765</v>
      </c>
      <c r="J2185" s="573" t="s">
        <v>3996</v>
      </c>
      <c r="K2185" s="573" t="s">
        <v>3377</v>
      </c>
      <c r="L2185" s="573">
        <v>6</v>
      </c>
      <c r="M2185" s="573">
        <v>0</v>
      </c>
      <c r="N2185" s="573" t="s">
        <v>157</v>
      </c>
      <c r="O2185" s="573">
        <v>2</v>
      </c>
      <c r="P2185" s="573" t="s">
        <v>3846</v>
      </c>
      <c r="Q2185" s="571">
        <v>7600</v>
      </c>
      <c r="R2185" s="573" t="s">
        <v>3841</v>
      </c>
      <c r="S2185" s="573">
        <v>6</v>
      </c>
      <c r="T2185" s="573" t="s">
        <v>3997</v>
      </c>
      <c r="U2185" s="573" t="s">
        <v>276</v>
      </c>
      <c r="V2185" s="573">
        <v>163.69999999999999</v>
      </c>
      <c r="W2185" s="573">
        <v>23</v>
      </c>
      <c r="X2185" s="571">
        <v>6500</v>
      </c>
      <c r="Y2185" s="573">
        <v>22</v>
      </c>
      <c r="Z2185" s="579" t="s">
        <v>178</v>
      </c>
      <c r="AA2185" s="579" t="s">
        <v>178</v>
      </c>
      <c r="AB2185" s="584">
        <v>35040</v>
      </c>
      <c r="AC2185" s="584" t="s">
        <v>164</v>
      </c>
      <c r="AD2185" s="584">
        <v>23912.294736842108</v>
      </c>
      <c r="AE2185" s="586">
        <v>0.03</v>
      </c>
      <c r="AF2185" s="661" t="str">
        <f t="shared" si="241"/>
        <v>2019-LTK-FRD-F150-064-27</v>
      </c>
      <c r="AG2185" s="661" t="str">
        <f>IF(AND($Y2185&gt;=32,(AI2185="I"),(Y2185&lt;&gt;"~"),(COUNTIF($AN$1:$AN2185,$AN2185)=1)),"TRUE","FALSE")</f>
        <v>FALSE</v>
      </c>
      <c r="AH2185" s="661" t="str">
        <f>IF(AND($Y2185&gt;=22, (AI2185&lt;&gt;"I"),(Y2185&lt;&gt;"~"),(COUNTIF($AN$1:$AN2185,$AN2185)=1)),"TRUE","FALSE")</f>
        <v>FALSE</v>
      </c>
      <c r="AI2185" s="661" t="str">
        <f t="shared" si="236"/>
        <v>II</v>
      </c>
      <c r="AJ2185" s="662" t="str">
        <f t="shared" si="237"/>
        <v>F150-064</v>
      </c>
      <c r="AK2185" s="662" t="str">
        <f t="shared" si="238"/>
        <v>LTK</v>
      </c>
      <c r="AL2185" s="662" t="str">
        <f t="shared" si="239"/>
        <v>FRD</v>
      </c>
      <c r="AM2185" s="662" t="str">
        <f t="shared" si="235"/>
        <v>F150-Super Cab XL-2WD-6-8'-7600-2.7L EcoBoost-6-X1C-100A-163.7-23-Unleaded-Unleaded</v>
      </c>
      <c r="AN2185" s="662" t="str">
        <f t="shared" si="240"/>
        <v>2019-LTK-FRD-F150-064</v>
      </c>
    </row>
    <row r="2186" spans="1:40" s="572" customFormat="1" ht="15">
      <c r="A2186" s="570" t="s">
        <v>4030</v>
      </c>
      <c r="B2186" s="569" t="s">
        <v>4009</v>
      </c>
      <c r="C2186" s="569" t="s">
        <v>280</v>
      </c>
      <c r="D2186" s="580">
        <v>27</v>
      </c>
      <c r="E2186" s="569" t="s">
        <v>3374</v>
      </c>
      <c r="F2186" s="569" t="s">
        <v>152</v>
      </c>
      <c r="G2186" s="569" t="s">
        <v>271</v>
      </c>
      <c r="H2186" s="569">
        <v>2019</v>
      </c>
      <c r="I2186" s="569" t="s">
        <v>3765</v>
      </c>
      <c r="J2186" s="569" t="s">
        <v>3996</v>
      </c>
      <c r="K2186" s="569" t="s">
        <v>3377</v>
      </c>
      <c r="L2186" s="569">
        <v>6</v>
      </c>
      <c r="M2186" s="569">
        <v>0</v>
      </c>
      <c r="N2186" s="569" t="s">
        <v>157</v>
      </c>
      <c r="O2186" s="569">
        <v>2</v>
      </c>
      <c r="P2186" s="569" t="s">
        <v>3846</v>
      </c>
      <c r="Q2186" s="568">
        <v>9200</v>
      </c>
      <c r="R2186" s="569" t="s">
        <v>3778</v>
      </c>
      <c r="S2186" s="569">
        <v>8</v>
      </c>
      <c r="T2186" s="569" t="s">
        <v>3997</v>
      </c>
      <c r="U2186" s="569" t="s">
        <v>276</v>
      </c>
      <c r="V2186" s="569">
        <v>163.69999999999999</v>
      </c>
      <c r="W2186" s="569">
        <v>23</v>
      </c>
      <c r="X2186" s="568">
        <v>7000</v>
      </c>
      <c r="Y2186" s="569">
        <v>19</v>
      </c>
      <c r="Z2186" s="581" t="s">
        <v>450</v>
      </c>
      <c r="AA2186" s="581" t="s">
        <v>178</v>
      </c>
      <c r="AB2186" s="585">
        <v>36040</v>
      </c>
      <c r="AC2186" s="585" t="s">
        <v>164</v>
      </c>
      <c r="AD2186" s="585">
        <v>24809.136842105265</v>
      </c>
      <c r="AE2186" s="587">
        <v>0.03</v>
      </c>
      <c r="AF2186" s="661" t="str">
        <f t="shared" si="241"/>
        <v>2019-LTK-FRD-F150-065-27</v>
      </c>
      <c r="AG2186" s="661" t="str">
        <f>IF(AND($Y2186&gt;=32,(AI2186="I"),(Y2186&lt;&gt;"~"),(COUNTIF($AN$1:$AN2186,$AN2186)=1)),"TRUE","FALSE")</f>
        <v>FALSE</v>
      </c>
      <c r="AH2186" s="661" t="str">
        <f>IF(AND($Y2186&gt;=22, (AI2186&lt;&gt;"I"),(Y2186&lt;&gt;"~"),(COUNTIF($AN$1:$AN2186,$AN2186)=1)),"TRUE","FALSE")</f>
        <v>FALSE</v>
      </c>
      <c r="AI2186" s="661" t="str">
        <f t="shared" si="236"/>
        <v>II</v>
      </c>
      <c r="AJ2186" s="662" t="str">
        <f t="shared" si="237"/>
        <v>F150-065</v>
      </c>
      <c r="AK2186" s="662" t="str">
        <f t="shared" si="238"/>
        <v>LTK</v>
      </c>
      <c r="AL2186" s="662" t="str">
        <f t="shared" si="239"/>
        <v>FRD</v>
      </c>
      <c r="AM2186" s="662" t="str">
        <f t="shared" si="235"/>
        <v>F150-Super Cab XL-2WD-6-8'-9200-5.0L FFV-8-X1C-100A-163.7-23-E85-Unleaded</v>
      </c>
      <c r="AN2186" s="662" t="str">
        <f t="shared" si="240"/>
        <v>2019-LTK-FRD-F150-065</v>
      </c>
    </row>
    <row r="2187" spans="1:40" s="572" customFormat="1" ht="15">
      <c r="A2187" s="570" t="s">
        <v>4031</v>
      </c>
      <c r="B2187" s="573" t="s">
        <v>4032</v>
      </c>
      <c r="C2187" s="573" t="s">
        <v>269</v>
      </c>
      <c r="D2187" s="578" t="s">
        <v>270</v>
      </c>
      <c r="E2187" s="573" t="s">
        <v>3374</v>
      </c>
      <c r="F2187" s="573" t="s">
        <v>152</v>
      </c>
      <c r="G2187" s="573" t="s">
        <v>271</v>
      </c>
      <c r="H2187" s="573">
        <v>2019</v>
      </c>
      <c r="I2187" s="573" t="s">
        <v>3765</v>
      </c>
      <c r="J2187" s="573" t="s">
        <v>3996</v>
      </c>
      <c r="K2187" s="573" t="s">
        <v>752</v>
      </c>
      <c r="L2187" s="573">
        <v>3</v>
      </c>
      <c r="M2187" s="573">
        <v>0</v>
      </c>
      <c r="N2187" s="573" t="s">
        <v>157</v>
      </c>
      <c r="O2187" s="573">
        <v>1</v>
      </c>
      <c r="P2187" s="573" t="s">
        <v>3781</v>
      </c>
      <c r="Q2187" s="571">
        <v>10700</v>
      </c>
      <c r="R2187" s="573" t="s">
        <v>1259</v>
      </c>
      <c r="S2187" s="573">
        <v>6</v>
      </c>
      <c r="T2187" s="573" t="s">
        <v>4033</v>
      </c>
      <c r="U2187" s="573" t="s">
        <v>276</v>
      </c>
      <c r="V2187" s="573">
        <v>145</v>
      </c>
      <c r="W2187" s="573">
        <v>23</v>
      </c>
      <c r="X2187" s="571">
        <v>7000</v>
      </c>
      <c r="Y2187" s="573">
        <v>19</v>
      </c>
      <c r="Z2187" s="579" t="s">
        <v>178</v>
      </c>
      <c r="AA2187" s="579" t="s">
        <v>178</v>
      </c>
      <c r="AB2187" s="584">
        <v>39760</v>
      </c>
      <c r="AC2187" s="584" t="s">
        <v>164</v>
      </c>
      <c r="AD2187" s="584">
        <v>28215.452631578948</v>
      </c>
      <c r="AE2187" s="586">
        <v>0.03</v>
      </c>
      <c r="AF2187" s="661" t="str">
        <f t="shared" si="241"/>
        <v>2019-LTK-FRD-F150-066-05</v>
      </c>
      <c r="AG2187" s="661" t="str">
        <f>IF(AND($Y2187&gt;=32,(AI2187="I"),(Y2187&lt;&gt;"~"),(COUNTIF($AN$1:$AN2187,$AN2187)=1)),"TRUE","FALSE")</f>
        <v>FALSE</v>
      </c>
      <c r="AH2187" s="661" t="str">
        <f>IF(AND($Y2187&gt;=22, (AI2187&lt;&gt;"I"),(Y2187&lt;&gt;"~"),(COUNTIF($AN$1:$AN2187,$AN2187)=1)),"TRUE","FALSE")</f>
        <v>FALSE</v>
      </c>
      <c r="AI2187" s="661" t="str">
        <f t="shared" si="236"/>
        <v>II</v>
      </c>
      <c r="AJ2187" s="662" t="str">
        <f t="shared" si="237"/>
        <v>F150-066</v>
      </c>
      <c r="AK2187" s="662" t="str">
        <f t="shared" si="238"/>
        <v>LTK</v>
      </c>
      <c r="AL2187" s="662" t="str">
        <f t="shared" si="239"/>
        <v>FRD</v>
      </c>
      <c r="AM2187" s="662" t="str">
        <f t="shared" si="235"/>
        <v>F150-Super Cab XL-4WD-3-6'5"-10700-3.5L EcoBoost-6-X1E-100A-145-23-Unleaded-Unleaded</v>
      </c>
      <c r="AN2187" s="662" t="str">
        <f t="shared" si="240"/>
        <v>2019-LTK-FRD-F150-066</v>
      </c>
    </row>
    <row r="2188" spans="1:40" s="572" customFormat="1" ht="15">
      <c r="A2188" s="570" t="s">
        <v>4034</v>
      </c>
      <c r="B2188" s="569" t="s">
        <v>4035</v>
      </c>
      <c r="C2188" s="569" t="s">
        <v>269</v>
      </c>
      <c r="D2188" s="580" t="s">
        <v>270</v>
      </c>
      <c r="E2188" s="569" t="s">
        <v>3374</v>
      </c>
      <c r="F2188" s="569" t="s">
        <v>152</v>
      </c>
      <c r="G2188" s="569" t="s">
        <v>271</v>
      </c>
      <c r="H2188" s="569">
        <v>2019</v>
      </c>
      <c r="I2188" s="569" t="s">
        <v>3765</v>
      </c>
      <c r="J2188" s="569" t="s">
        <v>3996</v>
      </c>
      <c r="K2188" s="569" t="s">
        <v>752</v>
      </c>
      <c r="L2188" s="569">
        <v>3</v>
      </c>
      <c r="M2188" s="569">
        <v>0</v>
      </c>
      <c r="N2188" s="569" t="s">
        <v>157</v>
      </c>
      <c r="O2188" s="569">
        <v>1</v>
      </c>
      <c r="P2188" s="569" t="s">
        <v>3781</v>
      </c>
      <c r="Q2188" s="568">
        <v>7200</v>
      </c>
      <c r="R2188" s="569" t="s">
        <v>3772</v>
      </c>
      <c r="S2188" s="569">
        <v>6</v>
      </c>
      <c r="T2188" s="569" t="s">
        <v>4033</v>
      </c>
      <c r="U2188" s="569" t="s">
        <v>276</v>
      </c>
      <c r="V2188" s="569">
        <v>145</v>
      </c>
      <c r="W2188" s="569">
        <v>23</v>
      </c>
      <c r="X2188" s="568">
        <v>6300</v>
      </c>
      <c r="Y2188" s="569">
        <v>19</v>
      </c>
      <c r="Z2188" s="581" t="s">
        <v>450</v>
      </c>
      <c r="AA2188" s="581" t="s">
        <v>178</v>
      </c>
      <c r="AB2188" s="585">
        <v>37165</v>
      </c>
      <c r="AC2188" s="585" t="s">
        <v>164</v>
      </c>
      <c r="AD2188" s="585">
        <v>25885.978947368421</v>
      </c>
      <c r="AE2188" s="587">
        <v>0.03</v>
      </c>
      <c r="AF2188" s="661" t="str">
        <f t="shared" si="241"/>
        <v>2019-LTK-FRD-F150-067-05</v>
      </c>
      <c r="AG2188" s="661" t="str">
        <f>IF(AND($Y2188&gt;=32,(AI2188="I"),(Y2188&lt;&gt;"~"),(COUNTIF($AN$1:$AN2188,$AN2188)=1)),"TRUE","FALSE")</f>
        <v>FALSE</v>
      </c>
      <c r="AH2188" s="661" t="str">
        <f>IF(AND($Y2188&gt;=22, (AI2188&lt;&gt;"I"),(Y2188&lt;&gt;"~"),(COUNTIF($AN$1:$AN2188,$AN2188)=1)),"TRUE","FALSE")</f>
        <v>FALSE</v>
      </c>
      <c r="AI2188" s="661" t="str">
        <f t="shared" si="236"/>
        <v>II</v>
      </c>
      <c r="AJ2188" s="662" t="str">
        <f t="shared" si="237"/>
        <v>F150-067</v>
      </c>
      <c r="AK2188" s="662" t="str">
        <f t="shared" si="238"/>
        <v>LTK</v>
      </c>
      <c r="AL2188" s="662" t="str">
        <f t="shared" si="239"/>
        <v>FRD</v>
      </c>
      <c r="AM2188" s="662" t="str">
        <f t="shared" si="235"/>
        <v>F150-Super Cab XL-4WD-3-6'5"-7200-3.3L FFV-6-X1E-100A-145-23-E85-Unleaded</v>
      </c>
      <c r="AN2188" s="662" t="str">
        <f t="shared" si="240"/>
        <v>2019-LTK-FRD-F150-067</v>
      </c>
    </row>
    <row r="2189" spans="1:40" s="572" customFormat="1" ht="15">
      <c r="A2189" s="570" t="s">
        <v>4036</v>
      </c>
      <c r="B2189" s="573" t="s">
        <v>4037</v>
      </c>
      <c r="C2189" s="573" t="s">
        <v>269</v>
      </c>
      <c r="D2189" s="578" t="s">
        <v>270</v>
      </c>
      <c r="E2189" s="573" t="s">
        <v>3374</v>
      </c>
      <c r="F2189" s="573" t="s">
        <v>152</v>
      </c>
      <c r="G2189" s="573" t="s">
        <v>271</v>
      </c>
      <c r="H2189" s="573">
        <v>2019</v>
      </c>
      <c r="I2189" s="573" t="s">
        <v>3765</v>
      </c>
      <c r="J2189" s="573" t="s">
        <v>3996</v>
      </c>
      <c r="K2189" s="573" t="s">
        <v>752</v>
      </c>
      <c r="L2189" s="573">
        <v>3</v>
      </c>
      <c r="M2189" s="573">
        <v>0</v>
      </c>
      <c r="N2189" s="573" t="s">
        <v>157</v>
      </c>
      <c r="O2189" s="573">
        <v>1</v>
      </c>
      <c r="P2189" s="573" t="s">
        <v>3781</v>
      </c>
      <c r="Q2189" s="571">
        <v>7600</v>
      </c>
      <c r="R2189" s="573" t="s">
        <v>3768</v>
      </c>
      <c r="S2189" s="573">
        <v>6</v>
      </c>
      <c r="T2189" s="573" t="s">
        <v>4033</v>
      </c>
      <c r="U2189" s="573" t="s">
        <v>276</v>
      </c>
      <c r="V2189" s="573">
        <v>145</v>
      </c>
      <c r="W2189" s="573">
        <v>23</v>
      </c>
      <c r="X2189" s="571">
        <v>6800</v>
      </c>
      <c r="Y2189" s="573">
        <v>21</v>
      </c>
      <c r="Z2189" s="579" t="s">
        <v>178</v>
      </c>
      <c r="AA2189" s="579" t="s">
        <v>178</v>
      </c>
      <c r="AB2189" s="584">
        <v>38160</v>
      </c>
      <c r="AC2189" s="584" t="s">
        <v>164</v>
      </c>
      <c r="AD2189" s="584">
        <v>26779.663157894738</v>
      </c>
      <c r="AE2189" s="586">
        <v>0.03</v>
      </c>
      <c r="AF2189" s="661" t="str">
        <f t="shared" si="241"/>
        <v>2019-LTK-FRD-F150-068-05</v>
      </c>
      <c r="AG2189" s="661" t="str">
        <f>IF(AND($Y2189&gt;=32,(AI2189="I"),(Y2189&lt;&gt;"~"),(COUNTIF($AN$1:$AN2189,$AN2189)=1)),"TRUE","FALSE")</f>
        <v>FALSE</v>
      </c>
      <c r="AH2189" s="661" t="str">
        <f>IF(AND($Y2189&gt;=22, (AI2189&lt;&gt;"I"),(Y2189&lt;&gt;"~"),(COUNTIF($AN$1:$AN2189,$AN2189)=1)),"TRUE","FALSE")</f>
        <v>FALSE</v>
      </c>
      <c r="AI2189" s="661" t="str">
        <f t="shared" si="236"/>
        <v>II</v>
      </c>
      <c r="AJ2189" s="662" t="str">
        <f t="shared" si="237"/>
        <v>F150-068</v>
      </c>
      <c r="AK2189" s="662" t="str">
        <f t="shared" si="238"/>
        <v>LTK</v>
      </c>
      <c r="AL2189" s="662" t="str">
        <f t="shared" si="239"/>
        <v>FRD</v>
      </c>
      <c r="AM2189" s="662" t="str">
        <f t="shared" si="235"/>
        <v>F150-Super Cab XL-4WD-3-6'5"-7600-2.7L EcoBoost -6-X1E-100A-145-23-Unleaded-Unleaded</v>
      </c>
      <c r="AN2189" s="662" t="str">
        <f t="shared" si="240"/>
        <v>2019-LTK-FRD-F150-068</v>
      </c>
    </row>
    <row r="2190" spans="1:40" s="572" customFormat="1" ht="15">
      <c r="A2190" s="570" t="s">
        <v>4038</v>
      </c>
      <c r="B2190" s="569" t="s">
        <v>4039</v>
      </c>
      <c r="C2190" s="569" t="s">
        <v>269</v>
      </c>
      <c r="D2190" s="580" t="s">
        <v>270</v>
      </c>
      <c r="E2190" s="569" t="s">
        <v>3374</v>
      </c>
      <c r="F2190" s="569" t="s">
        <v>152</v>
      </c>
      <c r="G2190" s="569" t="s">
        <v>271</v>
      </c>
      <c r="H2190" s="569">
        <v>2019</v>
      </c>
      <c r="I2190" s="569" t="s">
        <v>3765</v>
      </c>
      <c r="J2190" s="569" t="s">
        <v>3996</v>
      </c>
      <c r="K2190" s="569" t="s">
        <v>752</v>
      </c>
      <c r="L2190" s="569">
        <v>6</v>
      </c>
      <c r="M2190" s="569">
        <v>0</v>
      </c>
      <c r="N2190" s="569" t="s">
        <v>157</v>
      </c>
      <c r="O2190" s="569">
        <v>2</v>
      </c>
      <c r="P2190" s="569" t="s">
        <v>3781</v>
      </c>
      <c r="Q2190" s="568">
        <v>7600</v>
      </c>
      <c r="R2190" s="569" t="s">
        <v>3768</v>
      </c>
      <c r="S2190" s="569">
        <v>6</v>
      </c>
      <c r="T2190" s="569" t="s">
        <v>4033</v>
      </c>
      <c r="U2190" s="569" t="s">
        <v>276</v>
      </c>
      <c r="V2190" s="569">
        <v>145</v>
      </c>
      <c r="W2190" s="569">
        <v>23</v>
      </c>
      <c r="X2190" s="568">
        <v>6800</v>
      </c>
      <c r="Y2190" s="569">
        <v>21</v>
      </c>
      <c r="Z2190" s="581" t="s">
        <v>178</v>
      </c>
      <c r="AA2190" s="581" t="s">
        <v>178</v>
      </c>
      <c r="AB2190" s="585">
        <v>38160</v>
      </c>
      <c r="AC2190" s="585" t="s">
        <v>164</v>
      </c>
      <c r="AD2190" s="585">
        <v>26779.663157894738</v>
      </c>
      <c r="AE2190" s="587">
        <v>0.03</v>
      </c>
      <c r="AF2190" s="661" t="str">
        <f t="shared" si="241"/>
        <v>2019-LTK-FRD-F150-074-05</v>
      </c>
      <c r="AG2190" s="661" t="str">
        <f>IF(AND($Y2190&gt;=32,(AI2190="I"),(Y2190&lt;&gt;"~"),(COUNTIF($AN$1:$AN2190,$AN2190)=1)),"TRUE","FALSE")</f>
        <v>FALSE</v>
      </c>
      <c r="AH2190" s="661" t="str">
        <f>IF(AND($Y2190&gt;=22, (AI2190&lt;&gt;"I"),(Y2190&lt;&gt;"~"),(COUNTIF($AN$1:$AN2190,$AN2190)=1)),"TRUE","FALSE")</f>
        <v>FALSE</v>
      </c>
      <c r="AI2190" s="661" t="str">
        <f t="shared" si="236"/>
        <v>II</v>
      </c>
      <c r="AJ2190" s="662" t="str">
        <f t="shared" si="237"/>
        <v>F150-074</v>
      </c>
      <c r="AK2190" s="662" t="str">
        <f t="shared" si="238"/>
        <v>LTK</v>
      </c>
      <c r="AL2190" s="662" t="str">
        <f t="shared" si="239"/>
        <v>FRD</v>
      </c>
      <c r="AM2190" s="662" t="str">
        <f t="shared" si="235"/>
        <v>F150-Super Cab XL-4WD-6-6'5"-7600-2.7L EcoBoost -6-X1E-100A-145-23-Unleaded-Unleaded</v>
      </c>
      <c r="AN2190" s="662" t="str">
        <f t="shared" si="240"/>
        <v>2019-LTK-FRD-F150-074</v>
      </c>
    </row>
    <row r="2191" spans="1:40" s="572" customFormat="1" ht="15">
      <c r="A2191" s="570" t="s">
        <v>4040</v>
      </c>
      <c r="B2191" s="573" t="s">
        <v>4041</v>
      </c>
      <c r="C2191" s="573" t="s">
        <v>269</v>
      </c>
      <c r="D2191" s="578" t="s">
        <v>270</v>
      </c>
      <c r="E2191" s="573" t="s">
        <v>3374</v>
      </c>
      <c r="F2191" s="573" t="s">
        <v>152</v>
      </c>
      <c r="G2191" s="573" t="s">
        <v>271</v>
      </c>
      <c r="H2191" s="573">
        <v>2019</v>
      </c>
      <c r="I2191" s="573" t="s">
        <v>3765</v>
      </c>
      <c r="J2191" s="573" t="s">
        <v>3996</v>
      </c>
      <c r="K2191" s="573" t="s">
        <v>752</v>
      </c>
      <c r="L2191" s="573">
        <v>6</v>
      </c>
      <c r="M2191" s="573">
        <v>0</v>
      </c>
      <c r="N2191" s="573" t="s">
        <v>157</v>
      </c>
      <c r="O2191" s="573">
        <v>2</v>
      </c>
      <c r="P2191" s="573" t="s">
        <v>3781</v>
      </c>
      <c r="Q2191" s="571">
        <v>9700</v>
      </c>
      <c r="R2191" s="573" t="s">
        <v>3778</v>
      </c>
      <c r="S2191" s="573">
        <v>8</v>
      </c>
      <c r="T2191" s="573" t="s">
        <v>4033</v>
      </c>
      <c r="U2191" s="573" t="s">
        <v>276</v>
      </c>
      <c r="V2191" s="573">
        <v>145</v>
      </c>
      <c r="W2191" s="573">
        <v>23</v>
      </c>
      <c r="X2191" s="571">
        <v>6800</v>
      </c>
      <c r="Y2191" s="573">
        <v>18</v>
      </c>
      <c r="Z2191" s="579" t="s">
        <v>450</v>
      </c>
      <c r="AA2191" s="579" t="s">
        <v>178</v>
      </c>
      <c r="AB2191" s="584">
        <v>39160</v>
      </c>
      <c r="AC2191" s="584" t="s">
        <v>164</v>
      </c>
      <c r="AD2191" s="584">
        <v>27676.505263157895</v>
      </c>
      <c r="AE2191" s="586">
        <v>0.03</v>
      </c>
      <c r="AF2191" s="661" t="str">
        <f t="shared" si="241"/>
        <v>2019-LTK-FRD-F150-076-05</v>
      </c>
      <c r="AG2191" s="661" t="str">
        <f>IF(AND($Y2191&gt;=32,(AI2191="I"),(Y2191&lt;&gt;"~"),(COUNTIF($AN$1:$AN2191,$AN2191)=1)),"TRUE","FALSE")</f>
        <v>FALSE</v>
      </c>
      <c r="AH2191" s="661" t="str">
        <f>IF(AND($Y2191&gt;=22, (AI2191&lt;&gt;"I"),(Y2191&lt;&gt;"~"),(COUNTIF($AN$1:$AN2191,$AN2191)=1)),"TRUE","FALSE")</f>
        <v>FALSE</v>
      </c>
      <c r="AI2191" s="661" t="str">
        <f t="shared" si="236"/>
        <v>II</v>
      </c>
      <c r="AJ2191" s="662" t="str">
        <f t="shared" si="237"/>
        <v>F150-076</v>
      </c>
      <c r="AK2191" s="662" t="str">
        <f t="shared" si="238"/>
        <v>LTK</v>
      </c>
      <c r="AL2191" s="662" t="str">
        <f t="shared" si="239"/>
        <v>FRD</v>
      </c>
      <c r="AM2191" s="662" t="str">
        <f t="shared" si="235"/>
        <v>F150-Super Cab XL-4WD-6-6'5"-9700-5.0L FFV-8-X1E-100A-145-23-E85-Unleaded</v>
      </c>
      <c r="AN2191" s="662" t="str">
        <f t="shared" si="240"/>
        <v>2019-LTK-FRD-F150-076</v>
      </c>
    </row>
    <row r="2192" spans="1:40" s="572" customFormat="1" ht="15">
      <c r="A2192" s="570" t="s">
        <v>4042</v>
      </c>
      <c r="B2192" s="569" t="s">
        <v>4043</v>
      </c>
      <c r="C2192" s="569" t="s">
        <v>269</v>
      </c>
      <c r="D2192" s="580" t="s">
        <v>270</v>
      </c>
      <c r="E2192" s="569" t="s">
        <v>3374</v>
      </c>
      <c r="F2192" s="569" t="s">
        <v>152</v>
      </c>
      <c r="G2192" s="569" t="s">
        <v>271</v>
      </c>
      <c r="H2192" s="569">
        <v>2019</v>
      </c>
      <c r="I2192" s="569" t="s">
        <v>3765</v>
      </c>
      <c r="J2192" s="569" t="s">
        <v>3996</v>
      </c>
      <c r="K2192" s="569" t="s">
        <v>752</v>
      </c>
      <c r="L2192" s="569">
        <v>6</v>
      </c>
      <c r="M2192" s="569">
        <v>0</v>
      </c>
      <c r="N2192" s="569" t="s">
        <v>157</v>
      </c>
      <c r="O2192" s="569">
        <v>2</v>
      </c>
      <c r="P2192" s="569" t="s">
        <v>3846</v>
      </c>
      <c r="Q2192" s="568">
        <v>10800</v>
      </c>
      <c r="R2192" s="569" t="s">
        <v>1259</v>
      </c>
      <c r="S2192" s="569">
        <v>6</v>
      </c>
      <c r="T2192" s="569" t="s">
        <v>4033</v>
      </c>
      <c r="U2192" s="569" t="s">
        <v>276</v>
      </c>
      <c r="V2192" s="569">
        <v>163.69999999999999</v>
      </c>
      <c r="W2192" s="569">
        <v>23</v>
      </c>
      <c r="X2192" s="568">
        <v>7050</v>
      </c>
      <c r="Y2192" s="569">
        <v>19</v>
      </c>
      <c r="Z2192" s="581" t="s">
        <v>178</v>
      </c>
      <c r="AA2192" s="581" t="s">
        <v>178</v>
      </c>
      <c r="AB2192" s="585">
        <v>37165</v>
      </c>
      <c r="AC2192" s="585" t="s">
        <v>164</v>
      </c>
      <c r="AD2192" s="585">
        <v>28518.610526315792</v>
      </c>
      <c r="AE2192" s="587">
        <v>0.03</v>
      </c>
      <c r="AF2192" s="661" t="str">
        <f t="shared" si="241"/>
        <v>2019-LTK-FRD-F150-077-05</v>
      </c>
      <c r="AG2192" s="661" t="str">
        <f>IF(AND($Y2192&gt;=32,(AI2192="I"),(Y2192&lt;&gt;"~"),(COUNTIF($AN$1:$AN2192,$AN2192)=1)),"TRUE","FALSE")</f>
        <v>FALSE</v>
      </c>
      <c r="AH2192" s="661" t="str">
        <f>IF(AND($Y2192&gt;=22, (AI2192&lt;&gt;"I"),(Y2192&lt;&gt;"~"),(COUNTIF($AN$1:$AN2192,$AN2192)=1)),"TRUE","FALSE")</f>
        <v>FALSE</v>
      </c>
      <c r="AI2192" s="661" t="str">
        <f t="shared" si="236"/>
        <v>II</v>
      </c>
      <c r="AJ2192" s="662" t="str">
        <f t="shared" si="237"/>
        <v>F150-077</v>
      </c>
      <c r="AK2192" s="662" t="str">
        <f t="shared" si="238"/>
        <v>LTK</v>
      </c>
      <c r="AL2192" s="662" t="str">
        <f t="shared" si="239"/>
        <v>FRD</v>
      </c>
      <c r="AM2192" s="662" t="str">
        <f t="shared" si="235"/>
        <v>F150-Super Cab XL-4WD-6-8'-10800-3.5L EcoBoost-6-X1E-100A-163.7-23-Unleaded-Unleaded</v>
      </c>
      <c r="AN2192" s="662" t="str">
        <f t="shared" si="240"/>
        <v>2019-LTK-FRD-F150-077</v>
      </c>
    </row>
    <row r="2193" spans="1:40" s="572" customFormat="1" ht="15">
      <c r="A2193" s="570" t="s">
        <v>4044</v>
      </c>
      <c r="B2193" s="573" t="s">
        <v>4045</v>
      </c>
      <c r="C2193" s="573" t="s">
        <v>269</v>
      </c>
      <c r="D2193" s="578" t="s">
        <v>270</v>
      </c>
      <c r="E2193" s="573" t="s">
        <v>3374</v>
      </c>
      <c r="F2193" s="573" t="s">
        <v>152</v>
      </c>
      <c r="G2193" s="573" t="s">
        <v>271</v>
      </c>
      <c r="H2193" s="573">
        <v>2019</v>
      </c>
      <c r="I2193" s="573" t="s">
        <v>3765</v>
      </c>
      <c r="J2193" s="573" t="s">
        <v>3996</v>
      </c>
      <c r="K2193" s="573" t="s">
        <v>752</v>
      </c>
      <c r="L2193" s="573">
        <v>6</v>
      </c>
      <c r="M2193" s="573">
        <v>0</v>
      </c>
      <c r="N2193" s="573" t="s">
        <v>157</v>
      </c>
      <c r="O2193" s="573">
        <v>2</v>
      </c>
      <c r="P2193" s="573" t="s">
        <v>3846</v>
      </c>
      <c r="Q2193" s="571">
        <v>9000</v>
      </c>
      <c r="R2193" s="573" t="s">
        <v>3778</v>
      </c>
      <c r="S2193" s="573">
        <v>8</v>
      </c>
      <c r="T2193" s="573" t="s">
        <v>4033</v>
      </c>
      <c r="U2193" s="573" t="s">
        <v>276</v>
      </c>
      <c r="V2193" s="573">
        <v>163.69999999999999</v>
      </c>
      <c r="W2193" s="573">
        <v>23</v>
      </c>
      <c r="X2193" s="571">
        <v>6950</v>
      </c>
      <c r="Y2193" s="573">
        <v>18</v>
      </c>
      <c r="Z2193" s="579" t="s">
        <v>450</v>
      </c>
      <c r="AA2193" s="579" t="s">
        <v>178</v>
      </c>
      <c r="AB2193" s="584">
        <v>39760</v>
      </c>
      <c r="AC2193" s="584" t="s">
        <v>164</v>
      </c>
      <c r="AD2193" s="584">
        <v>27980.715789473685</v>
      </c>
      <c r="AE2193" s="586">
        <v>0.03</v>
      </c>
      <c r="AF2193" s="661" t="str">
        <f t="shared" si="241"/>
        <v>2019-LTK-FRD-F150-079-05</v>
      </c>
      <c r="AG2193" s="661" t="str">
        <f>IF(AND($Y2193&gt;=32,(AI2193="I"),(Y2193&lt;&gt;"~"),(COUNTIF($AN$1:$AN2193,$AN2193)=1)),"TRUE","FALSE")</f>
        <v>FALSE</v>
      </c>
      <c r="AH2193" s="661" t="str">
        <f>IF(AND($Y2193&gt;=22, (AI2193&lt;&gt;"I"),(Y2193&lt;&gt;"~"),(COUNTIF($AN$1:$AN2193,$AN2193)=1)),"TRUE","FALSE")</f>
        <v>FALSE</v>
      </c>
      <c r="AI2193" s="661" t="str">
        <f t="shared" si="236"/>
        <v>II</v>
      </c>
      <c r="AJ2193" s="662" t="str">
        <f t="shared" si="237"/>
        <v>F150-079</v>
      </c>
      <c r="AK2193" s="662" t="str">
        <f t="shared" si="238"/>
        <v>LTK</v>
      </c>
      <c r="AL2193" s="662" t="str">
        <f t="shared" si="239"/>
        <v>FRD</v>
      </c>
      <c r="AM2193" s="662" t="str">
        <f t="shared" si="235"/>
        <v>F150-Super Cab XL-4WD-6-8'-9000-5.0L FFV-8-X1E-100A-163.7-23-E85-Unleaded</v>
      </c>
      <c r="AN2193" s="662" t="str">
        <f t="shared" si="240"/>
        <v>2019-LTK-FRD-F150-079</v>
      </c>
    </row>
    <row r="2194" spans="1:40" s="572" customFormat="1" ht="15">
      <c r="A2194" s="570" t="s">
        <v>4046</v>
      </c>
      <c r="B2194" s="569" t="s">
        <v>4047</v>
      </c>
      <c r="C2194" s="569" t="s">
        <v>278</v>
      </c>
      <c r="D2194" s="580">
        <v>15</v>
      </c>
      <c r="E2194" s="569" t="s">
        <v>3374</v>
      </c>
      <c r="F2194" s="569" t="s">
        <v>152</v>
      </c>
      <c r="G2194" s="569" t="s">
        <v>271</v>
      </c>
      <c r="H2194" s="569">
        <v>2019</v>
      </c>
      <c r="I2194" s="569" t="s">
        <v>3765</v>
      </c>
      <c r="J2194" s="569" t="s">
        <v>3996</v>
      </c>
      <c r="K2194" s="569" t="s">
        <v>752</v>
      </c>
      <c r="L2194" s="569">
        <v>6</v>
      </c>
      <c r="M2194" s="569">
        <v>0</v>
      </c>
      <c r="N2194" s="569" t="s">
        <v>157</v>
      </c>
      <c r="O2194" s="569">
        <v>2</v>
      </c>
      <c r="P2194" s="569" t="s">
        <v>3781</v>
      </c>
      <c r="Q2194" s="568">
        <v>10700</v>
      </c>
      <c r="R2194" s="569" t="s">
        <v>1259</v>
      </c>
      <c r="S2194" s="569">
        <v>6</v>
      </c>
      <c r="T2194" s="569" t="s">
        <v>4033</v>
      </c>
      <c r="U2194" s="569" t="s">
        <v>276</v>
      </c>
      <c r="V2194" s="569">
        <v>145</v>
      </c>
      <c r="W2194" s="569">
        <v>23</v>
      </c>
      <c r="X2194" s="568">
        <v>7000</v>
      </c>
      <c r="Y2194" s="569">
        <v>19</v>
      </c>
      <c r="Z2194" s="581" t="s">
        <v>178</v>
      </c>
      <c r="AA2194" s="581" t="s">
        <v>178</v>
      </c>
      <c r="AB2194" s="585">
        <v>39760</v>
      </c>
      <c r="AC2194" s="585" t="s">
        <v>164</v>
      </c>
      <c r="AD2194" s="585">
        <v>28300</v>
      </c>
      <c r="AE2194" s="587">
        <v>0.01</v>
      </c>
      <c r="AF2194" s="661" t="str">
        <f t="shared" si="241"/>
        <v>2019-LTK-FRD-F150-072-15</v>
      </c>
      <c r="AG2194" s="661" t="str">
        <f>IF(AND($Y2194&gt;=32,(AI2194="I"),(Y2194&lt;&gt;"~"),(COUNTIF($AN$1:$AN2194,$AN2194)=1)),"TRUE","FALSE")</f>
        <v>FALSE</v>
      </c>
      <c r="AH2194" s="661" t="str">
        <f>IF(AND($Y2194&gt;=22, (AI2194&lt;&gt;"I"),(Y2194&lt;&gt;"~"),(COUNTIF($AN$1:$AN2194,$AN2194)=1)),"TRUE","FALSE")</f>
        <v>FALSE</v>
      </c>
      <c r="AI2194" s="661" t="str">
        <f t="shared" si="236"/>
        <v>II</v>
      </c>
      <c r="AJ2194" s="662" t="str">
        <f t="shared" si="237"/>
        <v>F150-072</v>
      </c>
      <c r="AK2194" s="662" t="str">
        <f t="shared" si="238"/>
        <v>LTK</v>
      </c>
      <c r="AL2194" s="662" t="str">
        <f t="shared" si="239"/>
        <v>FRD</v>
      </c>
      <c r="AM2194" s="662" t="str">
        <f t="shared" si="235"/>
        <v>F150-Super Cab XL-4WD-6-6'5"-10700-3.5L EcoBoost-6-X1E-100A-145-23-Unleaded-Unleaded</v>
      </c>
      <c r="AN2194" s="662" t="str">
        <f t="shared" si="240"/>
        <v>2019-LTK-FRD-F150-072</v>
      </c>
    </row>
    <row r="2195" spans="1:40" s="572" customFormat="1" ht="15">
      <c r="A2195" s="570" t="s">
        <v>4048</v>
      </c>
      <c r="B2195" s="573" t="s">
        <v>4049</v>
      </c>
      <c r="C2195" s="573" t="s">
        <v>278</v>
      </c>
      <c r="D2195" s="578">
        <v>15</v>
      </c>
      <c r="E2195" s="573" t="s">
        <v>3374</v>
      </c>
      <c r="F2195" s="573" t="s">
        <v>152</v>
      </c>
      <c r="G2195" s="573" t="s">
        <v>271</v>
      </c>
      <c r="H2195" s="573">
        <v>2019</v>
      </c>
      <c r="I2195" s="573" t="s">
        <v>3765</v>
      </c>
      <c r="J2195" s="573" t="s">
        <v>3996</v>
      </c>
      <c r="K2195" s="573" t="s">
        <v>752</v>
      </c>
      <c r="L2195" s="573">
        <v>6</v>
      </c>
      <c r="M2195" s="573">
        <v>0</v>
      </c>
      <c r="N2195" s="573" t="s">
        <v>157</v>
      </c>
      <c r="O2195" s="573">
        <v>2</v>
      </c>
      <c r="P2195" s="573" t="s">
        <v>3781</v>
      </c>
      <c r="Q2195" s="571">
        <v>7200</v>
      </c>
      <c r="R2195" s="573" t="s">
        <v>3772</v>
      </c>
      <c r="S2195" s="573">
        <v>6</v>
      </c>
      <c r="T2195" s="573" t="s">
        <v>4033</v>
      </c>
      <c r="U2195" s="573" t="s">
        <v>276</v>
      </c>
      <c r="V2195" s="573">
        <v>145</v>
      </c>
      <c r="W2195" s="573">
        <v>23</v>
      </c>
      <c r="X2195" s="571">
        <v>6300</v>
      </c>
      <c r="Y2195" s="573">
        <v>19</v>
      </c>
      <c r="Z2195" s="579" t="s">
        <v>450</v>
      </c>
      <c r="AA2195" s="579" t="s">
        <v>178</v>
      </c>
      <c r="AB2195" s="584">
        <v>37165</v>
      </c>
      <c r="AC2195" s="584" t="s">
        <v>164</v>
      </c>
      <c r="AD2195" s="584">
        <v>25950</v>
      </c>
      <c r="AE2195" s="586">
        <v>0.01</v>
      </c>
      <c r="AF2195" s="661" t="str">
        <f t="shared" si="241"/>
        <v>2019-LTK-FRD-F150-073-15</v>
      </c>
      <c r="AG2195" s="661" t="str">
        <f>IF(AND($Y2195&gt;=32,(AI2195="I"),(Y2195&lt;&gt;"~"),(COUNTIF($AN$1:$AN2195,$AN2195)=1)),"TRUE","FALSE")</f>
        <v>FALSE</v>
      </c>
      <c r="AH2195" s="661" t="str">
        <f>IF(AND($Y2195&gt;=22, (AI2195&lt;&gt;"I"),(Y2195&lt;&gt;"~"),(COUNTIF($AN$1:$AN2195,$AN2195)=1)),"TRUE","FALSE")</f>
        <v>FALSE</v>
      </c>
      <c r="AI2195" s="661" t="str">
        <f t="shared" si="236"/>
        <v>II</v>
      </c>
      <c r="AJ2195" s="662" t="str">
        <f t="shared" si="237"/>
        <v>F150-073</v>
      </c>
      <c r="AK2195" s="662" t="str">
        <f t="shared" si="238"/>
        <v>LTK</v>
      </c>
      <c r="AL2195" s="662" t="str">
        <f t="shared" si="239"/>
        <v>FRD</v>
      </c>
      <c r="AM2195" s="662" t="str">
        <f t="shared" si="235"/>
        <v>F150-Super Cab XL-4WD-6-6'5"-7200-3.3L FFV-6-X1E-100A-145-23-E85-Unleaded</v>
      </c>
      <c r="AN2195" s="662" t="str">
        <f t="shared" si="240"/>
        <v>2019-LTK-FRD-F150-073</v>
      </c>
    </row>
    <row r="2196" spans="1:40" s="572" customFormat="1" ht="15">
      <c r="A2196" s="570" t="s">
        <v>4050</v>
      </c>
      <c r="B2196" s="569" t="s">
        <v>4039</v>
      </c>
      <c r="C2196" s="569" t="s">
        <v>278</v>
      </c>
      <c r="D2196" s="580">
        <v>15</v>
      </c>
      <c r="E2196" s="569" t="s">
        <v>3374</v>
      </c>
      <c r="F2196" s="569" t="s">
        <v>152</v>
      </c>
      <c r="G2196" s="569" t="s">
        <v>271</v>
      </c>
      <c r="H2196" s="569">
        <v>2019</v>
      </c>
      <c r="I2196" s="569" t="s">
        <v>3765</v>
      </c>
      <c r="J2196" s="569" t="s">
        <v>3996</v>
      </c>
      <c r="K2196" s="569" t="s">
        <v>752</v>
      </c>
      <c r="L2196" s="569">
        <v>6</v>
      </c>
      <c r="M2196" s="569">
        <v>0</v>
      </c>
      <c r="N2196" s="569" t="s">
        <v>157</v>
      </c>
      <c r="O2196" s="569">
        <v>2</v>
      </c>
      <c r="P2196" s="569" t="s">
        <v>3781</v>
      </c>
      <c r="Q2196" s="568">
        <v>7600</v>
      </c>
      <c r="R2196" s="569" t="s">
        <v>3768</v>
      </c>
      <c r="S2196" s="569">
        <v>6</v>
      </c>
      <c r="T2196" s="569" t="s">
        <v>4033</v>
      </c>
      <c r="U2196" s="569" t="s">
        <v>276</v>
      </c>
      <c r="V2196" s="569">
        <v>145</v>
      </c>
      <c r="W2196" s="569">
        <v>23</v>
      </c>
      <c r="X2196" s="568">
        <v>6800</v>
      </c>
      <c r="Y2196" s="569">
        <v>20</v>
      </c>
      <c r="Z2196" s="581" t="s">
        <v>178</v>
      </c>
      <c r="AA2196" s="581" t="s">
        <v>178</v>
      </c>
      <c r="AB2196" s="585">
        <v>38160</v>
      </c>
      <c r="AC2196" s="585" t="s">
        <v>164</v>
      </c>
      <c r="AD2196" s="585">
        <v>26850</v>
      </c>
      <c r="AE2196" s="587">
        <v>0.01</v>
      </c>
      <c r="AF2196" s="661" t="str">
        <f t="shared" si="241"/>
        <v>2019-LTK-FRD-F150-074-15</v>
      </c>
      <c r="AG2196" s="661" t="str">
        <f>IF(AND($Y2196&gt;=32,(AI2196="I"),(Y2196&lt;&gt;"~"),(COUNTIF($AN$1:$AN2196,$AN2196)=1)),"TRUE","FALSE")</f>
        <v>FALSE</v>
      </c>
      <c r="AH2196" s="661" t="str">
        <f>IF(AND($Y2196&gt;=22, (AI2196&lt;&gt;"I"),(Y2196&lt;&gt;"~"),(COUNTIF($AN$1:$AN2196,$AN2196)=1)),"TRUE","FALSE")</f>
        <v>FALSE</v>
      </c>
      <c r="AI2196" s="661" t="str">
        <f t="shared" si="236"/>
        <v>II</v>
      </c>
      <c r="AJ2196" s="662" t="str">
        <f t="shared" si="237"/>
        <v>F150-074</v>
      </c>
      <c r="AK2196" s="662" t="str">
        <f t="shared" si="238"/>
        <v>LTK</v>
      </c>
      <c r="AL2196" s="662" t="str">
        <f t="shared" si="239"/>
        <v>FRD</v>
      </c>
      <c r="AM2196" s="662" t="str">
        <f t="shared" si="235"/>
        <v>F150-Super Cab XL-4WD-6-6'5"-7600-2.7L EcoBoost -6-X1E-100A-145-23-Unleaded-Unleaded</v>
      </c>
      <c r="AN2196" s="662" t="str">
        <f t="shared" si="240"/>
        <v>2019-LTK-FRD-F150-074</v>
      </c>
    </row>
    <row r="2197" spans="1:40" s="572" customFormat="1" ht="15">
      <c r="A2197" s="570" t="s">
        <v>4051</v>
      </c>
      <c r="B2197" s="573" t="s">
        <v>4041</v>
      </c>
      <c r="C2197" s="573" t="s">
        <v>278</v>
      </c>
      <c r="D2197" s="578">
        <v>15</v>
      </c>
      <c r="E2197" s="573" t="s">
        <v>3374</v>
      </c>
      <c r="F2197" s="573" t="s">
        <v>152</v>
      </c>
      <c r="G2197" s="573" t="s">
        <v>271</v>
      </c>
      <c r="H2197" s="573">
        <v>2019</v>
      </c>
      <c r="I2197" s="573" t="s">
        <v>3765</v>
      </c>
      <c r="J2197" s="573" t="s">
        <v>3996</v>
      </c>
      <c r="K2197" s="573" t="s">
        <v>752</v>
      </c>
      <c r="L2197" s="573">
        <v>6</v>
      </c>
      <c r="M2197" s="573">
        <v>0</v>
      </c>
      <c r="N2197" s="573" t="s">
        <v>157</v>
      </c>
      <c r="O2197" s="573">
        <v>2</v>
      </c>
      <c r="P2197" s="573" t="s">
        <v>3781</v>
      </c>
      <c r="Q2197" s="571">
        <v>9700</v>
      </c>
      <c r="R2197" s="573" t="s">
        <v>3778</v>
      </c>
      <c r="S2197" s="573">
        <v>8</v>
      </c>
      <c r="T2197" s="573" t="s">
        <v>4033</v>
      </c>
      <c r="U2197" s="573" t="s">
        <v>276</v>
      </c>
      <c r="V2197" s="573">
        <v>145</v>
      </c>
      <c r="W2197" s="573">
        <v>23</v>
      </c>
      <c r="X2197" s="571">
        <v>6900</v>
      </c>
      <c r="Y2197" s="573">
        <v>17</v>
      </c>
      <c r="Z2197" s="579" t="s">
        <v>450</v>
      </c>
      <c r="AA2197" s="579" t="s">
        <v>178</v>
      </c>
      <c r="AB2197" s="584">
        <v>39160</v>
      </c>
      <c r="AC2197" s="584" t="s">
        <v>164</v>
      </c>
      <c r="AD2197" s="584">
        <v>27750</v>
      </c>
      <c r="AE2197" s="586">
        <v>0.01</v>
      </c>
      <c r="AF2197" s="661" t="str">
        <f t="shared" si="241"/>
        <v>2019-LTK-FRD-F150-076-15</v>
      </c>
      <c r="AG2197" s="661" t="str">
        <f>IF(AND($Y2197&gt;=32,(AI2197="I"),(Y2197&lt;&gt;"~"),(COUNTIF($AN$1:$AN2197,$AN2197)=1)),"TRUE","FALSE")</f>
        <v>FALSE</v>
      </c>
      <c r="AH2197" s="661" t="str">
        <f>IF(AND($Y2197&gt;=22, (AI2197&lt;&gt;"I"),(Y2197&lt;&gt;"~"),(COUNTIF($AN$1:$AN2197,$AN2197)=1)),"TRUE","FALSE")</f>
        <v>FALSE</v>
      </c>
      <c r="AI2197" s="661" t="str">
        <f t="shared" si="236"/>
        <v>II</v>
      </c>
      <c r="AJ2197" s="662" t="str">
        <f t="shared" si="237"/>
        <v>F150-076</v>
      </c>
      <c r="AK2197" s="662" t="str">
        <f t="shared" si="238"/>
        <v>LTK</v>
      </c>
      <c r="AL2197" s="662" t="str">
        <f t="shared" si="239"/>
        <v>FRD</v>
      </c>
      <c r="AM2197" s="662" t="str">
        <f t="shared" si="235"/>
        <v>F150-Super Cab XL-4WD-6-6'5"-9700-5.0L FFV-8-X1E-100A-145-23-E85-Unleaded</v>
      </c>
      <c r="AN2197" s="662" t="str">
        <f t="shared" si="240"/>
        <v>2019-LTK-FRD-F150-076</v>
      </c>
    </row>
    <row r="2198" spans="1:40" s="572" customFormat="1" ht="15">
      <c r="A2198" s="570" t="s">
        <v>4052</v>
      </c>
      <c r="B2198" s="569" t="s">
        <v>4043</v>
      </c>
      <c r="C2198" s="569" t="s">
        <v>278</v>
      </c>
      <c r="D2198" s="580">
        <v>15</v>
      </c>
      <c r="E2198" s="569" t="s">
        <v>3374</v>
      </c>
      <c r="F2198" s="569" t="s">
        <v>152</v>
      </c>
      <c r="G2198" s="569" t="s">
        <v>271</v>
      </c>
      <c r="H2198" s="569">
        <v>2019</v>
      </c>
      <c r="I2198" s="569" t="s">
        <v>3765</v>
      </c>
      <c r="J2198" s="569" t="s">
        <v>3996</v>
      </c>
      <c r="K2198" s="569" t="s">
        <v>752</v>
      </c>
      <c r="L2198" s="569">
        <v>6</v>
      </c>
      <c r="M2198" s="569">
        <v>0</v>
      </c>
      <c r="N2198" s="569" t="s">
        <v>157</v>
      </c>
      <c r="O2198" s="569">
        <v>2</v>
      </c>
      <c r="P2198" s="569" t="s">
        <v>3846</v>
      </c>
      <c r="Q2198" s="568">
        <v>10800</v>
      </c>
      <c r="R2198" s="569" t="s">
        <v>1259</v>
      </c>
      <c r="S2198" s="569">
        <v>6</v>
      </c>
      <c r="T2198" s="569" t="s">
        <v>4033</v>
      </c>
      <c r="U2198" s="569" t="s">
        <v>276</v>
      </c>
      <c r="V2198" s="569">
        <v>163.69999999999999</v>
      </c>
      <c r="W2198" s="569">
        <v>23</v>
      </c>
      <c r="X2198" s="568">
        <v>7050</v>
      </c>
      <c r="Y2198" s="569">
        <v>19</v>
      </c>
      <c r="Z2198" s="581" t="s">
        <v>178</v>
      </c>
      <c r="AA2198" s="581" t="s">
        <v>178</v>
      </c>
      <c r="AB2198" s="585">
        <v>37165</v>
      </c>
      <c r="AC2198" s="585" t="s">
        <v>164</v>
      </c>
      <c r="AD2198" s="585">
        <v>28600</v>
      </c>
      <c r="AE2198" s="587">
        <v>0.01</v>
      </c>
      <c r="AF2198" s="661" t="str">
        <f t="shared" si="241"/>
        <v>2019-LTK-FRD-F150-077-15</v>
      </c>
      <c r="AG2198" s="661" t="str">
        <f>IF(AND($Y2198&gt;=32,(AI2198="I"),(Y2198&lt;&gt;"~"),(COUNTIF($AN$1:$AN2198,$AN2198)=1)),"TRUE","FALSE")</f>
        <v>FALSE</v>
      </c>
      <c r="AH2198" s="661" t="str">
        <f>IF(AND($Y2198&gt;=22, (AI2198&lt;&gt;"I"),(Y2198&lt;&gt;"~"),(COUNTIF($AN$1:$AN2198,$AN2198)=1)),"TRUE","FALSE")</f>
        <v>FALSE</v>
      </c>
      <c r="AI2198" s="661" t="str">
        <f t="shared" si="236"/>
        <v>II</v>
      </c>
      <c r="AJ2198" s="662" t="str">
        <f t="shared" si="237"/>
        <v>F150-077</v>
      </c>
      <c r="AK2198" s="662" t="str">
        <f t="shared" si="238"/>
        <v>LTK</v>
      </c>
      <c r="AL2198" s="662" t="str">
        <f t="shared" si="239"/>
        <v>FRD</v>
      </c>
      <c r="AM2198" s="662" t="str">
        <f t="shared" si="235"/>
        <v>F150-Super Cab XL-4WD-6-8'-10800-3.5L EcoBoost-6-X1E-100A-163.7-23-Unleaded-Unleaded</v>
      </c>
      <c r="AN2198" s="662" t="str">
        <f t="shared" si="240"/>
        <v>2019-LTK-FRD-F150-077</v>
      </c>
    </row>
    <row r="2199" spans="1:40" s="572" customFormat="1" ht="15">
      <c r="A2199" s="570" t="s">
        <v>4053</v>
      </c>
      <c r="B2199" s="573" t="s">
        <v>4045</v>
      </c>
      <c r="C2199" s="573" t="s">
        <v>278</v>
      </c>
      <c r="D2199" s="578">
        <v>15</v>
      </c>
      <c r="E2199" s="573" t="s">
        <v>3374</v>
      </c>
      <c r="F2199" s="573" t="s">
        <v>152</v>
      </c>
      <c r="G2199" s="573" t="s">
        <v>271</v>
      </c>
      <c r="H2199" s="573">
        <v>2019</v>
      </c>
      <c r="I2199" s="573" t="s">
        <v>3765</v>
      </c>
      <c r="J2199" s="573" t="s">
        <v>3996</v>
      </c>
      <c r="K2199" s="573" t="s">
        <v>752</v>
      </c>
      <c r="L2199" s="573">
        <v>6</v>
      </c>
      <c r="M2199" s="573">
        <v>0</v>
      </c>
      <c r="N2199" s="573" t="s">
        <v>157</v>
      </c>
      <c r="O2199" s="573">
        <v>2</v>
      </c>
      <c r="P2199" s="573" t="s">
        <v>3846</v>
      </c>
      <c r="Q2199" s="571">
        <v>9000</v>
      </c>
      <c r="R2199" s="573" t="s">
        <v>3778</v>
      </c>
      <c r="S2199" s="573">
        <v>8</v>
      </c>
      <c r="T2199" s="573" t="s">
        <v>4033</v>
      </c>
      <c r="U2199" s="573" t="s">
        <v>276</v>
      </c>
      <c r="V2199" s="573">
        <v>163.69999999999999</v>
      </c>
      <c r="W2199" s="573">
        <v>23</v>
      </c>
      <c r="X2199" s="571">
        <v>6950</v>
      </c>
      <c r="Y2199" s="573">
        <v>17</v>
      </c>
      <c r="Z2199" s="579" t="s">
        <v>450</v>
      </c>
      <c r="AA2199" s="579" t="s">
        <v>178</v>
      </c>
      <c r="AB2199" s="584">
        <v>39420</v>
      </c>
      <c r="AC2199" s="584" t="s">
        <v>164</v>
      </c>
      <c r="AD2199" s="584">
        <v>28100</v>
      </c>
      <c r="AE2199" s="586">
        <v>0.01</v>
      </c>
      <c r="AF2199" s="661" t="str">
        <f t="shared" si="241"/>
        <v>2019-LTK-FRD-F150-079-15</v>
      </c>
      <c r="AG2199" s="661" t="str">
        <f>IF(AND($Y2199&gt;=32,(AI2199="I"),(Y2199&lt;&gt;"~"),(COUNTIF($AN$1:$AN2199,$AN2199)=1)),"TRUE","FALSE")</f>
        <v>FALSE</v>
      </c>
      <c r="AH2199" s="661" t="str">
        <f>IF(AND($Y2199&gt;=22, (AI2199&lt;&gt;"I"),(Y2199&lt;&gt;"~"),(COUNTIF($AN$1:$AN2199,$AN2199)=1)),"TRUE","FALSE")</f>
        <v>FALSE</v>
      </c>
      <c r="AI2199" s="661" t="str">
        <f t="shared" si="236"/>
        <v>II</v>
      </c>
      <c r="AJ2199" s="662" t="str">
        <f t="shared" si="237"/>
        <v>F150-079</v>
      </c>
      <c r="AK2199" s="662" t="str">
        <f t="shared" si="238"/>
        <v>LTK</v>
      </c>
      <c r="AL2199" s="662" t="str">
        <f t="shared" si="239"/>
        <v>FRD</v>
      </c>
      <c r="AM2199" s="662" t="str">
        <f t="shared" si="235"/>
        <v>F150-Super Cab XL-4WD-6-8'-9000-5.0L FFV-8-X1E-100A-163.7-23-E85-Unleaded</v>
      </c>
      <c r="AN2199" s="662" t="str">
        <f t="shared" si="240"/>
        <v>2019-LTK-FRD-F150-079</v>
      </c>
    </row>
    <row r="2200" spans="1:40" s="572" customFormat="1" ht="15">
      <c r="A2200" s="570" t="s">
        <v>4054</v>
      </c>
      <c r="B2200" s="569" t="s">
        <v>4047</v>
      </c>
      <c r="C2200" s="569" t="s">
        <v>287</v>
      </c>
      <c r="D2200" s="580">
        <v>26</v>
      </c>
      <c r="E2200" s="569" t="s">
        <v>3374</v>
      </c>
      <c r="F2200" s="569" t="s">
        <v>152</v>
      </c>
      <c r="G2200" s="569" t="s">
        <v>271</v>
      </c>
      <c r="H2200" s="569">
        <v>2019</v>
      </c>
      <c r="I2200" s="569" t="s">
        <v>3765</v>
      </c>
      <c r="J2200" s="569" t="s">
        <v>3996</v>
      </c>
      <c r="K2200" s="569" t="s">
        <v>752</v>
      </c>
      <c r="L2200" s="569">
        <v>6</v>
      </c>
      <c r="M2200" s="569">
        <v>0</v>
      </c>
      <c r="N2200" s="569" t="s">
        <v>157</v>
      </c>
      <c r="O2200" s="569">
        <v>2</v>
      </c>
      <c r="P2200" s="569" t="s">
        <v>3781</v>
      </c>
      <c r="Q2200" s="568">
        <v>10700</v>
      </c>
      <c r="R2200" s="569" t="s">
        <v>1259</v>
      </c>
      <c r="S2200" s="569">
        <v>6</v>
      </c>
      <c r="T2200" s="569" t="s">
        <v>4033</v>
      </c>
      <c r="U2200" s="569" t="s">
        <v>276</v>
      </c>
      <c r="V2200" s="569">
        <v>145</v>
      </c>
      <c r="W2200" s="569">
        <v>23</v>
      </c>
      <c r="X2200" s="568">
        <v>7000</v>
      </c>
      <c r="Y2200" s="569">
        <v>19</v>
      </c>
      <c r="Z2200" s="581" t="s">
        <v>178</v>
      </c>
      <c r="AA2200" s="581" t="s">
        <v>178</v>
      </c>
      <c r="AB2200" s="585">
        <v>39760</v>
      </c>
      <c r="AC2200" s="585" t="s">
        <v>164</v>
      </c>
      <c r="AD2200" s="585">
        <v>28181</v>
      </c>
      <c r="AE2200" s="587">
        <v>0.05</v>
      </c>
      <c r="AF2200" s="661" t="str">
        <f t="shared" si="241"/>
        <v>2019-LTK-FRD-F150-072-26</v>
      </c>
      <c r="AG2200" s="661" t="str">
        <f>IF(AND($Y2200&gt;=32,(AI2200="I"),(Y2200&lt;&gt;"~"),(COUNTIF($AN$1:$AN2200,$AN2200)=1)),"TRUE","FALSE")</f>
        <v>FALSE</v>
      </c>
      <c r="AH2200" s="661" t="str">
        <f>IF(AND($Y2200&gt;=22, (AI2200&lt;&gt;"I"),(Y2200&lt;&gt;"~"),(COUNTIF($AN$1:$AN2200,$AN2200)=1)),"TRUE","FALSE")</f>
        <v>FALSE</v>
      </c>
      <c r="AI2200" s="661" t="str">
        <f t="shared" si="236"/>
        <v>II</v>
      </c>
      <c r="AJ2200" s="662" t="str">
        <f t="shared" si="237"/>
        <v>F150-072</v>
      </c>
      <c r="AK2200" s="662" t="str">
        <f t="shared" si="238"/>
        <v>LTK</v>
      </c>
      <c r="AL2200" s="662" t="str">
        <f t="shared" si="239"/>
        <v>FRD</v>
      </c>
      <c r="AM2200" s="662" t="str">
        <f t="shared" si="235"/>
        <v>F150-Super Cab XL-4WD-6-6'5"-10700-3.5L EcoBoost-6-X1E-100A-145-23-Unleaded-Unleaded</v>
      </c>
      <c r="AN2200" s="662" t="str">
        <f t="shared" si="240"/>
        <v>2019-LTK-FRD-F150-072</v>
      </c>
    </row>
    <row r="2201" spans="1:40" s="572" customFormat="1" ht="15">
      <c r="A2201" s="570" t="s">
        <v>4055</v>
      </c>
      <c r="B2201" s="573" t="s">
        <v>4039</v>
      </c>
      <c r="C2201" s="573" t="s">
        <v>287</v>
      </c>
      <c r="D2201" s="578">
        <v>26</v>
      </c>
      <c r="E2201" s="573" t="s">
        <v>3374</v>
      </c>
      <c r="F2201" s="573" t="s">
        <v>152</v>
      </c>
      <c r="G2201" s="573" t="s">
        <v>271</v>
      </c>
      <c r="H2201" s="573">
        <v>2019</v>
      </c>
      <c r="I2201" s="573" t="s">
        <v>3765</v>
      </c>
      <c r="J2201" s="573" t="s">
        <v>3996</v>
      </c>
      <c r="K2201" s="573" t="s">
        <v>752</v>
      </c>
      <c r="L2201" s="573">
        <v>6</v>
      </c>
      <c r="M2201" s="573">
        <v>0</v>
      </c>
      <c r="N2201" s="573" t="s">
        <v>157</v>
      </c>
      <c r="O2201" s="573">
        <v>2</v>
      </c>
      <c r="P2201" s="573" t="s">
        <v>3781</v>
      </c>
      <c r="Q2201" s="571">
        <v>7600</v>
      </c>
      <c r="R2201" s="573" t="s">
        <v>3768</v>
      </c>
      <c r="S2201" s="573">
        <v>6</v>
      </c>
      <c r="T2201" s="573" t="s">
        <v>4033</v>
      </c>
      <c r="U2201" s="573" t="s">
        <v>276</v>
      </c>
      <c r="V2201" s="573">
        <v>145</v>
      </c>
      <c r="W2201" s="573">
        <v>23</v>
      </c>
      <c r="X2201" s="571">
        <v>6800</v>
      </c>
      <c r="Y2201" s="573">
        <v>20</v>
      </c>
      <c r="Z2201" s="579" t="s">
        <v>178</v>
      </c>
      <c r="AA2201" s="579" t="s">
        <v>178</v>
      </c>
      <c r="AB2201" s="584">
        <v>38160</v>
      </c>
      <c r="AC2201" s="584" t="s">
        <v>164</v>
      </c>
      <c r="AD2201" s="584">
        <v>27271</v>
      </c>
      <c r="AE2201" s="586">
        <v>0.05</v>
      </c>
      <c r="AF2201" s="661" t="str">
        <f t="shared" si="241"/>
        <v>2019-LTK-FRD-F150-074-26</v>
      </c>
      <c r="AG2201" s="661" t="str">
        <f>IF(AND($Y2201&gt;=32,(AI2201="I"),(Y2201&lt;&gt;"~"),(COUNTIF($AN$1:$AN2201,$AN2201)=1)),"TRUE","FALSE")</f>
        <v>FALSE</v>
      </c>
      <c r="AH2201" s="661" t="str">
        <f>IF(AND($Y2201&gt;=22, (AI2201&lt;&gt;"I"),(Y2201&lt;&gt;"~"),(COUNTIF($AN$1:$AN2201,$AN2201)=1)),"TRUE","FALSE")</f>
        <v>FALSE</v>
      </c>
      <c r="AI2201" s="661" t="str">
        <f t="shared" si="236"/>
        <v>II</v>
      </c>
      <c r="AJ2201" s="662" t="str">
        <f t="shared" si="237"/>
        <v>F150-074</v>
      </c>
      <c r="AK2201" s="662" t="str">
        <f t="shared" si="238"/>
        <v>LTK</v>
      </c>
      <c r="AL2201" s="662" t="str">
        <f t="shared" si="239"/>
        <v>FRD</v>
      </c>
      <c r="AM2201" s="662" t="str">
        <f t="shared" si="235"/>
        <v>F150-Super Cab XL-4WD-6-6'5"-7600-2.7L EcoBoost -6-X1E-100A-145-23-Unleaded-Unleaded</v>
      </c>
      <c r="AN2201" s="662" t="str">
        <f t="shared" si="240"/>
        <v>2019-LTK-FRD-F150-074</v>
      </c>
    </row>
    <row r="2202" spans="1:40" s="572" customFormat="1" ht="15">
      <c r="A2202" s="570" t="s">
        <v>4056</v>
      </c>
      <c r="B2202" s="569" t="s">
        <v>4057</v>
      </c>
      <c r="C2202" s="569" t="s">
        <v>287</v>
      </c>
      <c r="D2202" s="580">
        <v>26</v>
      </c>
      <c r="E2202" s="569" t="s">
        <v>3374</v>
      </c>
      <c r="F2202" s="569" t="s">
        <v>152</v>
      </c>
      <c r="G2202" s="569" t="s">
        <v>271</v>
      </c>
      <c r="H2202" s="569">
        <v>2019</v>
      </c>
      <c r="I2202" s="569" t="s">
        <v>3765</v>
      </c>
      <c r="J2202" s="569" t="s">
        <v>3996</v>
      </c>
      <c r="K2202" s="569" t="s">
        <v>752</v>
      </c>
      <c r="L2202" s="569">
        <v>6</v>
      </c>
      <c r="M2202" s="569">
        <v>0</v>
      </c>
      <c r="N2202" s="569" t="s">
        <v>157</v>
      </c>
      <c r="O2202" s="569">
        <v>2</v>
      </c>
      <c r="P2202" s="569" t="s">
        <v>3781</v>
      </c>
      <c r="Q2202" s="568">
        <v>7700</v>
      </c>
      <c r="R2202" s="569" t="s">
        <v>1322</v>
      </c>
      <c r="S2202" s="569">
        <v>6</v>
      </c>
      <c r="T2202" s="569" t="s">
        <v>4033</v>
      </c>
      <c r="U2202" s="569" t="s">
        <v>276</v>
      </c>
      <c r="V2202" s="569">
        <v>145</v>
      </c>
      <c r="W2202" s="569">
        <v>23</v>
      </c>
      <c r="X2202" s="568">
        <v>6300</v>
      </c>
      <c r="Y2202" s="569">
        <v>20</v>
      </c>
      <c r="Z2202" s="581" t="s">
        <v>178</v>
      </c>
      <c r="AA2202" s="581" t="s">
        <v>178</v>
      </c>
      <c r="AB2202" s="585">
        <v>37165</v>
      </c>
      <c r="AC2202" s="585" t="s">
        <v>164</v>
      </c>
      <c r="AD2202" s="585">
        <v>26365</v>
      </c>
      <c r="AE2202" s="587">
        <v>0.05</v>
      </c>
      <c r="AF2202" s="661" t="str">
        <f t="shared" si="241"/>
        <v>2019-LTK-FRD-F150-075-26</v>
      </c>
      <c r="AG2202" s="661" t="str">
        <f>IF(AND($Y2202&gt;=32,(AI2202="I"),(Y2202&lt;&gt;"~"),(COUNTIF($AN$1:$AN2202,$AN2202)=1)),"TRUE","FALSE")</f>
        <v>FALSE</v>
      </c>
      <c r="AH2202" s="661" t="str">
        <f>IF(AND($Y2202&gt;=22, (AI2202&lt;&gt;"I"),(Y2202&lt;&gt;"~"),(COUNTIF($AN$1:$AN2202,$AN2202)=1)),"TRUE","FALSE")</f>
        <v>FALSE</v>
      </c>
      <c r="AI2202" s="661" t="str">
        <f t="shared" si="236"/>
        <v>II</v>
      </c>
      <c r="AJ2202" s="662" t="str">
        <f t="shared" si="237"/>
        <v>F150-075</v>
      </c>
      <c r="AK2202" s="662" t="str">
        <f t="shared" si="238"/>
        <v>LTK</v>
      </c>
      <c r="AL2202" s="662" t="str">
        <f t="shared" si="239"/>
        <v>FRD</v>
      </c>
      <c r="AM2202" s="662" t="str">
        <f t="shared" si="235"/>
        <v>F150-Super Cab XL-4WD-6-6'5"-7700-3.3L-6-X1E-100A-145-23-Unleaded-Unleaded</v>
      </c>
      <c r="AN2202" s="662" t="str">
        <f t="shared" si="240"/>
        <v>2019-LTK-FRD-F150-075</v>
      </c>
    </row>
    <row r="2203" spans="1:40" s="572" customFormat="1" ht="15">
      <c r="A2203" s="570" t="s">
        <v>4058</v>
      </c>
      <c r="B2203" s="573" t="s">
        <v>4041</v>
      </c>
      <c r="C2203" s="573" t="s">
        <v>287</v>
      </c>
      <c r="D2203" s="578">
        <v>26</v>
      </c>
      <c r="E2203" s="573" t="s">
        <v>3374</v>
      </c>
      <c r="F2203" s="573" t="s">
        <v>152</v>
      </c>
      <c r="G2203" s="573" t="s">
        <v>271</v>
      </c>
      <c r="H2203" s="573">
        <v>2019</v>
      </c>
      <c r="I2203" s="573" t="s">
        <v>3765</v>
      </c>
      <c r="J2203" s="573" t="s">
        <v>3996</v>
      </c>
      <c r="K2203" s="573" t="s">
        <v>752</v>
      </c>
      <c r="L2203" s="573">
        <v>6</v>
      </c>
      <c r="M2203" s="573">
        <v>0</v>
      </c>
      <c r="N2203" s="573" t="s">
        <v>157</v>
      </c>
      <c r="O2203" s="573">
        <v>2</v>
      </c>
      <c r="P2203" s="573" t="s">
        <v>3781</v>
      </c>
      <c r="Q2203" s="571">
        <v>9700</v>
      </c>
      <c r="R2203" s="573" t="s">
        <v>3778</v>
      </c>
      <c r="S2203" s="573">
        <v>8</v>
      </c>
      <c r="T2203" s="573" t="s">
        <v>4033</v>
      </c>
      <c r="U2203" s="573" t="s">
        <v>276</v>
      </c>
      <c r="V2203" s="573">
        <v>145</v>
      </c>
      <c r="W2203" s="573">
        <v>23</v>
      </c>
      <c r="X2203" s="571">
        <v>6900</v>
      </c>
      <c r="Y2203" s="573">
        <v>17</v>
      </c>
      <c r="Z2203" s="579" t="s">
        <v>450</v>
      </c>
      <c r="AA2203" s="579" t="s">
        <v>178</v>
      </c>
      <c r="AB2203" s="584">
        <v>39160</v>
      </c>
      <c r="AC2203" s="584" t="s">
        <v>164</v>
      </c>
      <c r="AD2203" s="584">
        <v>28181</v>
      </c>
      <c r="AE2203" s="586">
        <v>0.05</v>
      </c>
      <c r="AF2203" s="661" t="str">
        <f t="shared" si="241"/>
        <v>2019-LTK-FRD-F150-076-26</v>
      </c>
      <c r="AG2203" s="661" t="str">
        <f>IF(AND($Y2203&gt;=32,(AI2203="I"),(Y2203&lt;&gt;"~"),(COUNTIF($AN$1:$AN2203,$AN2203)=1)),"TRUE","FALSE")</f>
        <v>FALSE</v>
      </c>
      <c r="AH2203" s="661" t="str">
        <f>IF(AND($Y2203&gt;=22, (AI2203&lt;&gt;"I"),(Y2203&lt;&gt;"~"),(COUNTIF($AN$1:$AN2203,$AN2203)=1)),"TRUE","FALSE")</f>
        <v>FALSE</v>
      </c>
      <c r="AI2203" s="661" t="str">
        <f t="shared" si="236"/>
        <v>II</v>
      </c>
      <c r="AJ2203" s="662" t="str">
        <f t="shared" si="237"/>
        <v>F150-076</v>
      </c>
      <c r="AK2203" s="662" t="str">
        <f t="shared" si="238"/>
        <v>LTK</v>
      </c>
      <c r="AL2203" s="662" t="str">
        <f t="shared" si="239"/>
        <v>FRD</v>
      </c>
      <c r="AM2203" s="662" t="str">
        <f t="shared" ref="AM2203:AM2266" si="242">CONCATENATE(I2203,"-",J2203,"-",K2203,"-",L2203,"-",P2203,"-",Q2203,"-",R2203,"-",S2203,"-",T2203,"-",U2203,"-",V2203,"-",W2203,"-",Z2203,"-",AA2203)</f>
        <v>F150-Super Cab XL-4WD-6-6'5"-9700-5.0L FFV-8-X1E-100A-145-23-E85-Unleaded</v>
      </c>
      <c r="AN2203" s="662" t="str">
        <f t="shared" si="240"/>
        <v>2019-LTK-FRD-F150-076</v>
      </c>
    </row>
    <row r="2204" spans="1:40" s="572" customFormat="1" ht="15">
      <c r="A2204" s="570" t="s">
        <v>4059</v>
      </c>
      <c r="B2204" s="569" t="s">
        <v>4043</v>
      </c>
      <c r="C2204" s="569" t="s">
        <v>287</v>
      </c>
      <c r="D2204" s="580">
        <v>26</v>
      </c>
      <c r="E2204" s="569" t="s">
        <v>3374</v>
      </c>
      <c r="F2204" s="569" t="s">
        <v>152</v>
      </c>
      <c r="G2204" s="569" t="s">
        <v>271</v>
      </c>
      <c r="H2204" s="569">
        <v>2019</v>
      </c>
      <c r="I2204" s="569" t="s">
        <v>3765</v>
      </c>
      <c r="J2204" s="569" t="s">
        <v>3996</v>
      </c>
      <c r="K2204" s="569" t="s">
        <v>752</v>
      </c>
      <c r="L2204" s="569">
        <v>6</v>
      </c>
      <c r="M2204" s="569">
        <v>0</v>
      </c>
      <c r="N2204" s="569" t="s">
        <v>157</v>
      </c>
      <c r="O2204" s="569">
        <v>2</v>
      </c>
      <c r="P2204" s="569" t="s">
        <v>3846</v>
      </c>
      <c r="Q2204" s="568">
        <v>10800</v>
      </c>
      <c r="R2204" s="569" t="s">
        <v>1259</v>
      </c>
      <c r="S2204" s="569">
        <v>6</v>
      </c>
      <c r="T2204" s="569" t="s">
        <v>4033</v>
      </c>
      <c r="U2204" s="569" t="s">
        <v>276</v>
      </c>
      <c r="V2204" s="569">
        <v>163.69999999999999</v>
      </c>
      <c r="W2204" s="569">
        <v>23</v>
      </c>
      <c r="X2204" s="568">
        <v>7050</v>
      </c>
      <c r="Y2204" s="569">
        <v>19</v>
      </c>
      <c r="Z2204" s="581" t="s">
        <v>178</v>
      </c>
      <c r="AA2204" s="581" t="s">
        <v>178</v>
      </c>
      <c r="AB2204" s="585">
        <v>37165</v>
      </c>
      <c r="AC2204" s="585" t="s">
        <v>164</v>
      </c>
      <c r="AD2204" s="585">
        <v>28491</v>
      </c>
      <c r="AE2204" s="587">
        <v>0.05</v>
      </c>
      <c r="AF2204" s="661" t="str">
        <f t="shared" si="241"/>
        <v>2019-LTK-FRD-F150-077-26</v>
      </c>
      <c r="AG2204" s="661" t="str">
        <f>IF(AND($Y2204&gt;=32,(AI2204="I"),(Y2204&lt;&gt;"~"),(COUNTIF($AN$1:$AN2204,$AN2204)=1)),"TRUE","FALSE")</f>
        <v>FALSE</v>
      </c>
      <c r="AH2204" s="661" t="str">
        <f>IF(AND($Y2204&gt;=22, (AI2204&lt;&gt;"I"),(Y2204&lt;&gt;"~"),(COUNTIF($AN$1:$AN2204,$AN2204)=1)),"TRUE","FALSE")</f>
        <v>FALSE</v>
      </c>
      <c r="AI2204" s="661" t="str">
        <f t="shared" ref="AI2204:AI2267" si="243">IF(OR((LEFT($E2204,2)="01"),AND(LEFT($E2204,2)="06",ISNUMBER(SEARCH("pas",$F2204))),AND(LEFT($E2204,2)="05",ISNUMBER(SEARCH("pas",$F2204)))),"I",IF(AND((LEFT($E2204,2)&lt;&gt;"01"),$X2204&lt;=10000),"II",IF(AND((LEFT($E2204,2)&lt;&gt;"01"),$X2204&gt;10000),"N/A")))</f>
        <v>II</v>
      </c>
      <c r="AJ2204" s="662" t="str">
        <f t="shared" si="237"/>
        <v>F150-077</v>
      </c>
      <c r="AK2204" s="662" t="str">
        <f t="shared" si="238"/>
        <v>LTK</v>
      </c>
      <c r="AL2204" s="662" t="str">
        <f t="shared" si="239"/>
        <v>FRD</v>
      </c>
      <c r="AM2204" s="662" t="str">
        <f t="shared" si="242"/>
        <v>F150-Super Cab XL-4WD-6-8'-10800-3.5L EcoBoost-6-X1E-100A-163.7-23-Unleaded-Unleaded</v>
      </c>
      <c r="AN2204" s="662" t="str">
        <f t="shared" si="240"/>
        <v>2019-LTK-FRD-F150-077</v>
      </c>
    </row>
    <row r="2205" spans="1:40" s="572" customFormat="1" ht="15">
      <c r="A2205" s="570" t="s">
        <v>4060</v>
      </c>
      <c r="B2205" s="573" t="s">
        <v>4045</v>
      </c>
      <c r="C2205" s="573" t="s">
        <v>287</v>
      </c>
      <c r="D2205" s="578">
        <v>26</v>
      </c>
      <c r="E2205" s="573" t="s">
        <v>3374</v>
      </c>
      <c r="F2205" s="573" t="s">
        <v>152</v>
      </c>
      <c r="G2205" s="573" t="s">
        <v>271</v>
      </c>
      <c r="H2205" s="573">
        <v>2019</v>
      </c>
      <c r="I2205" s="573" t="s">
        <v>3765</v>
      </c>
      <c r="J2205" s="573" t="s">
        <v>3996</v>
      </c>
      <c r="K2205" s="573" t="s">
        <v>752</v>
      </c>
      <c r="L2205" s="573">
        <v>6</v>
      </c>
      <c r="M2205" s="573">
        <v>0</v>
      </c>
      <c r="N2205" s="573" t="s">
        <v>157</v>
      </c>
      <c r="O2205" s="573">
        <v>2</v>
      </c>
      <c r="P2205" s="573" t="s">
        <v>3846</v>
      </c>
      <c r="Q2205" s="571">
        <v>9000</v>
      </c>
      <c r="R2205" s="573" t="s">
        <v>3778</v>
      </c>
      <c r="S2205" s="573">
        <v>8</v>
      </c>
      <c r="T2205" s="573" t="s">
        <v>4033</v>
      </c>
      <c r="U2205" s="573" t="s">
        <v>276</v>
      </c>
      <c r="V2205" s="573">
        <v>163.69999999999999</v>
      </c>
      <c r="W2205" s="573">
        <v>23</v>
      </c>
      <c r="X2205" s="571">
        <v>6950</v>
      </c>
      <c r="Y2205" s="573">
        <v>17</v>
      </c>
      <c r="Z2205" s="579" t="s">
        <v>450</v>
      </c>
      <c r="AA2205" s="579" t="s">
        <v>178</v>
      </c>
      <c r="AB2205" s="584">
        <v>40020</v>
      </c>
      <c r="AC2205" s="584" t="s">
        <v>164</v>
      </c>
      <c r="AD2205" s="584">
        <v>29036</v>
      </c>
      <c r="AE2205" s="586">
        <v>0.05</v>
      </c>
      <c r="AF2205" s="661" t="str">
        <f t="shared" si="241"/>
        <v>2019-LTK-FRD-F150-079-26</v>
      </c>
      <c r="AG2205" s="661" t="str">
        <f>IF(AND($Y2205&gt;=32,(AI2205="I"),(Y2205&lt;&gt;"~"),(COUNTIF($AN$1:$AN2205,$AN2205)=1)),"TRUE","FALSE")</f>
        <v>FALSE</v>
      </c>
      <c r="AH2205" s="661" t="str">
        <f>IF(AND($Y2205&gt;=22, (AI2205&lt;&gt;"I"),(Y2205&lt;&gt;"~"),(COUNTIF($AN$1:$AN2205,$AN2205)=1)),"TRUE","FALSE")</f>
        <v>FALSE</v>
      </c>
      <c r="AI2205" s="661" t="str">
        <f t="shared" si="243"/>
        <v>II</v>
      </c>
      <c r="AJ2205" s="662" t="str">
        <f t="shared" si="237"/>
        <v>F150-079</v>
      </c>
      <c r="AK2205" s="662" t="str">
        <f t="shared" si="238"/>
        <v>LTK</v>
      </c>
      <c r="AL2205" s="662" t="str">
        <f t="shared" si="239"/>
        <v>FRD</v>
      </c>
      <c r="AM2205" s="662" t="str">
        <f t="shared" si="242"/>
        <v>F150-Super Cab XL-4WD-6-8'-9000-5.0L FFV-8-X1E-100A-163.7-23-E85-Unleaded</v>
      </c>
      <c r="AN2205" s="662" t="str">
        <f t="shared" si="240"/>
        <v>2019-LTK-FRD-F150-079</v>
      </c>
    </row>
    <row r="2206" spans="1:40" s="572" customFormat="1" ht="15">
      <c r="A2206" s="570" t="s">
        <v>4061</v>
      </c>
      <c r="B2206" s="569" t="s">
        <v>4032</v>
      </c>
      <c r="C2206" s="569" t="s">
        <v>280</v>
      </c>
      <c r="D2206" s="580">
        <v>27</v>
      </c>
      <c r="E2206" s="569" t="s">
        <v>3374</v>
      </c>
      <c r="F2206" s="569" t="s">
        <v>152</v>
      </c>
      <c r="G2206" s="569" t="s">
        <v>271</v>
      </c>
      <c r="H2206" s="569">
        <v>2019</v>
      </c>
      <c r="I2206" s="569" t="s">
        <v>3765</v>
      </c>
      <c r="J2206" s="569" t="s">
        <v>3996</v>
      </c>
      <c r="K2206" s="569" t="s">
        <v>752</v>
      </c>
      <c r="L2206" s="569">
        <v>3</v>
      </c>
      <c r="M2206" s="569">
        <v>0</v>
      </c>
      <c r="N2206" s="569" t="s">
        <v>157</v>
      </c>
      <c r="O2206" s="569">
        <v>1</v>
      </c>
      <c r="P2206" s="569" t="s">
        <v>3781</v>
      </c>
      <c r="Q2206" s="568">
        <v>10700</v>
      </c>
      <c r="R2206" s="569" t="s">
        <v>1259</v>
      </c>
      <c r="S2206" s="569">
        <v>6</v>
      </c>
      <c r="T2206" s="569" t="s">
        <v>4033</v>
      </c>
      <c r="U2206" s="569" t="s">
        <v>276</v>
      </c>
      <c r="V2206" s="569">
        <v>145</v>
      </c>
      <c r="W2206" s="569">
        <v>23</v>
      </c>
      <c r="X2206" s="568">
        <v>7000</v>
      </c>
      <c r="Y2206" s="569">
        <v>19</v>
      </c>
      <c r="Z2206" s="581" t="s">
        <v>178</v>
      </c>
      <c r="AA2206" s="581" t="s">
        <v>178</v>
      </c>
      <c r="AB2206" s="585">
        <v>39760</v>
      </c>
      <c r="AC2206" s="585" t="s">
        <v>164</v>
      </c>
      <c r="AD2206" s="585">
        <v>28215.452631578948</v>
      </c>
      <c r="AE2206" s="587">
        <v>0.03</v>
      </c>
      <c r="AF2206" s="661" t="str">
        <f t="shared" si="241"/>
        <v>2019-LTK-FRD-F150-066-27</v>
      </c>
      <c r="AG2206" s="661" t="str">
        <f>IF(AND($Y2206&gt;=32,(AI2206="I"),(Y2206&lt;&gt;"~"),(COUNTIF($AN$1:$AN2206,$AN2206)=1)),"TRUE","FALSE")</f>
        <v>FALSE</v>
      </c>
      <c r="AH2206" s="661" t="str">
        <f>IF(AND($Y2206&gt;=22, (AI2206&lt;&gt;"I"),(Y2206&lt;&gt;"~"),(COUNTIF($AN$1:$AN2206,$AN2206)=1)),"TRUE","FALSE")</f>
        <v>FALSE</v>
      </c>
      <c r="AI2206" s="661" t="str">
        <f t="shared" si="243"/>
        <v>II</v>
      </c>
      <c r="AJ2206" s="662" t="str">
        <f t="shared" si="237"/>
        <v>F150-066</v>
      </c>
      <c r="AK2206" s="662" t="str">
        <f t="shared" si="238"/>
        <v>LTK</v>
      </c>
      <c r="AL2206" s="662" t="str">
        <f t="shared" si="239"/>
        <v>FRD</v>
      </c>
      <c r="AM2206" s="662" t="str">
        <f t="shared" si="242"/>
        <v>F150-Super Cab XL-4WD-3-6'5"-10700-3.5L EcoBoost-6-X1E-100A-145-23-Unleaded-Unleaded</v>
      </c>
      <c r="AN2206" s="662" t="str">
        <f t="shared" si="240"/>
        <v>2019-LTK-FRD-F150-066</v>
      </c>
    </row>
    <row r="2207" spans="1:40" s="572" customFormat="1" ht="15">
      <c r="A2207" s="570" t="s">
        <v>4062</v>
      </c>
      <c r="B2207" s="573" t="s">
        <v>4035</v>
      </c>
      <c r="C2207" s="573" t="s">
        <v>280</v>
      </c>
      <c r="D2207" s="578">
        <v>27</v>
      </c>
      <c r="E2207" s="573" t="s">
        <v>3374</v>
      </c>
      <c r="F2207" s="573" t="s">
        <v>152</v>
      </c>
      <c r="G2207" s="573" t="s">
        <v>271</v>
      </c>
      <c r="H2207" s="573">
        <v>2019</v>
      </c>
      <c r="I2207" s="573" t="s">
        <v>3765</v>
      </c>
      <c r="J2207" s="573" t="s">
        <v>3996</v>
      </c>
      <c r="K2207" s="573" t="s">
        <v>752</v>
      </c>
      <c r="L2207" s="573">
        <v>3</v>
      </c>
      <c r="M2207" s="573">
        <v>0</v>
      </c>
      <c r="N2207" s="573" t="s">
        <v>157</v>
      </c>
      <c r="O2207" s="573">
        <v>1</v>
      </c>
      <c r="P2207" s="573" t="s">
        <v>3781</v>
      </c>
      <c r="Q2207" s="571">
        <v>7200</v>
      </c>
      <c r="R2207" s="573" t="s">
        <v>3772</v>
      </c>
      <c r="S2207" s="573">
        <v>6</v>
      </c>
      <c r="T2207" s="573" t="s">
        <v>4033</v>
      </c>
      <c r="U2207" s="573" t="s">
        <v>276</v>
      </c>
      <c r="V2207" s="573">
        <v>145</v>
      </c>
      <c r="W2207" s="573">
        <v>23</v>
      </c>
      <c r="X2207" s="571">
        <v>6300</v>
      </c>
      <c r="Y2207" s="573">
        <v>19</v>
      </c>
      <c r="Z2207" s="579" t="s">
        <v>450</v>
      </c>
      <c r="AA2207" s="579" t="s">
        <v>178</v>
      </c>
      <c r="AB2207" s="584">
        <v>37165</v>
      </c>
      <c r="AC2207" s="584" t="s">
        <v>164</v>
      </c>
      <c r="AD2207" s="584">
        <v>25885.978947368421</v>
      </c>
      <c r="AE2207" s="586">
        <v>0.03</v>
      </c>
      <c r="AF2207" s="661" t="str">
        <f t="shared" si="241"/>
        <v>2019-LTK-FRD-F150-067-27</v>
      </c>
      <c r="AG2207" s="661" t="str">
        <f>IF(AND($Y2207&gt;=32,(AI2207="I"),(Y2207&lt;&gt;"~"),(COUNTIF($AN$1:$AN2207,$AN2207)=1)),"TRUE","FALSE")</f>
        <v>FALSE</v>
      </c>
      <c r="AH2207" s="661" t="str">
        <f>IF(AND($Y2207&gt;=22, (AI2207&lt;&gt;"I"),(Y2207&lt;&gt;"~"),(COUNTIF($AN$1:$AN2207,$AN2207)=1)),"TRUE","FALSE")</f>
        <v>FALSE</v>
      </c>
      <c r="AI2207" s="661" t="str">
        <f t="shared" si="243"/>
        <v>II</v>
      </c>
      <c r="AJ2207" s="662" t="str">
        <f t="shared" si="237"/>
        <v>F150-067</v>
      </c>
      <c r="AK2207" s="662" t="str">
        <f t="shared" si="238"/>
        <v>LTK</v>
      </c>
      <c r="AL2207" s="662" t="str">
        <f t="shared" si="239"/>
        <v>FRD</v>
      </c>
      <c r="AM2207" s="662" t="str">
        <f t="shared" si="242"/>
        <v>F150-Super Cab XL-4WD-3-6'5"-7200-3.3L FFV-6-X1E-100A-145-23-E85-Unleaded</v>
      </c>
      <c r="AN2207" s="662" t="str">
        <f t="shared" si="240"/>
        <v>2019-LTK-FRD-F150-067</v>
      </c>
    </row>
    <row r="2208" spans="1:40" s="572" customFormat="1" ht="15">
      <c r="A2208" s="570" t="s">
        <v>4063</v>
      </c>
      <c r="B2208" s="569" t="s">
        <v>4037</v>
      </c>
      <c r="C2208" s="569" t="s">
        <v>280</v>
      </c>
      <c r="D2208" s="580">
        <v>27</v>
      </c>
      <c r="E2208" s="569" t="s">
        <v>3374</v>
      </c>
      <c r="F2208" s="569" t="s">
        <v>152</v>
      </c>
      <c r="G2208" s="569" t="s">
        <v>271</v>
      </c>
      <c r="H2208" s="569">
        <v>2019</v>
      </c>
      <c r="I2208" s="569" t="s">
        <v>3765</v>
      </c>
      <c r="J2208" s="569" t="s">
        <v>3996</v>
      </c>
      <c r="K2208" s="569" t="s">
        <v>752</v>
      </c>
      <c r="L2208" s="569">
        <v>3</v>
      </c>
      <c r="M2208" s="569">
        <v>0</v>
      </c>
      <c r="N2208" s="569" t="s">
        <v>157</v>
      </c>
      <c r="O2208" s="569">
        <v>1</v>
      </c>
      <c r="P2208" s="569" t="s">
        <v>3781</v>
      </c>
      <c r="Q2208" s="568">
        <v>7600</v>
      </c>
      <c r="R2208" s="569" t="s">
        <v>3768</v>
      </c>
      <c r="S2208" s="569">
        <v>6</v>
      </c>
      <c r="T2208" s="569" t="s">
        <v>4033</v>
      </c>
      <c r="U2208" s="569" t="s">
        <v>276</v>
      </c>
      <c r="V2208" s="569">
        <v>145</v>
      </c>
      <c r="W2208" s="569">
        <v>23</v>
      </c>
      <c r="X2208" s="568">
        <v>6800</v>
      </c>
      <c r="Y2208" s="569">
        <v>21</v>
      </c>
      <c r="Z2208" s="581" t="s">
        <v>178</v>
      </c>
      <c r="AA2208" s="581" t="s">
        <v>178</v>
      </c>
      <c r="AB2208" s="585">
        <v>38160</v>
      </c>
      <c r="AC2208" s="585" t="s">
        <v>164</v>
      </c>
      <c r="AD2208" s="585">
        <v>26779.663157894738</v>
      </c>
      <c r="AE2208" s="587">
        <v>0.03</v>
      </c>
      <c r="AF2208" s="661" t="str">
        <f t="shared" si="241"/>
        <v>2019-LTK-FRD-F150-068-27</v>
      </c>
      <c r="AG2208" s="661" t="str">
        <f>IF(AND($Y2208&gt;=32,(AI2208="I"),(Y2208&lt;&gt;"~"),(COUNTIF($AN$1:$AN2208,$AN2208)=1)),"TRUE","FALSE")</f>
        <v>FALSE</v>
      </c>
      <c r="AH2208" s="661" t="str">
        <f>IF(AND($Y2208&gt;=22, (AI2208&lt;&gt;"I"),(Y2208&lt;&gt;"~"),(COUNTIF($AN$1:$AN2208,$AN2208)=1)),"TRUE","FALSE")</f>
        <v>FALSE</v>
      </c>
      <c r="AI2208" s="661" t="str">
        <f t="shared" si="243"/>
        <v>II</v>
      </c>
      <c r="AJ2208" s="662" t="str">
        <f t="shared" si="237"/>
        <v>F150-068</v>
      </c>
      <c r="AK2208" s="662" t="str">
        <f t="shared" si="238"/>
        <v>LTK</v>
      </c>
      <c r="AL2208" s="662" t="str">
        <f t="shared" si="239"/>
        <v>FRD</v>
      </c>
      <c r="AM2208" s="662" t="str">
        <f t="shared" si="242"/>
        <v>F150-Super Cab XL-4WD-3-6'5"-7600-2.7L EcoBoost -6-X1E-100A-145-23-Unleaded-Unleaded</v>
      </c>
      <c r="AN2208" s="662" t="str">
        <f t="shared" si="240"/>
        <v>2019-LTK-FRD-F150-068</v>
      </c>
    </row>
    <row r="2209" spans="1:40" s="572" customFormat="1" ht="15">
      <c r="A2209" s="570" t="s">
        <v>4064</v>
      </c>
      <c r="B2209" s="573" t="s">
        <v>4039</v>
      </c>
      <c r="C2209" s="573" t="s">
        <v>280</v>
      </c>
      <c r="D2209" s="578">
        <v>27</v>
      </c>
      <c r="E2209" s="573" t="s">
        <v>3374</v>
      </c>
      <c r="F2209" s="573" t="s">
        <v>152</v>
      </c>
      <c r="G2209" s="573" t="s">
        <v>271</v>
      </c>
      <c r="H2209" s="573">
        <v>2019</v>
      </c>
      <c r="I2209" s="573" t="s">
        <v>3765</v>
      </c>
      <c r="J2209" s="573" t="s">
        <v>3996</v>
      </c>
      <c r="K2209" s="573" t="s">
        <v>752</v>
      </c>
      <c r="L2209" s="573">
        <v>6</v>
      </c>
      <c r="M2209" s="573">
        <v>0</v>
      </c>
      <c r="N2209" s="573" t="s">
        <v>157</v>
      </c>
      <c r="O2209" s="573">
        <v>2</v>
      </c>
      <c r="P2209" s="573" t="s">
        <v>3781</v>
      </c>
      <c r="Q2209" s="571">
        <v>7600</v>
      </c>
      <c r="R2209" s="573" t="s">
        <v>3768</v>
      </c>
      <c r="S2209" s="573">
        <v>6</v>
      </c>
      <c r="T2209" s="573" t="s">
        <v>4033</v>
      </c>
      <c r="U2209" s="573" t="s">
        <v>276</v>
      </c>
      <c r="V2209" s="573">
        <v>145</v>
      </c>
      <c r="W2209" s="573">
        <v>23</v>
      </c>
      <c r="X2209" s="571">
        <v>6800</v>
      </c>
      <c r="Y2209" s="573">
        <v>21</v>
      </c>
      <c r="Z2209" s="579" t="s">
        <v>178</v>
      </c>
      <c r="AA2209" s="579" t="s">
        <v>178</v>
      </c>
      <c r="AB2209" s="584">
        <v>38160</v>
      </c>
      <c r="AC2209" s="584" t="s">
        <v>164</v>
      </c>
      <c r="AD2209" s="584">
        <v>26779.663157894738</v>
      </c>
      <c r="AE2209" s="586">
        <v>0.03</v>
      </c>
      <c r="AF2209" s="661" t="str">
        <f t="shared" si="241"/>
        <v>2019-LTK-FRD-F150-074-27</v>
      </c>
      <c r="AG2209" s="661" t="str">
        <f>IF(AND($Y2209&gt;=32,(AI2209="I"),(Y2209&lt;&gt;"~"),(COUNTIF($AN$1:$AN2209,$AN2209)=1)),"TRUE","FALSE")</f>
        <v>FALSE</v>
      </c>
      <c r="AH2209" s="661" t="str">
        <f>IF(AND($Y2209&gt;=22, (AI2209&lt;&gt;"I"),(Y2209&lt;&gt;"~"),(COUNTIF($AN$1:$AN2209,$AN2209)=1)),"TRUE","FALSE")</f>
        <v>FALSE</v>
      </c>
      <c r="AI2209" s="661" t="str">
        <f t="shared" si="243"/>
        <v>II</v>
      </c>
      <c r="AJ2209" s="662" t="str">
        <f t="shared" si="237"/>
        <v>F150-074</v>
      </c>
      <c r="AK2209" s="662" t="str">
        <f t="shared" si="238"/>
        <v>LTK</v>
      </c>
      <c r="AL2209" s="662" t="str">
        <f t="shared" si="239"/>
        <v>FRD</v>
      </c>
      <c r="AM2209" s="662" t="str">
        <f t="shared" si="242"/>
        <v>F150-Super Cab XL-4WD-6-6'5"-7600-2.7L EcoBoost -6-X1E-100A-145-23-Unleaded-Unleaded</v>
      </c>
      <c r="AN2209" s="662" t="str">
        <f t="shared" si="240"/>
        <v>2019-LTK-FRD-F150-074</v>
      </c>
    </row>
    <row r="2210" spans="1:40" s="572" customFormat="1" ht="15">
      <c r="A2210" s="570" t="s">
        <v>4065</v>
      </c>
      <c r="B2210" s="569" t="s">
        <v>4041</v>
      </c>
      <c r="C2210" s="569" t="s">
        <v>280</v>
      </c>
      <c r="D2210" s="580">
        <v>27</v>
      </c>
      <c r="E2210" s="569" t="s">
        <v>3374</v>
      </c>
      <c r="F2210" s="569" t="s">
        <v>152</v>
      </c>
      <c r="G2210" s="569" t="s">
        <v>271</v>
      </c>
      <c r="H2210" s="569">
        <v>2019</v>
      </c>
      <c r="I2210" s="569" t="s">
        <v>3765</v>
      </c>
      <c r="J2210" s="569" t="s">
        <v>3996</v>
      </c>
      <c r="K2210" s="569" t="s">
        <v>752</v>
      </c>
      <c r="L2210" s="569">
        <v>6</v>
      </c>
      <c r="M2210" s="569">
        <v>0</v>
      </c>
      <c r="N2210" s="569" t="s">
        <v>157</v>
      </c>
      <c r="O2210" s="569">
        <v>2</v>
      </c>
      <c r="P2210" s="569" t="s">
        <v>3781</v>
      </c>
      <c r="Q2210" s="568">
        <v>9700</v>
      </c>
      <c r="R2210" s="569" t="s">
        <v>3778</v>
      </c>
      <c r="S2210" s="569">
        <v>8</v>
      </c>
      <c r="T2210" s="569" t="s">
        <v>4033</v>
      </c>
      <c r="U2210" s="569" t="s">
        <v>276</v>
      </c>
      <c r="V2210" s="569">
        <v>145</v>
      </c>
      <c r="W2210" s="569">
        <v>23</v>
      </c>
      <c r="X2210" s="568">
        <v>6800</v>
      </c>
      <c r="Y2210" s="569">
        <v>18</v>
      </c>
      <c r="Z2210" s="581" t="s">
        <v>450</v>
      </c>
      <c r="AA2210" s="581" t="s">
        <v>178</v>
      </c>
      <c r="AB2210" s="585">
        <v>39160</v>
      </c>
      <c r="AC2210" s="585" t="s">
        <v>164</v>
      </c>
      <c r="AD2210" s="585">
        <v>27676.505263157895</v>
      </c>
      <c r="AE2210" s="587">
        <v>0.03</v>
      </c>
      <c r="AF2210" s="661" t="str">
        <f t="shared" si="241"/>
        <v>2019-LTK-FRD-F150-076-27</v>
      </c>
      <c r="AG2210" s="661" t="str">
        <f>IF(AND($Y2210&gt;=32,(AI2210="I"),(Y2210&lt;&gt;"~"),(COUNTIF($AN$1:$AN2210,$AN2210)=1)),"TRUE","FALSE")</f>
        <v>FALSE</v>
      </c>
      <c r="AH2210" s="661" t="str">
        <f>IF(AND($Y2210&gt;=22, (AI2210&lt;&gt;"I"),(Y2210&lt;&gt;"~"),(COUNTIF($AN$1:$AN2210,$AN2210)=1)),"TRUE","FALSE")</f>
        <v>FALSE</v>
      </c>
      <c r="AI2210" s="661" t="str">
        <f t="shared" si="243"/>
        <v>II</v>
      </c>
      <c r="AJ2210" s="662" t="str">
        <f t="shared" si="237"/>
        <v>F150-076</v>
      </c>
      <c r="AK2210" s="662" t="str">
        <f t="shared" si="238"/>
        <v>LTK</v>
      </c>
      <c r="AL2210" s="662" t="str">
        <f t="shared" si="239"/>
        <v>FRD</v>
      </c>
      <c r="AM2210" s="662" t="str">
        <f t="shared" si="242"/>
        <v>F150-Super Cab XL-4WD-6-6'5"-9700-5.0L FFV-8-X1E-100A-145-23-E85-Unleaded</v>
      </c>
      <c r="AN2210" s="662" t="str">
        <f t="shared" si="240"/>
        <v>2019-LTK-FRD-F150-076</v>
      </c>
    </row>
    <row r="2211" spans="1:40" s="572" customFormat="1" ht="15">
      <c r="A2211" s="570" t="s">
        <v>4066</v>
      </c>
      <c r="B2211" s="573" t="s">
        <v>4043</v>
      </c>
      <c r="C2211" s="573" t="s">
        <v>280</v>
      </c>
      <c r="D2211" s="578">
        <v>27</v>
      </c>
      <c r="E2211" s="573" t="s">
        <v>3374</v>
      </c>
      <c r="F2211" s="573" t="s">
        <v>152</v>
      </c>
      <c r="G2211" s="573" t="s">
        <v>271</v>
      </c>
      <c r="H2211" s="573">
        <v>2019</v>
      </c>
      <c r="I2211" s="573" t="s">
        <v>3765</v>
      </c>
      <c r="J2211" s="573" t="s">
        <v>3996</v>
      </c>
      <c r="K2211" s="573" t="s">
        <v>752</v>
      </c>
      <c r="L2211" s="573">
        <v>6</v>
      </c>
      <c r="M2211" s="573">
        <v>0</v>
      </c>
      <c r="N2211" s="573" t="s">
        <v>157</v>
      </c>
      <c r="O2211" s="573">
        <v>2</v>
      </c>
      <c r="P2211" s="573" t="s">
        <v>3846</v>
      </c>
      <c r="Q2211" s="571">
        <v>10800</v>
      </c>
      <c r="R2211" s="573" t="s">
        <v>1259</v>
      </c>
      <c r="S2211" s="573">
        <v>6</v>
      </c>
      <c r="T2211" s="573" t="s">
        <v>4033</v>
      </c>
      <c r="U2211" s="573" t="s">
        <v>276</v>
      </c>
      <c r="V2211" s="573">
        <v>163.69999999999999</v>
      </c>
      <c r="W2211" s="573">
        <v>23</v>
      </c>
      <c r="X2211" s="571">
        <v>7050</v>
      </c>
      <c r="Y2211" s="573">
        <v>19</v>
      </c>
      <c r="Z2211" s="579" t="s">
        <v>178</v>
      </c>
      <c r="AA2211" s="579" t="s">
        <v>178</v>
      </c>
      <c r="AB2211" s="584">
        <v>37165</v>
      </c>
      <c r="AC2211" s="584" t="s">
        <v>164</v>
      </c>
      <c r="AD2211" s="584">
        <v>28518.610526315792</v>
      </c>
      <c r="AE2211" s="586">
        <v>0.03</v>
      </c>
      <c r="AF2211" s="661" t="str">
        <f t="shared" si="241"/>
        <v>2019-LTK-FRD-F150-077-27</v>
      </c>
      <c r="AG2211" s="661" t="str">
        <f>IF(AND($Y2211&gt;=32,(AI2211="I"),(Y2211&lt;&gt;"~"),(COUNTIF($AN$1:$AN2211,$AN2211)=1)),"TRUE","FALSE")</f>
        <v>FALSE</v>
      </c>
      <c r="AH2211" s="661" t="str">
        <f>IF(AND($Y2211&gt;=22, (AI2211&lt;&gt;"I"),(Y2211&lt;&gt;"~"),(COUNTIF($AN$1:$AN2211,$AN2211)=1)),"TRUE","FALSE")</f>
        <v>FALSE</v>
      </c>
      <c r="AI2211" s="661" t="str">
        <f t="shared" si="243"/>
        <v>II</v>
      </c>
      <c r="AJ2211" s="662" t="str">
        <f t="shared" si="237"/>
        <v>F150-077</v>
      </c>
      <c r="AK2211" s="662" t="str">
        <f t="shared" si="238"/>
        <v>LTK</v>
      </c>
      <c r="AL2211" s="662" t="str">
        <f t="shared" si="239"/>
        <v>FRD</v>
      </c>
      <c r="AM2211" s="662" t="str">
        <f t="shared" si="242"/>
        <v>F150-Super Cab XL-4WD-6-8'-10800-3.5L EcoBoost-6-X1E-100A-163.7-23-Unleaded-Unleaded</v>
      </c>
      <c r="AN2211" s="662" t="str">
        <f t="shared" si="240"/>
        <v>2019-LTK-FRD-F150-077</v>
      </c>
    </row>
    <row r="2212" spans="1:40" s="572" customFormat="1" ht="15">
      <c r="A2212" s="570" t="s">
        <v>4067</v>
      </c>
      <c r="B2212" s="569" t="s">
        <v>4045</v>
      </c>
      <c r="C2212" s="569" t="s">
        <v>280</v>
      </c>
      <c r="D2212" s="580">
        <v>27</v>
      </c>
      <c r="E2212" s="569" t="s">
        <v>3374</v>
      </c>
      <c r="F2212" s="569" t="s">
        <v>152</v>
      </c>
      <c r="G2212" s="569" t="s">
        <v>271</v>
      </c>
      <c r="H2212" s="569">
        <v>2019</v>
      </c>
      <c r="I2212" s="569" t="s">
        <v>3765</v>
      </c>
      <c r="J2212" s="569" t="s">
        <v>3996</v>
      </c>
      <c r="K2212" s="569" t="s">
        <v>752</v>
      </c>
      <c r="L2212" s="569">
        <v>6</v>
      </c>
      <c r="M2212" s="569">
        <v>0</v>
      </c>
      <c r="N2212" s="569" t="s">
        <v>157</v>
      </c>
      <c r="O2212" s="569">
        <v>2</v>
      </c>
      <c r="P2212" s="569" t="s">
        <v>3846</v>
      </c>
      <c r="Q2212" s="568">
        <v>9000</v>
      </c>
      <c r="R2212" s="569" t="s">
        <v>3778</v>
      </c>
      <c r="S2212" s="569">
        <v>8</v>
      </c>
      <c r="T2212" s="569" t="s">
        <v>4033</v>
      </c>
      <c r="U2212" s="569" t="s">
        <v>276</v>
      </c>
      <c r="V2212" s="569">
        <v>163.69999999999999</v>
      </c>
      <c r="W2212" s="569">
        <v>23</v>
      </c>
      <c r="X2212" s="568">
        <v>6950</v>
      </c>
      <c r="Y2212" s="569">
        <v>18</v>
      </c>
      <c r="Z2212" s="581" t="s">
        <v>450</v>
      </c>
      <c r="AA2212" s="581" t="s">
        <v>178</v>
      </c>
      <c r="AB2212" s="585">
        <v>39760</v>
      </c>
      <c r="AC2212" s="585" t="s">
        <v>164</v>
      </c>
      <c r="AD2212" s="585">
        <v>27980.715789473685</v>
      </c>
      <c r="AE2212" s="587">
        <v>0.03</v>
      </c>
      <c r="AF2212" s="661" t="str">
        <f t="shared" si="241"/>
        <v>2019-LTK-FRD-F150-079-27</v>
      </c>
      <c r="AG2212" s="661" t="str">
        <f>IF(AND($Y2212&gt;=32,(AI2212="I"),(Y2212&lt;&gt;"~"),(COUNTIF($AN$1:$AN2212,$AN2212)=1)),"TRUE","FALSE")</f>
        <v>FALSE</v>
      </c>
      <c r="AH2212" s="661" t="str">
        <f>IF(AND($Y2212&gt;=22, (AI2212&lt;&gt;"I"),(Y2212&lt;&gt;"~"),(COUNTIF($AN$1:$AN2212,$AN2212)=1)),"TRUE","FALSE")</f>
        <v>FALSE</v>
      </c>
      <c r="AI2212" s="661" t="str">
        <f t="shared" si="243"/>
        <v>II</v>
      </c>
      <c r="AJ2212" s="662" t="str">
        <f t="shared" si="237"/>
        <v>F150-079</v>
      </c>
      <c r="AK2212" s="662" t="str">
        <f t="shared" si="238"/>
        <v>LTK</v>
      </c>
      <c r="AL2212" s="662" t="str">
        <f t="shared" si="239"/>
        <v>FRD</v>
      </c>
      <c r="AM2212" s="662" t="str">
        <f t="shared" si="242"/>
        <v>F150-Super Cab XL-4WD-6-8'-9000-5.0L FFV-8-X1E-100A-163.7-23-E85-Unleaded</v>
      </c>
      <c r="AN2212" s="662" t="str">
        <f t="shared" si="240"/>
        <v>2019-LTK-FRD-F150-079</v>
      </c>
    </row>
    <row r="2213" spans="1:40" s="572" customFormat="1" ht="15">
      <c r="A2213" s="570" t="s">
        <v>4068</v>
      </c>
      <c r="B2213" s="573" t="s">
        <v>4069</v>
      </c>
      <c r="C2213" s="573" t="s">
        <v>269</v>
      </c>
      <c r="D2213" s="578" t="s">
        <v>270</v>
      </c>
      <c r="E2213" s="573" t="s">
        <v>3374</v>
      </c>
      <c r="F2213" s="573" t="s">
        <v>152</v>
      </c>
      <c r="G2213" s="573" t="s">
        <v>271</v>
      </c>
      <c r="H2213" s="573">
        <v>2019</v>
      </c>
      <c r="I2213" s="573" t="s">
        <v>3765</v>
      </c>
      <c r="J2213" s="573" t="s">
        <v>4070</v>
      </c>
      <c r="K2213" s="573" t="s">
        <v>3377</v>
      </c>
      <c r="L2213" s="573">
        <v>6</v>
      </c>
      <c r="M2213" s="573">
        <v>0</v>
      </c>
      <c r="N2213" s="573" t="s">
        <v>157</v>
      </c>
      <c r="O2213" s="573">
        <v>2</v>
      </c>
      <c r="P2213" s="573" t="s">
        <v>3781</v>
      </c>
      <c r="Q2213" s="571">
        <v>10800</v>
      </c>
      <c r="R2213" s="573" t="s">
        <v>1259</v>
      </c>
      <c r="S2213" s="573">
        <v>6</v>
      </c>
      <c r="T2213" s="573" t="s">
        <v>3997</v>
      </c>
      <c r="U2213" s="573" t="s">
        <v>318</v>
      </c>
      <c r="V2213" s="573">
        <v>145</v>
      </c>
      <c r="W2213" s="573">
        <v>23</v>
      </c>
      <c r="X2213" s="571">
        <v>6900</v>
      </c>
      <c r="Y2213" s="573">
        <v>21</v>
      </c>
      <c r="Z2213" s="579" t="s">
        <v>178</v>
      </c>
      <c r="AA2213" s="579" t="s">
        <v>178</v>
      </c>
      <c r="AB2213" s="584">
        <v>41160</v>
      </c>
      <c r="AC2213" s="584" t="s">
        <v>164</v>
      </c>
      <c r="AD2213" s="584">
        <v>28735.452631578948</v>
      </c>
      <c r="AE2213" s="586">
        <v>0.03</v>
      </c>
      <c r="AF2213" s="661" t="str">
        <f t="shared" si="241"/>
        <v>2019-LTK-FRD-F150-080-05</v>
      </c>
      <c r="AG2213" s="661" t="str">
        <f>IF(AND($Y2213&gt;=32,(AI2213="I"),(Y2213&lt;&gt;"~"),(COUNTIF($AN$1:$AN2213,$AN2213)=1)),"TRUE","FALSE")</f>
        <v>FALSE</v>
      </c>
      <c r="AH2213" s="661" t="str">
        <f>IF(AND($Y2213&gt;=22, (AI2213&lt;&gt;"I"),(Y2213&lt;&gt;"~"),(COUNTIF($AN$1:$AN2213,$AN2213)=1)),"TRUE","FALSE")</f>
        <v>FALSE</v>
      </c>
      <c r="AI2213" s="661" t="str">
        <f t="shared" si="243"/>
        <v>II</v>
      </c>
      <c r="AJ2213" s="662" t="str">
        <f t="shared" si="237"/>
        <v>F150-080</v>
      </c>
      <c r="AK2213" s="662" t="str">
        <f t="shared" si="238"/>
        <v>LTK</v>
      </c>
      <c r="AL2213" s="662" t="str">
        <f t="shared" si="239"/>
        <v>FRD</v>
      </c>
      <c r="AM2213" s="662" t="str">
        <f t="shared" si="242"/>
        <v>F150-Super Cab XLT-2WD-6-6'5"-10800-3.5L EcoBoost-6-X1C-300A-145-23-Unleaded-Unleaded</v>
      </c>
      <c r="AN2213" s="662" t="str">
        <f t="shared" si="240"/>
        <v>2019-LTK-FRD-F150-080</v>
      </c>
    </row>
    <row r="2214" spans="1:40" s="572" customFormat="1" ht="15">
      <c r="A2214" s="570" t="s">
        <v>4071</v>
      </c>
      <c r="B2214" s="569" t="s">
        <v>4072</v>
      </c>
      <c r="C2214" s="569" t="s">
        <v>269</v>
      </c>
      <c r="D2214" s="580" t="s">
        <v>270</v>
      </c>
      <c r="E2214" s="569" t="s">
        <v>3374</v>
      </c>
      <c r="F2214" s="569" t="s">
        <v>152</v>
      </c>
      <c r="G2214" s="569" t="s">
        <v>271</v>
      </c>
      <c r="H2214" s="569">
        <v>2019</v>
      </c>
      <c r="I2214" s="569" t="s">
        <v>3765</v>
      </c>
      <c r="J2214" s="569" t="s">
        <v>4070</v>
      </c>
      <c r="K2214" s="569" t="s">
        <v>3377</v>
      </c>
      <c r="L2214" s="569">
        <v>6</v>
      </c>
      <c r="M2214" s="569">
        <v>0</v>
      </c>
      <c r="N2214" s="569" t="s">
        <v>157</v>
      </c>
      <c r="O2214" s="569">
        <v>2</v>
      </c>
      <c r="P2214" s="569" t="s">
        <v>3781</v>
      </c>
      <c r="Q2214" s="568">
        <v>5100</v>
      </c>
      <c r="R2214" s="569" t="s">
        <v>3772</v>
      </c>
      <c r="S2214" s="569">
        <v>6</v>
      </c>
      <c r="T2214" s="569" t="s">
        <v>3997</v>
      </c>
      <c r="U2214" s="569" t="s">
        <v>318</v>
      </c>
      <c r="V2214" s="569">
        <v>145</v>
      </c>
      <c r="W2214" s="569">
        <v>23</v>
      </c>
      <c r="X2214" s="568">
        <v>6100</v>
      </c>
      <c r="Y2214" s="569">
        <v>22</v>
      </c>
      <c r="Z2214" s="581" t="s">
        <v>450</v>
      </c>
      <c r="AA2214" s="581" t="s">
        <v>178</v>
      </c>
      <c r="AB2214" s="585">
        <v>38565</v>
      </c>
      <c r="AC2214" s="585" t="s">
        <v>164</v>
      </c>
      <c r="AD2214" s="585">
        <v>26405.978947368421</v>
      </c>
      <c r="AE2214" s="587">
        <v>0.03</v>
      </c>
      <c r="AF2214" s="661" t="str">
        <f t="shared" si="241"/>
        <v>2019-LTK-FRD-F150-081-05</v>
      </c>
      <c r="AG2214" s="661" t="str">
        <f>IF(AND($Y2214&gt;=32,(AI2214="I"),(Y2214&lt;&gt;"~"),(COUNTIF($AN$1:$AN2214,$AN2214)=1)),"TRUE","FALSE")</f>
        <v>FALSE</v>
      </c>
      <c r="AH2214" s="661" t="str">
        <f>IF(AND($Y2214&gt;=22, (AI2214&lt;&gt;"I"),(Y2214&lt;&gt;"~"),(COUNTIF($AN$1:$AN2214,$AN2214)=1)),"TRUE","FALSE")</f>
        <v>TRUE</v>
      </c>
      <c r="AI2214" s="661" t="str">
        <f t="shared" si="243"/>
        <v>II</v>
      </c>
      <c r="AJ2214" s="662" t="str">
        <f t="shared" si="237"/>
        <v>F150-081</v>
      </c>
      <c r="AK2214" s="662" t="str">
        <f t="shared" si="238"/>
        <v>LTK</v>
      </c>
      <c r="AL2214" s="662" t="str">
        <f t="shared" si="239"/>
        <v>FRD</v>
      </c>
      <c r="AM2214" s="662" t="str">
        <f t="shared" si="242"/>
        <v>F150-Super Cab XLT-2WD-6-6'5"-5100-3.3L FFV-6-X1C-300A-145-23-E85-Unleaded</v>
      </c>
      <c r="AN2214" s="662" t="str">
        <f t="shared" si="240"/>
        <v>2019-LTK-FRD-F150-081</v>
      </c>
    </row>
    <row r="2215" spans="1:40" s="572" customFormat="1" ht="15">
      <c r="A2215" s="570" t="s">
        <v>4073</v>
      </c>
      <c r="B2215" s="573" t="s">
        <v>4074</v>
      </c>
      <c r="C2215" s="573" t="s">
        <v>269</v>
      </c>
      <c r="D2215" s="578" t="s">
        <v>270</v>
      </c>
      <c r="E2215" s="573" t="s">
        <v>3374</v>
      </c>
      <c r="F2215" s="573" t="s">
        <v>152</v>
      </c>
      <c r="G2215" s="573" t="s">
        <v>271</v>
      </c>
      <c r="H2215" s="573">
        <v>2019</v>
      </c>
      <c r="I2215" s="573" t="s">
        <v>3765</v>
      </c>
      <c r="J2215" s="573" t="s">
        <v>4070</v>
      </c>
      <c r="K2215" s="573" t="s">
        <v>3377</v>
      </c>
      <c r="L2215" s="573">
        <v>6</v>
      </c>
      <c r="M2215" s="573">
        <v>0</v>
      </c>
      <c r="N2215" s="573" t="s">
        <v>157</v>
      </c>
      <c r="O2215" s="573">
        <v>2</v>
      </c>
      <c r="P2215" s="573" t="s">
        <v>3781</v>
      </c>
      <c r="Q2215" s="571">
        <v>7600</v>
      </c>
      <c r="R2215" s="573" t="s">
        <v>3841</v>
      </c>
      <c r="S2215" s="573">
        <v>6</v>
      </c>
      <c r="T2215" s="573" t="s">
        <v>3997</v>
      </c>
      <c r="U2215" s="573" t="s">
        <v>318</v>
      </c>
      <c r="V2215" s="573">
        <v>145</v>
      </c>
      <c r="W2215" s="573">
        <v>23</v>
      </c>
      <c r="X2215" s="571">
        <v>6250</v>
      </c>
      <c r="Y2215" s="573">
        <v>22</v>
      </c>
      <c r="Z2215" s="579" t="s">
        <v>178</v>
      </c>
      <c r="AA2215" s="579" t="s">
        <v>178</v>
      </c>
      <c r="AB2215" s="584">
        <v>39160</v>
      </c>
      <c r="AC2215" s="584" t="s">
        <v>164</v>
      </c>
      <c r="AD2215" s="584">
        <v>27299.663157894738</v>
      </c>
      <c r="AE2215" s="586">
        <v>0.03</v>
      </c>
      <c r="AF2215" s="661" t="str">
        <f t="shared" si="241"/>
        <v>2019-LTK-FRD-F150-082-05</v>
      </c>
      <c r="AG2215" s="661" t="str">
        <f>IF(AND($Y2215&gt;=32,(AI2215="I"),(Y2215&lt;&gt;"~"),(COUNTIF($AN$1:$AN2215,$AN2215)=1)),"TRUE","FALSE")</f>
        <v>FALSE</v>
      </c>
      <c r="AH2215" s="661" t="str">
        <f>IF(AND($Y2215&gt;=22, (AI2215&lt;&gt;"I"),(Y2215&lt;&gt;"~"),(COUNTIF($AN$1:$AN2215,$AN2215)=1)),"TRUE","FALSE")</f>
        <v>TRUE</v>
      </c>
      <c r="AI2215" s="661" t="str">
        <f t="shared" si="243"/>
        <v>II</v>
      </c>
      <c r="AJ2215" s="662" t="str">
        <f t="shared" si="237"/>
        <v>F150-082</v>
      </c>
      <c r="AK2215" s="662" t="str">
        <f t="shared" si="238"/>
        <v>LTK</v>
      </c>
      <c r="AL2215" s="662" t="str">
        <f t="shared" si="239"/>
        <v>FRD</v>
      </c>
      <c r="AM2215" s="662" t="str">
        <f t="shared" si="242"/>
        <v>F150-Super Cab XLT-2WD-6-6'5"-7600-2.7L EcoBoost-6-X1C-300A-145-23-Unleaded-Unleaded</v>
      </c>
      <c r="AN2215" s="662" t="str">
        <f t="shared" si="240"/>
        <v>2019-LTK-FRD-F150-082</v>
      </c>
    </row>
    <row r="2216" spans="1:40" s="572" customFormat="1" ht="15">
      <c r="A2216" s="570" t="s">
        <v>4075</v>
      </c>
      <c r="B2216" s="569" t="s">
        <v>4076</v>
      </c>
      <c r="C2216" s="569" t="s">
        <v>269</v>
      </c>
      <c r="D2216" s="580" t="s">
        <v>270</v>
      </c>
      <c r="E2216" s="569" t="s">
        <v>3374</v>
      </c>
      <c r="F2216" s="569" t="s">
        <v>152</v>
      </c>
      <c r="G2216" s="569" t="s">
        <v>271</v>
      </c>
      <c r="H2216" s="569">
        <v>2019</v>
      </c>
      <c r="I2216" s="569" t="s">
        <v>3765</v>
      </c>
      <c r="J2216" s="569" t="s">
        <v>4070</v>
      </c>
      <c r="K2216" s="569" t="s">
        <v>3377</v>
      </c>
      <c r="L2216" s="569">
        <v>6</v>
      </c>
      <c r="M2216" s="569">
        <v>0</v>
      </c>
      <c r="N2216" s="569" t="s">
        <v>157</v>
      </c>
      <c r="O2216" s="569">
        <v>2</v>
      </c>
      <c r="P2216" s="569" t="s">
        <v>3781</v>
      </c>
      <c r="Q2216" s="568">
        <v>9200</v>
      </c>
      <c r="R2216" s="569" t="s">
        <v>3778</v>
      </c>
      <c r="S2216" s="569">
        <v>8</v>
      </c>
      <c r="T2216" s="569" t="s">
        <v>3997</v>
      </c>
      <c r="U2216" s="569" t="s">
        <v>318</v>
      </c>
      <c r="V2216" s="569">
        <v>145</v>
      </c>
      <c r="W2216" s="569">
        <v>23</v>
      </c>
      <c r="X2216" s="568">
        <v>6900</v>
      </c>
      <c r="Y2216" s="569">
        <v>19</v>
      </c>
      <c r="Z2216" s="581" t="s">
        <v>450</v>
      </c>
      <c r="AA2216" s="581" t="s">
        <v>178</v>
      </c>
      <c r="AB2216" s="585">
        <v>40560</v>
      </c>
      <c r="AC2216" s="585" t="s">
        <v>164</v>
      </c>
      <c r="AD2216" s="585">
        <v>28196.505263157895</v>
      </c>
      <c r="AE2216" s="587">
        <v>0.03</v>
      </c>
      <c r="AF2216" s="661" t="str">
        <f t="shared" si="241"/>
        <v>2019-LTK-FRD-F150-084-05</v>
      </c>
      <c r="AG2216" s="661" t="str">
        <f>IF(AND($Y2216&gt;=32,(AI2216="I"),(Y2216&lt;&gt;"~"),(COUNTIF($AN$1:$AN2216,$AN2216)=1)),"TRUE","FALSE")</f>
        <v>FALSE</v>
      </c>
      <c r="AH2216" s="661" t="str">
        <f>IF(AND($Y2216&gt;=22, (AI2216&lt;&gt;"I"),(Y2216&lt;&gt;"~"),(COUNTIF($AN$1:$AN2216,$AN2216)=1)),"TRUE","FALSE")</f>
        <v>FALSE</v>
      </c>
      <c r="AI2216" s="661" t="str">
        <f t="shared" si="243"/>
        <v>II</v>
      </c>
      <c r="AJ2216" s="662" t="str">
        <f t="shared" si="237"/>
        <v>F150-084</v>
      </c>
      <c r="AK2216" s="662" t="str">
        <f t="shared" si="238"/>
        <v>LTK</v>
      </c>
      <c r="AL2216" s="662" t="str">
        <f t="shared" si="239"/>
        <v>FRD</v>
      </c>
      <c r="AM2216" s="662" t="str">
        <f t="shared" si="242"/>
        <v>F150-Super Cab XLT-2WD-6-6'5"-9200-5.0L FFV-8-X1C-300A-145-23-E85-Unleaded</v>
      </c>
      <c r="AN2216" s="662" t="str">
        <f t="shared" si="240"/>
        <v>2019-LTK-FRD-F150-084</v>
      </c>
    </row>
    <row r="2217" spans="1:40" s="572" customFormat="1" ht="15">
      <c r="A2217" s="570" t="s">
        <v>4077</v>
      </c>
      <c r="B2217" s="573" t="s">
        <v>4078</v>
      </c>
      <c r="C2217" s="573" t="s">
        <v>269</v>
      </c>
      <c r="D2217" s="578" t="s">
        <v>270</v>
      </c>
      <c r="E2217" s="573" t="s">
        <v>3374</v>
      </c>
      <c r="F2217" s="573" t="s">
        <v>152</v>
      </c>
      <c r="G2217" s="573" t="s">
        <v>271</v>
      </c>
      <c r="H2217" s="573">
        <v>2019</v>
      </c>
      <c r="I2217" s="573" t="s">
        <v>3765</v>
      </c>
      <c r="J2217" s="573" t="s">
        <v>4070</v>
      </c>
      <c r="K2217" s="573" t="s">
        <v>3377</v>
      </c>
      <c r="L2217" s="573">
        <v>6</v>
      </c>
      <c r="M2217" s="573">
        <v>0</v>
      </c>
      <c r="N2217" s="573" t="s">
        <v>157</v>
      </c>
      <c r="O2217" s="573">
        <v>2</v>
      </c>
      <c r="P2217" s="573" t="s">
        <v>3846</v>
      </c>
      <c r="Q2217" s="571">
        <v>10700</v>
      </c>
      <c r="R2217" s="573" t="s">
        <v>1259</v>
      </c>
      <c r="S2217" s="573">
        <v>6</v>
      </c>
      <c r="T2217" s="573" t="s">
        <v>3997</v>
      </c>
      <c r="U2217" s="573" t="s">
        <v>318</v>
      </c>
      <c r="V2217" s="573">
        <v>163.69999999999999</v>
      </c>
      <c r="W2217" s="573">
        <v>23</v>
      </c>
      <c r="X2217" s="571">
        <v>7050</v>
      </c>
      <c r="Y2217" s="573">
        <v>21</v>
      </c>
      <c r="Z2217" s="579" t="s">
        <v>178</v>
      </c>
      <c r="AA2217" s="579" t="s">
        <v>178</v>
      </c>
      <c r="AB2217" s="584">
        <v>41470</v>
      </c>
      <c r="AC2217" s="584" t="s">
        <v>164</v>
      </c>
      <c r="AD2217" s="584">
        <v>29027.031578947372</v>
      </c>
      <c r="AE2217" s="586">
        <v>0.03</v>
      </c>
      <c r="AF2217" s="661" t="str">
        <f t="shared" si="241"/>
        <v>2019-LTK-FRD-F150-085-05</v>
      </c>
      <c r="AG2217" s="661" t="str">
        <f>IF(AND($Y2217&gt;=32,(AI2217="I"),(Y2217&lt;&gt;"~"),(COUNTIF($AN$1:$AN2217,$AN2217)=1)),"TRUE","FALSE")</f>
        <v>FALSE</v>
      </c>
      <c r="AH2217" s="661" t="str">
        <f>IF(AND($Y2217&gt;=22, (AI2217&lt;&gt;"I"),(Y2217&lt;&gt;"~"),(COUNTIF($AN$1:$AN2217,$AN2217)=1)),"TRUE","FALSE")</f>
        <v>FALSE</v>
      </c>
      <c r="AI2217" s="661" t="str">
        <f t="shared" si="243"/>
        <v>II</v>
      </c>
      <c r="AJ2217" s="662" t="str">
        <f t="shared" si="237"/>
        <v>F150-085</v>
      </c>
      <c r="AK2217" s="662" t="str">
        <f t="shared" si="238"/>
        <v>LTK</v>
      </c>
      <c r="AL2217" s="662" t="str">
        <f t="shared" si="239"/>
        <v>FRD</v>
      </c>
      <c r="AM2217" s="662" t="str">
        <f t="shared" si="242"/>
        <v>F150-Super Cab XLT-2WD-6-8'-10700-3.5L EcoBoost-6-X1C-300A-163.7-23-Unleaded-Unleaded</v>
      </c>
      <c r="AN2217" s="662" t="str">
        <f t="shared" si="240"/>
        <v>2019-LTK-FRD-F150-085</v>
      </c>
    </row>
    <row r="2218" spans="1:40" s="572" customFormat="1" ht="15">
      <c r="A2218" s="570" t="s">
        <v>4079</v>
      </c>
      <c r="B2218" s="569" t="s">
        <v>4080</v>
      </c>
      <c r="C2218" s="569" t="s">
        <v>269</v>
      </c>
      <c r="D2218" s="580" t="s">
        <v>270</v>
      </c>
      <c r="E2218" s="569" t="s">
        <v>3374</v>
      </c>
      <c r="F2218" s="569" t="s">
        <v>152</v>
      </c>
      <c r="G2218" s="569" t="s">
        <v>271</v>
      </c>
      <c r="H2218" s="569">
        <v>2019</v>
      </c>
      <c r="I2218" s="569" t="s">
        <v>3765</v>
      </c>
      <c r="J2218" s="569" t="s">
        <v>4070</v>
      </c>
      <c r="K2218" s="569" t="s">
        <v>3377</v>
      </c>
      <c r="L2218" s="569">
        <v>6</v>
      </c>
      <c r="M2218" s="569">
        <v>0</v>
      </c>
      <c r="N2218" s="569" t="s">
        <v>157</v>
      </c>
      <c r="O2218" s="569">
        <v>2</v>
      </c>
      <c r="P2218" s="569" t="s">
        <v>3846</v>
      </c>
      <c r="Q2218" s="568">
        <v>7600</v>
      </c>
      <c r="R2218" s="569" t="s">
        <v>3841</v>
      </c>
      <c r="S2218" s="569">
        <v>6</v>
      </c>
      <c r="T2218" s="569" t="s">
        <v>3997</v>
      </c>
      <c r="U2218" s="569" t="s">
        <v>318</v>
      </c>
      <c r="V2218" s="569">
        <v>163.69999999999999</v>
      </c>
      <c r="W2218" s="569">
        <v>23</v>
      </c>
      <c r="X2218" s="568">
        <v>6500</v>
      </c>
      <c r="Y2218" s="569">
        <v>22</v>
      </c>
      <c r="Z2218" s="581" t="s">
        <v>178</v>
      </c>
      <c r="AA2218" s="581" t="s">
        <v>178</v>
      </c>
      <c r="AB2218" s="585">
        <v>39870</v>
      </c>
      <c r="AC2218" s="585" t="s">
        <v>164</v>
      </c>
      <c r="AD2218" s="585">
        <v>27591.242105263158</v>
      </c>
      <c r="AE2218" s="587">
        <v>0.03</v>
      </c>
      <c r="AF2218" s="661" t="str">
        <f t="shared" si="241"/>
        <v>2019-LTK-FRD-F150-086-05</v>
      </c>
      <c r="AG2218" s="661" t="str">
        <f>IF(AND($Y2218&gt;=32,(AI2218="I"),(Y2218&lt;&gt;"~"),(COUNTIF($AN$1:$AN2218,$AN2218)=1)),"TRUE","FALSE")</f>
        <v>FALSE</v>
      </c>
      <c r="AH2218" s="661" t="str">
        <f>IF(AND($Y2218&gt;=22, (AI2218&lt;&gt;"I"),(Y2218&lt;&gt;"~"),(COUNTIF($AN$1:$AN2218,$AN2218)=1)),"TRUE","FALSE")</f>
        <v>TRUE</v>
      </c>
      <c r="AI2218" s="661" t="str">
        <f t="shared" si="243"/>
        <v>II</v>
      </c>
      <c r="AJ2218" s="662" t="str">
        <f t="shared" si="237"/>
        <v>F150-086</v>
      </c>
      <c r="AK2218" s="662" t="str">
        <f t="shared" si="238"/>
        <v>LTK</v>
      </c>
      <c r="AL2218" s="662" t="str">
        <f t="shared" si="239"/>
        <v>FRD</v>
      </c>
      <c r="AM2218" s="662" t="str">
        <f t="shared" si="242"/>
        <v>F150-Super Cab XLT-2WD-6-8'-7600-2.7L EcoBoost-6-X1C-300A-163.7-23-Unleaded-Unleaded</v>
      </c>
      <c r="AN2218" s="662" t="str">
        <f t="shared" si="240"/>
        <v>2019-LTK-FRD-F150-086</v>
      </c>
    </row>
    <row r="2219" spans="1:40" s="572" customFormat="1" ht="15">
      <c r="A2219" s="570" t="s">
        <v>4081</v>
      </c>
      <c r="B2219" s="573" t="s">
        <v>4082</v>
      </c>
      <c r="C2219" s="573" t="s">
        <v>269</v>
      </c>
      <c r="D2219" s="578" t="s">
        <v>270</v>
      </c>
      <c r="E2219" s="573" t="s">
        <v>3374</v>
      </c>
      <c r="F2219" s="573" t="s">
        <v>152</v>
      </c>
      <c r="G2219" s="573" t="s">
        <v>271</v>
      </c>
      <c r="H2219" s="573">
        <v>2019</v>
      </c>
      <c r="I2219" s="573" t="s">
        <v>3765</v>
      </c>
      <c r="J2219" s="573" t="s">
        <v>4070</v>
      </c>
      <c r="K2219" s="573" t="s">
        <v>3377</v>
      </c>
      <c r="L2219" s="573">
        <v>6</v>
      </c>
      <c r="M2219" s="573">
        <v>0</v>
      </c>
      <c r="N2219" s="573" t="s">
        <v>157</v>
      </c>
      <c r="O2219" s="573">
        <v>2</v>
      </c>
      <c r="P2219" s="573" t="s">
        <v>3846</v>
      </c>
      <c r="Q2219" s="571">
        <v>9200</v>
      </c>
      <c r="R2219" s="573" t="s">
        <v>3778</v>
      </c>
      <c r="S2219" s="573">
        <v>8</v>
      </c>
      <c r="T2219" s="573" t="s">
        <v>3997</v>
      </c>
      <c r="U2219" s="573" t="s">
        <v>318</v>
      </c>
      <c r="V2219" s="573">
        <v>163.69999999999999</v>
      </c>
      <c r="W2219" s="573">
        <v>23</v>
      </c>
      <c r="X2219" s="571">
        <v>7000</v>
      </c>
      <c r="Y2219" s="573">
        <v>19</v>
      </c>
      <c r="Z2219" s="579" t="s">
        <v>450</v>
      </c>
      <c r="AA2219" s="579" t="s">
        <v>178</v>
      </c>
      <c r="AB2219" s="584">
        <v>40870</v>
      </c>
      <c r="AC2219" s="584" t="s">
        <v>164</v>
      </c>
      <c r="AD2219" s="584">
        <v>28488.084210526318</v>
      </c>
      <c r="AE2219" s="586">
        <v>0.03</v>
      </c>
      <c r="AF2219" s="661" t="str">
        <f t="shared" si="241"/>
        <v>2019-LTK-FRD-F150-088-05</v>
      </c>
      <c r="AG2219" s="661" t="str">
        <f>IF(AND($Y2219&gt;=32,(AI2219="I"),(Y2219&lt;&gt;"~"),(COUNTIF($AN$1:$AN2219,$AN2219)=1)),"TRUE","FALSE")</f>
        <v>FALSE</v>
      </c>
      <c r="AH2219" s="661" t="str">
        <f>IF(AND($Y2219&gt;=22, (AI2219&lt;&gt;"I"),(Y2219&lt;&gt;"~"),(COUNTIF($AN$1:$AN2219,$AN2219)=1)),"TRUE","FALSE")</f>
        <v>FALSE</v>
      </c>
      <c r="AI2219" s="661" t="str">
        <f t="shared" si="243"/>
        <v>II</v>
      </c>
      <c r="AJ2219" s="662" t="str">
        <f t="shared" si="237"/>
        <v>F150-088</v>
      </c>
      <c r="AK2219" s="662" t="str">
        <f t="shared" si="238"/>
        <v>LTK</v>
      </c>
      <c r="AL2219" s="662" t="str">
        <f t="shared" si="239"/>
        <v>FRD</v>
      </c>
      <c r="AM2219" s="662" t="str">
        <f t="shared" si="242"/>
        <v>F150-Super Cab XLT-2WD-6-8'-9200-5.0L FFV-8-X1C-300A-163.7-23-E85-Unleaded</v>
      </c>
      <c r="AN2219" s="662" t="str">
        <f t="shared" si="240"/>
        <v>2019-LTK-FRD-F150-088</v>
      </c>
    </row>
    <row r="2220" spans="1:40" s="572" customFormat="1" ht="15">
      <c r="A2220" s="570" t="s">
        <v>4083</v>
      </c>
      <c r="B2220" s="569" t="s">
        <v>4069</v>
      </c>
      <c r="C2220" s="569" t="s">
        <v>278</v>
      </c>
      <c r="D2220" s="580">
        <v>15</v>
      </c>
      <c r="E2220" s="569" t="s">
        <v>3374</v>
      </c>
      <c r="F2220" s="569" t="s">
        <v>152</v>
      </c>
      <c r="G2220" s="569" t="s">
        <v>271</v>
      </c>
      <c r="H2220" s="569">
        <v>2019</v>
      </c>
      <c r="I2220" s="569" t="s">
        <v>3765</v>
      </c>
      <c r="J2220" s="569" t="s">
        <v>4070</v>
      </c>
      <c r="K2220" s="569" t="s">
        <v>3377</v>
      </c>
      <c r="L2220" s="569">
        <v>6</v>
      </c>
      <c r="M2220" s="569">
        <v>0</v>
      </c>
      <c r="N2220" s="569" t="s">
        <v>157</v>
      </c>
      <c r="O2220" s="569">
        <v>2</v>
      </c>
      <c r="P2220" s="569" t="s">
        <v>3781</v>
      </c>
      <c r="Q2220" s="568">
        <v>10800</v>
      </c>
      <c r="R2220" s="569" t="s">
        <v>1259</v>
      </c>
      <c r="S2220" s="569">
        <v>6</v>
      </c>
      <c r="T2220" s="569" t="s">
        <v>3997</v>
      </c>
      <c r="U2220" s="569" t="s">
        <v>318</v>
      </c>
      <c r="V2220" s="569">
        <v>145</v>
      </c>
      <c r="W2220" s="569">
        <v>23</v>
      </c>
      <c r="X2220" s="568">
        <v>6900</v>
      </c>
      <c r="Y2220" s="569">
        <v>20</v>
      </c>
      <c r="Z2220" s="581" t="s">
        <v>178</v>
      </c>
      <c r="AA2220" s="581" t="s">
        <v>178</v>
      </c>
      <c r="AB2220" s="585">
        <v>41160</v>
      </c>
      <c r="AC2220" s="585" t="s">
        <v>164</v>
      </c>
      <c r="AD2220" s="585">
        <v>28800</v>
      </c>
      <c r="AE2220" s="587">
        <v>0.01</v>
      </c>
      <c r="AF2220" s="661" t="str">
        <f t="shared" si="241"/>
        <v>2019-LTK-FRD-F150-080-15</v>
      </c>
      <c r="AG2220" s="661" t="str">
        <f>IF(AND($Y2220&gt;=32,(AI2220="I"),(Y2220&lt;&gt;"~"),(COUNTIF($AN$1:$AN2220,$AN2220)=1)),"TRUE","FALSE")</f>
        <v>FALSE</v>
      </c>
      <c r="AH2220" s="661" t="str">
        <f>IF(AND($Y2220&gt;=22, (AI2220&lt;&gt;"I"),(Y2220&lt;&gt;"~"),(COUNTIF($AN$1:$AN2220,$AN2220)=1)),"TRUE","FALSE")</f>
        <v>FALSE</v>
      </c>
      <c r="AI2220" s="661" t="str">
        <f t="shared" si="243"/>
        <v>II</v>
      </c>
      <c r="AJ2220" s="662" t="str">
        <f t="shared" si="237"/>
        <v>F150-080</v>
      </c>
      <c r="AK2220" s="662" t="str">
        <f t="shared" si="238"/>
        <v>LTK</v>
      </c>
      <c r="AL2220" s="662" t="str">
        <f t="shared" si="239"/>
        <v>FRD</v>
      </c>
      <c r="AM2220" s="662" t="str">
        <f t="shared" si="242"/>
        <v>F150-Super Cab XLT-2WD-6-6'5"-10800-3.5L EcoBoost-6-X1C-300A-145-23-Unleaded-Unleaded</v>
      </c>
      <c r="AN2220" s="662" t="str">
        <f t="shared" si="240"/>
        <v>2019-LTK-FRD-F150-080</v>
      </c>
    </row>
    <row r="2221" spans="1:40" s="572" customFormat="1" ht="15">
      <c r="A2221" s="570" t="s">
        <v>4084</v>
      </c>
      <c r="B2221" s="573" t="s">
        <v>4072</v>
      </c>
      <c r="C2221" s="573" t="s">
        <v>278</v>
      </c>
      <c r="D2221" s="578">
        <v>15</v>
      </c>
      <c r="E2221" s="573" t="s">
        <v>3374</v>
      </c>
      <c r="F2221" s="573" t="s">
        <v>152</v>
      </c>
      <c r="G2221" s="573" t="s">
        <v>271</v>
      </c>
      <c r="H2221" s="573">
        <v>2019</v>
      </c>
      <c r="I2221" s="573" t="s">
        <v>3765</v>
      </c>
      <c r="J2221" s="573" t="s">
        <v>4070</v>
      </c>
      <c r="K2221" s="573" t="s">
        <v>3377</v>
      </c>
      <c r="L2221" s="573">
        <v>6</v>
      </c>
      <c r="M2221" s="573">
        <v>0</v>
      </c>
      <c r="N2221" s="573" t="s">
        <v>157</v>
      </c>
      <c r="O2221" s="573">
        <v>2</v>
      </c>
      <c r="P2221" s="573" t="s">
        <v>3781</v>
      </c>
      <c r="Q2221" s="571">
        <v>5100</v>
      </c>
      <c r="R2221" s="573" t="s">
        <v>3772</v>
      </c>
      <c r="S2221" s="573">
        <v>6</v>
      </c>
      <c r="T2221" s="573" t="s">
        <v>3997</v>
      </c>
      <c r="U2221" s="573" t="s">
        <v>318</v>
      </c>
      <c r="V2221" s="573">
        <v>145</v>
      </c>
      <c r="W2221" s="573">
        <v>23</v>
      </c>
      <c r="X2221" s="571">
        <v>6100</v>
      </c>
      <c r="Y2221" s="573">
        <v>20</v>
      </c>
      <c r="Z2221" s="579" t="s">
        <v>450</v>
      </c>
      <c r="AA2221" s="579" t="s">
        <v>178</v>
      </c>
      <c r="AB2221" s="584">
        <v>38565</v>
      </c>
      <c r="AC2221" s="584" t="s">
        <v>164</v>
      </c>
      <c r="AD2221" s="584">
        <v>26500</v>
      </c>
      <c r="AE2221" s="586">
        <v>0.01</v>
      </c>
      <c r="AF2221" s="661" t="str">
        <f t="shared" si="241"/>
        <v>2019-LTK-FRD-F150-081-15</v>
      </c>
      <c r="AG2221" s="661" t="str">
        <f>IF(AND($Y2221&gt;=32,(AI2221="I"),(Y2221&lt;&gt;"~"),(COUNTIF($AN$1:$AN2221,$AN2221)=1)),"TRUE","FALSE")</f>
        <v>FALSE</v>
      </c>
      <c r="AH2221" s="661" t="str">
        <f>IF(AND($Y2221&gt;=22, (AI2221&lt;&gt;"I"),(Y2221&lt;&gt;"~"),(COUNTIF($AN$1:$AN2221,$AN2221)=1)),"TRUE","FALSE")</f>
        <v>FALSE</v>
      </c>
      <c r="AI2221" s="661" t="str">
        <f t="shared" si="243"/>
        <v>II</v>
      </c>
      <c r="AJ2221" s="662" t="str">
        <f t="shared" si="237"/>
        <v>F150-081</v>
      </c>
      <c r="AK2221" s="662" t="str">
        <f t="shared" si="238"/>
        <v>LTK</v>
      </c>
      <c r="AL2221" s="662" t="str">
        <f t="shared" si="239"/>
        <v>FRD</v>
      </c>
      <c r="AM2221" s="662" t="str">
        <f t="shared" si="242"/>
        <v>F150-Super Cab XLT-2WD-6-6'5"-5100-3.3L FFV-6-X1C-300A-145-23-E85-Unleaded</v>
      </c>
      <c r="AN2221" s="662" t="str">
        <f t="shared" si="240"/>
        <v>2019-LTK-FRD-F150-081</v>
      </c>
    </row>
    <row r="2222" spans="1:40" s="572" customFormat="1" ht="15">
      <c r="A2222" s="570" t="s">
        <v>4085</v>
      </c>
      <c r="B2222" s="569" t="s">
        <v>4074</v>
      </c>
      <c r="C2222" s="569" t="s">
        <v>278</v>
      </c>
      <c r="D2222" s="580">
        <v>15</v>
      </c>
      <c r="E2222" s="569" t="s">
        <v>3374</v>
      </c>
      <c r="F2222" s="569" t="s">
        <v>152</v>
      </c>
      <c r="G2222" s="569" t="s">
        <v>271</v>
      </c>
      <c r="H2222" s="569">
        <v>2019</v>
      </c>
      <c r="I2222" s="569" t="s">
        <v>3765</v>
      </c>
      <c r="J2222" s="569" t="s">
        <v>4070</v>
      </c>
      <c r="K2222" s="569" t="s">
        <v>3377</v>
      </c>
      <c r="L2222" s="569">
        <v>6</v>
      </c>
      <c r="M2222" s="569">
        <v>0</v>
      </c>
      <c r="N2222" s="569" t="s">
        <v>157</v>
      </c>
      <c r="O2222" s="569">
        <v>2</v>
      </c>
      <c r="P2222" s="569" t="s">
        <v>3781</v>
      </c>
      <c r="Q2222" s="568">
        <v>7600</v>
      </c>
      <c r="R2222" s="569" t="s">
        <v>3841</v>
      </c>
      <c r="S2222" s="569">
        <v>6</v>
      </c>
      <c r="T2222" s="569" t="s">
        <v>3997</v>
      </c>
      <c r="U2222" s="569" t="s">
        <v>318</v>
      </c>
      <c r="V2222" s="569">
        <v>145</v>
      </c>
      <c r="W2222" s="569">
        <v>23</v>
      </c>
      <c r="X2222" s="568">
        <v>6250</v>
      </c>
      <c r="Y2222" s="569">
        <v>22</v>
      </c>
      <c r="Z2222" s="581" t="s">
        <v>178</v>
      </c>
      <c r="AA2222" s="581" t="s">
        <v>178</v>
      </c>
      <c r="AB2222" s="585">
        <v>39560</v>
      </c>
      <c r="AC2222" s="585" t="s">
        <v>164</v>
      </c>
      <c r="AD2222" s="585">
        <v>27400</v>
      </c>
      <c r="AE2222" s="587">
        <v>0.01</v>
      </c>
      <c r="AF2222" s="661" t="str">
        <f t="shared" si="241"/>
        <v>2019-LTK-FRD-F150-082-15</v>
      </c>
      <c r="AG2222" s="661" t="str">
        <f>IF(AND($Y2222&gt;=32,(AI2222="I"),(Y2222&lt;&gt;"~"),(COUNTIF($AN$1:$AN2222,$AN2222)=1)),"TRUE","FALSE")</f>
        <v>FALSE</v>
      </c>
      <c r="AH2222" s="661" t="str">
        <f>IF(AND($Y2222&gt;=22, (AI2222&lt;&gt;"I"),(Y2222&lt;&gt;"~"),(COUNTIF($AN$1:$AN2222,$AN2222)=1)),"TRUE","FALSE")</f>
        <v>FALSE</v>
      </c>
      <c r="AI2222" s="661" t="str">
        <f t="shared" si="243"/>
        <v>II</v>
      </c>
      <c r="AJ2222" s="662" t="str">
        <f t="shared" si="237"/>
        <v>F150-082</v>
      </c>
      <c r="AK2222" s="662" t="str">
        <f t="shared" si="238"/>
        <v>LTK</v>
      </c>
      <c r="AL2222" s="662" t="str">
        <f t="shared" si="239"/>
        <v>FRD</v>
      </c>
      <c r="AM2222" s="662" t="str">
        <f t="shared" si="242"/>
        <v>F150-Super Cab XLT-2WD-6-6'5"-7600-2.7L EcoBoost-6-X1C-300A-145-23-Unleaded-Unleaded</v>
      </c>
      <c r="AN2222" s="662" t="str">
        <f t="shared" si="240"/>
        <v>2019-LTK-FRD-F150-082</v>
      </c>
    </row>
    <row r="2223" spans="1:40" s="572" customFormat="1" ht="15">
      <c r="A2223" s="570" t="s">
        <v>4086</v>
      </c>
      <c r="B2223" s="573" t="s">
        <v>4076</v>
      </c>
      <c r="C2223" s="573" t="s">
        <v>278</v>
      </c>
      <c r="D2223" s="578">
        <v>15</v>
      </c>
      <c r="E2223" s="573" t="s">
        <v>3374</v>
      </c>
      <c r="F2223" s="573" t="s">
        <v>152</v>
      </c>
      <c r="G2223" s="573" t="s">
        <v>271</v>
      </c>
      <c r="H2223" s="573">
        <v>2019</v>
      </c>
      <c r="I2223" s="573" t="s">
        <v>3765</v>
      </c>
      <c r="J2223" s="573" t="s">
        <v>4070</v>
      </c>
      <c r="K2223" s="573" t="s">
        <v>3377</v>
      </c>
      <c r="L2223" s="573">
        <v>6</v>
      </c>
      <c r="M2223" s="573">
        <v>0</v>
      </c>
      <c r="N2223" s="573" t="s">
        <v>157</v>
      </c>
      <c r="O2223" s="573">
        <v>2</v>
      </c>
      <c r="P2223" s="573" t="s">
        <v>3781</v>
      </c>
      <c r="Q2223" s="571">
        <v>9200</v>
      </c>
      <c r="R2223" s="573" t="s">
        <v>3778</v>
      </c>
      <c r="S2223" s="573">
        <v>8</v>
      </c>
      <c r="T2223" s="573" t="s">
        <v>3997</v>
      </c>
      <c r="U2223" s="573" t="s">
        <v>318</v>
      </c>
      <c r="V2223" s="573">
        <v>145</v>
      </c>
      <c r="W2223" s="573">
        <v>23</v>
      </c>
      <c r="X2223" s="571">
        <v>6900</v>
      </c>
      <c r="Y2223" s="573">
        <v>18</v>
      </c>
      <c r="Z2223" s="579" t="s">
        <v>450</v>
      </c>
      <c r="AA2223" s="579" t="s">
        <v>178</v>
      </c>
      <c r="AB2223" s="584">
        <v>40560</v>
      </c>
      <c r="AC2223" s="584" t="s">
        <v>164</v>
      </c>
      <c r="AD2223" s="584">
        <v>28300</v>
      </c>
      <c r="AE2223" s="586">
        <v>0.01</v>
      </c>
      <c r="AF2223" s="661" t="str">
        <f t="shared" si="241"/>
        <v>2019-LTK-FRD-F150-084-15</v>
      </c>
      <c r="AG2223" s="661" t="str">
        <f>IF(AND($Y2223&gt;=32,(AI2223="I"),(Y2223&lt;&gt;"~"),(COUNTIF($AN$1:$AN2223,$AN2223)=1)),"TRUE","FALSE")</f>
        <v>FALSE</v>
      </c>
      <c r="AH2223" s="661" t="str">
        <f>IF(AND($Y2223&gt;=22, (AI2223&lt;&gt;"I"),(Y2223&lt;&gt;"~"),(COUNTIF($AN$1:$AN2223,$AN2223)=1)),"TRUE","FALSE")</f>
        <v>FALSE</v>
      </c>
      <c r="AI2223" s="661" t="str">
        <f t="shared" si="243"/>
        <v>II</v>
      </c>
      <c r="AJ2223" s="662" t="str">
        <f t="shared" si="237"/>
        <v>F150-084</v>
      </c>
      <c r="AK2223" s="662" t="str">
        <f t="shared" si="238"/>
        <v>LTK</v>
      </c>
      <c r="AL2223" s="662" t="str">
        <f t="shared" si="239"/>
        <v>FRD</v>
      </c>
      <c r="AM2223" s="662" t="str">
        <f t="shared" si="242"/>
        <v>F150-Super Cab XLT-2WD-6-6'5"-9200-5.0L FFV-8-X1C-300A-145-23-E85-Unleaded</v>
      </c>
      <c r="AN2223" s="662" t="str">
        <f t="shared" si="240"/>
        <v>2019-LTK-FRD-F150-084</v>
      </c>
    </row>
    <row r="2224" spans="1:40" s="572" customFormat="1" ht="15">
      <c r="A2224" s="570" t="s">
        <v>4087</v>
      </c>
      <c r="B2224" s="569" t="s">
        <v>4078</v>
      </c>
      <c r="C2224" s="569" t="s">
        <v>278</v>
      </c>
      <c r="D2224" s="580">
        <v>15</v>
      </c>
      <c r="E2224" s="569" t="s">
        <v>3374</v>
      </c>
      <c r="F2224" s="569" t="s">
        <v>152</v>
      </c>
      <c r="G2224" s="569" t="s">
        <v>271</v>
      </c>
      <c r="H2224" s="569">
        <v>2019</v>
      </c>
      <c r="I2224" s="569" t="s">
        <v>3765</v>
      </c>
      <c r="J2224" s="569" t="s">
        <v>4070</v>
      </c>
      <c r="K2224" s="569" t="s">
        <v>3377</v>
      </c>
      <c r="L2224" s="569">
        <v>6</v>
      </c>
      <c r="M2224" s="569">
        <v>0</v>
      </c>
      <c r="N2224" s="569" t="s">
        <v>157</v>
      </c>
      <c r="O2224" s="569">
        <v>2</v>
      </c>
      <c r="P2224" s="569" t="s">
        <v>3846</v>
      </c>
      <c r="Q2224" s="568">
        <v>10700</v>
      </c>
      <c r="R2224" s="569" t="s">
        <v>1259</v>
      </c>
      <c r="S2224" s="569">
        <v>6</v>
      </c>
      <c r="T2224" s="569" t="s">
        <v>3997</v>
      </c>
      <c r="U2224" s="569" t="s">
        <v>318</v>
      </c>
      <c r="V2224" s="569">
        <v>163.69999999999999</v>
      </c>
      <c r="W2224" s="569">
        <v>23</v>
      </c>
      <c r="X2224" s="568">
        <v>7050</v>
      </c>
      <c r="Y2224" s="569">
        <v>20</v>
      </c>
      <c r="Z2224" s="581" t="s">
        <v>178</v>
      </c>
      <c r="AA2224" s="581" t="s">
        <v>178</v>
      </c>
      <c r="AB2224" s="585">
        <v>41470</v>
      </c>
      <c r="AC2224" s="585" t="s">
        <v>164</v>
      </c>
      <c r="AD2224" s="585">
        <v>29100</v>
      </c>
      <c r="AE2224" s="587">
        <v>0.01</v>
      </c>
      <c r="AF2224" s="661" t="str">
        <f t="shared" si="241"/>
        <v>2019-LTK-FRD-F150-085-15</v>
      </c>
      <c r="AG2224" s="661" t="str">
        <f>IF(AND($Y2224&gt;=32,(AI2224="I"),(Y2224&lt;&gt;"~"),(COUNTIF($AN$1:$AN2224,$AN2224)=1)),"TRUE","FALSE")</f>
        <v>FALSE</v>
      </c>
      <c r="AH2224" s="661" t="str">
        <f>IF(AND($Y2224&gt;=22, (AI2224&lt;&gt;"I"),(Y2224&lt;&gt;"~"),(COUNTIF($AN$1:$AN2224,$AN2224)=1)),"TRUE","FALSE")</f>
        <v>FALSE</v>
      </c>
      <c r="AI2224" s="661" t="str">
        <f t="shared" si="243"/>
        <v>II</v>
      </c>
      <c r="AJ2224" s="662" t="str">
        <f t="shared" si="237"/>
        <v>F150-085</v>
      </c>
      <c r="AK2224" s="662" t="str">
        <f t="shared" si="238"/>
        <v>LTK</v>
      </c>
      <c r="AL2224" s="662" t="str">
        <f t="shared" si="239"/>
        <v>FRD</v>
      </c>
      <c r="AM2224" s="662" t="str">
        <f t="shared" si="242"/>
        <v>F150-Super Cab XLT-2WD-6-8'-10700-3.5L EcoBoost-6-X1C-300A-163.7-23-Unleaded-Unleaded</v>
      </c>
      <c r="AN2224" s="662" t="str">
        <f t="shared" si="240"/>
        <v>2019-LTK-FRD-F150-085</v>
      </c>
    </row>
    <row r="2225" spans="1:40" s="572" customFormat="1" ht="15">
      <c r="A2225" s="570" t="s">
        <v>4088</v>
      </c>
      <c r="B2225" s="573" t="s">
        <v>4080</v>
      </c>
      <c r="C2225" s="573" t="s">
        <v>278</v>
      </c>
      <c r="D2225" s="578">
        <v>15</v>
      </c>
      <c r="E2225" s="573" t="s">
        <v>3374</v>
      </c>
      <c r="F2225" s="573" t="s">
        <v>152</v>
      </c>
      <c r="G2225" s="573" t="s">
        <v>271</v>
      </c>
      <c r="H2225" s="573">
        <v>2019</v>
      </c>
      <c r="I2225" s="573" t="s">
        <v>3765</v>
      </c>
      <c r="J2225" s="573" t="s">
        <v>4070</v>
      </c>
      <c r="K2225" s="573" t="s">
        <v>3377</v>
      </c>
      <c r="L2225" s="573">
        <v>6</v>
      </c>
      <c r="M2225" s="573">
        <v>0</v>
      </c>
      <c r="N2225" s="573" t="s">
        <v>157</v>
      </c>
      <c r="O2225" s="573">
        <v>2</v>
      </c>
      <c r="P2225" s="573" t="s">
        <v>3846</v>
      </c>
      <c r="Q2225" s="571">
        <v>7600</v>
      </c>
      <c r="R2225" s="573" t="s">
        <v>3841</v>
      </c>
      <c r="S2225" s="573">
        <v>6</v>
      </c>
      <c r="T2225" s="573" t="s">
        <v>3997</v>
      </c>
      <c r="U2225" s="573" t="s">
        <v>318</v>
      </c>
      <c r="V2225" s="573">
        <v>163.69999999999999</v>
      </c>
      <c r="W2225" s="573">
        <v>23</v>
      </c>
      <c r="X2225" s="571">
        <v>6500</v>
      </c>
      <c r="Y2225" s="573">
        <v>22</v>
      </c>
      <c r="Z2225" s="579" t="s">
        <v>178</v>
      </c>
      <c r="AA2225" s="579" t="s">
        <v>178</v>
      </c>
      <c r="AB2225" s="584">
        <v>39870</v>
      </c>
      <c r="AC2225" s="584" t="s">
        <v>164</v>
      </c>
      <c r="AD2225" s="584">
        <v>27700</v>
      </c>
      <c r="AE2225" s="586">
        <v>0.01</v>
      </c>
      <c r="AF2225" s="661" t="str">
        <f t="shared" si="241"/>
        <v>2019-LTK-FRD-F150-086-15</v>
      </c>
      <c r="AG2225" s="661" t="str">
        <f>IF(AND($Y2225&gt;=32,(AI2225="I"),(Y2225&lt;&gt;"~"),(COUNTIF($AN$1:$AN2225,$AN2225)=1)),"TRUE","FALSE")</f>
        <v>FALSE</v>
      </c>
      <c r="AH2225" s="661" t="str">
        <f>IF(AND($Y2225&gt;=22, (AI2225&lt;&gt;"I"),(Y2225&lt;&gt;"~"),(COUNTIF($AN$1:$AN2225,$AN2225)=1)),"TRUE","FALSE")</f>
        <v>FALSE</v>
      </c>
      <c r="AI2225" s="661" t="str">
        <f t="shared" si="243"/>
        <v>II</v>
      </c>
      <c r="AJ2225" s="662" t="str">
        <f t="shared" si="237"/>
        <v>F150-086</v>
      </c>
      <c r="AK2225" s="662" t="str">
        <f t="shared" si="238"/>
        <v>LTK</v>
      </c>
      <c r="AL2225" s="662" t="str">
        <f t="shared" si="239"/>
        <v>FRD</v>
      </c>
      <c r="AM2225" s="662" t="str">
        <f t="shared" si="242"/>
        <v>F150-Super Cab XLT-2WD-6-8'-7600-2.7L EcoBoost-6-X1C-300A-163.7-23-Unleaded-Unleaded</v>
      </c>
      <c r="AN2225" s="662" t="str">
        <f t="shared" si="240"/>
        <v>2019-LTK-FRD-F150-086</v>
      </c>
    </row>
    <row r="2226" spans="1:40" s="572" customFormat="1" ht="15">
      <c r="A2226" s="570" t="s">
        <v>4089</v>
      </c>
      <c r="B2226" s="569" t="s">
        <v>4082</v>
      </c>
      <c r="C2226" s="569" t="s">
        <v>278</v>
      </c>
      <c r="D2226" s="580">
        <v>15</v>
      </c>
      <c r="E2226" s="569" t="s">
        <v>3374</v>
      </c>
      <c r="F2226" s="569" t="s">
        <v>152</v>
      </c>
      <c r="G2226" s="569" t="s">
        <v>271</v>
      </c>
      <c r="H2226" s="569">
        <v>2019</v>
      </c>
      <c r="I2226" s="569" t="s">
        <v>3765</v>
      </c>
      <c r="J2226" s="569" t="s">
        <v>4070</v>
      </c>
      <c r="K2226" s="569" t="s">
        <v>3377</v>
      </c>
      <c r="L2226" s="569">
        <v>6</v>
      </c>
      <c r="M2226" s="569">
        <v>0</v>
      </c>
      <c r="N2226" s="569" t="s">
        <v>157</v>
      </c>
      <c r="O2226" s="569">
        <v>2</v>
      </c>
      <c r="P2226" s="569" t="s">
        <v>3846</v>
      </c>
      <c r="Q2226" s="568">
        <v>9200</v>
      </c>
      <c r="R2226" s="569" t="s">
        <v>3778</v>
      </c>
      <c r="S2226" s="569">
        <v>8</v>
      </c>
      <c r="T2226" s="569" t="s">
        <v>3997</v>
      </c>
      <c r="U2226" s="569" t="s">
        <v>318</v>
      </c>
      <c r="V2226" s="569">
        <v>163.69999999999999</v>
      </c>
      <c r="W2226" s="569">
        <v>23</v>
      </c>
      <c r="X2226" s="568">
        <v>7000</v>
      </c>
      <c r="Y2226" s="569">
        <v>18</v>
      </c>
      <c r="Z2226" s="581" t="s">
        <v>450</v>
      </c>
      <c r="AA2226" s="581" t="s">
        <v>178</v>
      </c>
      <c r="AB2226" s="585">
        <v>40870</v>
      </c>
      <c r="AC2226" s="585" t="s">
        <v>164</v>
      </c>
      <c r="AD2226" s="585">
        <v>28600</v>
      </c>
      <c r="AE2226" s="587">
        <v>0.01</v>
      </c>
      <c r="AF2226" s="661" t="str">
        <f t="shared" si="241"/>
        <v>2019-LTK-FRD-F150-088-15</v>
      </c>
      <c r="AG2226" s="661" t="str">
        <f>IF(AND($Y2226&gt;=32,(AI2226="I"),(Y2226&lt;&gt;"~"),(COUNTIF($AN$1:$AN2226,$AN2226)=1)),"TRUE","FALSE")</f>
        <v>FALSE</v>
      </c>
      <c r="AH2226" s="661" t="str">
        <f>IF(AND($Y2226&gt;=22, (AI2226&lt;&gt;"I"),(Y2226&lt;&gt;"~"),(COUNTIF($AN$1:$AN2226,$AN2226)=1)),"TRUE","FALSE")</f>
        <v>FALSE</v>
      </c>
      <c r="AI2226" s="661" t="str">
        <f t="shared" si="243"/>
        <v>II</v>
      </c>
      <c r="AJ2226" s="662" t="str">
        <f t="shared" si="237"/>
        <v>F150-088</v>
      </c>
      <c r="AK2226" s="662" t="str">
        <f t="shared" si="238"/>
        <v>LTK</v>
      </c>
      <c r="AL2226" s="662" t="str">
        <f t="shared" si="239"/>
        <v>FRD</v>
      </c>
      <c r="AM2226" s="662" t="str">
        <f t="shared" si="242"/>
        <v>F150-Super Cab XLT-2WD-6-8'-9200-5.0L FFV-8-X1C-300A-163.7-23-E85-Unleaded</v>
      </c>
      <c r="AN2226" s="662" t="str">
        <f t="shared" si="240"/>
        <v>2019-LTK-FRD-F150-088</v>
      </c>
    </row>
    <row r="2227" spans="1:40" s="572" customFormat="1" ht="15">
      <c r="A2227" s="570" t="s">
        <v>4090</v>
      </c>
      <c r="B2227" s="573" t="s">
        <v>4069</v>
      </c>
      <c r="C2227" s="573" t="s">
        <v>287</v>
      </c>
      <c r="D2227" s="578">
        <v>26</v>
      </c>
      <c r="E2227" s="573" t="s">
        <v>3374</v>
      </c>
      <c r="F2227" s="573" t="s">
        <v>152</v>
      </c>
      <c r="G2227" s="573" t="s">
        <v>271</v>
      </c>
      <c r="H2227" s="573">
        <v>2019</v>
      </c>
      <c r="I2227" s="573" t="s">
        <v>3765</v>
      </c>
      <c r="J2227" s="573" t="s">
        <v>4070</v>
      </c>
      <c r="K2227" s="573" t="s">
        <v>3377</v>
      </c>
      <c r="L2227" s="573">
        <v>6</v>
      </c>
      <c r="M2227" s="573">
        <v>0</v>
      </c>
      <c r="N2227" s="573" t="s">
        <v>157</v>
      </c>
      <c r="O2227" s="573">
        <v>2</v>
      </c>
      <c r="P2227" s="573" t="s">
        <v>3781</v>
      </c>
      <c r="Q2227" s="571">
        <v>10800</v>
      </c>
      <c r="R2227" s="573" t="s">
        <v>1259</v>
      </c>
      <c r="S2227" s="573">
        <v>6</v>
      </c>
      <c r="T2227" s="573" t="s">
        <v>3997</v>
      </c>
      <c r="U2227" s="573" t="s">
        <v>318</v>
      </c>
      <c r="V2227" s="573">
        <v>145</v>
      </c>
      <c r="W2227" s="573">
        <v>23</v>
      </c>
      <c r="X2227" s="571">
        <v>6900</v>
      </c>
      <c r="Y2227" s="573">
        <v>20</v>
      </c>
      <c r="Z2227" s="579" t="s">
        <v>178</v>
      </c>
      <c r="AA2227" s="579" t="s">
        <v>178</v>
      </c>
      <c r="AB2227" s="584">
        <v>41160</v>
      </c>
      <c r="AC2227" s="584" t="s">
        <v>164</v>
      </c>
      <c r="AD2227" s="584">
        <v>29253</v>
      </c>
      <c r="AE2227" s="586">
        <v>0.05</v>
      </c>
      <c r="AF2227" s="661" t="str">
        <f t="shared" si="241"/>
        <v>2019-LTK-FRD-F150-080-26</v>
      </c>
      <c r="AG2227" s="661" t="str">
        <f>IF(AND($Y2227&gt;=32,(AI2227="I"),(Y2227&lt;&gt;"~"),(COUNTIF($AN$1:$AN2227,$AN2227)=1)),"TRUE","FALSE")</f>
        <v>FALSE</v>
      </c>
      <c r="AH2227" s="661" t="str">
        <f>IF(AND($Y2227&gt;=22, (AI2227&lt;&gt;"I"),(Y2227&lt;&gt;"~"),(COUNTIF($AN$1:$AN2227,$AN2227)=1)),"TRUE","FALSE")</f>
        <v>FALSE</v>
      </c>
      <c r="AI2227" s="661" t="str">
        <f t="shared" si="243"/>
        <v>II</v>
      </c>
      <c r="AJ2227" s="662" t="str">
        <f t="shared" si="237"/>
        <v>F150-080</v>
      </c>
      <c r="AK2227" s="662" t="str">
        <f t="shared" si="238"/>
        <v>LTK</v>
      </c>
      <c r="AL2227" s="662" t="str">
        <f t="shared" si="239"/>
        <v>FRD</v>
      </c>
      <c r="AM2227" s="662" t="str">
        <f t="shared" si="242"/>
        <v>F150-Super Cab XLT-2WD-6-6'5"-10800-3.5L EcoBoost-6-X1C-300A-145-23-Unleaded-Unleaded</v>
      </c>
      <c r="AN2227" s="662" t="str">
        <f t="shared" si="240"/>
        <v>2019-LTK-FRD-F150-080</v>
      </c>
    </row>
    <row r="2228" spans="1:40" s="572" customFormat="1" ht="15">
      <c r="A2228" s="570" t="s">
        <v>4091</v>
      </c>
      <c r="B2228" s="569" t="s">
        <v>4074</v>
      </c>
      <c r="C2228" s="569" t="s">
        <v>287</v>
      </c>
      <c r="D2228" s="580">
        <v>26</v>
      </c>
      <c r="E2228" s="569" t="s">
        <v>3374</v>
      </c>
      <c r="F2228" s="569" t="s">
        <v>152</v>
      </c>
      <c r="G2228" s="569" t="s">
        <v>271</v>
      </c>
      <c r="H2228" s="569">
        <v>2019</v>
      </c>
      <c r="I2228" s="569" t="s">
        <v>3765</v>
      </c>
      <c r="J2228" s="569" t="s">
        <v>4070</v>
      </c>
      <c r="K2228" s="569" t="s">
        <v>3377</v>
      </c>
      <c r="L2228" s="569">
        <v>6</v>
      </c>
      <c r="M2228" s="569">
        <v>0</v>
      </c>
      <c r="N2228" s="569" t="s">
        <v>157</v>
      </c>
      <c r="O2228" s="569">
        <v>2</v>
      </c>
      <c r="P2228" s="569" t="s">
        <v>3781</v>
      </c>
      <c r="Q2228" s="568">
        <v>7600</v>
      </c>
      <c r="R2228" s="569" t="s">
        <v>3841</v>
      </c>
      <c r="S2228" s="569">
        <v>6</v>
      </c>
      <c r="T2228" s="569" t="s">
        <v>3997</v>
      </c>
      <c r="U2228" s="569" t="s">
        <v>318</v>
      </c>
      <c r="V2228" s="569">
        <v>145</v>
      </c>
      <c r="W2228" s="569">
        <v>23</v>
      </c>
      <c r="X2228" s="568">
        <v>6250</v>
      </c>
      <c r="Y2228" s="569">
        <v>22</v>
      </c>
      <c r="Z2228" s="581" t="s">
        <v>178</v>
      </c>
      <c r="AA2228" s="581" t="s">
        <v>178</v>
      </c>
      <c r="AB2228" s="585">
        <v>39560</v>
      </c>
      <c r="AC2228" s="585" t="s">
        <v>164</v>
      </c>
      <c r="AD2228" s="585">
        <v>27798</v>
      </c>
      <c r="AE2228" s="587">
        <v>0.05</v>
      </c>
      <c r="AF2228" s="661" t="str">
        <f t="shared" si="241"/>
        <v>2019-LTK-FRD-F150-082-26</v>
      </c>
      <c r="AG2228" s="661" t="str">
        <f>IF(AND($Y2228&gt;=32,(AI2228="I"),(Y2228&lt;&gt;"~"),(COUNTIF($AN$1:$AN2228,$AN2228)=1)),"TRUE","FALSE")</f>
        <v>FALSE</v>
      </c>
      <c r="AH2228" s="661" t="str">
        <f>IF(AND($Y2228&gt;=22, (AI2228&lt;&gt;"I"),(Y2228&lt;&gt;"~"),(COUNTIF($AN$1:$AN2228,$AN2228)=1)),"TRUE","FALSE")</f>
        <v>FALSE</v>
      </c>
      <c r="AI2228" s="661" t="str">
        <f t="shared" si="243"/>
        <v>II</v>
      </c>
      <c r="AJ2228" s="662" t="str">
        <f t="shared" si="237"/>
        <v>F150-082</v>
      </c>
      <c r="AK2228" s="662" t="str">
        <f t="shared" si="238"/>
        <v>LTK</v>
      </c>
      <c r="AL2228" s="662" t="str">
        <f t="shared" si="239"/>
        <v>FRD</v>
      </c>
      <c r="AM2228" s="662" t="str">
        <f t="shared" si="242"/>
        <v>F150-Super Cab XLT-2WD-6-6'5"-7600-2.7L EcoBoost-6-X1C-300A-145-23-Unleaded-Unleaded</v>
      </c>
      <c r="AN2228" s="662" t="str">
        <f t="shared" si="240"/>
        <v>2019-LTK-FRD-F150-082</v>
      </c>
    </row>
    <row r="2229" spans="1:40" s="572" customFormat="1" ht="15">
      <c r="A2229" s="570" t="s">
        <v>4092</v>
      </c>
      <c r="B2229" s="573" t="s">
        <v>4093</v>
      </c>
      <c r="C2229" s="573" t="s">
        <v>287</v>
      </c>
      <c r="D2229" s="578">
        <v>26</v>
      </c>
      <c r="E2229" s="573" t="s">
        <v>3374</v>
      </c>
      <c r="F2229" s="573" t="s">
        <v>152</v>
      </c>
      <c r="G2229" s="573" t="s">
        <v>271</v>
      </c>
      <c r="H2229" s="573">
        <v>2019</v>
      </c>
      <c r="I2229" s="573" t="s">
        <v>3765</v>
      </c>
      <c r="J2229" s="573" t="s">
        <v>4070</v>
      </c>
      <c r="K2229" s="573" t="s">
        <v>3377</v>
      </c>
      <c r="L2229" s="573">
        <v>6</v>
      </c>
      <c r="M2229" s="573">
        <v>0</v>
      </c>
      <c r="N2229" s="573" t="s">
        <v>157</v>
      </c>
      <c r="O2229" s="573">
        <v>2</v>
      </c>
      <c r="P2229" s="573" t="s">
        <v>3781</v>
      </c>
      <c r="Q2229" s="571">
        <v>7700</v>
      </c>
      <c r="R2229" s="573" t="s">
        <v>1322</v>
      </c>
      <c r="S2229" s="573">
        <v>6</v>
      </c>
      <c r="T2229" s="573" t="s">
        <v>3997</v>
      </c>
      <c r="U2229" s="573" t="s">
        <v>318</v>
      </c>
      <c r="V2229" s="573">
        <v>145</v>
      </c>
      <c r="W2229" s="573">
        <v>23</v>
      </c>
      <c r="X2229" s="571">
        <v>6300</v>
      </c>
      <c r="Y2229" s="573">
        <v>20</v>
      </c>
      <c r="Z2229" s="579" t="s">
        <v>178</v>
      </c>
      <c r="AA2229" s="579" t="s">
        <v>178</v>
      </c>
      <c r="AB2229" s="584">
        <v>38565</v>
      </c>
      <c r="AC2229" s="584" t="s">
        <v>164</v>
      </c>
      <c r="AD2229" s="584">
        <v>26892</v>
      </c>
      <c r="AE2229" s="586">
        <v>0.05</v>
      </c>
      <c r="AF2229" s="661" t="str">
        <f t="shared" si="241"/>
        <v>2019-LTK-FRD-F150-083-26</v>
      </c>
      <c r="AG2229" s="661" t="str">
        <f>IF(AND($Y2229&gt;=32,(AI2229="I"),(Y2229&lt;&gt;"~"),(COUNTIF($AN$1:$AN2229,$AN2229)=1)),"TRUE","FALSE")</f>
        <v>FALSE</v>
      </c>
      <c r="AH2229" s="661" t="str">
        <f>IF(AND($Y2229&gt;=22, (AI2229&lt;&gt;"I"),(Y2229&lt;&gt;"~"),(COUNTIF($AN$1:$AN2229,$AN2229)=1)),"TRUE","FALSE")</f>
        <v>FALSE</v>
      </c>
      <c r="AI2229" s="661" t="str">
        <f t="shared" si="243"/>
        <v>II</v>
      </c>
      <c r="AJ2229" s="662" t="str">
        <f t="shared" si="237"/>
        <v>F150-083</v>
      </c>
      <c r="AK2229" s="662" t="str">
        <f t="shared" si="238"/>
        <v>LTK</v>
      </c>
      <c r="AL2229" s="662" t="str">
        <f t="shared" si="239"/>
        <v>FRD</v>
      </c>
      <c r="AM2229" s="662" t="str">
        <f t="shared" si="242"/>
        <v>F150-Super Cab XLT-2WD-6-6'5"-7700-3.3L-6-X1C-300A-145-23-Unleaded-Unleaded</v>
      </c>
      <c r="AN2229" s="662" t="str">
        <f t="shared" si="240"/>
        <v>2019-LTK-FRD-F150-083</v>
      </c>
    </row>
    <row r="2230" spans="1:40" s="572" customFormat="1" ht="15">
      <c r="A2230" s="570" t="s">
        <v>4094</v>
      </c>
      <c r="B2230" s="569" t="s">
        <v>4076</v>
      </c>
      <c r="C2230" s="569" t="s">
        <v>287</v>
      </c>
      <c r="D2230" s="580">
        <v>26</v>
      </c>
      <c r="E2230" s="569" t="s">
        <v>3374</v>
      </c>
      <c r="F2230" s="569" t="s">
        <v>152</v>
      </c>
      <c r="G2230" s="569" t="s">
        <v>271</v>
      </c>
      <c r="H2230" s="569">
        <v>2019</v>
      </c>
      <c r="I2230" s="569" t="s">
        <v>3765</v>
      </c>
      <c r="J2230" s="569" t="s">
        <v>4070</v>
      </c>
      <c r="K2230" s="569" t="s">
        <v>3377</v>
      </c>
      <c r="L2230" s="569">
        <v>6</v>
      </c>
      <c r="M2230" s="569">
        <v>0</v>
      </c>
      <c r="N2230" s="569" t="s">
        <v>157</v>
      </c>
      <c r="O2230" s="569">
        <v>2</v>
      </c>
      <c r="P2230" s="569" t="s">
        <v>3781</v>
      </c>
      <c r="Q2230" s="568">
        <v>9200</v>
      </c>
      <c r="R2230" s="569" t="s">
        <v>3778</v>
      </c>
      <c r="S2230" s="569">
        <v>8</v>
      </c>
      <c r="T2230" s="569" t="s">
        <v>3997</v>
      </c>
      <c r="U2230" s="569" t="s">
        <v>318</v>
      </c>
      <c r="V2230" s="569">
        <v>145</v>
      </c>
      <c r="W2230" s="569">
        <v>23</v>
      </c>
      <c r="X2230" s="568">
        <v>6900</v>
      </c>
      <c r="Y2230" s="569">
        <v>18</v>
      </c>
      <c r="Z2230" s="581" t="s">
        <v>450</v>
      </c>
      <c r="AA2230" s="581" t="s">
        <v>178</v>
      </c>
      <c r="AB2230" s="585">
        <v>40560</v>
      </c>
      <c r="AC2230" s="585" t="s">
        <v>164</v>
      </c>
      <c r="AD2230" s="585">
        <v>28708</v>
      </c>
      <c r="AE2230" s="587">
        <v>0.05</v>
      </c>
      <c r="AF2230" s="661" t="str">
        <f t="shared" si="241"/>
        <v>2019-LTK-FRD-F150-084-26</v>
      </c>
      <c r="AG2230" s="661" t="str">
        <f>IF(AND($Y2230&gt;=32,(AI2230="I"),(Y2230&lt;&gt;"~"),(COUNTIF($AN$1:$AN2230,$AN2230)=1)),"TRUE","FALSE")</f>
        <v>FALSE</v>
      </c>
      <c r="AH2230" s="661" t="str">
        <f>IF(AND($Y2230&gt;=22, (AI2230&lt;&gt;"I"),(Y2230&lt;&gt;"~"),(COUNTIF($AN$1:$AN2230,$AN2230)=1)),"TRUE","FALSE")</f>
        <v>FALSE</v>
      </c>
      <c r="AI2230" s="661" t="str">
        <f t="shared" si="243"/>
        <v>II</v>
      </c>
      <c r="AJ2230" s="662" t="str">
        <f t="shared" si="237"/>
        <v>F150-084</v>
      </c>
      <c r="AK2230" s="662" t="str">
        <f t="shared" si="238"/>
        <v>LTK</v>
      </c>
      <c r="AL2230" s="662" t="str">
        <f t="shared" si="239"/>
        <v>FRD</v>
      </c>
      <c r="AM2230" s="662" t="str">
        <f t="shared" si="242"/>
        <v>F150-Super Cab XLT-2WD-6-6'5"-9200-5.0L FFV-8-X1C-300A-145-23-E85-Unleaded</v>
      </c>
      <c r="AN2230" s="662" t="str">
        <f t="shared" si="240"/>
        <v>2019-LTK-FRD-F150-084</v>
      </c>
    </row>
    <row r="2231" spans="1:40" s="572" customFormat="1" ht="15">
      <c r="A2231" s="570" t="s">
        <v>4095</v>
      </c>
      <c r="B2231" s="573" t="s">
        <v>4078</v>
      </c>
      <c r="C2231" s="573" t="s">
        <v>287</v>
      </c>
      <c r="D2231" s="578">
        <v>26</v>
      </c>
      <c r="E2231" s="573" t="s">
        <v>3374</v>
      </c>
      <c r="F2231" s="573" t="s">
        <v>152</v>
      </c>
      <c r="G2231" s="573" t="s">
        <v>271</v>
      </c>
      <c r="H2231" s="573">
        <v>2019</v>
      </c>
      <c r="I2231" s="573" t="s">
        <v>3765</v>
      </c>
      <c r="J2231" s="573" t="s">
        <v>4070</v>
      </c>
      <c r="K2231" s="573" t="s">
        <v>3377</v>
      </c>
      <c r="L2231" s="573">
        <v>6</v>
      </c>
      <c r="M2231" s="573">
        <v>0</v>
      </c>
      <c r="N2231" s="573" t="s">
        <v>157</v>
      </c>
      <c r="O2231" s="573">
        <v>2</v>
      </c>
      <c r="P2231" s="573" t="s">
        <v>3846</v>
      </c>
      <c r="Q2231" s="571">
        <v>10700</v>
      </c>
      <c r="R2231" s="573" t="s">
        <v>1259</v>
      </c>
      <c r="S2231" s="573">
        <v>6</v>
      </c>
      <c r="T2231" s="573" t="s">
        <v>3997</v>
      </c>
      <c r="U2231" s="573" t="s">
        <v>318</v>
      </c>
      <c r="V2231" s="573">
        <v>163.69999999999999</v>
      </c>
      <c r="W2231" s="573">
        <v>23</v>
      </c>
      <c r="X2231" s="571">
        <v>7050</v>
      </c>
      <c r="Y2231" s="573">
        <v>20</v>
      </c>
      <c r="Z2231" s="579" t="s">
        <v>178</v>
      </c>
      <c r="AA2231" s="579" t="s">
        <v>178</v>
      </c>
      <c r="AB2231" s="584">
        <v>41470</v>
      </c>
      <c r="AC2231" s="584" t="s">
        <v>164</v>
      </c>
      <c r="AD2231" s="584">
        <v>29552</v>
      </c>
      <c r="AE2231" s="586">
        <v>0.05</v>
      </c>
      <c r="AF2231" s="661" t="str">
        <f t="shared" si="241"/>
        <v>2019-LTK-FRD-F150-085-26</v>
      </c>
      <c r="AG2231" s="661" t="str">
        <f>IF(AND($Y2231&gt;=32,(AI2231="I"),(Y2231&lt;&gt;"~"),(COUNTIF($AN$1:$AN2231,$AN2231)=1)),"TRUE","FALSE")</f>
        <v>FALSE</v>
      </c>
      <c r="AH2231" s="661" t="str">
        <f>IF(AND($Y2231&gt;=22, (AI2231&lt;&gt;"I"),(Y2231&lt;&gt;"~"),(COUNTIF($AN$1:$AN2231,$AN2231)=1)),"TRUE","FALSE")</f>
        <v>FALSE</v>
      </c>
      <c r="AI2231" s="661" t="str">
        <f t="shared" si="243"/>
        <v>II</v>
      </c>
      <c r="AJ2231" s="662" t="str">
        <f t="shared" si="237"/>
        <v>F150-085</v>
      </c>
      <c r="AK2231" s="662" t="str">
        <f t="shared" si="238"/>
        <v>LTK</v>
      </c>
      <c r="AL2231" s="662" t="str">
        <f t="shared" si="239"/>
        <v>FRD</v>
      </c>
      <c r="AM2231" s="662" t="str">
        <f t="shared" si="242"/>
        <v>F150-Super Cab XLT-2WD-6-8'-10700-3.5L EcoBoost-6-X1C-300A-163.7-23-Unleaded-Unleaded</v>
      </c>
      <c r="AN2231" s="662" t="str">
        <f t="shared" si="240"/>
        <v>2019-LTK-FRD-F150-085</v>
      </c>
    </row>
    <row r="2232" spans="1:40" s="572" customFormat="1" ht="15">
      <c r="A2232" s="570" t="s">
        <v>4096</v>
      </c>
      <c r="B2232" s="569" t="s">
        <v>4080</v>
      </c>
      <c r="C2232" s="569" t="s">
        <v>287</v>
      </c>
      <c r="D2232" s="580">
        <v>26</v>
      </c>
      <c r="E2232" s="569" t="s">
        <v>3374</v>
      </c>
      <c r="F2232" s="569" t="s">
        <v>152</v>
      </c>
      <c r="G2232" s="569" t="s">
        <v>271</v>
      </c>
      <c r="H2232" s="569">
        <v>2019</v>
      </c>
      <c r="I2232" s="569" t="s">
        <v>3765</v>
      </c>
      <c r="J2232" s="569" t="s">
        <v>4070</v>
      </c>
      <c r="K2232" s="569" t="s">
        <v>3377</v>
      </c>
      <c r="L2232" s="569">
        <v>6</v>
      </c>
      <c r="M2232" s="569">
        <v>0</v>
      </c>
      <c r="N2232" s="569" t="s">
        <v>157</v>
      </c>
      <c r="O2232" s="569">
        <v>2</v>
      </c>
      <c r="P2232" s="569" t="s">
        <v>3846</v>
      </c>
      <c r="Q2232" s="568">
        <v>7600</v>
      </c>
      <c r="R2232" s="569" t="s">
        <v>3841</v>
      </c>
      <c r="S2232" s="569">
        <v>6</v>
      </c>
      <c r="T2232" s="569" t="s">
        <v>3997</v>
      </c>
      <c r="U2232" s="569" t="s">
        <v>318</v>
      </c>
      <c r="V2232" s="569">
        <v>163.69999999999999</v>
      </c>
      <c r="W2232" s="569">
        <v>23</v>
      </c>
      <c r="X2232" s="568">
        <v>6500</v>
      </c>
      <c r="Y2232" s="569">
        <v>22</v>
      </c>
      <c r="Z2232" s="581" t="s">
        <v>178</v>
      </c>
      <c r="AA2232" s="581" t="s">
        <v>178</v>
      </c>
      <c r="AB2232" s="585">
        <v>39870</v>
      </c>
      <c r="AC2232" s="585" t="s">
        <v>164</v>
      </c>
      <c r="AD2232" s="585">
        <v>28095</v>
      </c>
      <c r="AE2232" s="587">
        <v>0.05</v>
      </c>
      <c r="AF2232" s="661" t="str">
        <f t="shared" si="241"/>
        <v>2019-LTK-FRD-F150-086-26</v>
      </c>
      <c r="AG2232" s="661" t="str">
        <f>IF(AND($Y2232&gt;=32,(AI2232="I"),(Y2232&lt;&gt;"~"),(COUNTIF($AN$1:$AN2232,$AN2232)=1)),"TRUE","FALSE")</f>
        <v>FALSE</v>
      </c>
      <c r="AH2232" s="661" t="str">
        <f>IF(AND($Y2232&gt;=22, (AI2232&lt;&gt;"I"),(Y2232&lt;&gt;"~"),(COUNTIF($AN$1:$AN2232,$AN2232)=1)),"TRUE","FALSE")</f>
        <v>FALSE</v>
      </c>
      <c r="AI2232" s="661" t="str">
        <f t="shared" si="243"/>
        <v>II</v>
      </c>
      <c r="AJ2232" s="662" t="str">
        <f t="shared" si="237"/>
        <v>F150-086</v>
      </c>
      <c r="AK2232" s="662" t="str">
        <f t="shared" si="238"/>
        <v>LTK</v>
      </c>
      <c r="AL2232" s="662" t="str">
        <f t="shared" si="239"/>
        <v>FRD</v>
      </c>
      <c r="AM2232" s="662" t="str">
        <f t="shared" si="242"/>
        <v>F150-Super Cab XLT-2WD-6-8'-7600-2.7L EcoBoost-6-X1C-300A-163.7-23-Unleaded-Unleaded</v>
      </c>
      <c r="AN2232" s="662" t="str">
        <f t="shared" si="240"/>
        <v>2019-LTK-FRD-F150-086</v>
      </c>
    </row>
    <row r="2233" spans="1:40" s="572" customFormat="1" ht="15">
      <c r="A2233" s="570" t="s">
        <v>4097</v>
      </c>
      <c r="B2233" s="573" t="s">
        <v>4082</v>
      </c>
      <c r="C2233" s="573" t="s">
        <v>287</v>
      </c>
      <c r="D2233" s="578">
        <v>26</v>
      </c>
      <c r="E2233" s="573" t="s">
        <v>3374</v>
      </c>
      <c r="F2233" s="573" t="s">
        <v>152</v>
      </c>
      <c r="G2233" s="573" t="s">
        <v>271</v>
      </c>
      <c r="H2233" s="573">
        <v>2019</v>
      </c>
      <c r="I2233" s="573" t="s">
        <v>3765</v>
      </c>
      <c r="J2233" s="573" t="s">
        <v>4070</v>
      </c>
      <c r="K2233" s="573" t="s">
        <v>3377</v>
      </c>
      <c r="L2233" s="573">
        <v>6</v>
      </c>
      <c r="M2233" s="573">
        <v>0</v>
      </c>
      <c r="N2233" s="573" t="s">
        <v>157</v>
      </c>
      <c r="O2233" s="573">
        <v>2</v>
      </c>
      <c r="P2233" s="573" t="s">
        <v>3846</v>
      </c>
      <c r="Q2233" s="571">
        <v>9200</v>
      </c>
      <c r="R2233" s="573" t="s">
        <v>3778</v>
      </c>
      <c r="S2233" s="573">
        <v>8</v>
      </c>
      <c r="T2233" s="573" t="s">
        <v>3997</v>
      </c>
      <c r="U2233" s="573" t="s">
        <v>318</v>
      </c>
      <c r="V2233" s="573">
        <v>163.69999999999999</v>
      </c>
      <c r="W2233" s="573">
        <v>23</v>
      </c>
      <c r="X2233" s="571">
        <v>7000</v>
      </c>
      <c r="Y2233" s="573">
        <v>18</v>
      </c>
      <c r="Z2233" s="579" t="s">
        <v>450</v>
      </c>
      <c r="AA2233" s="579" t="s">
        <v>178</v>
      </c>
      <c r="AB2233" s="584">
        <v>40870</v>
      </c>
      <c r="AC2233" s="584" t="s">
        <v>164</v>
      </c>
      <c r="AD2233" s="584">
        <v>29004</v>
      </c>
      <c r="AE2233" s="586">
        <v>0.05</v>
      </c>
      <c r="AF2233" s="661" t="str">
        <f t="shared" si="241"/>
        <v>2019-LTK-FRD-F150-088-26</v>
      </c>
      <c r="AG2233" s="661" t="str">
        <f>IF(AND($Y2233&gt;=32,(AI2233="I"),(Y2233&lt;&gt;"~"),(COUNTIF($AN$1:$AN2233,$AN2233)=1)),"TRUE","FALSE")</f>
        <v>FALSE</v>
      </c>
      <c r="AH2233" s="661" t="str">
        <f>IF(AND($Y2233&gt;=22, (AI2233&lt;&gt;"I"),(Y2233&lt;&gt;"~"),(COUNTIF($AN$1:$AN2233,$AN2233)=1)),"TRUE","FALSE")</f>
        <v>FALSE</v>
      </c>
      <c r="AI2233" s="661" t="str">
        <f t="shared" si="243"/>
        <v>II</v>
      </c>
      <c r="AJ2233" s="662" t="str">
        <f t="shared" si="237"/>
        <v>F150-088</v>
      </c>
      <c r="AK2233" s="662" t="str">
        <f t="shared" si="238"/>
        <v>LTK</v>
      </c>
      <c r="AL2233" s="662" t="str">
        <f t="shared" si="239"/>
        <v>FRD</v>
      </c>
      <c r="AM2233" s="662" t="str">
        <f t="shared" si="242"/>
        <v>F150-Super Cab XLT-2WD-6-8'-9200-5.0L FFV-8-X1C-300A-163.7-23-E85-Unleaded</v>
      </c>
      <c r="AN2233" s="662" t="str">
        <f t="shared" si="240"/>
        <v>2019-LTK-FRD-F150-088</v>
      </c>
    </row>
    <row r="2234" spans="1:40" s="572" customFormat="1" ht="15">
      <c r="A2234" s="570" t="s">
        <v>4098</v>
      </c>
      <c r="B2234" s="569" t="s">
        <v>4069</v>
      </c>
      <c r="C2234" s="569" t="s">
        <v>280</v>
      </c>
      <c r="D2234" s="580">
        <v>27</v>
      </c>
      <c r="E2234" s="569" t="s">
        <v>3374</v>
      </c>
      <c r="F2234" s="569" t="s">
        <v>152</v>
      </c>
      <c r="G2234" s="569" t="s">
        <v>271</v>
      </c>
      <c r="H2234" s="569">
        <v>2019</v>
      </c>
      <c r="I2234" s="569" t="s">
        <v>3765</v>
      </c>
      <c r="J2234" s="569" t="s">
        <v>4070</v>
      </c>
      <c r="K2234" s="569" t="s">
        <v>3377</v>
      </c>
      <c r="L2234" s="569">
        <v>6</v>
      </c>
      <c r="M2234" s="569">
        <v>0</v>
      </c>
      <c r="N2234" s="569" t="s">
        <v>157</v>
      </c>
      <c r="O2234" s="569">
        <v>2</v>
      </c>
      <c r="P2234" s="569" t="s">
        <v>3781</v>
      </c>
      <c r="Q2234" s="568">
        <v>10800</v>
      </c>
      <c r="R2234" s="569" t="s">
        <v>1259</v>
      </c>
      <c r="S2234" s="569">
        <v>6</v>
      </c>
      <c r="T2234" s="569" t="s">
        <v>3997</v>
      </c>
      <c r="U2234" s="569" t="s">
        <v>318</v>
      </c>
      <c r="V2234" s="569">
        <v>145</v>
      </c>
      <c r="W2234" s="569">
        <v>23</v>
      </c>
      <c r="X2234" s="568">
        <v>6900</v>
      </c>
      <c r="Y2234" s="569">
        <v>21</v>
      </c>
      <c r="Z2234" s="581" t="s">
        <v>178</v>
      </c>
      <c r="AA2234" s="581" t="s">
        <v>178</v>
      </c>
      <c r="AB2234" s="585">
        <v>41160</v>
      </c>
      <c r="AC2234" s="585" t="s">
        <v>164</v>
      </c>
      <c r="AD2234" s="585">
        <v>28735.452631578948</v>
      </c>
      <c r="AE2234" s="587">
        <v>0.03</v>
      </c>
      <c r="AF2234" s="661" t="str">
        <f t="shared" si="241"/>
        <v>2019-LTK-FRD-F150-080-27</v>
      </c>
      <c r="AG2234" s="661" t="str">
        <f>IF(AND($Y2234&gt;=32,(AI2234="I"),(Y2234&lt;&gt;"~"),(COUNTIF($AN$1:$AN2234,$AN2234)=1)),"TRUE","FALSE")</f>
        <v>FALSE</v>
      </c>
      <c r="AH2234" s="661" t="str">
        <f>IF(AND($Y2234&gt;=22, (AI2234&lt;&gt;"I"),(Y2234&lt;&gt;"~"),(COUNTIF($AN$1:$AN2234,$AN2234)=1)),"TRUE","FALSE")</f>
        <v>FALSE</v>
      </c>
      <c r="AI2234" s="661" t="str">
        <f t="shared" si="243"/>
        <v>II</v>
      </c>
      <c r="AJ2234" s="662" t="str">
        <f t="shared" si="237"/>
        <v>F150-080</v>
      </c>
      <c r="AK2234" s="662" t="str">
        <f t="shared" si="238"/>
        <v>LTK</v>
      </c>
      <c r="AL2234" s="662" t="str">
        <f t="shared" si="239"/>
        <v>FRD</v>
      </c>
      <c r="AM2234" s="662" t="str">
        <f t="shared" si="242"/>
        <v>F150-Super Cab XLT-2WD-6-6'5"-10800-3.5L EcoBoost-6-X1C-300A-145-23-Unleaded-Unleaded</v>
      </c>
      <c r="AN2234" s="662" t="str">
        <f t="shared" si="240"/>
        <v>2019-LTK-FRD-F150-080</v>
      </c>
    </row>
    <row r="2235" spans="1:40" s="572" customFormat="1" ht="15">
      <c r="A2235" s="570" t="s">
        <v>4099</v>
      </c>
      <c r="B2235" s="573" t="s">
        <v>4072</v>
      </c>
      <c r="C2235" s="573" t="s">
        <v>280</v>
      </c>
      <c r="D2235" s="578">
        <v>27</v>
      </c>
      <c r="E2235" s="573" t="s">
        <v>3374</v>
      </c>
      <c r="F2235" s="573" t="s">
        <v>152</v>
      </c>
      <c r="G2235" s="573" t="s">
        <v>271</v>
      </c>
      <c r="H2235" s="573">
        <v>2019</v>
      </c>
      <c r="I2235" s="573" t="s">
        <v>3765</v>
      </c>
      <c r="J2235" s="573" t="s">
        <v>4070</v>
      </c>
      <c r="K2235" s="573" t="s">
        <v>3377</v>
      </c>
      <c r="L2235" s="573">
        <v>6</v>
      </c>
      <c r="M2235" s="573">
        <v>0</v>
      </c>
      <c r="N2235" s="573" t="s">
        <v>157</v>
      </c>
      <c r="O2235" s="573">
        <v>2</v>
      </c>
      <c r="P2235" s="573" t="s">
        <v>3781</v>
      </c>
      <c r="Q2235" s="571">
        <v>5100</v>
      </c>
      <c r="R2235" s="573" t="s">
        <v>3772</v>
      </c>
      <c r="S2235" s="573">
        <v>6</v>
      </c>
      <c r="T2235" s="573" t="s">
        <v>3997</v>
      </c>
      <c r="U2235" s="573" t="s">
        <v>318</v>
      </c>
      <c r="V2235" s="573">
        <v>145</v>
      </c>
      <c r="W2235" s="573">
        <v>23</v>
      </c>
      <c r="X2235" s="571">
        <v>6100</v>
      </c>
      <c r="Y2235" s="573">
        <v>22</v>
      </c>
      <c r="Z2235" s="579" t="s">
        <v>450</v>
      </c>
      <c r="AA2235" s="579" t="s">
        <v>178</v>
      </c>
      <c r="AB2235" s="584">
        <v>38565</v>
      </c>
      <c r="AC2235" s="584" t="s">
        <v>164</v>
      </c>
      <c r="AD2235" s="584">
        <v>26405.978947368421</v>
      </c>
      <c r="AE2235" s="586">
        <v>0.03</v>
      </c>
      <c r="AF2235" s="661" t="str">
        <f t="shared" si="241"/>
        <v>2019-LTK-FRD-F150-081-27</v>
      </c>
      <c r="AG2235" s="661" t="str">
        <f>IF(AND($Y2235&gt;=32,(AI2235="I"),(Y2235&lt;&gt;"~"),(COUNTIF($AN$1:$AN2235,$AN2235)=1)),"TRUE","FALSE")</f>
        <v>FALSE</v>
      </c>
      <c r="AH2235" s="661" t="str">
        <f>IF(AND($Y2235&gt;=22, (AI2235&lt;&gt;"I"),(Y2235&lt;&gt;"~"),(COUNTIF($AN$1:$AN2235,$AN2235)=1)),"TRUE","FALSE")</f>
        <v>FALSE</v>
      </c>
      <c r="AI2235" s="661" t="str">
        <f t="shared" si="243"/>
        <v>II</v>
      </c>
      <c r="AJ2235" s="662" t="str">
        <f t="shared" si="237"/>
        <v>F150-081</v>
      </c>
      <c r="AK2235" s="662" t="str">
        <f t="shared" si="238"/>
        <v>LTK</v>
      </c>
      <c r="AL2235" s="662" t="str">
        <f t="shared" si="239"/>
        <v>FRD</v>
      </c>
      <c r="AM2235" s="662" t="str">
        <f t="shared" si="242"/>
        <v>F150-Super Cab XLT-2WD-6-6'5"-5100-3.3L FFV-6-X1C-300A-145-23-E85-Unleaded</v>
      </c>
      <c r="AN2235" s="662" t="str">
        <f t="shared" si="240"/>
        <v>2019-LTK-FRD-F150-081</v>
      </c>
    </row>
    <row r="2236" spans="1:40" s="572" customFormat="1" ht="15">
      <c r="A2236" s="570" t="s">
        <v>4100</v>
      </c>
      <c r="B2236" s="569" t="s">
        <v>4074</v>
      </c>
      <c r="C2236" s="569" t="s">
        <v>280</v>
      </c>
      <c r="D2236" s="580">
        <v>27</v>
      </c>
      <c r="E2236" s="569" t="s">
        <v>3374</v>
      </c>
      <c r="F2236" s="569" t="s">
        <v>152</v>
      </c>
      <c r="G2236" s="569" t="s">
        <v>271</v>
      </c>
      <c r="H2236" s="569">
        <v>2019</v>
      </c>
      <c r="I2236" s="569" t="s">
        <v>3765</v>
      </c>
      <c r="J2236" s="569" t="s">
        <v>4070</v>
      </c>
      <c r="K2236" s="569" t="s">
        <v>3377</v>
      </c>
      <c r="L2236" s="569">
        <v>6</v>
      </c>
      <c r="M2236" s="569">
        <v>0</v>
      </c>
      <c r="N2236" s="569" t="s">
        <v>157</v>
      </c>
      <c r="O2236" s="569">
        <v>2</v>
      </c>
      <c r="P2236" s="569" t="s">
        <v>3781</v>
      </c>
      <c r="Q2236" s="568">
        <v>7600</v>
      </c>
      <c r="R2236" s="569" t="s">
        <v>3841</v>
      </c>
      <c r="S2236" s="569">
        <v>6</v>
      </c>
      <c r="T2236" s="569" t="s">
        <v>3997</v>
      </c>
      <c r="U2236" s="569" t="s">
        <v>318</v>
      </c>
      <c r="V2236" s="569">
        <v>145</v>
      </c>
      <c r="W2236" s="569">
        <v>23</v>
      </c>
      <c r="X2236" s="568">
        <v>6250</v>
      </c>
      <c r="Y2236" s="569">
        <v>22</v>
      </c>
      <c r="Z2236" s="581" t="s">
        <v>178</v>
      </c>
      <c r="AA2236" s="581" t="s">
        <v>178</v>
      </c>
      <c r="AB2236" s="585">
        <v>39160</v>
      </c>
      <c r="AC2236" s="585" t="s">
        <v>164</v>
      </c>
      <c r="AD2236" s="585">
        <v>27299.663157894738</v>
      </c>
      <c r="AE2236" s="587">
        <v>0.03</v>
      </c>
      <c r="AF2236" s="661" t="str">
        <f t="shared" si="241"/>
        <v>2019-LTK-FRD-F150-082-27</v>
      </c>
      <c r="AG2236" s="661" t="str">
        <f>IF(AND($Y2236&gt;=32,(AI2236="I"),(Y2236&lt;&gt;"~"),(COUNTIF($AN$1:$AN2236,$AN2236)=1)),"TRUE","FALSE")</f>
        <v>FALSE</v>
      </c>
      <c r="AH2236" s="661" t="str">
        <f>IF(AND($Y2236&gt;=22, (AI2236&lt;&gt;"I"),(Y2236&lt;&gt;"~"),(COUNTIF($AN$1:$AN2236,$AN2236)=1)),"TRUE","FALSE")</f>
        <v>FALSE</v>
      </c>
      <c r="AI2236" s="661" t="str">
        <f t="shared" si="243"/>
        <v>II</v>
      </c>
      <c r="AJ2236" s="662" t="str">
        <f t="shared" si="237"/>
        <v>F150-082</v>
      </c>
      <c r="AK2236" s="662" t="str">
        <f t="shared" si="238"/>
        <v>LTK</v>
      </c>
      <c r="AL2236" s="662" t="str">
        <f t="shared" si="239"/>
        <v>FRD</v>
      </c>
      <c r="AM2236" s="662" t="str">
        <f t="shared" si="242"/>
        <v>F150-Super Cab XLT-2WD-6-6'5"-7600-2.7L EcoBoost-6-X1C-300A-145-23-Unleaded-Unleaded</v>
      </c>
      <c r="AN2236" s="662" t="str">
        <f t="shared" si="240"/>
        <v>2019-LTK-FRD-F150-082</v>
      </c>
    </row>
    <row r="2237" spans="1:40" s="572" customFormat="1" ht="15">
      <c r="A2237" s="570" t="s">
        <v>4101</v>
      </c>
      <c r="B2237" s="573" t="s">
        <v>4076</v>
      </c>
      <c r="C2237" s="573" t="s">
        <v>280</v>
      </c>
      <c r="D2237" s="578">
        <v>27</v>
      </c>
      <c r="E2237" s="573" t="s">
        <v>3374</v>
      </c>
      <c r="F2237" s="573" t="s">
        <v>152</v>
      </c>
      <c r="G2237" s="573" t="s">
        <v>271</v>
      </c>
      <c r="H2237" s="573">
        <v>2019</v>
      </c>
      <c r="I2237" s="573" t="s">
        <v>3765</v>
      </c>
      <c r="J2237" s="573" t="s">
        <v>4070</v>
      </c>
      <c r="K2237" s="573" t="s">
        <v>3377</v>
      </c>
      <c r="L2237" s="573">
        <v>6</v>
      </c>
      <c r="M2237" s="573">
        <v>0</v>
      </c>
      <c r="N2237" s="573" t="s">
        <v>157</v>
      </c>
      <c r="O2237" s="573">
        <v>2</v>
      </c>
      <c r="P2237" s="573" t="s">
        <v>3781</v>
      </c>
      <c r="Q2237" s="571">
        <v>9200</v>
      </c>
      <c r="R2237" s="573" t="s">
        <v>3778</v>
      </c>
      <c r="S2237" s="573">
        <v>8</v>
      </c>
      <c r="T2237" s="573" t="s">
        <v>3997</v>
      </c>
      <c r="U2237" s="573" t="s">
        <v>318</v>
      </c>
      <c r="V2237" s="573">
        <v>145</v>
      </c>
      <c r="W2237" s="573">
        <v>23</v>
      </c>
      <c r="X2237" s="571">
        <v>6900</v>
      </c>
      <c r="Y2237" s="573">
        <v>19</v>
      </c>
      <c r="Z2237" s="579" t="s">
        <v>450</v>
      </c>
      <c r="AA2237" s="579" t="s">
        <v>178</v>
      </c>
      <c r="AB2237" s="584">
        <v>40560</v>
      </c>
      <c r="AC2237" s="584" t="s">
        <v>164</v>
      </c>
      <c r="AD2237" s="584">
        <v>28196.505263157895</v>
      </c>
      <c r="AE2237" s="586">
        <v>0.03</v>
      </c>
      <c r="AF2237" s="661" t="str">
        <f t="shared" si="241"/>
        <v>2019-LTK-FRD-F150-084-27</v>
      </c>
      <c r="AG2237" s="661" t="str">
        <f>IF(AND($Y2237&gt;=32,(AI2237="I"),(Y2237&lt;&gt;"~"),(COUNTIF($AN$1:$AN2237,$AN2237)=1)),"TRUE","FALSE")</f>
        <v>FALSE</v>
      </c>
      <c r="AH2237" s="661" t="str">
        <f>IF(AND($Y2237&gt;=22, (AI2237&lt;&gt;"I"),(Y2237&lt;&gt;"~"),(COUNTIF($AN$1:$AN2237,$AN2237)=1)),"TRUE","FALSE")</f>
        <v>FALSE</v>
      </c>
      <c r="AI2237" s="661" t="str">
        <f t="shared" si="243"/>
        <v>II</v>
      </c>
      <c r="AJ2237" s="662" t="str">
        <f t="shared" si="237"/>
        <v>F150-084</v>
      </c>
      <c r="AK2237" s="662" t="str">
        <f t="shared" si="238"/>
        <v>LTK</v>
      </c>
      <c r="AL2237" s="662" t="str">
        <f t="shared" si="239"/>
        <v>FRD</v>
      </c>
      <c r="AM2237" s="662" t="str">
        <f t="shared" si="242"/>
        <v>F150-Super Cab XLT-2WD-6-6'5"-9200-5.0L FFV-8-X1C-300A-145-23-E85-Unleaded</v>
      </c>
      <c r="AN2237" s="662" t="str">
        <f t="shared" si="240"/>
        <v>2019-LTK-FRD-F150-084</v>
      </c>
    </row>
    <row r="2238" spans="1:40" s="572" customFormat="1" ht="15">
      <c r="A2238" s="570" t="s">
        <v>4102</v>
      </c>
      <c r="B2238" s="569" t="s">
        <v>4078</v>
      </c>
      <c r="C2238" s="569" t="s">
        <v>280</v>
      </c>
      <c r="D2238" s="580">
        <v>27</v>
      </c>
      <c r="E2238" s="569" t="s">
        <v>3374</v>
      </c>
      <c r="F2238" s="569" t="s">
        <v>152</v>
      </c>
      <c r="G2238" s="569" t="s">
        <v>271</v>
      </c>
      <c r="H2238" s="569">
        <v>2019</v>
      </c>
      <c r="I2238" s="569" t="s">
        <v>3765</v>
      </c>
      <c r="J2238" s="569" t="s">
        <v>4070</v>
      </c>
      <c r="K2238" s="569" t="s">
        <v>3377</v>
      </c>
      <c r="L2238" s="569">
        <v>6</v>
      </c>
      <c r="M2238" s="569">
        <v>0</v>
      </c>
      <c r="N2238" s="569" t="s">
        <v>157</v>
      </c>
      <c r="O2238" s="569">
        <v>2</v>
      </c>
      <c r="P2238" s="569" t="s">
        <v>3846</v>
      </c>
      <c r="Q2238" s="568">
        <v>10700</v>
      </c>
      <c r="R2238" s="569" t="s">
        <v>1259</v>
      </c>
      <c r="S2238" s="569">
        <v>6</v>
      </c>
      <c r="T2238" s="569" t="s">
        <v>3997</v>
      </c>
      <c r="U2238" s="569" t="s">
        <v>318</v>
      </c>
      <c r="V2238" s="569">
        <v>163.69999999999999</v>
      </c>
      <c r="W2238" s="569">
        <v>23</v>
      </c>
      <c r="X2238" s="568">
        <v>7050</v>
      </c>
      <c r="Y2238" s="569">
        <v>21</v>
      </c>
      <c r="Z2238" s="581" t="s">
        <v>178</v>
      </c>
      <c r="AA2238" s="581" t="s">
        <v>178</v>
      </c>
      <c r="AB2238" s="585">
        <v>41470</v>
      </c>
      <c r="AC2238" s="585" t="s">
        <v>164</v>
      </c>
      <c r="AD2238" s="585">
        <v>29027.031578947372</v>
      </c>
      <c r="AE2238" s="587">
        <v>0.03</v>
      </c>
      <c r="AF2238" s="661" t="str">
        <f t="shared" si="241"/>
        <v>2019-LTK-FRD-F150-085-27</v>
      </c>
      <c r="AG2238" s="661" t="str">
        <f>IF(AND($Y2238&gt;=32,(AI2238="I"),(Y2238&lt;&gt;"~"),(COUNTIF($AN$1:$AN2238,$AN2238)=1)),"TRUE","FALSE")</f>
        <v>FALSE</v>
      </c>
      <c r="AH2238" s="661" t="str">
        <f>IF(AND($Y2238&gt;=22, (AI2238&lt;&gt;"I"),(Y2238&lt;&gt;"~"),(COUNTIF($AN$1:$AN2238,$AN2238)=1)),"TRUE","FALSE")</f>
        <v>FALSE</v>
      </c>
      <c r="AI2238" s="661" t="str">
        <f t="shared" si="243"/>
        <v>II</v>
      </c>
      <c r="AJ2238" s="662" t="str">
        <f t="shared" si="237"/>
        <v>F150-085</v>
      </c>
      <c r="AK2238" s="662" t="str">
        <f t="shared" si="238"/>
        <v>LTK</v>
      </c>
      <c r="AL2238" s="662" t="str">
        <f t="shared" si="239"/>
        <v>FRD</v>
      </c>
      <c r="AM2238" s="662" t="str">
        <f t="shared" si="242"/>
        <v>F150-Super Cab XLT-2WD-6-8'-10700-3.5L EcoBoost-6-X1C-300A-163.7-23-Unleaded-Unleaded</v>
      </c>
      <c r="AN2238" s="662" t="str">
        <f t="shared" si="240"/>
        <v>2019-LTK-FRD-F150-085</v>
      </c>
    </row>
    <row r="2239" spans="1:40" s="572" customFormat="1" ht="15">
      <c r="A2239" s="570" t="s">
        <v>4103</v>
      </c>
      <c r="B2239" s="573" t="s">
        <v>4080</v>
      </c>
      <c r="C2239" s="573" t="s">
        <v>280</v>
      </c>
      <c r="D2239" s="578">
        <v>27</v>
      </c>
      <c r="E2239" s="573" t="s">
        <v>3374</v>
      </c>
      <c r="F2239" s="573" t="s">
        <v>152</v>
      </c>
      <c r="G2239" s="573" t="s">
        <v>271</v>
      </c>
      <c r="H2239" s="573">
        <v>2019</v>
      </c>
      <c r="I2239" s="573" t="s">
        <v>3765</v>
      </c>
      <c r="J2239" s="573" t="s">
        <v>4070</v>
      </c>
      <c r="K2239" s="573" t="s">
        <v>3377</v>
      </c>
      <c r="L2239" s="573">
        <v>6</v>
      </c>
      <c r="M2239" s="573">
        <v>0</v>
      </c>
      <c r="N2239" s="573" t="s">
        <v>157</v>
      </c>
      <c r="O2239" s="573">
        <v>2</v>
      </c>
      <c r="P2239" s="573" t="s">
        <v>3846</v>
      </c>
      <c r="Q2239" s="571">
        <v>7600</v>
      </c>
      <c r="R2239" s="573" t="s">
        <v>3841</v>
      </c>
      <c r="S2239" s="573">
        <v>6</v>
      </c>
      <c r="T2239" s="573" t="s">
        <v>3997</v>
      </c>
      <c r="U2239" s="573" t="s">
        <v>318</v>
      </c>
      <c r="V2239" s="573">
        <v>163.69999999999999</v>
      </c>
      <c r="W2239" s="573">
        <v>23</v>
      </c>
      <c r="X2239" s="571">
        <v>6500</v>
      </c>
      <c r="Y2239" s="573">
        <v>22</v>
      </c>
      <c r="Z2239" s="579" t="s">
        <v>178</v>
      </c>
      <c r="AA2239" s="579" t="s">
        <v>178</v>
      </c>
      <c r="AB2239" s="584">
        <v>39870</v>
      </c>
      <c r="AC2239" s="584" t="s">
        <v>164</v>
      </c>
      <c r="AD2239" s="584">
        <v>27591.242105263158</v>
      </c>
      <c r="AE2239" s="586">
        <v>0.03</v>
      </c>
      <c r="AF2239" s="661" t="str">
        <f t="shared" si="241"/>
        <v>2019-LTK-FRD-F150-086-27</v>
      </c>
      <c r="AG2239" s="661" t="str">
        <f>IF(AND($Y2239&gt;=32,(AI2239="I"),(Y2239&lt;&gt;"~"),(COUNTIF($AN$1:$AN2239,$AN2239)=1)),"TRUE","FALSE")</f>
        <v>FALSE</v>
      </c>
      <c r="AH2239" s="661" t="str">
        <f>IF(AND($Y2239&gt;=22, (AI2239&lt;&gt;"I"),(Y2239&lt;&gt;"~"),(COUNTIF($AN$1:$AN2239,$AN2239)=1)),"TRUE","FALSE")</f>
        <v>FALSE</v>
      </c>
      <c r="AI2239" s="661" t="str">
        <f t="shared" si="243"/>
        <v>II</v>
      </c>
      <c r="AJ2239" s="662" t="str">
        <f t="shared" si="237"/>
        <v>F150-086</v>
      </c>
      <c r="AK2239" s="662" t="str">
        <f t="shared" si="238"/>
        <v>LTK</v>
      </c>
      <c r="AL2239" s="662" t="str">
        <f t="shared" si="239"/>
        <v>FRD</v>
      </c>
      <c r="AM2239" s="662" t="str">
        <f t="shared" si="242"/>
        <v>F150-Super Cab XLT-2WD-6-8'-7600-2.7L EcoBoost-6-X1C-300A-163.7-23-Unleaded-Unleaded</v>
      </c>
      <c r="AN2239" s="662" t="str">
        <f t="shared" si="240"/>
        <v>2019-LTK-FRD-F150-086</v>
      </c>
    </row>
    <row r="2240" spans="1:40" s="572" customFormat="1" ht="15">
      <c r="A2240" s="570" t="s">
        <v>4104</v>
      </c>
      <c r="B2240" s="569" t="s">
        <v>4082</v>
      </c>
      <c r="C2240" s="569" t="s">
        <v>280</v>
      </c>
      <c r="D2240" s="580">
        <v>27</v>
      </c>
      <c r="E2240" s="569" t="s">
        <v>3374</v>
      </c>
      <c r="F2240" s="569" t="s">
        <v>152</v>
      </c>
      <c r="G2240" s="569" t="s">
        <v>271</v>
      </c>
      <c r="H2240" s="569">
        <v>2019</v>
      </c>
      <c r="I2240" s="569" t="s">
        <v>3765</v>
      </c>
      <c r="J2240" s="569" t="s">
        <v>4070</v>
      </c>
      <c r="K2240" s="569" t="s">
        <v>3377</v>
      </c>
      <c r="L2240" s="569">
        <v>6</v>
      </c>
      <c r="M2240" s="569">
        <v>0</v>
      </c>
      <c r="N2240" s="569" t="s">
        <v>157</v>
      </c>
      <c r="O2240" s="569">
        <v>2</v>
      </c>
      <c r="P2240" s="569" t="s">
        <v>3846</v>
      </c>
      <c r="Q2240" s="568">
        <v>9200</v>
      </c>
      <c r="R2240" s="569" t="s">
        <v>3778</v>
      </c>
      <c r="S2240" s="569">
        <v>8</v>
      </c>
      <c r="T2240" s="569" t="s">
        <v>3997</v>
      </c>
      <c r="U2240" s="569" t="s">
        <v>318</v>
      </c>
      <c r="V2240" s="569">
        <v>163.69999999999999</v>
      </c>
      <c r="W2240" s="569">
        <v>23</v>
      </c>
      <c r="X2240" s="568">
        <v>7000</v>
      </c>
      <c r="Y2240" s="569">
        <v>19</v>
      </c>
      <c r="Z2240" s="581" t="s">
        <v>450</v>
      </c>
      <c r="AA2240" s="581" t="s">
        <v>178</v>
      </c>
      <c r="AB2240" s="585">
        <v>40870</v>
      </c>
      <c r="AC2240" s="585" t="s">
        <v>164</v>
      </c>
      <c r="AD2240" s="585">
        <v>28488.084210526318</v>
      </c>
      <c r="AE2240" s="587">
        <v>0.03</v>
      </c>
      <c r="AF2240" s="661" t="str">
        <f t="shared" si="241"/>
        <v>2019-LTK-FRD-F150-088-27</v>
      </c>
      <c r="AG2240" s="661" t="str">
        <f>IF(AND($Y2240&gt;=32,(AI2240="I"),(Y2240&lt;&gt;"~"),(COUNTIF($AN$1:$AN2240,$AN2240)=1)),"TRUE","FALSE")</f>
        <v>FALSE</v>
      </c>
      <c r="AH2240" s="661" t="str">
        <f>IF(AND($Y2240&gt;=22, (AI2240&lt;&gt;"I"),(Y2240&lt;&gt;"~"),(COUNTIF($AN$1:$AN2240,$AN2240)=1)),"TRUE","FALSE")</f>
        <v>FALSE</v>
      </c>
      <c r="AI2240" s="661" t="str">
        <f t="shared" si="243"/>
        <v>II</v>
      </c>
      <c r="AJ2240" s="662" t="str">
        <f t="shared" si="237"/>
        <v>F150-088</v>
      </c>
      <c r="AK2240" s="662" t="str">
        <f t="shared" si="238"/>
        <v>LTK</v>
      </c>
      <c r="AL2240" s="662" t="str">
        <f t="shared" si="239"/>
        <v>FRD</v>
      </c>
      <c r="AM2240" s="662" t="str">
        <f t="shared" si="242"/>
        <v>F150-Super Cab XLT-2WD-6-8'-9200-5.0L FFV-8-X1C-300A-163.7-23-E85-Unleaded</v>
      </c>
      <c r="AN2240" s="662" t="str">
        <f t="shared" si="240"/>
        <v>2019-LTK-FRD-F150-088</v>
      </c>
    </row>
    <row r="2241" spans="1:40" s="572" customFormat="1" ht="15">
      <c r="A2241" s="570" t="s">
        <v>4105</v>
      </c>
      <c r="B2241" s="573" t="s">
        <v>4106</v>
      </c>
      <c r="C2241" s="573" t="s">
        <v>269</v>
      </c>
      <c r="D2241" s="578" t="s">
        <v>270</v>
      </c>
      <c r="E2241" s="573" t="s">
        <v>3374</v>
      </c>
      <c r="F2241" s="573" t="s">
        <v>152</v>
      </c>
      <c r="G2241" s="573" t="s">
        <v>271</v>
      </c>
      <c r="H2241" s="573">
        <v>2019</v>
      </c>
      <c r="I2241" s="573" t="s">
        <v>3765</v>
      </c>
      <c r="J2241" s="573" t="s">
        <v>4070</v>
      </c>
      <c r="K2241" s="573" t="s">
        <v>752</v>
      </c>
      <c r="L2241" s="573">
        <v>3</v>
      </c>
      <c r="M2241" s="573">
        <v>0</v>
      </c>
      <c r="N2241" s="573" t="s">
        <v>157</v>
      </c>
      <c r="O2241" s="573">
        <v>1</v>
      </c>
      <c r="P2241" s="573" t="s">
        <v>3846</v>
      </c>
      <c r="Q2241" s="571">
        <v>10800</v>
      </c>
      <c r="R2241" s="573" t="s">
        <v>1259</v>
      </c>
      <c r="S2241" s="573">
        <v>6</v>
      </c>
      <c r="T2241" s="573" t="s">
        <v>4033</v>
      </c>
      <c r="U2241" s="573" t="s">
        <v>318</v>
      </c>
      <c r="V2241" s="573">
        <v>163.69999999999999</v>
      </c>
      <c r="W2241" s="573">
        <v>23</v>
      </c>
      <c r="X2241" s="571">
        <v>7050</v>
      </c>
      <c r="Y2241" s="573">
        <v>19</v>
      </c>
      <c r="Z2241" s="579" t="s">
        <v>178</v>
      </c>
      <c r="AA2241" s="579" t="s">
        <v>178</v>
      </c>
      <c r="AB2241" s="584">
        <v>44845</v>
      </c>
      <c r="AC2241" s="584" t="s">
        <v>164</v>
      </c>
      <c r="AD2241" s="584">
        <v>32100.715789473685</v>
      </c>
      <c r="AE2241" s="586">
        <v>0.03</v>
      </c>
      <c r="AF2241" s="661" t="str">
        <f t="shared" si="241"/>
        <v>2019-LTK-FRD-F150-093-05</v>
      </c>
      <c r="AG2241" s="661" t="str">
        <f>IF(AND($Y2241&gt;=32,(AI2241="I"),(Y2241&lt;&gt;"~"),(COUNTIF($AN$1:$AN2241,$AN2241)=1)),"TRUE","FALSE")</f>
        <v>FALSE</v>
      </c>
      <c r="AH2241" s="661" t="str">
        <f>IF(AND($Y2241&gt;=22, (AI2241&lt;&gt;"I"),(Y2241&lt;&gt;"~"),(COUNTIF($AN$1:$AN2241,$AN2241)=1)),"TRUE","FALSE")</f>
        <v>FALSE</v>
      </c>
      <c r="AI2241" s="661" t="str">
        <f t="shared" si="243"/>
        <v>II</v>
      </c>
      <c r="AJ2241" s="662" t="str">
        <f t="shared" si="237"/>
        <v>F150-093</v>
      </c>
      <c r="AK2241" s="662" t="str">
        <f t="shared" si="238"/>
        <v>LTK</v>
      </c>
      <c r="AL2241" s="662" t="str">
        <f t="shared" si="239"/>
        <v>FRD</v>
      </c>
      <c r="AM2241" s="662" t="str">
        <f t="shared" si="242"/>
        <v>F150-Super Cab XLT-4WD-3-8'-10800-3.5L EcoBoost-6-X1E-300A-163.7-23-Unleaded-Unleaded</v>
      </c>
      <c r="AN2241" s="662" t="str">
        <f t="shared" si="240"/>
        <v>2019-LTK-FRD-F150-093</v>
      </c>
    </row>
    <row r="2242" spans="1:40" s="572" customFormat="1" ht="15">
      <c r="A2242" s="570" t="s">
        <v>4107</v>
      </c>
      <c r="B2242" s="569" t="s">
        <v>4108</v>
      </c>
      <c r="C2242" s="569" t="s">
        <v>269</v>
      </c>
      <c r="D2242" s="580" t="s">
        <v>270</v>
      </c>
      <c r="E2242" s="569" t="s">
        <v>3374</v>
      </c>
      <c r="F2242" s="569" t="s">
        <v>152</v>
      </c>
      <c r="G2242" s="569" t="s">
        <v>271</v>
      </c>
      <c r="H2242" s="569">
        <v>2019</v>
      </c>
      <c r="I2242" s="569" t="s">
        <v>3765</v>
      </c>
      <c r="J2242" s="569" t="s">
        <v>4070</v>
      </c>
      <c r="K2242" s="569" t="s">
        <v>752</v>
      </c>
      <c r="L2242" s="569">
        <v>3</v>
      </c>
      <c r="M2242" s="569">
        <v>0</v>
      </c>
      <c r="N2242" s="569" t="s">
        <v>157</v>
      </c>
      <c r="O2242" s="569">
        <v>1</v>
      </c>
      <c r="P2242" s="569" t="s">
        <v>3846</v>
      </c>
      <c r="Q2242" s="568">
        <v>9000</v>
      </c>
      <c r="R2242" s="569" t="s">
        <v>3778</v>
      </c>
      <c r="S2242" s="569">
        <v>8</v>
      </c>
      <c r="T2242" s="569" t="s">
        <v>4033</v>
      </c>
      <c r="U2242" s="569" t="s">
        <v>318</v>
      </c>
      <c r="V2242" s="569">
        <v>163.69999999999999</v>
      </c>
      <c r="W2242" s="569">
        <v>23</v>
      </c>
      <c r="X2242" s="568">
        <v>7050</v>
      </c>
      <c r="Y2242" s="569">
        <v>18</v>
      </c>
      <c r="Z2242" s="581" t="s">
        <v>450</v>
      </c>
      <c r="AA2242" s="581" t="s">
        <v>178</v>
      </c>
      <c r="AB2242" s="585">
        <v>44245</v>
      </c>
      <c r="AC2242" s="585" t="s">
        <v>164</v>
      </c>
      <c r="AD2242" s="585">
        <v>31562.821052631582</v>
      </c>
      <c r="AE2242" s="587">
        <v>0.03</v>
      </c>
      <c r="AF2242" s="661" t="str">
        <f t="shared" si="241"/>
        <v>2019-LTK-FRD-F150-094-05</v>
      </c>
      <c r="AG2242" s="661" t="str">
        <f>IF(AND($Y2242&gt;=32,(AI2242="I"),(Y2242&lt;&gt;"~"),(COUNTIF($AN$1:$AN2242,$AN2242)=1)),"TRUE","FALSE")</f>
        <v>FALSE</v>
      </c>
      <c r="AH2242" s="661" t="str">
        <f>IF(AND($Y2242&gt;=22, (AI2242&lt;&gt;"I"),(Y2242&lt;&gt;"~"),(COUNTIF($AN$1:$AN2242,$AN2242)=1)),"TRUE","FALSE")</f>
        <v>FALSE</v>
      </c>
      <c r="AI2242" s="661" t="str">
        <f t="shared" si="243"/>
        <v>II</v>
      </c>
      <c r="AJ2242" s="662" t="str">
        <f t="shared" si="237"/>
        <v>F150-094</v>
      </c>
      <c r="AK2242" s="662" t="str">
        <f t="shared" si="238"/>
        <v>LTK</v>
      </c>
      <c r="AL2242" s="662" t="str">
        <f t="shared" si="239"/>
        <v>FRD</v>
      </c>
      <c r="AM2242" s="662" t="str">
        <f t="shared" si="242"/>
        <v>F150-Super Cab XLT-4WD-3-8'-9000-5.0L FFV-8-X1E-300A-163.7-23-E85-Unleaded</v>
      </c>
      <c r="AN2242" s="662" t="str">
        <f t="shared" si="240"/>
        <v>2019-LTK-FRD-F150-094</v>
      </c>
    </row>
    <row r="2243" spans="1:40" s="572" customFormat="1" ht="15">
      <c r="A2243" s="570" t="s">
        <v>4109</v>
      </c>
      <c r="B2243" s="573" t="s">
        <v>4110</v>
      </c>
      <c r="C2243" s="573" t="s">
        <v>269</v>
      </c>
      <c r="D2243" s="578" t="s">
        <v>270</v>
      </c>
      <c r="E2243" s="573" t="s">
        <v>3374</v>
      </c>
      <c r="F2243" s="573" t="s">
        <v>152</v>
      </c>
      <c r="G2243" s="573" t="s">
        <v>271</v>
      </c>
      <c r="H2243" s="573">
        <v>2019</v>
      </c>
      <c r="I2243" s="573" t="s">
        <v>3765</v>
      </c>
      <c r="J2243" s="573" t="s">
        <v>4070</v>
      </c>
      <c r="K2243" s="573" t="s">
        <v>752</v>
      </c>
      <c r="L2243" s="573">
        <v>6</v>
      </c>
      <c r="M2243" s="573">
        <v>0</v>
      </c>
      <c r="N2243" s="573" t="s">
        <v>157</v>
      </c>
      <c r="O2243" s="573">
        <v>2</v>
      </c>
      <c r="P2243" s="573" t="s">
        <v>3781</v>
      </c>
      <c r="Q2243" s="571">
        <v>10700</v>
      </c>
      <c r="R2243" s="573" t="s">
        <v>1259</v>
      </c>
      <c r="S2243" s="573">
        <v>6</v>
      </c>
      <c r="T2243" s="573" t="s">
        <v>4033</v>
      </c>
      <c r="U2243" s="573" t="s">
        <v>318</v>
      </c>
      <c r="V2243" s="573">
        <v>145</v>
      </c>
      <c r="W2243" s="573">
        <v>23</v>
      </c>
      <c r="X2243" s="571">
        <v>7000</v>
      </c>
      <c r="Y2243" s="573">
        <v>19</v>
      </c>
      <c r="Z2243" s="579" t="s">
        <v>178</v>
      </c>
      <c r="AA2243" s="579" t="s">
        <v>178</v>
      </c>
      <c r="AB2243" s="584">
        <v>44585</v>
      </c>
      <c r="AC2243" s="584" t="s">
        <v>164</v>
      </c>
      <c r="AD2243" s="584">
        <v>31844.926315789475</v>
      </c>
      <c r="AE2243" s="586">
        <v>0.03</v>
      </c>
      <c r="AF2243" s="661" t="str">
        <f t="shared" si="241"/>
        <v>2019-LTK-FRD-F150-095-05</v>
      </c>
      <c r="AG2243" s="661" t="str">
        <f>IF(AND($Y2243&gt;=32,(AI2243="I"),(Y2243&lt;&gt;"~"),(COUNTIF($AN$1:$AN2243,$AN2243)=1)),"TRUE","FALSE")</f>
        <v>FALSE</v>
      </c>
      <c r="AH2243" s="661" t="str">
        <f>IF(AND($Y2243&gt;=22, (AI2243&lt;&gt;"I"),(Y2243&lt;&gt;"~"),(COUNTIF($AN$1:$AN2243,$AN2243)=1)),"TRUE","FALSE")</f>
        <v>FALSE</v>
      </c>
      <c r="AI2243" s="661" t="str">
        <f t="shared" si="243"/>
        <v>II</v>
      </c>
      <c r="AJ2243" s="662" t="str">
        <f t="shared" ref="AJ2243:AJ2306" si="244">MID(A2243,14,8)</f>
        <v>F150-095</v>
      </c>
      <c r="AK2243" s="662" t="str">
        <f t="shared" ref="AK2243:AK2306" si="245">MID(A2243,6,3)</f>
        <v>LTK</v>
      </c>
      <c r="AL2243" s="662" t="str">
        <f t="shared" ref="AL2243:AL2306" si="246">MID(A2243,10,3)</f>
        <v>FRD</v>
      </c>
      <c r="AM2243" s="662" t="str">
        <f t="shared" si="242"/>
        <v>F150-Super Cab XLT-4WD-6-6'5"-10700-3.5L EcoBoost-6-X1E-300A-145-23-Unleaded-Unleaded</v>
      </c>
      <c r="AN2243" s="662" t="str">
        <f t="shared" ref="AN2243:AN2306" si="247">LEFT(A2243,21)</f>
        <v>2019-LTK-FRD-F150-095</v>
      </c>
    </row>
    <row r="2244" spans="1:40" s="572" customFormat="1" ht="15">
      <c r="A2244" s="570" t="s">
        <v>4111</v>
      </c>
      <c r="B2244" s="569" t="s">
        <v>4112</v>
      </c>
      <c r="C2244" s="569" t="s">
        <v>269</v>
      </c>
      <c r="D2244" s="580" t="s">
        <v>270</v>
      </c>
      <c r="E2244" s="569" t="s">
        <v>3374</v>
      </c>
      <c r="F2244" s="569" t="s">
        <v>152</v>
      </c>
      <c r="G2244" s="569" t="s">
        <v>271</v>
      </c>
      <c r="H2244" s="569">
        <v>2019</v>
      </c>
      <c r="I2244" s="569" t="s">
        <v>3765</v>
      </c>
      <c r="J2244" s="569" t="s">
        <v>4070</v>
      </c>
      <c r="K2244" s="569" t="s">
        <v>752</v>
      </c>
      <c r="L2244" s="569">
        <v>6</v>
      </c>
      <c r="M2244" s="569">
        <v>0</v>
      </c>
      <c r="N2244" s="569" t="s">
        <v>157</v>
      </c>
      <c r="O2244" s="569">
        <v>2</v>
      </c>
      <c r="P2244" s="569" t="s">
        <v>3781</v>
      </c>
      <c r="Q2244" s="568">
        <v>7200</v>
      </c>
      <c r="R2244" s="569" t="s">
        <v>3772</v>
      </c>
      <c r="S2244" s="569">
        <v>6</v>
      </c>
      <c r="T2244" s="569" t="s">
        <v>4033</v>
      </c>
      <c r="U2244" s="569" t="s">
        <v>318</v>
      </c>
      <c r="V2244" s="569">
        <v>145</v>
      </c>
      <c r="W2244" s="569">
        <v>23</v>
      </c>
      <c r="X2244" s="568">
        <v>6350</v>
      </c>
      <c r="Y2244" s="569">
        <v>20</v>
      </c>
      <c r="Z2244" s="581" t="s">
        <v>450</v>
      </c>
      <c r="AA2244" s="581" t="s">
        <v>178</v>
      </c>
      <c r="AB2244" s="585">
        <v>41990</v>
      </c>
      <c r="AC2244" s="585" t="s">
        <v>164</v>
      </c>
      <c r="AD2244" s="585">
        <v>29515.452631578948</v>
      </c>
      <c r="AE2244" s="587">
        <v>0.03</v>
      </c>
      <c r="AF2244" s="661" t="str">
        <f t="shared" si="241"/>
        <v>2019-LTK-FRD-F150-096-05</v>
      </c>
      <c r="AG2244" s="661" t="str">
        <f>IF(AND($Y2244&gt;=32,(AI2244="I"),(Y2244&lt;&gt;"~"),(COUNTIF($AN$1:$AN2244,$AN2244)=1)),"TRUE","FALSE")</f>
        <v>FALSE</v>
      </c>
      <c r="AH2244" s="661" t="str">
        <f>IF(AND($Y2244&gt;=22, (AI2244&lt;&gt;"I"),(Y2244&lt;&gt;"~"),(COUNTIF($AN$1:$AN2244,$AN2244)=1)),"TRUE","FALSE")</f>
        <v>FALSE</v>
      </c>
      <c r="AI2244" s="661" t="str">
        <f t="shared" si="243"/>
        <v>II</v>
      </c>
      <c r="AJ2244" s="662" t="str">
        <f t="shared" si="244"/>
        <v>F150-096</v>
      </c>
      <c r="AK2244" s="662" t="str">
        <f t="shared" si="245"/>
        <v>LTK</v>
      </c>
      <c r="AL2244" s="662" t="str">
        <f t="shared" si="246"/>
        <v>FRD</v>
      </c>
      <c r="AM2244" s="662" t="str">
        <f t="shared" si="242"/>
        <v>F150-Super Cab XLT-4WD-6-6'5"-7200-3.3L FFV-6-X1E-300A-145-23-E85-Unleaded</v>
      </c>
      <c r="AN2244" s="662" t="str">
        <f t="shared" si="247"/>
        <v>2019-LTK-FRD-F150-096</v>
      </c>
    </row>
    <row r="2245" spans="1:40" s="572" customFormat="1" ht="15">
      <c r="A2245" s="570" t="s">
        <v>4113</v>
      </c>
      <c r="B2245" s="573" t="s">
        <v>4114</v>
      </c>
      <c r="C2245" s="573" t="s">
        <v>269</v>
      </c>
      <c r="D2245" s="578" t="s">
        <v>270</v>
      </c>
      <c r="E2245" s="573" t="s">
        <v>3374</v>
      </c>
      <c r="F2245" s="573" t="s">
        <v>152</v>
      </c>
      <c r="G2245" s="573" t="s">
        <v>271</v>
      </c>
      <c r="H2245" s="573">
        <v>2019</v>
      </c>
      <c r="I2245" s="573" t="s">
        <v>3765</v>
      </c>
      <c r="J2245" s="573" t="s">
        <v>4070</v>
      </c>
      <c r="K2245" s="573" t="s">
        <v>752</v>
      </c>
      <c r="L2245" s="573">
        <v>6</v>
      </c>
      <c r="M2245" s="573">
        <v>0</v>
      </c>
      <c r="N2245" s="573" t="s">
        <v>157</v>
      </c>
      <c r="O2245" s="573">
        <v>2</v>
      </c>
      <c r="P2245" s="573" t="s">
        <v>3781</v>
      </c>
      <c r="Q2245" s="571">
        <v>7600</v>
      </c>
      <c r="R2245" s="573" t="s">
        <v>3768</v>
      </c>
      <c r="S2245" s="573">
        <v>6</v>
      </c>
      <c r="T2245" s="573" t="s">
        <v>4033</v>
      </c>
      <c r="U2245" s="573" t="s">
        <v>318</v>
      </c>
      <c r="V2245" s="573">
        <v>145</v>
      </c>
      <c r="W2245" s="573">
        <v>23</v>
      </c>
      <c r="X2245" s="571">
        <v>6900</v>
      </c>
      <c r="Y2245" s="573">
        <v>21</v>
      </c>
      <c r="Z2245" s="579" t="s">
        <v>178</v>
      </c>
      <c r="AA2245" s="579" t="s">
        <v>178</v>
      </c>
      <c r="AB2245" s="584">
        <v>42985</v>
      </c>
      <c r="AC2245" s="584" t="s">
        <v>164</v>
      </c>
      <c r="AD2245" s="584">
        <v>30409.136842105265</v>
      </c>
      <c r="AE2245" s="586">
        <v>0.03</v>
      </c>
      <c r="AF2245" s="661" t="str">
        <f t="shared" si="241"/>
        <v>2019-LTK-FRD-F150-097-05</v>
      </c>
      <c r="AG2245" s="661" t="str">
        <f>IF(AND($Y2245&gt;=32,(AI2245="I"),(Y2245&lt;&gt;"~"),(COUNTIF($AN$1:$AN2245,$AN2245)=1)),"TRUE","FALSE")</f>
        <v>FALSE</v>
      </c>
      <c r="AH2245" s="661" t="str">
        <f>IF(AND($Y2245&gt;=22, (AI2245&lt;&gt;"I"),(Y2245&lt;&gt;"~"),(COUNTIF($AN$1:$AN2245,$AN2245)=1)),"TRUE","FALSE")</f>
        <v>FALSE</v>
      </c>
      <c r="AI2245" s="661" t="str">
        <f t="shared" si="243"/>
        <v>II</v>
      </c>
      <c r="AJ2245" s="662" t="str">
        <f t="shared" si="244"/>
        <v>F150-097</v>
      </c>
      <c r="AK2245" s="662" t="str">
        <f t="shared" si="245"/>
        <v>LTK</v>
      </c>
      <c r="AL2245" s="662" t="str">
        <f t="shared" si="246"/>
        <v>FRD</v>
      </c>
      <c r="AM2245" s="662" t="str">
        <f t="shared" si="242"/>
        <v>F150-Super Cab XLT-4WD-6-6'5"-7600-2.7L EcoBoost -6-X1E-300A-145-23-Unleaded-Unleaded</v>
      </c>
      <c r="AN2245" s="662" t="str">
        <f t="shared" si="247"/>
        <v>2019-LTK-FRD-F150-097</v>
      </c>
    </row>
    <row r="2246" spans="1:40" s="572" customFormat="1" ht="15">
      <c r="A2246" s="570" t="s">
        <v>4115</v>
      </c>
      <c r="B2246" s="569" t="s">
        <v>4116</v>
      </c>
      <c r="C2246" s="569" t="s">
        <v>269</v>
      </c>
      <c r="D2246" s="580" t="s">
        <v>270</v>
      </c>
      <c r="E2246" s="569" t="s">
        <v>3374</v>
      </c>
      <c r="F2246" s="569" t="s">
        <v>152</v>
      </c>
      <c r="G2246" s="569" t="s">
        <v>271</v>
      </c>
      <c r="H2246" s="569">
        <v>2019</v>
      </c>
      <c r="I2246" s="569" t="s">
        <v>3765</v>
      </c>
      <c r="J2246" s="569" t="s">
        <v>4070</v>
      </c>
      <c r="K2246" s="569" t="s">
        <v>752</v>
      </c>
      <c r="L2246" s="569">
        <v>6</v>
      </c>
      <c r="M2246" s="569">
        <v>0</v>
      </c>
      <c r="N2246" s="569" t="s">
        <v>157</v>
      </c>
      <c r="O2246" s="569">
        <v>2</v>
      </c>
      <c r="P2246" s="569" t="s">
        <v>3781</v>
      </c>
      <c r="Q2246" s="568">
        <v>9100</v>
      </c>
      <c r="R2246" s="569" t="s">
        <v>3778</v>
      </c>
      <c r="S2246" s="569">
        <v>8</v>
      </c>
      <c r="T2246" s="569" t="s">
        <v>4033</v>
      </c>
      <c r="U2246" s="569" t="s">
        <v>318</v>
      </c>
      <c r="V2246" s="569">
        <v>145</v>
      </c>
      <c r="W2246" s="569">
        <v>23</v>
      </c>
      <c r="X2246" s="568">
        <v>7000</v>
      </c>
      <c r="Y2246" s="569">
        <v>18</v>
      </c>
      <c r="Z2246" s="581" t="s">
        <v>450</v>
      </c>
      <c r="AA2246" s="581" t="s">
        <v>178</v>
      </c>
      <c r="AB2246" s="585">
        <v>43985</v>
      </c>
      <c r="AC2246" s="585" t="s">
        <v>164</v>
      </c>
      <c r="AD2246" s="585">
        <v>31305.978947368421</v>
      </c>
      <c r="AE2246" s="587">
        <v>0.03</v>
      </c>
      <c r="AF2246" s="661" t="str">
        <f t="shared" si="241"/>
        <v>2019-LTK-FRD-F150-099-05</v>
      </c>
      <c r="AG2246" s="661" t="str">
        <f>IF(AND($Y2246&gt;=32,(AI2246="I"),(Y2246&lt;&gt;"~"),(COUNTIF($AN$1:$AN2246,$AN2246)=1)),"TRUE","FALSE")</f>
        <v>FALSE</v>
      </c>
      <c r="AH2246" s="661" t="str">
        <f>IF(AND($Y2246&gt;=22, (AI2246&lt;&gt;"I"),(Y2246&lt;&gt;"~"),(COUNTIF($AN$1:$AN2246,$AN2246)=1)),"TRUE","FALSE")</f>
        <v>FALSE</v>
      </c>
      <c r="AI2246" s="661" t="str">
        <f t="shared" si="243"/>
        <v>II</v>
      </c>
      <c r="AJ2246" s="662" t="str">
        <f t="shared" si="244"/>
        <v>F150-099</v>
      </c>
      <c r="AK2246" s="662" t="str">
        <f t="shared" si="245"/>
        <v>LTK</v>
      </c>
      <c r="AL2246" s="662" t="str">
        <f t="shared" si="246"/>
        <v>FRD</v>
      </c>
      <c r="AM2246" s="662" t="str">
        <f t="shared" si="242"/>
        <v>F150-Super Cab XLT-4WD-6-6'5"-9100-5.0L FFV-8-X1E-300A-145-23-E85-Unleaded</v>
      </c>
      <c r="AN2246" s="662" t="str">
        <f t="shared" si="247"/>
        <v>2019-LTK-FRD-F150-099</v>
      </c>
    </row>
    <row r="2247" spans="1:40" s="572" customFormat="1" ht="15">
      <c r="A2247" s="570" t="s">
        <v>4117</v>
      </c>
      <c r="B2247" s="573" t="s">
        <v>4110</v>
      </c>
      <c r="C2247" s="573" t="s">
        <v>278</v>
      </c>
      <c r="D2247" s="578">
        <v>15</v>
      </c>
      <c r="E2247" s="573" t="s">
        <v>3374</v>
      </c>
      <c r="F2247" s="573" t="s">
        <v>152</v>
      </c>
      <c r="G2247" s="573" t="s">
        <v>271</v>
      </c>
      <c r="H2247" s="573">
        <v>2019</v>
      </c>
      <c r="I2247" s="573" t="s">
        <v>3765</v>
      </c>
      <c r="J2247" s="573" t="s">
        <v>4070</v>
      </c>
      <c r="K2247" s="573" t="s">
        <v>752</v>
      </c>
      <c r="L2247" s="573">
        <v>6</v>
      </c>
      <c r="M2247" s="573">
        <v>0</v>
      </c>
      <c r="N2247" s="573" t="s">
        <v>157</v>
      </c>
      <c r="O2247" s="573">
        <v>2</v>
      </c>
      <c r="P2247" s="573" t="s">
        <v>3781</v>
      </c>
      <c r="Q2247" s="571">
        <v>10700</v>
      </c>
      <c r="R2247" s="573" t="s">
        <v>1259</v>
      </c>
      <c r="S2247" s="573">
        <v>6</v>
      </c>
      <c r="T2247" s="573" t="s">
        <v>4033</v>
      </c>
      <c r="U2247" s="573" t="s">
        <v>318</v>
      </c>
      <c r="V2247" s="573">
        <v>145</v>
      </c>
      <c r="W2247" s="573">
        <v>23</v>
      </c>
      <c r="X2247" s="571">
        <v>7000</v>
      </c>
      <c r="Y2247" s="573">
        <v>19</v>
      </c>
      <c r="Z2247" s="579" t="s">
        <v>178</v>
      </c>
      <c r="AA2247" s="579" t="s">
        <v>178</v>
      </c>
      <c r="AB2247" s="584">
        <v>44585</v>
      </c>
      <c r="AC2247" s="584" t="s">
        <v>164</v>
      </c>
      <c r="AD2247" s="584">
        <v>31950</v>
      </c>
      <c r="AE2247" s="586">
        <v>0.01</v>
      </c>
      <c r="AF2247" s="661" t="str">
        <f t="shared" si="241"/>
        <v>2019-LTK-FRD-F150-095-15</v>
      </c>
      <c r="AG2247" s="661" t="str">
        <f>IF(AND($Y2247&gt;=32,(AI2247="I"),(Y2247&lt;&gt;"~"),(COUNTIF($AN$1:$AN2247,$AN2247)=1)),"TRUE","FALSE")</f>
        <v>FALSE</v>
      </c>
      <c r="AH2247" s="661" t="str">
        <f>IF(AND($Y2247&gt;=22, (AI2247&lt;&gt;"I"),(Y2247&lt;&gt;"~"),(COUNTIF($AN$1:$AN2247,$AN2247)=1)),"TRUE","FALSE")</f>
        <v>FALSE</v>
      </c>
      <c r="AI2247" s="661" t="str">
        <f t="shared" si="243"/>
        <v>II</v>
      </c>
      <c r="AJ2247" s="662" t="str">
        <f t="shared" si="244"/>
        <v>F150-095</v>
      </c>
      <c r="AK2247" s="662" t="str">
        <f t="shared" si="245"/>
        <v>LTK</v>
      </c>
      <c r="AL2247" s="662" t="str">
        <f t="shared" si="246"/>
        <v>FRD</v>
      </c>
      <c r="AM2247" s="662" t="str">
        <f t="shared" si="242"/>
        <v>F150-Super Cab XLT-4WD-6-6'5"-10700-3.5L EcoBoost-6-X1E-300A-145-23-Unleaded-Unleaded</v>
      </c>
      <c r="AN2247" s="662" t="str">
        <f t="shared" si="247"/>
        <v>2019-LTK-FRD-F150-095</v>
      </c>
    </row>
    <row r="2248" spans="1:40" s="572" customFormat="1" ht="15">
      <c r="A2248" s="570" t="s">
        <v>4118</v>
      </c>
      <c r="B2248" s="569" t="s">
        <v>4112</v>
      </c>
      <c r="C2248" s="569" t="s">
        <v>278</v>
      </c>
      <c r="D2248" s="580">
        <v>15</v>
      </c>
      <c r="E2248" s="569" t="s">
        <v>3374</v>
      </c>
      <c r="F2248" s="569" t="s">
        <v>152</v>
      </c>
      <c r="G2248" s="569" t="s">
        <v>271</v>
      </c>
      <c r="H2248" s="569">
        <v>2019</v>
      </c>
      <c r="I2248" s="569" t="s">
        <v>3765</v>
      </c>
      <c r="J2248" s="569" t="s">
        <v>4070</v>
      </c>
      <c r="K2248" s="569" t="s">
        <v>752</v>
      </c>
      <c r="L2248" s="569">
        <v>6</v>
      </c>
      <c r="M2248" s="569">
        <v>0</v>
      </c>
      <c r="N2248" s="569" t="s">
        <v>157</v>
      </c>
      <c r="O2248" s="569">
        <v>2</v>
      </c>
      <c r="P2248" s="569" t="s">
        <v>3781</v>
      </c>
      <c r="Q2248" s="568">
        <v>7200</v>
      </c>
      <c r="R2248" s="569" t="s">
        <v>3772</v>
      </c>
      <c r="S2248" s="569">
        <v>6</v>
      </c>
      <c r="T2248" s="569" t="s">
        <v>4033</v>
      </c>
      <c r="U2248" s="569" t="s">
        <v>318</v>
      </c>
      <c r="V2248" s="569">
        <v>145</v>
      </c>
      <c r="W2248" s="569">
        <v>23</v>
      </c>
      <c r="X2248" s="568">
        <v>6350</v>
      </c>
      <c r="Y2248" s="569">
        <v>19</v>
      </c>
      <c r="Z2248" s="581" t="s">
        <v>450</v>
      </c>
      <c r="AA2248" s="581" t="s">
        <v>178</v>
      </c>
      <c r="AB2248" s="585">
        <v>41990</v>
      </c>
      <c r="AC2248" s="585" t="s">
        <v>164</v>
      </c>
      <c r="AD2248" s="585">
        <v>29600</v>
      </c>
      <c r="AE2248" s="587">
        <v>0.01</v>
      </c>
      <c r="AF2248" s="661" t="str">
        <f t="shared" ref="AF2248:AF2311" si="248">A2248</f>
        <v>2019-LTK-FRD-F150-096-15</v>
      </c>
      <c r="AG2248" s="661" t="str">
        <f>IF(AND($Y2248&gt;=32,(AI2248="I"),(Y2248&lt;&gt;"~"),(COUNTIF($AN$1:$AN2248,$AN2248)=1)),"TRUE","FALSE")</f>
        <v>FALSE</v>
      </c>
      <c r="AH2248" s="661" t="str">
        <f>IF(AND($Y2248&gt;=22, (AI2248&lt;&gt;"I"),(Y2248&lt;&gt;"~"),(COUNTIF($AN$1:$AN2248,$AN2248)=1)),"TRUE","FALSE")</f>
        <v>FALSE</v>
      </c>
      <c r="AI2248" s="661" t="str">
        <f t="shared" si="243"/>
        <v>II</v>
      </c>
      <c r="AJ2248" s="662" t="str">
        <f t="shared" si="244"/>
        <v>F150-096</v>
      </c>
      <c r="AK2248" s="662" t="str">
        <f t="shared" si="245"/>
        <v>LTK</v>
      </c>
      <c r="AL2248" s="662" t="str">
        <f t="shared" si="246"/>
        <v>FRD</v>
      </c>
      <c r="AM2248" s="662" t="str">
        <f t="shared" si="242"/>
        <v>F150-Super Cab XLT-4WD-6-6'5"-7200-3.3L FFV-6-X1E-300A-145-23-E85-Unleaded</v>
      </c>
      <c r="AN2248" s="662" t="str">
        <f t="shared" si="247"/>
        <v>2019-LTK-FRD-F150-096</v>
      </c>
    </row>
    <row r="2249" spans="1:40" s="572" customFormat="1" ht="15">
      <c r="A2249" s="570" t="s">
        <v>4119</v>
      </c>
      <c r="B2249" s="573" t="s">
        <v>4114</v>
      </c>
      <c r="C2249" s="573" t="s">
        <v>278</v>
      </c>
      <c r="D2249" s="578">
        <v>15</v>
      </c>
      <c r="E2249" s="573" t="s">
        <v>3374</v>
      </c>
      <c r="F2249" s="573" t="s">
        <v>152</v>
      </c>
      <c r="G2249" s="573" t="s">
        <v>271</v>
      </c>
      <c r="H2249" s="573">
        <v>2019</v>
      </c>
      <c r="I2249" s="573" t="s">
        <v>3765</v>
      </c>
      <c r="J2249" s="573" t="s">
        <v>4070</v>
      </c>
      <c r="K2249" s="573" t="s">
        <v>752</v>
      </c>
      <c r="L2249" s="573">
        <v>6</v>
      </c>
      <c r="M2249" s="573">
        <v>0</v>
      </c>
      <c r="N2249" s="573" t="s">
        <v>157</v>
      </c>
      <c r="O2249" s="573">
        <v>2</v>
      </c>
      <c r="P2249" s="573" t="s">
        <v>3781</v>
      </c>
      <c r="Q2249" s="571">
        <v>7600</v>
      </c>
      <c r="R2249" s="573" t="s">
        <v>3768</v>
      </c>
      <c r="S2249" s="573">
        <v>6</v>
      </c>
      <c r="T2249" s="573" t="s">
        <v>4033</v>
      </c>
      <c r="U2249" s="573" t="s">
        <v>318</v>
      </c>
      <c r="V2249" s="573">
        <v>145</v>
      </c>
      <c r="W2249" s="573">
        <v>23</v>
      </c>
      <c r="X2249" s="571">
        <v>6900</v>
      </c>
      <c r="Y2249" s="573">
        <v>20</v>
      </c>
      <c r="Z2249" s="579" t="s">
        <v>178</v>
      </c>
      <c r="AA2249" s="579" t="s">
        <v>178</v>
      </c>
      <c r="AB2249" s="584">
        <v>42985</v>
      </c>
      <c r="AC2249" s="584" t="s">
        <v>164</v>
      </c>
      <c r="AD2249" s="584">
        <v>30500</v>
      </c>
      <c r="AE2249" s="586">
        <v>0.01</v>
      </c>
      <c r="AF2249" s="661" t="str">
        <f t="shared" si="248"/>
        <v>2019-LTK-FRD-F150-097-15</v>
      </c>
      <c r="AG2249" s="661" t="str">
        <f>IF(AND($Y2249&gt;=32,(AI2249="I"),(Y2249&lt;&gt;"~"),(COUNTIF($AN$1:$AN2249,$AN2249)=1)),"TRUE","FALSE")</f>
        <v>FALSE</v>
      </c>
      <c r="AH2249" s="661" t="str">
        <f>IF(AND($Y2249&gt;=22, (AI2249&lt;&gt;"I"),(Y2249&lt;&gt;"~"),(COUNTIF($AN$1:$AN2249,$AN2249)=1)),"TRUE","FALSE")</f>
        <v>FALSE</v>
      </c>
      <c r="AI2249" s="661" t="str">
        <f t="shared" si="243"/>
        <v>II</v>
      </c>
      <c r="AJ2249" s="662" t="str">
        <f t="shared" si="244"/>
        <v>F150-097</v>
      </c>
      <c r="AK2249" s="662" t="str">
        <f t="shared" si="245"/>
        <v>LTK</v>
      </c>
      <c r="AL2249" s="662" t="str">
        <f t="shared" si="246"/>
        <v>FRD</v>
      </c>
      <c r="AM2249" s="662" t="str">
        <f t="shared" si="242"/>
        <v>F150-Super Cab XLT-4WD-6-6'5"-7600-2.7L EcoBoost -6-X1E-300A-145-23-Unleaded-Unleaded</v>
      </c>
      <c r="AN2249" s="662" t="str">
        <f t="shared" si="247"/>
        <v>2019-LTK-FRD-F150-097</v>
      </c>
    </row>
    <row r="2250" spans="1:40" s="572" customFormat="1" ht="15">
      <c r="A2250" s="570" t="s">
        <v>4120</v>
      </c>
      <c r="B2250" s="569" t="s">
        <v>4116</v>
      </c>
      <c r="C2250" s="569" t="s">
        <v>278</v>
      </c>
      <c r="D2250" s="580">
        <v>15</v>
      </c>
      <c r="E2250" s="569" t="s">
        <v>3374</v>
      </c>
      <c r="F2250" s="569" t="s">
        <v>152</v>
      </c>
      <c r="G2250" s="569" t="s">
        <v>271</v>
      </c>
      <c r="H2250" s="569">
        <v>2019</v>
      </c>
      <c r="I2250" s="569" t="s">
        <v>3765</v>
      </c>
      <c r="J2250" s="569" t="s">
        <v>4070</v>
      </c>
      <c r="K2250" s="569" t="s">
        <v>752</v>
      </c>
      <c r="L2250" s="569">
        <v>6</v>
      </c>
      <c r="M2250" s="569">
        <v>0</v>
      </c>
      <c r="N2250" s="569" t="s">
        <v>157</v>
      </c>
      <c r="O2250" s="569">
        <v>2</v>
      </c>
      <c r="P2250" s="569" t="s">
        <v>3781</v>
      </c>
      <c r="Q2250" s="568">
        <v>9100</v>
      </c>
      <c r="R2250" s="569" t="s">
        <v>3778</v>
      </c>
      <c r="S2250" s="569">
        <v>8</v>
      </c>
      <c r="T2250" s="569" t="s">
        <v>4033</v>
      </c>
      <c r="U2250" s="569" t="s">
        <v>318</v>
      </c>
      <c r="V2250" s="569">
        <v>145</v>
      </c>
      <c r="W2250" s="569">
        <v>23</v>
      </c>
      <c r="X2250" s="568">
        <v>7000</v>
      </c>
      <c r="Y2250" s="569">
        <v>17</v>
      </c>
      <c r="Z2250" s="581" t="s">
        <v>450</v>
      </c>
      <c r="AA2250" s="581" t="s">
        <v>178</v>
      </c>
      <c r="AB2250" s="585">
        <v>43985</v>
      </c>
      <c r="AC2250" s="585" t="s">
        <v>164</v>
      </c>
      <c r="AD2250" s="585">
        <v>31400</v>
      </c>
      <c r="AE2250" s="587">
        <v>0.01</v>
      </c>
      <c r="AF2250" s="661" t="str">
        <f t="shared" si="248"/>
        <v>2019-LTK-FRD-F150-099-15</v>
      </c>
      <c r="AG2250" s="661" t="str">
        <f>IF(AND($Y2250&gt;=32,(AI2250="I"),(Y2250&lt;&gt;"~"),(COUNTIF($AN$1:$AN2250,$AN2250)=1)),"TRUE","FALSE")</f>
        <v>FALSE</v>
      </c>
      <c r="AH2250" s="661" t="str">
        <f>IF(AND($Y2250&gt;=22, (AI2250&lt;&gt;"I"),(Y2250&lt;&gt;"~"),(COUNTIF($AN$1:$AN2250,$AN2250)=1)),"TRUE","FALSE")</f>
        <v>FALSE</v>
      </c>
      <c r="AI2250" s="661" t="str">
        <f t="shared" si="243"/>
        <v>II</v>
      </c>
      <c r="AJ2250" s="662" t="str">
        <f t="shared" si="244"/>
        <v>F150-099</v>
      </c>
      <c r="AK2250" s="662" t="str">
        <f t="shared" si="245"/>
        <v>LTK</v>
      </c>
      <c r="AL2250" s="662" t="str">
        <f t="shared" si="246"/>
        <v>FRD</v>
      </c>
      <c r="AM2250" s="662" t="str">
        <f t="shared" si="242"/>
        <v>F150-Super Cab XLT-4WD-6-6'5"-9100-5.0L FFV-8-X1E-300A-145-23-E85-Unleaded</v>
      </c>
      <c r="AN2250" s="662" t="str">
        <f t="shared" si="247"/>
        <v>2019-LTK-FRD-F150-099</v>
      </c>
    </row>
    <row r="2251" spans="1:40" s="572" customFormat="1" ht="15">
      <c r="A2251" s="570" t="s">
        <v>4121</v>
      </c>
      <c r="B2251" s="573" t="s">
        <v>4122</v>
      </c>
      <c r="C2251" s="573" t="s">
        <v>278</v>
      </c>
      <c r="D2251" s="578">
        <v>15</v>
      </c>
      <c r="E2251" s="573" t="s">
        <v>3374</v>
      </c>
      <c r="F2251" s="573" t="s">
        <v>152</v>
      </c>
      <c r="G2251" s="573" t="s">
        <v>271</v>
      </c>
      <c r="H2251" s="573">
        <v>2019</v>
      </c>
      <c r="I2251" s="573" t="s">
        <v>3765</v>
      </c>
      <c r="J2251" s="573" t="s">
        <v>4070</v>
      </c>
      <c r="K2251" s="573" t="s">
        <v>752</v>
      </c>
      <c r="L2251" s="573">
        <v>6</v>
      </c>
      <c r="M2251" s="573">
        <v>0</v>
      </c>
      <c r="N2251" s="573" t="s">
        <v>157</v>
      </c>
      <c r="O2251" s="573">
        <v>2</v>
      </c>
      <c r="P2251" s="573" t="s">
        <v>3846</v>
      </c>
      <c r="Q2251" s="571">
        <v>10800</v>
      </c>
      <c r="R2251" s="573" t="s">
        <v>1259</v>
      </c>
      <c r="S2251" s="573">
        <v>6</v>
      </c>
      <c r="T2251" s="573" t="s">
        <v>4033</v>
      </c>
      <c r="U2251" s="573" t="s">
        <v>318</v>
      </c>
      <c r="V2251" s="573">
        <v>163.69999999999999</v>
      </c>
      <c r="W2251" s="573">
        <v>23</v>
      </c>
      <c r="X2251" s="571">
        <v>7050</v>
      </c>
      <c r="Y2251" s="573">
        <v>19</v>
      </c>
      <c r="Z2251" s="579" t="s">
        <v>178</v>
      </c>
      <c r="AA2251" s="579" t="s">
        <v>178</v>
      </c>
      <c r="AB2251" s="584">
        <v>44845</v>
      </c>
      <c r="AC2251" s="584" t="s">
        <v>164</v>
      </c>
      <c r="AD2251" s="584">
        <v>32200</v>
      </c>
      <c r="AE2251" s="586">
        <v>0.01</v>
      </c>
      <c r="AF2251" s="661" t="str">
        <f t="shared" si="248"/>
        <v>2019-LTK-FRD-F150-100-15</v>
      </c>
      <c r="AG2251" s="661" t="str">
        <f>IF(AND($Y2251&gt;=32,(AI2251="I"),(Y2251&lt;&gt;"~"),(COUNTIF($AN$1:$AN2251,$AN2251)=1)),"TRUE","FALSE")</f>
        <v>FALSE</v>
      </c>
      <c r="AH2251" s="661" t="str">
        <f>IF(AND($Y2251&gt;=22, (AI2251&lt;&gt;"I"),(Y2251&lt;&gt;"~"),(COUNTIF($AN$1:$AN2251,$AN2251)=1)),"TRUE","FALSE")</f>
        <v>FALSE</v>
      </c>
      <c r="AI2251" s="661" t="str">
        <f t="shared" si="243"/>
        <v>II</v>
      </c>
      <c r="AJ2251" s="662" t="str">
        <f t="shared" si="244"/>
        <v>F150-100</v>
      </c>
      <c r="AK2251" s="662" t="str">
        <f t="shared" si="245"/>
        <v>LTK</v>
      </c>
      <c r="AL2251" s="662" t="str">
        <f t="shared" si="246"/>
        <v>FRD</v>
      </c>
      <c r="AM2251" s="662" t="str">
        <f t="shared" si="242"/>
        <v>F150-Super Cab XLT-4WD-6-8'-10800-3.5L EcoBoost-6-X1E-300A-163.7-23-Unleaded-Unleaded</v>
      </c>
      <c r="AN2251" s="662" t="str">
        <f t="shared" si="247"/>
        <v>2019-LTK-FRD-F150-100</v>
      </c>
    </row>
    <row r="2252" spans="1:40" s="572" customFormat="1" ht="15">
      <c r="A2252" s="570" t="s">
        <v>4123</v>
      </c>
      <c r="B2252" s="569" t="s">
        <v>4124</v>
      </c>
      <c r="C2252" s="569" t="s">
        <v>278</v>
      </c>
      <c r="D2252" s="580">
        <v>15</v>
      </c>
      <c r="E2252" s="569" t="s">
        <v>3374</v>
      </c>
      <c r="F2252" s="569" t="s">
        <v>152</v>
      </c>
      <c r="G2252" s="569" t="s">
        <v>271</v>
      </c>
      <c r="H2252" s="569">
        <v>2019</v>
      </c>
      <c r="I2252" s="569" t="s">
        <v>3765</v>
      </c>
      <c r="J2252" s="569" t="s">
        <v>4070</v>
      </c>
      <c r="K2252" s="569" t="s">
        <v>752</v>
      </c>
      <c r="L2252" s="569">
        <v>6</v>
      </c>
      <c r="M2252" s="569">
        <v>0</v>
      </c>
      <c r="N2252" s="569" t="s">
        <v>157</v>
      </c>
      <c r="O2252" s="569">
        <v>2</v>
      </c>
      <c r="P2252" s="569" t="s">
        <v>3846</v>
      </c>
      <c r="Q2252" s="568">
        <v>9000</v>
      </c>
      <c r="R2252" s="569" t="s">
        <v>3778</v>
      </c>
      <c r="S2252" s="569">
        <v>8</v>
      </c>
      <c r="T2252" s="569" t="s">
        <v>4033</v>
      </c>
      <c r="U2252" s="569" t="s">
        <v>318</v>
      </c>
      <c r="V2252" s="569">
        <v>163.69999999999999</v>
      </c>
      <c r="W2252" s="569">
        <v>23</v>
      </c>
      <c r="X2252" s="568">
        <v>7050</v>
      </c>
      <c r="Y2252" s="569">
        <v>17</v>
      </c>
      <c r="Z2252" s="581" t="s">
        <v>450</v>
      </c>
      <c r="AA2252" s="581" t="s">
        <v>178</v>
      </c>
      <c r="AB2252" s="585">
        <v>44245</v>
      </c>
      <c r="AC2252" s="585" t="s">
        <v>164</v>
      </c>
      <c r="AD2252" s="585">
        <v>31700</v>
      </c>
      <c r="AE2252" s="587">
        <v>0.01</v>
      </c>
      <c r="AF2252" s="661" t="str">
        <f t="shared" si="248"/>
        <v>2019-LTK-FRD-F150-102-15</v>
      </c>
      <c r="AG2252" s="661" t="str">
        <f>IF(AND($Y2252&gt;=32,(AI2252="I"),(Y2252&lt;&gt;"~"),(COUNTIF($AN$1:$AN2252,$AN2252)=1)),"TRUE","FALSE")</f>
        <v>FALSE</v>
      </c>
      <c r="AH2252" s="661" t="str">
        <f>IF(AND($Y2252&gt;=22, (AI2252&lt;&gt;"I"),(Y2252&lt;&gt;"~"),(COUNTIF($AN$1:$AN2252,$AN2252)=1)),"TRUE","FALSE")</f>
        <v>FALSE</v>
      </c>
      <c r="AI2252" s="661" t="str">
        <f t="shared" si="243"/>
        <v>II</v>
      </c>
      <c r="AJ2252" s="662" t="str">
        <f t="shared" si="244"/>
        <v>F150-102</v>
      </c>
      <c r="AK2252" s="662" t="str">
        <f t="shared" si="245"/>
        <v>LTK</v>
      </c>
      <c r="AL2252" s="662" t="str">
        <f t="shared" si="246"/>
        <v>FRD</v>
      </c>
      <c r="AM2252" s="662" t="str">
        <f t="shared" si="242"/>
        <v>F150-Super Cab XLT-4WD-6-8'-9000-5.0L FFV-8-X1E-300A-163.7-23-E85-Unleaded</v>
      </c>
      <c r="AN2252" s="662" t="str">
        <f t="shared" si="247"/>
        <v>2019-LTK-FRD-F150-102</v>
      </c>
    </row>
    <row r="2253" spans="1:40" s="572" customFormat="1" ht="15">
      <c r="A2253" s="570" t="s">
        <v>4125</v>
      </c>
      <c r="B2253" s="573" t="s">
        <v>4110</v>
      </c>
      <c r="C2253" s="573" t="s">
        <v>287</v>
      </c>
      <c r="D2253" s="578">
        <v>26</v>
      </c>
      <c r="E2253" s="573" t="s">
        <v>3374</v>
      </c>
      <c r="F2253" s="573" t="s">
        <v>152</v>
      </c>
      <c r="G2253" s="573" t="s">
        <v>271</v>
      </c>
      <c r="H2253" s="573">
        <v>2019</v>
      </c>
      <c r="I2253" s="573" t="s">
        <v>3765</v>
      </c>
      <c r="J2253" s="573" t="s">
        <v>4070</v>
      </c>
      <c r="K2253" s="573" t="s">
        <v>752</v>
      </c>
      <c r="L2253" s="573">
        <v>6</v>
      </c>
      <c r="M2253" s="573">
        <v>0</v>
      </c>
      <c r="N2253" s="573" t="s">
        <v>157</v>
      </c>
      <c r="O2253" s="573">
        <v>2</v>
      </c>
      <c r="P2253" s="573" t="s">
        <v>3781</v>
      </c>
      <c r="Q2253" s="571">
        <v>10700</v>
      </c>
      <c r="R2253" s="573" t="s">
        <v>1259</v>
      </c>
      <c r="S2253" s="573">
        <v>6</v>
      </c>
      <c r="T2253" s="573" t="s">
        <v>4033</v>
      </c>
      <c r="U2253" s="573" t="s">
        <v>318</v>
      </c>
      <c r="V2253" s="573">
        <v>145</v>
      </c>
      <c r="W2253" s="573">
        <v>23</v>
      </c>
      <c r="X2253" s="571">
        <v>7000</v>
      </c>
      <c r="Y2253" s="573">
        <v>19</v>
      </c>
      <c r="Z2253" s="579" t="s">
        <v>178</v>
      </c>
      <c r="AA2253" s="579" t="s">
        <v>178</v>
      </c>
      <c r="AB2253" s="584">
        <v>44585</v>
      </c>
      <c r="AC2253" s="584" t="s">
        <v>164</v>
      </c>
      <c r="AD2253" s="584">
        <v>29253</v>
      </c>
      <c r="AE2253" s="586">
        <v>0.05</v>
      </c>
      <c r="AF2253" s="661" t="str">
        <f t="shared" si="248"/>
        <v>2019-LTK-FRD-F150-095-26</v>
      </c>
      <c r="AG2253" s="661" t="str">
        <f>IF(AND($Y2253&gt;=32,(AI2253="I"),(Y2253&lt;&gt;"~"),(COUNTIF($AN$1:$AN2253,$AN2253)=1)),"TRUE","FALSE")</f>
        <v>FALSE</v>
      </c>
      <c r="AH2253" s="661" t="str">
        <f>IF(AND($Y2253&gt;=22, (AI2253&lt;&gt;"I"),(Y2253&lt;&gt;"~"),(COUNTIF($AN$1:$AN2253,$AN2253)=1)),"TRUE","FALSE")</f>
        <v>FALSE</v>
      </c>
      <c r="AI2253" s="661" t="str">
        <f t="shared" si="243"/>
        <v>II</v>
      </c>
      <c r="AJ2253" s="662" t="str">
        <f t="shared" si="244"/>
        <v>F150-095</v>
      </c>
      <c r="AK2253" s="662" t="str">
        <f t="shared" si="245"/>
        <v>LTK</v>
      </c>
      <c r="AL2253" s="662" t="str">
        <f t="shared" si="246"/>
        <v>FRD</v>
      </c>
      <c r="AM2253" s="662" t="str">
        <f t="shared" si="242"/>
        <v>F150-Super Cab XLT-4WD-6-6'5"-10700-3.5L EcoBoost-6-X1E-300A-145-23-Unleaded-Unleaded</v>
      </c>
      <c r="AN2253" s="662" t="str">
        <f t="shared" si="247"/>
        <v>2019-LTK-FRD-F150-095</v>
      </c>
    </row>
    <row r="2254" spans="1:40" s="572" customFormat="1" ht="15">
      <c r="A2254" s="570" t="s">
        <v>4126</v>
      </c>
      <c r="B2254" s="569" t="s">
        <v>4114</v>
      </c>
      <c r="C2254" s="569" t="s">
        <v>287</v>
      </c>
      <c r="D2254" s="580">
        <v>26</v>
      </c>
      <c r="E2254" s="569" t="s">
        <v>3374</v>
      </c>
      <c r="F2254" s="569" t="s">
        <v>152</v>
      </c>
      <c r="G2254" s="569" t="s">
        <v>271</v>
      </c>
      <c r="H2254" s="569">
        <v>2019</v>
      </c>
      <c r="I2254" s="569" t="s">
        <v>3765</v>
      </c>
      <c r="J2254" s="569" t="s">
        <v>4070</v>
      </c>
      <c r="K2254" s="569" t="s">
        <v>752</v>
      </c>
      <c r="L2254" s="569">
        <v>6</v>
      </c>
      <c r="M2254" s="569">
        <v>0</v>
      </c>
      <c r="N2254" s="569" t="s">
        <v>157</v>
      </c>
      <c r="O2254" s="569">
        <v>2</v>
      </c>
      <c r="P2254" s="569" t="s">
        <v>3781</v>
      </c>
      <c r="Q2254" s="568">
        <v>7600</v>
      </c>
      <c r="R2254" s="569" t="s">
        <v>3768</v>
      </c>
      <c r="S2254" s="569">
        <v>6</v>
      </c>
      <c r="T2254" s="569" t="s">
        <v>4033</v>
      </c>
      <c r="U2254" s="569" t="s">
        <v>318</v>
      </c>
      <c r="V2254" s="569">
        <v>145</v>
      </c>
      <c r="W2254" s="569">
        <v>23</v>
      </c>
      <c r="X2254" s="568">
        <v>6900</v>
      </c>
      <c r="Y2254" s="569">
        <v>20</v>
      </c>
      <c r="Z2254" s="581" t="s">
        <v>178</v>
      </c>
      <c r="AA2254" s="581" t="s">
        <v>178</v>
      </c>
      <c r="AB2254" s="585">
        <v>29560</v>
      </c>
      <c r="AC2254" s="585" t="s">
        <v>164</v>
      </c>
      <c r="AD2254" s="585">
        <v>27798</v>
      </c>
      <c r="AE2254" s="587">
        <v>0.05</v>
      </c>
      <c r="AF2254" s="661" t="str">
        <f t="shared" si="248"/>
        <v>2019-LTK-FRD-F150-097-26</v>
      </c>
      <c r="AG2254" s="661" t="str">
        <f>IF(AND($Y2254&gt;=32,(AI2254="I"),(Y2254&lt;&gt;"~"),(COUNTIF($AN$1:$AN2254,$AN2254)=1)),"TRUE","FALSE")</f>
        <v>FALSE</v>
      </c>
      <c r="AH2254" s="661" t="str">
        <f>IF(AND($Y2254&gt;=22, (AI2254&lt;&gt;"I"),(Y2254&lt;&gt;"~"),(COUNTIF($AN$1:$AN2254,$AN2254)=1)),"TRUE","FALSE")</f>
        <v>FALSE</v>
      </c>
      <c r="AI2254" s="661" t="str">
        <f t="shared" si="243"/>
        <v>II</v>
      </c>
      <c r="AJ2254" s="662" t="str">
        <f t="shared" si="244"/>
        <v>F150-097</v>
      </c>
      <c r="AK2254" s="662" t="str">
        <f t="shared" si="245"/>
        <v>LTK</v>
      </c>
      <c r="AL2254" s="662" t="str">
        <f t="shared" si="246"/>
        <v>FRD</v>
      </c>
      <c r="AM2254" s="662" t="str">
        <f t="shared" si="242"/>
        <v>F150-Super Cab XLT-4WD-6-6'5"-7600-2.7L EcoBoost -6-X1E-300A-145-23-Unleaded-Unleaded</v>
      </c>
      <c r="AN2254" s="662" t="str">
        <f t="shared" si="247"/>
        <v>2019-LTK-FRD-F150-097</v>
      </c>
    </row>
    <row r="2255" spans="1:40" s="572" customFormat="1" ht="15">
      <c r="A2255" s="570" t="s">
        <v>4127</v>
      </c>
      <c r="B2255" s="573" t="s">
        <v>4128</v>
      </c>
      <c r="C2255" s="573" t="s">
        <v>287</v>
      </c>
      <c r="D2255" s="578">
        <v>26</v>
      </c>
      <c r="E2255" s="573" t="s">
        <v>3374</v>
      </c>
      <c r="F2255" s="573" t="s">
        <v>152</v>
      </c>
      <c r="G2255" s="573" t="s">
        <v>271</v>
      </c>
      <c r="H2255" s="573">
        <v>2019</v>
      </c>
      <c r="I2255" s="573" t="s">
        <v>3765</v>
      </c>
      <c r="J2255" s="573" t="s">
        <v>4070</v>
      </c>
      <c r="K2255" s="573" t="s">
        <v>752</v>
      </c>
      <c r="L2255" s="573">
        <v>6</v>
      </c>
      <c r="M2255" s="573">
        <v>0</v>
      </c>
      <c r="N2255" s="573" t="s">
        <v>157</v>
      </c>
      <c r="O2255" s="573">
        <v>2</v>
      </c>
      <c r="P2255" s="573" t="s">
        <v>3781</v>
      </c>
      <c r="Q2255" s="571">
        <v>7700</v>
      </c>
      <c r="R2255" s="573" t="s">
        <v>1322</v>
      </c>
      <c r="S2255" s="573">
        <v>6</v>
      </c>
      <c r="T2255" s="573" t="s">
        <v>4033</v>
      </c>
      <c r="U2255" s="573" t="s">
        <v>318</v>
      </c>
      <c r="V2255" s="573">
        <v>145</v>
      </c>
      <c r="W2255" s="573">
        <v>23</v>
      </c>
      <c r="X2255" s="571">
        <v>6300</v>
      </c>
      <c r="Y2255" s="573">
        <v>20</v>
      </c>
      <c r="Z2255" s="579" t="s">
        <v>178</v>
      </c>
      <c r="AA2255" s="579" t="s">
        <v>178</v>
      </c>
      <c r="AB2255" s="584">
        <v>38565</v>
      </c>
      <c r="AC2255" s="584" t="s">
        <v>164</v>
      </c>
      <c r="AD2255" s="584">
        <v>26892</v>
      </c>
      <c r="AE2255" s="586">
        <v>0.05</v>
      </c>
      <c r="AF2255" s="661" t="str">
        <f t="shared" si="248"/>
        <v>2019-LTK-FRD-F150-098-26</v>
      </c>
      <c r="AG2255" s="661" t="str">
        <f>IF(AND($Y2255&gt;=32,(AI2255="I"),(Y2255&lt;&gt;"~"),(COUNTIF($AN$1:$AN2255,$AN2255)=1)),"TRUE","FALSE")</f>
        <v>FALSE</v>
      </c>
      <c r="AH2255" s="661" t="str">
        <f>IF(AND($Y2255&gt;=22, (AI2255&lt;&gt;"I"),(Y2255&lt;&gt;"~"),(COUNTIF($AN$1:$AN2255,$AN2255)=1)),"TRUE","FALSE")</f>
        <v>FALSE</v>
      </c>
      <c r="AI2255" s="661" t="str">
        <f t="shared" si="243"/>
        <v>II</v>
      </c>
      <c r="AJ2255" s="662" t="str">
        <f t="shared" si="244"/>
        <v>F150-098</v>
      </c>
      <c r="AK2255" s="662" t="str">
        <f t="shared" si="245"/>
        <v>LTK</v>
      </c>
      <c r="AL2255" s="662" t="str">
        <f t="shared" si="246"/>
        <v>FRD</v>
      </c>
      <c r="AM2255" s="662" t="str">
        <f t="shared" si="242"/>
        <v>F150-Super Cab XLT-4WD-6-6'5"-7700-3.3L-6-X1E-300A-145-23-Unleaded-Unleaded</v>
      </c>
      <c r="AN2255" s="662" t="str">
        <f t="shared" si="247"/>
        <v>2019-LTK-FRD-F150-098</v>
      </c>
    </row>
    <row r="2256" spans="1:40" s="572" customFormat="1" ht="15">
      <c r="A2256" s="570" t="s">
        <v>4129</v>
      </c>
      <c r="B2256" s="569" t="s">
        <v>4116</v>
      </c>
      <c r="C2256" s="569" t="s">
        <v>287</v>
      </c>
      <c r="D2256" s="580">
        <v>26</v>
      </c>
      <c r="E2256" s="569" t="s">
        <v>3374</v>
      </c>
      <c r="F2256" s="569" t="s">
        <v>152</v>
      </c>
      <c r="G2256" s="569" t="s">
        <v>271</v>
      </c>
      <c r="H2256" s="569">
        <v>2019</v>
      </c>
      <c r="I2256" s="569" t="s">
        <v>3765</v>
      </c>
      <c r="J2256" s="569" t="s">
        <v>4070</v>
      </c>
      <c r="K2256" s="569" t="s">
        <v>752</v>
      </c>
      <c r="L2256" s="569">
        <v>6</v>
      </c>
      <c r="M2256" s="569">
        <v>0</v>
      </c>
      <c r="N2256" s="569" t="s">
        <v>157</v>
      </c>
      <c r="O2256" s="569">
        <v>2</v>
      </c>
      <c r="P2256" s="569" t="s">
        <v>3781</v>
      </c>
      <c r="Q2256" s="568">
        <v>9100</v>
      </c>
      <c r="R2256" s="569" t="s">
        <v>3778</v>
      </c>
      <c r="S2256" s="569">
        <v>8</v>
      </c>
      <c r="T2256" s="569" t="s">
        <v>4033</v>
      </c>
      <c r="U2256" s="569" t="s">
        <v>318</v>
      </c>
      <c r="V2256" s="569">
        <v>145</v>
      </c>
      <c r="W2256" s="569">
        <v>23</v>
      </c>
      <c r="X2256" s="568">
        <v>7000</v>
      </c>
      <c r="Y2256" s="569">
        <v>17</v>
      </c>
      <c r="Z2256" s="581" t="s">
        <v>450</v>
      </c>
      <c r="AA2256" s="581" t="s">
        <v>178</v>
      </c>
      <c r="AB2256" s="585">
        <v>40560</v>
      </c>
      <c r="AC2256" s="585" t="s">
        <v>164</v>
      </c>
      <c r="AD2256" s="585">
        <v>28708</v>
      </c>
      <c r="AE2256" s="587">
        <v>0.05</v>
      </c>
      <c r="AF2256" s="661" t="str">
        <f t="shared" si="248"/>
        <v>2019-LTK-FRD-F150-099-26</v>
      </c>
      <c r="AG2256" s="661" t="str">
        <f>IF(AND($Y2256&gt;=32,(AI2256="I"),(Y2256&lt;&gt;"~"),(COUNTIF($AN$1:$AN2256,$AN2256)=1)),"TRUE","FALSE")</f>
        <v>FALSE</v>
      </c>
      <c r="AH2256" s="661" t="str">
        <f>IF(AND($Y2256&gt;=22, (AI2256&lt;&gt;"I"),(Y2256&lt;&gt;"~"),(COUNTIF($AN$1:$AN2256,$AN2256)=1)),"TRUE","FALSE")</f>
        <v>FALSE</v>
      </c>
      <c r="AI2256" s="661" t="str">
        <f t="shared" si="243"/>
        <v>II</v>
      </c>
      <c r="AJ2256" s="662" t="str">
        <f t="shared" si="244"/>
        <v>F150-099</v>
      </c>
      <c r="AK2256" s="662" t="str">
        <f t="shared" si="245"/>
        <v>LTK</v>
      </c>
      <c r="AL2256" s="662" t="str">
        <f t="shared" si="246"/>
        <v>FRD</v>
      </c>
      <c r="AM2256" s="662" t="str">
        <f t="shared" si="242"/>
        <v>F150-Super Cab XLT-4WD-6-6'5"-9100-5.0L FFV-8-X1E-300A-145-23-E85-Unleaded</v>
      </c>
      <c r="AN2256" s="662" t="str">
        <f t="shared" si="247"/>
        <v>2019-LTK-FRD-F150-099</v>
      </c>
    </row>
    <row r="2257" spans="1:40" s="572" customFormat="1" ht="15">
      <c r="A2257" s="570" t="s">
        <v>4130</v>
      </c>
      <c r="B2257" s="573" t="s">
        <v>4122</v>
      </c>
      <c r="C2257" s="573" t="s">
        <v>287</v>
      </c>
      <c r="D2257" s="578">
        <v>26</v>
      </c>
      <c r="E2257" s="573" t="s">
        <v>3374</v>
      </c>
      <c r="F2257" s="573" t="s">
        <v>152</v>
      </c>
      <c r="G2257" s="573" t="s">
        <v>271</v>
      </c>
      <c r="H2257" s="573">
        <v>2019</v>
      </c>
      <c r="I2257" s="573" t="s">
        <v>3765</v>
      </c>
      <c r="J2257" s="573" t="s">
        <v>4070</v>
      </c>
      <c r="K2257" s="573" t="s">
        <v>752</v>
      </c>
      <c r="L2257" s="573">
        <v>6</v>
      </c>
      <c r="M2257" s="573">
        <v>0</v>
      </c>
      <c r="N2257" s="573" t="s">
        <v>157</v>
      </c>
      <c r="O2257" s="573">
        <v>2</v>
      </c>
      <c r="P2257" s="573" t="s">
        <v>3846</v>
      </c>
      <c r="Q2257" s="571">
        <v>10800</v>
      </c>
      <c r="R2257" s="573" t="s">
        <v>1259</v>
      </c>
      <c r="S2257" s="573">
        <v>6</v>
      </c>
      <c r="T2257" s="573" t="s">
        <v>4033</v>
      </c>
      <c r="U2257" s="573" t="s">
        <v>318</v>
      </c>
      <c r="V2257" s="573">
        <v>163.69999999999999</v>
      </c>
      <c r="W2257" s="573">
        <v>23</v>
      </c>
      <c r="X2257" s="571">
        <v>7050</v>
      </c>
      <c r="Y2257" s="573">
        <v>19</v>
      </c>
      <c r="Z2257" s="579" t="s">
        <v>178</v>
      </c>
      <c r="AA2257" s="579" t="s">
        <v>178</v>
      </c>
      <c r="AB2257" s="584">
        <v>44845</v>
      </c>
      <c r="AC2257" s="584" t="s">
        <v>164</v>
      </c>
      <c r="AD2257" s="584">
        <v>32674</v>
      </c>
      <c r="AE2257" s="586">
        <v>0.05</v>
      </c>
      <c r="AF2257" s="661" t="str">
        <f t="shared" si="248"/>
        <v>2019-LTK-FRD-F150-100-26</v>
      </c>
      <c r="AG2257" s="661" t="str">
        <f>IF(AND($Y2257&gt;=32,(AI2257="I"),(Y2257&lt;&gt;"~"),(COUNTIF($AN$1:$AN2257,$AN2257)=1)),"TRUE","FALSE")</f>
        <v>FALSE</v>
      </c>
      <c r="AH2257" s="661" t="str">
        <f>IF(AND($Y2257&gt;=22, (AI2257&lt;&gt;"I"),(Y2257&lt;&gt;"~"),(COUNTIF($AN$1:$AN2257,$AN2257)=1)),"TRUE","FALSE")</f>
        <v>FALSE</v>
      </c>
      <c r="AI2257" s="661" t="str">
        <f t="shared" si="243"/>
        <v>II</v>
      </c>
      <c r="AJ2257" s="662" t="str">
        <f t="shared" si="244"/>
        <v>F150-100</v>
      </c>
      <c r="AK2257" s="662" t="str">
        <f t="shared" si="245"/>
        <v>LTK</v>
      </c>
      <c r="AL2257" s="662" t="str">
        <f t="shared" si="246"/>
        <v>FRD</v>
      </c>
      <c r="AM2257" s="662" t="str">
        <f t="shared" si="242"/>
        <v>F150-Super Cab XLT-4WD-6-8'-10800-3.5L EcoBoost-6-X1E-300A-163.7-23-Unleaded-Unleaded</v>
      </c>
      <c r="AN2257" s="662" t="str">
        <f t="shared" si="247"/>
        <v>2019-LTK-FRD-F150-100</v>
      </c>
    </row>
    <row r="2258" spans="1:40" s="572" customFormat="1" ht="15">
      <c r="A2258" s="570" t="s">
        <v>4131</v>
      </c>
      <c r="B2258" s="569" t="s">
        <v>4124</v>
      </c>
      <c r="C2258" s="569" t="s">
        <v>287</v>
      </c>
      <c r="D2258" s="580">
        <v>26</v>
      </c>
      <c r="E2258" s="569" t="s">
        <v>3374</v>
      </c>
      <c r="F2258" s="569" t="s">
        <v>152</v>
      </c>
      <c r="G2258" s="569" t="s">
        <v>271</v>
      </c>
      <c r="H2258" s="569">
        <v>2019</v>
      </c>
      <c r="I2258" s="569" t="s">
        <v>3765</v>
      </c>
      <c r="J2258" s="569" t="s">
        <v>4070</v>
      </c>
      <c r="K2258" s="569" t="s">
        <v>752</v>
      </c>
      <c r="L2258" s="569">
        <v>6</v>
      </c>
      <c r="M2258" s="569">
        <v>0</v>
      </c>
      <c r="N2258" s="569" t="s">
        <v>157</v>
      </c>
      <c r="O2258" s="569">
        <v>2</v>
      </c>
      <c r="P2258" s="569" t="s">
        <v>3846</v>
      </c>
      <c r="Q2258" s="568">
        <v>9000</v>
      </c>
      <c r="R2258" s="569" t="s">
        <v>3778</v>
      </c>
      <c r="S2258" s="569">
        <v>8</v>
      </c>
      <c r="T2258" s="569" t="s">
        <v>4033</v>
      </c>
      <c r="U2258" s="569" t="s">
        <v>318</v>
      </c>
      <c r="V2258" s="569">
        <v>163.69999999999999</v>
      </c>
      <c r="W2258" s="569">
        <v>23</v>
      </c>
      <c r="X2258" s="568">
        <v>7050</v>
      </c>
      <c r="Y2258" s="569">
        <v>17</v>
      </c>
      <c r="Z2258" s="581" t="s">
        <v>450</v>
      </c>
      <c r="AA2258" s="581" t="s">
        <v>178</v>
      </c>
      <c r="AB2258" s="585">
        <v>44245</v>
      </c>
      <c r="AC2258" s="585" t="s">
        <v>164</v>
      </c>
      <c r="AD2258" s="585">
        <v>32129</v>
      </c>
      <c r="AE2258" s="587">
        <v>0.05</v>
      </c>
      <c r="AF2258" s="661" t="str">
        <f t="shared" si="248"/>
        <v>2019-LTK-FRD-F150-102-26</v>
      </c>
      <c r="AG2258" s="661" t="str">
        <f>IF(AND($Y2258&gt;=32,(AI2258="I"),(Y2258&lt;&gt;"~"),(COUNTIF($AN$1:$AN2258,$AN2258)=1)),"TRUE","FALSE")</f>
        <v>FALSE</v>
      </c>
      <c r="AH2258" s="661" t="str">
        <f>IF(AND($Y2258&gt;=22, (AI2258&lt;&gt;"I"),(Y2258&lt;&gt;"~"),(COUNTIF($AN$1:$AN2258,$AN2258)=1)),"TRUE","FALSE")</f>
        <v>FALSE</v>
      </c>
      <c r="AI2258" s="661" t="str">
        <f t="shared" si="243"/>
        <v>II</v>
      </c>
      <c r="AJ2258" s="662" t="str">
        <f t="shared" si="244"/>
        <v>F150-102</v>
      </c>
      <c r="AK2258" s="662" t="str">
        <f t="shared" si="245"/>
        <v>LTK</v>
      </c>
      <c r="AL2258" s="662" t="str">
        <f t="shared" si="246"/>
        <v>FRD</v>
      </c>
      <c r="AM2258" s="662" t="str">
        <f t="shared" si="242"/>
        <v>F150-Super Cab XLT-4WD-6-8'-9000-5.0L FFV-8-X1E-300A-163.7-23-E85-Unleaded</v>
      </c>
      <c r="AN2258" s="662" t="str">
        <f t="shared" si="247"/>
        <v>2019-LTK-FRD-F150-102</v>
      </c>
    </row>
    <row r="2259" spans="1:40" s="572" customFormat="1" ht="15">
      <c r="A2259" s="570" t="s">
        <v>4132</v>
      </c>
      <c r="B2259" s="573" t="s">
        <v>4106</v>
      </c>
      <c r="C2259" s="573" t="s">
        <v>280</v>
      </c>
      <c r="D2259" s="578">
        <v>27</v>
      </c>
      <c r="E2259" s="573" t="s">
        <v>3374</v>
      </c>
      <c r="F2259" s="573" t="s">
        <v>152</v>
      </c>
      <c r="G2259" s="573" t="s">
        <v>271</v>
      </c>
      <c r="H2259" s="573">
        <v>2019</v>
      </c>
      <c r="I2259" s="573" t="s">
        <v>3765</v>
      </c>
      <c r="J2259" s="573" t="s">
        <v>4070</v>
      </c>
      <c r="K2259" s="573" t="s">
        <v>752</v>
      </c>
      <c r="L2259" s="573">
        <v>3</v>
      </c>
      <c r="M2259" s="573">
        <v>0</v>
      </c>
      <c r="N2259" s="573" t="s">
        <v>157</v>
      </c>
      <c r="O2259" s="573">
        <v>1</v>
      </c>
      <c r="P2259" s="573" t="s">
        <v>3846</v>
      </c>
      <c r="Q2259" s="571">
        <v>10800</v>
      </c>
      <c r="R2259" s="573" t="s">
        <v>1259</v>
      </c>
      <c r="S2259" s="573">
        <v>6</v>
      </c>
      <c r="T2259" s="573" t="s">
        <v>4033</v>
      </c>
      <c r="U2259" s="573" t="s">
        <v>318</v>
      </c>
      <c r="V2259" s="573">
        <v>163.69999999999999</v>
      </c>
      <c r="W2259" s="573">
        <v>23</v>
      </c>
      <c r="X2259" s="571">
        <v>7050</v>
      </c>
      <c r="Y2259" s="573">
        <v>19</v>
      </c>
      <c r="Z2259" s="579" t="s">
        <v>178</v>
      </c>
      <c r="AA2259" s="579" t="s">
        <v>178</v>
      </c>
      <c r="AB2259" s="584">
        <v>44845</v>
      </c>
      <c r="AC2259" s="584" t="s">
        <v>164</v>
      </c>
      <c r="AD2259" s="584">
        <v>32100.715789473685</v>
      </c>
      <c r="AE2259" s="586">
        <v>0.03</v>
      </c>
      <c r="AF2259" s="661" t="str">
        <f t="shared" si="248"/>
        <v>2019-LTK-FRD-F150-093-27</v>
      </c>
      <c r="AG2259" s="661" t="str">
        <f>IF(AND($Y2259&gt;=32,(AI2259="I"),(Y2259&lt;&gt;"~"),(COUNTIF($AN$1:$AN2259,$AN2259)=1)),"TRUE","FALSE")</f>
        <v>FALSE</v>
      </c>
      <c r="AH2259" s="661" t="str">
        <f>IF(AND($Y2259&gt;=22, (AI2259&lt;&gt;"I"),(Y2259&lt;&gt;"~"),(COUNTIF($AN$1:$AN2259,$AN2259)=1)),"TRUE","FALSE")</f>
        <v>FALSE</v>
      </c>
      <c r="AI2259" s="661" t="str">
        <f t="shared" si="243"/>
        <v>II</v>
      </c>
      <c r="AJ2259" s="662" t="str">
        <f t="shared" si="244"/>
        <v>F150-093</v>
      </c>
      <c r="AK2259" s="662" t="str">
        <f t="shared" si="245"/>
        <v>LTK</v>
      </c>
      <c r="AL2259" s="662" t="str">
        <f t="shared" si="246"/>
        <v>FRD</v>
      </c>
      <c r="AM2259" s="662" t="str">
        <f t="shared" si="242"/>
        <v>F150-Super Cab XLT-4WD-3-8'-10800-3.5L EcoBoost-6-X1E-300A-163.7-23-Unleaded-Unleaded</v>
      </c>
      <c r="AN2259" s="662" t="str">
        <f t="shared" si="247"/>
        <v>2019-LTK-FRD-F150-093</v>
      </c>
    </row>
    <row r="2260" spans="1:40" s="572" customFormat="1" ht="15">
      <c r="A2260" s="570" t="s">
        <v>4133</v>
      </c>
      <c r="B2260" s="569" t="s">
        <v>4108</v>
      </c>
      <c r="C2260" s="569" t="s">
        <v>280</v>
      </c>
      <c r="D2260" s="580">
        <v>27</v>
      </c>
      <c r="E2260" s="569" t="s">
        <v>3374</v>
      </c>
      <c r="F2260" s="569" t="s">
        <v>152</v>
      </c>
      <c r="G2260" s="569" t="s">
        <v>271</v>
      </c>
      <c r="H2260" s="569">
        <v>2019</v>
      </c>
      <c r="I2260" s="569" t="s">
        <v>3765</v>
      </c>
      <c r="J2260" s="569" t="s">
        <v>4070</v>
      </c>
      <c r="K2260" s="569" t="s">
        <v>752</v>
      </c>
      <c r="L2260" s="569">
        <v>3</v>
      </c>
      <c r="M2260" s="569">
        <v>0</v>
      </c>
      <c r="N2260" s="569" t="s">
        <v>157</v>
      </c>
      <c r="O2260" s="569">
        <v>1</v>
      </c>
      <c r="P2260" s="569" t="s">
        <v>3846</v>
      </c>
      <c r="Q2260" s="568">
        <v>9000</v>
      </c>
      <c r="R2260" s="569" t="s">
        <v>3778</v>
      </c>
      <c r="S2260" s="569">
        <v>8</v>
      </c>
      <c r="T2260" s="569" t="s">
        <v>4033</v>
      </c>
      <c r="U2260" s="569" t="s">
        <v>318</v>
      </c>
      <c r="V2260" s="569">
        <v>163.69999999999999</v>
      </c>
      <c r="W2260" s="569">
        <v>23</v>
      </c>
      <c r="X2260" s="568">
        <v>7050</v>
      </c>
      <c r="Y2260" s="569">
        <v>18</v>
      </c>
      <c r="Z2260" s="581" t="s">
        <v>450</v>
      </c>
      <c r="AA2260" s="581" t="s">
        <v>178</v>
      </c>
      <c r="AB2260" s="585">
        <v>44245</v>
      </c>
      <c r="AC2260" s="585" t="s">
        <v>164</v>
      </c>
      <c r="AD2260" s="585">
        <v>31562.821052631582</v>
      </c>
      <c r="AE2260" s="587">
        <v>0.03</v>
      </c>
      <c r="AF2260" s="661" t="str">
        <f t="shared" si="248"/>
        <v>2019-LTK-FRD-F150-094-27</v>
      </c>
      <c r="AG2260" s="661" t="str">
        <f>IF(AND($Y2260&gt;=32,(AI2260="I"),(Y2260&lt;&gt;"~"),(COUNTIF($AN$1:$AN2260,$AN2260)=1)),"TRUE","FALSE")</f>
        <v>FALSE</v>
      </c>
      <c r="AH2260" s="661" t="str">
        <f>IF(AND($Y2260&gt;=22, (AI2260&lt;&gt;"I"),(Y2260&lt;&gt;"~"),(COUNTIF($AN$1:$AN2260,$AN2260)=1)),"TRUE","FALSE")</f>
        <v>FALSE</v>
      </c>
      <c r="AI2260" s="661" t="str">
        <f t="shared" si="243"/>
        <v>II</v>
      </c>
      <c r="AJ2260" s="662" t="str">
        <f t="shared" si="244"/>
        <v>F150-094</v>
      </c>
      <c r="AK2260" s="662" t="str">
        <f t="shared" si="245"/>
        <v>LTK</v>
      </c>
      <c r="AL2260" s="662" t="str">
        <f t="shared" si="246"/>
        <v>FRD</v>
      </c>
      <c r="AM2260" s="662" t="str">
        <f t="shared" si="242"/>
        <v>F150-Super Cab XLT-4WD-3-8'-9000-5.0L FFV-8-X1E-300A-163.7-23-E85-Unleaded</v>
      </c>
      <c r="AN2260" s="662" t="str">
        <f t="shared" si="247"/>
        <v>2019-LTK-FRD-F150-094</v>
      </c>
    </row>
    <row r="2261" spans="1:40" s="572" customFormat="1" ht="15">
      <c r="A2261" s="570" t="s">
        <v>4134</v>
      </c>
      <c r="B2261" s="573" t="s">
        <v>4110</v>
      </c>
      <c r="C2261" s="573" t="s">
        <v>280</v>
      </c>
      <c r="D2261" s="578">
        <v>27</v>
      </c>
      <c r="E2261" s="573" t="s">
        <v>3374</v>
      </c>
      <c r="F2261" s="573" t="s">
        <v>152</v>
      </c>
      <c r="G2261" s="573" t="s">
        <v>271</v>
      </c>
      <c r="H2261" s="573">
        <v>2019</v>
      </c>
      <c r="I2261" s="573" t="s">
        <v>3765</v>
      </c>
      <c r="J2261" s="573" t="s">
        <v>4070</v>
      </c>
      <c r="K2261" s="573" t="s">
        <v>752</v>
      </c>
      <c r="L2261" s="573">
        <v>6</v>
      </c>
      <c r="M2261" s="573">
        <v>0</v>
      </c>
      <c r="N2261" s="573" t="s">
        <v>157</v>
      </c>
      <c r="O2261" s="573">
        <v>2</v>
      </c>
      <c r="P2261" s="573" t="s">
        <v>3781</v>
      </c>
      <c r="Q2261" s="571">
        <v>10700</v>
      </c>
      <c r="R2261" s="573" t="s">
        <v>1259</v>
      </c>
      <c r="S2261" s="573">
        <v>6</v>
      </c>
      <c r="T2261" s="573" t="s">
        <v>4033</v>
      </c>
      <c r="U2261" s="573" t="s">
        <v>318</v>
      </c>
      <c r="V2261" s="573">
        <v>145</v>
      </c>
      <c r="W2261" s="573">
        <v>23</v>
      </c>
      <c r="X2261" s="571">
        <v>7000</v>
      </c>
      <c r="Y2261" s="573">
        <v>19</v>
      </c>
      <c r="Z2261" s="579" t="s">
        <v>178</v>
      </c>
      <c r="AA2261" s="579" t="s">
        <v>178</v>
      </c>
      <c r="AB2261" s="584">
        <v>44585</v>
      </c>
      <c r="AC2261" s="584" t="s">
        <v>164</v>
      </c>
      <c r="AD2261" s="584">
        <v>31844.926315789475</v>
      </c>
      <c r="AE2261" s="586">
        <v>0.03</v>
      </c>
      <c r="AF2261" s="661" t="str">
        <f t="shared" si="248"/>
        <v>2019-LTK-FRD-F150-095-27</v>
      </c>
      <c r="AG2261" s="661" t="str">
        <f>IF(AND($Y2261&gt;=32,(AI2261="I"),(Y2261&lt;&gt;"~"),(COUNTIF($AN$1:$AN2261,$AN2261)=1)),"TRUE","FALSE")</f>
        <v>FALSE</v>
      </c>
      <c r="AH2261" s="661" t="str">
        <f>IF(AND($Y2261&gt;=22, (AI2261&lt;&gt;"I"),(Y2261&lt;&gt;"~"),(COUNTIF($AN$1:$AN2261,$AN2261)=1)),"TRUE","FALSE")</f>
        <v>FALSE</v>
      </c>
      <c r="AI2261" s="661" t="str">
        <f t="shared" si="243"/>
        <v>II</v>
      </c>
      <c r="AJ2261" s="662" t="str">
        <f t="shared" si="244"/>
        <v>F150-095</v>
      </c>
      <c r="AK2261" s="662" t="str">
        <f t="shared" si="245"/>
        <v>LTK</v>
      </c>
      <c r="AL2261" s="662" t="str">
        <f t="shared" si="246"/>
        <v>FRD</v>
      </c>
      <c r="AM2261" s="662" t="str">
        <f t="shared" si="242"/>
        <v>F150-Super Cab XLT-4WD-6-6'5"-10700-3.5L EcoBoost-6-X1E-300A-145-23-Unleaded-Unleaded</v>
      </c>
      <c r="AN2261" s="662" t="str">
        <f t="shared" si="247"/>
        <v>2019-LTK-FRD-F150-095</v>
      </c>
    </row>
    <row r="2262" spans="1:40" s="572" customFormat="1" ht="15">
      <c r="A2262" s="570" t="s">
        <v>4135</v>
      </c>
      <c r="B2262" s="569" t="s">
        <v>4112</v>
      </c>
      <c r="C2262" s="569" t="s">
        <v>280</v>
      </c>
      <c r="D2262" s="580">
        <v>27</v>
      </c>
      <c r="E2262" s="569" t="s">
        <v>3374</v>
      </c>
      <c r="F2262" s="569" t="s">
        <v>152</v>
      </c>
      <c r="G2262" s="569" t="s">
        <v>271</v>
      </c>
      <c r="H2262" s="569">
        <v>2019</v>
      </c>
      <c r="I2262" s="569" t="s">
        <v>3765</v>
      </c>
      <c r="J2262" s="569" t="s">
        <v>4070</v>
      </c>
      <c r="K2262" s="569" t="s">
        <v>752</v>
      </c>
      <c r="L2262" s="569">
        <v>6</v>
      </c>
      <c r="M2262" s="569">
        <v>0</v>
      </c>
      <c r="N2262" s="569" t="s">
        <v>157</v>
      </c>
      <c r="O2262" s="569">
        <v>2</v>
      </c>
      <c r="P2262" s="569" t="s">
        <v>3781</v>
      </c>
      <c r="Q2262" s="568">
        <v>7200</v>
      </c>
      <c r="R2262" s="569" t="s">
        <v>3772</v>
      </c>
      <c r="S2262" s="569">
        <v>6</v>
      </c>
      <c r="T2262" s="569" t="s">
        <v>4033</v>
      </c>
      <c r="U2262" s="569" t="s">
        <v>318</v>
      </c>
      <c r="V2262" s="569">
        <v>145</v>
      </c>
      <c r="W2262" s="569">
        <v>23</v>
      </c>
      <c r="X2262" s="568">
        <v>6350</v>
      </c>
      <c r="Y2262" s="569">
        <v>20</v>
      </c>
      <c r="Z2262" s="581" t="s">
        <v>450</v>
      </c>
      <c r="AA2262" s="581" t="s">
        <v>178</v>
      </c>
      <c r="AB2262" s="585">
        <v>41990</v>
      </c>
      <c r="AC2262" s="585" t="s">
        <v>164</v>
      </c>
      <c r="AD2262" s="585">
        <v>29515.452631578948</v>
      </c>
      <c r="AE2262" s="587">
        <v>0.03</v>
      </c>
      <c r="AF2262" s="661" t="str">
        <f t="shared" si="248"/>
        <v>2019-LTK-FRD-F150-096-27</v>
      </c>
      <c r="AG2262" s="661" t="str">
        <f>IF(AND($Y2262&gt;=32,(AI2262="I"),(Y2262&lt;&gt;"~"),(COUNTIF($AN$1:$AN2262,$AN2262)=1)),"TRUE","FALSE")</f>
        <v>FALSE</v>
      </c>
      <c r="AH2262" s="661" t="str">
        <f>IF(AND($Y2262&gt;=22, (AI2262&lt;&gt;"I"),(Y2262&lt;&gt;"~"),(COUNTIF($AN$1:$AN2262,$AN2262)=1)),"TRUE","FALSE")</f>
        <v>FALSE</v>
      </c>
      <c r="AI2262" s="661" t="str">
        <f t="shared" si="243"/>
        <v>II</v>
      </c>
      <c r="AJ2262" s="662" t="str">
        <f t="shared" si="244"/>
        <v>F150-096</v>
      </c>
      <c r="AK2262" s="662" t="str">
        <f t="shared" si="245"/>
        <v>LTK</v>
      </c>
      <c r="AL2262" s="662" t="str">
        <f t="shared" si="246"/>
        <v>FRD</v>
      </c>
      <c r="AM2262" s="662" t="str">
        <f t="shared" si="242"/>
        <v>F150-Super Cab XLT-4WD-6-6'5"-7200-3.3L FFV-6-X1E-300A-145-23-E85-Unleaded</v>
      </c>
      <c r="AN2262" s="662" t="str">
        <f t="shared" si="247"/>
        <v>2019-LTK-FRD-F150-096</v>
      </c>
    </row>
    <row r="2263" spans="1:40" s="572" customFormat="1" ht="15">
      <c r="A2263" s="570" t="s">
        <v>4136</v>
      </c>
      <c r="B2263" s="573" t="s">
        <v>4114</v>
      </c>
      <c r="C2263" s="573" t="s">
        <v>280</v>
      </c>
      <c r="D2263" s="578">
        <v>27</v>
      </c>
      <c r="E2263" s="573" t="s">
        <v>3374</v>
      </c>
      <c r="F2263" s="573" t="s">
        <v>152</v>
      </c>
      <c r="G2263" s="573" t="s">
        <v>271</v>
      </c>
      <c r="H2263" s="573">
        <v>2019</v>
      </c>
      <c r="I2263" s="573" t="s">
        <v>3765</v>
      </c>
      <c r="J2263" s="573" t="s">
        <v>4070</v>
      </c>
      <c r="K2263" s="573" t="s">
        <v>752</v>
      </c>
      <c r="L2263" s="573">
        <v>6</v>
      </c>
      <c r="M2263" s="573">
        <v>0</v>
      </c>
      <c r="N2263" s="573" t="s">
        <v>157</v>
      </c>
      <c r="O2263" s="573">
        <v>2</v>
      </c>
      <c r="P2263" s="573" t="s">
        <v>3781</v>
      </c>
      <c r="Q2263" s="571">
        <v>7600</v>
      </c>
      <c r="R2263" s="573" t="s">
        <v>3768</v>
      </c>
      <c r="S2263" s="573">
        <v>6</v>
      </c>
      <c r="T2263" s="573" t="s">
        <v>4033</v>
      </c>
      <c r="U2263" s="573" t="s">
        <v>318</v>
      </c>
      <c r="V2263" s="573">
        <v>145</v>
      </c>
      <c r="W2263" s="573">
        <v>23</v>
      </c>
      <c r="X2263" s="571">
        <v>6900</v>
      </c>
      <c r="Y2263" s="573">
        <v>21</v>
      </c>
      <c r="Z2263" s="579" t="s">
        <v>178</v>
      </c>
      <c r="AA2263" s="579" t="s">
        <v>178</v>
      </c>
      <c r="AB2263" s="584">
        <v>42985</v>
      </c>
      <c r="AC2263" s="584" t="s">
        <v>164</v>
      </c>
      <c r="AD2263" s="584">
        <v>30409.136842105265</v>
      </c>
      <c r="AE2263" s="586">
        <v>0.03</v>
      </c>
      <c r="AF2263" s="661" t="str">
        <f t="shared" si="248"/>
        <v>2019-LTK-FRD-F150-097-27</v>
      </c>
      <c r="AG2263" s="661" t="str">
        <f>IF(AND($Y2263&gt;=32,(AI2263="I"),(Y2263&lt;&gt;"~"),(COUNTIF($AN$1:$AN2263,$AN2263)=1)),"TRUE","FALSE")</f>
        <v>FALSE</v>
      </c>
      <c r="AH2263" s="661" t="str">
        <f>IF(AND($Y2263&gt;=22, (AI2263&lt;&gt;"I"),(Y2263&lt;&gt;"~"),(COUNTIF($AN$1:$AN2263,$AN2263)=1)),"TRUE","FALSE")</f>
        <v>FALSE</v>
      </c>
      <c r="AI2263" s="661" t="str">
        <f t="shared" si="243"/>
        <v>II</v>
      </c>
      <c r="AJ2263" s="662" t="str">
        <f t="shared" si="244"/>
        <v>F150-097</v>
      </c>
      <c r="AK2263" s="662" t="str">
        <f t="shared" si="245"/>
        <v>LTK</v>
      </c>
      <c r="AL2263" s="662" t="str">
        <f t="shared" si="246"/>
        <v>FRD</v>
      </c>
      <c r="AM2263" s="662" t="str">
        <f t="shared" si="242"/>
        <v>F150-Super Cab XLT-4WD-6-6'5"-7600-2.7L EcoBoost -6-X1E-300A-145-23-Unleaded-Unleaded</v>
      </c>
      <c r="AN2263" s="662" t="str">
        <f t="shared" si="247"/>
        <v>2019-LTK-FRD-F150-097</v>
      </c>
    </row>
    <row r="2264" spans="1:40" s="572" customFormat="1" ht="15">
      <c r="A2264" s="570" t="s">
        <v>4137</v>
      </c>
      <c r="B2264" s="569" t="s">
        <v>4116</v>
      </c>
      <c r="C2264" s="569" t="s">
        <v>280</v>
      </c>
      <c r="D2264" s="580">
        <v>27</v>
      </c>
      <c r="E2264" s="569" t="s">
        <v>3374</v>
      </c>
      <c r="F2264" s="569" t="s">
        <v>152</v>
      </c>
      <c r="G2264" s="569" t="s">
        <v>271</v>
      </c>
      <c r="H2264" s="569">
        <v>2019</v>
      </c>
      <c r="I2264" s="569" t="s">
        <v>3765</v>
      </c>
      <c r="J2264" s="569" t="s">
        <v>4070</v>
      </c>
      <c r="K2264" s="569" t="s">
        <v>752</v>
      </c>
      <c r="L2264" s="569">
        <v>6</v>
      </c>
      <c r="M2264" s="569">
        <v>0</v>
      </c>
      <c r="N2264" s="569" t="s">
        <v>157</v>
      </c>
      <c r="O2264" s="569">
        <v>2</v>
      </c>
      <c r="P2264" s="569" t="s">
        <v>3781</v>
      </c>
      <c r="Q2264" s="568">
        <v>9100</v>
      </c>
      <c r="R2264" s="569" t="s">
        <v>3778</v>
      </c>
      <c r="S2264" s="569">
        <v>8</v>
      </c>
      <c r="T2264" s="569" t="s">
        <v>4033</v>
      </c>
      <c r="U2264" s="569" t="s">
        <v>318</v>
      </c>
      <c r="V2264" s="569">
        <v>145</v>
      </c>
      <c r="W2264" s="569">
        <v>23</v>
      </c>
      <c r="X2264" s="568">
        <v>7000</v>
      </c>
      <c r="Y2264" s="569">
        <v>18</v>
      </c>
      <c r="Z2264" s="581" t="s">
        <v>450</v>
      </c>
      <c r="AA2264" s="581" t="s">
        <v>178</v>
      </c>
      <c r="AB2264" s="585">
        <v>43985</v>
      </c>
      <c r="AC2264" s="585" t="s">
        <v>164</v>
      </c>
      <c r="AD2264" s="585">
        <v>31305.978947368421</v>
      </c>
      <c r="AE2264" s="587">
        <v>0.03</v>
      </c>
      <c r="AF2264" s="661" t="str">
        <f t="shared" si="248"/>
        <v>2019-LTK-FRD-F150-099-27</v>
      </c>
      <c r="AG2264" s="661" t="str">
        <f>IF(AND($Y2264&gt;=32,(AI2264="I"),(Y2264&lt;&gt;"~"),(COUNTIF($AN$1:$AN2264,$AN2264)=1)),"TRUE","FALSE")</f>
        <v>FALSE</v>
      </c>
      <c r="AH2264" s="661" t="str">
        <f>IF(AND($Y2264&gt;=22, (AI2264&lt;&gt;"I"),(Y2264&lt;&gt;"~"),(COUNTIF($AN$1:$AN2264,$AN2264)=1)),"TRUE","FALSE")</f>
        <v>FALSE</v>
      </c>
      <c r="AI2264" s="661" t="str">
        <f t="shared" si="243"/>
        <v>II</v>
      </c>
      <c r="AJ2264" s="662" t="str">
        <f t="shared" si="244"/>
        <v>F150-099</v>
      </c>
      <c r="AK2264" s="662" t="str">
        <f t="shared" si="245"/>
        <v>LTK</v>
      </c>
      <c r="AL2264" s="662" t="str">
        <f t="shared" si="246"/>
        <v>FRD</v>
      </c>
      <c r="AM2264" s="662" t="str">
        <f t="shared" si="242"/>
        <v>F150-Super Cab XLT-4WD-6-6'5"-9100-5.0L FFV-8-X1E-300A-145-23-E85-Unleaded</v>
      </c>
      <c r="AN2264" s="662" t="str">
        <f t="shared" si="247"/>
        <v>2019-LTK-FRD-F150-099</v>
      </c>
    </row>
    <row r="2265" spans="1:40" s="572" customFormat="1" ht="15">
      <c r="A2265" s="570" t="s">
        <v>4138</v>
      </c>
      <c r="B2265" s="573" t="s">
        <v>4139</v>
      </c>
      <c r="C2265" s="573" t="s">
        <v>269</v>
      </c>
      <c r="D2265" s="578" t="s">
        <v>270</v>
      </c>
      <c r="E2265" s="573" t="s">
        <v>3374</v>
      </c>
      <c r="F2265" s="573" t="s">
        <v>152</v>
      </c>
      <c r="G2265" s="573" t="s">
        <v>271</v>
      </c>
      <c r="H2265" s="573">
        <v>2019</v>
      </c>
      <c r="I2265" s="573" t="s">
        <v>3765</v>
      </c>
      <c r="J2265" s="573" t="s">
        <v>4140</v>
      </c>
      <c r="K2265" s="573" t="s">
        <v>3377</v>
      </c>
      <c r="L2265" s="573">
        <v>6</v>
      </c>
      <c r="M2265" s="573">
        <v>0</v>
      </c>
      <c r="N2265" s="573" t="s">
        <v>157</v>
      </c>
      <c r="O2265" s="573">
        <v>2</v>
      </c>
      <c r="P2265" s="573" t="s">
        <v>3767</v>
      </c>
      <c r="Q2265" s="571">
        <v>10700</v>
      </c>
      <c r="R2265" s="573" t="s">
        <v>1259</v>
      </c>
      <c r="S2265" s="573">
        <v>6</v>
      </c>
      <c r="T2265" s="573" t="s">
        <v>4141</v>
      </c>
      <c r="U2265" s="573" t="s">
        <v>276</v>
      </c>
      <c r="V2265" s="573">
        <v>145</v>
      </c>
      <c r="W2265" s="573">
        <v>23</v>
      </c>
      <c r="X2265" s="571">
        <v>6800</v>
      </c>
      <c r="Y2265" s="573">
        <v>21</v>
      </c>
      <c r="Z2265" s="579" t="s">
        <v>178</v>
      </c>
      <c r="AA2265" s="579" t="s">
        <v>178</v>
      </c>
      <c r="AB2265" s="584">
        <v>38785</v>
      </c>
      <c r="AC2265" s="584" t="s">
        <v>164</v>
      </c>
      <c r="AD2265" s="584">
        <v>27519.663157894738</v>
      </c>
      <c r="AE2265" s="586">
        <v>0.03</v>
      </c>
      <c r="AF2265" s="661" t="str">
        <f t="shared" si="248"/>
        <v>2019-LTK-FRD-F150-103-05</v>
      </c>
      <c r="AG2265" s="661" t="str">
        <f>IF(AND($Y2265&gt;=32,(AI2265="I"),(Y2265&lt;&gt;"~"),(COUNTIF($AN$1:$AN2265,$AN2265)=1)),"TRUE","FALSE")</f>
        <v>FALSE</v>
      </c>
      <c r="AH2265" s="661" t="str">
        <f>IF(AND($Y2265&gt;=22, (AI2265&lt;&gt;"I"),(Y2265&lt;&gt;"~"),(COUNTIF($AN$1:$AN2265,$AN2265)=1)),"TRUE","FALSE")</f>
        <v>FALSE</v>
      </c>
      <c r="AI2265" s="661" t="str">
        <f t="shared" si="243"/>
        <v>II</v>
      </c>
      <c r="AJ2265" s="662" t="str">
        <f t="shared" si="244"/>
        <v>F150-103</v>
      </c>
      <c r="AK2265" s="662" t="str">
        <f t="shared" si="245"/>
        <v>LTK</v>
      </c>
      <c r="AL2265" s="662" t="str">
        <f t="shared" si="246"/>
        <v>FRD</v>
      </c>
      <c r="AM2265" s="662" t="str">
        <f t="shared" si="242"/>
        <v>F150-Super Crew XL-2WD-6-5'5"-10700-3.5L EcoBoost-6-W1C-100A-145-23-Unleaded-Unleaded</v>
      </c>
      <c r="AN2265" s="662" t="str">
        <f t="shared" si="247"/>
        <v>2019-LTK-FRD-F150-103</v>
      </c>
    </row>
    <row r="2266" spans="1:40" s="572" customFormat="1" ht="15">
      <c r="A2266" s="570" t="s">
        <v>4142</v>
      </c>
      <c r="B2266" s="569" t="s">
        <v>4143</v>
      </c>
      <c r="C2266" s="569" t="s">
        <v>269</v>
      </c>
      <c r="D2266" s="580" t="s">
        <v>270</v>
      </c>
      <c r="E2266" s="569" t="s">
        <v>3374</v>
      </c>
      <c r="F2266" s="569" t="s">
        <v>152</v>
      </c>
      <c r="G2266" s="569" t="s">
        <v>271</v>
      </c>
      <c r="H2266" s="569">
        <v>2019</v>
      </c>
      <c r="I2266" s="569" t="s">
        <v>3765</v>
      </c>
      <c r="J2266" s="569" t="s">
        <v>4140</v>
      </c>
      <c r="K2266" s="569" t="s">
        <v>3377</v>
      </c>
      <c r="L2266" s="569">
        <v>6</v>
      </c>
      <c r="M2266" s="569">
        <v>0</v>
      </c>
      <c r="N2266" s="569" t="s">
        <v>157</v>
      </c>
      <c r="O2266" s="569">
        <v>2</v>
      </c>
      <c r="P2266" s="569" t="s">
        <v>3767</v>
      </c>
      <c r="Q2266" s="568">
        <v>7300</v>
      </c>
      <c r="R2266" s="569" t="s">
        <v>3772</v>
      </c>
      <c r="S2266" s="569">
        <v>6</v>
      </c>
      <c r="T2266" s="569" t="s">
        <v>4141</v>
      </c>
      <c r="U2266" s="569" t="s">
        <v>276</v>
      </c>
      <c r="V2266" s="569">
        <v>145</v>
      </c>
      <c r="W2266" s="569">
        <v>23</v>
      </c>
      <c r="X2266" s="568">
        <v>6150</v>
      </c>
      <c r="Y2266" s="569">
        <v>22</v>
      </c>
      <c r="Z2266" s="581" t="s">
        <v>450</v>
      </c>
      <c r="AA2266" s="581" t="s">
        <v>178</v>
      </c>
      <c r="AB2266" s="585">
        <v>36190</v>
      </c>
      <c r="AC2266" s="585" t="s">
        <v>164</v>
      </c>
      <c r="AD2266" s="585">
        <v>25190.189473684211</v>
      </c>
      <c r="AE2266" s="587">
        <v>0.03</v>
      </c>
      <c r="AF2266" s="661" t="str">
        <f t="shared" si="248"/>
        <v>2019-LTK-FRD-F150-104-05</v>
      </c>
      <c r="AG2266" s="661" t="str">
        <f>IF(AND($Y2266&gt;=32,(AI2266="I"),(Y2266&lt;&gt;"~"),(COUNTIF($AN$1:$AN2266,$AN2266)=1)),"TRUE","FALSE")</f>
        <v>FALSE</v>
      </c>
      <c r="AH2266" s="661" t="str">
        <f>IF(AND($Y2266&gt;=22, (AI2266&lt;&gt;"I"),(Y2266&lt;&gt;"~"),(COUNTIF($AN$1:$AN2266,$AN2266)=1)),"TRUE","FALSE")</f>
        <v>TRUE</v>
      </c>
      <c r="AI2266" s="661" t="str">
        <f t="shared" si="243"/>
        <v>II</v>
      </c>
      <c r="AJ2266" s="662" t="str">
        <f t="shared" si="244"/>
        <v>F150-104</v>
      </c>
      <c r="AK2266" s="662" t="str">
        <f t="shared" si="245"/>
        <v>LTK</v>
      </c>
      <c r="AL2266" s="662" t="str">
        <f t="shared" si="246"/>
        <v>FRD</v>
      </c>
      <c r="AM2266" s="662" t="str">
        <f t="shared" si="242"/>
        <v>F150-Super Crew XL-2WD-6-5'5"-7300-3.3L FFV-6-W1C-100A-145-23-E85-Unleaded</v>
      </c>
      <c r="AN2266" s="662" t="str">
        <f t="shared" si="247"/>
        <v>2019-LTK-FRD-F150-104</v>
      </c>
    </row>
    <row r="2267" spans="1:40" s="572" customFormat="1" ht="15">
      <c r="A2267" s="570" t="s">
        <v>4144</v>
      </c>
      <c r="B2267" s="573" t="s">
        <v>4145</v>
      </c>
      <c r="C2267" s="573" t="s">
        <v>269</v>
      </c>
      <c r="D2267" s="578" t="s">
        <v>270</v>
      </c>
      <c r="E2267" s="573" t="s">
        <v>3374</v>
      </c>
      <c r="F2267" s="573" t="s">
        <v>152</v>
      </c>
      <c r="G2267" s="573" t="s">
        <v>271</v>
      </c>
      <c r="H2267" s="573">
        <v>2019</v>
      </c>
      <c r="I2267" s="573" t="s">
        <v>3765</v>
      </c>
      <c r="J2267" s="573" t="s">
        <v>4140</v>
      </c>
      <c r="K2267" s="573" t="s">
        <v>3377</v>
      </c>
      <c r="L2267" s="573">
        <v>6</v>
      </c>
      <c r="M2267" s="573">
        <v>0</v>
      </c>
      <c r="N2267" s="573" t="s">
        <v>157</v>
      </c>
      <c r="O2267" s="573">
        <v>2</v>
      </c>
      <c r="P2267" s="573" t="s">
        <v>3767</v>
      </c>
      <c r="Q2267" s="571">
        <v>7600</v>
      </c>
      <c r="R2267" s="573" t="s">
        <v>3841</v>
      </c>
      <c r="S2267" s="573">
        <v>6</v>
      </c>
      <c r="T2267" s="573" t="s">
        <v>4141</v>
      </c>
      <c r="U2267" s="573" t="s">
        <v>276</v>
      </c>
      <c r="V2267" s="573">
        <v>145</v>
      </c>
      <c r="W2267" s="573">
        <v>23</v>
      </c>
      <c r="X2267" s="571">
        <v>6250</v>
      </c>
      <c r="Y2267" s="573">
        <v>22</v>
      </c>
      <c r="Z2267" s="579" t="s">
        <v>178</v>
      </c>
      <c r="AA2267" s="579" t="s">
        <v>178</v>
      </c>
      <c r="AB2267" s="584">
        <v>37185</v>
      </c>
      <c r="AC2267" s="584" t="s">
        <v>164</v>
      </c>
      <c r="AD2267" s="584">
        <v>26083.873684210528</v>
      </c>
      <c r="AE2267" s="586">
        <v>0.03</v>
      </c>
      <c r="AF2267" s="661" t="str">
        <f t="shared" si="248"/>
        <v>2019-LTK-FRD-F150-105-05</v>
      </c>
      <c r="AG2267" s="661" t="str">
        <f>IF(AND($Y2267&gt;=32,(AI2267="I"),(Y2267&lt;&gt;"~"),(COUNTIF($AN$1:$AN2267,$AN2267)=1)),"TRUE","FALSE")</f>
        <v>FALSE</v>
      </c>
      <c r="AH2267" s="661" t="str">
        <f>IF(AND($Y2267&gt;=22, (AI2267&lt;&gt;"I"),(Y2267&lt;&gt;"~"),(COUNTIF($AN$1:$AN2267,$AN2267)=1)),"TRUE","FALSE")</f>
        <v>TRUE</v>
      </c>
      <c r="AI2267" s="661" t="str">
        <f t="shared" si="243"/>
        <v>II</v>
      </c>
      <c r="AJ2267" s="662" t="str">
        <f t="shared" si="244"/>
        <v>F150-105</v>
      </c>
      <c r="AK2267" s="662" t="str">
        <f t="shared" si="245"/>
        <v>LTK</v>
      </c>
      <c r="AL2267" s="662" t="str">
        <f t="shared" si="246"/>
        <v>FRD</v>
      </c>
      <c r="AM2267" s="662" t="str">
        <f t="shared" ref="AM2267:AM2330" si="249">CONCATENATE(I2267,"-",J2267,"-",K2267,"-",L2267,"-",P2267,"-",Q2267,"-",R2267,"-",S2267,"-",T2267,"-",U2267,"-",V2267,"-",W2267,"-",Z2267,"-",AA2267)</f>
        <v>F150-Super Crew XL-2WD-6-5'5"-7600-2.7L EcoBoost-6-W1C-100A-145-23-Unleaded-Unleaded</v>
      </c>
      <c r="AN2267" s="662" t="str">
        <f t="shared" si="247"/>
        <v>2019-LTK-FRD-F150-105</v>
      </c>
    </row>
    <row r="2268" spans="1:40" s="572" customFormat="1" ht="15">
      <c r="A2268" s="570" t="s">
        <v>4146</v>
      </c>
      <c r="B2268" s="569" t="s">
        <v>4147</v>
      </c>
      <c r="C2268" s="569" t="s">
        <v>269</v>
      </c>
      <c r="D2268" s="580" t="s">
        <v>270</v>
      </c>
      <c r="E2268" s="569" t="s">
        <v>3374</v>
      </c>
      <c r="F2268" s="569" t="s">
        <v>152</v>
      </c>
      <c r="G2268" s="569" t="s">
        <v>271</v>
      </c>
      <c r="H2268" s="569">
        <v>2019</v>
      </c>
      <c r="I2268" s="569" t="s">
        <v>3765</v>
      </c>
      <c r="J2268" s="569" t="s">
        <v>4140</v>
      </c>
      <c r="K2268" s="569" t="s">
        <v>3377</v>
      </c>
      <c r="L2268" s="569">
        <v>6</v>
      </c>
      <c r="M2268" s="569">
        <v>0</v>
      </c>
      <c r="N2268" s="569" t="s">
        <v>157</v>
      </c>
      <c r="O2268" s="569">
        <v>2</v>
      </c>
      <c r="P2268" s="569" t="s">
        <v>3767</v>
      </c>
      <c r="Q2268" s="568">
        <v>9100</v>
      </c>
      <c r="R2268" s="569" t="s">
        <v>3778</v>
      </c>
      <c r="S2268" s="569">
        <v>8</v>
      </c>
      <c r="T2268" s="569" t="s">
        <v>4141</v>
      </c>
      <c r="U2268" s="569" t="s">
        <v>276</v>
      </c>
      <c r="V2268" s="569">
        <v>145</v>
      </c>
      <c r="W2268" s="569">
        <v>23</v>
      </c>
      <c r="X2268" s="568">
        <v>6800</v>
      </c>
      <c r="Y2268" s="569">
        <v>19</v>
      </c>
      <c r="Z2268" s="581" t="s">
        <v>450</v>
      </c>
      <c r="AA2268" s="581" t="s">
        <v>178</v>
      </c>
      <c r="AB2268" s="585">
        <v>38185</v>
      </c>
      <c r="AC2268" s="585" t="s">
        <v>164</v>
      </c>
      <c r="AD2268" s="585">
        <v>26980.715789473685</v>
      </c>
      <c r="AE2268" s="587">
        <v>0.03</v>
      </c>
      <c r="AF2268" s="661" t="str">
        <f t="shared" si="248"/>
        <v>2019-LTK-FRD-F150-107-05</v>
      </c>
      <c r="AG2268" s="661" t="str">
        <f>IF(AND($Y2268&gt;=32,(AI2268="I"),(Y2268&lt;&gt;"~"),(COUNTIF($AN$1:$AN2268,$AN2268)=1)),"TRUE","FALSE")</f>
        <v>FALSE</v>
      </c>
      <c r="AH2268" s="661" t="str">
        <f>IF(AND($Y2268&gt;=22, (AI2268&lt;&gt;"I"),(Y2268&lt;&gt;"~"),(COUNTIF($AN$1:$AN2268,$AN2268)=1)),"TRUE","FALSE")</f>
        <v>FALSE</v>
      </c>
      <c r="AI2268" s="661" t="str">
        <f t="shared" ref="AI2268:AI2331" si="250">IF(OR((LEFT($E2268,2)="01"),AND(LEFT($E2268,2)="06",ISNUMBER(SEARCH("pas",$F2268))),AND(LEFT($E2268,2)="05",ISNUMBER(SEARCH("pas",$F2268)))),"I",IF(AND((LEFT($E2268,2)&lt;&gt;"01"),$X2268&lt;=10000),"II",IF(AND((LEFT($E2268,2)&lt;&gt;"01"),$X2268&gt;10000),"N/A")))</f>
        <v>II</v>
      </c>
      <c r="AJ2268" s="662" t="str">
        <f t="shared" si="244"/>
        <v>F150-107</v>
      </c>
      <c r="AK2268" s="662" t="str">
        <f t="shared" si="245"/>
        <v>LTK</v>
      </c>
      <c r="AL2268" s="662" t="str">
        <f t="shared" si="246"/>
        <v>FRD</v>
      </c>
      <c r="AM2268" s="662" t="str">
        <f t="shared" si="249"/>
        <v>F150-Super Crew XL-2WD-6-5'5"-9100-5.0L FFV-8-W1C-100A-145-23-E85-Unleaded</v>
      </c>
      <c r="AN2268" s="662" t="str">
        <f t="shared" si="247"/>
        <v>2019-LTK-FRD-F150-107</v>
      </c>
    </row>
    <row r="2269" spans="1:40" s="572" customFormat="1" ht="15">
      <c r="A2269" s="570" t="s">
        <v>4148</v>
      </c>
      <c r="B2269" s="573" t="s">
        <v>4149</v>
      </c>
      <c r="C2269" s="573" t="s">
        <v>269</v>
      </c>
      <c r="D2269" s="578" t="s">
        <v>270</v>
      </c>
      <c r="E2269" s="573" t="s">
        <v>3374</v>
      </c>
      <c r="F2269" s="573" t="s">
        <v>152</v>
      </c>
      <c r="G2269" s="573" t="s">
        <v>271</v>
      </c>
      <c r="H2269" s="573">
        <v>2019</v>
      </c>
      <c r="I2269" s="573" t="s">
        <v>3765</v>
      </c>
      <c r="J2269" s="573" t="s">
        <v>4140</v>
      </c>
      <c r="K2269" s="573" t="s">
        <v>3377</v>
      </c>
      <c r="L2269" s="573">
        <v>6</v>
      </c>
      <c r="M2269" s="573">
        <v>0</v>
      </c>
      <c r="N2269" s="573" t="s">
        <v>157</v>
      </c>
      <c r="O2269" s="573">
        <v>2</v>
      </c>
      <c r="P2269" s="573" t="s">
        <v>3781</v>
      </c>
      <c r="Q2269" s="571">
        <v>10700</v>
      </c>
      <c r="R2269" s="573" t="s">
        <v>1259</v>
      </c>
      <c r="S2269" s="573">
        <v>6</v>
      </c>
      <c r="T2269" s="573" t="s">
        <v>4141</v>
      </c>
      <c r="U2269" s="573" t="s">
        <v>276</v>
      </c>
      <c r="V2269" s="573">
        <v>156.80000000000001</v>
      </c>
      <c r="W2269" s="573">
        <v>23</v>
      </c>
      <c r="X2269" s="571">
        <v>7000</v>
      </c>
      <c r="Y2269" s="573">
        <v>21</v>
      </c>
      <c r="Z2269" s="579" t="s">
        <v>178</v>
      </c>
      <c r="AA2269" s="579" t="s">
        <v>178</v>
      </c>
      <c r="AB2269" s="584">
        <v>39095</v>
      </c>
      <c r="AC2269" s="584" t="s">
        <v>164</v>
      </c>
      <c r="AD2269" s="584">
        <v>27838.610526315792</v>
      </c>
      <c r="AE2269" s="586">
        <v>0.03</v>
      </c>
      <c r="AF2269" s="661" t="str">
        <f t="shared" si="248"/>
        <v>2019-LTK-FRD-F150-108-05</v>
      </c>
      <c r="AG2269" s="661" t="str">
        <f>IF(AND($Y2269&gt;=32,(AI2269="I"),(Y2269&lt;&gt;"~"),(COUNTIF($AN$1:$AN2269,$AN2269)=1)),"TRUE","FALSE")</f>
        <v>FALSE</v>
      </c>
      <c r="AH2269" s="661" t="str">
        <f>IF(AND($Y2269&gt;=22, (AI2269&lt;&gt;"I"),(Y2269&lt;&gt;"~"),(COUNTIF($AN$1:$AN2269,$AN2269)=1)),"TRUE","FALSE")</f>
        <v>FALSE</v>
      </c>
      <c r="AI2269" s="661" t="str">
        <f t="shared" si="250"/>
        <v>II</v>
      </c>
      <c r="AJ2269" s="662" t="str">
        <f t="shared" si="244"/>
        <v>F150-108</v>
      </c>
      <c r="AK2269" s="662" t="str">
        <f t="shared" si="245"/>
        <v>LTK</v>
      </c>
      <c r="AL2269" s="662" t="str">
        <f t="shared" si="246"/>
        <v>FRD</v>
      </c>
      <c r="AM2269" s="662" t="str">
        <f t="shared" si="249"/>
        <v>F150-Super Crew XL-2WD-6-6'5"-10700-3.5L EcoBoost-6-W1C-100A-156.8-23-Unleaded-Unleaded</v>
      </c>
      <c r="AN2269" s="662" t="str">
        <f t="shared" si="247"/>
        <v>2019-LTK-FRD-F150-108</v>
      </c>
    </row>
    <row r="2270" spans="1:40" s="572" customFormat="1" ht="15">
      <c r="A2270" s="570" t="s">
        <v>4150</v>
      </c>
      <c r="B2270" s="569" t="s">
        <v>4151</v>
      </c>
      <c r="C2270" s="569" t="s">
        <v>269</v>
      </c>
      <c r="D2270" s="580" t="s">
        <v>270</v>
      </c>
      <c r="E2270" s="569" t="s">
        <v>3374</v>
      </c>
      <c r="F2270" s="569" t="s">
        <v>152</v>
      </c>
      <c r="G2270" s="569" t="s">
        <v>271</v>
      </c>
      <c r="H2270" s="569">
        <v>2019</v>
      </c>
      <c r="I2270" s="569" t="s">
        <v>3765</v>
      </c>
      <c r="J2270" s="569" t="s">
        <v>4140</v>
      </c>
      <c r="K2270" s="569" t="s">
        <v>3377</v>
      </c>
      <c r="L2270" s="569">
        <v>6</v>
      </c>
      <c r="M2270" s="569">
        <v>0</v>
      </c>
      <c r="N2270" s="569" t="s">
        <v>157</v>
      </c>
      <c r="O2270" s="569">
        <v>2</v>
      </c>
      <c r="P2270" s="569" t="s">
        <v>3781</v>
      </c>
      <c r="Q2270" s="568">
        <v>7600</v>
      </c>
      <c r="R2270" s="569" t="s">
        <v>3841</v>
      </c>
      <c r="S2270" s="569">
        <v>6</v>
      </c>
      <c r="T2270" s="569" t="s">
        <v>4141</v>
      </c>
      <c r="U2270" s="569" t="s">
        <v>276</v>
      </c>
      <c r="V2270" s="569">
        <v>156.80000000000001</v>
      </c>
      <c r="W2270" s="569">
        <v>23</v>
      </c>
      <c r="X2270" s="568">
        <v>6350</v>
      </c>
      <c r="Y2270" s="569">
        <v>22</v>
      </c>
      <c r="Z2270" s="581" t="s">
        <v>178</v>
      </c>
      <c r="AA2270" s="581" t="s">
        <v>178</v>
      </c>
      <c r="AB2270" s="585">
        <v>37495</v>
      </c>
      <c r="AC2270" s="585" t="s">
        <v>164</v>
      </c>
      <c r="AD2270" s="585">
        <v>26402.821052631582</v>
      </c>
      <c r="AE2270" s="587">
        <v>0.03</v>
      </c>
      <c r="AF2270" s="661" t="str">
        <f t="shared" si="248"/>
        <v>2019-LTK-FRD-F150-109-05</v>
      </c>
      <c r="AG2270" s="661" t="str">
        <f>IF(AND($Y2270&gt;=32,(AI2270="I"),(Y2270&lt;&gt;"~"),(COUNTIF($AN$1:$AN2270,$AN2270)=1)),"TRUE","FALSE")</f>
        <v>FALSE</v>
      </c>
      <c r="AH2270" s="661" t="str">
        <f>IF(AND($Y2270&gt;=22, (AI2270&lt;&gt;"I"),(Y2270&lt;&gt;"~"),(COUNTIF($AN$1:$AN2270,$AN2270)=1)),"TRUE","FALSE")</f>
        <v>TRUE</v>
      </c>
      <c r="AI2270" s="661" t="str">
        <f t="shared" si="250"/>
        <v>II</v>
      </c>
      <c r="AJ2270" s="662" t="str">
        <f t="shared" si="244"/>
        <v>F150-109</v>
      </c>
      <c r="AK2270" s="662" t="str">
        <f t="shared" si="245"/>
        <v>LTK</v>
      </c>
      <c r="AL2270" s="662" t="str">
        <f t="shared" si="246"/>
        <v>FRD</v>
      </c>
      <c r="AM2270" s="662" t="str">
        <f t="shared" si="249"/>
        <v>F150-Super Crew XL-2WD-6-6'5"-7600-2.7L EcoBoost-6-W1C-100A-156.8-23-Unleaded-Unleaded</v>
      </c>
      <c r="AN2270" s="662" t="str">
        <f t="shared" si="247"/>
        <v>2019-LTK-FRD-F150-109</v>
      </c>
    </row>
    <row r="2271" spans="1:40" s="572" customFormat="1" ht="15">
      <c r="A2271" s="570" t="s">
        <v>4152</v>
      </c>
      <c r="B2271" s="573" t="s">
        <v>4153</v>
      </c>
      <c r="C2271" s="573" t="s">
        <v>269</v>
      </c>
      <c r="D2271" s="578" t="s">
        <v>270</v>
      </c>
      <c r="E2271" s="573" t="s">
        <v>3374</v>
      </c>
      <c r="F2271" s="573" t="s">
        <v>152</v>
      </c>
      <c r="G2271" s="573" t="s">
        <v>271</v>
      </c>
      <c r="H2271" s="573">
        <v>2019</v>
      </c>
      <c r="I2271" s="573" t="s">
        <v>3765</v>
      </c>
      <c r="J2271" s="573" t="s">
        <v>4140</v>
      </c>
      <c r="K2271" s="573" t="s">
        <v>3377</v>
      </c>
      <c r="L2271" s="573">
        <v>6</v>
      </c>
      <c r="M2271" s="573">
        <v>0</v>
      </c>
      <c r="N2271" s="573" t="s">
        <v>157</v>
      </c>
      <c r="O2271" s="573">
        <v>2</v>
      </c>
      <c r="P2271" s="573" t="s">
        <v>3781</v>
      </c>
      <c r="Q2271" s="571">
        <v>9100</v>
      </c>
      <c r="R2271" s="573" t="s">
        <v>3778</v>
      </c>
      <c r="S2271" s="573">
        <v>8</v>
      </c>
      <c r="T2271" s="573" t="s">
        <v>4141</v>
      </c>
      <c r="U2271" s="573" t="s">
        <v>276</v>
      </c>
      <c r="V2271" s="573">
        <v>156.80000000000001</v>
      </c>
      <c r="W2271" s="573">
        <v>23</v>
      </c>
      <c r="X2271" s="571">
        <v>6950</v>
      </c>
      <c r="Y2271" s="573">
        <v>19</v>
      </c>
      <c r="Z2271" s="579" t="s">
        <v>450</v>
      </c>
      <c r="AA2271" s="579" t="s">
        <v>178</v>
      </c>
      <c r="AB2271" s="584">
        <v>38495</v>
      </c>
      <c r="AC2271" s="584" t="s">
        <v>164</v>
      </c>
      <c r="AD2271" s="584">
        <v>27299.663157894738</v>
      </c>
      <c r="AE2271" s="586">
        <v>0.03</v>
      </c>
      <c r="AF2271" s="661" t="str">
        <f t="shared" si="248"/>
        <v>2019-LTK-FRD-F150-111-05</v>
      </c>
      <c r="AG2271" s="661" t="str">
        <f>IF(AND($Y2271&gt;=32,(AI2271="I"),(Y2271&lt;&gt;"~"),(COUNTIF($AN$1:$AN2271,$AN2271)=1)),"TRUE","FALSE")</f>
        <v>FALSE</v>
      </c>
      <c r="AH2271" s="661" t="str">
        <f>IF(AND($Y2271&gt;=22, (AI2271&lt;&gt;"I"),(Y2271&lt;&gt;"~"),(COUNTIF($AN$1:$AN2271,$AN2271)=1)),"TRUE","FALSE")</f>
        <v>FALSE</v>
      </c>
      <c r="AI2271" s="661" t="str">
        <f t="shared" si="250"/>
        <v>II</v>
      </c>
      <c r="AJ2271" s="662" t="str">
        <f t="shared" si="244"/>
        <v>F150-111</v>
      </c>
      <c r="AK2271" s="662" t="str">
        <f t="shared" si="245"/>
        <v>LTK</v>
      </c>
      <c r="AL2271" s="662" t="str">
        <f t="shared" si="246"/>
        <v>FRD</v>
      </c>
      <c r="AM2271" s="662" t="str">
        <f t="shared" si="249"/>
        <v>F150-Super Crew XL-2WD-6-6'5"-9100-5.0L FFV-8-W1C-100A-156.8-23-E85-Unleaded</v>
      </c>
      <c r="AN2271" s="662" t="str">
        <f t="shared" si="247"/>
        <v>2019-LTK-FRD-F150-111</v>
      </c>
    </row>
    <row r="2272" spans="1:40" s="572" customFormat="1" ht="15">
      <c r="A2272" s="570" t="s">
        <v>4154</v>
      </c>
      <c r="B2272" s="569" t="s">
        <v>4139</v>
      </c>
      <c r="C2272" s="569" t="s">
        <v>278</v>
      </c>
      <c r="D2272" s="580">
        <v>15</v>
      </c>
      <c r="E2272" s="569" t="s">
        <v>3374</v>
      </c>
      <c r="F2272" s="569" t="s">
        <v>152</v>
      </c>
      <c r="G2272" s="569" t="s">
        <v>271</v>
      </c>
      <c r="H2272" s="569">
        <v>2019</v>
      </c>
      <c r="I2272" s="569" t="s">
        <v>3765</v>
      </c>
      <c r="J2272" s="569" t="s">
        <v>4140</v>
      </c>
      <c r="K2272" s="569" t="s">
        <v>3377</v>
      </c>
      <c r="L2272" s="569">
        <v>6</v>
      </c>
      <c r="M2272" s="569">
        <v>0</v>
      </c>
      <c r="N2272" s="569" t="s">
        <v>157</v>
      </c>
      <c r="O2272" s="569">
        <v>2</v>
      </c>
      <c r="P2272" s="569" t="s">
        <v>3767</v>
      </c>
      <c r="Q2272" s="568">
        <v>10700</v>
      </c>
      <c r="R2272" s="569" t="s">
        <v>1259</v>
      </c>
      <c r="S2272" s="569">
        <v>6</v>
      </c>
      <c r="T2272" s="569" t="s">
        <v>4141</v>
      </c>
      <c r="U2272" s="569" t="s">
        <v>276</v>
      </c>
      <c r="V2272" s="569">
        <v>145</v>
      </c>
      <c r="W2272" s="569">
        <v>23</v>
      </c>
      <c r="X2272" s="568">
        <v>6800</v>
      </c>
      <c r="Y2272" s="569">
        <v>20</v>
      </c>
      <c r="Z2272" s="581" t="s">
        <v>178</v>
      </c>
      <c r="AA2272" s="581" t="s">
        <v>178</v>
      </c>
      <c r="AB2272" s="585">
        <v>38785</v>
      </c>
      <c r="AC2272" s="585" t="s">
        <v>164</v>
      </c>
      <c r="AD2272" s="585">
        <v>27600</v>
      </c>
      <c r="AE2272" s="587">
        <v>0.01</v>
      </c>
      <c r="AF2272" s="661" t="str">
        <f t="shared" si="248"/>
        <v>2019-LTK-FRD-F150-103-15</v>
      </c>
      <c r="AG2272" s="661" t="str">
        <f>IF(AND($Y2272&gt;=32,(AI2272="I"),(Y2272&lt;&gt;"~"),(COUNTIF($AN$1:$AN2272,$AN2272)=1)),"TRUE","FALSE")</f>
        <v>FALSE</v>
      </c>
      <c r="AH2272" s="661" t="str">
        <f>IF(AND($Y2272&gt;=22, (AI2272&lt;&gt;"I"),(Y2272&lt;&gt;"~"),(COUNTIF($AN$1:$AN2272,$AN2272)=1)),"TRUE","FALSE")</f>
        <v>FALSE</v>
      </c>
      <c r="AI2272" s="661" t="str">
        <f t="shared" si="250"/>
        <v>II</v>
      </c>
      <c r="AJ2272" s="662" t="str">
        <f t="shared" si="244"/>
        <v>F150-103</v>
      </c>
      <c r="AK2272" s="662" t="str">
        <f t="shared" si="245"/>
        <v>LTK</v>
      </c>
      <c r="AL2272" s="662" t="str">
        <f t="shared" si="246"/>
        <v>FRD</v>
      </c>
      <c r="AM2272" s="662" t="str">
        <f t="shared" si="249"/>
        <v>F150-Super Crew XL-2WD-6-5'5"-10700-3.5L EcoBoost-6-W1C-100A-145-23-Unleaded-Unleaded</v>
      </c>
      <c r="AN2272" s="662" t="str">
        <f t="shared" si="247"/>
        <v>2019-LTK-FRD-F150-103</v>
      </c>
    </row>
    <row r="2273" spans="1:40" s="572" customFormat="1" ht="15">
      <c r="A2273" s="570" t="s">
        <v>4155</v>
      </c>
      <c r="B2273" s="573" t="s">
        <v>4143</v>
      </c>
      <c r="C2273" s="573" t="s">
        <v>278</v>
      </c>
      <c r="D2273" s="578">
        <v>15</v>
      </c>
      <c r="E2273" s="573" t="s">
        <v>3374</v>
      </c>
      <c r="F2273" s="573" t="s">
        <v>152</v>
      </c>
      <c r="G2273" s="573" t="s">
        <v>271</v>
      </c>
      <c r="H2273" s="573">
        <v>2019</v>
      </c>
      <c r="I2273" s="573" t="s">
        <v>3765</v>
      </c>
      <c r="J2273" s="573" t="s">
        <v>4140</v>
      </c>
      <c r="K2273" s="573" t="s">
        <v>3377</v>
      </c>
      <c r="L2273" s="573">
        <v>6</v>
      </c>
      <c r="M2273" s="573">
        <v>0</v>
      </c>
      <c r="N2273" s="573" t="s">
        <v>157</v>
      </c>
      <c r="O2273" s="573">
        <v>2</v>
      </c>
      <c r="P2273" s="573" t="s">
        <v>3767</v>
      </c>
      <c r="Q2273" s="571">
        <v>7300</v>
      </c>
      <c r="R2273" s="573" t="s">
        <v>3772</v>
      </c>
      <c r="S2273" s="573">
        <v>6</v>
      </c>
      <c r="T2273" s="573" t="s">
        <v>4141</v>
      </c>
      <c r="U2273" s="573" t="s">
        <v>276</v>
      </c>
      <c r="V2273" s="573">
        <v>145</v>
      </c>
      <c r="W2273" s="573">
        <v>23</v>
      </c>
      <c r="X2273" s="571">
        <v>6150</v>
      </c>
      <c r="Y2273" s="573">
        <v>20</v>
      </c>
      <c r="Z2273" s="579" t="s">
        <v>450</v>
      </c>
      <c r="AA2273" s="579" t="s">
        <v>178</v>
      </c>
      <c r="AB2273" s="584">
        <v>36190</v>
      </c>
      <c r="AC2273" s="584" t="s">
        <v>164</v>
      </c>
      <c r="AD2273" s="584">
        <v>25250</v>
      </c>
      <c r="AE2273" s="586">
        <v>0.01</v>
      </c>
      <c r="AF2273" s="661" t="str">
        <f t="shared" si="248"/>
        <v>2019-LTK-FRD-F150-104-15</v>
      </c>
      <c r="AG2273" s="661" t="str">
        <f>IF(AND($Y2273&gt;=32,(AI2273="I"),(Y2273&lt;&gt;"~"),(COUNTIF($AN$1:$AN2273,$AN2273)=1)),"TRUE","FALSE")</f>
        <v>FALSE</v>
      </c>
      <c r="AH2273" s="661" t="str">
        <f>IF(AND($Y2273&gt;=22, (AI2273&lt;&gt;"I"),(Y2273&lt;&gt;"~"),(COUNTIF($AN$1:$AN2273,$AN2273)=1)),"TRUE","FALSE")</f>
        <v>FALSE</v>
      </c>
      <c r="AI2273" s="661" t="str">
        <f t="shared" si="250"/>
        <v>II</v>
      </c>
      <c r="AJ2273" s="662" t="str">
        <f t="shared" si="244"/>
        <v>F150-104</v>
      </c>
      <c r="AK2273" s="662" t="str">
        <f t="shared" si="245"/>
        <v>LTK</v>
      </c>
      <c r="AL2273" s="662" t="str">
        <f t="shared" si="246"/>
        <v>FRD</v>
      </c>
      <c r="AM2273" s="662" t="str">
        <f t="shared" si="249"/>
        <v>F150-Super Crew XL-2WD-6-5'5"-7300-3.3L FFV-6-W1C-100A-145-23-E85-Unleaded</v>
      </c>
      <c r="AN2273" s="662" t="str">
        <f t="shared" si="247"/>
        <v>2019-LTK-FRD-F150-104</v>
      </c>
    </row>
    <row r="2274" spans="1:40" s="572" customFormat="1" ht="15">
      <c r="A2274" s="570" t="s">
        <v>4156</v>
      </c>
      <c r="B2274" s="569" t="s">
        <v>4145</v>
      </c>
      <c r="C2274" s="569" t="s">
        <v>278</v>
      </c>
      <c r="D2274" s="580">
        <v>15</v>
      </c>
      <c r="E2274" s="569" t="s">
        <v>3374</v>
      </c>
      <c r="F2274" s="569" t="s">
        <v>152</v>
      </c>
      <c r="G2274" s="569" t="s">
        <v>271</v>
      </c>
      <c r="H2274" s="569">
        <v>2019</v>
      </c>
      <c r="I2274" s="569" t="s">
        <v>3765</v>
      </c>
      <c r="J2274" s="569" t="s">
        <v>4140</v>
      </c>
      <c r="K2274" s="569" t="s">
        <v>3377</v>
      </c>
      <c r="L2274" s="569">
        <v>6</v>
      </c>
      <c r="M2274" s="569">
        <v>0</v>
      </c>
      <c r="N2274" s="569" t="s">
        <v>157</v>
      </c>
      <c r="O2274" s="569">
        <v>2</v>
      </c>
      <c r="P2274" s="569" t="s">
        <v>3767</v>
      </c>
      <c r="Q2274" s="568">
        <v>7600</v>
      </c>
      <c r="R2274" s="569" t="s">
        <v>3841</v>
      </c>
      <c r="S2274" s="569">
        <v>6</v>
      </c>
      <c r="T2274" s="569" t="s">
        <v>4141</v>
      </c>
      <c r="U2274" s="569" t="s">
        <v>276</v>
      </c>
      <c r="V2274" s="569">
        <v>145</v>
      </c>
      <c r="W2274" s="569">
        <v>23</v>
      </c>
      <c r="X2274" s="568">
        <v>6250</v>
      </c>
      <c r="Y2274" s="569">
        <v>22</v>
      </c>
      <c r="Z2274" s="581" t="s">
        <v>178</v>
      </c>
      <c r="AA2274" s="581" t="s">
        <v>178</v>
      </c>
      <c r="AB2274" s="585">
        <v>37185</v>
      </c>
      <c r="AC2274" s="585" t="s">
        <v>164</v>
      </c>
      <c r="AD2274" s="585">
        <v>26150</v>
      </c>
      <c r="AE2274" s="587">
        <v>0.01</v>
      </c>
      <c r="AF2274" s="661" t="str">
        <f t="shared" si="248"/>
        <v>2019-LTK-FRD-F150-105-15</v>
      </c>
      <c r="AG2274" s="661" t="str">
        <f>IF(AND($Y2274&gt;=32,(AI2274="I"),(Y2274&lt;&gt;"~"),(COUNTIF($AN$1:$AN2274,$AN2274)=1)),"TRUE","FALSE")</f>
        <v>FALSE</v>
      </c>
      <c r="AH2274" s="661" t="str">
        <f>IF(AND($Y2274&gt;=22, (AI2274&lt;&gt;"I"),(Y2274&lt;&gt;"~"),(COUNTIF($AN$1:$AN2274,$AN2274)=1)),"TRUE","FALSE")</f>
        <v>FALSE</v>
      </c>
      <c r="AI2274" s="661" t="str">
        <f t="shared" si="250"/>
        <v>II</v>
      </c>
      <c r="AJ2274" s="662" t="str">
        <f t="shared" si="244"/>
        <v>F150-105</v>
      </c>
      <c r="AK2274" s="662" t="str">
        <f t="shared" si="245"/>
        <v>LTK</v>
      </c>
      <c r="AL2274" s="662" t="str">
        <f t="shared" si="246"/>
        <v>FRD</v>
      </c>
      <c r="AM2274" s="662" t="str">
        <f t="shared" si="249"/>
        <v>F150-Super Crew XL-2WD-6-5'5"-7600-2.7L EcoBoost-6-W1C-100A-145-23-Unleaded-Unleaded</v>
      </c>
      <c r="AN2274" s="662" t="str">
        <f t="shared" si="247"/>
        <v>2019-LTK-FRD-F150-105</v>
      </c>
    </row>
    <row r="2275" spans="1:40" s="572" customFormat="1" ht="15">
      <c r="A2275" s="570" t="s">
        <v>4157</v>
      </c>
      <c r="B2275" s="573" t="s">
        <v>4147</v>
      </c>
      <c r="C2275" s="573" t="s">
        <v>278</v>
      </c>
      <c r="D2275" s="578">
        <v>15</v>
      </c>
      <c r="E2275" s="573" t="s">
        <v>3374</v>
      </c>
      <c r="F2275" s="573" t="s">
        <v>152</v>
      </c>
      <c r="G2275" s="573" t="s">
        <v>271</v>
      </c>
      <c r="H2275" s="573">
        <v>2019</v>
      </c>
      <c r="I2275" s="573" t="s">
        <v>3765</v>
      </c>
      <c r="J2275" s="573" t="s">
        <v>4140</v>
      </c>
      <c r="K2275" s="573" t="s">
        <v>3377</v>
      </c>
      <c r="L2275" s="573">
        <v>6</v>
      </c>
      <c r="M2275" s="573">
        <v>0</v>
      </c>
      <c r="N2275" s="573" t="s">
        <v>157</v>
      </c>
      <c r="O2275" s="573">
        <v>2</v>
      </c>
      <c r="P2275" s="573" t="s">
        <v>3767</v>
      </c>
      <c r="Q2275" s="571">
        <v>9100</v>
      </c>
      <c r="R2275" s="573" t="s">
        <v>3778</v>
      </c>
      <c r="S2275" s="573">
        <v>8</v>
      </c>
      <c r="T2275" s="573" t="s">
        <v>4141</v>
      </c>
      <c r="U2275" s="573" t="s">
        <v>276</v>
      </c>
      <c r="V2275" s="573">
        <v>145</v>
      </c>
      <c r="W2275" s="573">
        <v>23</v>
      </c>
      <c r="X2275" s="571">
        <v>6800</v>
      </c>
      <c r="Y2275" s="573">
        <v>18</v>
      </c>
      <c r="Z2275" s="579" t="s">
        <v>450</v>
      </c>
      <c r="AA2275" s="579" t="s">
        <v>178</v>
      </c>
      <c r="AB2275" s="584">
        <v>38185</v>
      </c>
      <c r="AC2275" s="584" t="s">
        <v>164</v>
      </c>
      <c r="AD2275" s="584">
        <v>27100</v>
      </c>
      <c r="AE2275" s="586">
        <v>0.01</v>
      </c>
      <c r="AF2275" s="661" t="str">
        <f t="shared" si="248"/>
        <v>2019-LTK-FRD-F150-107-15</v>
      </c>
      <c r="AG2275" s="661" t="str">
        <f>IF(AND($Y2275&gt;=32,(AI2275="I"),(Y2275&lt;&gt;"~"),(COUNTIF($AN$1:$AN2275,$AN2275)=1)),"TRUE","FALSE")</f>
        <v>FALSE</v>
      </c>
      <c r="AH2275" s="661" t="str">
        <f>IF(AND($Y2275&gt;=22, (AI2275&lt;&gt;"I"),(Y2275&lt;&gt;"~"),(COUNTIF($AN$1:$AN2275,$AN2275)=1)),"TRUE","FALSE")</f>
        <v>FALSE</v>
      </c>
      <c r="AI2275" s="661" t="str">
        <f t="shared" si="250"/>
        <v>II</v>
      </c>
      <c r="AJ2275" s="662" t="str">
        <f t="shared" si="244"/>
        <v>F150-107</v>
      </c>
      <c r="AK2275" s="662" t="str">
        <f t="shared" si="245"/>
        <v>LTK</v>
      </c>
      <c r="AL2275" s="662" t="str">
        <f t="shared" si="246"/>
        <v>FRD</v>
      </c>
      <c r="AM2275" s="662" t="str">
        <f t="shared" si="249"/>
        <v>F150-Super Crew XL-2WD-6-5'5"-9100-5.0L FFV-8-W1C-100A-145-23-E85-Unleaded</v>
      </c>
      <c r="AN2275" s="662" t="str">
        <f t="shared" si="247"/>
        <v>2019-LTK-FRD-F150-107</v>
      </c>
    </row>
    <row r="2276" spans="1:40" s="572" customFormat="1" ht="15">
      <c r="A2276" s="570" t="s">
        <v>4158</v>
      </c>
      <c r="B2276" s="569" t="s">
        <v>4149</v>
      </c>
      <c r="C2276" s="569" t="s">
        <v>278</v>
      </c>
      <c r="D2276" s="580">
        <v>15</v>
      </c>
      <c r="E2276" s="569" t="s">
        <v>3374</v>
      </c>
      <c r="F2276" s="569" t="s">
        <v>152</v>
      </c>
      <c r="G2276" s="569" t="s">
        <v>271</v>
      </c>
      <c r="H2276" s="569">
        <v>2019</v>
      </c>
      <c r="I2276" s="569" t="s">
        <v>3765</v>
      </c>
      <c r="J2276" s="569" t="s">
        <v>4140</v>
      </c>
      <c r="K2276" s="569" t="s">
        <v>3377</v>
      </c>
      <c r="L2276" s="569">
        <v>6</v>
      </c>
      <c r="M2276" s="569">
        <v>0</v>
      </c>
      <c r="N2276" s="569" t="s">
        <v>157</v>
      </c>
      <c r="O2276" s="569">
        <v>2</v>
      </c>
      <c r="P2276" s="569" t="s">
        <v>3781</v>
      </c>
      <c r="Q2276" s="568">
        <v>10700</v>
      </c>
      <c r="R2276" s="569" t="s">
        <v>1259</v>
      </c>
      <c r="S2276" s="569">
        <v>6</v>
      </c>
      <c r="T2276" s="569" t="s">
        <v>4141</v>
      </c>
      <c r="U2276" s="569" t="s">
        <v>276</v>
      </c>
      <c r="V2276" s="569">
        <v>156.80000000000001</v>
      </c>
      <c r="W2276" s="569">
        <v>23</v>
      </c>
      <c r="X2276" s="568">
        <v>7000</v>
      </c>
      <c r="Y2276" s="569">
        <v>20</v>
      </c>
      <c r="Z2276" s="581" t="s">
        <v>178</v>
      </c>
      <c r="AA2276" s="581" t="s">
        <v>178</v>
      </c>
      <c r="AB2276" s="585">
        <v>39095</v>
      </c>
      <c r="AC2276" s="585" t="s">
        <v>164</v>
      </c>
      <c r="AD2276" s="585">
        <v>27900</v>
      </c>
      <c r="AE2276" s="587">
        <v>0.01</v>
      </c>
      <c r="AF2276" s="661" t="str">
        <f t="shared" si="248"/>
        <v>2019-LTK-FRD-F150-108-15</v>
      </c>
      <c r="AG2276" s="661" t="str">
        <f>IF(AND($Y2276&gt;=32,(AI2276="I"),(Y2276&lt;&gt;"~"),(COUNTIF($AN$1:$AN2276,$AN2276)=1)),"TRUE","FALSE")</f>
        <v>FALSE</v>
      </c>
      <c r="AH2276" s="661" t="str">
        <f>IF(AND($Y2276&gt;=22, (AI2276&lt;&gt;"I"),(Y2276&lt;&gt;"~"),(COUNTIF($AN$1:$AN2276,$AN2276)=1)),"TRUE","FALSE")</f>
        <v>FALSE</v>
      </c>
      <c r="AI2276" s="661" t="str">
        <f t="shared" si="250"/>
        <v>II</v>
      </c>
      <c r="AJ2276" s="662" t="str">
        <f t="shared" si="244"/>
        <v>F150-108</v>
      </c>
      <c r="AK2276" s="662" t="str">
        <f t="shared" si="245"/>
        <v>LTK</v>
      </c>
      <c r="AL2276" s="662" t="str">
        <f t="shared" si="246"/>
        <v>FRD</v>
      </c>
      <c r="AM2276" s="662" t="str">
        <f t="shared" si="249"/>
        <v>F150-Super Crew XL-2WD-6-6'5"-10700-3.5L EcoBoost-6-W1C-100A-156.8-23-Unleaded-Unleaded</v>
      </c>
      <c r="AN2276" s="662" t="str">
        <f t="shared" si="247"/>
        <v>2019-LTK-FRD-F150-108</v>
      </c>
    </row>
    <row r="2277" spans="1:40" s="572" customFormat="1" ht="15">
      <c r="A2277" s="570" t="s">
        <v>4159</v>
      </c>
      <c r="B2277" s="573" t="s">
        <v>4151</v>
      </c>
      <c r="C2277" s="573" t="s">
        <v>278</v>
      </c>
      <c r="D2277" s="578">
        <v>15</v>
      </c>
      <c r="E2277" s="573" t="s">
        <v>3374</v>
      </c>
      <c r="F2277" s="573" t="s">
        <v>152</v>
      </c>
      <c r="G2277" s="573" t="s">
        <v>271</v>
      </c>
      <c r="H2277" s="573">
        <v>2019</v>
      </c>
      <c r="I2277" s="573" t="s">
        <v>3765</v>
      </c>
      <c r="J2277" s="573" t="s">
        <v>4140</v>
      </c>
      <c r="K2277" s="573" t="s">
        <v>3377</v>
      </c>
      <c r="L2277" s="573">
        <v>6</v>
      </c>
      <c r="M2277" s="573">
        <v>0</v>
      </c>
      <c r="N2277" s="573" t="s">
        <v>157</v>
      </c>
      <c r="O2277" s="573">
        <v>2</v>
      </c>
      <c r="P2277" s="573" t="s">
        <v>3781</v>
      </c>
      <c r="Q2277" s="571">
        <v>7600</v>
      </c>
      <c r="R2277" s="573" t="s">
        <v>3841</v>
      </c>
      <c r="S2277" s="573">
        <v>6</v>
      </c>
      <c r="T2277" s="573" t="s">
        <v>4141</v>
      </c>
      <c r="U2277" s="573" t="s">
        <v>276</v>
      </c>
      <c r="V2277" s="573">
        <v>156.80000000000001</v>
      </c>
      <c r="W2277" s="573">
        <v>23</v>
      </c>
      <c r="X2277" s="571">
        <v>6350</v>
      </c>
      <c r="Y2277" s="573">
        <v>22</v>
      </c>
      <c r="Z2277" s="579" t="s">
        <v>178</v>
      </c>
      <c r="AA2277" s="579" t="s">
        <v>178</v>
      </c>
      <c r="AB2277" s="584">
        <v>37495</v>
      </c>
      <c r="AC2277" s="584" t="s">
        <v>164</v>
      </c>
      <c r="AD2277" s="584">
        <v>26500</v>
      </c>
      <c r="AE2277" s="586">
        <v>0.01</v>
      </c>
      <c r="AF2277" s="661" t="str">
        <f t="shared" si="248"/>
        <v>2019-LTK-FRD-F150-109-15</v>
      </c>
      <c r="AG2277" s="661" t="str">
        <f>IF(AND($Y2277&gt;=32,(AI2277="I"),(Y2277&lt;&gt;"~"),(COUNTIF($AN$1:$AN2277,$AN2277)=1)),"TRUE","FALSE")</f>
        <v>FALSE</v>
      </c>
      <c r="AH2277" s="661" t="str">
        <f>IF(AND($Y2277&gt;=22, (AI2277&lt;&gt;"I"),(Y2277&lt;&gt;"~"),(COUNTIF($AN$1:$AN2277,$AN2277)=1)),"TRUE","FALSE")</f>
        <v>FALSE</v>
      </c>
      <c r="AI2277" s="661" t="str">
        <f t="shared" si="250"/>
        <v>II</v>
      </c>
      <c r="AJ2277" s="662" t="str">
        <f t="shared" si="244"/>
        <v>F150-109</v>
      </c>
      <c r="AK2277" s="662" t="str">
        <f t="shared" si="245"/>
        <v>LTK</v>
      </c>
      <c r="AL2277" s="662" t="str">
        <f t="shared" si="246"/>
        <v>FRD</v>
      </c>
      <c r="AM2277" s="662" t="str">
        <f t="shared" si="249"/>
        <v>F150-Super Crew XL-2WD-6-6'5"-7600-2.7L EcoBoost-6-W1C-100A-156.8-23-Unleaded-Unleaded</v>
      </c>
      <c r="AN2277" s="662" t="str">
        <f t="shared" si="247"/>
        <v>2019-LTK-FRD-F150-109</v>
      </c>
    </row>
    <row r="2278" spans="1:40" s="572" customFormat="1" ht="15">
      <c r="A2278" s="570" t="s">
        <v>4160</v>
      </c>
      <c r="B2278" s="569" t="s">
        <v>4153</v>
      </c>
      <c r="C2278" s="569" t="s">
        <v>278</v>
      </c>
      <c r="D2278" s="580">
        <v>15</v>
      </c>
      <c r="E2278" s="569" t="s">
        <v>3374</v>
      </c>
      <c r="F2278" s="569" t="s">
        <v>152</v>
      </c>
      <c r="G2278" s="569" t="s">
        <v>271</v>
      </c>
      <c r="H2278" s="569">
        <v>2019</v>
      </c>
      <c r="I2278" s="569" t="s">
        <v>3765</v>
      </c>
      <c r="J2278" s="569" t="s">
        <v>4140</v>
      </c>
      <c r="K2278" s="569" t="s">
        <v>3377</v>
      </c>
      <c r="L2278" s="569">
        <v>6</v>
      </c>
      <c r="M2278" s="569">
        <v>0</v>
      </c>
      <c r="N2278" s="569" t="s">
        <v>157</v>
      </c>
      <c r="O2278" s="569">
        <v>2</v>
      </c>
      <c r="P2278" s="569" t="s">
        <v>3781</v>
      </c>
      <c r="Q2278" s="568">
        <v>9100</v>
      </c>
      <c r="R2278" s="569" t="s">
        <v>3778</v>
      </c>
      <c r="S2278" s="569">
        <v>8</v>
      </c>
      <c r="T2278" s="569" t="s">
        <v>4141</v>
      </c>
      <c r="U2278" s="569" t="s">
        <v>276</v>
      </c>
      <c r="V2278" s="569">
        <v>156.80000000000001</v>
      </c>
      <c r="W2278" s="569">
        <v>23</v>
      </c>
      <c r="X2278" s="568">
        <v>6950</v>
      </c>
      <c r="Y2278" s="569">
        <v>18</v>
      </c>
      <c r="Z2278" s="581" t="s">
        <v>450</v>
      </c>
      <c r="AA2278" s="581" t="s">
        <v>178</v>
      </c>
      <c r="AB2278" s="585">
        <v>38495</v>
      </c>
      <c r="AC2278" s="585" t="s">
        <v>164</v>
      </c>
      <c r="AD2278" s="585">
        <v>27400</v>
      </c>
      <c r="AE2278" s="587">
        <v>0.01</v>
      </c>
      <c r="AF2278" s="661" t="str">
        <f t="shared" si="248"/>
        <v>2019-LTK-FRD-F150-111-15</v>
      </c>
      <c r="AG2278" s="661" t="str">
        <f>IF(AND($Y2278&gt;=32,(AI2278="I"),(Y2278&lt;&gt;"~"),(COUNTIF($AN$1:$AN2278,$AN2278)=1)),"TRUE","FALSE")</f>
        <v>FALSE</v>
      </c>
      <c r="AH2278" s="661" t="str">
        <f>IF(AND($Y2278&gt;=22, (AI2278&lt;&gt;"I"),(Y2278&lt;&gt;"~"),(COUNTIF($AN$1:$AN2278,$AN2278)=1)),"TRUE","FALSE")</f>
        <v>FALSE</v>
      </c>
      <c r="AI2278" s="661" t="str">
        <f t="shared" si="250"/>
        <v>II</v>
      </c>
      <c r="AJ2278" s="662" t="str">
        <f t="shared" si="244"/>
        <v>F150-111</v>
      </c>
      <c r="AK2278" s="662" t="str">
        <f t="shared" si="245"/>
        <v>LTK</v>
      </c>
      <c r="AL2278" s="662" t="str">
        <f t="shared" si="246"/>
        <v>FRD</v>
      </c>
      <c r="AM2278" s="662" t="str">
        <f t="shared" si="249"/>
        <v>F150-Super Crew XL-2WD-6-6'5"-9100-5.0L FFV-8-W1C-100A-156.8-23-E85-Unleaded</v>
      </c>
      <c r="AN2278" s="662" t="str">
        <f t="shared" si="247"/>
        <v>2019-LTK-FRD-F150-111</v>
      </c>
    </row>
    <row r="2279" spans="1:40" s="572" customFormat="1" ht="15">
      <c r="A2279" s="570" t="s">
        <v>4161</v>
      </c>
      <c r="B2279" s="573" t="s">
        <v>4139</v>
      </c>
      <c r="C2279" s="573" t="s">
        <v>287</v>
      </c>
      <c r="D2279" s="578">
        <v>26</v>
      </c>
      <c r="E2279" s="573" t="s">
        <v>3374</v>
      </c>
      <c r="F2279" s="573" t="s">
        <v>152</v>
      </c>
      <c r="G2279" s="573" t="s">
        <v>271</v>
      </c>
      <c r="H2279" s="573">
        <v>2019</v>
      </c>
      <c r="I2279" s="573" t="s">
        <v>3765</v>
      </c>
      <c r="J2279" s="573" t="s">
        <v>4140</v>
      </c>
      <c r="K2279" s="573" t="s">
        <v>3377</v>
      </c>
      <c r="L2279" s="573">
        <v>6</v>
      </c>
      <c r="M2279" s="573">
        <v>0</v>
      </c>
      <c r="N2279" s="573" t="s">
        <v>157</v>
      </c>
      <c r="O2279" s="573">
        <v>2</v>
      </c>
      <c r="P2279" s="573" t="s">
        <v>3767</v>
      </c>
      <c r="Q2279" s="571">
        <v>10700</v>
      </c>
      <c r="R2279" s="573" t="s">
        <v>1259</v>
      </c>
      <c r="S2279" s="573">
        <v>6</v>
      </c>
      <c r="T2279" s="573" t="s">
        <v>4141</v>
      </c>
      <c r="U2279" s="573" t="s">
        <v>276</v>
      </c>
      <c r="V2279" s="573">
        <v>145</v>
      </c>
      <c r="W2279" s="573">
        <v>23</v>
      </c>
      <c r="X2279" s="571">
        <v>6800</v>
      </c>
      <c r="Y2279" s="573">
        <v>20</v>
      </c>
      <c r="Z2279" s="579" t="s">
        <v>178</v>
      </c>
      <c r="AA2279" s="579" t="s">
        <v>178</v>
      </c>
      <c r="AB2279" s="584">
        <v>38785</v>
      </c>
      <c r="AC2279" s="584" t="s">
        <v>164</v>
      </c>
      <c r="AD2279" s="584">
        <v>28020</v>
      </c>
      <c r="AE2279" s="586">
        <v>0.05</v>
      </c>
      <c r="AF2279" s="661" t="str">
        <f t="shared" si="248"/>
        <v>2019-LTK-FRD-F150-103-26</v>
      </c>
      <c r="AG2279" s="661" t="str">
        <f>IF(AND($Y2279&gt;=32,(AI2279="I"),(Y2279&lt;&gt;"~"),(COUNTIF($AN$1:$AN2279,$AN2279)=1)),"TRUE","FALSE")</f>
        <v>FALSE</v>
      </c>
      <c r="AH2279" s="661" t="str">
        <f>IF(AND($Y2279&gt;=22, (AI2279&lt;&gt;"I"),(Y2279&lt;&gt;"~"),(COUNTIF($AN$1:$AN2279,$AN2279)=1)),"TRUE","FALSE")</f>
        <v>FALSE</v>
      </c>
      <c r="AI2279" s="661" t="str">
        <f t="shared" si="250"/>
        <v>II</v>
      </c>
      <c r="AJ2279" s="662" t="str">
        <f t="shared" si="244"/>
        <v>F150-103</v>
      </c>
      <c r="AK2279" s="662" t="str">
        <f t="shared" si="245"/>
        <v>LTK</v>
      </c>
      <c r="AL2279" s="662" t="str">
        <f t="shared" si="246"/>
        <v>FRD</v>
      </c>
      <c r="AM2279" s="662" t="str">
        <f t="shared" si="249"/>
        <v>F150-Super Crew XL-2WD-6-5'5"-10700-3.5L EcoBoost-6-W1C-100A-145-23-Unleaded-Unleaded</v>
      </c>
      <c r="AN2279" s="662" t="str">
        <f t="shared" si="247"/>
        <v>2019-LTK-FRD-F150-103</v>
      </c>
    </row>
    <row r="2280" spans="1:40" s="572" customFormat="1" ht="15">
      <c r="A2280" s="570" t="s">
        <v>4162</v>
      </c>
      <c r="B2280" s="569" t="s">
        <v>4145</v>
      </c>
      <c r="C2280" s="569" t="s">
        <v>287</v>
      </c>
      <c r="D2280" s="580">
        <v>26</v>
      </c>
      <c r="E2280" s="569" t="s">
        <v>3374</v>
      </c>
      <c r="F2280" s="569" t="s">
        <v>152</v>
      </c>
      <c r="G2280" s="569" t="s">
        <v>271</v>
      </c>
      <c r="H2280" s="569">
        <v>2019</v>
      </c>
      <c r="I2280" s="569" t="s">
        <v>3765</v>
      </c>
      <c r="J2280" s="569" t="s">
        <v>4140</v>
      </c>
      <c r="K2280" s="569" t="s">
        <v>3377</v>
      </c>
      <c r="L2280" s="569">
        <v>6</v>
      </c>
      <c r="M2280" s="569">
        <v>0</v>
      </c>
      <c r="N2280" s="569" t="s">
        <v>157</v>
      </c>
      <c r="O2280" s="569">
        <v>2</v>
      </c>
      <c r="P2280" s="569" t="s">
        <v>3767</v>
      </c>
      <c r="Q2280" s="568">
        <v>7600</v>
      </c>
      <c r="R2280" s="569" t="s">
        <v>3841</v>
      </c>
      <c r="S2280" s="569">
        <v>6</v>
      </c>
      <c r="T2280" s="569" t="s">
        <v>4141</v>
      </c>
      <c r="U2280" s="569" t="s">
        <v>276</v>
      </c>
      <c r="V2280" s="569">
        <v>145</v>
      </c>
      <c r="W2280" s="569">
        <v>23</v>
      </c>
      <c r="X2280" s="568">
        <v>6250</v>
      </c>
      <c r="Y2280" s="569">
        <v>22</v>
      </c>
      <c r="Z2280" s="581" t="s">
        <v>178</v>
      </c>
      <c r="AA2280" s="581" t="s">
        <v>178</v>
      </c>
      <c r="AB2280" s="585">
        <v>37185</v>
      </c>
      <c r="AC2280" s="585" t="s">
        <v>164</v>
      </c>
      <c r="AD2280" s="585">
        <v>26564</v>
      </c>
      <c r="AE2280" s="587">
        <v>0.05</v>
      </c>
      <c r="AF2280" s="661" t="str">
        <f t="shared" si="248"/>
        <v>2019-LTK-FRD-F150-105-26</v>
      </c>
      <c r="AG2280" s="661" t="str">
        <f>IF(AND($Y2280&gt;=32,(AI2280="I"),(Y2280&lt;&gt;"~"),(COUNTIF($AN$1:$AN2280,$AN2280)=1)),"TRUE","FALSE")</f>
        <v>FALSE</v>
      </c>
      <c r="AH2280" s="661" t="str">
        <f>IF(AND($Y2280&gt;=22, (AI2280&lt;&gt;"I"),(Y2280&lt;&gt;"~"),(COUNTIF($AN$1:$AN2280,$AN2280)=1)),"TRUE","FALSE")</f>
        <v>FALSE</v>
      </c>
      <c r="AI2280" s="661" t="str">
        <f t="shared" si="250"/>
        <v>II</v>
      </c>
      <c r="AJ2280" s="662" t="str">
        <f t="shared" si="244"/>
        <v>F150-105</v>
      </c>
      <c r="AK2280" s="662" t="str">
        <f t="shared" si="245"/>
        <v>LTK</v>
      </c>
      <c r="AL2280" s="662" t="str">
        <f t="shared" si="246"/>
        <v>FRD</v>
      </c>
      <c r="AM2280" s="662" t="str">
        <f t="shared" si="249"/>
        <v>F150-Super Crew XL-2WD-6-5'5"-7600-2.7L EcoBoost-6-W1C-100A-145-23-Unleaded-Unleaded</v>
      </c>
      <c r="AN2280" s="662" t="str">
        <f t="shared" si="247"/>
        <v>2019-LTK-FRD-F150-105</v>
      </c>
    </row>
    <row r="2281" spans="1:40" s="572" customFormat="1" ht="15">
      <c r="A2281" s="570" t="s">
        <v>4163</v>
      </c>
      <c r="B2281" s="573" t="s">
        <v>4164</v>
      </c>
      <c r="C2281" s="573" t="s">
        <v>287</v>
      </c>
      <c r="D2281" s="578">
        <v>26</v>
      </c>
      <c r="E2281" s="573" t="s">
        <v>3374</v>
      </c>
      <c r="F2281" s="573" t="s">
        <v>152</v>
      </c>
      <c r="G2281" s="573" t="s">
        <v>271</v>
      </c>
      <c r="H2281" s="573">
        <v>2019</v>
      </c>
      <c r="I2281" s="573" t="s">
        <v>3765</v>
      </c>
      <c r="J2281" s="573" t="s">
        <v>4140</v>
      </c>
      <c r="K2281" s="573" t="s">
        <v>3377</v>
      </c>
      <c r="L2281" s="573" t="s">
        <v>4165</v>
      </c>
      <c r="M2281" s="573">
        <v>0</v>
      </c>
      <c r="N2281" s="573" t="s">
        <v>157</v>
      </c>
      <c r="O2281" s="573">
        <v>2</v>
      </c>
      <c r="P2281" s="573" t="s">
        <v>3767</v>
      </c>
      <c r="Q2281" s="571">
        <v>7700</v>
      </c>
      <c r="R2281" s="573" t="s">
        <v>1322</v>
      </c>
      <c r="S2281" s="573">
        <v>6</v>
      </c>
      <c r="T2281" s="573" t="s">
        <v>4141</v>
      </c>
      <c r="U2281" s="573" t="s">
        <v>276</v>
      </c>
      <c r="V2281" s="573">
        <v>145</v>
      </c>
      <c r="W2281" s="573">
        <v>23</v>
      </c>
      <c r="X2281" s="571">
        <v>6100</v>
      </c>
      <c r="Y2281" s="573">
        <v>20</v>
      </c>
      <c r="Z2281" s="579" t="s">
        <v>178</v>
      </c>
      <c r="AA2281" s="579" t="s">
        <v>178</v>
      </c>
      <c r="AB2281" s="584">
        <v>36190</v>
      </c>
      <c r="AC2281" s="584" t="s">
        <v>164</v>
      </c>
      <c r="AD2281" s="584">
        <v>25658</v>
      </c>
      <c r="AE2281" s="586">
        <v>0.05</v>
      </c>
      <c r="AF2281" s="661" t="str">
        <f t="shared" si="248"/>
        <v>2019-LTK-FRD-F150-106-26</v>
      </c>
      <c r="AG2281" s="661" t="str">
        <f>IF(AND($Y2281&gt;=32,(AI2281="I"),(Y2281&lt;&gt;"~"),(COUNTIF($AN$1:$AN2281,$AN2281)=1)),"TRUE","FALSE")</f>
        <v>FALSE</v>
      </c>
      <c r="AH2281" s="661" t="str">
        <f>IF(AND($Y2281&gt;=22, (AI2281&lt;&gt;"I"),(Y2281&lt;&gt;"~"),(COUNTIF($AN$1:$AN2281,$AN2281)=1)),"TRUE","FALSE")</f>
        <v>FALSE</v>
      </c>
      <c r="AI2281" s="661" t="str">
        <f t="shared" si="250"/>
        <v>II</v>
      </c>
      <c r="AJ2281" s="662" t="str">
        <f t="shared" si="244"/>
        <v>F150-106</v>
      </c>
      <c r="AK2281" s="662" t="str">
        <f t="shared" si="245"/>
        <v>LTK</v>
      </c>
      <c r="AL2281" s="662" t="str">
        <f t="shared" si="246"/>
        <v>FRD</v>
      </c>
      <c r="AM2281" s="662" t="str">
        <f t="shared" si="249"/>
        <v>F150-Super Crew XL-2WD-6-5'5"-7700-3.3L-6-W1C-100A-145-23-Unleaded-Unleaded</v>
      </c>
      <c r="AN2281" s="662" t="str">
        <f t="shared" si="247"/>
        <v>2019-LTK-FRD-F150-106</v>
      </c>
    </row>
    <row r="2282" spans="1:40" s="572" customFormat="1" ht="15">
      <c r="A2282" s="570" t="s">
        <v>4166</v>
      </c>
      <c r="B2282" s="569" t="s">
        <v>4147</v>
      </c>
      <c r="C2282" s="569" t="s">
        <v>287</v>
      </c>
      <c r="D2282" s="580">
        <v>26</v>
      </c>
      <c r="E2282" s="569" t="s">
        <v>3374</v>
      </c>
      <c r="F2282" s="569" t="s">
        <v>152</v>
      </c>
      <c r="G2282" s="569" t="s">
        <v>271</v>
      </c>
      <c r="H2282" s="569">
        <v>2019</v>
      </c>
      <c r="I2282" s="569" t="s">
        <v>3765</v>
      </c>
      <c r="J2282" s="569" t="s">
        <v>4140</v>
      </c>
      <c r="K2282" s="569" t="s">
        <v>3377</v>
      </c>
      <c r="L2282" s="569">
        <v>6</v>
      </c>
      <c r="M2282" s="569">
        <v>0</v>
      </c>
      <c r="N2282" s="569" t="s">
        <v>157</v>
      </c>
      <c r="O2282" s="569">
        <v>2</v>
      </c>
      <c r="P2282" s="569" t="s">
        <v>3767</v>
      </c>
      <c r="Q2282" s="568">
        <v>9100</v>
      </c>
      <c r="R2282" s="569" t="s">
        <v>3778</v>
      </c>
      <c r="S2282" s="569">
        <v>8</v>
      </c>
      <c r="T2282" s="569" t="s">
        <v>4141</v>
      </c>
      <c r="U2282" s="569" t="s">
        <v>276</v>
      </c>
      <c r="V2282" s="569">
        <v>145</v>
      </c>
      <c r="W2282" s="569">
        <v>23</v>
      </c>
      <c r="X2282" s="568">
        <v>6800</v>
      </c>
      <c r="Y2282" s="569">
        <v>18</v>
      </c>
      <c r="Z2282" s="581" t="s">
        <v>450</v>
      </c>
      <c r="AA2282" s="581" t="s">
        <v>178</v>
      </c>
      <c r="AB2282" s="585">
        <v>38185</v>
      </c>
      <c r="AC2282" s="585" t="s">
        <v>164</v>
      </c>
      <c r="AD2282" s="585">
        <v>27474</v>
      </c>
      <c r="AE2282" s="587">
        <v>0.05</v>
      </c>
      <c r="AF2282" s="661" t="str">
        <f t="shared" si="248"/>
        <v>2019-LTK-FRD-F150-107-26</v>
      </c>
      <c r="AG2282" s="661" t="str">
        <f>IF(AND($Y2282&gt;=32,(AI2282="I"),(Y2282&lt;&gt;"~"),(COUNTIF($AN$1:$AN2282,$AN2282)=1)),"TRUE","FALSE")</f>
        <v>FALSE</v>
      </c>
      <c r="AH2282" s="661" t="str">
        <f>IF(AND($Y2282&gt;=22, (AI2282&lt;&gt;"I"),(Y2282&lt;&gt;"~"),(COUNTIF($AN$1:$AN2282,$AN2282)=1)),"TRUE","FALSE")</f>
        <v>FALSE</v>
      </c>
      <c r="AI2282" s="661" t="str">
        <f t="shared" si="250"/>
        <v>II</v>
      </c>
      <c r="AJ2282" s="662" t="str">
        <f t="shared" si="244"/>
        <v>F150-107</v>
      </c>
      <c r="AK2282" s="662" t="str">
        <f t="shared" si="245"/>
        <v>LTK</v>
      </c>
      <c r="AL2282" s="662" t="str">
        <f t="shared" si="246"/>
        <v>FRD</v>
      </c>
      <c r="AM2282" s="662" t="str">
        <f t="shared" si="249"/>
        <v>F150-Super Crew XL-2WD-6-5'5"-9100-5.0L FFV-8-W1C-100A-145-23-E85-Unleaded</v>
      </c>
      <c r="AN2282" s="662" t="str">
        <f t="shared" si="247"/>
        <v>2019-LTK-FRD-F150-107</v>
      </c>
    </row>
    <row r="2283" spans="1:40" s="572" customFormat="1" ht="15">
      <c r="A2283" s="570" t="s">
        <v>4167</v>
      </c>
      <c r="B2283" s="573" t="s">
        <v>4149</v>
      </c>
      <c r="C2283" s="573" t="s">
        <v>287</v>
      </c>
      <c r="D2283" s="578">
        <v>26</v>
      </c>
      <c r="E2283" s="573" t="s">
        <v>3374</v>
      </c>
      <c r="F2283" s="573" t="s">
        <v>152</v>
      </c>
      <c r="G2283" s="573" t="s">
        <v>271</v>
      </c>
      <c r="H2283" s="573">
        <v>2019</v>
      </c>
      <c r="I2283" s="573" t="s">
        <v>3765</v>
      </c>
      <c r="J2283" s="573" t="s">
        <v>4140</v>
      </c>
      <c r="K2283" s="573" t="s">
        <v>3377</v>
      </c>
      <c r="L2283" s="573">
        <v>6</v>
      </c>
      <c r="M2283" s="573">
        <v>0</v>
      </c>
      <c r="N2283" s="573" t="s">
        <v>157</v>
      </c>
      <c r="O2283" s="573">
        <v>2</v>
      </c>
      <c r="P2283" s="573" t="s">
        <v>3781</v>
      </c>
      <c r="Q2283" s="571">
        <v>10700</v>
      </c>
      <c r="R2283" s="573" t="s">
        <v>1259</v>
      </c>
      <c r="S2283" s="573">
        <v>6</v>
      </c>
      <c r="T2283" s="573" t="s">
        <v>4141</v>
      </c>
      <c r="U2283" s="573" t="s">
        <v>276</v>
      </c>
      <c r="V2283" s="573">
        <v>156.80000000000001</v>
      </c>
      <c r="W2283" s="573">
        <v>23</v>
      </c>
      <c r="X2283" s="571">
        <v>7000</v>
      </c>
      <c r="Y2283" s="573">
        <v>20</v>
      </c>
      <c r="Z2283" s="579" t="s">
        <v>178</v>
      </c>
      <c r="AA2283" s="579" t="s">
        <v>178</v>
      </c>
      <c r="AB2283" s="584">
        <v>39095</v>
      </c>
      <c r="AC2283" s="584" t="s">
        <v>164</v>
      </c>
      <c r="AD2283" s="584">
        <v>28346</v>
      </c>
      <c r="AE2283" s="586">
        <v>0.05</v>
      </c>
      <c r="AF2283" s="661" t="str">
        <f t="shared" si="248"/>
        <v>2019-LTK-FRD-F150-108-26</v>
      </c>
      <c r="AG2283" s="661" t="str">
        <f>IF(AND($Y2283&gt;=32,(AI2283="I"),(Y2283&lt;&gt;"~"),(COUNTIF($AN$1:$AN2283,$AN2283)=1)),"TRUE","FALSE")</f>
        <v>FALSE</v>
      </c>
      <c r="AH2283" s="661" t="str">
        <f>IF(AND($Y2283&gt;=22, (AI2283&lt;&gt;"I"),(Y2283&lt;&gt;"~"),(COUNTIF($AN$1:$AN2283,$AN2283)=1)),"TRUE","FALSE")</f>
        <v>FALSE</v>
      </c>
      <c r="AI2283" s="661" t="str">
        <f t="shared" si="250"/>
        <v>II</v>
      </c>
      <c r="AJ2283" s="662" t="str">
        <f t="shared" si="244"/>
        <v>F150-108</v>
      </c>
      <c r="AK2283" s="662" t="str">
        <f t="shared" si="245"/>
        <v>LTK</v>
      </c>
      <c r="AL2283" s="662" t="str">
        <f t="shared" si="246"/>
        <v>FRD</v>
      </c>
      <c r="AM2283" s="662" t="str">
        <f t="shared" si="249"/>
        <v>F150-Super Crew XL-2WD-6-6'5"-10700-3.5L EcoBoost-6-W1C-100A-156.8-23-Unleaded-Unleaded</v>
      </c>
      <c r="AN2283" s="662" t="str">
        <f t="shared" si="247"/>
        <v>2019-LTK-FRD-F150-108</v>
      </c>
    </row>
    <row r="2284" spans="1:40" s="572" customFormat="1" ht="15">
      <c r="A2284" s="570" t="s">
        <v>4168</v>
      </c>
      <c r="B2284" s="569" t="s">
        <v>4151</v>
      </c>
      <c r="C2284" s="569" t="s">
        <v>287</v>
      </c>
      <c r="D2284" s="580">
        <v>26</v>
      </c>
      <c r="E2284" s="569" t="s">
        <v>3374</v>
      </c>
      <c r="F2284" s="569" t="s">
        <v>152</v>
      </c>
      <c r="G2284" s="569" t="s">
        <v>271</v>
      </c>
      <c r="H2284" s="569">
        <v>2019</v>
      </c>
      <c r="I2284" s="569" t="s">
        <v>3765</v>
      </c>
      <c r="J2284" s="569" t="s">
        <v>4140</v>
      </c>
      <c r="K2284" s="569" t="s">
        <v>3377</v>
      </c>
      <c r="L2284" s="569">
        <v>6</v>
      </c>
      <c r="M2284" s="569">
        <v>0</v>
      </c>
      <c r="N2284" s="569" t="s">
        <v>157</v>
      </c>
      <c r="O2284" s="569">
        <v>2</v>
      </c>
      <c r="P2284" s="569" t="s">
        <v>3781</v>
      </c>
      <c r="Q2284" s="568">
        <v>7600</v>
      </c>
      <c r="R2284" s="569" t="s">
        <v>3841</v>
      </c>
      <c r="S2284" s="569">
        <v>6</v>
      </c>
      <c r="T2284" s="569" t="s">
        <v>4141</v>
      </c>
      <c r="U2284" s="569" t="s">
        <v>276</v>
      </c>
      <c r="V2284" s="569">
        <v>156.80000000000001</v>
      </c>
      <c r="W2284" s="569">
        <v>23</v>
      </c>
      <c r="X2284" s="568">
        <v>6350</v>
      </c>
      <c r="Y2284" s="569">
        <v>22</v>
      </c>
      <c r="Z2284" s="581" t="s">
        <v>178</v>
      </c>
      <c r="AA2284" s="581" t="s">
        <v>178</v>
      </c>
      <c r="AB2284" s="585">
        <v>37495</v>
      </c>
      <c r="AC2284" s="585" t="s">
        <v>164</v>
      </c>
      <c r="AD2284" s="585">
        <v>26889</v>
      </c>
      <c r="AE2284" s="587">
        <v>0.05</v>
      </c>
      <c r="AF2284" s="661" t="str">
        <f t="shared" si="248"/>
        <v>2019-LTK-FRD-F150-109-26</v>
      </c>
      <c r="AG2284" s="661" t="str">
        <f>IF(AND($Y2284&gt;=32,(AI2284="I"),(Y2284&lt;&gt;"~"),(COUNTIF($AN$1:$AN2284,$AN2284)=1)),"TRUE","FALSE")</f>
        <v>FALSE</v>
      </c>
      <c r="AH2284" s="661" t="str">
        <f>IF(AND($Y2284&gt;=22, (AI2284&lt;&gt;"I"),(Y2284&lt;&gt;"~"),(COUNTIF($AN$1:$AN2284,$AN2284)=1)),"TRUE","FALSE")</f>
        <v>FALSE</v>
      </c>
      <c r="AI2284" s="661" t="str">
        <f t="shared" si="250"/>
        <v>II</v>
      </c>
      <c r="AJ2284" s="662" t="str">
        <f t="shared" si="244"/>
        <v>F150-109</v>
      </c>
      <c r="AK2284" s="662" t="str">
        <f t="shared" si="245"/>
        <v>LTK</v>
      </c>
      <c r="AL2284" s="662" t="str">
        <f t="shared" si="246"/>
        <v>FRD</v>
      </c>
      <c r="AM2284" s="662" t="str">
        <f t="shared" si="249"/>
        <v>F150-Super Crew XL-2WD-6-6'5"-7600-2.7L EcoBoost-6-W1C-100A-156.8-23-Unleaded-Unleaded</v>
      </c>
      <c r="AN2284" s="662" t="str">
        <f t="shared" si="247"/>
        <v>2019-LTK-FRD-F150-109</v>
      </c>
    </row>
    <row r="2285" spans="1:40" s="572" customFormat="1" ht="15">
      <c r="A2285" s="570" t="s">
        <v>4169</v>
      </c>
      <c r="B2285" s="573" t="s">
        <v>4153</v>
      </c>
      <c r="C2285" s="573" t="s">
        <v>287</v>
      </c>
      <c r="D2285" s="578">
        <v>26</v>
      </c>
      <c r="E2285" s="573" t="s">
        <v>3374</v>
      </c>
      <c r="F2285" s="573" t="s">
        <v>152</v>
      </c>
      <c r="G2285" s="573" t="s">
        <v>271</v>
      </c>
      <c r="H2285" s="573">
        <v>2019</v>
      </c>
      <c r="I2285" s="573" t="s">
        <v>3765</v>
      </c>
      <c r="J2285" s="573" t="s">
        <v>4140</v>
      </c>
      <c r="K2285" s="573" t="s">
        <v>3377</v>
      </c>
      <c r="L2285" s="573">
        <v>6</v>
      </c>
      <c r="M2285" s="573">
        <v>0</v>
      </c>
      <c r="N2285" s="573" t="s">
        <v>157</v>
      </c>
      <c r="O2285" s="573">
        <v>2</v>
      </c>
      <c r="P2285" s="573" t="s">
        <v>3781</v>
      </c>
      <c r="Q2285" s="571">
        <v>9100</v>
      </c>
      <c r="R2285" s="573" t="s">
        <v>3778</v>
      </c>
      <c r="S2285" s="573">
        <v>8</v>
      </c>
      <c r="T2285" s="573" t="s">
        <v>4141</v>
      </c>
      <c r="U2285" s="573" t="s">
        <v>276</v>
      </c>
      <c r="V2285" s="573">
        <v>156.80000000000001</v>
      </c>
      <c r="W2285" s="573">
        <v>23</v>
      </c>
      <c r="X2285" s="571">
        <v>6950</v>
      </c>
      <c r="Y2285" s="573">
        <v>18</v>
      </c>
      <c r="Z2285" s="579" t="s">
        <v>450</v>
      </c>
      <c r="AA2285" s="579" t="s">
        <v>178</v>
      </c>
      <c r="AB2285" s="584">
        <v>38495</v>
      </c>
      <c r="AC2285" s="584" t="s">
        <v>164</v>
      </c>
      <c r="AD2285" s="584">
        <v>27798</v>
      </c>
      <c r="AE2285" s="586">
        <v>0.05</v>
      </c>
      <c r="AF2285" s="661" t="str">
        <f t="shared" si="248"/>
        <v>2019-LTK-FRD-F150-111-26</v>
      </c>
      <c r="AG2285" s="661" t="str">
        <f>IF(AND($Y2285&gt;=32,(AI2285="I"),(Y2285&lt;&gt;"~"),(COUNTIF($AN$1:$AN2285,$AN2285)=1)),"TRUE","FALSE")</f>
        <v>FALSE</v>
      </c>
      <c r="AH2285" s="661" t="str">
        <f>IF(AND($Y2285&gt;=22, (AI2285&lt;&gt;"I"),(Y2285&lt;&gt;"~"),(COUNTIF($AN$1:$AN2285,$AN2285)=1)),"TRUE","FALSE")</f>
        <v>FALSE</v>
      </c>
      <c r="AI2285" s="661" t="str">
        <f t="shared" si="250"/>
        <v>II</v>
      </c>
      <c r="AJ2285" s="662" t="str">
        <f t="shared" si="244"/>
        <v>F150-111</v>
      </c>
      <c r="AK2285" s="662" t="str">
        <f t="shared" si="245"/>
        <v>LTK</v>
      </c>
      <c r="AL2285" s="662" t="str">
        <f t="shared" si="246"/>
        <v>FRD</v>
      </c>
      <c r="AM2285" s="662" t="str">
        <f t="shared" si="249"/>
        <v>F150-Super Crew XL-2WD-6-6'5"-9100-5.0L FFV-8-W1C-100A-156.8-23-E85-Unleaded</v>
      </c>
      <c r="AN2285" s="662" t="str">
        <f t="shared" si="247"/>
        <v>2019-LTK-FRD-F150-111</v>
      </c>
    </row>
    <row r="2286" spans="1:40" s="572" customFormat="1" ht="15">
      <c r="A2286" s="570" t="s">
        <v>4170</v>
      </c>
      <c r="B2286" s="569" t="s">
        <v>4139</v>
      </c>
      <c r="C2286" s="569" t="s">
        <v>280</v>
      </c>
      <c r="D2286" s="580">
        <v>27</v>
      </c>
      <c r="E2286" s="569" t="s">
        <v>3374</v>
      </c>
      <c r="F2286" s="569" t="s">
        <v>152</v>
      </c>
      <c r="G2286" s="569" t="s">
        <v>271</v>
      </c>
      <c r="H2286" s="569">
        <v>2019</v>
      </c>
      <c r="I2286" s="569" t="s">
        <v>3765</v>
      </c>
      <c r="J2286" s="569" t="s">
        <v>4140</v>
      </c>
      <c r="K2286" s="569" t="s">
        <v>3377</v>
      </c>
      <c r="L2286" s="569">
        <v>6</v>
      </c>
      <c r="M2286" s="569">
        <v>0</v>
      </c>
      <c r="N2286" s="569" t="s">
        <v>157</v>
      </c>
      <c r="O2286" s="569">
        <v>2</v>
      </c>
      <c r="P2286" s="569" t="s">
        <v>3767</v>
      </c>
      <c r="Q2286" s="568">
        <v>10700</v>
      </c>
      <c r="R2286" s="569" t="s">
        <v>1259</v>
      </c>
      <c r="S2286" s="569">
        <v>6</v>
      </c>
      <c r="T2286" s="569" t="s">
        <v>4141</v>
      </c>
      <c r="U2286" s="569" t="s">
        <v>276</v>
      </c>
      <c r="V2286" s="569">
        <v>145</v>
      </c>
      <c r="W2286" s="569">
        <v>23</v>
      </c>
      <c r="X2286" s="568">
        <v>6800</v>
      </c>
      <c r="Y2286" s="569">
        <v>21</v>
      </c>
      <c r="Z2286" s="581" t="s">
        <v>178</v>
      </c>
      <c r="AA2286" s="581" t="s">
        <v>178</v>
      </c>
      <c r="AB2286" s="585">
        <v>38785</v>
      </c>
      <c r="AC2286" s="585" t="s">
        <v>164</v>
      </c>
      <c r="AD2286" s="585">
        <v>27519.663157894738</v>
      </c>
      <c r="AE2286" s="587">
        <v>0.03</v>
      </c>
      <c r="AF2286" s="661" t="str">
        <f t="shared" si="248"/>
        <v>2019-LTK-FRD-F150-103-27</v>
      </c>
      <c r="AG2286" s="661" t="str">
        <f>IF(AND($Y2286&gt;=32,(AI2286="I"),(Y2286&lt;&gt;"~"),(COUNTIF($AN$1:$AN2286,$AN2286)=1)),"TRUE","FALSE")</f>
        <v>FALSE</v>
      </c>
      <c r="AH2286" s="661" t="str">
        <f>IF(AND($Y2286&gt;=22, (AI2286&lt;&gt;"I"),(Y2286&lt;&gt;"~"),(COUNTIF($AN$1:$AN2286,$AN2286)=1)),"TRUE","FALSE")</f>
        <v>FALSE</v>
      </c>
      <c r="AI2286" s="661" t="str">
        <f t="shared" si="250"/>
        <v>II</v>
      </c>
      <c r="AJ2286" s="662" t="str">
        <f t="shared" si="244"/>
        <v>F150-103</v>
      </c>
      <c r="AK2286" s="662" t="str">
        <f t="shared" si="245"/>
        <v>LTK</v>
      </c>
      <c r="AL2286" s="662" t="str">
        <f t="shared" si="246"/>
        <v>FRD</v>
      </c>
      <c r="AM2286" s="662" t="str">
        <f t="shared" si="249"/>
        <v>F150-Super Crew XL-2WD-6-5'5"-10700-3.5L EcoBoost-6-W1C-100A-145-23-Unleaded-Unleaded</v>
      </c>
      <c r="AN2286" s="662" t="str">
        <f t="shared" si="247"/>
        <v>2019-LTK-FRD-F150-103</v>
      </c>
    </row>
    <row r="2287" spans="1:40" s="572" customFormat="1" ht="15">
      <c r="A2287" s="570" t="s">
        <v>4171</v>
      </c>
      <c r="B2287" s="573" t="s">
        <v>4143</v>
      </c>
      <c r="C2287" s="573" t="s">
        <v>280</v>
      </c>
      <c r="D2287" s="578">
        <v>27</v>
      </c>
      <c r="E2287" s="573" t="s">
        <v>3374</v>
      </c>
      <c r="F2287" s="573" t="s">
        <v>152</v>
      </c>
      <c r="G2287" s="573" t="s">
        <v>271</v>
      </c>
      <c r="H2287" s="573">
        <v>2019</v>
      </c>
      <c r="I2287" s="573" t="s">
        <v>3765</v>
      </c>
      <c r="J2287" s="573" t="s">
        <v>4140</v>
      </c>
      <c r="K2287" s="573" t="s">
        <v>3377</v>
      </c>
      <c r="L2287" s="573">
        <v>6</v>
      </c>
      <c r="M2287" s="573">
        <v>0</v>
      </c>
      <c r="N2287" s="573" t="s">
        <v>157</v>
      </c>
      <c r="O2287" s="573">
        <v>2</v>
      </c>
      <c r="P2287" s="573" t="s">
        <v>3767</v>
      </c>
      <c r="Q2287" s="571">
        <v>7300</v>
      </c>
      <c r="R2287" s="573" t="s">
        <v>3772</v>
      </c>
      <c r="S2287" s="573">
        <v>6</v>
      </c>
      <c r="T2287" s="573" t="s">
        <v>4141</v>
      </c>
      <c r="U2287" s="573" t="s">
        <v>276</v>
      </c>
      <c r="V2287" s="573">
        <v>145</v>
      </c>
      <c r="W2287" s="573">
        <v>23</v>
      </c>
      <c r="X2287" s="571">
        <v>6150</v>
      </c>
      <c r="Y2287" s="573">
        <v>22</v>
      </c>
      <c r="Z2287" s="579" t="s">
        <v>450</v>
      </c>
      <c r="AA2287" s="579" t="s">
        <v>178</v>
      </c>
      <c r="AB2287" s="584">
        <v>36190</v>
      </c>
      <c r="AC2287" s="584" t="s">
        <v>164</v>
      </c>
      <c r="AD2287" s="584">
        <v>25190.189473684211</v>
      </c>
      <c r="AE2287" s="586">
        <v>0.03</v>
      </c>
      <c r="AF2287" s="661" t="str">
        <f t="shared" si="248"/>
        <v>2019-LTK-FRD-F150-104-27</v>
      </c>
      <c r="AG2287" s="661" t="str">
        <f>IF(AND($Y2287&gt;=32,(AI2287="I"),(Y2287&lt;&gt;"~"),(COUNTIF($AN$1:$AN2287,$AN2287)=1)),"TRUE","FALSE")</f>
        <v>FALSE</v>
      </c>
      <c r="AH2287" s="661" t="str">
        <f>IF(AND($Y2287&gt;=22, (AI2287&lt;&gt;"I"),(Y2287&lt;&gt;"~"),(COUNTIF($AN$1:$AN2287,$AN2287)=1)),"TRUE","FALSE")</f>
        <v>FALSE</v>
      </c>
      <c r="AI2287" s="661" t="str">
        <f t="shared" si="250"/>
        <v>II</v>
      </c>
      <c r="AJ2287" s="662" t="str">
        <f t="shared" si="244"/>
        <v>F150-104</v>
      </c>
      <c r="AK2287" s="662" t="str">
        <f t="shared" si="245"/>
        <v>LTK</v>
      </c>
      <c r="AL2287" s="662" t="str">
        <f t="shared" si="246"/>
        <v>FRD</v>
      </c>
      <c r="AM2287" s="662" t="str">
        <f t="shared" si="249"/>
        <v>F150-Super Crew XL-2WD-6-5'5"-7300-3.3L FFV-6-W1C-100A-145-23-E85-Unleaded</v>
      </c>
      <c r="AN2287" s="662" t="str">
        <f t="shared" si="247"/>
        <v>2019-LTK-FRD-F150-104</v>
      </c>
    </row>
    <row r="2288" spans="1:40" s="572" customFormat="1" ht="15">
      <c r="A2288" s="570" t="s">
        <v>4172</v>
      </c>
      <c r="B2288" s="569" t="s">
        <v>4145</v>
      </c>
      <c r="C2288" s="569" t="s">
        <v>280</v>
      </c>
      <c r="D2288" s="580">
        <v>27</v>
      </c>
      <c r="E2288" s="569" t="s">
        <v>3374</v>
      </c>
      <c r="F2288" s="569" t="s">
        <v>152</v>
      </c>
      <c r="G2288" s="569" t="s">
        <v>271</v>
      </c>
      <c r="H2288" s="569">
        <v>2019</v>
      </c>
      <c r="I2288" s="569" t="s">
        <v>3765</v>
      </c>
      <c r="J2288" s="569" t="s">
        <v>4140</v>
      </c>
      <c r="K2288" s="569" t="s">
        <v>3377</v>
      </c>
      <c r="L2288" s="569">
        <v>6</v>
      </c>
      <c r="M2288" s="569">
        <v>0</v>
      </c>
      <c r="N2288" s="569" t="s">
        <v>157</v>
      </c>
      <c r="O2288" s="569">
        <v>2</v>
      </c>
      <c r="P2288" s="569" t="s">
        <v>3767</v>
      </c>
      <c r="Q2288" s="568">
        <v>7600</v>
      </c>
      <c r="R2288" s="569" t="s">
        <v>3841</v>
      </c>
      <c r="S2288" s="569">
        <v>6</v>
      </c>
      <c r="T2288" s="569" t="s">
        <v>4141</v>
      </c>
      <c r="U2288" s="569" t="s">
        <v>276</v>
      </c>
      <c r="V2288" s="569">
        <v>145</v>
      </c>
      <c r="W2288" s="569">
        <v>23</v>
      </c>
      <c r="X2288" s="568">
        <v>6250</v>
      </c>
      <c r="Y2288" s="569">
        <v>22</v>
      </c>
      <c r="Z2288" s="581" t="s">
        <v>178</v>
      </c>
      <c r="AA2288" s="581" t="s">
        <v>178</v>
      </c>
      <c r="AB2288" s="585">
        <v>37185</v>
      </c>
      <c r="AC2288" s="585" t="s">
        <v>164</v>
      </c>
      <c r="AD2288" s="585">
        <v>26083.873684210528</v>
      </c>
      <c r="AE2288" s="587">
        <v>0.03</v>
      </c>
      <c r="AF2288" s="661" t="str">
        <f t="shared" si="248"/>
        <v>2019-LTK-FRD-F150-105-27</v>
      </c>
      <c r="AG2288" s="661" t="str">
        <f>IF(AND($Y2288&gt;=32,(AI2288="I"),(Y2288&lt;&gt;"~"),(COUNTIF($AN$1:$AN2288,$AN2288)=1)),"TRUE","FALSE")</f>
        <v>FALSE</v>
      </c>
      <c r="AH2288" s="661" t="str">
        <f>IF(AND($Y2288&gt;=22, (AI2288&lt;&gt;"I"),(Y2288&lt;&gt;"~"),(COUNTIF($AN$1:$AN2288,$AN2288)=1)),"TRUE","FALSE")</f>
        <v>FALSE</v>
      </c>
      <c r="AI2288" s="661" t="str">
        <f t="shared" si="250"/>
        <v>II</v>
      </c>
      <c r="AJ2288" s="662" t="str">
        <f t="shared" si="244"/>
        <v>F150-105</v>
      </c>
      <c r="AK2288" s="662" t="str">
        <f t="shared" si="245"/>
        <v>LTK</v>
      </c>
      <c r="AL2288" s="662" t="str">
        <f t="shared" si="246"/>
        <v>FRD</v>
      </c>
      <c r="AM2288" s="662" t="str">
        <f t="shared" si="249"/>
        <v>F150-Super Crew XL-2WD-6-5'5"-7600-2.7L EcoBoost-6-W1C-100A-145-23-Unleaded-Unleaded</v>
      </c>
      <c r="AN2288" s="662" t="str">
        <f t="shared" si="247"/>
        <v>2019-LTK-FRD-F150-105</v>
      </c>
    </row>
    <row r="2289" spans="1:40" s="572" customFormat="1" ht="15">
      <c r="A2289" s="570" t="s">
        <v>4173</v>
      </c>
      <c r="B2289" s="573" t="s">
        <v>4147</v>
      </c>
      <c r="C2289" s="573" t="s">
        <v>280</v>
      </c>
      <c r="D2289" s="578">
        <v>27</v>
      </c>
      <c r="E2289" s="573" t="s">
        <v>3374</v>
      </c>
      <c r="F2289" s="573" t="s">
        <v>152</v>
      </c>
      <c r="G2289" s="573" t="s">
        <v>271</v>
      </c>
      <c r="H2289" s="573">
        <v>2019</v>
      </c>
      <c r="I2289" s="573" t="s">
        <v>3765</v>
      </c>
      <c r="J2289" s="573" t="s">
        <v>4140</v>
      </c>
      <c r="K2289" s="573" t="s">
        <v>3377</v>
      </c>
      <c r="L2289" s="573">
        <v>6</v>
      </c>
      <c r="M2289" s="573">
        <v>0</v>
      </c>
      <c r="N2289" s="573" t="s">
        <v>157</v>
      </c>
      <c r="O2289" s="573">
        <v>2</v>
      </c>
      <c r="P2289" s="573" t="s">
        <v>3767</v>
      </c>
      <c r="Q2289" s="571">
        <v>9100</v>
      </c>
      <c r="R2289" s="573" t="s">
        <v>3778</v>
      </c>
      <c r="S2289" s="573">
        <v>8</v>
      </c>
      <c r="T2289" s="573" t="s">
        <v>4141</v>
      </c>
      <c r="U2289" s="573" t="s">
        <v>276</v>
      </c>
      <c r="V2289" s="573">
        <v>145</v>
      </c>
      <c r="W2289" s="573">
        <v>23</v>
      </c>
      <c r="X2289" s="571">
        <v>6800</v>
      </c>
      <c r="Y2289" s="573">
        <v>19</v>
      </c>
      <c r="Z2289" s="579" t="s">
        <v>450</v>
      </c>
      <c r="AA2289" s="579" t="s">
        <v>178</v>
      </c>
      <c r="AB2289" s="584">
        <v>38185</v>
      </c>
      <c r="AC2289" s="584" t="s">
        <v>164</v>
      </c>
      <c r="AD2289" s="584">
        <v>26980.715789473685</v>
      </c>
      <c r="AE2289" s="586">
        <v>0.03</v>
      </c>
      <c r="AF2289" s="661" t="str">
        <f t="shared" si="248"/>
        <v>2019-LTK-FRD-F150-107-27</v>
      </c>
      <c r="AG2289" s="661" t="str">
        <f>IF(AND($Y2289&gt;=32,(AI2289="I"),(Y2289&lt;&gt;"~"),(COUNTIF($AN$1:$AN2289,$AN2289)=1)),"TRUE","FALSE")</f>
        <v>FALSE</v>
      </c>
      <c r="AH2289" s="661" t="str">
        <f>IF(AND($Y2289&gt;=22, (AI2289&lt;&gt;"I"),(Y2289&lt;&gt;"~"),(COUNTIF($AN$1:$AN2289,$AN2289)=1)),"TRUE","FALSE")</f>
        <v>FALSE</v>
      </c>
      <c r="AI2289" s="661" t="str">
        <f t="shared" si="250"/>
        <v>II</v>
      </c>
      <c r="AJ2289" s="662" t="str">
        <f t="shared" si="244"/>
        <v>F150-107</v>
      </c>
      <c r="AK2289" s="662" t="str">
        <f t="shared" si="245"/>
        <v>LTK</v>
      </c>
      <c r="AL2289" s="662" t="str">
        <f t="shared" si="246"/>
        <v>FRD</v>
      </c>
      <c r="AM2289" s="662" t="str">
        <f t="shared" si="249"/>
        <v>F150-Super Crew XL-2WD-6-5'5"-9100-5.0L FFV-8-W1C-100A-145-23-E85-Unleaded</v>
      </c>
      <c r="AN2289" s="662" t="str">
        <f t="shared" si="247"/>
        <v>2019-LTK-FRD-F150-107</v>
      </c>
    </row>
    <row r="2290" spans="1:40" s="572" customFormat="1" ht="15">
      <c r="A2290" s="570" t="s">
        <v>4174</v>
      </c>
      <c r="B2290" s="569" t="s">
        <v>4149</v>
      </c>
      <c r="C2290" s="569" t="s">
        <v>280</v>
      </c>
      <c r="D2290" s="580">
        <v>27</v>
      </c>
      <c r="E2290" s="569" t="s">
        <v>3374</v>
      </c>
      <c r="F2290" s="569" t="s">
        <v>152</v>
      </c>
      <c r="G2290" s="569" t="s">
        <v>271</v>
      </c>
      <c r="H2290" s="569">
        <v>2019</v>
      </c>
      <c r="I2290" s="569" t="s">
        <v>3765</v>
      </c>
      <c r="J2290" s="569" t="s">
        <v>4140</v>
      </c>
      <c r="K2290" s="569" t="s">
        <v>3377</v>
      </c>
      <c r="L2290" s="569">
        <v>6</v>
      </c>
      <c r="M2290" s="569">
        <v>0</v>
      </c>
      <c r="N2290" s="569" t="s">
        <v>157</v>
      </c>
      <c r="O2290" s="569">
        <v>2</v>
      </c>
      <c r="P2290" s="569" t="s">
        <v>3781</v>
      </c>
      <c r="Q2290" s="568">
        <v>10700</v>
      </c>
      <c r="R2290" s="569" t="s">
        <v>1259</v>
      </c>
      <c r="S2290" s="569">
        <v>6</v>
      </c>
      <c r="T2290" s="569" t="s">
        <v>4141</v>
      </c>
      <c r="U2290" s="569" t="s">
        <v>276</v>
      </c>
      <c r="V2290" s="569">
        <v>156.80000000000001</v>
      </c>
      <c r="W2290" s="569">
        <v>23</v>
      </c>
      <c r="X2290" s="568">
        <v>7000</v>
      </c>
      <c r="Y2290" s="569">
        <v>21</v>
      </c>
      <c r="Z2290" s="581" t="s">
        <v>178</v>
      </c>
      <c r="AA2290" s="581" t="s">
        <v>178</v>
      </c>
      <c r="AB2290" s="585">
        <v>39095</v>
      </c>
      <c r="AC2290" s="585" t="s">
        <v>164</v>
      </c>
      <c r="AD2290" s="585">
        <v>27838.610526315792</v>
      </c>
      <c r="AE2290" s="587">
        <v>0.03</v>
      </c>
      <c r="AF2290" s="661" t="str">
        <f t="shared" si="248"/>
        <v>2019-LTK-FRD-F150-108-27</v>
      </c>
      <c r="AG2290" s="661" t="str">
        <f>IF(AND($Y2290&gt;=32,(AI2290="I"),(Y2290&lt;&gt;"~"),(COUNTIF($AN$1:$AN2290,$AN2290)=1)),"TRUE","FALSE")</f>
        <v>FALSE</v>
      </c>
      <c r="AH2290" s="661" t="str">
        <f>IF(AND($Y2290&gt;=22, (AI2290&lt;&gt;"I"),(Y2290&lt;&gt;"~"),(COUNTIF($AN$1:$AN2290,$AN2290)=1)),"TRUE","FALSE")</f>
        <v>FALSE</v>
      </c>
      <c r="AI2290" s="661" t="str">
        <f t="shared" si="250"/>
        <v>II</v>
      </c>
      <c r="AJ2290" s="662" t="str">
        <f t="shared" si="244"/>
        <v>F150-108</v>
      </c>
      <c r="AK2290" s="662" t="str">
        <f t="shared" si="245"/>
        <v>LTK</v>
      </c>
      <c r="AL2290" s="662" t="str">
        <f t="shared" si="246"/>
        <v>FRD</v>
      </c>
      <c r="AM2290" s="662" t="str">
        <f t="shared" si="249"/>
        <v>F150-Super Crew XL-2WD-6-6'5"-10700-3.5L EcoBoost-6-W1C-100A-156.8-23-Unleaded-Unleaded</v>
      </c>
      <c r="AN2290" s="662" t="str">
        <f t="shared" si="247"/>
        <v>2019-LTK-FRD-F150-108</v>
      </c>
    </row>
    <row r="2291" spans="1:40" s="572" customFormat="1" ht="15">
      <c r="A2291" s="570" t="s">
        <v>4175</v>
      </c>
      <c r="B2291" s="573" t="s">
        <v>4151</v>
      </c>
      <c r="C2291" s="573" t="s">
        <v>280</v>
      </c>
      <c r="D2291" s="578">
        <v>27</v>
      </c>
      <c r="E2291" s="573" t="s">
        <v>3374</v>
      </c>
      <c r="F2291" s="573" t="s">
        <v>152</v>
      </c>
      <c r="G2291" s="573" t="s">
        <v>271</v>
      </c>
      <c r="H2291" s="573">
        <v>2019</v>
      </c>
      <c r="I2291" s="573" t="s">
        <v>3765</v>
      </c>
      <c r="J2291" s="573" t="s">
        <v>4140</v>
      </c>
      <c r="K2291" s="573" t="s">
        <v>3377</v>
      </c>
      <c r="L2291" s="573">
        <v>6</v>
      </c>
      <c r="M2291" s="573">
        <v>0</v>
      </c>
      <c r="N2291" s="573" t="s">
        <v>157</v>
      </c>
      <c r="O2291" s="573">
        <v>2</v>
      </c>
      <c r="P2291" s="573" t="s">
        <v>3781</v>
      </c>
      <c r="Q2291" s="571">
        <v>7600</v>
      </c>
      <c r="R2291" s="573" t="s">
        <v>3841</v>
      </c>
      <c r="S2291" s="573">
        <v>6</v>
      </c>
      <c r="T2291" s="573" t="s">
        <v>4141</v>
      </c>
      <c r="U2291" s="573" t="s">
        <v>276</v>
      </c>
      <c r="V2291" s="573">
        <v>156.80000000000001</v>
      </c>
      <c r="W2291" s="573">
        <v>23</v>
      </c>
      <c r="X2291" s="571">
        <v>6350</v>
      </c>
      <c r="Y2291" s="573">
        <v>22</v>
      </c>
      <c r="Z2291" s="579" t="s">
        <v>178</v>
      </c>
      <c r="AA2291" s="579" t="s">
        <v>178</v>
      </c>
      <c r="AB2291" s="584">
        <v>37495</v>
      </c>
      <c r="AC2291" s="584" t="s">
        <v>164</v>
      </c>
      <c r="AD2291" s="584">
        <v>26402.821052631582</v>
      </c>
      <c r="AE2291" s="586">
        <v>0.03</v>
      </c>
      <c r="AF2291" s="661" t="str">
        <f t="shared" si="248"/>
        <v>2019-LTK-FRD-F150-109-27</v>
      </c>
      <c r="AG2291" s="661" t="str">
        <f>IF(AND($Y2291&gt;=32,(AI2291="I"),(Y2291&lt;&gt;"~"),(COUNTIF($AN$1:$AN2291,$AN2291)=1)),"TRUE","FALSE")</f>
        <v>FALSE</v>
      </c>
      <c r="AH2291" s="661" t="str">
        <f>IF(AND($Y2291&gt;=22, (AI2291&lt;&gt;"I"),(Y2291&lt;&gt;"~"),(COUNTIF($AN$1:$AN2291,$AN2291)=1)),"TRUE","FALSE")</f>
        <v>FALSE</v>
      </c>
      <c r="AI2291" s="661" t="str">
        <f t="shared" si="250"/>
        <v>II</v>
      </c>
      <c r="AJ2291" s="662" t="str">
        <f t="shared" si="244"/>
        <v>F150-109</v>
      </c>
      <c r="AK2291" s="662" t="str">
        <f t="shared" si="245"/>
        <v>LTK</v>
      </c>
      <c r="AL2291" s="662" t="str">
        <f t="shared" si="246"/>
        <v>FRD</v>
      </c>
      <c r="AM2291" s="662" t="str">
        <f t="shared" si="249"/>
        <v>F150-Super Crew XL-2WD-6-6'5"-7600-2.7L EcoBoost-6-W1C-100A-156.8-23-Unleaded-Unleaded</v>
      </c>
      <c r="AN2291" s="662" t="str">
        <f t="shared" si="247"/>
        <v>2019-LTK-FRD-F150-109</v>
      </c>
    </row>
    <row r="2292" spans="1:40" s="572" customFormat="1" ht="15">
      <c r="A2292" s="570" t="s">
        <v>4176</v>
      </c>
      <c r="B2292" s="569" t="s">
        <v>4153</v>
      </c>
      <c r="C2292" s="569" t="s">
        <v>280</v>
      </c>
      <c r="D2292" s="580">
        <v>27</v>
      </c>
      <c r="E2292" s="569" t="s">
        <v>3374</v>
      </c>
      <c r="F2292" s="569" t="s">
        <v>152</v>
      </c>
      <c r="G2292" s="569" t="s">
        <v>271</v>
      </c>
      <c r="H2292" s="569">
        <v>2019</v>
      </c>
      <c r="I2292" s="569" t="s">
        <v>3765</v>
      </c>
      <c r="J2292" s="569" t="s">
        <v>4140</v>
      </c>
      <c r="K2292" s="569" t="s">
        <v>3377</v>
      </c>
      <c r="L2292" s="569">
        <v>6</v>
      </c>
      <c r="M2292" s="569">
        <v>0</v>
      </c>
      <c r="N2292" s="569" t="s">
        <v>157</v>
      </c>
      <c r="O2292" s="569">
        <v>2</v>
      </c>
      <c r="P2292" s="569" t="s">
        <v>3781</v>
      </c>
      <c r="Q2292" s="568">
        <v>9100</v>
      </c>
      <c r="R2292" s="569" t="s">
        <v>3778</v>
      </c>
      <c r="S2292" s="569">
        <v>8</v>
      </c>
      <c r="T2292" s="569" t="s">
        <v>4141</v>
      </c>
      <c r="U2292" s="569" t="s">
        <v>276</v>
      </c>
      <c r="V2292" s="569">
        <v>156.80000000000001</v>
      </c>
      <c r="W2292" s="569">
        <v>23</v>
      </c>
      <c r="X2292" s="568">
        <v>6950</v>
      </c>
      <c r="Y2292" s="569">
        <v>19</v>
      </c>
      <c r="Z2292" s="581" t="s">
        <v>450</v>
      </c>
      <c r="AA2292" s="581" t="s">
        <v>178</v>
      </c>
      <c r="AB2292" s="585">
        <v>38495</v>
      </c>
      <c r="AC2292" s="585" t="s">
        <v>164</v>
      </c>
      <c r="AD2292" s="585">
        <v>27299.663157894738</v>
      </c>
      <c r="AE2292" s="587">
        <v>0.03</v>
      </c>
      <c r="AF2292" s="661" t="str">
        <f t="shared" si="248"/>
        <v>2019-LTK-FRD-F150-111-27</v>
      </c>
      <c r="AG2292" s="661" t="str">
        <f>IF(AND($Y2292&gt;=32,(AI2292="I"),(Y2292&lt;&gt;"~"),(COUNTIF($AN$1:$AN2292,$AN2292)=1)),"TRUE","FALSE")</f>
        <v>FALSE</v>
      </c>
      <c r="AH2292" s="661" t="str">
        <f>IF(AND($Y2292&gt;=22, (AI2292&lt;&gt;"I"),(Y2292&lt;&gt;"~"),(COUNTIF($AN$1:$AN2292,$AN2292)=1)),"TRUE","FALSE")</f>
        <v>FALSE</v>
      </c>
      <c r="AI2292" s="661" t="str">
        <f t="shared" si="250"/>
        <v>II</v>
      </c>
      <c r="AJ2292" s="662" t="str">
        <f t="shared" si="244"/>
        <v>F150-111</v>
      </c>
      <c r="AK2292" s="662" t="str">
        <f t="shared" si="245"/>
        <v>LTK</v>
      </c>
      <c r="AL2292" s="662" t="str">
        <f t="shared" si="246"/>
        <v>FRD</v>
      </c>
      <c r="AM2292" s="662" t="str">
        <f t="shared" si="249"/>
        <v>F150-Super Crew XL-2WD-6-6'5"-9100-5.0L FFV-8-W1C-100A-156.8-23-E85-Unleaded</v>
      </c>
      <c r="AN2292" s="662" t="str">
        <f t="shared" si="247"/>
        <v>2019-LTK-FRD-F150-111</v>
      </c>
    </row>
    <row r="2293" spans="1:40" s="572" customFormat="1" ht="15">
      <c r="A2293" s="570" t="s">
        <v>4177</v>
      </c>
      <c r="B2293" s="573" t="s">
        <v>4178</v>
      </c>
      <c r="C2293" s="573" t="s">
        <v>269</v>
      </c>
      <c r="D2293" s="578" t="s">
        <v>270</v>
      </c>
      <c r="E2293" s="573" t="s">
        <v>3374</v>
      </c>
      <c r="F2293" s="573" t="s">
        <v>152</v>
      </c>
      <c r="G2293" s="573" t="s">
        <v>271</v>
      </c>
      <c r="H2293" s="573">
        <v>2019</v>
      </c>
      <c r="I2293" s="573" t="s">
        <v>3765</v>
      </c>
      <c r="J2293" s="573" t="s">
        <v>4179</v>
      </c>
      <c r="K2293" s="573" t="s">
        <v>3377</v>
      </c>
      <c r="L2293" s="573">
        <v>6</v>
      </c>
      <c r="M2293" s="573">
        <v>0</v>
      </c>
      <c r="N2293" s="573" t="s">
        <v>157</v>
      </c>
      <c r="O2293" s="573">
        <v>2</v>
      </c>
      <c r="P2293" s="573" t="s">
        <v>3767</v>
      </c>
      <c r="Q2293" s="571">
        <v>10700</v>
      </c>
      <c r="R2293" s="573" t="s">
        <v>1259</v>
      </c>
      <c r="S2293" s="573">
        <v>6</v>
      </c>
      <c r="T2293" s="573" t="s">
        <v>4141</v>
      </c>
      <c r="U2293" s="573" t="s">
        <v>318</v>
      </c>
      <c r="V2293" s="573">
        <v>145</v>
      </c>
      <c r="W2293" s="573">
        <v>23</v>
      </c>
      <c r="X2293" s="571">
        <v>6750</v>
      </c>
      <c r="Y2293" s="573">
        <v>21</v>
      </c>
      <c r="Z2293" s="579" t="s">
        <v>178</v>
      </c>
      <c r="AA2293" s="579" t="s">
        <v>178</v>
      </c>
      <c r="AB2293" s="584">
        <v>43510</v>
      </c>
      <c r="AC2293" s="584" t="s">
        <v>164</v>
      </c>
      <c r="AD2293" s="584">
        <v>30755.916666666668</v>
      </c>
      <c r="AE2293" s="586">
        <v>0.03</v>
      </c>
      <c r="AF2293" s="661" t="str">
        <f t="shared" si="248"/>
        <v>2019-LTK-FRD-F150-132-05</v>
      </c>
      <c r="AG2293" s="661" t="str">
        <f>IF(AND($Y2293&gt;=32,(AI2293="I"),(Y2293&lt;&gt;"~"),(COUNTIF($AN$1:$AN2293,$AN2293)=1)),"TRUE","FALSE")</f>
        <v>FALSE</v>
      </c>
      <c r="AH2293" s="661" t="str">
        <f>IF(AND($Y2293&gt;=22, (AI2293&lt;&gt;"I"),(Y2293&lt;&gt;"~"),(COUNTIF($AN$1:$AN2293,$AN2293)=1)),"TRUE","FALSE")</f>
        <v>FALSE</v>
      </c>
      <c r="AI2293" s="661" t="str">
        <f t="shared" si="250"/>
        <v>II</v>
      </c>
      <c r="AJ2293" s="662" t="str">
        <f t="shared" si="244"/>
        <v>F150-132</v>
      </c>
      <c r="AK2293" s="662" t="str">
        <f t="shared" si="245"/>
        <v>LTK</v>
      </c>
      <c r="AL2293" s="662" t="str">
        <f t="shared" si="246"/>
        <v>FRD</v>
      </c>
      <c r="AM2293" s="662" t="str">
        <f t="shared" si="249"/>
        <v>F150-Super Crew XLT-2WD-6-5'5"-10700-3.5L EcoBoost-6-W1C-300A-145-23-Unleaded-Unleaded</v>
      </c>
      <c r="AN2293" s="662" t="str">
        <f t="shared" si="247"/>
        <v>2019-LTK-FRD-F150-132</v>
      </c>
    </row>
    <row r="2294" spans="1:40" s="572" customFormat="1" ht="15">
      <c r="A2294" s="570" t="s">
        <v>4180</v>
      </c>
      <c r="B2294" s="569" t="s">
        <v>4181</v>
      </c>
      <c r="C2294" s="569" t="s">
        <v>269</v>
      </c>
      <c r="D2294" s="580" t="s">
        <v>270</v>
      </c>
      <c r="E2294" s="569" t="s">
        <v>3374</v>
      </c>
      <c r="F2294" s="569" t="s">
        <v>152</v>
      </c>
      <c r="G2294" s="569" t="s">
        <v>271</v>
      </c>
      <c r="H2294" s="569">
        <v>2019</v>
      </c>
      <c r="I2294" s="569" t="s">
        <v>3765</v>
      </c>
      <c r="J2294" s="569" t="s">
        <v>4179</v>
      </c>
      <c r="K2294" s="569" t="s">
        <v>3377</v>
      </c>
      <c r="L2294" s="569">
        <v>6</v>
      </c>
      <c r="M2294" s="569">
        <v>0</v>
      </c>
      <c r="N2294" s="569" t="s">
        <v>157</v>
      </c>
      <c r="O2294" s="569">
        <v>2</v>
      </c>
      <c r="P2294" s="569" t="s">
        <v>3767</v>
      </c>
      <c r="Q2294" s="568">
        <v>7600</v>
      </c>
      <c r="R2294" s="569" t="s">
        <v>3841</v>
      </c>
      <c r="S2294" s="569">
        <v>6</v>
      </c>
      <c r="T2294" s="569" t="s">
        <v>4141</v>
      </c>
      <c r="U2294" s="569" t="s">
        <v>318</v>
      </c>
      <c r="V2294" s="569">
        <v>145</v>
      </c>
      <c r="W2294" s="569">
        <v>23</v>
      </c>
      <c r="X2294" s="568">
        <v>6360</v>
      </c>
      <c r="Y2294" s="569">
        <v>22</v>
      </c>
      <c r="Z2294" s="581" t="s">
        <v>178</v>
      </c>
      <c r="AA2294" s="581" t="s">
        <v>178</v>
      </c>
      <c r="AB2294" s="585">
        <v>41910</v>
      </c>
      <c r="AC2294" s="585" t="s">
        <v>164</v>
      </c>
      <c r="AD2294" s="585">
        <v>29335.083333333336</v>
      </c>
      <c r="AE2294" s="587">
        <v>0.03</v>
      </c>
      <c r="AF2294" s="661" t="str">
        <f t="shared" si="248"/>
        <v>2019-LTK-FRD-F150-133-05</v>
      </c>
      <c r="AG2294" s="661" t="str">
        <f>IF(AND($Y2294&gt;=32,(AI2294="I"),(Y2294&lt;&gt;"~"),(COUNTIF($AN$1:$AN2294,$AN2294)=1)),"TRUE","FALSE")</f>
        <v>FALSE</v>
      </c>
      <c r="AH2294" s="661" t="str">
        <f>IF(AND($Y2294&gt;=22, (AI2294&lt;&gt;"I"),(Y2294&lt;&gt;"~"),(COUNTIF($AN$1:$AN2294,$AN2294)=1)),"TRUE","FALSE")</f>
        <v>TRUE</v>
      </c>
      <c r="AI2294" s="661" t="str">
        <f t="shared" si="250"/>
        <v>II</v>
      </c>
      <c r="AJ2294" s="662" t="str">
        <f t="shared" si="244"/>
        <v>F150-133</v>
      </c>
      <c r="AK2294" s="662" t="str">
        <f t="shared" si="245"/>
        <v>LTK</v>
      </c>
      <c r="AL2294" s="662" t="str">
        <f t="shared" si="246"/>
        <v>FRD</v>
      </c>
      <c r="AM2294" s="662" t="str">
        <f t="shared" si="249"/>
        <v>F150-Super Crew XLT-2WD-6-5'5"-7600-2.7L EcoBoost-6-W1C-300A-145-23-Unleaded-Unleaded</v>
      </c>
      <c r="AN2294" s="662" t="str">
        <f t="shared" si="247"/>
        <v>2019-LTK-FRD-F150-133</v>
      </c>
    </row>
    <row r="2295" spans="1:40" s="572" customFormat="1" ht="15">
      <c r="A2295" s="570" t="s">
        <v>4182</v>
      </c>
      <c r="B2295" s="573" t="s">
        <v>4183</v>
      </c>
      <c r="C2295" s="573" t="s">
        <v>269</v>
      </c>
      <c r="D2295" s="578" t="s">
        <v>270</v>
      </c>
      <c r="E2295" s="573" t="s">
        <v>3374</v>
      </c>
      <c r="F2295" s="573" t="s">
        <v>152</v>
      </c>
      <c r="G2295" s="573" t="s">
        <v>271</v>
      </c>
      <c r="H2295" s="573">
        <v>2019</v>
      </c>
      <c r="I2295" s="573" t="s">
        <v>3765</v>
      </c>
      <c r="J2295" s="573" t="s">
        <v>4179</v>
      </c>
      <c r="K2295" s="573" t="s">
        <v>3377</v>
      </c>
      <c r="L2295" s="573" t="s">
        <v>4165</v>
      </c>
      <c r="M2295" s="573">
        <v>0</v>
      </c>
      <c r="N2295" s="573" t="s">
        <v>157</v>
      </c>
      <c r="O2295" s="573">
        <v>2</v>
      </c>
      <c r="P2295" s="573" t="s">
        <v>3767</v>
      </c>
      <c r="Q2295" s="571">
        <v>7700</v>
      </c>
      <c r="R2295" s="573" t="s">
        <v>1322</v>
      </c>
      <c r="S2295" s="573">
        <v>6</v>
      </c>
      <c r="T2295" s="573" t="s">
        <v>4141</v>
      </c>
      <c r="U2295" s="573" t="s">
        <v>318</v>
      </c>
      <c r="V2295" s="573">
        <v>145</v>
      </c>
      <c r="W2295" s="573">
        <v>23</v>
      </c>
      <c r="X2295" s="571">
        <v>6100</v>
      </c>
      <c r="Y2295" s="573">
        <v>22</v>
      </c>
      <c r="Z2295" s="579" t="s">
        <v>178</v>
      </c>
      <c r="AA2295" s="579" t="s">
        <v>178</v>
      </c>
      <c r="AB2295" s="584">
        <v>40915</v>
      </c>
      <c r="AC2295" s="584" t="s">
        <v>164</v>
      </c>
      <c r="AD2295" s="584">
        <v>28750.189473684211</v>
      </c>
      <c r="AE2295" s="586">
        <v>0.03</v>
      </c>
      <c r="AF2295" s="661" t="str">
        <f t="shared" si="248"/>
        <v>2019-LTK-FRD-F150-112-05</v>
      </c>
      <c r="AG2295" s="661" t="str">
        <f>IF(AND($Y2295&gt;=32,(AI2295="I"),(Y2295&lt;&gt;"~"),(COUNTIF($AN$1:$AN2295,$AN2295)=1)),"TRUE","FALSE")</f>
        <v>FALSE</v>
      </c>
      <c r="AH2295" s="661" t="str">
        <f>IF(AND($Y2295&gt;=22, (AI2295&lt;&gt;"I"),(Y2295&lt;&gt;"~"),(COUNTIF($AN$1:$AN2295,$AN2295)=1)),"TRUE","FALSE")</f>
        <v>TRUE</v>
      </c>
      <c r="AI2295" s="661" t="str">
        <f t="shared" si="250"/>
        <v>II</v>
      </c>
      <c r="AJ2295" s="662" t="str">
        <f t="shared" si="244"/>
        <v>F150-112</v>
      </c>
      <c r="AK2295" s="662" t="str">
        <f t="shared" si="245"/>
        <v>LTK</v>
      </c>
      <c r="AL2295" s="662" t="str">
        <f t="shared" si="246"/>
        <v>FRD</v>
      </c>
      <c r="AM2295" s="662" t="str">
        <f t="shared" si="249"/>
        <v>F150-Super Crew XLT-2WD-6-5'5"-7700-3.3L-6-W1C-300A-145-23-Unleaded-Unleaded</v>
      </c>
      <c r="AN2295" s="662" t="str">
        <f t="shared" si="247"/>
        <v>2019-LTK-FRD-F150-112</v>
      </c>
    </row>
    <row r="2296" spans="1:40" s="572" customFormat="1" ht="15">
      <c r="A2296" s="570" t="s">
        <v>4184</v>
      </c>
      <c r="B2296" s="569" t="s">
        <v>4185</v>
      </c>
      <c r="C2296" s="569" t="s">
        <v>269</v>
      </c>
      <c r="D2296" s="580" t="s">
        <v>270</v>
      </c>
      <c r="E2296" s="569" t="s">
        <v>3374</v>
      </c>
      <c r="F2296" s="569" t="s">
        <v>152</v>
      </c>
      <c r="G2296" s="569" t="s">
        <v>271</v>
      </c>
      <c r="H2296" s="569">
        <v>2019</v>
      </c>
      <c r="I2296" s="569" t="s">
        <v>3765</v>
      </c>
      <c r="J2296" s="569" t="s">
        <v>4179</v>
      </c>
      <c r="K2296" s="569" t="s">
        <v>3377</v>
      </c>
      <c r="L2296" s="569">
        <v>6</v>
      </c>
      <c r="M2296" s="569">
        <v>0</v>
      </c>
      <c r="N2296" s="569" t="s">
        <v>157</v>
      </c>
      <c r="O2296" s="569">
        <v>2</v>
      </c>
      <c r="P2296" s="569" t="s">
        <v>3767</v>
      </c>
      <c r="Q2296" s="568">
        <v>9100</v>
      </c>
      <c r="R2296" s="569" t="s">
        <v>3778</v>
      </c>
      <c r="S2296" s="569">
        <v>8</v>
      </c>
      <c r="T2296" s="569" t="s">
        <v>4141</v>
      </c>
      <c r="U2296" s="569" t="s">
        <v>318</v>
      </c>
      <c r="V2296" s="569">
        <v>145</v>
      </c>
      <c r="W2296" s="569">
        <v>23</v>
      </c>
      <c r="X2296" s="568">
        <v>6800</v>
      </c>
      <c r="Y2296" s="569">
        <v>19</v>
      </c>
      <c r="Z2296" s="581" t="s">
        <v>450</v>
      </c>
      <c r="AA2296" s="581" t="s">
        <v>178</v>
      </c>
      <c r="AB2296" s="585">
        <v>42910</v>
      </c>
      <c r="AC2296" s="585" t="s">
        <v>164</v>
      </c>
      <c r="AD2296" s="585">
        <v>30222.583333333336</v>
      </c>
      <c r="AE2296" s="587">
        <v>0.03</v>
      </c>
      <c r="AF2296" s="661" t="str">
        <f t="shared" si="248"/>
        <v>2019-LTK-FRD-F150-135-05</v>
      </c>
      <c r="AG2296" s="661" t="str">
        <f>IF(AND($Y2296&gt;=32,(AI2296="I"),(Y2296&lt;&gt;"~"),(COUNTIF($AN$1:$AN2296,$AN2296)=1)),"TRUE","FALSE")</f>
        <v>FALSE</v>
      </c>
      <c r="AH2296" s="661" t="str">
        <f>IF(AND($Y2296&gt;=22, (AI2296&lt;&gt;"I"),(Y2296&lt;&gt;"~"),(COUNTIF($AN$1:$AN2296,$AN2296)=1)),"TRUE","FALSE")</f>
        <v>FALSE</v>
      </c>
      <c r="AI2296" s="661" t="str">
        <f t="shared" si="250"/>
        <v>II</v>
      </c>
      <c r="AJ2296" s="662" t="str">
        <f t="shared" si="244"/>
        <v>F150-135</v>
      </c>
      <c r="AK2296" s="662" t="str">
        <f t="shared" si="245"/>
        <v>LTK</v>
      </c>
      <c r="AL2296" s="662" t="str">
        <f t="shared" si="246"/>
        <v>FRD</v>
      </c>
      <c r="AM2296" s="662" t="str">
        <f t="shared" si="249"/>
        <v>F150-Super Crew XLT-2WD-6-5'5"-9100-5.0L FFV-8-W1C-300A-145-23-E85-Unleaded</v>
      </c>
      <c r="AN2296" s="662" t="str">
        <f t="shared" si="247"/>
        <v>2019-LTK-FRD-F150-135</v>
      </c>
    </row>
    <row r="2297" spans="1:40" s="572" customFormat="1" ht="15">
      <c r="A2297" s="570" t="s">
        <v>4186</v>
      </c>
      <c r="B2297" s="573" t="s">
        <v>4187</v>
      </c>
      <c r="C2297" s="573" t="s">
        <v>269</v>
      </c>
      <c r="D2297" s="578" t="s">
        <v>270</v>
      </c>
      <c r="E2297" s="573" t="s">
        <v>3374</v>
      </c>
      <c r="F2297" s="573" t="s">
        <v>152</v>
      </c>
      <c r="G2297" s="573" t="s">
        <v>271</v>
      </c>
      <c r="H2297" s="573">
        <v>2019</v>
      </c>
      <c r="I2297" s="573" t="s">
        <v>3765</v>
      </c>
      <c r="J2297" s="573" t="s">
        <v>4179</v>
      </c>
      <c r="K2297" s="573" t="s">
        <v>3377</v>
      </c>
      <c r="L2297" s="573">
        <v>6</v>
      </c>
      <c r="M2297" s="573">
        <v>0</v>
      </c>
      <c r="N2297" s="573" t="s">
        <v>157</v>
      </c>
      <c r="O2297" s="573">
        <v>2</v>
      </c>
      <c r="P2297" s="573" t="s">
        <v>3781</v>
      </c>
      <c r="Q2297" s="571">
        <v>10700</v>
      </c>
      <c r="R2297" s="573" t="s">
        <v>1259</v>
      </c>
      <c r="S2297" s="573">
        <v>6</v>
      </c>
      <c r="T2297" s="573" t="s">
        <v>4141</v>
      </c>
      <c r="U2297" s="573" t="s">
        <v>318</v>
      </c>
      <c r="V2297" s="573">
        <v>156.80000000000001</v>
      </c>
      <c r="W2297" s="573">
        <v>23</v>
      </c>
      <c r="X2297" s="571">
        <v>7000</v>
      </c>
      <c r="Y2297" s="573">
        <v>21</v>
      </c>
      <c r="Z2297" s="579" t="s">
        <v>178</v>
      </c>
      <c r="AA2297" s="579" t="s">
        <v>178</v>
      </c>
      <c r="AB2297" s="584">
        <v>43820</v>
      </c>
      <c r="AC2297" s="584" t="s">
        <v>164</v>
      </c>
      <c r="AD2297" s="584">
        <v>31043.416666666668</v>
      </c>
      <c r="AE2297" s="586">
        <v>0.03</v>
      </c>
      <c r="AF2297" s="661" t="str">
        <f t="shared" si="248"/>
        <v>2019-LTK-FRD-F150-136-05</v>
      </c>
      <c r="AG2297" s="661" t="str">
        <f>IF(AND($Y2297&gt;=32,(AI2297="I"),(Y2297&lt;&gt;"~"),(COUNTIF($AN$1:$AN2297,$AN2297)=1)),"TRUE","FALSE")</f>
        <v>FALSE</v>
      </c>
      <c r="AH2297" s="661" t="str">
        <f>IF(AND($Y2297&gt;=22, (AI2297&lt;&gt;"I"),(Y2297&lt;&gt;"~"),(COUNTIF($AN$1:$AN2297,$AN2297)=1)),"TRUE","FALSE")</f>
        <v>FALSE</v>
      </c>
      <c r="AI2297" s="661" t="str">
        <f t="shared" si="250"/>
        <v>II</v>
      </c>
      <c r="AJ2297" s="662" t="str">
        <f t="shared" si="244"/>
        <v>F150-136</v>
      </c>
      <c r="AK2297" s="662" t="str">
        <f t="shared" si="245"/>
        <v>LTK</v>
      </c>
      <c r="AL2297" s="662" t="str">
        <f t="shared" si="246"/>
        <v>FRD</v>
      </c>
      <c r="AM2297" s="662" t="str">
        <f t="shared" si="249"/>
        <v>F150-Super Crew XLT-2WD-6-6'5"-10700-3.5L EcoBoost-6-W1C-300A-156.8-23-Unleaded-Unleaded</v>
      </c>
      <c r="AN2297" s="662" t="str">
        <f t="shared" si="247"/>
        <v>2019-LTK-FRD-F150-136</v>
      </c>
    </row>
    <row r="2298" spans="1:40" s="572" customFormat="1" ht="15">
      <c r="A2298" s="570" t="s">
        <v>4188</v>
      </c>
      <c r="B2298" s="569" t="s">
        <v>4189</v>
      </c>
      <c r="C2298" s="569" t="s">
        <v>269</v>
      </c>
      <c r="D2298" s="580" t="s">
        <v>270</v>
      </c>
      <c r="E2298" s="569" t="s">
        <v>3374</v>
      </c>
      <c r="F2298" s="569" t="s">
        <v>152</v>
      </c>
      <c r="G2298" s="569" t="s">
        <v>271</v>
      </c>
      <c r="H2298" s="569">
        <v>2019</v>
      </c>
      <c r="I2298" s="569" t="s">
        <v>3765</v>
      </c>
      <c r="J2298" s="569" t="s">
        <v>4179</v>
      </c>
      <c r="K2298" s="569" t="s">
        <v>3377</v>
      </c>
      <c r="L2298" s="569">
        <v>6</v>
      </c>
      <c r="M2298" s="569">
        <v>0</v>
      </c>
      <c r="N2298" s="569" t="s">
        <v>157</v>
      </c>
      <c r="O2298" s="569">
        <v>2</v>
      </c>
      <c r="P2298" s="569" t="s">
        <v>3781</v>
      </c>
      <c r="Q2298" s="568">
        <v>7600</v>
      </c>
      <c r="R2298" s="569" t="s">
        <v>3841</v>
      </c>
      <c r="S2298" s="569">
        <v>6</v>
      </c>
      <c r="T2298" s="569" t="s">
        <v>4141</v>
      </c>
      <c r="U2298" s="569" t="s">
        <v>318</v>
      </c>
      <c r="V2298" s="569">
        <v>156.80000000000001</v>
      </c>
      <c r="W2298" s="569">
        <v>23</v>
      </c>
      <c r="X2298" s="568">
        <v>6500</v>
      </c>
      <c r="Y2298" s="569">
        <v>22</v>
      </c>
      <c r="Z2298" s="581" t="s">
        <v>178</v>
      </c>
      <c r="AA2298" s="581" t="s">
        <v>178</v>
      </c>
      <c r="AB2298" s="585">
        <v>42220</v>
      </c>
      <c r="AC2298" s="585" t="s">
        <v>164</v>
      </c>
      <c r="AD2298" s="585">
        <v>29622.583333333336</v>
      </c>
      <c r="AE2298" s="587">
        <v>0.03</v>
      </c>
      <c r="AF2298" s="661" t="str">
        <f t="shared" si="248"/>
        <v>2019-LTK-FRD-F150-137-05</v>
      </c>
      <c r="AG2298" s="661" t="str">
        <f>IF(AND($Y2298&gt;=32,(AI2298="I"),(Y2298&lt;&gt;"~"),(COUNTIF($AN$1:$AN2298,$AN2298)=1)),"TRUE","FALSE")</f>
        <v>FALSE</v>
      </c>
      <c r="AH2298" s="661" t="str">
        <f>IF(AND($Y2298&gt;=22, (AI2298&lt;&gt;"I"),(Y2298&lt;&gt;"~"),(COUNTIF($AN$1:$AN2298,$AN2298)=1)),"TRUE","FALSE")</f>
        <v>TRUE</v>
      </c>
      <c r="AI2298" s="661" t="str">
        <f t="shared" si="250"/>
        <v>II</v>
      </c>
      <c r="AJ2298" s="662" t="str">
        <f t="shared" si="244"/>
        <v>F150-137</v>
      </c>
      <c r="AK2298" s="662" t="str">
        <f t="shared" si="245"/>
        <v>LTK</v>
      </c>
      <c r="AL2298" s="662" t="str">
        <f t="shared" si="246"/>
        <v>FRD</v>
      </c>
      <c r="AM2298" s="662" t="str">
        <f t="shared" si="249"/>
        <v>F150-Super Crew XLT-2WD-6-6'5"-7600-2.7L EcoBoost-6-W1C-300A-156.8-23-Unleaded-Unleaded</v>
      </c>
      <c r="AN2298" s="662" t="str">
        <f t="shared" si="247"/>
        <v>2019-LTK-FRD-F150-137</v>
      </c>
    </row>
    <row r="2299" spans="1:40" s="572" customFormat="1" ht="15">
      <c r="A2299" s="570" t="s">
        <v>4190</v>
      </c>
      <c r="B2299" s="573" t="s">
        <v>4191</v>
      </c>
      <c r="C2299" s="573" t="s">
        <v>269</v>
      </c>
      <c r="D2299" s="578" t="s">
        <v>270</v>
      </c>
      <c r="E2299" s="573" t="s">
        <v>3374</v>
      </c>
      <c r="F2299" s="573" t="s">
        <v>152</v>
      </c>
      <c r="G2299" s="573" t="s">
        <v>271</v>
      </c>
      <c r="H2299" s="573">
        <v>2019</v>
      </c>
      <c r="I2299" s="573" t="s">
        <v>3765</v>
      </c>
      <c r="J2299" s="573" t="s">
        <v>4179</v>
      </c>
      <c r="K2299" s="573" t="s">
        <v>3377</v>
      </c>
      <c r="L2299" s="573">
        <v>6</v>
      </c>
      <c r="M2299" s="573">
        <v>0</v>
      </c>
      <c r="N2299" s="573" t="s">
        <v>157</v>
      </c>
      <c r="O2299" s="573">
        <v>2</v>
      </c>
      <c r="P2299" s="573" t="s">
        <v>3781</v>
      </c>
      <c r="Q2299" s="571">
        <v>9100</v>
      </c>
      <c r="R2299" s="573" t="s">
        <v>3778</v>
      </c>
      <c r="S2299" s="573">
        <v>8</v>
      </c>
      <c r="T2299" s="573" t="s">
        <v>4141</v>
      </c>
      <c r="U2299" s="573" t="s">
        <v>318</v>
      </c>
      <c r="V2299" s="573">
        <v>156.80000000000001</v>
      </c>
      <c r="W2299" s="573">
        <v>23</v>
      </c>
      <c r="X2299" s="571">
        <v>6950</v>
      </c>
      <c r="Y2299" s="573">
        <v>19</v>
      </c>
      <c r="Z2299" s="579" t="s">
        <v>450</v>
      </c>
      <c r="AA2299" s="579" t="s">
        <v>178</v>
      </c>
      <c r="AB2299" s="584">
        <v>43220</v>
      </c>
      <c r="AC2299" s="584" t="s">
        <v>164</v>
      </c>
      <c r="AD2299" s="584">
        <v>30510.083333333336</v>
      </c>
      <c r="AE2299" s="586">
        <v>0.03</v>
      </c>
      <c r="AF2299" s="661" t="str">
        <f t="shared" si="248"/>
        <v>2019-LTK-FRD-F150-138-05</v>
      </c>
      <c r="AG2299" s="661" t="str">
        <f>IF(AND($Y2299&gt;=32,(AI2299="I"),(Y2299&lt;&gt;"~"),(COUNTIF($AN$1:$AN2299,$AN2299)=1)),"TRUE","FALSE")</f>
        <v>FALSE</v>
      </c>
      <c r="AH2299" s="661" t="str">
        <f>IF(AND($Y2299&gt;=22, (AI2299&lt;&gt;"I"),(Y2299&lt;&gt;"~"),(COUNTIF($AN$1:$AN2299,$AN2299)=1)),"TRUE","FALSE")</f>
        <v>FALSE</v>
      </c>
      <c r="AI2299" s="661" t="str">
        <f t="shared" si="250"/>
        <v>II</v>
      </c>
      <c r="AJ2299" s="662" t="str">
        <f t="shared" si="244"/>
        <v>F150-138</v>
      </c>
      <c r="AK2299" s="662" t="str">
        <f t="shared" si="245"/>
        <v>LTK</v>
      </c>
      <c r="AL2299" s="662" t="str">
        <f t="shared" si="246"/>
        <v>FRD</v>
      </c>
      <c r="AM2299" s="662" t="str">
        <f t="shared" si="249"/>
        <v>F150-Super Crew XLT-2WD-6-6'5"-9100-5.0L FFV-8-W1C-300A-156.8-23-E85-Unleaded</v>
      </c>
      <c r="AN2299" s="662" t="str">
        <f t="shared" si="247"/>
        <v>2019-LTK-FRD-F150-138</v>
      </c>
    </row>
    <row r="2300" spans="1:40" s="572" customFormat="1" ht="15">
      <c r="A2300" s="570" t="s">
        <v>4192</v>
      </c>
      <c r="B2300" s="569" t="s">
        <v>4193</v>
      </c>
      <c r="C2300" s="569" t="s">
        <v>287</v>
      </c>
      <c r="D2300" s="580">
        <v>26</v>
      </c>
      <c r="E2300" s="569" t="s">
        <v>3374</v>
      </c>
      <c r="F2300" s="569" t="s">
        <v>152</v>
      </c>
      <c r="G2300" s="569" t="s">
        <v>271</v>
      </c>
      <c r="H2300" s="569">
        <v>2019</v>
      </c>
      <c r="I2300" s="569" t="s">
        <v>3765</v>
      </c>
      <c r="J2300" s="569" t="s">
        <v>4179</v>
      </c>
      <c r="K2300" s="569" t="s">
        <v>3377</v>
      </c>
      <c r="L2300" s="569">
        <v>6</v>
      </c>
      <c r="M2300" s="569">
        <v>0</v>
      </c>
      <c r="N2300" s="569" t="s">
        <v>157</v>
      </c>
      <c r="O2300" s="569">
        <v>2</v>
      </c>
      <c r="P2300" s="569" t="s">
        <v>3767</v>
      </c>
      <c r="Q2300" s="568">
        <v>10700</v>
      </c>
      <c r="R2300" s="569" t="s">
        <v>1259</v>
      </c>
      <c r="S2300" s="569">
        <v>6</v>
      </c>
      <c r="T2300" s="569" t="s">
        <v>4141</v>
      </c>
      <c r="U2300" s="569" t="s">
        <v>318</v>
      </c>
      <c r="V2300" s="569">
        <v>145</v>
      </c>
      <c r="W2300" s="569">
        <v>23</v>
      </c>
      <c r="X2300" s="568">
        <v>6100</v>
      </c>
      <c r="Y2300" s="569">
        <v>20</v>
      </c>
      <c r="Z2300" s="581" t="s">
        <v>178</v>
      </c>
      <c r="AA2300" s="581" t="s">
        <v>178</v>
      </c>
      <c r="AB2300" s="585">
        <v>43510</v>
      </c>
      <c r="AC2300" s="585" t="s">
        <v>164</v>
      </c>
      <c r="AD2300" s="585">
        <v>31633</v>
      </c>
      <c r="AE2300" s="587">
        <v>0.05</v>
      </c>
      <c r="AF2300" s="661" t="str">
        <f t="shared" si="248"/>
        <v>2019-LTK-FRD-F150-131-26</v>
      </c>
      <c r="AG2300" s="661" t="str">
        <f>IF(AND($Y2300&gt;=32,(AI2300="I"),(Y2300&lt;&gt;"~"),(COUNTIF($AN$1:$AN2300,$AN2300)=1)),"TRUE","FALSE")</f>
        <v>FALSE</v>
      </c>
      <c r="AH2300" s="661" t="str">
        <f>IF(AND($Y2300&gt;=22, (AI2300&lt;&gt;"I"),(Y2300&lt;&gt;"~"),(COUNTIF($AN$1:$AN2300,$AN2300)=1)),"TRUE","FALSE")</f>
        <v>FALSE</v>
      </c>
      <c r="AI2300" s="661" t="str">
        <f t="shared" si="250"/>
        <v>II</v>
      </c>
      <c r="AJ2300" s="662" t="str">
        <f t="shared" si="244"/>
        <v>F150-131</v>
      </c>
      <c r="AK2300" s="662" t="str">
        <f t="shared" si="245"/>
        <v>LTK</v>
      </c>
      <c r="AL2300" s="662" t="str">
        <f t="shared" si="246"/>
        <v>FRD</v>
      </c>
      <c r="AM2300" s="662" t="str">
        <f t="shared" si="249"/>
        <v>F150-Super Crew XLT-2WD-6-5'5"-10700-3.5L EcoBoost-6-W1C-300A-145-23-Unleaded-Unleaded</v>
      </c>
      <c r="AN2300" s="662" t="str">
        <f t="shared" si="247"/>
        <v>2019-LTK-FRD-F150-131</v>
      </c>
    </row>
    <row r="2301" spans="1:40" s="572" customFormat="1" ht="15">
      <c r="A2301" s="570" t="s">
        <v>4194</v>
      </c>
      <c r="B2301" s="573" t="s">
        <v>4181</v>
      </c>
      <c r="C2301" s="573" t="s">
        <v>287</v>
      </c>
      <c r="D2301" s="578">
        <v>26</v>
      </c>
      <c r="E2301" s="573" t="s">
        <v>3374</v>
      </c>
      <c r="F2301" s="573" t="s">
        <v>152</v>
      </c>
      <c r="G2301" s="573" t="s">
        <v>271</v>
      </c>
      <c r="H2301" s="573">
        <v>2019</v>
      </c>
      <c r="I2301" s="573" t="s">
        <v>3765</v>
      </c>
      <c r="J2301" s="573" t="s">
        <v>4179</v>
      </c>
      <c r="K2301" s="573" t="s">
        <v>3377</v>
      </c>
      <c r="L2301" s="573">
        <v>6</v>
      </c>
      <c r="M2301" s="573">
        <v>0</v>
      </c>
      <c r="N2301" s="573" t="s">
        <v>157</v>
      </c>
      <c r="O2301" s="573">
        <v>2</v>
      </c>
      <c r="P2301" s="573" t="s">
        <v>3767</v>
      </c>
      <c r="Q2301" s="571">
        <v>7600</v>
      </c>
      <c r="R2301" s="573" t="s">
        <v>3841</v>
      </c>
      <c r="S2301" s="573">
        <v>6</v>
      </c>
      <c r="T2301" s="573" t="s">
        <v>4141</v>
      </c>
      <c r="U2301" s="573" t="s">
        <v>318</v>
      </c>
      <c r="V2301" s="573">
        <v>145</v>
      </c>
      <c r="W2301" s="573">
        <v>23</v>
      </c>
      <c r="X2301" s="571">
        <v>6100</v>
      </c>
      <c r="Y2301" s="573">
        <v>22</v>
      </c>
      <c r="Z2301" s="579" t="s">
        <v>178</v>
      </c>
      <c r="AA2301" s="579" t="s">
        <v>178</v>
      </c>
      <c r="AB2301" s="584">
        <v>41910</v>
      </c>
      <c r="AC2301" s="584" t="s">
        <v>164</v>
      </c>
      <c r="AD2301" s="584">
        <v>30178</v>
      </c>
      <c r="AE2301" s="586">
        <v>0.05</v>
      </c>
      <c r="AF2301" s="661" t="str">
        <f t="shared" si="248"/>
        <v>2019-LTK-FRD-F150-133-26</v>
      </c>
      <c r="AG2301" s="661" t="str">
        <f>IF(AND($Y2301&gt;=32,(AI2301="I"),(Y2301&lt;&gt;"~"),(COUNTIF($AN$1:$AN2301,$AN2301)=1)),"TRUE","FALSE")</f>
        <v>FALSE</v>
      </c>
      <c r="AH2301" s="661" t="str">
        <f>IF(AND($Y2301&gt;=22, (AI2301&lt;&gt;"I"),(Y2301&lt;&gt;"~"),(COUNTIF($AN$1:$AN2301,$AN2301)=1)),"TRUE","FALSE")</f>
        <v>FALSE</v>
      </c>
      <c r="AI2301" s="661" t="str">
        <f t="shared" si="250"/>
        <v>II</v>
      </c>
      <c r="AJ2301" s="662" t="str">
        <f t="shared" si="244"/>
        <v>F150-133</v>
      </c>
      <c r="AK2301" s="662" t="str">
        <f t="shared" si="245"/>
        <v>LTK</v>
      </c>
      <c r="AL2301" s="662" t="str">
        <f t="shared" si="246"/>
        <v>FRD</v>
      </c>
      <c r="AM2301" s="662" t="str">
        <f t="shared" si="249"/>
        <v>F150-Super Crew XLT-2WD-6-5'5"-7600-2.7L EcoBoost-6-W1C-300A-145-23-Unleaded-Unleaded</v>
      </c>
      <c r="AN2301" s="662" t="str">
        <f t="shared" si="247"/>
        <v>2019-LTK-FRD-F150-133</v>
      </c>
    </row>
    <row r="2302" spans="1:40" s="572" customFormat="1" ht="15">
      <c r="A2302" s="570" t="s">
        <v>4195</v>
      </c>
      <c r="B2302" s="569" t="s">
        <v>4196</v>
      </c>
      <c r="C2302" s="569" t="s">
        <v>287</v>
      </c>
      <c r="D2302" s="580">
        <v>26</v>
      </c>
      <c r="E2302" s="569" t="s">
        <v>3374</v>
      </c>
      <c r="F2302" s="569" t="s">
        <v>152</v>
      </c>
      <c r="G2302" s="569" t="s">
        <v>271</v>
      </c>
      <c r="H2302" s="569">
        <v>2019</v>
      </c>
      <c r="I2302" s="569" t="s">
        <v>3765</v>
      </c>
      <c r="J2302" s="569" t="s">
        <v>4179</v>
      </c>
      <c r="K2302" s="569" t="s">
        <v>3377</v>
      </c>
      <c r="L2302" s="569">
        <v>6</v>
      </c>
      <c r="M2302" s="569">
        <v>0</v>
      </c>
      <c r="N2302" s="569" t="s">
        <v>157</v>
      </c>
      <c r="O2302" s="569">
        <v>2</v>
      </c>
      <c r="P2302" s="569" t="s">
        <v>3767</v>
      </c>
      <c r="Q2302" s="568">
        <v>7700</v>
      </c>
      <c r="R2302" s="569" t="s">
        <v>1322</v>
      </c>
      <c r="S2302" s="569">
        <v>6</v>
      </c>
      <c r="T2302" s="569" t="s">
        <v>4141</v>
      </c>
      <c r="U2302" s="569" t="s">
        <v>318</v>
      </c>
      <c r="V2302" s="569">
        <v>145</v>
      </c>
      <c r="W2302" s="569">
        <v>23</v>
      </c>
      <c r="X2302" s="568">
        <v>6100</v>
      </c>
      <c r="Y2302" s="569">
        <v>20</v>
      </c>
      <c r="Z2302" s="581" t="s">
        <v>178</v>
      </c>
      <c r="AA2302" s="581" t="s">
        <v>178</v>
      </c>
      <c r="AB2302" s="585">
        <v>40915</v>
      </c>
      <c r="AC2302" s="585" t="s">
        <v>164</v>
      </c>
      <c r="AD2302" s="585">
        <v>29272</v>
      </c>
      <c r="AE2302" s="587">
        <v>0.05</v>
      </c>
      <c r="AF2302" s="661" t="str">
        <f t="shared" si="248"/>
        <v>2019-LTK-FRD-F150-134-26</v>
      </c>
      <c r="AG2302" s="661" t="str">
        <f>IF(AND($Y2302&gt;=32,(AI2302="I"),(Y2302&lt;&gt;"~"),(COUNTIF($AN$1:$AN2302,$AN2302)=1)),"TRUE","FALSE")</f>
        <v>FALSE</v>
      </c>
      <c r="AH2302" s="661" t="str">
        <f>IF(AND($Y2302&gt;=22, (AI2302&lt;&gt;"I"),(Y2302&lt;&gt;"~"),(COUNTIF($AN$1:$AN2302,$AN2302)=1)),"TRUE","FALSE")</f>
        <v>FALSE</v>
      </c>
      <c r="AI2302" s="661" t="str">
        <f t="shared" si="250"/>
        <v>II</v>
      </c>
      <c r="AJ2302" s="662" t="str">
        <f t="shared" si="244"/>
        <v>F150-134</v>
      </c>
      <c r="AK2302" s="662" t="str">
        <f t="shared" si="245"/>
        <v>LTK</v>
      </c>
      <c r="AL2302" s="662" t="str">
        <f t="shared" si="246"/>
        <v>FRD</v>
      </c>
      <c r="AM2302" s="662" t="str">
        <f t="shared" si="249"/>
        <v>F150-Super Crew XLT-2WD-6-5'5"-7700-3.3L-6-W1C-300A-145-23-Unleaded-Unleaded</v>
      </c>
      <c r="AN2302" s="662" t="str">
        <f t="shared" si="247"/>
        <v>2019-LTK-FRD-F150-134</v>
      </c>
    </row>
    <row r="2303" spans="1:40" s="572" customFormat="1" ht="15">
      <c r="A2303" s="570" t="s">
        <v>4197</v>
      </c>
      <c r="B2303" s="573" t="s">
        <v>4185</v>
      </c>
      <c r="C2303" s="573" t="s">
        <v>287</v>
      </c>
      <c r="D2303" s="578">
        <v>26</v>
      </c>
      <c r="E2303" s="573" t="s">
        <v>3374</v>
      </c>
      <c r="F2303" s="573" t="s">
        <v>152</v>
      </c>
      <c r="G2303" s="573" t="s">
        <v>271</v>
      </c>
      <c r="H2303" s="573">
        <v>2019</v>
      </c>
      <c r="I2303" s="573" t="s">
        <v>3765</v>
      </c>
      <c r="J2303" s="573" t="s">
        <v>4179</v>
      </c>
      <c r="K2303" s="573" t="s">
        <v>3377</v>
      </c>
      <c r="L2303" s="573" t="s">
        <v>4165</v>
      </c>
      <c r="M2303" s="573">
        <v>0</v>
      </c>
      <c r="N2303" s="573" t="s">
        <v>157</v>
      </c>
      <c r="O2303" s="573">
        <v>2</v>
      </c>
      <c r="P2303" s="573" t="s">
        <v>3767</v>
      </c>
      <c r="Q2303" s="571">
        <v>9100</v>
      </c>
      <c r="R2303" s="573" t="s">
        <v>3778</v>
      </c>
      <c r="S2303" s="573">
        <v>8</v>
      </c>
      <c r="T2303" s="573" t="s">
        <v>4141</v>
      </c>
      <c r="U2303" s="573" t="s">
        <v>318</v>
      </c>
      <c r="V2303" s="573">
        <v>145</v>
      </c>
      <c r="W2303" s="573">
        <v>23</v>
      </c>
      <c r="X2303" s="571">
        <v>6100</v>
      </c>
      <c r="Y2303" s="573">
        <v>18</v>
      </c>
      <c r="Z2303" s="579" t="s">
        <v>178</v>
      </c>
      <c r="AA2303" s="579" t="s">
        <v>178</v>
      </c>
      <c r="AB2303" s="584">
        <v>42910</v>
      </c>
      <c r="AC2303" s="584" t="s">
        <v>164</v>
      </c>
      <c r="AD2303" s="584">
        <v>31088</v>
      </c>
      <c r="AE2303" s="586">
        <v>0.05</v>
      </c>
      <c r="AF2303" s="661" t="str">
        <f t="shared" si="248"/>
        <v>2019-LTK-FRD-F150-135-26</v>
      </c>
      <c r="AG2303" s="661" t="str">
        <f>IF(AND($Y2303&gt;=32,(AI2303="I"),(Y2303&lt;&gt;"~"),(COUNTIF($AN$1:$AN2303,$AN2303)=1)),"TRUE","FALSE")</f>
        <v>FALSE</v>
      </c>
      <c r="AH2303" s="661" t="str">
        <f>IF(AND($Y2303&gt;=22, (AI2303&lt;&gt;"I"),(Y2303&lt;&gt;"~"),(COUNTIF($AN$1:$AN2303,$AN2303)=1)),"TRUE","FALSE")</f>
        <v>FALSE</v>
      </c>
      <c r="AI2303" s="661" t="str">
        <f t="shared" si="250"/>
        <v>II</v>
      </c>
      <c r="AJ2303" s="662" t="str">
        <f t="shared" si="244"/>
        <v>F150-135</v>
      </c>
      <c r="AK2303" s="662" t="str">
        <f t="shared" si="245"/>
        <v>LTK</v>
      </c>
      <c r="AL2303" s="662" t="str">
        <f t="shared" si="246"/>
        <v>FRD</v>
      </c>
      <c r="AM2303" s="662" t="str">
        <f t="shared" si="249"/>
        <v>F150-Super Crew XLT-2WD-6-5'5"-9100-5.0L FFV-8-W1C-300A-145-23-Unleaded-Unleaded</v>
      </c>
      <c r="AN2303" s="662" t="str">
        <f t="shared" si="247"/>
        <v>2019-LTK-FRD-F150-135</v>
      </c>
    </row>
    <row r="2304" spans="1:40" s="572" customFormat="1" ht="15">
      <c r="A2304" s="570" t="s">
        <v>4198</v>
      </c>
      <c r="B2304" s="569" t="s">
        <v>4178</v>
      </c>
      <c r="C2304" s="569" t="s">
        <v>280</v>
      </c>
      <c r="D2304" s="580">
        <v>27</v>
      </c>
      <c r="E2304" s="569" t="s">
        <v>3374</v>
      </c>
      <c r="F2304" s="569" t="s">
        <v>152</v>
      </c>
      <c r="G2304" s="569" t="s">
        <v>271</v>
      </c>
      <c r="H2304" s="569">
        <v>2019</v>
      </c>
      <c r="I2304" s="569" t="s">
        <v>3765</v>
      </c>
      <c r="J2304" s="569" t="s">
        <v>4179</v>
      </c>
      <c r="K2304" s="569" t="s">
        <v>3377</v>
      </c>
      <c r="L2304" s="569">
        <v>6</v>
      </c>
      <c r="M2304" s="569">
        <v>0</v>
      </c>
      <c r="N2304" s="569" t="s">
        <v>157</v>
      </c>
      <c r="O2304" s="569">
        <v>2</v>
      </c>
      <c r="P2304" s="569" t="s">
        <v>3767</v>
      </c>
      <c r="Q2304" s="568">
        <v>10700</v>
      </c>
      <c r="R2304" s="569" t="s">
        <v>1259</v>
      </c>
      <c r="S2304" s="569">
        <v>6</v>
      </c>
      <c r="T2304" s="569" t="s">
        <v>4141</v>
      </c>
      <c r="U2304" s="569" t="s">
        <v>318</v>
      </c>
      <c r="V2304" s="569">
        <v>145</v>
      </c>
      <c r="W2304" s="569">
        <v>23</v>
      </c>
      <c r="X2304" s="568">
        <v>6750</v>
      </c>
      <c r="Y2304" s="569">
        <v>21</v>
      </c>
      <c r="Z2304" s="581" t="s">
        <v>178</v>
      </c>
      <c r="AA2304" s="581" t="s">
        <v>178</v>
      </c>
      <c r="AB2304" s="585">
        <v>43510</v>
      </c>
      <c r="AC2304" s="585" t="s">
        <v>164</v>
      </c>
      <c r="AD2304" s="585">
        <v>30755.916666666668</v>
      </c>
      <c r="AE2304" s="587">
        <v>0.03</v>
      </c>
      <c r="AF2304" s="661" t="str">
        <f t="shared" si="248"/>
        <v>2019-LTK-FRD-F150-132-27</v>
      </c>
      <c r="AG2304" s="661" t="str">
        <f>IF(AND($Y2304&gt;=32,(AI2304="I"),(Y2304&lt;&gt;"~"),(COUNTIF($AN$1:$AN2304,$AN2304)=1)),"TRUE","FALSE")</f>
        <v>FALSE</v>
      </c>
      <c r="AH2304" s="661" t="str">
        <f>IF(AND($Y2304&gt;=22, (AI2304&lt;&gt;"I"),(Y2304&lt;&gt;"~"),(COUNTIF($AN$1:$AN2304,$AN2304)=1)),"TRUE","FALSE")</f>
        <v>FALSE</v>
      </c>
      <c r="AI2304" s="661" t="str">
        <f t="shared" si="250"/>
        <v>II</v>
      </c>
      <c r="AJ2304" s="662" t="str">
        <f t="shared" si="244"/>
        <v>F150-132</v>
      </c>
      <c r="AK2304" s="662" t="str">
        <f t="shared" si="245"/>
        <v>LTK</v>
      </c>
      <c r="AL2304" s="662" t="str">
        <f t="shared" si="246"/>
        <v>FRD</v>
      </c>
      <c r="AM2304" s="662" t="str">
        <f t="shared" si="249"/>
        <v>F150-Super Crew XLT-2WD-6-5'5"-10700-3.5L EcoBoost-6-W1C-300A-145-23-Unleaded-Unleaded</v>
      </c>
      <c r="AN2304" s="662" t="str">
        <f t="shared" si="247"/>
        <v>2019-LTK-FRD-F150-132</v>
      </c>
    </row>
    <row r="2305" spans="1:40" s="572" customFormat="1" ht="15">
      <c r="A2305" s="570" t="s">
        <v>4199</v>
      </c>
      <c r="B2305" s="573" t="s">
        <v>4181</v>
      </c>
      <c r="C2305" s="573" t="s">
        <v>280</v>
      </c>
      <c r="D2305" s="578">
        <v>27</v>
      </c>
      <c r="E2305" s="573" t="s">
        <v>3374</v>
      </c>
      <c r="F2305" s="573" t="s">
        <v>152</v>
      </c>
      <c r="G2305" s="573" t="s">
        <v>271</v>
      </c>
      <c r="H2305" s="573">
        <v>2019</v>
      </c>
      <c r="I2305" s="573" t="s">
        <v>3765</v>
      </c>
      <c r="J2305" s="573" t="s">
        <v>4179</v>
      </c>
      <c r="K2305" s="573" t="s">
        <v>3377</v>
      </c>
      <c r="L2305" s="573">
        <v>6</v>
      </c>
      <c r="M2305" s="573">
        <v>0</v>
      </c>
      <c r="N2305" s="573" t="s">
        <v>157</v>
      </c>
      <c r="O2305" s="573">
        <v>2</v>
      </c>
      <c r="P2305" s="573" t="s">
        <v>3767</v>
      </c>
      <c r="Q2305" s="571">
        <v>7600</v>
      </c>
      <c r="R2305" s="573" t="s">
        <v>3841</v>
      </c>
      <c r="S2305" s="573">
        <v>6</v>
      </c>
      <c r="T2305" s="573" t="s">
        <v>4141</v>
      </c>
      <c r="U2305" s="573" t="s">
        <v>318</v>
      </c>
      <c r="V2305" s="573">
        <v>145</v>
      </c>
      <c r="W2305" s="573">
        <v>23</v>
      </c>
      <c r="X2305" s="571">
        <v>6360</v>
      </c>
      <c r="Y2305" s="573">
        <v>22</v>
      </c>
      <c r="Z2305" s="579" t="s">
        <v>178</v>
      </c>
      <c r="AA2305" s="579" t="s">
        <v>178</v>
      </c>
      <c r="AB2305" s="584">
        <v>41910</v>
      </c>
      <c r="AC2305" s="584" t="s">
        <v>164</v>
      </c>
      <c r="AD2305" s="584">
        <v>29335.083333333336</v>
      </c>
      <c r="AE2305" s="586">
        <v>0.03</v>
      </c>
      <c r="AF2305" s="661" t="str">
        <f t="shared" si="248"/>
        <v>2019-LTK-FRD-F150-133-27</v>
      </c>
      <c r="AG2305" s="661" t="str">
        <f>IF(AND($Y2305&gt;=32,(AI2305="I"),(Y2305&lt;&gt;"~"),(COUNTIF($AN$1:$AN2305,$AN2305)=1)),"TRUE","FALSE")</f>
        <v>FALSE</v>
      </c>
      <c r="AH2305" s="661" t="str">
        <f>IF(AND($Y2305&gt;=22, (AI2305&lt;&gt;"I"),(Y2305&lt;&gt;"~"),(COUNTIF($AN$1:$AN2305,$AN2305)=1)),"TRUE","FALSE")</f>
        <v>FALSE</v>
      </c>
      <c r="AI2305" s="661" t="str">
        <f t="shared" si="250"/>
        <v>II</v>
      </c>
      <c r="AJ2305" s="662" t="str">
        <f t="shared" si="244"/>
        <v>F150-133</v>
      </c>
      <c r="AK2305" s="662" t="str">
        <f t="shared" si="245"/>
        <v>LTK</v>
      </c>
      <c r="AL2305" s="662" t="str">
        <f t="shared" si="246"/>
        <v>FRD</v>
      </c>
      <c r="AM2305" s="662" t="str">
        <f t="shared" si="249"/>
        <v>F150-Super Crew XLT-2WD-6-5'5"-7600-2.7L EcoBoost-6-W1C-300A-145-23-Unleaded-Unleaded</v>
      </c>
      <c r="AN2305" s="662" t="str">
        <f t="shared" si="247"/>
        <v>2019-LTK-FRD-F150-133</v>
      </c>
    </row>
    <row r="2306" spans="1:40" s="572" customFormat="1" ht="15">
      <c r="A2306" s="570" t="s">
        <v>4200</v>
      </c>
      <c r="B2306" s="569" t="s">
        <v>4183</v>
      </c>
      <c r="C2306" s="569" t="s">
        <v>280</v>
      </c>
      <c r="D2306" s="580">
        <v>27</v>
      </c>
      <c r="E2306" s="569" t="s">
        <v>3374</v>
      </c>
      <c r="F2306" s="569" t="s">
        <v>152</v>
      </c>
      <c r="G2306" s="569" t="s">
        <v>271</v>
      </c>
      <c r="H2306" s="569">
        <v>2019</v>
      </c>
      <c r="I2306" s="569" t="s">
        <v>3765</v>
      </c>
      <c r="J2306" s="569" t="s">
        <v>4179</v>
      </c>
      <c r="K2306" s="569" t="s">
        <v>3377</v>
      </c>
      <c r="L2306" s="569" t="s">
        <v>4165</v>
      </c>
      <c r="M2306" s="569">
        <v>0</v>
      </c>
      <c r="N2306" s="569" t="s">
        <v>157</v>
      </c>
      <c r="O2306" s="569">
        <v>2</v>
      </c>
      <c r="P2306" s="569" t="s">
        <v>3767</v>
      </c>
      <c r="Q2306" s="568">
        <v>7700</v>
      </c>
      <c r="R2306" s="569" t="s">
        <v>1322</v>
      </c>
      <c r="S2306" s="569">
        <v>6</v>
      </c>
      <c r="T2306" s="569" t="s">
        <v>4141</v>
      </c>
      <c r="U2306" s="569" t="s">
        <v>318</v>
      </c>
      <c r="V2306" s="569">
        <v>145</v>
      </c>
      <c r="W2306" s="569">
        <v>23</v>
      </c>
      <c r="X2306" s="568">
        <v>6100</v>
      </c>
      <c r="Y2306" s="569">
        <v>22</v>
      </c>
      <c r="Z2306" s="581" t="s">
        <v>178</v>
      </c>
      <c r="AA2306" s="581" t="s">
        <v>178</v>
      </c>
      <c r="AB2306" s="585">
        <v>40915</v>
      </c>
      <c r="AC2306" s="585" t="s">
        <v>164</v>
      </c>
      <c r="AD2306" s="585">
        <v>28750.189473684211</v>
      </c>
      <c r="AE2306" s="587">
        <v>0.03</v>
      </c>
      <c r="AF2306" s="661" t="str">
        <f t="shared" si="248"/>
        <v>2019-LTK-FRD-F150-112-27</v>
      </c>
      <c r="AG2306" s="661" t="str">
        <f>IF(AND($Y2306&gt;=32,(AI2306="I"),(Y2306&lt;&gt;"~"),(COUNTIF($AN$1:$AN2306,$AN2306)=1)),"TRUE","FALSE")</f>
        <v>FALSE</v>
      </c>
      <c r="AH2306" s="661" t="str">
        <f>IF(AND($Y2306&gt;=22, (AI2306&lt;&gt;"I"),(Y2306&lt;&gt;"~"),(COUNTIF($AN$1:$AN2306,$AN2306)=1)),"TRUE","FALSE")</f>
        <v>FALSE</v>
      </c>
      <c r="AI2306" s="661" t="str">
        <f t="shared" si="250"/>
        <v>II</v>
      </c>
      <c r="AJ2306" s="662" t="str">
        <f t="shared" si="244"/>
        <v>F150-112</v>
      </c>
      <c r="AK2306" s="662" t="str">
        <f t="shared" si="245"/>
        <v>LTK</v>
      </c>
      <c r="AL2306" s="662" t="str">
        <f t="shared" si="246"/>
        <v>FRD</v>
      </c>
      <c r="AM2306" s="662" t="str">
        <f t="shared" si="249"/>
        <v>F150-Super Crew XLT-2WD-6-5'5"-7700-3.3L-6-W1C-300A-145-23-Unleaded-Unleaded</v>
      </c>
      <c r="AN2306" s="662" t="str">
        <f t="shared" si="247"/>
        <v>2019-LTK-FRD-F150-112</v>
      </c>
    </row>
    <row r="2307" spans="1:40" s="572" customFormat="1" ht="15">
      <c r="A2307" s="570" t="s">
        <v>4201</v>
      </c>
      <c r="B2307" s="573" t="s">
        <v>4185</v>
      </c>
      <c r="C2307" s="573" t="s">
        <v>280</v>
      </c>
      <c r="D2307" s="578">
        <v>27</v>
      </c>
      <c r="E2307" s="573" t="s">
        <v>3374</v>
      </c>
      <c r="F2307" s="573" t="s">
        <v>152</v>
      </c>
      <c r="G2307" s="573" t="s">
        <v>271</v>
      </c>
      <c r="H2307" s="573">
        <v>2019</v>
      </c>
      <c r="I2307" s="573" t="s">
        <v>3765</v>
      </c>
      <c r="J2307" s="573" t="s">
        <v>4179</v>
      </c>
      <c r="K2307" s="573" t="s">
        <v>3377</v>
      </c>
      <c r="L2307" s="573">
        <v>6</v>
      </c>
      <c r="M2307" s="573">
        <v>0</v>
      </c>
      <c r="N2307" s="573" t="s">
        <v>157</v>
      </c>
      <c r="O2307" s="573">
        <v>2</v>
      </c>
      <c r="P2307" s="573" t="s">
        <v>3767</v>
      </c>
      <c r="Q2307" s="571">
        <v>9100</v>
      </c>
      <c r="R2307" s="573" t="s">
        <v>3778</v>
      </c>
      <c r="S2307" s="573">
        <v>8</v>
      </c>
      <c r="T2307" s="573" t="s">
        <v>4141</v>
      </c>
      <c r="U2307" s="573" t="s">
        <v>318</v>
      </c>
      <c r="V2307" s="573">
        <v>145</v>
      </c>
      <c r="W2307" s="573">
        <v>23</v>
      </c>
      <c r="X2307" s="571">
        <v>6800</v>
      </c>
      <c r="Y2307" s="573">
        <v>19</v>
      </c>
      <c r="Z2307" s="579" t="s">
        <v>450</v>
      </c>
      <c r="AA2307" s="579" t="s">
        <v>178</v>
      </c>
      <c r="AB2307" s="584">
        <v>42910</v>
      </c>
      <c r="AC2307" s="584" t="s">
        <v>164</v>
      </c>
      <c r="AD2307" s="584">
        <v>30222.583333333336</v>
      </c>
      <c r="AE2307" s="586">
        <v>0.03</v>
      </c>
      <c r="AF2307" s="661" t="str">
        <f t="shared" si="248"/>
        <v>2019-LTK-FRD-F150-135-27</v>
      </c>
      <c r="AG2307" s="661" t="str">
        <f>IF(AND($Y2307&gt;=32,(AI2307="I"),(Y2307&lt;&gt;"~"),(COUNTIF($AN$1:$AN2307,$AN2307)=1)),"TRUE","FALSE")</f>
        <v>FALSE</v>
      </c>
      <c r="AH2307" s="661" t="str">
        <f>IF(AND($Y2307&gt;=22, (AI2307&lt;&gt;"I"),(Y2307&lt;&gt;"~"),(COUNTIF($AN$1:$AN2307,$AN2307)=1)),"TRUE","FALSE")</f>
        <v>FALSE</v>
      </c>
      <c r="AI2307" s="661" t="str">
        <f t="shared" si="250"/>
        <v>II</v>
      </c>
      <c r="AJ2307" s="662" t="str">
        <f t="shared" ref="AJ2307:AJ2370" si="251">MID(A2307,14,8)</f>
        <v>F150-135</v>
      </c>
      <c r="AK2307" s="662" t="str">
        <f t="shared" ref="AK2307:AK2370" si="252">MID(A2307,6,3)</f>
        <v>LTK</v>
      </c>
      <c r="AL2307" s="662" t="str">
        <f t="shared" ref="AL2307:AL2370" si="253">MID(A2307,10,3)</f>
        <v>FRD</v>
      </c>
      <c r="AM2307" s="662" t="str">
        <f t="shared" si="249"/>
        <v>F150-Super Crew XLT-2WD-6-5'5"-9100-5.0L FFV-8-W1C-300A-145-23-E85-Unleaded</v>
      </c>
      <c r="AN2307" s="662" t="str">
        <f t="shared" ref="AN2307:AN2370" si="254">LEFT(A2307,21)</f>
        <v>2019-LTK-FRD-F150-135</v>
      </c>
    </row>
    <row r="2308" spans="1:40" s="572" customFormat="1" ht="15">
      <c r="A2308" s="570" t="s">
        <v>4202</v>
      </c>
      <c r="B2308" s="569" t="s">
        <v>4187</v>
      </c>
      <c r="C2308" s="569" t="s">
        <v>280</v>
      </c>
      <c r="D2308" s="580">
        <v>27</v>
      </c>
      <c r="E2308" s="569" t="s">
        <v>3374</v>
      </c>
      <c r="F2308" s="569" t="s">
        <v>152</v>
      </c>
      <c r="G2308" s="569" t="s">
        <v>271</v>
      </c>
      <c r="H2308" s="569">
        <v>2019</v>
      </c>
      <c r="I2308" s="569" t="s">
        <v>3765</v>
      </c>
      <c r="J2308" s="569" t="s">
        <v>4179</v>
      </c>
      <c r="K2308" s="569" t="s">
        <v>3377</v>
      </c>
      <c r="L2308" s="569">
        <v>6</v>
      </c>
      <c r="M2308" s="569">
        <v>0</v>
      </c>
      <c r="N2308" s="569" t="s">
        <v>157</v>
      </c>
      <c r="O2308" s="569">
        <v>2</v>
      </c>
      <c r="P2308" s="569" t="s">
        <v>3781</v>
      </c>
      <c r="Q2308" s="568">
        <v>10700</v>
      </c>
      <c r="R2308" s="569" t="s">
        <v>1259</v>
      </c>
      <c r="S2308" s="569">
        <v>6</v>
      </c>
      <c r="T2308" s="569" t="s">
        <v>4141</v>
      </c>
      <c r="U2308" s="569" t="s">
        <v>318</v>
      </c>
      <c r="V2308" s="569">
        <v>156.80000000000001</v>
      </c>
      <c r="W2308" s="569">
        <v>23</v>
      </c>
      <c r="X2308" s="568">
        <v>7000</v>
      </c>
      <c r="Y2308" s="569">
        <v>21</v>
      </c>
      <c r="Z2308" s="581" t="s">
        <v>178</v>
      </c>
      <c r="AA2308" s="581" t="s">
        <v>178</v>
      </c>
      <c r="AB2308" s="585">
        <v>43820</v>
      </c>
      <c r="AC2308" s="585" t="s">
        <v>164</v>
      </c>
      <c r="AD2308" s="585">
        <v>31043.416666666668</v>
      </c>
      <c r="AE2308" s="587">
        <v>0.03</v>
      </c>
      <c r="AF2308" s="661" t="str">
        <f t="shared" si="248"/>
        <v>2019-LTK-FRD-F150-136-27</v>
      </c>
      <c r="AG2308" s="661" t="str">
        <f>IF(AND($Y2308&gt;=32,(AI2308="I"),(Y2308&lt;&gt;"~"),(COUNTIF($AN$1:$AN2308,$AN2308)=1)),"TRUE","FALSE")</f>
        <v>FALSE</v>
      </c>
      <c r="AH2308" s="661" t="str">
        <f>IF(AND($Y2308&gt;=22, (AI2308&lt;&gt;"I"),(Y2308&lt;&gt;"~"),(COUNTIF($AN$1:$AN2308,$AN2308)=1)),"TRUE","FALSE")</f>
        <v>FALSE</v>
      </c>
      <c r="AI2308" s="661" t="str">
        <f t="shared" si="250"/>
        <v>II</v>
      </c>
      <c r="AJ2308" s="662" t="str">
        <f t="shared" si="251"/>
        <v>F150-136</v>
      </c>
      <c r="AK2308" s="662" t="str">
        <f t="shared" si="252"/>
        <v>LTK</v>
      </c>
      <c r="AL2308" s="662" t="str">
        <f t="shared" si="253"/>
        <v>FRD</v>
      </c>
      <c r="AM2308" s="662" t="str">
        <f t="shared" si="249"/>
        <v>F150-Super Crew XLT-2WD-6-6'5"-10700-3.5L EcoBoost-6-W1C-300A-156.8-23-Unleaded-Unleaded</v>
      </c>
      <c r="AN2308" s="662" t="str">
        <f t="shared" si="254"/>
        <v>2019-LTK-FRD-F150-136</v>
      </c>
    </row>
    <row r="2309" spans="1:40" s="572" customFormat="1" ht="15">
      <c r="A2309" s="570" t="s">
        <v>4203</v>
      </c>
      <c r="B2309" s="573" t="s">
        <v>4189</v>
      </c>
      <c r="C2309" s="573" t="s">
        <v>280</v>
      </c>
      <c r="D2309" s="578">
        <v>27</v>
      </c>
      <c r="E2309" s="573" t="s">
        <v>3374</v>
      </c>
      <c r="F2309" s="573" t="s">
        <v>152</v>
      </c>
      <c r="G2309" s="573" t="s">
        <v>271</v>
      </c>
      <c r="H2309" s="573">
        <v>2019</v>
      </c>
      <c r="I2309" s="573" t="s">
        <v>3765</v>
      </c>
      <c r="J2309" s="573" t="s">
        <v>4179</v>
      </c>
      <c r="K2309" s="573" t="s">
        <v>3377</v>
      </c>
      <c r="L2309" s="573">
        <v>6</v>
      </c>
      <c r="M2309" s="573">
        <v>0</v>
      </c>
      <c r="N2309" s="573" t="s">
        <v>157</v>
      </c>
      <c r="O2309" s="573">
        <v>2</v>
      </c>
      <c r="P2309" s="573" t="s">
        <v>3781</v>
      </c>
      <c r="Q2309" s="571">
        <v>7600</v>
      </c>
      <c r="R2309" s="573" t="s">
        <v>3841</v>
      </c>
      <c r="S2309" s="573">
        <v>6</v>
      </c>
      <c r="T2309" s="573" t="s">
        <v>4141</v>
      </c>
      <c r="U2309" s="573" t="s">
        <v>318</v>
      </c>
      <c r="V2309" s="573">
        <v>156.80000000000001</v>
      </c>
      <c r="W2309" s="573">
        <v>23</v>
      </c>
      <c r="X2309" s="571">
        <v>6500</v>
      </c>
      <c r="Y2309" s="573">
        <v>22</v>
      </c>
      <c r="Z2309" s="579" t="s">
        <v>178</v>
      </c>
      <c r="AA2309" s="579" t="s">
        <v>178</v>
      </c>
      <c r="AB2309" s="584">
        <v>42220</v>
      </c>
      <c r="AC2309" s="584" t="s">
        <v>164</v>
      </c>
      <c r="AD2309" s="584">
        <v>29622.583333333336</v>
      </c>
      <c r="AE2309" s="586">
        <v>0.03</v>
      </c>
      <c r="AF2309" s="661" t="str">
        <f t="shared" si="248"/>
        <v>2019-LTK-FRD-F150-137-27</v>
      </c>
      <c r="AG2309" s="661" t="str">
        <f>IF(AND($Y2309&gt;=32,(AI2309="I"),(Y2309&lt;&gt;"~"),(COUNTIF($AN$1:$AN2309,$AN2309)=1)),"TRUE","FALSE")</f>
        <v>FALSE</v>
      </c>
      <c r="AH2309" s="661" t="str">
        <f>IF(AND($Y2309&gt;=22, (AI2309&lt;&gt;"I"),(Y2309&lt;&gt;"~"),(COUNTIF($AN$1:$AN2309,$AN2309)=1)),"TRUE","FALSE")</f>
        <v>FALSE</v>
      </c>
      <c r="AI2309" s="661" t="str">
        <f t="shared" si="250"/>
        <v>II</v>
      </c>
      <c r="AJ2309" s="662" t="str">
        <f t="shared" si="251"/>
        <v>F150-137</v>
      </c>
      <c r="AK2309" s="662" t="str">
        <f t="shared" si="252"/>
        <v>LTK</v>
      </c>
      <c r="AL2309" s="662" t="str">
        <f t="shared" si="253"/>
        <v>FRD</v>
      </c>
      <c r="AM2309" s="662" t="str">
        <f t="shared" si="249"/>
        <v>F150-Super Crew XLT-2WD-6-6'5"-7600-2.7L EcoBoost-6-W1C-300A-156.8-23-Unleaded-Unleaded</v>
      </c>
      <c r="AN2309" s="662" t="str">
        <f t="shared" si="254"/>
        <v>2019-LTK-FRD-F150-137</v>
      </c>
    </row>
    <row r="2310" spans="1:40" s="572" customFormat="1" ht="15">
      <c r="A2310" s="570" t="s">
        <v>4204</v>
      </c>
      <c r="B2310" s="569" t="s">
        <v>4191</v>
      </c>
      <c r="C2310" s="569" t="s">
        <v>280</v>
      </c>
      <c r="D2310" s="580">
        <v>27</v>
      </c>
      <c r="E2310" s="569" t="s">
        <v>3374</v>
      </c>
      <c r="F2310" s="569" t="s">
        <v>152</v>
      </c>
      <c r="G2310" s="569" t="s">
        <v>271</v>
      </c>
      <c r="H2310" s="569">
        <v>2019</v>
      </c>
      <c r="I2310" s="569" t="s">
        <v>3765</v>
      </c>
      <c r="J2310" s="569" t="s">
        <v>4179</v>
      </c>
      <c r="K2310" s="569" t="s">
        <v>3377</v>
      </c>
      <c r="L2310" s="569">
        <v>6</v>
      </c>
      <c r="M2310" s="569">
        <v>0</v>
      </c>
      <c r="N2310" s="569" t="s">
        <v>157</v>
      </c>
      <c r="O2310" s="569">
        <v>2</v>
      </c>
      <c r="P2310" s="569" t="s">
        <v>3781</v>
      </c>
      <c r="Q2310" s="568">
        <v>9100</v>
      </c>
      <c r="R2310" s="569" t="s">
        <v>3778</v>
      </c>
      <c r="S2310" s="569">
        <v>8</v>
      </c>
      <c r="T2310" s="569" t="s">
        <v>4141</v>
      </c>
      <c r="U2310" s="569" t="s">
        <v>318</v>
      </c>
      <c r="V2310" s="569">
        <v>156.80000000000001</v>
      </c>
      <c r="W2310" s="569">
        <v>23</v>
      </c>
      <c r="X2310" s="568">
        <v>6950</v>
      </c>
      <c r="Y2310" s="569">
        <v>19</v>
      </c>
      <c r="Z2310" s="581" t="s">
        <v>450</v>
      </c>
      <c r="AA2310" s="581" t="s">
        <v>178</v>
      </c>
      <c r="AB2310" s="585">
        <v>43220</v>
      </c>
      <c r="AC2310" s="585" t="s">
        <v>164</v>
      </c>
      <c r="AD2310" s="585">
        <v>30510.083333333336</v>
      </c>
      <c r="AE2310" s="587">
        <v>0.03</v>
      </c>
      <c r="AF2310" s="661" t="str">
        <f t="shared" si="248"/>
        <v>2019-LTK-FRD-F150-138-27</v>
      </c>
      <c r="AG2310" s="661" t="str">
        <f>IF(AND($Y2310&gt;=32,(AI2310="I"),(Y2310&lt;&gt;"~"),(COUNTIF($AN$1:$AN2310,$AN2310)=1)),"TRUE","FALSE")</f>
        <v>FALSE</v>
      </c>
      <c r="AH2310" s="661" t="str">
        <f>IF(AND($Y2310&gt;=22, (AI2310&lt;&gt;"I"),(Y2310&lt;&gt;"~"),(COUNTIF($AN$1:$AN2310,$AN2310)=1)),"TRUE","FALSE")</f>
        <v>FALSE</v>
      </c>
      <c r="AI2310" s="661" t="str">
        <f t="shared" si="250"/>
        <v>II</v>
      </c>
      <c r="AJ2310" s="662" t="str">
        <f t="shared" si="251"/>
        <v>F150-138</v>
      </c>
      <c r="AK2310" s="662" t="str">
        <f t="shared" si="252"/>
        <v>LTK</v>
      </c>
      <c r="AL2310" s="662" t="str">
        <f t="shared" si="253"/>
        <v>FRD</v>
      </c>
      <c r="AM2310" s="662" t="str">
        <f t="shared" si="249"/>
        <v>F150-Super Crew XLT-2WD-6-6'5"-9100-5.0L FFV-8-W1C-300A-156.8-23-E85-Unleaded</v>
      </c>
      <c r="AN2310" s="662" t="str">
        <f t="shared" si="254"/>
        <v>2019-LTK-FRD-F150-138</v>
      </c>
    </row>
    <row r="2311" spans="1:40" s="572" customFormat="1" ht="15">
      <c r="A2311" s="570" t="s">
        <v>4205</v>
      </c>
      <c r="B2311" s="573" t="s">
        <v>4206</v>
      </c>
      <c r="C2311" s="573" t="s">
        <v>269</v>
      </c>
      <c r="D2311" s="578" t="s">
        <v>270</v>
      </c>
      <c r="E2311" s="573" t="s">
        <v>3374</v>
      </c>
      <c r="F2311" s="573" t="s">
        <v>152</v>
      </c>
      <c r="G2311" s="573" t="s">
        <v>271</v>
      </c>
      <c r="H2311" s="573">
        <v>2019</v>
      </c>
      <c r="I2311" s="573" t="s">
        <v>3765</v>
      </c>
      <c r="J2311" s="573" t="s">
        <v>4207</v>
      </c>
      <c r="K2311" s="573" t="s">
        <v>3377</v>
      </c>
      <c r="L2311" s="573">
        <v>6</v>
      </c>
      <c r="M2311" s="573">
        <v>0</v>
      </c>
      <c r="N2311" s="573" t="s">
        <v>157</v>
      </c>
      <c r="O2311" s="573">
        <v>2</v>
      </c>
      <c r="P2311" s="573" t="s">
        <v>3781</v>
      </c>
      <c r="Q2311" s="571">
        <v>10800</v>
      </c>
      <c r="R2311" s="573" t="s">
        <v>1259</v>
      </c>
      <c r="S2311" s="573">
        <v>6</v>
      </c>
      <c r="T2311" s="573" t="s">
        <v>3997</v>
      </c>
      <c r="U2311" s="573" t="s">
        <v>276</v>
      </c>
      <c r="V2311" s="573">
        <v>145</v>
      </c>
      <c r="W2311" s="573">
        <v>23</v>
      </c>
      <c r="X2311" s="571">
        <v>6900</v>
      </c>
      <c r="Y2311" s="573">
        <v>21</v>
      </c>
      <c r="Z2311" s="579" t="s">
        <v>178</v>
      </c>
      <c r="AA2311" s="579" t="s">
        <v>178</v>
      </c>
      <c r="AB2311" s="584">
        <v>36330</v>
      </c>
      <c r="AC2311" s="584" t="s">
        <v>164</v>
      </c>
      <c r="AD2311" s="584">
        <v>25028.084210526318</v>
      </c>
      <c r="AE2311" s="586">
        <v>0.03</v>
      </c>
      <c r="AF2311" s="661" t="str">
        <f t="shared" si="248"/>
        <v>2019-LTK-FRD-F150-114-05</v>
      </c>
      <c r="AG2311" s="661" t="str">
        <f>IF(AND($Y2311&gt;=32,(AI2311="I"),(Y2311&lt;&gt;"~"),(COUNTIF($AN$1:$AN2311,$AN2311)=1)),"TRUE","FALSE")</f>
        <v>FALSE</v>
      </c>
      <c r="AH2311" s="661" t="str">
        <f>IF(AND($Y2311&gt;=22, (AI2311&lt;&gt;"I"),(Y2311&lt;&gt;"~"),(COUNTIF($AN$1:$AN2311,$AN2311)=1)),"TRUE","FALSE")</f>
        <v>FALSE</v>
      </c>
      <c r="AI2311" s="661" t="str">
        <f t="shared" si="250"/>
        <v>II</v>
      </c>
      <c r="AJ2311" s="662" t="str">
        <f t="shared" si="251"/>
        <v>F150-114</v>
      </c>
      <c r="AK2311" s="662" t="str">
        <f t="shared" si="252"/>
        <v>LTK</v>
      </c>
      <c r="AL2311" s="662" t="str">
        <f t="shared" si="253"/>
        <v>FRD</v>
      </c>
      <c r="AM2311" s="662" t="str">
        <f t="shared" si="249"/>
        <v>F150-SuperCab XL-2WD-6-6'5"-10800-3.5L EcoBoost-6-X1C-100A-145-23-Unleaded-Unleaded</v>
      </c>
      <c r="AN2311" s="662" t="str">
        <f t="shared" si="254"/>
        <v>2019-LTK-FRD-F150-114</v>
      </c>
    </row>
    <row r="2312" spans="1:40" s="572" customFormat="1" ht="15">
      <c r="A2312" s="570" t="s">
        <v>4208</v>
      </c>
      <c r="B2312" s="569" t="s">
        <v>4209</v>
      </c>
      <c r="C2312" s="569" t="s">
        <v>269</v>
      </c>
      <c r="D2312" s="580" t="s">
        <v>270</v>
      </c>
      <c r="E2312" s="569" t="s">
        <v>3374</v>
      </c>
      <c r="F2312" s="569" t="s">
        <v>152</v>
      </c>
      <c r="G2312" s="569" t="s">
        <v>271</v>
      </c>
      <c r="H2312" s="569">
        <v>2019</v>
      </c>
      <c r="I2312" s="569" t="s">
        <v>3765</v>
      </c>
      <c r="J2312" s="569" t="s">
        <v>4207</v>
      </c>
      <c r="K2312" s="569" t="s">
        <v>3377</v>
      </c>
      <c r="L2312" s="569">
        <v>6</v>
      </c>
      <c r="M2312" s="569">
        <v>0</v>
      </c>
      <c r="N2312" s="569" t="s">
        <v>157</v>
      </c>
      <c r="O2312" s="569">
        <v>2</v>
      </c>
      <c r="P2312" s="569" t="s">
        <v>3781</v>
      </c>
      <c r="Q2312" s="568">
        <v>5100</v>
      </c>
      <c r="R2312" s="569" t="s">
        <v>3772</v>
      </c>
      <c r="S2312" s="569">
        <v>6</v>
      </c>
      <c r="T2312" s="569" t="s">
        <v>3997</v>
      </c>
      <c r="U2312" s="569" t="s">
        <v>276</v>
      </c>
      <c r="V2312" s="569">
        <v>145</v>
      </c>
      <c r="W2312" s="569">
        <v>23</v>
      </c>
      <c r="X2312" s="568">
        <v>6100</v>
      </c>
      <c r="Y2312" s="569">
        <v>22</v>
      </c>
      <c r="Z2312" s="581" t="s">
        <v>450</v>
      </c>
      <c r="AA2312" s="581" t="s">
        <v>178</v>
      </c>
      <c r="AB2312" s="585">
        <v>33735</v>
      </c>
      <c r="AC2312" s="585" t="s">
        <v>164</v>
      </c>
      <c r="AD2312" s="585">
        <v>22698.610526315792</v>
      </c>
      <c r="AE2312" s="587">
        <v>0.03</v>
      </c>
      <c r="AF2312" s="661" t="str">
        <f t="shared" ref="AF2312:AF2375" si="255">A2312</f>
        <v>2019-LTK-FRD-F150-115-05</v>
      </c>
      <c r="AG2312" s="661" t="str">
        <f>IF(AND($Y2312&gt;=32,(AI2312="I"),(Y2312&lt;&gt;"~"),(COUNTIF($AN$1:$AN2312,$AN2312)=1)),"TRUE","FALSE")</f>
        <v>FALSE</v>
      </c>
      <c r="AH2312" s="661" t="str">
        <f>IF(AND($Y2312&gt;=22, (AI2312&lt;&gt;"I"),(Y2312&lt;&gt;"~"),(COUNTIF($AN$1:$AN2312,$AN2312)=1)),"TRUE","FALSE")</f>
        <v>TRUE</v>
      </c>
      <c r="AI2312" s="661" t="str">
        <f t="shared" si="250"/>
        <v>II</v>
      </c>
      <c r="AJ2312" s="662" t="str">
        <f t="shared" si="251"/>
        <v>F150-115</v>
      </c>
      <c r="AK2312" s="662" t="str">
        <f t="shared" si="252"/>
        <v>LTK</v>
      </c>
      <c r="AL2312" s="662" t="str">
        <f t="shared" si="253"/>
        <v>FRD</v>
      </c>
      <c r="AM2312" s="662" t="str">
        <f t="shared" si="249"/>
        <v>F150-SuperCab XL-2WD-6-6'5"-5100-3.3L FFV-6-X1C-100A-145-23-E85-Unleaded</v>
      </c>
      <c r="AN2312" s="662" t="str">
        <f t="shared" si="254"/>
        <v>2019-LTK-FRD-F150-115</v>
      </c>
    </row>
    <row r="2313" spans="1:40" s="572" customFormat="1" ht="15">
      <c r="A2313" s="570" t="s">
        <v>4210</v>
      </c>
      <c r="B2313" s="573" t="s">
        <v>4211</v>
      </c>
      <c r="C2313" s="573" t="s">
        <v>269</v>
      </c>
      <c r="D2313" s="578" t="s">
        <v>270</v>
      </c>
      <c r="E2313" s="573" t="s">
        <v>3374</v>
      </c>
      <c r="F2313" s="573" t="s">
        <v>152</v>
      </c>
      <c r="G2313" s="573" t="s">
        <v>271</v>
      </c>
      <c r="H2313" s="573">
        <v>2019</v>
      </c>
      <c r="I2313" s="573" t="s">
        <v>3765</v>
      </c>
      <c r="J2313" s="573" t="s">
        <v>4207</v>
      </c>
      <c r="K2313" s="573" t="s">
        <v>3377</v>
      </c>
      <c r="L2313" s="573">
        <v>6</v>
      </c>
      <c r="M2313" s="573">
        <v>0</v>
      </c>
      <c r="N2313" s="573" t="s">
        <v>157</v>
      </c>
      <c r="O2313" s="573">
        <v>2</v>
      </c>
      <c r="P2313" s="573" t="s">
        <v>3781</v>
      </c>
      <c r="Q2313" s="571">
        <v>7600</v>
      </c>
      <c r="R2313" s="573" t="s">
        <v>3841</v>
      </c>
      <c r="S2313" s="573">
        <v>6</v>
      </c>
      <c r="T2313" s="573" t="s">
        <v>3997</v>
      </c>
      <c r="U2313" s="573" t="s">
        <v>276</v>
      </c>
      <c r="V2313" s="573">
        <v>145</v>
      </c>
      <c r="W2313" s="573">
        <v>23</v>
      </c>
      <c r="X2313" s="571">
        <v>6250</v>
      </c>
      <c r="Y2313" s="573">
        <v>22</v>
      </c>
      <c r="Z2313" s="579" t="s">
        <v>178</v>
      </c>
      <c r="AA2313" s="579" t="s">
        <v>178</v>
      </c>
      <c r="AB2313" s="584">
        <v>34730</v>
      </c>
      <c r="AC2313" s="584" t="s">
        <v>164</v>
      </c>
      <c r="AD2313" s="584">
        <v>23592.294736842108</v>
      </c>
      <c r="AE2313" s="586">
        <v>0.03</v>
      </c>
      <c r="AF2313" s="661" t="str">
        <f t="shared" si="255"/>
        <v>2019-LTK-FRD-F150-116-05</v>
      </c>
      <c r="AG2313" s="661" t="str">
        <f>IF(AND($Y2313&gt;=32,(AI2313="I"),(Y2313&lt;&gt;"~"),(COUNTIF($AN$1:$AN2313,$AN2313)=1)),"TRUE","FALSE")</f>
        <v>FALSE</v>
      </c>
      <c r="AH2313" s="661" t="str">
        <f>IF(AND($Y2313&gt;=22, (AI2313&lt;&gt;"I"),(Y2313&lt;&gt;"~"),(COUNTIF($AN$1:$AN2313,$AN2313)=1)),"TRUE","FALSE")</f>
        <v>TRUE</v>
      </c>
      <c r="AI2313" s="661" t="str">
        <f t="shared" si="250"/>
        <v>II</v>
      </c>
      <c r="AJ2313" s="662" t="str">
        <f t="shared" si="251"/>
        <v>F150-116</v>
      </c>
      <c r="AK2313" s="662" t="str">
        <f t="shared" si="252"/>
        <v>LTK</v>
      </c>
      <c r="AL2313" s="662" t="str">
        <f t="shared" si="253"/>
        <v>FRD</v>
      </c>
      <c r="AM2313" s="662" t="str">
        <f t="shared" si="249"/>
        <v>F150-SuperCab XL-2WD-6-6'5"-7600-2.7L EcoBoost-6-X1C-100A-145-23-Unleaded-Unleaded</v>
      </c>
      <c r="AN2313" s="662" t="str">
        <f t="shared" si="254"/>
        <v>2019-LTK-FRD-F150-116</v>
      </c>
    </row>
    <row r="2314" spans="1:40" s="572" customFormat="1" ht="15">
      <c r="A2314" s="570" t="s">
        <v>4212</v>
      </c>
      <c r="B2314" s="569" t="s">
        <v>4213</v>
      </c>
      <c r="C2314" s="569" t="s">
        <v>269</v>
      </c>
      <c r="D2314" s="580" t="s">
        <v>270</v>
      </c>
      <c r="E2314" s="569" t="s">
        <v>3374</v>
      </c>
      <c r="F2314" s="569" t="s">
        <v>152</v>
      </c>
      <c r="G2314" s="569" t="s">
        <v>271</v>
      </c>
      <c r="H2314" s="569">
        <v>2019</v>
      </c>
      <c r="I2314" s="569" t="s">
        <v>3765</v>
      </c>
      <c r="J2314" s="569" t="s">
        <v>4207</v>
      </c>
      <c r="K2314" s="569" t="s">
        <v>3377</v>
      </c>
      <c r="L2314" s="569">
        <v>6</v>
      </c>
      <c r="M2314" s="569">
        <v>0</v>
      </c>
      <c r="N2314" s="569" t="s">
        <v>157</v>
      </c>
      <c r="O2314" s="569">
        <v>2</v>
      </c>
      <c r="P2314" s="569" t="s">
        <v>3781</v>
      </c>
      <c r="Q2314" s="568">
        <v>9200</v>
      </c>
      <c r="R2314" s="569" t="s">
        <v>3778</v>
      </c>
      <c r="S2314" s="569">
        <v>8</v>
      </c>
      <c r="T2314" s="569" t="s">
        <v>3997</v>
      </c>
      <c r="U2314" s="569" t="s">
        <v>276</v>
      </c>
      <c r="V2314" s="569">
        <v>145</v>
      </c>
      <c r="W2314" s="569">
        <v>23</v>
      </c>
      <c r="X2314" s="568">
        <v>6900</v>
      </c>
      <c r="Y2314" s="569">
        <v>19</v>
      </c>
      <c r="Z2314" s="581" t="s">
        <v>450</v>
      </c>
      <c r="AA2314" s="581" t="s">
        <v>178</v>
      </c>
      <c r="AB2314" s="585">
        <v>35730</v>
      </c>
      <c r="AC2314" s="585" t="s">
        <v>164</v>
      </c>
      <c r="AD2314" s="585">
        <v>24489.136842105265</v>
      </c>
      <c r="AE2314" s="587">
        <v>0.03</v>
      </c>
      <c r="AF2314" s="661" t="str">
        <f t="shared" si="255"/>
        <v>2019-LTK-FRD-F150-118-05</v>
      </c>
      <c r="AG2314" s="661" t="str">
        <f>IF(AND($Y2314&gt;=32,(AI2314="I"),(Y2314&lt;&gt;"~"),(COUNTIF($AN$1:$AN2314,$AN2314)=1)),"TRUE","FALSE")</f>
        <v>FALSE</v>
      </c>
      <c r="AH2314" s="661" t="str">
        <f>IF(AND($Y2314&gt;=22, (AI2314&lt;&gt;"I"),(Y2314&lt;&gt;"~"),(COUNTIF($AN$1:$AN2314,$AN2314)=1)),"TRUE","FALSE")</f>
        <v>FALSE</v>
      </c>
      <c r="AI2314" s="661" t="str">
        <f t="shared" si="250"/>
        <v>II</v>
      </c>
      <c r="AJ2314" s="662" t="str">
        <f t="shared" si="251"/>
        <v>F150-118</v>
      </c>
      <c r="AK2314" s="662" t="str">
        <f t="shared" si="252"/>
        <v>LTK</v>
      </c>
      <c r="AL2314" s="662" t="str">
        <f t="shared" si="253"/>
        <v>FRD</v>
      </c>
      <c r="AM2314" s="662" t="str">
        <f t="shared" si="249"/>
        <v>F150-SuperCab XL-2WD-6-6'5"-9200-5.0L FFV-8-X1C-100A-145-23-E85-Unleaded</v>
      </c>
      <c r="AN2314" s="662" t="str">
        <f t="shared" si="254"/>
        <v>2019-LTK-FRD-F150-118</v>
      </c>
    </row>
    <row r="2315" spans="1:40" s="572" customFormat="1" ht="15">
      <c r="A2315" s="570" t="s">
        <v>4214</v>
      </c>
      <c r="B2315" s="573" t="s">
        <v>4215</v>
      </c>
      <c r="C2315" s="573" t="s">
        <v>269</v>
      </c>
      <c r="D2315" s="578" t="s">
        <v>270</v>
      </c>
      <c r="E2315" s="573" t="s">
        <v>3374</v>
      </c>
      <c r="F2315" s="573" t="s">
        <v>152</v>
      </c>
      <c r="G2315" s="573" t="s">
        <v>271</v>
      </c>
      <c r="H2315" s="573">
        <v>2019</v>
      </c>
      <c r="I2315" s="573" t="s">
        <v>3765</v>
      </c>
      <c r="J2315" s="573" t="s">
        <v>4207</v>
      </c>
      <c r="K2315" s="573" t="s">
        <v>3377</v>
      </c>
      <c r="L2315" s="573">
        <v>6</v>
      </c>
      <c r="M2315" s="573">
        <v>0</v>
      </c>
      <c r="N2315" s="573" t="s">
        <v>157</v>
      </c>
      <c r="O2315" s="573">
        <v>2</v>
      </c>
      <c r="P2315" s="573" t="s">
        <v>3846</v>
      </c>
      <c r="Q2315" s="571">
        <v>10700</v>
      </c>
      <c r="R2315" s="573" t="s">
        <v>1259</v>
      </c>
      <c r="S2315" s="573">
        <v>6</v>
      </c>
      <c r="T2315" s="573" t="s">
        <v>3997</v>
      </c>
      <c r="U2315" s="573" t="s">
        <v>276</v>
      </c>
      <c r="V2315" s="573">
        <v>163.69999999999999</v>
      </c>
      <c r="W2315" s="573">
        <v>23</v>
      </c>
      <c r="X2315" s="571">
        <v>7050</v>
      </c>
      <c r="Y2315" s="573">
        <v>21</v>
      </c>
      <c r="Z2315" s="579" t="s">
        <v>178</v>
      </c>
      <c r="AA2315" s="579" t="s">
        <v>178</v>
      </c>
      <c r="AB2315" s="584">
        <v>36640</v>
      </c>
      <c r="AC2315" s="584" t="s">
        <v>164</v>
      </c>
      <c r="AD2315" s="584">
        <v>25348.084210526318</v>
      </c>
      <c r="AE2315" s="586">
        <v>0.03</v>
      </c>
      <c r="AF2315" s="661" t="str">
        <f t="shared" si="255"/>
        <v>2019-LTK-FRD-F150-119-05</v>
      </c>
      <c r="AG2315" s="661" t="str">
        <f>IF(AND($Y2315&gt;=32,(AI2315="I"),(Y2315&lt;&gt;"~"),(COUNTIF($AN$1:$AN2315,$AN2315)=1)),"TRUE","FALSE")</f>
        <v>FALSE</v>
      </c>
      <c r="AH2315" s="661" t="str">
        <f>IF(AND($Y2315&gt;=22, (AI2315&lt;&gt;"I"),(Y2315&lt;&gt;"~"),(COUNTIF($AN$1:$AN2315,$AN2315)=1)),"TRUE","FALSE")</f>
        <v>FALSE</v>
      </c>
      <c r="AI2315" s="661" t="str">
        <f t="shared" si="250"/>
        <v>II</v>
      </c>
      <c r="AJ2315" s="662" t="str">
        <f t="shared" si="251"/>
        <v>F150-119</v>
      </c>
      <c r="AK2315" s="662" t="str">
        <f t="shared" si="252"/>
        <v>LTK</v>
      </c>
      <c r="AL2315" s="662" t="str">
        <f t="shared" si="253"/>
        <v>FRD</v>
      </c>
      <c r="AM2315" s="662" t="str">
        <f t="shared" si="249"/>
        <v>F150-SuperCab XL-2WD-6-8'-10700-3.5L EcoBoost-6-X1C-100A-163.7-23-Unleaded-Unleaded</v>
      </c>
      <c r="AN2315" s="662" t="str">
        <f t="shared" si="254"/>
        <v>2019-LTK-FRD-F150-119</v>
      </c>
    </row>
    <row r="2316" spans="1:40" s="572" customFormat="1" ht="15">
      <c r="A2316" s="570" t="s">
        <v>4216</v>
      </c>
      <c r="B2316" s="569" t="s">
        <v>4217</v>
      </c>
      <c r="C2316" s="569" t="s">
        <v>269</v>
      </c>
      <c r="D2316" s="580" t="s">
        <v>270</v>
      </c>
      <c r="E2316" s="569" t="s">
        <v>3374</v>
      </c>
      <c r="F2316" s="569" t="s">
        <v>152</v>
      </c>
      <c r="G2316" s="569" t="s">
        <v>271</v>
      </c>
      <c r="H2316" s="569">
        <v>2019</v>
      </c>
      <c r="I2316" s="569" t="s">
        <v>3765</v>
      </c>
      <c r="J2316" s="569" t="s">
        <v>4207</v>
      </c>
      <c r="K2316" s="569" t="s">
        <v>3377</v>
      </c>
      <c r="L2316" s="569">
        <v>6</v>
      </c>
      <c r="M2316" s="569">
        <v>0</v>
      </c>
      <c r="N2316" s="569" t="s">
        <v>157</v>
      </c>
      <c r="O2316" s="569">
        <v>2</v>
      </c>
      <c r="P2316" s="569" t="s">
        <v>3846</v>
      </c>
      <c r="Q2316" s="568">
        <v>7600</v>
      </c>
      <c r="R2316" s="569" t="s">
        <v>3841</v>
      </c>
      <c r="S2316" s="569">
        <v>6</v>
      </c>
      <c r="T2316" s="569" t="s">
        <v>3997</v>
      </c>
      <c r="U2316" s="569" t="s">
        <v>276</v>
      </c>
      <c r="V2316" s="569">
        <v>163.69999999999999</v>
      </c>
      <c r="W2316" s="569">
        <v>23</v>
      </c>
      <c r="X2316" s="568">
        <v>6500</v>
      </c>
      <c r="Y2316" s="569">
        <v>22</v>
      </c>
      <c r="Z2316" s="581" t="s">
        <v>178</v>
      </c>
      <c r="AA2316" s="581" t="s">
        <v>178</v>
      </c>
      <c r="AB2316" s="585">
        <v>35040</v>
      </c>
      <c r="AC2316" s="585" t="s">
        <v>164</v>
      </c>
      <c r="AD2316" s="585">
        <v>23912.294736842108</v>
      </c>
      <c r="AE2316" s="587">
        <v>0.03</v>
      </c>
      <c r="AF2316" s="661" t="str">
        <f t="shared" si="255"/>
        <v>2019-LTK-FRD-F150-120-05</v>
      </c>
      <c r="AG2316" s="661" t="str">
        <f>IF(AND($Y2316&gt;=32,(AI2316="I"),(Y2316&lt;&gt;"~"),(COUNTIF($AN$1:$AN2316,$AN2316)=1)),"TRUE","FALSE")</f>
        <v>FALSE</v>
      </c>
      <c r="AH2316" s="661" t="str">
        <f>IF(AND($Y2316&gt;=22, (AI2316&lt;&gt;"I"),(Y2316&lt;&gt;"~"),(COUNTIF($AN$1:$AN2316,$AN2316)=1)),"TRUE","FALSE")</f>
        <v>TRUE</v>
      </c>
      <c r="AI2316" s="661" t="str">
        <f t="shared" si="250"/>
        <v>II</v>
      </c>
      <c r="AJ2316" s="662" t="str">
        <f t="shared" si="251"/>
        <v>F150-120</v>
      </c>
      <c r="AK2316" s="662" t="str">
        <f t="shared" si="252"/>
        <v>LTK</v>
      </c>
      <c r="AL2316" s="662" t="str">
        <f t="shared" si="253"/>
        <v>FRD</v>
      </c>
      <c r="AM2316" s="662" t="str">
        <f t="shared" si="249"/>
        <v>F150-SuperCab XL-2WD-6-8'-7600-2.7L EcoBoost-6-X1C-100A-163.7-23-Unleaded-Unleaded</v>
      </c>
      <c r="AN2316" s="662" t="str">
        <f t="shared" si="254"/>
        <v>2019-LTK-FRD-F150-120</v>
      </c>
    </row>
    <row r="2317" spans="1:40" s="572" customFormat="1" ht="15">
      <c r="A2317" s="570" t="s">
        <v>4218</v>
      </c>
      <c r="B2317" s="573" t="s">
        <v>4219</v>
      </c>
      <c r="C2317" s="573" t="s">
        <v>269</v>
      </c>
      <c r="D2317" s="578" t="s">
        <v>270</v>
      </c>
      <c r="E2317" s="573" t="s">
        <v>3374</v>
      </c>
      <c r="F2317" s="573" t="s">
        <v>152</v>
      </c>
      <c r="G2317" s="573" t="s">
        <v>271</v>
      </c>
      <c r="H2317" s="573">
        <v>2019</v>
      </c>
      <c r="I2317" s="573" t="s">
        <v>3765</v>
      </c>
      <c r="J2317" s="573" t="s">
        <v>4207</v>
      </c>
      <c r="K2317" s="573" t="s">
        <v>3377</v>
      </c>
      <c r="L2317" s="573">
        <v>6</v>
      </c>
      <c r="M2317" s="573">
        <v>0</v>
      </c>
      <c r="N2317" s="573" t="s">
        <v>157</v>
      </c>
      <c r="O2317" s="573">
        <v>2</v>
      </c>
      <c r="P2317" s="573" t="s">
        <v>3846</v>
      </c>
      <c r="Q2317" s="571">
        <v>9200</v>
      </c>
      <c r="R2317" s="573" t="s">
        <v>3778</v>
      </c>
      <c r="S2317" s="573">
        <v>8</v>
      </c>
      <c r="T2317" s="573" t="s">
        <v>3997</v>
      </c>
      <c r="U2317" s="573" t="s">
        <v>276</v>
      </c>
      <c r="V2317" s="573">
        <v>163.69999999999999</v>
      </c>
      <c r="W2317" s="573">
        <v>23</v>
      </c>
      <c r="X2317" s="571">
        <v>7000</v>
      </c>
      <c r="Y2317" s="573">
        <v>19</v>
      </c>
      <c r="Z2317" s="579" t="s">
        <v>450</v>
      </c>
      <c r="AA2317" s="579" t="s">
        <v>178</v>
      </c>
      <c r="AB2317" s="584">
        <v>36040</v>
      </c>
      <c r="AC2317" s="584" t="s">
        <v>164</v>
      </c>
      <c r="AD2317" s="584">
        <v>24809.136842105265</v>
      </c>
      <c r="AE2317" s="586">
        <v>0.03</v>
      </c>
      <c r="AF2317" s="661" t="str">
        <f t="shared" si="255"/>
        <v>2019-LTK-FRD-F150-122-05</v>
      </c>
      <c r="AG2317" s="661" t="str">
        <f>IF(AND($Y2317&gt;=32,(AI2317="I"),(Y2317&lt;&gt;"~"),(COUNTIF($AN$1:$AN2317,$AN2317)=1)),"TRUE","FALSE")</f>
        <v>FALSE</v>
      </c>
      <c r="AH2317" s="661" t="str">
        <f>IF(AND($Y2317&gt;=22, (AI2317&lt;&gt;"I"),(Y2317&lt;&gt;"~"),(COUNTIF($AN$1:$AN2317,$AN2317)=1)),"TRUE","FALSE")</f>
        <v>FALSE</v>
      </c>
      <c r="AI2317" s="661" t="str">
        <f t="shared" si="250"/>
        <v>II</v>
      </c>
      <c r="AJ2317" s="662" t="str">
        <f t="shared" si="251"/>
        <v>F150-122</v>
      </c>
      <c r="AK2317" s="662" t="str">
        <f t="shared" si="252"/>
        <v>LTK</v>
      </c>
      <c r="AL2317" s="662" t="str">
        <f t="shared" si="253"/>
        <v>FRD</v>
      </c>
      <c r="AM2317" s="662" t="str">
        <f t="shared" si="249"/>
        <v>F150-SuperCab XL-2WD-6-8'-9200-5.0L FFV-8-X1C-100A-163.7-23-E85-Unleaded</v>
      </c>
      <c r="AN2317" s="662" t="str">
        <f t="shared" si="254"/>
        <v>2019-LTK-FRD-F150-122</v>
      </c>
    </row>
    <row r="2318" spans="1:40" s="572" customFormat="1" ht="15">
      <c r="A2318" s="570" t="s">
        <v>4220</v>
      </c>
      <c r="B2318" s="569" t="s">
        <v>4206</v>
      </c>
      <c r="C2318" s="569" t="s">
        <v>280</v>
      </c>
      <c r="D2318" s="580">
        <v>27</v>
      </c>
      <c r="E2318" s="569" t="s">
        <v>3374</v>
      </c>
      <c r="F2318" s="569" t="s">
        <v>152</v>
      </c>
      <c r="G2318" s="569" t="s">
        <v>271</v>
      </c>
      <c r="H2318" s="569">
        <v>2019</v>
      </c>
      <c r="I2318" s="569" t="s">
        <v>3765</v>
      </c>
      <c r="J2318" s="569" t="s">
        <v>4207</v>
      </c>
      <c r="K2318" s="569" t="s">
        <v>3377</v>
      </c>
      <c r="L2318" s="569">
        <v>6</v>
      </c>
      <c r="M2318" s="569">
        <v>0</v>
      </c>
      <c r="N2318" s="569" t="s">
        <v>157</v>
      </c>
      <c r="O2318" s="569">
        <v>2</v>
      </c>
      <c r="P2318" s="569" t="s">
        <v>3781</v>
      </c>
      <c r="Q2318" s="568">
        <v>10800</v>
      </c>
      <c r="R2318" s="569" t="s">
        <v>1259</v>
      </c>
      <c r="S2318" s="569">
        <v>6</v>
      </c>
      <c r="T2318" s="569" t="s">
        <v>3997</v>
      </c>
      <c r="U2318" s="569" t="s">
        <v>276</v>
      </c>
      <c r="V2318" s="569">
        <v>145</v>
      </c>
      <c r="W2318" s="569">
        <v>23</v>
      </c>
      <c r="X2318" s="568">
        <v>6900</v>
      </c>
      <c r="Y2318" s="569">
        <v>21</v>
      </c>
      <c r="Z2318" s="581" t="s">
        <v>178</v>
      </c>
      <c r="AA2318" s="581" t="s">
        <v>178</v>
      </c>
      <c r="AB2318" s="585">
        <v>36330</v>
      </c>
      <c r="AC2318" s="585" t="s">
        <v>164</v>
      </c>
      <c r="AD2318" s="585">
        <v>25028.084210526318</v>
      </c>
      <c r="AE2318" s="587">
        <v>0.03</v>
      </c>
      <c r="AF2318" s="661" t="str">
        <f t="shared" si="255"/>
        <v>2019-LTK-FRD-F150-114-27</v>
      </c>
      <c r="AG2318" s="661" t="str">
        <f>IF(AND($Y2318&gt;=32,(AI2318="I"),(Y2318&lt;&gt;"~"),(COUNTIF($AN$1:$AN2318,$AN2318)=1)),"TRUE","FALSE")</f>
        <v>FALSE</v>
      </c>
      <c r="AH2318" s="661" t="str">
        <f>IF(AND($Y2318&gt;=22, (AI2318&lt;&gt;"I"),(Y2318&lt;&gt;"~"),(COUNTIF($AN$1:$AN2318,$AN2318)=1)),"TRUE","FALSE")</f>
        <v>FALSE</v>
      </c>
      <c r="AI2318" s="661" t="str">
        <f t="shared" si="250"/>
        <v>II</v>
      </c>
      <c r="AJ2318" s="662" t="str">
        <f t="shared" si="251"/>
        <v>F150-114</v>
      </c>
      <c r="AK2318" s="662" t="str">
        <f t="shared" si="252"/>
        <v>LTK</v>
      </c>
      <c r="AL2318" s="662" t="str">
        <f t="shared" si="253"/>
        <v>FRD</v>
      </c>
      <c r="AM2318" s="662" t="str">
        <f t="shared" si="249"/>
        <v>F150-SuperCab XL-2WD-6-6'5"-10800-3.5L EcoBoost-6-X1C-100A-145-23-Unleaded-Unleaded</v>
      </c>
      <c r="AN2318" s="662" t="str">
        <f t="shared" si="254"/>
        <v>2019-LTK-FRD-F150-114</v>
      </c>
    </row>
    <row r="2319" spans="1:40" s="572" customFormat="1" ht="15">
      <c r="A2319" s="570" t="s">
        <v>4221</v>
      </c>
      <c r="B2319" s="573" t="s">
        <v>4209</v>
      </c>
      <c r="C2319" s="573" t="s">
        <v>280</v>
      </c>
      <c r="D2319" s="578">
        <v>27</v>
      </c>
      <c r="E2319" s="573" t="s">
        <v>3374</v>
      </c>
      <c r="F2319" s="573" t="s">
        <v>152</v>
      </c>
      <c r="G2319" s="573" t="s">
        <v>271</v>
      </c>
      <c r="H2319" s="573">
        <v>2019</v>
      </c>
      <c r="I2319" s="573" t="s">
        <v>3765</v>
      </c>
      <c r="J2319" s="573" t="s">
        <v>4207</v>
      </c>
      <c r="K2319" s="573" t="s">
        <v>3377</v>
      </c>
      <c r="L2319" s="573">
        <v>6</v>
      </c>
      <c r="M2319" s="573">
        <v>0</v>
      </c>
      <c r="N2319" s="573" t="s">
        <v>157</v>
      </c>
      <c r="O2319" s="573">
        <v>2</v>
      </c>
      <c r="P2319" s="573" t="s">
        <v>3781</v>
      </c>
      <c r="Q2319" s="571">
        <v>5100</v>
      </c>
      <c r="R2319" s="573" t="s">
        <v>3772</v>
      </c>
      <c r="S2319" s="573">
        <v>6</v>
      </c>
      <c r="T2319" s="573" t="s">
        <v>3997</v>
      </c>
      <c r="U2319" s="573" t="s">
        <v>276</v>
      </c>
      <c r="V2319" s="573">
        <v>145</v>
      </c>
      <c r="W2319" s="573">
        <v>23</v>
      </c>
      <c r="X2319" s="571">
        <v>6100</v>
      </c>
      <c r="Y2319" s="573">
        <v>22</v>
      </c>
      <c r="Z2319" s="579" t="s">
        <v>450</v>
      </c>
      <c r="AA2319" s="579" t="s">
        <v>178</v>
      </c>
      <c r="AB2319" s="584">
        <v>33735</v>
      </c>
      <c r="AC2319" s="584" t="s">
        <v>164</v>
      </c>
      <c r="AD2319" s="584">
        <v>22698.610526315792</v>
      </c>
      <c r="AE2319" s="586">
        <v>0.03</v>
      </c>
      <c r="AF2319" s="661" t="str">
        <f t="shared" si="255"/>
        <v>2019-LTK-FRD-F150-115-27</v>
      </c>
      <c r="AG2319" s="661" t="str">
        <f>IF(AND($Y2319&gt;=32,(AI2319="I"),(Y2319&lt;&gt;"~"),(COUNTIF($AN$1:$AN2319,$AN2319)=1)),"TRUE","FALSE")</f>
        <v>FALSE</v>
      </c>
      <c r="AH2319" s="661" t="str">
        <f>IF(AND($Y2319&gt;=22, (AI2319&lt;&gt;"I"),(Y2319&lt;&gt;"~"),(COUNTIF($AN$1:$AN2319,$AN2319)=1)),"TRUE","FALSE")</f>
        <v>FALSE</v>
      </c>
      <c r="AI2319" s="661" t="str">
        <f t="shared" si="250"/>
        <v>II</v>
      </c>
      <c r="AJ2319" s="662" t="str">
        <f t="shared" si="251"/>
        <v>F150-115</v>
      </c>
      <c r="AK2319" s="662" t="str">
        <f t="shared" si="252"/>
        <v>LTK</v>
      </c>
      <c r="AL2319" s="662" t="str">
        <f t="shared" si="253"/>
        <v>FRD</v>
      </c>
      <c r="AM2319" s="662" t="str">
        <f t="shared" si="249"/>
        <v>F150-SuperCab XL-2WD-6-6'5"-5100-3.3L FFV-6-X1C-100A-145-23-E85-Unleaded</v>
      </c>
      <c r="AN2319" s="662" t="str">
        <f t="shared" si="254"/>
        <v>2019-LTK-FRD-F150-115</v>
      </c>
    </row>
    <row r="2320" spans="1:40" s="572" customFormat="1" ht="15">
      <c r="A2320" s="570" t="s">
        <v>4222</v>
      </c>
      <c r="B2320" s="569" t="s">
        <v>4211</v>
      </c>
      <c r="C2320" s="569" t="s">
        <v>280</v>
      </c>
      <c r="D2320" s="580">
        <v>27</v>
      </c>
      <c r="E2320" s="569" t="s">
        <v>3374</v>
      </c>
      <c r="F2320" s="569" t="s">
        <v>152</v>
      </c>
      <c r="G2320" s="569" t="s">
        <v>271</v>
      </c>
      <c r="H2320" s="569">
        <v>2019</v>
      </c>
      <c r="I2320" s="569" t="s">
        <v>3765</v>
      </c>
      <c r="J2320" s="569" t="s">
        <v>4207</v>
      </c>
      <c r="K2320" s="569" t="s">
        <v>3377</v>
      </c>
      <c r="L2320" s="569">
        <v>6</v>
      </c>
      <c r="M2320" s="569">
        <v>0</v>
      </c>
      <c r="N2320" s="569" t="s">
        <v>157</v>
      </c>
      <c r="O2320" s="569">
        <v>2</v>
      </c>
      <c r="P2320" s="569" t="s">
        <v>3781</v>
      </c>
      <c r="Q2320" s="568">
        <v>7600</v>
      </c>
      <c r="R2320" s="569" t="s">
        <v>3841</v>
      </c>
      <c r="S2320" s="569">
        <v>6</v>
      </c>
      <c r="T2320" s="569" t="s">
        <v>3997</v>
      </c>
      <c r="U2320" s="569" t="s">
        <v>276</v>
      </c>
      <c r="V2320" s="569">
        <v>145</v>
      </c>
      <c r="W2320" s="569">
        <v>23</v>
      </c>
      <c r="X2320" s="568">
        <v>6250</v>
      </c>
      <c r="Y2320" s="569">
        <v>22</v>
      </c>
      <c r="Z2320" s="581" t="s">
        <v>178</v>
      </c>
      <c r="AA2320" s="581" t="s">
        <v>178</v>
      </c>
      <c r="AB2320" s="585">
        <v>34730</v>
      </c>
      <c r="AC2320" s="585" t="s">
        <v>164</v>
      </c>
      <c r="AD2320" s="585">
        <v>23592.294736842108</v>
      </c>
      <c r="AE2320" s="587">
        <v>0.03</v>
      </c>
      <c r="AF2320" s="661" t="str">
        <f t="shared" si="255"/>
        <v>2019-LTK-FRD-F150-116-27</v>
      </c>
      <c r="AG2320" s="661" t="str">
        <f>IF(AND($Y2320&gt;=32,(AI2320="I"),(Y2320&lt;&gt;"~"),(COUNTIF($AN$1:$AN2320,$AN2320)=1)),"TRUE","FALSE")</f>
        <v>FALSE</v>
      </c>
      <c r="AH2320" s="661" t="str">
        <f>IF(AND($Y2320&gt;=22, (AI2320&lt;&gt;"I"),(Y2320&lt;&gt;"~"),(COUNTIF($AN$1:$AN2320,$AN2320)=1)),"TRUE","FALSE")</f>
        <v>FALSE</v>
      </c>
      <c r="AI2320" s="661" t="str">
        <f t="shared" si="250"/>
        <v>II</v>
      </c>
      <c r="AJ2320" s="662" t="str">
        <f t="shared" si="251"/>
        <v>F150-116</v>
      </c>
      <c r="AK2320" s="662" t="str">
        <f t="shared" si="252"/>
        <v>LTK</v>
      </c>
      <c r="AL2320" s="662" t="str">
        <f t="shared" si="253"/>
        <v>FRD</v>
      </c>
      <c r="AM2320" s="662" t="str">
        <f t="shared" si="249"/>
        <v>F150-SuperCab XL-2WD-6-6'5"-7600-2.7L EcoBoost-6-X1C-100A-145-23-Unleaded-Unleaded</v>
      </c>
      <c r="AN2320" s="662" t="str">
        <f t="shared" si="254"/>
        <v>2019-LTK-FRD-F150-116</v>
      </c>
    </row>
    <row r="2321" spans="1:40" s="572" customFormat="1" ht="15">
      <c r="A2321" s="570" t="s">
        <v>4223</v>
      </c>
      <c r="B2321" s="573" t="s">
        <v>4213</v>
      </c>
      <c r="C2321" s="573" t="s">
        <v>280</v>
      </c>
      <c r="D2321" s="578">
        <v>27</v>
      </c>
      <c r="E2321" s="573" t="s">
        <v>3374</v>
      </c>
      <c r="F2321" s="573" t="s">
        <v>152</v>
      </c>
      <c r="G2321" s="573" t="s">
        <v>271</v>
      </c>
      <c r="H2321" s="573">
        <v>2019</v>
      </c>
      <c r="I2321" s="573" t="s">
        <v>3765</v>
      </c>
      <c r="J2321" s="573" t="s">
        <v>4207</v>
      </c>
      <c r="K2321" s="573" t="s">
        <v>3377</v>
      </c>
      <c r="L2321" s="573">
        <v>6</v>
      </c>
      <c r="M2321" s="573">
        <v>0</v>
      </c>
      <c r="N2321" s="573" t="s">
        <v>157</v>
      </c>
      <c r="O2321" s="573">
        <v>2</v>
      </c>
      <c r="P2321" s="573" t="s">
        <v>3781</v>
      </c>
      <c r="Q2321" s="571">
        <v>9200</v>
      </c>
      <c r="R2321" s="573" t="s">
        <v>3778</v>
      </c>
      <c r="S2321" s="573">
        <v>8</v>
      </c>
      <c r="T2321" s="573" t="s">
        <v>3997</v>
      </c>
      <c r="U2321" s="573" t="s">
        <v>276</v>
      </c>
      <c r="V2321" s="573">
        <v>145</v>
      </c>
      <c r="W2321" s="573">
        <v>23</v>
      </c>
      <c r="X2321" s="571">
        <v>6900</v>
      </c>
      <c r="Y2321" s="573">
        <v>19</v>
      </c>
      <c r="Z2321" s="579" t="s">
        <v>450</v>
      </c>
      <c r="AA2321" s="579" t="s">
        <v>178</v>
      </c>
      <c r="AB2321" s="584">
        <v>35730</v>
      </c>
      <c r="AC2321" s="584" t="s">
        <v>164</v>
      </c>
      <c r="AD2321" s="584">
        <v>24489.136842105265</v>
      </c>
      <c r="AE2321" s="586">
        <v>0.03</v>
      </c>
      <c r="AF2321" s="661" t="str">
        <f t="shared" si="255"/>
        <v>2019-LTK-FRD-F150-118-27</v>
      </c>
      <c r="AG2321" s="661" t="str">
        <f>IF(AND($Y2321&gt;=32,(AI2321="I"),(Y2321&lt;&gt;"~"),(COUNTIF($AN$1:$AN2321,$AN2321)=1)),"TRUE","FALSE")</f>
        <v>FALSE</v>
      </c>
      <c r="AH2321" s="661" t="str">
        <f>IF(AND($Y2321&gt;=22, (AI2321&lt;&gt;"I"),(Y2321&lt;&gt;"~"),(COUNTIF($AN$1:$AN2321,$AN2321)=1)),"TRUE","FALSE")</f>
        <v>FALSE</v>
      </c>
      <c r="AI2321" s="661" t="str">
        <f t="shared" si="250"/>
        <v>II</v>
      </c>
      <c r="AJ2321" s="662" t="str">
        <f t="shared" si="251"/>
        <v>F150-118</v>
      </c>
      <c r="AK2321" s="662" t="str">
        <f t="shared" si="252"/>
        <v>LTK</v>
      </c>
      <c r="AL2321" s="662" t="str">
        <f t="shared" si="253"/>
        <v>FRD</v>
      </c>
      <c r="AM2321" s="662" t="str">
        <f t="shared" si="249"/>
        <v>F150-SuperCab XL-2WD-6-6'5"-9200-5.0L FFV-8-X1C-100A-145-23-E85-Unleaded</v>
      </c>
      <c r="AN2321" s="662" t="str">
        <f t="shared" si="254"/>
        <v>2019-LTK-FRD-F150-118</v>
      </c>
    </row>
    <row r="2322" spans="1:40" s="572" customFormat="1" ht="15">
      <c r="A2322" s="570" t="s">
        <v>4224</v>
      </c>
      <c r="B2322" s="569" t="s">
        <v>4215</v>
      </c>
      <c r="C2322" s="569" t="s">
        <v>280</v>
      </c>
      <c r="D2322" s="580">
        <v>27</v>
      </c>
      <c r="E2322" s="569" t="s">
        <v>3374</v>
      </c>
      <c r="F2322" s="569" t="s">
        <v>152</v>
      </c>
      <c r="G2322" s="569" t="s">
        <v>271</v>
      </c>
      <c r="H2322" s="569">
        <v>2019</v>
      </c>
      <c r="I2322" s="569" t="s">
        <v>3765</v>
      </c>
      <c r="J2322" s="569" t="s">
        <v>4207</v>
      </c>
      <c r="K2322" s="569" t="s">
        <v>3377</v>
      </c>
      <c r="L2322" s="569">
        <v>6</v>
      </c>
      <c r="M2322" s="569">
        <v>0</v>
      </c>
      <c r="N2322" s="569" t="s">
        <v>157</v>
      </c>
      <c r="O2322" s="569">
        <v>2</v>
      </c>
      <c r="P2322" s="569" t="s">
        <v>3846</v>
      </c>
      <c r="Q2322" s="568">
        <v>10700</v>
      </c>
      <c r="R2322" s="569" t="s">
        <v>1259</v>
      </c>
      <c r="S2322" s="569">
        <v>6</v>
      </c>
      <c r="T2322" s="569" t="s">
        <v>3997</v>
      </c>
      <c r="U2322" s="569" t="s">
        <v>276</v>
      </c>
      <c r="V2322" s="569">
        <v>163.69999999999999</v>
      </c>
      <c r="W2322" s="569">
        <v>23</v>
      </c>
      <c r="X2322" s="568">
        <v>7050</v>
      </c>
      <c r="Y2322" s="569">
        <v>21</v>
      </c>
      <c r="Z2322" s="581" t="s">
        <v>178</v>
      </c>
      <c r="AA2322" s="581" t="s">
        <v>178</v>
      </c>
      <c r="AB2322" s="585">
        <v>36640</v>
      </c>
      <c r="AC2322" s="585" t="s">
        <v>164</v>
      </c>
      <c r="AD2322" s="585">
        <v>25348.084210526318</v>
      </c>
      <c r="AE2322" s="587">
        <v>0.03</v>
      </c>
      <c r="AF2322" s="661" t="str">
        <f t="shared" si="255"/>
        <v>2019-LTK-FRD-F150-119-27</v>
      </c>
      <c r="AG2322" s="661" t="str">
        <f>IF(AND($Y2322&gt;=32,(AI2322="I"),(Y2322&lt;&gt;"~"),(COUNTIF($AN$1:$AN2322,$AN2322)=1)),"TRUE","FALSE")</f>
        <v>FALSE</v>
      </c>
      <c r="AH2322" s="661" t="str">
        <f>IF(AND($Y2322&gt;=22, (AI2322&lt;&gt;"I"),(Y2322&lt;&gt;"~"),(COUNTIF($AN$1:$AN2322,$AN2322)=1)),"TRUE","FALSE")</f>
        <v>FALSE</v>
      </c>
      <c r="AI2322" s="661" t="str">
        <f t="shared" si="250"/>
        <v>II</v>
      </c>
      <c r="AJ2322" s="662" t="str">
        <f t="shared" si="251"/>
        <v>F150-119</v>
      </c>
      <c r="AK2322" s="662" t="str">
        <f t="shared" si="252"/>
        <v>LTK</v>
      </c>
      <c r="AL2322" s="662" t="str">
        <f t="shared" si="253"/>
        <v>FRD</v>
      </c>
      <c r="AM2322" s="662" t="str">
        <f t="shared" si="249"/>
        <v>F150-SuperCab XL-2WD-6-8'-10700-3.5L EcoBoost-6-X1C-100A-163.7-23-Unleaded-Unleaded</v>
      </c>
      <c r="AN2322" s="662" t="str">
        <f t="shared" si="254"/>
        <v>2019-LTK-FRD-F150-119</v>
      </c>
    </row>
    <row r="2323" spans="1:40" s="572" customFormat="1" ht="15">
      <c r="A2323" s="570" t="s">
        <v>4225</v>
      </c>
      <c r="B2323" s="573" t="s">
        <v>4217</v>
      </c>
      <c r="C2323" s="573" t="s">
        <v>280</v>
      </c>
      <c r="D2323" s="578">
        <v>27</v>
      </c>
      <c r="E2323" s="573" t="s">
        <v>3374</v>
      </c>
      <c r="F2323" s="573" t="s">
        <v>152</v>
      </c>
      <c r="G2323" s="573" t="s">
        <v>271</v>
      </c>
      <c r="H2323" s="573">
        <v>2019</v>
      </c>
      <c r="I2323" s="573" t="s">
        <v>3765</v>
      </c>
      <c r="J2323" s="573" t="s">
        <v>4207</v>
      </c>
      <c r="K2323" s="573" t="s">
        <v>3377</v>
      </c>
      <c r="L2323" s="573">
        <v>6</v>
      </c>
      <c r="M2323" s="573">
        <v>0</v>
      </c>
      <c r="N2323" s="573" t="s">
        <v>157</v>
      </c>
      <c r="O2323" s="573">
        <v>2</v>
      </c>
      <c r="P2323" s="573" t="s">
        <v>3846</v>
      </c>
      <c r="Q2323" s="571">
        <v>7600</v>
      </c>
      <c r="R2323" s="573" t="s">
        <v>3841</v>
      </c>
      <c r="S2323" s="573">
        <v>6</v>
      </c>
      <c r="T2323" s="573" t="s">
        <v>3997</v>
      </c>
      <c r="U2323" s="573" t="s">
        <v>276</v>
      </c>
      <c r="V2323" s="573">
        <v>163.69999999999999</v>
      </c>
      <c r="W2323" s="573">
        <v>23</v>
      </c>
      <c r="X2323" s="571">
        <v>6500</v>
      </c>
      <c r="Y2323" s="573">
        <v>22</v>
      </c>
      <c r="Z2323" s="579" t="s">
        <v>178</v>
      </c>
      <c r="AA2323" s="579" t="s">
        <v>178</v>
      </c>
      <c r="AB2323" s="584">
        <v>35040</v>
      </c>
      <c r="AC2323" s="584" t="s">
        <v>164</v>
      </c>
      <c r="AD2323" s="584">
        <v>23912.294736842108</v>
      </c>
      <c r="AE2323" s="586">
        <v>0.03</v>
      </c>
      <c r="AF2323" s="661" t="str">
        <f t="shared" si="255"/>
        <v>2019-LTK-FRD-F150-120-27</v>
      </c>
      <c r="AG2323" s="661" t="str">
        <f>IF(AND($Y2323&gt;=32,(AI2323="I"),(Y2323&lt;&gt;"~"),(COUNTIF($AN$1:$AN2323,$AN2323)=1)),"TRUE","FALSE")</f>
        <v>FALSE</v>
      </c>
      <c r="AH2323" s="661" t="str">
        <f>IF(AND($Y2323&gt;=22, (AI2323&lt;&gt;"I"),(Y2323&lt;&gt;"~"),(COUNTIF($AN$1:$AN2323,$AN2323)=1)),"TRUE","FALSE")</f>
        <v>FALSE</v>
      </c>
      <c r="AI2323" s="661" t="str">
        <f t="shared" si="250"/>
        <v>II</v>
      </c>
      <c r="AJ2323" s="662" t="str">
        <f t="shared" si="251"/>
        <v>F150-120</v>
      </c>
      <c r="AK2323" s="662" t="str">
        <f t="shared" si="252"/>
        <v>LTK</v>
      </c>
      <c r="AL2323" s="662" t="str">
        <f t="shared" si="253"/>
        <v>FRD</v>
      </c>
      <c r="AM2323" s="662" t="str">
        <f t="shared" si="249"/>
        <v>F150-SuperCab XL-2WD-6-8'-7600-2.7L EcoBoost-6-X1C-100A-163.7-23-Unleaded-Unleaded</v>
      </c>
      <c r="AN2323" s="662" t="str">
        <f t="shared" si="254"/>
        <v>2019-LTK-FRD-F150-120</v>
      </c>
    </row>
    <row r="2324" spans="1:40" s="572" customFormat="1" ht="15">
      <c r="A2324" s="570" t="s">
        <v>4226</v>
      </c>
      <c r="B2324" s="569" t="s">
        <v>4219</v>
      </c>
      <c r="C2324" s="569" t="s">
        <v>280</v>
      </c>
      <c r="D2324" s="580">
        <v>27</v>
      </c>
      <c r="E2324" s="569" t="s">
        <v>3374</v>
      </c>
      <c r="F2324" s="569" t="s">
        <v>152</v>
      </c>
      <c r="G2324" s="569" t="s">
        <v>271</v>
      </c>
      <c r="H2324" s="569">
        <v>2019</v>
      </c>
      <c r="I2324" s="569" t="s">
        <v>3765</v>
      </c>
      <c r="J2324" s="569" t="s">
        <v>4207</v>
      </c>
      <c r="K2324" s="569" t="s">
        <v>3377</v>
      </c>
      <c r="L2324" s="569">
        <v>6</v>
      </c>
      <c r="M2324" s="569">
        <v>0</v>
      </c>
      <c r="N2324" s="569" t="s">
        <v>157</v>
      </c>
      <c r="O2324" s="569">
        <v>2</v>
      </c>
      <c r="P2324" s="569" t="s">
        <v>3846</v>
      </c>
      <c r="Q2324" s="568">
        <v>9200</v>
      </c>
      <c r="R2324" s="569" t="s">
        <v>3778</v>
      </c>
      <c r="S2324" s="569">
        <v>8</v>
      </c>
      <c r="T2324" s="569" t="s">
        <v>3997</v>
      </c>
      <c r="U2324" s="569" t="s">
        <v>276</v>
      </c>
      <c r="V2324" s="569">
        <v>163.69999999999999</v>
      </c>
      <c r="W2324" s="569">
        <v>23</v>
      </c>
      <c r="X2324" s="568">
        <v>7000</v>
      </c>
      <c r="Y2324" s="569">
        <v>19</v>
      </c>
      <c r="Z2324" s="581" t="s">
        <v>450</v>
      </c>
      <c r="AA2324" s="581" t="s">
        <v>178</v>
      </c>
      <c r="AB2324" s="585">
        <v>36040</v>
      </c>
      <c r="AC2324" s="585" t="s">
        <v>164</v>
      </c>
      <c r="AD2324" s="585">
        <v>24809.136842105265</v>
      </c>
      <c r="AE2324" s="587">
        <v>0.03</v>
      </c>
      <c r="AF2324" s="661" t="str">
        <f t="shared" si="255"/>
        <v>2019-LTK-FRD-F150-122-27</v>
      </c>
      <c r="AG2324" s="661" t="str">
        <f>IF(AND($Y2324&gt;=32,(AI2324="I"),(Y2324&lt;&gt;"~"),(COUNTIF($AN$1:$AN2324,$AN2324)=1)),"TRUE","FALSE")</f>
        <v>FALSE</v>
      </c>
      <c r="AH2324" s="661" t="str">
        <f>IF(AND($Y2324&gt;=22, (AI2324&lt;&gt;"I"),(Y2324&lt;&gt;"~"),(COUNTIF($AN$1:$AN2324,$AN2324)=1)),"TRUE","FALSE")</f>
        <v>FALSE</v>
      </c>
      <c r="AI2324" s="661" t="str">
        <f t="shared" si="250"/>
        <v>II</v>
      </c>
      <c r="AJ2324" s="662" t="str">
        <f t="shared" si="251"/>
        <v>F150-122</v>
      </c>
      <c r="AK2324" s="662" t="str">
        <f t="shared" si="252"/>
        <v>LTK</v>
      </c>
      <c r="AL2324" s="662" t="str">
        <f t="shared" si="253"/>
        <v>FRD</v>
      </c>
      <c r="AM2324" s="662" t="str">
        <f t="shared" si="249"/>
        <v>F150-SuperCab XL-2WD-6-8'-9200-5.0L FFV-8-X1C-100A-163.7-23-E85-Unleaded</v>
      </c>
      <c r="AN2324" s="662" t="str">
        <f t="shared" si="254"/>
        <v>2019-LTK-FRD-F150-122</v>
      </c>
    </row>
    <row r="2325" spans="1:40" s="572" customFormat="1" ht="15">
      <c r="A2325" s="570" t="s">
        <v>4227</v>
      </c>
      <c r="B2325" s="573" t="s">
        <v>4228</v>
      </c>
      <c r="C2325" s="573" t="s">
        <v>269</v>
      </c>
      <c r="D2325" s="578" t="s">
        <v>270</v>
      </c>
      <c r="E2325" s="573" t="s">
        <v>3374</v>
      </c>
      <c r="F2325" s="573" t="s">
        <v>196</v>
      </c>
      <c r="G2325" s="573" t="s">
        <v>271</v>
      </c>
      <c r="H2325" s="573">
        <v>2019</v>
      </c>
      <c r="I2325" s="573" t="s">
        <v>4229</v>
      </c>
      <c r="J2325" s="573" t="s">
        <v>3766</v>
      </c>
      <c r="K2325" s="573" t="s">
        <v>3377</v>
      </c>
      <c r="L2325" s="573">
        <v>6</v>
      </c>
      <c r="M2325" s="573">
        <v>0</v>
      </c>
      <c r="N2325" s="573" t="s">
        <v>157</v>
      </c>
      <c r="O2325" s="573">
        <v>2</v>
      </c>
      <c r="P2325" s="573" t="s">
        <v>4230</v>
      </c>
      <c r="Q2325" s="571">
        <v>12500</v>
      </c>
      <c r="R2325" s="573" t="s">
        <v>4231</v>
      </c>
      <c r="S2325" s="573">
        <v>8</v>
      </c>
      <c r="T2325" s="573" t="s">
        <v>4232</v>
      </c>
      <c r="U2325" s="573" t="s">
        <v>366</v>
      </c>
      <c r="V2325" s="573">
        <v>160</v>
      </c>
      <c r="W2325" s="573">
        <v>34</v>
      </c>
      <c r="X2325" s="571">
        <v>10000</v>
      </c>
      <c r="Y2325" s="573">
        <v>15</v>
      </c>
      <c r="Z2325" s="579" t="s">
        <v>728</v>
      </c>
      <c r="AA2325" s="579" t="s">
        <v>1523</v>
      </c>
      <c r="AB2325" s="584">
        <v>47360</v>
      </c>
      <c r="AC2325" s="584" t="s">
        <v>164</v>
      </c>
      <c r="AD2325" s="584">
        <v>34896.42105263158</v>
      </c>
      <c r="AE2325" s="586">
        <v>0.03</v>
      </c>
      <c r="AF2325" s="661" t="str">
        <f t="shared" si="255"/>
        <v>2019-LTK-FRD-F250-003-05</v>
      </c>
      <c r="AG2325" s="661" t="str">
        <f>IF(AND($Y2325&gt;=32,(AI2325="I"),(Y2325&lt;&gt;"~"),(COUNTIF($AN$1:$AN2325,$AN2325)=1)),"TRUE","FALSE")</f>
        <v>FALSE</v>
      </c>
      <c r="AH2325" s="661" t="str">
        <f>IF(AND($Y2325&gt;=22, (AI2325&lt;&gt;"I"),(Y2325&lt;&gt;"~"),(COUNTIF($AN$1:$AN2325,$AN2325)=1)),"TRUE","FALSE")</f>
        <v>FALSE</v>
      </c>
      <c r="AI2325" s="661" t="str">
        <f t="shared" si="250"/>
        <v>II</v>
      </c>
      <c r="AJ2325" s="662" t="str">
        <f t="shared" si="251"/>
        <v>F250-003</v>
      </c>
      <c r="AK2325" s="662" t="str">
        <f t="shared" si="252"/>
        <v>LTK</v>
      </c>
      <c r="AL2325" s="662" t="str">
        <f t="shared" si="253"/>
        <v>FRD</v>
      </c>
      <c r="AM2325" s="662" t="str">
        <f t="shared" si="249"/>
        <v>F250-Crew Cab XL-2WD-6-6'9"-12500-6.7L Diesel-8-W2A-600A-160-34-Diesel-BioDiesel</v>
      </c>
      <c r="AN2325" s="662" t="str">
        <f t="shared" si="254"/>
        <v>2019-LTK-FRD-F250-003</v>
      </c>
    </row>
    <row r="2326" spans="1:40" s="572" customFormat="1" ht="15">
      <c r="A2326" s="570" t="s">
        <v>4233</v>
      </c>
      <c r="B2326" s="569" t="s">
        <v>4234</v>
      </c>
      <c r="C2326" s="569" t="s">
        <v>269</v>
      </c>
      <c r="D2326" s="580" t="s">
        <v>270</v>
      </c>
      <c r="E2326" s="569" t="s">
        <v>3374</v>
      </c>
      <c r="F2326" s="569" t="s">
        <v>196</v>
      </c>
      <c r="G2326" s="569" t="s">
        <v>271</v>
      </c>
      <c r="H2326" s="569">
        <v>2019</v>
      </c>
      <c r="I2326" s="569" t="s">
        <v>4229</v>
      </c>
      <c r="J2326" s="569" t="s">
        <v>3766</v>
      </c>
      <c r="K2326" s="569" t="s">
        <v>3377</v>
      </c>
      <c r="L2326" s="569">
        <v>6</v>
      </c>
      <c r="M2326" s="569">
        <v>0</v>
      </c>
      <c r="N2326" s="569" t="s">
        <v>157</v>
      </c>
      <c r="O2326" s="569">
        <v>2</v>
      </c>
      <c r="P2326" s="569" t="s">
        <v>4230</v>
      </c>
      <c r="Q2326" s="568">
        <v>12900</v>
      </c>
      <c r="R2326" s="569" t="s">
        <v>4235</v>
      </c>
      <c r="S2326" s="569">
        <v>8</v>
      </c>
      <c r="T2326" s="569" t="s">
        <v>4232</v>
      </c>
      <c r="U2326" s="569" t="s">
        <v>366</v>
      </c>
      <c r="V2326" s="569">
        <v>160</v>
      </c>
      <c r="W2326" s="569">
        <v>34</v>
      </c>
      <c r="X2326" s="568">
        <v>10000</v>
      </c>
      <c r="Y2326" s="573">
        <v>15</v>
      </c>
      <c r="Z2326" s="581" t="s">
        <v>450</v>
      </c>
      <c r="AA2326" s="581" t="s">
        <v>178</v>
      </c>
      <c r="AB2326" s="585">
        <v>37875</v>
      </c>
      <c r="AC2326" s="585" t="s">
        <v>164</v>
      </c>
      <c r="AD2326" s="585">
        <v>26338.231578947369</v>
      </c>
      <c r="AE2326" s="587">
        <v>0.03</v>
      </c>
      <c r="AF2326" s="661" t="str">
        <f t="shared" si="255"/>
        <v>2019-LTK-FRD-F250-004-05</v>
      </c>
      <c r="AG2326" s="661" t="str">
        <f>IF(AND($Y2326&gt;=32,(AI2326="I"),(Y2326&lt;&gt;"~"),(COUNTIF($AN$1:$AN2326,$AN2326)=1)),"TRUE","FALSE")</f>
        <v>FALSE</v>
      </c>
      <c r="AH2326" s="661" t="str">
        <f>IF(AND($Y2326&gt;=22, (AI2326&lt;&gt;"I"),(Y2326&lt;&gt;"~"),(COUNTIF($AN$1:$AN2326,$AN2326)=1)),"TRUE","FALSE")</f>
        <v>FALSE</v>
      </c>
      <c r="AI2326" s="661" t="str">
        <f t="shared" si="250"/>
        <v>II</v>
      </c>
      <c r="AJ2326" s="662" t="str">
        <f t="shared" si="251"/>
        <v>F250-004</v>
      </c>
      <c r="AK2326" s="662" t="str">
        <f t="shared" si="252"/>
        <v>LTK</v>
      </c>
      <c r="AL2326" s="662" t="str">
        <f t="shared" si="253"/>
        <v>FRD</v>
      </c>
      <c r="AM2326" s="662" t="str">
        <f t="shared" si="249"/>
        <v>F250-Crew Cab XL-2WD-6-6'9"-12900-6.2L FFV-8-W2A-600A-160-34-E85-Unleaded</v>
      </c>
      <c r="AN2326" s="662" t="str">
        <f t="shared" si="254"/>
        <v>2019-LTK-FRD-F250-004</v>
      </c>
    </row>
    <row r="2327" spans="1:40" s="572" customFormat="1" ht="15">
      <c r="A2327" s="570" t="s">
        <v>4236</v>
      </c>
      <c r="B2327" s="573" t="s">
        <v>4237</v>
      </c>
      <c r="C2327" s="573" t="s">
        <v>269</v>
      </c>
      <c r="D2327" s="578" t="s">
        <v>270</v>
      </c>
      <c r="E2327" s="573" t="s">
        <v>3374</v>
      </c>
      <c r="F2327" s="573" t="s">
        <v>196</v>
      </c>
      <c r="G2327" s="573" t="s">
        <v>271</v>
      </c>
      <c r="H2327" s="573">
        <v>2019</v>
      </c>
      <c r="I2327" s="573" t="s">
        <v>4229</v>
      </c>
      <c r="J2327" s="573" t="s">
        <v>3766</v>
      </c>
      <c r="K2327" s="573" t="s">
        <v>3377</v>
      </c>
      <c r="L2327" s="573">
        <v>6</v>
      </c>
      <c r="M2327" s="573">
        <v>0</v>
      </c>
      <c r="N2327" s="573" t="s">
        <v>157</v>
      </c>
      <c r="O2327" s="573">
        <v>2</v>
      </c>
      <c r="P2327" s="573" t="s">
        <v>3846</v>
      </c>
      <c r="Q2327" s="571">
        <v>12500</v>
      </c>
      <c r="R2327" s="573" t="s">
        <v>4235</v>
      </c>
      <c r="S2327" s="573">
        <v>8</v>
      </c>
      <c r="T2327" s="573" t="s">
        <v>4232</v>
      </c>
      <c r="U2327" s="573" t="s">
        <v>366</v>
      </c>
      <c r="V2327" s="573">
        <v>176</v>
      </c>
      <c r="W2327" s="573">
        <v>48</v>
      </c>
      <c r="X2327" s="571">
        <v>10000</v>
      </c>
      <c r="Y2327" s="573">
        <v>15</v>
      </c>
      <c r="Z2327" s="579" t="s">
        <v>450</v>
      </c>
      <c r="AA2327" s="579" t="s">
        <v>178</v>
      </c>
      <c r="AB2327" s="584">
        <v>38075</v>
      </c>
      <c r="AC2327" s="584" t="s">
        <v>164</v>
      </c>
      <c r="AD2327" s="584">
        <v>26523.494736842105</v>
      </c>
      <c r="AE2327" s="586">
        <v>0.03</v>
      </c>
      <c r="AF2327" s="661" t="str">
        <f t="shared" si="255"/>
        <v>2019-LTK-FRD-F250-006-05</v>
      </c>
      <c r="AG2327" s="661" t="str">
        <f>IF(AND($Y2327&gt;=32,(AI2327="I"),(Y2327&lt;&gt;"~"),(COUNTIF($AN$1:$AN2327,$AN2327)=1)),"TRUE","FALSE")</f>
        <v>FALSE</v>
      </c>
      <c r="AH2327" s="661" t="str">
        <f>IF(AND($Y2327&gt;=22, (AI2327&lt;&gt;"I"),(Y2327&lt;&gt;"~"),(COUNTIF($AN$1:$AN2327,$AN2327)=1)),"TRUE","FALSE")</f>
        <v>FALSE</v>
      </c>
      <c r="AI2327" s="661" t="str">
        <f t="shared" si="250"/>
        <v>II</v>
      </c>
      <c r="AJ2327" s="662" t="str">
        <f t="shared" si="251"/>
        <v>F250-006</v>
      </c>
      <c r="AK2327" s="662" t="str">
        <f t="shared" si="252"/>
        <v>LTK</v>
      </c>
      <c r="AL2327" s="662" t="str">
        <f t="shared" si="253"/>
        <v>FRD</v>
      </c>
      <c r="AM2327" s="662" t="str">
        <f t="shared" si="249"/>
        <v>F250-Crew Cab XL-2WD-6-8'-12500-6.2L FFV-8-W2A-600A-176-48-E85-Unleaded</v>
      </c>
      <c r="AN2327" s="662" t="str">
        <f t="shared" si="254"/>
        <v>2019-LTK-FRD-F250-006</v>
      </c>
    </row>
    <row r="2328" spans="1:40" s="572" customFormat="1" ht="15">
      <c r="A2328" s="570" t="s">
        <v>4238</v>
      </c>
      <c r="B2328" s="569" t="s">
        <v>4239</v>
      </c>
      <c r="C2328" s="569" t="s">
        <v>269</v>
      </c>
      <c r="D2328" s="580" t="s">
        <v>270</v>
      </c>
      <c r="E2328" s="569" t="s">
        <v>3374</v>
      </c>
      <c r="F2328" s="569" t="s">
        <v>196</v>
      </c>
      <c r="G2328" s="569" t="s">
        <v>271</v>
      </c>
      <c r="H2328" s="569">
        <v>2019</v>
      </c>
      <c r="I2328" s="569" t="s">
        <v>4229</v>
      </c>
      <c r="J2328" s="569" t="s">
        <v>3766</v>
      </c>
      <c r="K2328" s="569" t="s">
        <v>3377</v>
      </c>
      <c r="L2328" s="569">
        <v>6</v>
      </c>
      <c r="M2328" s="569">
        <v>0</v>
      </c>
      <c r="N2328" s="569" t="s">
        <v>157</v>
      </c>
      <c r="O2328" s="569">
        <v>2</v>
      </c>
      <c r="P2328" s="569" t="s">
        <v>3846</v>
      </c>
      <c r="Q2328" s="568">
        <v>12500</v>
      </c>
      <c r="R2328" s="569" t="s">
        <v>4231</v>
      </c>
      <c r="S2328" s="569">
        <v>8</v>
      </c>
      <c r="T2328" s="569" t="s">
        <v>4232</v>
      </c>
      <c r="U2328" s="569" t="s">
        <v>366</v>
      </c>
      <c r="V2328" s="569">
        <v>176</v>
      </c>
      <c r="W2328" s="569">
        <v>48</v>
      </c>
      <c r="X2328" s="568">
        <v>10000</v>
      </c>
      <c r="Y2328" s="573">
        <v>15</v>
      </c>
      <c r="Z2328" s="581" t="s">
        <v>728</v>
      </c>
      <c r="AA2328" s="581" t="s">
        <v>1523</v>
      </c>
      <c r="AB2328" s="585">
        <v>47560</v>
      </c>
      <c r="AC2328" s="585" t="s">
        <v>164</v>
      </c>
      <c r="AD2328" s="585">
        <v>35080.631578947367</v>
      </c>
      <c r="AE2328" s="587">
        <v>0.03</v>
      </c>
      <c r="AF2328" s="661" t="str">
        <f t="shared" si="255"/>
        <v>2019-LTK-FRD-F250-081-05</v>
      </c>
      <c r="AG2328" s="661" t="str">
        <f>IF(AND($Y2328&gt;=32,(AI2328="I"),(Y2328&lt;&gt;"~"),(COUNTIF($AN$1:$AN2328,$AN2328)=1)),"TRUE","FALSE")</f>
        <v>FALSE</v>
      </c>
      <c r="AH2328" s="661" t="str">
        <f>IF(AND($Y2328&gt;=22, (AI2328&lt;&gt;"I"),(Y2328&lt;&gt;"~"),(COUNTIF($AN$1:$AN2328,$AN2328)=1)),"TRUE","FALSE")</f>
        <v>FALSE</v>
      </c>
      <c r="AI2328" s="661" t="str">
        <f t="shared" si="250"/>
        <v>II</v>
      </c>
      <c r="AJ2328" s="662" t="str">
        <f t="shared" si="251"/>
        <v>F250-081</v>
      </c>
      <c r="AK2328" s="662" t="str">
        <f t="shared" si="252"/>
        <v>LTK</v>
      </c>
      <c r="AL2328" s="662" t="str">
        <f t="shared" si="253"/>
        <v>FRD</v>
      </c>
      <c r="AM2328" s="662" t="str">
        <f t="shared" si="249"/>
        <v>F250-Crew Cab XL-2WD-6-8'-12500-6.7L Diesel-8-W2A-600A-176-48-Diesel-BioDiesel</v>
      </c>
      <c r="AN2328" s="662" t="str">
        <f t="shared" si="254"/>
        <v>2019-LTK-FRD-F250-081</v>
      </c>
    </row>
    <row r="2329" spans="1:40" s="572" customFormat="1" ht="15">
      <c r="A2329" s="570" t="s">
        <v>4240</v>
      </c>
      <c r="B2329" s="573" t="s">
        <v>4241</v>
      </c>
      <c r="C2329" s="573" t="s">
        <v>269</v>
      </c>
      <c r="D2329" s="578" t="s">
        <v>270</v>
      </c>
      <c r="E2329" s="573" t="s">
        <v>3374</v>
      </c>
      <c r="F2329" s="573" t="s">
        <v>196</v>
      </c>
      <c r="G2329" s="573" t="s">
        <v>271</v>
      </c>
      <c r="H2329" s="573">
        <v>2019</v>
      </c>
      <c r="I2329" s="573" t="s">
        <v>4229</v>
      </c>
      <c r="J2329" s="573" t="s">
        <v>3766</v>
      </c>
      <c r="K2329" s="573" t="s">
        <v>3377</v>
      </c>
      <c r="L2329" s="573">
        <v>6</v>
      </c>
      <c r="M2329" s="573">
        <v>0</v>
      </c>
      <c r="N2329" s="573" t="s">
        <v>157</v>
      </c>
      <c r="O2329" s="573">
        <v>2</v>
      </c>
      <c r="P2329" s="573" t="s">
        <v>3846</v>
      </c>
      <c r="Q2329" s="571">
        <v>12900</v>
      </c>
      <c r="R2329" s="573" t="s">
        <v>4235</v>
      </c>
      <c r="S2329" s="573">
        <v>8</v>
      </c>
      <c r="T2329" s="573" t="s">
        <v>4232</v>
      </c>
      <c r="U2329" s="573" t="s">
        <v>366</v>
      </c>
      <c r="V2329" s="573">
        <v>176</v>
      </c>
      <c r="W2329" s="573">
        <v>48</v>
      </c>
      <c r="X2329" s="571">
        <v>10000</v>
      </c>
      <c r="Y2329" s="573">
        <v>15</v>
      </c>
      <c r="Z2329" s="579" t="s">
        <v>450</v>
      </c>
      <c r="AA2329" s="579" t="s">
        <v>178</v>
      </c>
      <c r="AB2329" s="584">
        <v>38075</v>
      </c>
      <c r="AC2329" s="584" t="s">
        <v>164</v>
      </c>
      <c r="AD2329" s="584">
        <v>26523.494736842105</v>
      </c>
      <c r="AE2329" s="586">
        <v>0.03</v>
      </c>
      <c r="AF2329" s="661" t="str">
        <f t="shared" si="255"/>
        <v>2019-LTK-FRD-F250-082-05</v>
      </c>
      <c r="AG2329" s="661" t="str">
        <f>IF(AND($Y2329&gt;=32,(AI2329="I"),(Y2329&lt;&gt;"~"),(COUNTIF($AN$1:$AN2329,$AN2329)=1)),"TRUE","FALSE")</f>
        <v>FALSE</v>
      </c>
      <c r="AH2329" s="661" t="str">
        <f>IF(AND($Y2329&gt;=22, (AI2329&lt;&gt;"I"),(Y2329&lt;&gt;"~"),(COUNTIF($AN$1:$AN2329,$AN2329)=1)),"TRUE","FALSE")</f>
        <v>FALSE</v>
      </c>
      <c r="AI2329" s="661" t="str">
        <f t="shared" si="250"/>
        <v>II</v>
      </c>
      <c r="AJ2329" s="662" t="str">
        <f t="shared" si="251"/>
        <v>F250-082</v>
      </c>
      <c r="AK2329" s="662" t="str">
        <f t="shared" si="252"/>
        <v>LTK</v>
      </c>
      <c r="AL2329" s="662" t="str">
        <f t="shared" si="253"/>
        <v>FRD</v>
      </c>
      <c r="AM2329" s="662" t="str">
        <f t="shared" si="249"/>
        <v>F250-Crew Cab XL-2WD-6-8'-12900-6.2L FFV-8-W2A-600A-176-48-E85-Unleaded</v>
      </c>
      <c r="AN2329" s="662" t="str">
        <f t="shared" si="254"/>
        <v>2019-LTK-FRD-F250-082</v>
      </c>
    </row>
    <row r="2330" spans="1:40" s="572" customFormat="1" ht="15">
      <c r="A2330" s="570" t="s">
        <v>4242</v>
      </c>
      <c r="B2330" s="569" t="s">
        <v>4243</v>
      </c>
      <c r="C2330" s="569" t="s">
        <v>278</v>
      </c>
      <c r="D2330" s="580">
        <v>15</v>
      </c>
      <c r="E2330" s="569" t="s">
        <v>3374</v>
      </c>
      <c r="F2330" s="569" t="s">
        <v>196</v>
      </c>
      <c r="G2330" s="569" t="s">
        <v>271</v>
      </c>
      <c r="H2330" s="569">
        <v>2019</v>
      </c>
      <c r="I2330" s="569" t="s">
        <v>4229</v>
      </c>
      <c r="J2330" s="569" t="s">
        <v>3766</v>
      </c>
      <c r="K2330" s="569" t="s">
        <v>3377</v>
      </c>
      <c r="L2330" s="569">
        <v>6</v>
      </c>
      <c r="M2330" s="569">
        <v>0</v>
      </c>
      <c r="N2330" s="569" t="s">
        <v>157</v>
      </c>
      <c r="O2330" s="569">
        <v>2</v>
      </c>
      <c r="P2330" s="569" t="s">
        <v>4230</v>
      </c>
      <c r="Q2330" s="568">
        <v>12500</v>
      </c>
      <c r="R2330" s="569" t="s">
        <v>4235</v>
      </c>
      <c r="S2330" s="569">
        <v>8</v>
      </c>
      <c r="T2330" s="569" t="s">
        <v>4232</v>
      </c>
      <c r="U2330" s="569" t="s">
        <v>366</v>
      </c>
      <c r="V2330" s="569">
        <v>160</v>
      </c>
      <c r="W2330" s="569">
        <v>34</v>
      </c>
      <c r="X2330" s="568">
        <v>10000</v>
      </c>
      <c r="Y2330" s="569">
        <v>15</v>
      </c>
      <c r="Z2330" s="581" t="s">
        <v>450</v>
      </c>
      <c r="AA2330" s="581" t="s">
        <v>178</v>
      </c>
      <c r="AB2330" s="585">
        <v>38240</v>
      </c>
      <c r="AC2330" s="585" t="s">
        <v>164</v>
      </c>
      <c r="AD2330" s="585">
        <v>26800</v>
      </c>
      <c r="AE2330" s="587">
        <v>0.01</v>
      </c>
      <c r="AF2330" s="661" t="str">
        <f t="shared" si="255"/>
        <v>2019-LTK-FRD-F250-002-15</v>
      </c>
      <c r="AG2330" s="661" t="str">
        <f>IF(AND($Y2330&gt;=32,(AI2330="I"),(Y2330&lt;&gt;"~"),(COUNTIF($AN$1:$AN2330,$AN2330)=1)),"TRUE","FALSE")</f>
        <v>FALSE</v>
      </c>
      <c r="AH2330" s="661" t="str">
        <f>IF(AND($Y2330&gt;=22, (AI2330&lt;&gt;"I"),(Y2330&lt;&gt;"~"),(COUNTIF($AN$1:$AN2330,$AN2330)=1)),"TRUE","FALSE")</f>
        <v>FALSE</v>
      </c>
      <c r="AI2330" s="661" t="str">
        <f t="shared" si="250"/>
        <v>II</v>
      </c>
      <c r="AJ2330" s="662" t="str">
        <f t="shared" si="251"/>
        <v>F250-002</v>
      </c>
      <c r="AK2330" s="662" t="str">
        <f t="shared" si="252"/>
        <v>LTK</v>
      </c>
      <c r="AL2330" s="662" t="str">
        <f t="shared" si="253"/>
        <v>FRD</v>
      </c>
      <c r="AM2330" s="662" t="str">
        <f t="shared" si="249"/>
        <v>F250-Crew Cab XL-2WD-6-6'9"-12500-6.2L FFV-8-W2A-600A-160-34-E85-Unleaded</v>
      </c>
      <c r="AN2330" s="662" t="str">
        <f t="shared" si="254"/>
        <v>2019-LTK-FRD-F250-002</v>
      </c>
    </row>
    <row r="2331" spans="1:40" s="572" customFormat="1" ht="15">
      <c r="A2331" s="570" t="s">
        <v>4244</v>
      </c>
      <c r="B2331" s="573" t="s">
        <v>4228</v>
      </c>
      <c r="C2331" s="573" t="s">
        <v>278</v>
      </c>
      <c r="D2331" s="578">
        <v>15</v>
      </c>
      <c r="E2331" s="573" t="s">
        <v>3374</v>
      </c>
      <c r="F2331" s="573" t="s">
        <v>196</v>
      </c>
      <c r="G2331" s="573" t="s">
        <v>271</v>
      </c>
      <c r="H2331" s="573">
        <v>2019</v>
      </c>
      <c r="I2331" s="573" t="s">
        <v>4229</v>
      </c>
      <c r="J2331" s="573" t="s">
        <v>3766</v>
      </c>
      <c r="K2331" s="573" t="s">
        <v>3377</v>
      </c>
      <c r="L2331" s="573">
        <v>6</v>
      </c>
      <c r="M2331" s="573">
        <v>0</v>
      </c>
      <c r="N2331" s="573" t="s">
        <v>157</v>
      </c>
      <c r="O2331" s="573">
        <v>2</v>
      </c>
      <c r="P2331" s="573" t="s">
        <v>4230</v>
      </c>
      <c r="Q2331" s="571">
        <v>12500</v>
      </c>
      <c r="R2331" s="573" t="s">
        <v>4231</v>
      </c>
      <c r="S2331" s="573">
        <v>8</v>
      </c>
      <c r="T2331" s="573" t="s">
        <v>4232</v>
      </c>
      <c r="U2331" s="573" t="s">
        <v>366</v>
      </c>
      <c r="V2331" s="573">
        <v>160</v>
      </c>
      <c r="W2331" s="573">
        <v>35</v>
      </c>
      <c r="X2331" s="571">
        <v>10000</v>
      </c>
      <c r="Y2331" s="573">
        <v>15</v>
      </c>
      <c r="Z2331" s="579" t="s">
        <v>728</v>
      </c>
      <c r="AA2331" s="579" t="s">
        <v>1523</v>
      </c>
      <c r="AB2331" s="584">
        <v>47360</v>
      </c>
      <c r="AC2331" s="584" t="s">
        <v>164</v>
      </c>
      <c r="AD2331" s="584">
        <v>35050</v>
      </c>
      <c r="AE2331" s="586">
        <v>0.01</v>
      </c>
      <c r="AF2331" s="661" t="str">
        <f t="shared" si="255"/>
        <v>2019-LTK-FRD-F250-003-15</v>
      </c>
      <c r="AG2331" s="661" t="str">
        <f>IF(AND($Y2331&gt;=32,(AI2331="I"),(Y2331&lt;&gt;"~"),(COUNTIF($AN$1:$AN2331,$AN2331)=1)),"TRUE","FALSE")</f>
        <v>FALSE</v>
      </c>
      <c r="AH2331" s="661" t="str">
        <f>IF(AND($Y2331&gt;=22, (AI2331&lt;&gt;"I"),(Y2331&lt;&gt;"~"),(COUNTIF($AN$1:$AN2331,$AN2331)=1)),"TRUE","FALSE")</f>
        <v>FALSE</v>
      </c>
      <c r="AI2331" s="661" t="str">
        <f t="shared" si="250"/>
        <v>II</v>
      </c>
      <c r="AJ2331" s="662" t="str">
        <f t="shared" si="251"/>
        <v>F250-003</v>
      </c>
      <c r="AK2331" s="662" t="str">
        <f t="shared" si="252"/>
        <v>LTK</v>
      </c>
      <c r="AL2331" s="662" t="str">
        <f t="shared" si="253"/>
        <v>FRD</v>
      </c>
      <c r="AM2331" s="662" t="str">
        <f t="shared" ref="AM2331:AM2394" si="256">CONCATENATE(I2331,"-",J2331,"-",K2331,"-",L2331,"-",P2331,"-",Q2331,"-",R2331,"-",S2331,"-",T2331,"-",U2331,"-",V2331,"-",W2331,"-",Z2331,"-",AA2331)</f>
        <v>F250-Crew Cab XL-2WD-6-6'9"-12500-6.7L Diesel-8-W2A-600A-160-35-Diesel-BioDiesel</v>
      </c>
      <c r="AN2331" s="662" t="str">
        <f t="shared" si="254"/>
        <v>2019-LTK-FRD-F250-003</v>
      </c>
    </row>
    <row r="2332" spans="1:40" s="572" customFormat="1" ht="15">
      <c r="A2332" s="570" t="s">
        <v>4245</v>
      </c>
      <c r="B2332" s="569" t="s">
        <v>4237</v>
      </c>
      <c r="C2332" s="569" t="s">
        <v>278</v>
      </c>
      <c r="D2332" s="580">
        <v>15</v>
      </c>
      <c r="E2332" s="569" t="s">
        <v>3374</v>
      </c>
      <c r="F2332" s="569" t="s">
        <v>196</v>
      </c>
      <c r="G2332" s="569" t="s">
        <v>271</v>
      </c>
      <c r="H2332" s="569">
        <v>2019</v>
      </c>
      <c r="I2332" s="569" t="s">
        <v>4229</v>
      </c>
      <c r="J2332" s="569" t="s">
        <v>3766</v>
      </c>
      <c r="K2332" s="569" t="s">
        <v>3377</v>
      </c>
      <c r="L2332" s="569">
        <v>6</v>
      </c>
      <c r="M2332" s="569">
        <v>0</v>
      </c>
      <c r="N2332" s="569" t="s">
        <v>157</v>
      </c>
      <c r="O2332" s="569">
        <v>2</v>
      </c>
      <c r="P2332" s="569" t="s">
        <v>3846</v>
      </c>
      <c r="Q2332" s="568">
        <v>12500</v>
      </c>
      <c r="R2332" s="569" t="s">
        <v>4235</v>
      </c>
      <c r="S2332" s="569">
        <v>8</v>
      </c>
      <c r="T2332" s="569" t="s">
        <v>4232</v>
      </c>
      <c r="U2332" s="569" t="s">
        <v>366</v>
      </c>
      <c r="V2332" s="569">
        <v>176</v>
      </c>
      <c r="W2332" s="569">
        <v>48</v>
      </c>
      <c r="X2332" s="568">
        <v>10000</v>
      </c>
      <c r="Y2332" s="573">
        <v>15</v>
      </c>
      <c r="Z2332" s="581" t="s">
        <v>450</v>
      </c>
      <c r="AA2332" s="581" t="s">
        <v>178</v>
      </c>
      <c r="AB2332" s="585">
        <v>38440</v>
      </c>
      <c r="AC2332" s="585" t="s">
        <v>164</v>
      </c>
      <c r="AD2332" s="585">
        <v>26995</v>
      </c>
      <c r="AE2332" s="587">
        <v>0.01</v>
      </c>
      <c r="AF2332" s="661" t="str">
        <f t="shared" si="255"/>
        <v>2019-LTK-FRD-F250-006-15</v>
      </c>
      <c r="AG2332" s="661" t="str">
        <f>IF(AND($Y2332&gt;=32,(AI2332="I"),(Y2332&lt;&gt;"~"),(COUNTIF($AN$1:$AN2332,$AN2332)=1)),"TRUE","FALSE")</f>
        <v>FALSE</v>
      </c>
      <c r="AH2332" s="661" t="str">
        <f>IF(AND($Y2332&gt;=22, (AI2332&lt;&gt;"I"),(Y2332&lt;&gt;"~"),(COUNTIF($AN$1:$AN2332,$AN2332)=1)),"TRUE","FALSE")</f>
        <v>FALSE</v>
      </c>
      <c r="AI2332" s="661" t="str">
        <f t="shared" ref="AI2332:AI2395" si="257">IF(OR((LEFT($E2332,2)="01"),AND(LEFT($E2332,2)="06",ISNUMBER(SEARCH("pas",$F2332))),AND(LEFT($E2332,2)="05",ISNUMBER(SEARCH("pas",$F2332)))),"I",IF(AND((LEFT($E2332,2)&lt;&gt;"01"),$X2332&lt;=10000),"II",IF(AND((LEFT($E2332,2)&lt;&gt;"01"),$X2332&gt;10000),"N/A")))</f>
        <v>II</v>
      </c>
      <c r="AJ2332" s="662" t="str">
        <f t="shared" si="251"/>
        <v>F250-006</v>
      </c>
      <c r="AK2332" s="662" t="str">
        <f t="shared" si="252"/>
        <v>LTK</v>
      </c>
      <c r="AL2332" s="662" t="str">
        <f t="shared" si="253"/>
        <v>FRD</v>
      </c>
      <c r="AM2332" s="662" t="str">
        <f t="shared" si="256"/>
        <v>F250-Crew Cab XL-2WD-6-8'-12500-6.2L FFV-8-W2A-600A-176-48-E85-Unleaded</v>
      </c>
      <c r="AN2332" s="662" t="str">
        <f t="shared" si="254"/>
        <v>2019-LTK-FRD-F250-006</v>
      </c>
    </row>
    <row r="2333" spans="1:40" s="572" customFormat="1" ht="15">
      <c r="A2333" s="570" t="s">
        <v>4246</v>
      </c>
      <c r="B2333" s="573" t="s">
        <v>4247</v>
      </c>
      <c r="C2333" s="573" t="s">
        <v>278</v>
      </c>
      <c r="D2333" s="578">
        <v>15</v>
      </c>
      <c r="E2333" s="573" t="s">
        <v>3374</v>
      </c>
      <c r="F2333" s="573" t="s">
        <v>196</v>
      </c>
      <c r="G2333" s="573" t="s">
        <v>271</v>
      </c>
      <c r="H2333" s="573">
        <v>2019</v>
      </c>
      <c r="I2333" s="573" t="s">
        <v>4229</v>
      </c>
      <c r="J2333" s="573" t="s">
        <v>3766</v>
      </c>
      <c r="K2333" s="573" t="s">
        <v>3377</v>
      </c>
      <c r="L2333" s="573">
        <v>6</v>
      </c>
      <c r="M2333" s="573">
        <v>0</v>
      </c>
      <c r="N2333" s="573" t="s">
        <v>157</v>
      </c>
      <c r="O2333" s="573">
        <v>2</v>
      </c>
      <c r="P2333" s="573" t="s">
        <v>3846</v>
      </c>
      <c r="Q2333" s="571">
        <v>12500</v>
      </c>
      <c r="R2333" s="573" t="s">
        <v>4231</v>
      </c>
      <c r="S2333" s="573">
        <v>8</v>
      </c>
      <c r="T2333" s="573" t="s">
        <v>4232</v>
      </c>
      <c r="U2333" s="573" t="s">
        <v>366</v>
      </c>
      <c r="V2333" s="573">
        <v>176</v>
      </c>
      <c r="W2333" s="573">
        <v>35</v>
      </c>
      <c r="X2333" s="571">
        <v>10000</v>
      </c>
      <c r="Y2333" s="573">
        <v>14</v>
      </c>
      <c r="Z2333" s="579" t="s">
        <v>728</v>
      </c>
      <c r="AA2333" s="579" t="s">
        <v>1523</v>
      </c>
      <c r="AB2333" s="584">
        <v>47560</v>
      </c>
      <c r="AC2333" s="584" t="s">
        <v>164</v>
      </c>
      <c r="AD2333" s="584">
        <v>35250</v>
      </c>
      <c r="AE2333" s="586">
        <v>0.01</v>
      </c>
      <c r="AF2333" s="661" t="str">
        <f t="shared" si="255"/>
        <v>2019-LTK-FRD-F250-007-15</v>
      </c>
      <c r="AG2333" s="661" t="str">
        <f>IF(AND($Y2333&gt;=32,(AI2333="I"),(Y2333&lt;&gt;"~"),(COUNTIF($AN$1:$AN2333,$AN2333)=1)),"TRUE","FALSE")</f>
        <v>FALSE</v>
      </c>
      <c r="AH2333" s="661" t="str">
        <f>IF(AND($Y2333&gt;=22, (AI2333&lt;&gt;"I"),(Y2333&lt;&gt;"~"),(COUNTIF($AN$1:$AN2333,$AN2333)=1)),"TRUE","FALSE")</f>
        <v>FALSE</v>
      </c>
      <c r="AI2333" s="661" t="str">
        <f t="shared" si="257"/>
        <v>II</v>
      </c>
      <c r="AJ2333" s="662" t="str">
        <f t="shared" si="251"/>
        <v>F250-007</v>
      </c>
      <c r="AK2333" s="662" t="str">
        <f t="shared" si="252"/>
        <v>LTK</v>
      </c>
      <c r="AL2333" s="662" t="str">
        <f t="shared" si="253"/>
        <v>FRD</v>
      </c>
      <c r="AM2333" s="662" t="str">
        <f t="shared" si="256"/>
        <v>F250-Crew Cab XL-2WD-6-8'-12500-6.7L Diesel-8-W2A-600A-176-35-Diesel-BioDiesel</v>
      </c>
      <c r="AN2333" s="662" t="str">
        <f t="shared" si="254"/>
        <v>2019-LTK-FRD-F250-007</v>
      </c>
    </row>
    <row r="2334" spans="1:40" s="572" customFormat="1" ht="15">
      <c r="A2334" s="570" t="s">
        <v>4248</v>
      </c>
      <c r="B2334" s="569" t="s">
        <v>4243</v>
      </c>
      <c r="C2334" s="569" t="s">
        <v>287</v>
      </c>
      <c r="D2334" s="580">
        <v>26</v>
      </c>
      <c r="E2334" s="569" t="s">
        <v>3374</v>
      </c>
      <c r="F2334" s="569" t="s">
        <v>196</v>
      </c>
      <c r="G2334" s="569" t="s">
        <v>271</v>
      </c>
      <c r="H2334" s="569">
        <v>2019</v>
      </c>
      <c r="I2334" s="569" t="s">
        <v>4229</v>
      </c>
      <c r="J2334" s="569" t="s">
        <v>3766</v>
      </c>
      <c r="K2334" s="569" t="s">
        <v>3377</v>
      </c>
      <c r="L2334" s="569">
        <v>6</v>
      </c>
      <c r="M2334" s="569">
        <v>0</v>
      </c>
      <c r="N2334" s="569" t="s">
        <v>157</v>
      </c>
      <c r="O2334" s="569">
        <v>2</v>
      </c>
      <c r="P2334" s="569" t="s">
        <v>4230</v>
      </c>
      <c r="Q2334" s="568">
        <v>12500</v>
      </c>
      <c r="R2334" s="569" t="s">
        <v>4235</v>
      </c>
      <c r="S2334" s="569">
        <v>8</v>
      </c>
      <c r="T2334" s="569" t="s">
        <v>4232</v>
      </c>
      <c r="U2334" s="569" t="s">
        <v>366</v>
      </c>
      <c r="V2334" s="569">
        <v>160</v>
      </c>
      <c r="W2334" s="569">
        <v>34</v>
      </c>
      <c r="X2334" s="568">
        <v>10000</v>
      </c>
      <c r="Y2334" s="569">
        <v>15</v>
      </c>
      <c r="Z2334" s="581" t="s">
        <v>450</v>
      </c>
      <c r="AA2334" s="581" t="s">
        <v>178</v>
      </c>
      <c r="AB2334" s="585">
        <v>37875</v>
      </c>
      <c r="AC2334" s="585" t="s">
        <v>164</v>
      </c>
      <c r="AD2334" s="585">
        <v>26094</v>
      </c>
      <c r="AE2334" s="587">
        <v>0.05</v>
      </c>
      <c r="AF2334" s="661" t="str">
        <f t="shared" si="255"/>
        <v>2019-LTK-FRD-F250-002-26</v>
      </c>
      <c r="AG2334" s="661" t="str">
        <f>IF(AND($Y2334&gt;=32,(AI2334="I"),(Y2334&lt;&gt;"~"),(COUNTIF($AN$1:$AN2334,$AN2334)=1)),"TRUE","FALSE")</f>
        <v>FALSE</v>
      </c>
      <c r="AH2334" s="661" t="str">
        <f>IF(AND($Y2334&gt;=22, (AI2334&lt;&gt;"I"),(Y2334&lt;&gt;"~"),(COUNTIF($AN$1:$AN2334,$AN2334)=1)),"TRUE","FALSE")</f>
        <v>FALSE</v>
      </c>
      <c r="AI2334" s="661" t="str">
        <f t="shared" si="257"/>
        <v>II</v>
      </c>
      <c r="AJ2334" s="662" t="str">
        <f t="shared" si="251"/>
        <v>F250-002</v>
      </c>
      <c r="AK2334" s="662" t="str">
        <f t="shared" si="252"/>
        <v>LTK</v>
      </c>
      <c r="AL2334" s="662" t="str">
        <f t="shared" si="253"/>
        <v>FRD</v>
      </c>
      <c r="AM2334" s="662" t="str">
        <f t="shared" si="256"/>
        <v>F250-Crew Cab XL-2WD-6-6'9"-12500-6.2L FFV-8-W2A-600A-160-34-E85-Unleaded</v>
      </c>
      <c r="AN2334" s="662" t="str">
        <f t="shared" si="254"/>
        <v>2019-LTK-FRD-F250-002</v>
      </c>
    </row>
    <row r="2335" spans="1:40" s="572" customFormat="1" ht="15">
      <c r="A2335" s="570" t="s">
        <v>4249</v>
      </c>
      <c r="B2335" s="573" t="s">
        <v>4228</v>
      </c>
      <c r="C2335" s="573" t="s">
        <v>287</v>
      </c>
      <c r="D2335" s="578">
        <v>26</v>
      </c>
      <c r="E2335" s="573" t="s">
        <v>3374</v>
      </c>
      <c r="F2335" s="573" t="s">
        <v>196</v>
      </c>
      <c r="G2335" s="573" t="s">
        <v>271</v>
      </c>
      <c r="H2335" s="573">
        <v>2019</v>
      </c>
      <c r="I2335" s="573" t="s">
        <v>4229</v>
      </c>
      <c r="J2335" s="573" t="s">
        <v>3766</v>
      </c>
      <c r="K2335" s="573" t="s">
        <v>3377</v>
      </c>
      <c r="L2335" s="573">
        <v>6</v>
      </c>
      <c r="M2335" s="573">
        <v>0</v>
      </c>
      <c r="N2335" s="573" t="s">
        <v>157</v>
      </c>
      <c r="O2335" s="573">
        <v>2</v>
      </c>
      <c r="P2335" s="573" t="s">
        <v>4230</v>
      </c>
      <c r="Q2335" s="571">
        <v>12500</v>
      </c>
      <c r="R2335" s="573" t="s">
        <v>4231</v>
      </c>
      <c r="S2335" s="573">
        <v>8</v>
      </c>
      <c r="T2335" s="573" t="s">
        <v>4232</v>
      </c>
      <c r="U2335" s="573" t="s">
        <v>366</v>
      </c>
      <c r="V2335" s="573">
        <v>160</v>
      </c>
      <c r="W2335" s="573">
        <v>35</v>
      </c>
      <c r="X2335" s="571">
        <v>10000</v>
      </c>
      <c r="Y2335" s="573">
        <v>15</v>
      </c>
      <c r="Z2335" s="579" t="s">
        <v>728</v>
      </c>
      <c r="AA2335" s="579" t="s">
        <v>1523</v>
      </c>
      <c r="AB2335" s="584">
        <v>46870</v>
      </c>
      <c r="AC2335" s="584" t="s">
        <v>164</v>
      </c>
      <c r="AD2335" s="584">
        <v>35098</v>
      </c>
      <c r="AE2335" s="586">
        <v>0.05</v>
      </c>
      <c r="AF2335" s="661" t="str">
        <f t="shared" si="255"/>
        <v>2019-LTK-FRD-F250-003-26</v>
      </c>
      <c r="AG2335" s="661" t="str">
        <f>IF(AND($Y2335&gt;=32,(AI2335="I"),(Y2335&lt;&gt;"~"),(COUNTIF($AN$1:$AN2335,$AN2335)=1)),"TRUE","FALSE")</f>
        <v>FALSE</v>
      </c>
      <c r="AH2335" s="661" t="str">
        <f>IF(AND($Y2335&gt;=22, (AI2335&lt;&gt;"I"),(Y2335&lt;&gt;"~"),(COUNTIF($AN$1:$AN2335,$AN2335)=1)),"TRUE","FALSE")</f>
        <v>FALSE</v>
      </c>
      <c r="AI2335" s="661" t="str">
        <f t="shared" si="257"/>
        <v>II</v>
      </c>
      <c r="AJ2335" s="662" t="str">
        <f t="shared" si="251"/>
        <v>F250-003</v>
      </c>
      <c r="AK2335" s="662" t="str">
        <f t="shared" si="252"/>
        <v>LTK</v>
      </c>
      <c r="AL2335" s="662" t="str">
        <f t="shared" si="253"/>
        <v>FRD</v>
      </c>
      <c r="AM2335" s="662" t="str">
        <f t="shared" si="256"/>
        <v>F250-Crew Cab XL-2WD-6-6'9"-12500-6.7L Diesel-8-W2A-600A-160-35-Diesel-BioDiesel</v>
      </c>
      <c r="AN2335" s="662" t="str">
        <f t="shared" si="254"/>
        <v>2019-LTK-FRD-F250-003</v>
      </c>
    </row>
    <row r="2336" spans="1:40" s="572" customFormat="1" ht="15">
      <c r="A2336" s="570" t="s">
        <v>4250</v>
      </c>
      <c r="B2336" s="569" t="s">
        <v>4237</v>
      </c>
      <c r="C2336" s="569" t="s">
        <v>287</v>
      </c>
      <c r="D2336" s="580">
        <v>26</v>
      </c>
      <c r="E2336" s="569" t="s">
        <v>3374</v>
      </c>
      <c r="F2336" s="569" t="s">
        <v>196</v>
      </c>
      <c r="G2336" s="569" t="s">
        <v>271</v>
      </c>
      <c r="H2336" s="569">
        <v>2019</v>
      </c>
      <c r="I2336" s="569" t="s">
        <v>4229</v>
      </c>
      <c r="J2336" s="569" t="s">
        <v>3766</v>
      </c>
      <c r="K2336" s="569" t="s">
        <v>3377</v>
      </c>
      <c r="L2336" s="569">
        <v>6</v>
      </c>
      <c r="M2336" s="569">
        <v>0</v>
      </c>
      <c r="N2336" s="569" t="s">
        <v>157</v>
      </c>
      <c r="O2336" s="569">
        <v>2</v>
      </c>
      <c r="P2336" s="569" t="s">
        <v>3846</v>
      </c>
      <c r="Q2336" s="568">
        <v>12500</v>
      </c>
      <c r="R2336" s="569" t="s">
        <v>4235</v>
      </c>
      <c r="S2336" s="569">
        <v>8</v>
      </c>
      <c r="T2336" s="569" t="s">
        <v>4232</v>
      </c>
      <c r="U2336" s="569" t="s">
        <v>366</v>
      </c>
      <c r="V2336" s="569">
        <v>176</v>
      </c>
      <c r="W2336" s="569">
        <v>48</v>
      </c>
      <c r="X2336" s="568">
        <v>10000</v>
      </c>
      <c r="Y2336" s="573">
        <v>15</v>
      </c>
      <c r="Z2336" s="581" t="s">
        <v>450</v>
      </c>
      <c r="AA2336" s="581" t="s">
        <v>178</v>
      </c>
      <c r="AB2336" s="585">
        <v>38075</v>
      </c>
      <c r="AC2336" s="585" t="s">
        <v>164</v>
      </c>
      <c r="AD2336" s="585">
        <v>27092</v>
      </c>
      <c r="AE2336" s="587">
        <v>0.05</v>
      </c>
      <c r="AF2336" s="661" t="str">
        <f t="shared" si="255"/>
        <v>2019-LTK-FRD-F250-006-26</v>
      </c>
      <c r="AG2336" s="661" t="str">
        <f>IF(AND($Y2336&gt;=32,(AI2336="I"),(Y2336&lt;&gt;"~"),(COUNTIF($AN$1:$AN2336,$AN2336)=1)),"TRUE","FALSE")</f>
        <v>FALSE</v>
      </c>
      <c r="AH2336" s="661" t="str">
        <f>IF(AND($Y2336&gt;=22, (AI2336&lt;&gt;"I"),(Y2336&lt;&gt;"~"),(COUNTIF($AN$1:$AN2336,$AN2336)=1)),"TRUE","FALSE")</f>
        <v>FALSE</v>
      </c>
      <c r="AI2336" s="661" t="str">
        <f t="shared" si="257"/>
        <v>II</v>
      </c>
      <c r="AJ2336" s="662" t="str">
        <f t="shared" si="251"/>
        <v>F250-006</v>
      </c>
      <c r="AK2336" s="662" t="str">
        <f t="shared" si="252"/>
        <v>LTK</v>
      </c>
      <c r="AL2336" s="662" t="str">
        <f t="shared" si="253"/>
        <v>FRD</v>
      </c>
      <c r="AM2336" s="662" t="str">
        <f t="shared" si="256"/>
        <v>F250-Crew Cab XL-2WD-6-8'-12500-6.2L FFV-8-W2A-600A-176-48-E85-Unleaded</v>
      </c>
      <c r="AN2336" s="662" t="str">
        <f t="shared" si="254"/>
        <v>2019-LTK-FRD-F250-006</v>
      </c>
    </row>
    <row r="2337" spans="1:40" s="572" customFormat="1" ht="15">
      <c r="A2337" s="570" t="s">
        <v>4251</v>
      </c>
      <c r="B2337" s="573" t="s">
        <v>4247</v>
      </c>
      <c r="C2337" s="573" t="s">
        <v>287</v>
      </c>
      <c r="D2337" s="578">
        <v>26</v>
      </c>
      <c r="E2337" s="573" t="s">
        <v>3374</v>
      </c>
      <c r="F2337" s="573" t="s">
        <v>196</v>
      </c>
      <c r="G2337" s="573" t="s">
        <v>271</v>
      </c>
      <c r="H2337" s="573">
        <v>2019</v>
      </c>
      <c r="I2337" s="573" t="s">
        <v>4229</v>
      </c>
      <c r="J2337" s="573" t="s">
        <v>3766</v>
      </c>
      <c r="K2337" s="573" t="s">
        <v>3377</v>
      </c>
      <c r="L2337" s="573">
        <v>6</v>
      </c>
      <c r="M2337" s="573">
        <v>0</v>
      </c>
      <c r="N2337" s="573" t="s">
        <v>157</v>
      </c>
      <c r="O2337" s="573">
        <v>2</v>
      </c>
      <c r="P2337" s="573" t="s">
        <v>3846</v>
      </c>
      <c r="Q2337" s="571">
        <v>12500</v>
      </c>
      <c r="R2337" s="573" t="s">
        <v>4231</v>
      </c>
      <c r="S2337" s="573">
        <v>8</v>
      </c>
      <c r="T2337" s="573" t="s">
        <v>4232</v>
      </c>
      <c r="U2337" s="573" t="s">
        <v>366</v>
      </c>
      <c r="V2337" s="573">
        <v>176</v>
      </c>
      <c r="W2337" s="573">
        <v>35</v>
      </c>
      <c r="X2337" s="571">
        <v>10000</v>
      </c>
      <c r="Y2337" s="573">
        <v>14</v>
      </c>
      <c r="Z2337" s="579" t="s">
        <v>728</v>
      </c>
      <c r="AA2337" s="579" t="s">
        <v>1523</v>
      </c>
      <c r="AB2337" s="584">
        <v>47070</v>
      </c>
      <c r="AC2337" s="584" t="s">
        <v>164</v>
      </c>
      <c r="AD2337" s="584">
        <v>35286</v>
      </c>
      <c r="AE2337" s="586">
        <v>0.05</v>
      </c>
      <c r="AF2337" s="661" t="str">
        <f t="shared" si="255"/>
        <v>2019-LTK-FRD-F250-007-26</v>
      </c>
      <c r="AG2337" s="661" t="str">
        <f>IF(AND($Y2337&gt;=32,(AI2337="I"),(Y2337&lt;&gt;"~"),(COUNTIF($AN$1:$AN2337,$AN2337)=1)),"TRUE","FALSE")</f>
        <v>FALSE</v>
      </c>
      <c r="AH2337" s="661" t="str">
        <f>IF(AND($Y2337&gt;=22, (AI2337&lt;&gt;"I"),(Y2337&lt;&gt;"~"),(COUNTIF($AN$1:$AN2337,$AN2337)=1)),"TRUE","FALSE")</f>
        <v>FALSE</v>
      </c>
      <c r="AI2337" s="661" t="str">
        <f t="shared" si="257"/>
        <v>II</v>
      </c>
      <c r="AJ2337" s="662" t="str">
        <f t="shared" si="251"/>
        <v>F250-007</v>
      </c>
      <c r="AK2337" s="662" t="str">
        <f t="shared" si="252"/>
        <v>LTK</v>
      </c>
      <c r="AL2337" s="662" t="str">
        <f t="shared" si="253"/>
        <v>FRD</v>
      </c>
      <c r="AM2337" s="662" t="str">
        <f t="shared" si="256"/>
        <v>F250-Crew Cab XL-2WD-6-8'-12500-6.7L Diesel-8-W2A-600A-176-35-Diesel-BioDiesel</v>
      </c>
      <c r="AN2337" s="662" t="str">
        <f t="shared" si="254"/>
        <v>2019-LTK-FRD-F250-007</v>
      </c>
    </row>
    <row r="2338" spans="1:40" s="572" customFormat="1" ht="15">
      <c r="A2338" s="570" t="s">
        <v>4252</v>
      </c>
      <c r="B2338" s="569" t="s">
        <v>4228</v>
      </c>
      <c r="C2338" s="569" t="s">
        <v>280</v>
      </c>
      <c r="D2338" s="580">
        <v>27</v>
      </c>
      <c r="E2338" s="569" t="s">
        <v>3374</v>
      </c>
      <c r="F2338" s="569" t="s">
        <v>196</v>
      </c>
      <c r="G2338" s="569" t="s">
        <v>271</v>
      </c>
      <c r="H2338" s="569">
        <v>2019</v>
      </c>
      <c r="I2338" s="569" t="s">
        <v>4229</v>
      </c>
      <c r="J2338" s="569" t="s">
        <v>3766</v>
      </c>
      <c r="K2338" s="569" t="s">
        <v>3377</v>
      </c>
      <c r="L2338" s="569">
        <v>6</v>
      </c>
      <c r="M2338" s="569">
        <v>0</v>
      </c>
      <c r="N2338" s="569" t="s">
        <v>157</v>
      </c>
      <c r="O2338" s="569">
        <v>2</v>
      </c>
      <c r="P2338" s="569" t="s">
        <v>4230</v>
      </c>
      <c r="Q2338" s="568">
        <v>12500</v>
      </c>
      <c r="R2338" s="569" t="s">
        <v>4231</v>
      </c>
      <c r="S2338" s="569">
        <v>8</v>
      </c>
      <c r="T2338" s="569" t="s">
        <v>4232</v>
      </c>
      <c r="U2338" s="569" t="s">
        <v>366</v>
      </c>
      <c r="V2338" s="569">
        <v>160</v>
      </c>
      <c r="W2338" s="569">
        <v>34</v>
      </c>
      <c r="X2338" s="568">
        <v>10000</v>
      </c>
      <c r="Y2338" s="573">
        <v>15</v>
      </c>
      <c r="Z2338" s="581" t="s">
        <v>728</v>
      </c>
      <c r="AA2338" s="581" t="s">
        <v>1523</v>
      </c>
      <c r="AB2338" s="585">
        <v>47360</v>
      </c>
      <c r="AC2338" s="585" t="s">
        <v>164</v>
      </c>
      <c r="AD2338" s="585">
        <v>34896.42105263158</v>
      </c>
      <c r="AE2338" s="587">
        <v>0.03</v>
      </c>
      <c r="AF2338" s="661" t="str">
        <f t="shared" si="255"/>
        <v>2019-LTK-FRD-F250-003-27</v>
      </c>
      <c r="AG2338" s="661" t="str">
        <f>IF(AND($Y2338&gt;=32,(AI2338="I"),(Y2338&lt;&gt;"~"),(COUNTIF($AN$1:$AN2338,$AN2338)=1)),"TRUE","FALSE")</f>
        <v>FALSE</v>
      </c>
      <c r="AH2338" s="661" t="str">
        <f>IF(AND($Y2338&gt;=22, (AI2338&lt;&gt;"I"),(Y2338&lt;&gt;"~"),(COUNTIF($AN$1:$AN2338,$AN2338)=1)),"TRUE","FALSE")</f>
        <v>FALSE</v>
      </c>
      <c r="AI2338" s="661" t="str">
        <f t="shared" si="257"/>
        <v>II</v>
      </c>
      <c r="AJ2338" s="662" t="str">
        <f t="shared" si="251"/>
        <v>F250-003</v>
      </c>
      <c r="AK2338" s="662" t="str">
        <f t="shared" si="252"/>
        <v>LTK</v>
      </c>
      <c r="AL2338" s="662" t="str">
        <f t="shared" si="253"/>
        <v>FRD</v>
      </c>
      <c r="AM2338" s="662" t="str">
        <f t="shared" si="256"/>
        <v>F250-Crew Cab XL-2WD-6-6'9"-12500-6.7L Diesel-8-W2A-600A-160-34-Diesel-BioDiesel</v>
      </c>
      <c r="AN2338" s="662" t="str">
        <f t="shared" si="254"/>
        <v>2019-LTK-FRD-F250-003</v>
      </c>
    </row>
    <row r="2339" spans="1:40" s="572" customFormat="1" ht="15">
      <c r="A2339" s="570" t="s">
        <v>4253</v>
      </c>
      <c r="B2339" s="573" t="s">
        <v>4234</v>
      </c>
      <c r="C2339" s="573" t="s">
        <v>280</v>
      </c>
      <c r="D2339" s="578">
        <v>27</v>
      </c>
      <c r="E2339" s="573" t="s">
        <v>3374</v>
      </c>
      <c r="F2339" s="573" t="s">
        <v>196</v>
      </c>
      <c r="G2339" s="573" t="s">
        <v>271</v>
      </c>
      <c r="H2339" s="573">
        <v>2019</v>
      </c>
      <c r="I2339" s="573" t="s">
        <v>4229</v>
      </c>
      <c r="J2339" s="573" t="s">
        <v>3766</v>
      </c>
      <c r="K2339" s="573" t="s">
        <v>3377</v>
      </c>
      <c r="L2339" s="573">
        <v>6</v>
      </c>
      <c r="M2339" s="573">
        <v>0</v>
      </c>
      <c r="N2339" s="573" t="s">
        <v>157</v>
      </c>
      <c r="O2339" s="573">
        <v>2</v>
      </c>
      <c r="P2339" s="573" t="s">
        <v>4230</v>
      </c>
      <c r="Q2339" s="571">
        <v>12900</v>
      </c>
      <c r="R2339" s="573" t="s">
        <v>4235</v>
      </c>
      <c r="S2339" s="573">
        <v>8</v>
      </c>
      <c r="T2339" s="573" t="s">
        <v>4232</v>
      </c>
      <c r="U2339" s="573" t="s">
        <v>366</v>
      </c>
      <c r="V2339" s="573">
        <v>160</v>
      </c>
      <c r="W2339" s="573">
        <v>34</v>
      </c>
      <c r="X2339" s="571">
        <v>10000</v>
      </c>
      <c r="Y2339" s="573">
        <v>15</v>
      </c>
      <c r="Z2339" s="579" t="s">
        <v>450</v>
      </c>
      <c r="AA2339" s="579" t="s">
        <v>178</v>
      </c>
      <c r="AB2339" s="584">
        <v>37875</v>
      </c>
      <c r="AC2339" s="584" t="s">
        <v>164</v>
      </c>
      <c r="AD2339" s="584">
        <v>26338.231578947369</v>
      </c>
      <c r="AE2339" s="586">
        <v>0.03</v>
      </c>
      <c r="AF2339" s="661" t="str">
        <f t="shared" si="255"/>
        <v>2019-LTK-FRD-F250-004-27</v>
      </c>
      <c r="AG2339" s="661" t="str">
        <f>IF(AND($Y2339&gt;=32,(AI2339="I"),(Y2339&lt;&gt;"~"),(COUNTIF($AN$1:$AN2339,$AN2339)=1)),"TRUE","FALSE")</f>
        <v>FALSE</v>
      </c>
      <c r="AH2339" s="661" t="str">
        <f>IF(AND($Y2339&gt;=22, (AI2339&lt;&gt;"I"),(Y2339&lt;&gt;"~"),(COUNTIF($AN$1:$AN2339,$AN2339)=1)),"TRUE","FALSE")</f>
        <v>FALSE</v>
      </c>
      <c r="AI2339" s="661" t="str">
        <f t="shared" si="257"/>
        <v>II</v>
      </c>
      <c r="AJ2339" s="662" t="str">
        <f t="shared" si="251"/>
        <v>F250-004</v>
      </c>
      <c r="AK2339" s="662" t="str">
        <f t="shared" si="252"/>
        <v>LTK</v>
      </c>
      <c r="AL2339" s="662" t="str">
        <f t="shared" si="253"/>
        <v>FRD</v>
      </c>
      <c r="AM2339" s="662" t="str">
        <f t="shared" si="256"/>
        <v>F250-Crew Cab XL-2WD-6-6'9"-12900-6.2L FFV-8-W2A-600A-160-34-E85-Unleaded</v>
      </c>
      <c r="AN2339" s="662" t="str">
        <f t="shared" si="254"/>
        <v>2019-LTK-FRD-F250-004</v>
      </c>
    </row>
    <row r="2340" spans="1:40" s="572" customFormat="1" ht="15">
      <c r="A2340" s="570" t="s">
        <v>4254</v>
      </c>
      <c r="B2340" s="569" t="s">
        <v>4237</v>
      </c>
      <c r="C2340" s="569" t="s">
        <v>280</v>
      </c>
      <c r="D2340" s="580">
        <v>27</v>
      </c>
      <c r="E2340" s="569" t="s">
        <v>3374</v>
      </c>
      <c r="F2340" s="569" t="s">
        <v>196</v>
      </c>
      <c r="G2340" s="569" t="s">
        <v>271</v>
      </c>
      <c r="H2340" s="569">
        <v>2019</v>
      </c>
      <c r="I2340" s="569" t="s">
        <v>4229</v>
      </c>
      <c r="J2340" s="569" t="s">
        <v>3766</v>
      </c>
      <c r="K2340" s="569" t="s">
        <v>3377</v>
      </c>
      <c r="L2340" s="569">
        <v>6</v>
      </c>
      <c r="M2340" s="569">
        <v>0</v>
      </c>
      <c r="N2340" s="569" t="s">
        <v>157</v>
      </c>
      <c r="O2340" s="569">
        <v>2</v>
      </c>
      <c r="P2340" s="569" t="s">
        <v>3846</v>
      </c>
      <c r="Q2340" s="568">
        <v>12500</v>
      </c>
      <c r="R2340" s="569" t="s">
        <v>4235</v>
      </c>
      <c r="S2340" s="569">
        <v>8</v>
      </c>
      <c r="T2340" s="569" t="s">
        <v>4232</v>
      </c>
      <c r="U2340" s="569" t="s">
        <v>366</v>
      </c>
      <c r="V2340" s="569">
        <v>176</v>
      </c>
      <c r="W2340" s="569">
        <v>48</v>
      </c>
      <c r="X2340" s="568">
        <v>10000</v>
      </c>
      <c r="Y2340" s="573">
        <v>15</v>
      </c>
      <c r="Z2340" s="581" t="s">
        <v>450</v>
      </c>
      <c r="AA2340" s="581" t="s">
        <v>178</v>
      </c>
      <c r="AB2340" s="585">
        <v>38075</v>
      </c>
      <c r="AC2340" s="585" t="s">
        <v>164</v>
      </c>
      <c r="AD2340" s="585">
        <v>26523.494736842105</v>
      </c>
      <c r="AE2340" s="587">
        <v>0.03</v>
      </c>
      <c r="AF2340" s="661" t="str">
        <f t="shared" si="255"/>
        <v>2019-LTK-FRD-F250-006-27</v>
      </c>
      <c r="AG2340" s="661" t="str">
        <f>IF(AND($Y2340&gt;=32,(AI2340="I"),(Y2340&lt;&gt;"~"),(COUNTIF($AN$1:$AN2340,$AN2340)=1)),"TRUE","FALSE")</f>
        <v>FALSE</v>
      </c>
      <c r="AH2340" s="661" t="str">
        <f>IF(AND($Y2340&gt;=22, (AI2340&lt;&gt;"I"),(Y2340&lt;&gt;"~"),(COUNTIF($AN$1:$AN2340,$AN2340)=1)),"TRUE","FALSE")</f>
        <v>FALSE</v>
      </c>
      <c r="AI2340" s="661" t="str">
        <f t="shared" si="257"/>
        <v>II</v>
      </c>
      <c r="AJ2340" s="662" t="str">
        <f t="shared" si="251"/>
        <v>F250-006</v>
      </c>
      <c r="AK2340" s="662" t="str">
        <f t="shared" si="252"/>
        <v>LTK</v>
      </c>
      <c r="AL2340" s="662" t="str">
        <f t="shared" si="253"/>
        <v>FRD</v>
      </c>
      <c r="AM2340" s="662" t="str">
        <f t="shared" si="256"/>
        <v>F250-Crew Cab XL-2WD-6-8'-12500-6.2L FFV-8-W2A-600A-176-48-E85-Unleaded</v>
      </c>
      <c r="AN2340" s="662" t="str">
        <f t="shared" si="254"/>
        <v>2019-LTK-FRD-F250-006</v>
      </c>
    </row>
    <row r="2341" spans="1:40" s="572" customFormat="1" ht="15">
      <c r="A2341" s="570" t="s">
        <v>4255</v>
      </c>
      <c r="B2341" s="573" t="s">
        <v>4239</v>
      </c>
      <c r="C2341" s="573" t="s">
        <v>280</v>
      </c>
      <c r="D2341" s="578">
        <v>27</v>
      </c>
      <c r="E2341" s="573" t="s">
        <v>3374</v>
      </c>
      <c r="F2341" s="573" t="s">
        <v>196</v>
      </c>
      <c r="G2341" s="573" t="s">
        <v>271</v>
      </c>
      <c r="H2341" s="573">
        <v>2019</v>
      </c>
      <c r="I2341" s="573" t="s">
        <v>4229</v>
      </c>
      <c r="J2341" s="573" t="s">
        <v>3766</v>
      </c>
      <c r="K2341" s="573" t="s">
        <v>3377</v>
      </c>
      <c r="L2341" s="573">
        <v>6</v>
      </c>
      <c r="M2341" s="573">
        <v>0</v>
      </c>
      <c r="N2341" s="573" t="s">
        <v>157</v>
      </c>
      <c r="O2341" s="573">
        <v>2</v>
      </c>
      <c r="P2341" s="573" t="s">
        <v>3846</v>
      </c>
      <c r="Q2341" s="571">
        <v>12500</v>
      </c>
      <c r="R2341" s="573" t="s">
        <v>4231</v>
      </c>
      <c r="S2341" s="573">
        <v>8</v>
      </c>
      <c r="T2341" s="573" t="s">
        <v>4232</v>
      </c>
      <c r="U2341" s="573" t="s">
        <v>366</v>
      </c>
      <c r="V2341" s="573">
        <v>176</v>
      </c>
      <c r="W2341" s="573">
        <v>48</v>
      </c>
      <c r="X2341" s="571">
        <v>10000</v>
      </c>
      <c r="Y2341" s="573">
        <v>15</v>
      </c>
      <c r="Z2341" s="579" t="s">
        <v>728</v>
      </c>
      <c r="AA2341" s="579" t="s">
        <v>1523</v>
      </c>
      <c r="AB2341" s="584">
        <v>47560</v>
      </c>
      <c r="AC2341" s="584" t="s">
        <v>164</v>
      </c>
      <c r="AD2341" s="584">
        <v>35080.631578947367</v>
      </c>
      <c r="AE2341" s="586">
        <v>0.03</v>
      </c>
      <c r="AF2341" s="661" t="str">
        <f t="shared" si="255"/>
        <v>2019-LTK-FRD-F250-081-27</v>
      </c>
      <c r="AG2341" s="661" t="str">
        <f>IF(AND($Y2341&gt;=32,(AI2341="I"),(Y2341&lt;&gt;"~"),(COUNTIF($AN$1:$AN2341,$AN2341)=1)),"TRUE","FALSE")</f>
        <v>FALSE</v>
      </c>
      <c r="AH2341" s="661" t="str">
        <f>IF(AND($Y2341&gt;=22, (AI2341&lt;&gt;"I"),(Y2341&lt;&gt;"~"),(COUNTIF($AN$1:$AN2341,$AN2341)=1)),"TRUE","FALSE")</f>
        <v>FALSE</v>
      </c>
      <c r="AI2341" s="661" t="str">
        <f t="shared" si="257"/>
        <v>II</v>
      </c>
      <c r="AJ2341" s="662" t="str">
        <f t="shared" si="251"/>
        <v>F250-081</v>
      </c>
      <c r="AK2341" s="662" t="str">
        <f t="shared" si="252"/>
        <v>LTK</v>
      </c>
      <c r="AL2341" s="662" t="str">
        <f t="shared" si="253"/>
        <v>FRD</v>
      </c>
      <c r="AM2341" s="662" t="str">
        <f t="shared" si="256"/>
        <v>F250-Crew Cab XL-2WD-6-8'-12500-6.7L Diesel-8-W2A-600A-176-48-Diesel-BioDiesel</v>
      </c>
      <c r="AN2341" s="662" t="str">
        <f t="shared" si="254"/>
        <v>2019-LTK-FRD-F250-081</v>
      </c>
    </row>
    <row r="2342" spans="1:40" s="572" customFormat="1" ht="15">
      <c r="A2342" s="570" t="s">
        <v>4256</v>
      </c>
      <c r="B2342" s="569" t="s">
        <v>4241</v>
      </c>
      <c r="C2342" s="569" t="s">
        <v>280</v>
      </c>
      <c r="D2342" s="580">
        <v>27</v>
      </c>
      <c r="E2342" s="569" t="s">
        <v>3374</v>
      </c>
      <c r="F2342" s="569" t="s">
        <v>196</v>
      </c>
      <c r="G2342" s="569" t="s">
        <v>271</v>
      </c>
      <c r="H2342" s="569">
        <v>2019</v>
      </c>
      <c r="I2342" s="569" t="s">
        <v>4229</v>
      </c>
      <c r="J2342" s="569" t="s">
        <v>3766</v>
      </c>
      <c r="K2342" s="569" t="s">
        <v>3377</v>
      </c>
      <c r="L2342" s="569">
        <v>6</v>
      </c>
      <c r="M2342" s="569">
        <v>0</v>
      </c>
      <c r="N2342" s="569" t="s">
        <v>157</v>
      </c>
      <c r="O2342" s="569">
        <v>2</v>
      </c>
      <c r="P2342" s="569" t="s">
        <v>3846</v>
      </c>
      <c r="Q2342" s="568">
        <v>12900</v>
      </c>
      <c r="R2342" s="569" t="s">
        <v>4235</v>
      </c>
      <c r="S2342" s="569">
        <v>8</v>
      </c>
      <c r="T2342" s="569" t="s">
        <v>4232</v>
      </c>
      <c r="U2342" s="569" t="s">
        <v>366</v>
      </c>
      <c r="V2342" s="569">
        <v>176</v>
      </c>
      <c r="W2342" s="569">
        <v>48</v>
      </c>
      <c r="X2342" s="568">
        <v>10000</v>
      </c>
      <c r="Y2342" s="573">
        <v>15</v>
      </c>
      <c r="Z2342" s="581" t="s">
        <v>450</v>
      </c>
      <c r="AA2342" s="581" t="s">
        <v>178</v>
      </c>
      <c r="AB2342" s="585">
        <v>38075</v>
      </c>
      <c r="AC2342" s="585" t="s">
        <v>164</v>
      </c>
      <c r="AD2342" s="585">
        <v>26523.494736842105</v>
      </c>
      <c r="AE2342" s="587">
        <v>0.03</v>
      </c>
      <c r="AF2342" s="661" t="str">
        <f t="shared" si="255"/>
        <v>2019-LTK-FRD-F250-082-27</v>
      </c>
      <c r="AG2342" s="661" t="str">
        <f>IF(AND($Y2342&gt;=32,(AI2342="I"),(Y2342&lt;&gt;"~"),(COUNTIF($AN$1:$AN2342,$AN2342)=1)),"TRUE","FALSE")</f>
        <v>FALSE</v>
      </c>
      <c r="AH2342" s="661" t="str">
        <f>IF(AND($Y2342&gt;=22, (AI2342&lt;&gt;"I"),(Y2342&lt;&gt;"~"),(COUNTIF($AN$1:$AN2342,$AN2342)=1)),"TRUE","FALSE")</f>
        <v>FALSE</v>
      </c>
      <c r="AI2342" s="661" t="str">
        <f t="shared" si="257"/>
        <v>II</v>
      </c>
      <c r="AJ2342" s="662" t="str">
        <f t="shared" si="251"/>
        <v>F250-082</v>
      </c>
      <c r="AK2342" s="662" t="str">
        <f t="shared" si="252"/>
        <v>LTK</v>
      </c>
      <c r="AL2342" s="662" t="str">
        <f t="shared" si="253"/>
        <v>FRD</v>
      </c>
      <c r="AM2342" s="662" t="str">
        <f t="shared" si="256"/>
        <v>F250-Crew Cab XL-2WD-6-8'-12900-6.2L FFV-8-W2A-600A-176-48-E85-Unleaded</v>
      </c>
      <c r="AN2342" s="662" t="str">
        <f t="shared" si="254"/>
        <v>2019-LTK-FRD-F250-082</v>
      </c>
    </row>
    <row r="2343" spans="1:40" s="572" customFormat="1" ht="15">
      <c r="A2343" s="570" t="s">
        <v>4257</v>
      </c>
      <c r="B2343" s="573" t="s">
        <v>4258</v>
      </c>
      <c r="C2343" s="573" t="s">
        <v>269</v>
      </c>
      <c r="D2343" s="578" t="s">
        <v>270</v>
      </c>
      <c r="E2343" s="573" t="s">
        <v>3374</v>
      </c>
      <c r="F2343" s="573" t="s">
        <v>196</v>
      </c>
      <c r="G2343" s="573" t="s">
        <v>271</v>
      </c>
      <c r="H2343" s="573">
        <v>2019</v>
      </c>
      <c r="I2343" s="573" t="s">
        <v>4229</v>
      </c>
      <c r="J2343" s="573" t="s">
        <v>3766</v>
      </c>
      <c r="K2343" s="573" t="s">
        <v>752</v>
      </c>
      <c r="L2343" s="573">
        <v>6</v>
      </c>
      <c r="M2343" s="573">
        <v>0</v>
      </c>
      <c r="N2343" s="573" t="s">
        <v>157</v>
      </c>
      <c r="O2343" s="573">
        <v>2</v>
      </c>
      <c r="P2343" s="573" t="s">
        <v>4230</v>
      </c>
      <c r="Q2343" s="571">
        <v>12200</v>
      </c>
      <c r="R2343" s="573" t="s">
        <v>4231</v>
      </c>
      <c r="S2343" s="573">
        <v>8</v>
      </c>
      <c r="T2343" s="573" t="s">
        <v>4259</v>
      </c>
      <c r="U2343" s="573" t="s">
        <v>366</v>
      </c>
      <c r="V2343" s="573">
        <v>160</v>
      </c>
      <c r="W2343" s="573">
        <v>34</v>
      </c>
      <c r="X2343" s="571">
        <v>10000</v>
      </c>
      <c r="Y2343" s="573">
        <v>14</v>
      </c>
      <c r="Z2343" s="579" t="s">
        <v>728</v>
      </c>
      <c r="AA2343" s="579" t="s">
        <v>1523</v>
      </c>
      <c r="AB2343" s="584">
        <v>45700</v>
      </c>
      <c r="AC2343" s="584" t="s">
        <v>164</v>
      </c>
      <c r="AD2343" s="584">
        <v>33566.652631578945</v>
      </c>
      <c r="AE2343" s="586">
        <v>0.03</v>
      </c>
      <c r="AF2343" s="661" t="str">
        <f t="shared" si="255"/>
        <v>2019-LTK-FRD-F250-011-05</v>
      </c>
      <c r="AG2343" s="661" t="str">
        <f>IF(AND($Y2343&gt;=32,(AI2343="I"),(Y2343&lt;&gt;"~"),(COUNTIF($AN$1:$AN2343,$AN2343)=1)),"TRUE","FALSE")</f>
        <v>FALSE</v>
      </c>
      <c r="AH2343" s="661" t="str">
        <f>IF(AND($Y2343&gt;=22, (AI2343&lt;&gt;"I"),(Y2343&lt;&gt;"~"),(COUNTIF($AN$1:$AN2343,$AN2343)=1)),"TRUE","FALSE")</f>
        <v>FALSE</v>
      </c>
      <c r="AI2343" s="661" t="str">
        <f t="shared" si="257"/>
        <v>II</v>
      </c>
      <c r="AJ2343" s="662" t="str">
        <f t="shared" si="251"/>
        <v>F250-011</v>
      </c>
      <c r="AK2343" s="662" t="str">
        <f t="shared" si="252"/>
        <v>LTK</v>
      </c>
      <c r="AL2343" s="662" t="str">
        <f t="shared" si="253"/>
        <v>FRD</v>
      </c>
      <c r="AM2343" s="662" t="str">
        <f t="shared" si="256"/>
        <v>F250-Crew Cab XL-4WD-6-6'9"-12200-6.7L Diesel-8-W2B-600A-160-34-Diesel-BioDiesel</v>
      </c>
      <c r="AN2343" s="662" t="str">
        <f t="shared" si="254"/>
        <v>2019-LTK-FRD-F250-011</v>
      </c>
    </row>
    <row r="2344" spans="1:40" s="572" customFormat="1" ht="15">
      <c r="A2344" s="570" t="s">
        <v>4260</v>
      </c>
      <c r="B2344" s="569" t="s">
        <v>4261</v>
      </c>
      <c r="C2344" s="569" t="s">
        <v>269</v>
      </c>
      <c r="D2344" s="580" t="s">
        <v>270</v>
      </c>
      <c r="E2344" s="569" t="s">
        <v>3374</v>
      </c>
      <c r="F2344" s="569" t="s">
        <v>196</v>
      </c>
      <c r="G2344" s="569" t="s">
        <v>271</v>
      </c>
      <c r="H2344" s="569">
        <v>2019</v>
      </c>
      <c r="I2344" s="569" t="s">
        <v>4229</v>
      </c>
      <c r="J2344" s="569" t="s">
        <v>3766</v>
      </c>
      <c r="K2344" s="569" t="s">
        <v>752</v>
      </c>
      <c r="L2344" s="569">
        <v>6</v>
      </c>
      <c r="M2344" s="569">
        <v>0</v>
      </c>
      <c r="N2344" s="569" t="s">
        <v>157</v>
      </c>
      <c r="O2344" s="569">
        <v>2</v>
      </c>
      <c r="P2344" s="569" t="s">
        <v>4230</v>
      </c>
      <c r="Q2344" s="568">
        <v>12500</v>
      </c>
      <c r="R2344" s="569" t="s">
        <v>4235</v>
      </c>
      <c r="S2344" s="569">
        <v>8</v>
      </c>
      <c r="T2344" s="569" t="s">
        <v>4259</v>
      </c>
      <c r="U2344" s="569" t="s">
        <v>366</v>
      </c>
      <c r="V2344" s="569">
        <v>160</v>
      </c>
      <c r="W2344" s="569">
        <v>34</v>
      </c>
      <c r="X2344" s="568">
        <v>10000</v>
      </c>
      <c r="Y2344" s="573">
        <v>14</v>
      </c>
      <c r="Z2344" s="581" t="s">
        <v>450</v>
      </c>
      <c r="AA2344" s="581" t="s">
        <v>178</v>
      </c>
      <c r="AB2344" s="585">
        <v>40675</v>
      </c>
      <c r="AC2344" s="585" t="s">
        <v>164</v>
      </c>
      <c r="AD2344" s="585">
        <v>28924.547368421052</v>
      </c>
      <c r="AE2344" s="587">
        <v>0.03</v>
      </c>
      <c r="AF2344" s="661" t="str">
        <f t="shared" si="255"/>
        <v>2019-LTK-FRD-F250-012-05</v>
      </c>
      <c r="AG2344" s="661" t="str">
        <f>IF(AND($Y2344&gt;=32,(AI2344="I"),(Y2344&lt;&gt;"~"),(COUNTIF($AN$1:$AN2344,$AN2344)=1)),"TRUE","FALSE")</f>
        <v>FALSE</v>
      </c>
      <c r="AH2344" s="661" t="str">
        <f>IF(AND($Y2344&gt;=22, (AI2344&lt;&gt;"I"),(Y2344&lt;&gt;"~"),(COUNTIF($AN$1:$AN2344,$AN2344)=1)),"TRUE","FALSE")</f>
        <v>FALSE</v>
      </c>
      <c r="AI2344" s="661" t="str">
        <f t="shared" si="257"/>
        <v>II</v>
      </c>
      <c r="AJ2344" s="662" t="str">
        <f t="shared" si="251"/>
        <v>F250-012</v>
      </c>
      <c r="AK2344" s="662" t="str">
        <f t="shared" si="252"/>
        <v>LTK</v>
      </c>
      <c r="AL2344" s="662" t="str">
        <f t="shared" si="253"/>
        <v>FRD</v>
      </c>
      <c r="AM2344" s="662" t="str">
        <f t="shared" si="256"/>
        <v>F250-Crew Cab XL-4WD-6-6'9"-12500-6.2L FFV-8-W2B-600A-160-34-E85-Unleaded</v>
      </c>
      <c r="AN2344" s="662" t="str">
        <f t="shared" si="254"/>
        <v>2019-LTK-FRD-F250-012</v>
      </c>
    </row>
    <row r="2345" spans="1:40" s="572" customFormat="1" ht="15">
      <c r="A2345" s="570" t="s">
        <v>4262</v>
      </c>
      <c r="B2345" s="573" t="s">
        <v>4263</v>
      </c>
      <c r="C2345" s="573" t="s">
        <v>269</v>
      </c>
      <c r="D2345" s="578" t="s">
        <v>270</v>
      </c>
      <c r="E2345" s="573" t="s">
        <v>3374</v>
      </c>
      <c r="F2345" s="573" t="s">
        <v>196</v>
      </c>
      <c r="G2345" s="573" t="s">
        <v>271</v>
      </c>
      <c r="H2345" s="573">
        <v>2019</v>
      </c>
      <c r="I2345" s="573" t="s">
        <v>4229</v>
      </c>
      <c r="J2345" s="573" t="s">
        <v>3766</v>
      </c>
      <c r="K2345" s="573" t="s">
        <v>752</v>
      </c>
      <c r="L2345" s="573">
        <v>6</v>
      </c>
      <c r="M2345" s="573">
        <v>0</v>
      </c>
      <c r="N2345" s="573" t="s">
        <v>157</v>
      </c>
      <c r="O2345" s="573">
        <v>2</v>
      </c>
      <c r="P2345" s="573" t="s">
        <v>3846</v>
      </c>
      <c r="Q2345" s="571">
        <v>12200</v>
      </c>
      <c r="R2345" s="573" t="s">
        <v>4231</v>
      </c>
      <c r="S2345" s="573">
        <v>8</v>
      </c>
      <c r="T2345" s="573" t="s">
        <v>4259</v>
      </c>
      <c r="U2345" s="573" t="s">
        <v>366</v>
      </c>
      <c r="V2345" s="573">
        <v>176</v>
      </c>
      <c r="W2345" s="573">
        <v>48</v>
      </c>
      <c r="X2345" s="571">
        <v>10000</v>
      </c>
      <c r="Y2345" s="573">
        <v>14</v>
      </c>
      <c r="Z2345" s="579" t="s">
        <v>728</v>
      </c>
      <c r="AA2345" s="579" t="s">
        <v>1523</v>
      </c>
      <c r="AB2345" s="584">
        <v>50365</v>
      </c>
      <c r="AC2345" s="584" t="s">
        <v>164</v>
      </c>
      <c r="AD2345" s="584">
        <v>37672.210526315786</v>
      </c>
      <c r="AE2345" s="586">
        <v>0.03</v>
      </c>
      <c r="AF2345" s="661" t="str">
        <f t="shared" si="255"/>
        <v>2019-LTK-FRD-F250-083-05</v>
      </c>
      <c r="AG2345" s="661" t="str">
        <f>IF(AND($Y2345&gt;=32,(AI2345="I"),(Y2345&lt;&gt;"~"),(COUNTIF($AN$1:$AN2345,$AN2345)=1)),"TRUE","FALSE")</f>
        <v>FALSE</v>
      </c>
      <c r="AH2345" s="661" t="str">
        <f>IF(AND($Y2345&gt;=22, (AI2345&lt;&gt;"I"),(Y2345&lt;&gt;"~"),(COUNTIF($AN$1:$AN2345,$AN2345)=1)),"TRUE","FALSE")</f>
        <v>FALSE</v>
      </c>
      <c r="AI2345" s="661" t="str">
        <f t="shared" si="257"/>
        <v>II</v>
      </c>
      <c r="AJ2345" s="662" t="str">
        <f t="shared" si="251"/>
        <v>F250-083</v>
      </c>
      <c r="AK2345" s="662" t="str">
        <f t="shared" si="252"/>
        <v>LTK</v>
      </c>
      <c r="AL2345" s="662" t="str">
        <f t="shared" si="253"/>
        <v>FRD</v>
      </c>
      <c r="AM2345" s="662" t="str">
        <f t="shared" si="256"/>
        <v>F250-Crew Cab XL-4WD-6-8'-12200-6.7L Diesel-8-W2B-600A-176-48-Diesel-BioDiesel</v>
      </c>
      <c r="AN2345" s="662" t="str">
        <f t="shared" si="254"/>
        <v>2019-LTK-FRD-F250-083</v>
      </c>
    </row>
    <row r="2346" spans="1:40" s="572" customFormat="1" ht="15">
      <c r="A2346" s="570" t="s">
        <v>4264</v>
      </c>
      <c r="B2346" s="569" t="s">
        <v>4265</v>
      </c>
      <c r="C2346" s="569" t="s">
        <v>269</v>
      </c>
      <c r="D2346" s="580" t="s">
        <v>270</v>
      </c>
      <c r="E2346" s="569" t="s">
        <v>3374</v>
      </c>
      <c r="F2346" s="569" t="s">
        <v>196</v>
      </c>
      <c r="G2346" s="569" t="s">
        <v>271</v>
      </c>
      <c r="H2346" s="569">
        <v>2019</v>
      </c>
      <c r="I2346" s="569" t="s">
        <v>4229</v>
      </c>
      <c r="J2346" s="569" t="s">
        <v>3766</v>
      </c>
      <c r="K2346" s="569" t="s">
        <v>752</v>
      </c>
      <c r="L2346" s="569">
        <v>6</v>
      </c>
      <c r="M2346" s="569">
        <v>0</v>
      </c>
      <c r="N2346" s="569" t="s">
        <v>157</v>
      </c>
      <c r="O2346" s="569">
        <v>2</v>
      </c>
      <c r="P2346" s="569" t="s">
        <v>3846</v>
      </c>
      <c r="Q2346" s="568">
        <v>12500</v>
      </c>
      <c r="R2346" s="569" t="s">
        <v>4235</v>
      </c>
      <c r="S2346" s="569">
        <v>8</v>
      </c>
      <c r="T2346" s="569" t="s">
        <v>4259</v>
      </c>
      <c r="U2346" s="569" t="s">
        <v>366</v>
      </c>
      <c r="V2346" s="569">
        <v>176</v>
      </c>
      <c r="W2346" s="569">
        <v>48</v>
      </c>
      <c r="X2346" s="568">
        <v>10000</v>
      </c>
      <c r="Y2346" s="573">
        <v>14</v>
      </c>
      <c r="Z2346" s="581" t="s">
        <v>450</v>
      </c>
      <c r="AA2346" s="581" t="s">
        <v>178</v>
      </c>
      <c r="AB2346" s="585">
        <v>40880</v>
      </c>
      <c r="AC2346" s="585" t="s">
        <v>164</v>
      </c>
      <c r="AD2346" s="585">
        <v>29112.968421052632</v>
      </c>
      <c r="AE2346" s="587">
        <v>0.03</v>
      </c>
      <c r="AF2346" s="661" t="str">
        <f t="shared" si="255"/>
        <v>2019-LTK-FRD-F250-084-05</v>
      </c>
      <c r="AG2346" s="661" t="str">
        <f>IF(AND($Y2346&gt;=32,(AI2346="I"),(Y2346&lt;&gt;"~"),(COUNTIF($AN$1:$AN2346,$AN2346)=1)),"TRUE","FALSE")</f>
        <v>FALSE</v>
      </c>
      <c r="AH2346" s="661" t="str">
        <f>IF(AND($Y2346&gt;=22, (AI2346&lt;&gt;"I"),(Y2346&lt;&gt;"~"),(COUNTIF($AN$1:$AN2346,$AN2346)=1)),"TRUE","FALSE")</f>
        <v>FALSE</v>
      </c>
      <c r="AI2346" s="661" t="str">
        <f t="shared" si="257"/>
        <v>II</v>
      </c>
      <c r="AJ2346" s="662" t="str">
        <f t="shared" si="251"/>
        <v>F250-084</v>
      </c>
      <c r="AK2346" s="662" t="str">
        <f t="shared" si="252"/>
        <v>LTK</v>
      </c>
      <c r="AL2346" s="662" t="str">
        <f t="shared" si="253"/>
        <v>FRD</v>
      </c>
      <c r="AM2346" s="662" t="str">
        <f t="shared" si="256"/>
        <v>F250-Crew Cab XL-4WD-6-8'-12500-6.2L FFV-8-W2B-600A-176-48-E85-Unleaded</v>
      </c>
      <c r="AN2346" s="662" t="str">
        <f t="shared" si="254"/>
        <v>2019-LTK-FRD-F250-084</v>
      </c>
    </row>
    <row r="2347" spans="1:40" s="572" customFormat="1" ht="15">
      <c r="A2347" s="570" t="s">
        <v>4266</v>
      </c>
      <c r="B2347" s="573" t="s">
        <v>4267</v>
      </c>
      <c r="C2347" s="573" t="s">
        <v>278</v>
      </c>
      <c r="D2347" s="578">
        <v>15</v>
      </c>
      <c r="E2347" s="573" t="s">
        <v>3374</v>
      </c>
      <c r="F2347" s="573" t="s">
        <v>196</v>
      </c>
      <c r="G2347" s="573" t="s">
        <v>271</v>
      </c>
      <c r="H2347" s="573">
        <v>2019</v>
      </c>
      <c r="I2347" s="573" t="s">
        <v>4229</v>
      </c>
      <c r="J2347" s="573" t="s">
        <v>3766</v>
      </c>
      <c r="K2347" s="573" t="s">
        <v>752</v>
      </c>
      <c r="L2347" s="573">
        <v>6</v>
      </c>
      <c r="M2347" s="573">
        <v>0</v>
      </c>
      <c r="N2347" s="573" t="s">
        <v>157</v>
      </c>
      <c r="O2347" s="573">
        <v>2</v>
      </c>
      <c r="P2347" s="573" t="s">
        <v>4230</v>
      </c>
      <c r="Q2347" s="571">
        <v>12200</v>
      </c>
      <c r="R2347" s="573" t="s">
        <v>4235</v>
      </c>
      <c r="S2347" s="573">
        <v>8</v>
      </c>
      <c r="T2347" s="573" t="s">
        <v>4259</v>
      </c>
      <c r="U2347" s="573" t="s">
        <v>366</v>
      </c>
      <c r="V2347" s="573">
        <v>160</v>
      </c>
      <c r="W2347" s="573">
        <v>34</v>
      </c>
      <c r="X2347" s="571">
        <v>10000</v>
      </c>
      <c r="Y2347" s="573">
        <v>14</v>
      </c>
      <c r="Z2347" s="579" t="s">
        <v>450</v>
      </c>
      <c r="AA2347" s="579" t="s">
        <v>178</v>
      </c>
      <c r="AB2347" s="584">
        <v>41040</v>
      </c>
      <c r="AC2347" s="584" t="s">
        <v>164</v>
      </c>
      <c r="AD2347" s="584">
        <v>29400</v>
      </c>
      <c r="AE2347" s="586">
        <v>0.01</v>
      </c>
      <c r="AF2347" s="661" t="str">
        <f t="shared" si="255"/>
        <v>2019-LTK-FRD-F250-010-15</v>
      </c>
      <c r="AG2347" s="661" t="str">
        <f>IF(AND($Y2347&gt;=32,(AI2347="I"),(Y2347&lt;&gt;"~"),(COUNTIF($AN$1:$AN2347,$AN2347)=1)),"TRUE","FALSE")</f>
        <v>FALSE</v>
      </c>
      <c r="AH2347" s="661" t="str">
        <f>IF(AND($Y2347&gt;=22, (AI2347&lt;&gt;"I"),(Y2347&lt;&gt;"~"),(COUNTIF($AN$1:$AN2347,$AN2347)=1)),"TRUE","FALSE")</f>
        <v>FALSE</v>
      </c>
      <c r="AI2347" s="661" t="str">
        <f t="shared" si="257"/>
        <v>II</v>
      </c>
      <c r="AJ2347" s="662" t="str">
        <f t="shared" si="251"/>
        <v>F250-010</v>
      </c>
      <c r="AK2347" s="662" t="str">
        <f t="shared" si="252"/>
        <v>LTK</v>
      </c>
      <c r="AL2347" s="662" t="str">
        <f t="shared" si="253"/>
        <v>FRD</v>
      </c>
      <c r="AM2347" s="662" t="str">
        <f t="shared" si="256"/>
        <v>F250-Crew Cab XL-4WD-6-6'9"-12200-6.2L FFV-8-W2B-600A-160-34-E85-Unleaded</v>
      </c>
      <c r="AN2347" s="662" t="str">
        <f t="shared" si="254"/>
        <v>2019-LTK-FRD-F250-010</v>
      </c>
    </row>
    <row r="2348" spans="1:40" s="572" customFormat="1" ht="15">
      <c r="A2348" s="570" t="s">
        <v>4268</v>
      </c>
      <c r="B2348" s="569" t="s">
        <v>4258</v>
      </c>
      <c r="C2348" s="569" t="s">
        <v>278</v>
      </c>
      <c r="D2348" s="580">
        <v>15</v>
      </c>
      <c r="E2348" s="569" t="s">
        <v>3374</v>
      </c>
      <c r="F2348" s="569" t="s">
        <v>196</v>
      </c>
      <c r="G2348" s="569" t="s">
        <v>271</v>
      </c>
      <c r="H2348" s="569">
        <v>2019</v>
      </c>
      <c r="I2348" s="569" t="s">
        <v>4229</v>
      </c>
      <c r="J2348" s="569" t="s">
        <v>3766</v>
      </c>
      <c r="K2348" s="569" t="s">
        <v>752</v>
      </c>
      <c r="L2348" s="569">
        <v>6</v>
      </c>
      <c r="M2348" s="569">
        <v>0</v>
      </c>
      <c r="N2348" s="569" t="s">
        <v>157</v>
      </c>
      <c r="O2348" s="569">
        <v>2</v>
      </c>
      <c r="P2348" s="569" t="s">
        <v>4230</v>
      </c>
      <c r="Q2348" s="568">
        <v>12200</v>
      </c>
      <c r="R2348" s="569" t="s">
        <v>4231</v>
      </c>
      <c r="S2348" s="569">
        <v>8</v>
      </c>
      <c r="T2348" s="569" t="s">
        <v>4259</v>
      </c>
      <c r="U2348" s="569" t="s">
        <v>366</v>
      </c>
      <c r="V2348" s="569">
        <v>160</v>
      </c>
      <c r="W2348" s="569">
        <v>35</v>
      </c>
      <c r="X2348" s="568">
        <v>10000</v>
      </c>
      <c r="Y2348" s="569">
        <v>14</v>
      </c>
      <c r="Z2348" s="581" t="s">
        <v>728</v>
      </c>
      <c r="AA2348" s="581" t="s">
        <v>1523</v>
      </c>
      <c r="AB2348" s="585">
        <v>50160</v>
      </c>
      <c r="AC2348" s="585" t="s">
        <v>164</v>
      </c>
      <c r="AD2348" s="585">
        <v>37700</v>
      </c>
      <c r="AE2348" s="587">
        <v>0.01</v>
      </c>
      <c r="AF2348" s="661" t="str">
        <f t="shared" si="255"/>
        <v>2019-LTK-FRD-F250-011-15</v>
      </c>
      <c r="AG2348" s="661" t="str">
        <f>IF(AND($Y2348&gt;=32,(AI2348="I"),(Y2348&lt;&gt;"~"),(COUNTIF($AN$1:$AN2348,$AN2348)=1)),"TRUE","FALSE")</f>
        <v>FALSE</v>
      </c>
      <c r="AH2348" s="661" t="str">
        <f>IF(AND($Y2348&gt;=22, (AI2348&lt;&gt;"I"),(Y2348&lt;&gt;"~"),(COUNTIF($AN$1:$AN2348,$AN2348)=1)),"TRUE","FALSE")</f>
        <v>FALSE</v>
      </c>
      <c r="AI2348" s="661" t="str">
        <f t="shared" si="257"/>
        <v>II</v>
      </c>
      <c r="AJ2348" s="662" t="str">
        <f t="shared" si="251"/>
        <v>F250-011</v>
      </c>
      <c r="AK2348" s="662" t="str">
        <f t="shared" si="252"/>
        <v>LTK</v>
      </c>
      <c r="AL2348" s="662" t="str">
        <f t="shared" si="253"/>
        <v>FRD</v>
      </c>
      <c r="AM2348" s="662" t="str">
        <f t="shared" si="256"/>
        <v>F250-Crew Cab XL-4WD-6-6'9"-12200-6.7L Diesel-8-W2B-600A-160-35-Diesel-BioDiesel</v>
      </c>
      <c r="AN2348" s="662" t="str">
        <f t="shared" si="254"/>
        <v>2019-LTK-FRD-F250-011</v>
      </c>
    </row>
    <row r="2349" spans="1:40" s="572" customFormat="1" ht="15">
      <c r="A2349" s="570" t="s">
        <v>4269</v>
      </c>
      <c r="B2349" s="573" t="s">
        <v>4270</v>
      </c>
      <c r="C2349" s="573" t="s">
        <v>278</v>
      </c>
      <c r="D2349" s="578">
        <v>15</v>
      </c>
      <c r="E2349" s="573" t="s">
        <v>3374</v>
      </c>
      <c r="F2349" s="573" t="s">
        <v>196</v>
      </c>
      <c r="G2349" s="573" t="s">
        <v>271</v>
      </c>
      <c r="H2349" s="573">
        <v>2019</v>
      </c>
      <c r="I2349" s="573" t="s">
        <v>4229</v>
      </c>
      <c r="J2349" s="573" t="s">
        <v>3766</v>
      </c>
      <c r="K2349" s="573" t="s">
        <v>752</v>
      </c>
      <c r="L2349" s="573">
        <v>6</v>
      </c>
      <c r="M2349" s="573">
        <v>0</v>
      </c>
      <c r="N2349" s="573" t="s">
        <v>157</v>
      </c>
      <c r="O2349" s="573">
        <v>2</v>
      </c>
      <c r="P2349" s="573" t="s">
        <v>3846</v>
      </c>
      <c r="Q2349" s="571">
        <v>12200</v>
      </c>
      <c r="R2349" s="573" t="s">
        <v>4235</v>
      </c>
      <c r="S2349" s="573">
        <v>8</v>
      </c>
      <c r="T2349" s="573" t="s">
        <v>4259</v>
      </c>
      <c r="U2349" s="573" t="s">
        <v>366</v>
      </c>
      <c r="V2349" s="573">
        <v>176</v>
      </c>
      <c r="W2349" s="573">
        <v>48</v>
      </c>
      <c r="X2349" s="571">
        <v>10000</v>
      </c>
      <c r="Y2349" s="573">
        <v>15</v>
      </c>
      <c r="Z2349" s="579" t="s">
        <v>450</v>
      </c>
      <c r="AA2349" s="579" t="s">
        <v>178</v>
      </c>
      <c r="AB2349" s="584">
        <v>41245</v>
      </c>
      <c r="AC2349" s="584" t="s">
        <v>164</v>
      </c>
      <c r="AD2349" s="584">
        <v>29600</v>
      </c>
      <c r="AE2349" s="586">
        <v>0.01</v>
      </c>
      <c r="AF2349" s="661" t="str">
        <f t="shared" si="255"/>
        <v>2019-LTK-FRD-F250-014-15</v>
      </c>
      <c r="AG2349" s="661" t="str">
        <f>IF(AND($Y2349&gt;=32,(AI2349="I"),(Y2349&lt;&gt;"~"),(COUNTIF($AN$1:$AN2349,$AN2349)=1)),"TRUE","FALSE")</f>
        <v>FALSE</v>
      </c>
      <c r="AH2349" s="661" t="str">
        <f>IF(AND($Y2349&gt;=22, (AI2349&lt;&gt;"I"),(Y2349&lt;&gt;"~"),(COUNTIF($AN$1:$AN2349,$AN2349)=1)),"TRUE","FALSE")</f>
        <v>FALSE</v>
      </c>
      <c r="AI2349" s="661" t="str">
        <f t="shared" si="257"/>
        <v>II</v>
      </c>
      <c r="AJ2349" s="662" t="str">
        <f t="shared" si="251"/>
        <v>F250-014</v>
      </c>
      <c r="AK2349" s="662" t="str">
        <f t="shared" si="252"/>
        <v>LTK</v>
      </c>
      <c r="AL2349" s="662" t="str">
        <f t="shared" si="253"/>
        <v>FRD</v>
      </c>
      <c r="AM2349" s="662" t="str">
        <f t="shared" si="256"/>
        <v>F250-Crew Cab XL-4WD-6-8'-12200-6.2L FFV-8-W2B-600A-176-48-E85-Unleaded</v>
      </c>
      <c r="AN2349" s="662" t="str">
        <f t="shared" si="254"/>
        <v>2019-LTK-FRD-F250-014</v>
      </c>
    </row>
    <row r="2350" spans="1:40" s="572" customFormat="1" ht="15">
      <c r="A2350" s="570" t="s">
        <v>4271</v>
      </c>
      <c r="B2350" s="569" t="s">
        <v>4272</v>
      </c>
      <c r="C2350" s="569" t="s">
        <v>278</v>
      </c>
      <c r="D2350" s="580">
        <v>15</v>
      </c>
      <c r="E2350" s="569" t="s">
        <v>3374</v>
      </c>
      <c r="F2350" s="569" t="s">
        <v>196</v>
      </c>
      <c r="G2350" s="569" t="s">
        <v>271</v>
      </c>
      <c r="H2350" s="569">
        <v>2019</v>
      </c>
      <c r="I2350" s="569" t="s">
        <v>4229</v>
      </c>
      <c r="J2350" s="569" t="s">
        <v>3766</v>
      </c>
      <c r="K2350" s="569" t="s">
        <v>752</v>
      </c>
      <c r="L2350" s="569">
        <v>6</v>
      </c>
      <c r="M2350" s="569">
        <v>0</v>
      </c>
      <c r="N2350" s="569" t="s">
        <v>157</v>
      </c>
      <c r="O2350" s="569">
        <v>2</v>
      </c>
      <c r="P2350" s="569" t="s">
        <v>3846</v>
      </c>
      <c r="Q2350" s="568">
        <v>12200</v>
      </c>
      <c r="R2350" s="569" t="s">
        <v>4231</v>
      </c>
      <c r="S2350" s="569">
        <v>8</v>
      </c>
      <c r="T2350" s="569" t="s">
        <v>4259</v>
      </c>
      <c r="U2350" s="569" t="s">
        <v>366</v>
      </c>
      <c r="V2350" s="569">
        <v>176</v>
      </c>
      <c r="W2350" s="569">
        <v>35</v>
      </c>
      <c r="X2350" s="568">
        <v>10000</v>
      </c>
      <c r="Y2350" s="569">
        <v>15</v>
      </c>
      <c r="Z2350" s="581" t="s">
        <v>728</v>
      </c>
      <c r="AA2350" s="581" t="s">
        <v>1523</v>
      </c>
      <c r="AB2350" s="585">
        <v>50365</v>
      </c>
      <c r="AC2350" s="585" t="s">
        <v>164</v>
      </c>
      <c r="AD2350" s="585">
        <v>37850</v>
      </c>
      <c r="AE2350" s="587">
        <v>0.01</v>
      </c>
      <c r="AF2350" s="661" t="str">
        <f t="shared" si="255"/>
        <v>2019-LTK-FRD-F250-015-15</v>
      </c>
      <c r="AG2350" s="661" t="str">
        <f>IF(AND($Y2350&gt;=32,(AI2350="I"),(Y2350&lt;&gt;"~"),(COUNTIF($AN$1:$AN2350,$AN2350)=1)),"TRUE","FALSE")</f>
        <v>FALSE</v>
      </c>
      <c r="AH2350" s="661" t="str">
        <f>IF(AND($Y2350&gt;=22, (AI2350&lt;&gt;"I"),(Y2350&lt;&gt;"~"),(COUNTIF($AN$1:$AN2350,$AN2350)=1)),"TRUE","FALSE")</f>
        <v>FALSE</v>
      </c>
      <c r="AI2350" s="661" t="str">
        <f t="shared" si="257"/>
        <v>II</v>
      </c>
      <c r="AJ2350" s="662" t="str">
        <f t="shared" si="251"/>
        <v>F250-015</v>
      </c>
      <c r="AK2350" s="662" t="str">
        <f t="shared" si="252"/>
        <v>LTK</v>
      </c>
      <c r="AL2350" s="662" t="str">
        <f t="shared" si="253"/>
        <v>FRD</v>
      </c>
      <c r="AM2350" s="662" t="str">
        <f t="shared" si="256"/>
        <v>F250-Crew Cab XL-4WD-6-8'-12200-6.7L Diesel-8-W2B-600A-176-35-Diesel-BioDiesel</v>
      </c>
      <c r="AN2350" s="662" t="str">
        <f t="shared" si="254"/>
        <v>2019-LTK-FRD-F250-015</v>
      </c>
    </row>
    <row r="2351" spans="1:40" s="572" customFormat="1" ht="15">
      <c r="A2351" s="570" t="s">
        <v>4273</v>
      </c>
      <c r="B2351" s="573" t="s">
        <v>4267</v>
      </c>
      <c r="C2351" s="573" t="s">
        <v>287</v>
      </c>
      <c r="D2351" s="578">
        <v>26</v>
      </c>
      <c r="E2351" s="573" t="s">
        <v>3374</v>
      </c>
      <c r="F2351" s="573" t="s">
        <v>196</v>
      </c>
      <c r="G2351" s="573" t="s">
        <v>271</v>
      </c>
      <c r="H2351" s="573">
        <v>2019</v>
      </c>
      <c r="I2351" s="573" t="s">
        <v>4229</v>
      </c>
      <c r="J2351" s="573" t="s">
        <v>3766</v>
      </c>
      <c r="K2351" s="573" t="s">
        <v>752</v>
      </c>
      <c r="L2351" s="573">
        <v>6</v>
      </c>
      <c r="M2351" s="573">
        <v>0</v>
      </c>
      <c r="N2351" s="573" t="s">
        <v>157</v>
      </c>
      <c r="O2351" s="573">
        <v>2</v>
      </c>
      <c r="P2351" s="573" t="s">
        <v>4230</v>
      </c>
      <c r="Q2351" s="571">
        <v>12200</v>
      </c>
      <c r="R2351" s="573" t="s">
        <v>4235</v>
      </c>
      <c r="S2351" s="573">
        <v>8</v>
      </c>
      <c r="T2351" s="573" t="s">
        <v>4259</v>
      </c>
      <c r="U2351" s="573" t="s">
        <v>366</v>
      </c>
      <c r="V2351" s="573">
        <v>160</v>
      </c>
      <c r="W2351" s="573">
        <v>34</v>
      </c>
      <c r="X2351" s="571">
        <v>10000</v>
      </c>
      <c r="Y2351" s="573">
        <v>14</v>
      </c>
      <c r="Z2351" s="579" t="s">
        <v>450</v>
      </c>
      <c r="AA2351" s="579" t="s">
        <v>178</v>
      </c>
      <c r="AB2351" s="584">
        <v>40675</v>
      </c>
      <c r="AC2351" s="584" t="s">
        <v>164</v>
      </c>
      <c r="AD2351" s="584">
        <v>29529</v>
      </c>
      <c r="AE2351" s="586">
        <v>0.05</v>
      </c>
      <c r="AF2351" s="661" t="str">
        <f t="shared" si="255"/>
        <v>2019-LTK-FRD-F250-010-26</v>
      </c>
      <c r="AG2351" s="661" t="str">
        <f>IF(AND($Y2351&gt;=32,(AI2351="I"),(Y2351&lt;&gt;"~"),(COUNTIF($AN$1:$AN2351,$AN2351)=1)),"TRUE","FALSE")</f>
        <v>FALSE</v>
      </c>
      <c r="AH2351" s="661" t="str">
        <f>IF(AND($Y2351&gt;=22, (AI2351&lt;&gt;"I"),(Y2351&lt;&gt;"~"),(COUNTIF($AN$1:$AN2351,$AN2351)=1)),"TRUE","FALSE")</f>
        <v>FALSE</v>
      </c>
      <c r="AI2351" s="661" t="str">
        <f t="shared" si="257"/>
        <v>II</v>
      </c>
      <c r="AJ2351" s="662" t="str">
        <f t="shared" si="251"/>
        <v>F250-010</v>
      </c>
      <c r="AK2351" s="662" t="str">
        <f t="shared" si="252"/>
        <v>LTK</v>
      </c>
      <c r="AL2351" s="662" t="str">
        <f t="shared" si="253"/>
        <v>FRD</v>
      </c>
      <c r="AM2351" s="662" t="str">
        <f t="shared" si="256"/>
        <v>F250-Crew Cab XL-4WD-6-6'9"-12200-6.2L FFV-8-W2B-600A-160-34-E85-Unleaded</v>
      </c>
      <c r="AN2351" s="662" t="str">
        <f t="shared" si="254"/>
        <v>2019-LTK-FRD-F250-010</v>
      </c>
    </row>
    <row r="2352" spans="1:40" s="572" customFormat="1" ht="15">
      <c r="A2352" s="570" t="s">
        <v>4274</v>
      </c>
      <c r="B2352" s="569" t="s">
        <v>4258</v>
      </c>
      <c r="C2352" s="569" t="s">
        <v>287</v>
      </c>
      <c r="D2352" s="580">
        <v>26</v>
      </c>
      <c r="E2352" s="569" t="s">
        <v>3374</v>
      </c>
      <c r="F2352" s="569" t="s">
        <v>196</v>
      </c>
      <c r="G2352" s="569" t="s">
        <v>271</v>
      </c>
      <c r="H2352" s="569">
        <v>2019</v>
      </c>
      <c r="I2352" s="569" t="s">
        <v>4229</v>
      </c>
      <c r="J2352" s="569" t="s">
        <v>3766</v>
      </c>
      <c r="K2352" s="569" t="s">
        <v>752</v>
      </c>
      <c r="L2352" s="569">
        <v>6</v>
      </c>
      <c r="M2352" s="569">
        <v>0</v>
      </c>
      <c r="N2352" s="569" t="s">
        <v>157</v>
      </c>
      <c r="O2352" s="569">
        <v>2</v>
      </c>
      <c r="P2352" s="569" t="s">
        <v>4230</v>
      </c>
      <c r="Q2352" s="568">
        <v>12200</v>
      </c>
      <c r="R2352" s="569" t="s">
        <v>4231</v>
      </c>
      <c r="S2352" s="569">
        <v>8</v>
      </c>
      <c r="T2352" s="569" t="s">
        <v>4259</v>
      </c>
      <c r="U2352" s="569" t="s">
        <v>366</v>
      </c>
      <c r="V2352" s="569">
        <v>160</v>
      </c>
      <c r="W2352" s="569">
        <v>35</v>
      </c>
      <c r="X2352" s="568">
        <v>10000</v>
      </c>
      <c r="Y2352" s="569">
        <v>14</v>
      </c>
      <c r="Z2352" s="581" t="s">
        <v>728</v>
      </c>
      <c r="AA2352" s="581" t="s">
        <v>1523</v>
      </c>
      <c r="AB2352" s="585">
        <v>49670</v>
      </c>
      <c r="AC2352" s="585" t="s">
        <v>164</v>
      </c>
      <c r="AD2352" s="585">
        <v>37724</v>
      </c>
      <c r="AE2352" s="587">
        <v>0.05</v>
      </c>
      <c r="AF2352" s="661" t="str">
        <f t="shared" si="255"/>
        <v>2019-LTK-FRD-F250-011-26</v>
      </c>
      <c r="AG2352" s="661" t="str">
        <f>IF(AND($Y2352&gt;=32,(AI2352="I"),(Y2352&lt;&gt;"~"),(COUNTIF($AN$1:$AN2352,$AN2352)=1)),"TRUE","FALSE")</f>
        <v>FALSE</v>
      </c>
      <c r="AH2352" s="661" t="str">
        <f>IF(AND($Y2352&gt;=22, (AI2352&lt;&gt;"I"),(Y2352&lt;&gt;"~"),(COUNTIF($AN$1:$AN2352,$AN2352)=1)),"TRUE","FALSE")</f>
        <v>FALSE</v>
      </c>
      <c r="AI2352" s="661" t="str">
        <f t="shared" si="257"/>
        <v>II</v>
      </c>
      <c r="AJ2352" s="662" t="str">
        <f t="shared" si="251"/>
        <v>F250-011</v>
      </c>
      <c r="AK2352" s="662" t="str">
        <f t="shared" si="252"/>
        <v>LTK</v>
      </c>
      <c r="AL2352" s="662" t="str">
        <f t="shared" si="253"/>
        <v>FRD</v>
      </c>
      <c r="AM2352" s="662" t="str">
        <f t="shared" si="256"/>
        <v>F250-Crew Cab XL-4WD-6-6'9"-12200-6.7L Diesel-8-W2B-600A-160-35-Diesel-BioDiesel</v>
      </c>
      <c r="AN2352" s="662" t="str">
        <f t="shared" si="254"/>
        <v>2019-LTK-FRD-F250-011</v>
      </c>
    </row>
    <row r="2353" spans="1:40" s="572" customFormat="1" ht="15">
      <c r="A2353" s="570" t="s">
        <v>4275</v>
      </c>
      <c r="B2353" s="573" t="s">
        <v>4270</v>
      </c>
      <c r="C2353" s="573" t="s">
        <v>287</v>
      </c>
      <c r="D2353" s="578">
        <v>26</v>
      </c>
      <c r="E2353" s="573" t="s">
        <v>3374</v>
      </c>
      <c r="F2353" s="573" t="s">
        <v>196</v>
      </c>
      <c r="G2353" s="573" t="s">
        <v>271</v>
      </c>
      <c r="H2353" s="573">
        <v>2019</v>
      </c>
      <c r="I2353" s="573" t="s">
        <v>4229</v>
      </c>
      <c r="J2353" s="573" t="s">
        <v>3766</v>
      </c>
      <c r="K2353" s="573" t="s">
        <v>752</v>
      </c>
      <c r="L2353" s="573">
        <v>6</v>
      </c>
      <c r="M2353" s="573">
        <v>0</v>
      </c>
      <c r="N2353" s="573" t="s">
        <v>157</v>
      </c>
      <c r="O2353" s="573">
        <v>2</v>
      </c>
      <c r="P2353" s="573" t="s">
        <v>3846</v>
      </c>
      <c r="Q2353" s="571">
        <v>12200</v>
      </c>
      <c r="R2353" s="573" t="s">
        <v>4235</v>
      </c>
      <c r="S2353" s="573">
        <v>8</v>
      </c>
      <c r="T2353" s="573" t="s">
        <v>4259</v>
      </c>
      <c r="U2353" s="573" t="s">
        <v>366</v>
      </c>
      <c r="V2353" s="573">
        <v>176</v>
      </c>
      <c r="W2353" s="573">
        <v>48</v>
      </c>
      <c r="X2353" s="571">
        <v>10000</v>
      </c>
      <c r="Y2353" s="573">
        <v>15</v>
      </c>
      <c r="Z2353" s="579" t="s">
        <v>450</v>
      </c>
      <c r="AA2353" s="579" t="s">
        <v>178</v>
      </c>
      <c r="AB2353" s="584">
        <v>40880</v>
      </c>
      <c r="AC2353" s="584" t="s">
        <v>164</v>
      </c>
      <c r="AD2353" s="584">
        <v>29722</v>
      </c>
      <c r="AE2353" s="586">
        <v>0.05</v>
      </c>
      <c r="AF2353" s="661" t="str">
        <f t="shared" si="255"/>
        <v>2019-LTK-FRD-F250-014-26</v>
      </c>
      <c r="AG2353" s="661" t="str">
        <f>IF(AND($Y2353&gt;=32,(AI2353="I"),(Y2353&lt;&gt;"~"),(COUNTIF($AN$1:$AN2353,$AN2353)=1)),"TRUE","FALSE")</f>
        <v>FALSE</v>
      </c>
      <c r="AH2353" s="661" t="str">
        <f>IF(AND($Y2353&gt;=22, (AI2353&lt;&gt;"I"),(Y2353&lt;&gt;"~"),(COUNTIF($AN$1:$AN2353,$AN2353)=1)),"TRUE","FALSE")</f>
        <v>FALSE</v>
      </c>
      <c r="AI2353" s="661" t="str">
        <f t="shared" si="257"/>
        <v>II</v>
      </c>
      <c r="AJ2353" s="662" t="str">
        <f t="shared" si="251"/>
        <v>F250-014</v>
      </c>
      <c r="AK2353" s="662" t="str">
        <f t="shared" si="252"/>
        <v>LTK</v>
      </c>
      <c r="AL2353" s="662" t="str">
        <f t="shared" si="253"/>
        <v>FRD</v>
      </c>
      <c r="AM2353" s="662" t="str">
        <f t="shared" si="256"/>
        <v>F250-Crew Cab XL-4WD-6-8'-12200-6.2L FFV-8-W2B-600A-176-48-E85-Unleaded</v>
      </c>
      <c r="AN2353" s="662" t="str">
        <f t="shared" si="254"/>
        <v>2019-LTK-FRD-F250-014</v>
      </c>
    </row>
    <row r="2354" spans="1:40" s="572" customFormat="1" ht="15">
      <c r="A2354" s="570" t="s">
        <v>4276</v>
      </c>
      <c r="B2354" s="569" t="s">
        <v>4272</v>
      </c>
      <c r="C2354" s="569" t="s">
        <v>287</v>
      </c>
      <c r="D2354" s="580">
        <v>26</v>
      </c>
      <c r="E2354" s="569" t="s">
        <v>3374</v>
      </c>
      <c r="F2354" s="569" t="s">
        <v>196</v>
      </c>
      <c r="G2354" s="569" t="s">
        <v>271</v>
      </c>
      <c r="H2354" s="569">
        <v>2019</v>
      </c>
      <c r="I2354" s="569" t="s">
        <v>4229</v>
      </c>
      <c r="J2354" s="569" t="s">
        <v>3766</v>
      </c>
      <c r="K2354" s="569" t="s">
        <v>752</v>
      </c>
      <c r="L2354" s="569">
        <v>6</v>
      </c>
      <c r="M2354" s="569">
        <v>0</v>
      </c>
      <c r="N2354" s="569" t="s">
        <v>157</v>
      </c>
      <c r="O2354" s="569">
        <v>2</v>
      </c>
      <c r="P2354" s="569" t="s">
        <v>3846</v>
      </c>
      <c r="Q2354" s="568">
        <v>12200</v>
      </c>
      <c r="R2354" s="569" t="s">
        <v>4231</v>
      </c>
      <c r="S2354" s="569">
        <v>8</v>
      </c>
      <c r="T2354" s="569" t="s">
        <v>4259</v>
      </c>
      <c r="U2354" s="569" t="s">
        <v>366</v>
      </c>
      <c r="V2354" s="569">
        <v>176</v>
      </c>
      <c r="W2354" s="569">
        <v>35</v>
      </c>
      <c r="X2354" s="568">
        <v>10000</v>
      </c>
      <c r="Y2354" s="569">
        <v>15</v>
      </c>
      <c r="Z2354" s="581" t="s">
        <v>728</v>
      </c>
      <c r="AA2354" s="581" t="s">
        <v>1523</v>
      </c>
      <c r="AB2354" s="585">
        <v>49875</v>
      </c>
      <c r="AC2354" s="585" t="s">
        <v>164</v>
      </c>
      <c r="AD2354" s="585">
        <v>37916</v>
      </c>
      <c r="AE2354" s="587">
        <v>0.05</v>
      </c>
      <c r="AF2354" s="661" t="str">
        <f t="shared" si="255"/>
        <v>2019-LTK-FRD-F250-015-26</v>
      </c>
      <c r="AG2354" s="661" t="str">
        <f>IF(AND($Y2354&gt;=32,(AI2354="I"),(Y2354&lt;&gt;"~"),(COUNTIF($AN$1:$AN2354,$AN2354)=1)),"TRUE","FALSE")</f>
        <v>FALSE</v>
      </c>
      <c r="AH2354" s="661" t="str">
        <f>IF(AND($Y2354&gt;=22, (AI2354&lt;&gt;"I"),(Y2354&lt;&gt;"~"),(COUNTIF($AN$1:$AN2354,$AN2354)=1)),"TRUE","FALSE")</f>
        <v>FALSE</v>
      </c>
      <c r="AI2354" s="661" t="str">
        <f t="shared" si="257"/>
        <v>II</v>
      </c>
      <c r="AJ2354" s="662" t="str">
        <f t="shared" si="251"/>
        <v>F250-015</v>
      </c>
      <c r="AK2354" s="662" t="str">
        <f t="shared" si="252"/>
        <v>LTK</v>
      </c>
      <c r="AL2354" s="662" t="str">
        <f t="shared" si="253"/>
        <v>FRD</v>
      </c>
      <c r="AM2354" s="662" t="str">
        <f t="shared" si="256"/>
        <v>F250-Crew Cab XL-4WD-6-8'-12200-6.7L Diesel-8-W2B-600A-176-35-Diesel-BioDiesel</v>
      </c>
      <c r="AN2354" s="662" t="str">
        <f t="shared" si="254"/>
        <v>2019-LTK-FRD-F250-015</v>
      </c>
    </row>
    <row r="2355" spans="1:40" s="572" customFormat="1" ht="15">
      <c r="A2355" s="570" t="s">
        <v>4277</v>
      </c>
      <c r="B2355" s="573" t="s">
        <v>4258</v>
      </c>
      <c r="C2355" s="573" t="s">
        <v>280</v>
      </c>
      <c r="D2355" s="578">
        <v>27</v>
      </c>
      <c r="E2355" s="573" t="s">
        <v>3374</v>
      </c>
      <c r="F2355" s="573" t="s">
        <v>196</v>
      </c>
      <c r="G2355" s="573" t="s">
        <v>271</v>
      </c>
      <c r="H2355" s="573">
        <v>2019</v>
      </c>
      <c r="I2355" s="573" t="s">
        <v>4229</v>
      </c>
      <c r="J2355" s="573" t="s">
        <v>3766</v>
      </c>
      <c r="K2355" s="573" t="s">
        <v>752</v>
      </c>
      <c r="L2355" s="573">
        <v>6</v>
      </c>
      <c r="M2355" s="573">
        <v>0</v>
      </c>
      <c r="N2355" s="573" t="s">
        <v>157</v>
      </c>
      <c r="O2355" s="573">
        <v>2</v>
      </c>
      <c r="P2355" s="573" t="s">
        <v>4230</v>
      </c>
      <c r="Q2355" s="571">
        <v>12200</v>
      </c>
      <c r="R2355" s="573" t="s">
        <v>4231</v>
      </c>
      <c r="S2355" s="573">
        <v>8</v>
      </c>
      <c r="T2355" s="573" t="s">
        <v>4259</v>
      </c>
      <c r="U2355" s="573" t="s">
        <v>366</v>
      </c>
      <c r="V2355" s="573">
        <v>160</v>
      </c>
      <c r="W2355" s="573">
        <v>34</v>
      </c>
      <c r="X2355" s="571">
        <v>10000</v>
      </c>
      <c r="Y2355" s="573">
        <v>14</v>
      </c>
      <c r="Z2355" s="579" t="s">
        <v>728</v>
      </c>
      <c r="AA2355" s="579" t="s">
        <v>1523</v>
      </c>
      <c r="AB2355" s="584">
        <v>45700</v>
      </c>
      <c r="AC2355" s="584" t="s">
        <v>164</v>
      </c>
      <c r="AD2355" s="584">
        <v>33566.652631578945</v>
      </c>
      <c r="AE2355" s="586">
        <v>0.03</v>
      </c>
      <c r="AF2355" s="661" t="str">
        <f t="shared" si="255"/>
        <v>2019-LTK-FRD-F250-011-27</v>
      </c>
      <c r="AG2355" s="661" t="str">
        <f>IF(AND($Y2355&gt;=32,(AI2355="I"),(Y2355&lt;&gt;"~"),(COUNTIF($AN$1:$AN2355,$AN2355)=1)),"TRUE","FALSE")</f>
        <v>FALSE</v>
      </c>
      <c r="AH2355" s="661" t="str">
        <f>IF(AND($Y2355&gt;=22, (AI2355&lt;&gt;"I"),(Y2355&lt;&gt;"~"),(COUNTIF($AN$1:$AN2355,$AN2355)=1)),"TRUE","FALSE")</f>
        <v>FALSE</v>
      </c>
      <c r="AI2355" s="661" t="str">
        <f t="shared" si="257"/>
        <v>II</v>
      </c>
      <c r="AJ2355" s="662" t="str">
        <f t="shared" si="251"/>
        <v>F250-011</v>
      </c>
      <c r="AK2355" s="662" t="str">
        <f t="shared" si="252"/>
        <v>LTK</v>
      </c>
      <c r="AL2355" s="662" t="str">
        <f t="shared" si="253"/>
        <v>FRD</v>
      </c>
      <c r="AM2355" s="662" t="str">
        <f t="shared" si="256"/>
        <v>F250-Crew Cab XL-4WD-6-6'9"-12200-6.7L Diesel-8-W2B-600A-160-34-Diesel-BioDiesel</v>
      </c>
      <c r="AN2355" s="662" t="str">
        <f t="shared" si="254"/>
        <v>2019-LTK-FRD-F250-011</v>
      </c>
    </row>
    <row r="2356" spans="1:40" s="572" customFormat="1" ht="15">
      <c r="A2356" s="570" t="s">
        <v>4278</v>
      </c>
      <c r="B2356" s="569" t="s">
        <v>4261</v>
      </c>
      <c r="C2356" s="569" t="s">
        <v>280</v>
      </c>
      <c r="D2356" s="580">
        <v>27</v>
      </c>
      <c r="E2356" s="569" t="s">
        <v>3374</v>
      </c>
      <c r="F2356" s="569" t="s">
        <v>196</v>
      </c>
      <c r="G2356" s="569" t="s">
        <v>271</v>
      </c>
      <c r="H2356" s="569">
        <v>2019</v>
      </c>
      <c r="I2356" s="569" t="s">
        <v>4229</v>
      </c>
      <c r="J2356" s="569" t="s">
        <v>3766</v>
      </c>
      <c r="K2356" s="569" t="s">
        <v>752</v>
      </c>
      <c r="L2356" s="569">
        <v>6</v>
      </c>
      <c r="M2356" s="569">
        <v>0</v>
      </c>
      <c r="N2356" s="569" t="s">
        <v>157</v>
      </c>
      <c r="O2356" s="569">
        <v>2</v>
      </c>
      <c r="P2356" s="569" t="s">
        <v>4230</v>
      </c>
      <c r="Q2356" s="568">
        <v>12500</v>
      </c>
      <c r="R2356" s="569" t="s">
        <v>4235</v>
      </c>
      <c r="S2356" s="569">
        <v>8</v>
      </c>
      <c r="T2356" s="569" t="s">
        <v>4259</v>
      </c>
      <c r="U2356" s="569" t="s">
        <v>366</v>
      </c>
      <c r="V2356" s="569">
        <v>160</v>
      </c>
      <c r="W2356" s="569">
        <v>34</v>
      </c>
      <c r="X2356" s="568">
        <v>10000</v>
      </c>
      <c r="Y2356" s="573">
        <v>14</v>
      </c>
      <c r="Z2356" s="581" t="s">
        <v>450</v>
      </c>
      <c r="AA2356" s="581" t="s">
        <v>178</v>
      </c>
      <c r="AB2356" s="585">
        <v>40675</v>
      </c>
      <c r="AC2356" s="585" t="s">
        <v>164</v>
      </c>
      <c r="AD2356" s="585">
        <v>28924.547368421052</v>
      </c>
      <c r="AE2356" s="587">
        <v>0.03</v>
      </c>
      <c r="AF2356" s="661" t="str">
        <f t="shared" si="255"/>
        <v>2019-LTK-FRD-F250-012-27</v>
      </c>
      <c r="AG2356" s="661" t="str">
        <f>IF(AND($Y2356&gt;=32,(AI2356="I"),(Y2356&lt;&gt;"~"),(COUNTIF($AN$1:$AN2356,$AN2356)=1)),"TRUE","FALSE")</f>
        <v>FALSE</v>
      </c>
      <c r="AH2356" s="661" t="str">
        <f>IF(AND($Y2356&gt;=22, (AI2356&lt;&gt;"I"),(Y2356&lt;&gt;"~"),(COUNTIF($AN$1:$AN2356,$AN2356)=1)),"TRUE","FALSE")</f>
        <v>FALSE</v>
      </c>
      <c r="AI2356" s="661" t="str">
        <f t="shared" si="257"/>
        <v>II</v>
      </c>
      <c r="AJ2356" s="662" t="str">
        <f t="shared" si="251"/>
        <v>F250-012</v>
      </c>
      <c r="AK2356" s="662" t="str">
        <f t="shared" si="252"/>
        <v>LTK</v>
      </c>
      <c r="AL2356" s="662" t="str">
        <f t="shared" si="253"/>
        <v>FRD</v>
      </c>
      <c r="AM2356" s="662" t="str">
        <f t="shared" si="256"/>
        <v>F250-Crew Cab XL-4WD-6-6'9"-12500-6.2L FFV-8-W2B-600A-160-34-E85-Unleaded</v>
      </c>
      <c r="AN2356" s="662" t="str">
        <f t="shared" si="254"/>
        <v>2019-LTK-FRD-F250-012</v>
      </c>
    </row>
    <row r="2357" spans="1:40" s="572" customFormat="1" ht="15">
      <c r="A2357" s="570" t="s">
        <v>4279</v>
      </c>
      <c r="B2357" s="573" t="s">
        <v>4263</v>
      </c>
      <c r="C2357" s="573" t="s">
        <v>280</v>
      </c>
      <c r="D2357" s="578">
        <v>27</v>
      </c>
      <c r="E2357" s="573" t="s">
        <v>3374</v>
      </c>
      <c r="F2357" s="573" t="s">
        <v>196</v>
      </c>
      <c r="G2357" s="573" t="s">
        <v>271</v>
      </c>
      <c r="H2357" s="573">
        <v>2019</v>
      </c>
      <c r="I2357" s="573" t="s">
        <v>4229</v>
      </c>
      <c r="J2357" s="573" t="s">
        <v>3766</v>
      </c>
      <c r="K2357" s="573" t="s">
        <v>752</v>
      </c>
      <c r="L2357" s="573">
        <v>6</v>
      </c>
      <c r="M2357" s="573">
        <v>0</v>
      </c>
      <c r="N2357" s="573" t="s">
        <v>157</v>
      </c>
      <c r="O2357" s="573">
        <v>2</v>
      </c>
      <c r="P2357" s="573" t="s">
        <v>3846</v>
      </c>
      <c r="Q2357" s="571">
        <v>12200</v>
      </c>
      <c r="R2357" s="573" t="s">
        <v>4231</v>
      </c>
      <c r="S2357" s="573">
        <v>8</v>
      </c>
      <c r="T2357" s="573" t="s">
        <v>4259</v>
      </c>
      <c r="U2357" s="573" t="s">
        <v>366</v>
      </c>
      <c r="V2357" s="573">
        <v>176</v>
      </c>
      <c r="W2357" s="573">
        <v>48</v>
      </c>
      <c r="X2357" s="571">
        <v>10000</v>
      </c>
      <c r="Y2357" s="573">
        <v>14</v>
      </c>
      <c r="Z2357" s="579" t="s">
        <v>728</v>
      </c>
      <c r="AA2357" s="579" t="s">
        <v>1523</v>
      </c>
      <c r="AB2357" s="584">
        <v>50365</v>
      </c>
      <c r="AC2357" s="584" t="s">
        <v>164</v>
      </c>
      <c r="AD2357" s="584">
        <v>37672.210526315786</v>
      </c>
      <c r="AE2357" s="586">
        <v>0.03</v>
      </c>
      <c r="AF2357" s="661" t="str">
        <f t="shared" si="255"/>
        <v>2019-LTK-FRD-F250-083-27</v>
      </c>
      <c r="AG2357" s="661" t="str">
        <f>IF(AND($Y2357&gt;=32,(AI2357="I"),(Y2357&lt;&gt;"~"),(COUNTIF($AN$1:$AN2357,$AN2357)=1)),"TRUE","FALSE")</f>
        <v>FALSE</v>
      </c>
      <c r="AH2357" s="661" t="str">
        <f>IF(AND($Y2357&gt;=22, (AI2357&lt;&gt;"I"),(Y2357&lt;&gt;"~"),(COUNTIF($AN$1:$AN2357,$AN2357)=1)),"TRUE","FALSE")</f>
        <v>FALSE</v>
      </c>
      <c r="AI2357" s="661" t="str">
        <f t="shared" si="257"/>
        <v>II</v>
      </c>
      <c r="AJ2357" s="662" t="str">
        <f t="shared" si="251"/>
        <v>F250-083</v>
      </c>
      <c r="AK2357" s="662" t="str">
        <f t="shared" si="252"/>
        <v>LTK</v>
      </c>
      <c r="AL2357" s="662" t="str">
        <f t="shared" si="253"/>
        <v>FRD</v>
      </c>
      <c r="AM2357" s="662" t="str">
        <f t="shared" si="256"/>
        <v>F250-Crew Cab XL-4WD-6-8'-12200-6.7L Diesel-8-W2B-600A-176-48-Diesel-BioDiesel</v>
      </c>
      <c r="AN2357" s="662" t="str">
        <f t="shared" si="254"/>
        <v>2019-LTK-FRD-F250-083</v>
      </c>
    </row>
    <row r="2358" spans="1:40" s="572" customFormat="1" ht="15">
      <c r="A2358" s="570" t="s">
        <v>4280</v>
      </c>
      <c r="B2358" s="569" t="s">
        <v>4265</v>
      </c>
      <c r="C2358" s="569" t="s">
        <v>280</v>
      </c>
      <c r="D2358" s="580">
        <v>27</v>
      </c>
      <c r="E2358" s="569" t="s">
        <v>3374</v>
      </c>
      <c r="F2358" s="569" t="s">
        <v>196</v>
      </c>
      <c r="G2358" s="569" t="s">
        <v>271</v>
      </c>
      <c r="H2358" s="569">
        <v>2019</v>
      </c>
      <c r="I2358" s="569" t="s">
        <v>4229</v>
      </c>
      <c r="J2358" s="569" t="s">
        <v>3766</v>
      </c>
      <c r="K2358" s="569" t="s">
        <v>752</v>
      </c>
      <c r="L2358" s="569">
        <v>6</v>
      </c>
      <c r="M2358" s="569">
        <v>0</v>
      </c>
      <c r="N2358" s="569" t="s">
        <v>157</v>
      </c>
      <c r="O2358" s="569">
        <v>2</v>
      </c>
      <c r="P2358" s="569" t="s">
        <v>3846</v>
      </c>
      <c r="Q2358" s="568">
        <v>12500</v>
      </c>
      <c r="R2358" s="569" t="s">
        <v>4235</v>
      </c>
      <c r="S2358" s="569">
        <v>8</v>
      </c>
      <c r="T2358" s="569" t="s">
        <v>4259</v>
      </c>
      <c r="U2358" s="569" t="s">
        <v>366</v>
      </c>
      <c r="V2358" s="569">
        <v>176</v>
      </c>
      <c r="W2358" s="569">
        <v>48</v>
      </c>
      <c r="X2358" s="568">
        <v>10000</v>
      </c>
      <c r="Y2358" s="573">
        <v>14</v>
      </c>
      <c r="Z2358" s="581" t="s">
        <v>450</v>
      </c>
      <c r="AA2358" s="581" t="s">
        <v>178</v>
      </c>
      <c r="AB2358" s="585">
        <v>40880</v>
      </c>
      <c r="AC2358" s="585" t="s">
        <v>164</v>
      </c>
      <c r="AD2358" s="585">
        <v>29112.968421052632</v>
      </c>
      <c r="AE2358" s="587">
        <v>0.03</v>
      </c>
      <c r="AF2358" s="661" t="str">
        <f t="shared" si="255"/>
        <v>2019-LTK-FRD-F250-084-27</v>
      </c>
      <c r="AG2358" s="661" t="str">
        <f>IF(AND($Y2358&gt;=32,(AI2358="I"),(Y2358&lt;&gt;"~"),(COUNTIF($AN$1:$AN2358,$AN2358)=1)),"TRUE","FALSE")</f>
        <v>FALSE</v>
      </c>
      <c r="AH2358" s="661" t="str">
        <f>IF(AND($Y2358&gt;=22, (AI2358&lt;&gt;"I"),(Y2358&lt;&gt;"~"),(COUNTIF($AN$1:$AN2358,$AN2358)=1)),"TRUE","FALSE")</f>
        <v>FALSE</v>
      </c>
      <c r="AI2358" s="661" t="str">
        <f t="shared" si="257"/>
        <v>II</v>
      </c>
      <c r="AJ2358" s="662" t="str">
        <f t="shared" si="251"/>
        <v>F250-084</v>
      </c>
      <c r="AK2358" s="662" t="str">
        <f t="shared" si="252"/>
        <v>LTK</v>
      </c>
      <c r="AL2358" s="662" t="str">
        <f t="shared" si="253"/>
        <v>FRD</v>
      </c>
      <c r="AM2358" s="662" t="str">
        <f t="shared" si="256"/>
        <v>F250-Crew Cab XL-4WD-6-8'-12500-6.2L FFV-8-W2B-600A-176-48-E85-Unleaded</v>
      </c>
      <c r="AN2358" s="662" t="str">
        <f t="shared" si="254"/>
        <v>2019-LTK-FRD-F250-084</v>
      </c>
    </row>
    <row r="2359" spans="1:40" s="572" customFormat="1" ht="15">
      <c r="A2359" s="570" t="s">
        <v>4281</v>
      </c>
      <c r="B2359" s="573" t="s">
        <v>4282</v>
      </c>
      <c r="C2359" s="573" t="s">
        <v>269</v>
      </c>
      <c r="D2359" s="578" t="s">
        <v>270</v>
      </c>
      <c r="E2359" s="573" t="s">
        <v>3374</v>
      </c>
      <c r="F2359" s="573" t="s">
        <v>196</v>
      </c>
      <c r="G2359" s="573" t="s">
        <v>271</v>
      </c>
      <c r="H2359" s="573">
        <v>2019</v>
      </c>
      <c r="I2359" s="573" t="s">
        <v>4229</v>
      </c>
      <c r="J2359" s="573" t="s">
        <v>3805</v>
      </c>
      <c r="K2359" s="573" t="s">
        <v>3377</v>
      </c>
      <c r="L2359" s="573">
        <v>6</v>
      </c>
      <c r="M2359" s="573">
        <v>0</v>
      </c>
      <c r="N2359" s="573" t="s">
        <v>157</v>
      </c>
      <c r="O2359" s="573">
        <v>2</v>
      </c>
      <c r="P2359" s="573" t="s">
        <v>4230</v>
      </c>
      <c r="Q2359" s="571">
        <v>12500</v>
      </c>
      <c r="R2359" s="573" t="s">
        <v>4235</v>
      </c>
      <c r="S2359" s="573">
        <v>8</v>
      </c>
      <c r="T2359" s="573" t="s">
        <v>4232</v>
      </c>
      <c r="U2359" s="573" t="s">
        <v>4283</v>
      </c>
      <c r="V2359" s="573">
        <v>160</v>
      </c>
      <c r="W2359" s="573">
        <v>34</v>
      </c>
      <c r="X2359" s="571">
        <v>10000</v>
      </c>
      <c r="Y2359" s="573">
        <v>15</v>
      </c>
      <c r="Z2359" s="579" t="s">
        <v>450</v>
      </c>
      <c r="AA2359" s="579" t="s">
        <v>178</v>
      </c>
      <c r="AB2359" s="584">
        <v>42905</v>
      </c>
      <c r="AC2359" s="584" t="s">
        <v>164</v>
      </c>
      <c r="AD2359" s="584">
        <v>30984.547368421056</v>
      </c>
      <c r="AE2359" s="586">
        <v>0.03</v>
      </c>
      <c r="AF2359" s="661" t="str">
        <f t="shared" si="255"/>
        <v>2019-LTK-FRD-F250-018-05</v>
      </c>
      <c r="AG2359" s="661" t="str">
        <f>IF(AND($Y2359&gt;=32,(AI2359="I"),(Y2359&lt;&gt;"~"),(COUNTIF($AN$1:$AN2359,$AN2359)=1)),"TRUE","FALSE")</f>
        <v>FALSE</v>
      </c>
      <c r="AH2359" s="661" t="str">
        <f>IF(AND($Y2359&gt;=22, (AI2359&lt;&gt;"I"),(Y2359&lt;&gt;"~"),(COUNTIF($AN$1:$AN2359,$AN2359)=1)),"TRUE","FALSE")</f>
        <v>FALSE</v>
      </c>
      <c r="AI2359" s="661" t="str">
        <f t="shared" si="257"/>
        <v>II</v>
      </c>
      <c r="AJ2359" s="662" t="str">
        <f t="shared" si="251"/>
        <v>F250-018</v>
      </c>
      <c r="AK2359" s="662" t="str">
        <f t="shared" si="252"/>
        <v>LTK</v>
      </c>
      <c r="AL2359" s="662" t="str">
        <f t="shared" si="253"/>
        <v>FRD</v>
      </c>
      <c r="AM2359" s="662" t="str">
        <f t="shared" si="256"/>
        <v>F250-Crew Cab XLT-2WD-6-6'9"-12500-6.2L FFV-8-W2A-603A-160-34-E85-Unleaded</v>
      </c>
      <c r="AN2359" s="662" t="str">
        <f t="shared" si="254"/>
        <v>2019-LTK-FRD-F250-018</v>
      </c>
    </row>
    <row r="2360" spans="1:40" s="572" customFormat="1" ht="15">
      <c r="A2360" s="570" t="s">
        <v>4284</v>
      </c>
      <c r="B2360" s="569" t="s">
        <v>4285</v>
      </c>
      <c r="C2360" s="569" t="s">
        <v>269</v>
      </c>
      <c r="D2360" s="580" t="s">
        <v>270</v>
      </c>
      <c r="E2360" s="569" t="s">
        <v>3374</v>
      </c>
      <c r="F2360" s="569" t="s">
        <v>196</v>
      </c>
      <c r="G2360" s="569" t="s">
        <v>271</v>
      </c>
      <c r="H2360" s="569">
        <v>2019</v>
      </c>
      <c r="I2360" s="569" t="s">
        <v>4229</v>
      </c>
      <c r="J2360" s="569" t="s">
        <v>3805</v>
      </c>
      <c r="K2360" s="569" t="s">
        <v>3377</v>
      </c>
      <c r="L2360" s="569">
        <v>6</v>
      </c>
      <c r="M2360" s="569">
        <v>0</v>
      </c>
      <c r="N2360" s="569" t="s">
        <v>157</v>
      </c>
      <c r="O2360" s="569">
        <v>2</v>
      </c>
      <c r="P2360" s="569" t="s">
        <v>4230</v>
      </c>
      <c r="Q2360" s="568">
        <v>12500</v>
      </c>
      <c r="R2360" s="569" t="s">
        <v>4231</v>
      </c>
      <c r="S2360" s="569">
        <v>8</v>
      </c>
      <c r="T2360" s="569" t="s">
        <v>4232</v>
      </c>
      <c r="U2360" s="569" t="s">
        <v>4283</v>
      </c>
      <c r="V2360" s="569">
        <v>160</v>
      </c>
      <c r="W2360" s="569">
        <v>34</v>
      </c>
      <c r="X2360" s="568">
        <v>10000</v>
      </c>
      <c r="Y2360" s="573">
        <v>15</v>
      </c>
      <c r="Z2360" s="581" t="s">
        <v>728</v>
      </c>
      <c r="AA2360" s="581" t="s">
        <v>1523</v>
      </c>
      <c r="AB2360" s="585">
        <v>52475</v>
      </c>
      <c r="AC2360" s="585" t="s">
        <v>164</v>
      </c>
      <c r="AD2360" s="585">
        <v>39620.631578947367</v>
      </c>
      <c r="AE2360" s="587">
        <v>0.03</v>
      </c>
      <c r="AF2360" s="661" t="str">
        <f t="shared" si="255"/>
        <v>2019-LTK-FRD-F250-019-05</v>
      </c>
      <c r="AG2360" s="661" t="str">
        <f>IF(AND($Y2360&gt;=32,(AI2360="I"),(Y2360&lt;&gt;"~"),(COUNTIF($AN$1:$AN2360,$AN2360)=1)),"TRUE","FALSE")</f>
        <v>FALSE</v>
      </c>
      <c r="AH2360" s="661" t="str">
        <f>IF(AND($Y2360&gt;=22, (AI2360&lt;&gt;"I"),(Y2360&lt;&gt;"~"),(COUNTIF($AN$1:$AN2360,$AN2360)=1)),"TRUE","FALSE")</f>
        <v>FALSE</v>
      </c>
      <c r="AI2360" s="661" t="str">
        <f t="shared" si="257"/>
        <v>II</v>
      </c>
      <c r="AJ2360" s="662" t="str">
        <f t="shared" si="251"/>
        <v>F250-019</v>
      </c>
      <c r="AK2360" s="662" t="str">
        <f t="shared" si="252"/>
        <v>LTK</v>
      </c>
      <c r="AL2360" s="662" t="str">
        <f t="shared" si="253"/>
        <v>FRD</v>
      </c>
      <c r="AM2360" s="662" t="str">
        <f t="shared" si="256"/>
        <v>F250-Crew Cab XLT-2WD-6-6'9"-12500-6.7L Diesel-8-W2A-603A-160-34-Diesel-BioDiesel</v>
      </c>
      <c r="AN2360" s="662" t="str">
        <f t="shared" si="254"/>
        <v>2019-LTK-FRD-F250-019</v>
      </c>
    </row>
    <row r="2361" spans="1:40" s="572" customFormat="1" ht="15">
      <c r="A2361" s="570" t="s">
        <v>4286</v>
      </c>
      <c r="B2361" s="573" t="s">
        <v>4287</v>
      </c>
      <c r="C2361" s="573" t="s">
        <v>269</v>
      </c>
      <c r="D2361" s="578" t="s">
        <v>270</v>
      </c>
      <c r="E2361" s="573" t="s">
        <v>3374</v>
      </c>
      <c r="F2361" s="573" t="s">
        <v>196</v>
      </c>
      <c r="G2361" s="573" t="s">
        <v>271</v>
      </c>
      <c r="H2361" s="573">
        <v>2019</v>
      </c>
      <c r="I2361" s="573" t="s">
        <v>4229</v>
      </c>
      <c r="J2361" s="573" t="s">
        <v>3805</v>
      </c>
      <c r="K2361" s="573" t="s">
        <v>3377</v>
      </c>
      <c r="L2361" s="573">
        <v>6</v>
      </c>
      <c r="M2361" s="573">
        <v>0</v>
      </c>
      <c r="N2361" s="573" t="s">
        <v>157</v>
      </c>
      <c r="O2361" s="573">
        <v>2</v>
      </c>
      <c r="P2361" s="573" t="s">
        <v>4230</v>
      </c>
      <c r="Q2361" s="571">
        <v>12900</v>
      </c>
      <c r="R2361" s="573" t="s">
        <v>4235</v>
      </c>
      <c r="S2361" s="573">
        <v>8</v>
      </c>
      <c r="T2361" s="573" t="s">
        <v>4232</v>
      </c>
      <c r="U2361" s="573" t="s">
        <v>4283</v>
      </c>
      <c r="V2361" s="573">
        <v>160</v>
      </c>
      <c r="W2361" s="573">
        <v>34</v>
      </c>
      <c r="X2361" s="571">
        <v>10000</v>
      </c>
      <c r="Y2361" s="573">
        <v>15</v>
      </c>
      <c r="Z2361" s="579" t="s">
        <v>450</v>
      </c>
      <c r="AA2361" s="579" t="s">
        <v>178</v>
      </c>
      <c r="AB2361" s="584">
        <v>42902</v>
      </c>
      <c r="AC2361" s="584" t="s">
        <v>164</v>
      </c>
      <c r="AD2361" s="584">
        <v>30984.547368421056</v>
      </c>
      <c r="AE2361" s="586">
        <v>0.03</v>
      </c>
      <c r="AF2361" s="661" t="str">
        <f t="shared" si="255"/>
        <v>2019-LTK-FRD-F250-020-05</v>
      </c>
      <c r="AG2361" s="661" t="str">
        <f>IF(AND($Y2361&gt;=32,(AI2361="I"),(Y2361&lt;&gt;"~"),(COUNTIF($AN$1:$AN2361,$AN2361)=1)),"TRUE","FALSE")</f>
        <v>FALSE</v>
      </c>
      <c r="AH2361" s="661" t="str">
        <f>IF(AND($Y2361&gt;=22, (AI2361&lt;&gt;"I"),(Y2361&lt;&gt;"~"),(COUNTIF($AN$1:$AN2361,$AN2361)=1)),"TRUE","FALSE")</f>
        <v>FALSE</v>
      </c>
      <c r="AI2361" s="661" t="str">
        <f t="shared" si="257"/>
        <v>II</v>
      </c>
      <c r="AJ2361" s="662" t="str">
        <f t="shared" si="251"/>
        <v>F250-020</v>
      </c>
      <c r="AK2361" s="662" t="str">
        <f t="shared" si="252"/>
        <v>LTK</v>
      </c>
      <c r="AL2361" s="662" t="str">
        <f t="shared" si="253"/>
        <v>FRD</v>
      </c>
      <c r="AM2361" s="662" t="str">
        <f t="shared" si="256"/>
        <v>F250-Crew Cab XLT-2WD-6-6'9"-12900-6.2L FFV-8-W2A-603A-160-34-E85-Unleaded</v>
      </c>
      <c r="AN2361" s="662" t="str">
        <f t="shared" si="254"/>
        <v>2019-LTK-FRD-F250-020</v>
      </c>
    </row>
    <row r="2362" spans="1:40" s="572" customFormat="1" ht="15">
      <c r="A2362" s="570" t="s">
        <v>4288</v>
      </c>
      <c r="B2362" s="569" t="s">
        <v>4289</v>
      </c>
      <c r="C2362" s="569" t="s">
        <v>269</v>
      </c>
      <c r="D2362" s="580" t="s">
        <v>270</v>
      </c>
      <c r="E2362" s="569" t="s">
        <v>3374</v>
      </c>
      <c r="F2362" s="569" t="s">
        <v>196</v>
      </c>
      <c r="G2362" s="569" t="s">
        <v>271</v>
      </c>
      <c r="H2362" s="569">
        <v>2019</v>
      </c>
      <c r="I2362" s="569" t="s">
        <v>4229</v>
      </c>
      <c r="J2362" s="569" t="s">
        <v>3805</v>
      </c>
      <c r="K2362" s="569" t="s">
        <v>3377</v>
      </c>
      <c r="L2362" s="569">
        <v>6</v>
      </c>
      <c r="M2362" s="569">
        <v>0</v>
      </c>
      <c r="N2362" s="569" t="s">
        <v>157</v>
      </c>
      <c r="O2362" s="569">
        <v>2</v>
      </c>
      <c r="P2362" s="569" t="s">
        <v>3846</v>
      </c>
      <c r="Q2362" s="568">
        <v>12500</v>
      </c>
      <c r="R2362" s="569" t="s">
        <v>4235</v>
      </c>
      <c r="S2362" s="569">
        <v>8</v>
      </c>
      <c r="T2362" s="569" t="s">
        <v>4232</v>
      </c>
      <c r="U2362" s="569" t="s">
        <v>4283</v>
      </c>
      <c r="V2362" s="569">
        <v>176</v>
      </c>
      <c r="W2362" s="569">
        <v>48</v>
      </c>
      <c r="X2362" s="568">
        <v>10000</v>
      </c>
      <c r="Y2362" s="573">
        <v>15</v>
      </c>
      <c r="Z2362" s="581" t="s">
        <v>450</v>
      </c>
      <c r="AA2362" s="581" t="s">
        <v>178</v>
      </c>
      <c r="AB2362" s="585">
        <v>43105</v>
      </c>
      <c r="AC2362" s="585" t="s">
        <v>164</v>
      </c>
      <c r="AD2362" s="585">
        <v>31168.757894736842</v>
      </c>
      <c r="AE2362" s="587">
        <v>0.03</v>
      </c>
      <c r="AF2362" s="661" t="str">
        <f t="shared" si="255"/>
        <v>2019-LTK-FRD-F250-022-05</v>
      </c>
      <c r="AG2362" s="661" t="str">
        <f>IF(AND($Y2362&gt;=32,(AI2362="I"),(Y2362&lt;&gt;"~"),(COUNTIF($AN$1:$AN2362,$AN2362)=1)),"TRUE","FALSE")</f>
        <v>FALSE</v>
      </c>
      <c r="AH2362" s="661" t="str">
        <f>IF(AND($Y2362&gt;=22, (AI2362&lt;&gt;"I"),(Y2362&lt;&gt;"~"),(COUNTIF($AN$1:$AN2362,$AN2362)=1)),"TRUE","FALSE")</f>
        <v>FALSE</v>
      </c>
      <c r="AI2362" s="661" t="str">
        <f t="shared" si="257"/>
        <v>II</v>
      </c>
      <c r="AJ2362" s="662" t="str">
        <f t="shared" si="251"/>
        <v>F250-022</v>
      </c>
      <c r="AK2362" s="662" t="str">
        <f t="shared" si="252"/>
        <v>LTK</v>
      </c>
      <c r="AL2362" s="662" t="str">
        <f t="shared" si="253"/>
        <v>FRD</v>
      </c>
      <c r="AM2362" s="662" t="str">
        <f t="shared" si="256"/>
        <v>F250-Crew Cab XLT-2WD-6-8'-12500-6.2L FFV-8-W2A-603A-176-48-E85-Unleaded</v>
      </c>
      <c r="AN2362" s="662" t="str">
        <f t="shared" si="254"/>
        <v>2019-LTK-FRD-F250-022</v>
      </c>
    </row>
    <row r="2363" spans="1:40" s="572" customFormat="1" ht="15">
      <c r="A2363" s="570" t="s">
        <v>4290</v>
      </c>
      <c r="B2363" s="573" t="s">
        <v>4291</v>
      </c>
      <c r="C2363" s="573" t="s">
        <v>269</v>
      </c>
      <c r="D2363" s="578" t="s">
        <v>270</v>
      </c>
      <c r="E2363" s="573" t="s">
        <v>3374</v>
      </c>
      <c r="F2363" s="573" t="s">
        <v>196</v>
      </c>
      <c r="G2363" s="573" t="s">
        <v>271</v>
      </c>
      <c r="H2363" s="573">
        <v>2019</v>
      </c>
      <c r="I2363" s="573" t="s">
        <v>4229</v>
      </c>
      <c r="J2363" s="573" t="s">
        <v>3805</v>
      </c>
      <c r="K2363" s="573" t="s">
        <v>3377</v>
      </c>
      <c r="L2363" s="573">
        <v>6</v>
      </c>
      <c r="M2363" s="573">
        <v>0</v>
      </c>
      <c r="N2363" s="573" t="s">
        <v>157</v>
      </c>
      <c r="O2363" s="573">
        <v>2</v>
      </c>
      <c r="P2363" s="573" t="s">
        <v>3846</v>
      </c>
      <c r="Q2363" s="571">
        <v>12500</v>
      </c>
      <c r="R2363" s="573" t="s">
        <v>4231</v>
      </c>
      <c r="S2363" s="573">
        <v>8</v>
      </c>
      <c r="T2363" s="573" t="s">
        <v>4232</v>
      </c>
      <c r="U2363" s="573" t="s">
        <v>4283</v>
      </c>
      <c r="V2363" s="573">
        <v>176</v>
      </c>
      <c r="W2363" s="573">
        <v>48</v>
      </c>
      <c r="X2363" s="571">
        <v>10000</v>
      </c>
      <c r="Y2363" s="573">
        <v>15</v>
      </c>
      <c r="Z2363" s="579" t="s">
        <v>728</v>
      </c>
      <c r="AA2363" s="579" t="s">
        <v>1523</v>
      </c>
      <c r="AB2363" s="584">
        <v>52675</v>
      </c>
      <c r="AC2363" s="584" t="s">
        <v>164</v>
      </c>
      <c r="AD2363" s="584">
        <v>39804.84210526316</v>
      </c>
      <c r="AE2363" s="586">
        <v>0.03</v>
      </c>
      <c r="AF2363" s="661" t="str">
        <f t="shared" si="255"/>
        <v>2019-LTK-FRD-F250-085-05</v>
      </c>
      <c r="AG2363" s="661" t="str">
        <f>IF(AND($Y2363&gt;=32,(AI2363="I"),(Y2363&lt;&gt;"~"),(COUNTIF($AN$1:$AN2363,$AN2363)=1)),"TRUE","FALSE")</f>
        <v>FALSE</v>
      </c>
      <c r="AH2363" s="661" t="str">
        <f>IF(AND($Y2363&gt;=22, (AI2363&lt;&gt;"I"),(Y2363&lt;&gt;"~"),(COUNTIF($AN$1:$AN2363,$AN2363)=1)),"TRUE","FALSE")</f>
        <v>FALSE</v>
      </c>
      <c r="AI2363" s="661" t="str">
        <f t="shared" si="257"/>
        <v>II</v>
      </c>
      <c r="AJ2363" s="662" t="str">
        <f t="shared" si="251"/>
        <v>F250-085</v>
      </c>
      <c r="AK2363" s="662" t="str">
        <f t="shared" si="252"/>
        <v>LTK</v>
      </c>
      <c r="AL2363" s="662" t="str">
        <f t="shared" si="253"/>
        <v>FRD</v>
      </c>
      <c r="AM2363" s="662" t="str">
        <f t="shared" si="256"/>
        <v>F250-Crew Cab XLT-2WD-6-8'-12500-6.7L Diesel-8-W2A-603A-176-48-Diesel-BioDiesel</v>
      </c>
      <c r="AN2363" s="662" t="str">
        <f t="shared" si="254"/>
        <v>2019-LTK-FRD-F250-085</v>
      </c>
    </row>
    <row r="2364" spans="1:40" s="572" customFormat="1" ht="15">
      <c r="A2364" s="570" t="s">
        <v>4292</v>
      </c>
      <c r="B2364" s="569" t="s">
        <v>4293</v>
      </c>
      <c r="C2364" s="569" t="s">
        <v>269</v>
      </c>
      <c r="D2364" s="580" t="s">
        <v>270</v>
      </c>
      <c r="E2364" s="569" t="s">
        <v>3374</v>
      </c>
      <c r="F2364" s="569" t="s">
        <v>196</v>
      </c>
      <c r="G2364" s="569" t="s">
        <v>271</v>
      </c>
      <c r="H2364" s="569">
        <v>2019</v>
      </c>
      <c r="I2364" s="569" t="s">
        <v>4229</v>
      </c>
      <c r="J2364" s="569" t="s">
        <v>3805</v>
      </c>
      <c r="K2364" s="569" t="s">
        <v>3377</v>
      </c>
      <c r="L2364" s="569">
        <v>6</v>
      </c>
      <c r="M2364" s="569">
        <v>0</v>
      </c>
      <c r="N2364" s="569" t="s">
        <v>157</v>
      </c>
      <c r="O2364" s="569">
        <v>2</v>
      </c>
      <c r="P2364" s="569" t="s">
        <v>3846</v>
      </c>
      <c r="Q2364" s="568">
        <v>12900</v>
      </c>
      <c r="R2364" s="569" t="s">
        <v>4235</v>
      </c>
      <c r="S2364" s="569">
        <v>8</v>
      </c>
      <c r="T2364" s="569" t="s">
        <v>4232</v>
      </c>
      <c r="U2364" s="569" t="s">
        <v>4283</v>
      </c>
      <c r="V2364" s="569">
        <v>176</v>
      </c>
      <c r="W2364" s="569">
        <v>48</v>
      </c>
      <c r="X2364" s="568">
        <v>10000</v>
      </c>
      <c r="Y2364" s="573">
        <v>15</v>
      </c>
      <c r="Z2364" s="581" t="s">
        <v>450</v>
      </c>
      <c r="AA2364" s="581" t="s">
        <v>178</v>
      </c>
      <c r="AB2364" s="585">
        <v>43105</v>
      </c>
      <c r="AC2364" s="585" t="s">
        <v>164</v>
      </c>
      <c r="AD2364" s="585">
        <v>31168.757894736842</v>
      </c>
      <c r="AE2364" s="587">
        <v>0.03</v>
      </c>
      <c r="AF2364" s="661" t="str">
        <f t="shared" si="255"/>
        <v>2019-LTK-FRD-F250-086-05</v>
      </c>
      <c r="AG2364" s="661" t="str">
        <f>IF(AND($Y2364&gt;=32,(AI2364="I"),(Y2364&lt;&gt;"~"),(COUNTIF($AN$1:$AN2364,$AN2364)=1)),"TRUE","FALSE")</f>
        <v>FALSE</v>
      </c>
      <c r="AH2364" s="661" t="str">
        <f>IF(AND($Y2364&gt;=22, (AI2364&lt;&gt;"I"),(Y2364&lt;&gt;"~"),(COUNTIF($AN$1:$AN2364,$AN2364)=1)),"TRUE","FALSE")</f>
        <v>FALSE</v>
      </c>
      <c r="AI2364" s="661" t="str">
        <f t="shared" si="257"/>
        <v>II</v>
      </c>
      <c r="AJ2364" s="662" t="str">
        <f t="shared" si="251"/>
        <v>F250-086</v>
      </c>
      <c r="AK2364" s="662" t="str">
        <f t="shared" si="252"/>
        <v>LTK</v>
      </c>
      <c r="AL2364" s="662" t="str">
        <f t="shared" si="253"/>
        <v>FRD</v>
      </c>
      <c r="AM2364" s="662" t="str">
        <f t="shared" si="256"/>
        <v>F250-Crew Cab XLT-2WD-6-8'-12900-6.2L FFV-8-W2A-603A-176-48-E85-Unleaded</v>
      </c>
      <c r="AN2364" s="662" t="str">
        <f t="shared" si="254"/>
        <v>2019-LTK-FRD-F250-086</v>
      </c>
    </row>
    <row r="2365" spans="1:40" s="572" customFormat="1" ht="15">
      <c r="A2365" s="570" t="s">
        <v>4294</v>
      </c>
      <c r="B2365" s="573" t="s">
        <v>4282</v>
      </c>
      <c r="C2365" s="573" t="s">
        <v>278</v>
      </c>
      <c r="D2365" s="578">
        <v>15</v>
      </c>
      <c r="E2365" s="573" t="s">
        <v>3374</v>
      </c>
      <c r="F2365" s="573" t="s">
        <v>196</v>
      </c>
      <c r="G2365" s="573" t="s">
        <v>271</v>
      </c>
      <c r="H2365" s="573">
        <v>2019</v>
      </c>
      <c r="I2365" s="573" t="s">
        <v>4229</v>
      </c>
      <c r="J2365" s="573" t="s">
        <v>3805</v>
      </c>
      <c r="K2365" s="573" t="s">
        <v>3377</v>
      </c>
      <c r="L2365" s="573">
        <v>6</v>
      </c>
      <c r="M2365" s="573">
        <v>0</v>
      </c>
      <c r="N2365" s="573" t="s">
        <v>157</v>
      </c>
      <c r="O2365" s="573">
        <v>2</v>
      </c>
      <c r="P2365" s="573" t="s">
        <v>4230</v>
      </c>
      <c r="Q2365" s="571">
        <v>12500</v>
      </c>
      <c r="R2365" s="573" t="s">
        <v>4235</v>
      </c>
      <c r="S2365" s="573">
        <v>8</v>
      </c>
      <c r="T2365" s="573" t="s">
        <v>4232</v>
      </c>
      <c r="U2365" s="573" t="s">
        <v>4283</v>
      </c>
      <c r="V2365" s="573">
        <v>160</v>
      </c>
      <c r="W2365" s="573">
        <v>34</v>
      </c>
      <c r="X2365" s="571">
        <v>10000</v>
      </c>
      <c r="Y2365" s="573">
        <v>15</v>
      </c>
      <c r="Z2365" s="579" t="s">
        <v>450</v>
      </c>
      <c r="AA2365" s="579" t="s">
        <v>178</v>
      </c>
      <c r="AB2365" s="584">
        <v>42905</v>
      </c>
      <c r="AC2365" s="584" t="s">
        <v>164</v>
      </c>
      <c r="AD2365" s="584">
        <v>31600</v>
      </c>
      <c r="AE2365" s="586">
        <v>0.01</v>
      </c>
      <c r="AF2365" s="661" t="str">
        <f t="shared" si="255"/>
        <v>2019-LTK-FRD-F250-018-15</v>
      </c>
      <c r="AG2365" s="661" t="str">
        <f>IF(AND($Y2365&gt;=32,(AI2365="I"),(Y2365&lt;&gt;"~"),(COUNTIF($AN$1:$AN2365,$AN2365)=1)),"TRUE","FALSE")</f>
        <v>FALSE</v>
      </c>
      <c r="AH2365" s="661" t="str">
        <f>IF(AND($Y2365&gt;=22, (AI2365&lt;&gt;"I"),(Y2365&lt;&gt;"~"),(COUNTIF($AN$1:$AN2365,$AN2365)=1)),"TRUE","FALSE")</f>
        <v>FALSE</v>
      </c>
      <c r="AI2365" s="661" t="str">
        <f t="shared" si="257"/>
        <v>II</v>
      </c>
      <c r="AJ2365" s="662" t="str">
        <f t="shared" si="251"/>
        <v>F250-018</v>
      </c>
      <c r="AK2365" s="662" t="str">
        <f t="shared" si="252"/>
        <v>LTK</v>
      </c>
      <c r="AL2365" s="662" t="str">
        <f t="shared" si="253"/>
        <v>FRD</v>
      </c>
      <c r="AM2365" s="662" t="str">
        <f t="shared" si="256"/>
        <v>F250-Crew Cab XLT-2WD-6-6'9"-12500-6.2L FFV-8-W2A-603A-160-34-E85-Unleaded</v>
      </c>
      <c r="AN2365" s="662" t="str">
        <f t="shared" si="254"/>
        <v>2019-LTK-FRD-F250-018</v>
      </c>
    </row>
    <row r="2366" spans="1:40" s="572" customFormat="1" ht="15">
      <c r="A2366" s="570" t="s">
        <v>4295</v>
      </c>
      <c r="B2366" s="569" t="s">
        <v>4285</v>
      </c>
      <c r="C2366" s="569" t="s">
        <v>278</v>
      </c>
      <c r="D2366" s="580">
        <v>15</v>
      </c>
      <c r="E2366" s="569" t="s">
        <v>3374</v>
      </c>
      <c r="F2366" s="569" t="s">
        <v>196</v>
      </c>
      <c r="G2366" s="569" t="s">
        <v>271</v>
      </c>
      <c r="H2366" s="569">
        <v>2019</v>
      </c>
      <c r="I2366" s="569" t="s">
        <v>4229</v>
      </c>
      <c r="J2366" s="569" t="s">
        <v>3805</v>
      </c>
      <c r="K2366" s="569" t="s">
        <v>3377</v>
      </c>
      <c r="L2366" s="569">
        <v>6</v>
      </c>
      <c r="M2366" s="569">
        <v>0</v>
      </c>
      <c r="N2366" s="569" t="s">
        <v>157</v>
      </c>
      <c r="O2366" s="569">
        <v>2</v>
      </c>
      <c r="P2366" s="569" t="s">
        <v>4230</v>
      </c>
      <c r="Q2366" s="568">
        <v>12500</v>
      </c>
      <c r="R2366" s="569" t="s">
        <v>4231</v>
      </c>
      <c r="S2366" s="569">
        <v>8</v>
      </c>
      <c r="T2366" s="569" t="s">
        <v>4232</v>
      </c>
      <c r="U2366" s="569" t="s">
        <v>4283</v>
      </c>
      <c r="V2366" s="569">
        <v>160</v>
      </c>
      <c r="W2366" s="569">
        <v>35</v>
      </c>
      <c r="X2366" s="568">
        <v>10000</v>
      </c>
      <c r="Y2366" s="569">
        <v>14</v>
      </c>
      <c r="Z2366" s="581" t="s">
        <v>728</v>
      </c>
      <c r="AA2366" s="581" t="s">
        <v>1523</v>
      </c>
      <c r="AB2366" s="585">
        <v>52475</v>
      </c>
      <c r="AC2366" s="585" t="s">
        <v>164</v>
      </c>
      <c r="AD2366" s="585">
        <v>39850</v>
      </c>
      <c r="AE2366" s="587">
        <v>0.01</v>
      </c>
      <c r="AF2366" s="661" t="str">
        <f t="shared" si="255"/>
        <v>2019-LTK-FRD-F250-019-15</v>
      </c>
      <c r="AG2366" s="661" t="str">
        <f>IF(AND($Y2366&gt;=32,(AI2366="I"),(Y2366&lt;&gt;"~"),(COUNTIF($AN$1:$AN2366,$AN2366)=1)),"TRUE","FALSE")</f>
        <v>FALSE</v>
      </c>
      <c r="AH2366" s="661" t="str">
        <f>IF(AND($Y2366&gt;=22, (AI2366&lt;&gt;"I"),(Y2366&lt;&gt;"~"),(COUNTIF($AN$1:$AN2366,$AN2366)=1)),"TRUE","FALSE")</f>
        <v>FALSE</v>
      </c>
      <c r="AI2366" s="661" t="str">
        <f t="shared" si="257"/>
        <v>II</v>
      </c>
      <c r="AJ2366" s="662" t="str">
        <f t="shared" si="251"/>
        <v>F250-019</v>
      </c>
      <c r="AK2366" s="662" t="str">
        <f t="shared" si="252"/>
        <v>LTK</v>
      </c>
      <c r="AL2366" s="662" t="str">
        <f t="shared" si="253"/>
        <v>FRD</v>
      </c>
      <c r="AM2366" s="662" t="str">
        <f t="shared" si="256"/>
        <v>F250-Crew Cab XLT-2WD-6-6'9"-12500-6.7L Diesel-8-W2A-603A-160-35-Diesel-BioDiesel</v>
      </c>
      <c r="AN2366" s="662" t="str">
        <f t="shared" si="254"/>
        <v>2019-LTK-FRD-F250-019</v>
      </c>
    </row>
    <row r="2367" spans="1:40" s="572" customFormat="1" ht="15">
      <c r="A2367" s="570" t="s">
        <v>4296</v>
      </c>
      <c r="B2367" s="573" t="s">
        <v>4289</v>
      </c>
      <c r="C2367" s="573" t="s">
        <v>278</v>
      </c>
      <c r="D2367" s="578">
        <v>15</v>
      </c>
      <c r="E2367" s="573" t="s">
        <v>3374</v>
      </c>
      <c r="F2367" s="573" t="s">
        <v>196</v>
      </c>
      <c r="G2367" s="573" t="s">
        <v>271</v>
      </c>
      <c r="H2367" s="573">
        <v>2019</v>
      </c>
      <c r="I2367" s="573" t="s">
        <v>4229</v>
      </c>
      <c r="J2367" s="573" t="s">
        <v>3805</v>
      </c>
      <c r="K2367" s="573" t="s">
        <v>3377</v>
      </c>
      <c r="L2367" s="573">
        <v>6</v>
      </c>
      <c r="M2367" s="573">
        <v>0</v>
      </c>
      <c r="N2367" s="573" t="s">
        <v>157</v>
      </c>
      <c r="O2367" s="573">
        <v>2</v>
      </c>
      <c r="P2367" s="573" t="s">
        <v>3846</v>
      </c>
      <c r="Q2367" s="571">
        <v>12500</v>
      </c>
      <c r="R2367" s="573" t="s">
        <v>4235</v>
      </c>
      <c r="S2367" s="573">
        <v>8</v>
      </c>
      <c r="T2367" s="573" t="s">
        <v>4232</v>
      </c>
      <c r="U2367" s="573" t="s">
        <v>4283</v>
      </c>
      <c r="V2367" s="573">
        <v>176</v>
      </c>
      <c r="W2367" s="573">
        <v>48</v>
      </c>
      <c r="X2367" s="571">
        <v>10000</v>
      </c>
      <c r="Y2367" s="573">
        <v>15</v>
      </c>
      <c r="Z2367" s="579" t="s">
        <v>450</v>
      </c>
      <c r="AA2367" s="579" t="s">
        <v>178</v>
      </c>
      <c r="AB2367" s="584">
        <v>43105</v>
      </c>
      <c r="AC2367" s="584" t="s">
        <v>164</v>
      </c>
      <c r="AD2367" s="584">
        <v>31750</v>
      </c>
      <c r="AE2367" s="586">
        <v>0.01</v>
      </c>
      <c r="AF2367" s="661" t="str">
        <f t="shared" si="255"/>
        <v>2019-LTK-FRD-F250-022-15</v>
      </c>
      <c r="AG2367" s="661" t="str">
        <f>IF(AND($Y2367&gt;=32,(AI2367="I"),(Y2367&lt;&gt;"~"),(COUNTIF($AN$1:$AN2367,$AN2367)=1)),"TRUE","FALSE")</f>
        <v>FALSE</v>
      </c>
      <c r="AH2367" s="661" t="str">
        <f>IF(AND($Y2367&gt;=22, (AI2367&lt;&gt;"I"),(Y2367&lt;&gt;"~"),(COUNTIF($AN$1:$AN2367,$AN2367)=1)),"TRUE","FALSE")</f>
        <v>FALSE</v>
      </c>
      <c r="AI2367" s="661" t="str">
        <f t="shared" si="257"/>
        <v>II</v>
      </c>
      <c r="AJ2367" s="662" t="str">
        <f t="shared" si="251"/>
        <v>F250-022</v>
      </c>
      <c r="AK2367" s="662" t="str">
        <f t="shared" si="252"/>
        <v>LTK</v>
      </c>
      <c r="AL2367" s="662" t="str">
        <f t="shared" si="253"/>
        <v>FRD</v>
      </c>
      <c r="AM2367" s="662" t="str">
        <f t="shared" si="256"/>
        <v>F250-Crew Cab XLT-2WD-6-8'-12500-6.2L FFV-8-W2A-603A-176-48-E85-Unleaded</v>
      </c>
      <c r="AN2367" s="662" t="str">
        <f t="shared" si="254"/>
        <v>2019-LTK-FRD-F250-022</v>
      </c>
    </row>
    <row r="2368" spans="1:40" s="572" customFormat="1" ht="15">
      <c r="A2368" s="570" t="s">
        <v>4297</v>
      </c>
      <c r="B2368" s="569" t="s">
        <v>4298</v>
      </c>
      <c r="C2368" s="569" t="s">
        <v>278</v>
      </c>
      <c r="D2368" s="580">
        <v>15</v>
      </c>
      <c r="E2368" s="569" t="s">
        <v>3374</v>
      </c>
      <c r="F2368" s="569" t="s">
        <v>196</v>
      </c>
      <c r="G2368" s="569" t="s">
        <v>271</v>
      </c>
      <c r="H2368" s="569">
        <v>2019</v>
      </c>
      <c r="I2368" s="569" t="s">
        <v>4229</v>
      </c>
      <c r="J2368" s="569" t="s">
        <v>3805</v>
      </c>
      <c r="K2368" s="569" t="s">
        <v>3377</v>
      </c>
      <c r="L2368" s="569">
        <v>6</v>
      </c>
      <c r="M2368" s="569">
        <v>0</v>
      </c>
      <c r="N2368" s="569" t="s">
        <v>157</v>
      </c>
      <c r="O2368" s="569">
        <v>2</v>
      </c>
      <c r="P2368" s="569" t="s">
        <v>3846</v>
      </c>
      <c r="Q2368" s="568">
        <v>12500</v>
      </c>
      <c r="R2368" s="569" t="s">
        <v>4231</v>
      </c>
      <c r="S2368" s="569">
        <v>8</v>
      </c>
      <c r="T2368" s="569" t="s">
        <v>4232</v>
      </c>
      <c r="U2368" s="569" t="s">
        <v>4283</v>
      </c>
      <c r="V2368" s="569">
        <v>176</v>
      </c>
      <c r="W2368" s="569">
        <v>35</v>
      </c>
      <c r="X2368" s="568">
        <v>10000</v>
      </c>
      <c r="Y2368" s="569">
        <v>14</v>
      </c>
      <c r="Z2368" s="581" t="s">
        <v>728</v>
      </c>
      <c r="AA2368" s="581" t="s">
        <v>1523</v>
      </c>
      <c r="AB2368" s="585">
        <v>52675</v>
      </c>
      <c r="AC2368" s="585" t="s">
        <v>164</v>
      </c>
      <c r="AD2368" s="585">
        <v>39995</v>
      </c>
      <c r="AE2368" s="587">
        <v>0.01</v>
      </c>
      <c r="AF2368" s="661" t="str">
        <f t="shared" si="255"/>
        <v>2019-LTK-FRD-F250-023-15</v>
      </c>
      <c r="AG2368" s="661" t="str">
        <f>IF(AND($Y2368&gt;=32,(AI2368="I"),(Y2368&lt;&gt;"~"),(COUNTIF($AN$1:$AN2368,$AN2368)=1)),"TRUE","FALSE")</f>
        <v>FALSE</v>
      </c>
      <c r="AH2368" s="661" t="str">
        <f>IF(AND($Y2368&gt;=22, (AI2368&lt;&gt;"I"),(Y2368&lt;&gt;"~"),(COUNTIF($AN$1:$AN2368,$AN2368)=1)),"TRUE","FALSE")</f>
        <v>FALSE</v>
      </c>
      <c r="AI2368" s="661" t="str">
        <f t="shared" si="257"/>
        <v>II</v>
      </c>
      <c r="AJ2368" s="662" t="str">
        <f t="shared" si="251"/>
        <v>F250-023</v>
      </c>
      <c r="AK2368" s="662" t="str">
        <f t="shared" si="252"/>
        <v>LTK</v>
      </c>
      <c r="AL2368" s="662" t="str">
        <f t="shared" si="253"/>
        <v>FRD</v>
      </c>
      <c r="AM2368" s="662" t="str">
        <f t="shared" si="256"/>
        <v>F250-Crew Cab XLT-2WD-6-8'-12500-6.7L Diesel-8-W2A-603A-176-35-Diesel-BioDiesel</v>
      </c>
      <c r="AN2368" s="662" t="str">
        <f t="shared" si="254"/>
        <v>2019-LTK-FRD-F250-023</v>
      </c>
    </row>
    <row r="2369" spans="1:40" s="572" customFormat="1" ht="15">
      <c r="A2369" s="570" t="s">
        <v>4299</v>
      </c>
      <c r="B2369" s="573" t="s">
        <v>4282</v>
      </c>
      <c r="C2369" s="573" t="s">
        <v>287</v>
      </c>
      <c r="D2369" s="578">
        <v>26</v>
      </c>
      <c r="E2369" s="573" t="s">
        <v>3374</v>
      </c>
      <c r="F2369" s="573" t="s">
        <v>196</v>
      </c>
      <c r="G2369" s="573" t="s">
        <v>271</v>
      </c>
      <c r="H2369" s="573">
        <v>2019</v>
      </c>
      <c r="I2369" s="573" t="s">
        <v>4229</v>
      </c>
      <c r="J2369" s="573" t="s">
        <v>3805</v>
      </c>
      <c r="K2369" s="573" t="s">
        <v>3377</v>
      </c>
      <c r="L2369" s="573">
        <v>6</v>
      </c>
      <c r="M2369" s="573">
        <v>0</v>
      </c>
      <c r="N2369" s="573" t="s">
        <v>157</v>
      </c>
      <c r="O2369" s="573">
        <v>2</v>
      </c>
      <c r="P2369" s="573" t="s">
        <v>4230</v>
      </c>
      <c r="Q2369" s="571">
        <v>12500</v>
      </c>
      <c r="R2369" s="573" t="s">
        <v>4235</v>
      </c>
      <c r="S2369" s="573">
        <v>8</v>
      </c>
      <c r="T2369" s="573" t="s">
        <v>4232</v>
      </c>
      <c r="U2369" s="573" t="s">
        <v>4283</v>
      </c>
      <c r="V2369" s="573">
        <v>160</v>
      </c>
      <c r="W2369" s="573">
        <v>34</v>
      </c>
      <c r="X2369" s="571">
        <v>10000</v>
      </c>
      <c r="Y2369" s="573">
        <v>15</v>
      </c>
      <c r="Z2369" s="579" t="s">
        <v>450</v>
      </c>
      <c r="AA2369" s="579" t="s">
        <v>178</v>
      </c>
      <c r="AB2369" s="584">
        <v>42905</v>
      </c>
      <c r="AC2369" s="584" t="s">
        <v>164</v>
      </c>
      <c r="AD2369" s="584">
        <v>31620</v>
      </c>
      <c r="AE2369" s="586">
        <v>0.05</v>
      </c>
      <c r="AF2369" s="661" t="str">
        <f t="shared" si="255"/>
        <v>2019-LTK-FRD-F250-018-26</v>
      </c>
      <c r="AG2369" s="661" t="str">
        <f>IF(AND($Y2369&gt;=32,(AI2369="I"),(Y2369&lt;&gt;"~"),(COUNTIF($AN$1:$AN2369,$AN2369)=1)),"TRUE","FALSE")</f>
        <v>FALSE</v>
      </c>
      <c r="AH2369" s="661" t="str">
        <f>IF(AND($Y2369&gt;=22, (AI2369&lt;&gt;"I"),(Y2369&lt;&gt;"~"),(COUNTIF($AN$1:$AN2369,$AN2369)=1)),"TRUE","FALSE")</f>
        <v>FALSE</v>
      </c>
      <c r="AI2369" s="661" t="str">
        <f t="shared" si="257"/>
        <v>II</v>
      </c>
      <c r="AJ2369" s="662" t="str">
        <f t="shared" si="251"/>
        <v>F250-018</v>
      </c>
      <c r="AK2369" s="662" t="str">
        <f t="shared" si="252"/>
        <v>LTK</v>
      </c>
      <c r="AL2369" s="662" t="str">
        <f t="shared" si="253"/>
        <v>FRD</v>
      </c>
      <c r="AM2369" s="662" t="str">
        <f t="shared" si="256"/>
        <v>F250-Crew Cab XLT-2WD-6-6'9"-12500-6.2L FFV-8-W2A-603A-160-34-E85-Unleaded</v>
      </c>
      <c r="AN2369" s="662" t="str">
        <f t="shared" si="254"/>
        <v>2019-LTK-FRD-F250-018</v>
      </c>
    </row>
    <row r="2370" spans="1:40" s="572" customFormat="1" ht="15">
      <c r="A2370" s="570" t="s">
        <v>4300</v>
      </c>
      <c r="B2370" s="569" t="s">
        <v>4285</v>
      </c>
      <c r="C2370" s="569" t="s">
        <v>287</v>
      </c>
      <c r="D2370" s="580">
        <v>26</v>
      </c>
      <c r="E2370" s="569" t="s">
        <v>3374</v>
      </c>
      <c r="F2370" s="569" t="s">
        <v>196</v>
      </c>
      <c r="G2370" s="569" t="s">
        <v>271</v>
      </c>
      <c r="H2370" s="569">
        <v>2019</v>
      </c>
      <c r="I2370" s="569" t="s">
        <v>4229</v>
      </c>
      <c r="J2370" s="569" t="s">
        <v>3805</v>
      </c>
      <c r="K2370" s="569" t="s">
        <v>3377</v>
      </c>
      <c r="L2370" s="569">
        <v>6</v>
      </c>
      <c r="M2370" s="569">
        <v>0</v>
      </c>
      <c r="N2370" s="569" t="s">
        <v>157</v>
      </c>
      <c r="O2370" s="569">
        <v>2</v>
      </c>
      <c r="P2370" s="569" t="s">
        <v>4230</v>
      </c>
      <c r="Q2370" s="568">
        <v>12500</v>
      </c>
      <c r="R2370" s="569" t="s">
        <v>4231</v>
      </c>
      <c r="S2370" s="569">
        <v>8</v>
      </c>
      <c r="T2370" s="569" t="s">
        <v>4232</v>
      </c>
      <c r="U2370" s="569" t="s">
        <v>4283</v>
      </c>
      <c r="V2370" s="569">
        <v>160</v>
      </c>
      <c r="W2370" s="569">
        <v>35</v>
      </c>
      <c r="X2370" s="568">
        <v>10000</v>
      </c>
      <c r="Y2370" s="569">
        <v>14</v>
      </c>
      <c r="Z2370" s="581" t="s">
        <v>728</v>
      </c>
      <c r="AA2370" s="581" t="s">
        <v>1523</v>
      </c>
      <c r="AB2370" s="585">
        <v>51900</v>
      </c>
      <c r="AC2370" s="585" t="s">
        <v>164</v>
      </c>
      <c r="AD2370" s="585">
        <v>39814</v>
      </c>
      <c r="AE2370" s="587">
        <v>0.05</v>
      </c>
      <c r="AF2370" s="661" t="str">
        <f t="shared" si="255"/>
        <v>2019-LTK-FRD-F250-019-26</v>
      </c>
      <c r="AG2370" s="661" t="str">
        <f>IF(AND($Y2370&gt;=32,(AI2370="I"),(Y2370&lt;&gt;"~"),(COUNTIF($AN$1:$AN2370,$AN2370)=1)),"TRUE","FALSE")</f>
        <v>FALSE</v>
      </c>
      <c r="AH2370" s="661" t="str">
        <f>IF(AND($Y2370&gt;=22, (AI2370&lt;&gt;"I"),(Y2370&lt;&gt;"~"),(COUNTIF($AN$1:$AN2370,$AN2370)=1)),"TRUE","FALSE")</f>
        <v>FALSE</v>
      </c>
      <c r="AI2370" s="661" t="str">
        <f t="shared" si="257"/>
        <v>II</v>
      </c>
      <c r="AJ2370" s="662" t="str">
        <f t="shared" si="251"/>
        <v>F250-019</v>
      </c>
      <c r="AK2370" s="662" t="str">
        <f t="shared" si="252"/>
        <v>LTK</v>
      </c>
      <c r="AL2370" s="662" t="str">
        <f t="shared" si="253"/>
        <v>FRD</v>
      </c>
      <c r="AM2370" s="662" t="str">
        <f t="shared" si="256"/>
        <v>F250-Crew Cab XLT-2WD-6-6'9"-12500-6.7L Diesel-8-W2A-603A-160-35-Diesel-BioDiesel</v>
      </c>
      <c r="AN2370" s="662" t="str">
        <f t="shared" si="254"/>
        <v>2019-LTK-FRD-F250-019</v>
      </c>
    </row>
    <row r="2371" spans="1:40" s="572" customFormat="1" ht="15">
      <c r="A2371" s="570" t="s">
        <v>4301</v>
      </c>
      <c r="B2371" s="573" t="s">
        <v>4289</v>
      </c>
      <c r="C2371" s="573" t="s">
        <v>287</v>
      </c>
      <c r="D2371" s="578">
        <v>26</v>
      </c>
      <c r="E2371" s="573" t="s">
        <v>3374</v>
      </c>
      <c r="F2371" s="573" t="s">
        <v>196</v>
      </c>
      <c r="G2371" s="573" t="s">
        <v>271</v>
      </c>
      <c r="H2371" s="573">
        <v>2019</v>
      </c>
      <c r="I2371" s="573" t="s">
        <v>4229</v>
      </c>
      <c r="J2371" s="573" t="s">
        <v>3805</v>
      </c>
      <c r="K2371" s="573" t="s">
        <v>3377</v>
      </c>
      <c r="L2371" s="573">
        <v>6</v>
      </c>
      <c r="M2371" s="573">
        <v>0</v>
      </c>
      <c r="N2371" s="573" t="s">
        <v>157</v>
      </c>
      <c r="O2371" s="573">
        <v>2</v>
      </c>
      <c r="P2371" s="573" t="s">
        <v>3846</v>
      </c>
      <c r="Q2371" s="571">
        <v>12500</v>
      </c>
      <c r="R2371" s="573" t="s">
        <v>4235</v>
      </c>
      <c r="S2371" s="573">
        <v>8</v>
      </c>
      <c r="T2371" s="573" t="s">
        <v>4232</v>
      </c>
      <c r="U2371" s="573" t="s">
        <v>4283</v>
      </c>
      <c r="V2371" s="573">
        <v>176</v>
      </c>
      <c r="W2371" s="573">
        <v>48</v>
      </c>
      <c r="X2371" s="571">
        <v>10000</v>
      </c>
      <c r="Y2371" s="573">
        <v>15</v>
      </c>
      <c r="Z2371" s="579" t="s">
        <v>450</v>
      </c>
      <c r="AA2371" s="579" t="s">
        <v>178</v>
      </c>
      <c r="AB2371" s="584">
        <v>43105</v>
      </c>
      <c r="AC2371" s="584" t="s">
        <v>164</v>
      </c>
      <c r="AD2371" s="584">
        <v>31807</v>
      </c>
      <c r="AE2371" s="586">
        <v>0.05</v>
      </c>
      <c r="AF2371" s="661" t="str">
        <f t="shared" si="255"/>
        <v>2019-LTK-FRD-F250-022-26</v>
      </c>
      <c r="AG2371" s="661" t="str">
        <f>IF(AND($Y2371&gt;=32,(AI2371="I"),(Y2371&lt;&gt;"~"),(COUNTIF($AN$1:$AN2371,$AN2371)=1)),"TRUE","FALSE")</f>
        <v>FALSE</v>
      </c>
      <c r="AH2371" s="661" t="str">
        <f>IF(AND($Y2371&gt;=22, (AI2371&lt;&gt;"I"),(Y2371&lt;&gt;"~"),(COUNTIF($AN$1:$AN2371,$AN2371)=1)),"TRUE","FALSE")</f>
        <v>FALSE</v>
      </c>
      <c r="AI2371" s="661" t="str">
        <f t="shared" si="257"/>
        <v>II</v>
      </c>
      <c r="AJ2371" s="662" t="str">
        <f t="shared" ref="AJ2371:AJ2434" si="258">MID(A2371,14,8)</f>
        <v>F250-022</v>
      </c>
      <c r="AK2371" s="662" t="str">
        <f t="shared" ref="AK2371:AK2434" si="259">MID(A2371,6,3)</f>
        <v>LTK</v>
      </c>
      <c r="AL2371" s="662" t="str">
        <f t="shared" ref="AL2371:AL2434" si="260">MID(A2371,10,3)</f>
        <v>FRD</v>
      </c>
      <c r="AM2371" s="662" t="str">
        <f t="shared" si="256"/>
        <v>F250-Crew Cab XLT-2WD-6-8'-12500-6.2L FFV-8-W2A-603A-176-48-E85-Unleaded</v>
      </c>
      <c r="AN2371" s="662" t="str">
        <f t="shared" ref="AN2371:AN2434" si="261">LEFT(A2371,21)</f>
        <v>2019-LTK-FRD-F250-022</v>
      </c>
    </row>
    <row r="2372" spans="1:40" s="572" customFormat="1" ht="15">
      <c r="A2372" s="570" t="s">
        <v>4302</v>
      </c>
      <c r="B2372" s="569" t="s">
        <v>4298</v>
      </c>
      <c r="C2372" s="569" t="s">
        <v>287</v>
      </c>
      <c r="D2372" s="580">
        <v>26</v>
      </c>
      <c r="E2372" s="569" t="s">
        <v>3374</v>
      </c>
      <c r="F2372" s="569" t="s">
        <v>196</v>
      </c>
      <c r="G2372" s="569" t="s">
        <v>271</v>
      </c>
      <c r="H2372" s="569">
        <v>2019</v>
      </c>
      <c r="I2372" s="569" t="s">
        <v>4229</v>
      </c>
      <c r="J2372" s="569" t="s">
        <v>3805</v>
      </c>
      <c r="K2372" s="569" t="s">
        <v>3377</v>
      </c>
      <c r="L2372" s="569">
        <v>6</v>
      </c>
      <c r="M2372" s="569">
        <v>0</v>
      </c>
      <c r="N2372" s="569" t="s">
        <v>157</v>
      </c>
      <c r="O2372" s="569">
        <v>2</v>
      </c>
      <c r="P2372" s="569" t="s">
        <v>3846</v>
      </c>
      <c r="Q2372" s="568">
        <v>12500</v>
      </c>
      <c r="R2372" s="569" t="s">
        <v>4231</v>
      </c>
      <c r="S2372" s="569">
        <v>8</v>
      </c>
      <c r="T2372" s="569" t="s">
        <v>4232</v>
      </c>
      <c r="U2372" s="569" t="s">
        <v>4283</v>
      </c>
      <c r="V2372" s="569">
        <v>176</v>
      </c>
      <c r="W2372" s="569">
        <v>35</v>
      </c>
      <c r="X2372" s="568">
        <v>10000</v>
      </c>
      <c r="Y2372" s="569">
        <v>14</v>
      </c>
      <c r="Z2372" s="581" t="s">
        <v>728</v>
      </c>
      <c r="AA2372" s="581" t="s">
        <v>1523</v>
      </c>
      <c r="AB2372" s="585">
        <v>52100</v>
      </c>
      <c r="AC2372" s="585" t="s">
        <v>164</v>
      </c>
      <c r="AD2372" s="585">
        <v>40002</v>
      </c>
      <c r="AE2372" s="587">
        <v>0.05</v>
      </c>
      <c r="AF2372" s="661" t="str">
        <f t="shared" si="255"/>
        <v>2019-LTK-FRD-F250-023-26</v>
      </c>
      <c r="AG2372" s="661" t="str">
        <f>IF(AND($Y2372&gt;=32,(AI2372="I"),(Y2372&lt;&gt;"~"),(COUNTIF($AN$1:$AN2372,$AN2372)=1)),"TRUE","FALSE")</f>
        <v>FALSE</v>
      </c>
      <c r="AH2372" s="661" t="str">
        <f>IF(AND($Y2372&gt;=22, (AI2372&lt;&gt;"I"),(Y2372&lt;&gt;"~"),(COUNTIF($AN$1:$AN2372,$AN2372)=1)),"TRUE","FALSE")</f>
        <v>FALSE</v>
      </c>
      <c r="AI2372" s="661" t="str">
        <f t="shared" si="257"/>
        <v>II</v>
      </c>
      <c r="AJ2372" s="662" t="str">
        <f t="shared" si="258"/>
        <v>F250-023</v>
      </c>
      <c r="AK2372" s="662" t="str">
        <f t="shared" si="259"/>
        <v>LTK</v>
      </c>
      <c r="AL2372" s="662" t="str">
        <f t="shared" si="260"/>
        <v>FRD</v>
      </c>
      <c r="AM2372" s="662" t="str">
        <f t="shared" si="256"/>
        <v>F250-Crew Cab XLT-2WD-6-8'-12500-6.7L Diesel-8-W2A-603A-176-35-Diesel-BioDiesel</v>
      </c>
      <c r="AN2372" s="662" t="str">
        <f t="shared" si="261"/>
        <v>2019-LTK-FRD-F250-023</v>
      </c>
    </row>
    <row r="2373" spans="1:40" s="572" customFormat="1" ht="15">
      <c r="A2373" s="570" t="s">
        <v>4303</v>
      </c>
      <c r="B2373" s="573" t="s">
        <v>4282</v>
      </c>
      <c r="C2373" s="573" t="s">
        <v>280</v>
      </c>
      <c r="D2373" s="578">
        <v>27</v>
      </c>
      <c r="E2373" s="573" t="s">
        <v>3374</v>
      </c>
      <c r="F2373" s="573" t="s">
        <v>196</v>
      </c>
      <c r="G2373" s="573" t="s">
        <v>271</v>
      </c>
      <c r="H2373" s="573">
        <v>2019</v>
      </c>
      <c r="I2373" s="573" t="s">
        <v>4229</v>
      </c>
      <c r="J2373" s="573" t="s">
        <v>3805</v>
      </c>
      <c r="K2373" s="573" t="s">
        <v>3377</v>
      </c>
      <c r="L2373" s="573">
        <v>6</v>
      </c>
      <c r="M2373" s="573">
        <v>0</v>
      </c>
      <c r="N2373" s="573" t="s">
        <v>157</v>
      </c>
      <c r="O2373" s="573">
        <v>2</v>
      </c>
      <c r="P2373" s="573" t="s">
        <v>4230</v>
      </c>
      <c r="Q2373" s="571">
        <v>12500</v>
      </c>
      <c r="R2373" s="573" t="s">
        <v>4235</v>
      </c>
      <c r="S2373" s="573">
        <v>8</v>
      </c>
      <c r="T2373" s="573" t="s">
        <v>4232</v>
      </c>
      <c r="U2373" s="573" t="s">
        <v>4283</v>
      </c>
      <c r="V2373" s="573">
        <v>160</v>
      </c>
      <c r="W2373" s="573">
        <v>34</v>
      </c>
      <c r="X2373" s="571">
        <v>10000</v>
      </c>
      <c r="Y2373" s="573">
        <v>15</v>
      </c>
      <c r="Z2373" s="579" t="s">
        <v>450</v>
      </c>
      <c r="AA2373" s="579" t="s">
        <v>178</v>
      </c>
      <c r="AB2373" s="584">
        <v>42905</v>
      </c>
      <c r="AC2373" s="584" t="s">
        <v>164</v>
      </c>
      <c r="AD2373" s="584">
        <v>30984.547368421056</v>
      </c>
      <c r="AE2373" s="586">
        <v>0.03</v>
      </c>
      <c r="AF2373" s="661" t="str">
        <f t="shared" si="255"/>
        <v>2019-LTK-FRD-F250-018-27</v>
      </c>
      <c r="AG2373" s="661" t="str">
        <f>IF(AND($Y2373&gt;=32,(AI2373="I"),(Y2373&lt;&gt;"~"),(COUNTIF($AN$1:$AN2373,$AN2373)=1)),"TRUE","FALSE")</f>
        <v>FALSE</v>
      </c>
      <c r="AH2373" s="661" t="str">
        <f>IF(AND($Y2373&gt;=22, (AI2373&lt;&gt;"I"),(Y2373&lt;&gt;"~"),(COUNTIF($AN$1:$AN2373,$AN2373)=1)),"TRUE","FALSE")</f>
        <v>FALSE</v>
      </c>
      <c r="AI2373" s="661" t="str">
        <f t="shared" si="257"/>
        <v>II</v>
      </c>
      <c r="AJ2373" s="662" t="str">
        <f t="shared" si="258"/>
        <v>F250-018</v>
      </c>
      <c r="AK2373" s="662" t="str">
        <f t="shared" si="259"/>
        <v>LTK</v>
      </c>
      <c r="AL2373" s="662" t="str">
        <f t="shared" si="260"/>
        <v>FRD</v>
      </c>
      <c r="AM2373" s="662" t="str">
        <f t="shared" si="256"/>
        <v>F250-Crew Cab XLT-2WD-6-6'9"-12500-6.2L FFV-8-W2A-603A-160-34-E85-Unleaded</v>
      </c>
      <c r="AN2373" s="662" t="str">
        <f t="shared" si="261"/>
        <v>2019-LTK-FRD-F250-018</v>
      </c>
    </row>
    <row r="2374" spans="1:40" s="572" customFormat="1" ht="15">
      <c r="A2374" s="570" t="s">
        <v>4304</v>
      </c>
      <c r="B2374" s="569" t="s">
        <v>4285</v>
      </c>
      <c r="C2374" s="569" t="s">
        <v>280</v>
      </c>
      <c r="D2374" s="580">
        <v>27</v>
      </c>
      <c r="E2374" s="569" t="s">
        <v>3374</v>
      </c>
      <c r="F2374" s="569" t="s">
        <v>196</v>
      </c>
      <c r="G2374" s="569" t="s">
        <v>271</v>
      </c>
      <c r="H2374" s="569">
        <v>2019</v>
      </c>
      <c r="I2374" s="569" t="s">
        <v>4229</v>
      </c>
      <c r="J2374" s="569" t="s">
        <v>3805</v>
      </c>
      <c r="K2374" s="569" t="s">
        <v>3377</v>
      </c>
      <c r="L2374" s="569">
        <v>6</v>
      </c>
      <c r="M2374" s="569">
        <v>0</v>
      </c>
      <c r="N2374" s="569" t="s">
        <v>157</v>
      </c>
      <c r="O2374" s="569">
        <v>2</v>
      </c>
      <c r="P2374" s="569" t="s">
        <v>4230</v>
      </c>
      <c r="Q2374" s="568">
        <v>12500</v>
      </c>
      <c r="R2374" s="569" t="s">
        <v>4231</v>
      </c>
      <c r="S2374" s="569">
        <v>8</v>
      </c>
      <c r="T2374" s="569" t="s">
        <v>4232</v>
      </c>
      <c r="U2374" s="569" t="s">
        <v>4283</v>
      </c>
      <c r="V2374" s="569">
        <v>160</v>
      </c>
      <c r="W2374" s="569">
        <v>34</v>
      </c>
      <c r="X2374" s="568">
        <v>10000</v>
      </c>
      <c r="Y2374" s="573">
        <v>15</v>
      </c>
      <c r="Z2374" s="581" t="s">
        <v>728</v>
      </c>
      <c r="AA2374" s="581" t="s">
        <v>1523</v>
      </c>
      <c r="AB2374" s="585">
        <v>52475</v>
      </c>
      <c r="AC2374" s="585" t="s">
        <v>164</v>
      </c>
      <c r="AD2374" s="585">
        <v>39620.631578947367</v>
      </c>
      <c r="AE2374" s="587">
        <v>0.03</v>
      </c>
      <c r="AF2374" s="661" t="str">
        <f t="shared" si="255"/>
        <v>2019-LTK-FRD-F250-019-27</v>
      </c>
      <c r="AG2374" s="661" t="str">
        <f>IF(AND($Y2374&gt;=32,(AI2374="I"),(Y2374&lt;&gt;"~"),(COUNTIF($AN$1:$AN2374,$AN2374)=1)),"TRUE","FALSE")</f>
        <v>FALSE</v>
      </c>
      <c r="AH2374" s="661" t="str">
        <f>IF(AND($Y2374&gt;=22, (AI2374&lt;&gt;"I"),(Y2374&lt;&gt;"~"),(COUNTIF($AN$1:$AN2374,$AN2374)=1)),"TRUE","FALSE")</f>
        <v>FALSE</v>
      </c>
      <c r="AI2374" s="661" t="str">
        <f t="shared" si="257"/>
        <v>II</v>
      </c>
      <c r="AJ2374" s="662" t="str">
        <f t="shared" si="258"/>
        <v>F250-019</v>
      </c>
      <c r="AK2374" s="662" t="str">
        <f t="shared" si="259"/>
        <v>LTK</v>
      </c>
      <c r="AL2374" s="662" t="str">
        <f t="shared" si="260"/>
        <v>FRD</v>
      </c>
      <c r="AM2374" s="662" t="str">
        <f t="shared" si="256"/>
        <v>F250-Crew Cab XLT-2WD-6-6'9"-12500-6.7L Diesel-8-W2A-603A-160-34-Diesel-BioDiesel</v>
      </c>
      <c r="AN2374" s="662" t="str">
        <f t="shared" si="261"/>
        <v>2019-LTK-FRD-F250-019</v>
      </c>
    </row>
    <row r="2375" spans="1:40" s="572" customFormat="1" ht="15">
      <c r="A2375" s="570" t="s">
        <v>4305</v>
      </c>
      <c r="B2375" s="573" t="s">
        <v>4287</v>
      </c>
      <c r="C2375" s="573" t="s">
        <v>280</v>
      </c>
      <c r="D2375" s="578">
        <v>27</v>
      </c>
      <c r="E2375" s="573" t="s">
        <v>3374</v>
      </c>
      <c r="F2375" s="573" t="s">
        <v>196</v>
      </c>
      <c r="G2375" s="573" t="s">
        <v>271</v>
      </c>
      <c r="H2375" s="573">
        <v>2019</v>
      </c>
      <c r="I2375" s="573" t="s">
        <v>4229</v>
      </c>
      <c r="J2375" s="573" t="s">
        <v>3805</v>
      </c>
      <c r="K2375" s="573" t="s">
        <v>3377</v>
      </c>
      <c r="L2375" s="573">
        <v>6</v>
      </c>
      <c r="M2375" s="573">
        <v>0</v>
      </c>
      <c r="N2375" s="573" t="s">
        <v>157</v>
      </c>
      <c r="O2375" s="573">
        <v>2</v>
      </c>
      <c r="P2375" s="573" t="s">
        <v>4230</v>
      </c>
      <c r="Q2375" s="571">
        <v>12900</v>
      </c>
      <c r="R2375" s="573" t="s">
        <v>4235</v>
      </c>
      <c r="S2375" s="573">
        <v>8</v>
      </c>
      <c r="T2375" s="573" t="s">
        <v>4232</v>
      </c>
      <c r="U2375" s="573" t="s">
        <v>4283</v>
      </c>
      <c r="V2375" s="573">
        <v>160</v>
      </c>
      <c r="W2375" s="573">
        <v>34</v>
      </c>
      <c r="X2375" s="571">
        <v>10000</v>
      </c>
      <c r="Y2375" s="573">
        <v>15</v>
      </c>
      <c r="Z2375" s="579" t="s">
        <v>450</v>
      </c>
      <c r="AA2375" s="579" t="s">
        <v>178</v>
      </c>
      <c r="AB2375" s="584">
        <v>42902</v>
      </c>
      <c r="AC2375" s="584" t="s">
        <v>164</v>
      </c>
      <c r="AD2375" s="584">
        <v>30984.547368421056</v>
      </c>
      <c r="AE2375" s="586">
        <v>0.03</v>
      </c>
      <c r="AF2375" s="661" t="str">
        <f t="shared" si="255"/>
        <v>2019-LTK-FRD-F250-020-27</v>
      </c>
      <c r="AG2375" s="661" t="str">
        <f>IF(AND($Y2375&gt;=32,(AI2375="I"),(Y2375&lt;&gt;"~"),(COUNTIF($AN$1:$AN2375,$AN2375)=1)),"TRUE","FALSE")</f>
        <v>FALSE</v>
      </c>
      <c r="AH2375" s="661" t="str">
        <f>IF(AND($Y2375&gt;=22, (AI2375&lt;&gt;"I"),(Y2375&lt;&gt;"~"),(COUNTIF($AN$1:$AN2375,$AN2375)=1)),"TRUE","FALSE")</f>
        <v>FALSE</v>
      </c>
      <c r="AI2375" s="661" t="str">
        <f t="shared" si="257"/>
        <v>II</v>
      </c>
      <c r="AJ2375" s="662" t="str">
        <f t="shared" si="258"/>
        <v>F250-020</v>
      </c>
      <c r="AK2375" s="662" t="str">
        <f t="shared" si="259"/>
        <v>LTK</v>
      </c>
      <c r="AL2375" s="662" t="str">
        <f t="shared" si="260"/>
        <v>FRD</v>
      </c>
      <c r="AM2375" s="662" t="str">
        <f t="shared" si="256"/>
        <v>F250-Crew Cab XLT-2WD-6-6'9"-12900-6.2L FFV-8-W2A-603A-160-34-E85-Unleaded</v>
      </c>
      <c r="AN2375" s="662" t="str">
        <f t="shared" si="261"/>
        <v>2019-LTK-FRD-F250-020</v>
      </c>
    </row>
    <row r="2376" spans="1:40" s="572" customFormat="1" ht="15">
      <c r="A2376" s="570" t="s">
        <v>4306</v>
      </c>
      <c r="B2376" s="569" t="s">
        <v>4289</v>
      </c>
      <c r="C2376" s="569" t="s">
        <v>280</v>
      </c>
      <c r="D2376" s="580">
        <v>27</v>
      </c>
      <c r="E2376" s="569" t="s">
        <v>3374</v>
      </c>
      <c r="F2376" s="569" t="s">
        <v>196</v>
      </c>
      <c r="G2376" s="569" t="s">
        <v>271</v>
      </c>
      <c r="H2376" s="569">
        <v>2019</v>
      </c>
      <c r="I2376" s="569" t="s">
        <v>4229</v>
      </c>
      <c r="J2376" s="569" t="s">
        <v>3805</v>
      </c>
      <c r="K2376" s="569" t="s">
        <v>3377</v>
      </c>
      <c r="L2376" s="569">
        <v>6</v>
      </c>
      <c r="M2376" s="569">
        <v>0</v>
      </c>
      <c r="N2376" s="569" t="s">
        <v>157</v>
      </c>
      <c r="O2376" s="569">
        <v>2</v>
      </c>
      <c r="P2376" s="569" t="s">
        <v>3846</v>
      </c>
      <c r="Q2376" s="568">
        <v>12500</v>
      </c>
      <c r="R2376" s="569" t="s">
        <v>4235</v>
      </c>
      <c r="S2376" s="569">
        <v>8</v>
      </c>
      <c r="T2376" s="569" t="s">
        <v>4232</v>
      </c>
      <c r="U2376" s="569" t="s">
        <v>4283</v>
      </c>
      <c r="V2376" s="569">
        <v>176</v>
      </c>
      <c r="W2376" s="569">
        <v>48</v>
      </c>
      <c r="X2376" s="568">
        <v>10000</v>
      </c>
      <c r="Y2376" s="573">
        <v>15</v>
      </c>
      <c r="Z2376" s="581" t="s">
        <v>450</v>
      </c>
      <c r="AA2376" s="581" t="s">
        <v>178</v>
      </c>
      <c r="AB2376" s="585">
        <v>43105</v>
      </c>
      <c r="AC2376" s="585" t="s">
        <v>164</v>
      </c>
      <c r="AD2376" s="585">
        <v>31168.757894736842</v>
      </c>
      <c r="AE2376" s="587">
        <v>0.03</v>
      </c>
      <c r="AF2376" s="661" t="str">
        <f t="shared" ref="AF2376:AF2439" si="262">A2376</f>
        <v>2019-LTK-FRD-F250-022-27</v>
      </c>
      <c r="AG2376" s="661" t="str">
        <f>IF(AND($Y2376&gt;=32,(AI2376="I"),(Y2376&lt;&gt;"~"),(COUNTIF($AN$1:$AN2376,$AN2376)=1)),"TRUE","FALSE")</f>
        <v>FALSE</v>
      </c>
      <c r="AH2376" s="661" t="str">
        <f>IF(AND($Y2376&gt;=22, (AI2376&lt;&gt;"I"),(Y2376&lt;&gt;"~"),(COUNTIF($AN$1:$AN2376,$AN2376)=1)),"TRUE","FALSE")</f>
        <v>FALSE</v>
      </c>
      <c r="AI2376" s="661" t="str">
        <f t="shared" si="257"/>
        <v>II</v>
      </c>
      <c r="AJ2376" s="662" t="str">
        <f t="shared" si="258"/>
        <v>F250-022</v>
      </c>
      <c r="AK2376" s="662" t="str">
        <f t="shared" si="259"/>
        <v>LTK</v>
      </c>
      <c r="AL2376" s="662" t="str">
        <f t="shared" si="260"/>
        <v>FRD</v>
      </c>
      <c r="AM2376" s="662" t="str">
        <f t="shared" si="256"/>
        <v>F250-Crew Cab XLT-2WD-6-8'-12500-6.2L FFV-8-W2A-603A-176-48-E85-Unleaded</v>
      </c>
      <c r="AN2376" s="662" t="str">
        <f t="shared" si="261"/>
        <v>2019-LTK-FRD-F250-022</v>
      </c>
    </row>
    <row r="2377" spans="1:40" s="572" customFormat="1" ht="15">
      <c r="A2377" s="570" t="s">
        <v>4307</v>
      </c>
      <c r="B2377" s="573" t="s">
        <v>4291</v>
      </c>
      <c r="C2377" s="573" t="s">
        <v>280</v>
      </c>
      <c r="D2377" s="578">
        <v>27</v>
      </c>
      <c r="E2377" s="573" t="s">
        <v>3374</v>
      </c>
      <c r="F2377" s="573" t="s">
        <v>196</v>
      </c>
      <c r="G2377" s="573" t="s">
        <v>271</v>
      </c>
      <c r="H2377" s="573">
        <v>2019</v>
      </c>
      <c r="I2377" s="573" t="s">
        <v>4229</v>
      </c>
      <c r="J2377" s="573" t="s">
        <v>3805</v>
      </c>
      <c r="K2377" s="573" t="s">
        <v>3377</v>
      </c>
      <c r="L2377" s="573">
        <v>6</v>
      </c>
      <c r="M2377" s="573">
        <v>0</v>
      </c>
      <c r="N2377" s="573" t="s">
        <v>157</v>
      </c>
      <c r="O2377" s="573">
        <v>2</v>
      </c>
      <c r="P2377" s="573" t="s">
        <v>3846</v>
      </c>
      <c r="Q2377" s="571">
        <v>12500</v>
      </c>
      <c r="R2377" s="573" t="s">
        <v>4231</v>
      </c>
      <c r="S2377" s="573">
        <v>8</v>
      </c>
      <c r="T2377" s="573" t="s">
        <v>4232</v>
      </c>
      <c r="U2377" s="573" t="s">
        <v>4283</v>
      </c>
      <c r="V2377" s="573">
        <v>176</v>
      </c>
      <c r="W2377" s="573">
        <v>48</v>
      </c>
      <c r="X2377" s="571">
        <v>10000</v>
      </c>
      <c r="Y2377" s="573">
        <v>15</v>
      </c>
      <c r="Z2377" s="579" t="s">
        <v>728</v>
      </c>
      <c r="AA2377" s="579" t="s">
        <v>1523</v>
      </c>
      <c r="AB2377" s="584">
        <v>52675</v>
      </c>
      <c r="AC2377" s="584" t="s">
        <v>164</v>
      </c>
      <c r="AD2377" s="584">
        <v>39804.84210526316</v>
      </c>
      <c r="AE2377" s="586">
        <v>0.03</v>
      </c>
      <c r="AF2377" s="661" t="str">
        <f t="shared" si="262"/>
        <v>2019-LTK-FRD-F250-085-27</v>
      </c>
      <c r="AG2377" s="661" t="str">
        <f>IF(AND($Y2377&gt;=32,(AI2377="I"),(Y2377&lt;&gt;"~"),(COUNTIF($AN$1:$AN2377,$AN2377)=1)),"TRUE","FALSE")</f>
        <v>FALSE</v>
      </c>
      <c r="AH2377" s="661" t="str">
        <f>IF(AND($Y2377&gt;=22, (AI2377&lt;&gt;"I"),(Y2377&lt;&gt;"~"),(COUNTIF($AN$1:$AN2377,$AN2377)=1)),"TRUE","FALSE")</f>
        <v>FALSE</v>
      </c>
      <c r="AI2377" s="661" t="str">
        <f t="shared" si="257"/>
        <v>II</v>
      </c>
      <c r="AJ2377" s="662" t="str">
        <f t="shared" si="258"/>
        <v>F250-085</v>
      </c>
      <c r="AK2377" s="662" t="str">
        <f t="shared" si="259"/>
        <v>LTK</v>
      </c>
      <c r="AL2377" s="662" t="str">
        <f t="shared" si="260"/>
        <v>FRD</v>
      </c>
      <c r="AM2377" s="662" t="str">
        <f t="shared" si="256"/>
        <v>F250-Crew Cab XLT-2WD-6-8'-12500-6.7L Diesel-8-W2A-603A-176-48-Diesel-BioDiesel</v>
      </c>
      <c r="AN2377" s="662" t="str">
        <f t="shared" si="261"/>
        <v>2019-LTK-FRD-F250-085</v>
      </c>
    </row>
    <row r="2378" spans="1:40" s="572" customFormat="1" ht="15">
      <c r="A2378" s="570" t="s">
        <v>4308</v>
      </c>
      <c r="B2378" s="569" t="s">
        <v>4293</v>
      </c>
      <c r="C2378" s="569" t="s">
        <v>280</v>
      </c>
      <c r="D2378" s="580">
        <v>27</v>
      </c>
      <c r="E2378" s="569" t="s">
        <v>3374</v>
      </c>
      <c r="F2378" s="569" t="s">
        <v>196</v>
      </c>
      <c r="G2378" s="569" t="s">
        <v>271</v>
      </c>
      <c r="H2378" s="569">
        <v>2019</v>
      </c>
      <c r="I2378" s="569" t="s">
        <v>4229</v>
      </c>
      <c r="J2378" s="569" t="s">
        <v>3805</v>
      </c>
      <c r="K2378" s="569" t="s">
        <v>3377</v>
      </c>
      <c r="L2378" s="569">
        <v>6</v>
      </c>
      <c r="M2378" s="569">
        <v>0</v>
      </c>
      <c r="N2378" s="569" t="s">
        <v>157</v>
      </c>
      <c r="O2378" s="569">
        <v>2</v>
      </c>
      <c r="P2378" s="569" t="s">
        <v>3846</v>
      </c>
      <c r="Q2378" s="568">
        <v>12900</v>
      </c>
      <c r="R2378" s="569" t="s">
        <v>4235</v>
      </c>
      <c r="S2378" s="569">
        <v>8</v>
      </c>
      <c r="T2378" s="569" t="s">
        <v>4232</v>
      </c>
      <c r="U2378" s="569" t="s">
        <v>4283</v>
      </c>
      <c r="V2378" s="569">
        <v>176</v>
      </c>
      <c r="W2378" s="569">
        <v>48</v>
      </c>
      <c r="X2378" s="568">
        <v>10000</v>
      </c>
      <c r="Y2378" s="573">
        <v>15</v>
      </c>
      <c r="Z2378" s="581" t="s">
        <v>450</v>
      </c>
      <c r="AA2378" s="581" t="s">
        <v>178</v>
      </c>
      <c r="AB2378" s="585">
        <v>43105</v>
      </c>
      <c r="AC2378" s="585" t="s">
        <v>164</v>
      </c>
      <c r="AD2378" s="585">
        <v>31168.757894736842</v>
      </c>
      <c r="AE2378" s="587">
        <v>0.03</v>
      </c>
      <c r="AF2378" s="661" t="str">
        <f t="shared" si="262"/>
        <v>2019-LTK-FRD-F250-086-27</v>
      </c>
      <c r="AG2378" s="661" t="str">
        <f>IF(AND($Y2378&gt;=32,(AI2378="I"),(Y2378&lt;&gt;"~"),(COUNTIF($AN$1:$AN2378,$AN2378)=1)),"TRUE","FALSE")</f>
        <v>FALSE</v>
      </c>
      <c r="AH2378" s="661" t="str">
        <f>IF(AND($Y2378&gt;=22, (AI2378&lt;&gt;"I"),(Y2378&lt;&gt;"~"),(COUNTIF($AN$1:$AN2378,$AN2378)=1)),"TRUE","FALSE")</f>
        <v>FALSE</v>
      </c>
      <c r="AI2378" s="661" t="str">
        <f t="shared" si="257"/>
        <v>II</v>
      </c>
      <c r="AJ2378" s="662" t="str">
        <f t="shared" si="258"/>
        <v>F250-086</v>
      </c>
      <c r="AK2378" s="662" t="str">
        <f t="shared" si="259"/>
        <v>LTK</v>
      </c>
      <c r="AL2378" s="662" t="str">
        <f t="shared" si="260"/>
        <v>FRD</v>
      </c>
      <c r="AM2378" s="662" t="str">
        <f t="shared" si="256"/>
        <v>F250-Crew Cab XLT-2WD-6-8'-12900-6.2L FFV-8-W2A-603A-176-48-E85-Unleaded</v>
      </c>
      <c r="AN2378" s="662" t="str">
        <f t="shared" si="261"/>
        <v>2019-LTK-FRD-F250-086</v>
      </c>
    </row>
    <row r="2379" spans="1:40" s="572" customFormat="1" ht="15">
      <c r="A2379" s="570" t="s">
        <v>4309</v>
      </c>
      <c r="B2379" s="573" t="s">
        <v>4310</v>
      </c>
      <c r="C2379" s="573" t="s">
        <v>269</v>
      </c>
      <c r="D2379" s="578" t="s">
        <v>270</v>
      </c>
      <c r="E2379" s="573" t="s">
        <v>3374</v>
      </c>
      <c r="F2379" s="573" t="s">
        <v>196</v>
      </c>
      <c r="G2379" s="573" t="s">
        <v>271</v>
      </c>
      <c r="H2379" s="573">
        <v>2019</v>
      </c>
      <c r="I2379" s="573" t="s">
        <v>4229</v>
      </c>
      <c r="J2379" s="573" t="s">
        <v>3805</v>
      </c>
      <c r="K2379" s="573" t="s">
        <v>752</v>
      </c>
      <c r="L2379" s="573">
        <v>6</v>
      </c>
      <c r="M2379" s="573">
        <v>0</v>
      </c>
      <c r="N2379" s="573" t="s">
        <v>157</v>
      </c>
      <c r="O2379" s="573">
        <v>2</v>
      </c>
      <c r="P2379" s="573" t="s">
        <v>4230</v>
      </c>
      <c r="Q2379" s="571">
        <v>12200</v>
      </c>
      <c r="R2379" s="573" t="s">
        <v>4231</v>
      </c>
      <c r="S2379" s="573">
        <v>8</v>
      </c>
      <c r="T2379" s="573" t="s">
        <v>4259</v>
      </c>
      <c r="U2379" s="573" t="s">
        <v>4283</v>
      </c>
      <c r="V2379" s="573">
        <v>160</v>
      </c>
      <c r="W2379" s="573">
        <v>34</v>
      </c>
      <c r="X2379" s="571">
        <v>10000</v>
      </c>
      <c r="Y2379" s="573">
        <v>14</v>
      </c>
      <c r="Z2379" s="579" t="s">
        <v>728</v>
      </c>
      <c r="AA2379" s="579" t="s">
        <v>1523</v>
      </c>
      <c r="AB2379" s="584">
        <v>55270</v>
      </c>
      <c r="AC2379" s="584" t="s">
        <v>164</v>
      </c>
      <c r="AD2379" s="584">
        <v>42202.736842105267</v>
      </c>
      <c r="AE2379" s="586">
        <v>0.03</v>
      </c>
      <c r="AF2379" s="661" t="str">
        <f t="shared" si="262"/>
        <v>2019-LTK-FRD-F250-027-05</v>
      </c>
      <c r="AG2379" s="661" t="str">
        <f>IF(AND($Y2379&gt;=32,(AI2379="I"),(Y2379&lt;&gt;"~"),(COUNTIF($AN$1:$AN2379,$AN2379)=1)),"TRUE","FALSE")</f>
        <v>FALSE</v>
      </c>
      <c r="AH2379" s="661" t="str">
        <f>IF(AND($Y2379&gt;=22, (AI2379&lt;&gt;"I"),(Y2379&lt;&gt;"~"),(COUNTIF($AN$1:$AN2379,$AN2379)=1)),"TRUE","FALSE")</f>
        <v>FALSE</v>
      </c>
      <c r="AI2379" s="661" t="str">
        <f t="shared" si="257"/>
        <v>II</v>
      </c>
      <c r="AJ2379" s="662" t="str">
        <f t="shared" si="258"/>
        <v>F250-027</v>
      </c>
      <c r="AK2379" s="662" t="str">
        <f t="shared" si="259"/>
        <v>LTK</v>
      </c>
      <c r="AL2379" s="662" t="str">
        <f t="shared" si="260"/>
        <v>FRD</v>
      </c>
      <c r="AM2379" s="662" t="str">
        <f t="shared" si="256"/>
        <v>F250-Crew Cab XLT-4WD-6-6'9"-12200-6.7L Diesel-8-W2B-603A-160-34-Diesel-BioDiesel</v>
      </c>
      <c r="AN2379" s="662" t="str">
        <f t="shared" si="261"/>
        <v>2019-LTK-FRD-F250-027</v>
      </c>
    </row>
    <row r="2380" spans="1:40" s="572" customFormat="1" ht="15">
      <c r="A2380" s="570" t="s">
        <v>4311</v>
      </c>
      <c r="B2380" s="569" t="s">
        <v>4312</v>
      </c>
      <c r="C2380" s="569" t="s">
        <v>269</v>
      </c>
      <c r="D2380" s="580" t="s">
        <v>270</v>
      </c>
      <c r="E2380" s="569" t="s">
        <v>3374</v>
      </c>
      <c r="F2380" s="569" t="s">
        <v>196</v>
      </c>
      <c r="G2380" s="569" t="s">
        <v>271</v>
      </c>
      <c r="H2380" s="569">
        <v>2019</v>
      </c>
      <c r="I2380" s="569" t="s">
        <v>4229</v>
      </c>
      <c r="J2380" s="569" t="s">
        <v>3805</v>
      </c>
      <c r="K2380" s="569" t="s">
        <v>752</v>
      </c>
      <c r="L2380" s="569">
        <v>6</v>
      </c>
      <c r="M2380" s="569">
        <v>0</v>
      </c>
      <c r="N2380" s="569" t="s">
        <v>157</v>
      </c>
      <c r="O2380" s="569">
        <v>2</v>
      </c>
      <c r="P2380" s="569" t="s">
        <v>4230</v>
      </c>
      <c r="Q2380" s="568">
        <v>12500</v>
      </c>
      <c r="R2380" s="569" t="s">
        <v>4235</v>
      </c>
      <c r="S2380" s="569">
        <v>8</v>
      </c>
      <c r="T2380" s="569" t="s">
        <v>4259</v>
      </c>
      <c r="U2380" s="569" t="s">
        <v>4283</v>
      </c>
      <c r="V2380" s="569">
        <v>160</v>
      </c>
      <c r="W2380" s="569">
        <v>34</v>
      </c>
      <c r="X2380" s="568">
        <v>10000</v>
      </c>
      <c r="Y2380" s="573">
        <v>14</v>
      </c>
      <c r="Z2380" s="581" t="s">
        <v>450</v>
      </c>
      <c r="AA2380" s="581" t="s">
        <v>178</v>
      </c>
      <c r="AB2380" s="585">
        <v>50160</v>
      </c>
      <c r="AC2380" s="585" t="s">
        <v>164</v>
      </c>
      <c r="AD2380" s="585">
        <v>37482.736842105267</v>
      </c>
      <c r="AE2380" s="587">
        <v>0.03</v>
      </c>
      <c r="AF2380" s="661" t="str">
        <f t="shared" si="262"/>
        <v>2019-LTK-FRD-F250-028-05</v>
      </c>
      <c r="AG2380" s="661" t="str">
        <f>IF(AND($Y2380&gt;=32,(AI2380="I"),(Y2380&lt;&gt;"~"),(COUNTIF($AN$1:$AN2380,$AN2380)=1)),"TRUE","FALSE")</f>
        <v>FALSE</v>
      </c>
      <c r="AH2380" s="661" t="str">
        <f>IF(AND($Y2380&gt;=22, (AI2380&lt;&gt;"I"),(Y2380&lt;&gt;"~"),(COUNTIF($AN$1:$AN2380,$AN2380)=1)),"TRUE","FALSE")</f>
        <v>FALSE</v>
      </c>
      <c r="AI2380" s="661" t="str">
        <f t="shared" si="257"/>
        <v>II</v>
      </c>
      <c r="AJ2380" s="662" t="str">
        <f t="shared" si="258"/>
        <v>F250-028</v>
      </c>
      <c r="AK2380" s="662" t="str">
        <f t="shared" si="259"/>
        <v>LTK</v>
      </c>
      <c r="AL2380" s="662" t="str">
        <f t="shared" si="260"/>
        <v>FRD</v>
      </c>
      <c r="AM2380" s="662" t="str">
        <f t="shared" si="256"/>
        <v>F250-Crew Cab XLT-4WD-6-6'9"-12500-6.2L FFV-8-W2B-603A-160-34-E85-Unleaded</v>
      </c>
      <c r="AN2380" s="662" t="str">
        <f t="shared" si="261"/>
        <v>2019-LTK-FRD-F250-028</v>
      </c>
    </row>
    <row r="2381" spans="1:40" s="572" customFormat="1" ht="15">
      <c r="A2381" s="570" t="s">
        <v>4313</v>
      </c>
      <c r="B2381" s="573" t="s">
        <v>4314</v>
      </c>
      <c r="C2381" s="573" t="s">
        <v>269</v>
      </c>
      <c r="D2381" s="578" t="s">
        <v>270</v>
      </c>
      <c r="E2381" s="573" t="s">
        <v>3374</v>
      </c>
      <c r="F2381" s="573" t="s">
        <v>196</v>
      </c>
      <c r="G2381" s="573" t="s">
        <v>271</v>
      </c>
      <c r="H2381" s="573">
        <v>2019</v>
      </c>
      <c r="I2381" s="573" t="s">
        <v>4229</v>
      </c>
      <c r="J2381" s="573" t="s">
        <v>3805</v>
      </c>
      <c r="K2381" s="573" t="s">
        <v>752</v>
      </c>
      <c r="L2381" s="573">
        <v>6</v>
      </c>
      <c r="M2381" s="573">
        <v>0</v>
      </c>
      <c r="N2381" s="573" t="s">
        <v>157</v>
      </c>
      <c r="O2381" s="573">
        <v>2</v>
      </c>
      <c r="P2381" s="573" t="s">
        <v>3846</v>
      </c>
      <c r="Q2381" s="571">
        <v>12200</v>
      </c>
      <c r="R2381" s="573" t="s">
        <v>4231</v>
      </c>
      <c r="S2381" s="573">
        <v>8</v>
      </c>
      <c r="T2381" s="573" t="s">
        <v>4259</v>
      </c>
      <c r="U2381" s="573" t="s">
        <v>4283</v>
      </c>
      <c r="V2381" s="573">
        <v>176</v>
      </c>
      <c r="W2381" s="573">
        <v>48</v>
      </c>
      <c r="X2381" s="571">
        <v>10000</v>
      </c>
      <c r="Y2381" s="573">
        <v>14</v>
      </c>
      <c r="Z2381" s="579" t="s">
        <v>728</v>
      </c>
      <c r="AA2381" s="579" t="s">
        <v>1523</v>
      </c>
      <c r="AB2381" s="584">
        <v>55475</v>
      </c>
      <c r="AC2381" s="584" t="s">
        <v>164</v>
      </c>
      <c r="AD2381" s="584">
        <v>42391.15789473684</v>
      </c>
      <c r="AE2381" s="586">
        <v>0.03</v>
      </c>
      <c r="AF2381" s="661" t="str">
        <f t="shared" si="262"/>
        <v>2019-LTK-FRD-F250-087-05</v>
      </c>
      <c r="AG2381" s="661" t="str">
        <f>IF(AND($Y2381&gt;=32,(AI2381="I"),(Y2381&lt;&gt;"~"),(COUNTIF($AN$1:$AN2381,$AN2381)=1)),"TRUE","FALSE")</f>
        <v>FALSE</v>
      </c>
      <c r="AH2381" s="661" t="str">
        <f>IF(AND($Y2381&gt;=22, (AI2381&lt;&gt;"I"),(Y2381&lt;&gt;"~"),(COUNTIF($AN$1:$AN2381,$AN2381)=1)),"TRUE","FALSE")</f>
        <v>FALSE</v>
      </c>
      <c r="AI2381" s="661" t="str">
        <f t="shared" si="257"/>
        <v>II</v>
      </c>
      <c r="AJ2381" s="662" t="str">
        <f t="shared" si="258"/>
        <v>F250-087</v>
      </c>
      <c r="AK2381" s="662" t="str">
        <f t="shared" si="259"/>
        <v>LTK</v>
      </c>
      <c r="AL2381" s="662" t="str">
        <f t="shared" si="260"/>
        <v>FRD</v>
      </c>
      <c r="AM2381" s="662" t="str">
        <f t="shared" si="256"/>
        <v>F250-Crew Cab XLT-4WD-6-8'-12200-6.7L Diesel-8-W2B-603A-176-48-Diesel-BioDiesel</v>
      </c>
      <c r="AN2381" s="662" t="str">
        <f t="shared" si="261"/>
        <v>2019-LTK-FRD-F250-087</v>
      </c>
    </row>
    <row r="2382" spans="1:40" s="572" customFormat="1" ht="15">
      <c r="A2382" s="570" t="s">
        <v>4315</v>
      </c>
      <c r="B2382" s="569" t="s">
        <v>4316</v>
      </c>
      <c r="C2382" s="569" t="s">
        <v>269</v>
      </c>
      <c r="D2382" s="580" t="s">
        <v>270</v>
      </c>
      <c r="E2382" s="569" t="s">
        <v>3374</v>
      </c>
      <c r="F2382" s="569" t="s">
        <v>196</v>
      </c>
      <c r="G2382" s="569" t="s">
        <v>271</v>
      </c>
      <c r="H2382" s="569">
        <v>2019</v>
      </c>
      <c r="I2382" s="569" t="s">
        <v>4229</v>
      </c>
      <c r="J2382" s="569" t="s">
        <v>3805</v>
      </c>
      <c r="K2382" s="569" t="s">
        <v>752</v>
      </c>
      <c r="L2382" s="569">
        <v>6</v>
      </c>
      <c r="M2382" s="569">
        <v>0</v>
      </c>
      <c r="N2382" s="569" t="s">
        <v>157</v>
      </c>
      <c r="O2382" s="569">
        <v>2</v>
      </c>
      <c r="P2382" s="569" t="s">
        <v>3846</v>
      </c>
      <c r="Q2382" s="568">
        <v>12500</v>
      </c>
      <c r="R2382" s="569" t="s">
        <v>4235</v>
      </c>
      <c r="S2382" s="569">
        <v>8</v>
      </c>
      <c r="T2382" s="569" t="s">
        <v>4259</v>
      </c>
      <c r="U2382" s="569" t="s">
        <v>4283</v>
      </c>
      <c r="V2382" s="569">
        <v>176</v>
      </c>
      <c r="W2382" s="569">
        <v>48</v>
      </c>
      <c r="X2382" s="568">
        <v>10000</v>
      </c>
      <c r="Y2382" s="573">
        <v>14</v>
      </c>
      <c r="Z2382" s="581" t="s">
        <v>450</v>
      </c>
      <c r="AA2382" s="581" t="s">
        <v>178</v>
      </c>
      <c r="AB2382" s="585">
        <v>45905</v>
      </c>
      <c r="AC2382" s="585" t="s">
        <v>164</v>
      </c>
      <c r="AD2382" s="585">
        <v>33755.073684210525</v>
      </c>
      <c r="AE2382" s="587">
        <v>0.03</v>
      </c>
      <c r="AF2382" s="661" t="str">
        <f t="shared" si="262"/>
        <v>2019-LTK-FRD-F250-088-05</v>
      </c>
      <c r="AG2382" s="661" t="str">
        <f>IF(AND($Y2382&gt;=32,(AI2382="I"),(Y2382&lt;&gt;"~"),(COUNTIF($AN$1:$AN2382,$AN2382)=1)),"TRUE","FALSE")</f>
        <v>FALSE</v>
      </c>
      <c r="AH2382" s="661" t="str">
        <f>IF(AND($Y2382&gt;=22, (AI2382&lt;&gt;"I"),(Y2382&lt;&gt;"~"),(COUNTIF($AN$1:$AN2382,$AN2382)=1)),"TRUE","FALSE")</f>
        <v>FALSE</v>
      </c>
      <c r="AI2382" s="661" t="str">
        <f t="shared" si="257"/>
        <v>II</v>
      </c>
      <c r="AJ2382" s="662" t="str">
        <f t="shared" si="258"/>
        <v>F250-088</v>
      </c>
      <c r="AK2382" s="662" t="str">
        <f t="shared" si="259"/>
        <v>LTK</v>
      </c>
      <c r="AL2382" s="662" t="str">
        <f t="shared" si="260"/>
        <v>FRD</v>
      </c>
      <c r="AM2382" s="662" t="str">
        <f t="shared" si="256"/>
        <v>F250-Crew Cab XLT-4WD-6-8'-12500-6.2L FFV-8-W2B-603A-176-48-E85-Unleaded</v>
      </c>
      <c r="AN2382" s="662" t="str">
        <f t="shared" si="261"/>
        <v>2019-LTK-FRD-F250-088</v>
      </c>
    </row>
    <row r="2383" spans="1:40" s="572" customFormat="1" ht="15">
      <c r="A2383" s="570" t="s">
        <v>4317</v>
      </c>
      <c r="B2383" s="573" t="s">
        <v>4318</v>
      </c>
      <c r="C2383" s="573" t="s">
        <v>278</v>
      </c>
      <c r="D2383" s="578">
        <v>15</v>
      </c>
      <c r="E2383" s="573" t="s">
        <v>3374</v>
      </c>
      <c r="F2383" s="573" t="s">
        <v>196</v>
      </c>
      <c r="G2383" s="573" t="s">
        <v>271</v>
      </c>
      <c r="H2383" s="573">
        <v>2019</v>
      </c>
      <c r="I2383" s="573" t="s">
        <v>4229</v>
      </c>
      <c r="J2383" s="573" t="s">
        <v>3805</v>
      </c>
      <c r="K2383" s="573" t="s">
        <v>752</v>
      </c>
      <c r="L2383" s="573">
        <v>6</v>
      </c>
      <c r="M2383" s="573">
        <v>0</v>
      </c>
      <c r="N2383" s="573" t="s">
        <v>157</v>
      </c>
      <c r="O2383" s="573">
        <v>2</v>
      </c>
      <c r="P2383" s="573" t="s">
        <v>4230</v>
      </c>
      <c r="Q2383" s="571">
        <v>12200</v>
      </c>
      <c r="R2383" s="573" t="s">
        <v>4235</v>
      </c>
      <c r="S2383" s="573">
        <v>8</v>
      </c>
      <c r="T2383" s="573" t="s">
        <v>4259</v>
      </c>
      <c r="U2383" s="573" t="s">
        <v>4283</v>
      </c>
      <c r="V2383" s="573">
        <v>160</v>
      </c>
      <c r="W2383" s="573">
        <v>34</v>
      </c>
      <c r="X2383" s="571">
        <v>10000</v>
      </c>
      <c r="Y2383" s="573">
        <v>14</v>
      </c>
      <c r="Z2383" s="579" t="s">
        <v>450</v>
      </c>
      <c r="AA2383" s="579" t="s">
        <v>178</v>
      </c>
      <c r="AB2383" s="584">
        <v>46150</v>
      </c>
      <c r="AC2383" s="584" t="s">
        <v>164</v>
      </c>
      <c r="AD2383" s="584">
        <v>34150</v>
      </c>
      <c r="AE2383" s="586">
        <v>0.01</v>
      </c>
      <c r="AF2383" s="661" t="str">
        <f t="shared" si="262"/>
        <v>2019-LTK-FRD-F250-026-15</v>
      </c>
      <c r="AG2383" s="661" t="str">
        <f>IF(AND($Y2383&gt;=32,(AI2383="I"),(Y2383&lt;&gt;"~"),(COUNTIF($AN$1:$AN2383,$AN2383)=1)),"TRUE","FALSE")</f>
        <v>FALSE</v>
      </c>
      <c r="AH2383" s="661" t="str">
        <f>IF(AND($Y2383&gt;=22, (AI2383&lt;&gt;"I"),(Y2383&lt;&gt;"~"),(COUNTIF($AN$1:$AN2383,$AN2383)=1)),"TRUE","FALSE")</f>
        <v>FALSE</v>
      </c>
      <c r="AI2383" s="661" t="str">
        <f t="shared" si="257"/>
        <v>II</v>
      </c>
      <c r="AJ2383" s="662" t="str">
        <f t="shared" si="258"/>
        <v>F250-026</v>
      </c>
      <c r="AK2383" s="662" t="str">
        <f t="shared" si="259"/>
        <v>LTK</v>
      </c>
      <c r="AL2383" s="662" t="str">
        <f t="shared" si="260"/>
        <v>FRD</v>
      </c>
      <c r="AM2383" s="662" t="str">
        <f t="shared" si="256"/>
        <v>F250-Crew Cab XLT-4WD-6-6'9"-12200-6.2L FFV-8-W2B-603A-160-34-E85-Unleaded</v>
      </c>
      <c r="AN2383" s="662" t="str">
        <f t="shared" si="261"/>
        <v>2019-LTK-FRD-F250-026</v>
      </c>
    </row>
    <row r="2384" spans="1:40" s="572" customFormat="1" ht="15">
      <c r="A2384" s="570" t="s">
        <v>4319</v>
      </c>
      <c r="B2384" s="569" t="s">
        <v>4310</v>
      </c>
      <c r="C2384" s="569" t="s">
        <v>278</v>
      </c>
      <c r="D2384" s="580">
        <v>15</v>
      </c>
      <c r="E2384" s="569" t="s">
        <v>3374</v>
      </c>
      <c r="F2384" s="569" t="s">
        <v>196</v>
      </c>
      <c r="G2384" s="569" t="s">
        <v>271</v>
      </c>
      <c r="H2384" s="569">
        <v>2019</v>
      </c>
      <c r="I2384" s="569" t="s">
        <v>4229</v>
      </c>
      <c r="J2384" s="569" t="s">
        <v>3805</v>
      </c>
      <c r="K2384" s="569" t="s">
        <v>752</v>
      </c>
      <c r="L2384" s="569">
        <v>6</v>
      </c>
      <c r="M2384" s="569">
        <v>0</v>
      </c>
      <c r="N2384" s="569" t="s">
        <v>157</v>
      </c>
      <c r="O2384" s="569">
        <v>2</v>
      </c>
      <c r="P2384" s="569" t="s">
        <v>4230</v>
      </c>
      <c r="Q2384" s="568">
        <v>12200</v>
      </c>
      <c r="R2384" s="569" t="s">
        <v>4231</v>
      </c>
      <c r="S2384" s="569">
        <v>8</v>
      </c>
      <c r="T2384" s="569" t="s">
        <v>4259</v>
      </c>
      <c r="U2384" s="569" t="s">
        <v>4283</v>
      </c>
      <c r="V2384" s="569">
        <v>160</v>
      </c>
      <c r="W2384" s="569">
        <v>35</v>
      </c>
      <c r="X2384" s="568">
        <v>10000</v>
      </c>
      <c r="Y2384" s="569">
        <v>15</v>
      </c>
      <c r="Z2384" s="581" t="s">
        <v>728</v>
      </c>
      <c r="AA2384" s="581" t="s">
        <v>1523</v>
      </c>
      <c r="AB2384" s="585">
        <v>55270</v>
      </c>
      <c r="AC2384" s="585" t="s">
        <v>164</v>
      </c>
      <c r="AD2384" s="585">
        <v>42450</v>
      </c>
      <c r="AE2384" s="587">
        <v>0.01</v>
      </c>
      <c r="AF2384" s="661" t="str">
        <f t="shared" si="262"/>
        <v>2019-LTK-FRD-F250-027-15</v>
      </c>
      <c r="AG2384" s="661" t="str">
        <f>IF(AND($Y2384&gt;=32,(AI2384="I"),(Y2384&lt;&gt;"~"),(COUNTIF($AN$1:$AN2384,$AN2384)=1)),"TRUE","FALSE")</f>
        <v>FALSE</v>
      </c>
      <c r="AH2384" s="661" t="str">
        <f>IF(AND($Y2384&gt;=22, (AI2384&lt;&gt;"I"),(Y2384&lt;&gt;"~"),(COUNTIF($AN$1:$AN2384,$AN2384)=1)),"TRUE","FALSE")</f>
        <v>FALSE</v>
      </c>
      <c r="AI2384" s="661" t="str">
        <f t="shared" si="257"/>
        <v>II</v>
      </c>
      <c r="AJ2384" s="662" t="str">
        <f t="shared" si="258"/>
        <v>F250-027</v>
      </c>
      <c r="AK2384" s="662" t="str">
        <f t="shared" si="259"/>
        <v>LTK</v>
      </c>
      <c r="AL2384" s="662" t="str">
        <f t="shared" si="260"/>
        <v>FRD</v>
      </c>
      <c r="AM2384" s="662" t="str">
        <f t="shared" si="256"/>
        <v>F250-Crew Cab XLT-4WD-6-6'9"-12200-6.7L Diesel-8-W2B-603A-160-35-Diesel-BioDiesel</v>
      </c>
      <c r="AN2384" s="662" t="str">
        <f t="shared" si="261"/>
        <v>2019-LTK-FRD-F250-027</v>
      </c>
    </row>
    <row r="2385" spans="1:40" s="572" customFormat="1" ht="15">
      <c r="A2385" s="570" t="s">
        <v>4320</v>
      </c>
      <c r="B2385" s="573" t="s">
        <v>4321</v>
      </c>
      <c r="C2385" s="573" t="s">
        <v>278</v>
      </c>
      <c r="D2385" s="578">
        <v>15</v>
      </c>
      <c r="E2385" s="573" t="s">
        <v>3374</v>
      </c>
      <c r="F2385" s="573" t="s">
        <v>196</v>
      </c>
      <c r="G2385" s="573" t="s">
        <v>271</v>
      </c>
      <c r="H2385" s="573">
        <v>2019</v>
      </c>
      <c r="I2385" s="573" t="s">
        <v>4229</v>
      </c>
      <c r="J2385" s="573" t="s">
        <v>3805</v>
      </c>
      <c r="K2385" s="573" t="s">
        <v>752</v>
      </c>
      <c r="L2385" s="573">
        <v>6</v>
      </c>
      <c r="M2385" s="573">
        <v>0</v>
      </c>
      <c r="N2385" s="573" t="s">
        <v>157</v>
      </c>
      <c r="O2385" s="573">
        <v>2</v>
      </c>
      <c r="P2385" s="573" t="s">
        <v>3846</v>
      </c>
      <c r="Q2385" s="571">
        <v>12200</v>
      </c>
      <c r="R2385" s="573" t="s">
        <v>4235</v>
      </c>
      <c r="S2385" s="573">
        <v>8</v>
      </c>
      <c r="T2385" s="573" t="s">
        <v>4259</v>
      </c>
      <c r="U2385" s="573" t="s">
        <v>4283</v>
      </c>
      <c r="V2385" s="573">
        <v>176</v>
      </c>
      <c r="W2385" s="573">
        <v>48</v>
      </c>
      <c r="X2385" s="571">
        <v>10000</v>
      </c>
      <c r="Y2385" s="573">
        <v>14</v>
      </c>
      <c r="Z2385" s="579" t="s">
        <v>450</v>
      </c>
      <c r="AA2385" s="579" t="s">
        <v>178</v>
      </c>
      <c r="AB2385" s="584">
        <v>46355</v>
      </c>
      <c r="AC2385" s="584" t="s">
        <v>164</v>
      </c>
      <c r="AD2385" s="584">
        <v>34400</v>
      </c>
      <c r="AE2385" s="586">
        <v>0.01</v>
      </c>
      <c r="AF2385" s="661" t="str">
        <f t="shared" si="262"/>
        <v>2019-LTK-FRD-F250-030-15</v>
      </c>
      <c r="AG2385" s="661" t="str">
        <f>IF(AND($Y2385&gt;=32,(AI2385="I"),(Y2385&lt;&gt;"~"),(COUNTIF($AN$1:$AN2385,$AN2385)=1)),"TRUE","FALSE")</f>
        <v>FALSE</v>
      </c>
      <c r="AH2385" s="661" t="str">
        <f>IF(AND($Y2385&gt;=22, (AI2385&lt;&gt;"I"),(Y2385&lt;&gt;"~"),(COUNTIF($AN$1:$AN2385,$AN2385)=1)),"TRUE","FALSE")</f>
        <v>FALSE</v>
      </c>
      <c r="AI2385" s="661" t="str">
        <f t="shared" si="257"/>
        <v>II</v>
      </c>
      <c r="AJ2385" s="662" t="str">
        <f t="shared" si="258"/>
        <v>F250-030</v>
      </c>
      <c r="AK2385" s="662" t="str">
        <f t="shared" si="259"/>
        <v>LTK</v>
      </c>
      <c r="AL2385" s="662" t="str">
        <f t="shared" si="260"/>
        <v>FRD</v>
      </c>
      <c r="AM2385" s="662" t="str">
        <f t="shared" si="256"/>
        <v>F250-Crew Cab XLT-4WD-6-8'-12200-6.2L FFV-8-W2B-603A-176-48-E85-Unleaded</v>
      </c>
      <c r="AN2385" s="662" t="str">
        <f t="shared" si="261"/>
        <v>2019-LTK-FRD-F250-030</v>
      </c>
    </row>
    <row r="2386" spans="1:40" s="572" customFormat="1" ht="15">
      <c r="A2386" s="570" t="s">
        <v>4322</v>
      </c>
      <c r="B2386" s="569" t="s">
        <v>4323</v>
      </c>
      <c r="C2386" s="569" t="s">
        <v>278</v>
      </c>
      <c r="D2386" s="580">
        <v>15</v>
      </c>
      <c r="E2386" s="569" t="s">
        <v>3374</v>
      </c>
      <c r="F2386" s="569" t="s">
        <v>196</v>
      </c>
      <c r="G2386" s="569" t="s">
        <v>271</v>
      </c>
      <c r="H2386" s="569">
        <v>2019</v>
      </c>
      <c r="I2386" s="569" t="s">
        <v>4229</v>
      </c>
      <c r="J2386" s="569" t="s">
        <v>3805</v>
      </c>
      <c r="K2386" s="569" t="s">
        <v>752</v>
      </c>
      <c r="L2386" s="569">
        <v>6</v>
      </c>
      <c r="M2386" s="569">
        <v>0</v>
      </c>
      <c r="N2386" s="569" t="s">
        <v>157</v>
      </c>
      <c r="O2386" s="569">
        <v>2</v>
      </c>
      <c r="P2386" s="569" t="s">
        <v>3846</v>
      </c>
      <c r="Q2386" s="568">
        <v>12200</v>
      </c>
      <c r="R2386" s="569" t="s">
        <v>4231</v>
      </c>
      <c r="S2386" s="569">
        <v>8</v>
      </c>
      <c r="T2386" s="569" t="s">
        <v>4259</v>
      </c>
      <c r="U2386" s="569" t="s">
        <v>4283</v>
      </c>
      <c r="V2386" s="569">
        <v>176</v>
      </c>
      <c r="W2386" s="569">
        <v>35</v>
      </c>
      <c r="X2386" s="568">
        <v>10000</v>
      </c>
      <c r="Y2386" s="569">
        <v>14</v>
      </c>
      <c r="Z2386" s="581" t="s">
        <v>728</v>
      </c>
      <c r="AA2386" s="581" t="s">
        <v>1523</v>
      </c>
      <c r="AB2386" s="585">
        <v>55475</v>
      </c>
      <c r="AC2386" s="585" t="s">
        <v>164</v>
      </c>
      <c r="AD2386" s="585">
        <v>42650</v>
      </c>
      <c r="AE2386" s="587">
        <v>0.01</v>
      </c>
      <c r="AF2386" s="661" t="str">
        <f t="shared" si="262"/>
        <v>2019-LTK-FRD-F250-031-15</v>
      </c>
      <c r="AG2386" s="661" t="str">
        <f>IF(AND($Y2386&gt;=32,(AI2386="I"),(Y2386&lt;&gt;"~"),(COUNTIF($AN$1:$AN2386,$AN2386)=1)),"TRUE","FALSE")</f>
        <v>FALSE</v>
      </c>
      <c r="AH2386" s="661" t="str">
        <f>IF(AND($Y2386&gt;=22, (AI2386&lt;&gt;"I"),(Y2386&lt;&gt;"~"),(COUNTIF($AN$1:$AN2386,$AN2386)=1)),"TRUE","FALSE")</f>
        <v>FALSE</v>
      </c>
      <c r="AI2386" s="661" t="str">
        <f t="shared" si="257"/>
        <v>II</v>
      </c>
      <c r="AJ2386" s="662" t="str">
        <f t="shared" si="258"/>
        <v>F250-031</v>
      </c>
      <c r="AK2386" s="662" t="str">
        <f t="shared" si="259"/>
        <v>LTK</v>
      </c>
      <c r="AL2386" s="662" t="str">
        <f t="shared" si="260"/>
        <v>FRD</v>
      </c>
      <c r="AM2386" s="662" t="str">
        <f t="shared" si="256"/>
        <v>F250-Crew Cab XLT-4WD-6-8'-12200-6.7L Diesel-8-W2B-603A-176-35-Diesel-BioDiesel</v>
      </c>
      <c r="AN2386" s="662" t="str">
        <f t="shared" si="261"/>
        <v>2019-LTK-FRD-F250-031</v>
      </c>
    </row>
    <row r="2387" spans="1:40" s="572" customFormat="1" ht="15">
      <c r="A2387" s="570" t="s">
        <v>4324</v>
      </c>
      <c r="B2387" s="573" t="s">
        <v>4318</v>
      </c>
      <c r="C2387" s="573" t="s">
        <v>287</v>
      </c>
      <c r="D2387" s="578">
        <v>26</v>
      </c>
      <c r="E2387" s="573" t="s">
        <v>3374</v>
      </c>
      <c r="F2387" s="573" t="s">
        <v>196</v>
      </c>
      <c r="G2387" s="573" t="s">
        <v>271</v>
      </c>
      <c r="H2387" s="573">
        <v>2019</v>
      </c>
      <c r="I2387" s="573" t="s">
        <v>4229</v>
      </c>
      <c r="J2387" s="573" t="s">
        <v>3805</v>
      </c>
      <c r="K2387" s="573" t="s">
        <v>752</v>
      </c>
      <c r="L2387" s="573">
        <v>6</v>
      </c>
      <c r="M2387" s="573">
        <v>0</v>
      </c>
      <c r="N2387" s="573" t="s">
        <v>157</v>
      </c>
      <c r="O2387" s="573">
        <v>2</v>
      </c>
      <c r="P2387" s="573" t="s">
        <v>4230</v>
      </c>
      <c r="Q2387" s="571">
        <v>12200</v>
      </c>
      <c r="R2387" s="573" t="s">
        <v>4235</v>
      </c>
      <c r="S2387" s="573">
        <v>8</v>
      </c>
      <c r="T2387" s="573" t="s">
        <v>4259</v>
      </c>
      <c r="U2387" s="573" t="s">
        <v>4283</v>
      </c>
      <c r="V2387" s="573">
        <v>160</v>
      </c>
      <c r="W2387" s="573">
        <v>34</v>
      </c>
      <c r="X2387" s="571">
        <v>10000</v>
      </c>
      <c r="Y2387" s="573">
        <v>14</v>
      </c>
      <c r="Z2387" s="579" t="s">
        <v>450</v>
      </c>
      <c r="AA2387" s="579" t="s">
        <v>178</v>
      </c>
      <c r="AB2387" s="584">
        <v>45700</v>
      </c>
      <c r="AC2387" s="584" t="s">
        <v>164</v>
      </c>
      <c r="AD2387" s="584">
        <v>34241</v>
      </c>
      <c r="AE2387" s="586">
        <v>0.05</v>
      </c>
      <c r="AF2387" s="661" t="str">
        <f t="shared" si="262"/>
        <v>2019-LTK-FRD-F250-026-26</v>
      </c>
      <c r="AG2387" s="661" t="str">
        <f>IF(AND($Y2387&gt;=32,(AI2387="I"),(Y2387&lt;&gt;"~"),(COUNTIF($AN$1:$AN2387,$AN2387)=1)),"TRUE","FALSE")</f>
        <v>FALSE</v>
      </c>
      <c r="AH2387" s="661" t="str">
        <f>IF(AND($Y2387&gt;=22, (AI2387&lt;&gt;"I"),(Y2387&lt;&gt;"~"),(COUNTIF($AN$1:$AN2387,$AN2387)=1)),"TRUE","FALSE")</f>
        <v>FALSE</v>
      </c>
      <c r="AI2387" s="661" t="str">
        <f t="shared" si="257"/>
        <v>II</v>
      </c>
      <c r="AJ2387" s="662" t="str">
        <f t="shared" si="258"/>
        <v>F250-026</v>
      </c>
      <c r="AK2387" s="662" t="str">
        <f t="shared" si="259"/>
        <v>LTK</v>
      </c>
      <c r="AL2387" s="662" t="str">
        <f t="shared" si="260"/>
        <v>FRD</v>
      </c>
      <c r="AM2387" s="662" t="str">
        <f t="shared" si="256"/>
        <v>F250-Crew Cab XLT-4WD-6-6'9"-12200-6.2L FFV-8-W2B-603A-160-34-E85-Unleaded</v>
      </c>
      <c r="AN2387" s="662" t="str">
        <f t="shared" si="261"/>
        <v>2019-LTK-FRD-F250-026</v>
      </c>
    </row>
    <row r="2388" spans="1:40" s="572" customFormat="1" ht="15">
      <c r="A2388" s="570" t="s">
        <v>4325</v>
      </c>
      <c r="B2388" s="569" t="s">
        <v>4310</v>
      </c>
      <c r="C2388" s="569" t="s">
        <v>287</v>
      </c>
      <c r="D2388" s="580">
        <v>26</v>
      </c>
      <c r="E2388" s="569" t="s">
        <v>3374</v>
      </c>
      <c r="F2388" s="569" t="s">
        <v>196</v>
      </c>
      <c r="G2388" s="569" t="s">
        <v>271</v>
      </c>
      <c r="H2388" s="569">
        <v>2019</v>
      </c>
      <c r="I2388" s="569" t="s">
        <v>4229</v>
      </c>
      <c r="J2388" s="569" t="s">
        <v>3805</v>
      </c>
      <c r="K2388" s="569" t="s">
        <v>752</v>
      </c>
      <c r="L2388" s="569">
        <v>6</v>
      </c>
      <c r="M2388" s="569">
        <v>0</v>
      </c>
      <c r="N2388" s="569" t="s">
        <v>157</v>
      </c>
      <c r="O2388" s="569">
        <v>2</v>
      </c>
      <c r="P2388" s="569" t="s">
        <v>4230</v>
      </c>
      <c r="Q2388" s="568">
        <v>12200</v>
      </c>
      <c r="R2388" s="569" t="s">
        <v>4231</v>
      </c>
      <c r="S2388" s="569">
        <v>8</v>
      </c>
      <c r="T2388" s="569" t="s">
        <v>4259</v>
      </c>
      <c r="U2388" s="569" t="s">
        <v>4283</v>
      </c>
      <c r="V2388" s="569">
        <v>160</v>
      </c>
      <c r="W2388" s="569">
        <v>35</v>
      </c>
      <c r="X2388" s="568">
        <v>10000</v>
      </c>
      <c r="Y2388" s="569">
        <v>15</v>
      </c>
      <c r="Z2388" s="581" t="s">
        <v>728</v>
      </c>
      <c r="AA2388" s="581" t="s">
        <v>1523</v>
      </c>
      <c r="AB2388" s="585">
        <v>54695</v>
      </c>
      <c r="AC2388" s="585" t="s">
        <v>164</v>
      </c>
      <c r="AD2388" s="585">
        <v>42436</v>
      </c>
      <c r="AE2388" s="587">
        <v>0.05</v>
      </c>
      <c r="AF2388" s="661" t="str">
        <f t="shared" si="262"/>
        <v>2019-LTK-FRD-F250-027-26</v>
      </c>
      <c r="AG2388" s="661" t="str">
        <f>IF(AND($Y2388&gt;=32,(AI2388="I"),(Y2388&lt;&gt;"~"),(COUNTIF($AN$1:$AN2388,$AN2388)=1)),"TRUE","FALSE")</f>
        <v>FALSE</v>
      </c>
      <c r="AH2388" s="661" t="str">
        <f>IF(AND($Y2388&gt;=22, (AI2388&lt;&gt;"I"),(Y2388&lt;&gt;"~"),(COUNTIF($AN$1:$AN2388,$AN2388)=1)),"TRUE","FALSE")</f>
        <v>FALSE</v>
      </c>
      <c r="AI2388" s="661" t="str">
        <f t="shared" si="257"/>
        <v>II</v>
      </c>
      <c r="AJ2388" s="662" t="str">
        <f t="shared" si="258"/>
        <v>F250-027</v>
      </c>
      <c r="AK2388" s="662" t="str">
        <f t="shared" si="259"/>
        <v>LTK</v>
      </c>
      <c r="AL2388" s="662" t="str">
        <f t="shared" si="260"/>
        <v>FRD</v>
      </c>
      <c r="AM2388" s="662" t="str">
        <f t="shared" si="256"/>
        <v>F250-Crew Cab XLT-4WD-6-6'9"-12200-6.7L Diesel-8-W2B-603A-160-35-Diesel-BioDiesel</v>
      </c>
      <c r="AN2388" s="662" t="str">
        <f t="shared" si="261"/>
        <v>2019-LTK-FRD-F250-027</v>
      </c>
    </row>
    <row r="2389" spans="1:40" s="572" customFormat="1" ht="15">
      <c r="A2389" s="570" t="s">
        <v>4326</v>
      </c>
      <c r="B2389" s="573" t="s">
        <v>4321</v>
      </c>
      <c r="C2389" s="573" t="s">
        <v>287</v>
      </c>
      <c r="D2389" s="578">
        <v>26</v>
      </c>
      <c r="E2389" s="573" t="s">
        <v>3374</v>
      </c>
      <c r="F2389" s="573" t="s">
        <v>196</v>
      </c>
      <c r="G2389" s="573" t="s">
        <v>271</v>
      </c>
      <c r="H2389" s="573">
        <v>2019</v>
      </c>
      <c r="I2389" s="573" t="s">
        <v>4229</v>
      </c>
      <c r="J2389" s="573" t="s">
        <v>3805</v>
      </c>
      <c r="K2389" s="573" t="s">
        <v>752</v>
      </c>
      <c r="L2389" s="573">
        <v>6</v>
      </c>
      <c r="M2389" s="573">
        <v>0</v>
      </c>
      <c r="N2389" s="573" t="s">
        <v>157</v>
      </c>
      <c r="O2389" s="573">
        <v>2</v>
      </c>
      <c r="P2389" s="573" t="s">
        <v>3846</v>
      </c>
      <c r="Q2389" s="571">
        <v>12200</v>
      </c>
      <c r="R2389" s="573" t="s">
        <v>4235</v>
      </c>
      <c r="S2389" s="573">
        <v>8</v>
      </c>
      <c r="T2389" s="573" t="s">
        <v>4259</v>
      </c>
      <c r="U2389" s="573" t="s">
        <v>4283</v>
      </c>
      <c r="V2389" s="573">
        <v>176</v>
      </c>
      <c r="W2389" s="573">
        <v>48</v>
      </c>
      <c r="X2389" s="571">
        <v>10000</v>
      </c>
      <c r="Y2389" s="573">
        <v>14</v>
      </c>
      <c r="Z2389" s="579" t="s">
        <v>450</v>
      </c>
      <c r="AA2389" s="579" t="s">
        <v>178</v>
      </c>
      <c r="AB2389" s="584">
        <v>45905</v>
      </c>
      <c r="AC2389" s="584" t="s">
        <v>164</v>
      </c>
      <c r="AD2389" s="584">
        <v>34433</v>
      </c>
      <c r="AE2389" s="586">
        <v>0.05</v>
      </c>
      <c r="AF2389" s="661" t="str">
        <f t="shared" si="262"/>
        <v>2019-LTK-FRD-F250-030-26</v>
      </c>
      <c r="AG2389" s="661" t="str">
        <f>IF(AND($Y2389&gt;=32,(AI2389="I"),(Y2389&lt;&gt;"~"),(COUNTIF($AN$1:$AN2389,$AN2389)=1)),"TRUE","FALSE")</f>
        <v>FALSE</v>
      </c>
      <c r="AH2389" s="661" t="str">
        <f>IF(AND($Y2389&gt;=22, (AI2389&lt;&gt;"I"),(Y2389&lt;&gt;"~"),(COUNTIF($AN$1:$AN2389,$AN2389)=1)),"TRUE","FALSE")</f>
        <v>FALSE</v>
      </c>
      <c r="AI2389" s="661" t="str">
        <f t="shared" si="257"/>
        <v>II</v>
      </c>
      <c r="AJ2389" s="662" t="str">
        <f t="shared" si="258"/>
        <v>F250-030</v>
      </c>
      <c r="AK2389" s="662" t="str">
        <f t="shared" si="259"/>
        <v>LTK</v>
      </c>
      <c r="AL2389" s="662" t="str">
        <f t="shared" si="260"/>
        <v>FRD</v>
      </c>
      <c r="AM2389" s="662" t="str">
        <f t="shared" si="256"/>
        <v>F250-Crew Cab XLT-4WD-6-8'-12200-6.2L FFV-8-W2B-603A-176-48-E85-Unleaded</v>
      </c>
      <c r="AN2389" s="662" t="str">
        <f t="shared" si="261"/>
        <v>2019-LTK-FRD-F250-030</v>
      </c>
    </row>
    <row r="2390" spans="1:40" s="572" customFormat="1" ht="15">
      <c r="A2390" s="570" t="s">
        <v>4327</v>
      </c>
      <c r="B2390" s="569" t="s">
        <v>4323</v>
      </c>
      <c r="C2390" s="569" t="s">
        <v>287</v>
      </c>
      <c r="D2390" s="580">
        <v>26</v>
      </c>
      <c r="E2390" s="569" t="s">
        <v>3374</v>
      </c>
      <c r="F2390" s="569" t="s">
        <v>196</v>
      </c>
      <c r="G2390" s="569" t="s">
        <v>271</v>
      </c>
      <c r="H2390" s="569">
        <v>2019</v>
      </c>
      <c r="I2390" s="569" t="s">
        <v>4229</v>
      </c>
      <c r="J2390" s="569" t="s">
        <v>3805</v>
      </c>
      <c r="K2390" s="569" t="s">
        <v>752</v>
      </c>
      <c r="L2390" s="569">
        <v>6</v>
      </c>
      <c r="M2390" s="569">
        <v>0</v>
      </c>
      <c r="N2390" s="569" t="s">
        <v>157</v>
      </c>
      <c r="O2390" s="569">
        <v>2</v>
      </c>
      <c r="P2390" s="569" t="s">
        <v>3846</v>
      </c>
      <c r="Q2390" s="568">
        <v>12200</v>
      </c>
      <c r="R2390" s="569" t="s">
        <v>4231</v>
      </c>
      <c r="S2390" s="569">
        <v>8</v>
      </c>
      <c r="T2390" s="569" t="s">
        <v>4259</v>
      </c>
      <c r="U2390" s="569" t="s">
        <v>4283</v>
      </c>
      <c r="V2390" s="569">
        <v>176</v>
      </c>
      <c r="W2390" s="569">
        <v>35</v>
      </c>
      <c r="X2390" s="568">
        <v>10000</v>
      </c>
      <c r="Y2390" s="569">
        <v>14</v>
      </c>
      <c r="Z2390" s="581" t="s">
        <v>728</v>
      </c>
      <c r="AA2390" s="581" t="s">
        <v>1523</v>
      </c>
      <c r="AB2390" s="585">
        <v>54900</v>
      </c>
      <c r="AC2390" s="585" t="s">
        <v>164</v>
      </c>
      <c r="AD2390" s="585">
        <v>42627</v>
      </c>
      <c r="AE2390" s="587">
        <v>0.05</v>
      </c>
      <c r="AF2390" s="661" t="str">
        <f t="shared" si="262"/>
        <v>2019-LTK-FRD-F250-031-26</v>
      </c>
      <c r="AG2390" s="661" t="str">
        <f>IF(AND($Y2390&gt;=32,(AI2390="I"),(Y2390&lt;&gt;"~"),(COUNTIF($AN$1:$AN2390,$AN2390)=1)),"TRUE","FALSE")</f>
        <v>FALSE</v>
      </c>
      <c r="AH2390" s="661" t="str">
        <f>IF(AND($Y2390&gt;=22, (AI2390&lt;&gt;"I"),(Y2390&lt;&gt;"~"),(COUNTIF($AN$1:$AN2390,$AN2390)=1)),"TRUE","FALSE")</f>
        <v>FALSE</v>
      </c>
      <c r="AI2390" s="661" t="str">
        <f t="shared" si="257"/>
        <v>II</v>
      </c>
      <c r="AJ2390" s="662" t="str">
        <f t="shared" si="258"/>
        <v>F250-031</v>
      </c>
      <c r="AK2390" s="662" t="str">
        <f t="shared" si="259"/>
        <v>LTK</v>
      </c>
      <c r="AL2390" s="662" t="str">
        <f t="shared" si="260"/>
        <v>FRD</v>
      </c>
      <c r="AM2390" s="662" t="str">
        <f t="shared" si="256"/>
        <v>F250-Crew Cab XLT-4WD-6-8'-12200-6.7L Diesel-8-W2B-603A-176-35-Diesel-BioDiesel</v>
      </c>
      <c r="AN2390" s="662" t="str">
        <f t="shared" si="261"/>
        <v>2019-LTK-FRD-F250-031</v>
      </c>
    </row>
    <row r="2391" spans="1:40" s="572" customFormat="1" ht="15">
      <c r="A2391" s="570" t="s">
        <v>4328</v>
      </c>
      <c r="B2391" s="573" t="s">
        <v>4310</v>
      </c>
      <c r="C2391" s="573" t="s">
        <v>280</v>
      </c>
      <c r="D2391" s="578">
        <v>27</v>
      </c>
      <c r="E2391" s="573" t="s">
        <v>3374</v>
      </c>
      <c r="F2391" s="573" t="s">
        <v>196</v>
      </c>
      <c r="G2391" s="573" t="s">
        <v>271</v>
      </c>
      <c r="H2391" s="573">
        <v>2019</v>
      </c>
      <c r="I2391" s="573" t="s">
        <v>4229</v>
      </c>
      <c r="J2391" s="573" t="s">
        <v>3805</v>
      </c>
      <c r="K2391" s="573" t="s">
        <v>752</v>
      </c>
      <c r="L2391" s="573">
        <v>6</v>
      </c>
      <c r="M2391" s="573">
        <v>0</v>
      </c>
      <c r="N2391" s="573" t="s">
        <v>157</v>
      </c>
      <c r="O2391" s="573">
        <v>2</v>
      </c>
      <c r="P2391" s="573" t="s">
        <v>4230</v>
      </c>
      <c r="Q2391" s="571">
        <v>12200</v>
      </c>
      <c r="R2391" s="573" t="s">
        <v>4231</v>
      </c>
      <c r="S2391" s="573">
        <v>8</v>
      </c>
      <c r="T2391" s="573" t="s">
        <v>4259</v>
      </c>
      <c r="U2391" s="573" t="s">
        <v>4283</v>
      </c>
      <c r="V2391" s="573">
        <v>160</v>
      </c>
      <c r="W2391" s="573">
        <v>34</v>
      </c>
      <c r="X2391" s="571">
        <v>10000</v>
      </c>
      <c r="Y2391" s="573">
        <v>14</v>
      </c>
      <c r="Z2391" s="579" t="s">
        <v>728</v>
      </c>
      <c r="AA2391" s="579" t="s">
        <v>1523</v>
      </c>
      <c r="AB2391" s="584">
        <v>55270</v>
      </c>
      <c r="AC2391" s="584" t="s">
        <v>164</v>
      </c>
      <c r="AD2391" s="584">
        <v>42202.736842105267</v>
      </c>
      <c r="AE2391" s="586">
        <v>0.03</v>
      </c>
      <c r="AF2391" s="661" t="str">
        <f t="shared" si="262"/>
        <v>2019-LTK-FRD-F250-027-27</v>
      </c>
      <c r="AG2391" s="661" t="str">
        <f>IF(AND($Y2391&gt;=32,(AI2391="I"),(Y2391&lt;&gt;"~"),(COUNTIF($AN$1:$AN2391,$AN2391)=1)),"TRUE","FALSE")</f>
        <v>FALSE</v>
      </c>
      <c r="AH2391" s="661" t="str">
        <f>IF(AND($Y2391&gt;=22, (AI2391&lt;&gt;"I"),(Y2391&lt;&gt;"~"),(COUNTIF($AN$1:$AN2391,$AN2391)=1)),"TRUE","FALSE")</f>
        <v>FALSE</v>
      </c>
      <c r="AI2391" s="661" t="str">
        <f t="shared" si="257"/>
        <v>II</v>
      </c>
      <c r="AJ2391" s="662" t="str">
        <f t="shared" si="258"/>
        <v>F250-027</v>
      </c>
      <c r="AK2391" s="662" t="str">
        <f t="shared" si="259"/>
        <v>LTK</v>
      </c>
      <c r="AL2391" s="662" t="str">
        <f t="shared" si="260"/>
        <v>FRD</v>
      </c>
      <c r="AM2391" s="662" t="str">
        <f t="shared" si="256"/>
        <v>F250-Crew Cab XLT-4WD-6-6'9"-12200-6.7L Diesel-8-W2B-603A-160-34-Diesel-BioDiesel</v>
      </c>
      <c r="AN2391" s="662" t="str">
        <f t="shared" si="261"/>
        <v>2019-LTK-FRD-F250-027</v>
      </c>
    </row>
    <row r="2392" spans="1:40" s="572" customFormat="1" ht="15">
      <c r="A2392" s="570" t="s">
        <v>4329</v>
      </c>
      <c r="B2392" s="569" t="s">
        <v>4312</v>
      </c>
      <c r="C2392" s="569" t="s">
        <v>280</v>
      </c>
      <c r="D2392" s="580">
        <v>27</v>
      </c>
      <c r="E2392" s="569" t="s">
        <v>3374</v>
      </c>
      <c r="F2392" s="569" t="s">
        <v>196</v>
      </c>
      <c r="G2392" s="569" t="s">
        <v>271</v>
      </c>
      <c r="H2392" s="569">
        <v>2019</v>
      </c>
      <c r="I2392" s="569" t="s">
        <v>4229</v>
      </c>
      <c r="J2392" s="569" t="s">
        <v>3805</v>
      </c>
      <c r="K2392" s="569" t="s">
        <v>752</v>
      </c>
      <c r="L2392" s="569">
        <v>6</v>
      </c>
      <c r="M2392" s="569">
        <v>0</v>
      </c>
      <c r="N2392" s="569" t="s">
        <v>157</v>
      </c>
      <c r="O2392" s="569">
        <v>2</v>
      </c>
      <c r="P2392" s="569" t="s">
        <v>4230</v>
      </c>
      <c r="Q2392" s="568">
        <v>12500</v>
      </c>
      <c r="R2392" s="569" t="s">
        <v>4235</v>
      </c>
      <c r="S2392" s="569">
        <v>8</v>
      </c>
      <c r="T2392" s="569" t="s">
        <v>4259</v>
      </c>
      <c r="U2392" s="569" t="s">
        <v>4283</v>
      </c>
      <c r="V2392" s="569">
        <v>160</v>
      </c>
      <c r="W2392" s="569">
        <v>34</v>
      </c>
      <c r="X2392" s="568">
        <v>10000</v>
      </c>
      <c r="Y2392" s="573">
        <v>14</v>
      </c>
      <c r="Z2392" s="581" t="s">
        <v>450</v>
      </c>
      <c r="AA2392" s="581" t="s">
        <v>178</v>
      </c>
      <c r="AB2392" s="585">
        <v>50160</v>
      </c>
      <c r="AC2392" s="585" t="s">
        <v>164</v>
      </c>
      <c r="AD2392" s="585">
        <v>37482.736842105267</v>
      </c>
      <c r="AE2392" s="587">
        <v>0.03</v>
      </c>
      <c r="AF2392" s="661" t="str">
        <f t="shared" si="262"/>
        <v>2019-LTK-FRD-F250-028-27</v>
      </c>
      <c r="AG2392" s="661" t="str">
        <f>IF(AND($Y2392&gt;=32,(AI2392="I"),(Y2392&lt;&gt;"~"),(COUNTIF($AN$1:$AN2392,$AN2392)=1)),"TRUE","FALSE")</f>
        <v>FALSE</v>
      </c>
      <c r="AH2392" s="661" t="str">
        <f>IF(AND($Y2392&gt;=22, (AI2392&lt;&gt;"I"),(Y2392&lt;&gt;"~"),(COUNTIF($AN$1:$AN2392,$AN2392)=1)),"TRUE","FALSE")</f>
        <v>FALSE</v>
      </c>
      <c r="AI2392" s="661" t="str">
        <f t="shared" si="257"/>
        <v>II</v>
      </c>
      <c r="AJ2392" s="662" t="str">
        <f t="shared" si="258"/>
        <v>F250-028</v>
      </c>
      <c r="AK2392" s="662" t="str">
        <f t="shared" si="259"/>
        <v>LTK</v>
      </c>
      <c r="AL2392" s="662" t="str">
        <f t="shared" si="260"/>
        <v>FRD</v>
      </c>
      <c r="AM2392" s="662" t="str">
        <f t="shared" si="256"/>
        <v>F250-Crew Cab XLT-4WD-6-6'9"-12500-6.2L FFV-8-W2B-603A-160-34-E85-Unleaded</v>
      </c>
      <c r="AN2392" s="662" t="str">
        <f t="shared" si="261"/>
        <v>2019-LTK-FRD-F250-028</v>
      </c>
    </row>
    <row r="2393" spans="1:40" s="572" customFormat="1" ht="15">
      <c r="A2393" s="570" t="s">
        <v>4330</v>
      </c>
      <c r="B2393" s="573" t="s">
        <v>4314</v>
      </c>
      <c r="C2393" s="573" t="s">
        <v>280</v>
      </c>
      <c r="D2393" s="578">
        <v>27</v>
      </c>
      <c r="E2393" s="573" t="s">
        <v>3374</v>
      </c>
      <c r="F2393" s="573" t="s">
        <v>196</v>
      </c>
      <c r="G2393" s="573" t="s">
        <v>271</v>
      </c>
      <c r="H2393" s="573">
        <v>2019</v>
      </c>
      <c r="I2393" s="573" t="s">
        <v>4229</v>
      </c>
      <c r="J2393" s="573" t="s">
        <v>3805</v>
      </c>
      <c r="K2393" s="573" t="s">
        <v>752</v>
      </c>
      <c r="L2393" s="573">
        <v>6</v>
      </c>
      <c r="M2393" s="573">
        <v>0</v>
      </c>
      <c r="N2393" s="573" t="s">
        <v>157</v>
      </c>
      <c r="O2393" s="573">
        <v>2</v>
      </c>
      <c r="P2393" s="573" t="s">
        <v>3846</v>
      </c>
      <c r="Q2393" s="571">
        <v>12200</v>
      </c>
      <c r="R2393" s="573" t="s">
        <v>4231</v>
      </c>
      <c r="S2393" s="573">
        <v>8</v>
      </c>
      <c r="T2393" s="573" t="s">
        <v>4259</v>
      </c>
      <c r="U2393" s="573" t="s">
        <v>4283</v>
      </c>
      <c r="V2393" s="573">
        <v>176</v>
      </c>
      <c r="W2393" s="573">
        <v>48</v>
      </c>
      <c r="X2393" s="571">
        <v>10000</v>
      </c>
      <c r="Y2393" s="573">
        <v>14</v>
      </c>
      <c r="Z2393" s="579" t="s">
        <v>728</v>
      </c>
      <c r="AA2393" s="579" t="s">
        <v>1523</v>
      </c>
      <c r="AB2393" s="584">
        <v>55475</v>
      </c>
      <c r="AC2393" s="584" t="s">
        <v>164</v>
      </c>
      <c r="AD2393" s="584">
        <v>42391.15789473684</v>
      </c>
      <c r="AE2393" s="586">
        <v>0.03</v>
      </c>
      <c r="AF2393" s="661" t="str">
        <f t="shared" si="262"/>
        <v>2019-LTK-FRD-F250-087-27</v>
      </c>
      <c r="AG2393" s="661" t="str">
        <f>IF(AND($Y2393&gt;=32,(AI2393="I"),(Y2393&lt;&gt;"~"),(COUNTIF($AN$1:$AN2393,$AN2393)=1)),"TRUE","FALSE")</f>
        <v>FALSE</v>
      </c>
      <c r="AH2393" s="661" t="str">
        <f>IF(AND($Y2393&gt;=22, (AI2393&lt;&gt;"I"),(Y2393&lt;&gt;"~"),(COUNTIF($AN$1:$AN2393,$AN2393)=1)),"TRUE","FALSE")</f>
        <v>FALSE</v>
      </c>
      <c r="AI2393" s="661" t="str">
        <f t="shared" si="257"/>
        <v>II</v>
      </c>
      <c r="AJ2393" s="662" t="str">
        <f t="shared" si="258"/>
        <v>F250-087</v>
      </c>
      <c r="AK2393" s="662" t="str">
        <f t="shared" si="259"/>
        <v>LTK</v>
      </c>
      <c r="AL2393" s="662" t="str">
        <f t="shared" si="260"/>
        <v>FRD</v>
      </c>
      <c r="AM2393" s="662" t="str">
        <f t="shared" si="256"/>
        <v>F250-Crew Cab XLT-4WD-6-8'-12200-6.7L Diesel-8-W2B-603A-176-48-Diesel-BioDiesel</v>
      </c>
      <c r="AN2393" s="662" t="str">
        <f t="shared" si="261"/>
        <v>2019-LTK-FRD-F250-087</v>
      </c>
    </row>
    <row r="2394" spans="1:40" s="572" customFormat="1" ht="15">
      <c r="A2394" s="570" t="s">
        <v>4331</v>
      </c>
      <c r="B2394" s="569" t="s">
        <v>4316</v>
      </c>
      <c r="C2394" s="569" t="s">
        <v>280</v>
      </c>
      <c r="D2394" s="580">
        <v>27</v>
      </c>
      <c r="E2394" s="569" t="s">
        <v>3374</v>
      </c>
      <c r="F2394" s="569" t="s">
        <v>196</v>
      </c>
      <c r="G2394" s="569" t="s">
        <v>271</v>
      </c>
      <c r="H2394" s="569">
        <v>2019</v>
      </c>
      <c r="I2394" s="569" t="s">
        <v>4229</v>
      </c>
      <c r="J2394" s="569" t="s">
        <v>3805</v>
      </c>
      <c r="K2394" s="569" t="s">
        <v>752</v>
      </c>
      <c r="L2394" s="569">
        <v>6</v>
      </c>
      <c r="M2394" s="569">
        <v>0</v>
      </c>
      <c r="N2394" s="569" t="s">
        <v>157</v>
      </c>
      <c r="O2394" s="569">
        <v>2</v>
      </c>
      <c r="P2394" s="569" t="s">
        <v>3846</v>
      </c>
      <c r="Q2394" s="568">
        <v>12500</v>
      </c>
      <c r="R2394" s="569" t="s">
        <v>4235</v>
      </c>
      <c r="S2394" s="569">
        <v>8</v>
      </c>
      <c r="T2394" s="569" t="s">
        <v>4259</v>
      </c>
      <c r="U2394" s="569" t="s">
        <v>4283</v>
      </c>
      <c r="V2394" s="569">
        <v>176</v>
      </c>
      <c r="W2394" s="569">
        <v>48</v>
      </c>
      <c r="X2394" s="568">
        <v>10000</v>
      </c>
      <c r="Y2394" s="573">
        <v>14</v>
      </c>
      <c r="Z2394" s="581" t="s">
        <v>450</v>
      </c>
      <c r="AA2394" s="581" t="s">
        <v>178</v>
      </c>
      <c r="AB2394" s="585">
        <v>45905</v>
      </c>
      <c r="AC2394" s="585" t="s">
        <v>164</v>
      </c>
      <c r="AD2394" s="585">
        <v>33755.073684210525</v>
      </c>
      <c r="AE2394" s="587">
        <v>0.03</v>
      </c>
      <c r="AF2394" s="661" t="str">
        <f t="shared" si="262"/>
        <v>2019-LTK-FRD-F250-088-27</v>
      </c>
      <c r="AG2394" s="661" t="str">
        <f>IF(AND($Y2394&gt;=32,(AI2394="I"),(Y2394&lt;&gt;"~"),(COUNTIF($AN$1:$AN2394,$AN2394)=1)),"TRUE","FALSE")</f>
        <v>FALSE</v>
      </c>
      <c r="AH2394" s="661" t="str">
        <f>IF(AND($Y2394&gt;=22, (AI2394&lt;&gt;"I"),(Y2394&lt;&gt;"~"),(COUNTIF($AN$1:$AN2394,$AN2394)=1)),"TRUE","FALSE")</f>
        <v>FALSE</v>
      </c>
      <c r="AI2394" s="661" t="str">
        <f t="shared" si="257"/>
        <v>II</v>
      </c>
      <c r="AJ2394" s="662" t="str">
        <f t="shared" si="258"/>
        <v>F250-088</v>
      </c>
      <c r="AK2394" s="662" t="str">
        <f t="shared" si="259"/>
        <v>LTK</v>
      </c>
      <c r="AL2394" s="662" t="str">
        <f t="shared" si="260"/>
        <v>FRD</v>
      </c>
      <c r="AM2394" s="662" t="str">
        <f t="shared" si="256"/>
        <v>F250-Crew Cab XLT-4WD-6-8'-12500-6.2L FFV-8-W2B-603A-176-48-E85-Unleaded</v>
      </c>
      <c r="AN2394" s="662" t="str">
        <f t="shared" si="261"/>
        <v>2019-LTK-FRD-F250-088</v>
      </c>
    </row>
    <row r="2395" spans="1:40" s="572" customFormat="1" ht="15">
      <c r="A2395" s="570" t="s">
        <v>4332</v>
      </c>
      <c r="B2395" s="573" t="s">
        <v>4333</v>
      </c>
      <c r="C2395" s="573" t="s">
        <v>269</v>
      </c>
      <c r="D2395" s="578" t="s">
        <v>270</v>
      </c>
      <c r="E2395" s="573" t="s">
        <v>3374</v>
      </c>
      <c r="F2395" s="573" t="s">
        <v>196</v>
      </c>
      <c r="G2395" s="573" t="s">
        <v>271</v>
      </c>
      <c r="H2395" s="573">
        <v>2019</v>
      </c>
      <c r="I2395" s="573" t="s">
        <v>4229</v>
      </c>
      <c r="J2395" s="573" t="s">
        <v>3837</v>
      </c>
      <c r="K2395" s="573" t="s">
        <v>3377</v>
      </c>
      <c r="L2395" s="573">
        <v>3</v>
      </c>
      <c r="M2395" s="573">
        <v>0</v>
      </c>
      <c r="N2395" s="573" t="s">
        <v>157</v>
      </c>
      <c r="O2395" s="573">
        <v>1</v>
      </c>
      <c r="P2395" s="573" t="s">
        <v>3846</v>
      </c>
      <c r="Q2395" s="571">
        <v>12500</v>
      </c>
      <c r="R2395" s="573" t="s">
        <v>4235</v>
      </c>
      <c r="S2395" s="573">
        <v>8</v>
      </c>
      <c r="T2395" s="573" t="s">
        <v>4334</v>
      </c>
      <c r="U2395" s="573" t="s">
        <v>366</v>
      </c>
      <c r="V2395" s="573">
        <v>142</v>
      </c>
      <c r="W2395" s="573">
        <v>34</v>
      </c>
      <c r="X2395" s="571">
        <v>10000</v>
      </c>
      <c r="Y2395" s="573">
        <v>15</v>
      </c>
      <c r="Z2395" s="579" t="s">
        <v>450</v>
      </c>
      <c r="AA2395" s="579" t="s">
        <v>178</v>
      </c>
      <c r="AB2395" s="584">
        <v>34280</v>
      </c>
      <c r="AC2395" s="584" t="s">
        <v>164</v>
      </c>
      <c r="AD2395" s="584">
        <v>23859.284210526315</v>
      </c>
      <c r="AE2395" s="586">
        <v>0.03</v>
      </c>
      <c r="AF2395" s="661" t="str">
        <f t="shared" si="262"/>
        <v>2019-LTK-FRD-F250-033-05</v>
      </c>
      <c r="AG2395" s="661" t="str">
        <f>IF(AND($Y2395&gt;=32,(AI2395="I"),(Y2395&lt;&gt;"~"),(COUNTIF($AN$1:$AN2395,$AN2395)=1)),"TRUE","FALSE")</f>
        <v>FALSE</v>
      </c>
      <c r="AH2395" s="661" t="str">
        <f>IF(AND($Y2395&gt;=22, (AI2395&lt;&gt;"I"),(Y2395&lt;&gt;"~"),(COUNTIF($AN$1:$AN2395,$AN2395)=1)),"TRUE","FALSE")</f>
        <v>FALSE</v>
      </c>
      <c r="AI2395" s="661" t="str">
        <f t="shared" si="257"/>
        <v>II</v>
      </c>
      <c r="AJ2395" s="662" t="str">
        <f t="shared" si="258"/>
        <v>F250-033</v>
      </c>
      <c r="AK2395" s="662" t="str">
        <f t="shared" si="259"/>
        <v>LTK</v>
      </c>
      <c r="AL2395" s="662" t="str">
        <f t="shared" si="260"/>
        <v>FRD</v>
      </c>
      <c r="AM2395" s="662" t="str">
        <f t="shared" ref="AM2395:AM2458" si="263">CONCATENATE(I2395,"-",J2395,"-",K2395,"-",L2395,"-",P2395,"-",Q2395,"-",R2395,"-",S2395,"-",T2395,"-",U2395,"-",V2395,"-",W2395,"-",Z2395,"-",AA2395)</f>
        <v>F250-Regular Cab XL-2WD-3-8'-12500-6.2L FFV-8-F2A-600A-142-34-E85-Unleaded</v>
      </c>
      <c r="AN2395" s="662" t="str">
        <f t="shared" si="261"/>
        <v>2019-LTK-FRD-F250-033</v>
      </c>
    </row>
    <row r="2396" spans="1:40" s="572" customFormat="1" ht="15">
      <c r="A2396" s="570" t="s">
        <v>4335</v>
      </c>
      <c r="B2396" s="569" t="s">
        <v>4336</v>
      </c>
      <c r="C2396" s="569" t="s">
        <v>269</v>
      </c>
      <c r="D2396" s="580" t="s">
        <v>270</v>
      </c>
      <c r="E2396" s="569" t="s">
        <v>3374</v>
      </c>
      <c r="F2396" s="569" t="s">
        <v>196</v>
      </c>
      <c r="G2396" s="569" t="s">
        <v>271</v>
      </c>
      <c r="H2396" s="569">
        <v>2019</v>
      </c>
      <c r="I2396" s="569" t="s">
        <v>4229</v>
      </c>
      <c r="J2396" s="569" t="s">
        <v>3837</v>
      </c>
      <c r="K2396" s="569" t="s">
        <v>3377</v>
      </c>
      <c r="L2396" s="569">
        <v>3</v>
      </c>
      <c r="M2396" s="569">
        <v>0</v>
      </c>
      <c r="N2396" s="569" t="s">
        <v>157</v>
      </c>
      <c r="O2396" s="569">
        <v>1</v>
      </c>
      <c r="P2396" s="569" t="s">
        <v>3846</v>
      </c>
      <c r="Q2396" s="568">
        <v>12900</v>
      </c>
      <c r="R2396" s="569" t="s">
        <v>4235</v>
      </c>
      <c r="S2396" s="569">
        <v>8</v>
      </c>
      <c r="T2396" s="569" t="s">
        <v>4334</v>
      </c>
      <c r="U2396" s="569" t="s">
        <v>366</v>
      </c>
      <c r="V2396" s="569">
        <v>142</v>
      </c>
      <c r="W2396" s="569">
        <v>34</v>
      </c>
      <c r="X2396" s="568">
        <v>10000</v>
      </c>
      <c r="Y2396" s="573">
        <v>15</v>
      </c>
      <c r="Z2396" s="581" t="s">
        <v>450</v>
      </c>
      <c r="AA2396" s="581" t="s">
        <v>178</v>
      </c>
      <c r="AB2396" s="585">
        <v>34280</v>
      </c>
      <c r="AC2396" s="585" t="s">
        <v>164</v>
      </c>
      <c r="AD2396" s="585">
        <v>23859.284210526315</v>
      </c>
      <c r="AE2396" s="587">
        <v>0.03</v>
      </c>
      <c r="AF2396" s="661" t="str">
        <f t="shared" si="262"/>
        <v>2019-LTK-FRD-F250-034-05</v>
      </c>
      <c r="AG2396" s="661" t="str">
        <f>IF(AND($Y2396&gt;=32,(AI2396="I"),(Y2396&lt;&gt;"~"),(COUNTIF($AN$1:$AN2396,$AN2396)=1)),"TRUE","FALSE")</f>
        <v>FALSE</v>
      </c>
      <c r="AH2396" s="661" t="str">
        <f>IF(AND($Y2396&gt;=22, (AI2396&lt;&gt;"I"),(Y2396&lt;&gt;"~"),(COUNTIF($AN$1:$AN2396,$AN2396)=1)),"TRUE","FALSE")</f>
        <v>FALSE</v>
      </c>
      <c r="AI2396" s="661" t="str">
        <f t="shared" ref="AI2396:AI2459" si="264">IF(OR((LEFT($E2396,2)="01"),AND(LEFT($E2396,2)="06",ISNUMBER(SEARCH("pas",$F2396))),AND(LEFT($E2396,2)="05",ISNUMBER(SEARCH("pas",$F2396)))),"I",IF(AND((LEFT($E2396,2)&lt;&gt;"01"),$X2396&lt;=10000),"II",IF(AND((LEFT($E2396,2)&lt;&gt;"01"),$X2396&gt;10000),"N/A")))</f>
        <v>II</v>
      </c>
      <c r="AJ2396" s="662" t="str">
        <f t="shared" si="258"/>
        <v>F250-034</v>
      </c>
      <c r="AK2396" s="662" t="str">
        <f t="shared" si="259"/>
        <v>LTK</v>
      </c>
      <c r="AL2396" s="662" t="str">
        <f t="shared" si="260"/>
        <v>FRD</v>
      </c>
      <c r="AM2396" s="662" t="str">
        <f t="shared" si="263"/>
        <v>F250-Regular Cab XL-2WD-3-8'-12900-6.2L FFV-8-F2A-600A-142-34-E85-Unleaded</v>
      </c>
      <c r="AN2396" s="662" t="str">
        <f t="shared" si="261"/>
        <v>2019-LTK-FRD-F250-034</v>
      </c>
    </row>
    <row r="2397" spans="1:40" s="572" customFormat="1" ht="15">
      <c r="A2397" s="570" t="s">
        <v>4337</v>
      </c>
      <c r="B2397" s="573" t="s">
        <v>4338</v>
      </c>
      <c r="C2397" s="573" t="s">
        <v>269</v>
      </c>
      <c r="D2397" s="578" t="s">
        <v>270</v>
      </c>
      <c r="E2397" s="573" t="s">
        <v>3374</v>
      </c>
      <c r="F2397" s="573" t="s">
        <v>196</v>
      </c>
      <c r="G2397" s="573" t="s">
        <v>271</v>
      </c>
      <c r="H2397" s="573">
        <v>2019</v>
      </c>
      <c r="I2397" s="573" t="s">
        <v>4229</v>
      </c>
      <c r="J2397" s="573" t="s">
        <v>3837</v>
      </c>
      <c r="K2397" s="573" t="s">
        <v>3377</v>
      </c>
      <c r="L2397" s="573">
        <v>3</v>
      </c>
      <c r="M2397" s="573">
        <v>0</v>
      </c>
      <c r="N2397" s="573" t="s">
        <v>157</v>
      </c>
      <c r="O2397" s="573">
        <v>1</v>
      </c>
      <c r="P2397" s="573" t="s">
        <v>3846</v>
      </c>
      <c r="Q2397" s="571">
        <v>13300</v>
      </c>
      <c r="R2397" s="573" t="s">
        <v>4235</v>
      </c>
      <c r="S2397" s="573">
        <v>8</v>
      </c>
      <c r="T2397" s="573" t="s">
        <v>4334</v>
      </c>
      <c r="U2397" s="573" t="s">
        <v>366</v>
      </c>
      <c r="V2397" s="573">
        <v>142</v>
      </c>
      <c r="W2397" s="573">
        <v>34</v>
      </c>
      <c r="X2397" s="571">
        <v>10000</v>
      </c>
      <c r="Y2397" s="573">
        <v>15</v>
      </c>
      <c r="Z2397" s="579" t="s">
        <v>450</v>
      </c>
      <c r="AA2397" s="579" t="s">
        <v>178</v>
      </c>
      <c r="AB2397" s="584">
        <v>34280</v>
      </c>
      <c r="AC2397" s="584" t="s">
        <v>164</v>
      </c>
      <c r="AD2397" s="584">
        <v>23859.284210526315</v>
      </c>
      <c r="AE2397" s="586">
        <v>0.03</v>
      </c>
      <c r="AF2397" s="661" t="str">
        <f t="shared" si="262"/>
        <v>2019-LTK-FRD-F250-035-05</v>
      </c>
      <c r="AG2397" s="661" t="str">
        <f>IF(AND($Y2397&gt;=32,(AI2397="I"),(Y2397&lt;&gt;"~"),(COUNTIF($AN$1:$AN2397,$AN2397)=1)),"TRUE","FALSE")</f>
        <v>FALSE</v>
      </c>
      <c r="AH2397" s="661" t="str">
        <f>IF(AND($Y2397&gt;=22, (AI2397&lt;&gt;"I"),(Y2397&lt;&gt;"~"),(COUNTIF($AN$1:$AN2397,$AN2397)=1)),"TRUE","FALSE")</f>
        <v>FALSE</v>
      </c>
      <c r="AI2397" s="661" t="str">
        <f t="shared" si="264"/>
        <v>II</v>
      </c>
      <c r="AJ2397" s="662" t="str">
        <f t="shared" si="258"/>
        <v>F250-035</v>
      </c>
      <c r="AK2397" s="662" t="str">
        <f t="shared" si="259"/>
        <v>LTK</v>
      </c>
      <c r="AL2397" s="662" t="str">
        <f t="shared" si="260"/>
        <v>FRD</v>
      </c>
      <c r="AM2397" s="662" t="str">
        <f t="shared" si="263"/>
        <v>F250-Regular Cab XL-2WD-3-8'-13300-6.2L FFV-8-F2A-600A-142-34-E85-Unleaded</v>
      </c>
      <c r="AN2397" s="662" t="str">
        <f t="shared" si="261"/>
        <v>2019-LTK-FRD-F250-035</v>
      </c>
    </row>
    <row r="2398" spans="1:40" s="572" customFormat="1" ht="15">
      <c r="A2398" s="570" t="s">
        <v>4339</v>
      </c>
      <c r="B2398" s="569" t="s">
        <v>4340</v>
      </c>
      <c r="C2398" s="569" t="s">
        <v>269</v>
      </c>
      <c r="D2398" s="580" t="s">
        <v>270</v>
      </c>
      <c r="E2398" s="569" t="s">
        <v>3374</v>
      </c>
      <c r="F2398" s="569" t="s">
        <v>196</v>
      </c>
      <c r="G2398" s="569" t="s">
        <v>271</v>
      </c>
      <c r="H2398" s="569">
        <v>2019</v>
      </c>
      <c r="I2398" s="569" t="s">
        <v>4229</v>
      </c>
      <c r="J2398" s="569" t="s">
        <v>3837</v>
      </c>
      <c r="K2398" s="569" t="s">
        <v>3377</v>
      </c>
      <c r="L2398" s="569">
        <v>3</v>
      </c>
      <c r="M2398" s="569">
        <v>0</v>
      </c>
      <c r="N2398" s="569" t="s">
        <v>157</v>
      </c>
      <c r="O2398" s="569">
        <v>1</v>
      </c>
      <c r="P2398" s="569" t="s">
        <v>3846</v>
      </c>
      <c r="Q2398" s="568">
        <v>16600</v>
      </c>
      <c r="R2398" s="569" t="s">
        <v>4231</v>
      </c>
      <c r="S2398" s="569">
        <v>8</v>
      </c>
      <c r="T2398" s="569" t="s">
        <v>4334</v>
      </c>
      <c r="U2398" s="569" t="s">
        <v>366</v>
      </c>
      <c r="V2398" s="569">
        <v>142</v>
      </c>
      <c r="W2398" s="569">
        <v>29</v>
      </c>
      <c r="X2398" s="568">
        <v>10000</v>
      </c>
      <c r="Y2398" s="573">
        <v>15</v>
      </c>
      <c r="Z2398" s="581" t="s">
        <v>4341</v>
      </c>
      <c r="AA2398" s="581" t="s">
        <v>1523</v>
      </c>
      <c r="AB2398" s="585">
        <v>43275</v>
      </c>
      <c r="AC2398" s="585" t="s">
        <v>164</v>
      </c>
      <c r="AD2398" s="585">
        <v>31940.210526315786</v>
      </c>
      <c r="AE2398" s="587">
        <v>0.03</v>
      </c>
      <c r="AF2398" s="661" t="str">
        <f t="shared" si="262"/>
        <v>2019-LTK-FRD-F250-036-05</v>
      </c>
      <c r="AG2398" s="661" t="str">
        <f>IF(AND($Y2398&gt;=32,(AI2398="I"),(Y2398&lt;&gt;"~"),(COUNTIF($AN$1:$AN2398,$AN2398)=1)),"TRUE","FALSE")</f>
        <v>FALSE</v>
      </c>
      <c r="AH2398" s="661" t="str">
        <f>IF(AND($Y2398&gt;=22, (AI2398&lt;&gt;"I"),(Y2398&lt;&gt;"~"),(COUNTIF($AN$1:$AN2398,$AN2398)=1)),"TRUE","FALSE")</f>
        <v>FALSE</v>
      </c>
      <c r="AI2398" s="661" t="str">
        <f t="shared" si="264"/>
        <v>II</v>
      </c>
      <c r="AJ2398" s="662" t="str">
        <f t="shared" si="258"/>
        <v>F250-036</v>
      </c>
      <c r="AK2398" s="662" t="str">
        <f t="shared" si="259"/>
        <v>LTK</v>
      </c>
      <c r="AL2398" s="662" t="str">
        <f t="shared" si="260"/>
        <v>FRD</v>
      </c>
      <c r="AM2398" s="662" t="str">
        <f t="shared" si="263"/>
        <v>F250-Regular Cab XL-2WD-3-8'-16600-6.7L Diesel-8-F2A-600A-142-29-Diesel -BioDiesel</v>
      </c>
      <c r="AN2398" s="662" t="str">
        <f t="shared" si="261"/>
        <v>2019-LTK-FRD-F250-036</v>
      </c>
    </row>
    <row r="2399" spans="1:40" s="572" customFormat="1" ht="15">
      <c r="A2399" s="570" t="s">
        <v>4342</v>
      </c>
      <c r="B2399" s="573" t="s">
        <v>4343</v>
      </c>
      <c r="C2399" s="573" t="s">
        <v>269</v>
      </c>
      <c r="D2399" s="578" t="s">
        <v>270</v>
      </c>
      <c r="E2399" s="573" t="s">
        <v>3374</v>
      </c>
      <c r="F2399" s="573" t="s">
        <v>196</v>
      </c>
      <c r="G2399" s="573" t="s">
        <v>271</v>
      </c>
      <c r="H2399" s="573">
        <v>2019</v>
      </c>
      <c r="I2399" s="573" t="s">
        <v>4229</v>
      </c>
      <c r="J2399" s="573" t="s">
        <v>3837</v>
      </c>
      <c r="K2399" s="573" t="s">
        <v>3377</v>
      </c>
      <c r="L2399" s="573">
        <v>3</v>
      </c>
      <c r="M2399" s="573">
        <v>0</v>
      </c>
      <c r="N2399" s="573" t="s">
        <v>157</v>
      </c>
      <c r="O2399" s="573">
        <v>1</v>
      </c>
      <c r="P2399" s="573" t="s">
        <v>3846</v>
      </c>
      <c r="Q2399" s="571">
        <v>16600</v>
      </c>
      <c r="R2399" s="573" t="s">
        <v>4231</v>
      </c>
      <c r="S2399" s="573">
        <v>8</v>
      </c>
      <c r="T2399" s="573" t="s">
        <v>4334</v>
      </c>
      <c r="U2399" s="573" t="s">
        <v>366</v>
      </c>
      <c r="V2399" s="573">
        <v>142</v>
      </c>
      <c r="W2399" s="573">
        <v>29</v>
      </c>
      <c r="X2399" s="571">
        <v>10000</v>
      </c>
      <c r="Y2399" s="573">
        <v>15</v>
      </c>
      <c r="Z2399" s="579" t="s">
        <v>728</v>
      </c>
      <c r="AA2399" s="579" t="s">
        <v>1523</v>
      </c>
      <c r="AB2399" s="584">
        <v>43275</v>
      </c>
      <c r="AC2399" s="584" t="s">
        <v>164</v>
      </c>
      <c r="AD2399" s="584">
        <v>31940.210526315786</v>
      </c>
      <c r="AE2399" s="586">
        <v>0.03</v>
      </c>
      <c r="AF2399" s="661" t="str">
        <f t="shared" si="262"/>
        <v>2019-LTK-FRD-F250-037-05</v>
      </c>
      <c r="AG2399" s="661" t="str">
        <f>IF(AND($Y2399&gt;=32,(AI2399="I"),(Y2399&lt;&gt;"~"),(COUNTIF($AN$1:$AN2399,$AN2399)=1)),"TRUE","FALSE")</f>
        <v>FALSE</v>
      </c>
      <c r="AH2399" s="661" t="str">
        <f>IF(AND($Y2399&gt;=22, (AI2399&lt;&gt;"I"),(Y2399&lt;&gt;"~"),(COUNTIF($AN$1:$AN2399,$AN2399)=1)),"TRUE","FALSE")</f>
        <v>FALSE</v>
      </c>
      <c r="AI2399" s="661" t="str">
        <f t="shared" si="264"/>
        <v>II</v>
      </c>
      <c r="AJ2399" s="662" t="str">
        <f t="shared" si="258"/>
        <v>F250-037</v>
      </c>
      <c r="AK2399" s="662" t="str">
        <f t="shared" si="259"/>
        <v>LTK</v>
      </c>
      <c r="AL2399" s="662" t="str">
        <f t="shared" si="260"/>
        <v>FRD</v>
      </c>
      <c r="AM2399" s="662" t="str">
        <f t="shared" si="263"/>
        <v>F250-Regular Cab XL-2WD-3-8'-16600-6.7L Diesel-8-F2A-600A-142-29-Diesel-BioDiesel</v>
      </c>
      <c r="AN2399" s="662" t="str">
        <f t="shared" si="261"/>
        <v>2019-LTK-FRD-F250-037</v>
      </c>
    </row>
    <row r="2400" spans="1:40" s="572" customFormat="1" ht="15">
      <c r="A2400" s="570" t="s">
        <v>4344</v>
      </c>
      <c r="B2400" s="569" t="s">
        <v>4338</v>
      </c>
      <c r="C2400" s="569" t="s">
        <v>278</v>
      </c>
      <c r="D2400" s="580">
        <v>15</v>
      </c>
      <c r="E2400" s="569" t="s">
        <v>3374</v>
      </c>
      <c r="F2400" s="569" t="s">
        <v>196</v>
      </c>
      <c r="G2400" s="569" t="s">
        <v>271</v>
      </c>
      <c r="H2400" s="569">
        <v>2019</v>
      </c>
      <c r="I2400" s="569" t="s">
        <v>4229</v>
      </c>
      <c r="J2400" s="569" t="s">
        <v>3837</v>
      </c>
      <c r="K2400" s="569" t="s">
        <v>3377</v>
      </c>
      <c r="L2400" s="569">
        <v>3</v>
      </c>
      <c r="M2400" s="569">
        <v>0</v>
      </c>
      <c r="N2400" s="569" t="s">
        <v>157</v>
      </c>
      <c r="O2400" s="569">
        <v>1</v>
      </c>
      <c r="P2400" s="569" t="s">
        <v>3846</v>
      </c>
      <c r="Q2400" s="568">
        <v>13300</v>
      </c>
      <c r="R2400" s="569" t="s">
        <v>4235</v>
      </c>
      <c r="S2400" s="569">
        <v>8</v>
      </c>
      <c r="T2400" s="569" t="s">
        <v>4334</v>
      </c>
      <c r="U2400" s="569" t="s">
        <v>366</v>
      </c>
      <c r="V2400" s="569">
        <v>142</v>
      </c>
      <c r="W2400" s="569">
        <v>34</v>
      </c>
      <c r="X2400" s="568">
        <v>10000</v>
      </c>
      <c r="Y2400" s="573">
        <v>15</v>
      </c>
      <c r="Z2400" s="581" t="s">
        <v>450</v>
      </c>
      <c r="AA2400" s="581" t="s">
        <v>178</v>
      </c>
      <c r="AB2400" s="585">
        <v>34645</v>
      </c>
      <c r="AC2400" s="585" t="s">
        <v>164</v>
      </c>
      <c r="AD2400" s="585">
        <v>24300</v>
      </c>
      <c r="AE2400" s="587">
        <v>0.01</v>
      </c>
      <c r="AF2400" s="661" t="str">
        <f t="shared" si="262"/>
        <v>2019-LTK-FRD-F250-035-15</v>
      </c>
      <c r="AG2400" s="661" t="str">
        <f>IF(AND($Y2400&gt;=32,(AI2400="I"),(Y2400&lt;&gt;"~"),(COUNTIF($AN$1:$AN2400,$AN2400)=1)),"TRUE","FALSE")</f>
        <v>FALSE</v>
      </c>
      <c r="AH2400" s="661" t="str">
        <f>IF(AND($Y2400&gt;=22, (AI2400&lt;&gt;"I"),(Y2400&lt;&gt;"~"),(COUNTIF($AN$1:$AN2400,$AN2400)=1)),"TRUE","FALSE")</f>
        <v>FALSE</v>
      </c>
      <c r="AI2400" s="661" t="str">
        <f t="shared" si="264"/>
        <v>II</v>
      </c>
      <c r="AJ2400" s="662" t="str">
        <f t="shared" si="258"/>
        <v>F250-035</v>
      </c>
      <c r="AK2400" s="662" t="str">
        <f t="shared" si="259"/>
        <v>LTK</v>
      </c>
      <c r="AL2400" s="662" t="str">
        <f t="shared" si="260"/>
        <v>FRD</v>
      </c>
      <c r="AM2400" s="662" t="str">
        <f t="shared" si="263"/>
        <v>F250-Regular Cab XL-2WD-3-8'-13300-6.2L FFV-8-F2A-600A-142-34-E85-Unleaded</v>
      </c>
      <c r="AN2400" s="662" t="str">
        <f t="shared" si="261"/>
        <v>2019-LTK-FRD-F250-035</v>
      </c>
    </row>
    <row r="2401" spans="1:40" s="572" customFormat="1" ht="15">
      <c r="A2401" s="570" t="s">
        <v>4345</v>
      </c>
      <c r="B2401" s="573" t="s">
        <v>4343</v>
      </c>
      <c r="C2401" s="573" t="s">
        <v>278</v>
      </c>
      <c r="D2401" s="578">
        <v>15</v>
      </c>
      <c r="E2401" s="573" t="s">
        <v>3374</v>
      </c>
      <c r="F2401" s="573" t="s">
        <v>196</v>
      </c>
      <c r="G2401" s="573" t="s">
        <v>271</v>
      </c>
      <c r="H2401" s="573">
        <v>2019</v>
      </c>
      <c r="I2401" s="573" t="s">
        <v>4229</v>
      </c>
      <c r="J2401" s="573" t="s">
        <v>3837</v>
      </c>
      <c r="K2401" s="573" t="s">
        <v>3377</v>
      </c>
      <c r="L2401" s="573">
        <v>3</v>
      </c>
      <c r="M2401" s="573">
        <v>0</v>
      </c>
      <c r="N2401" s="573" t="s">
        <v>157</v>
      </c>
      <c r="O2401" s="573">
        <v>1</v>
      </c>
      <c r="P2401" s="573" t="s">
        <v>3846</v>
      </c>
      <c r="Q2401" s="571">
        <v>16600</v>
      </c>
      <c r="R2401" s="573" t="s">
        <v>4231</v>
      </c>
      <c r="S2401" s="573">
        <v>8</v>
      </c>
      <c r="T2401" s="573" t="s">
        <v>4334</v>
      </c>
      <c r="U2401" s="573" t="s">
        <v>366</v>
      </c>
      <c r="V2401" s="573">
        <v>142</v>
      </c>
      <c r="W2401" s="573">
        <v>29</v>
      </c>
      <c r="X2401" s="571">
        <v>10000</v>
      </c>
      <c r="Y2401" s="573">
        <v>14</v>
      </c>
      <c r="Z2401" s="579" t="s">
        <v>728</v>
      </c>
      <c r="AA2401" s="579" t="s">
        <v>1523</v>
      </c>
      <c r="AB2401" s="584">
        <v>43765</v>
      </c>
      <c r="AC2401" s="584" t="s">
        <v>164</v>
      </c>
      <c r="AD2401" s="584">
        <v>32600</v>
      </c>
      <c r="AE2401" s="586">
        <v>0.01</v>
      </c>
      <c r="AF2401" s="661" t="str">
        <f t="shared" si="262"/>
        <v>2019-LTK-FRD-F250-037-15</v>
      </c>
      <c r="AG2401" s="661" t="str">
        <f>IF(AND($Y2401&gt;=32,(AI2401="I"),(Y2401&lt;&gt;"~"),(COUNTIF($AN$1:$AN2401,$AN2401)=1)),"TRUE","FALSE")</f>
        <v>FALSE</v>
      </c>
      <c r="AH2401" s="661" t="str">
        <f>IF(AND($Y2401&gt;=22, (AI2401&lt;&gt;"I"),(Y2401&lt;&gt;"~"),(COUNTIF($AN$1:$AN2401,$AN2401)=1)),"TRUE","FALSE")</f>
        <v>FALSE</v>
      </c>
      <c r="AI2401" s="661" t="str">
        <f t="shared" si="264"/>
        <v>II</v>
      </c>
      <c r="AJ2401" s="662" t="str">
        <f t="shared" si="258"/>
        <v>F250-037</v>
      </c>
      <c r="AK2401" s="662" t="str">
        <f t="shared" si="259"/>
        <v>LTK</v>
      </c>
      <c r="AL2401" s="662" t="str">
        <f t="shared" si="260"/>
        <v>FRD</v>
      </c>
      <c r="AM2401" s="662" t="str">
        <f t="shared" si="263"/>
        <v>F250-Regular Cab XL-2WD-3-8'-16600-6.7L Diesel-8-F2A-600A-142-29-Diesel-BioDiesel</v>
      </c>
      <c r="AN2401" s="662" t="str">
        <f t="shared" si="261"/>
        <v>2019-LTK-FRD-F250-037</v>
      </c>
    </row>
    <row r="2402" spans="1:40" s="572" customFormat="1" ht="15">
      <c r="A2402" s="570" t="s">
        <v>4346</v>
      </c>
      <c r="B2402" s="569" t="s">
        <v>4333</v>
      </c>
      <c r="C2402" s="569" t="s">
        <v>287</v>
      </c>
      <c r="D2402" s="580">
        <v>26</v>
      </c>
      <c r="E2402" s="569" t="s">
        <v>3374</v>
      </c>
      <c r="F2402" s="569" t="s">
        <v>196</v>
      </c>
      <c r="G2402" s="569" t="s">
        <v>271</v>
      </c>
      <c r="H2402" s="569">
        <v>2019</v>
      </c>
      <c r="I2402" s="569" t="s">
        <v>4229</v>
      </c>
      <c r="J2402" s="569" t="s">
        <v>3837</v>
      </c>
      <c r="K2402" s="569" t="s">
        <v>3377</v>
      </c>
      <c r="L2402" s="569">
        <v>3</v>
      </c>
      <c r="M2402" s="569">
        <v>0</v>
      </c>
      <c r="N2402" s="569" t="s">
        <v>157</v>
      </c>
      <c r="O2402" s="569">
        <v>1</v>
      </c>
      <c r="P2402" s="569" t="s">
        <v>3846</v>
      </c>
      <c r="Q2402" s="568">
        <v>12500</v>
      </c>
      <c r="R2402" s="569" t="s">
        <v>4235</v>
      </c>
      <c r="S2402" s="569">
        <v>8</v>
      </c>
      <c r="T2402" s="569" t="s">
        <v>4334</v>
      </c>
      <c r="U2402" s="569" t="s">
        <v>366</v>
      </c>
      <c r="V2402" s="569">
        <v>142</v>
      </c>
      <c r="W2402" s="569">
        <v>34</v>
      </c>
      <c r="X2402" s="568">
        <v>9950</v>
      </c>
      <c r="Y2402" s="569">
        <v>15</v>
      </c>
      <c r="Z2402" s="581" t="s">
        <v>450</v>
      </c>
      <c r="AA2402" s="581" t="s">
        <v>178</v>
      </c>
      <c r="AB2402" s="585">
        <v>34280</v>
      </c>
      <c r="AC2402" s="585" t="s">
        <v>164</v>
      </c>
      <c r="AD2402" s="585">
        <v>24388</v>
      </c>
      <c r="AE2402" s="587">
        <v>0.05</v>
      </c>
      <c r="AF2402" s="661" t="str">
        <f t="shared" si="262"/>
        <v>2019-LTK-FRD-F250-033-26</v>
      </c>
      <c r="AG2402" s="661" t="str">
        <f>IF(AND($Y2402&gt;=32,(AI2402="I"),(Y2402&lt;&gt;"~"),(COUNTIF($AN$1:$AN2402,$AN2402)=1)),"TRUE","FALSE")</f>
        <v>FALSE</v>
      </c>
      <c r="AH2402" s="661" t="str">
        <f>IF(AND($Y2402&gt;=22, (AI2402&lt;&gt;"I"),(Y2402&lt;&gt;"~"),(COUNTIF($AN$1:$AN2402,$AN2402)=1)),"TRUE","FALSE")</f>
        <v>FALSE</v>
      </c>
      <c r="AI2402" s="661" t="str">
        <f t="shared" si="264"/>
        <v>II</v>
      </c>
      <c r="AJ2402" s="662" t="str">
        <f t="shared" si="258"/>
        <v>F250-033</v>
      </c>
      <c r="AK2402" s="662" t="str">
        <f t="shared" si="259"/>
        <v>LTK</v>
      </c>
      <c r="AL2402" s="662" t="str">
        <f t="shared" si="260"/>
        <v>FRD</v>
      </c>
      <c r="AM2402" s="662" t="str">
        <f t="shared" si="263"/>
        <v>F250-Regular Cab XL-2WD-3-8'-12500-6.2L FFV-8-F2A-600A-142-34-E85-Unleaded</v>
      </c>
      <c r="AN2402" s="662" t="str">
        <f t="shared" si="261"/>
        <v>2019-LTK-FRD-F250-033</v>
      </c>
    </row>
    <row r="2403" spans="1:40" s="572" customFormat="1" ht="15">
      <c r="A2403" s="570" t="s">
        <v>4346</v>
      </c>
      <c r="B2403" s="573" t="s">
        <v>4333</v>
      </c>
      <c r="C2403" s="573" t="s">
        <v>287</v>
      </c>
      <c r="D2403" s="578">
        <v>26</v>
      </c>
      <c r="E2403" s="573" t="s">
        <v>3374</v>
      </c>
      <c r="F2403" s="573" t="s">
        <v>196</v>
      </c>
      <c r="G2403" s="573" t="s">
        <v>271</v>
      </c>
      <c r="H2403" s="573">
        <v>2019</v>
      </c>
      <c r="I2403" s="573" t="s">
        <v>4229</v>
      </c>
      <c r="J2403" s="573" t="s">
        <v>3837</v>
      </c>
      <c r="K2403" s="573" t="s">
        <v>3377</v>
      </c>
      <c r="L2403" s="573">
        <v>3</v>
      </c>
      <c r="M2403" s="573">
        <v>0</v>
      </c>
      <c r="N2403" s="573" t="s">
        <v>157</v>
      </c>
      <c r="O2403" s="573">
        <v>1</v>
      </c>
      <c r="P2403" s="573" t="s">
        <v>3846</v>
      </c>
      <c r="Q2403" s="571">
        <v>12500</v>
      </c>
      <c r="R2403" s="573" t="s">
        <v>4235</v>
      </c>
      <c r="S2403" s="573">
        <v>8</v>
      </c>
      <c r="T2403" s="573" t="s">
        <v>4334</v>
      </c>
      <c r="U2403" s="573" t="s">
        <v>366</v>
      </c>
      <c r="V2403" s="573">
        <v>142</v>
      </c>
      <c r="W2403" s="573">
        <v>34</v>
      </c>
      <c r="X2403" s="571">
        <v>9950</v>
      </c>
      <c r="Y2403" s="573">
        <v>15</v>
      </c>
      <c r="Z2403" s="579" t="s">
        <v>450</v>
      </c>
      <c r="AA2403" s="579" t="s">
        <v>178</v>
      </c>
      <c r="AB2403" s="584">
        <v>43275</v>
      </c>
      <c r="AC2403" s="584" t="s">
        <v>164</v>
      </c>
      <c r="AD2403" s="584">
        <v>32583</v>
      </c>
      <c r="AE2403" s="586">
        <v>0.05</v>
      </c>
      <c r="AF2403" s="661" t="str">
        <f t="shared" si="262"/>
        <v>2019-LTK-FRD-F250-033-26</v>
      </c>
      <c r="AG2403" s="661" t="str">
        <f>IF(AND($Y2403&gt;=32,(AI2403="I"),(Y2403&lt;&gt;"~"),(COUNTIF($AN$1:$AN2403,$AN2403)=1)),"TRUE","FALSE")</f>
        <v>FALSE</v>
      </c>
      <c r="AH2403" s="661" t="str">
        <f>IF(AND($Y2403&gt;=22, (AI2403&lt;&gt;"I"),(Y2403&lt;&gt;"~"),(COUNTIF($AN$1:$AN2403,$AN2403)=1)),"TRUE","FALSE")</f>
        <v>FALSE</v>
      </c>
      <c r="AI2403" s="661" t="str">
        <f t="shared" si="264"/>
        <v>II</v>
      </c>
      <c r="AJ2403" s="662" t="str">
        <f t="shared" si="258"/>
        <v>F250-033</v>
      </c>
      <c r="AK2403" s="662" t="str">
        <f t="shared" si="259"/>
        <v>LTK</v>
      </c>
      <c r="AL2403" s="662" t="str">
        <f t="shared" si="260"/>
        <v>FRD</v>
      </c>
      <c r="AM2403" s="662" t="str">
        <f t="shared" si="263"/>
        <v>F250-Regular Cab XL-2WD-3-8'-12500-6.2L FFV-8-F2A-600A-142-34-E85-Unleaded</v>
      </c>
      <c r="AN2403" s="662" t="str">
        <f t="shared" si="261"/>
        <v>2019-LTK-FRD-F250-033</v>
      </c>
    </row>
    <row r="2404" spans="1:40" s="572" customFormat="1" ht="15">
      <c r="A2404" s="570" t="s">
        <v>4347</v>
      </c>
      <c r="B2404" s="569" t="s">
        <v>4333</v>
      </c>
      <c r="C2404" s="569" t="s">
        <v>280</v>
      </c>
      <c r="D2404" s="580">
        <v>27</v>
      </c>
      <c r="E2404" s="569" t="s">
        <v>3374</v>
      </c>
      <c r="F2404" s="569" t="s">
        <v>196</v>
      </c>
      <c r="G2404" s="569" t="s">
        <v>271</v>
      </c>
      <c r="H2404" s="569">
        <v>2019</v>
      </c>
      <c r="I2404" s="569" t="s">
        <v>4229</v>
      </c>
      <c r="J2404" s="569" t="s">
        <v>3837</v>
      </c>
      <c r="K2404" s="569" t="s">
        <v>3377</v>
      </c>
      <c r="L2404" s="569">
        <v>3</v>
      </c>
      <c r="M2404" s="569">
        <v>0</v>
      </c>
      <c r="N2404" s="569" t="s">
        <v>157</v>
      </c>
      <c r="O2404" s="569">
        <v>1</v>
      </c>
      <c r="P2404" s="569" t="s">
        <v>3846</v>
      </c>
      <c r="Q2404" s="568">
        <v>12500</v>
      </c>
      <c r="R2404" s="569" t="s">
        <v>4235</v>
      </c>
      <c r="S2404" s="569">
        <v>8</v>
      </c>
      <c r="T2404" s="569" t="s">
        <v>4334</v>
      </c>
      <c r="U2404" s="569" t="s">
        <v>366</v>
      </c>
      <c r="V2404" s="569">
        <v>142</v>
      </c>
      <c r="W2404" s="569">
        <v>34</v>
      </c>
      <c r="X2404" s="568">
        <v>10000</v>
      </c>
      <c r="Y2404" s="573">
        <v>15</v>
      </c>
      <c r="Z2404" s="581" t="s">
        <v>450</v>
      </c>
      <c r="AA2404" s="581" t="s">
        <v>178</v>
      </c>
      <c r="AB2404" s="585">
        <v>34280</v>
      </c>
      <c r="AC2404" s="585" t="s">
        <v>164</v>
      </c>
      <c r="AD2404" s="585">
        <v>23859.284210526315</v>
      </c>
      <c r="AE2404" s="587">
        <v>0.03</v>
      </c>
      <c r="AF2404" s="661" t="str">
        <f t="shared" si="262"/>
        <v>2019-LTK-FRD-F250-033-27</v>
      </c>
      <c r="AG2404" s="661" t="str">
        <f>IF(AND($Y2404&gt;=32,(AI2404="I"),(Y2404&lt;&gt;"~"),(COUNTIF($AN$1:$AN2404,$AN2404)=1)),"TRUE","FALSE")</f>
        <v>FALSE</v>
      </c>
      <c r="AH2404" s="661" t="str">
        <f>IF(AND($Y2404&gt;=22, (AI2404&lt;&gt;"I"),(Y2404&lt;&gt;"~"),(COUNTIF($AN$1:$AN2404,$AN2404)=1)),"TRUE","FALSE")</f>
        <v>FALSE</v>
      </c>
      <c r="AI2404" s="661" t="str">
        <f t="shared" si="264"/>
        <v>II</v>
      </c>
      <c r="AJ2404" s="662" t="str">
        <f t="shared" si="258"/>
        <v>F250-033</v>
      </c>
      <c r="AK2404" s="662" t="str">
        <f t="shared" si="259"/>
        <v>LTK</v>
      </c>
      <c r="AL2404" s="662" t="str">
        <f t="shared" si="260"/>
        <v>FRD</v>
      </c>
      <c r="AM2404" s="662" t="str">
        <f t="shared" si="263"/>
        <v>F250-Regular Cab XL-2WD-3-8'-12500-6.2L FFV-8-F2A-600A-142-34-E85-Unleaded</v>
      </c>
      <c r="AN2404" s="662" t="str">
        <f t="shared" si="261"/>
        <v>2019-LTK-FRD-F250-033</v>
      </c>
    </row>
    <row r="2405" spans="1:40" s="572" customFormat="1" ht="15">
      <c r="A2405" s="570" t="s">
        <v>4348</v>
      </c>
      <c r="B2405" s="573" t="s">
        <v>4336</v>
      </c>
      <c r="C2405" s="573" t="s">
        <v>280</v>
      </c>
      <c r="D2405" s="578">
        <v>27</v>
      </c>
      <c r="E2405" s="573" t="s">
        <v>3374</v>
      </c>
      <c r="F2405" s="573" t="s">
        <v>196</v>
      </c>
      <c r="G2405" s="573" t="s">
        <v>271</v>
      </c>
      <c r="H2405" s="573">
        <v>2019</v>
      </c>
      <c r="I2405" s="573" t="s">
        <v>4229</v>
      </c>
      <c r="J2405" s="573" t="s">
        <v>3837</v>
      </c>
      <c r="K2405" s="573" t="s">
        <v>3377</v>
      </c>
      <c r="L2405" s="573">
        <v>3</v>
      </c>
      <c r="M2405" s="573">
        <v>0</v>
      </c>
      <c r="N2405" s="573" t="s">
        <v>157</v>
      </c>
      <c r="O2405" s="573">
        <v>1</v>
      </c>
      <c r="P2405" s="573" t="s">
        <v>3846</v>
      </c>
      <c r="Q2405" s="571">
        <v>12900</v>
      </c>
      <c r="R2405" s="573" t="s">
        <v>4235</v>
      </c>
      <c r="S2405" s="573">
        <v>8</v>
      </c>
      <c r="T2405" s="573" t="s">
        <v>4334</v>
      </c>
      <c r="U2405" s="573" t="s">
        <v>366</v>
      </c>
      <c r="V2405" s="573">
        <v>142</v>
      </c>
      <c r="W2405" s="573">
        <v>34</v>
      </c>
      <c r="X2405" s="571">
        <v>10000</v>
      </c>
      <c r="Y2405" s="573">
        <v>15</v>
      </c>
      <c r="Z2405" s="579" t="s">
        <v>450</v>
      </c>
      <c r="AA2405" s="579" t="s">
        <v>178</v>
      </c>
      <c r="AB2405" s="584">
        <v>34280</v>
      </c>
      <c r="AC2405" s="584" t="s">
        <v>164</v>
      </c>
      <c r="AD2405" s="584">
        <v>23859.284210526315</v>
      </c>
      <c r="AE2405" s="586">
        <v>0.03</v>
      </c>
      <c r="AF2405" s="661" t="str">
        <f t="shared" si="262"/>
        <v>2019-LTK-FRD-F250-034-27</v>
      </c>
      <c r="AG2405" s="661" t="str">
        <f>IF(AND($Y2405&gt;=32,(AI2405="I"),(Y2405&lt;&gt;"~"),(COUNTIF($AN$1:$AN2405,$AN2405)=1)),"TRUE","FALSE")</f>
        <v>FALSE</v>
      </c>
      <c r="AH2405" s="661" t="str">
        <f>IF(AND($Y2405&gt;=22, (AI2405&lt;&gt;"I"),(Y2405&lt;&gt;"~"),(COUNTIF($AN$1:$AN2405,$AN2405)=1)),"TRUE","FALSE")</f>
        <v>FALSE</v>
      </c>
      <c r="AI2405" s="661" t="str">
        <f t="shared" si="264"/>
        <v>II</v>
      </c>
      <c r="AJ2405" s="662" t="str">
        <f t="shared" si="258"/>
        <v>F250-034</v>
      </c>
      <c r="AK2405" s="662" t="str">
        <f t="shared" si="259"/>
        <v>LTK</v>
      </c>
      <c r="AL2405" s="662" t="str">
        <f t="shared" si="260"/>
        <v>FRD</v>
      </c>
      <c r="AM2405" s="662" t="str">
        <f t="shared" si="263"/>
        <v>F250-Regular Cab XL-2WD-3-8'-12900-6.2L FFV-8-F2A-600A-142-34-E85-Unleaded</v>
      </c>
      <c r="AN2405" s="662" t="str">
        <f t="shared" si="261"/>
        <v>2019-LTK-FRD-F250-034</v>
      </c>
    </row>
    <row r="2406" spans="1:40" s="572" customFormat="1" ht="15">
      <c r="A2406" s="570" t="s">
        <v>4349</v>
      </c>
      <c r="B2406" s="569" t="s">
        <v>4338</v>
      </c>
      <c r="C2406" s="569" t="s">
        <v>280</v>
      </c>
      <c r="D2406" s="580">
        <v>27</v>
      </c>
      <c r="E2406" s="569" t="s">
        <v>3374</v>
      </c>
      <c r="F2406" s="569" t="s">
        <v>196</v>
      </c>
      <c r="G2406" s="569" t="s">
        <v>271</v>
      </c>
      <c r="H2406" s="569">
        <v>2019</v>
      </c>
      <c r="I2406" s="569" t="s">
        <v>4229</v>
      </c>
      <c r="J2406" s="569" t="s">
        <v>3837</v>
      </c>
      <c r="K2406" s="569" t="s">
        <v>3377</v>
      </c>
      <c r="L2406" s="569">
        <v>3</v>
      </c>
      <c r="M2406" s="569">
        <v>0</v>
      </c>
      <c r="N2406" s="569" t="s">
        <v>157</v>
      </c>
      <c r="O2406" s="569">
        <v>1</v>
      </c>
      <c r="P2406" s="569" t="s">
        <v>3846</v>
      </c>
      <c r="Q2406" s="568">
        <v>13300</v>
      </c>
      <c r="R2406" s="569" t="s">
        <v>4235</v>
      </c>
      <c r="S2406" s="569">
        <v>8</v>
      </c>
      <c r="T2406" s="569" t="s">
        <v>4334</v>
      </c>
      <c r="U2406" s="569" t="s">
        <v>366</v>
      </c>
      <c r="V2406" s="569">
        <v>142</v>
      </c>
      <c r="W2406" s="569">
        <v>34</v>
      </c>
      <c r="X2406" s="568">
        <v>10000</v>
      </c>
      <c r="Y2406" s="573">
        <v>15</v>
      </c>
      <c r="Z2406" s="581" t="s">
        <v>450</v>
      </c>
      <c r="AA2406" s="581" t="s">
        <v>178</v>
      </c>
      <c r="AB2406" s="585">
        <v>34280</v>
      </c>
      <c r="AC2406" s="585" t="s">
        <v>164</v>
      </c>
      <c r="AD2406" s="585">
        <v>23859.284210526315</v>
      </c>
      <c r="AE2406" s="587">
        <v>0.03</v>
      </c>
      <c r="AF2406" s="661" t="str">
        <f t="shared" si="262"/>
        <v>2019-LTK-FRD-F250-035-27</v>
      </c>
      <c r="AG2406" s="661" t="str">
        <f>IF(AND($Y2406&gt;=32,(AI2406="I"),(Y2406&lt;&gt;"~"),(COUNTIF($AN$1:$AN2406,$AN2406)=1)),"TRUE","FALSE")</f>
        <v>FALSE</v>
      </c>
      <c r="AH2406" s="661" t="str">
        <f>IF(AND($Y2406&gt;=22, (AI2406&lt;&gt;"I"),(Y2406&lt;&gt;"~"),(COUNTIF($AN$1:$AN2406,$AN2406)=1)),"TRUE","FALSE")</f>
        <v>FALSE</v>
      </c>
      <c r="AI2406" s="661" t="str">
        <f t="shared" si="264"/>
        <v>II</v>
      </c>
      <c r="AJ2406" s="662" t="str">
        <f t="shared" si="258"/>
        <v>F250-035</v>
      </c>
      <c r="AK2406" s="662" t="str">
        <f t="shared" si="259"/>
        <v>LTK</v>
      </c>
      <c r="AL2406" s="662" t="str">
        <f t="shared" si="260"/>
        <v>FRD</v>
      </c>
      <c r="AM2406" s="662" t="str">
        <f t="shared" si="263"/>
        <v>F250-Regular Cab XL-2WD-3-8'-13300-6.2L FFV-8-F2A-600A-142-34-E85-Unleaded</v>
      </c>
      <c r="AN2406" s="662" t="str">
        <f t="shared" si="261"/>
        <v>2019-LTK-FRD-F250-035</v>
      </c>
    </row>
    <row r="2407" spans="1:40" s="572" customFormat="1" ht="15">
      <c r="A2407" s="570" t="s">
        <v>4350</v>
      </c>
      <c r="B2407" s="573" t="s">
        <v>4340</v>
      </c>
      <c r="C2407" s="573" t="s">
        <v>280</v>
      </c>
      <c r="D2407" s="578">
        <v>27</v>
      </c>
      <c r="E2407" s="573" t="s">
        <v>3374</v>
      </c>
      <c r="F2407" s="573" t="s">
        <v>196</v>
      </c>
      <c r="G2407" s="573" t="s">
        <v>271</v>
      </c>
      <c r="H2407" s="573">
        <v>2019</v>
      </c>
      <c r="I2407" s="573" t="s">
        <v>4229</v>
      </c>
      <c r="J2407" s="573" t="s">
        <v>3837</v>
      </c>
      <c r="K2407" s="573" t="s">
        <v>3377</v>
      </c>
      <c r="L2407" s="573">
        <v>3</v>
      </c>
      <c r="M2407" s="573">
        <v>0</v>
      </c>
      <c r="N2407" s="573" t="s">
        <v>157</v>
      </c>
      <c r="O2407" s="573">
        <v>1</v>
      </c>
      <c r="P2407" s="573" t="s">
        <v>3846</v>
      </c>
      <c r="Q2407" s="571">
        <v>16600</v>
      </c>
      <c r="R2407" s="573" t="s">
        <v>4231</v>
      </c>
      <c r="S2407" s="573">
        <v>8</v>
      </c>
      <c r="T2407" s="573" t="s">
        <v>4334</v>
      </c>
      <c r="U2407" s="573" t="s">
        <v>366</v>
      </c>
      <c r="V2407" s="573">
        <v>142</v>
      </c>
      <c r="W2407" s="573">
        <v>29</v>
      </c>
      <c r="X2407" s="571">
        <v>10000</v>
      </c>
      <c r="Y2407" s="573">
        <v>15</v>
      </c>
      <c r="Z2407" s="579" t="s">
        <v>4341</v>
      </c>
      <c r="AA2407" s="579" t="s">
        <v>1523</v>
      </c>
      <c r="AB2407" s="584">
        <v>43275</v>
      </c>
      <c r="AC2407" s="584" t="s">
        <v>164</v>
      </c>
      <c r="AD2407" s="584">
        <v>31940.210526315786</v>
      </c>
      <c r="AE2407" s="586">
        <v>0.03</v>
      </c>
      <c r="AF2407" s="661" t="str">
        <f t="shared" si="262"/>
        <v>2019-LTK-FRD-F250-036-27</v>
      </c>
      <c r="AG2407" s="661" t="str">
        <f>IF(AND($Y2407&gt;=32,(AI2407="I"),(Y2407&lt;&gt;"~"),(COUNTIF($AN$1:$AN2407,$AN2407)=1)),"TRUE","FALSE")</f>
        <v>FALSE</v>
      </c>
      <c r="AH2407" s="661" t="str">
        <f>IF(AND($Y2407&gt;=22, (AI2407&lt;&gt;"I"),(Y2407&lt;&gt;"~"),(COUNTIF($AN$1:$AN2407,$AN2407)=1)),"TRUE","FALSE")</f>
        <v>FALSE</v>
      </c>
      <c r="AI2407" s="661" t="str">
        <f t="shared" si="264"/>
        <v>II</v>
      </c>
      <c r="AJ2407" s="662" t="str">
        <f t="shared" si="258"/>
        <v>F250-036</v>
      </c>
      <c r="AK2407" s="662" t="str">
        <f t="shared" si="259"/>
        <v>LTK</v>
      </c>
      <c r="AL2407" s="662" t="str">
        <f t="shared" si="260"/>
        <v>FRD</v>
      </c>
      <c r="AM2407" s="662" t="str">
        <f t="shared" si="263"/>
        <v>F250-Regular Cab XL-2WD-3-8'-16600-6.7L Diesel-8-F2A-600A-142-29-Diesel -BioDiesel</v>
      </c>
      <c r="AN2407" s="662" t="str">
        <f t="shared" si="261"/>
        <v>2019-LTK-FRD-F250-036</v>
      </c>
    </row>
    <row r="2408" spans="1:40" s="572" customFormat="1" ht="15">
      <c r="A2408" s="570" t="s">
        <v>4351</v>
      </c>
      <c r="B2408" s="569" t="s">
        <v>4343</v>
      </c>
      <c r="C2408" s="569" t="s">
        <v>280</v>
      </c>
      <c r="D2408" s="580">
        <v>27</v>
      </c>
      <c r="E2408" s="569" t="s">
        <v>3374</v>
      </c>
      <c r="F2408" s="569" t="s">
        <v>196</v>
      </c>
      <c r="G2408" s="569" t="s">
        <v>271</v>
      </c>
      <c r="H2408" s="569">
        <v>2019</v>
      </c>
      <c r="I2408" s="569" t="s">
        <v>4229</v>
      </c>
      <c r="J2408" s="569" t="s">
        <v>3837</v>
      </c>
      <c r="K2408" s="569" t="s">
        <v>3377</v>
      </c>
      <c r="L2408" s="569">
        <v>3</v>
      </c>
      <c r="M2408" s="569">
        <v>0</v>
      </c>
      <c r="N2408" s="569" t="s">
        <v>157</v>
      </c>
      <c r="O2408" s="569">
        <v>1</v>
      </c>
      <c r="P2408" s="569" t="s">
        <v>3846</v>
      </c>
      <c r="Q2408" s="568">
        <v>16600</v>
      </c>
      <c r="R2408" s="569" t="s">
        <v>4231</v>
      </c>
      <c r="S2408" s="569">
        <v>8</v>
      </c>
      <c r="T2408" s="569" t="s">
        <v>4334</v>
      </c>
      <c r="U2408" s="569" t="s">
        <v>366</v>
      </c>
      <c r="V2408" s="569">
        <v>142</v>
      </c>
      <c r="W2408" s="569">
        <v>29</v>
      </c>
      <c r="X2408" s="568">
        <v>10000</v>
      </c>
      <c r="Y2408" s="573">
        <v>15</v>
      </c>
      <c r="Z2408" s="581" t="s">
        <v>728</v>
      </c>
      <c r="AA2408" s="581" t="s">
        <v>1523</v>
      </c>
      <c r="AB2408" s="585">
        <v>43275</v>
      </c>
      <c r="AC2408" s="585" t="s">
        <v>164</v>
      </c>
      <c r="AD2408" s="585">
        <v>31940.210526315786</v>
      </c>
      <c r="AE2408" s="587">
        <v>0.03</v>
      </c>
      <c r="AF2408" s="661" t="str">
        <f t="shared" si="262"/>
        <v>2019-LTK-FRD-F250-037-27</v>
      </c>
      <c r="AG2408" s="661" t="str">
        <f>IF(AND($Y2408&gt;=32,(AI2408="I"),(Y2408&lt;&gt;"~"),(COUNTIF($AN$1:$AN2408,$AN2408)=1)),"TRUE","FALSE")</f>
        <v>FALSE</v>
      </c>
      <c r="AH2408" s="661" t="str">
        <f>IF(AND($Y2408&gt;=22, (AI2408&lt;&gt;"I"),(Y2408&lt;&gt;"~"),(COUNTIF($AN$1:$AN2408,$AN2408)=1)),"TRUE","FALSE")</f>
        <v>FALSE</v>
      </c>
      <c r="AI2408" s="661" t="str">
        <f t="shared" si="264"/>
        <v>II</v>
      </c>
      <c r="AJ2408" s="662" t="str">
        <f t="shared" si="258"/>
        <v>F250-037</v>
      </c>
      <c r="AK2408" s="662" t="str">
        <f t="shared" si="259"/>
        <v>LTK</v>
      </c>
      <c r="AL2408" s="662" t="str">
        <f t="shared" si="260"/>
        <v>FRD</v>
      </c>
      <c r="AM2408" s="662" t="str">
        <f t="shared" si="263"/>
        <v>F250-Regular Cab XL-2WD-3-8'-16600-6.7L Diesel-8-F2A-600A-142-29-Diesel-BioDiesel</v>
      </c>
      <c r="AN2408" s="662" t="str">
        <f t="shared" si="261"/>
        <v>2019-LTK-FRD-F250-037</v>
      </c>
    </row>
    <row r="2409" spans="1:40" s="572" customFormat="1" ht="15">
      <c r="A2409" s="570" t="s">
        <v>4352</v>
      </c>
      <c r="B2409" s="573" t="s">
        <v>4353</v>
      </c>
      <c r="C2409" s="573" t="s">
        <v>269</v>
      </c>
      <c r="D2409" s="578" t="s">
        <v>270</v>
      </c>
      <c r="E2409" s="573" t="s">
        <v>3374</v>
      </c>
      <c r="F2409" s="573" t="s">
        <v>196</v>
      </c>
      <c r="G2409" s="573" t="s">
        <v>271</v>
      </c>
      <c r="H2409" s="573">
        <v>2019</v>
      </c>
      <c r="I2409" s="573" t="s">
        <v>4229</v>
      </c>
      <c r="J2409" s="573" t="s">
        <v>3837</v>
      </c>
      <c r="K2409" s="573" t="s">
        <v>752</v>
      </c>
      <c r="L2409" s="573">
        <v>3</v>
      </c>
      <c r="M2409" s="573">
        <v>0</v>
      </c>
      <c r="N2409" s="573" t="s">
        <v>157</v>
      </c>
      <c r="O2409" s="573">
        <v>1</v>
      </c>
      <c r="P2409" s="573" t="s">
        <v>3846</v>
      </c>
      <c r="Q2409" s="571">
        <v>12900</v>
      </c>
      <c r="R2409" s="573" t="s">
        <v>4235</v>
      </c>
      <c r="S2409" s="573">
        <v>8</v>
      </c>
      <c r="T2409" s="573" t="s">
        <v>4354</v>
      </c>
      <c r="U2409" s="573" t="s">
        <v>366</v>
      </c>
      <c r="V2409" s="573">
        <v>142</v>
      </c>
      <c r="W2409" s="573">
        <v>34</v>
      </c>
      <c r="X2409" s="571">
        <v>10000</v>
      </c>
      <c r="Y2409" s="573">
        <v>14</v>
      </c>
      <c r="Z2409" s="579" t="s">
        <v>450</v>
      </c>
      <c r="AA2409" s="579" t="s">
        <v>178</v>
      </c>
      <c r="AB2409" s="584">
        <v>37075</v>
      </c>
      <c r="AC2409" s="584" t="s">
        <v>164</v>
      </c>
      <c r="AD2409" s="584">
        <v>26441.389473684212</v>
      </c>
      <c r="AE2409" s="586">
        <v>0.03</v>
      </c>
      <c r="AF2409" s="661" t="str">
        <f t="shared" si="262"/>
        <v>2019-LTK-FRD-F250-038-05</v>
      </c>
      <c r="AG2409" s="661" t="str">
        <f>IF(AND($Y2409&gt;=32,(AI2409="I"),(Y2409&lt;&gt;"~"),(COUNTIF($AN$1:$AN2409,$AN2409)=1)),"TRUE","FALSE")</f>
        <v>FALSE</v>
      </c>
      <c r="AH2409" s="661" t="str">
        <f>IF(AND($Y2409&gt;=22, (AI2409&lt;&gt;"I"),(Y2409&lt;&gt;"~"),(COUNTIF($AN$1:$AN2409,$AN2409)=1)),"TRUE","FALSE")</f>
        <v>FALSE</v>
      </c>
      <c r="AI2409" s="661" t="str">
        <f t="shared" si="264"/>
        <v>II</v>
      </c>
      <c r="AJ2409" s="662" t="str">
        <f t="shared" si="258"/>
        <v>F250-038</v>
      </c>
      <c r="AK2409" s="662" t="str">
        <f t="shared" si="259"/>
        <v>LTK</v>
      </c>
      <c r="AL2409" s="662" t="str">
        <f t="shared" si="260"/>
        <v>FRD</v>
      </c>
      <c r="AM2409" s="662" t="str">
        <f t="shared" si="263"/>
        <v>F250-Regular Cab XL-4WD-3-8'-12900-6.2L FFV-8-F2B-600A-142-34-E85-Unleaded</v>
      </c>
      <c r="AN2409" s="662" t="str">
        <f t="shared" si="261"/>
        <v>2019-LTK-FRD-F250-038</v>
      </c>
    </row>
    <row r="2410" spans="1:40" s="572" customFormat="1" ht="15">
      <c r="A2410" s="570" t="s">
        <v>4355</v>
      </c>
      <c r="B2410" s="569" t="s">
        <v>4356</v>
      </c>
      <c r="C2410" s="569" t="s">
        <v>269</v>
      </c>
      <c r="D2410" s="580" t="s">
        <v>270</v>
      </c>
      <c r="E2410" s="569" t="s">
        <v>3374</v>
      </c>
      <c r="F2410" s="569" t="s">
        <v>196</v>
      </c>
      <c r="G2410" s="569" t="s">
        <v>271</v>
      </c>
      <c r="H2410" s="569">
        <v>2019</v>
      </c>
      <c r="I2410" s="569" t="s">
        <v>4229</v>
      </c>
      <c r="J2410" s="569" t="s">
        <v>3837</v>
      </c>
      <c r="K2410" s="569" t="s">
        <v>752</v>
      </c>
      <c r="L2410" s="569">
        <v>3</v>
      </c>
      <c r="M2410" s="569">
        <v>0</v>
      </c>
      <c r="N2410" s="569" t="s">
        <v>157</v>
      </c>
      <c r="O2410" s="569">
        <v>1</v>
      </c>
      <c r="P2410" s="569" t="s">
        <v>3846</v>
      </c>
      <c r="Q2410" s="568">
        <v>16600</v>
      </c>
      <c r="R2410" s="569" t="s">
        <v>4231</v>
      </c>
      <c r="S2410" s="569">
        <v>8</v>
      </c>
      <c r="T2410" s="569" t="s">
        <v>4354</v>
      </c>
      <c r="U2410" s="569" t="s">
        <v>366</v>
      </c>
      <c r="V2410" s="569">
        <v>142</v>
      </c>
      <c r="W2410" s="569">
        <v>29</v>
      </c>
      <c r="X2410" s="568">
        <v>10000</v>
      </c>
      <c r="Y2410" s="573">
        <v>14</v>
      </c>
      <c r="Z2410" s="581" t="s">
        <v>4341</v>
      </c>
      <c r="AA2410" s="581" t="s">
        <v>1523</v>
      </c>
      <c r="AB2410" s="585">
        <v>46070</v>
      </c>
      <c r="AC2410" s="585" t="s">
        <v>164</v>
      </c>
      <c r="AD2410" s="585">
        <v>34522.31578947368</v>
      </c>
      <c r="AE2410" s="587">
        <v>0.03</v>
      </c>
      <c r="AF2410" s="661" t="str">
        <f t="shared" si="262"/>
        <v>2019-LTK-FRD-F250-039-05</v>
      </c>
      <c r="AG2410" s="661" t="str">
        <f>IF(AND($Y2410&gt;=32,(AI2410="I"),(Y2410&lt;&gt;"~"),(COUNTIF($AN$1:$AN2410,$AN2410)=1)),"TRUE","FALSE")</f>
        <v>FALSE</v>
      </c>
      <c r="AH2410" s="661" t="str">
        <f>IF(AND($Y2410&gt;=22, (AI2410&lt;&gt;"I"),(Y2410&lt;&gt;"~"),(COUNTIF($AN$1:$AN2410,$AN2410)=1)),"TRUE","FALSE")</f>
        <v>FALSE</v>
      </c>
      <c r="AI2410" s="661" t="str">
        <f t="shared" si="264"/>
        <v>II</v>
      </c>
      <c r="AJ2410" s="662" t="str">
        <f t="shared" si="258"/>
        <v>F250-039</v>
      </c>
      <c r="AK2410" s="662" t="str">
        <f t="shared" si="259"/>
        <v>LTK</v>
      </c>
      <c r="AL2410" s="662" t="str">
        <f t="shared" si="260"/>
        <v>FRD</v>
      </c>
      <c r="AM2410" s="662" t="str">
        <f t="shared" si="263"/>
        <v>F250-Regular Cab XL-4WD-3-8'-16600-6.7L Diesel-8-F2B-600A-142-29-Diesel -BioDiesel</v>
      </c>
      <c r="AN2410" s="662" t="str">
        <f t="shared" si="261"/>
        <v>2019-LTK-FRD-F250-039</v>
      </c>
    </row>
    <row r="2411" spans="1:40" s="572" customFormat="1" ht="15">
      <c r="A2411" s="570" t="s">
        <v>4357</v>
      </c>
      <c r="B2411" s="573" t="s">
        <v>4358</v>
      </c>
      <c r="C2411" s="573" t="s">
        <v>269</v>
      </c>
      <c r="D2411" s="578" t="s">
        <v>270</v>
      </c>
      <c r="E2411" s="573" t="s">
        <v>3374</v>
      </c>
      <c r="F2411" s="573" t="s">
        <v>196</v>
      </c>
      <c r="G2411" s="573" t="s">
        <v>271</v>
      </c>
      <c r="H2411" s="573">
        <v>2019</v>
      </c>
      <c r="I2411" s="573" t="s">
        <v>4229</v>
      </c>
      <c r="J2411" s="573" t="s">
        <v>3837</v>
      </c>
      <c r="K2411" s="573" t="s">
        <v>752</v>
      </c>
      <c r="L2411" s="573">
        <v>3</v>
      </c>
      <c r="M2411" s="573">
        <v>0</v>
      </c>
      <c r="N2411" s="573" t="s">
        <v>157</v>
      </c>
      <c r="O2411" s="573">
        <v>1</v>
      </c>
      <c r="P2411" s="573" t="s">
        <v>3846</v>
      </c>
      <c r="Q2411" s="571">
        <v>16600</v>
      </c>
      <c r="R2411" s="573" t="s">
        <v>4231</v>
      </c>
      <c r="S2411" s="573">
        <v>8</v>
      </c>
      <c r="T2411" s="573" t="s">
        <v>4354</v>
      </c>
      <c r="U2411" s="573" t="s">
        <v>366</v>
      </c>
      <c r="V2411" s="573">
        <v>142</v>
      </c>
      <c r="W2411" s="573">
        <v>29</v>
      </c>
      <c r="X2411" s="571">
        <v>10000</v>
      </c>
      <c r="Y2411" s="573">
        <v>14</v>
      </c>
      <c r="Z2411" s="579" t="s">
        <v>728</v>
      </c>
      <c r="AA2411" s="579" t="s">
        <v>1523</v>
      </c>
      <c r="AB2411" s="584">
        <v>46070</v>
      </c>
      <c r="AC2411" s="584" t="s">
        <v>164</v>
      </c>
      <c r="AD2411" s="584">
        <v>34522.31578947368</v>
      </c>
      <c r="AE2411" s="586">
        <v>0.03</v>
      </c>
      <c r="AF2411" s="661" t="str">
        <f t="shared" si="262"/>
        <v>2019-LTK-FRD-F250-040-05</v>
      </c>
      <c r="AG2411" s="661" t="str">
        <f>IF(AND($Y2411&gt;=32,(AI2411="I"),(Y2411&lt;&gt;"~"),(COUNTIF($AN$1:$AN2411,$AN2411)=1)),"TRUE","FALSE")</f>
        <v>FALSE</v>
      </c>
      <c r="AH2411" s="661" t="str">
        <f>IF(AND($Y2411&gt;=22, (AI2411&lt;&gt;"I"),(Y2411&lt;&gt;"~"),(COUNTIF($AN$1:$AN2411,$AN2411)=1)),"TRUE","FALSE")</f>
        <v>FALSE</v>
      </c>
      <c r="AI2411" s="661" t="str">
        <f t="shared" si="264"/>
        <v>II</v>
      </c>
      <c r="AJ2411" s="662" t="str">
        <f t="shared" si="258"/>
        <v>F250-040</v>
      </c>
      <c r="AK2411" s="662" t="str">
        <f t="shared" si="259"/>
        <v>LTK</v>
      </c>
      <c r="AL2411" s="662" t="str">
        <f t="shared" si="260"/>
        <v>FRD</v>
      </c>
      <c r="AM2411" s="662" t="str">
        <f t="shared" si="263"/>
        <v>F250-Regular Cab XL-4WD-3-8'-16600-6.7L Diesel-8-F2B-600A-142-29-Diesel-BioDiesel</v>
      </c>
      <c r="AN2411" s="662" t="str">
        <f t="shared" si="261"/>
        <v>2019-LTK-FRD-F250-040</v>
      </c>
    </row>
    <row r="2412" spans="1:40" s="572" customFormat="1" ht="15">
      <c r="A2412" s="570" t="s">
        <v>4359</v>
      </c>
      <c r="B2412" s="569" t="s">
        <v>4353</v>
      </c>
      <c r="C2412" s="569" t="s">
        <v>278</v>
      </c>
      <c r="D2412" s="580">
        <v>15</v>
      </c>
      <c r="E2412" s="569" t="s">
        <v>3374</v>
      </c>
      <c r="F2412" s="569" t="s">
        <v>196</v>
      </c>
      <c r="G2412" s="569" t="s">
        <v>271</v>
      </c>
      <c r="H2412" s="569">
        <v>2019</v>
      </c>
      <c r="I2412" s="569" t="s">
        <v>4229</v>
      </c>
      <c r="J2412" s="569" t="s">
        <v>3837</v>
      </c>
      <c r="K2412" s="569" t="s">
        <v>752</v>
      </c>
      <c r="L2412" s="569">
        <v>3</v>
      </c>
      <c r="M2412" s="569">
        <v>0</v>
      </c>
      <c r="N2412" s="569" t="s">
        <v>157</v>
      </c>
      <c r="O2412" s="569">
        <v>1</v>
      </c>
      <c r="P2412" s="569" t="s">
        <v>3846</v>
      </c>
      <c r="Q2412" s="568">
        <v>12900</v>
      </c>
      <c r="R2412" s="569" t="s">
        <v>4235</v>
      </c>
      <c r="S2412" s="569">
        <v>8</v>
      </c>
      <c r="T2412" s="569" t="s">
        <v>4354</v>
      </c>
      <c r="U2412" s="569" t="s">
        <v>366</v>
      </c>
      <c r="V2412" s="569">
        <v>142</v>
      </c>
      <c r="W2412" s="569">
        <v>34</v>
      </c>
      <c r="X2412" s="568">
        <v>10000</v>
      </c>
      <c r="Y2412" s="573">
        <v>14</v>
      </c>
      <c r="Z2412" s="581" t="s">
        <v>450</v>
      </c>
      <c r="AA2412" s="581" t="s">
        <v>178</v>
      </c>
      <c r="AB2412" s="585">
        <v>37440</v>
      </c>
      <c r="AC2412" s="585" t="s">
        <v>164</v>
      </c>
      <c r="AD2412" s="585">
        <v>26900</v>
      </c>
      <c r="AE2412" s="587">
        <v>0.01</v>
      </c>
      <c r="AF2412" s="661" t="str">
        <f t="shared" si="262"/>
        <v>2019-LTK-FRD-F250-038-15</v>
      </c>
      <c r="AG2412" s="661" t="str">
        <f>IF(AND($Y2412&gt;=32,(AI2412="I"),(Y2412&lt;&gt;"~"),(COUNTIF($AN$1:$AN2412,$AN2412)=1)),"TRUE","FALSE")</f>
        <v>FALSE</v>
      </c>
      <c r="AH2412" s="661" t="str">
        <f>IF(AND($Y2412&gt;=22, (AI2412&lt;&gt;"I"),(Y2412&lt;&gt;"~"),(COUNTIF($AN$1:$AN2412,$AN2412)=1)),"TRUE","FALSE")</f>
        <v>FALSE</v>
      </c>
      <c r="AI2412" s="661" t="str">
        <f t="shared" si="264"/>
        <v>II</v>
      </c>
      <c r="AJ2412" s="662" t="str">
        <f t="shared" si="258"/>
        <v>F250-038</v>
      </c>
      <c r="AK2412" s="662" t="str">
        <f t="shared" si="259"/>
        <v>LTK</v>
      </c>
      <c r="AL2412" s="662" t="str">
        <f t="shared" si="260"/>
        <v>FRD</v>
      </c>
      <c r="AM2412" s="662" t="str">
        <f t="shared" si="263"/>
        <v>F250-Regular Cab XL-4WD-3-8'-12900-6.2L FFV-8-F2B-600A-142-34-E85-Unleaded</v>
      </c>
      <c r="AN2412" s="662" t="str">
        <f t="shared" si="261"/>
        <v>2019-LTK-FRD-F250-038</v>
      </c>
    </row>
    <row r="2413" spans="1:40" s="572" customFormat="1" ht="15">
      <c r="A2413" s="570" t="s">
        <v>4360</v>
      </c>
      <c r="B2413" s="573" t="s">
        <v>4358</v>
      </c>
      <c r="C2413" s="573" t="s">
        <v>278</v>
      </c>
      <c r="D2413" s="578">
        <v>15</v>
      </c>
      <c r="E2413" s="573" t="s">
        <v>3374</v>
      </c>
      <c r="F2413" s="573" t="s">
        <v>196</v>
      </c>
      <c r="G2413" s="573" t="s">
        <v>271</v>
      </c>
      <c r="H2413" s="573">
        <v>2019</v>
      </c>
      <c r="I2413" s="573" t="s">
        <v>4229</v>
      </c>
      <c r="J2413" s="573" t="s">
        <v>3837</v>
      </c>
      <c r="K2413" s="573" t="s">
        <v>752</v>
      </c>
      <c r="L2413" s="573">
        <v>3</v>
      </c>
      <c r="M2413" s="573">
        <v>0</v>
      </c>
      <c r="N2413" s="573" t="s">
        <v>157</v>
      </c>
      <c r="O2413" s="573">
        <v>1</v>
      </c>
      <c r="P2413" s="573" t="s">
        <v>3846</v>
      </c>
      <c r="Q2413" s="571">
        <v>16600</v>
      </c>
      <c r="R2413" s="573" t="s">
        <v>4231</v>
      </c>
      <c r="S2413" s="573">
        <v>8</v>
      </c>
      <c r="T2413" s="573" t="s">
        <v>4354</v>
      </c>
      <c r="U2413" s="573" t="s">
        <v>366</v>
      </c>
      <c r="V2413" s="573">
        <v>142</v>
      </c>
      <c r="W2413" s="573">
        <v>29</v>
      </c>
      <c r="X2413" s="571">
        <v>10000</v>
      </c>
      <c r="Y2413" s="573">
        <v>14</v>
      </c>
      <c r="Z2413" s="579" t="s">
        <v>728</v>
      </c>
      <c r="AA2413" s="579" t="s">
        <v>1523</v>
      </c>
      <c r="AB2413" s="584">
        <v>46560</v>
      </c>
      <c r="AC2413" s="584" t="s">
        <v>164</v>
      </c>
      <c r="AD2413" s="584">
        <v>35150</v>
      </c>
      <c r="AE2413" s="586">
        <v>0.01</v>
      </c>
      <c r="AF2413" s="661" t="str">
        <f t="shared" si="262"/>
        <v>2019-LTK-FRD-F250-040-15</v>
      </c>
      <c r="AG2413" s="661" t="str">
        <f>IF(AND($Y2413&gt;=32,(AI2413="I"),(Y2413&lt;&gt;"~"),(COUNTIF($AN$1:$AN2413,$AN2413)=1)),"TRUE","FALSE")</f>
        <v>FALSE</v>
      </c>
      <c r="AH2413" s="661" t="str">
        <f>IF(AND($Y2413&gt;=22, (AI2413&lt;&gt;"I"),(Y2413&lt;&gt;"~"),(COUNTIF($AN$1:$AN2413,$AN2413)=1)),"TRUE","FALSE")</f>
        <v>FALSE</v>
      </c>
      <c r="AI2413" s="661" t="str">
        <f t="shared" si="264"/>
        <v>II</v>
      </c>
      <c r="AJ2413" s="662" t="str">
        <f t="shared" si="258"/>
        <v>F250-040</v>
      </c>
      <c r="AK2413" s="662" t="str">
        <f t="shared" si="259"/>
        <v>LTK</v>
      </c>
      <c r="AL2413" s="662" t="str">
        <f t="shared" si="260"/>
        <v>FRD</v>
      </c>
      <c r="AM2413" s="662" t="str">
        <f t="shared" si="263"/>
        <v>F250-Regular Cab XL-4WD-3-8'-16600-6.7L Diesel-8-F2B-600A-142-29-Diesel-BioDiesel</v>
      </c>
      <c r="AN2413" s="662" t="str">
        <f t="shared" si="261"/>
        <v>2019-LTK-FRD-F250-040</v>
      </c>
    </row>
    <row r="2414" spans="1:40" s="572" customFormat="1" ht="15">
      <c r="A2414" s="570" t="s">
        <v>4361</v>
      </c>
      <c r="B2414" s="569" t="s">
        <v>4353</v>
      </c>
      <c r="C2414" s="569" t="s">
        <v>287</v>
      </c>
      <c r="D2414" s="580">
        <v>26</v>
      </c>
      <c r="E2414" s="569" t="s">
        <v>3374</v>
      </c>
      <c r="F2414" s="569" t="s">
        <v>196</v>
      </c>
      <c r="G2414" s="569" t="s">
        <v>271</v>
      </c>
      <c r="H2414" s="569">
        <v>2019</v>
      </c>
      <c r="I2414" s="569" t="s">
        <v>4229</v>
      </c>
      <c r="J2414" s="569" t="s">
        <v>3837</v>
      </c>
      <c r="K2414" s="569" t="s">
        <v>752</v>
      </c>
      <c r="L2414" s="569">
        <v>3</v>
      </c>
      <c r="M2414" s="569">
        <v>0</v>
      </c>
      <c r="N2414" s="569" t="s">
        <v>157</v>
      </c>
      <c r="O2414" s="569">
        <v>1</v>
      </c>
      <c r="P2414" s="569" t="s">
        <v>3846</v>
      </c>
      <c r="Q2414" s="568">
        <v>12900</v>
      </c>
      <c r="R2414" s="569" t="s">
        <v>4235</v>
      </c>
      <c r="S2414" s="569">
        <v>8</v>
      </c>
      <c r="T2414" s="569" t="s">
        <v>4354</v>
      </c>
      <c r="U2414" s="569" t="s">
        <v>366</v>
      </c>
      <c r="V2414" s="569">
        <v>142</v>
      </c>
      <c r="W2414" s="569">
        <v>34</v>
      </c>
      <c r="X2414" s="568">
        <v>10000</v>
      </c>
      <c r="Y2414" s="573">
        <v>14</v>
      </c>
      <c r="Z2414" s="581" t="s">
        <v>450</v>
      </c>
      <c r="AA2414" s="581" t="s">
        <v>178</v>
      </c>
      <c r="AB2414" s="585">
        <v>37075</v>
      </c>
      <c r="AC2414" s="585" t="s">
        <v>164</v>
      </c>
      <c r="AD2414" s="585">
        <v>27009</v>
      </c>
      <c r="AE2414" s="587">
        <v>0.05</v>
      </c>
      <c r="AF2414" s="661" t="str">
        <f t="shared" si="262"/>
        <v>2019-LTK-FRD-F250-038-26</v>
      </c>
      <c r="AG2414" s="661" t="str">
        <f>IF(AND($Y2414&gt;=32,(AI2414="I"),(Y2414&lt;&gt;"~"),(COUNTIF($AN$1:$AN2414,$AN2414)=1)),"TRUE","FALSE")</f>
        <v>FALSE</v>
      </c>
      <c r="AH2414" s="661" t="str">
        <f>IF(AND($Y2414&gt;=22, (AI2414&lt;&gt;"I"),(Y2414&lt;&gt;"~"),(COUNTIF($AN$1:$AN2414,$AN2414)=1)),"TRUE","FALSE")</f>
        <v>FALSE</v>
      </c>
      <c r="AI2414" s="661" t="str">
        <f t="shared" si="264"/>
        <v>II</v>
      </c>
      <c r="AJ2414" s="662" t="str">
        <f t="shared" si="258"/>
        <v>F250-038</v>
      </c>
      <c r="AK2414" s="662" t="str">
        <f t="shared" si="259"/>
        <v>LTK</v>
      </c>
      <c r="AL2414" s="662" t="str">
        <f t="shared" si="260"/>
        <v>FRD</v>
      </c>
      <c r="AM2414" s="662" t="str">
        <f t="shared" si="263"/>
        <v>F250-Regular Cab XL-4WD-3-8'-12900-6.2L FFV-8-F2B-600A-142-34-E85-Unleaded</v>
      </c>
      <c r="AN2414" s="662" t="str">
        <f t="shared" si="261"/>
        <v>2019-LTK-FRD-F250-038</v>
      </c>
    </row>
    <row r="2415" spans="1:40" s="572" customFormat="1" ht="15">
      <c r="A2415" s="570" t="s">
        <v>4362</v>
      </c>
      <c r="B2415" s="573" t="s">
        <v>4358</v>
      </c>
      <c r="C2415" s="573" t="s">
        <v>287</v>
      </c>
      <c r="D2415" s="578">
        <v>26</v>
      </c>
      <c r="E2415" s="573" t="s">
        <v>3374</v>
      </c>
      <c r="F2415" s="573" t="s">
        <v>196</v>
      </c>
      <c r="G2415" s="573" t="s">
        <v>271</v>
      </c>
      <c r="H2415" s="573">
        <v>2019</v>
      </c>
      <c r="I2415" s="573" t="s">
        <v>4229</v>
      </c>
      <c r="J2415" s="573" t="s">
        <v>3837</v>
      </c>
      <c r="K2415" s="573" t="s">
        <v>752</v>
      </c>
      <c r="L2415" s="573">
        <v>3</v>
      </c>
      <c r="M2415" s="573">
        <v>0</v>
      </c>
      <c r="N2415" s="573" t="s">
        <v>157</v>
      </c>
      <c r="O2415" s="573">
        <v>1</v>
      </c>
      <c r="P2415" s="573" t="s">
        <v>3846</v>
      </c>
      <c r="Q2415" s="571">
        <v>16600</v>
      </c>
      <c r="R2415" s="573" t="s">
        <v>4231</v>
      </c>
      <c r="S2415" s="573">
        <v>8</v>
      </c>
      <c r="T2415" s="573" t="s">
        <v>4354</v>
      </c>
      <c r="U2415" s="573" t="s">
        <v>366</v>
      </c>
      <c r="V2415" s="573">
        <v>142</v>
      </c>
      <c r="W2415" s="573">
        <v>29</v>
      </c>
      <c r="X2415" s="571">
        <v>10000</v>
      </c>
      <c r="Y2415" s="573">
        <v>14</v>
      </c>
      <c r="Z2415" s="579" t="s">
        <v>728</v>
      </c>
      <c r="AA2415" s="579" t="s">
        <v>1523</v>
      </c>
      <c r="AB2415" s="584">
        <v>46070</v>
      </c>
      <c r="AC2415" s="584" t="s">
        <v>164</v>
      </c>
      <c r="AD2415" s="584">
        <v>35203</v>
      </c>
      <c r="AE2415" s="586">
        <v>0.05</v>
      </c>
      <c r="AF2415" s="661" t="str">
        <f t="shared" si="262"/>
        <v>2019-LTK-FRD-F250-040-26</v>
      </c>
      <c r="AG2415" s="661" t="str">
        <f>IF(AND($Y2415&gt;=32,(AI2415="I"),(Y2415&lt;&gt;"~"),(COUNTIF($AN$1:$AN2415,$AN2415)=1)),"TRUE","FALSE")</f>
        <v>FALSE</v>
      </c>
      <c r="AH2415" s="661" t="str">
        <f>IF(AND($Y2415&gt;=22, (AI2415&lt;&gt;"I"),(Y2415&lt;&gt;"~"),(COUNTIF($AN$1:$AN2415,$AN2415)=1)),"TRUE","FALSE")</f>
        <v>FALSE</v>
      </c>
      <c r="AI2415" s="661" t="str">
        <f t="shared" si="264"/>
        <v>II</v>
      </c>
      <c r="AJ2415" s="662" t="str">
        <f t="shared" si="258"/>
        <v>F250-040</v>
      </c>
      <c r="AK2415" s="662" t="str">
        <f t="shared" si="259"/>
        <v>LTK</v>
      </c>
      <c r="AL2415" s="662" t="str">
        <f t="shared" si="260"/>
        <v>FRD</v>
      </c>
      <c r="AM2415" s="662" t="str">
        <f t="shared" si="263"/>
        <v>F250-Regular Cab XL-4WD-3-8'-16600-6.7L Diesel-8-F2B-600A-142-29-Diesel-BioDiesel</v>
      </c>
      <c r="AN2415" s="662" t="str">
        <f t="shared" si="261"/>
        <v>2019-LTK-FRD-F250-040</v>
      </c>
    </row>
    <row r="2416" spans="1:40" s="572" customFormat="1" ht="15">
      <c r="A2416" s="570" t="s">
        <v>4363</v>
      </c>
      <c r="B2416" s="569" t="s">
        <v>4353</v>
      </c>
      <c r="C2416" s="569" t="s">
        <v>280</v>
      </c>
      <c r="D2416" s="580">
        <v>27</v>
      </c>
      <c r="E2416" s="569" t="s">
        <v>3374</v>
      </c>
      <c r="F2416" s="569" t="s">
        <v>196</v>
      </c>
      <c r="G2416" s="569" t="s">
        <v>271</v>
      </c>
      <c r="H2416" s="569">
        <v>2019</v>
      </c>
      <c r="I2416" s="569" t="s">
        <v>4229</v>
      </c>
      <c r="J2416" s="569" t="s">
        <v>3837</v>
      </c>
      <c r="K2416" s="569" t="s">
        <v>752</v>
      </c>
      <c r="L2416" s="569">
        <v>3</v>
      </c>
      <c r="M2416" s="569">
        <v>0</v>
      </c>
      <c r="N2416" s="569" t="s">
        <v>157</v>
      </c>
      <c r="O2416" s="569">
        <v>1</v>
      </c>
      <c r="P2416" s="569" t="s">
        <v>3846</v>
      </c>
      <c r="Q2416" s="568">
        <v>12900</v>
      </c>
      <c r="R2416" s="569" t="s">
        <v>4235</v>
      </c>
      <c r="S2416" s="569">
        <v>8</v>
      </c>
      <c r="T2416" s="569" t="s">
        <v>4354</v>
      </c>
      <c r="U2416" s="569" t="s">
        <v>366</v>
      </c>
      <c r="V2416" s="569">
        <v>142</v>
      </c>
      <c r="W2416" s="569">
        <v>34</v>
      </c>
      <c r="X2416" s="568">
        <v>10000</v>
      </c>
      <c r="Y2416" s="573">
        <v>14</v>
      </c>
      <c r="Z2416" s="581" t="s">
        <v>450</v>
      </c>
      <c r="AA2416" s="581" t="s">
        <v>178</v>
      </c>
      <c r="AB2416" s="585">
        <v>37075</v>
      </c>
      <c r="AC2416" s="585" t="s">
        <v>164</v>
      </c>
      <c r="AD2416" s="585">
        <v>26441.389473684212</v>
      </c>
      <c r="AE2416" s="587">
        <v>0.03</v>
      </c>
      <c r="AF2416" s="661" t="str">
        <f t="shared" si="262"/>
        <v>2019-LTK-FRD-F250-038-27</v>
      </c>
      <c r="AG2416" s="661" t="str">
        <f>IF(AND($Y2416&gt;=32,(AI2416="I"),(Y2416&lt;&gt;"~"),(COUNTIF($AN$1:$AN2416,$AN2416)=1)),"TRUE","FALSE")</f>
        <v>FALSE</v>
      </c>
      <c r="AH2416" s="661" t="str">
        <f>IF(AND($Y2416&gt;=22, (AI2416&lt;&gt;"I"),(Y2416&lt;&gt;"~"),(COUNTIF($AN$1:$AN2416,$AN2416)=1)),"TRUE","FALSE")</f>
        <v>FALSE</v>
      </c>
      <c r="AI2416" s="661" t="str">
        <f t="shared" si="264"/>
        <v>II</v>
      </c>
      <c r="AJ2416" s="662" t="str">
        <f t="shared" si="258"/>
        <v>F250-038</v>
      </c>
      <c r="AK2416" s="662" t="str">
        <f t="shared" si="259"/>
        <v>LTK</v>
      </c>
      <c r="AL2416" s="662" t="str">
        <f t="shared" si="260"/>
        <v>FRD</v>
      </c>
      <c r="AM2416" s="662" t="str">
        <f t="shared" si="263"/>
        <v>F250-Regular Cab XL-4WD-3-8'-12900-6.2L FFV-8-F2B-600A-142-34-E85-Unleaded</v>
      </c>
      <c r="AN2416" s="662" t="str">
        <f t="shared" si="261"/>
        <v>2019-LTK-FRD-F250-038</v>
      </c>
    </row>
    <row r="2417" spans="1:40" s="572" customFormat="1" ht="15">
      <c r="A2417" s="570" t="s">
        <v>4364</v>
      </c>
      <c r="B2417" s="573" t="s">
        <v>4356</v>
      </c>
      <c r="C2417" s="573" t="s">
        <v>280</v>
      </c>
      <c r="D2417" s="578">
        <v>27</v>
      </c>
      <c r="E2417" s="573" t="s">
        <v>3374</v>
      </c>
      <c r="F2417" s="573" t="s">
        <v>196</v>
      </c>
      <c r="G2417" s="573" t="s">
        <v>271</v>
      </c>
      <c r="H2417" s="573">
        <v>2019</v>
      </c>
      <c r="I2417" s="573" t="s">
        <v>4229</v>
      </c>
      <c r="J2417" s="573" t="s">
        <v>3837</v>
      </c>
      <c r="K2417" s="573" t="s">
        <v>752</v>
      </c>
      <c r="L2417" s="573">
        <v>3</v>
      </c>
      <c r="M2417" s="573">
        <v>0</v>
      </c>
      <c r="N2417" s="573" t="s">
        <v>157</v>
      </c>
      <c r="O2417" s="573">
        <v>1</v>
      </c>
      <c r="P2417" s="573" t="s">
        <v>3846</v>
      </c>
      <c r="Q2417" s="571">
        <v>16600</v>
      </c>
      <c r="R2417" s="573" t="s">
        <v>4231</v>
      </c>
      <c r="S2417" s="573">
        <v>8</v>
      </c>
      <c r="T2417" s="573" t="s">
        <v>4354</v>
      </c>
      <c r="U2417" s="573" t="s">
        <v>366</v>
      </c>
      <c r="V2417" s="573">
        <v>142</v>
      </c>
      <c r="W2417" s="573">
        <v>29</v>
      </c>
      <c r="X2417" s="571">
        <v>10000</v>
      </c>
      <c r="Y2417" s="573">
        <v>14</v>
      </c>
      <c r="Z2417" s="579" t="s">
        <v>4341</v>
      </c>
      <c r="AA2417" s="579" t="s">
        <v>1523</v>
      </c>
      <c r="AB2417" s="584">
        <v>46070</v>
      </c>
      <c r="AC2417" s="584" t="s">
        <v>164</v>
      </c>
      <c r="AD2417" s="584">
        <v>34522.31578947368</v>
      </c>
      <c r="AE2417" s="586">
        <v>0.03</v>
      </c>
      <c r="AF2417" s="661" t="str">
        <f t="shared" si="262"/>
        <v>2019-LTK-FRD-F250-039-27</v>
      </c>
      <c r="AG2417" s="661" t="str">
        <f>IF(AND($Y2417&gt;=32,(AI2417="I"),(Y2417&lt;&gt;"~"),(COUNTIF($AN$1:$AN2417,$AN2417)=1)),"TRUE","FALSE")</f>
        <v>FALSE</v>
      </c>
      <c r="AH2417" s="661" t="str">
        <f>IF(AND($Y2417&gt;=22, (AI2417&lt;&gt;"I"),(Y2417&lt;&gt;"~"),(COUNTIF($AN$1:$AN2417,$AN2417)=1)),"TRUE","FALSE")</f>
        <v>FALSE</v>
      </c>
      <c r="AI2417" s="661" t="str">
        <f t="shared" si="264"/>
        <v>II</v>
      </c>
      <c r="AJ2417" s="662" t="str">
        <f t="shared" si="258"/>
        <v>F250-039</v>
      </c>
      <c r="AK2417" s="662" t="str">
        <f t="shared" si="259"/>
        <v>LTK</v>
      </c>
      <c r="AL2417" s="662" t="str">
        <f t="shared" si="260"/>
        <v>FRD</v>
      </c>
      <c r="AM2417" s="662" t="str">
        <f t="shared" si="263"/>
        <v>F250-Regular Cab XL-4WD-3-8'-16600-6.7L Diesel-8-F2B-600A-142-29-Diesel -BioDiesel</v>
      </c>
      <c r="AN2417" s="662" t="str">
        <f t="shared" si="261"/>
        <v>2019-LTK-FRD-F250-039</v>
      </c>
    </row>
    <row r="2418" spans="1:40" s="572" customFormat="1" ht="15">
      <c r="A2418" s="570" t="s">
        <v>4365</v>
      </c>
      <c r="B2418" s="569" t="s">
        <v>4358</v>
      </c>
      <c r="C2418" s="569" t="s">
        <v>280</v>
      </c>
      <c r="D2418" s="580">
        <v>27</v>
      </c>
      <c r="E2418" s="569" t="s">
        <v>3374</v>
      </c>
      <c r="F2418" s="569" t="s">
        <v>196</v>
      </c>
      <c r="G2418" s="569" t="s">
        <v>271</v>
      </c>
      <c r="H2418" s="569">
        <v>2019</v>
      </c>
      <c r="I2418" s="569" t="s">
        <v>4229</v>
      </c>
      <c r="J2418" s="569" t="s">
        <v>3837</v>
      </c>
      <c r="K2418" s="569" t="s">
        <v>752</v>
      </c>
      <c r="L2418" s="569">
        <v>3</v>
      </c>
      <c r="M2418" s="569">
        <v>0</v>
      </c>
      <c r="N2418" s="569" t="s">
        <v>157</v>
      </c>
      <c r="O2418" s="569">
        <v>1</v>
      </c>
      <c r="P2418" s="569" t="s">
        <v>3846</v>
      </c>
      <c r="Q2418" s="568">
        <v>16600</v>
      </c>
      <c r="R2418" s="569" t="s">
        <v>4231</v>
      </c>
      <c r="S2418" s="569">
        <v>8</v>
      </c>
      <c r="T2418" s="569" t="s">
        <v>4354</v>
      </c>
      <c r="U2418" s="569" t="s">
        <v>366</v>
      </c>
      <c r="V2418" s="569">
        <v>142</v>
      </c>
      <c r="W2418" s="569">
        <v>29</v>
      </c>
      <c r="X2418" s="568">
        <v>10000</v>
      </c>
      <c r="Y2418" s="573">
        <v>14</v>
      </c>
      <c r="Z2418" s="581" t="s">
        <v>728</v>
      </c>
      <c r="AA2418" s="581" t="s">
        <v>1523</v>
      </c>
      <c r="AB2418" s="585">
        <v>46070</v>
      </c>
      <c r="AC2418" s="585" t="s">
        <v>164</v>
      </c>
      <c r="AD2418" s="585">
        <v>34522.31578947368</v>
      </c>
      <c r="AE2418" s="587">
        <v>0.03</v>
      </c>
      <c r="AF2418" s="661" t="str">
        <f t="shared" si="262"/>
        <v>2019-LTK-FRD-F250-040-27</v>
      </c>
      <c r="AG2418" s="661" t="str">
        <f>IF(AND($Y2418&gt;=32,(AI2418="I"),(Y2418&lt;&gt;"~"),(COUNTIF($AN$1:$AN2418,$AN2418)=1)),"TRUE","FALSE")</f>
        <v>FALSE</v>
      </c>
      <c r="AH2418" s="661" t="str">
        <f>IF(AND($Y2418&gt;=22, (AI2418&lt;&gt;"I"),(Y2418&lt;&gt;"~"),(COUNTIF($AN$1:$AN2418,$AN2418)=1)),"TRUE","FALSE")</f>
        <v>FALSE</v>
      </c>
      <c r="AI2418" s="661" t="str">
        <f t="shared" si="264"/>
        <v>II</v>
      </c>
      <c r="AJ2418" s="662" t="str">
        <f t="shared" si="258"/>
        <v>F250-040</v>
      </c>
      <c r="AK2418" s="662" t="str">
        <f t="shared" si="259"/>
        <v>LTK</v>
      </c>
      <c r="AL2418" s="662" t="str">
        <f t="shared" si="260"/>
        <v>FRD</v>
      </c>
      <c r="AM2418" s="662" t="str">
        <f t="shared" si="263"/>
        <v>F250-Regular Cab XL-4WD-3-8'-16600-6.7L Diesel-8-F2B-600A-142-29-Diesel-BioDiesel</v>
      </c>
      <c r="AN2418" s="662" t="str">
        <f t="shared" si="261"/>
        <v>2019-LTK-FRD-F250-040</v>
      </c>
    </row>
    <row r="2419" spans="1:40" s="572" customFormat="1" ht="15">
      <c r="A2419" s="570" t="s">
        <v>4366</v>
      </c>
      <c r="B2419" s="573" t="s">
        <v>4367</v>
      </c>
      <c r="C2419" s="573" t="s">
        <v>269</v>
      </c>
      <c r="D2419" s="578" t="s">
        <v>270</v>
      </c>
      <c r="E2419" s="573" t="s">
        <v>3374</v>
      </c>
      <c r="F2419" s="573" t="s">
        <v>196</v>
      </c>
      <c r="G2419" s="573" t="s">
        <v>271</v>
      </c>
      <c r="H2419" s="573">
        <v>2019</v>
      </c>
      <c r="I2419" s="573" t="s">
        <v>4229</v>
      </c>
      <c r="J2419" s="573" t="s">
        <v>3916</v>
      </c>
      <c r="K2419" s="573" t="s">
        <v>3377</v>
      </c>
      <c r="L2419" s="573">
        <v>3</v>
      </c>
      <c r="M2419" s="573">
        <v>0</v>
      </c>
      <c r="N2419" s="573" t="s">
        <v>157</v>
      </c>
      <c r="O2419" s="573">
        <v>1</v>
      </c>
      <c r="P2419" s="573" t="s">
        <v>3846</v>
      </c>
      <c r="Q2419" s="571">
        <v>12900</v>
      </c>
      <c r="R2419" s="573" t="s">
        <v>4235</v>
      </c>
      <c r="S2419" s="573">
        <v>8</v>
      </c>
      <c r="T2419" s="573" t="s">
        <v>4334</v>
      </c>
      <c r="U2419" s="573" t="s">
        <v>4283</v>
      </c>
      <c r="V2419" s="573">
        <v>142</v>
      </c>
      <c r="W2419" s="573">
        <v>34</v>
      </c>
      <c r="X2419" s="571">
        <v>10000</v>
      </c>
      <c r="Y2419" s="573">
        <v>15</v>
      </c>
      <c r="Z2419" s="579" t="s">
        <v>450</v>
      </c>
      <c r="AA2419" s="579" t="s">
        <v>178</v>
      </c>
      <c r="AB2419" s="584">
        <v>38410</v>
      </c>
      <c r="AC2419" s="584" t="s">
        <v>164</v>
      </c>
      <c r="AD2419" s="584">
        <v>27674.021052631579</v>
      </c>
      <c r="AE2419" s="586">
        <v>0.03</v>
      </c>
      <c r="AF2419" s="661" t="str">
        <f t="shared" si="262"/>
        <v>2019-LTK-FRD-F250-041-05</v>
      </c>
      <c r="AG2419" s="661" t="str">
        <f>IF(AND($Y2419&gt;=32,(AI2419="I"),(Y2419&lt;&gt;"~"),(COUNTIF($AN$1:$AN2419,$AN2419)=1)),"TRUE","FALSE")</f>
        <v>FALSE</v>
      </c>
      <c r="AH2419" s="661" t="str">
        <f>IF(AND($Y2419&gt;=22, (AI2419&lt;&gt;"I"),(Y2419&lt;&gt;"~"),(COUNTIF($AN$1:$AN2419,$AN2419)=1)),"TRUE","FALSE")</f>
        <v>FALSE</v>
      </c>
      <c r="AI2419" s="661" t="str">
        <f t="shared" si="264"/>
        <v>II</v>
      </c>
      <c r="AJ2419" s="662" t="str">
        <f t="shared" si="258"/>
        <v>F250-041</v>
      </c>
      <c r="AK2419" s="662" t="str">
        <f t="shared" si="259"/>
        <v>LTK</v>
      </c>
      <c r="AL2419" s="662" t="str">
        <f t="shared" si="260"/>
        <v>FRD</v>
      </c>
      <c r="AM2419" s="662" t="str">
        <f t="shared" si="263"/>
        <v>F250-Regular Cab XLT-2WD-3-8'-12900-6.2L FFV-8-F2A-603A-142-34-E85-Unleaded</v>
      </c>
      <c r="AN2419" s="662" t="str">
        <f t="shared" si="261"/>
        <v>2019-LTK-FRD-F250-041</v>
      </c>
    </row>
    <row r="2420" spans="1:40" s="572" customFormat="1" ht="15">
      <c r="A2420" s="570" t="s">
        <v>4368</v>
      </c>
      <c r="B2420" s="569" t="s">
        <v>4369</v>
      </c>
      <c r="C2420" s="569" t="s">
        <v>269</v>
      </c>
      <c r="D2420" s="580" t="s">
        <v>270</v>
      </c>
      <c r="E2420" s="569" t="s">
        <v>3374</v>
      </c>
      <c r="F2420" s="569" t="s">
        <v>196</v>
      </c>
      <c r="G2420" s="569" t="s">
        <v>271</v>
      </c>
      <c r="H2420" s="569">
        <v>2019</v>
      </c>
      <c r="I2420" s="569" t="s">
        <v>4229</v>
      </c>
      <c r="J2420" s="569" t="s">
        <v>3916</v>
      </c>
      <c r="K2420" s="569" t="s">
        <v>3377</v>
      </c>
      <c r="L2420" s="569">
        <v>3</v>
      </c>
      <c r="M2420" s="569">
        <v>0</v>
      </c>
      <c r="N2420" s="569" t="s">
        <v>157</v>
      </c>
      <c r="O2420" s="569">
        <v>1</v>
      </c>
      <c r="P2420" s="569" t="s">
        <v>3846</v>
      </c>
      <c r="Q2420" s="568">
        <v>16600</v>
      </c>
      <c r="R2420" s="569" t="s">
        <v>4231</v>
      </c>
      <c r="S2420" s="569">
        <v>8</v>
      </c>
      <c r="T2420" s="569" t="s">
        <v>4334</v>
      </c>
      <c r="U2420" s="569" t="s">
        <v>4283</v>
      </c>
      <c r="V2420" s="569">
        <v>142</v>
      </c>
      <c r="W2420" s="569">
        <v>29</v>
      </c>
      <c r="X2420" s="568">
        <v>10000</v>
      </c>
      <c r="Y2420" s="573">
        <v>15</v>
      </c>
      <c r="Z2420" s="581" t="s">
        <v>4341</v>
      </c>
      <c r="AA2420" s="581" t="s">
        <v>1523</v>
      </c>
      <c r="AB2420" s="585">
        <v>47405</v>
      </c>
      <c r="AC2420" s="585" t="s">
        <v>164</v>
      </c>
      <c r="AD2420" s="585">
        <v>35754.947368421053</v>
      </c>
      <c r="AE2420" s="587">
        <v>0.03</v>
      </c>
      <c r="AF2420" s="661" t="str">
        <f t="shared" si="262"/>
        <v>2019-LTK-FRD-F250-043-05</v>
      </c>
      <c r="AG2420" s="661" t="str">
        <f>IF(AND($Y2420&gt;=32,(AI2420="I"),(Y2420&lt;&gt;"~"),(COUNTIF($AN$1:$AN2420,$AN2420)=1)),"TRUE","FALSE")</f>
        <v>FALSE</v>
      </c>
      <c r="AH2420" s="661" t="str">
        <f>IF(AND($Y2420&gt;=22, (AI2420&lt;&gt;"I"),(Y2420&lt;&gt;"~"),(COUNTIF($AN$1:$AN2420,$AN2420)=1)),"TRUE","FALSE")</f>
        <v>FALSE</v>
      </c>
      <c r="AI2420" s="661" t="str">
        <f t="shared" si="264"/>
        <v>II</v>
      </c>
      <c r="AJ2420" s="662" t="str">
        <f t="shared" si="258"/>
        <v>F250-043</v>
      </c>
      <c r="AK2420" s="662" t="str">
        <f t="shared" si="259"/>
        <v>LTK</v>
      </c>
      <c r="AL2420" s="662" t="str">
        <f t="shared" si="260"/>
        <v>FRD</v>
      </c>
      <c r="AM2420" s="662" t="str">
        <f t="shared" si="263"/>
        <v>F250-Regular Cab XLT-2WD-3-8'-16600-6.7L Diesel-8-F2A-603A-142-29-Diesel -BioDiesel</v>
      </c>
      <c r="AN2420" s="662" t="str">
        <f t="shared" si="261"/>
        <v>2019-LTK-FRD-F250-043</v>
      </c>
    </row>
    <row r="2421" spans="1:40" s="572" customFormat="1" ht="15">
      <c r="A2421" s="570" t="s">
        <v>4370</v>
      </c>
      <c r="B2421" s="573" t="s">
        <v>4371</v>
      </c>
      <c r="C2421" s="573" t="s">
        <v>269</v>
      </c>
      <c r="D2421" s="578" t="s">
        <v>270</v>
      </c>
      <c r="E2421" s="573" t="s">
        <v>3374</v>
      </c>
      <c r="F2421" s="573" t="s">
        <v>196</v>
      </c>
      <c r="G2421" s="573" t="s">
        <v>271</v>
      </c>
      <c r="H2421" s="573">
        <v>2019</v>
      </c>
      <c r="I2421" s="573" t="s">
        <v>4229</v>
      </c>
      <c r="J2421" s="573" t="s">
        <v>3916</v>
      </c>
      <c r="K2421" s="573" t="s">
        <v>3377</v>
      </c>
      <c r="L2421" s="573">
        <v>3</v>
      </c>
      <c r="M2421" s="573">
        <v>0</v>
      </c>
      <c r="N2421" s="573" t="s">
        <v>157</v>
      </c>
      <c r="O2421" s="573">
        <v>1</v>
      </c>
      <c r="P2421" s="573" t="s">
        <v>3846</v>
      </c>
      <c r="Q2421" s="571">
        <v>16600</v>
      </c>
      <c r="R2421" s="573" t="s">
        <v>4231</v>
      </c>
      <c r="S2421" s="573">
        <v>8</v>
      </c>
      <c r="T2421" s="573" t="s">
        <v>4334</v>
      </c>
      <c r="U2421" s="573" t="s">
        <v>4283</v>
      </c>
      <c r="V2421" s="573">
        <v>142</v>
      </c>
      <c r="W2421" s="573">
        <v>29</v>
      </c>
      <c r="X2421" s="571">
        <v>10000</v>
      </c>
      <c r="Y2421" s="573">
        <v>15</v>
      </c>
      <c r="Z2421" s="579" t="s">
        <v>728</v>
      </c>
      <c r="AA2421" s="579" t="s">
        <v>1523</v>
      </c>
      <c r="AB2421" s="584">
        <v>47405</v>
      </c>
      <c r="AC2421" s="584" t="s">
        <v>164</v>
      </c>
      <c r="AD2421" s="584">
        <v>35754.947368421053</v>
      </c>
      <c r="AE2421" s="586">
        <v>0.03</v>
      </c>
      <c r="AF2421" s="661" t="str">
        <f t="shared" si="262"/>
        <v>2019-LTK-FRD-F250-044-05</v>
      </c>
      <c r="AG2421" s="661" t="str">
        <f>IF(AND($Y2421&gt;=32,(AI2421="I"),(Y2421&lt;&gt;"~"),(COUNTIF($AN$1:$AN2421,$AN2421)=1)),"TRUE","FALSE")</f>
        <v>FALSE</v>
      </c>
      <c r="AH2421" s="661" t="str">
        <f>IF(AND($Y2421&gt;=22, (AI2421&lt;&gt;"I"),(Y2421&lt;&gt;"~"),(COUNTIF($AN$1:$AN2421,$AN2421)=1)),"TRUE","FALSE")</f>
        <v>FALSE</v>
      </c>
      <c r="AI2421" s="661" t="str">
        <f t="shared" si="264"/>
        <v>II</v>
      </c>
      <c r="AJ2421" s="662" t="str">
        <f t="shared" si="258"/>
        <v>F250-044</v>
      </c>
      <c r="AK2421" s="662" t="str">
        <f t="shared" si="259"/>
        <v>LTK</v>
      </c>
      <c r="AL2421" s="662" t="str">
        <f t="shared" si="260"/>
        <v>FRD</v>
      </c>
      <c r="AM2421" s="662" t="str">
        <f t="shared" si="263"/>
        <v>F250-Regular Cab XLT-2WD-3-8'-16600-6.7L Diesel-8-F2A-603A-142-29-Diesel-BioDiesel</v>
      </c>
      <c r="AN2421" s="662" t="str">
        <f t="shared" si="261"/>
        <v>2019-LTK-FRD-F250-044</v>
      </c>
    </row>
    <row r="2422" spans="1:40" s="572" customFormat="1" ht="15">
      <c r="A2422" s="570" t="s">
        <v>4372</v>
      </c>
      <c r="B2422" s="569" t="s">
        <v>4373</v>
      </c>
      <c r="C2422" s="569" t="s">
        <v>278</v>
      </c>
      <c r="D2422" s="580">
        <v>15</v>
      </c>
      <c r="E2422" s="569" t="s">
        <v>3374</v>
      </c>
      <c r="F2422" s="569" t="s">
        <v>196</v>
      </c>
      <c r="G2422" s="569" t="s">
        <v>271</v>
      </c>
      <c r="H2422" s="569">
        <v>2019</v>
      </c>
      <c r="I2422" s="569" t="s">
        <v>4229</v>
      </c>
      <c r="J2422" s="569" t="s">
        <v>3916</v>
      </c>
      <c r="K2422" s="569" t="s">
        <v>3377</v>
      </c>
      <c r="L2422" s="569">
        <v>3</v>
      </c>
      <c r="M2422" s="569">
        <v>0</v>
      </c>
      <c r="N2422" s="569" t="s">
        <v>157</v>
      </c>
      <c r="O2422" s="569">
        <v>1</v>
      </c>
      <c r="P2422" s="569" t="s">
        <v>3846</v>
      </c>
      <c r="Q2422" s="568">
        <v>13300</v>
      </c>
      <c r="R2422" s="569" t="s">
        <v>4235</v>
      </c>
      <c r="S2422" s="569">
        <v>8</v>
      </c>
      <c r="T2422" s="569" t="s">
        <v>4334</v>
      </c>
      <c r="U2422" s="569" t="s">
        <v>4283</v>
      </c>
      <c r="V2422" s="569">
        <v>142</v>
      </c>
      <c r="W2422" s="569">
        <v>34</v>
      </c>
      <c r="X2422" s="568">
        <v>10000</v>
      </c>
      <c r="Y2422" s="573">
        <v>15</v>
      </c>
      <c r="Z2422" s="581" t="s">
        <v>450</v>
      </c>
      <c r="AA2422" s="581" t="s">
        <v>178</v>
      </c>
      <c r="AB2422" s="585">
        <v>38860</v>
      </c>
      <c r="AC2422" s="585" t="s">
        <v>164</v>
      </c>
      <c r="AD2422" s="585">
        <v>28200</v>
      </c>
      <c r="AE2422" s="587">
        <v>0.01</v>
      </c>
      <c r="AF2422" s="661" t="str">
        <f t="shared" si="262"/>
        <v>2019-LTK-FRD-F250-042-15</v>
      </c>
      <c r="AG2422" s="661" t="str">
        <f>IF(AND($Y2422&gt;=32,(AI2422="I"),(Y2422&lt;&gt;"~"),(COUNTIF($AN$1:$AN2422,$AN2422)=1)),"TRUE","FALSE")</f>
        <v>FALSE</v>
      </c>
      <c r="AH2422" s="661" t="str">
        <f>IF(AND($Y2422&gt;=22, (AI2422&lt;&gt;"I"),(Y2422&lt;&gt;"~"),(COUNTIF($AN$1:$AN2422,$AN2422)=1)),"TRUE","FALSE")</f>
        <v>FALSE</v>
      </c>
      <c r="AI2422" s="661" t="str">
        <f t="shared" si="264"/>
        <v>II</v>
      </c>
      <c r="AJ2422" s="662" t="str">
        <f t="shared" si="258"/>
        <v>F250-042</v>
      </c>
      <c r="AK2422" s="662" t="str">
        <f t="shared" si="259"/>
        <v>LTK</v>
      </c>
      <c r="AL2422" s="662" t="str">
        <f t="shared" si="260"/>
        <v>FRD</v>
      </c>
      <c r="AM2422" s="662" t="str">
        <f t="shared" si="263"/>
        <v>F250-Regular Cab XLT-2WD-3-8'-13300-6.2L FFV-8-F2A-603A-142-34-E85-Unleaded</v>
      </c>
      <c r="AN2422" s="662" t="str">
        <f t="shared" si="261"/>
        <v>2019-LTK-FRD-F250-042</v>
      </c>
    </row>
    <row r="2423" spans="1:40" s="572" customFormat="1" ht="15">
      <c r="A2423" s="570" t="s">
        <v>4374</v>
      </c>
      <c r="B2423" s="573" t="s">
        <v>4371</v>
      </c>
      <c r="C2423" s="573" t="s">
        <v>278</v>
      </c>
      <c r="D2423" s="578">
        <v>15</v>
      </c>
      <c r="E2423" s="573" t="s">
        <v>3374</v>
      </c>
      <c r="F2423" s="573" t="s">
        <v>196</v>
      </c>
      <c r="G2423" s="573" t="s">
        <v>271</v>
      </c>
      <c r="H2423" s="573">
        <v>2019</v>
      </c>
      <c r="I2423" s="573" t="s">
        <v>4229</v>
      </c>
      <c r="J2423" s="573" t="s">
        <v>3916</v>
      </c>
      <c r="K2423" s="573" t="s">
        <v>3377</v>
      </c>
      <c r="L2423" s="573">
        <v>3</v>
      </c>
      <c r="M2423" s="573">
        <v>0</v>
      </c>
      <c r="N2423" s="573" t="s">
        <v>157</v>
      </c>
      <c r="O2423" s="573">
        <v>1</v>
      </c>
      <c r="P2423" s="573" t="s">
        <v>3846</v>
      </c>
      <c r="Q2423" s="571">
        <v>16600</v>
      </c>
      <c r="R2423" s="573" t="s">
        <v>4231</v>
      </c>
      <c r="S2423" s="573">
        <v>8</v>
      </c>
      <c r="T2423" s="573" t="s">
        <v>4334</v>
      </c>
      <c r="U2423" s="573" t="s">
        <v>4283</v>
      </c>
      <c r="V2423" s="573">
        <v>142</v>
      </c>
      <c r="W2423" s="573">
        <v>29</v>
      </c>
      <c r="X2423" s="571">
        <v>10000</v>
      </c>
      <c r="Y2423" s="573">
        <v>15</v>
      </c>
      <c r="Z2423" s="579" t="s">
        <v>728</v>
      </c>
      <c r="AA2423" s="579" t="s">
        <v>1523</v>
      </c>
      <c r="AB2423" s="584">
        <v>47980</v>
      </c>
      <c r="AC2423" s="584" t="s">
        <v>164</v>
      </c>
      <c r="AD2423" s="584">
        <v>36500</v>
      </c>
      <c r="AE2423" s="586">
        <v>0.01</v>
      </c>
      <c r="AF2423" s="661" t="str">
        <f t="shared" si="262"/>
        <v>2019-LTK-FRD-F250-044-15</v>
      </c>
      <c r="AG2423" s="661" t="str">
        <f>IF(AND($Y2423&gt;=32,(AI2423="I"),(Y2423&lt;&gt;"~"),(COUNTIF($AN$1:$AN2423,$AN2423)=1)),"TRUE","FALSE")</f>
        <v>FALSE</v>
      </c>
      <c r="AH2423" s="661" t="str">
        <f>IF(AND($Y2423&gt;=22, (AI2423&lt;&gt;"I"),(Y2423&lt;&gt;"~"),(COUNTIF($AN$1:$AN2423,$AN2423)=1)),"TRUE","FALSE")</f>
        <v>FALSE</v>
      </c>
      <c r="AI2423" s="661" t="str">
        <f t="shared" si="264"/>
        <v>II</v>
      </c>
      <c r="AJ2423" s="662" t="str">
        <f t="shared" si="258"/>
        <v>F250-044</v>
      </c>
      <c r="AK2423" s="662" t="str">
        <f t="shared" si="259"/>
        <v>LTK</v>
      </c>
      <c r="AL2423" s="662" t="str">
        <f t="shared" si="260"/>
        <v>FRD</v>
      </c>
      <c r="AM2423" s="662" t="str">
        <f t="shared" si="263"/>
        <v>F250-Regular Cab XLT-2WD-3-8'-16600-6.7L Diesel-8-F2A-603A-142-29-Diesel-BioDiesel</v>
      </c>
      <c r="AN2423" s="662" t="str">
        <f t="shared" si="261"/>
        <v>2019-LTK-FRD-F250-044</v>
      </c>
    </row>
    <row r="2424" spans="1:40" s="572" customFormat="1" ht="15">
      <c r="A2424" s="570" t="s">
        <v>4375</v>
      </c>
      <c r="B2424" s="569" t="s">
        <v>4367</v>
      </c>
      <c r="C2424" s="569" t="s">
        <v>287</v>
      </c>
      <c r="D2424" s="580">
        <v>26</v>
      </c>
      <c r="E2424" s="569" t="s">
        <v>3374</v>
      </c>
      <c r="F2424" s="569" t="s">
        <v>196</v>
      </c>
      <c r="G2424" s="569" t="s">
        <v>271</v>
      </c>
      <c r="H2424" s="569">
        <v>2019</v>
      </c>
      <c r="I2424" s="569" t="s">
        <v>4229</v>
      </c>
      <c r="J2424" s="569" t="s">
        <v>3916</v>
      </c>
      <c r="K2424" s="569" t="s">
        <v>3377</v>
      </c>
      <c r="L2424" s="569">
        <v>3</v>
      </c>
      <c r="M2424" s="569">
        <v>0</v>
      </c>
      <c r="N2424" s="569" t="s">
        <v>157</v>
      </c>
      <c r="O2424" s="569">
        <v>1</v>
      </c>
      <c r="P2424" s="569" t="s">
        <v>3846</v>
      </c>
      <c r="Q2424" s="568">
        <v>12900</v>
      </c>
      <c r="R2424" s="569" t="s">
        <v>4235</v>
      </c>
      <c r="S2424" s="569">
        <v>8</v>
      </c>
      <c r="T2424" s="569" t="s">
        <v>4334</v>
      </c>
      <c r="U2424" s="569" t="s">
        <v>4283</v>
      </c>
      <c r="V2424" s="569">
        <v>142</v>
      </c>
      <c r="W2424" s="569">
        <v>34</v>
      </c>
      <c r="X2424" s="568">
        <v>9950</v>
      </c>
      <c r="Y2424" s="569">
        <v>15</v>
      </c>
      <c r="Z2424" s="581" t="s">
        <v>450</v>
      </c>
      <c r="AA2424" s="581" t="s">
        <v>178</v>
      </c>
      <c r="AB2424" s="585">
        <v>38410</v>
      </c>
      <c r="AC2424" s="585" t="s">
        <v>164</v>
      </c>
      <c r="AD2424" s="585">
        <v>28260</v>
      </c>
      <c r="AE2424" s="587">
        <v>0.05</v>
      </c>
      <c r="AF2424" s="661" t="str">
        <f t="shared" si="262"/>
        <v>2019-LTK-FRD-F250-041-26</v>
      </c>
      <c r="AG2424" s="661" t="str">
        <f>IF(AND($Y2424&gt;=32,(AI2424="I"),(Y2424&lt;&gt;"~"),(COUNTIF($AN$1:$AN2424,$AN2424)=1)),"TRUE","FALSE")</f>
        <v>FALSE</v>
      </c>
      <c r="AH2424" s="661" t="str">
        <f>IF(AND($Y2424&gt;=22, (AI2424&lt;&gt;"I"),(Y2424&lt;&gt;"~"),(COUNTIF($AN$1:$AN2424,$AN2424)=1)),"TRUE","FALSE")</f>
        <v>FALSE</v>
      </c>
      <c r="AI2424" s="661" t="str">
        <f t="shared" si="264"/>
        <v>II</v>
      </c>
      <c r="AJ2424" s="662" t="str">
        <f t="shared" si="258"/>
        <v>F250-041</v>
      </c>
      <c r="AK2424" s="662" t="str">
        <f t="shared" si="259"/>
        <v>LTK</v>
      </c>
      <c r="AL2424" s="662" t="str">
        <f t="shared" si="260"/>
        <v>FRD</v>
      </c>
      <c r="AM2424" s="662" t="str">
        <f t="shared" si="263"/>
        <v>F250-Regular Cab XLT-2WD-3-8'-12900-6.2L FFV-8-F2A-603A-142-34-E85-Unleaded</v>
      </c>
      <c r="AN2424" s="662" t="str">
        <f t="shared" si="261"/>
        <v>2019-LTK-FRD-F250-041</v>
      </c>
    </row>
    <row r="2425" spans="1:40" s="572" customFormat="1" ht="15">
      <c r="A2425" s="570" t="s">
        <v>4376</v>
      </c>
      <c r="B2425" s="573" t="s">
        <v>4371</v>
      </c>
      <c r="C2425" s="573" t="s">
        <v>287</v>
      </c>
      <c r="D2425" s="578">
        <v>26</v>
      </c>
      <c r="E2425" s="573" t="s">
        <v>3374</v>
      </c>
      <c r="F2425" s="573" t="s">
        <v>196</v>
      </c>
      <c r="G2425" s="573" t="s">
        <v>271</v>
      </c>
      <c r="H2425" s="573">
        <v>2019</v>
      </c>
      <c r="I2425" s="573" t="s">
        <v>4229</v>
      </c>
      <c r="J2425" s="573" t="s">
        <v>3916</v>
      </c>
      <c r="K2425" s="573" t="s">
        <v>3377</v>
      </c>
      <c r="L2425" s="573">
        <v>3</v>
      </c>
      <c r="M2425" s="573">
        <v>0</v>
      </c>
      <c r="N2425" s="573" t="s">
        <v>157</v>
      </c>
      <c r="O2425" s="573">
        <v>1</v>
      </c>
      <c r="P2425" s="573" t="s">
        <v>3846</v>
      </c>
      <c r="Q2425" s="571">
        <v>16600</v>
      </c>
      <c r="R2425" s="573" t="s">
        <v>4231</v>
      </c>
      <c r="S2425" s="573">
        <v>8</v>
      </c>
      <c r="T2425" s="573" t="s">
        <v>4334</v>
      </c>
      <c r="U2425" s="573" t="s">
        <v>4283</v>
      </c>
      <c r="V2425" s="573">
        <v>142</v>
      </c>
      <c r="W2425" s="573">
        <v>29</v>
      </c>
      <c r="X2425" s="571">
        <v>10000</v>
      </c>
      <c r="Y2425" s="573">
        <v>15</v>
      </c>
      <c r="Z2425" s="579" t="s">
        <v>728</v>
      </c>
      <c r="AA2425" s="579" t="s">
        <v>1523</v>
      </c>
      <c r="AB2425" s="584">
        <v>47405</v>
      </c>
      <c r="AC2425" s="584" t="s">
        <v>164</v>
      </c>
      <c r="AD2425" s="584">
        <v>36454</v>
      </c>
      <c r="AE2425" s="586">
        <v>0.05</v>
      </c>
      <c r="AF2425" s="661" t="str">
        <f t="shared" si="262"/>
        <v>2019-LTK-FRD-F250-044-26</v>
      </c>
      <c r="AG2425" s="661" t="str">
        <f>IF(AND($Y2425&gt;=32,(AI2425="I"),(Y2425&lt;&gt;"~"),(COUNTIF($AN$1:$AN2425,$AN2425)=1)),"TRUE","FALSE")</f>
        <v>FALSE</v>
      </c>
      <c r="AH2425" s="661" t="str">
        <f>IF(AND($Y2425&gt;=22, (AI2425&lt;&gt;"I"),(Y2425&lt;&gt;"~"),(COUNTIF($AN$1:$AN2425,$AN2425)=1)),"TRUE","FALSE")</f>
        <v>FALSE</v>
      </c>
      <c r="AI2425" s="661" t="str">
        <f t="shared" si="264"/>
        <v>II</v>
      </c>
      <c r="AJ2425" s="662" t="str">
        <f t="shared" si="258"/>
        <v>F250-044</v>
      </c>
      <c r="AK2425" s="662" t="str">
        <f t="shared" si="259"/>
        <v>LTK</v>
      </c>
      <c r="AL2425" s="662" t="str">
        <f t="shared" si="260"/>
        <v>FRD</v>
      </c>
      <c r="AM2425" s="662" t="str">
        <f t="shared" si="263"/>
        <v>F250-Regular Cab XLT-2WD-3-8'-16600-6.7L Diesel-8-F2A-603A-142-29-Diesel-BioDiesel</v>
      </c>
      <c r="AN2425" s="662" t="str">
        <f t="shared" si="261"/>
        <v>2019-LTK-FRD-F250-044</v>
      </c>
    </row>
    <row r="2426" spans="1:40" s="572" customFormat="1" ht="15">
      <c r="A2426" s="570" t="s">
        <v>4377</v>
      </c>
      <c r="B2426" s="569" t="s">
        <v>4367</v>
      </c>
      <c r="C2426" s="569" t="s">
        <v>280</v>
      </c>
      <c r="D2426" s="580">
        <v>27</v>
      </c>
      <c r="E2426" s="569" t="s">
        <v>3374</v>
      </c>
      <c r="F2426" s="569" t="s">
        <v>196</v>
      </c>
      <c r="G2426" s="569" t="s">
        <v>271</v>
      </c>
      <c r="H2426" s="569">
        <v>2019</v>
      </c>
      <c r="I2426" s="569" t="s">
        <v>4229</v>
      </c>
      <c r="J2426" s="569" t="s">
        <v>3916</v>
      </c>
      <c r="K2426" s="569" t="s">
        <v>3377</v>
      </c>
      <c r="L2426" s="569">
        <v>3</v>
      </c>
      <c r="M2426" s="569">
        <v>0</v>
      </c>
      <c r="N2426" s="569" t="s">
        <v>157</v>
      </c>
      <c r="O2426" s="569">
        <v>1</v>
      </c>
      <c r="P2426" s="569" t="s">
        <v>3846</v>
      </c>
      <c r="Q2426" s="568">
        <v>12900</v>
      </c>
      <c r="R2426" s="569" t="s">
        <v>4235</v>
      </c>
      <c r="S2426" s="569">
        <v>8</v>
      </c>
      <c r="T2426" s="569" t="s">
        <v>4334</v>
      </c>
      <c r="U2426" s="569" t="s">
        <v>4283</v>
      </c>
      <c r="V2426" s="569">
        <v>142</v>
      </c>
      <c r="W2426" s="569">
        <v>34</v>
      </c>
      <c r="X2426" s="568">
        <v>10000</v>
      </c>
      <c r="Y2426" s="573">
        <v>15</v>
      </c>
      <c r="Z2426" s="581" t="s">
        <v>450</v>
      </c>
      <c r="AA2426" s="581" t="s">
        <v>178</v>
      </c>
      <c r="AB2426" s="585">
        <v>38410</v>
      </c>
      <c r="AC2426" s="585" t="s">
        <v>164</v>
      </c>
      <c r="AD2426" s="585">
        <v>27674.021052631579</v>
      </c>
      <c r="AE2426" s="587">
        <v>0.03</v>
      </c>
      <c r="AF2426" s="661" t="str">
        <f t="shared" si="262"/>
        <v>2019-LTK-FRD-F250-041-27</v>
      </c>
      <c r="AG2426" s="661" t="str">
        <f>IF(AND($Y2426&gt;=32,(AI2426="I"),(Y2426&lt;&gt;"~"),(COUNTIF($AN$1:$AN2426,$AN2426)=1)),"TRUE","FALSE")</f>
        <v>FALSE</v>
      </c>
      <c r="AH2426" s="661" t="str">
        <f>IF(AND($Y2426&gt;=22, (AI2426&lt;&gt;"I"),(Y2426&lt;&gt;"~"),(COUNTIF($AN$1:$AN2426,$AN2426)=1)),"TRUE","FALSE")</f>
        <v>FALSE</v>
      </c>
      <c r="AI2426" s="661" t="str">
        <f t="shared" si="264"/>
        <v>II</v>
      </c>
      <c r="AJ2426" s="662" t="str">
        <f t="shared" si="258"/>
        <v>F250-041</v>
      </c>
      <c r="AK2426" s="662" t="str">
        <f t="shared" si="259"/>
        <v>LTK</v>
      </c>
      <c r="AL2426" s="662" t="str">
        <f t="shared" si="260"/>
        <v>FRD</v>
      </c>
      <c r="AM2426" s="662" t="str">
        <f t="shared" si="263"/>
        <v>F250-Regular Cab XLT-2WD-3-8'-12900-6.2L FFV-8-F2A-603A-142-34-E85-Unleaded</v>
      </c>
      <c r="AN2426" s="662" t="str">
        <f t="shared" si="261"/>
        <v>2019-LTK-FRD-F250-041</v>
      </c>
    </row>
    <row r="2427" spans="1:40" s="572" customFormat="1" ht="15">
      <c r="A2427" s="570" t="s">
        <v>4378</v>
      </c>
      <c r="B2427" s="573" t="s">
        <v>4369</v>
      </c>
      <c r="C2427" s="573" t="s">
        <v>280</v>
      </c>
      <c r="D2427" s="578">
        <v>27</v>
      </c>
      <c r="E2427" s="573" t="s">
        <v>3374</v>
      </c>
      <c r="F2427" s="573" t="s">
        <v>196</v>
      </c>
      <c r="G2427" s="573" t="s">
        <v>271</v>
      </c>
      <c r="H2427" s="573">
        <v>2019</v>
      </c>
      <c r="I2427" s="573" t="s">
        <v>4229</v>
      </c>
      <c r="J2427" s="573" t="s">
        <v>3916</v>
      </c>
      <c r="K2427" s="573" t="s">
        <v>3377</v>
      </c>
      <c r="L2427" s="573">
        <v>3</v>
      </c>
      <c r="M2427" s="573">
        <v>0</v>
      </c>
      <c r="N2427" s="573" t="s">
        <v>157</v>
      </c>
      <c r="O2427" s="573">
        <v>1</v>
      </c>
      <c r="P2427" s="573" t="s">
        <v>3846</v>
      </c>
      <c r="Q2427" s="571">
        <v>16600</v>
      </c>
      <c r="R2427" s="573" t="s">
        <v>4231</v>
      </c>
      <c r="S2427" s="573">
        <v>8</v>
      </c>
      <c r="T2427" s="573" t="s">
        <v>4334</v>
      </c>
      <c r="U2427" s="573" t="s">
        <v>4283</v>
      </c>
      <c r="V2427" s="573">
        <v>142</v>
      </c>
      <c r="W2427" s="573">
        <v>29</v>
      </c>
      <c r="X2427" s="571">
        <v>10000</v>
      </c>
      <c r="Y2427" s="573">
        <v>15</v>
      </c>
      <c r="Z2427" s="579" t="s">
        <v>4341</v>
      </c>
      <c r="AA2427" s="579" t="s">
        <v>1523</v>
      </c>
      <c r="AB2427" s="584">
        <v>47405</v>
      </c>
      <c r="AC2427" s="584" t="s">
        <v>164</v>
      </c>
      <c r="AD2427" s="584">
        <v>35754.947368421053</v>
      </c>
      <c r="AE2427" s="586">
        <v>0.03</v>
      </c>
      <c r="AF2427" s="661" t="str">
        <f t="shared" si="262"/>
        <v>2019-LTK-FRD-F250-043-27</v>
      </c>
      <c r="AG2427" s="661" t="str">
        <f>IF(AND($Y2427&gt;=32,(AI2427="I"),(Y2427&lt;&gt;"~"),(COUNTIF($AN$1:$AN2427,$AN2427)=1)),"TRUE","FALSE")</f>
        <v>FALSE</v>
      </c>
      <c r="AH2427" s="661" t="str">
        <f>IF(AND($Y2427&gt;=22, (AI2427&lt;&gt;"I"),(Y2427&lt;&gt;"~"),(COUNTIF($AN$1:$AN2427,$AN2427)=1)),"TRUE","FALSE")</f>
        <v>FALSE</v>
      </c>
      <c r="AI2427" s="661" t="str">
        <f t="shared" si="264"/>
        <v>II</v>
      </c>
      <c r="AJ2427" s="662" t="str">
        <f t="shared" si="258"/>
        <v>F250-043</v>
      </c>
      <c r="AK2427" s="662" t="str">
        <f t="shared" si="259"/>
        <v>LTK</v>
      </c>
      <c r="AL2427" s="662" t="str">
        <f t="shared" si="260"/>
        <v>FRD</v>
      </c>
      <c r="AM2427" s="662" t="str">
        <f t="shared" si="263"/>
        <v>F250-Regular Cab XLT-2WD-3-8'-16600-6.7L Diesel-8-F2A-603A-142-29-Diesel -BioDiesel</v>
      </c>
      <c r="AN2427" s="662" t="str">
        <f t="shared" si="261"/>
        <v>2019-LTK-FRD-F250-043</v>
      </c>
    </row>
    <row r="2428" spans="1:40" s="572" customFormat="1" ht="15">
      <c r="A2428" s="570" t="s">
        <v>4379</v>
      </c>
      <c r="B2428" s="569" t="s">
        <v>4371</v>
      </c>
      <c r="C2428" s="569" t="s">
        <v>280</v>
      </c>
      <c r="D2428" s="580">
        <v>27</v>
      </c>
      <c r="E2428" s="569" t="s">
        <v>3374</v>
      </c>
      <c r="F2428" s="569" t="s">
        <v>196</v>
      </c>
      <c r="G2428" s="569" t="s">
        <v>271</v>
      </c>
      <c r="H2428" s="569">
        <v>2019</v>
      </c>
      <c r="I2428" s="569" t="s">
        <v>4229</v>
      </c>
      <c r="J2428" s="569" t="s">
        <v>3916</v>
      </c>
      <c r="K2428" s="569" t="s">
        <v>3377</v>
      </c>
      <c r="L2428" s="569">
        <v>3</v>
      </c>
      <c r="M2428" s="569">
        <v>0</v>
      </c>
      <c r="N2428" s="569" t="s">
        <v>157</v>
      </c>
      <c r="O2428" s="569">
        <v>1</v>
      </c>
      <c r="P2428" s="569" t="s">
        <v>3846</v>
      </c>
      <c r="Q2428" s="568">
        <v>16600</v>
      </c>
      <c r="R2428" s="569" t="s">
        <v>4231</v>
      </c>
      <c r="S2428" s="569">
        <v>8</v>
      </c>
      <c r="T2428" s="569" t="s">
        <v>4334</v>
      </c>
      <c r="U2428" s="569" t="s">
        <v>4283</v>
      </c>
      <c r="V2428" s="569">
        <v>142</v>
      </c>
      <c r="W2428" s="569">
        <v>29</v>
      </c>
      <c r="X2428" s="568">
        <v>10000</v>
      </c>
      <c r="Y2428" s="573">
        <v>15</v>
      </c>
      <c r="Z2428" s="581" t="s">
        <v>728</v>
      </c>
      <c r="AA2428" s="581" t="s">
        <v>1523</v>
      </c>
      <c r="AB2428" s="585">
        <v>47405</v>
      </c>
      <c r="AC2428" s="585" t="s">
        <v>164</v>
      </c>
      <c r="AD2428" s="585">
        <v>35754.947368421053</v>
      </c>
      <c r="AE2428" s="587">
        <v>0.03</v>
      </c>
      <c r="AF2428" s="661" t="str">
        <f t="shared" si="262"/>
        <v>2019-LTK-FRD-F250-044-27</v>
      </c>
      <c r="AG2428" s="661" t="str">
        <f>IF(AND($Y2428&gt;=32,(AI2428="I"),(Y2428&lt;&gt;"~"),(COUNTIF($AN$1:$AN2428,$AN2428)=1)),"TRUE","FALSE")</f>
        <v>FALSE</v>
      </c>
      <c r="AH2428" s="661" t="str">
        <f>IF(AND($Y2428&gt;=22, (AI2428&lt;&gt;"I"),(Y2428&lt;&gt;"~"),(COUNTIF($AN$1:$AN2428,$AN2428)=1)),"TRUE","FALSE")</f>
        <v>FALSE</v>
      </c>
      <c r="AI2428" s="661" t="str">
        <f t="shared" si="264"/>
        <v>II</v>
      </c>
      <c r="AJ2428" s="662" t="str">
        <f t="shared" si="258"/>
        <v>F250-044</v>
      </c>
      <c r="AK2428" s="662" t="str">
        <f t="shared" si="259"/>
        <v>LTK</v>
      </c>
      <c r="AL2428" s="662" t="str">
        <f t="shared" si="260"/>
        <v>FRD</v>
      </c>
      <c r="AM2428" s="662" t="str">
        <f t="shared" si="263"/>
        <v>F250-Regular Cab XLT-2WD-3-8'-16600-6.7L Diesel-8-F2A-603A-142-29-Diesel-BioDiesel</v>
      </c>
      <c r="AN2428" s="662" t="str">
        <f t="shared" si="261"/>
        <v>2019-LTK-FRD-F250-044</v>
      </c>
    </row>
    <row r="2429" spans="1:40" s="572" customFormat="1" ht="15">
      <c r="A2429" s="570" t="s">
        <v>4380</v>
      </c>
      <c r="B2429" s="573" t="s">
        <v>4381</v>
      </c>
      <c r="C2429" s="573" t="s">
        <v>269</v>
      </c>
      <c r="D2429" s="578" t="s">
        <v>270</v>
      </c>
      <c r="E2429" s="573" t="s">
        <v>3374</v>
      </c>
      <c r="F2429" s="573" t="s">
        <v>196</v>
      </c>
      <c r="G2429" s="573" t="s">
        <v>271</v>
      </c>
      <c r="H2429" s="573">
        <v>2019</v>
      </c>
      <c r="I2429" s="573" t="s">
        <v>4229</v>
      </c>
      <c r="J2429" s="573" t="s">
        <v>3916</v>
      </c>
      <c r="K2429" s="573" t="s">
        <v>752</v>
      </c>
      <c r="L2429" s="573">
        <v>3</v>
      </c>
      <c r="M2429" s="573">
        <v>0</v>
      </c>
      <c r="N2429" s="573" t="s">
        <v>157</v>
      </c>
      <c r="O2429" s="573">
        <v>1</v>
      </c>
      <c r="P2429" s="573" t="s">
        <v>3846</v>
      </c>
      <c r="Q2429" s="571">
        <v>12500</v>
      </c>
      <c r="R2429" s="573" t="s">
        <v>4235</v>
      </c>
      <c r="S2429" s="573">
        <v>8</v>
      </c>
      <c r="T2429" s="573" t="s">
        <v>4354</v>
      </c>
      <c r="U2429" s="573" t="s">
        <v>4283</v>
      </c>
      <c r="V2429" s="573">
        <v>142</v>
      </c>
      <c r="W2429" s="573">
        <v>34</v>
      </c>
      <c r="X2429" s="571">
        <v>10000</v>
      </c>
      <c r="Y2429" s="573">
        <v>14</v>
      </c>
      <c r="Z2429" s="579" t="s">
        <v>450</v>
      </c>
      <c r="AA2429" s="579" t="s">
        <v>178</v>
      </c>
      <c r="AB2429" s="584">
        <v>41210</v>
      </c>
      <c r="AC2429" s="584" t="s">
        <v>164</v>
      </c>
      <c r="AD2429" s="584">
        <v>30260.336842105266</v>
      </c>
      <c r="AE2429" s="586">
        <v>0.03</v>
      </c>
      <c r="AF2429" s="661" t="str">
        <f t="shared" si="262"/>
        <v>2019-LTK-FRD-F250-045-05</v>
      </c>
      <c r="AG2429" s="661" t="str">
        <f>IF(AND($Y2429&gt;=32,(AI2429="I"),(Y2429&lt;&gt;"~"),(COUNTIF($AN$1:$AN2429,$AN2429)=1)),"TRUE","FALSE")</f>
        <v>FALSE</v>
      </c>
      <c r="AH2429" s="661" t="str">
        <f>IF(AND($Y2429&gt;=22, (AI2429&lt;&gt;"I"),(Y2429&lt;&gt;"~"),(COUNTIF($AN$1:$AN2429,$AN2429)=1)),"TRUE","FALSE")</f>
        <v>FALSE</v>
      </c>
      <c r="AI2429" s="661" t="str">
        <f t="shared" si="264"/>
        <v>II</v>
      </c>
      <c r="AJ2429" s="662" t="str">
        <f t="shared" si="258"/>
        <v>F250-045</v>
      </c>
      <c r="AK2429" s="662" t="str">
        <f t="shared" si="259"/>
        <v>LTK</v>
      </c>
      <c r="AL2429" s="662" t="str">
        <f t="shared" si="260"/>
        <v>FRD</v>
      </c>
      <c r="AM2429" s="662" t="str">
        <f t="shared" si="263"/>
        <v>F250-Regular Cab XLT-4WD-3-8'-12500-6.2L FFV-8-F2B-603A-142-34-E85-Unleaded</v>
      </c>
      <c r="AN2429" s="662" t="str">
        <f t="shared" si="261"/>
        <v>2019-LTK-FRD-F250-045</v>
      </c>
    </row>
    <row r="2430" spans="1:40" s="572" customFormat="1" ht="15">
      <c r="A2430" s="570" t="s">
        <v>4382</v>
      </c>
      <c r="B2430" s="569" t="s">
        <v>4383</v>
      </c>
      <c r="C2430" s="569" t="s">
        <v>269</v>
      </c>
      <c r="D2430" s="580" t="s">
        <v>270</v>
      </c>
      <c r="E2430" s="569" t="s">
        <v>3374</v>
      </c>
      <c r="F2430" s="569" t="s">
        <v>196</v>
      </c>
      <c r="G2430" s="569" t="s">
        <v>271</v>
      </c>
      <c r="H2430" s="569">
        <v>2019</v>
      </c>
      <c r="I2430" s="569" t="s">
        <v>4229</v>
      </c>
      <c r="J2430" s="569" t="s">
        <v>3916</v>
      </c>
      <c r="K2430" s="569" t="s">
        <v>752</v>
      </c>
      <c r="L2430" s="569">
        <v>3</v>
      </c>
      <c r="M2430" s="569">
        <v>0</v>
      </c>
      <c r="N2430" s="569" t="s">
        <v>157</v>
      </c>
      <c r="O2430" s="569">
        <v>1</v>
      </c>
      <c r="P2430" s="569" t="s">
        <v>3846</v>
      </c>
      <c r="Q2430" s="568">
        <v>12900</v>
      </c>
      <c r="R2430" s="569" t="s">
        <v>4235</v>
      </c>
      <c r="S2430" s="569">
        <v>8</v>
      </c>
      <c r="T2430" s="569" t="s">
        <v>4354</v>
      </c>
      <c r="U2430" s="569" t="s">
        <v>4283</v>
      </c>
      <c r="V2430" s="569">
        <v>142</v>
      </c>
      <c r="W2430" s="569">
        <v>34</v>
      </c>
      <c r="X2430" s="568">
        <v>10000</v>
      </c>
      <c r="Y2430" s="573">
        <v>14</v>
      </c>
      <c r="Z2430" s="581" t="s">
        <v>450</v>
      </c>
      <c r="AA2430" s="581" t="s">
        <v>178</v>
      </c>
      <c r="AB2430" s="585">
        <v>41210</v>
      </c>
      <c r="AC2430" s="585" t="s">
        <v>164</v>
      </c>
      <c r="AD2430" s="585">
        <v>30260.336842105266</v>
      </c>
      <c r="AE2430" s="587">
        <v>0.03</v>
      </c>
      <c r="AF2430" s="661" t="str">
        <f t="shared" si="262"/>
        <v>2019-LTK-FRD-F250-046-05</v>
      </c>
      <c r="AG2430" s="661" t="str">
        <f>IF(AND($Y2430&gt;=32,(AI2430="I"),(Y2430&lt;&gt;"~"),(COUNTIF($AN$1:$AN2430,$AN2430)=1)),"TRUE","FALSE")</f>
        <v>FALSE</v>
      </c>
      <c r="AH2430" s="661" t="str">
        <f>IF(AND($Y2430&gt;=22, (AI2430&lt;&gt;"I"),(Y2430&lt;&gt;"~"),(COUNTIF($AN$1:$AN2430,$AN2430)=1)),"TRUE","FALSE")</f>
        <v>FALSE</v>
      </c>
      <c r="AI2430" s="661" t="str">
        <f t="shared" si="264"/>
        <v>II</v>
      </c>
      <c r="AJ2430" s="662" t="str">
        <f t="shared" si="258"/>
        <v>F250-046</v>
      </c>
      <c r="AK2430" s="662" t="str">
        <f t="shared" si="259"/>
        <v>LTK</v>
      </c>
      <c r="AL2430" s="662" t="str">
        <f t="shared" si="260"/>
        <v>FRD</v>
      </c>
      <c r="AM2430" s="662" t="str">
        <f t="shared" si="263"/>
        <v>F250-Regular Cab XLT-4WD-3-8'-12900-6.2L FFV-8-F2B-603A-142-34-E85-Unleaded</v>
      </c>
      <c r="AN2430" s="662" t="str">
        <f t="shared" si="261"/>
        <v>2019-LTK-FRD-F250-046</v>
      </c>
    </row>
    <row r="2431" spans="1:40" s="572" customFormat="1" ht="15">
      <c r="A2431" s="570" t="s">
        <v>4384</v>
      </c>
      <c r="B2431" s="573" t="s">
        <v>4385</v>
      </c>
      <c r="C2431" s="573" t="s">
        <v>269</v>
      </c>
      <c r="D2431" s="578" t="s">
        <v>270</v>
      </c>
      <c r="E2431" s="573" t="s">
        <v>3374</v>
      </c>
      <c r="F2431" s="573" t="s">
        <v>196</v>
      </c>
      <c r="G2431" s="573" t="s">
        <v>271</v>
      </c>
      <c r="H2431" s="573">
        <v>2019</v>
      </c>
      <c r="I2431" s="573" t="s">
        <v>4229</v>
      </c>
      <c r="J2431" s="573" t="s">
        <v>3916</v>
      </c>
      <c r="K2431" s="573" t="s">
        <v>752</v>
      </c>
      <c r="L2431" s="573">
        <v>3</v>
      </c>
      <c r="M2431" s="573">
        <v>0</v>
      </c>
      <c r="N2431" s="573" t="s">
        <v>157</v>
      </c>
      <c r="O2431" s="573">
        <v>1</v>
      </c>
      <c r="P2431" s="573" t="s">
        <v>3846</v>
      </c>
      <c r="Q2431" s="571">
        <v>16200</v>
      </c>
      <c r="R2431" s="573" t="s">
        <v>4231</v>
      </c>
      <c r="S2431" s="573">
        <v>8</v>
      </c>
      <c r="T2431" s="573" t="s">
        <v>4354</v>
      </c>
      <c r="U2431" s="573" t="s">
        <v>4283</v>
      </c>
      <c r="V2431" s="573">
        <v>142</v>
      </c>
      <c r="W2431" s="573">
        <v>29</v>
      </c>
      <c r="X2431" s="571">
        <v>10000</v>
      </c>
      <c r="Y2431" s="573">
        <v>14</v>
      </c>
      <c r="Z2431" s="579" t="s">
        <v>4341</v>
      </c>
      <c r="AA2431" s="579" t="s">
        <v>1523</v>
      </c>
      <c r="AB2431" s="584">
        <v>50205</v>
      </c>
      <c r="AC2431" s="584" t="s">
        <v>164</v>
      </c>
      <c r="AD2431" s="584">
        <v>38341.263157894733</v>
      </c>
      <c r="AE2431" s="586">
        <v>0.03</v>
      </c>
      <c r="AF2431" s="661" t="str">
        <f t="shared" si="262"/>
        <v>2019-LTK-FRD-F250-047-05</v>
      </c>
      <c r="AG2431" s="661" t="str">
        <f>IF(AND($Y2431&gt;=32,(AI2431="I"),(Y2431&lt;&gt;"~"),(COUNTIF($AN$1:$AN2431,$AN2431)=1)),"TRUE","FALSE")</f>
        <v>FALSE</v>
      </c>
      <c r="AH2431" s="661" t="str">
        <f>IF(AND($Y2431&gt;=22, (AI2431&lt;&gt;"I"),(Y2431&lt;&gt;"~"),(COUNTIF($AN$1:$AN2431,$AN2431)=1)),"TRUE","FALSE")</f>
        <v>FALSE</v>
      </c>
      <c r="AI2431" s="661" t="str">
        <f t="shared" si="264"/>
        <v>II</v>
      </c>
      <c r="AJ2431" s="662" t="str">
        <f t="shared" si="258"/>
        <v>F250-047</v>
      </c>
      <c r="AK2431" s="662" t="str">
        <f t="shared" si="259"/>
        <v>LTK</v>
      </c>
      <c r="AL2431" s="662" t="str">
        <f t="shared" si="260"/>
        <v>FRD</v>
      </c>
      <c r="AM2431" s="662" t="str">
        <f t="shared" si="263"/>
        <v>F250-Regular Cab XLT-4WD-3-8'-16200-6.7L Diesel-8-F2B-603A-142-29-Diesel -BioDiesel</v>
      </c>
      <c r="AN2431" s="662" t="str">
        <f t="shared" si="261"/>
        <v>2019-LTK-FRD-F250-047</v>
      </c>
    </row>
    <row r="2432" spans="1:40" s="572" customFormat="1" ht="15">
      <c r="A2432" s="570" t="s">
        <v>4386</v>
      </c>
      <c r="B2432" s="569" t="s">
        <v>4387</v>
      </c>
      <c r="C2432" s="569" t="s">
        <v>269</v>
      </c>
      <c r="D2432" s="580" t="s">
        <v>270</v>
      </c>
      <c r="E2432" s="569" t="s">
        <v>3374</v>
      </c>
      <c r="F2432" s="569" t="s">
        <v>196</v>
      </c>
      <c r="G2432" s="569" t="s">
        <v>271</v>
      </c>
      <c r="H2432" s="569">
        <v>2019</v>
      </c>
      <c r="I2432" s="569" t="s">
        <v>4229</v>
      </c>
      <c r="J2432" s="569" t="s">
        <v>3916</v>
      </c>
      <c r="K2432" s="569" t="s">
        <v>752</v>
      </c>
      <c r="L2432" s="569">
        <v>3</v>
      </c>
      <c r="M2432" s="569">
        <v>0</v>
      </c>
      <c r="N2432" s="569" t="s">
        <v>157</v>
      </c>
      <c r="O2432" s="569">
        <v>1</v>
      </c>
      <c r="P2432" s="569" t="s">
        <v>3846</v>
      </c>
      <c r="Q2432" s="568">
        <v>16200</v>
      </c>
      <c r="R2432" s="569" t="s">
        <v>4231</v>
      </c>
      <c r="S2432" s="569">
        <v>8</v>
      </c>
      <c r="T2432" s="569" t="s">
        <v>4354</v>
      </c>
      <c r="U2432" s="569" t="s">
        <v>4283</v>
      </c>
      <c r="V2432" s="569">
        <v>142</v>
      </c>
      <c r="W2432" s="569">
        <v>29</v>
      </c>
      <c r="X2432" s="568">
        <v>10000</v>
      </c>
      <c r="Y2432" s="573">
        <v>14</v>
      </c>
      <c r="Z2432" s="581" t="s">
        <v>728</v>
      </c>
      <c r="AA2432" s="581" t="s">
        <v>1523</v>
      </c>
      <c r="AB2432" s="585">
        <v>50205</v>
      </c>
      <c r="AC2432" s="585" t="s">
        <v>164</v>
      </c>
      <c r="AD2432" s="585">
        <v>38341.263157894733</v>
      </c>
      <c r="AE2432" s="587">
        <v>0.03</v>
      </c>
      <c r="AF2432" s="661" t="str">
        <f t="shared" si="262"/>
        <v>2019-LTK-FRD-F250-048-05</v>
      </c>
      <c r="AG2432" s="661" t="str">
        <f>IF(AND($Y2432&gt;=32,(AI2432="I"),(Y2432&lt;&gt;"~"),(COUNTIF($AN$1:$AN2432,$AN2432)=1)),"TRUE","FALSE")</f>
        <v>FALSE</v>
      </c>
      <c r="AH2432" s="661" t="str">
        <f>IF(AND($Y2432&gt;=22, (AI2432&lt;&gt;"I"),(Y2432&lt;&gt;"~"),(COUNTIF($AN$1:$AN2432,$AN2432)=1)),"TRUE","FALSE")</f>
        <v>FALSE</v>
      </c>
      <c r="AI2432" s="661" t="str">
        <f t="shared" si="264"/>
        <v>II</v>
      </c>
      <c r="AJ2432" s="662" t="str">
        <f t="shared" si="258"/>
        <v>F250-048</v>
      </c>
      <c r="AK2432" s="662" t="str">
        <f t="shared" si="259"/>
        <v>LTK</v>
      </c>
      <c r="AL2432" s="662" t="str">
        <f t="shared" si="260"/>
        <v>FRD</v>
      </c>
      <c r="AM2432" s="662" t="str">
        <f t="shared" si="263"/>
        <v>F250-Regular Cab XLT-4WD-3-8'-16200-6.7L Diesel-8-F2B-603A-142-29-Diesel-BioDiesel</v>
      </c>
      <c r="AN2432" s="662" t="str">
        <f t="shared" si="261"/>
        <v>2019-LTK-FRD-F250-048</v>
      </c>
    </row>
    <row r="2433" spans="1:40" s="572" customFormat="1" ht="15">
      <c r="A2433" s="570" t="s">
        <v>4388</v>
      </c>
      <c r="B2433" s="573" t="s">
        <v>4381</v>
      </c>
      <c r="C2433" s="573" t="s">
        <v>278</v>
      </c>
      <c r="D2433" s="578">
        <v>15</v>
      </c>
      <c r="E2433" s="573" t="s">
        <v>3374</v>
      </c>
      <c r="F2433" s="573" t="s">
        <v>196</v>
      </c>
      <c r="G2433" s="573" t="s">
        <v>271</v>
      </c>
      <c r="H2433" s="573">
        <v>2019</v>
      </c>
      <c r="I2433" s="573" t="s">
        <v>4229</v>
      </c>
      <c r="J2433" s="573" t="s">
        <v>3916</v>
      </c>
      <c r="K2433" s="573" t="s">
        <v>752</v>
      </c>
      <c r="L2433" s="573">
        <v>3</v>
      </c>
      <c r="M2433" s="573">
        <v>0</v>
      </c>
      <c r="N2433" s="573" t="s">
        <v>157</v>
      </c>
      <c r="O2433" s="573">
        <v>1</v>
      </c>
      <c r="P2433" s="573" t="s">
        <v>3846</v>
      </c>
      <c r="Q2433" s="571">
        <v>12500</v>
      </c>
      <c r="R2433" s="573" t="s">
        <v>4235</v>
      </c>
      <c r="S2433" s="573">
        <v>8</v>
      </c>
      <c r="T2433" s="573" t="s">
        <v>4354</v>
      </c>
      <c r="U2433" s="573" t="s">
        <v>4283</v>
      </c>
      <c r="V2433" s="573">
        <v>142</v>
      </c>
      <c r="W2433" s="573">
        <v>34</v>
      </c>
      <c r="X2433" s="571">
        <v>10000</v>
      </c>
      <c r="Y2433" s="573">
        <v>14</v>
      </c>
      <c r="Z2433" s="579" t="s">
        <v>450</v>
      </c>
      <c r="AA2433" s="579" t="s">
        <v>178</v>
      </c>
      <c r="AB2433" s="584">
        <v>41660</v>
      </c>
      <c r="AC2433" s="584" t="s">
        <v>164</v>
      </c>
      <c r="AD2433" s="584">
        <v>30800</v>
      </c>
      <c r="AE2433" s="586">
        <v>0.01</v>
      </c>
      <c r="AF2433" s="661" t="str">
        <f t="shared" si="262"/>
        <v>2019-LTK-FRD-F250-045-15</v>
      </c>
      <c r="AG2433" s="661" t="str">
        <f>IF(AND($Y2433&gt;=32,(AI2433="I"),(Y2433&lt;&gt;"~"),(COUNTIF($AN$1:$AN2433,$AN2433)=1)),"TRUE","FALSE")</f>
        <v>FALSE</v>
      </c>
      <c r="AH2433" s="661" t="str">
        <f>IF(AND($Y2433&gt;=22, (AI2433&lt;&gt;"I"),(Y2433&lt;&gt;"~"),(COUNTIF($AN$1:$AN2433,$AN2433)=1)),"TRUE","FALSE")</f>
        <v>FALSE</v>
      </c>
      <c r="AI2433" s="661" t="str">
        <f t="shared" si="264"/>
        <v>II</v>
      </c>
      <c r="AJ2433" s="662" t="str">
        <f t="shared" si="258"/>
        <v>F250-045</v>
      </c>
      <c r="AK2433" s="662" t="str">
        <f t="shared" si="259"/>
        <v>LTK</v>
      </c>
      <c r="AL2433" s="662" t="str">
        <f t="shared" si="260"/>
        <v>FRD</v>
      </c>
      <c r="AM2433" s="662" t="str">
        <f t="shared" si="263"/>
        <v>F250-Regular Cab XLT-4WD-3-8'-12500-6.2L FFV-8-F2B-603A-142-34-E85-Unleaded</v>
      </c>
      <c r="AN2433" s="662" t="str">
        <f t="shared" si="261"/>
        <v>2019-LTK-FRD-F250-045</v>
      </c>
    </row>
    <row r="2434" spans="1:40" s="572" customFormat="1" ht="15">
      <c r="A2434" s="570" t="s">
        <v>4389</v>
      </c>
      <c r="B2434" s="569" t="s">
        <v>4387</v>
      </c>
      <c r="C2434" s="569" t="s">
        <v>278</v>
      </c>
      <c r="D2434" s="580">
        <v>15</v>
      </c>
      <c r="E2434" s="569" t="s">
        <v>3374</v>
      </c>
      <c r="F2434" s="569" t="s">
        <v>196</v>
      </c>
      <c r="G2434" s="569" t="s">
        <v>271</v>
      </c>
      <c r="H2434" s="569">
        <v>2019</v>
      </c>
      <c r="I2434" s="569" t="s">
        <v>4229</v>
      </c>
      <c r="J2434" s="569" t="s">
        <v>3916</v>
      </c>
      <c r="K2434" s="569" t="s">
        <v>752</v>
      </c>
      <c r="L2434" s="569">
        <v>3</v>
      </c>
      <c r="M2434" s="569">
        <v>0</v>
      </c>
      <c r="N2434" s="569" t="s">
        <v>157</v>
      </c>
      <c r="O2434" s="569">
        <v>1</v>
      </c>
      <c r="P2434" s="569" t="s">
        <v>3846</v>
      </c>
      <c r="Q2434" s="568">
        <v>16200</v>
      </c>
      <c r="R2434" s="569" t="s">
        <v>4231</v>
      </c>
      <c r="S2434" s="569">
        <v>8</v>
      </c>
      <c r="T2434" s="569" t="s">
        <v>4354</v>
      </c>
      <c r="U2434" s="569" t="s">
        <v>4283</v>
      </c>
      <c r="V2434" s="569">
        <v>142</v>
      </c>
      <c r="W2434" s="569">
        <v>29</v>
      </c>
      <c r="X2434" s="568">
        <v>10000</v>
      </c>
      <c r="Y2434" s="569">
        <v>14</v>
      </c>
      <c r="Z2434" s="581" t="s">
        <v>728</v>
      </c>
      <c r="AA2434" s="581" t="s">
        <v>1523</v>
      </c>
      <c r="AB2434" s="585">
        <v>50780</v>
      </c>
      <c r="AC2434" s="585" t="s">
        <v>164</v>
      </c>
      <c r="AD2434" s="585">
        <v>39100</v>
      </c>
      <c r="AE2434" s="587">
        <v>0.01</v>
      </c>
      <c r="AF2434" s="661" t="str">
        <f t="shared" si="262"/>
        <v>2019-LTK-FRD-F250-048-15</v>
      </c>
      <c r="AG2434" s="661" t="str">
        <f>IF(AND($Y2434&gt;=32,(AI2434="I"),(Y2434&lt;&gt;"~"),(COUNTIF($AN$1:$AN2434,$AN2434)=1)),"TRUE","FALSE")</f>
        <v>FALSE</v>
      </c>
      <c r="AH2434" s="661" t="str">
        <f>IF(AND($Y2434&gt;=22, (AI2434&lt;&gt;"I"),(Y2434&lt;&gt;"~"),(COUNTIF($AN$1:$AN2434,$AN2434)=1)),"TRUE","FALSE")</f>
        <v>FALSE</v>
      </c>
      <c r="AI2434" s="661" t="str">
        <f t="shared" si="264"/>
        <v>II</v>
      </c>
      <c r="AJ2434" s="662" t="str">
        <f t="shared" si="258"/>
        <v>F250-048</v>
      </c>
      <c r="AK2434" s="662" t="str">
        <f t="shared" si="259"/>
        <v>LTK</v>
      </c>
      <c r="AL2434" s="662" t="str">
        <f t="shared" si="260"/>
        <v>FRD</v>
      </c>
      <c r="AM2434" s="662" t="str">
        <f t="shared" si="263"/>
        <v>F250-Regular Cab XLT-4WD-3-8'-16200-6.7L Diesel-8-F2B-603A-142-29-Diesel-BioDiesel</v>
      </c>
      <c r="AN2434" s="662" t="str">
        <f t="shared" si="261"/>
        <v>2019-LTK-FRD-F250-048</v>
      </c>
    </row>
    <row r="2435" spans="1:40" s="572" customFormat="1" ht="15">
      <c r="A2435" s="570" t="s">
        <v>4390</v>
      </c>
      <c r="B2435" s="573" t="s">
        <v>4381</v>
      </c>
      <c r="C2435" s="573" t="s">
        <v>287</v>
      </c>
      <c r="D2435" s="578">
        <v>26</v>
      </c>
      <c r="E2435" s="573" t="s">
        <v>3374</v>
      </c>
      <c r="F2435" s="573" t="s">
        <v>196</v>
      </c>
      <c r="G2435" s="573" t="s">
        <v>271</v>
      </c>
      <c r="H2435" s="573">
        <v>2019</v>
      </c>
      <c r="I2435" s="573" t="s">
        <v>4229</v>
      </c>
      <c r="J2435" s="573" t="s">
        <v>3916</v>
      </c>
      <c r="K2435" s="573" t="s">
        <v>752</v>
      </c>
      <c r="L2435" s="573">
        <v>3</v>
      </c>
      <c r="M2435" s="573">
        <v>0</v>
      </c>
      <c r="N2435" s="573" t="s">
        <v>157</v>
      </c>
      <c r="O2435" s="573">
        <v>1</v>
      </c>
      <c r="P2435" s="573" t="s">
        <v>3846</v>
      </c>
      <c r="Q2435" s="571">
        <v>12500</v>
      </c>
      <c r="R2435" s="573" t="s">
        <v>4235</v>
      </c>
      <c r="S2435" s="573">
        <v>8</v>
      </c>
      <c r="T2435" s="573" t="s">
        <v>4354</v>
      </c>
      <c r="U2435" s="573" t="s">
        <v>4283</v>
      </c>
      <c r="V2435" s="573">
        <v>142</v>
      </c>
      <c r="W2435" s="573">
        <v>34</v>
      </c>
      <c r="X2435" s="571">
        <v>10000</v>
      </c>
      <c r="Y2435" s="573">
        <v>14</v>
      </c>
      <c r="Z2435" s="579" t="s">
        <v>450</v>
      </c>
      <c r="AA2435" s="579" t="s">
        <v>178</v>
      </c>
      <c r="AB2435" s="584">
        <v>41210</v>
      </c>
      <c r="AC2435" s="584" t="s">
        <v>164</v>
      </c>
      <c r="AD2435" s="584">
        <v>30885</v>
      </c>
      <c r="AE2435" s="586">
        <v>0.05</v>
      </c>
      <c r="AF2435" s="661" t="str">
        <f t="shared" si="262"/>
        <v>2019-LTK-FRD-F250-045-26</v>
      </c>
      <c r="AG2435" s="661" t="str">
        <f>IF(AND($Y2435&gt;=32,(AI2435="I"),(Y2435&lt;&gt;"~"),(COUNTIF($AN$1:$AN2435,$AN2435)=1)),"TRUE","FALSE")</f>
        <v>FALSE</v>
      </c>
      <c r="AH2435" s="661" t="str">
        <f>IF(AND($Y2435&gt;=22, (AI2435&lt;&gt;"I"),(Y2435&lt;&gt;"~"),(COUNTIF($AN$1:$AN2435,$AN2435)=1)),"TRUE","FALSE")</f>
        <v>FALSE</v>
      </c>
      <c r="AI2435" s="661" t="str">
        <f t="shared" si="264"/>
        <v>II</v>
      </c>
      <c r="AJ2435" s="662" t="str">
        <f t="shared" ref="AJ2435:AJ2498" si="265">MID(A2435,14,8)</f>
        <v>F250-045</v>
      </c>
      <c r="AK2435" s="662" t="str">
        <f t="shared" ref="AK2435:AK2498" si="266">MID(A2435,6,3)</f>
        <v>LTK</v>
      </c>
      <c r="AL2435" s="662" t="str">
        <f t="shared" ref="AL2435:AL2498" si="267">MID(A2435,10,3)</f>
        <v>FRD</v>
      </c>
      <c r="AM2435" s="662" t="str">
        <f t="shared" si="263"/>
        <v>F250-Regular Cab XLT-4WD-3-8'-12500-6.2L FFV-8-F2B-603A-142-34-E85-Unleaded</v>
      </c>
      <c r="AN2435" s="662" t="str">
        <f t="shared" ref="AN2435:AN2498" si="268">LEFT(A2435,21)</f>
        <v>2019-LTK-FRD-F250-045</v>
      </c>
    </row>
    <row r="2436" spans="1:40" s="572" customFormat="1" ht="15">
      <c r="A2436" s="570" t="s">
        <v>4391</v>
      </c>
      <c r="B2436" s="569" t="s">
        <v>4387</v>
      </c>
      <c r="C2436" s="569" t="s">
        <v>287</v>
      </c>
      <c r="D2436" s="580">
        <v>26</v>
      </c>
      <c r="E2436" s="569" t="s">
        <v>3374</v>
      </c>
      <c r="F2436" s="569" t="s">
        <v>196</v>
      </c>
      <c r="G2436" s="569" t="s">
        <v>271</v>
      </c>
      <c r="H2436" s="569">
        <v>2019</v>
      </c>
      <c r="I2436" s="569" t="s">
        <v>4229</v>
      </c>
      <c r="J2436" s="569" t="s">
        <v>3916</v>
      </c>
      <c r="K2436" s="569" t="s">
        <v>752</v>
      </c>
      <c r="L2436" s="569">
        <v>3</v>
      </c>
      <c r="M2436" s="569">
        <v>0</v>
      </c>
      <c r="N2436" s="569" t="s">
        <v>157</v>
      </c>
      <c r="O2436" s="569">
        <v>1</v>
      </c>
      <c r="P2436" s="569" t="s">
        <v>3846</v>
      </c>
      <c r="Q2436" s="568">
        <v>16200</v>
      </c>
      <c r="R2436" s="569" t="s">
        <v>4231</v>
      </c>
      <c r="S2436" s="569">
        <v>8</v>
      </c>
      <c r="T2436" s="569" t="s">
        <v>4354</v>
      </c>
      <c r="U2436" s="569" t="s">
        <v>4283</v>
      </c>
      <c r="V2436" s="569">
        <v>142</v>
      </c>
      <c r="W2436" s="569">
        <v>29</v>
      </c>
      <c r="X2436" s="568">
        <v>10000</v>
      </c>
      <c r="Y2436" s="569">
        <v>14</v>
      </c>
      <c r="Z2436" s="581" t="s">
        <v>728</v>
      </c>
      <c r="AA2436" s="581" t="s">
        <v>1523</v>
      </c>
      <c r="AB2436" s="585">
        <v>50205</v>
      </c>
      <c r="AC2436" s="585" t="s">
        <v>164</v>
      </c>
      <c r="AD2436" s="585">
        <v>39079</v>
      </c>
      <c r="AE2436" s="587">
        <v>0.05</v>
      </c>
      <c r="AF2436" s="661" t="str">
        <f t="shared" si="262"/>
        <v>2019-LTK-FRD-F250-048-26</v>
      </c>
      <c r="AG2436" s="661" t="str">
        <f>IF(AND($Y2436&gt;=32,(AI2436="I"),(Y2436&lt;&gt;"~"),(COUNTIF($AN$1:$AN2436,$AN2436)=1)),"TRUE","FALSE")</f>
        <v>FALSE</v>
      </c>
      <c r="AH2436" s="661" t="str">
        <f>IF(AND($Y2436&gt;=22, (AI2436&lt;&gt;"I"),(Y2436&lt;&gt;"~"),(COUNTIF($AN$1:$AN2436,$AN2436)=1)),"TRUE","FALSE")</f>
        <v>FALSE</v>
      </c>
      <c r="AI2436" s="661" t="str">
        <f t="shared" si="264"/>
        <v>II</v>
      </c>
      <c r="AJ2436" s="662" t="str">
        <f t="shared" si="265"/>
        <v>F250-048</v>
      </c>
      <c r="AK2436" s="662" t="str">
        <f t="shared" si="266"/>
        <v>LTK</v>
      </c>
      <c r="AL2436" s="662" t="str">
        <f t="shared" si="267"/>
        <v>FRD</v>
      </c>
      <c r="AM2436" s="662" t="str">
        <f t="shared" si="263"/>
        <v>F250-Regular Cab XLT-4WD-3-8'-16200-6.7L Diesel-8-F2B-603A-142-29-Diesel-BioDiesel</v>
      </c>
      <c r="AN2436" s="662" t="str">
        <f t="shared" si="268"/>
        <v>2019-LTK-FRD-F250-048</v>
      </c>
    </row>
    <row r="2437" spans="1:40" s="572" customFormat="1" ht="15">
      <c r="A2437" s="570" t="s">
        <v>4392</v>
      </c>
      <c r="B2437" s="573" t="s">
        <v>4381</v>
      </c>
      <c r="C2437" s="573" t="s">
        <v>280</v>
      </c>
      <c r="D2437" s="578">
        <v>27</v>
      </c>
      <c r="E2437" s="573" t="s">
        <v>3374</v>
      </c>
      <c r="F2437" s="573" t="s">
        <v>196</v>
      </c>
      <c r="G2437" s="573" t="s">
        <v>271</v>
      </c>
      <c r="H2437" s="573">
        <v>2019</v>
      </c>
      <c r="I2437" s="573" t="s">
        <v>4229</v>
      </c>
      <c r="J2437" s="573" t="s">
        <v>3916</v>
      </c>
      <c r="K2437" s="573" t="s">
        <v>752</v>
      </c>
      <c r="L2437" s="573">
        <v>3</v>
      </c>
      <c r="M2437" s="573">
        <v>0</v>
      </c>
      <c r="N2437" s="573" t="s">
        <v>157</v>
      </c>
      <c r="O2437" s="573">
        <v>1</v>
      </c>
      <c r="P2437" s="573" t="s">
        <v>3846</v>
      </c>
      <c r="Q2437" s="571">
        <v>12500</v>
      </c>
      <c r="R2437" s="573" t="s">
        <v>4235</v>
      </c>
      <c r="S2437" s="573">
        <v>8</v>
      </c>
      <c r="T2437" s="573" t="s">
        <v>4354</v>
      </c>
      <c r="U2437" s="573" t="s">
        <v>4283</v>
      </c>
      <c r="V2437" s="573">
        <v>142</v>
      </c>
      <c r="W2437" s="573">
        <v>34</v>
      </c>
      <c r="X2437" s="571">
        <v>10000</v>
      </c>
      <c r="Y2437" s="573">
        <v>14</v>
      </c>
      <c r="Z2437" s="579" t="s">
        <v>450</v>
      </c>
      <c r="AA2437" s="579" t="s">
        <v>178</v>
      </c>
      <c r="AB2437" s="584">
        <v>41210</v>
      </c>
      <c r="AC2437" s="584" t="s">
        <v>164</v>
      </c>
      <c r="AD2437" s="584">
        <v>30260.336842105266</v>
      </c>
      <c r="AE2437" s="586">
        <v>0.03</v>
      </c>
      <c r="AF2437" s="661" t="str">
        <f t="shared" si="262"/>
        <v>2019-LTK-FRD-F250-045-27</v>
      </c>
      <c r="AG2437" s="661" t="str">
        <f>IF(AND($Y2437&gt;=32,(AI2437="I"),(Y2437&lt;&gt;"~"),(COUNTIF($AN$1:$AN2437,$AN2437)=1)),"TRUE","FALSE")</f>
        <v>FALSE</v>
      </c>
      <c r="AH2437" s="661" t="str">
        <f>IF(AND($Y2437&gt;=22, (AI2437&lt;&gt;"I"),(Y2437&lt;&gt;"~"),(COUNTIF($AN$1:$AN2437,$AN2437)=1)),"TRUE","FALSE")</f>
        <v>FALSE</v>
      </c>
      <c r="AI2437" s="661" t="str">
        <f t="shared" si="264"/>
        <v>II</v>
      </c>
      <c r="AJ2437" s="662" t="str">
        <f t="shared" si="265"/>
        <v>F250-045</v>
      </c>
      <c r="AK2437" s="662" t="str">
        <f t="shared" si="266"/>
        <v>LTK</v>
      </c>
      <c r="AL2437" s="662" t="str">
        <f t="shared" si="267"/>
        <v>FRD</v>
      </c>
      <c r="AM2437" s="662" t="str">
        <f t="shared" si="263"/>
        <v>F250-Regular Cab XLT-4WD-3-8'-12500-6.2L FFV-8-F2B-603A-142-34-E85-Unleaded</v>
      </c>
      <c r="AN2437" s="662" t="str">
        <f t="shared" si="268"/>
        <v>2019-LTK-FRD-F250-045</v>
      </c>
    </row>
    <row r="2438" spans="1:40" s="572" customFormat="1" ht="15">
      <c r="A2438" s="570" t="s">
        <v>4393</v>
      </c>
      <c r="B2438" s="569" t="s">
        <v>4383</v>
      </c>
      <c r="C2438" s="569" t="s">
        <v>280</v>
      </c>
      <c r="D2438" s="580">
        <v>27</v>
      </c>
      <c r="E2438" s="569" t="s">
        <v>3374</v>
      </c>
      <c r="F2438" s="569" t="s">
        <v>196</v>
      </c>
      <c r="G2438" s="569" t="s">
        <v>271</v>
      </c>
      <c r="H2438" s="569">
        <v>2019</v>
      </c>
      <c r="I2438" s="569" t="s">
        <v>4229</v>
      </c>
      <c r="J2438" s="569" t="s">
        <v>3916</v>
      </c>
      <c r="K2438" s="569" t="s">
        <v>752</v>
      </c>
      <c r="L2438" s="569">
        <v>3</v>
      </c>
      <c r="M2438" s="569">
        <v>0</v>
      </c>
      <c r="N2438" s="569" t="s">
        <v>157</v>
      </c>
      <c r="O2438" s="569">
        <v>1</v>
      </c>
      <c r="P2438" s="569" t="s">
        <v>3846</v>
      </c>
      <c r="Q2438" s="568">
        <v>12900</v>
      </c>
      <c r="R2438" s="569" t="s">
        <v>4235</v>
      </c>
      <c r="S2438" s="569">
        <v>8</v>
      </c>
      <c r="T2438" s="569" t="s">
        <v>4354</v>
      </c>
      <c r="U2438" s="569" t="s">
        <v>4283</v>
      </c>
      <c r="V2438" s="569">
        <v>142</v>
      </c>
      <c r="W2438" s="569">
        <v>34</v>
      </c>
      <c r="X2438" s="568">
        <v>10000</v>
      </c>
      <c r="Y2438" s="573">
        <v>14</v>
      </c>
      <c r="Z2438" s="581" t="s">
        <v>450</v>
      </c>
      <c r="AA2438" s="581" t="s">
        <v>178</v>
      </c>
      <c r="AB2438" s="585">
        <v>41210</v>
      </c>
      <c r="AC2438" s="585" t="s">
        <v>164</v>
      </c>
      <c r="AD2438" s="585">
        <v>30260.336842105266</v>
      </c>
      <c r="AE2438" s="587">
        <v>0.03</v>
      </c>
      <c r="AF2438" s="661" t="str">
        <f t="shared" si="262"/>
        <v>2019-LTK-FRD-F250-046-27</v>
      </c>
      <c r="AG2438" s="661" t="str">
        <f>IF(AND($Y2438&gt;=32,(AI2438="I"),(Y2438&lt;&gt;"~"),(COUNTIF($AN$1:$AN2438,$AN2438)=1)),"TRUE","FALSE")</f>
        <v>FALSE</v>
      </c>
      <c r="AH2438" s="661" t="str">
        <f>IF(AND($Y2438&gt;=22, (AI2438&lt;&gt;"I"),(Y2438&lt;&gt;"~"),(COUNTIF($AN$1:$AN2438,$AN2438)=1)),"TRUE","FALSE")</f>
        <v>FALSE</v>
      </c>
      <c r="AI2438" s="661" t="str">
        <f t="shared" si="264"/>
        <v>II</v>
      </c>
      <c r="AJ2438" s="662" t="str">
        <f t="shared" si="265"/>
        <v>F250-046</v>
      </c>
      <c r="AK2438" s="662" t="str">
        <f t="shared" si="266"/>
        <v>LTK</v>
      </c>
      <c r="AL2438" s="662" t="str">
        <f t="shared" si="267"/>
        <v>FRD</v>
      </c>
      <c r="AM2438" s="662" t="str">
        <f t="shared" si="263"/>
        <v>F250-Regular Cab XLT-4WD-3-8'-12900-6.2L FFV-8-F2B-603A-142-34-E85-Unleaded</v>
      </c>
      <c r="AN2438" s="662" t="str">
        <f t="shared" si="268"/>
        <v>2019-LTK-FRD-F250-046</v>
      </c>
    </row>
    <row r="2439" spans="1:40" s="572" customFormat="1" ht="15">
      <c r="A2439" s="570" t="s">
        <v>4394</v>
      </c>
      <c r="B2439" s="573" t="s">
        <v>4385</v>
      </c>
      <c r="C2439" s="573" t="s">
        <v>280</v>
      </c>
      <c r="D2439" s="578">
        <v>27</v>
      </c>
      <c r="E2439" s="573" t="s">
        <v>3374</v>
      </c>
      <c r="F2439" s="573" t="s">
        <v>196</v>
      </c>
      <c r="G2439" s="573" t="s">
        <v>271</v>
      </c>
      <c r="H2439" s="573">
        <v>2019</v>
      </c>
      <c r="I2439" s="573" t="s">
        <v>4229</v>
      </c>
      <c r="J2439" s="573" t="s">
        <v>3916</v>
      </c>
      <c r="K2439" s="573" t="s">
        <v>752</v>
      </c>
      <c r="L2439" s="573">
        <v>3</v>
      </c>
      <c r="M2439" s="573">
        <v>0</v>
      </c>
      <c r="N2439" s="573" t="s">
        <v>157</v>
      </c>
      <c r="O2439" s="573">
        <v>1</v>
      </c>
      <c r="P2439" s="573" t="s">
        <v>3846</v>
      </c>
      <c r="Q2439" s="571">
        <v>16200</v>
      </c>
      <c r="R2439" s="573" t="s">
        <v>4231</v>
      </c>
      <c r="S2439" s="573">
        <v>8</v>
      </c>
      <c r="T2439" s="573" t="s">
        <v>4354</v>
      </c>
      <c r="U2439" s="573" t="s">
        <v>4283</v>
      </c>
      <c r="V2439" s="573">
        <v>142</v>
      </c>
      <c r="W2439" s="573">
        <v>29</v>
      </c>
      <c r="X2439" s="571">
        <v>10000</v>
      </c>
      <c r="Y2439" s="573">
        <v>14</v>
      </c>
      <c r="Z2439" s="579" t="s">
        <v>4341</v>
      </c>
      <c r="AA2439" s="579" t="s">
        <v>1523</v>
      </c>
      <c r="AB2439" s="584">
        <v>50205</v>
      </c>
      <c r="AC2439" s="584" t="s">
        <v>164</v>
      </c>
      <c r="AD2439" s="584">
        <v>38341.263157894733</v>
      </c>
      <c r="AE2439" s="586">
        <v>0.03</v>
      </c>
      <c r="AF2439" s="661" t="str">
        <f t="shared" si="262"/>
        <v>2019-LTK-FRD-F250-047-27</v>
      </c>
      <c r="AG2439" s="661" t="str">
        <f>IF(AND($Y2439&gt;=32,(AI2439="I"),(Y2439&lt;&gt;"~"),(COUNTIF($AN$1:$AN2439,$AN2439)=1)),"TRUE","FALSE")</f>
        <v>FALSE</v>
      </c>
      <c r="AH2439" s="661" t="str">
        <f>IF(AND($Y2439&gt;=22, (AI2439&lt;&gt;"I"),(Y2439&lt;&gt;"~"),(COUNTIF($AN$1:$AN2439,$AN2439)=1)),"TRUE","FALSE")</f>
        <v>FALSE</v>
      </c>
      <c r="AI2439" s="661" t="str">
        <f t="shared" si="264"/>
        <v>II</v>
      </c>
      <c r="AJ2439" s="662" t="str">
        <f t="shared" si="265"/>
        <v>F250-047</v>
      </c>
      <c r="AK2439" s="662" t="str">
        <f t="shared" si="266"/>
        <v>LTK</v>
      </c>
      <c r="AL2439" s="662" t="str">
        <f t="shared" si="267"/>
        <v>FRD</v>
      </c>
      <c r="AM2439" s="662" t="str">
        <f t="shared" si="263"/>
        <v>F250-Regular Cab XLT-4WD-3-8'-16200-6.7L Diesel-8-F2B-603A-142-29-Diesel -BioDiesel</v>
      </c>
      <c r="AN2439" s="662" t="str">
        <f t="shared" si="268"/>
        <v>2019-LTK-FRD-F250-047</v>
      </c>
    </row>
    <row r="2440" spans="1:40" s="572" customFormat="1" ht="15">
      <c r="A2440" s="570" t="s">
        <v>4395</v>
      </c>
      <c r="B2440" s="569" t="s">
        <v>4387</v>
      </c>
      <c r="C2440" s="569" t="s">
        <v>280</v>
      </c>
      <c r="D2440" s="580">
        <v>27</v>
      </c>
      <c r="E2440" s="569" t="s">
        <v>3374</v>
      </c>
      <c r="F2440" s="569" t="s">
        <v>196</v>
      </c>
      <c r="G2440" s="569" t="s">
        <v>271</v>
      </c>
      <c r="H2440" s="569">
        <v>2019</v>
      </c>
      <c r="I2440" s="569" t="s">
        <v>4229</v>
      </c>
      <c r="J2440" s="569" t="s">
        <v>3916</v>
      </c>
      <c r="K2440" s="569" t="s">
        <v>752</v>
      </c>
      <c r="L2440" s="569">
        <v>3</v>
      </c>
      <c r="M2440" s="569">
        <v>0</v>
      </c>
      <c r="N2440" s="569" t="s">
        <v>157</v>
      </c>
      <c r="O2440" s="569">
        <v>1</v>
      </c>
      <c r="P2440" s="569" t="s">
        <v>3846</v>
      </c>
      <c r="Q2440" s="568">
        <v>16200</v>
      </c>
      <c r="R2440" s="569" t="s">
        <v>4231</v>
      </c>
      <c r="S2440" s="569">
        <v>8</v>
      </c>
      <c r="T2440" s="569" t="s">
        <v>4354</v>
      </c>
      <c r="U2440" s="569" t="s">
        <v>4283</v>
      </c>
      <c r="V2440" s="569">
        <v>142</v>
      </c>
      <c r="W2440" s="569">
        <v>29</v>
      </c>
      <c r="X2440" s="568">
        <v>10000</v>
      </c>
      <c r="Y2440" s="573">
        <v>14</v>
      </c>
      <c r="Z2440" s="581" t="s">
        <v>728</v>
      </c>
      <c r="AA2440" s="581" t="s">
        <v>1523</v>
      </c>
      <c r="AB2440" s="585">
        <v>50205</v>
      </c>
      <c r="AC2440" s="585" t="s">
        <v>164</v>
      </c>
      <c r="AD2440" s="585">
        <v>38341.263157894733</v>
      </c>
      <c r="AE2440" s="587">
        <v>0.03</v>
      </c>
      <c r="AF2440" s="661" t="str">
        <f t="shared" ref="AF2440:AF2503" si="269">A2440</f>
        <v>2019-LTK-FRD-F250-048-27</v>
      </c>
      <c r="AG2440" s="661" t="str">
        <f>IF(AND($Y2440&gt;=32,(AI2440="I"),(Y2440&lt;&gt;"~"),(COUNTIF($AN$1:$AN2440,$AN2440)=1)),"TRUE","FALSE")</f>
        <v>FALSE</v>
      </c>
      <c r="AH2440" s="661" t="str">
        <f>IF(AND($Y2440&gt;=22, (AI2440&lt;&gt;"I"),(Y2440&lt;&gt;"~"),(COUNTIF($AN$1:$AN2440,$AN2440)=1)),"TRUE","FALSE")</f>
        <v>FALSE</v>
      </c>
      <c r="AI2440" s="661" t="str">
        <f t="shared" si="264"/>
        <v>II</v>
      </c>
      <c r="AJ2440" s="662" t="str">
        <f t="shared" si="265"/>
        <v>F250-048</v>
      </c>
      <c r="AK2440" s="662" t="str">
        <f t="shared" si="266"/>
        <v>LTK</v>
      </c>
      <c r="AL2440" s="662" t="str">
        <f t="shared" si="267"/>
        <v>FRD</v>
      </c>
      <c r="AM2440" s="662" t="str">
        <f t="shared" si="263"/>
        <v>F250-Regular Cab XLT-4WD-3-8'-16200-6.7L Diesel-8-F2B-603A-142-29-Diesel-BioDiesel</v>
      </c>
      <c r="AN2440" s="662" t="str">
        <f t="shared" si="268"/>
        <v>2019-LTK-FRD-F250-048</v>
      </c>
    </row>
    <row r="2441" spans="1:40" s="572" customFormat="1" ht="15">
      <c r="A2441" s="570" t="s">
        <v>4396</v>
      </c>
      <c r="B2441" s="573" t="s">
        <v>4397</v>
      </c>
      <c r="C2441" s="573" t="s">
        <v>269</v>
      </c>
      <c r="D2441" s="578" t="s">
        <v>270</v>
      </c>
      <c r="E2441" s="573" t="s">
        <v>3374</v>
      </c>
      <c r="F2441" s="573" t="s">
        <v>196</v>
      </c>
      <c r="G2441" s="573" t="s">
        <v>271</v>
      </c>
      <c r="H2441" s="573">
        <v>2019</v>
      </c>
      <c r="I2441" s="573" t="s">
        <v>4229</v>
      </c>
      <c r="J2441" s="573" t="s">
        <v>3996</v>
      </c>
      <c r="K2441" s="573" t="s">
        <v>3377</v>
      </c>
      <c r="L2441" s="573">
        <v>6</v>
      </c>
      <c r="M2441" s="573">
        <v>0</v>
      </c>
      <c r="N2441" s="573" t="s">
        <v>157</v>
      </c>
      <c r="O2441" s="573">
        <v>2</v>
      </c>
      <c r="P2441" s="573" t="s">
        <v>4230</v>
      </c>
      <c r="Q2441" s="571">
        <v>12500</v>
      </c>
      <c r="R2441" s="573" t="s">
        <v>4235</v>
      </c>
      <c r="S2441" s="573">
        <v>8</v>
      </c>
      <c r="T2441" s="573" t="s">
        <v>4398</v>
      </c>
      <c r="U2441" s="573" t="s">
        <v>366</v>
      </c>
      <c r="V2441" s="573">
        <v>148</v>
      </c>
      <c r="W2441" s="573">
        <v>34</v>
      </c>
      <c r="X2441" s="571">
        <v>10000</v>
      </c>
      <c r="Y2441" s="573">
        <v>15</v>
      </c>
      <c r="Z2441" s="579" t="s">
        <v>450</v>
      </c>
      <c r="AA2441" s="579" t="s">
        <v>178</v>
      </c>
      <c r="AB2441" s="584">
        <v>36615</v>
      </c>
      <c r="AC2441" s="584" t="s">
        <v>164</v>
      </c>
      <c r="AD2441" s="584">
        <v>25175.073684210529</v>
      </c>
      <c r="AE2441" s="586">
        <v>0.03</v>
      </c>
      <c r="AF2441" s="661" t="str">
        <f t="shared" si="269"/>
        <v>2019-LTK-FRD-F250-050-05</v>
      </c>
      <c r="AG2441" s="661" t="str">
        <f>IF(AND($Y2441&gt;=32,(AI2441="I"),(Y2441&lt;&gt;"~"),(COUNTIF($AN$1:$AN2441,$AN2441)=1)),"TRUE","FALSE")</f>
        <v>FALSE</v>
      </c>
      <c r="AH2441" s="661" t="str">
        <f>IF(AND($Y2441&gt;=22, (AI2441&lt;&gt;"I"),(Y2441&lt;&gt;"~"),(COUNTIF($AN$1:$AN2441,$AN2441)=1)),"TRUE","FALSE")</f>
        <v>FALSE</v>
      </c>
      <c r="AI2441" s="661" t="str">
        <f t="shared" si="264"/>
        <v>II</v>
      </c>
      <c r="AJ2441" s="662" t="str">
        <f t="shared" si="265"/>
        <v>F250-050</v>
      </c>
      <c r="AK2441" s="662" t="str">
        <f t="shared" si="266"/>
        <v>LTK</v>
      </c>
      <c r="AL2441" s="662" t="str">
        <f t="shared" si="267"/>
        <v>FRD</v>
      </c>
      <c r="AM2441" s="662" t="str">
        <f t="shared" si="263"/>
        <v>F250-Super Cab XL-2WD-6-6'9"-12500-6.2L FFV-8-X2A-600A-148-34-E85-Unleaded</v>
      </c>
      <c r="AN2441" s="662" t="str">
        <f t="shared" si="268"/>
        <v>2019-LTK-FRD-F250-050</v>
      </c>
    </row>
    <row r="2442" spans="1:40" s="572" customFormat="1" ht="15">
      <c r="A2442" s="570" t="s">
        <v>4399</v>
      </c>
      <c r="B2442" s="569" t="s">
        <v>4400</v>
      </c>
      <c r="C2442" s="569" t="s">
        <v>269</v>
      </c>
      <c r="D2442" s="580" t="s">
        <v>270</v>
      </c>
      <c r="E2442" s="569" t="s">
        <v>3374</v>
      </c>
      <c r="F2442" s="569" t="s">
        <v>196</v>
      </c>
      <c r="G2442" s="569" t="s">
        <v>271</v>
      </c>
      <c r="H2442" s="569">
        <v>2019</v>
      </c>
      <c r="I2442" s="569" t="s">
        <v>4229</v>
      </c>
      <c r="J2442" s="569" t="s">
        <v>3996</v>
      </c>
      <c r="K2442" s="569" t="s">
        <v>3377</v>
      </c>
      <c r="L2442" s="569">
        <v>6</v>
      </c>
      <c r="M2442" s="569">
        <v>0</v>
      </c>
      <c r="N2442" s="569" t="s">
        <v>157</v>
      </c>
      <c r="O2442" s="569">
        <v>2</v>
      </c>
      <c r="P2442" s="569" t="s">
        <v>4230</v>
      </c>
      <c r="Q2442" s="568">
        <v>12500</v>
      </c>
      <c r="R2442" s="569" t="s">
        <v>4231</v>
      </c>
      <c r="S2442" s="569">
        <v>8</v>
      </c>
      <c r="T2442" s="569" t="s">
        <v>4398</v>
      </c>
      <c r="U2442" s="569" t="s">
        <v>366</v>
      </c>
      <c r="V2442" s="569">
        <v>148</v>
      </c>
      <c r="W2442" s="569">
        <v>34</v>
      </c>
      <c r="X2442" s="568">
        <v>10000</v>
      </c>
      <c r="Y2442" s="573">
        <v>15</v>
      </c>
      <c r="Z2442" s="581" t="s">
        <v>728</v>
      </c>
      <c r="AA2442" s="581" t="s">
        <v>1523</v>
      </c>
      <c r="AB2442" s="585">
        <v>46100</v>
      </c>
      <c r="AC2442" s="585" t="s">
        <v>164</v>
      </c>
      <c r="AD2442" s="585">
        <v>33732.210526315786</v>
      </c>
      <c r="AE2442" s="587">
        <v>0.03</v>
      </c>
      <c r="AF2442" s="661" t="str">
        <f t="shared" si="269"/>
        <v>2019-LTK-FRD-F250-051-05</v>
      </c>
      <c r="AG2442" s="661" t="str">
        <f>IF(AND($Y2442&gt;=32,(AI2442="I"),(Y2442&lt;&gt;"~"),(COUNTIF($AN$1:$AN2442,$AN2442)=1)),"TRUE","FALSE")</f>
        <v>FALSE</v>
      </c>
      <c r="AH2442" s="661" t="str">
        <f>IF(AND($Y2442&gt;=22, (AI2442&lt;&gt;"I"),(Y2442&lt;&gt;"~"),(COUNTIF($AN$1:$AN2442,$AN2442)=1)),"TRUE","FALSE")</f>
        <v>FALSE</v>
      </c>
      <c r="AI2442" s="661" t="str">
        <f t="shared" si="264"/>
        <v>II</v>
      </c>
      <c r="AJ2442" s="662" t="str">
        <f t="shared" si="265"/>
        <v>F250-051</v>
      </c>
      <c r="AK2442" s="662" t="str">
        <f t="shared" si="266"/>
        <v>LTK</v>
      </c>
      <c r="AL2442" s="662" t="str">
        <f t="shared" si="267"/>
        <v>FRD</v>
      </c>
      <c r="AM2442" s="662" t="str">
        <f t="shared" si="263"/>
        <v>F250-Super Cab XL-2WD-6-6'9"-12500-6.7L Diesel-8-X2A-600A-148-34-Diesel-BioDiesel</v>
      </c>
      <c r="AN2442" s="662" t="str">
        <f t="shared" si="268"/>
        <v>2019-LTK-FRD-F250-051</v>
      </c>
    </row>
    <row r="2443" spans="1:40" s="572" customFormat="1" ht="15">
      <c r="A2443" s="570" t="s">
        <v>4401</v>
      </c>
      <c r="B2443" s="573" t="s">
        <v>4402</v>
      </c>
      <c r="C2443" s="573" t="s">
        <v>269</v>
      </c>
      <c r="D2443" s="578" t="s">
        <v>270</v>
      </c>
      <c r="E2443" s="573" t="s">
        <v>3374</v>
      </c>
      <c r="F2443" s="573" t="s">
        <v>196</v>
      </c>
      <c r="G2443" s="573" t="s">
        <v>271</v>
      </c>
      <c r="H2443" s="573">
        <v>2019</v>
      </c>
      <c r="I2443" s="573" t="s">
        <v>4229</v>
      </c>
      <c r="J2443" s="573" t="s">
        <v>3996</v>
      </c>
      <c r="K2443" s="573" t="s">
        <v>3377</v>
      </c>
      <c r="L2443" s="573">
        <v>6</v>
      </c>
      <c r="M2443" s="573">
        <v>0</v>
      </c>
      <c r="N2443" s="573" t="s">
        <v>157</v>
      </c>
      <c r="O2443" s="573">
        <v>2</v>
      </c>
      <c r="P2443" s="573" t="s">
        <v>4230</v>
      </c>
      <c r="Q2443" s="571">
        <v>13000</v>
      </c>
      <c r="R2443" s="573" t="s">
        <v>4235</v>
      </c>
      <c r="S2443" s="573">
        <v>8</v>
      </c>
      <c r="T2443" s="573" t="s">
        <v>4398</v>
      </c>
      <c r="U2443" s="573" t="s">
        <v>366</v>
      </c>
      <c r="V2443" s="573">
        <v>148</v>
      </c>
      <c r="W2443" s="573">
        <v>34</v>
      </c>
      <c r="X2443" s="571">
        <v>10000</v>
      </c>
      <c r="Y2443" s="573">
        <v>15</v>
      </c>
      <c r="Z2443" s="579" t="s">
        <v>450</v>
      </c>
      <c r="AA2443" s="579" t="s">
        <v>178</v>
      </c>
      <c r="AB2443" s="584">
        <v>36615</v>
      </c>
      <c r="AC2443" s="584" t="s">
        <v>164</v>
      </c>
      <c r="AD2443" s="584">
        <v>25175.073684210529</v>
      </c>
      <c r="AE2443" s="586">
        <v>0.03</v>
      </c>
      <c r="AF2443" s="661" t="str">
        <f t="shared" si="269"/>
        <v>2019-LTK-FRD-F250-052-05</v>
      </c>
      <c r="AG2443" s="661" t="str">
        <f>IF(AND($Y2443&gt;=32,(AI2443="I"),(Y2443&lt;&gt;"~"),(COUNTIF($AN$1:$AN2443,$AN2443)=1)),"TRUE","FALSE")</f>
        <v>FALSE</v>
      </c>
      <c r="AH2443" s="661" t="str">
        <f>IF(AND($Y2443&gt;=22, (AI2443&lt;&gt;"I"),(Y2443&lt;&gt;"~"),(COUNTIF($AN$1:$AN2443,$AN2443)=1)),"TRUE","FALSE")</f>
        <v>FALSE</v>
      </c>
      <c r="AI2443" s="661" t="str">
        <f t="shared" si="264"/>
        <v>II</v>
      </c>
      <c r="AJ2443" s="662" t="str">
        <f t="shared" si="265"/>
        <v>F250-052</v>
      </c>
      <c r="AK2443" s="662" t="str">
        <f t="shared" si="266"/>
        <v>LTK</v>
      </c>
      <c r="AL2443" s="662" t="str">
        <f t="shared" si="267"/>
        <v>FRD</v>
      </c>
      <c r="AM2443" s="662" t="str">
        <f t="shared" si="263"/>
        <v>F250-Super Cab XL-2WD-6-6'9"-13000-6.2L FFV-8-X2A-600A-148-34-E85-Unleaded</v>
      </c>
      <c r="AN2443" s="662" t="str">
        <f t="shared" si="268"/>
        <v>2019-LTK-FRD-F250-052</v>
      </c>
    </row>
    <row r="2444" spans="1:40" s="572" customFormat="1" ht="15">
      <c r="A2444" s="570" t="s">
        <v>4403</v>
      </c>
      <c r="B2444" s="569" t="s">
        <v>4404</v>
      </c>
      <c r="C2444" s="569" t="s">
        <v>269</v>
      </c>
      <c r="D2444" s="580" t="s">
        <v>270</v>
      </c>
      <c r="E2444" s="569" t="s">
        <v>3374</v>
      </c>
      <c r="F2444" s="569" t="s">
        <v>196</v>
      </c>
      <c r="G2444" s="569" t="s">
        <v>271</v>
      </c>
      <c r="H2444" s="569">
        <v>2019</v>
      </c>
      <c r="I2444" s="569" t="s">
        <v>4229</v>
      </c>
      <c r="J2444" s="569" t="s">
        <v>3996</v>
      </c>
      <c r="K2444" s="569" t="s">
        <v>3377</v>
      </c>
      <c r="L2444" s="569">
        <v>6</v>
      </c>
      <c r="M2444" s="569">
        <v>0</v>
      </c>
      <c r="N2444" s="569" t="s">
        <v>157</v>
      </c>
      <c r="O2444" s="569">
        <v>2</v>
      </c>
      <c r="P2444" s="569" t="s">
        <v>4405</v>
      </c>
      <c r="Q2444" s="568">
        <v>12500</v>
      </c>
      <c r="R2444" s="569" t="s">
        <v>4235</v>
      </c>
      <c r="S2444" s="569">
        <v>8</v>
      </c>
      <c r="T2444" s="569" t="s">
        <v>4398</v>
      </c>
      <c r="U2444" s="569" t="s">
        <v>366</v>
      </c>
      <c r="V2444" s="569">
        <v>164</v>
      </c>
      <c r="W2444" s="569">
        <v>34</v>
      </c>
      <c r="X2444" s="568">
        <v>10000</v>
      </c>
      <c r="Y2444" s="573">
        <v>15</v>
      </c>
      <c r="Z2444" s="581" t="s">
        <v>450</v>
      </c>
      <c r="AA2444" s="581" t="s">
        <v>178</v>
      </c>
      <c r="AB2444" s="585">
        <v>36815</v>
      </c>
      <c r="AC2444" s="585" t="s">
        <v>164</v>
      </c>
      <c r="AD2444" s="585">
        <v>25359.284210526315</v>
      </c>
      <c r="AE2444" s="587">
        <v>0.03</v>
      </c>
      <c r="AF2444" s="661" t="str">
        <f t="shared" si="269"/>
        <v>2019-LTK-FRD-F250-053-05</v>
      </c>
      <c r="AG2444" s="661" t="str">
        <f>IF(AND($Y2444&gt;=32,(AI2444="I"),(Y2444&lt;&gt;"~"),(COUNTIF($AN$1:$AN2444,$AN2444)=1)),"TRUE","FALSE")</f>
        <v>FALSE</v>
      </c>
      <c r="AH2444" s="661" t="str">
        <f>IF(AND($Y2444&gt;=22, (AI2444&lt;&gt;"I"),(Y2444&lt;&gt;"~"),(COUNTIF($AN$1:$AN2444,$AN2444)=1)),"TRUE","FALSE")</f>
        <v>FALSE</v>
      </c>
      <c r="AI2444" s="661" t="str">
        <f t="shared" si="264"/>
        <v>II</v>
      </c>
      <c r="AJ2444" s="662" t="str">
        <f t="shared" si="265"/>
        <v>F250-053</v>
      </c>
      <c r="AK2444" s="662" t="str">
        <f t="shared" si="266"/>
        <v>LTK</v>
      </c>
      <c r="AL2444" s="662" t="str">
        <f t="shared" si="267"/>
        <v>FRD</v>
      </c>
      <c r="AM2444" s="662" t="str">
        <f t="shared" si="263"/>
        <v>F250-Super Cab XL-2WD-6-8' -12500-6.2L FFV-8-X2A-600A-164-34-E85-Unleaded</v>
      </c>
      <c r="AN2444" s="662" t="str">
        <f t="shared" si="268"/>
        <v>2019-LTK-FRD-F250-053</v>
      </c>
    </row>
    <row r="2445" spans="1:40" s="572" customFormat="1" ht="15">
      <c r="A2445" s="570" t="s">
        <v>4406</v>
      </c>
      <c r="B2445" s="573" t="s">
        <v>4407</v>
      </c>
      <c r="C2445" s="573" t="s">
        <v>269</v>
      </c>
      <c r="D2445" s="578" t="s">
        <v>270</v>
      </c>
      <c r="E2445" s="573" t="s">
        <v>3374</v>
      </c>
      <c r="F2445" s="573" t="s">
        <v>196</v>
      </c>
      <c r="G2445" s="573" t="s">
        <v>271</v>
      </c>
      <c r="H2445" s="573">
        <v>2019</v>
      </c>
      <c r="I2445" s="573" t="s">
        <v>4229</v>
      </c>
      <c r="J2445" s="573" t="s">
        <v>3996</v>
      </c>
      <c r="K2445" s="573" t="s">
        <v>3377</v>
      </c>
      <c r="L2445" s="573">
        <v>6</v>
      </c>
      <c r="M2445" s="573">
        <v>0</v>
      </c>
      <c r="N2445" s="573" t="s">
        <v>157</v>
      </c>
      <c r="O2445" s="573">
        <v>2</v>
      </c>
      <c r="P2445" s="573" t="s">
        <v>3846</v>
      </c>
      <c r="Q2445" s="571">
        <v>12500</v>
      </c>
      <c r="R2445" s="573" t="s">
        <v>4231</v>
      </c>
      <c r="S2445" s="573">
        <v>8</v>
      </c>
      <c r="T2445" s="573" t="s">
        <v>4398</v>
      </c>
      <c r="U2445" s="573" t="s">
        <v>366</v>
      </c>
      <c r="V2445" s="573">
        <v>164</v>
      </c>
      <c r="W2445" s="573">
        <v>34</v>
      </c>
      <c r="X2445" s="571">
        <v>10000</v>
      </c>
      <c r="Y2445" s="573">
        <v>15</v>
      </c>
      <c r="Z2445" s="579" t="s">
        <v>728</v>
      </c>
      <c r="AA2445" s="579" t="s">
        <v>1523</v>
      </c>
      <c r="AB2445" s="584">
        <v>46300</v>
      </c>
      <c r="AC2445" s="584" t="s">
        <v>164</v>
      </c>
      <c r="AD2445" s="584">
        <v>33917.473684210527</v>
      </c>
      <c r="AE2445" s="586">
        <v>0.03</v>
      </c>
      <c r="AF2445" s="661" t="str">
        <f t="shared" si="269"/>
        <v>2019-LTK-FRD-F250-055-05</v>
      </c>
      <c r="AG2445" s="661" t="str">
        <f>IF(AND($Y2445&gt;=32,(AI2445="I"),(Y2445&lt;&gt;"~"),(COUNTIF($AN$1:$AN2445,$AN2445)=1)),"TRUE","FALSE")</f>
        <v>FALSE</v>
      </c>
      <c r="AH2445" s="661" t="str">
        <f>IF(AND($Y2445&gt;=22, (AI2445&lt;&gt;"I"),(Y2445&lt;&gt;"~"),(COUNTIF($AN$1:$AN2445,$AN2445)=1)),"TRUE","FALSE")</f>
        <v>FALSE</v>
      </c>
      <c r="AI2445" s="661" t="str">
        <f t="shared" si="264"/>
        <v>II</v>
      </c>
      <c r="AJ2445" s="662" t="str">
        <f t="shared" si="265"/>
        <v>F250-055</v>
      </c>
      <c r="AK2445" s="662" t="str">
        <f t="shared" si="266"/>
        <v>LTK</v>
      </c>
      <c r="AL2445" s="662" t="str">
        <f t="shared" si="267"/>
        <v>FRD</v>
      </c>
      <c r="AM2445" s="662" t="str">
        <f t="shared" si="263"/>
        <v>F250-Super Cab XL-2WD-6-8'-12500-6.7L Diesel-8-X2A-600A-164-34-Diesel-BioDiesel</v>
      </c>
      <c r="AN2445" s="662" t="str">
        <f t="shared" si="268"/>
        <v>2019-LTK-FRD-F250-055</v>
      </c>
    </row>
    <row r="2446" spans="1:40" s="572" customFormat="1" ht="15">
      <c r="A2446" s="570" t="s">
        <v>4408</v>
      </c>
      <c r="B2446" s="569" t="s">
        <v>4409</v>
      </c>
      <c r="C2446" s="569" t="s">
        <v>269</v>
      </c>
      <c r="D2446" s="580" t="s">
        <v>270</v>
      </c>
      <c r="E2446" s="569" t="s">
        <v>3374</v>
      </c>
      <c r="F2446" s="569" t="s">
        <v>196</v>
      </c>
      <c r="G2446" s="569" t="s">
        <v>271</v>
      </c>
      <c r="H2446" s="569">
        <v>2019</v>
      </c>
      <c r="I2446" s="569" t="s">
        <v>4229</v>
      </c>
      <c r="J2446" s="569" t="s">
        <v>3996</v>
      </c>
      <c r="K2446" s="569" t="s">
        <v>3377</v>
      </c>
      <c r="L2446" s="569">
        <v>6</v>
      </c>
      <c r="M2446" s="569">
        <v>0</v>
      </c>
      <c r="N2446" s="569" t="s">
        <v>157</v>
      </c>
      <c r="O2446" s="569">
        <v>2</v>
      </c>
      <c r="P2446" s="569" t="s">
        <v>3846</v>
      </c>
      <c r="Q2446" s="568">
        <v>13000</v>
      </c>
      <c r="R2446" s="569" t="s">
        <v>4235</v>
      </c>
      <c r="S2446" s="569">
        <v>8</v>
      </c>
      <c r="T2446" s="569" t="s">
        <v>4398</v>
      </c>
      <c r="U2446" s="569" t="s">
        <v>366</v>
      </c>
      <c r="V2446" s="569">
        <v>164</v>
      </c>
      <c r="W2446" s="569">
        <v>34</v>
      </c>
      <c r="X2446" s="568">
        <v>10000</v>
      </c>
      <c r="Y2446" s="573">
        <v>15</v>
      </c>
      <c r="Z2446" s="581" t="s">
        <v>450</v>
      </c>
      <c r="AA2446" s="581" t="s">
        <v>178</v>
      </c>
      <c r="AB2446" s="585">
        <v>36815</v>
      </c>
      <c r="AC2446" s="585" t="s">
        <v>164</v>
      </c>
      <c r="AD2446" s="585">
        <v>25359.284210526315</v>
      </c>
      <c r="AE2446" s="587">
        <v>0.03</v>
      </c>
      <c r="AF2446" s="661" t="str">
        <f t="shared" si="269"/>
        <v>2019-LTK-FRD-F250-056-05</v>
      </c>
      <c r="AG2446" s="661" t="str">
        <f>IF(AND($Y2446&gt;=32,(AI2446="I"),(Y2446&lt;&gt;"~"),(COUNTIF($AN$1:$AN2446,$AN2446)=1)),"TRUE","FALSE")</f>
        <v>FALSE</v>
      </c>
      <c r="AH2446" s="661" t="str">
        <f>IF(AND($Y2446&gt;=22, (AI2446&lt;&gt;"I"),(Y2446&lt;&gt;"~"),(COUNTIF($AN$1:$AN2446,$AN2446)=1)),"TRUE","FALSE")</f>
        <v>FALSE</v>
      </c>
      <c r="AI2446" s="661" t="str">
        <f t="shared" si="264"/>
        <v>II</v>
      </c>
      <c r="AJ2446" s="662" t="str">
        <f t="shared" si="265"/>
        <v>F250-056</v>
      </c>
      <c r="AK2446" s="662" t="str">
        <f t="shared" si="266"/>
        <v>LTK</v>
      </c>
      <c r="AL2446" s="662" t="str">
        <f t="shared" si="267"/>
        <v>FRD</v>
      </c>
      <c r="AM2446" s="662" t="str">
        <f t="shared" si="263"/>
        <v>F250-Super Cab XL-2WD-6-8'-13000-6.2L FFV-8-X2A-600A-164-34-E85-Unleaded</v>
      </c>
      <c r="AN2446" s="662" t="str">
        <f t="shared" si="268"/>
        <v>2019-LTK-FRD-F250-056</v>
      </c>
    </row>
    <row r="2447" spans="1:40" s="572" customFormat="1" ht="15">
      <c r="A2447" s="570" t="s">
        <v>4410</v>
      </c>
      <c r="B2447" s="573" t="s">
        <v>4397</v>
      </c>
      <c r="C2447" s="573" t="s">
        <v>278</v>
      </c>
      <c r="D2447" s="578">
        <v>15</v>
      </c>
      <c r="E2447" s="573" t="s">
        <v>3374</v>
      </c>
      <c r="F2447" s="573" t="s">
        <v>196</v>
      </c>
      <c r="G2447" s="573" t="s">
        <v>271</v>
      </c>
      <c r="H2447" s="573">
        <v>2019</v>
      </c>
      <c r="I2447" s="573" t="s">
        <v>4229</v>
      </c>
      <c r="J2447" s="573" t="s">
        <v>3996</v>
      </c>
      <c r="K2447" s="573" t="s">
        <v>3377</v>
      </c>
      <c r="L2447" s="573">
        <v>6</v>
      </c>
      <c r="M2447" s="573">
        <v>0</v>
      </c>
      <c r="N2447" s="573" t="s">
        <v>157</v>
      </c>
      <c r="O2447" s="573">
        <v>2</v>
      </c>
      <c r="P2447" s="573" t="s">
        <v>4230</v>
      </c>
      <c r="Q2447" s="571">
        <v>12500</v>
      </c>
      <c r="R2447" s="573" t="s">
        <v>4235</v>
      </c>
      <c r="S2447" s="573">
        <v>8</v>
      </c>
      <c r="T2447" s="573" t="s">
        <v>4398</v>
      </c>
      <c r="U2447" s="573" t="s">
        <v>366</v>
      </c>
      <c r="V2447" s="573">
        <v>148</v>
      </c>
      <c r="W2447" s="573">
        <v>34</v>
      </c>
      <c r="X2447" s="571">
        <v>10000</v>
      </c>
      <c r="Y2447" s="573">
        <v>15</v>
      </c>
      <c r="Z2447" s="579" t="s">
        <v>450</v>
      </c>
      <c r="AA2447" s="579" t="s">
        <v>178</v>
      </c>
      <c r="AB2447" s="584">
        <v>36980</v>
      </c>
      <c r="AC2447" s="584" t="s">
        <v>164</v>
      </c>
      <c r="AD2447" s="584">
        <v>25600</v>
      </c>
      <c r="AE2447" s="586">
        <v>0.01</v>
      </c>
      <c r="AF2447" s="661" t="str">
        <f t="shared" si="269"/>
        <v>2019-LTK-FRD-F250-050-15</v>
      </c>
      <c r="AG2447" s="661" t="str">
        <f>IF(AND($Y2447&gt;=32,(AI2447="I"),(Y2447&lt;&gt;"~"),(COUNTIF($AN$1:$AN2447,$AN2447)=1)),"TRUE","FALSE")</f>
        <v>FALSE</v>
      </c>
      <c r="AH2447" s="661" t="str">
        <f>IF(AND($Y2447&gt;=22, (AI2447&lt;&gt;"I"),(Y2447&lt;&gt;"~"),(COUNTIF($AN$1:$AN2447,$AN2447)=1)),"TRUE","FALSE")</f>
        <v>FALSE</v>
      </c>
      <c r="AI2447" s="661" t="str">
        <f t="shared" si="264"/>
        <v>II</v>
      </c>
      <c r="AJ2447" s="662" t="str">
        <f t="shared" si="265"/>
        <v>F250-050</v>
      </c>
      <c r="AK2447" s="662" t="str">
        <f t="shared" si="266"/>
        <v>LTK</v>
      </c>
      <c r="AL2447" s="662" t="str">
        <f t="shared" si="267"/>
        <v>FRD</v>
      </c>
      <c r="AM2447" s="662" t="str">
        <f t="shared" si="263"/>
        <v>F250-Super Cab XL-2WD-6-6'9"-12500-6.2L FFV-8-X2A-600A-148-34-E85-Unleaded</v>
      </c>
      <c r="AN2447" s="662" t="str">
        <f t="shared" si="268"/>
        <v>2019-LTK-FRD-F250-050</v>
      </c>
    </row>
    <row r="2448" spans="1:40" s="572" customFormat="1" ht="15">
      <c r="A2448" s="570" t="s">
        <v>4411</v>
      </c>
      <c r="B2448" s="569" t="s">
        <v>4400</v>
      </c>
      <c r="C2448" s="569" t="s">
        <v>278</v>
      </c>
      <c r="D2448" s="580">
        <v>15</v>
      </c>
      <c r="E2448" s="569" t="s">
        <v>3374</v>
      </c>
      <c r="F2448" s="569" t="s">
        <v>196</v>
      </c>
      <c r="G2448" s="569" t="s">
        <v>271</v>
      </c>
      <c r="H2448" s="569">
        <v>2019</v>
      </c>
      <c r="I2448" s="569" t="s">
        <v>4229</v>
      </c>
      <c r="J2448" s="569" t="s">
        <v>3996</v>
      </c>
      <c r="K2448" s="569" t="s">
        <v>3377</v>
      </c>
      <c r="L2448" s="569">
        <v>6</v>
      </c>
      <c r="M2448" s="569">
        <v>0</v>
      </c>
      <c r="N2448" s="569" t="s">
        <v>157</v>
      </c>
      <c r="O2448" s="569">
        <v>2</v>
      </c>
      <c r="P2448" s="569" t="s">
        <v>4230</v>
      </c>
      <c r="Q2448" s="568">
        <v>12500</v>
      </c>
      <c r="R2448" s="569" t="s">
        <v>4231</v>
      </c>
      <c r="S2448" s="569">
        <v>8</v>
      </c>
      <c r="T2448" s="569" t="s">
        <v>4398</v>
      </c>
      <c r="U2448" s="569" t="s">
        <v>366</v>
      </c>
      <c r="V2448" s="569">
        <v>148</v>
      </c>
      <c r="W2448" s="569">
        <v>35</v>
      </c>
      <c r="X2448" s="568">
        <v>10000</v>
      </c>
      <c r="Y2448" s="573">
        <v>15</v>
      </c>
      <c r="Z2448" s="581" t="s">
        <v>728</v>
      </c>
      <c r="AA2448" s="581" t="s">
        <v>1523</v>
      </c>
      <c r="AB2448" s="585">
        <v>46100</v>
      </c>
      <c r="AC2448" s="585" t="s">
        <v>164</v>
      </c>
      <c r="AD2448" s="585">
        <v>33900</v>
      </c>
      <c r="AE2448" s="587">
        <v>0.01</v>
      </c>
      <c r="AF2448" s="661" t="str">
        <f t="shared" si="269"/>
        <v>2019-LTK-FRD-F250-051-15</v>
      </c>
      <c r="AG2448" s="661" t="str">
        <f>IF(AND($Y2448&gt;=32,(AI2448="I"),(Y2448&lt;&gt;"~"),(COUNTIF($AN$1:$AN2448,$AN2448)=1)),"TRUE","FALSE")</f>
        <v>FALSE</v>
      </c>
      <c r="AH2448" s="661" t="str">
        <f>IF(AND($Y2448&gt;=22, (AI2448&lt;&gt;"I"),(Y2448&lt;&gt;"~"),(COUNTIF($AN$1:$AN2448,$AN2448)=1)),"TRUE","FALSE")</f>
        <v>FALSE</v>
      </c>
      <c r="AI2448" s="661" t="str">
        <f t="shared" si="264"/>
        <v>II</v>
      </c>
      <c r="AJ2448" s="662" t="str">
        <f t="shared" si="265"/>
        <v>F250-051</v>
      </c>
      <c r="AK2448" s="662" t="str">
        <f t="shared" si="266"/>
        <v>LTK</v>
      </c>
      <c r="AL2448" s="662" t="str">
        <f t="shared" si="267"/>
        <v>FRD</v>
      </c>
      <c r="AM2448" s="662" t="str">
        <f t="shared" si="263"/>
        <v>F250-Super Cab XL-2WD-6-6'9"-12500-6.7L Diesel-8-X2A-600A-148-35-Diesel-BioDiesel</v>
      </c>
      <c r="AN2448" s="662" t="str">
        <f t="shared" si="268"/>
        <v>2019-LTK-FRD-F250-051</v>
      </c>
    </row>
    <row r="2449" spans="1:40" s="572" customFormat="1" ht="15">
      <c r="A2449" s="570" t="s">
        <v>4412</v>
      </c>
      <c r="B2449" s="573" t="s">
        <v>4407</v>
      </c>
      <c r="C2449" s="573" t="s">
        <v>278</v>
      </c>
      <c r="D2449" s="578">
        <v>15</v>
      </c>
      <c r="E2449" s="573" t="s">
        <v>3374</v>
      </c>
      <c r="F2449" s="573" t="s">
        <v>196</v>
      </c>
      <c r="G2449" s="573" t="s">
        <v>271</v>
      </c>
      <c r="H2449" s="573">
        <v>2019</v>
      </c>
      <c r="I2449" s="573" t="s">
        <v>4229</v>
      </c>
      <c r="J2449" s="573" t="s">
        <v>3996</v>
      </c>
      <c r="K2449" s="573" t="s">
        <v>3377</v>
      </c>
      <c r="L2449" s="573">
        <v>6</v>
      </c>
      <c r="M2449" s="573">
        <v>0</v>
      </c>
      <c r="N2449" s="573" t="s">
        <v>157</v>
      </c>
      <c r="O2449" s="573">
        <v>2</v>
      </c>
      <c r="P2449" s="573" t="s">
        <v>3846</v>
      </c>
      <c r="Q2449" s="571">
        <v>12500</v>
      </c>
      <c r="R2449" s="573" t="s">
        <v>4231</v>
      </c>
      <c r="S2449" s="573">
        <v>8</v>
      </c>
      <c r="T2449" s="573" t="s">
        <v>4398</v>
      </c>
      <c r="U2449" s="573" t="s">
        <v>366</v>
      </c>
      <c r="V2449" s="573">
        <v>164</v>
      </c>
      <c r="W2449" s="573">
        <v>35</v>
      </c>
      <c r="X2449" s="571">
        <v>10000</v>
      </c>
      <c r="Y2449" s="573">
        <v>15</v>
      </c>
      <c r="Z2449" s="579" t="s">
        <v>728</v>
      </c>
      <c r="AA2449" s="579" t="s">
        <v>1523</v>
      </c>
      <c r="AB2449" s="584">
        <v>46300</v>
      </c>
      <c r="AC2449" s="584" t="s">
        <v>164</v>
      </c>
      <c r="AD2449" s="584">
        <v>34100</v>
      </c>
      <c r="AE2449" s="586">
        <v>0.01</v>
      </c>
      <c r="AF2449" s="661" t="str">
        <f t="shared" si="269"/>
        <v>2019-LTK-FRD-F250-055-15</v>
      </c>
      <c r="AG2449" s="661" t="str">
        <f>IF(AND($Y2449&gt;=32,(AI2449="I"),(Y2449&lt;&gt;"~"),(COUNTIF($AN$1:$AN2449,$AN2449)=1)),"TRUE","FALSE")</f>
        <v>FALSE</v>
      </c>
      <c r="AH2449" s="661" t="str">
        <f>IF(AND($Y2449&gt;=22, (AI2449&lt;&gt;"I"),(Y2449&lt;&gt;"~"),(COUNTIF($AN$1:$AN2449,$AN2449)=1)),"TRUE","FALSE")</f>
        <v>FALSE</v>
      </c>
      <c r="AI2449" s="661" t="str">
        <f t="shared" si="264"/>
        <v>II</v>
      </c>
      <c r="AJ2449" s="662" t="str">
        <f t="shared" si="265"/>
        <v>F250-055</v>
      </c>
      <c r="AK2449" s="662" t="str">
        <f t="shared" si="266"/>
        <v>LTK</v>
      </c>
      <c r="AL2449" s="662" t="str">
        <f t="shared" si="267"/>
        <v>FRD</v>
      </c>
      <c r="AM2449" s="662" t="str">
        <f t="shared" si="263"/>
        <v>F250-Super Cab XL-2WD-6-8'-12500-6.7L Diesel-8-X2A-600A-164-35-Diesel-BioDiesel</v>
      </c>
      <c r="AN2449" s="662" t="str">
        <f t="shared" si="268"/>
        <v>2019-LTK-FRD-F250-055</v>
      </c>
    </row>
    <row r="2450" spans="1:40" s="572" customFormat="1" ht="15">
      <c r="A2450" s="570" t="s">
        <v>4413</v>
      </c>
      <c r="B2450" s="569" t="s">
        <v>4409</v>
      </c>
      <c r="C2450" s="569" t="s">
        <v>278</v>
      </c>
      <c r="D2450" s="580">
        <v>15</v>
      </c>
      <c r="E2450" s="569" t="s">
        <v>3374</v>
      </c>
      <c r="F2450" s="569" t="s">
        <v>196</v>
      </c>
      <c r="G2450" s="569" t="s">
        <v>271</v>
      </c>
      <c r="H2450" s="569">
        <v>2019</v>
      </c>
      <c r="I2450" s="569" t="s">
        <v>4229</v>
      </c>
      <c r="J2450" s="569" t="s">
        <v>3996</v>
      </c>
      <c r="K2450" s="569" t="s">
        <v>3377</v>
      </c>
      <c r="L2450" s="569">
        <v>6</v>
      </c>
      <c r="M2450" s="569">
        <v>0</v>
      </c>
      <c r="N2450" s="569" t="s">
        <v>157</v>
      </c>
      <c r="O2450" s="569">
        <v>2</v>
      </c>
      <c r="P2450" s="569" t="s">
        <v>3846</v>
      </c>
      <c r="Q2450" s="568">
        <v>13000</v>
      </c>
      <c r="R2450" s="569" t="s">
        <v>4235</v>
      </c>
      <c r="S2450" s="569">
        <v>8</v>
      </c>
      <c r="T2450" s="569" t="s">
        <v>4398</v>
      </c>
      <c r="U2450" s="569" t="s">
        <v>366</v>
      </c>
      <c r="V2450" s="569">
        <v>164</v>
      </c>
      <c r="W2450" s="569">
        <v>34</v>
      </c>
      <c r="X2450" s="568">
        <v>10000</v>
      </c>
      <c r="Y2450" s="573">
        <v>15</v>
      </c>
      <c r="Z2450" s="581" t="s">
        <v>450</v>
      </c>
      <c r="AA2450" s="581" t="s">
        <v>178</v>
      </c>
      <c r="AB2450" s="585">
        <v>37180</v>
      </c>
      <c r="AC2450" s="585" t="s">
        <v>164</v>
      </c>
      <c r="AD2450" s="585">
        <v>25800</v>
      </c>
      <c r="AE2450" s="587">
        <v>0.01</v>
      </c>
      <c r="AF2450" s="661" t="str">
        <f t="shared" si="269"/>
        <v>2019-LTK-FRD-F250-056-15</v>
      </c>
      <c r="AG2450" s="661" t="str">
        <f>IF(AND($Y2450&gt;=32,(AI2450="I"),(Y2450&lt;&gt;"~"),(COUNTIF($AN$1:$AN2450,$AN2450)=1)),"TRUE","FALSE")</f>
        <v>FALSE</v>
      </c>
      <c r="AH2450" s="661" t="str">
        <f>IF(AND($Y2450&gt;=22, (AI2450&lt;&gt;"I"),(Y2450&lt;&gt;"~"),(COUNTIF($AN$1:$AN2450,$AN2450)=1)),"TRUE","FALSE")</f>
        <v>FALSE</v>
      </c>
      <c r="AI2450" s="661" t="str">
        <f t="shared" si="264"/>
        <v>II</v>
      </c>
      <c r="AJ2450" s="662" t="str">
        <f t="shared" si="265"/>
        <v>F250-056</v>
      </c>
      <c r="AK2450" s="662" t="str">
        <f t="shared" si="266"/>
        <v>LTK</v>
      </c>
      <c r="AL2450" s="662" t="str">
        <f t="shared" si="267"/>
        <v>FRD</v>
      </c>
      <c r="AM2450" s="662" t="str">
        <f t="shared" si="263"/>
        <v>F250-Super Cab XL-2WD-6-8'-13000-6.2L FFV-8-X2A-600A-164-34-E85-Unleaded</v>
      </c>
      <c r="AN2450" s="662" t="str">
        <f t="shared" si="268"/>
        <v>2019-LTK-FRD-F250-056</v>
      </c>
    </row>
    <row r="2451" spans="1:40" s="572" customFormat="1" ht="15">
      <c r="A2451" s="570" t="s">
        <v>4414</v>
      </c>
      <c r="B2451" s="573" t="s">
        <v>4397</v>
      </c>
      <c r="C2451" s="573" t="s">
        <v>287</v>
      </c>
      <c r="D2451" s="578">
        <v>26</v>
      </c>
      <c r="E2451" s="573" t="s">
        <v>3374</v>
      </c>
      <c r="F2451" s="573" t="s">
        <v>196</v>
      </c>
      <c r="G2451" s="573" t="s">
        <v>271</v>
      </c>
      <c r="H2451" s="573">
        <v>2019</v>
      </c>
      <c r="I2451" s="573" t="s">
        <v>4229</v>
      </c>
      <c r="J2451" s="573" t="s">
        <v>3996</v>
      </c>
      <c r="K2451" s="573" t="s">
        <v>3377</v>
      </c>
      <c r="L2451" s="573">
        <v>6</v>
      </c>
      <c r="M2451" s="573">
        <v>0</v>
      </c>
      <c r="N2451" s="573" t="s">
        <v>157</v>
      </c>
      <c r="O2451" s="573">
        <v>2</v>
      </c>
      <c r="P2451" s="573" t="s">
        <v>4230</v>
      </c>
      <c r="Q2451" s="571">
        <v>12500</v>
      </c>
      <c r="R2451" s="573" t="s">
        <v>4235</v>
      </c>
      <c r="S2451" s="573">
        <v>8</v>
      </c>
      <c r="T2451" s="573" t="s">
        <v>4398</v>
      </c>
      <c r="U2451" s="573" t="s">
        <v>366</v>
      </c>
      <c r="V2451" s="573">
        <v>148</v>
      </c>
      <c r="W2451" s="573">
        <v>34</v>
      </c>
      <c r="X2451" s="571">
        <v>10000</v>
      </c>
      <c r="Y2451" s="573">
        <v>15</v>
      </c>
      <c r="Z2451" s="579" t="s">
        <v>450</v>
      </c>
      <c r="AA2451" s="579" t="s">
        <v>178</v>
      </c>
      <c r="AB2451" s="584">
        <v>36615</v>
      </c>
      <c r="AC2451" s="584" t="s">
        <v>164</v>
      </c>
      <c r="AD2451" s="584">
        <v>25723</v>
      </c>
      <c r="AE2451" s="586">
        <v>0.05</v>
      </c>
      <c r="AF2451" s="661" t="str">
        <f t="shared" si="269"/>
        <v>2019-LTK-FRD-F250-050-26</v>
      </c>
      <c r="AG2451" s="661" t="str">
        <f>IF(AND($Y2451&gt;=32,(AI2451="I"),(Y2451&lt;&gt;"~"),(COUNTIF($AN$1:$AN2451,$AN2451)=1)),"TRUE","FALSE")</f>
        <v>FALSE</v>
      </c>
      <c r="AH2451" s="661" t="str">
        <f>IF(AND($Y2451&gt;=22, (AI2451&lt;&gt;"I"),(Y2451&lt;&gt;"~"),(COUNTIF($AN$1:$AN2451,$AN2451)=1)),"TRUE","FALSE")</f>
        <v>FALSE</v>
      </c>
      <c r="AI2451" s="661" t="str">
        <f t="shared" si="264"/>
        <v>II</v>
      </c>
      <c r="AJ2451" s="662" t="str">
        <f t="shared" si="265"/>
        <v>F250-050</v>
      </c>
      <c r="AK2451" s="662" t="str">
        <f t="shared" si="266"/>
        <v>LTK</v>
      </c>
      <c r="AL2451" s="662" t="str">
        <f t="shared" si="267"/>
        <v>FRD</v>
      </c>
      <c r="AM2451" s="662" t="str">
        <f t="shared" si="263"/>
        <v>F250-Super Cab XL-2WD-6-6'9"-12500-6.2L FFV-8-X2A-600A-148-34-E85-Unleaded</v>
      </c>
      <c r="AN2451" s="662" t="str">
        <f t="shared" si="268"/>
        <v>2019-LTK-FRD-F250-050</v>
      </c>
    </row>
    <row r="2452" spans="1:40" s="572" customFormat="1" ht="15">
      <c r="A2452" s="570" t="s">
        <v>4415</v>
      </c>
      <c r="B2452" s="569" t="s">
        <v>4400</v>
      </c>
      <c r="C2452" s="569" t="s">
        <v>287</v>
      </c>
      <c r="D2452" s="580">
        <v>26</v>
      </c>
      <c r="E2452" s="569" t="s">
        <v>3374</v>
      </c>
      <c r="F2452" s="569" t="s">
        <v>196</v>
      </c>
      <c r="G2452" s="569" t="s">
        <v>271</v>
      </c>
      <c r="H2452" s="569">
        <v>2019</v>
      </c>
      <c r="I2452" s="569" t="s">
        <v>4229</v>
      </c>
      <c r="J2452" s="569" t="s">
        <v>3996</v>
      </c>
      <c r="K2452" s="569" t="s">
        <v>3377</v>
      </c>
      <c r="L2452" s="569">
        <v>6</v>
      </c>
      <c r="M2452" s="569">
        <v>0</v>
      </c>
      <c r="N2452" s="569" t="s">
        <v>157</v>
      </c>
      <c r="O2452" s="569">
        <v>2</v>
      </c>
      <c r="P2452" s="569" t="s">
        <v>4230</v>
      </c>
      <c r="Q2452" s="568">
        <v>12500</v>
      </c>
      <c r="R2452" s="569" t="s">
        <v>4231</v>
      </c>
      <c r="S2452" s="569">
        <v>8</v>
      </c>
      <c r="T2452" s="569" t="s">
        <v>4398</v>
      </c>
      <c r="U2452" s="569" t="s">
        <v>366</v>
      </c>
      <c r="V2452" s="569">
        <v>148</v>
      </c>
      <c r="W2452" s="569">
        <v>35</v>
      </c>
      <c r="X2452" s="568">
        <v>10000</v>
      </c>
      <c r="Y2452" s="573">
        <v>15</v>
      </c>
      <c r="Z2452" s="581" t="s">
        <v>728</v>
      </c>
      <c r="AA2452" s="581" t="s">
        <v>1523</v>
      </c>
      <c r="AB2452" s="585">
        <v>45610</v>
      </c>
      <c r="AC2452" s="585" t="s">
        <v>164</v>
      </c>
      <c r="AD2452" s="585">
        <v>33918</v>
      </c>
      <c r="AE2452" s="587">
        <v>0.05</v>
      </c>
      <c r="AF2452" s="661" t="str">
        <f t="shared" si="269"/>
        <v>2019-LTK-FRD-F250-051-26</v>
      </c>
      <c r="AG2452" s="661" t="str">
        <f>IF(AND($Y2452&gt;=32,(AI2452="I"),(Y2452&lt;&gt;"~"),(COUNTIF($AN$1:$AN2452,$AN2452)=1)),"TRUE","FALSE")</f>
        <v>FALSE</v>
      </c>
      <c r="AH2452" s="661" t="str">
        <f>IF(AND($Y2452&gt;=22, (AI2452&lt;&gt;"I"),(Y2452&lt;&gt;"~"),(COUNTIF($AN$1:$AN2452,$AN2452)=1)),"TRUE","FALSE")</f>
        <v>FALSE</v>
      </c>
      <c r="AI2452" s="661" t="str">
        <f t="shared" si="264"/>
        <v>II</v>
      </c>
      <c r="AJ2452" s="662" t="str">
        <f t="shared" si="265"/>
        <v>F250-051</v>
      </c>
      <c r="AK2452" s="662" t="str">
        <f t="shared" si="266"/>
        <v>LTK</v>
      </c>
      <c r="AL2452" s="662" t="str">
        <f t="shared" si="267"/>
        <v>FRD</v>
      </c>
      <c r="AM2452" s="662" t="str">
        <f t="shared" si="263"/>
        <v>F250-Super Cab XL-2WD-6-6'9"-12500-6.7L Diesel-8-X2A-600A-148-35-Diesel-BioDiesel</v>
      </c>
      <c r="AN2452" s="662" t="str">
        <f t="shared" si="268"/>
        <v>2019-LTK-FRD-F250-051</v>
      </c>
    </row>
    <row r="2453" spans="1:40" s="572" customFormat="1" ht="15">
      <c r="A2453" s="570" t="s">
        <v>4416</v>
      </c>
      <c r="B2453" s="573" t="s">
        <v>4407</v>
      </c>
      <c r="C2453" s="573" t="s">
        <v>287</v>
      </c>
      <c r="D2453" s="578">
        <v>26</v>
      </c>
      <c r="E2453" s="573" t="s">
        <v>3374</v>
      </c>
      <c r="F2453" s="573" t="s">
        <v>196</v>
      </c>
      <c r="G2453" s="573" t="s">
        <v>271</v>
      </c>
      <c r="H2453" s="573">
        <v>2019</v>
      </c>
      <c r="I2453" s="573" t="s">
        <v>4229</v>
      </c>
      <c r="J2453" s="573" t="s">
        <v>3996</v>
      </c>
      <c r="K2453" s="573" t="s">
        <v>3377</v>
      </c>
      <c r="L2453" s="573">
        <v>6</v>
      </c>
      <c r="M2453" s="573">
        <v>0</v>
      </c>
      <c r="N2453" s="573" t="s">
        <v>157</v>
      </c>
      <c r="O2453" s="573">
        <v>2</v>
      </c>
      <c r="P2453" s="573" t="s">
        <v>3846</v>
      </c>
      <c r="Q2453" s="571">
        <v>12500</v>
      </c>
      <c r="R2453" s="573" t="s">
        <v>4231</v>
      </c>
      <c r="S2453" s="573">
        <v>8</v>
      </c>
      <c r="T2453" s="573" t="s">
        <v>4398</v>
      </c>
      <c r="U2453" s="573" t="s">
        <v>366</v>
      </c>
      <c r="V2453" s="573">
        <v>164</v>
      </c>
      <c r="W2453" s="573">
        <v>35</v>
      </c>
      <c r="X2453" s="571">
        <v>10000</v>
      </c>
      <c r="Y2453" s="573">
        <v>15</v>
      </c>
      <c r="Z2453" s="579" t="s">
        <v>728</v>
      </c>
      <c r="AA2453" s="579" t="s">
        <v>1523</v>
      </c>
      <c r="AB2453" s="584">
        <v>45810</v>
      </c>
      <c r="AC2453" s="584" t="s">
        <v>164</v>
      </c>
      <c r="AD2453" s="584">
        <v>34105</v>
      </c>
      <c r="AE2453" s="586">
        <v>0.05</v>
      </c>
      <c r="AF2453" s="661" t="str">
        <f t="shared" si="269"/>
        <v>2019-LTK-FRD-F250-055-26</v>
      </c>
      <c r="AG2453" s="661" t="str">
        <f>IF(AND($Y2453&gt;=32,(AI2453="I"),(Y2453&lt;&gt;"~"),(COUNTIF($AN$1:$AN2453,$AN2453)=1)),"TRUE","FALSE")</f>
        <v>FALSE</v>
      </c>
      <c r="AH2453" s="661" t="str">
        <f>IF(AND($Y2453&gt;=22, (AI2453&lt;&gt;"I"),(Y2453&lt;&gt;"~"),(COUNTIF($AN$1:$AN2453,$AN2453)=1)),"TRUE","FALSE")</f>
        <v>FALSE</v>
      </c>
      <c r="AI2453" s="661" t="str">
        <f t="shared" si="264"/>
        <v>II</v>
      </c>
      <c r="AJ2453" s="662" t="str">
        <f t="shared" si="265"/>
        <v>F250-055</v>
      </c>
      <c r="AK2453" s="662" t="str">
        <f t="shared" si="266"/>
        <v>LTK</v>
      </c>
      <c r="AL2453" s="662" t="str">
        <f t="shared" si="267"/>
        <v>FRD</v>
      </c>
      <c r="AM2453" s="662" t="str">
        <f t="shared" si="263"/>
        <v>F250-Super Cab XL-2WD-6-8'-12500-6.7L Diesel-8-X2A-600A-164-35-Diesel-BioDiesel</v>
      </c>
      <c r="AN2453" s="662" t="str">
        <f t="shared" si="268"/>
        <v>2019-LTK-FRD-F250-055</v>
      </c>
    </row>
    <row r="2454" spans="1:40" s="572" customFormat="1" ht="15">
      <c r="A2454" s="570" t="s">
        <v>4417</v>
      </c>
      <c r="B2454" s="569" t="s">
        <v>4409</v>
      </c>
      <c r="C2454" s="569" t="s">
        <v>287</v>
      </c>
      <c r="D2454" s="580">
        <v>26</v>
      </c>
      <c r="E2454" s="569" t="s">
        <v>3374</v>
      </c>
      <c r="F2454" s="569" t="s">
        <v>196</v>
      </c>
      <c r="G2454" s="569" t="s">
        <v>271</v>
      </c>
      <c r="H2454" s="569">
        <v>2019</v>
      </c>
      <c r="I2454" s="569" t="s">
        <v>4229</v>
      </c>
      <c r="J2454" s="569" t="s">
        <v>3996</v>
      </c>
      <c r="K2454" s="569" t="s">
        <v>3377</v>
      </c>
      <c r="L2454" s="569">
        <v>6</v>
      </c>
      <c r="M2454" s="569">
        <v>0</v>
      </c>
      <c r="N2454" s="569" t="s">
        <v>157</v>
      </c>
      <c r="O2454" s="569">
        <v>2</v>
      </c>
      <c r="P2454" s="569" t="s">
        <v>3846</v>
      </c>
      <c r="Q2454" s="568">
        <v>13000</v>
      </c>
      <c r="R2454" s="569" t="s">
        <v>4235</v>
      </c>
      <c r="S2454" s="569">
        <v>8</v>
      </c>
      <c r="T2454" s="569" t="s">
        <v>4398</v>
      </c>
      <c r="U2454" s="569" t="s">
        <v>366</v>
      </c>
      <c r="V2454" s="569">
        <v>164</v>
      </c>
      <c r="W2454" s="569">
        <v>34</v>
      </c>
      <c r="X2454" s="568">
        <v>10000</v>
      </c>
      <c r="Y2454" s="573">
        <v>15</v>
      </c>
      <c r="Z2454" s="581" t="s">
        <v>450</v>
      </c>
      <c r="AA2454" s="581" t="s">
        <v>178</v>
      </c>
      <c r="AB2454" s="585">
        <v>36815</v>
      </c>
      <c r="AC2454" s="585" t="s">
        <v>164</v>
      </c>
      <c r="AD2454" s="585">
        <v>25911</v>
      </c>
      <c r="AE2454" s="587">
        <v>0.05</v>
      </c>
      <c r="AF2454" s="661" t="str">
        <f t="shared" si="269"/>
        <v>2019-LTK-FRD-F250-056-26</v>
      </c>
      <c r="AG2454" s="661" t="str">
        <f>IF(AND($Y2454&gt;=32,(AI2454="I"),(Y2454&lt;&gt;"~"),(COUNTIF($AN$1:$AN2454,$AN2454)=1)),"TRUE","FALSE")</f>
        <v>FALSE</v>
      </c>
      <c r="AH2454" s="661" t="str">
        <f>IF(AND($Y2454&gt;=22, (AI2454&lt;&gt;"I"),(Y2454&lt;&gt;"~"),(COUNTIF($AN$1:$AN2454,$AN2454)=1)),"TRUE","FALSE")</f>
        <v>FALSE</v>
      </c>
      <c r="AI2454" s="661" t="str">
        <f t="shared" si="264"/>
        <v>II</v>
      </c>
      <c r="AJ2454" s="662" t="str">
        <f t="shared" si="265"/>
        <v>F250-056</v>
      </c>
      <c r="AK2454" s="662" t="str">
        <f t="shared" si="266"/>
        <v>LTK</v>
      </c>
      <c r="AL2454" s="662" t="str">
        <f t="shared" si="267"/>
        <v>FRD</v>
      </c>
      <c r="AM2454" s="662" t="str">
        <f t="shared" si="263"/>
        <v>F250-Super Cab XL-2WD-6-8'-13000-6.2L FFV-8-X2A-600A-164-34-E85-Unleaded</v>
      </c>
      <c r="AN2454" s="662" t="str">
        <f t="shared" si="268"/>
        <v>2019-LTK-FRD-F250-056</v>
      </c>
    </row>
    <row r="2455" spans="1:40" s="572" customFormat="1" ht="15">
      <c r="A2455" s="570" t="s">
        <v>4418</v>
      </c>
      <c r="B2455" s="573" t="s">
        <v>4397</v>
      </c>
      <c r="C2455" s="573" t="s">
        <v>280</v>
      </c>
      <c r="D2455" s="578">
        <v>27</v>
      </c>
      <c r="E2455" s="573" t="s">
        <v>3374</v>
      </c>
      <c r="F2455" s="573" t="s">
        <v>196</v>
      </c>
      <c r="G2455" s="573" t="s">
        <v>271</v>
      </c>
      <c r="H2455" s="573">
        <v>2019</v>
      </c>
      <c r="I2455" s="573" t="s">
        <v>4229</v>
      </c>
      <c r="J2455" s="573" t="s">
        <v>3996</v>
      </c>
      <c r="K2455" s="573" t="s">
        <v>3377</v>
      </c>
      <c r="L2455" s="573">
        <v>6</v>
      </c>
      <c r="M2455" s="573">
        <v>0</v>
      </c>
      <c r="N2455" s="573" t="s">
        <v>157</v>
      </c>
      <c r="O2455" s="573">
        <v>2</v>
      </c>
      <c r="P2455" s="573" t="s">
        <v>4230</v>
      </c>
      <c r="Q2455" s="571">
        <v>12500</v>
      </c>
      <c r="R2455" s="573" t="s">
        <v>4235</v>
      </c>
      <c r="S2455" s="573">
        <v>8</v>
      </c>
      <c r="T2455" s="573" t="s">
        <v>4398</v>
      </c>
      <c r="U2455" s="573" t="s">
        <v>366</v>
      </c>
      <c r="V2455" s="573">
        <v>148</v>
      </c>
      <c r="W2455" s="573">
        <v>34</v>
      </c>
      <c r="X2455" s="571">
        <v>10000</v>
      </c>
      <c r="Y2455" s="573">
        <v>15</v>
      </c>
      <c r="Z2455" s="579" t="s">
        <v>450</v>
      </c>
      <c r="AA2455" s="579" t="s">
        <v>178</v>
      </c>
      <c r="AB2455" s="584">
        <v>36615</v>
      </c>
      <c r="AC2455" s="584" t="s">
        <v>164</v>
      </c>
      <c r="AD2455" s="584">
        <v>25175.073684210529</v>
      </c>
      <c r="AE2455" s="586">
        <v>0.03</v>
      </c>
      <c r="AF2455" s="661" t="str">
        <f t="shared" si="269"/>
        <v>2019-LTK-FRD-F250-050-27</v>
      </c>
      <c r="AG2455" s="661" t="str">
        <f>IF(AND($Y2455&gt;=32,(AI2455="I"),(Y2455&lt;&gt;"~"),(COUNTIF($AN$1:$AN2455,$AN2455)=1)),"TRUE","FALSE")</f>
        <v>FALSE</v>
      </c>
      <c r="AH2455" s="661" t="str">
        <f>IF(AND($Y2455&gt;=22, (AI2455&lt;&gt;"I"),(Y2455&lt;&gt;"~"),(COUNTIF($AN$1:$AN2455,$AN2455)=1)),"TRUE","FALSE")</f>
        <v>FALSE</v>
      </c>
      <c r="AI2455" s="661" t="str">
        <f t="shared" si="264"/>
        <v>II</v>
      </c>
      <c r="AJ2455" s="662" t="str">
        <f t="shared" si="265"/>
        <v>F250-050</v>
      </c>
      <c r="AK2455" s="662" t="str">
        <f t="shared" si="266"/>
        <v>LTK</v>
      </c>
      <c r="AL2455" s="662" t="str">
        <f t="shared" si="267"/>
        <v>FRD</v>
      </c>
      <c r="AM2455" s="662" t="str">
        <f t="shared" si="263"/>
        <v>F250-Super Cab XL-2WD-6-6'9"-12500-6.2L FFV-8-X2A-600A-148-34-E85-Unleaded</v>
      </c>
      <c r="AN2455" s="662" t="str">
        <f t="shared" si="268"/>
        <v>2019-LTK-FRD-F250-050</v>
      </c>
    </row>
    <row r="2456" spans="1:40" s="572" customFormat="1" ht="15">
      <c r="A2456" s="570" t="s">
        <v>4419</v>
      </c>
      <c r="B2456" s="569" t="s">
        <v>4400</v>
      </c>
      <c r="C2456" s="569" t="s">
        <v>280</v>
      </c>
      <c r="D2456" s="580">
        <v>27</v>
      </c>
      <c r="E2456" s="569" t="s">
        <v>3374</v>
      </c>
      <c r="F2456" s="569" t="s">
        <v>196</v>
      </c>
      <c r="G2456" s="569" t="s">
        <v>271</v>
      </c>
      <c r="H2456" s="569">
        <v>2019</v>
      </c>
      <c r="I2456" s="569" t="s">
        <v>4229</v>
      </c>
      <c r="J2456" s="569" t="s">
        <v>3996</v>
      </c>
      <c r="K2456" s="569" t="s">
        <v>3377</v>
      </c>
      <c r="L2456" s="569">
        <v>6</v>
      </c>
      <c r="M2456" s="569">
        <v>0</v>
      </c>
      <c r="N2456" s="569" t="s">
        <v>157</v>
      </c>
      <c r="O2456" s="569">
        <v>2</v>
      </c>
      <c r="P2456" s="569" t="s">
        <v>4230</v>
      </c>
      <c r="Q2456" s="568">
        <v>12500</v>
      </c>
      <c r="R2456" s="569" t="s">
        <v>4231</v>
      </c>
      <c r="S2456" s="569">
        <v>8</v>
      </c>
      <c r="T2456" s="569" t="s">
        <v>4398</v>
      </c>
      <c r="U2456" s="569" t="s">
        <v>366</v>
      </c>
      <c r="V2456" s="569">
        <v>148</v>
      </c>
      <c r="W2456" s="569">
        <v>34</v>
      </c>
      <c r="X2456" s="568">
        <v>10000</v>
      </c>
      <c r="Y2456" s="573">
        <v>15</v>
      </c>
      <c r="Z2456" s="581" t="s">
        <v>728</v>
      </c>
      <c r="AA2456" s="581" t="s">
        <v>1523</v>
      </c>
      <c r="AB2456" s="585">
        <v>46100</v>
      </c>
      <c r="AC2456" s="585" t="s">
        <v>164</v>
      </c>
      <c r="AD2456" s="585">
        <v>33732.210526315786</v>
      </c>
      <c r="AE2456" s="587">
        <v>0.03</v>
      </c>
      <c r="AF2456" s="661" t="str">
        <f t="shared" si="269"/>
        <v>2019-LTK-FRD-F250-051-27</v>
      </c>
      <c r="AG2456" s="661" t="str">
        <f>IF(AND($Y2456&gt;=32,(AI2456="I"),(Y2456&lt;&gt;"~"),(COUNTIF($AN$1:$AN2456,$AN2456)=1)),"TRUE","FALSE")</f>
        <v>FALSE</v>
      </c>
      <c r="AH2456" s="661" t="str">
        <f>IF(AND($Y2456&gt;=22, (AI2456&lt;&gt;"I"),(Y2456&lt;&gt;"~"),(COUNTIF($AN$1:$AN2456,$AN2456)=1)),"TRUE","FALSE")</f>
        <v>FALSE</v>
      </c>
      <c r="AI2456" s="661" t="str">
        <f t="shared" si="264"/>
        <v>II</v>
      </c>
      <c r="AJ2456" s="662" t="str">
        <f t="shared" si="265"/>
        <v>F250-051</v>
      </c>
      <c r="AK2456" s="662" t="str">
        <f t="shared" si="266"/>
        <v>LTK</v>
      </c>
      <c r="AL2456" s="662" t="str">
        <f t="shared" si="267"/>
        <v>FRD</v>
      </c>
      <c r="AM2456" s="662" t="str">
        <f t="shared" si="263"/>
        <v>F250-Super Cab XL-2WD-6-6'9"-12500-6.7L Diesel-8-X2A-600A-148-34-Diesel-BioDiesel</v>
      </c>
      <c r="AN2456" s="662" t="str">
        <f t="shared" si="268"/>
        <v>2019-LTK-FRD-F250-051</v>
      </c>
    </row>
    <row r="2457" spans="1:40" s="572" customFormat="1" ht="15">
      <c r="A2457" s="570" t="s">
        <v>4420</v>
      </c>
      <c r="B2457" s="573" t="s">
        <v>4402</v>
      </c>
      <c r="C2457" s="573" t="s">
        <v>280</v>
      </c>
      <c r="D2457" s="578">
        <v>27</v>
      </c>
      <c r="E2457" s="573" t="s">
        <v>3374</v>
      </c>
      <c r="F2457" s="573" t="s">
        <v>196</v>
      </c>
      <c r="G2457" s="573" t="s">
        <v>271</v>
      </c>
      <c r="H2457" s="573">
        <v>2019</v>
      </c>
      <c r="I2457" s="573" t="s">
        <v>4229</v>
      </c>
      <c r="J2457" s="573" t="s">
        <v>3996</v>
      </c>
      <c r="K2457" s="573" t="s">
        <v>3377</v>
      </c>
      <c r="L2457" s="573">
        <v>6</v>
      </c>
      <c r="M2457" s="573">
        <v>0</v>
      </c>
      <c r="N2457" s="573" t="s">
        <v>157</v>
      </c>
      <c r="O2457" s="573">
        <v>2</v>
      </c>
      <c r="P2457" s="573" t="s">
        <v>4230</v>
      </c>
      <c r="Q2457" s="571">
        <v>13000</v>
      </c>
      <c r="R2457" s="573" t="s">
        <v>4235</v>
      </c>
      <c r="S2457" s="573">
        <v>8</v>
      </c>
      <c r="T2457" s="573" t="s">
        <v>4398</v>
      </c>
      <c r="U2457" s="573" t="s">
        <v>366</v>
      </c>
      <c r="V2457" s="573">
        <v>148</v>
      </c>
      <c r="W2457" s="573">
        <v>34</v>
      </c>
      <c r="X2457" s="571">
        <v>10000</v>
      </c>
      <c r="Y2457" s="573">
        <v>15</v>
      </c>
      <c r="Z2457" s="579" t="s">
        <v>450</v>
      </c>
      <c r="AA2457" s="579" t="s">
        <v>178</v>
      </c>
      <c r="AB2457" s="584">
        <v>36615</v>
      </c>
      <c r="AC2457" s="584" t="s">
        <v>164</v>
      </c>
      <c r="AD2457" s="584">
        <v>25175.073684210529</v>
      </c>
      <c r="AE2457" s="586">
        <v>0.03</v>
      </c>
      <c r="AF2457" s="661" t="str">
        <f t="shared" si="269"/>
        <v>2019-LTK-FRD-F250-052-27</v>
      </c>
      <c r="AG2457" s="661" t="str">
        <f>IF(AND($Y2457&gt;=32,(AI2457="I"),(Y2457&lt;&gt;"~"),(COUNTIF($AN$1:$AN2457,$AN2457)=1)),"TRUE","FALSE")</f>
        <v>FALSE</v>
      </c>
      <c r="AH2457" s="661" t="str">
        <f>IF(AND($Y2457&gt;=22, (AI2457&lt;&gt;"I"),(Y2457&lt;&gt;"~"),(COUNTIF($AN$1:$AN2457,$AN2457)=1)),"TRUE","FALSE")</f>
        <v>FALSE</v>
      </c>
      <c r="AI2457" s="661" t="str">
        <f t="shared" si="264"/>
        <v>II</v>
      </c>
      <c r="AJ2457" s="662" t="str">
        <f t="shared" si="265"/>
        <v>F250-052</v>
      </c>
      <c r="AK2457" s="662" t="str">
        <f t="shared" si="266"/>
        <v>LTK</v>
      </c>
      <c r="AL2457" s="662" t="str">
        <f t="shared" si="267"/>
        <v>FRD</v>
      </c>
      <c r="AM2457" s="662" t="str">
        <f t="shared" si="263"/>
        <v>F250-Super Cab XL-2WD-6-6'9"-13000-6.2L FFV-8-X2A-600A-148-34-E85-Unleaded</v>
      </c>
      <c r="AN2457" s="662" t="str">
        <f t="shared" si="268"/>
        <v>2019-LTK-FRD-F250-052</v>
      </c>
    </row>
    <row r="2458" spans="1:40" s="572" customFormat="1" ht="15">
      <c r="A2458" s="570" t="s">
        <v>4421</v>
      </c>
      <c r="B2458" s="569" t="s">
        <v>4404</v>
      </c>
      <c r="C2458" s="569" t="s">
        <v>280</v>
      </c>
      <c r="D2458" s="580">
        <v>27</v>
      </c>
      <c r="E2458" s="569" t="s">
        <v>3374</v>
      </c>
      <c r="F2458" s="569" t="s">
        <v>196</v>
      </c>
      <c r="G2458" s="569" t="s">
        <v>271</v>
      </c>
      <c r="H2458" s="569">
        <v>2019</v>
      </c>
      <c r="I2458" s="569" t="s">
        <v>4229</v>
      </c>
      <c r="J2458" s="569" t="s">
        <v>3996</v>
      </c>
      <c r="K2458" s="569" t="s">
        <v>3377</v>
      </c>
      <c r="L2458" s="569">
        <v>6</v>
      </c>
      <c r="M2458" s="569">
        <v>0</v>
      </c>
      <c r="N2458" s="569" t="s">
        <v>157</v>
      </c>
      <c r="O2458" s="569">
        <v>2</v>
      </c>
      <c r="P2458" s="569" t="s">
        <v>4405</v>
      </c>
      <c r="Q2458" s="568">
        <v>12500</v>
      </c>
      <c r="R2458" s="569" t="s">
        <v>4235</v>
      </c>
      <c r="S2458" s="569">
        <v>8</v>
      </c>
      <c r="T2458" s="569" t="s">
        <v>4398</v>
      </c>
      <c r="U2458" s="569" t="s">
        <v>366</v>
      </c>
      <c r="V2458" s="569">
        <v>164</v>
      </c>
      <c r="W2458" s="569">
        <v>34</v>
      </c>
      <c r="X2458" s="568">
        <v>10000</v>
      </c>
      <c r="Y2458" s="573">
        <v>15</v>
      </c>
      <c r="Z2458" s="581" t="s">
        <v>450</v>
      </c>
      <c r="AA2458" s="581" t="s">
        <v>178</v>
      </c>
      <c r="AB2458" s="585">
        <v>36815</v>
      </c>
      <c r="AC2458" s="585" t="s">
        <v>164</v>
      </c>
      <c r="AD2458" s="585">
        <v>25359.284210526315</v>
      </c>
      <c r="AE2458" s="587">
        <v>0.03</v>
      </c>
      <c r="AF2458" s="661" t="str">
        <f t="shared" si="269"/>
        <v>2019-LTK-FRD-F250-053-27</v>
      </c>
      <c r="AG2458" s="661" t="str">
        <f>IF(AND($Y2458&gt;=32,(AI2458="I"),(Y2458&lt;&gt;"~"),(COUNTIF($AN$1:$AN2458,$AN2458)=1)),"TRUE","FALSE")</f>
        <v>FALSE</v>
      </c>
      <c r="AH2458" s="661" t="str">
        <f>IF(AND($Y2458&gt;=22, (AI2458&lt;&gt;"I"),(Y2458&lt;&gt;"~"),(COUNTIF($AN$1:$AN2458,$AN2458)=1)),"TRUE","FALSE")</f>
        <v>FALSE</v>
      </c>
      <c r="AI2458" s="661" t="str">
        <f t="shared" si="264"/>
        <v>II</v>
      </c>
      <c r="AJ2458" s="662" t="str">
        <f t="shared" si="265"/>
        <v>F250-053</v>
      </c>
      <c r="AK2458" s="662" t="str">
        <f t="shared" si="266"/>
        <v>LTK</v>
      </c>
      <c r="AL2458" s="662" t="str">
        <f t="shared" si="267"/>
        <v>FRD</v>
      </c>
      <c r="AM2458" s="662" t="str">
        <f t="shared" si="263"/>
        <v>F250-Super Cab XL-2WD-6-8' -12500-6.2L FFV-8-X2A-600A-164-34-E85-Unleaded</v>
      </c>
      <c r="AN2458" s="662" t="str">
        <f t="shared" si="268"/>
        <v>2019-LTK-FRD-F250-053</v>
      </c>
    </row>
    <row r="2459" spans="1:40" s="572" customFormat="1" ht="15">
      <c r="A2459" s="570" t="s">
        <v>4422</v>
      </c>
      <c r="B2459" s="573" t="s">
        <v>4407</v>
      </c>
      <c r="C2459" s="573" t="s">
        <v>280</v>
      </c>
      <c r="D2459" s="578">
        <v>27</v>
      </c>
      <c r="E2459" s="573" t="s">
        <v>3374</v>
      </c>
      <c r="F2459" s="573" t="s">
        <v>196</v>
      </c>
      <c r="G2459" s="573" t="s">
        <v>271</v>
      </c>
      <c r="H2459" s="573">
        <v>2019</v>
      </c>
      <c r="I2459" s="573" t="s">
        <v>4229</v>
      </c>
      <c r="J2459" s="573" t="s">
        <v>3996</v>
      </c>
      <c r="K2459" s="573" t="s">
        <v>3377</v>
      </c>
      <c r="L2459" s="573">
        <v>6</v>
      </c>
      <c r="M2459" s="573">
        <v>0</v>
      </c>
      <c r="N2459" s="573" t="s">
        <v>157</v>
      </c>
      <c r="O2459" s="573">
        <v>2</v>
      </c>
      <c r="P2459" s="573" t="s">
        <v>3846</v>
      </c>
      <c r="Q2459" s="571">
        <v>12500</v>
      </c>
      <c r="R2459" s="573" t="s">
        <v>4231</v>
      </c>
      <c r="S2459" s="573">
        <v>8</v>
      </c>
      <c r="T2459" s="573" t="s">
        <v>4398</v>
      </c>
      <c r="U2459" s="573" t="s">
        <v>366</v>
      </c>
      <c r="V2459" s="573">
        <v>164</v>
      </c>
      <c r="W2459" s="573">
        <v>34</v>
      </c>
      <c r="X2459" s="571">
        <v>10000</v>
      </c>
      <c r="Y2459" s="573">
        <v>15</v>
      </c>
      <c r="Z2459" s="579" t="s">
        <v>728</v>
      </c>
      <c r="AA2459" s="579" t="s">
        <v>1523</v>
      </c>
      <c r="AB2459" s="584">
        <v>46300</v>
      </c>
      <c r="AC2459" s="584" t="s">
        <v>164</v>
      </c>
      <c r="AD2459" s="584">
        <v>33917.473684210527</v>
      </c>
      <c r="AE2459" s="586">
        <v>0.03</v>
      </c>
      <c r="AF2459" s="661" t="str">
        <f t="shared" si="269"/>
        <v>2019-LTK-FRD-F250-055-27</v>
      </c>
      <c r="AG2459" s="661" t="str">
        <f>IF(AND($Y2459&gt;=32,(AI2459="I"),(Y2459&lt;&gt;"~"),(COUNTIF($AN$1:$AN2459,$AN2459)=1)),"TRUE","FALSE")</f>
        <v>FALSE</v>
      </c>
      <c r="AH2459" s="661" t="str">
        <f>IF(AND($Y2459&gt;=22, (AI2459&lt;&gt;"I"),(Y2459&lt;&gt;"~"),(COUNTIF($AN$1:$AN2459,$AN2459)=1)),"TRUE","FALSE")</f>
        <v>FALSE</v>
      </c>
      <c r="AI2459" s="661" t="str">
        <f t="shared" si="264"/>
        <v>II</v>
      </c>
      <c r="AJ2459" s="662" t="str">
        <f t="shared" si="265"/>
        <v>F250-055</v>
      </c>
      <c r="AK2459" s="662" t="str">
        <f t="shared" si="266"/>
        <v>LTK</v>
      </c>
      <c r="AL2459" s="662" t="str">
        <f t="shared" si="267"/>
        <v>FRD</v>
      </c>
      <c r="AM2459" s="662" t="str">
        <f t="shared" ref="AM2459:AM2522" si="270">CONCATENATE(I2459,"-",J2459,"-",K2459,"-",L2459,"-",P2459,"-",Q2459,"-",R2459,"-",S2459,"-",T2459,"-",U2459,"-",V2459,"-",W2459,"-",Z2459,"-",AA2459)</f>
        <v>F250-Super Cab XL-2WD-6-8'-12500-6.7L Diesel-8-X2A-600A-164-34-Diesel-BioDiesel</v>
      </c>
      <c r="AN2459" s="662" t="str">
        <f t="shared" si="268"/>
        <v>2019-LTK-FRD-F250-055</v>
      </c>
    </row>
    <row r="2460" spans="1:40" s="572" customFormat="1" ht="15">
      <c r="A2460" s="570" t="s">
        <v>4423</v>
      </c>
      <c r="B2460" s="569" t="s">
        <v>4409</v>
      </c>
      <c r="C2460" s="569" t="s">
        <v>280</v>
      </c>
      <c r="D2460" s="580">
        <v>27</v>
      </c>
      <c r="E2460" s="569" t="s">
        <v>3374</v>
      </c>
      <c r="F2460" s="569" t="s">
        <v>196</v>
      </c>
      <c r="G2460" s="569" t="s">
        <v>271</v>
      </c>
      <c r="H2460" s="569">
        <v>2019</v>
      </c>
      <c r="I2460" s="569" t="s">
        <v>4229</v>
      </c>
      <c r="J2460" s="569" t="s">
        <v>3996</v>
      </c>
      <c r="K2460" s="569" t="s">
        <v>3377</v>
      </c>
      <c r="L2460" s="569">
        <v>6</v>
      </c>
      <c r="M2460" s="569">
        <v>0</v>
      </c>
      <c r="N2460" s="569" t="s">
        <v>157</v>
      </c>
      <c r="O2460" s="569">
        <v>2</v>
      </c>
      <c r="P2460" s="569" t="s">
        <v>3846</v>
      </c>
      <c r="Q2460" s="568">
        <v>13000</v>
      </c>
      <c r="R2460" s="569" t="s">
        <v>4235</v>
      </c>
      <c r="S2460" s="569">
        <v>8</v>
      </c>
      <c r="T2460" s="569" t="s">
        <v>4398</v>
      </c>
      <c r="U2460" s="569" t="s">
        <v>366</v>
      </c>
      <c r="V2460" s="569">
        <v>164</v>
      </c>
      <c r="W2460" s="569">
        <v>34</v>
      </c>
      <c r="X2460" s="568">
        <v>10000</v>
      </c>
      <c r="Y2460" s="573">
        <v>15</v>
      </c>
      <c r="Z2460" s="581" t="s">
        <v>450</v>
      </c>
      <c r="AA2460" s="581" t="s">
        <v>178</v>
      </c>
      <c r="AB2460" s="585">
        <v>36815</v>
      </c>
      <c r="AC2460" s="585" t="s">
        <v>164</v>
      </c>
      <c r="AD2460" s="585">
        <v>25359.284210526315</v>
      </c>
      <c r="AE2460" s="587">
        <v>0.03</v>
      </c>
      <c r="AF2460" s="661" t="str">
        <f t="shared" si="269"/>
        <v>2019-LTK-FRD-F250-056-27</v>
      </c>
      <c r="AG2460" s="661" t="str">
        <f>IF(AND($Y2460&gt;=32,(AI2460="I"),(Y2460&lt;&gt;"~"),(COUNTIF($AN$1:$AN2460,$AN2460)=1)),"TRUE","FALSE")</f>
        <v>FALSE</v>
      </c>
      <c r="AH2460" s="661" t="str">
        <f>IF(AND($Y2460&gt;=22, (AI2460&lt;&gt;"I"),(Y2460&lt;&gt;"~"),(COUNTIF($AN$1:$AN2460,$AN2460)=1)),"TRUE","FALSE")</f>
        <v>FALSE</v>
      </c>
      <c r="AI2460" s="661" t="str">
        <f t="shared" ref="AI2460:AI2523" si="271">IF(OR((LEFT($E2460,2)="01"),AND(LEFT($E2460,2)="06",ISNUMBER(SEARCH("pas",$F2460))),AND(LEFT($E2460,2)="05",ISNUMBER(SEARCH("pas",$F2460)))),"I",IF(AND((LEFT($E2460,2)&lt;&gt;"01"),$X2460&lt;=10000),"II",IF(AND((LEFT($E2460,2)&lt;&gt;"01"),$X2460&gt;10000),"N/A")))</f>
        <v>II</v>
      </c>
      <c r="AJ2460" s="662" t="str">
        <f t="shared" si="265"/>
        <v>F250-056</v>
      </c>
      <c r="AK2460" s="662" t="str">
        <f t="shared" si="266"/>
        <v>LTK</v>
      </c>
      <c r="AL2460" s="662" t="str">
        <f t="shared" si="267"/>
        <v>FRD</v>
      </c>
      <c r="AM2460" s="662" t="str">
        <f t="shared" si="270"/>
        <v>F250-Super Cab XL-2WD-6-8'-13000-6.2L FFV-8-X2A-600A-164-34-E85-Unleaded</v>
      </c>
      <c r="AN2460" s="662" t="str">
        <f t="shared" si="268"/>
        <v>2019-LTK-FRD-F250-056</v>
      </c>
    </row>
    <row r="2461" spans="1:40" s="572" customFormat="1" ht="15">
      <c r="A2461" s="570" t="s">
        <v>4424</v>
      </c>
      <c r="B2461" s="573" t="s">
        <v>4425</v>
      </c>
      <c r="C2461" s="573" t="s">
        <v>269</v>
      </c>
      <c r="D2461" s="578" t="s">
        <v>270</v>
      </c>
      <c r="E2461" s="573" t="s">
        <v>3374</v>
      </c>
      <c r="F2461" s="573" t="s">
        <v>196</v>
      </c>
      <c r="G2461" s="573" t="s">
        <v>271</v>
      </c>
      <c r="H2461" s="573">
        <v>2019</v>
      </c>
      <c r="I2461" s="573" t="s">
        <v>4229</v>
      </c>
      <c r="J2461" s="573" t="s">
        <v>3996</v>
      </c>
      <c r="K2461" s="573" t="s">
        <v>752</v>
      </c>
      <c r="L2461" s="573">
        <v>6</v>
      </c>
      <c r="M2461" s="573">
        <v>0</v>
      </c>
      <c r="N2461" s="573" t="s">
        <v>157</v>
      </c>
      <c r="O2461" s="573">
        <v>2</v>
      </c>
      <c r="P2461" s="573" t="s">
        <v>4230</v>
      </c>
      <c r="Q2461" s="571">
        <v>12400</v>
      </c>
      <c r="R2461" s="573" t="s">
        <v>4235</v>
      </c>
      <c r="S2461" s="573">
        <v>8</v>
      </c>
      <c r="T2461" s="573" t="s">
        <v>4426</v>
      </c>
      <c r="U2461" s="573" t="s">
        <v>366</v>
      </c>
      <c r="V2461" s="573">
        <v>148</v>
      </c>
      <c r="W2461" s="573">
        <v>34</v>
      </c>
      <c r="X2461" s="571">
        <v>10000</v>
      </c>
      <c r="Y2461" s="573">
        <v>14</v>
      </c>
      <c r="Z2461" s="579" t="s">
        <v>450</v>
      </c>
      <c r="AA2461" s="579" t="s">
        <v>178</v>
      </c>
      <c r="AB2461" s="584">
        <v>39410</v>
      </c>
      <c r="AC2461" s="584" t="s">
        <v>164</v>
      </c>
      <c r="AD2461" s="584">
        <v>27756.126315789475</v>
      </c>
      <c r="AE2461" s="586">
        <v>0.03</v>
      </c>
      <c r="AF2461" s="661" t="str">
        <f t="shared" si="269"/>
        <v>2019-LTK-FRD-F250-058-05</v>
      </c>
      <c r="AG2461" s="661" t="str">
        <f>IF(AND($Y2461&gt;=32,(AI2461="I"),(Y2461&lt;&gt;"~"),(COUNTIF($AN$1:$AN2461,$AN2461)=1)),"TRUE","FALSE")</f>
        <v>FALSE</v>
      </c>
      <c r="AH2461" s="661" t="str">
        <f>IF(AND($Y2461&gt;=22, (AI2461&lt;&gt;"I"),(Y2461&lt;&gt;"~"),(COUNTIF($AN$1:$AN2461,$AN2461)=1)),"TRUE","FALSE")</f>
        <v>FALSE</v>
      </c>
      <c r="AI2461" s="661" t="str">
        <f t="shared" si="271"/>
        <v>II</v>
      </c>
      <c r="AJ2461" s="662" t="str">
        <f t="shared" si="265"/>
        <v>F250-058</v>
      </c>
      <c r="AK2461" s="662" t="str">
        <f t="shared" si="266"/>
        <v>LTK</v>
      </c>
      <c r="AL2461" s="662" t="str">
        <f t="shared" si="267"/>
        <v>FRD</v>
      </c>
      <c r="AM2461" s="662" t="str">
        <f t="shared" si="270"/>
        <v>F250-Super Cab XL-4WD-6-6'9"-12400-6.2L FFV-8-X2B-600A-148-34-E85-Unleaded</v>
      </c>
      <c r="AN2461" s="662" t="str">
        <f t="shared" si="268"/>
        <v>2019-LTK-FRD-F250-058</v>
      </c>
    </row>
    <row r="2462" spans="1:40" s="572" customFormat="1" ht="15">
      <c r="A2462" s="570" t="s">
        <v>4427</v>
      </c>
      <c r="B2462" s="569" t="s">
        <v>4428</v>
      </c>
      <c r="C2462" s="569" t="s">
        <v>269</v>
      </c>
      <c r="D2462" s="580" t="s">
        <v>270</v>
      </c>
      <c r="E2462" s="569" t="s">
        <v>3374</v>
      </c>
      <c r="F2462" s="569" t="s">
        <v>196</v>
      </c>
      <c r="G2462" s="569" t="s">
        <v>271</v>
      </c>
      <c r="H2462" s="569">
        <v>2019</v>
      </c>
      <c r="I2462" s="569" t="s">
        <v>4229</v>
      </c>
      <c r="J2462" s="569" t="s">
        <v>3996</v>
      </c>
      <c r="K2462" s="569" t="s">
        <v>752</v>
      </c>
      <c r="L2462" s="569">
        <v>6</v>
      </c>
      <c r="M2462" s="569">
        <v>0</v>
      </c>
      <c r="N2462" s="569" t="s">
        <v>157</v>
      </c>
      <c r="O2462" s="569">
        <v>2</v>
      </c>
      <c r="P2462" s="569" t="s">
        <v>4230</v>
      </c>
      <c r="Q2462" s="568">
        <v>12400</v>
      </c>
      <c r="R2462" s="569" t="s">
        <v>4231</v>
      </c>
      <c r="S2462" s="569">
        <v>8</v>
      </c>
      <c r="T2462" s="569" t="s">
        <v>4426</v>
      </c>
      <c r="U2462" s="569" t="s">
        <v>366</v>
      </c>
      <c r="V2462" s="569">
        <v>148</v>
      </c>
      <c r="W2462" s="569">
        <v>34</v>
      </c>
      <c r="X2462" s="568">
        <v>10000</v>
      </c>
      <c r="Y2462" s="573">
        <v>14</v>
      </c>
      <c r="Z2462" s="581" t="s">
        <v>728</v>
      </c>
      <c r="AA2462" s="581" t="s">
        <v>1523</v>
      </c>
      <c r="AB2462" s="585">
        <v>48895</v>
      </c>
      <c r="AC2462" s="585" t="s">
        <v>164</v>
      </c>
      <c r="AD2462" s="585">
        <v>36313.26315789474</v>
      </c>
      <c r="AE2462" s="587">
        <v>0.03</v>
      </c>
      <c r="AF2462" s="661" t="str">
        <f t="shared" si="269"/>
        <v>2019-LTK-FRD-F250-059-05</v>
      </c>
      <c r="AG2462" s="661" t="str">
        <f>IF(AND($Y2462&gt;=32,(AI2462="I"),(Y2462&lt;&gt;"~"),(COUNTIF($AN$1:$AN2462,$AN2462)=1)),"TRUE","FALSE")</f>
        <v>FALSE</v>
      </c>
      <c r="AH2462" s="661" t="str">
        <f>IF(AND($Y2462&gt;=22, (AI2462&lt;&gt;"I"),(Y2462&lt;&gt;"~"),(COUNTIF($AN$1:$AN2462,$AN2462)=1)),"TRUE","FALSE")</f>
        <v>FALSE</v>
      </c>
      <c r="AI2462" s="661" t="str">
        <f t="shared" si="271"/>
        <v>II</v>
      </c>
      <c r="AJ2462" s="662" t="str">
        <f t="shared" si="265"/>
        <v>F250-059</v>
      </c>
      <c r="AK2462" s="662" t="str">
        <f t="shared" si="266"/>
        <v>LTK</v>
      </c>
      <c r="AL2462" s="662" t="str">
        <f t="shared" si="267"/>
        <v>FRD</v>
      </c>
      <c r="AM2462" s="662" t="str">
        <f t="shared" si="270"/>
        <v>F250-Super Cab XL-4WD-6-6'9"-12400-6.7L Diesel-8-X2B-600A-148-34-Diesel-BioDiesel</v>
      </c>
      <c r="AN2462" s="662" t="str">
        <f t="shared" si="268"/>
        <v>2019-LTK-FRD-F250-059</v>
      </c>
    </row>
    <row r="2463" spans="1:40" s="572" customFormat="1" ht="15">
      <c r="A2463" s="570" t="s">
        <v>4429</v>
      </c>
      <c r="B2463" s="573" t="s">
        <v>4430</v>
      </c>
      <c r="C2463" s="573" t="s">
        <v>269</v>
      </c>
      <c r="D2463" s="578" t="s">
        <v>270</v>
      </c>
      <c r="E2463" s="573" t="s">
        <v>3374</v>
      </c>
      <c r="F2463" s="573" t="s">
        <v>196</v>
      </c>
      <c r="G2463" s="573" t="s">
        <v>271</v>
      </c>
      <c r="H2463" s="573">
        <v>2019</v>
      </c>
      <c r="I2463" s="573" t="s">
        <v>4229</v>
      </c>
      <c r="J2463" s="573" t="s">
        <v>3996</v>
      </c>
      <c r="K2463" s="573" t="s">
        <v>752</v>
      </c>
      <c r="L2463" s="573">
        <v>6</v>
      </c>
      <c r="M2463" s="573">
        <v>0</v>
      </c>
      <c r="N2463" s="573" t="s">
        <v>157</v>
      </c>
      <c r="O2463" s="573">
        <v>2</v>
      </c>
      <c r="P2463" s="573" t="s">
        <v>4230</v>
      </c>
      <c r="Q2463" s="571">
        <v>12600</v>
      </c>
      <c r="R2463" s="573" t="s">
        <v>4235</v>
      </c>
      <c r="S2463" s="573">
        <v>8</v>
      </c>
      <c r="T2463" s="573" t="s">
        <v>4426</v>
      </c>
      <c r="U2463" s="573" t="s">
        <v>366</v>
      </c>
      <c r="V2463" s="573">
        <v>148</v>
      </c>
      <c r="W2463" s="573">
        <v>34</v>
      </c>
      <c r="X2463" s="571">
        <v>10000</v>
      </c>
      <c r="Y2463" s="573">
        <v>14</v>
      </c>
      <c r="Z2463" s="579" t="s">
        <v>450</v>
      </c>
      <c r="AA2463" s="579" t="s">
        <v>178</v>
      </c>
      <c r="AB2463" s="584">
        <v>39410</v>
      </c>
      <c r="AC2463" s="584" t="s">
        <v>164</v>
      </c>
      <c r="AD2463" s="584">
        <v>27756.126315789475</v>
      </c>
      <c r="AE2463" s="586">
        <v>0.03</v>
      </c>
      <c r="AF2463" s="661" t="str">
        <f t="shared" si="269"/>
        <v>2019-LTK-FRD-F250-060-05</v>
      </c>
      <c r="AG2463" s="661" t="str">
        <f>IF(AND($Y2463&gt;=32,(AI2463="I"),(Y2463&lt;&gt;"~"),(COUNTIF($AN$1:$AN2463,$AN2463)=1)),"TRUE","FALSE")</f>
        <v>FALSE</v>
      </c>
      <c r="AH2463" s="661" t="str">
        <f>IF(AND($Y2463&gt;=22, (AI2463&lt;&gt;"I"),(Y2463&lt;&gt;"~"),(COUNTIF($AN$1:$AN2463,$AN2463)=1)),"TRUE","FALSE")</f>
        <v>FALSE</v>
      </c>
      <c r="AI2463" s="661" t="str">
        <f t="shared" si="271"/>
        <v>II</v>
      </c>
      <c r="AJ2463" s="662" t="str">
        <f t="shared" si="265"/>
        <v>F250-060</v>
      </c>
      <c r="AK2463" s="662" t="str">
        <f t="shared" si="266"/>
        <v>LTK</v>
      </c>
      <c r="AL2463" s="662" t="str">
        <f t="shared" si="267"/>
        <v>FRD</v>
      </c>
      <c r="AM2463" s="662" t="str">
        <f t="shared" si="270"/>
        <v>F250-Super Cab XL-4WD-6-6'9"-12600-6.2L FFV-8-X2B-600A-148-34-E85-Unleaded</v>
      </c>
      <c r="AN2463" s="662" t="str">
        <f t="shared" si="268"/>
        <v>2019-LTK-FRD-F250-060</v>
      </c>
    </row>
    <row r="2464" spans="1:40" s="572" customFormat="1" ht="15">
      <c r="A2464" s="570" t="s">
        <v>4431</v>
      </c>
      <c r="B2464" s="569" t="s">
        <v>4432</v>
      </c>
      <c r="C2464" s="569" t="s">
        <v>269</v>
      </c>
      <c r="D2464" s="580" t="s">
        <v>270</v>
      </c>
      <c r="E2464" s="569" t="s">
        <v>3374</v>
      </c>
      <c r="F2464" s="569" t="s">
        <v>196</v>
      </c>
      <c r="G2464" s="569" t="s">
        <v>271</v>
      </c>
      <c r="H2464" s="569">
        <v>2019</v>
      </c>
      <c r="I2464" s="569" t="s">
        <v>4229</v>
      </c>
      <c r="J2464" s="569" t="s">
        <v>3996</v>
      </c>
      <c r="K2464" s="569" t="s">
        <v>752</v>
      </c>
      <c r="L2464" s="569">
        <v>6</v>
      </c>
      <c r="M2464" s="569">
        <v>0</v>
      </c>
      <c r="N2464" s="569" t="s">
        <v>157</v>
      </c>
      <c r="O2464" s="569">
        <v>2</v>
      </c>
      <c r="P2464" s="569" t="s">
        <v>3846</v>
      </c>
      <c r="Q2464" s="568">
        <v>12400</v>
      </c>
      <c r="R2464" s="569" t="s">
        <v>4231</v>
      </c>
      <c r="S2464" s="569">
        <v>8</v>
      </c>
      <c r="T2464" s="569" t="s">
        <v>4426</v>
      </c>
      <c r="U2464" s="569" t="s">
        <v>366</v>
      </c>
      <c r="V2464" s="569">
        <v>164</v>
      </c>
      <c r="W2464" s="569">
        <v>34</v>
      </c>
      <c r="X2464" s="568">
        <v>10000</v>
      </c>
      <c r="Y2464" s="573">
        <v>14</v>
      </c>
      <c r="Z2464" s="581" t="s">
        <v>728</v>
      </c>
      <c r="AA2464" s="581" t="s">
        <v>1523</v>
      </c>
      <c r="AB2464" s="585">
        <v>49105</v>
      </c>
      <c r="AC2464" s="585" t="s">
        <v>164</v>
      </c>
      <c r="AD2464" s="585">
        <v>36508</v>
      </c>
      <c r="AE2464" s="587">
        <v>0.03</v>
      </c>
      <c r="AF2464" s="661" t="str">
        <f t="shared" si="269"/>
        <v>2019-LTK-FRD-F250-063-05</v>
      </c>
      <c r="AG2464" s="661" t="str">
        <f>IF(AND($Y2464&gt;=32,(AI2464="I"),(Y2464&lt;&gt;"~"),(COUNTIF($AN$1:$AN2464,$AN2464)=1)),"TRUE","FALSE")</f>
        <v>FALSE</v>
      </c>
      <c r="AH2464" s="661" t="str">
        <f>IF(AND($Y2464&gt;=22, (AI2464&lt;&gt;"I"),(Y2464&lt;&gt;"~"),(COUNTIF($AN$1:$AN2464,$AN2464)=1)),"TRUE","FALSE")</f>
        <v>FALSE</v>
      </c>
      <c r="AI2464" s="661" t="str">
        <f t="shared" si="271"/>
        <v>II</v>
      </c>
      <c r="AJ2464" s="662" t="str">
        <f t="shared" si="265"/>
        <v>F250-063</v>
      </c>
      <c r="AK2464" s="662" t="str">
        <f t="shared" si="266"/>
        <v>LTK</v>
      </c>
      <c r="AL2464" s="662" t="str">
        <f t="shared" si="267"/>
        <v>FRD</v>
      </c>
      <c r="AM2464" s="662" t="str">
        <f t="shared" si="270"/>
        <v>F250-Super Cab XL-4WD-6-8'-12400-6.7L Diesel-8-X2B-600A-164-34-Diesel-BioDiesel</v>
      </c>
      <c r="AN2464" s="662" t="str">
        <f t="shared" si="268"/>
        <v>2019-LTK-FRD-F250-063</v>
      </c>
    </row>
    <row r="2465" spans="1:40" s="572" customFormat="1" ht="15">
      <c r="A2465" s="570" t="s">
        <v>4433</v>
      </c>
      <c r="B2465" s="573" t="s">
        <v>4434</v>
      </c>
      <c r="C2465" s="573" t="s">
        <v>269</v>
      </c>
      <c r="D2465" s="578" t="s">
        <v>270</v>
      </c>
      <c r="E2465" s="573" t="s">
        <v>3374</v>
      </c>
      <c r="F2465" s="573" t="s">
        <v>196</v>
      </c>
      <c r="G2465" s="573" t="s">
        <v>271</v>
      </c>
      <c r="H2465" s="573">
        <v>2019</v>
      </c>
      <c r="I2465" s="573" t="s">
        <v>4229</v>
      </c>
      <c r="J2465" s="573" t="s">
        <v>3996</v>
      </c>
      <c r="K2465" s="573" t="s">
        <v>752</v>
      </c>
      <c r="L2465" s="573">
        <v>6</v>
      </c>
      <c r="M2465" s="573">
        <v>0</v>
      </c>
      <c r="N2465" s="573" t="s">
        <v>157</v>
      </c>
      <c r="O2465" s="573">
        <v>2</v>
      </c>
      <c r="P2465" s="573" t="s">
        <v>3846</v>
      </c>
      <c r="Q2465" s="571">
        <v>12600</v>
      </c>
      <c r="R2465" s="573" t="s">
        <v>4235</v>
      </c>
      <c r="S2465" s="573">
        <v>8</v>
      </c>
      <c r="T2465" s="573" t="s">
        <v>4426</v>
      </c>
      <c r="U2465" s="573" t="s">
        <v>366</v>
      </c>
      <c r="V2465" s="573">
        <v>164</v>
      </c>
      <c r="W2465" s="573">
        <v>34</v>
      </c>
      <c r="X2465" s="571">
        <v>10000</v>
      </c>
      <c r="Y2465" s="573">
        <v>14</v>
      </c>
      <c r="Z2465" s="579" t="s">
        <v>450</v>
      </c>
      <c r="AA2465" s="579" t="s">
        <v>178</v>
      </c>
      <c r="AB2465" s="584">
        <v>39620</v>
      </c>
      <c r="AC2465" s="584" t="s">
        <v>164</v>
      </c>
      <c r="AD2465" s="584">
        <v>27949.810526315792</v>
      </c>
      <c r="AE2465" s="586">
        <v>0.03</v>
      </c>
      <c r="AF2465" s="661" t="str">
        <f t="shared" si="269"/>
        <v>2019-LTK-FRD-F250-064-05</v>
      </c>
      <c r="AG2465" s="661" t="str">
        <f>IF(AND($Y2465&gt;=32,(AI2465="I"),(Y2465&lt;&gt;"~"),(COUNTIF($AN$1:$AN2465,$AN2465)=1)),"TRUE","FALSE")</f>
        <v>FALSE</v>
      </c>
      <c r="AH2465" s="661" t="str">
        <f>IF(AND($Y2465&gt;=22, (AI2465&lt;&gt;"I"),(Y2465&lt;&gt;"~"),(COUNTIF($AN$1:$AN2465,$AN2465)=1)),"TRUE","FALSE")</f>
        <v>FALSE</v>
      </c>
      <c r="AI2465" s="661" t="str">
        <f t="shared" si="271"/>
        <v>II</v>
      </c>
      <c r="AJ2465" s="662" t="str">
        <f t="shared" si="265"/>
        <v>F250-064</v>
      </c>
      <c r="AK2465" s="662" t="str">
        <f t="shared" si="266"/>
        <v>LTK</v>
      </c>
      <c r="AL2465" s="662" t="str">
        <f t="shared" si="267"/>
        <v>FRD</v>
      </c>
      <c r="AM2465" s="662" t="str">
        <f t="shared" si="270"/>
        <v>F250-Super Cab XL-4WD-6-8'-12600-6.2L FFV-8-X2B-600A-164-34-E85-Unleaded</v>
      </c>
      <c r="AN2465" s="662" t="str">
        <f t="shared" si="268"/>
        <v>2019-LTK-FRD-F250-064</v>
      </c>
    </row>
    <row r="2466" spans="1:40" s="572" customFormat="1" ht="15">
      <c r="A2466" s="570" t="s">
        <v>4435</v>
      </c>
      <c r="B2466" s="569" t="s">
        <v>4425</v>
      </c>
      <c r="C2466" s="569" t="s">
        <v>278</v>
      </c>
      <c r="D2466" s="580">
        <v>15</v>
      </c>
      <c r="E2466" s="569" t="s">
        <v>3374</v>
      </c>
      <c r="F2466" s="569" t="s">
        <v>196</v>
      </c>
      <c r="G2466" s="569" t="s">
        <v>271</v>
      </c>
      <c r="H2466" s="569">
        <v>2019</v>
      </c>
      <c r="I2466" s="569" t="s">
        <v>4229</v>
      </c>
      <c r="J2466" s="569" t="s">
        <v>3996</v>
      </c>
      <c r="K2466" s="569" t="s">
        <v>752</v>
      </c>
      <c r="L2466" s="569">
        <v>6</v>
      </c>
      <c r="M2466" s="569">
        <v>0</v>
      </c>
      <c r="N2466" s="569" t="s">
        <v>157</v>
      </c>
      <c r="O2466" s="569">
        <v>2</v>
      </c>
      <c r="P2466" s="569" t="s">
        <v>4230</v>
      </c>
      <c r="Q2466" s="568">
        <v>12400</v>
      </c>
      <c r="R2466" s="569" t="s">
        <v>4235</v>
      </c>
      <c r="S2466" s="569">
        <v>8</v>
      </c>
      <c r="T2466" s="569" t="s">
        <v>4426</v>
      </c>
      <c r="U2466" s="569" t="s">
        <v>366</v>
      </c>
      <c r="V2466" s="569">
        <v>148</v>
      </c>
      <c r="W2466" s="569">
        <v>34</v>
      </c>
      <c r="X2466" s="568">
        <v>10000</v>
      </c>
      <c r="Y2466" s="573">
        <v>14</v>
      </c>
      <c r="Z2466" s="581" t="s">
        <v>450</v>
      </c>
      <c r="AA2466" s="581" t="s">
        <v>178</v>
      </c>
      <c r="AB2466" s="585">
        <v>39775</v>
      </c>
      <c r="AC2466" s="585" t="s">
        <v>164</v>
      </c>
      <c r="AD2466" s="585">
        <v>28200</v>
      </c>
      <c r="AE2466" s="587">
        <v>0.01</v>
      </c>
      <c r="AF2466" s="661" t="str">
        <f t="shared" si="269"/>
        <v>2019-LTK-FRD-F250-058-15</v>
      </c>
      <c r="AG2466" s="661" t="str">
        <f>IF(AND($Y2466&gt;=32,(AI2466="I"),(Y2466&lt;&gt;"~"),(COUNTIF($AN$1:$AN2466,$AN2466)=1)),"TRUE","FALSE")</f>
        <v>FALSE</v>
      </c>
      <c r="AH2466" s="661" t="str">
        <f>IF(AND($Y2466&gt;=22, (AI2466&lt;&gt;"I"),(Y2466&lt;&gt;"~"),(COUNTIF($AN$1:$AN2466,$AN2466)=1)),"TRUE","FALSE")</f>
        <v>FALSE</v>
      </c>
      <c r="AI2466" s="661" t="str">
        <f t="shared" si="271"/>
        <v>II</v>
      </c>
      <c r="AJ2466" s="662" t="str">
        <f t="shared" si="265"/>
        <v>F250-058</v>
      </c>
      <c r="AK2466" s="662" t="str">
        <f t="shared" si="266"/>
        <v>LTK</v>
      </c>
      <c r="AL2466" s="662" t="str">
        <f t="shared" si="267"/>
        <v>FRD</v>
      </c>
      <c r="AM2466" s="662" t="str">
        <f t="shared" si="270"/>
        <v>F250-Super Cab XL-4WD-6-6'9"-12400-6.2L FFV-8-X2B-600A-148-34-E85-Unleaded</v>
      </c>
      <c r="AN2466" s="662" t="str">
        <f t="shared" si="268"/>
        <v>2019-LTK-FRD-F250-058</v>
      </c>
    </row>
    <row r="2467" spans="1:40" s="572" customFormat="1" ht="15">
      <c r="A2467" s="570" t="s">
        <v>4436</v>
      </c>
      <c r="B2467" s="573" t="s">
        <v>4428</v>
      </c>
      <c r="C2467" s="573" t="s">
        <v>278</v>
      </c>
      <c r="D2467" s="578">
        <v>15</v>
      </c>
      <c r="E2467" s="573" t="s">
        <v>3374</v>
      </c>
      <c r="F2467" s="573" t="s">
        <v>196</v>
      </c>
      <c r="G2467" s="573" t="s">
        <v>271</v>
      </c>
      <c r="H2467" s="573">
        <v>2019</v>
      </c>
      <c r="I2467" s="573" t="s">
        <v>4229</v>
      </c>
      <c r="J2467" s="573" t="s">
        <v>3996</v>
      </c>
      <c r="K2467" s="573" t="s">
        <v>752</v>
      </c>
      <c r="L2467" s="573">
        <v>6</v>
      </c>
      <c r="M2467" s="573">
        <v>0</v>
      </c>
      <c r="N2467" s="573" t="s">
        <v>157</v>
      </c>
      <c r="O2467" s="573">
        <v>2</v>
      </c>
      <c r="P2467" s="573" t="s">
        <v>4230</v>
      </c>
      <c r="Q2467" s="571">
        <v>12400</v>
      </c>
      <c r="R2467" s="573" t="s">
        <v>4231</v>
      </c>
      <c r="S2467" s="573">
        <v>8</v>
      </c>
      <c r="T2467" s="573" t="s">
        <v>4426</v>
      </c>
      <c r="U2467" s="573" t="s">
        <v>366</v>
      </c>
      <c r="V2467" s="573">
        <v>148</v>
      </c>
      <c r="W2467" s="573">
        <v>35</v>
      </c>
      <c r="X2467" s="571">
        <v>10000</v>
      </c>
      <c r="Y2467" s="573">
        <v>14</v>
      </c>
      <c r="Z2467" s="579" t="s">
        <v>728</v>
      </c>
      <c r="AA2467" s="579" t="s">
        <v>1523</v>
      </c>
      <c r="AB2467" s="584">
        <v>48895</v>
      </c>
      <c r="AC2467" s="584" t="s">
        <v>164</v>
      </c>
      <c r="AD2467" s="584">
        <v>36500</v>
      </c>
      <c r="AE2467" s="586">
        <v>0.01</v>
      </c>
      <c r="AF2467" s="661" t="str">
        <f t="shared" si="269"/>
        <v>2019-LTK-FRD-F250-059-15</v>
      </c>
      <c r="AG2467" s="661" t="str">
        <f>IF(AND($Y2467&gt;=32,(AI2467="I"),(Y2467&lt;&gt;"~"),(COUNTIF($AN$1:$AN2467,$AN2467)=1)),"TRUE","FALSE")</f>
        <v>FALSE</v>
      </c>
      <c r="AH2467" s="661" t="str">
        <f>IF(AND($Y2467&gt;=22, (AI2467&lt;&gt;"I"),(Y2467&lt;&gt;"~"),(COUNTIF($AN$1:$AN2467,$AN2467)=1)),"TRUE","FALSE")</f>
        <v>FALSE</v>
      </c>
      <c r="AI2467" s="661" t="str">
        <f t="shared" si="271"/>
        <v>II</v>
      </c>
      <c r="AJ2467" s="662" t="str">
        <f t="shared" si="265"/>
        <v>F250-059</v>
      </c>
      <c r="AK2467" s="662" t="str">
        <f t="shared" si="266"/>
        <v>LTK</v>
      </c>
      <c r="AL2467" s="662" t="str">
        <f t="shared" si="267"/>
        <v>FRD</v>
      </c>
      <c r="AM2467" s="662" t="str">
        <f t="shared" si="270"/>
        <v>F250-Super Cab XL-4WD-6-6'9"-12400-6.7L Diesel-8-X2B-600A-148-35-Diesel-BioDiesel</v>
      </c>
      <c r="AN2467" s="662" t="str">
        <f t="shared" si="268"/>
        <v>2019-LTK-FRD-F250-059</v>
      </c>
    </row>
    <row r="2468" spans="1:40" s="572" customFormat="1" ht="15">
      <c r="A2468" s="570" t="s">
        <v>4437</v>
      </c>
      <c r="B2468" s="569" t="s">
        <v>4438</v>
      </c>
      <c r="C2468" s="569" t="s">
        <v>278</v>
      </c>
      <c r="D2468" s="580">
        <v>15</v>
      </c>
      <c r="E2468" s="569" t="s">
        <v>3374</v>
      </c>
      <c r="F2468" s="569" t="s">
        <v>196</v>
      </c>
      <c r="G2468" s="569" t="s">
        <v>271</v>
      </c>
      <c r="H2468" s="569">
        <v>2019</v>
      </c>
      <c r="I2468" s="569" t="s">
        <v>4229</v>
      </c>
      <c r="J2468" s="569" t="s">
        <v>3996</v>
      </c>
      <c r="K2468" s="569" t="s">
        <v>752</v>
      </c>
      <c r="L2468" s="569">
        <v>6</v>
      </c>
      <c r="M2468" s="569">
        <v>0</v>
      </c>
      <c r="N2468" s="569" t="s">
        <v>157</v>
      </c>
      <c r="O2468" s="569">
        <v>2</v>
      </c>
      <c r="P2468" s="569" t="s">
        <v>3846</v>
      </c>
      <c r="Q2468" s="568">
        <v>12400</v>
      </c>
      <c r="R2468" s="569" t="s">
        <v>4235</v>
      </c>
      <c r="S2468" s="569">
        <v>8</v>
      </c>
      <c r="T2468" s="569" t="s">
        <v>4426</v>
      </c>
      <c r="U2468" s="569" t="s">
        <v>366</v>
      </c>
      <c r="V2468" s="569">
        <v>164</v>
      </c>
      <c r="W2468" s="569">
        <v>34</v>
      </c>
      <c r="X2468" s="568">
        <v>10000</v>
      </c>
      <c r="Y2468" s="573">
        <v>14</v>
      </c>
      <c r="Z2468" s="581" t="s">
        <v>450</v>
      </c>
      <c r="AA2468" s="581" t="s">
        <v>178</v>
      </c>
      <c r="AB2468" s="585">
        <v>39985</v>
      </c>
      <c r="AC2468" s="585" t="s">
        <v>164</v>
      </c>
      <c r="AD2468" s="585">
        <v>28400</v>
      </c>
      <c r="AE2468" s="587">
        <v>0.01</v>
      </c>
      <c r="AF2468" s="661" t="str">
        <f t="shared" si="269"/>
        <v>2019-LTK-FRD-F250-062-15</v>
      </c>
      <c r="AG2468" s="661" t="str">
        <f>IF(AND($Y2468&gt;=32,(AI2468="I"),(Y2468&lt;&gt;"~"),(COUNTIF($AN$1:$AN2468,$AN2468)=1)),"TRUE","FALSE")</f>
        <v>FALSE</v>
      </c>
      <c r="AH2468" s="661" t="str">
        <f>IF(AND($Y2468&gt;=22, (AI2468&lt;&gt;"I"),(Y2468&lt;&gt;"~"),(COUNTIF($AN$1:$AN2468,$AN2468)=1)),"TRUE","FALSE")</f>
        <v>FALSE</v>
      </c>
      <c r="AI2468" s="661" t="str">
        <f t="shared" si="271"/>
        <v>II</v>
      </c>
      <c r="AJ2468" s="662" t="str">
        <f t="shared" si="265"/>
        <v>F250-062</v>
      </c>
      <c r="AK2468" s="662" t="str">
        <f t="shared" si="266"/>
        <v>LTK</v>
      </c>
      <c r="AL2468" s="662" t="str">
        <f t="shared" si="267"/>
        <v>FRD</v>
      </c>
      <c r="AM2468" s="662" t="str">
        <f t="shared" si="270"/>
        <v>F250-Super Cab XL-4WD-6-8'-12400-6.2L FFV-8-X2B-600A-164-34-E85-Unleaded</v>
      </c>
      <c r="AN2468" s="662" t="str">
        <f t="shared" si="268"/>
        <v>2019-LTK-FRD-F250-062</v>
      </c>
    </row>
    <row r="2469" spans="1:40" s="572" customFormat="1" ht="15">
      <c r="A2469" s="570" t="s">
        <v>4439</v>
      </c>
      <c r="B2469" s="573" t="s">
        <v>4432</v>
      </c>
      <c r="C2469" s="573" t="s">
        <v>278</v>
      </c>
      <c r="D2469" s="578">
        <v>15</v>
      </c>
      <c r="E2469" s="573" t="s">
        <v>3374</v>
      </c>
      <c r="F2469" s="573" t="s">
        <v>196</v>
      </c>
      <c r="G2469" s="573" t="s">
        <v>271</v>
      </c>
      <c r="H2469" s="573">
        <v>2019</v>
      </c>
      <c r="I2469" s="573" t="s">
        <v>4229</v>
      </c>
      <c r="J2469" s="573" t="s">
        <v>3996</v>
      </c>
      <c r="K2469" s="573" t="s">
        <v>752</v>
      </c>
      <c r="L2469" s="573">
        <v>6</v>
      </c>
      <c r="M2469" s="573">
        <v>0</v>
      </c>
      <c r="N2469" s="573" t="s">
        <v>157</v>
      </c>
      <c r="O2469" s="573">
        <v>2</v>
      </c>
      <c r="P2469" s="573" t="s">
        <v>3846</v>
      </c>
      <c r="Q2469" s="571">
        <v>12400</v>
      </c>
      <c r="R2469" s="573" t="s">
        <v>4231</v>
      </c>
      <c r="S2469" s="573">
        <v>8</v>
      </c>
      <c r="T2469" s="573" t="s">
        <v>4426</v>
      </c>
      <c r="U2469" s="573" t="s">
        <v>366</v>
      </c>
      <c r="V2469" s="573">
        <v>164</v>
      </c>
      <c r="W2469" s="573">
        <v>35</v>
      </c>
      <c r="X2469" s="571">
        <v>10000</v>
      </c>
      <c r="Y2469" s="573">
        <v>14</v>
      </c>
      <c r="Z2469" s="579" t="s">
        <v>728</v>
      </c>
      <c r="AA2469" s="579" t="s">
        <v>1523</v>
      </c>
      <c r="AB2469" s="584">
        <v>49105</v>
      </c>
      <c r="AC2469" s="584" t="s">
        <v>164</v>
      </c>
      <c r="AD2469" s="584">
        <v>36700</v>
      </c>
      <c r="AE2469" s="586">
        <v>0.01</v>
      </c>
      <c r="AF2469" s="661" t="str">
        <f t="shared" si="269"/>
        <v>2019-LTK-FRD-F250-063-15</v>
      </c>
      <c r="AG2469" s="661" t="str">
        <f>IF(AND($Y2469&gt;=32,(AI2469="I"),(Y2469&lt;&gt;"~"),(COUNTIF($AN$1:$AN2469,$AN2469)=1)),"TRUE","FALSE")</f>
        <v>FALSE</v>
      </c>
      <c r="AH2469" s="661" t="str">
        <f>IF(AND($Y2469&gt;=22, (AI2469&lt;&gt;"I"),(Y2469&lt;&gt;"~"),(COUNTIF($AN$1:$AN2469,$AN2469)=1)),"TRUE","FALSE")</f>
        <v>FALSE</v>
      </c>
      <c r="AI2469" s="661" t="str">
        <f t="shared" si="271"/>
        <v>II</v>
      </c>
      <c r="AJ2469" s="662" t="str">
        <f t="shared" si="265"/>
        <v>F250-063</v>
      </c>
      <c r="AK2469" s="662" t="str">
        <f t="shared" si="266"/>
        <v>LTK</v>
      </c>
      <c r="AL2469" s="662" t="str">
        <f t="shared" si="267"/>
        <v>FRD</v>
      </c>
      <c r="AM2469" s="662" t="str">
        <f t="shared" si="270"/>
        <v>F250-Super Cab XL-4WD-6-8'-12400-6.7L Diesel-8-X2B-600A-164-35-Diesel-BioDiesel</v>
      </c>
      <c r="AN2469" s="662" t="str">
        <f t="shared" si="268"/>
        <v>2019-LTK-FRD-F250-063</v>
      </c>
    </row>
    <row r="2470" spans="1:40" s="572" customFormat="1" ht="15">
      <c r="A2470" s="570" t="s">
        <v>4440</v>
      </c>
      <c r="B2470" s="569" t="s">
        <v>4425</v>
      </c>
      <c r="C2470" s="569" t="s">
        <v>287</v>
      </c>
      <c r="D2470" s="580">
        <v>26</v>
      </c>
      <c r="E2470" s="569" t="s">
        <v>3374</v>
      </c>
      <c r="F2470" s="569" t="s">
        <v>196</v>
      </c>
      <c r="G2470" s="569" t="s">
        <v>271</v>
      </c>
      <c r="H2470" s="569">
        <v>2019</v>
      </c>
      <c r="I2470" s="569" t="s">
        <v>4229</v>
      </c>
      <c r="J2470" s="569" t="s">
        <v>3996</v>
      </c>
      <c r="K2470" s="569" t="s">
        <v>752</v>
      </c>
      <c r="L2470" s="569">
        <v>6</v>
      </c>
      <c r="M2470" s="569">
        <v>0</v>
      </c>
      <c r="N2470" s="569" t="s">
        <v>157</v>
      </c>
      <c r="O2470" s="569">
        <v>2</v>
      </c>
      <c r="P2470" s="569" t="s">
        <v>4230</v>
      </c>
      <c r="Q2470" s="568">
        <v>12400</v>
      </c>
      <c r="R2470" s="569" t="s">
        <v>4235</v>
      </c>
      <c r="S2470" s="569">
        <v>8</v>
      </c>
      <c r="T2470" s="569" t="s">
        <v>4426</v>
      </c>
      <c r="U2470" s="569" t="s">
        <v>366</v>
      </c>
      <c r="V2470" s="569">
        <v>148</v>
      </c>
      <c r="W2470" s="569">
        <v>34</v>
      </c>
      <c r="X2470" s="568">
        <v>10000</v>
      </c>
      <c r="Y2470" s="573">
        <v>14</v>
      </c>
      <c r="Z2470" s="581" t="s">
        <v>450</v>
      </c>
      <c r="AA2470" s="581" t="s">
        <v>178</v>
      </c>
      <c r="AB2470" s="585">
        <v>39410</v>
      </c>
      <c r="AC2470" s="585" t="s">
        <v>164</v>
      </c>
      <c r="AD2470" s="585">
        <v>28343</v>
      </c>
      <c r="AE2470" s="587">
        <v>0.05</v>
      </c>
      <c r="AF2470" s="661" t="str">
        <f t="shared" si="269"/>
        <v>2019-LTK-FRD-F250-058-26</v>
      </c>
      <c r="AG2470" s="661" t="str">
        <f>IF(AND($Y2470&gt;=32,(AI2470="I"),(Y2470&lt;&gt;"~"),(COUNTIF($AN$1:$AN2470,$AN2470)=1)),"TRUE","FALSE")</f>
        <v>FALSE</v>
      </c>
      <c r="AH2470" s="661" t="str">
        <f>IF(AND($Y2470&gt;=22, (AI2470&lt;&gt;"I"),(Y2470&lt;&gt;"~"),(COUNTIF($AN$1:$AN2470,$AN2470)=1)),"TRUE","FALSE")</f>
        <v>FALSE</v>
      </c>
      <c r="AI2470" s="661" t="str">
        <f t="shared" si="271"/>
        <v>II</v>
      </c>
      <c r="AJ2470" s="662" t="str">
        <f t="shared" si="265"/>
        <v>F250-058</v>
      </c>
      <c r="AK2470" s="662" t="str">
        <f t="shared" si="266"/>
        <v>LTK</v>
      </c>
      <c r="AL2470" s="662" t="str">
        <f t="shared" si="267"/>
        <v>FRD</v>
      </c>
      <c r="AM2470" s="662" t="str">
        <f t="shared" si="270"/>
        <v>F250-Super Cab XL-4WD-6-6'9"-12400-6.2L FFV-8-X2B-600A-148-34-E85-Unleaded</v>
      </c>
      <c r="AN2470" s="662" t="str">
        <f t="shared" si="268"/>
        <v>2019-LTK-FRD-F250-058</v>
      </c>
    </row>
    <row r="2471" spans="1:40" s="572" customFormat="1" ht="15">
      <c r="A2471" s="570" t="s">
        <v>4441</v>
      </c>
      <c r="B2471" s="573" t="s">
        <v>4428</v>
      </c>
      <c r="C2471" s="573" t="s">
        <v>287</v>
      </c>
      <c r="D2471" s="578">
        <v>26</v>
      </c>
      <c r="E2471" s="573" t="s">
        <v>3374</v>
      </c>
      <c r="F2471" s="573" t="s">
        <v>196</v>
      </c>
      <c r="G2471" s="573" t="s">
        <v>271</v>
      </c>
      <c r="H2471" s="573">
        <v>2019</v>
      </c>
      <c r="I2471" s="573" t="s">
        <v>4229</v>
      </c>
      <c r="J2471" s="573" t="s">
        <v>3996</v>
      </c>
      <c r="K2471" s="573" t="s">
        <v>752</v>
      </c>
      <c r="L2471" s="573">
        <v>6</v>
      </c>
      <c r="M2471" s="573">
        <v>0</v>
      </c>
      <c r="N2471" s="573" t="s">
        <v>157</v>
      </c>
      <c r="O2471" s="573">
        <v>2</v>
      </c>
      <c r="P2471" s="573" t="s">
        <v>4230</v>
      </c>
      <c r="Q2471" s="571">
        <v>12400</v>
      </c>
      <c r="R2471" s="573" t="s">
        <v>4231</v>
      </c>
      <c r="S2471" s="573">
        <v>8</v>
      </c>
      <c r="T2471" s="573" t="s">
        <v>4426</v>
      </c>
      <c r="U2471" s="573" t="s">
        <v>366</v>
      </c>
      <c r="V2471" s="573">
        <v>148</v>
      </c>
      <c r="W2471" s="573">
        <v>35</v>
      </c>
      <c r="X2471" s="571">
        <v>10000</v>
      </c>
      <c r="Y2471" s="573">
        <v>14</v>
      </c>
      <c r="Z2471" s="579" t="s">
        <v>728</v>
      </c>
      <c r="AA2471" s="579" t="s">
        <v>1523</v>
      </c>
      <c r="AB2471" s="584">
        <v>48405</v>
      </c>
      <c r="AC2471" s="584" t="s">
        <v>164</v>
      </c>
      <c r="AD2471" s="584">
        <v>36537</v>
      </c>
      <c r="AE2471" s="586">
        <v>0.05</v>
      </c>
      <c r="AF2471" s="661" t="str">
        <f t="shared" si="269"/>
        <v>2019-LTK-FRD-F250-059-26</v>
      </c>
      <c r="AG2471" s="661" t="str">
        <f>IF(AND($Y2471&gt;=32,(AI2471="I"),(Y2471&lt;&gt;"~"),(COUNTIF($AN$1:$AN2471,$AN2471)=1)),"TRUE","FALSE")</f>
        <v>FALSE</v>
      </c>
      <c r="AH2471" s="661" t="str">
        <f>IF(AND($Y2471&gt;=22, (AI2471&lt;&gt;"I"),(Y2471&lt;&gt;"~"),(COUNTIF($AN$1:$AN2471,$AN2471)=1)),"TRUE","FALSE")</f>
        <v>FALSE</v>
      </c>
      <c r="AI2471" s="661" t="str">
        <f t="shared" si="271"/>
        <v>II</v>
      </c>
      <c r="AJ2471" s="662" t="str">
        <f t="shared" si="265"/>
        <v>F250-059</v>
      </c>
      <c r="AK2471" s="662" t="str">
        <f t="shared" si="266"/>
        <v>LTK</v>
      </c>
      <c r="AL2471" s="662" t="str">
        <f t="shared" si="267"/>
        <v>FRD</v>
      </c>
      <c r="AM2471" s="662" t="str">
        <f t="shared" si="270"/>
        <v>F250-Super Cab XL-4WD-6-6'9"-12400-6.7L Diesel-8-X2B-600A-148-35-Diesel-BioDiesel</v>
      </c>
      <c r="AN2471" s="662" t="str">
        <f t="shared" si="268"/>
        <v>2019-LTK-FRD-F250-059</v>
      </c>
    </row>
    <row r="2472" spans="1:40" s="572" customFormat="1" ht="15">
      <c r="A2472" s="570" t="s">
        <v>4442</v>
      </c>
      <c r="B2472" s="569" t="s">
        <v>4438</v>
      </c>
      <c r="C2472" s="569" t="s">
        <v>287</v>
      </c>
      <c r="D2472" s="580">
        <v>26</v>
      </c>
      <c r="E2472" s="569" t="s">
        <v>3374</v>
      </c>
      <c r="F2472" s="569" t="s">
        <v>196</v>
      </c>
      <c r="G2472" s="569" t="s">
        <v>271</v>
      </c>
      <c r="H2472" s="569">
        <v>2019</v>
      </c>
      <c r="I2472" s="569" t="s">
        <v>4229</v>
      </c>
      <c r="J2472" s="569" t="s">
        <v>3996</v>
      </c>
      <c r="K2472" s="569" t="s">
        <v>752</v>
      </c>
      <c r="L2472" s="569">
        <v>6</v>
      </c>
      <c r="M2472" s="569">
        <v>0</v>
      </c>
      <c r="N2472" s="569" t="s">
        <v>157</v>
      </c>
      <c r="O2472" s="569">
        <v>2</v>
      </c>
      <c r="P2472" s="569" t="s">
        <v>3846</v>
      </c>
      <c r="Q2472" s="568">
        <v>12400</v>
      </c>
      <c r="R2472" s="569" t="s">
        <v>4235</v>
      </c>
      <c r="S2472" s="569">
        <v>8</v>
      </c>
      <c r="T2472" s="569" t="s">
        <v>4426</v>
      </c>
      <c r="U2472" s="569" t="s">
        <v>366</v>
      </c>
      <c r="V2472" s="569">
        <v>164</v>
      </c>
      <c r="W2472" s="569">
        <v>34</v>
      </c>
      <c r="X2472" s="568">
        <v>10000</v>
      </c>
      <c r="Y2472" s="573">
        <v>14</v>
      </c>
      <c r="Z2472" s="581" t="s">
        <v>450</v>
      </c>
      <c r="AA2472" s="581" t="s">
        <v>178</v>
      </c>
      <c r="AB2472" s="585">
        <v>39620</v>
      </c>
      <c r="AC2472" s="585" t="s">
        <v>164</v>
      </c>
      <c r="AD2472" s="585">
        <v>28540</v>
      </c>
      <c r="AE2472" s="587">
        <v>0.05</v>
      </c>
      <c r="AF2472" s="661" t="str">
        <f t="shared" si="269"/>
        <v>2019-LTK-FRD-F250-062-26</v>
      </c>
      <c r="AG2472" s="661" t="str">
        <f>IF(AND($Y2472&gt;=32,(AI2472="I"),(Y2472&lt;&gt;"~"),(COUNTIF($AN$1:$AN2472,$AN2472)=1)),"TRUE","FALSE")</f>
        <v>FALSE</v>
      </c>
      <c r="AH2472" s="661" t="str">
        <f>IF(AND($Y2472&gt;=22, (AI2472&lt;&gt;"I"),(Y2472&lt;&gt;"~"),(COUNTIF($AN$1:$AN2472,$AN2472)=1)),"TRUE","FALSE")</f>
        <v>FALSE</v>
      </c>
      <c r="AI2472" s="661" t="str">
        <f t="shared" si="271"/>
        <v>II</v>
      </c>
      <c r="AJ2472" s="662" t="str">
        <f t="shared" si="265"/>
        <v>F250-062</v>
      </c>
      <c r="AK2472" s="662" t="str">
        <f t="shared" si="266"/>
        <v>LTK</v>
      </c>
      <c r="AL2472" s="662" t="str">
        <f t="shared" si="267"/>
        <v>FRD</v>
      </c>
      <c r="AM2472" s="662" t="str">
        <f t="shared" si="270"/>
        <v>F250-Super Cab XL-4WD-6-8'-12400-6.2L FFV-8-X2B-600A-164-34-E85-Unleaded</v>
      </c>
      <c r="AN2472" s="662" t="str">
        <f t="shared" si="268"/>
        <v>2019-LTK-FRD-F250-062</v>
      </c>
    </row>
    <row r="2473" spans="1:40" s="572" customFormat="1" ht="15">
      <c r="A2473" s="570" t="s">
        <v>4443</v>
      </c>
      <c r="B2473" s="573" t="s">
        <v>4432</v>
      </c>
      <c r="C2473" s="573" t="s">
        <v>287</v>
      </c>
      <c r="D2473" s="578">
        <v>26</v>
      </c>
      <c r="E2473" s="573" t="s">
        <v>3374</v>
      </c>
      <c r="F2473" s="573" t="s">
        <v>196</v>
      </c>
      <c r="G2473" s="573" t="s">
        <v>271</v>
      </c>
      <c r="H2473" s="573">
        <v>2019</v>
      </c>
      <c r="I2473" s="573" t="s">
        <v>4229</v>
      </c>
      <c r="J2473" s="573" t="s">
        <v>3996</v>
      </c>
      <c r="K2473" s="573" t="s">
        <v>752</v>
      </c>
      <c r="L2473" s="573">
        <v>6</v>
      </c>
      <c r="M2473" s="573">
        <v>0</v>
      </c>
      <c r="N2473" s="573" t="s">
        <v>157</v>
      </c>
      <c r="O2473" s="573">
        <v>2</v>
      </c>
      <c r="P2473" s="573" t="s">
        <v>3846</v>
      </c>
      <c r="Q2473" s="571">
        <v>12400</v>
      </c>
      <c r="R2473" s="573" t="s">
        <v>4231</v>
      </c>
      <c r="S2473" s="573">
        <v>8</v>
      </c>
      <c r="T2473" s="573" t="s">
        <v>4426</v>
      </c>
      <c r="U2473" s="573" t="s">
        <v>366</v>
      </c>
      <c r="V2473" s="573">
        <v>164</v>
      </c>
      <c r="W2473" s="573">
        <v>35</v>
      </c>
      <c r="X2473" s="571">
        <v>10000</v>
      </c>
      <c r="Y2473" s="573">
        <v>14</v>
      </c>
      <c r="Z2473" s="579" t="s">
        <v>728</v>
      </c>
      <c r="AA2473" s="579" t="s">
        <v>1523</v>
      </c>
      <c r="AB2473" s="584">
        <v>48615</v>
      </c>
      <c r="AC2473" s="584" t="s">
        <v>164</v>
      </c>
      <c r="AD2473" s="584">
        <v>37589</v>
      </c>
      <c r="AE2473" s="586">
        <v>0.05</v>
      </c>
      <c r="AF2473" s="661" t="str">
        <f t="shared" si="269"/>
        <v>2019-LTK-FRD-F250-063-26</v>
      </c>
      <c r="AG2473" s="661" t="str">
        <f>IF(AND($Y2473&gt;=32,(AI2473="I"),(Y2473&lt;&gt;"~"),(COUNTIF($AN$1:$AN2473,$AN2473)=1)),"TRUE","FALSE")</f>
        <v>FALSE</v>
      </c>
      <c r="AH2473" s="661" t="str">
        <f>IF(AND($Y2473&gt;=22, (AI2473&lt;&gt;"I"),(Y2473&lt;&gt;"~"),(COUNTIF($AN$1:$AN2473,$AN2473)=1)),"TRUE","FALSE")</f>
        <v>FALSE</v>
      </c>
      <c r="AI2473" s="661" t="str">
        <f t="shared" si="271"/>
        <v>II</v>
      </c>
      <c r="AJ2473" s="662" t="str">
        <f t="shared" si="265"/>
        <v>F250-063</v>
      </c>
      <c r="AK2473" s="662" t="str">
        <f t="shared" si="266"/>
        <v>LTK</v>
      </c>
      <c r="AL2473" s="662" t="str">
        <f t="shared" si="267"/>
        <v>FRD</v>
      </c>
      <c r="AM2473" s="662" t="str">
        <f t="shared" si="270"/>
        <v>F250-Super Cab XL-4WD-6-8'-12400-6.7L Diesel-8-X2B-600A-164-35-Diesel-BioDiesel</v>
      </c>
      <c r="AN2473" s="662" t="str">
        <f t="shared" si="268"/>
        <v>2019-LTK-FRD-F250-063</v>
      </c>
    </row>
    <row r="2474" spans="1:40" s="572" customFormat="1" ht="15">
      <c r="A2474" s="570" t="s">
        <v>4444</v>
      </c>
      <c r="B2474" s="569" t="s">
        <v>4425</v>
      </c>
      <c r="C2474" s="569" t="s">
        <v>280</v>
      </c>
      <c r="D2474" s="580">
        <v>27</v>
      </c>
      <c r="E2474" s="569" t="s">
        <v>3374</v>
      </c>
      <c r="F2474" s="569" t="s">
        <v>196</v>
      </c>
      <c r="G2474" s="569" t="s">
        <v>271</v>
      </c>
      <c r="H2474" s="569">
        <v>2019</v>
      </c>
      <c r="I2474" s="569" t="s">
        <v>4229</v>
      </c>
      <c r="J2474" s="569" t="s">
        <v>3996</v>
      </c>
      <c r="K2474" s="569" t="s">
        <v>752</v>
      </c>
      <c r="L2474" s="569">
        <v>6</v>
      </c>
      <c r="M2474" s="569">
        <v>0</v>
      </c>
      <c r="N2474" s="569" t="s">
        <v>157</v>
      </c>
      <c r="O2474" s="569">
        <v>2</v>
      </c>
      <c r="P2474" s="569" t="s">
        <v>4230</v>
      </c>
      <c r="Q2474" s="568">
        <v>12400</v>
      </c>
      <c r="R2474" s="569" t="s">
        <v>4235</v>
      </c>
      <c r="S2474" s="569">
        <v>8</v>
      </c>
      <c r="T2474" s="569" t="s">
        <v>4426</v>
      </c>
      <c r="U2474" s="569" t="s">
        <v>366</v>
      </c>
      <c r="V2474" s="569">
        <v>148</v>
      </c>
      <c r="W2474" s="569">
        <v>34</v>
      </c>
      <c r="X2474" s="568">
        <v>10000</v>
      </c>
      <c r="Y2474" s="573">
        <v>14</v>
      </c>
      <c r="Z2474" s="581" t="s">
        <v>450</v>
      </c>
      <c r="AA2474" s="581" t="s">
        <v>178</v>
      </c>
      <c r="AB2474" s="585">
        <v>39410</v>
      </c>
      <c r="AC2474" s="585" t="s">
        <v>164</v>
      </c>
      <c r="AD2474" s="585">
        <v>27756.126315789475</v>
      </c>
      <c r="AE2474" s="587">
        <v>0.03</v>
      </c>
      <c r="AF2474" s="661" t="str">
        <f t="shared" si="269"/>
        <v>2019-LTK-FRD-F250-058-27</v>
      </c>
      <c r="AG2474" s="661" t="str">
        <f>IF(AND($Y2474&gt;=32,(AI2474="I"),(Y2474&lt;&gt;"~"),(COUNTIF($AN$1:$AN2474,$AN2474)=1)),"TRUE","FALSE")</f>
        <v>FALSE</v>
      </c>
      <c r="AH2474" s="661" t="str">
        <f>IF(AND($Y2474&gt;=22, (AI2474&lt;&gt;"I"),(Y2474&lt;&gt;"~"),(COUNTIF($AN$1:$AN2474,$AN2474)=1)),"TRUE","FALSE")</f>
        <v>FALSE</v>
      </c>
      <c r="AI2474" s="661" t="str">
        <f t="shared" si="271"/>
        <v>II</v>
      </c>
      <c r="AJ2474" s="662" t="str">
        <f t="shared" si="265"/>
        <v>F250-058</v>
      </c>
      <c r="AK2474" s="662" t="str">
        <f t="shared" si="266"/>
        <v>LTK</v>
      </c>
      <c r="AL2474" s="662" t="str">
        <f t="shared" si="267"/>
        <v>FRD</v>
      </c>
      <c r="AM2474" s="662" t="str">
        <f t="shared" si="270"/>
        <v>F250-Super Cab XL-4WD-6-6'9"-12400-6.2L FFV-8-X2B-600A-148-34-E85-Unleaded</v>
      </c>
      <c r="AN2474" s="662" t="str">
        <f t="shared" si="268"/>
        <v>2019-LTK-FRD-F250-058</v>
      </c>
    </row>
    <row r="2475" spans="1:40" s="572" customFormat="1" ht="15">
      <c r="A2475" s="570" t="s">
        <v>4445</v>
      </c>
      <c r="B2475" s="573" t="s">
        <v>4428</v>
      </c>
      <c r="C2475" s="573" t="s">
        <v>280</v>
      </c>
      <c r="D2475" s="578">
        <v>27</v>
      </c>
      <c r="E2475" s="573" t="s">
        <v>3374</v>
      </c>
      <c r="F2475" s="573" t="s">
        <v>196</v>
      </c>
      <c r="G2475" s="573" t="s">
        <v>271</v>
      </c>
      <c r="H2475" s="573">
        <v>2019</v>
      </c>
      <c r="I2475" s="573" t="s">
        <v>4229</v>
      </c>
      <c r="J2475" s="573" t="s">
        <v>3996</v>
      </c>
      <c r="K2475" s="573" t="s">
        <v>752</v>
      </c>
      <c r="L2475" s="573">
        <v>6</v>
      </c>
      <c r="M2475" s="573">
        <v>0</v>
      </c>
      <c r="N2475" s="573" t="s">
        <v>157</v>
      </c>
      <c r="O2475" s="573">
        <v>2</v>
      </c>
      <c r="P2475" s="573" t="s">
        <v>4230</v>
      </c>
      <c r="Q2475" s="571">
        <v>12400</v>
      </c>
      <c r="R2475" s="573" t="s">
        <v>4231</v>
      </c>
      <c r="S2475" s="573">
        <v>8</v>
      </c>
      <c r="T2475" s="573" t="s">
        <v>4426</v>
      </c>
      <c r="U2475" s="573" t="s">
        <v>366</v>
      </c>
      <c r="V2475" s="573">
        <v>148</v>
      </c>
      <c r="W2475" s="573">
        <v>34</v>
      </c>
      <c r="X2475" s="571">
        <v>10000</v>
      </c>
      <c r="Y2475" s="573">
        <v>14</v>
      </c>
      <c r="Z2475" s="579" t="s">
        <v>728</v>
      </c>
      <c r="AA2475" s="579" t="s">
        <v>1523</v>
      </c>
      <c r="AB2475" s="584">
        <v>48895</v>
      </c>
      <c r="AC2475" s="584" t="s">
        <v>164</v>
      </c>
      <c r="AD2475" s="584">
        <v>36313.26315789474</v>
      </c>
      <c r="AE2475" s="586">
        <v>0.03</v>
      </c>
      <c r="AF2475" s="661" t="str">
        <f t="shared" si="269"/>
        <v>2019-LTK-FRD-F250-059-27</v>
      </c>
      <c r="AG2475" s="661" t="str">
        <f>IF(AND($Y2475&gt;=32,(AI2475="I"),(Y2475&lt;&gt;"~"),(COUNTIF($AN$1:$AN2475,$AN2475)=1)),"TRUE","FALSE")</f>
        <v>FALSE</v>
      </c>
      <c r="AH2475" s="661" t="str">
        <f>IF(AND($Y2475&gt;=22, (AI2475&lt;&gt;"I"),(Y2475&lt;&gt;"~"),(COUNTIF($AN$1:$AN2475,$AN2475)=1)),"TRUE","FALSE")</f>
        <v>FALSE</v>
      </c>
      <c r="AI2475" s="661" t="str">
        <f t="shared" si="271"/>
        <v>II</v>
      </c>
      <c r="AJ2475" s="662" t="str">
        <f t="shared" si="265"/>
        <v>F250-059</v>
      </c>
      <c r="AK2475" s="662" t="str">
        <f t="shared" si="266"/>
        <v>LTK</v>
      </c>
      <c r="AL2475" s="662" t="str">
        <f t="shared" si="267"/>
        <v>FRD</v>
      </c>
      <c r="AM2475" s="662" t="str">
        <f t="shared" si="270"/>
        <v>F250-Super Cab XL-4WD-6-6'9"-12400-6.7L Diesel-8-X2B-600A-148-34-Diesel-BioDiesel</v>
      </c>
      <c r="AN2475" s="662" t="str">
        <f t="shared" si="268"/>
        <v>2019-LTK-FRD-F250-059</v>
      </c>
    </row>
    <row r="2476" spans="1:40" s="572" customFormat="1" ht="15">
      <c r="A2476" s="570" t="s">
        <v>4446</v>
      </c>
      <c r="B2476" s="569" t="s">
        <v>4430</v>
      </c>
      <c r="C2476" s="569" t="s">
        <v>280</v>
      </c>
      <c r="D2476" s="580">
        <v>27</v>
      </c>
      <c r="E2476" s="569" t="s">
        <v>3374</v>
      </c>
      <c r="F2476" s="569" t="s">
        <v>196</v>
      </c>
      <c r="G2476" s="569" t="s">
        <v>271</v>
      </c>
      <c r="H2476" s="569">
        <v>2019</v>
      </c>
      <c r="I2476" s="569" t="s">
        <v>4229</v>
      </c>
      <c r="J2476" s="569" t="s">
        <v>3996</v>
      </c>
      <c r="K2476" s="569" t="s">
        <v>752</v>
      </c>
      <c r="L2476" s="569">
        <v>6</v>
      </c>
      <c r="M2476" s="569">
        <v>0</v>
      </c>
      <c r="N2476" s="569" t="s">
        <v>157</v>
      </c>
      <c r="O2476" s="569">
        <v>2</v>
      </c>
      <c r="P2476" s="569" t="s">
        <v>4230</v>
      </c>
      <c r="Q2476" s="568">
        <v>12600</v>
      </c>
      <c r="R2476" s="569" t="s">
        <v>4235</v>
      </c>
      <c r="S2476" s="569">
        <v>8</v>
      </c>
      <c r="T2476" s="569" t="s">
        <v>4426</v>
      </c>
      <c r="U2476" s="569" t="s">
        <v>366</v>
      </c>
      <c r="V2476" s="569">
        <v>148</v>
      </c>
      <c r="W2476" s="569">
        <v>34</v>
      </c>
      <c r="X2476" s="568">
        <v>10000</v>
      </c>
      <c r="Y2476" s="573">
        <v>14</v>
      </c>
      <c r="Z2476" s="581" t="s">
        <v>450</v>
      </c>
      <c r="AA2476" s="581" t="s">
        <v>178</v>
      </c>
      <c r="AB2476" s="585">
        <v>39410</v>
      </c>
      <c r="AC2476" s="585" t="s">
        <v>164</v>
      </c>
      <c r="AD2476" s="585">
        <v>27756.126315789475</v>
      </c>
      <c r="AE2476" s="587">
        <v>0.03</v>
      </c>
      <c r="AF2476" s="661" t="str">
        <f t="shared" si="269"/>
        <v>2019-LTK-FRD-F250-060-27</v>
      </c>
      <c r="AG2476" s="661" t="str">
        <f>IF(AND($Y2476&gt;=32,(AI2476="I"),(Y2476&lt;&gt;"~"),(COUNTIF($AN$1:$AN2476,$AN2476)=1)),"TRUE","FALSE")</f>
        <v>FALSE</v>
      </c>
      <c r="AH2476" s="661" t="str">
        <f>IF(AND($Y2476&gt;=22, (AI2476&lt;&gt;"I"),(Y2476&lt;&gt;"~"),(COUNTIF($AN$1:$AN2476,$AN2476)=1)),"TRUE","FALSE")</f>
        <v>FALSE</v>
      </c>
      <c r="AI2476" s="661" t="str">
        <f t="shared" si="271"/>
        <v>II</v>
      </c>
      <c r="AJ2476" s="662" t="str">
        <f t="shared" si="265"/>
        <v>F250-060</v>
      </c>
      <c r="AK2476" s="662" t="str">
        <f t="shared" si="266"/>
        <v>LTK</v>
      </c>
      <c r="AL2476" s="662" t="str">
        <f t="shared" si="267"/>
        <v>FRD</v>
      </c>
      <c r="AM2476" s="662" t="str">
        <f t="shared" si="270"/>
        <v>F250-Super Cab XL-4WD-6-6'9"-12600-6.2L FFV-8-X2B-600A-148-34-E85-Unleaded</v>
      </c>
      <c r="AN2476" s="662" t="str">
        <f t="shared" si="268"/>
        <v>2019-LTK-FRD-F250-060</v>
      </c>
    </row>
    <row r="2477" spans="1:40" s="572" customFormat="1" ht="15">
      <c r="A2477" s="570" t="s">
        <v>4447</v>
      </c>
      <c r="B2477" s="573" t="s">
        <v>4432</v>
      </c>
      <c r="C2477" s="573" t="s">
        <v>280</v>
      </c>
      <c r="D2477" s="578">
        <v>27</v>
      </c>
      <c r="E2477" s="573" t="s">
        <v>3374</v>
      </c>
      <c r="F2477" s="573" t="s">
        <v>196</v>
      </c>
      <c r="G2477" s="573" t="s">
        <v>271</v>
      </c>
      <c r="H2477" s="573">
        <v>2019</v>
      </c>
      <c r="I2477" s="573" t="s">
        <v>4229</v>
      </c>
      <c r="J2477" s="573" t="s">
        <v>3996</v>
      </c>
      <c r="K2477" s="573" t="s">
        <v>752</v>
      </c>
      <c r="L2477" s="573">
        <v>6</v>
      </c>
      <c r="M2477" s="573">
        <v>0</v>
      </c>
      <c r="N2477" s="573" t="s">
        <v>157</v>
      </c>
      <c r="O2477" s="573">
        <v>2</v>
      </c>
      <c r="P2477" s="573" t="s">
        <v>3846</v>
      </c>
      <c r="Q2477" s="571">
        <v>12400</v>
      </c>
      <c r="R2477" s="573" t="s">
        <v>4231</v>
      </c>
      <c r="S2477" s="573">
        <v>8</v>
      </c>
      <c r="T2477" s="573" t="s">
        <v>4426</v>
      </c>
      <c r="U2477" s="573" t="s">
        <v>366</v>
      </c>
      <c r="V2477" s="573">
        <v>164</v>
      </c>
      <c r="W2477" s="573">
        <v>34</v>
      </c>
      <c r="X2477" s="571">
        <v>10000</v>
      </c>
      <c r="Y2477" s="573">
        <v>14</v>
      </c>
      <c r="Z2477" s="579" t="s">
        <v>728</v>
      </c>
      <c r="AA2477" s="579" t="s">
        <v>1523</v>
      </c>
      <c r="AB2477" s="584">
        <v>49105</v>
      </c>
      <c r="AC2477" s="584" t="s">
        <v>164</v>
      </c>
      <c r="AD2477" s="584">
        <v>36508</v>
      </c>
      <c r="AE2477" s="586">
        <v>0.03</v>
      </c>
      <c r="AF2477" s="661" t="str">
        <f t="shared" si="269"/>
        <v>2019-LTK-FRD-F250-063-27</v>
      </c>
      <c r="AG2477" s="661" t="str">
        <f>IF(AND($Y2477&gt;=32,(AI2477="I"),(Y2477&lt;&gt;"~"),(COUNTIF($AN$1:$AN2477,$AN2477)=1)),"TRUE","FALSE")</f>
        <v>FALSE</v>
      </c>
      <c r="AH2477" s="661" t="str">
        <f>IF(AND($Y2477&gt;=22, (AI2477&lt;&gt;"I"),(Y2477&lt;&gt;"~"),(COUNTIF($AN$1:$AN2477,$AN2477)=1)),"TRUE","FALSE")</f>
        <v>FALSE</v>
      </c>
      <c r="AI2477" s="661" t="str">
        <f t="shared" si="271"/>
        <v>II</v>
      </c>
      <c r="AJ2477" s="662" t="str">
        <f t="shared" si="265"/>
        <v>F250-063</v>
      </c>
      <c r="AK2477" s="662" t="str">
        <f t="shared" si="266"/>
        <v>LTK</v>
      </c>
      <c r="AL2477" s="662" t="str">
        <f t="shared" si="267"/>
        <v>FRD</v>
      </c>
      <c r="AM2477" s="662" t="str">
        <f t="shared" si="270"/>
        <v>F250-Super Cab XL-4WD-6-8'-12400-6.7L Diesel-8-X2B-600A-164-34-Diesel-BioDiesel</v>
      </c>
      <c r="AN2477" s="662" t="str">
        <f t="shared" si="268"/>
        <v>2019-LTK-FRD-F250-063</v>
      </c>
    </row>
    <row r="2478" spans="1:40" s="572" customFormat="1" ht="15">
      <c r="A2478" s="570" t="s">
        <v>4448</v>
      </c>
      <c r="B2478" s="569" t="s">
        <v>4434</v>
      </c>
      <c r="C2478" s="569" t="s">
        <v>280</v>
      </c>
      <c r="D2478" s="580">
        <v>27</v>
      </c>
      <c r="E2478" s="569" t="s">
        <v>3374</v>
      </c>
      <c r="F2478" s="569" t="s">
        <v>196</v>
      </c>
      <c r="G2478" s="569" t="s">
        <v>271</v>
      </c>
      <c r="H2478" s="569">
        <v>2019</v>
      </c>
      <c r="I2478" s="569" t="s">
        <v>4229</v>
      </c>
      <c r="J2478" s="569" t="s">
        <v>3996</v>
      </c>
      <c r="K2478" s="569" t="s">
        <v>752</v>
      </c>
      <c r="L2478" s="569">
        <v>6</v>
      </c>
      <c r="M2478" s="569">
        <v>0</v>
      </c>
      <c r="N2478" s="569" t="s">
        <v>157</v>
      </c>
      <c r="O2478" s="569">
        <v>2</v>
      </c>
      <c r="P2478" s="569" t="s">
        <v>3846</v>
      </c>
      <c r="Q2478" s="568">
        <v>12600</v>
      </c>
      <c r="R2478" s="569" t="s">
        <v>4235</v>
      </c>
      <c r="S2478" s="569">
        <v>8</v>
      </c>
      <c r="T2478" s="569" t="s">
        <v>4426</v>
      </c>
      <c r="U2478" s="569" t="s">
        <v>366</v>
      </c>
      <c r="V2478" s="569">
        <v>164</v>
      </c>
      <c r="W2478" s="569">
        <v>34</v>
      </c>
      <c r="X2478" s="568">
        <v>10000</v>
      </c>
      <c r="Y2478" s="573">
        <v>14</v>
      </c>
      <c r="Z2478" s="581" t="s">
        <v>450</v>
      </c>
      <c r="AA2478" s="581" t="s">
        <v>178</v>
      </c>
      <c r="AB2478" s="585">
        <v>39620</v>
      </c>
      <c r="AC2478" s="585" t="s">
        <v>164</v>
      </c>
      <c r="AD2478" s="585">
        <v>27949.810526315792</v>
      </c>
      <c r="AE2478" s="587">
        <v>0.03</v>
      </c>
      <c r="AF2478" s="661" t="str">
        <f t="shared" si="269"/>
        <v>2019-LTK-FRD-F250-064-27</v>
      </c>
      <c r="AG2478" s="661" t="str">
        <f>IF(AND($Y2478&gt;=32,(AI2478="I"),(Y2478&lt;&gt;"~"),(COUNTIF($AN$1:$AN2478,$AN2478)=1)),"TRUE","FALSE")</f>
        <v>FALSE</v>
      </c>
      <c r="AH2478" s="661" t="str">
        <f>IF(AND($Y2478&gt;=22, (AI2478&lt;&gt;"I"),(Y2478&lt;&gt;"~"),(COUNTIF($AN$1:$AN2478,$AN2478)=1)),"TRUE","FALSE")</f>
        <v>FALSE</v>
      </c>
      <c r="AI2478" s="661" t="str">
        <f t="shared" si="271"/>
        <v>II</v>
      </c>
      <c r="AJ2478" s="662" t="str">
        <f t="shared" si="265"/>
        <v>F250-064</v>
      </c>
      <c r="AK2478" s="662" t="str">
        <f t="shared" si="266"/>
        <v>LTK</v>
      </c>
      <c r="AL2478" s="662" t="str">
        <f t="shared" si="267"/>
        <v>FRD</v>
      </c>
      <c r="AM2478" s="662" t="str">
        <f t="shared" si="270"/>
        <v>F250-Super Cab XL-4WD-6-8'-12600-6.2L FFV-8-X2B-600A-164-34-E85-Unleaded</v>
      </c>
      <c r="AN2478" s="662" t="str">
        <f t="shared" si="268"/>
        <v>2019-LTK-FRD-F250-064</v>
      </c>
    </row>
    <row r="2479" spans="1:40" s="572" customFormat="1" ht="15">
      <c r="A2479" s="570" t="s">
        <v>4449</v>
      </c>
      <c r="B2479" s="573" t="s">
        <v>4450</v>
      </c>
      <c r="C2479" s="573" t="s">
        <v>269</v>
      </c>
      <c r="D2479" s="578" t="s">
        <v>270</v>
      </c>
      <c r="E2479" s="573" t="s">
        <v>3374</v>
      </c>
      <c r="F2479" s="573" t="s">
        <v>196</v>
      </c>
      <c r="G2479" s="573" t="s">
        <v>271</v>
      </c>
      <c r="H2479" s="573">
        <v>2019</v>
      </c>
      <c r="I2479" s="573" t="s">
        <v>4229</v>
      </c>
      <c r="J2479" s="573" t="s">
        <v>4070</v>
      </c>
      <c r="K2479" s="573" t="s">
        <v>3377</v>
      </c>
      <c r="L2479" s="573">
        <v>6</v>
      </c>
      <c r="M2479" s="573">
        <v>0</v>
      </c>
      <c r="N2479" s="573" t="s">
        <v>157</v>
      </c>
      <c r="O2479" s="573">
        <v>2</v>
      </c>
      <c r="P2479" s="573" t="s">
        <v>4230</v>
      </c>
      <c r="Q2479" s="571">
        <v>12500</v>
      </c>
      <c r="R2479" s="573" t="s">
        <v>4235</v>
      </c>
      <c r="S2479" s="573">
        <v>8</v>
      </c>
      <c r="T2479" s="573" t="s">
        <v>4398</v>
      </c>
      <c r="U2479" s="573" t="s">
        <v>4283</v>
      </c>
      <c r="V2479" s="573">
        <v>148</v>
      </c>
      <c r="W2479" s="573">
        <v>34</v>
      </c>
      <c r="X2479" s="571">
        <v>10000</v>
      </c>
      <c r="Y2479" s="573">
        <v>15</v>
      </c>
      <c r="Z2479" s="579" t="s">
        <v>450</v>
      </c>
      <c r="AA2479" s="579" t="s">
        <v>178</v>
      </c>
      <c r="AB2479" s="584">
        <v>41075</v>
      </c>
      <c r="AC2479" s="584" t="s">
        <v>164</v>
      </c>
      <c r="AD2479" s="584">
        <v>29294.021052631579</v>
      </c>
      <c r="AE2479" s="586">
        <v>0.03</v>
      </c>
      <c r="AF2479" s="661" t="str">
        <f t="shared" si="269"/>
        <v>2019-LTK-FRD-F250-066-05</v>
      </c>
      <c r="AG2479" s="661" t="str">
        <f>IF(AND($Y2479&gt;=32,(AI2479="I"),(Y2479&lt;&gt;"~"),(COUNTIF($AN$1:$AN2479,$AN2479)=1)),"TRUE","FALSE")</f>
        <v>FALSE</v>
      </c>
      <c r="AH2479" s="661" t="str">
        <f>IF(AND($Y2479&gt;=22, (AI2479&lt;&gt;"I"),(Y2479&lt;&gt;"~"),(COUNTIF($AN$1:$AN2479,$AN2479)=1)),"TRUE","FALSE")</f>
        <v>FALSE</v>
      </c>
      <c r="AI2479" s="661" t="str">
        <f t="shared" si="271"/>
        <v>II</v>
      </c>
      <c r="AJ2479" s="662" t="str">
        <f t="shared" si="265"/>
        <v>F250-066</v>
      </c>
      <c r="AK2479" s="662" t="str">
        <f t="shared" si="266"/>
        <v>LTK</v>
      </c>
      <c r="AL2479" s="662" t="str">
        <f t="shared" si="267"/>
        <v>FRD</v>
      </c>
      <c r="AM2479" s="662" t="str">
        <f t="shared" si="270"/>
        <v>F250-Super Cab XLT-2WD-6-6'9"-12500-6.2L FFV-8-X2A-603A-148-34-E85-Unleaded</v>
      </c>
      <c r="AN2479" s="662" t="str">
        <f t="shared" si="268"/>
        <v>2019-LTK-FRD-F250-066</v>
      </c>
    </row>
    <row r="2480" spans="1:40" s="572" customFormat="1" ht="15">
      <c r="A2480" s="570" t="s">
        <v>4451</v>
      </c>
      <c r="B2480" s="569" t="s">
        <v>4452</v>
      </c>
      <c r="C2480" s="569" t="s">
        <v>269</v>
      </c>
      <c r="D2480" s="580" t="s">
        <v>270</v>
      </c>
      <c r="E2480" s="569" t="s">
        <v>3374</v>
      </c>
      <c r="F2480" s="569" t="s">
        <v>196</v>
      </c>
      <c r="G2480" s="569" t="s">
        <v>271</v>
      </c>
      <c r="H2480" s="569">
        <v>2019</v>
      </c>
      <c r="I2480" s="569" t="s">
        <v>4229</v>
      </c>
      <c r="J2480" s="569" t="s">
        <v>4070</v>
      </c>
      <c r="K2480" s="569" t="s">
        <v>3377</v>
      </c>
      <c r="L2480" s="569">
        <v>6</v>
      </c>
      <c r="M2480" s="569">
        <v>0</v>
      </c>
      <c r="N2480" s="569" t="s">
        <v>157</v>
      </c>
      <c r="O2480" s="569">
        <v>2</v>
      </c>
      <c r="P2480" s="569" t="s">
        <v>4230</v>
      </c>
      <c r="Q2480" s="568">
        <v>12500</v>
      </c>
      <c r="R2480" s="569" t="s">
        <v>4231</v>
      </c>
      <c r="S2480" s="569">
        <v>8</v>
      </c>
      <c r="T2480" s="569" t="s">
        <v>4398</v>
      </c>
      <c r="U2480" s="569" t="s">
        <v>4283</v>
      </c>
      <c r="V2480" s="569">
        <v>148</v>
      </c>
      <c r="W2480" s="569">
        <v>34</v>
      </c>
      <c r="X2480" s="568">
        <v>10000</v>
      </c>
      <c r="Y2480" s="573">
        <v>15</v>
      </c>
      <c r="Z2480" s="581" t="s">
        <v>728</v>
      </c>
      <c r="AA2480" s="581" t="s">
        <v>1523</v>
      </c>
      <c r="AB2480" s="585">
        <v>50645</v>
      </c>
      <c r="AC2480" s="585" t="s">
        <v>164</v>
      </c>
      <c r="AD2480" s="585">
        <v>37930.105263157893</v>
      </c>
      <c r="AE2480" s="587">
        <v>0.03</v>
      </c>
      <c r="AF2480" s="661" t="str">
        <f t="shared" si="269"/>
        <v>2019-LTK-FRD-F250-067-05</v>
      </c>
      <c r="AG2480" s="661" t="str">
        <f>IF(AND($Y2480&gt;=32,(AI2480="I"),(Y2480&lt;&gt;"~"),(COUNTIF($AN$1:$AN2480,$AN2480)=1)),"TRUE","FALSE")</f>
        <v>FALSE</v>
      </c>
      <c r="AH2480" s="661" t="str">
        <f>IF(AND($Y2480&gt;=22, (AI2480&lt;&gt;"I"),(Y2480&lt;&gt;"~"),(COUNTIF($AN$1:$AN2480,$AN2480)=1)),"TRUE","FALSE")</f>
        <v>FALSE</v>
      </c>
      <c r="AI2480" s="661" t="str">
        <f t="shared" si="271"/>
        <v>II</v>
      </c>
      <c r="AJ2480" s="662" t="str">
        <f t="shared" si="265"/>
        <v>F250-067</v>
      </c>
      <c r="AK2480" s="662" t="str">
        <f t="shared" si="266"/>
        <v>LTK</v>
      </c>
      <c r="AL2480" s="662" t="str">
        <f t="shared" si="267"/>
        <v>FRD</v>
      </c>
      <c r="AM2480" s="662" t="str">
        <f t="shared" si="270"/>
        <v>F250-Super Cab XLT-2WD-6-6'9"-12500-6.7L Diesel-8-X2A-603A-148-34-Diesel-BioDiesel</v>
      </c>
      <c r="AN2480" s="662" t="str">
        <f t="shared" si="268"/>
        <v>2019-LTK-FRD-F250-067</v>
      </c>
    </row>
    <row r="2481" spans="1:40" s="572" customFormat="1" ht="15">
      <c r="A2481" s="570" t="s">
        <v>4453</v>
      </c>
      <c r="B2481" s="573" t="s">
        <v>4454</v>
      </c>
      <c r="C2481" s="573" t="s">
        <v>269</v>
      </c>
      <c r="D2481" s="578" t="s">
        <v>270</v>
      </c>
      <c r="E2481" s="573" t="s">
        <v>3374</v>
      </c>
      <c r="F2481" s="573" t="s">
        <v>196</v>
      </c>
      <c r="G2481" s="573" t="s">
        <v>271</v>
      </c>
      <c r="H2481" s="573">
        <v>2019</v>
      </c>
      <c r="I2481" s="573" t="s">
        <v>4229</v>
      </c>
      <c r="J2481" s="573" t="s">
        <v>4070</v>
      </c>
      <c r="K2481" s="573" t="s">
        <v>3377</v>
      </c>
      <c r="L2481" s="573">
        <v>6</v>
      </c>
      <c r="M2481" s="573">
        <v>0</v>
      </c>
      <c r="N2481" s="573" t="s">
        <v>157</v>
      </c>
      <c r="O2481" s="573">
        <v>2</v>
      </c>
      <c r="P2481" s="573" t="s">
        <v>4230</v>
      </c>
      <c r="Q2481" s="571">
        <v>13000</v>
      </c>
      <c r="R2481" s="573" t="s">
        <v>4235</v>
      </c>
      <c r="S2481" s="573">
        <v>8</v>
      </c>
      <c r="T2481" s="573" t="s">
        <v>4398</v>
      </c>
      <c r="U2481" s="573" t="s">
        <v>4283</v>
      </c>
      <c r="V2481" s="573">
        <v>148</v>
      </c>
      <c r="W2481" s="573">
        <v>34</v>
      </c>
      <c r="X2481" s="571">
        <v>10000</v>
      </c>
      <c r="Y2481" s="573">
        <v>15</v>
      </c>
      <c r="Z2481" s="579" t="s">
        <v>450</v>
      </c>
      <c r="AA2481" s="579" t="s">
        <v>178</v>
      </c>
      <c r="AB2481" s="584">
        <v>41075</v>
      </c>
      <c r="AC2481" s="584" t="s">
        <v>164</v>
      </c>
      <c r="AD2481" s="584">
        <v>29294.021052631579</v>
      </c>
      <c r="AE2481" s="586">
        <v>0.03</v>
      </c>
      <c r="AF2481" s="661" t="str">
        <f t="shared" si="269"/>
        <v>2019-LTK-FRD-F250-068-05</v>
      </c>
      <c r="AG2481" s="661" t="str">
        <f>IF(AND($Y2481&gt;=32,(AI2481="I"),(Y2481&lt;&gt;"~"),(COUNTIF($AN$1:$AN2481,$AN2481)=1)),"TRUE","FALSE")</f>
        <v>FALSE</v>
      </c>
      <c r="AH2481" s="661" t="str">
        <f>IF(AND($Y2481&gt;=22, (AI2481&lt;&gt;"I"),(Y2481&lt;&gt;"~"),(COUNTIF($AN$1:$AN2481,$AN2481)=1)),"TRUE","FALSE")</f>
        <v>FALSE</v>
      </c>
      <c r="AI2481" s="661" t="str">
        <f t="shared" si="271"/>
        <v>II</v>
      </c>
      <c r="AJ2481" s="662" t="str">
        <f t="shared" si="265"/>
        <v>F250-068</v>
      </c>
      <c r="AK2481" s="662" t="str">
        <f t="shared" si="266"/>
        <v>LTK</v>
      </c>
      <c r="AL2481" s="662" t="str">
        <f t="shared" si="267"/>
        <v>FRD</v>
      </c>
      <c r="AM2481" s="662" t="str">
        <f t="shared" si="270"/>
        <v>F250-Super Cab XLT-2WD-6-6'9"-13000-6.2L FFV-8-X2A-603A-148-34-E85-Unleaded</v>
      </c>
      <c r="AN2481" s="662" t="str">
        <f t="shared" si="268"/>
        <v>2019-LTK-FRD-F250-068</v>
      </c>
    </row>
    <row r="2482" spans="1:40" s="572" customFormat="1" ht="15">
      <c r="A2482" s="570" t="s">
        <v>4455</v>
      </c>
      <c r="B2482" s="569" t="s">
        <v>4456</v>
      </c>
      <c r="C2482" s="569" t="s">
        <v>269</v>
      </c>
      <c r="D2482" s="580" t="s">
        <v>270</v>
      </c>
      <c r="E2482" s="569" t="s">
        <v>3374</v>
      </c>
      <c r="F2482" s="569" t="s">
        <v>196</v>
      </c>
      <c r="G2482" s="569" t="s">
        <v>271</v>
      </c>
      <c r="H2482" s="569">
        <v>2019</v>
      </c>
      <c r="I2482" s="569" t="s">
        <v>4229</v>
      </c>
      <c r="J2482" s="569" t="s">
        <v>4070</v>
      </c>
      <c r="K2482" s="569" t="s">
        <v>3377</v>
      </c>
      <c r="L2482" s="569">
        <v>6</v>
      </c>
      <c r="M2482" s="569">
        <v>0</v>
      </c>
      <c r="N2482" s="569" t="s">
        <v>157</v>
      </c>
      <c r="O2482" s="569">
        <v>2</v>
      </c>
      <c r="P2482" s="569" t="s">
        <v>3846</v>
      </c>
      <c r="Q2482" s="568">
        <v>12500</v>
      </c>
      <c r="R2482" s="569" t="s">
        <v>4235</v>
      </c>
      <c r="S2482" s="569">
        <v>8</v>
      </c>
      <c r="T2482" s="569" t="s">
        <v>4398</v>
      </c>
      <c r="U2482" s="569" t="s">
        <v>4283</v>
      </c>
      <c r="V2482" s="569">
        <v>164</v>
      </c>
      <c r="W2482" s="569">
        <v>34</v>
      </c>
      <c r="X2482" s="568">
        <v>10000</v>
      </c>
      <c r="Y2482" s="573">
        <v>15</v>
      </c>
      <c r="Z2482" s="581" t="s">
        <v>450</v>
      </c>
      <c r="AA2482" s="581" t="s">
        <v>178</v>
      </c>
      <c r="AB2482" s="585">
        <v>41275</v>
      </c>
      <c r="AC2482" s="585" t="s">
        <v>164</v>
      </c>
      <c r="AD2482" s="585">
        <v>29479.284210526315</v>
      </c>
      <c r="AE2482" s="587">
        <v>0.03</v>
      </c>
      <c r="AF2482" s="661" t="str">
        <f t="shared" si="269"/>
        <v>2019-LTK-FRD-F250-070-05</v>
      </c>
      <c r="AG2482" s="661" t="str">
        <f>IF(AND($Y2482&gt;=32,(AI2482="I"),(Y2482&lt;&gt;"~"),(COUNTIF($AN$1:$AN2482,$AN2482)=1)),"TRUE","FALSE")</f>
        <v>FALSE</v>
      </c>
      <c r="AH2482" s="661" t="str">
        <f>IF(AND($Y2482&gt;=22, (AI2482&lt;&gt;"I"),(Y2482&lt;&gt;"~"),(COUNTIF($AN$1:$AN2482,$AN2482)=1)),"TRUE","FALSE")</f>
        <v>FALSE</v>
      </c>
      <c r="AI2482" s="661" t="str">
        <f t="shared" si="271"/>
        <v>II</v>
      </c>
      <c r="AJ2482" s="662" t="str">
        <f t="shared" si="265"/>
        <v>F250-070</v>
      </c>
      <c r="AK2482" s="662" t="str">
        <f t="shared" si="266"/>
        <v>LTK</v>
      </c>
      <c r="AL2482" s="662" t="str">
        <f t="shared" si="267"/>
        <v>FRD</v>
      </c>
      <c r="AM2482" s="662" t="str">
        <f t="shared" si="270"/>
        <v>F250-Super Cab XLT-2WD-6-8'-12500-6.2L FFV-8-X2A-603A-164-34-E85-Unleaded</v>
      </c>
      <c r="AN2482" s="662" t="str">
        <f t="shared" si="268"/>
        <v>2019-LTK-FRD-F250-070</v>
      </c>
    </row>
    <row r="2483" spans="1:40" s="572" customFormat="1" ht="15">
      <c r="A2483" s="570" t="s">
        <v>4457</v>
      </c>
      <c r="B2483" s="573" t="s">
        <v>4458</v>
      </c>
      <c r="C2483" s="573" t="s">
        <v>269</v>
      </c>
      <c r="D2483" s="578" t="s">
        <v>270</v>
      </c>
      <c r="E2483" s="573" t="s">
        <v>3374</v>
      </c>
      <c r="F2483" s="573" t="s">
        <v>196</v>
      </c>
      <c r="G2483" s="573" t="s">
        <v>271</v>
      </c>
      <c r="H2483" s="573">
        <v>2019</v>
      </c>
      <c r="I2483" s="573" t="s">
        <v>4229</v>
      </c>
      <c r="J2483" s="573" t="s">
        <v>4070</v>
      </c>
      <c r="K2483" s="573" t="s">
        <v>3377</v>
      </c>
      <c r="L2483" s="573">
        <v>6</v>
      </c>
      <c r="M2483" s="573">
        <v>0</v>
      </c>
      <c r="N2483" s="573" t="s">
        <v>157</v>
      </c>
      <c r="O2483" s="573">
        <v>2</v>
      </c>
      <c r="P2483" s="573" t="s">
        <v>3846</v>
      </c>
      <c r="Q2483" s="571">
        <v>12500</v>
      </c>
      <c r="R2483" s="573" t="s">
        <v>4231</v>
      </c>
      <c r="S2483" s="573">
        <v>8</v>
      </c>
      <c r="T2483" s="573" t="s">
        <v>4398</v>
      </c>
      <c r="U2483" s="573" t="s">
        <v>4283</v>
      </c>
      <c r="V2483" s="573">
        <v>164</v>
      </c>
      <c r="W2483" s="573">
        <v>34</v>
      </c>
      <c r="X2483" s="571">
        <v>10000</v>
      </c>
      <c r="Y2483" s="573">
        <v>15</v>
      </c>
      <c r="Z2483" s="579" t="s">
        <v>728</v>
      </c>
      <c r="AA2483" s="579" t="s">
        <v>1523</v>
      </c>
      <c r="AB2483" s="584">
        <v>50845</v>
      </c>
      <c r="AC2483" s="584" t="s">
        <v>164</v>
      </c>
      <c r="AD2483" s="584">
        <v>38115.368421052633</v>
      </c>
      <c r="AE2483" s="586">
        <v>0.03</v>
      </c>
      <c r="AF2483" s="661" t="str">
        <f t="shared" si="269"/>
        <v>2019-LTK-FRD-F250-071-05</v>
      </c>
      <c r="AG2483" s="661" t="str">
        <f>IF(AND($Y2483&gt;=32,(AI2483="I"),(Y2483&lt;&gt;"~"),(COUNTIF($AN$1:$AN2483,$AN2483)=1)),"TRUE","FALSE")</f>
        <v>FALSE</v>
      </c>
      <c r="AH2483" s="661" t="str">
        <f>IF(AND($Y2483&gt;=22, (AI2483&lt;&gt;"I"),(Y2483&lt;&gt;"~"),(COUNTIF($AN$1:$AN2483,$AN2483)=1)),"TRUE","FALSE")</f>
        <v>FALSE</v>
      </c>
      <c r="AI2483" s="661" t="str">
        <f t="shared" si="271"/>
        <v>II</v>
      </c>
      <c r="AJ2483" s="662" t="str">
        <f t="shared" si="265"/>
        <v>F250-071</v>
      </c>
      <c r="AK2483" s="662" t="str">
        <f t="shared" si="266"/>
        <v>LTK</v>
      </c>
      <c r="AL2483" s="662" t="str">
        <f t="shared" si="267"/>
        <v>FRD</v>
      </c>
      <c r="AM2483" s="662" t="str">
        <f t="shared" si="270"/>
        <v>F250-Super Cab XLT-2WD-6-8'-12500-6.7L Diesel-8-X2A-603A-164-34-Diesel-BioDiesel</v>
      </c>
      <c r="AN2483" s="662" t="str">
        <f t="shared" si="268"/>
        <v>2019-LTK-FRD-F250-071</v>
      </c>
    </row>
    <row r="2484" spans="1:40" s="572" customFormat="1" ht="15">
      <c r="A2484" s="570" t="s">
        <v>4459</v>
      </c>
      <c r="B2484" s="569" t="s">
        <v>4460</v>
      </c>
      <c r="C2484" s="569" t="s">
        <v>269</v>
      </c>
      <c r="D2484" s="580" t="s">
        <v>270</v>
      </c>
      <c r="E2484" s="569" t="s">
        <v>3374</v>
      </c>
      <c r="F2484" s="569" t="s">
        <v>196</v>
      </c>
      <c r="G2484" s="569" t="s">
        <v>271</v>
      </c>
      <c r="H2484" s="569">
        <v>2019</v>
      </c>
      <c r="I2484" s="569" t="s">
        <v>4229</v>
      </c>
      <c r="J2484" s="569" t="s">
        <v>4070</v>
      </c>
      <c r="K2484" s="569" t="s">
        <v>3377</v>
      </c>
      <c r="L2484" s="569">
        <v>6</v>
      </c>
      <c r="M2484" s="569">
        <v>0</v>
      </c>
      <c r="N2484" s="569" t="s">
        <v>157</v>
      </c>
      <c r="O2484" s="569">
        <v>2</v>
      </c>
      <c r="P2484" s="569" t="s">
        <v>3846</v>
      </c>
      <c r="Q2484" s="568">
        <v>13000</v>
      </c>
      <c r="R2484" s="569" t="s">
        <v>4235</v>
      </c>
      <c r="S2484" s="569">
        <v>8</v>
      </c>
      <c r="T2484" s="569" t="s">
        <v>4398</v>
      </c>
      <c r="U2484" s="569" t="s">
        <v>4283</v>
      </c>
      <c r="V2484" s="569">
        <v>164</v>
      </c>
      <c r="W2484" s="569">
        <v>34</v>
      </c>
      <c r="X2484" s="568">
        <v>10000</v>
      </c>
      <c r="Y2484" s="573">
        <v>15</v>
      </c>
      <c r="Z2484" s="581" t="s">
        <v>450</v>
      </c>
      <c r="AA2484" s="581" t="s">
        <v>178</v>
      </c>
      <c r="AB2484" s="585">
        <v>41275</v>
      </c>
      <c r="AC2484" s="585" t="s">
        <v>164</v>
      </c>
      <c r="AD2484" s="585">
        <v>29479.284210526315</v>
      </c>
      <c r="AE2484" s="587">
        <v>0.03</v>
      </c>
      <c r="AF2484" s="661" t="str">
        <f t="shared" si="269"/>
        <v>2019-LTK-FRD-F250-072-05</v>
      </c>
      <c r="AG2484" s="661" t="str">
        <f>IF(AND($Y2484&gt;=32,(AI2484="I"),(Y2484&lt;&gt;"~"),(COUNTIF($AN$1:$AN2484,$AN2484)=1)),"TRUE","FALSE")</f>
        <v>FALSE</v>
      </c>
      <c r="AH2484" s="661" t="str">
        <f>IF(AND($Y2484&gt;=22, (AI2484&lt;&gt;"I"),(Y2484&lt;&gt;"~"),(COUNTIF($AN$1:$AN2484,$AN2484)=1)),"TRUE","FALSE")</f>
        <v>FALSE</v>
      </c>
      <c r="AI2484" s="661" t="str">
        <f t="shared" si="271"/>
        <v>II</v>
      </c>
      <c r="AJ2484" s="662" t="str">
        <f t="shared" si="265"/>
        <v>F250-072</v>
      </c>
      <c r="AK2484" s="662" t="str">
        <f t="shared" si="266"/>
        <v>LTK</v>
      </c>
      <c r="AL2484" s="662" t="str">
        <f t="shared" si="267"/>
        <v>FRD</v>
      </c>
      <c r="AM2484" s="662" t="str">
        <f t="shared" si="270"/>
        <v>F250-Super Cab XLT-2WD-6-8'-13000-6.2L FFV-8-X2A-603A-164-34-E85-Unleaded</v>
      </c>
      <c r="AN2484" s="662" t="str">
        <f t="shared" si="268"/>
        <v>2019-LTK-FRD-F250-072</v>
      </c>
    </row>
    <row r="2485" spans="1:40" s="572" customFormat="1" ht="15">
      <c r="A2485" s="570" t="s">
        <v>4461</v>
      </c>
      <c r="B2485" s="573" t="s">
        <v>4450</v>
      </c>
      <c r="C2485" s="573" t="s">
        <v>278</v>
      </c>
      <c r="D2485" s="578">
        <v>15</v>
      </c>
      <c r="E2485" s="573" t="s">
        <v>3374</v>
      </c>
      <c r="F2485" s="573" t="s">
        <v>196</v>
      </c>
      <c r="G2485" s="573" t="s">
        <v>271</v>
      </c>
      <c r="H2485" s="573">
        <v>2019</v>
      </c>
      <c r="I2485" s="573" t="s">
        <v>4229</v>
      </c>
      <c r="J2485" s="573" t="s">
        <v>4070</v>
      </c>
      <c r="K2485" s="573" t="s">
        <v>3377</v>
      </c>
      <c r="L2485" s="573">
        <v>6</v>
      </c>
      <c r="M2485" s="573">
        <v>0</v>
      </c>
      <c r="N2485" s="573" t="s">
        <v>157</v>
      </c>
      <c r="O2485" s="573">
        <v>2</v>
      </c>
      <c r="P2485" s="573" t="s">
        <v>4230</v>
      </c>
      <c r="Q2485" s="571">
        <v>12500</v>
      </c>
      <c r="R2485" s="573" t="s">
        <v>4235</v>
      </c>
      <c r="S2485" s="573">
        <v>8</v>
      </c>
      <c r="T2485" s="573" t="s">
        <v>4398</v>
      </c>
      <c r="U2485" s="573" t="s">
        <v>4283</v>
      </c>
      <c r="V2485" s="573">
        <v>148</v>
      </c>
      <c r="W2485" s="573">
        <v>34</v>
      </c>
      <c r="X2485" s="571">
        <v>10000</v>
      </c>
      <c r="Y2485" s="573">
        <v>15</v>
      </c>
      <c r="Z2485" s="579" t="s">
        <v>450</v>
      </c>
      <c r="AA2485" s="579" t="s">
        <v>178</v>
      </c>
      <c r="AB2485" s="584">
        <v>41525</v>
      </c>
      <c r="AC2485" s="584" t="s">
        <v>164</v>
      </c>
      <c r="AD2485" s="584">
        <v>29850</v>
      </c>
      <c r="AE2485" s="586">
        <v>0.01</v>
      </c>
      <c r="AF2485" s="661" t="str">
        <f t="shared" si="269"/>
        <v>2019-LTK-FRD-F250-066-15</v>
      </c>
      <c r="AG2485" s="661" t="str">
        <f>IF(AND($Y2485&gt;=32,(AI2485="I"),(Y2485&lt;&gt;"~"),(COUNTIF($AN$1:$AN2485,$AN2485)=1)),"TRUE","FALSE")</f>
        <v>FALSE</v>
      </c>
      <c r="AH2485" s="661" t="str">
        <f>IF(AND($Y2485&gt;=22, (AI2485&lt;&gt;"I"),(Y2485&lt;&gt;"~"),(COUNTIF($AN$1:$AN2485,$AN2485)=1)),"TRUE","FALSE")</f>
        <v>FALSE</v>
      </c>
      <c r="AI2485" s="661" t="str">
        <f t="shared" si="271"/>
        <v>II</v>
      </c>
      <c r="AJ2485" s="662" t="str">
        <f t="shared" si="265"/>
        <v>F250-066</v>
      </c>
      <c r="AK2485" s="662" t="str">
        <f t="shared" si="266"/>
        <v>LTK</v>
      </c>
      <c r="AL2485" s="662" t="str">
        <f t="shared" si="267"/>
        <v>FRD</v>
      </c>
      <c r="AM2485" s="662" t="str">
        <f t="shared" si="270"/>
        <v>F250-Super Cab XLT-2WD-6-6'9"-12500-6.2L FFV-8-X2A-603A-148-34-E85-Unleaded</v>
      </c>
      <c r="AN2485" s="662" t="str">
        <f t="shared" si="268"/>
        <v>2019-LTK-FRD-F250-066</v>
      </c>
    </row>
    <row r="2486" spans="1:40" s="572" customFormat="1" ht="15">
      <c r="A2486" s="570" t="s">
        <v>4462</v>
      </c>
      <c r="B2486" s="569" t="s">
        <v>4452</v>
      </c>
      <c r="C2486" s="569" t="s">
        <v>278</v>
      </c>
      <c r="D2486" s="580">
        <v>15</v>
      </c>
      <c r="E2486" s="569" t="s">
        <v>3374</v>
      </c>
      <c r="F2486" s="569" t="s">
        <v>196</v>
      </c>
      <c r="G2486" s="569" t="s">
        <v>271</v>
      </c>
      <c r="H2486" s="569">
        <v>2019</v>
      </c>
      <c r="I2486" s="569" t="s">
        <v>4229</v>
      </c>
      <c r="J2486" s="569" t="s">
        <v>4070</v>
      </c>
      <c r="K2486" s="569" t="s">
        <v>3377</v>
      </c>
      <c r="L2486" s="569">
        <v>6</v>
      </c>
      <c r="M2486" s="569">
        <v>0</v>
      </c>
      <c r="N2486" s="569" t="s">
        <v>157</v>
      </c>
      <c r="O2486" s="569">
        <v>2</v>
      </c>
      <c r="P2486" s="569" t="s">
        <v>4230</v>
      </c>
      <c r="Q2486" s="568">
        <v>12500</v>
      </c>
      <c r="R2486" s="569" t="s">
        <v>4231</v>
      </c>
      <c r="S2486" s="569">
        <v>8</v>
      </c>
      <c r="T2486" s="569" t="s">
        <v>4398</v>
      </c>
      <c r="U2486" s="569" t="s">
        <v>4283</v>
      </c>
      <c r="V2486" s="569">
        <v>148</v>
      </c>
      <c r="W2486" s="569">
        <v>35</v>
      </c>
      <c r="X2486" s="568">
        <v>10000</v>
      </c>
      <c r="Y2486" s="573">
        <v>15</v>
      </c>
      <c r="Z2486" s="581" t="s">
        <v>728</v>
      </c>
      <c r="AA2486" s="581" t="s">
        <v>1523</v>
      </c>
      <c r="AB2486" s="585">
        <v>50645</v>
      </c>
      <c r="AC2486" s="585" t="s">
        <v>164</v>
      </c>
      <c r="AD2486" s="585">
        <v>38150</v>
      </c>
      <c r="AE2486" s="587">
        <v>0.01</v>
      </c>
      <c r="AF2486" s="661" t="str">
        <f t="shared" si="269"/>
        <v>2019-LTK-FRD-F250-067-15</v>
      </c>
      <c r="AG2486" s="661" t="str">
        <f>IF(AND($Y2486&gt;=32,(AI2486="I"),(Y2486&lt;&gt;"~"),(COUNTIF($AN$1:$AN2486,$AN2486)=1)),"TRUE","FALSE")</f>
        <v>FALSE</v>
      </c>
      <c r="AH2486" s="661" t="str">
        <f>IF(AND($Y2486&gt;=22, (AI2486&lt;&gt;"I"),(Y2486&lt;&gt;"~"),(COUNTIF($AN$1:$AN2486,$AN2486)=1)),"TRUE","FALSE")</f>
        <v>FALSE</v>
      </c>
      <c r="AI2486" s="661" t="str">
        <f t="shared" si="271"/>
        <v>II</v>
      </c>
      <c r="AJ2486" s="662" t="str">
        <f t="shared" si="265"/>
        <v>F250-067</v>
      </c>
      <c r="AK2486" s="662" t="str">
        <f t="shared" si="266"/>
        <v>LTK</v>
      </c>
      <c r="AL2486" s="662" t="str">
        <f t="shared" si="267"/>
        <v>FRD</v>
      </c>
      <c r="AM2486" s="662" t="str">
        <f t="shared" si="270"/>
        <v>F250-Super Cab XLT-2WD-6-6'9"-12500-6.7L Diesel-8-X2A-603A-148-35-Diesel-BioDiesel</v>
      </c>
      <c r="AN2486" s="662" t="str">
        <f t="shared" si="268"/>
        <v>2019-LTK-FRD-F250-067</v>
      </c>
    </row>
    <row r="2487" spans="1:40" s="572" customFormat="1" ht="15">
      <c r="A2487" s="570" t="s">
        <v>4463</v>
      </c>
      <c r="B2487" s="573" t="s">
        <v>4456</v>
      </c>
      <c r="C2487" s="573" t="s">
        <v>278</v>
      </c>
      <c r="D2487" s="578">
        <v>15</v>
      </c>
      <c r="E2487" s="573" t="s">
        <v>3374</v>
      </c>
      <c r="F2487" s="573" t="s">
        <v>196</v>
      </c>
      <c r="G2487" s="573" t="s">
        <v>271</v>
      </c>
      <c r="H2487" s="573">
        <v>2019</v>
      </c>
      <c r="I2487" s="573" t="s">
        <v>4229</v>
      </c>
      <c r="J2487" s="573" t="s">
        <v>4070</v>
      </c>
      <c r="K2487" s="573" t="s">
        <v>3377</v>
      </c>
      <c r="L2487" s="573">
        <v>6</v>
      </c>
      <c r="M2487" s="573">
        <v>0</v>
      </c>
      <c r="N2487" s="573" t="s">
        <v>157</v>
      </c>
      <c r="O2487" s="573">
        <v>2</v>
      </c>
      <c r="P2487" s="573" t="s">
        <v>3846</v>
      </c>
      <c r="Q2487" s="571">
        <v>12500</v>
      </c>
      <c r="R2487" s="573" t="s">
        <v>4235</v>
      </c>
      <c r="S2487" s="573">
        <v>8</v>
      </c>
      <c r="T2487" s="573" t="s">
        <v>4398</v>
      </c>
      <c r="U2487" s="573" t="s">
        <v>4283</v>
      </c>
      <c r="V2487" s="573">
        <v>164</v>
      </c>
      <c r="W2487" s="573">
        <v>34</v>
      </c>
      <c r="X2487" s="571">
        <v>10000</v>
      </c>
      <c r="Y2487" s="573">
        <v>15</v>
      </c>
      <c r="Z2487" s="579" t="s">
        <v>450</v>
      </c>
      <c r="AA2487" s="579" t="s">
        <v>178</v>
      </c>
      <c r="AB2487" s="584">
        <v>41725</v>
      </c>
      <c r="AC2487" s="584" t="s">
        <v>164</v>
      </c>
      <c r="AD2487" s="584">
        <v>30050</v>
      </c>
      <c r="AE2487" s="586">
        <v>0.01</v>
      </c>
      <c r="AF2487" s="661" t="str">
        <f t="shared" si="269"/>
        <v>2019-LTK-FRD-F250-070-15</v>
      </c>
      <c r="AG2487" s="661" t="str">
        <f>IF(AND($Y2487&gt;=32,(AI2487="I"),(Y2487&lt;&gt;"~"),(COUNTIF($AN$1:$AN2487,$AN2487)=1)),"TRUE","FALSE")</f>
        <v>FALSE</v>
      </c>
      <c r="AH2487" s="661" t="str">
        <f>IF(AND($Y2487&gt;=22, (AI2487&lt;&gt;"I"),(Y2487&lt;&gt;"~"),(COUNTIF($AN$1:$AN2487,$AN2487)=1)),"TRUE","FALSE")</f>
        <v>FALSE</v>
      </c>
      <c r="AI2487" s="661" t="str">
        <f t="shared" si="271"/>
        <v>II</v>
      </c>
      <c r="AJ2487" s="662" t="str">
        <f t="shared" si="265"/>
        <v>F250-070</v>
      </c>
      <c r="AK2487" s="662" t="str">
        <f t="shared" si="266"/>
        <v>LTK</v>
      </c>
      <c r="AL2487" s="662" t="str">
        <f t="shared" si="267"/>
        <v>FRD</v>
      </c>
      <c r="AM2487" s="662" t="str">
        <f t="shared" si="270"/>
        <v>F250-Super Cab XLT-2WD-6-8'-12500-6.2L FFV-8-X2A-603A-164-34-E85-Unleaded</v>
      </c>
      <c r="AN2487" s="662" t="str">
        <f t="shared" si="268"/>
        <v>2019-LTK-FRD-F250-070</v>
      </c>
    </row>
    <row r="2488" spans="1:40" s="572" customFormat="1" ht="15">
      <c r="A2488" s="570" t="s">
        <v>4464</v>
      </c>
      <c r="B2488" s="569" t="s">
        <v>4458</v>
      </c>
      <c r="C2488" s="569" t="s">
        <v>278</v>
      </c>
      <c r="D2488" s="580">
        <v>15</v>
      </c>
      <c r="E2488" s="569" t="s">
        <v>3374</v>
      </c>
      <c r="F2488" s="569" t="s">
        <v>196</v>
      </c>
      <c r="G2488" s="569" t="s">
        <v>271</v>
      </c>
      <c r="H2488" s="569">
        <v>2019</v>
      </c>
      <c r="I2488" s="569" t="s">
        <v>4229</v>
      </c>
      <c r="J2488" s="569" t="s">
        <v>4070</v>
      </c>
      <c r="K2488" s="569" t="s">
        <v>3377</v>
      </c>
      <c r="L2488" s="569">
        <v>6</v>
      </c>
      <c r="M2488" s="569">
        <v>0</v>
      </c>
      <c r="N2488" s="569" t="s">
        <v>157</v>
      </c>
      <c r="O2488" s="569">
        <v>2</v>
      </c>
      <c r="P2488" s="569" t="s">
        <v>3846</v>
      </c>
      <c r="Q2488" s="568">
        <v>12500</v>
      </c>
      <c r="R2488" s="569" t="s">
        <v>4231</v>
      </c>
      <c r="S2488" s="569">
        <v>8</v>
      </c>
      <c r="T2488" s="569" t="s">
        <v>4398</v>
      </c>
      <c r="U2488" s="569" t="s">
        <v>4283</v>
      </c>
      <c r="V2488" s="569">
        <v>164</v>
      </c>
      <c r="W2488" s="569">
        <v>35</v>
      </c>
      <c r="X2488" s="568">
        <v>10000</v>
      </c>
      <c r="Y2488" s="573">
        <v>15</v>
      </c>
      <c r="Z2488" s="581" t="s">
        <v>728</v>
      </c>
      <c r="AA2488" s="581" t="s">
        <v>1523</v>
      </c>
      <c r="AB2488" s="585">
        <v>50845</v>
      </c>
      <c r="AC2488" s="585" t="s">
        <v>164</v>
      </c>
      <c r="AD2488" s="585">
        <v>38300</v>
      </c>
      <c r="AE2488" s="587">
        <v>0.01</v>
      </c>
      <c r="AF2488" s="661" t="str">
        <f t="shared" si="269"/>
        <v>2019-LTK-FRD-F250-071-15</v>
      </c>
      <c r="AG2488" s="661" t="str">
        <f>IF(AND($Y2488&gt;=32,(AI2488="I"),(Y2488&lt;&gt;"~"),(COUNTIF($AN$1:$AN2488,$AN2488)=1)),"TRUE","FALSE")</f>
        <v>FALSE</v>
      </c>
      <c r="AH2488" s="661" t="str">
        <f>IF(AND($Y2488&gt;=22, (AI2488&lt;&gt;"I"),(Y2488&lt;&gt;"~"),(COUNTIF($AN$1:$AN2488,$AN2488)=1)),"TRUE","FALSE")</f>
        <v>FALSE</v>
      </c>
      <c r="AI2488" s="661" t="str">
        <f t="shared" si="271"/>
        <v>II</v>
      </c>
      <c r="AJ2488" s="662" t="str">
        <f t="shared" si="265"/>
        <v>F250-071</v>
      </c>
      <c r="AK2488" s="662" t="str">
        <f t="shared" si="266"/>
        <v>LTK</v>
      </c>
      <c r="AL2488" s="662" t="str">
        <f t="shared" si="267"/>
        <v>FRD</v>
      </c>
      <c r="AM2488" s="662" t="str">
        <f t="shared" si="270"/>
        <v>F250-Super Cab XLT-2WD-6-8'-12500-6.7L Diesel-8-X2A-603A-164-35-Diesel-BioDiesel</v>
      </c>
      <c r="AN2488" s="662" t="str">
        <f t="shared" si="268"/>
        <v>2019-LTK-FRD-F250-071</v>
      </c>
    </row>
    <row r="2489" spans="1:40" s="572" customFormat="1" ht="15">
      <c r="A2489" s="570" t="s">
        <v>4465</v>
      </c>
      <c r="B2489" s="573" t="s">
        <v>4450</v>
      </c>
      <c r="C2489" s="573" t="s">
        <v>287</v>
      </c>
      <c r="D2489" s="578">
        <v>26</v>
      </c>
      <c r="E2489" s="573" t="s">
        <v>3374</v>
      </c>
      <c r="F2489" s="573" t="s">
        <v>196</v>
      </c>
      <c r="G2489" s="573" t="s">
        <v>271</v>
      </c>
      <c r="H2489" s="573">
        <v>2019</v>
      </c>
      <c r="I2489" s="573" t="s">
        <v>4229</v>
      </c>
      <c r="J2489" s="573" t="s">
        <v>4070</v>
      </c>
      <c r="K2489" s="573" t="s">
        <v>3377</v>
      </c>
      <c r="L2489" s="573">
        <v>6</v>
      </c>
      <c r="M2489" s="573">
        <v>0</v>
      </c>
      <c r="N2489" s="573" t="s">
        <v>157</v>
      </c>
      <c r="O2489" s="573">
        <v>2</v>
      </c>
      <c r="P2489" s="573" t="s">
        <v>4230</v>
      </c>
      <c r="Q2489" s="571">
        <v>12500</v>
      </c>
      <c r="R2489" s="573" t="s">
        <v>4235</v>
      </c>
      <c r="S2489" s="573">
        <v>8</v>
      </c>
      <c r="T2489" s="573" t="s">
        <v>4398</v>
      </c>
      <c r="U2489" s="573" t="s">
        <v>4283</v>
      </c>
      <c r="V2489" s="573">
        <v>148</v>
      </c>
      <c r="W2489" s="573">
        <v>34</v>
      </c>
      <c r="X2489" s="571">
        <v>10000</v>
      </c>
      <c r="Y2489" s="573">
        <v>15</v>
      </c>
      <c r="Z2489" s="579" t="s">
        <v>450</v>
      </c>
      <c r="AA2489" s="579" t="s">
        <v>178</v>
      </c>
      <c r="AB2489" s="584">
        <v>41075</v>
      </c>
      <c r="AC2489" s="584" t="s">
        <v>164</v>
      </c>
      <c r="AD2489" s="584">
        <v>29904</v>
      </c>
      <c r="AE2489" s="586">
        <v>0.05</v>
      </c>
      <c r="AF2489" s="661" t="str">
        <f t="shared" si="269"/>
        <v>2019-LTK-FRD-F250-066-26</v>
      </c>
      <c r="AG2489" s="661" t="str">
        <f>IF(AND($Y2489&gt;=32,(AI2489="I"),(Y2489&lt;&gt;"~"),(COUNTIF($AN$1:$AN2489,$AN2489)=1)),"TRUE","FALSE")</f>
        <v>FALSE</v>
      </c>
      <c r="AH2489" s="661" t="str">
        <f>IF(AND($Y2489&gt;=22, (AI2489&lt;&gt;"I"),(Y2489&lt;&gt;"~"),(COUNTIF($AN$1:$AN2489,$AN2489)=1)),"TRUE","FALSE")</f>
        <v>FALSE</v>
      </c>
      <c r="AI2489" s="661" t="str">
        <f t="shared" si="271"/>
        <v>II</v>
      </c>
      <c r="AJ2489" s="662" t="str">
        <f t="shared" si="265"/>
        <v>F250-066</v>
      </c>
      <c r="AK2489" s="662" t="str">
        <f t="shared" si="266"/>
        <v>LTK</v>
      </c>
      <c r="AL2489" s="662" t="str">
        <f t="shared" si="267"/>
        <v>FRD</v>
      </c>
      <c r="AM2489" s="662" t="str">
        <f t="shared" si="270"/>
        <v>F250-Super Cab XLT-2WD-6-6'9"-12500-6.2L FFV-8-X2A-603A-148-34-E85-Unleaded</v>
      </c>
      <c r="AN2489" s="662" t="str">
        <f t="shared" si="268"/>
        <v>2019-LTK-FRD-F250-066</v>
      </c>
    </row>
    <row r="2490" spans="1:40" s="572" customFormat="1" ht="15">
      <c r="A2490" s="570" t="s">
        <v>4466</v>
      </c>
      <c r="B2490" s="569" t="s">
        <v>4452</v>
      </c>
      <c r="C2490" s="569" t="s">
        <v>287</v>
      </c>
      <c r="D2490" s="580">
        <v>26</v>
      </c>
      <c r="E2490" s="569" t="s">
        <v>3374</v>
      </c>
      <c r="F2490" s="569" t="s">
        <v>196</v>
      </c>
      <c r="G2490" s="569" t="s">
        <v>271</v>
      </c>
      <c r="H2490" s="569">
        <v>2019</v>
      </c>
      <c r="I2490" s="569" t="s">
        <v>4229</v>
      </c>
      <c r="J2490" s="569" t="s">
        <v>4070</v>
      </c>
      <c r="K2490" s="569" t="s">
        <v>3377</v>
      </c>
      <c r="L2490" s="569">
        <v>6</v>
      </c>
      <c r="M2490" s="569">
        <v>0</v>
      </c>
      <c r="N2490" s="569" t="s">
        <v>157</v>
      </c>
      <c r="O2490" s="569">
        <v>2</v>
      </c>
      <c r="P2490" s="569" t="s">
        <v>4230</v>
      </c>
      <c r="Q2490" s="568">
        <v>12500</v>
      </c>
      <c r="R2490" s="569" t="s">
        <v>4231</v>
      </c>
      <c r="S2490" s="569">
        <v>8</v>
      </c>
      <c r="T2490" s="569" t="s">
        <v>4398</v>
      </c>
      <c r="U2490" s="569" t="s">
        <v>4283</v>
      </c>
      <c r="V2490" s="569">
        <v>148</v>
      </c>
      <c r="W2490" s="569">
        <v>35</v>
      </c>
      <c r="X2490" s="568">
        <v>10000</v>
      </c>
      <c r="Y2490" s="573">
        <v>15</v>
      </c>
      <c r="Z2490" s="581" t="s">
        <v>728</v>
      </c>
      <c r="AA2490" s="581" t="s">
        <v>1523</v>
      </c>
      <c r="AB2490" s="585">
        <v>50070</v>
      </c>
      <c r="AC2490" s="585" t="s">
        <v>164</v>
      </c>
      <c r="AD2490" s="585">
        <v>38099</v>
      </c>
      <c r="AE2490" s="587">
        <v>0.05</v>
      </c>
      <c r="AF2490" s="661" t="str">
        <f t="shared" si="269"/>
        <v>2019-LTK-FRD-F250-067-26</v>
      </c>
      <c r="AG2490" s="661" t="str">
        <f>IF(AND($Y2490&gt;=32,(AI2490="I"),(Y2490&lt;&gt;"~"),(COUNTIF($AN$1:$AN2490,$AN2490)=1)),"TRUE","FALSE")</f>
        <v>FALSE</v>
      </c>
      <c r="AH2490" s="661" t="str">
        <f>IF(AND($Y2490&gt;=22, (AI2490&lt;&gt;"I"),(Y2490&lt;&gt;"~"),(COUNTIF($AN$1:$AN2490,$AN2490)=1)),"TRUE","FALSE")</f>
        <v>FALSE</v>
      </c>
      <c r="AI2490" s="661" t="str">
        <f t="shared" si="271"/>
        <v>II</v>
      </c>
      <c r="AJ2490" s="662" t="str">
        <f t="shared" si="265"/>
        <v>F250-067</v>
      </c>
      <c r="AK2490" s="662" t="str">
        <f t="shared" si="266"/>
        <v>LTK</v>
      </c>
      <c r="AL2490" s="662" t="str">
        <f t="shared" si="267"/>
        <v>FRD</v>
      </c>
      <c r="AM2490" s="662" t="str">
        <f t="shared" si="270"/>
        <v>F250-Super Cab XLT-2WD-6-6'9"-12500-6.7L Diesel-8-X2A-603A-148-35-Diesel-BioDiesel</v>
      </c>
      <c r="AN2490" s="662" t="str">
        <f t="shared" si="268"/>
        <v>2019-LTK-FRD-F250-067</v>
      </c>
    </row>
    <row r="2491" spans="1:40" s="572" customFormat="1" ht="15">
      <c r="A2491" s="570" t="s">
        <v>4467</v>
      </c>
      <c r="B2491" s="573" t="s">
        <v>4456</v>
      </c>
      <c r="C2491" s="573" t="s">
        <v>287</v>
      </c>
      <c r="D2491" s="578">
        <v>26</v>
      </c>
      <c r="E2491" s="573" t="s">
        <v>3374</v>
      </c>
      <c r="F2491" s="573" t="s">
        <v>196</v>
      </c>
      <c r="G2491" s="573" t="s">
        <v>271</v>
      </c>
      <c r="H2491" s="573">
        <v>2019</v>
      </c>
      <c r="I2491" s="573" t="s">
        <v>4229</v>
      </c>
      <c r="J2491" s="573" t="s">
        <v>4070</v>
      </c>
      <c r="K2491" s="573" t="s">
        <v>3377</v>
      </c>
      <c r="L2491" s="573">
        <v>6</v>
      </c>
      <c r="M2491" s="573">
        <v>0</v>
      </c>
      <c r="N2491" s="573" t="s">
        <v>157</v>
      </c>
      <c r="O2491" s="573">
        <v>2</v>
      </c>
      <c r="P2491" s="573" t="s">
        <v>3846</v>
      </c>
      <c r="Q2491" s="571">
        <v>12500</v>
      </c>
      <c r="R2491" s="573" t="s">
        <v>4235</v>
      </c>
      <c r="S2491" s="573">
        <v>8</v>
      </c>
      <c r="T2491" s="573" t="s">
        <v>4398</v>
      </c>
      <c r="U2491" s="573" t="s">
        <v>4283</v>
      </c>
      <c r="V2491" s="573">
        <v>164</v>
      </c>
      <c r="W2491" s="573">
        <v>34</v>
      </c>
      <c r="X2491" s="571">
        <v>10000</v>
      </c>
      <c r="Y2491" s="573">
        <v>15</v>
      </c>
      <c r="Z2491" s="579" t="s">
        <v>450</v>
      </c>
      <c r="AA2491" s="579" t="s">
        <v>178</v>
      </c>
      <c r="AB2491" s="584">
        <v>41275</v>
      </c>
      <c r="AC2491" s="584" t="s">
        <v>164</v>
      </c>
      <c r="AD2491" s="584">
        <v>30092</v>
      </c>
      <c r="AE2491" s="586">
        <v>0.05</v>
      </c>
      <c r="AF2491" s="661" t="str">
        <f t="shared" si="269"/>
        <v>2019-LTK-FRD-F250-070-26</v>
      </c>
      <c r="AG2491" s="661" t="str">
        <f>IF(AND($Y2491&gt;=32,(AI2491="I"),(Y2491&lt;&gt;"~"),(COUNTIF($AN$1:$AN2491,$AN2491)=1)),"TRUE","FALSE")</f>
        <v>FALSE</v>
      </c>
      <c r="AH2491" s="661" t="str">
        <f>IF(AND($Y2491&gt;=22, (AI2491&lt;&gt;"I"),(Y2491&lt;&gt;"~"),(COUNTIF($AN$1:$AN2491,$AN2491)=1)),"TRUE","FALSE")</f>
        <v>FALSE</v>
      </c>
      <c r="AI2491" s="661" t="str">
        <f t="shared" si="271"/>
        <v>II</v>
      </c>
      <c r="AJ2491" s="662" t="str">
        <f t="shared" si="265"/>
        <v>F250-070</v>
      </c>
      <c r="AK2491" s="662" t="str">
        <f t="shared" si="266"/>
        <v>LTK</v>
      </c>
      <c r="AL2491" s="662" t="str">
        <f t="shared" si="267"/>
        <v>FRD</v>
      </c>
      <c r="AM2491" s="662" t="str">
        <f t="shared" si="270"/>
        <v>F250-Super Cab XLT-2WD-6-8'-12500-6.2L FFV-8-X2A-603A-164-34-E85-Unleaded</v>
      </c>
      <c r="AN2491" s="662" t="str">
        <f t="shared" si="268"/>
        <v>2019-LTK-FRD-F250-070</v>
      </c>
    </row>
    <row r="2492" spans="1:40" s="572" customFormat="1" ht="15">
      <c r="A2492" s="570" t="s">
        <v>4468</v>
      </c>
      <c r="B2492" s="569" t="s">
        <v>4458</v>
      </c>
      <c r="C2492" s="569" t="s">
        <v>287</v>
      </c>
      <c r="D2492" s="580">
        <v>26</v>
      </c>
      <c r="E2492" s="569" t="s">
        <v>3374</v>
      </c>
      <c r="F2492" s="569" t="s">
        <v>196</v>
      </c>
      <c r="G2492" s="569" t="s">
        <v>271</v>
      </c>
      <c r="H2492" s="569">
        <v>2019</v>
      </c>
      <c r="I2492" s="569" t="s">
        <v>4229</v>
      </c>
      <c r="J2492" s="569" t="s">
        <v>4070</v>
      </c>
      <c r="K2492" s="569" t="s">
        <v>3377</v>
      </c>
      <c r="L2492" s="569">
        <v>6</v>
      </c>
      <c r="M2492" s="569">
        <v>0</v>
      </c>
      <c r="N2492" s="569" t="s">
        <v>157</v>
      </c>
      <c r="O2492" s="569">
        <v>2</v>
      </c>
      <c r="P2492" s="569" t="s">
        <v>3846</v>
      </c>
      <c r="Q2492" s="568">
        <v>12500</v>
      </c>
      <c r="R2492" s="569" t="s">
        <v>4231</v>
      </c>
      <c r="S2492" s="569">
        <v>8</v>
      </c>
      <c r="T2492" s="569" t="s">
        <v>4398</v>
      </c>
      <c r="U2492" s="569" t="s">
        <v>4283</v>
      </c>
      <c r="V2492" s="569">
        <v>164</v>
      </c>
      <c r="W2492" s="569">
        <v>35</v>
      </c>
      <c r="X2492" s="568">
        <v>10000</v>
      </c>
      <c r="Y2492" s="573">
        <v>15</v>
      </c>
      <c r="Z2492" s="581" t="s">
        <v>728</v>
      </c>
      <c r="AA2492" s="581" t="s">
        <v>1523</v>
      </c>
      <c r="AB2492" s="585">
        <v>50270</v>
      </c>
      <c r="AC2492" s="585" t="s">
        <v>164</v>
      </c>
      <c r="AD2492" s="585">
        <v>38286</v>
      </c>
      <c r="AE2492" s="587">
        <v>0.05</v>
      </c>
      <c r="AF2492" s="661" t="str">
        <f t="shared" si="269"/>
        <v>2019-LTK-FRD-F250-071-26</v>
      </c>
      <c r="AG2492" s="661" t="str">
        <f>IF(AND($Y2492&gt;=32,(AI2492="I"),(Y2492&lt;&gt;"~"),(COUNTIF($AN$1:$AN2492,$AN2492)=1)),"TRUE","FALSE")</f>
        <v>FALSE</v>
      </c>
      <c r="AH2492" s="661" t="str">
        <f>IF(AND($Y2492&gt;=22, (AI2492&lt;&gt;"I"),(Y2492&lt;&gt;"~"),(COUNTIF($AN$1:$AN2492,$AN2492)=1)),"TRUE","FALSE")</f>
        <v>FALSE</v>
      </c>
      <c r="AI2492" s="661" t="str">
        <f t="shared" si="271"/>
        <v>II</v>
      </c>
      <c r="AJ2492" s="662" t="str">
        <f t="shared" si="265"/>
        <v>F250-071</v>
      </c>
      <c r="AK2492" s="662" t="str">
        <f t="shared" si="266"/>
        <v>LTK</v>
      </c>
      <c r="AL2492" s="662" t="str">
        <f t="shared" si="267"/>
        <v>FRD</v>
      </c>
      <c r="AM2492" s="662" t="str">
        <f t="shared" si="270"/>
        <v>F250-Super Cab XLT-2WD-6-8'-12500-6.7L Diesel-8-X2A-603A-164-35-Diesel-BioDiesel</v>
      </c>
      <c r="AN2492" s="662" t="str">
        <f t="shared" si="268"/>
        <v>2019-LTK-FRD-F250-071</v>
      </c>
    </row>
    <row r="2493" spans="1:40" s="572" customFormat="1" ht="15">
      <c r="A2493" s="570" t="s">
        <v>4469</v>
      </c>
      <c r="B2493" s="573" t="s">
        <v>4450</v>
      </c>
      <c r="C2493" s="573" t="s">
        <v>280</v>
      </c>
      <c r="D2493" s="578">
        <v>27</v>
      </c>
      <c r="E2493" s="573" t="s">
        <v>3374</v>
      </c>
      <c r="F2493" s="573" t="s">
        <v>196</v>
      </c>
      <c r="G2493" s="573" t="s">
        <v>271</v>
      </c>
      <c r="H2493" s="573">
        <v>2019</v>
      </c>
      <c r="I2493" s="573" t="s">
        <v>4229</v>
      </c>
      <c r="J2493" s="573" t="s">
        <v>4070</v>
      </c>
      <c r="K2493" s="573" t="s">
        <v>3377</v>
      </c>
      <c r="L2493" s="573">
        <v>6</v>
      </c>
      <c r="M2493" s="573">
        <v>0</v>
      </c>
      <c r="N2493" s="573" t="s">
        <v>157</v>
      </c>
      <c r="O2493" s="573">
        <v>2</v>
      </c>
      <c r="P2493" s="573" t="s">
        <v>4230</v>
      </c>
      <c r="Q2493" s="571">
        <v>12500</v>
      </c>
      <c r="R2493" s="573" t="s">
        <v>4235</v>
      </c>
      <c r="S2493" s="573">
        <v>8</v>
      </c>
      <c r="T2493" s="573" t="s">
        <v>4398</v>
      </c>
      <c r="U2493" s="573" t="s">
        <v>4283</v>
      </c>
      <c r="V2493" s="573">
        <v>148</v>
      </c>
      <c r="W2493" s="573">
        <v>34</v>
      </c>
      <c r="X2493" s="571">
        <v>10000</v>
      </c>
      <c r="Y2493" s="573">
        <v>15</v>
      </c>
      <c r="Z2493" s="579" t="s">
        <v>450</v>
      </c>
      <c r="AA2493" s="579" t="s">
        <v>178</v>
      </c>
      <c r="AB2493" s="584">
        <v>41075</v>
      </c>
      <c r="AC2493" s="584" t="s">
        <v>164</v>
      </c>
      <c r="AD2493" s="584">
        <v>29294.021052631579</v>
      </c>
      <c r="AE2493" s="586">
        <v>0.03</v>
      </c>
      <c r="AF2493" s="661" t="str">
        <f t="shared" si="269"/>
        <v>2019-LTK-FRD-F250-066-27</v>
      </c>
      <c r="AG2493" s="661" t="str">
        <f>IF(AND($Y2493&gt;=32,(AI2493="I"),(Y2493&lt;&gt;"~"),(COUNTIF($AN$1:$AN2493,$AN2493)=1)),"TRUE","FALSE")</f>
        <v>FALSE</v>
      </c>
      <c r="AH2493" s="661" t="str">
        <f>IF(AND($Y2493&gt;=22, (AI2493&lt;&gt;"I"),(Y2493&lt;&gt;"~"),(COUNTIF($AN$1:$AN2493,$AN2493)=1)),"TRUE","FALSE")</f>
        <v>FALSE</v>
      </c>
      <c r="AI2493" s="661" t="str">
        <f t="shared" si="271"/>
        <v>II</v>
      </c>
      <c r="AJ2493" s="662" t="str">
        <f t="shared" si="265"/>
        <v>F250-066</v>
      </c>
      <c r="AK2493" s="662" t="str">
        <f t="shared" si="266"/>
        <v>LTK</v>
      </c>
      <c r="AL2493" s="662" t="str">
        <f t="shared" si="267"/>
        <v>FRD</v>
      </c>
      <c r="AM2493" s="662" t="str">
        <f t="shared" si="270"/>
        <v>F250-Super Cab XLT-2WD-6-6'9"-12500-6.2L FFV-8-X2A-603A-148-34-E85-Unleaded</v>
      </c>
      <c r="AN2493" s="662" t="str">
        <f t="shared" si="268"/>
        <v>2019-LTK-FRD-F250-066</v>
      </c>
    </row>
    <row r="2494" spans="1:40" s="572" customFormat="1" ht="15">
      <c r="A2494" s="570" t="s">
        <v>4470</v>
      </c>
      <c r="B2494" s="569" t="s">
        <v>4452</v>
      </c>
      <c r="C2494" s="569" t="s">
        <v>280</v>
      </c>
      <c r="D2494" s="580">
        <v>27</v>
      </c>
      <c r="E2494" s="569" t="s">
        <v>3374</v>
      </c>
      <c r="F2494" s="569" t="s">
        <v>196</v>
      </c>
      <c r="G2494" s="569" t="s">
        <v>271</v>
      </c>
      <c r="H2494" s="569">
        <v>2019</v>
      </c>
      <c r="I2494" s="569" t="s">
        <v>4229</v>
      </c>
      <c r="J2494" s="569" t="s">
        <v>4070</v>
      </c>
      <c r="K2494" s="569" t="s">
        <v>3377</v>
      </c>
      <c r="L2494" s="569">
        <v>6</v>
      </c>
      <c r="M2494" s="569">
        <v>0</v>
      </c>
      <c r="N2494" s="569" t="s">
        <v>157</v>
      </c>
      <c r="O2494" s="569">
        <v>2</v>
      </c>
      <c r="P2494" s="569" t="s">
        <v>4230</v>
      </c>
      <c r="Q2494" s="568">
        <v>12500</v>
      </c>
      <c r="R2494" s="569" t="s">
        <v>4231</v>
      </c>
      <c r="S2494" s="569">
        <v>8</v>
      </c>
      <c r="T2494" s="569" t="s">
        <v>4398</v>
      </c>
      <c r="U2494" s="569" t="s">
        <v>4283</v>
      </c>
      <c r="V2494" s="569">
        <v>148</v>
      </c>
      <c r="W2494" s="569">
        <v>34</v>
      </c>
      <c r="X2494" s="568">
        <v>10000</v>
      </c>
      <c r="Y2494" s="573">
        <v>15</v>
      </c>
      <c r="Z2494" s="581" t="s">
        <v>728</v>
      </c>
      <c r="AA2494" s="581" t="s">
        <v>1523</v>
      </c>
      <c r="AB2494" s="585">
        <v>50645</v>
      </c>
      <c r="AC2494" s="585" t="s">
        <v>164</v>
      </c>
      <c r="AD2494" s="585">
        <v>37930.105263157893</v>
      </c>
      <c r="AE2494" s="587">
        <v>0.03</v>
      </c>
      <c r="AF2494" s="661" t="str">
        <f t="shared" si="269"/>
        <v>2019-LTK-FRD-F250-067-27</v>
      </c>
      <c r="AG2494" s="661" t="str">
        <f>IF(AND($Y2494&gt;=32,(AI2494="I"),(Y2494&lt;&gt;"~"),(COUNTIF($AN$1:$AN2494,$AN2494)=1)),"TRUE","FALSE")</f>
        <v>FALSE</v>
      </c>
      <c r="AH2494" s="661" t="str">
        <f>IF(AND($Y2494&gt;=22, (AI2494&lt;&gt;"I"),(Y2494&lt;&gt;"~"),(COUNTIF($AN$1:$AN2494,$AN2494)=1)),"TRUE","FALSE")</f>
        <v>FALSE</v>
      </c>
      <c r="AI2494" s="661" t="str">
        <f t="shared" si="271"/>
        <v>II</v>
      </c>
      <c r="AJ2494" s="662" t="str">
        <f t="shared" si="265"/>
        <v>F250-067</v>
      </c>
      <c r="AK2494" s="662" t="str">
        <f t="shared" si="266"/>
        <v>LTK</v>
      </c>
      <c r="AL2494" s="662" t="str">
        <f t="shared" si="267"/>
        <v>FRD</v>
      </c>
      <c r="AM2494" s="662" t="str">
        <f t="shared" si="270"/>
        <v>F250-Super Cab XLT-2WD-6-6'9"-12500-6.7L Diesel-8-X2A-603A-148-34-Diesel-BioDiesel</v>
      </c>
      <c r="AN2494" s="662" t="str">
        <f t="shared" si="268"/>
        <v>2019-LTK-FRD-F250-067</v>
      </c>
    </row>
    <row r="2495" spans="1:40" s="572" customFormat="1" ht="15">
      <c r="A2495" s="570" t="s">
        <v>4471</v>
      </c>
      <c r="B2495" s="573" t="s">
        <v>4454</v>
      </c>
      <c r="C2495" s="573" t="s">
        <v>280</v>
      </c>
      <c r="D2495" s="578">
        <v>27</v>
      </c>
      <c r="E2495" s="573" t="s">
        <v>3374</v>
      </c>
      <c r="F2495" s="573" t="s">
        <v>196</v>
      </c>
      <c r="G2495" s="573" t="s">
        <v>271</v>
      </c>
      <c r="H2495" s="573">
        <v>2019</v>
      </c>
      <c r="I2495" s="573" t="s">
        <v>4229</v>
      </c>
      <c r="J2495" s="573" t="s">
        <v>4070</v>
      </c>
      <c r="K2495" s="573" t="s">
        <v>3377</v>
      </c>
      <c r="L2495" s="573">
        <v>6</v>
      </c>
      <c r="M2495" s="573">
        <v>0</v>
      </c>
      <c r="N2495" s="573" t="s">
        <v>157</v>
      </c>
      <c r="O2495" s="573">
        <v>2</v>
      </c>
      <c r="P2495" s="573" t="s">
        <v>4230</v>
      </c>
      <c r="Q2495" s="571">
        <v>13000</v>
      </c>
      <c r="R2495" s="573" t="s">
        <v>4235</v>
      </c>
      <c r="S2495" s="573">
        <v>8</v>
      </c>
      <c r="T2495" s="573" t="s">
        <v>4398</v>
      </c>
      <c r="U2495" s="573" t="s">
        <v>4283</v>
      </c>
      <c r="V2495" s="573">
        <v>148</v>
      </c>
      <c r="W2495" s="573">
        <v>34</v>
      </c>
      <c r="X2495" s="571">
        <v>10000</v>
      </c>
      <c r="Y2495" s="573">
        <v>15</v>
      </c>
      <c r="Z2495" s="579" t="s">
        <v>450</v>
      </c>
      <c r="AA2495" s="579" t="s">
        <v>178</v>
      </c>
      <c r="AB2495" s="584">
        <v>41075</v>
      </c>
      <c r="AC2495" s="584" t="s">
        <v>164</v>
      </c>
      <c r="AD2495" s="584">
        <v>29294.021052631579</v>
      </c>
      <c r="AE2495" s="586">
        <v>0.03</v>
      </c>
      <c r="AF2495" s="661" t="str">
        <f t="shared" si="269"/>
        <v>2019-LTK-FRD-F250-068-27</v>
      </c>
      <c r="AG2495" s="661" t="str">
        <f>IF(AND($Y2495&gt;=32,(AI2495="I"),(Y2495&lt;&gt;"~"),(COUNTIF($AN$1:$AN2495,$AN2495)=1)),"TRUE","FALSE")</f>
        <v>FALSE</v>
      </c>
      <c r="AH2495" s="661" t="str">
        <f>IF(AND($Y2495&gt;=22, (AI2495&lt;&gt;"I"),(Y2495&lt;&gt;"~"),(COUNTIF($AN$1:$AN2495,$AN2495)=1)),"TRUE","FALSE")</f>
        <v>FALSE</v>
      </c>
      <c r="AI2495" s="661" t="str">
        <f t="shared" si="271"/>
        <v>II</v>
      </c>
      <c r="AJ2495" s="662" t="str">
        <f t="shared" si="265"/>
        <v>F250-068</v>
      </c>
      <c r="AK2495" s="662" t="str">
        <f t="shared" si="266"/>
        <v>LTK</v>
      </c>
      <c r="AL2495" s="662" t="str">
        <f t="shared" si="267"/>
        <v>FRD</v>
      </c>
      <c r="AM2495" s="662" t="str">
        <f t="shared" si="270"/>
        <v>F250-Super Cab XLT-2WD-6-6'9"-13000-6.2L FFV-8-X2A-603A-148-34-E85-Unleaded</v>
      </c>
      <c r="AN2495" s="662" t="str">
        <f t="shared" si="268"/>
        <v>2019-LTK-FRD-F250-068</v>
      </c>
    </row>
    <row r="2496" spans="1:40" s="572" customFormat="1" ht="15">
      <c r="A2496" s="570" t="s">
        <v>4472</v>
      </c>
      <c r="B2496" s="569" t="s">
        <v>4456</v>
      </c>
      <c r="C2496" s="569" t="s">
        <v>280</v>
      </c>
      <c r="D2496" s="580">
        <v>27</v>
      </c>
      <c r="E2496" s="569" t="s">
        <v>3374</v>
      </c>
      <c r="F2496" s="569" t="s">
        <v>196</v>
      </c>
      <c r="G2496" s="569" t="s">
        <v>271</v>
      </c>
      <c r="H2496" s="569">
        <v>2019</v>
      </c>
      <c r="I2496" s="569" t="s">
        <v>4229</v>
      </c>
      <c r="J2496" s="569" t="s">
        <v>4070</v>
      </c>
      <c r="K2496" s="569" t="s">
        <v>3377</v>
      </c>
      <c r="L2496" s="569">
        <v>6</v>
      </c>
      <c r="M2496" s="569">
        <v>0</v>
      </c>
      <c r="N2496" s="569" t="s">
        <v>157</v>
      </c>
      <c r="O2496" s="569">
        <v>2</v>
      </c>
      <c r="P2496" s="569" t="s">
        <v>3846</v>
      </c>
      <c r="Q2496" s="568">
        <v>12500</v>
      </c>
      <c r="R2496" s="569" t="s">
        <v>4235</v>
      </c>
      <c r="S2496" s="569">
        <v>8</v>
      </c>
      <c r="T2496" s="569" t="s">
        <v>4398</v>
      </c>
      <c r="U2496" s="569" t="s">
        <v>4283</v>
      </c>
      <c r="V2496" s="569">
        <v>164</v>
      </c>
      <c r="W2496" s="569">
        <v>34</v>
      </c>
      <c r="X2496" s="568">
        <v>10000</v>
      </c>
      <c r="Y2496" s="573">
        <v>15</v>
      </c>
      <c r="Z2496" s="581" t="s">
        <v>450</v>
      </c>
      <c r="AA2496" s="581" t="s">
        <v>178</v>
      </c>
      <c r="AB2496" s="585">
        <v>41275</v>
      </c>
      <c r="AC2496" s="585" t="s">
        <v>164</v>
      </c>
      <c r="AD2496" s="585">
        <v>29479.284210526315</v>
      </c>
      <c r="AE2496" s="587">
        <v>0.03</v>
      </c>
      <c r="AF2496" s="661" t="str">
        <f t="shared" si="269"/>
        <v>2019-LTK-FRD-F250-070-27</v>
      </c>
      <c r="AG2496" s="661" t="str">
        <f>IF(AND($Y2496&gt;=32,(AI2496="I"),(Y2496&lt;&gt;"~"),(COUNTIF($AN$1:$AN2496,$AN2496)=1)),"TRUE","FALSE")</f>
        <v>FALSE</v>
      </c>
      <c r="AH2496" s="661" t="str">
        <f>IF(AND($Y2496&gt;=22, (AI2496&lt;&gt;"I"),(Y2496&lt;&gt;"~"),(COUNTIF($AN$1:$AN2496,$AN2496)=1)),"TRUE","FALSE")</f>
        <v>FALSE</v>
      </c>
      <c r="AI2496" s="661" t="str">
        <f t="shared" si="271"/>
        <v>II</v>
      </c>
      <c r="AJ2496" s="662" t="str">
        <f t="shared" si="265"/>
        <v>F250-070</v>
      </c>
      <c r="AK2496" s="662" t="str">
        <f t="shared" si="266"/>
        <v>LTK</v>
      </c>
      <c r="AL2496" s="662" t="str">
        <f t="shared" si="267"/>
        <v>FRD</v>
      </c>
      <c r="AM2496" s="662" t="str">
        <f t="shared" si="270"/>
        <v>F250-Super Cab XLT-2WD-6-8'-12500-6.2L FFV-8-X2A-603A-164-34-E85-Unleaded</v>
      </c>
      <c r="AN2496" s="662" t="str">
        <f t="shared" si="268"/>
        <v>2019-LTK-FRD-F250-070</v>
      </c>
    </row>
    <row r="2497" spans="1:40" s="572" customFormat="1" ht="15">
      <c r="A2497" s="570" t="s">
        <v>4473</v>
      </c>
      <c r="B2497" s="573" t="s">
        <v>4458</v>
      </c>
      <c r="C2497" s="573" t="s">
        <v>280</v>
      </c>
      <c r="D2497" s="578">
        <v>27</v>
      </c>
      <c r="E2497" s="573" t="s">
        <v>3374</v>
      </c>
      <c r="F2497" s="573" t="s">
        <v>196</v>
      </c>
      <c r="G2497" s="573" t="s">
        <v>271</v>
      </c>
      <c r="H2497" s="573">
        <v>2019</v>
      </c>
      <c r="I2497" s="573" t="s">
        <v>4229</v>
      </c>
      <c r="J2497" s="573" t="s">
        <v>4070</v>
      </c>
      <c r="K2497" s="573" t="s">
        <v>3377</v>
      </c>
      <c r="L2497" s="573">
        <v>6</v>
      </c>
      <c r="M2497" s="573">
        <v>0</v>
      </c>
      <c r="N2497" s="573" t="s">
        <v>157</v>
      </c>
      <c r="O2497" s="573">
        <v>2</v>
      </c>
      <c r="P2497" s="573" t="s">
        <v>3846</v>
      </c>
      <c r="Q2497" s="571">
        <v>12500</v>
      </c>
      <c r="R2497" s="573" t="s">
        <v>4231</v>
      </c>
      <c r="S2497" s="573">
        <v>8</v>
      </c>
      <c r="T2497" s="573" t="s">
        <v>4398</v>
      </c>
      <c r="U2497" s="573" t="s">
        <v>4283</v>
      </c>
      <c r="V2497" s="573">
        <v>164</v>
      </c>
      <c r="W2497" s="573">
        <v>34</v>
      </c>
      <c r="X2497" s="571">
        <v>10000</v>
      </c>
      <c r="Y2497" s="573">
        <v>15</v>
      </c>
      <c r="Z2497" s="579" t="s">
        <v>728</v>
      </c>
      <c r="AA2497" s="579" t="s">
        <v>1523</v>
      </c>
      <c r="AB2497" s="584">
        <v>50845</v>
      </c>
      <c r="AC2497" s="584" t="s">
        <v>164</v>
      </c>
      <c r="AD2497" s="584">
        <v>38115.368421052633</v>
      </c>
      <c r="AE2497" s="586">
        <v>0.03</v>
      </c>
      <c r="AF2497" s="661" t="str">
        <f t="shared" si="269"/>
        <v>2019-LTK-FRD-F250-071-27</v>
      </c>
      <c r="AG2497" s="661" t="str">
        <f>IF(AND($Y2497&gt;=32,(AI2497="I"),(Y2497&lt;&gt;"~"),(COUNTIF($AN$1:$AN2497,$AN2497)=1)),"TRUE","FALSE")</f>
        <v>FALSE</v>
      </c>
      <c r="AH2497" s="661" t="str">
        <f>IF(AND($Y2497&gt;=22, (AI2497&lt;&gt;"I"),(Y2497&lt;&gt;"~"),(COUNTIF($AN$1:$AN2497,$AN2497)=1)),"TRUE","FALSE")</f>
        <v>FALSE</v>
      </c>
      <c r="AI2497" s="661" t="str">
        <f t="shared" si="271"/>
        <v>II</v>
      </c>
      <c r="AJ2497" s="662" t="str">
        <f t="shared" si="265"/>
        <v>F250-071</v>
      </c>
      <c r="AK2497" s="662" t="str">
        <f t="shared" si="266"/>
        <v>LTK</v>
      </c>
      <c r="AL2497" s="662" t="str">
        <f t="shared" si="267"/>
        <v>FRD</v>
      </c>
      <c r="AM2497" s="662" t="str">
        <f t="shared" si="270"/>
        <v>F250-Super Cab XLT-2WD-6-8'-12500-6.7L Diesel-8-X2A-603A-164-34-Diesel-BioDiesel</v>
      </c>
      <c r="AN2497" s="662" t="str">
        <f t="shared" si="268"/>
        <v>2019-LTK-FRD-F250-071</v>
      </c>
    </row>
    <row r="2498" spans="1:40" s="572" customFormat="1" ht="15">
      <c r="A2498" s="570" t="s">
        <v>4474</v>
      </c>
      <c r="B2498" s="569" t="s">
        <v>4460</v>
      </c>
      <c r="C2498" s="569" t="s">
        <v>280</v>
      </c>
      <c r="D2498" s="580">
        <v>27</v>
      </c>
      <c r="E2498" s="569" t="s">
        <v>3374</v>
      </c>
      <c r="F2498" s="569" t="s">
        <v>196</v>
      </c>
      <c r="G2498" s="569" t="s">
        <v>271</v>
      </c>
      <c r="H2498" s="569">
        <v>2019</v>
      </c>
      <c r="I2498" s="569" t="s">
        <v>4229</v>
      </c>
      <c r="J2498" s="569" t="s">
        <v>4070</v>
      </c>
      <c r="K2498" s="569" t="s">
        <v>3377</v>
      </c>
      <c r="L2498" s="569">
        <v>6</v>
      </c>
      <c r="M2498" s="569">
        <v>0</v>
      </c>
      <c r="N2498" s="569" t="s">
        <v>157</v>
      </c>
      <c r="O2498" s="569">
        <v>2</v>
      </c>
      <c r="P2498" s="569" t="s">
        <v>3846</v>
      </c>
      <c r="Q2498" s="568">
        <v>13000</v>
      </c>
      <c r="R2498" s="569" t="s">
        <v>4235</v>
      </c>
      <c r="S2498" s="569">
        <v>8</v>
      </c>
      <c r="T2498" s="569" t="s">
        <v>4398</v>
      </c>
      <c r="U2498" s="569" t="s">
        <v>4283</v>
      </c>
      <c r="V2498" s="569">
        <v>164</v>
      </c>
      <c r="W2498" s="569">
        <v>34</v>
      </c>
      <c r="X2498" s="568">
        <v>10000</v>
      </c>
      <c r="Y2498" s="573">
        <v>15</v>
      </c>
      <c r="Z2498" s="581" t="s">
        <v>450</v>
      </c>
      <c r="AA2498" s="581" t="s">
        <v>178</v>
      </c>
      <c r="AB2498" s="585">
        <v>41275</v>
      </c>
      <c r="AC2498" s="585" t="s">
        <v>164</v>
      </c>
      <c r="AD2498" s="585">
        <v>29479.284210526315</v>
      </c>
      <c r="AE2498" s="587">
        <v>0.03</v>
      </c>
      <c r="AF2498" s="661" t="str">
        <f t="shared" si="269"/>
        <v>2019-LTK-FRD-F250-072-27</v>
      </c>
      <c r="AG2498" s="661" t="str">
        <f>IF(AND($Y2498&gt;=32,(AI2498="I"),(Y2498&lt;&gt;"~"),(COUNTIF($AN$1:$AN2498,$AN2498)=1)),"TRUE","FALSE")</f>
        <v>FALSE</v>
      </c>
      <c r="AH2498" s="661" t="str">
        <f>IF(AND($Y2498&gt;=22, (AI2498&lt;&gt;"I"),(Y2498&lt;&gt;"~"),(COUNTIF($AN$1:$AN2498,$AN2498)=1)),"TRUE","FALSE")</f>
        <v>FALSE</v>
      </c>
      <c r="AI2498" s="661" t="str">
        <f t="shared" si="271"/>
        <v>II</v>
      </c>
      <c r="AJ2498" s="662" t="str">
        <f t="shared" si="265"/>
        <v>F250-072</v>
      </c>
      <c r="AK2498" s="662" t="str">
        <f t="shared" si="266"/>
        <v>LTK</v>
      </c>
      <c r="AL2498" s="662" t="str">
        <f t="shared" si="267"/>
        <v>FRD</v>
      </c>
      <c r="AM2498" s="662" t="str">
        <f t="shared" si="270"/>
        <v>F250-Super Cab XLT-2WD-6-8'-13000-6.2L FFV-8-X2A-603A-164-34-E85-Unleaded</v>
      </c>
      <c r="AN2498" s="662" t="str">
        <f t="shared" si="268"/>
        <v>2019-LTK-FRD-F250-072</v>
      </c>
    </row>
    <row r="2499" spans="1:40" s="572" customFormat="1" ht="15">
      <c r="A2499" s="570" t="s">
        <v>4475</v>
      </c>
      <c r="B2499" s="573" t="s">
        <v>4476</v>
      </c>
      <c r="C2499" s="573" t="s">
        <v>269</v>
      </c>
      <c r="D2499" s="578" t="s">
        <v>270</v>
      </c>
      <c r="E2499" s="573" t="s">
        <v>3374</v>
      </c>
      <c r="F2499" s="573" t="s">
        <v>196</v>
      </c>
      <c r="G2499" s="573" t="s">
        <v>271</v>
      </c>
      <c r="H2499" s="573">
        <v>2019</v>
      </c>
      <c r="I2499" s="573" t="s">
        <v>4229</v>
      </c>
      <c r="J2499" s="573" t="s">
        <v>4070</v>
      </c>
      <c r="K2499" s="573" t="s">
        <v>752</v>
      </c>
      <c r="L2499" s="573">
        <v>6</v>
      </c>
      <c r="M2499" s="573">
        <v>0</v>
      </c>
      <c r="N2499" s="573" t="s">
        <v>157</v>
      </c>
      <c r="O2499" s="573">
        <v>2</v>
      </c>
      <c r="P2499" s="573" t="s">
        <v>4230</v>
      </c>
      <c r="Q2499" s="571">
        <v>12400</v>
      </c>
      <c r="R2499" s="573" t="s">
        <v>4235</v>
      </c>
      <c r="S2499" s="573">
        <v>8</v>
      </c>
      <c r="T2499" s="573" t="s">
        <v>4426</v>
      </c>
      <c r="U2499" s="573" t="s">
        <v>4283</v>
      </c>
      <c r="V2499" s="573">
        <v>148</v>
      </c>
      <c r="W2499" s="573">
        <v>34</v>
      </c>
      <c r="X2499" s="571">
        <v>10000</v>
      </c>
      <c r="Y2499" s="573">
        <v>14</v>
      </c>
      <c r="Z2499" s="579" t="s">
        <v>450</v>
      </c>
      <c r="AA2499" s="579" t="s">
        <v>178</v>
      </c>
      <c r="AB2499" s="584">
        <v>43880</v>
      </c>
      <c r="AC2499" s="584" t="s">
        <v>164</v>
      </c>
      <c r="AD2499" s="584">
        <v>31884.547368421056</v>
      </c>
      <c r="AE2499" s="586">
        <v>0.03</v>
      </c>
      <c r="AF2499" s="661" t="str">
        <f t="shared" si="269"/>
        <v>2019-LTK-FRD-F250-074-05</v>
      </c>
      <c r="AG2499" s="661" t="str">
        <f>IF(AND($Y2499&gt;=32,(AI2499="I"),(Y2499&lt;&gt;"~"),(COUNTIF($AN$1:$AN2499,$AN2499)=1)),"TRUE","FALSE")</f>
        <v>FALSE</v>
      </c>
      <c r="AH2499" s="661" t="str">
        <f>IF(AND($Y2499&gt;=22, (AI2499&lt;&gt;"I"),(Y2499&lt;&gt;"~"),(COUNTIF($AN$1:$AN2499,$AN2499)=1)),"TRUE","FALSE")</f>
        <v>FALSE</v>
      </c>
      <c r="AI2499" s="661" t="str">
        <f t="shared" si="271"/>
        <v>II</v>
      </c>
      <c r="AJ2499" s="662" t="str">
        <f t="shared" ref="AJ2499:AJ2562" si="272">MID(A2499,14,8)</f>
        <v>F250-074</v>
      </c>
      <c r="AK2499" s="662" t="str">
        <f t="shared" ref="AK2499:AK2562" si="273">MID(A2499,6,3)</f>
        <v>LTK</v>
      </c>
      <c r="AL2499" s="662" t="str">
        <f t="shared" ref="AL2499:AL2562" si="274">MID(A2499,10,3)</f>
        <v>FRD</v>
      </c>
      <c r="AM2499" s="662" t="str">
        <f t="shared" si="270"/>
        <v>F250-Super Cab XLT-4WD-6-6'9"-12400-6.2L FFV-8-X2B-603A-148-34-E85-Unleaded</v>
      </c>
      <c r="AN2499" s="662" t="str">
        <f t="shared" ref="AN2499:AN2562" si="275">LEFT(A2499,21)</f>
        <v>2019-LTK-FRD-F250-074</v>
      </c>
    </row>
    <row r="2500" spans="1:40" s="572" customFormat="1" ht="15">
      <c r="A2500" s="570" t="s">
        <v>4477</v>
      </c>
      <c r="B2500" s="569" t="s">
        <v>4478</v>
      </c>
      <c r="C2500" s="569" t="s">
        <v>269</v>
      </c>
      <c r="D2500" s="580" t="s">
        <v>270</v>
      </c>
      <c r="E2500" s="569" t="s">
        <v>3374</v>
      </c>
      <c r="F2500" s="569" t="s">
        <v>196</v>
      </c>
      <c r="G2500" s="569" t="s">
        <v>271</v>
      </c>
      <c r="H2500" s="569">
        <v>2019</v>
      </c>
      <c r="I2500" s="569" t="s">
        <v>4229</v>
      </c>
      <c r="J2500" s="569" t="s">
        <v>4070</v>
      </c>
      <c r="K2500" s="569" t="s">
        <v>752</v>
      </c>
      <c r="L2500" s="569">
        <v>6</v>
      </c>
      <c r="M2500" s="569">
        <v>0</v>
      </c>
      <c r="N2500" s="569" t="s">
        <v>157</v>
      </c>
      <c r="O2500" s="569">
        <v>2</v>
      </c>
      <c r="P2500" s="569" t="s">
        <v>4230</v>
      </c>
      <c r="Q2500" s="568">
        <v>12400</v>
      </c>
      <c r="R2500" s="569" t="s">
        <v>4231</v>
      </c>
      <c r="S2500" s="569">
        <v>8</v>
      </c>
      <c r="T2500" s="569" t="s">
        <v>4426</v>
      </c>
      <c r="U2500" s="569" t="s">
        <v>4283</v>
      </c>
      <c r="V2500" s="569">
        <v>148</v>
      </c>
      <c r="W2500" s="569">
        <v>34</v>
      </c>
      <c r="X2500" s="568">
        <v>10000</v>
      </c>
      <c r="Y2500" s="573">
        <v>14</v>
      </c>
      <c r="Z2500" s="581" t="s">
        <v>728</v>
      </c>
      <c r="AA2500" s="581" t="s">
        <v>1523</v>
      </c>
      <c r="AB2500" s="585">
        <v>53450</v>
      </c>
      <c r="AC2500" s="585" t="s">
        <v>164</v>
      </c>
      <c r="AD2500" s="585">
        <v>40521.684210526313</v>
      </c>
      <c r="AE2500" s="587">
        <v>0.03</v>
      </c>
      <c r="AF2500" s="661" t="str">
        <f t="shared" si="269"/>
        <v>2019-LTK-FRD-F250-075-05</v>
      </c>
      <c r="AG2500" s="661" t="str">
        <f>IF(AND($Y2500&gt;=32,(AI2500="I"),(Y2500&lt;&gt;"~"),(COUNTIF($AN$1:$AN2500,$AN2500)=1)),"TRUE","FALSE")</f>
        <v>FALSE</v>
      </c>
      <c r="AH2500" s="661" t="str">
        <f>IF(AND($Y2500&gt;=22, (AI2500&lt;&gt;"I"),(Y2500&lt;&gt;"~"),(COUNTIF($AN$1:$AN2500,$AN2500)=1)),"TRUE","FALSE")</f>
        <v>FALSE</v>
      </c>
      <c r="AI2500" s="661" t="str">
        <f t="shared" si="271"/>
        <v>II</v>
      </c>
      <c r="AJ2500" s="662" t="str">
        <f t="shared" si="272"/>
        <v>F250-075</v>
      </c>
      <c r="AK2500" s="662" t="str">
        <f t="shared" si="273"/>
        <v>LTK</v>
      </c>
      <c r="AL2500" s="662" t="str">
        <f t="shared" si="274"/>
        <v>FRD</v>
      </c>
      <c r="AM2500" s="662" t="str">
        <f t="shared" si="270"/>
        <v>F250-Super Cab XLT-4WD-6-6'9"-12400-6.7L Diesel-8-X2B-603A-148-34-Diesel-BioDiesel</v>
      </c>
      <c r="AN2500" s="662" t="str">
        <f t="shared" si="275"/>
        <v>2019-LTK-FRD-F250-075</v>
      </c>
    </row>
    <row r="2501" spans="1:40" s="572" customFormat="1" ht="15">
      <c r="A2501" s="570" t="s">
        <v>4479</v>
      </c>
      <c r="B2501" s="573" t="s">
        <v>4480</v>
      </c>
      <c r="C2501" s="573" t="s">
        <v>269</v>
      </c>
      <c r="D2501" s="578" t="s">
        <v>270</v>
      </c>
      <c r="E2501" s="573" t="s">
        <v>3374</v>
      </c>
      <c r="F2501" s="573" t="s">
        <v>196</v>
      </c>
      <c r="G2501" s="573" t="s">
        <v>271</v>
      </c>
      <c r="H2501" s="573">
        <v>2019</v>
      </c>
      <c r="I2501" s="573" t="s">
        <v>4229</v>
      </c>
      <c r="J2501" s="573" t="s">
        <v>4070</v>
      </c>
      <c r="K2501" s="573" t="s">
        <v>752</v>
      </c>
      <c r="L2501" s="573">
        <v>6</v>
      </c>
      <c r="M2501" s="573">
        <v>0</v>
      </c>
      <c r="N2501" s="573" t="s">
        <v>157</v>
      </c>
      <c r="O2501" s="573">
        <v>2</v>
      </c>
      <c r="P2501" s="573" t="s">
        <v>4230</v>
      </c>
      <c r="Q2501" s="571">
        <v>12600</v>
      </c>
      <c r="R2501" s="573" t="s">
        <v>4235</v>
      </c>
      <c r="S2501" s="573">
        <v>8</v>
      </c>
      <c r="T2501" s="573" t="s">
        <v>4426</v>
      </c>
      <c r="U2501" s="573" t="s">
        <v>4283</v>
      </c>
      <c r="V2501" s="573">
        <v>148</v>
      </c>
      <c r="W2501" s="573">
        <v>34</v>
      </c>
      <c r="X2501" s="571">
        <v>10000</v>
      </c>
      <c r="Y2501" s="573">
        <v>14</v>
      </c>
      <c r="Z2501" s="579" t="s">
        <v>450</v>
      </c>
      <c r="AA2501" s="579" t="s">
        <v>178</v>
      </c>
      <c r="AB2501" s="584">
        <v>43880</v>
      </c>
      <c r="AC2501" s="584" t="s">
        <v>164</v>
      </c>
      <c r="AD2501" s="584">
        <v>31884.547368421056</v>
      </c>
      <c r="AE2501" s="586">
        <v>0.03</v>
      </c>
      <c r="AF2501" s="661" t="str">
        <f t="shared" si="269"/>
        <v>2019-LTK-FRD-F250-076-05</v>
      </c>
      <c r="AG2501" s="661" t="str">
        <f>IF(AND($Y2501&gt;=32,(AI2501="I"),(Y2501&lt;&gt;"~"),(COUNTIF($AN$1:$AN2501,$AN2501)=1)),"TRUE","FALSE")</f>
        <v>FALSE</v>
      </c>
      <c r="AH2501" s="661" t="str">
        <f>IF(AND($Y2501&gt;=22, (AI2501&lt;&gt;"I"),(Y2501&lt;&gt;"~"),(COUNTIF($AN$1:$AN2501,$AN2501)=1)),"TRUE","FALSE")</f>
        <v>FALSE</v>
      </c>
      <c r="AI2501" s="661" t="str">
        <f t="shared" si="271"/>
        <v>II</v>
      </c>
      <c r="AJ2501" s="662" t="str">
        <f t="shared" si="272"/>
        <v>F250-076</v>
      </c>
      <c r="AK2501" s="662" t="str">
        <f t="shared" si="273"/>
        <v>LTK</v>
      </c>
      <c r="AL2501" s="662" t="str">
        <f t="shared" si="274"/>
        <v>FRD</v>
      </c>
      <c r="AM2501" s="662" t="str">
        <f t="shared" si="270"/>
        <v>F250-Super Cab XLT-4WD-6-6'9"-12600-6.2L FFV-8-X2B-603A-148-34-E85-Unleaded</v>
      </c>
      <c r="AN2501" s="662" t="str">
        <f t="shared" si="275"/>
        <v>2019-LTK-FRD-F250-076</v>
      </c>
    </row>
    <row r="2502" spans="1:40" s="572" customFormat="1" ht="15">
      <c r="A2502" s="570" t="s">
        <v>4481</v>
      </c>
      <c r="B2502" s="569" t="s">
        <v>4482</v>
      </c>
      <c r="C2502" s="569" t="s">
        <v>269</v>
      </c>
      <c r="D2502" s="580" t="s">
        <v>270</v>
      </c>
      <c r="E2502" s="569" t="s">
        <v>3374</v>
      </c>
      <c r="F2502" s="569" t="s">
        <v>196</v>
      </c>
      <c r="G2502" s="569" t="s">
        <v>271</v>
      </c>
      <c r="H2502" s="569">
        <v>2019</v>
      </c>
      <c r="I2502" s="569" t="s">
        <v>4229</v>
      </c>
      <c r="J2502" s="569" t="s">
        <v>4070</v>
      </c>
      <c r="K2502" s="569" t="s">
        <v>752</v>
      </c>
      <c r="L2502" s="569">
        <v>6</v>
      </c>
      <c r="M2502" s="569">
        <v>0</v>
      </c>
      <c r="N2502" s="569" t="s">
        <v>157</v>
      </c>
      <c r="O2502" s="569">
        <v>2</v>
      </c>
      <c r="P2502" s="569" t="s">
        <v>3846</v>
      </c>
      <c r="Q2502" s="568">
        <v>12400</v>
      </c>
      <c r="R2502" s="569" t="s">
        <v>4235</v>
      </c>
      <c r="S2502" s="569">
        <v>8</v>
      </c>
      <c r="T2502" s="569" t="s">
        <v>4426</v>
      </c>
      <c r="U2502" s="569" t="s">
        <v>4283</v>
      </c>
      <c r="V2502" s="569">
        <v>164</v>
      </c>
      <c r="W2502" s="569">
        <v>34</v>
      </c>
      <c r="X2502" s="568">
        <v>10000</v>
      </c>
      <c r="Y2502" s="573">
        <v>14</v>
      </c>
      <c r="Z2502" s="581" t="s">
        <v>450</v>
      </c>
      <c r="AA2502" s="581" t="s">
        <v>178</v>
      </c>
      <c r="AB2502" s="585">
        <v>44080</v>
      </c>
      <c r="AC2502" s="585" t="s">
        <v>164</v>
      </c>
      <c r="AD2502" s="585">
        <v>32068.757894736842</v>
      </c>
      <c r="AE2502" s="587">
        <v>0.03</v>
      </c>
      <c r="AF2502" s="661" t="str">
        <f t="shared" si="269"/>
        <v>2019-LTK-FRD-F250-078-05</v>
      </c>
      <c r="AG2502" s="661" t="str">
        <f>IF(AND($Y2502&gt;=32,(AI2502="I"),(Y2502&lt;&gt;"~"),(COUNTIF($AN$1:$AN2502,$AN2502)=1)),"TRUE","FALSE")</f>
        <v>FALSE</v>
      </c>
      <c r="AH2502" s="661" t="str">
        <f>IF(AND($Y2502&gt;=22, (AI2502&lt;&gt;"I"),(Y2502&lt;&gt;"~"),(COUNTIF($AN$1:$AN2502,$AN2502)=1)),"TRUE","FALSE")</f>
        <v>FALSE</v>
      </c>
      <c r="AI2502" s="661" t="str">
        <f t="shared" si="271"/>
        <v>II</v>
      </c>
      <c r="AJ2502" s="662" t="str">
        <f t="shared" si="272"/>
        <v>F250-078</v>
      </c>
      <c r="AK2502" s="662" t="str">
        <f t="shared" si="273"/>
        <v>LTK</v>
      </c>
      <c r="AL2502" s="662" t="str">
        <f t="shared" si="274"/>
        <v>FRD</v>
      </c>
      <c r="AM2502" s="662" t="str">
        <f t="shared" si="270"/>
        <v>F250-Super Cab XLT-4WD-6-8'-12400-6.2L FFV-8-X2B-603A-164-34-E85-Unleaded</v>
      </c>
      <c r="AN2502" s="662" t="str">
        <f t="shared" si="275"/>
        <v>2019-LTK-FRD-F250-078</v>
      </c>
    </row>
    <row r="2503" spans="1:40" s="572" customFormat="1" ht="15">
      <c r="A2503" s="570" t="s">
        <v>4483</v>
      </c>
      <c r="B2503" s="573" t="s">
        <v>4484</v>
      </c>
      <c r="C2503" s="573" t="s">
        <v>269</v>
      </c>
      <c r="D2503" s="578" t="s">
        <v>270</v>
      </c>
      <c r="E2503" s="573" t="s">
        <v>3374</v>
      </c>
      <c r="F2503" s="573" t="s">
        <v>196</v>
      </c>
      <c r="G2503" s="573" t="s">
        <v>271</v>
      </c>
      <c r="H2503" s="573">
        <v>2019</v>
      </c>
      <c r="I2503" s="573" t="s">
        <v>4229</v>
      </c>
      <c r="J2503" s="573" t="s">
        <v>4070</v>
      </c>
      <c r="K2503" s="573" t="s">
        <v>752</v>
      </c>
      <c r="L2503" s="573">
        <v>6</v>
      </c>
      <c r="M2503" s="573">
        <v>0</v>
      </c>
      <c r="N2503" s="573" t="s">
        <v>157</v>
      </c>
      <c r="O2503" s="573">
        <v>2</v>
      </c>
      <c r="P2503" s="573" t="s">
        <v>3846</v>
      </c>
      <c r="Q2503" s="571">
        <v>12400</v>
      </c>
      <c r="R2503" s="573" t="s">
        <v>4231</v>
      </c>
      <c r="S2503" s="573">
        <v>8</v>
      </c>
      <c r="T2503" s="573" t="s">
        <v>4426</v>
      </c>
      <c r="U2503" s="573" t="s">
        <v>4283</v>
      </c>
      <c r="V2503" s="573">
        <v>164</v>
      </c>
      <c r="W2503" s="573">
        <v>34</v>
      </c>
      <c r="X2503" s="571">
        <v>10000</v>
      </c>
      <c r="Y2503" s="573">
        <v>14</v>
      </c>
      <c r="Z2503" s="579" t="s">
        <v>728</v>
      </c>
      <c r="AA2503" s="579" t="s">
        <v>1523</v>
      </c>
      <c r="AB2503" s="584">
        <v>53650</v>
      </c>
      <c r="AC2503" s="584" t="s">
        <v>164</v>
      </c>
      <c r="AD2503" s="584">
        <v>40706.947368421053</v>
      </c>
      <c r="AE2503" s="586">
        <v>0.03</v>
      </c>
      <c r="AF2503" s="661" t="str">
        <f t="shared" si="269"/>
        <v>2019-LTK-FRD-F250-079-05</v>
      </c>
      <c r="AG2503" s="661" t="str">
        <f>IF(AND($Y2503&gt;=32,(AI2503="I"),(Y2503&lt;&gt;"~"),(COUNTIF($AN$1:$AN2503,$AN2503)=1)),"TRUE","FALSE")</f>
        <v>FALSE</v>
      </c>
      <c r="AH2503" s="661" t="str">
        <f>IF(AND($Y2503&gt;=22, (AI2503&lt;&gt;"I"),(Y2503&lt;&gt;"~"),(COUNTIF($AN$1:$AN2503,$AN2503)=1)),"TRUE","FALSE")</f>
        <v>FALSE</v>
      </c>
      <c r="AI2503" s="661" t="str">
        <f t="shared" si="271"/>
        <v>II</v>
      </c>
      <c r="AJ2503" s="662" t="str">
        <f t="shared" si="272"/>
        <v>F250-079</v>
      </c>
      <c r="AK2503" s="662" t="str">
        <f t="shared" si="273"/>
        <v>LTK</v>
      </c>
      <c r="AL2503" s="662" t="str">
        <f t="shared" si="274"/>
        <v>FRD</v>
      </c>
      <c r="AM2503" s="662" t="str">
        <f t="shared" si="270"/>
        <v>F250-Super Cab XLT-4WD-6-8'-12400-6.7L Diesel-8-X2B-603A-164-34-Diesel-BioDiesel</v>
      </c>
      <c r="AN2503" s="662" t="str">
        <f t="shared" si="275"/>
        <v>2019-LTK-FRD-F250-079</v>
      </c>
    </row>
    <row r="2504" spans="1:40" s="572" customFormat="1" ht="15">
      <c r="A2504" s="570" t="s">
        <v>4485</v>
      </c>
      <c r="B2504" s="569" t="s">
        <v>4486</v>
      </c>
      <c r="C2504" s="569" t="s">
        <v>269</v>
      </c>
      <c r="D2504" s="580" t="s">
        <v>270</v>
      </c>
      <c r="E2504" s="569" t="s">
        <v>3374</v>
      </c>
      <c r="F2504" s="569" t="s">
        <v>196</v>
      </c>
      <c r="G2504" s="569" t="s">
        <v>271</v>
      </c>
      <c r="H2504" s="569">
        <v>2019</v>
      </c>
      <c r="I2504" s="569" t="s">
        <v>4229</v>
      </c>
      <c r="J2504" s="569" t="s">
        <v>4070</v>
      </c>
      <c r="K2504" s="569" t="s">
        <v>752</v>
      </c>
      <c r="L2504" s="569">
        <v>6</v>
      </c>
      <c r="M2504" s="569">
        <v>0</v>
      </c>
      <c r="N2504" s="569" t="s">
        <v>157</v>
      </c>
      <c r="O2504" s="569">
        <v>2</v>
      </c>
      <c r="P2504" s="569" t="s">
        <v>3846</v>
      </c>
      <c r="Q2504" s="568">
        <v>12600</v>
      </c>
      <c r="R2504" s="569" t="s">
        <v>4235</v>
      </c>
      <c r="S2504" s="569">
        <v>8</v>
      </c>
      <c r="T2504" s="569" t="s">
        <v>4426</v>
      </c>
      <c r="U2504" s="569" t="s">
        <v>4283</v>
      </c>
      <c r="V2504" s="569">
        <v>164</v>
      </c>
      <c r="W2504" s="569">
        <v>34</v>
      </c>
      <c r="X2504" s="568">
        <v>10000</v>
      </c>
      <c r="Y2504" s="573">
        <v>14</v>
      </c>
      <c r="Z2504" s="581" t="s">
        <v>450</v>
      </c>
      <c r="AA2504" s="581" t="s">
        <v>178</v>
      </c>
      <c r="AB2504" s="585">
        <v>44080</v>
      </c>
      <c r="AC2504" s="585" t="s">
        <v>164</v>
      </c>
      <c r="AD2504" s="585">
        <v>32068.757894736842</v>
      </c>
      <c r="AE2504" s="587">
        <v>0.03</v>
      </c>
      <c r="AF2504" s="661" t="str">
        <f t="shared" ref="AF2504:AF2567" si="276">A2504</f>
        <v>2019-LTK-FRD-F250-080-05</v>
      </c>
      <c r="AG2504" s="661" t="str">
        <f>IF(AND($Y2504&gt;=32,(AI2504="I"),(Y2504&lt;&gt;"~"),(COUNTIF($AN$1:$AN2504,$AN2504)=1)),"TRUE","FALSE")</f>
        <v>FALSE</v>
      </c>
      <c r="AH2504" s="661" t="str">
        <f>IF(AND($Y2504&gt;=22, (AI2504&lt;&gt;"I"),(Y2504&lt;&gt;"~"),(COUNTIF($AN$1:$AN2504,$AN2504)=1)),"TRUE","FALSE")</f>
        <v>FALSE</v>
      </c>
      <c r="AI2504" s="661" t="str">
        <f t="shared" si="271"/>
        <v>II</v>
      </c>
      <c r="AJ2504" s="662" t="str">
        <f t="shared" si="272"/>
        <v>F250-080</v>
      </c>
      <c r="AK2504" s="662" t="str">
        <f t="shared" si="273"/>
        <v>LTK</v>
      </c>
      <c r="AL2504" s="662" t="str">
        <f t="shared" si="274"/>
        <v>FRD</v>
      </c>
      <c r="AM2504" s="662" t="str">
        <f t="shared" si="270"/>
        <v>F250-Super Cab XLT-4WD-6-8'-12600-6.2L FFV-8-X2B-603A-164-34-E85-Unleaded</v>
      </c>
      <c r="AN2504" s="662" t="str">
        <f t="shared" si="275"/>
        <v>2019-LTK-FRD-F250-080</v>
      </c>
    </row>
    <row r="2505" spans="1:40" s="572" customFormat="1" ht="15">
      <c r="A2505" s="570" t="s">
        <v>4487</v>
      </c>
      <c r="B2505" s="573" t="s">
        <v>4476</v>
      </c>
      <c r="C2505" s="573" t="s">
        <v>278</v>
      </c>
      <c r="D2505" s="578">
        <v>15</v>
      </c>
      <c r="E2505" s="573" t="s">
        <v>3374</v>
      </c>
      <c r="F2505" s="573" t="s">
        <v>196</v>
      </c>
      <c r="G2505" s="573" t="s">
        <v>271</v>
      </c>
      <c r="H2505" s="573">
        <v>2019</v>
      </c>
      <c r="I2505" s="573" t="s">
        <v>4229</v>
      </c>
      <c r="J2505" s="573" t="s">
        <v>4070</v>
      </c>
      <c r="K2505" s="573" t="s">
        <v>752</v>
      </c>
      <c r="L2505" s="573">
        <v>6</v>
      </c>
      <c r="M2505" s="573">
        <v>0</v>
      </c>
      <c r="N2505" s="573" t="s">
        <v>157</v>
      </c>
      <c r="O2505" s="573">
        <v>2</v>
      </c>
      <c r="P2505" s="573" t="s">
        <v>4230</v>
      </c>
      <c r="Q2505" s="571">
        <v>12400</v>
      </c>
      <c r="R2505" s="573" t="s">
        <v>4235</v>
      </c>
      <c r="S2505" s="573">
        <v>8</v>
      </c>
      <c r="T2505" s="573" t="s">
        <v>4426</v>
      </c>
      <c r="U2505" s="573" t="s">
        <v>4283</v>
      </c>
      <c r="V2505" s="573">
        <v>148</v>
      </c>
      <c r="W2505" s="573">
        <v>34</v>
      </c>
      <c r="X2505" s="571">
        <v>10000</v>
      </c>
      <c r="Y2505" s="573">
        <v>14</v>
      </c>
      <c r="Z2505" s="579" t="s">
        <v>450</v>
      </c>
      <c r="AA2505" s="579" t="s">
        <v>178</v>
      </c>
      <c r="AB2505" s="584">
        <v>44330</v>
      </c>
      <c r="AC2505" s="584" t="s">
        <v>164</v>
      </c>
      <c r="AD2505" s="584">
        <v>32500</v>
      </c>
      <c r="AE2505" s="586">
        <v>0.01</v>
      </c>
      <c r="AF2505" s="661" t="str">
        <f t="shared" si="276"/>
        <v>2019-LTK-FRD-F250-074-15</v>
      </c>
      <c r="AG2505" s="661" t="str">
        <f>IF(AND($Y2505&gt;=32,(AI2505="I"),(Y2505&lt;&gt;"~"),(COUNTIF($AN$1:$AN2505,$AN2505)=1)),"TRUE","FALSE")</f>
        <v>FALSE</v>
      </c>
      <c r="AH2505" s="661" t="str">
        <f>IF(AND($Y2505&gt;=22, (AI2505&lt;&gt;"I"),(Y2505&lt;&gt;"~"),(COUNTIF($AN$1:$AN2505,$AN2505)=1)),"TRUE","FALSE")</f>
        <v>FALSE</v>
      </c>
      <c r="AI2505" s="661" t="str">
        <f t="shared" si="271"/>
        <v>II</v>
      </c>
      <c r="AJ2505" s="662" t="str">
        <f t="shared" si="272"/>
        <v>F250-074</v>
      </c>
      <c r="AK2505" s="662" t="str">
        <f t="shared" si="273"/>
        <v>LTK</v>
      </c>
      <c r="AL2505" s="662" t="str">
        <f t="shared" si="274"/>
        <v>FRD</v>
      </c>
      <c r="AM2505" s="662" t="str">
        <f t="shared" si="270"/>
        <v>F250-Super Cab XLT-4WD-6-6'9"-12400-6.2L FFV-8-X2B-603A-148-34-E85-Unleaded</v>
      </c>
      <c r="AN2505" s="662" t="str">
        <f t="shared" si="275"/>
        <v>2019-LTK-FRD-F250-074</v>
      </c>
    </row>
    <row r="2506" spans="1:40" s="572" customFormat="1" ht="15">
      <c r="A2506" s="570" t="s">
        <v>4488</v>
      </c>
      <c r="B2506" s="569" t="s">
        <v>4478</v>
      </c>
      <c r="C2506" s="569" t="s">
        <v>278</v>
      </c>
      <c r="D2506" s="580">
        <v>15</v>
      </c>
      <c r="E2506" s="569" t="s">
        <v>3374</v>
      </c>
      <c r="F2506" s="569" t="s">
        <v>196</v>
      </c>
      <c r="G2506" s="569" t="s">
        <v>271</v>
      </c>
      <c r="H2506" s="569">
        <v>2019</v>
      </c>
      <c r="I2506" s="569" t="s">
        <v>4229</v>
      </c>
      <c r="J2506" s="569" t="s">
        <v>4070</v>
      </c>
      <c r="K2506" s="569" t="s">
        <v>752</v>
      </c>
      <c r="L2506" s="569">
        <v>6</v>
      </c>
      <c r="M2506" s="569">
        <v>0</v>
      </c>
      <c r="N2506" s="569" t="s">
        <v>157</v>
      </c>
      <c r="O2506" s="569">
        <v>2</v>
      </c>
      <c r="P2506" s="569" t="s">
        <v>4230</v>
      </c>
      <c r="Q2506" s="568">
        <v>12400</v>
      </c>
      <c r="R2506" s="569" t="s">
        <v>4231</v>
      </c>
      <c r="S2506" s="569">
        <v>8</v>
      </c>
      <c r="T2506" s="569" t="s">
        <v>4426</v>
      </c>
      <c r="U2506" s="569" t="s">
        <v>4283</v>
      </c>
      <c r="V2506" s="569">
        <v>148</v>
      </c>
      <c r="W2506" s="569">
        <v>35</v>
      </c>
      <c r="X2506" s="568">
        <v>10000</v>
      </c>
      <c r="Y2506" s="573">
        <v>14</v>
      </c>
      <c r="Z2506" s="581" t="s">
        <v>728</v>
      </c>
      <c r="AA2506" s="581" t="s">
        <v>1523</v>
      </c>
      <c r="AB2506" s="585">
        <v>53450</v>
      </c>
      <c r="AC2506" s="585" t="s">
        <v>164</v>
      </c>
      <c r="AD2506" s="585">
        <v>40750</v>
      </c>
      <c r="AE2506" s="587">
        <v>0.01</v>
      </c>
      <c r="AF2506" s="661" t="str">
        <f t="shared" si="276"/>
        <v>2019-LTK-FRD-F250-075-15</v>
      </c>
      <c r="AG2506" s="661" t="str">
        <f>IF(AND($Y2506&gt;=32,(AI2506="I"),(Y2506&lt;&gt;"~"),(COUNTIF($AN$1:$AN2506,$AN2506)=1)),"TRUE","FALSE")</f>
        <v>FALSE</v>
      </c>
      <c r="AH2506" s="661" t="str">
        <f>IF(AND($Y2506&gt;=22, (AI2506&lt;&gt;"I"),(Y2506&lt;&gt;"~"),(COUNTIF($AN$1:$AN2506,$AN2506)=1)),"TRUE","FALSE")</f>
        <v>FALSE</v>
      </c>
      <c r="AI2506" s="661" t="str">
        <f t="shared" si="271"/>
        <v>II</v>
      </c>
      <c r="AJ2506" s="662" t="str">
        <f t="shared" si="272"/>
        <v>F250-075</v>
      </c>
      <c r="AK2506" s="662" t="str">
        <f t="shared" si="273"/>
        <v>LTK</v>
      </c>
      <c r="AL2506" s="662" t="str">
        <f t="shared" si="274"/>
        <v>FRD</v>
      </c>
      <c r="AM2506" s="662" t="str">
        <f t="shared" si="270"/>
        <v>F250-Super Cab XLT-4WD-6-6'9"-12400-6.7L Diesel-8-X2B-603A-148-35-Diesel-BioDiesel</v>
      </c>
      <c r="AN2506" s="662" t="str">
        <f t="shared" si="275"/>
        <v>2019-LTK-FRD-F250-075</v>
      </c>
    </row>
    <row r="2507" spans="1:40" s="572" customFormat="1" ht="15">
      <c r="A2507" s="570" t="s">
        <v>4489</v>
      </c>
      <c r="B2507" s="573" t="s">
        <v>4482</v>
      </c>
      <c r="C2507" s="573" t="s">
        <v>278</v>
      </c>
      <c r="D2507" s="578">
        <v>15</v>
      </c>
      <c r="E2507" s="573" t="s">
        <v>3374</v>
      </c>
      <c r="F2507" s="573" t="s">
        <v>196</v>
      </c>
      <c r="G2507" s="573" t="s">
        <v>271</v>
      </c>
      <c r="H2507" s="573">
        <v>2019</v>
      </c>
      <c r="I2507" s="573" t="s">
        <v>4229</v>
      </c>
      <c r="J2507" s="573" t="s">
        <v>4070</v>
      </c>
      <c r="K2507" s="573" t="s">
        <v>752</v>
      </c>
      <c r="L2507" s="573">
        <v>6</v>
      </c>
      <c r="M2507" s="573">
        <v>0</v>
      </c>
      <c r="N2507" s="573" t="s">
        <v>157</v>
      </c>
      <c r="O2507" s="573">
        <v>2</v>
      </c>
      <c r="P2507" s="573" t="s">
        <v>3846</v>
      </c>
      <c r="Q2507" s="571">
        <v>12400</v>
      </c>
      <c r="R2507" s="573" t="s">
        <v>4235</v>
      </c>
      <c r="S2507" s="573">
        <v>8</v>
      </c>
      <c r="T2507" s="573" t="s">
        <v>4426</v>
      </c>
      <c r="U2507" s="573" t="s">
        <v>4283</v>
      </c>
      <c r="V2507" s="573">
        <v>164</v>
      </c>
      <c r="W2507" s="573">
        <v>34</v>
      </c>
      <c r="X2507" s="571">
        <v>10000</v>
      </c>
      <c r="Y2507" s="573">
        <v>14</v>
      </c>
      <c r="Z2507" s="579" t="s">
        <v>450</v>
      </c>
      <c r="AA2507" s="579" t="s">
        <v>178</v>
      </c>
      <c r="AB2507" s="584">
        <v>44530</v>
      </c>
      <c r="AC2507" s="584" t="s">
        <v>164</v>
      </c>
      <c r="AD2507" s="584">
        <v>32650</v>
      </c>
      <c r="AE2507" s="586">
        <v>0.01</v>
      </c>
      <c r="AF2507" s="661" t="str">
        <f t="shared" si="276"/>
        <v>2019-LTK-FRD-F250-078-15</v>
      </c>
      <c r="AG2507" s="661" t="str">
        <f>IF(AND($Y2507&gt;=32,(AI2507="I"),(Y2507&lt;&gt;"~"),(COUNTIF($AN$1:$AN2507,$AN2507)=1)),"TRUE","FALSE")</f>
        <v>FALSE</v>
      </c>
      <c r="AH2507" s="661" t="str">
        <f>IF(AND($Y2507&gt;=22, (AI2507&lt;&gt;"I"),(Y2507&lt;&gt;"~"),(COUNTIF($AN$1:$AN2507,$AN2507)=1)),"TRUE","FALSE")</f>
        <v>FALSE</v>
      </c>
      <c r="AI2507" s="661" t="str">
        <f t="shared" si="271"/>
        <v>II</v>
      </c>
      <c r="AJ2507" s="662" t="str">
        <f t="shared" si="272"/>
        <v>F250-078</v>
      </c>
      <c r="AK2507" s="662" t="str">
        <f t="shared" si="273"/>
        <v>LTK</v>
      </c>
      <c r="AL2507" s="662" t="str">
        <f t="shared" si="274"/>
        <v>FRD</v>
      </c>
      <c r="AM2507" s="662" t="str">
        <f t="shared" si="270"/>
        <v>F250-Super Cab XLT-4WD-6-8'-12400-6.2L FFV-8-X2B-603A-164-34-E85-Unleaded</v>
      </c>
      <c r="AN2507" s="662" t="str">
        <f t="shared" si="275"/>
        <v>2019-LTK-FRD-F250-078</v>
      </c>
    </row>
    <row r="2508" spans="1:40" s="572" customFormat="1" ht="15">
      <c r="A2508" s="570" t="s">
        <v>4490</v>
      </c>
      <c r="B2508" s="569" t="s">
        <v>4484</v>
      </c>
      <c r="C2508" s="569" t="s">
        <v>278</v>
      </c>
      <c r="D2508" s="580">
        <v>15</v>
      </c>
      <c r="E2508" s="569" t="s">
        <v>3374</v>
      </c>
      <c r="F2508" s="569" t="s">
        <v>196</v>
      </c>
      <c r="G2508" s="569" t="s">
        <v>271</v>
      </c>
      <c r="H2508" s="569">
        <v>2019</v>
      </c>
      <c r="I2508" s="569" t="s">
        <v>4229</v>
      </c>
      <c r="J2508" s="569" t="s">
        <v>4070</v>
      </c>
      <c r="K2508" s="569" t="s">
        <v>752</v>
      </c>
      <c r="L2508" s="569">
        <v>6</v>
      </c>
      <c r="M2508" s="569">
        <v>0</v>
      </c>
      <c r="N2508" s="569" t="s">
        <v>157</v>
      </c>
      <c r="O2508" s="569">
        <v>2</v>
      </c>
      <c r="P2508" s="569" t="s">
        <v>3846</v>
      </c>
      <c r="Q2508" s="568">
        <v>12400</v>
      </c>
      <c r="R2508" s="569" t="s">
        <v>4231</v>
      </c>
      <c r="S2508" s="569">
        <v>8</v>
      </c>
      <c r="T2508" s="569" t="s">
        <v>4426</v>
      </c>
      <c r="U2508" s="569" t="s">
        <v>4283</v>
      </c>
      <c r="V2508" s="569">
        <v>164</v>
      </c>
      <c r="W2508" s="569">
        <v>35</v>
      </c>
      <c r="X2508" s="568">
        <v>10000</v>
      </c>
      <c r="Y2508" s="573">
        <v>14</v>
      </c>
      <c r="Z2508" s="581" t="s">
        <v>728</v>
      </c>
      <c r="AA2508" s="581" t="s">
        <v>1523</v>
      </c>
      <c r="AB2508" s="585">
        <v>53650</v>
      </c>
      <c r="AC2508" s="585" t="s">
        <v>164</v>
      </c>
      <c r="AD2508" s="585">
        <v>40950</v>
      </c>
      <c r="AE2508" s="587">
        <v>0.01</v>
      </c>
      <c r="AF2508" s="661" t="str">
        <f t="shared" si="276"/>
        <v>2019-LTK-FRD-F250-079-15</v>
      </c>
      <c r="AG2508" s="661" t="str">
        <f>IF(AND($Y2508&gt;=32,(AI2508="I"),(Y2508&lt;&gt;"~"),(COUNTIF($AN$1:$AN2508,$AN2508)=1)),"TRUE","FALSE")</f>
        <v>FALSE</v>
      </c>
      <c r="AH2508" s="661" t="str">
        <f>IF(AND($Y2508&gt;=22, (AI2508&lt;&gt;"I"),(Y2508&lt;&gt;"~"),(COUNTIF($AN$1:$AN2508,$AN2508)=1)),"TRUE","FALSE")</f>
        <v>FALSE</v>
      </c>
      <c r="AI2508" s="661" t="str">
        <f t="shared" si="271"/>
        <v>II</v>
      </c>
      <c r="AJ2508" s="662" t="str">
        <f t="shared" si="272"/>
        <v>F250-079</v>
      </c>
      <c r="AK2508" s="662" t="str">
        <f t="shared" si="273"/>
        <v>LTK</v>
      </c>
      <c r="AL2508" s="662" t="str">
        <f t="shared" si="274"/>
        <v>FRD</v>
      </c>
      <c r="AM2508" s="662" t="str">
        <f t="shared" si="270"/>
        <v>F250-Super Cab XLT-4WD-6-8'-12400-6.7L Diesel-8-X2B-603A-164-35-Diesel-BioDiesel</v>
      </c>
      <c r="AN2508" s="662" t="str">
        <f t="shared" si="275"/>
        <v>2019-LTK-FRD-F250-079</v>
      </c>
    </row>
    <row r="2509" spans="1:40" s="572" customFormat="1" ht="15">
      <c r="A2509" s="570" t="s">
        <v>4491</v>
      </c>
      <c r="B2509" s="573" t="s">
        <v>4476</v>
      </c>
      <c r="C2509" s="573" t="s">
        <v>287</v>
      </c>
      <c r="D2509" s="578">
        <v>26</v>
      </c>
      <c r="E2509" s="573" t="s">
        <v>3374</v>
      </c>
      <c r="F2509" s="573" t="s">
        <v>196</v>
      </c>
      <c r="G2509" s="573" t="s">
        <v>271</v>
      </c>
      <c r="H2509" s="573">
        <v>2019</v>
      </c>
      <c r="I2509" s="573" t="s">
        <v>4229</v>
      </c>
      <c r="J2509" s="573" t="s">
        <v>4070</v>
      </c>
      <c r="K2509" s="573" t="s">
        <v>752</v>
      </c>
      <c r="L2509" s="573">
        <v>6</v>
      </c>
      <c r="M2509" s="573">
        <v>0</v>
      </c>
      <c r="N2509" s="573" t="s">
        <v>157</v>
      </c>
      <c r="O2509" s="573">
        <v>2</v>
      </c>
      <c r="P2509" s="573" t="s">
        <v>4230</v>
      </c>
      <c r="Q2509" s="571">
        <v>12400</v>
      </c>
      <c r="R2509" s="573" t="s">
        <v>4235</v>
      </c>
      <c r="S2509" s="573">
        <v>8</v>
      </c>
      <c r="T2509" s="573" t="s">
        <v>4426</v>
      </c>
      <c r="U2509" s="573" t="s">
        <v>4283</v>
      </c>
      <c r="V2509" s="573">
        <v>148</v>
      </c>
      <c r="W2509" s="573">
        <v>34</v>
      </c>
      <c r="X2509" s="571">
        <v>10000</v>
      </c>
      <c r="Y2509" s="573">
        <v>14</v>
      </c>
      <c r="Z2509" s="579" t="s">
        <v>450</v>
      </c>
      <c r="AA2509" s="579" t="s">
        <v>178</v>
      </c>
      <c r="AB2509" s="584">
        <v>43880</v>
      </c>
      <c r="AC2509" s="584" t="s">
        <v>164</v>
      </c>
      <c r="AD2509" s="584">
        <v>32535</v>
      </c>
      <c r="AE2509" s="586">
        <v>0.05</v>
      </c>
      <c r="AF2509" s="661" t="str">
        <f t="shared" si="276"/>
        <v>2019-LTK-FRD-F250-074-26</v>
      </c>
      <c r="AG2509" s="661" t="str">
        <f>IF(AND($Y2509&gt;=32,(AI2509="I"),(Y2509&lt;&gt;"~"),(COUNTIF($AN$1:$AN2509,$AN2509)=1)),"TRUE","FALSE")</f>
        <v>FALSE</v>
      </c>
      <c r="AH2509" s="661" t="str">
        <f>IF(AND($Y2509&gt;=22, (AI2509&lt;&gt;"I"),(Y2509&lt;&gt;"~"),(COUNTIF($AN$1:$AN2509,$AN2509)=1)),"TRUE","FALSE")</f>
        <v>FALSE</v>
      </c>
      <c r="AI2509" s="661" t="str">
        <f t="shared" si="271"/>
        <v>II</v>
      </c>
      <c r="AJ2509" s="662" t="str">
        <f t="shared" si="272"/>
        <v>F250-074</v>
      </c>
      <c r="AK2509" s="662" t="str">
        <f t="shared" si="273"/>
        <v>LTK</v>
      </c>
      <c r="AL2509" s="662" t="str">
        <f t="shared" si="274"/>
        <v>FRD</v>
      </c>
      <c r="AM2509" s="662" t="str">
        <f t="shared" si="270"/>
        <v>F250-Super Cab XLT-4WD-6-6'9"-12400-6.2L FFV-8-X2B-603A-148-34-E85-Unleaded</v>
      </c>
      <c r="AN2509" s="662" t="str">
        <f t="shared" si="275"/>
        <v>2019-LTK-FRD-F250-074</v>
      </c>
    </row>
    <row r="2510" spans="1:40" s="572" customFormat="1" ht="15">
      <c r="A2510" s="570" t="s">
        <v>4492</v>
      </c>
      <c r="B2510" s="569" t="s">
        <v>4478</v>
      </c>
      <c r="C2510" s="569" t="s">
        <v>287</v>
      </c>
      <c r="D2510" s="580">
        <v>26</v>
      </c>
      <c r="E2510" s="569" t="s">
        <v>3374</v>
      </c>
      <c r="F2510" s="569" t="s">
        <v>196</v>
      </c>
      <c r="G2510" s="569" t="s">
        <v>271</v>
      </c>
      <c r="H2510" s="569">
        <v>2019</v>
      </c>
      <c r="I2510" s="569" t="s">
        <v>4229</v>
      </c>
      <c r="J2510" s="569" t="s">
        <v>4070</v>
      </c>
      <c r="K2510" s="569" t="s">
        <v>752</v>
      </c>
      <c r="L2510" s="569">
        <v>6</v>
      </c>
      <c r="M2510" s="569">
        <v>0</v>
      </c>
      <c r="N2510" s="569" t="s">
        <v>157</v>
      </c>
      <c r="O2510" s="569">
        <v>2</v>
      </c>
      <c r="P2510" s="569" t="s">
        <v>4230</v>
      </c>
      <c r="Q2510" s="568">
        <v>12400</v>
      </c>
      <c r="R2510" s="569" t="s">
        <v>4231</v>
      </c>
      <c r="S2510" s="569">
        <v>8</v>
      </c>
      <c r="T2510" s="569" t="s">
        <v>4426</v>
      </c>
      <c r="U2510" s="569" t="s">
        <v>4283</v>
      </c>
      <c r="V2510" s="569">
        <v>148</v>
      </c>
      <c r="W2510" s="569">
        <v>35</v>
      </c>
      <c r="X2510" s="568">
        <v>10000</v>
      </c>
      <c r="Y2510" s="573">
        <v>14</v>
      </c>
      <c r="Z2510" s="581" t="s">
        <v>728</v>
      </c>
      <c r="AA2510" s="581" t="s">
        <v>1523</v>
      </c>
      <c r="AB2510" s="585">
        <v>52875</v>
      </c>
      <c r="AC2510" s="585" t="s">
        <v>164</v>
      </c>
      <c r="AD2510" s="585">
        <v>40729</v>
      </c>
      <c r="AE2510" s="587">
        <v>0.05</v>
      </c>
      <c r="AF2510" s="661" t="str">
        <f t="shared" si="276"/>
        <v>2019-LTK-FRD-F250-075-26</v>
      </c>
      <c r="AG2510" s="661" t="str">
        <f>IF(AND($Y2510&gt;=32,(AI2510="I"),(Y2510&lt;&gt;"~"),(COUNTIF($AN$1:$AN2510,$AN2510)=1)),"TRUE","FALSE")</f>
        <v>FALSE</v>
      </c>
      <c r="AH2510" s="661" t="str">
        <f>IF(AND($Y2510&gt;=22, (AI2510&lt;&gt;"I"),(Y2510&lt;&gt;"~"),(COUNTIF($AN$1:$AN2510,$AN2510)=1)),"TRUE","FALSE")</f>
        <v>FALSE</v>
      </c>
      <c r="AI2510" s="661" t="str">
        <f t="shared" si="271"/>
        <v>II</v>
      </c>
      <c r="AJ2510" s="662" t="str">
        <f t="shared" si="272"/>
        <v>F250-075</v>
      </c>
      <c r="AK2510" s="662" t="str">
        <f t="shared" si="273"/>
        <v>LTK</v>
      </c>
      <c r="AL2510" s="662" t="str">
        <f t="shared" si="274"/>
        <v>FRD</v>
      </c>
      <c r="AM2510" s="662" t="str">
        <f t="shared" si="270"/>
        <v>F250-Super Cab XLT-4WD-6-6'9"-12400-6.7L Diesel-8-X2B-603A-148-35-Diesel-BioDiesel</v>
      </c>
      <c r="AN2510" s="662" t="str">
        <f t="shared" si="275"/>
        <v>2019-LTK-FRD-F250-075</v>
      </c>
    </row>
    <row r="2511" spans="1:40" s="572" customFormat="1" ht="15">
      <c r="A2511" s="570" t="s">
        <v>4493</v>
      </c>
      <c r="B2511" s="573" t="s">
        <v>4482</v>
      </c>
      <c r="C2511" s="573" t="s">
        <v>287</v>
      </c>
      <c r="D2511" s="578">
        <v>26</v>
      </c>
      <c r="E2511" s="573" t="s">
        <v>3374</v>
      </c>
      <c r="F2511" s="573" t="s">
        <v>196</v>
      </c>
      <c r="G2511" s="573" t="s">
        <v>271</v>
      </c>
      <c r="H2511" s="573">
        <v>2019</v>
      </c>
      <c r="I2511" s="573" t="s">
        <v>4229</v>
      </c>
      <c r="J2511" s="573" t="s">
        <v>4070</v>
      </c>
      <c r="K2511" s="573" t="s">
        <v>752</v>
      </c>
      <c r="L2511" s="573">
        <v>6</v>
      </c>
      <c r="M2511" s="573">
        <v>0</v>
      </c>
      <c r="N2511" s="573" t="s">
        <v>157</v>
      </c>
      <c r="O2511" s="573">
        <v>2</v>
      </c>
      <c r="P2511" s="573" t="s">
        <v>3846</v>
      </c>
      <c r="Q2511" s="571">
        <v>12400</v>
      </c>
      <c r="R2511" s="573" t="s">
        <v>4235</v>
      </c>
      <c r="S2511" s="573">
        <v>8</v>
      </c>
      <c r="T2511" s="573" t="s">
        <v>4426</v>
      </c>
      <c r="U2511" s="573" t="s">
        <v>4283</v>
      </c>
      <c r="V2511" s="573">
        <v>164</v>
      </c>
      <c r="W2511" s="573">
        <v>34</v>
      </c>
      <c r="X2511" s="571">
        <v>10000</v>
      </c>
      <c r="Y2511" s="573">
        <v>14</v>
      </c>
      <c r="Z2511" s="579" t="s">
        <v>450</v>
      </c>
      <c r="AA2511" s="579" t="s">
        <v>178</v>
      </c>
      <c r="AB2511" s="584">
        <v>44080</v>
      </c>
      <c r="AC2511" s="584" t="s">
        <v>164</v>
      </c>
      <c r="AD2511" s="584">
        <v>32722</v>
      </c>
      <c r="AE2511" s="586">
        <v>0.05</v>
      </c>
      <c r="AF2511" s="661" t="str">
        <f t="shared" si="276"/>
        <v>2019-LTK-FRD-F250-078-26</v>
      </c>
      <c r="AG2511" s="661" t="str">
        <f>IF(AND($Y2511&gt;=32,(AI2511="I"),(Y2511&lt;&gt;"~"),(COUNTIF($AN$1:$AN2511,$AN2511)=1)),"TRUE","FALSE")</f>
        <v>FALSE</v>
      </c>
      <c r="AH2511" s="661" t="str">
        <f>IF(AND($Y2511&gt;=22, (AI2511&lt;&gt;"I"),(Y2511&lt;&gt;"~"),(COUNTIF($AN$1:$AN2511,$AN2511)=1)),"TRUE","FALSE")</f>
        <v>FALSE</v>
      </c>
      <c r="AI2511" s="661" t="str">
        <f t="shared" si="271"/>
        <v>II</v>
      </c>
      <c r="AJ2511" s="662" t="str">
        <f t="shared" si="272"/>
        <v>F250-078</v>
      </c>
      <c r="AK2511" s="662" t="str">
        <f t="shared" si="273"/>
        <v>LTK</v>
      </c>
      <c r="AL2511" s="662" t="str">
        <f t="shared" si="274"/>
        <v>FRD</v>
      </c>
      <c r="AM2511" s="662" t="str">
        <f t="shared" si="270"/>
        <v>F250-Super Cab XLT-4WD-6-8'-12400-6.2L FFV-8-X2B-603A-164-34-E85-Unleaded</v>
      </c>
      <c r="AN2511" s="662" t="str">
        <f t="shared" si="275"/>
        <v>2019-LTK-FRD-F250-078</v>
      </c>
    </row>
    <row r="2512" spans="1:40" s="572" customFormat="1" ht="15">
      <c r="A2512" s="570" t="s">
        <v>4494</v>
      </c>
      <c r="B2512" s="569" t="s">
        <v>4484</v>
      </c>
      <c r="C2512" s="569" t="s">
        <v>287</v>
      </c>
      <c r="D2512" s="580">
        <v>26</v>
      </c>
      <c r="E2512" s="569" t="s">
        <v>3374</v>
      </c>
      <c r="F2512" s="569" t="s">
        <v>196</v>
      </c>
      <c r="G2512" s="569" t="s">
        <v>271</v>
      </c>
      <c r="H2512" s="569">
        <v>2019</v>
      </c>
      <c r="I2512" s="569" t="s">
        <v>4229</v>
      </c>
      <c r="J2512" s="569" t="s">
        <v>4070</v>
      </c>
      <c r="K2512" s="569" t="s">
        <v>752</v>
      </c>
      <c r="L2512" s="569">
        <v>6</v>
      </c>
      <c r="M2512" s="569">
        <v>0</v>
      </c>
      <c r="N2512" s="569" t="s">
        <v>157</v>
      </c>
      <c r="O2512" s="569">
        <v>2</v>
      </c>
      <c r="P2512" s="569" t="s">
        <v>3846</v>
      </c>
      <c r="Q2512" s="568">
        <v>12400</v>
      </c>
      <c r="R2512" s="569" t="s">
        <v>4231</v>
      </c>
      <c r="S2512" s="569">
        <v>8</v>
      </c>
      <c r="T2512" s="569" t="s">
        <v>4426</v>
      </c>
      <c r="U2512" s="569" t="s">
        <v>4283</v>
      </c>
      <c r="V2512" s="569">
        <v>164</v>
      </c>
      <c r="W2512" s="569">
        <v>35</v>
      </c>
      <c r="X2512" s="568">
        <v>10000</v>
      </c>
      <c r="Y2512" s="573">
        <v>14</v>
      </c>
      <c r="Z2512" s="581" t="s">
        <v>728</v>
      </c>
      <c r="AA2512" s="581" t="s">
        <v>1523</v>
      </c>
      <c r="AB2512" s="585">
        <v>53075</v>
      </c>
      <c r="AC2512" s="585" t="s">
        <v>164</v>
      </c>
      <c r="AD2512" s="585">
        <v>40917</v>
      </c>
      <c r="AE2512" s="587">
        <v>0.05</v>
      </c>
      <c r="AF2512" s="661" t="str">
        <f t="shared" si="276"/>
        <v>2019-LTK-FRD-F250-079-26</v>
      </c>
      <c r="AG2512" s="661" t="str">
        <f>IF(AND($Y2512&gt;=32,(AI2512="I"),(Y2512&lt;&gt;"~"),(COUNTIF($AN$1:$AN2512,$AN2512)=1)),"TRUE","FALSE")</f>
        <v>FALSE</v>
      </c>
      <c r="AH2512" s="661" t="str">
        <f>IF(AND($Y2512&gt;=22, (AI2512&lt;&gt;"I"),(Y2512&lt;&gt;"~"),(COUNTIF($AN$1:$AN2512,$AN2512)=1)),"TRUE","FALSE")</f>
        <v>FALSE</v>
      </c>
      <c r="AI2512" s="661" t="str">
        <f t="shared" si="271"/>
        <v>II</v>
      </c>
      <c r="AJ2512" s="662" t="str">
        <f t="shared" si="272"/>
        <v>F250-079</v>
      </c>
      <c r="AK2512" s="662" t="str">
        <f t="shared" si="273"/>
        <v>LTK</v>
      </c>
      <c r="AL2512" s="662" t="str">
        <f t="shared" si="274"/>
        <v>FRD</v>
      </c>
      <c r="AM2512" s="662" t="str">
        <f t="shared" si="270"/>
        <v>F250-Super Cab XLT-4WD-6-8'-12400-6.7L Diesel-8-X2B-603A-164-35-Diesel-BioDiesel</v>
      </c>
      <c r="AN2512" s="662" t="str">
        <f t="shared" si="275"/>
        <v>2019-LTK-FRD-F250-079</v>
      </c>
    </row>
    <row r="2513" spans="1:40" s="572" customFormat="1" ht="15">
      <c r="A2513" s="570" t="s">
        <v>4495</v>
      </c>
      <c r="B2513" s="573" t="s">
        <v>4476</v>
      </c>
      <c r="C2513" s="573" t="s">
        <v>280</v>
      </c>
      <c r="D2513" s="578">
        <v>27</v>
      </c>
      <c r="E2513" s="573" t="s">
        <v>3374</v>
      </c>
      <c r="F2513" s="573" t="s">
        <v>196</v>
      </c>
      <c r="G2513" s="573" t="s">
        <v>271</v>
      </c>
      <c r="H2513" s="573">
        <v>2019</v>
      </c>
      <c r="I2513" s="573" t="s">
        <v>4229</v>
      </c>
      <c r="J2513" s="573" t="s">
        <v>4070</v>
      </c>
      <c r="K2513" s="573" t="s">
        <v>752</v>
      </c>
      <c r="L2513" s="573">
        <v>6</v>
      </c>
      <c r="M2513" s="573">
        <v>0</v>
      </c>
      <c r="N2513" s="573" t="s">
        <v>157</v>
      </c>
      <c r="O2513" s="573">
        <v>2</v>
      </c>
      <c r="P2513" s="573" t="s">
        <v>4230</v>
      </c>
      <c r="Q2513" s="571">
        <v>12400</v>
      </c>
      <c r="R2513" s="573" t="s">
        <v>4235</v>
      </c>
      <c r="S2513" s="573">
        <v>8</v>
      </c>
      <c r="T2513" s="573" t="s">
        <v>4426</v>
      </c>
      <c r="U2513" s="573" t="s">
        <v>4283</v>
      </c>
      <c r="V2513" s="573">
        <v>148</v>
      </c>
      <c r="W2513" s="573">
        <v>34</v>
      </c>
      <c r="X2513" s="571">
        <v>10000</v>
      </c>
      <c r="Y2513" s="573">
        <v>14</v>
      </c>
      <c r="Z2513" s="579" t="s">
        <v>450</v>
      </c>
      <c r="AA2513" s="579" t="s">
        <v>178</v>
      </c>
      <c r="AB2513" s="584">
        <v>43880</v>
      </c>
      <c r="AC2513" s="584" t="s">
        <v>164</v>
      </c>
      <c r="AD2513" s="584">
        <v>31884.547368421056</v>
      </c>
      <c r="AE2513" s="586">
        <v>0.03</v>
      </c>
      <c r="AF2513" s="661" t="str">
        <f t="shared" si="276"/>
        <v>2019-LTK-FRD-F250-074-27</v>
      </c>
      <c r="AG2513" s="661" t="str">
        <f>IF(AND($Y2513&gt;=32,(AI2513="I"),(Y2513&lt;&gt;"~"),(COUNTIF($AN$1:$AN2513,$AN2513)=1)),"TRUE","FALSE")</f>
        <v>FALSE</v>
      </c>
      <c r="AH2513" s="661" t="str">
        <f>IF(AND($Y2513&gt;=22, (AI2513&lt;&gt;"I"),(Y2513&lt;&gt;"~"),(COUNTIF($AN$1:$AN2513,$AN2513)=1)),"TRUE","FALSE")</f>
        <v>FALSE</v>
      </c>
      <c r="AI2513" s="661" t="str">
        <f t="shared" si="271"/>
        <v>II</v>
      </c>
      <c r="AJ2513" s="662" t="str">
        <f t="shared" si="272"/>
        <v>F250-074</v>
      </c>
      <c r="AK2513" s="662" t="str">
        <f t="shared" si="273"/>
        <v>LTK</v>
      </c>
      <c r="AL2513" s="662" t="str">
        <f t="shared" si="274"/>
        <v>FRD</v>
      </c>
      <c r="AM2513" s="662" t="str">
        <f t="shared" si="270"/>
        <v>F250-Super Cab XLT-4WD-6-6'9"-12400-6.2L FFV-8-X2B-603A-148-34-E85-Unleaded</v>
      </c>
      <c r="AN2513" s="662" t="str">
        <f t="shared" si="275"/>
        <v>2019-LTK-FRD-F250-074</v>
      </c>
    </row>
    <row r="2514" spans="1:40" s="572" customFormat="1" ht="15">
      <c r="A2514" s="570" t="s">
        <v>4496</v>
      </c>
      <c r="B2514" s="569" t="s">
        <v>4478</v>
      </c>
      <c r="C2514" s="569" t="s">
        <v>280</v>
      </c>
      <c r="D2514" s="580">
        <v>27</v>
      </c>
      <c r="E2514" s="569" t="s">
        <v>3374</v>
      </c>
      <c r="F2514" s="569" t="s">
        <v>196</v>
      </c>
      <c r="G2514" s="569" t="s">
        <v>271</v>
      </c>
      <c r="H2514" s="569">
        <v>2019</v>
      </c>
      <c r="I2514" s="569" t="s">
        <v>4229</v>
      </c>
      <c r="J2514" s="569" t="s">
        <v>4070</v>
      </c>
      <c r="K2514" s="569" t="s">
        <v>752</v>
      </c>
      <c r="L2514" s="569">
        <v>6</v>
      </c>
      <c r="M2514" s="569">
        <v>0</v>
      </c>
      <c r="N2514" s="569" t="s">
        <v>157</v>
      </c>
      <c r="O2514" s="569">
        <v>2</v>
      </c>
      <c r="P2514" s="569" t="s">
        <v>4230</v>
      </c>
      <c r="Q2514" s="568">
        <v>12400</v>
      </c>
      <c r="R2514" s="569" t="s">
        <v>4231</v>
      </c>
      <c r="S2514" s="569">
        <v>8</v>
      </c>
      <c r="T2514" s="569" t="s">
        <v>4426</v>
      </c>
      <c r="U2514" s="569" t="s">
        <v>4283</v>
      </c>
      <c r="V2514" s="569">
        <v>148</v>
      </c>
      <c r="W2514" s="569">
        <v>34</v>
      </c>
      <c r="X2514" s="568">
        <v>10000</v>
      </c>
      <c r="Y2514" s="573">
        <v>14</v>
      </c>
      <c r="Z2514" s="581" t="s">
        <v>728</v>
      </c>
      <c r="AA2514" s="581" t="s">
        <v>1523</v>
      </c>
      <c r="AB2514" s="585">
        <v>53450</v>
      </c>
      <c r="AC2514" s="585" t="s">
        <v>164</v>
      </c>
      <c r="AD2514" s="585">
        <v>40521.684210526313</v>
      </c>
      <c r="AE2514" s="587">
        <v>0.03</v>
      </c>
      <c r="AF2514" s="661" t="str">
        <f t="shared" si="276"/>
        <v>2019-LTK-FRD-F250-075-27</v>
      </c>
      <c r="AG2514" s="661" t="str">
        <f>IF(AND($Y2514&gt;=32,(AI2514="I"),(Y2514&lt;&gt;"~"),(COUNTIF($AN$1:$AN2514,$AN2514)=1)),"TRUE","FALSE")</f>
        <v>FALSE</v>
      </c>
      <c r="AH2514" s="661" t="str">
        <f>IF(AND($Y2514&gt;=22, (AI2514&lt;&gt;"I"),(Y2514&lt;&gt;"~"),(COUNTIF($AN$1:$AN2514,$AN2514)=1)),"TRUE","FALSE")</f>
        <v>FALSE</v>
      </c>
      <c r="AI2514" s="661" t="str">
        <f t="shared" si="271"/>
        <v>II</v>
      </c>
      <c r="AJ2514" s="662" t="str">
        <f t="shared" si="272"/>
        <v>F250-075</v>
      </c>
      <c r="AK2514" s="662" t="str">
        <f t="shared" si="273"/>
        <v>LTK</v>
      </c>
      <c r="AL2514" s="662" t="str">
        <f t="shared" si="274"/>
        <v>FRD</v>
      </c>
      <c r="AM2514" s="662" t="str">
        <f t="shared" si="270"/>
        <v>F250-Super Cab XLT-4WD-6-6'9"-12400-6.7L Diesel-8-X2B-603A-148-34-Diesel-BioDiesel</v>
      </c>
      <c r="AN2514" s="662" t="str">
        <f t="shared" si="275"/>
        <v>2019-LTK-FRD-F250-075</v>
      </c>
    </row>
    <row r="2515" spans="1:40" s="572" customFormat="1" ht="15">
      <c r="A2515" s="570" t="s">
        <v>4497</v>
      </c>
      <c r="B2515" s="573" t="s">
        <v>4480</v>
      </c>
      <c r="C2515" s="573" t="s">
        <v>280</v>
      </c>
      <c r="D2515" s="578">
        <v>27</v>
      </c>
      <c r="E2515" s="573" t="s">
        <v>3374</v>
      </c>
      <c r="F2515" s="573" t="s">
        <v>196</v>
      </c>
      <c r="G2515" s="573" t="s">
        <v>271</v>
      </c>
      <c r="H2515" s="573">
        <v>2019</v>
      </c>
      <c r="I2515" s="573" t="s">
        <v>4229</v>
      </c>
      <c r="J2515" s="573" t="s">
        <v>4070</v>
      </c>
      <c r="K2515" s="573" t="s">
        <v>752</v>
      </c>
      <c r="L2515" s="573">
        <v>6</v>
      </c>
      <c r="M2515" s="573">
        <v>0</v>
      </c>
      <c r="N2515" s="573" t="s">
        <v>157</v>
      </c>
      <c r="O2515" s="573">
        <v>2</v>
      </c>
      <c r="P2515" s="573" t="s">
        <v>4230</v>
      </c>
      <c r="Q2515" s="571">
        <v>12600</v>
      </c>
      <c r="R2515" s="573" t="s">
        <v>4235</v>
      </c>
      <c r="S2515" s="573">
        <v>8</v>
      </c>
      <c r="T2515" s="573" t="s">
        <v>4426</v>
      </c>
      <c r="U2515" s="573" t="s">
        <v>4283</v>
      </c>
      <c r="V2515" s="573">
        <v>148</v>
      </c>
      <c r="W2515" s="573">
        <v>34</v>
      </c>
      <c r="X2515" s="571">
        <v>10000</v>
      </c>
      <c r="Y2515" s="573">
        <v>14</v>
      </c>
      <c r="Z2515" s="579" t="s">
        <v>450</v>
      </c>
      <c r="AA2515" s="579" t="s">
        <v>178</v>
      </c>
      <c r="AB2515" s="584">
        <v>43880</v>
      </c>
      <c r="AC2515" s="584" t="s">
        <v>164</v>
      </c>
      <c r="AD2515" s="584">
        <v>31884.547368421056</v>
      </c>
      <c r="AE2515" s="586">
        <v>0.03</v>
      </c>
      <c r="AF2515" s="661" t="str">
        <f t="shared" si="276"/>
        <v>2019-LTK-FRD-F250-076-27</v>
      </c>
      <c r="AG2515" s="661" t="str">
        <f>IF(AND($Y2515&gt;=32,(AI2515="I"),(Y2515&lt;&gt;"~"),(COUNTIF($AN$1:$AN2515,$AN2515)=1)),"TRUE","FALSE")</f>
        <v>FALSE</v>
      </c>
      <c r="AH2515" s="661" t="str">
        <f>IF(AND($Y2515&gt;=22, (AI2515&lt;&gt;"I"),(Y2515&lt;&gt;"~"),(COUNTIF($AN$1:$AN2515,$AN2515)=1)),"TRUE","FALSE")</f>
        <v>FALSE</v>
      </c>
      <c r="AI2515" s="661" t="str">
        <f t="shared" si="271"/>
        <v>II</v>
      </c>
      <c r="AJ2515" s="662" t="str">
        <f t="shared" si="272"/>
        <v>F250-076</v>
      </c>
      <c r="AK2515" s="662" t="str">
        <f t="shared" si="273"/>
        <v>LTK</v>
      </c>
      <c r="AL2515" s="662" t="str">
        <f t="shared" si="274"/>
        <v>FRD</v>
      </c>
      <c r="AM2515" s="662" t="str">
        <f t="shared" si="270"/>
        <v>F250-Super Cab XLT-4WD-6-6'9"-12600-6.2L FFV-8-X2B-603A-148-34-E85-Unleaded</v>
      </c>
      <c r="AN2515" s="662" t="str">
        <f t="shared" si="275"/>
        <v>2019-LTK-FRD-F250-076</v>
      </c>
    </row>
    <row r="2516" spans="1:40" s="572" customFormat="1" ht="15">
      <c r="A2516" s="570" t="s">
        <v>4498</v>
      </c>
      <c r="B2516" s="569" t="s">
        <v>4482</v>
      </c>
      <c r="C2516" s="569" t="s">
        <v>280</v>
      </c>
      <c r="D2516" s="580">
        <v>27</v>
      </c>
      <c r="E2516" s="569" t="s">
        <v>3374</v>
      </c>
      <c r="F2516" s="569" t="s">
        <v>196</v>
      </c>
      <c r="G2516" s="569" t="s">
        <v>271</v>
      </c>
      <c r="H2516" s="569">
        <v>2019</v>
      </c>
      <c r="I2516" s="569" t="s">
        <v>4229</v>
      </c>
      <c r="J2516" s="569" t="s">
        <v>4070</v>
      </c>
      <c r="K2516" s="569" t="s">
        <v>752</v>
      </c>
      <c r="L2516" s="569">
        <v>6</v>
      </c>
      <c r="M2516" s="569">
        <v>0</v>
      </c>
      <c r="N2516" s="569" t="s">
        <v>157</v>
      </c>
      <c r="O2516" s="569">
        <v>2</v>
      </c>
      <c r="P2516" s="569" t="s">
        <v>3846</v>
      </c>
      <c r="Q2516" s="568">
        <v>12400</v>
      </c>
      <c r="R2516" s="569" t="s">
        <v>4235</v>
      </c>
      <c r="S2516" s="569">
        <v>8</v>
      </c>
      <c r="T2516" s="569" t="s">
        <v>4426</v>
      </c>
      <c r="U2516" s="569" t="s">
        <v>4283</v>
      </c>
      <c r="V2516" s="569">
        <v>164</v>
      </c>
      <c r="W2516" s="569">
        <v>34</v>
      </c>
      <c r="X2516" s="568">
        <v>10000</v>
      </c>
      <c r="Y2516" s="573">
        <v>14</v>
      </c>
      <c r="Z2516" s="581" t="s">
        <v>450</v>
      </c>
      <c r="AA2516" s="581" t="s">
        <v>178</v>
      </c>
      <c r="AB2516" s="585">
        <v>44080</v>
      </c>
      <c r="AC2516" s="585" t="s">
        <v>164</v>
      </c>
      <c r="AD2516" s="585">
        <v>32068.757894736842</v>
      </c>
      <c r="AE2516" s="587">
        <v>0.03</v>
      </c>
      <c r="AF2516" s="661" t="str">
        <f t="shared" si="276"/>
        <v>2019-LTK-FRD-F250-078-27</v>
      </c>
      <c r="AG2516" s="661" t="str">
        <f>IF(AND($Y2516&gt;=32,(AI2516="I"),(Y2516&lt;&gt;"~"),(COUNTIF($AN$1:$AN2516,$AN2516)=1)),"TRUE","FALSE")</f>
        <v>FALSE</v>
      </c>
      <c r="AH2516" s="661" t="str">
        <f>IF(AND($Y2516&gt;=22, (AI2516&lt;&gt;"I"),(Y2516&lt;&gt;"~"),(COUNTIF($AN$1:$AN2516,$AN2516)=1)),"TRUE","FALSE")</f>
        <v>FALSE</v>
      </c>
      <c r="AI2516" s="661" t="str">
        <f t="shared" si="271"/>
        <v>II</v>
      </c>
      <c r="AJ2516" s="662" t="str">
        <f t="shared" si="272"/>
        <v>F250-078</v>
      </c>
      <c r="AK2516" s="662" t="str">
        <f t="shared" si="273"/>
        <v>LTK</v>
      </c>
      <c r="AL2516" s="662" t="str">
        <f t="shared" si="274"/>
        <v>FRD</v>
      </c>
      <c r="AM2516" s="662" t="str">
        <f t="shared" si="270"/>
        <v>F250-Super Cab XLT-4WD-6-8'-12400-6.2L FFV-8-X2B-603A-164-34-E85-Unleaded</v>
      </c>
      <c r="AN2516" s="662" t="str">
        <f t="shared" si="275"/>
        <v>2019-LTK-FRD-F250-078</v>
      </c>
    </row>
    <row r="2517" spans="1:40" s="572" customFormat="1" ht="15">
      <c r="A2517" s="570" t="s">
        <v>4499</v>
      </c>
      <c r="B2517" s="573" t="s">
        <v>4484</v>
      </c>
      <c r="C2517" s="573" t="s">
        <v>280</v>
      </c>
      <c r="D2517" s="578">
        <v>27</v>
      </c>
      <c r="E2517" s="573" t="s">
        <v>3374</v>
      </c>
      <c r="F2517" s="573" t="s">
        <v>196</v>
      </c>
      <c r="G2517" s="573" t="s">
        <v>271</v>
      </c>
      <c r="H2517" s="573">
        <v>2019</v>
      </c>
      <c r="I2517" s="573" t="s">
        <v>4229</v>
      </c>
      <c r="J2517" s="573" t="s">
        <v>4070</v>
      </c>
      <c r="K2517" s="573" t="s">
        <v>752</v>
      </c>
      <c r="L2517" s="573">
        <v>6</v>
      </c>
      <c r="M2517" s="573">
        <v>0</v>
      </c>
      <c r="N2517" s="573" t="s">
        <v>157</v>
      </c>
      <c r="O2517" s="573">
        <v>2</v>
      </c>
      <c r="P2517" s="573" t="s">
        <v>3846</v>
      </c>
      <c r="Q2517" s="571">
        <v>12400</v>
      </c>
      <c r="R2517" s="573" t="s">
        <v>4231</v>
      </c>
      <c r="S2517" s="573">
        <v>8</v>
      </c>
      <c r="T2517" s="573" t="s">
        <v>4426</v>
      </c>
      <c r="U2517" s="573" t="s">
        <v>4283</v>
      </c>
      <c r="V2517" s="573">
        <v>164</v>
      </c>
      <c r="W2517" s="573">
        <v>34</v>
      </c>
      <c r="X2517" s="571">
        <v>10000</v>
      </c>
      <c r="Y2517" s="573">
        <v>14</v>
      </c>
      <c r="Z2517" s="579" t="s">
        <v>728</v>
      </c>
      <c r="AA2517" s="579" t="s">
        <v>1523</v>
      </c>
      <c r="AB2517" s="584">
        <v>53650</v>
      </c>
      <c r="AC2517" s="584" t="s">
        <v>164</v>
      </c>
      <c r="AD2517" s="584">
        <v>40706.947368421053</v>
      </c>
      <c r="AE2517" s="586">
        <v>0.03</v>
      </c>
      <c r="AF2517" s="661" t="str">
        <f t="shared" si="276"/>
        <v>2019-LTK-FRD-F250-079-27</v>
      </c>
      <c r="AG2517" s="661" t="str">
        <f>IF(AND($Y2517&gt;=32,(AI2517="I"),(Y2517&lt;&gt;"~"),(COUNTIF($AN$1:$AN2517,$AN2517)=1)),"TRUE","FALSE")</f>
        <v>FALSE</v>
      </c>
      <c r="AH2517" s="661" t="str">
        <f>IF(AND($Y2517&gt;=22, (AI2517&lt;&gt;"I"),(Y2517&lt;&gt;"~"),(COUNTIF($AN$1:$AN2517,$AN2517)=1)),"TRUE","FALSE")</f>
        <v>FALSE</v>
      </c>
      <c r="AI2517" s="661" t="str">
        <f t="shared" si="271"/>
        <v>II</v>
      </c>
      <c r="AJ2517" s="662" t="str">
        <f t="shared" si="272"/>
        <v>F250-079</v>
      </c>
      <c r="AK2517" s="662" t="str">
        <f t="shared" si="273"/>
        <v>LTK</v>
      </c>
      <c r="AL2517" s="662" t="str">
        <f t="shared" si="274"/>
        <v>FRD</v>
      </c>
      <c r="AM2517" s="662" t="str">
        <f t="shared" si="270"/>
        <v>F250-Super Cab XLT-4WD-6-8'-12400-6.7L Diesel-8-X2B-603A-164-34-Diesel-BioDiesel</v>
      </c>
      <c r="AN2517" s="662" t="str">
        <f t="shared" si="275"/>
        <v>2019-LTK-FRD-F250-079</v>
      </c>
    </row>
    <row r="2518" spans="1:40" s="572" customFormat="1" ht="15">
      <c r="A2518" s="570" t="s">
        <v>4500</v>
      </c>
      <c r="B2518" s="569" t="s">
        <v>4486</v>
      </c>
      <c r="C2518" s="569" t="s">
        <v>280</v>
      </c>
      <c r="D2518" s="580">
        <v>27</v>
      </c>
      <c r="E2518" s="569" t="s">
        <v>3374</v>
      </c>
      <c r="F2518" s="569" t="s">
        <v>196</v>
      </c>
      <c r="G2518" s="569" t="s">
        <v>271</v>
      </c>
      <c r="H2518" s="569">
        <v>2019</v>
      </c>
      <c r="I2518" s="569" t="s">
        <v>4229</v>
      </c>
      <c r="J2518" s="569" t="s">
        <v>4070</v>
      </c>
      <c r="K2518" s="569" t="s">
        <v>752</v>
      </c>
      <c r="L2518" s="569">
        <v>6</v>
      </c>
      <c r="M2518" s="569">
        <v>0</v>
      </c>
      <c r="N2518" s="569" t="s">
        <v>157</v>
      </c>
      <c r="O2518" s="569">
        <v>2</v>
      </c>
      <c r="P2518" s="569" t="s">
        <v>3846</v>
      </c>
      <c r="Q2518" s="568">
        <v>12600</v>
      </c>
      <c r="R2518" s="569" t="s">
        <v>4235</v>
      </c>
      <c r="S2518" s="569">
        <v>8</v>
      </c>
      <c r="T2518" s="569" t="s">
        <v>4426</v>
      </c>
      <c r="U2518" s="569" t="s">
        <v>4283</v>
      </c>
      <c r="V2518" s="569">
        <v>164</v>
      </c>
      <c r="W2518" s="569">
        <v>34</v>
      </c>
      <c r="X2518" s="568">
        <v>10000</v>
      </c>
      <c r="Y2518" s="573">
        <v>14</v>
      </c>
      <c r="Z2518" s="581" t="s">
        <v>450</v>
      </c>
      <c r="AA2518" s="581" t="s">
        <v>178</v>
      </c>
      <c r="AB2518" s="585">
        <v>44080</v>
      </c>
      <c r="AC2518" s="585" t="s">
        <v>164</v>
      </c>
      <c r="AD2518" s="585">
        <v>32068.757894736842</v>
      </c>
      <c r="AE2518" s="587">
        <v>0.03</v>
      </c>
      <c r="AF2518" s="661" t="str">
        <f t="shared" si="276"/>
        <v>2019-LTK-FRD-F250-080-27</v>
      </c>
      <c r="AG2518" s="661" t="str">
        <f>IF(AND($Y2518&gt;=32,(AI2518="I"),(Y2518&lt;&gt;"~"),(COUNTIF($AN$1:$AN2518,$AN2518)=1)),"TRUE","FALSE")</f>
        <v>FALSE</v>
      </c>
      <c r="AH2518" s="661" t="str">
        <f>IF(AND($Y2518&gt;=22, (AI2518&lt;&gt;"I"),(Y2518&lt;&gt;"~"),(COUNTIF($AN$1:$AN2518,$AN2518)=1)),"TRUE","FALSE")</f>
        <v>FALSE</v>
      </c>
      <c r="AI2518" s="661" t="str">
        <f t="shared" si="271"/>
        <v>II</v>
      </c>
      <c r="AJ2518" s="662" t="str">
        <f t="shared" si="272"/>
        <v>F250-080</v>
      </c>
      <c r="AK2518" s="662" t="str">
        <f t="shared" si="273"/>
        <v>LTK</v>
      </c>
      <c r="AL2518" s="662" t="str">
        <f t="shared" si="274"/>
        <v>FRD</v>
      </c>
      <c r="AM2518" s="662" t="str">
        <f t="shared" si="270"/>
        <v>F250-Super Cab XLT-4WD-6-8'-12600-6.2L FFV-8-X2B-603A-164-34-E85-Unleaded</v>
      </c>
      <c r="AN2518" s="662" t="str">
        <f t="shared" si="275"/>
        <v>2019-LTK-FRD-F250-080</v>
      </c>
    </row>
    <row r="2519" spans="1:40" s="572" customFormat="1" ht="15">
      <c r="A2519" s="570" t="s">
        <v>4501</v>
      </c>
      <c r="B2519" s="573" t="s">
        <v>4502</v>
      </c>
      <c r="C2519" s="573" t="s">
        <v>269</v>
      </c>
      <c r="D2519" s="578" t="s">
        <v>270</v>
      </c>
      <c r="E2519" s="573" t="s">
        <v>3374</v>
      </c>
      <c r="F2519" s="573" t="s">
        <v>187</v>
      </c>
      <c r="G2519" s="573" t="s">
        <v>271</v>
      </c>
      <c r="H2519" s="573">
        <v>2019</v>
      </c>
      <c r="I2519" s="573" t="s">
        <v>4503</v>
      </c>
      <c r="J2519" s="573" t="s">
        <v>3766</v>
      </c>
      <c r="K2519" s="573" t="s">
        <v>3377</v>
      </c>
      <c r="L2519" s="573">
        <v>6</v>
      </c>
      <c r="M2519" s="573">
        <v>0</v>
      </c>
      <c r="N2519" s="573" t="s">
        <v>157</v>
      </c>
      <c r="O2519" s="573">
        <v>2</v>
      </c>
      <c r="P2519" s="573" t="s">
        <v>4230</v>
      </c>
      <c r="Q2519" s="571">
        <v>12300</v>
      </c>
      <c r="R2519" s="573" t="s">
        <v>4235</v>
      </c>
      <c r="S2519" s="573">
        <v>8</v>
      </c>
      <c r="T2519" s="573" t="s">
        <v>4504</v>
      </c>
      <c r="U2519" s="573" t="s">
        <v>4505</v>
      </c>
      <c r="V2519" s="573">
        <v>160</v>
      </c>
      <c r="W2519" s="573">
        <v>34</v>
      </c>
      <c r="X2519" s="571">
        <v>10100</v>
      </c>
      <c r="Y2519" s="569">
        <v>13</v>
      </c>
      <c r="Z2519" s="579" t="s">
        <v>450</v>
      </c>
      <c r="AA2519" s="579" t="s">
        <v>178</v>
      </c>
      <c r="AB2519" s="584">
        <v>39415</v>
      </c>
      <c r="AC2519" s="584" t="s">
        <v>164</v>
      </c>
      <c r="AD2519" s="584">
        <v>29681.810526315792</v>
      </c>
      <c r="AE2519" s="586">
        <v>0.03</v>
      </c>
      <c r="AF2519" s="661" t="str">
        <f t="shared" si="276"/>
        <v>2019-LTK-FRD-F350-007-05</v>
      </c>
      <c r="AG2519" s="661" t="str">
        <f>IF(AND($Y2519&gt;=32,(AI2519="I"),(Y2519&lt;&gt;"~"),(COUNTIF($AN$1:$AN2519,$AN2519)=1)),"TRUE","FALSE")</f>
        <v>FALSE</v>
      </c>
      <c r="AH2519" s="661" t="str">
        <f>IF(AND($Y2519&gt;=22, (AI2519&lt;&gt;"I"),(Y2519&lt;&gt;"~"),(COUNTIF($AN$1:$AN2519,$AN2519)=1)),"TRUE","FALSE")</f>
        <v>FALSE</v>
      </c>
      <c r="AI2519" s="661" t="str">
        <f t="shared" si="271"/>
        <v>N/A</v>
      </c>
      <c r="AJ2519" s="662" t="str">
        <f t="shared" si="272"/>
        <v>F350-007</v>
      </c>
      <c r="AK2519" s="662" t="str">
        <f t="shared" si="273"/>
        <v>LTK</v>
      </c>
      <c r="AL2519" s="662" t="str">
        <f t="shared" si="274"/>
        <v>FRD</v>
      </c>
      <c r="AM2519" s="662" t="str">
        <f t="shared" si="270"/>
        <v>F350-Crew Cab XL-2WD-6-6'9"-12300-6.2L FFV-8-W3A-610A-160-34-E85-Unleaded</v>
      </c>
      <c r="AN2519" s="662" t="str">
        <f t="shared" si="275"/>
        <v>2019-LTK-FRD-F350-007</v>
      </c>
    </row>
    <row r="2520" spans="1:40" s="572" customFormat="1" ht="15">
      <c r="A2520" s="570" t="s">
        <v>4506</v>
      </c>
      <c r="B2520" s="569" t="s">
        <v>4507</v>
      </c>
      <c r="C2520" s="569" t="s">
        <v>269</v>
      </c>
      <c r="D2520" s="580" t="s">
        <v>270</v>
      </c>
      <c r="E2520" s="569" t="s">
        <v>3374</v>
      </c>
      <c r="F2520" s="569" t="s">
        <v>187</v>
      </c>
      <c r="G2520" s="569" t="s">
        <v>271</v>
      </c>
      <c r="H2520" s="569">
        <v>2019</v>
      </c>
      <c r="I2520" s="569" t="s">
        <v>4503</v>
      </c>
      <c r="J2520" s="569" t="s">
        <v>3766</v>
      </c>
      <c r="K2520" s="569" t="s">
        <v>3377</v>
      </c>
      <c r="L2520" s="569">
        <v>6</v>
      </c>
      <c r="M2520" s="569">
        <v>0</v>
      </c>
      <c r="N2520" s="569" t="s">
        <v>157</v>
      </c>
      <c r="O2520" s="569">
        <v>2</v>
      </c>
      <c r="P2520" s="569" t="s">
        <v>4230</v>
      </c>
      <c r="Q2520" s="568">
        <v>12700</v>
      </c>
      <c r="R2520" s="569" t="s">
        <v>4235</v>
      </c>
      <c r="S2520" s="569">
        <v>8</v>
      </c>
      <c r="T2520" s="569" t="s">
        <v>4504</v>
      </c>
      <c r="U2520" s="569" t="s">
        <v>4505</v>
      </c>
      <c r="V2520" s="569">
        <v>160</v>
      </c>
      <c r="W2520" s="569">
        <v>34</v>
      </c>
      <c r="X2520" s="568">
        <v>10100</v>
      </c>
      <c r="Y2520" s="569">
        <v>13</v>
      </c>
      <c r="Z2520" s="581" t="s">
        <v>450</v>
      </c>
      <c r="AA2520" s="581" t="s">
        <v>178</v>
      </c>
      <c r="AB2520" s="585">
        <v>39415</v>
      </c>
      <c r="AC2520" s="585" t="s">
        <v>164</v>
      </c>
      <c r="AD2520" s="585">
        <v>29681.810526315792</v>
      </c>
      <c r="AE2520" s="587">
        <v>0.03</v>
      </c>
      <c r="AF2520" s="661" t="str">
        <f t="shared" si="276"/>
        <v>2019-LTK-FRD-F350-008-05</v>
      </c>
      <c r="AG2520" s="661" t="str">
        <f>IF(AND($Y2520&gt;=32,(AI2520="I"),(Y2520&lt;&gt;"~"),(COUNTIF($AN$1:$AN2520,$AN2520)=1)),"TRUE","FALSE")</f>
        <v>FALSE</v>
      </c>
      <c r="AH2520" s="661" t="str">
        <f>IF(AND($Y2520&gt;=22, (AI2520&lt;&gt;"I"),(Y2520&lt;&gt;"~"),(COUNTIF($AN$1:$AN2520,$AN2520)=1)),"TRUE","FALSE")</f>
        <v>FALSE</v>
      </c>
      <c r="AI2520" s="661" t="str">
        <f t="shared" si="271"/>
        <v>N/A</v>
      </c>
      <c r="AJ2520" s="662" t="str">
        <f t="shared" si="272"/>
        <v>F350-008</v>
      </c>
      <c r="AK2520" s="662" t="str">
        <f t="shared" si="273"/>
        <v>LTK</v>
      </c>
      <c r="AL2520" s="662" t="str">
        <f t="shared" si="274"/>
        <v>FRD</v>
      </c>
      <c r="AM2520" s="662" t="str">
        <f t="shared" si="270"/>
        <v>F350-Crew Cab XL-2WD-6-6'9"-12700-6.2L FFV-8-W3A-610A-160-34-E85-Unleaded</v>
      </c>
      <c r="AN2520" s="662" t="str">
        <f t="shared" si="275"/>
        <v>2019-LTK-FRD-F350-008</v>
      </c>
    </row>
    <row r="2521" spans="1:40" s="572" customFormat="1" ht="15">
      <c r="A2521" s="570" t="s">
        <v>4506</v>
      </c>
      <c r="B2521" s="573" t="s">
        <v>4507</v>
      </c>
      <c r="C2521" s="573" t="s">
        <v>269</v>
      </c>
      <c r="D2521" s="578" t="s">
        <v>270</v>
      </c>
      <c r="E2521" s="573" t="s">
        <v>3374</v>
      </c>
      <c r="F2521" s="573" t="s">
        <v>187</v>
      </c>
      <c r="G2521" s="573" t="s">
        <v>271</v>
      </c>
      <c r="H2521" s="573">
        <v>2019</v>
      </c>
      <c r="I2521" s="573" t="s">
        <v>4503</v>
      </c>
      <c r="J2521" s="573" t="s">
        <v>3766</v>
      </c>
      <c r="K2521" s="573" t="s">
        <v>3377</v>
      </c>
      <c r="L2521" s="573">
        <v>6</v>
      </c>
      <c r="M2521" s="573">
        <v>0</v>
      </c>
      <c r="N2521" s="573" t="s">
        <v>157</v>
      </c>
      <c r="O2521" s="573">
        <v>2</v>
      </c>
      <c r="P2521" s="573" t="s">
        <v>4230</v>
      </c>
      <c r="Q2521" s="571">
        <v>12700</v>
      </c>
      <c r="R2521" s="573" t="s">
        <v>4235</v>
      </c>
      <c r="S2521" s="573">
        <v>8</v>
      </c>
      <c r="T2521" s="573" t="s">
        <v>4504</v>
      </c>
      <c r="U2521" s="573" t="s">
        <v>4505</v>
      </c>
      <c r="V2521" s="573">
        <v>160</v>
      </c>
      <c r="W2521" s="573">
        <v>34</v>
      </c>
      <c r="X2521" s="571">
        <v>10100</v>
      </c>
      <c r="Y2521" s="569">
        <v>13</v>
      </c>
      <c r="Z2521" s="579" t="s">
        <v>450</v>
      </c>
      <c r="AA2521" s="579" t="s">
        <v>178</v>
      </c>
      <c r="AB2521" s="584">
        <v>39415</v>
      </c>
      <c r="AC2521" s="584" t="s">
        <v>164</v>
      </c>
      <c r="AD2521" s="584">
        <v>29681.810526315792</v>
      </c>
      <c r="AE2521" s="586">
        <v>0.03</v>
      </c>
      <c r="AF2521" s="661" t="str">
        <f t="shared" si="276"/>
        <v>2019-LTK-FRD-F350-008-05</v>
      </c>
      <c r="AG2521" s="661" t="str">
        <f>IF(AND($Y2521&gt;=32,(AI2521="I"),(Y2521&lt;&gt;"~"),(COUNTIF($AN$1:$AN2521,$AN2521)=1)),"TRUE","FALSE")</f>
        <v>FALSE</v>
      </c>
      <c r="AH2521" s="661" t="str">
        <f>IF(AND($Y2521&gt;=22, (AI2521&lt;&gt;"I"),(Y2521&lt;&gt;"~"),(COUNTIF($AN$1:$AN2521,$AN2521)=1)),"TRUE","FALSE")</f>
        <v>FALSE</v>
      </c>
      <c r="AI2521" s="661" t="str">
        <f t="shared" si="271"/>
        <v>N/A</v>
      </c>
      <c r="AJ2521" s="662" t="str">
        <f t="shared" si="272"/>
        <v>F350-008</v>
      </c>
      <c r="AK2521" s="662" t="str">
        <f t="shared" si="273"/>
        <v>LTK</v>
      </c>
      <c r="AL2521" s="662" t="str">
        <f t="shared" si="274"/>
        <v>FRD</v>
      </c>
      <c r="AM2521" s="662" t="str">
        <f t="shared" si="270"/>
        <v>F350-Crew Cab XL-2WD-6-6'9"-12700-6.2L FFV-8-W3A-610A-160-34-E85-Unleaded</v>
      </c>
      <c r="AN2521" s="662" t="str">
        <f t="shared" si="275"/>
        <v>2019-LTK-FRD-F350-008</v>
      </c>
    </row>
    <row r="2522" spans="1:40" s="572" customFormat="1" ht="15">
      <c r="A2522" s="570" t="s">
        <v>4508</v>
      </c>
      <c r="B2522" s="569" t="s">
        <v>4509</v>
      </c>
      <c r="C2522" s="569" t="s">
        <v>269</v>
      </c>
      <c r="D2522" s="580" t="s">
        <v>270</v>
      </c>
      <c r="E2522" s="569" t="s">
        <v>3374</v>
      </c>
      <c r="F2522" s="569" t="s">
        <v>187</v>
      </c>
      <c r="G2522" s="569" t="s">
        <v>271</v>
      </c>
      <c r="H2522" s="569">
        <v>2019</v>
      </c>
      <c r="I2522" s="569" t="s">
        <v>4503</v>
      </c>
      <c r="J2522" s="569" t="s">
        <v>3766</v>
      </c>
      <c r="K2522" s="569" t="s">
        <v>3377</v>
      </c>
      <c r="L2522" s="569">
        <v>6</v>
      </c>
      <c r="M2522" s="569">
        <v>0</v>
      </c>
      <c r="N2522" s="569" t="s">
        <v>157</v>
      </c>
      <c r="O2522" s="569">
        <v>2</v>
      </c>
      <c r="P2522" s="569" t="s">
        <v>4230</v>
      </c>
      <c r="Q2522" s="568">
        <v>12700</v>
      </c>
      <c r="R2522" s="569" t="s">
        <v>4231</v>
      </c>
      <c r="S2522" s="569">
        <v>8</v>
      </c>
      <c r="T2522" s="569" t="s">
        <v>4504</v>
      </c>
      <c r="U2522" s="569" t="s">
        <v>4505</v>
      </c>
      <c r="V2522" s="569">
        <v>160</v>
      </c>
      <c r="W2522" s="569">
        <v>34</v>
      </c>
      <c r="X2522" s="568">
        <v>10900</v>
      </c>
      <c r="Y2522" s="569">
        <v>13</v>
      </c>
      <c r="Z2522" s="581" t="s">
        <v>728</v>
      </c>
      <c r="AA2522" s="581" t="s">
        <v>1523</v>
      </c>
      <c r="AB2522" s="585">
        <v>48535</v>
      </c>
      <c r="AC2522" s="585" t="s">
        <v>164</v>
      </c>
      <c r="AD2522" s="585">
        <v>37874.000000000007</v>
      </c>
      <c r="AE2522" s="587">
        <v>0.03</v>
      </c>
      <c r="AF2522" s="661" t="str">
        <f t="shared" si="276"/>
        <v>2019-LTK-FRD-F350-009-05</v>
      </c>
      <c r="AG2522" s="661" t="str">
        <f>IF(AND($Y2522&gt;=32,(AI2522="I"),(Y2522&lt;&gt;"~"),(COUNTIF($AN$1:$AN2522,$AN2522)=1)),"TRUE","FALSE")</f>
        <v>FALSE</v>
      </c>
      <c r="AH2522" s="661" t="str">
        <f>IF(AND($Y2522&gt;=22, (AI2522&lt;&gt;"I"),(Y2522&lt;&gt;"~"),(COUNTIF($AN$1:$AN2522,$AN2522)=1)),"TRUE","FALSE")</f>
        <v>FALSE</v>
      </c>
      <c r="AI2522" s="661" t="str">
        <f t="shared" si="271"/>
        <v>N/A</v>
      </c>
      <c r="AJ2522" s="662" t="str">
        <f t="shared" si="272"/>
        <v>F350-009</v>
      </c>
      <c r="AK2522" s="662" t="str">
        <f t="shared" si="273"/>
        <v>LTK</v>
      </c>
      <c r="AL2522" s="662" t="str">
        <f t="shared" si="274"/>
        <v>FRD</v>
      </c>
      <c r="AM2522" s="662" t="str">
        <f t="shared" si="270"/>
        <v>F350-Crew Cab XL-2WD-6-6'9"-12700-6.7L Diesel-8-W3A-610A-160-34-Diesel-BioDiesel</v>
      </c>
      <c r="AN2522" s="662" t="str">
        <f t="shared" si="275"/>
        <v>2019-LTK-FRD-F350-009</v>
      </c>
    </row>
    <row r="2523" spans="1:40" s="572" customFormat="1" ht="15">
      <c r="A2523" s="570" t="s">
        <v>4510</v>
      </c>
      <c r="B2523" s="573" t="s">
        <v>4511</v>
      </c>
      <c r="C2523" s="573" t="s">
        <v>269</v>
      </c>
      <c r="D2523" s="578" t="s">
        <v>270</v>
      </c>
      <c r="E2523" s="573" t="s">
        <v>3374</v>
      </c>
      <c r="F2523" s="573" t="s">
        <v>187</v>
      </c>
      <c r="G2523" s="573" t="s">
        <v>271</v>
      </c>
      <c r="H2523" s="573">
        <v>2019</v>
      </c>
      <c r="I2523" s="573" t="s">
        <v>4503</v>
      </c>
      <c r="J2523" s="573" t="s">
        <v>3766</v>
      </c>
      <c r="K2523" s="573" t="s">
        <v>3377</v>
      </c>
      <c r="L2523" s="573">
        <v>6</v>
      </c>
      <c r="M2523" s="573">
        <v>0</v>
      </c>
      <c r="N2523" s="573" t="s">
        <v>157</v>
      </c>
      <c r="O2523" s="573">
        <v>2</v>
      </c>
      <c r="P2523" s="573" t="s">
        <v>3846</v>
      </c>
      <c r="Q2523" s="571">
        <v>12500</v>
      </c>
      <c r="R2523" s="573" t="s">
        <v>4235</v>
      </c>
      <c r="S2523" s="573">
        <v>8</v>
      </c>
      <c r="T2523" s="573" t="s">
        <v>4504</v>
      </c>
      <c r="U2523" s="573" t="s">
        <v>4505</v>
      </c>
      <c r="V2523" s="573">
        <v>176</v>
      </c>
      <c r="W2523" s="573">
        <v>34</v>
      </c>
      <c r="X2523" s="571">
        <v>10500</v>
      </c>
      <c r="Y2523" s="569">
        <v>13</v>
      </c>
      <c r="Z2523" s="579" t="s">
        <v>450</v>
      </c>
      <c r="AA2523" s="579" t="s">
        <v>178</v>
      </c>
      <c r="AB2523" s="584">
        <v>39615</v>
      </c>
      <c r="AC2523" s="584" t="s">
        <v>164</v>
      </c>
      <c r="AD2523" s="584">
        <v>29867.073684210529</v>
      </c>
      <c r="AE2523" s="586">
        <v>0.03</v>
      </c>
      <c r="AF2523" s="661" t="str">
        <f t="shared" si="276"/>
        <v>2019-LTK-FRD-F350-081-05</v>
      </c>
      <c r="AG2523" s="661" t="str">
        <f>IF(AND($Y2523&gt;=32,(AI2523="I"),(Y2523&lt;&gt;"~"),(COUNTIF($AN$1:$AN2523,$AN2523)=1)),"TRUE","FALSE")</f>
        <v>FALSE</v>
      </c>
      <c r="AH2523" s="661" t="str">
        <f>IF(AND($Y2523&gt;=22, (AI2523&lt;&gt;"I"),(Y2523&lt;&gt;"~"),(COUNTIF($AN$1:$AN2523,$AN2523)=1)),"TRUE","FALSE")</f>
        <v>FALSE</v>
      </c>
      <c r="AI2523" s="661" t="str">
        <f t="shared" si="271"/>
        <v>N/A</v>
      </c>
      <c r="AJ2523" s="662" t="str">
        <f t="shared" si="272"/>
        <v>F350-081</v>
      </c>
      <c r="AK2523" s="662" t="str">
        <f t="shared" si="273"/>
        <v>LTK</v>
      </c>
      <c r="AL2523" s="662" t="str">
        <f t="shared" si="274"/>
        <v>FRD</v>
      </c>
      <c r="AM2523" s="662" t="str">
        <f t="shared" ref="AM2523:AM2586" si="277">CONCATENATE(I2523,"-",J2523,"-",K2523,"-",L2523,"-",P2523,"-",Q2523,"-",R2523,"-",S2523,"-",T2523,"-",U2523,"-",V2523,"-",W2523,"-",Z2523,"-",AA2523)</f>
        <v>F350-Crew Cab XL-2WD-6-8'-12500-6.2L FFV-8-W3A-610A-176-34-E85-Unleaded</v>
      </c>
      <c r="AN2523" s="662" t="str">
        <f t="shared" si="275"/>
        <v>2019-LTK-FRD-F350-081</v>
      </c>
    </row>
    <row r="2524" spans="1:40" s="572" customFormat="1" ht="15">
      <c r="A2524" s="570" t="s">
        <v>4512</v>
      </c>
      <c r="B2524" s="569" t="s">
        <v>4513</v>
      </c>
      <c r="C2524" s="569" t="s">
        <v>269</v>
      </c>
      <c r="D2524" s="580" t="s">
        <v>270</v>
      </c>
      <c r="E2524" s="569" t="s">
        <v>3374</v>
      </c>
      <c r="F2524" s="569" t="s">
        <v>187</v>
      </c>
      <c r="G2524" s="569" t="s">
        <v>271</v>
      </c>
      <c r="H2524" s="569">
        <v>2019</v>
      </c>
      <c r="I2524" s="569" t="s">
        <v>4503</v>
      </c>
      <c r="J2524" s="569" t="s">
        <v>3766</v>
      </c>
      <c r="K2524" s="569" t="s">
        <v>3377</v>
      </c>
      <c r="L2524" s="569">
        <v>6</v>
      </c>
      <c r="M2524" s="569">
        <v>0</v>
      </c>
      <c r="N2524" s="569" t="s">
        <v>157</v>
      </c>
      <c r="O2524" s="569">
        <v>2</v>
      </c>
      <c r="P2524" s="569" t="s">
        <v>3846</v>
      </c>
      <c r="Q2524" s="568">
        <v>12500</v>
      </c>
      <c r="R2524" s="569" t="s">
        <v>4235</v>
      </c>
      <c r="S2524" s="569">
        <v>8</v>
      </c>
      <c r="T2524" s="569" t="s">
        <v>4504</v>
      </c>
      <c r="U2524" s="569" t="s">
        <v>4505</v>
      </c>
      <c r="V2524" s="569">
        <v>176</v>
      </c>
      <c r="W2524" s="569">
        <v>48</v>
      </c>
      <c r="X2524" s="568">
        <v>10500</v>
      </c>
      <c r="Y2524" s="569">
        <v>13</v>
      </c>
      <c r="Z2524" s="581" t="s">
        <v>450</v>
      </c>
      <c r="AA2524" s="581" t="s">
        <v>178</v>
      </c>
      <c r="AB2524" s="585">
        <v>39615</v>
      </c>
      <c r="AC2524" s="585" t="s">
        <v>164</v>
      </c>
      <c r="AD2524" s="585">
        <v>29867.073684210529</v>
      </c>
      <c r="AE2524" s="587">
        <v>0.03</v>
      </c>
      <c r="AF2524" s="661" t="str">
        <f t="shared" si="276"/>
        <v>2019-LTK-FRD-F350-010-05</v>
      </c>
      <c r="AG2524" s="661" t="str">
        <f>IF(AND($Y2524&gt;=32,(AI2524="I"),(Y2524&lt;&gt;"~"),(COUNTIF($AN$1:$AN2524,$AN2524)=1)),"TRUE","FALSE")</f>
        <v>FALSE</v>
      </c>
      <c r="AH2524" s="661" t="str">
        <f>IF(AND($Y2524&gt;=22, (AI2524&lt;&gt;"I"),(Y2524&lt;&gt;"~"),(COUNTIF($AN$1:$AN2524,$AN2524)=1)),"TRUE","FALSE")</f>
        <v>FALSE</v>
      </c>
      <c r="AI2524" s="661" t="str">
        <f t="shared" ref="AI2524:AI2587" si="278">IF(OR((LEFT($E2524,2)="01"),AND(LEFT($E2524,2)="06",ISNUMBER(SEARCH("pas",$F2524))),AND(LEFT($E2524,2)="05",ISNUMBER(SEARCH("pas",$F2524)))),"I",IF(AND((LEFT($E2524,2)&lt;&gt;"01"),$X2524&lt;=10000),"II",IF(AND((LEFT($E2524,2)&lt;&gt;"01"),$X2524&gt;10000),"N/A")))</f>
        <v>N/A</v>
      </c>
      <c r="AJ2524" s="662" t="str">
        <f t="shared" si="272"/>
        <v>F350-010</v>
      </c>
      <c r="AK2524" s="662" t="str">
        <f t="shared" si="273"/>
        <v>LTK</v>
      </c>
      <c r="AL2524" s="662" t="str">
        <f t="shared" si="274"/>
        <v>FRD</v>
      </c>
      <c r="AM2524" s="662" t="str">
        <f t="shared" si="277"/>
        <v>F350-Crew Cab XL-2WD-6-8'-12500-6.2L FFV-8-W3A-610A-176-48-E85-Unleaded</v>
      </c>
      <c r="AN2524" s="662" t="str">
        <f t="shared" si="275"/>
        <v>2019-LTK-FRD-F350-010</v>
      </c>
    </row>
    <row r="2525" spans="1:40" s="572" customFormat="1" ht="15">
      <c r="A2525" s="570" t="s">
        <v>4514</v>
      </c>
      <c r="B2525" s="573" t="s">
        <v>4515</v>
      </c>
      <c r="C2525" s="573" t="s">
        <v>269</v>
      </c>
      <c r="D2525" s="578" t="s">
        <v>270</v>
      </c>
      <c r="E2525" s="573" t="s">
        <v>3374</v>
      </c>
      <c r="F2525" s="573" t="s">
        <v>187</v>
      </c>
      <c r="G2525" s="573" t="s">
        <v>271</v>
      </c>
      <c r="H2525" s="573">
        <v>2019</v>
      </c>
      <c r="I2525" s="573" t="s">
        <v>4503</v>
      </c>
      <c r="J2525" s="573" t="s">
        <v>3766</v>
      </c>
      <c r="K2525" s="573" t="s">
        <v>3377</v>
      </c>
      <c r="L2525" s="573">
        <v>6</v>
      </c>
      <c r="M2525" s="573">
        <v>0</v>
      </c>
      <c r="N2525" s="573" t="s">
        <v>157</v>
      </c>
      <c r="O2525" s="573">
        <v>2</v>
      </c>
      <c r="P2525" s="573" t="s">
        <v>3846</v>
      </c>
      <c r="Q2525" s="571">
        <v>12500</v>
      </c>
      <c r="R2525" s="573" t="s">
        <v>4231</v>
      </c>
      <c r="S2525" s="573">
        <v>8</v>
      </c>
      <c r="T2525" s="573" t="s">
        <v>4504</v>
      </c>
      <c r="U2525" s="573" t="s">
        <v>4505</v>
      </c>
      <c r="V2525" s="573">
        <v>176</v>
      </c>
      <c r="W2525" s="573">
        <v>48</v>
      </c>
      <c r="X2525" s="571">
        <v>11100</v>
      </c>
      <c r="Y2525" s="569">
        <v>13</v>
      </c>
      <c r="Z2525" s="579" t="s">
        <v>728</v>
      </c>
      <c r="AA2525" s="579" t="s">
        <v>1523</v>
      </c>
      <c r="AB2525" s="584">
        <v>48735</v>
      </c>
      <c r="AC2525" s="584" t="s">
        <v>164</v>
      </c>
      <c r="AD2525" s="584">
        <v>38059.26315789474</v>
      </c>
      <c r="AE2525" s="586">
        <v>0.03</v>
      </c>
      <c r="AF2525" s="661" t="str">
        <f t="shared" si="276"/>
        <v>2019-LTK-FRD-F350-011-05</v>
      </c>
      <c r="AG2525" s="661" t="str">
        <f>IF(AND($Y2525&gt;=32,(AI2525="I"),(Y2525&lt;&gt;"~"),(COUNTIF($AN$1:$AN2525,$AN2525)=1)),"TRUE","FALSE")</f>
        <v>FALSE</v>
      </c>
      <c r="AH2525" s="661" t="str">
        <f>IF(AND($Y2525&gt;=22, (AI2525&lt;&gt;"I"),(Y2525&lt;&gt;"~"),(COUNTIF($AN$1:$AN2525,$AN2525)=1)),"TRUE","FALSE")</f>
        <v>FALSE</v>
      </c>
      <c r="AI2525" s="661" t="str">
        <f t="shared" si="278"/>
        <v>N/A</v>
      </c>
      <c r="AJ2525" s="662" t="str">
        <f t="shared" si="272"/>
        <v>F350-011</v>
      </c>
      <c r="AK2525" s="662" t="str">
        <f t="shared" si="273"/>
        <v>LTK</v>
      </c>
      <c r="AL2525" s="662" t="str">
        <f t="shared" si="274"/>
        <v>FRD</v>
      </c>
      <c r="AM2525" s="662" t="str">
        <f t="shared" si="277"/>
        <v>F350-Crew Cab XL-2WD-6-8'-12500-6.7L Diesel-8-W3A-610A-176-48-Diesel-BioDiesel</v>
      </c>
      <c r="AN2525" s="662" t="str">
        <f t="shared" si="275"/>
        <v>2019-LTK-FRD-F350-011</v>
      </c>
    </row>
    <row r="2526" spans="1:40" s="572" customFormat="1" ht="15">
      <c r="A2526" s="570" t="s">
        <v>4516</v>
      </c>
      <c r="B2526" s="569" t="s">
        <v>4507</v>
      </c>
      <c r="C2526" s="569" t="s">
        <v>278</v>
      </c>
      <c r="D2526" s="580">
        <v>15</v>
      </c>
      <c r="E2526" s="569" t="s">
        <v>3374</v>
      </c>
      <c r="F2526" s="569" t="s">
        <v>187</v>
      </c>
      <c r="G2526" s="569" t="s">
        <v>271</v>
      </c>
      <c r="H2526" s="569">
        <v>2019</v>
      </c>
      <c r="I2526" s="569" t="s">
        <v>4503</v>
      </c>
      <c r="J2526" s="569" t="s">
        <v>3766</v>
      </c>
      <c r="K2526" s="569" t="s">
        <v>3377</v>
      </c>
      <c r="L2526" s="569">
        <v>6</v>
      </c>
      <c r="M2526" s="569">
        <v>0</v>
      </c>
      <c r="N2526" s="569" t="s">
        <v>157</v>
      </c>
      <c r="O2526" s="569">
        <v>2</v>
      </c>
      <c r="P2526" s="569" t="s">
        <v>4230</v>
      </c>
      <c r="Q2526" s="568">
        <v>12700</v>
      </c>
      <c r="R2526" s="569" t="s">
        <v>4235</v>
      </c>
      <c r="S2526" s="569">
        <v>8</v>
      </c>
      <c r="T2526" s="569" t="s">
        <v>4504</v>
      </c>
      <c r="U2526" s="569" t="s">
        <v>4505</v>
      </c>
      <c r="V2526" s="569">
        <v>160</v>
      </c>
      <c r="W2526" s="569">
        <v>34</v>
      </c>
      <c r="X2526" s="568">
        <v>10100</v>
      </c>
      <c r="Y2526" s="569">
        <v>13</v>
      </c>
      <c r="Z2526" s="581" t="s">
        <v>450</v>
      </c>
      <c r="AA2526" s="581" t="s">
        <v>178</v>
      </c>
      <c r="AB2526" s="585">
        <v>39415</v>
      </c>
      <c r="AC2526" s="585" t="s">
        <v>164</v>
      </c>
      <c r="AD2526" s="585">
        <v>29775</v>
      </c>
      <c r="AE2526" s="587">
        <v>0.01</v>
      </c>
      <c r="AF2526" s="661" t="str">
        <f t="shared" si="276"/>
        <v>2019-LTK-FRD-F350-008-15</v>
      </c>
      <c r="AG2526" s="661" t="str">
        <f>IF(AND($Y2526&gt;=32,(AI2526="I"),(Y2526&lt;&gt;"~"),(COUNTIF($AN$1:$AN2526,$AN2526)=1)),"TRUE","FALSE")</f>
        <v>FALSE</v>
      </c>
      <c r="AH2526" s="661" t="str">
        <f>IF(AND($Y2526&gt;=22, (AI2526&lt;&gt;"I"),(Y2526&lt;&gt;"~"),(COUNTIF($AN$1:$AN2526,$AN2526)=1)),"TRUE","FALSE")</f>
        <v>FALSE</v>
      </c>
      <c r="AI2526" s="661" t="str">
        <f t="shared" si="278"/>
        <v>N/A</v>
      </c>
      <c r="AJ2526" s="662" t="str">
        <f t="shared" si="272"/>
        <v>F350-008</v>
      </c>
      <c r="AK2526" s="662" t="str">
        <f t="shared" si="273"/>
        <v>LTK</v>
      </c>
      <c r="AL2526" s="662" t="str">
        <f t="shared" si="274"/>
        <v>FRD</v>
      </c>
      <c r="AM2526" s="662" t="str">
        <f t="shared" si="277"/>
        <v>F350-Crew Cab XL-2WD-6-6'9"-12700-6.2L FFV-8-W3A-610A-160-34-E85-Unleaded</v>
      </c>
      <c r="AN2526" s="662" t="str">
        <f t="shared" si="275"/>
        <v>2019-LTK-FRD-F350-008</v>
      </c>
    </row>
    <row r="2527" spans="1:40" s="572" customFormat="1" ht="15">
      <c r="A2527" s="570" t="s">
        <v>4517</v>
      </c>
      <c r="B2527" s="573" t="s">
        <v>4509</v>
      </c>
      <c r="C2527" s="573" t="s">
        <v>278</v>
      </c>
      <c r="D2527" s="578">
        <v>15</v>
      </c>
      <c r="E2527" s="573" t="s">
        <v>3374</v>
      </c>
      <c r="F2527" s="573" t="s">
        <v>187</v>
      </c>
      <c r="G2527" s="573" t="s">
        <v>271</v>
      </c>
      <c r="H2527" s="573">
        <v>2019</v>
      </c>
      <c r="I2527" s="573" t="s">
        <v>4503</v>
      </c>
      <c r="J2527" s="573" t="s">
        <v>3766</v>
      </c>
      <c r="K2527" s="573" t="s">
        <v>3377</v>
      </c>
      <c r="L2527" s="573">
        <v>6</v>
      </c>
      <c r="M2527" s="573">
        <v>0</v>
      </c>
      <c r="N2527" s="573" t="s">
        <v>157</v>
      </c>
      <c r="O2527" s="573">
        <v>2</v>
      </c>
      <c r="P2527" s="573" t="s">
        <v>4230</v>
      </c>
      <c r="Q2527" s="571">
        <v>12700</v>
      </c>
      <c r="R2527" s="573" t="s">
        <v>4231</v>
      </c>
      <c r="S2527" s="573">
        <v>8</v>
      </c>
      <c r="T2527" s="573" t="s">
        <v>4504</v>
      </c>
      <c r="U2527" s="573" t="s">
        <v>4505</v>
      </c>
      <c r="V2527" s="573">
        <v>160</v>
      </c>
      <c r="W2527" s="573">
        <v>34</v>
      </c>
      <c r="X2527" s="571">
        <v>10900</v>
      </c>
      <c r="Y2527" s="569">
        <v>13</v>
      </c>
      <c r="Z2527" s="579" t="s">
        <v>728</v>
      </c>
      <c r="AA2527" s="579" t="s">
        <v>1523</v>
      </c>
      <c r="AB2527" s="584">
        <v>48535</v>
      </c>
      <c r="AC2527" s="584" t="s">
        <v>164</v>
      </c>
      <c r="AD2527" s="584">
        <v>38100</v>
      </c>
      <c r="AE2527" s="586">
        <v>0.01</v>
      </c>
      <c r="AF2527" s="661" t="str">
        <f t="shared" si="276"/>
        <v>2019-LTK-FRD-F350-009-15</v>
      </c>
      <c r="AG2527" s="661" t="str">
        <f>IF(AND($Y2527&gt;=32,(AI2527="I"),(Y2527&lt;&gt;"~"),(COUNTIF($AN$1:$AN2527,$AN2527)=1)),"TRUE","FALSE")</f>
        <v>FALSE</v>
      </c>
      <c r="AH2527" s="661" t="str">
        <f>IF(AND($Y2527&gt;=22, (AI2527&lt;&gt;"I"),(Y2527&lt;&gt;"~"),(COUNTIF($AN$1:$AN2527,$AN2527)=1)),"TRUE","FALSE")</f>
        <v>FALSE</v>
      </c>
      <c r="AI2527" s="661" t="str">
        <f t="shared" si="278"/>
        <v>N/A</v>
      </c>
      <c r="AJ2527" s="662" t="str">
        <f t="shared" si="272"/>
        <v>F350-009</v>
      </c>
      <c r="AK2527" s="662" t="str">
        <f t="shared" si="273"/>
        <v>LTK</v>
      </c>
      <c r="AL2527" s="662" t="str">
        <f t="shared" si="274"/>
        <v>FRD</v>
      </c>
      <c r="AM2527" s="662" t="str">
        <f t="shared" si="277"/>
        <v>F350-Crew Cab XL-2WD-6-6'9"-12700-6.7L Diesel-8-W3A-610A-160-34-Diesel-BioDiesel</v>
      </c>
      <c r="AN2527" s="662" t="str">
        <f t="shared" si="275"/>
        <v>2019-LTK-FRD-F350-009</v>
      </c>
    </row>
    <row r="2528" spans="1:40" s="572" customFormat="1" ht="15">
      <c r="A2528" s="570" t="s">
        <v>4518</v>
      </c>
      <c r="B2528" s="569" t="s">
        <v>4513</v>
      </c>
      <c r="C2528" s="569" t="s">
        <v>278</v>
      </c>
      <c r="D2528" s="580">
        <v>15</v>
      </c>
      <c r="E2528" s="569" t="s">
        <v>3374</v>
      </c>
      <c r="F2528" s="569" t="s">
        <v>187</v>
      </c>
      <c r="G2528" s="569" t="s">
        <v>271</v>
      </c>
      <c r="H2528" s="569">
        <v>2019</v>
      </c>
      <c r="I2528" s="569" t="s">
        <v>4503</v>
      </c>
      <c r="J2528" s="569" t="s">
        <v>3766</v>
      </c>
      <c r="K2528" s="569" t="s">
        <v>3377</v>
      </c>
      <c r="L2528" s="569">
        <v>6</v>
      </c>
      <c r="M2528" s="569">
        <v>0</v>
      </c>
      <c r="N2528" s="569" t="s">
        <v>157</v>
      </c>
      <c r="O2528" s="569">
        <v>2</v>
      </c>
      <c r="P2528" s="569" t="s">
        <v>3846</v>
      </c>
      <c r="Q2528" s="568">
        <v>12500</v>
      </c>
      <c r="R2528" s="569" t="s">
        <v>4235</v>
      </c>
      <c r="S2528" s="569">
        <v>8</v>
      </c>
      <c r="T2528" s="569" t="s">
        <v>4504</v>
      </c>
      <c r="U2528" s="569" t="s">
        <v>4505</v>
      </c>
      <c r="V2528" s="569">
        <v>176</v>
      </c>
      <c r="W2528" s="569">
        <v>48</v>
      </c>
      <c r="X2528" s="568">
        <v>10500</v>
      </c>
      <c r="Y2528" s="569">
        <v>13</v>
      </c>
      <c r="Z2528" s="581" t="s">
        <v>450</v>
      </c>
      <c r="AA2528" s="581" t="s">
        <v>178</v>
      </c>
      <c r="AB2528" s="585">
        <v>39615</v>
      </c>
      <c r="AC2528" s="585" t="s">
        <v>164</v>
      </c>
      <c r="AD2528" s="585">
        <v>29995</v>
      </c>
      <c r="AE2528" s="587">
        <v>0.01</v>
      </c>
      <c r="AF2528" s="661" t="str">
        <f t="shared" si="276"/>
        <v>2019-LTK-FRD-F350-010-15</v>
      </c>
      <c r="AG2528" s="661" t="str">
        <f>IF(AND($Y2528&gt;=32,(AI2528="I"),(Y2528&lt;&gt;"~"),(COUNTIF($AN$1:$AN2528,$AN2528)=1)),"TRUE","FALSE")</f>
        <v>FALSE</v>
      </c>
      <c r="AH2528" s="661" t="str">
        <f>IF(AND($Y2528&gt;=22, (AI2528&lt;&gt;"I"),(Y2528&lt;&gt;"~"),(COUNTIF($AN$1:$AN2528,$AN2528)=1)),"TRUE","FALSE")</f>
        <v>FALSE</v>
      </c>
      <c r="AI2528" s="661" t="str">
        <f t="shared" si="278"/>
        <v>N/A</v>
      </c>
      <c r="AJ2528" s="662" t="str">
        <f t="shared" si="272"/>
        <v>F350-010</v>
      </c>
      <c r="AK2528" s="662" t="str">
        <f t="shared" si="273"/>
        <v>LTK</v>
      </c>
      <c r="AL2528" s="662" t="str">
        <f t="shared" si="274"/>
        <v>FRD</v>
      </c>
      <c r="AM2528" s="662" t="str">
        <f t="shared" si="277"/>
        <v>F350-Crew Cab XL-2WD-6-8'-12500-6.2L FFV-8-W3A-610A-176-48-E85-Unleaded</v>
      </c>
      <c r="AN2528" s="662" t="str">
        <f t="shared" si="275"/>
        <v>2019-LTK-FRD-F350-010</v>
      </c>
    </row>
    <row r="2529" spans="1:40" s="572" customFormat="1" ht="15">
      <c r="A2529" s="570" t="s">
        <v>4519</v>
      </c>
      <c r="B2529" s="573" t="s">
        <v>4515</v>
      </c>
      <c r="C2529" s="573" t="s">
        <v>278</v>
      </c>
      <c r="D2529" s="578">
        <v>15</v>
      </c>
      <c r="E2529" s="573" t="s">
        <v>3374</v>
      </c>
      <c r="F2529" s="573" t="s">
        <v>187</v>
      </c>
      <c r="G2529" s="573" t="s">
        <v>271</v>
      </c>
      <c r="H2529" s="573">
        <v>2019</v>
      </c>
      <c r="I2529" s="573" t="s">
        <v>4503</v>
      </c>
      <c r="J2529" s="573" t="s">
        <v>3766</v>
      </c>
      <c r="K2529" s="573" t="s">
        <v>3377</v>
      </c>
      <c r="L2529" s="573">
        <v>6</v>
      </c>
      <c r="M2529" s="573">
        <v>0</v>
      </c>
      <c r="N2529" s="573" t="s">
        <v>157</v>
      </c>
      <c r="O2529" s="573">
        <v>2</v>
      </c>
      <c r="P2529" s="573" t="s">
        <v>3846</v>
      </c>
      <c r="Q2529" s="571">
        <v>12500</v>
      </c>
      <c r="R2529" s="573" t="s">
        <v>4231</v>
      </c>
      <c r="S2529" s="573">
        <v>8</v>
      </c>
      <c r="T2529" s="573" t="s">
        <v>4504</v>
      </c>
      <c r="U2529" s="573" t="s">
        <v>4505</v>
      </c>
      <c r="V2529" s="573">
        <v>176</v>
      </c>
      <c r="W2529" s="573">
        <v>48</v>
      </c>
      <c r="X2529" s="571">
        <v>11100</v>
      </c>
      <c r="Y2529" s="569">
        <v>13</v>
      </c>
      <c r="Z2529" s="579" t="s">
        <v>728</v>
      </c>
      <c r="AA2529" s="579" t="s">
        <v>1523</v>
      </c>
      <c r="AB2529" s="584">
        <v>48735</v>
      </c>
      <c r="AC2529" s="584" t="s">
        <v>164</v>
      </c>
      <c r="AD2529" s="584">
        <v>38250</v>
      </c>
      <c r="AE2529" s="586">
        <v>0.01</v>
      </c>
      <c r="AF2529" s="661" t="str">
        <f t="shared" si="276"/>
        <v>2019-LTK-FRD-F350-011-15</v>
      </c>
      <c r="AG2529" s="661" t="str">
        <f>IF(AND($Y2529&gt;=32,(AI2529="I"),(Y2529&lt;&gt;"~"),(COUNTIF($AN$1:$AN2529,$AN2529)=1)),"TRUE","FALSE")</f>
        <v>FALSE</v>
      </c>
      <c r="AH2529" s="661" t="str">
        <f>IF(AND($Y2529&gt;=22, (AI2529&lt;&gt;"I"),(Y2529&lt;&gt;"~"),(COUNTIF($AN$1:$AN2529,$AN2529)=1)),"TRUE","FALSE")</f>
        <v>FALSE</v>
      </c>
      <c r="AI2529" s="661" t="str">
        <f t="shared" si="278"/>
        <v>N/A</v>
      </c>
      <c r="AJ2529" s="662" t="str">
        <f t="shared" si="272"/>
        <v>F350-011</v>
      </c>
      <c r="AK2529" s="662" t="str">
        <f t="shared" si="273"/>
        <v>LTK</v>
      </c>
      <c r="AL2529" s="662" t="str">
        <f t="shared" si="274"/>
        <v>FRD</v>
      </c>
      <c r="AM2529" s="662" t="str">
        <f t="shared" si="277"/>
        <v>F350-Crew Cab XL-2WD-6-8'-12500-6.7L Diesel-8-W3A-610A-176-48-Diesel-BioDiesel</v>
      </c>
      <c r="AN2529" s="662" t="str">
        <f t="shared" si="275"/>
        <v>2019-LTK-FRD-F350-011</v>
      </c>
    </row>
    <row r="2530" spans="1:40" s="572" customFormat="1" ht="15">
      <c r="A2530" s="570" t="s">
        <v>4520</v>
      </c>
      <c r="B2530" s="569" t="s">
        <v>4507</v>
      </c>
      <c r="C2530" s="569" t="s">
        <v>287</v>
      </c>
      <c r="D2530" s="580">
        <v>26</v>
      </c>
      <c r="E2530" s="569" t="s">
        <v>3374</v>
      </c>
      <c r="F2530" s="569" t="s">
        <v>187</v>
      </c>
      <c r="G2530" s="569" t="s">
        <v>271</v>
      </c>
      <c r="H2530" s="569">
        <v>2019</v>
      </c>
      <c r="I2530" s="569" t="s">
        <v>4503</v>
      </c>
      <c r="J2530" s="569" t="s">
        <v>3766</v>
      </c>
      <c r="K2530" s="569" t="s">
        <v>3377</v>
      </c>
      <c r="L2530" s="569">
        <v>6</v>
      </c>
      <c r="M2530" s="569">
        <v>0</v>
      </c>
      <c r="N2530" s="569" t="s">
        <v>157</v>
      </c>
      <c r="O2530" s="569">
        <v>2</v>
      </c>
      <c r="P2530" s="569" t="s">
        <v>4230</v>
      </c>
      <c r="Q2530" s="568">
        <v>12700</v>
      </c>
      <c r="R2530" s="569" t="s">
        <v>4235</v>
      </c>
      <c r="S2530" s="569">
        <v>8</v>
      </c>
      <c r="T2530" s="569" t="s">
        <v>4504</v>
      </c>
      <c r="U2530" s="569" t="s">
        <v>4505</v>
      </c>
      <c r="V2530" s="569">
        <v>160</v>
      </c>
      <c r="W2530" s="569">
        <v>34</v>
      </c>
      <c r="X2530" s="568">
        <v>10100</v>
      </c>
      <c r="Y2530" s="569">
        <v>13</v>
      </c>
      <c r="Z2530" s="581" t="s">
        <v>450</v>
      </c>
      <c r="AA2530" s="581" t="s">
        <v>178</v>
      </c>
      <c r="AB2530" s="585">
        <v>39050</v>
      </c>
      <c r="AC2530" s="585" t="s">
        <v>164</v>
      </c>
      <c r="AD2530" s="585">
        <v>29289</v>
      </c>
      <c r="AE2530" s="587">
        <v>0.05</v>
      </c>
      <c r="AF2530" s="661" t="str">
        <f t="shared" si="276"/>
        <v>2019-LTK-FRD-F350-008-26</v>
      </c>
      <c r="AG2530" s="661" t="str">
        <f>IF(AND($Y2530&gt;=32,(AI2530="I"),(Y2530&lt;&gt;"~"),(COUNTIF($AN$1:$AN2530,$AN2530)=1)),"TRUE","FALSE")</f>
        <v>FALSE</v>
      </c>
      <c r="AH2530" s="661" t="str">
        <f>IF(AND($Y2530&gt;=22, (AI2530&lt;&gt;"I"),(Y2530&lt;&gt;"~"),(COUNTIF($AN$1:$AN2530,$AN2530)=1)),"TRUE","FALSE")</f>
        <v>FALSE</v>
      </c>
      <c r="AI2530" s="661" t="str">
        <f t="shared" si="278"/>
        <v>N/A</v>
      </c>
      <c r="AJ2530" s="662" t="str">
        <f t="shared" si="272"/>
        <v>F350-008</v>
      </c>
      <c r="AK2530" s="662" t="str">
        <f t="shared" si="273"/>
        <v>LTK</v>
      </c>
      <c r="AL2530" s="662" t="str">
        <f t="shared" si="274"/>
        <v>FRD</v>
      </c>
      <c r="AM2530" s="662" t="str">
        <f t="shared" si="277"/>
        <v>F350-Crew Cab XL-2WD-6-6'9"-12700-6.2L FFV-8-W3A-610A-160-34-E85-Unleaded</v>
      </c>
      <c r="AN2530" s="662" t="str">
        <f t="shared" si="275"/>
        <v>2019-LTK-FRD-F350-008</v>
      </c>
    </row>
    <row r="2531" spans="1:40" s="572" customFormat="1" ht="15">
      <c r="A2531" s="570" t="s">
        <v>4521</v>
      </c>
      <c r="B2531" s="573" t="s">
        <v>4509</v>
      </c>
      <c r="C2531" s="573" t="s">
        <v>287</v>
      </c>
      <c r="D2531" s="578">
        <v>26</v>
      </c>
      <c r="E2531" s="573" t="s">
        <v>3374</v>
      </c>
      <c r="F2531" s="573" t="s">
        <v>187</v>
      </c>
      <c r="G2531" s="573" t="s">
        <v>271</v>
      </c>
      <c r="H2531" s="573">
        <v>2019</v>
      </c>
      <c r="I2531" s="573" t="s">
        <v>4503</v>
      </c>
      <c r="J2531" s="573" t="s">
        <v>3766</v>
      </c>
      <c r="K2531" s="573" t="s">
        <v>3377</v>
      </c>
      <c r="L2531" s="573">
        <v>6</v>
      </c>
      <c r="M2531" s="573">
        <v>0</v>
      </c>
      <c r="N2531" s="573" t="s">
        <v>157</v>
      </c>
      <c r="O2531" s="573">
        <v>2</v>
      </c>
      <c r="P2531" s="573" t="s">
        <v>4230</v>
      </c>
      <c r="Q2531" s="571">
        <v>12700</v>
      </c>
      <c r="R2531" s="573" t="s">
        <v>4231</v>
      </c>
      <c r="S2531" s="573">
        <v>8</v>
      </c>
      <c r="T2531" s="573" t="s">
        <v>4504</v>
      </c>
      <c r="U2531" s="573" t="s">
        <v>4505</v>
      </c>
      <c r="V2531" s="573">
        <v>160</v>
      </c>
      <c r="W2531" s="573">
        <v>34</v>
      </c>
      <c r="X2531" s="571">
        <v>10900</v>
      </c>
      <c r="Y2531" s="569">
        <v>13</v>
      </c>
      <c r="Z2531" s="579" t="s">
        <v>728</v>
      </c>
      <c r="AA2531" s="579" t="s">
        <v>1523</v>
      </c>
      <c r="AB2531" s="584">
        <v>48535</v>
      </c>
      <c r="AC2531" s="584" t="s">
        <v>164</v>
      </c>
      <c r="AD2531" s="584">
        <v>38124</v>
      </c>
      <c r="AE2531" s="586">
        <v>0.05</v>
      </c>
      <c r="AF2531" s="661" t="str">
        <f t="shared" si="276"/>
        <v>2019-LTK-FRD-F350-009-26</v>
      </c>
      <c r="AG2531" s="661" t="str">
        <f>IF(AND($Y2531&gt;=32,(AI2531="I"),(Y2531&lt;&gt;"~"),(COUNTIF($AN$1:$AN2531,$AN2531)=1)),"TRUE","FALSE")</f>
        <v>FALSE</v>
      </c>
      <c r="AH2531" s="661" t="str">
        <f>IF(AND($Y2531&gt;=22, (AI2531&lt;&gt;"I"),(Y2531&lt;&gt;"~"),(COUNTIF($AN$1:$AN2531,$AN2531)=1)),"TRUE","FALSE")</f>
        <v>FALSE</v>
      </c>
      <c r="AI2531" s="661" t="str">
        <f t="shared" si="278"/>
        <v>N/A</v>
      </c>
      <c r="AJ2531" s="662" t="str">
        <f t="shared" si="272"/>
        <v>F350-009</v>
      </c>
      <c r="AK2531" s="662" t="str">
        <f t="shared" si="273"/>
        <v>LTK</v>
      </c>
      <c r="AL2531" s="662" t="str">
        <f t="shared" si="274"/>
        <v>FRD</v>
      </c>
      <c r="AM2531" s="662" t="str">
        <f t="shared" si="277"/>
        <v>F350-Crew Cab XL-2WD-6-6'9"-12700-6.7L Diesel-8-W3A-610A-160-34-Diesel-BioDiesel</v>
      </c>
      <c r="AN2531" s="662" t="str">
        <f t="shared" si="275"/>
        <v>2019-LTK-FRD-F350-009</v>
      </c>
    </row>
    <row r="2532" spans="1:40" s="572" customFormat="1" ht="15">
      <c r="A2532" s="570" t="s">
        <v>4522</v>
      </c>
      <c r="B2532" s="569" t="s">
        <v>4513</v>
      </c>
      <c r="C2532" s="569" t="s">
        <v>287</v>
      </c>
      <c r="D2532" s="580">
        <v>26</v>
      </c>
      <c r="E2532" s="569" t="s">
        <v>3374</v>
      </c>
      <c r="F2532" s="569" t="s">
        <v>187</v>
      </c>
      <c r="G2532" s="569" t="s">
        <v>271</v>
      </c>
      <c r="H2532" s="569">
        <v>2019</v>
      </c>
      <c r="I2532" s="569" t="s">
        <v>4503</v>
      </c>
      <c r="J2532" s="569" t="s">
        <v>3766</v>
      </c>
      <c r="K2532" s="569" t="s">
        <v>3377</v>
      </c>
      <c r="L2532" s="569">
        <v>6</v>
      </c>
      <c r="M2532" s="569">
        <v>0</v>
      </c>
      <c r="N2532" s="569" t="s">
        <v>157</v>
      </c>
      <c r="O2532" s="569">
        <v>2</v>
      </c>
      <c r="P2532" s="569" t="s">
        <v>3846</v>
      </c>
      <c r="Q2532" s="568">
        <v>12500</v>
      </c>
      <c r="R2532" s="569" t="s">
        <v>4235</v>
      </c>
      <c r="S2532" s="569">
        <v>8</v>
      </c>
      <c r="T2532" s="569" t="s">
        <v>4504</v>
      </c>
      <c r="U2532" s="569" t="s">
        <v>4505</v>
      </c>
      <c r="V2532" s="569">
        <v>176</v>
      </c>
      <c r="W2532" s="569">
        <v>48</v>
      </c>
      <c r="X2532" s="568">
        <v>10500</v>
      </c>
      <c r="Y2532" s="569">
        <v>13</v>
      </c>
      <c r="Z2532" s="581" t="s">
        <v>450</v>
      </c>
      <c r="AA2532" s="581" t="s">
        <v>178</v>
      </c>
      <c r="AB2532" s="585">
        <v>39615</v>
      </c>
      <c r="AC2532" s="585" t="s">
        <v>164</v>
      </c>
      <c r="AD2532" s="585">
        <v>30117</v>
      </c>
      <c r="AE2532" s="587">
        <v>0.05</v>
      </c>
      <c r="AF2532" s="661" t="str">
        <f t="shared" si="276"/>
        <v>2019-LTK-FRD-F350-010-26</v>
      </c>
      <c r="AG2532" s="661" t="str">
        <f>IF(AND($Y2532&gt;=32,(AI2532="I"),(Y2532&lt;&gt;"~"),(COUNTIF($AN$1:$AN2532,$AN2532)=1)),"TRUE","FALSE")</f>
        <v>FALSE</v>
      </c>
      <c r="AH2532" s="661" t="str">
        <f>IF(AND($Y2532&gt;=22, (AI2532&lt;&gt;"I"),(Y2532&lt;&gt;"~"),(COUNTIF($AN$1:$AN2532,$AN2532)=1)),"TRUE","FALSE")</f>
        <v>FALSE</v>
      </c>
      <c r="AI2532" s="661" t="str">
        <f t="shared" si="278"/>
        <v>N/A</v>
      </c>
      <c r="AJ2532" s="662" t="str">
        <f t="shared" si="272"/>
        <v>F350-010</v>
      </c>
      <c r="AK2532" s="662" t="str">
        <f t="shared" si="273"/>
        <v>LTK</v>
      </c>
      <c r="AL2532" s="662" t="str">
        <f t="shared" si="274"/>
        <v>FRD</v>
      </c>
      <c r="AM2532" s="662" t="str">
        <f t="shared" si="277"/>
        <v>F350-Crew Cab XL-2WD-6-8'-12500-6.2L FFV-8-W3A-610A-176-48-E85-Unleaded</v>
      </c>
      <c r="AN2532" s="662" t="str">
        <f t="shared" si="275"/>
        <v>2019-LTK-FRD-F350-010</v>
      </c>
    </row>
    <row r="2533" spans="1:40" s="572" customFormat="1" ht="15">
      <c r="A2533" s="570" t="s">
        <v>4523</v>
      </c>
      <c r="B2533" s="573" t="s">
        <v>4515</v>
      </c>
      <c r="C2533" s="573" t="s">
        <v>287</v>
      </c>
      <c r="D2533" s="578">
        <v>26</v>
      </c>
      <c r="E2533" s="573" t="s">
        <v>3374</v>
      </c>
      <c r="F2533" s="573" t="s">
        <v>187</v>
      </c>
      <c r="G2533" s="573" t="s">
        <v>271</v>
      </c>
      <c r="H2533" s="573">
        <v>2019</v>
      </c>
      <c r="I2533" s="573" t="s">
        <v>4503</v>
      </c>
      <c r="J2533" s="573" t="s">
        <v>3766</v>
      </c>
      <c r="K2533" s="573" t="s">
        <v>3377</v>
      </c>
      <c r="L2533" s="573">
        <v>6</v>
      </c>
      <c r="M2533" s="573">
        <v>0</v>
      </c>
      <c r="N2533" s="573" t="s">
        <v>157</v>
      </c>
      <c r="O2533" s="573">
        <v>2</v>
      </c>
      <c r="P2533" s="573" t="s">
        <v>3846</v>
      </c>
      <c r="Q2533" s="571">
        <v>12500</v>
      </c>
      <c r="R2533" s="573" t="s">
        <v>4231</v>
      </c>
      <c r="S2533" s="573">
        <v>8</v>
      </c>
      <c r="T2533" s="573" t="s">
        <v>4504</v>
      </c>
      <c r="U2533" s="573" t="s">
        <v>4505</v>
      </c>
      <c r="V2533" s="573">
        <v>176</v>
      </c>
      <c r="W2533" s="573">
        <v>48</v>
      </c>
      <c r="X2533" s="571">
        <v>11100</v>
      </c>
      <c r="Y2533" s="569">
        <v>13</v>
      </c>
      <c r="Z2533" s="579" t="s">
        <v>728</v>
      </c>
      <c r="AA2533" s="579" t="s">
        <v>1523</v>
      </c>
      <c r="AB2533" s="584">
        <v>48735</v>
      </c>
      <c r="AC2533" s="584" t="s">
        <v>164</v>
      </c>
      <c r="AD2533" s="584">
        <v>38311</v>
      </c>
      <c r="AE2533" s="586">
        <v>0.05</v>
      </c>
      <c r="AF2533" s="661" t="str">
        <f t="shared" si="276"/>
        <v>2019-LTK-FRD-F350-011-26</v>
      </c>
      <c r="AG2533" s="661" t="str">
        <f>IF(AND($Y2533&gt;=32,(AI2533="I"),(Y2533&lt;&gt;"~"),(COUNTIF($AN$1:$AN2533,$AN2533)=1)),"TRUE","FALSE")</f>
        <v>FALSE</v>
      </c>
      <c r="AH2533" s="661" t="str">
        <f>IF(AND($Y2533&gt;=22, (AI2533&lt;&gt;"I"),(Y2533&lt;&gt;"~"),(COUNTIF($AN$1:$AN2533,$AN2533)=1)),"TRUE","FALSE")</f>
        <v>FALSE</v>
      </c>
      <c r="AI2533" s="661" t="str">
        <f t="shared" si="278"/>
        <v>N/A</v>
      </c>
      <c r="AJ2533" s="662" t="str">
        <f t="shared" si="272"/>
        <v>F350-011</v>
      </c>
      <c r="AK2533" s="662" t="str">
        <f t="shared" si="273"/>
        <v>LTK</v>
      </c>
      <c r="AL2533" s="662" t="str">
        <f t="shared" si="274"/>
        <v>FRD</v>
      </c>
      <c r="AM2533" s="662" t="str">
        <f t="shared" si="277"/>
        <v>F350-Crew Cab XL-2WD-6-8'-12500-6.7L Diesel-8-W3A-610A-176-48-Diesel-BioDiesel</v>
      </c>
      <c r="AN2533" s="662" t="str">
        <f t="shared" si="275"/>
        <v>2019-LTK-FRD-F350-011</v>
      </c>
    </row>
    <row r="2534" spans="1:40" s="572" customFormat="1" ht="15">
      <c r="A2534" s="570" t="s">
        <v>4524</v>
      </c>
      <c r="B2534" s="569" t="s">
        <v>4502</v>
      </c>
      <c r="C2534" s="569" t="s">
        <v>280</v>
      </c>
      <c r="D2534" s="580">
        <v>27</v>
      </c>
      <c r="E2534" s="569" t="s">
        <v>3374</v>
      </c>
      <c r="F2534" s="569" t="s">
        <v>187</v>
      </c>
      <c r="G2534" s="569" t="s">
        <v>271</v>
      </c>
      <c r="H2534" s="569">
        <v>2019</v>
      </c>
      <c r="I2534" s="569" t="s">
        <v>4503</v>
      </c>
      <c r="J2534" s="569" t="s">
        <v>3766</v>
      </c>
      <c r="K2534" s="569" t="s">
        <v>3377</v>
      </c>
      <c r="L2534" s="569">
        <v>6</v>
      </c>
      <c r="M2534" s="569">
        <v>0</v>
      </c>
      <c r="N2534" s="569" t="s">
        <v>157</v>
      </c>
      <c r="O2534" s="569">
        <v>2</v>
      </c>
      <c r="P2534" s="569" t="s">
        <v>4230</v>
      </c>
      <c r="Q2534" s="568">
        <v>12300</v>
      </c>
      <c r="R2534" s="569" t="s">
        <v>4235</v>
      </c>
      <c r="S2534" s="569">
        <v>8</v>
      </c>
      <c r="T2534" s="569" t="s">
        <v>4504</v>
      </c>
      <c r="U2534" s="569" t="s">
        <v>4505</v>
      </c>
      <c r="V2534" s="569">
        <v>160</v>
      </c>
      <c r="W2534" s="569">
        <v>34</v>
      </c>
      <c r="X2534" s="568">
        <v>10100</v>
      </c>
      <c r="Y2534" s="569">
        <v>13</v>
      </c>
      <c r="Z2534" s="581" t="s">
        <v>450</v>
      </c>
      <c r="AA2534" s="581" t="s">
        <v>178</v>
      </c>
      <c r="AB2534" s="585">
        <v>39415</v>
      </c>
      <c r="AC2534" s="585" t="s">
        <v>164</v>
      </c>
      <c r="AD2534" s="585">
        <v>29681.810526315792</v>
      </c>
      <c r="AE2534" s="587">
        <v>0.03</v>
      </c>
      <c r="AF2534" s="661" t="str">
        <f t="shared" si="276"/>
        <v>2019-LTK-FRD-F350-007-27</v>
      </c>
      <c r="AG2534" s="661" t="str">
        <f>IF(AND($Y2534&gt;=32,(AI2534="I"),(Y2534&lt;&gt;"~"),(COUNTIF($AN$1:$AN2534,$AN2534)=1)),"TRUE","FALSE")</f>
        <v>FALSE</v>
      </c>
      <c r="AH2534" s="661" t="str">
        <f>IF(AND($Y2534&gt;=22, (AI2534&lt;&gt;"I"),(Y2534&lt;&gt;"~"),(COUNTIF($AN$1:$AN2534,$AN2534)=1)),"TRUE","FALSE")</f>
        <v>FALSE</v>
      </c>
      <c r="AI2534" s="661" t="str">
        <f t="shared" si="278"/>
        <v>N/A</v>
      </c>
      <c r="AJ2534" s="662" t="str">
        <f t="shared" si="272"/>
        <v>F350-007</v>
      </c>
      <c r="AK2534" s="662" t="str">
        <f t="shared" si="273"/>
        <v>LTK</v>
      </c>
      <c r="AL2534" s="662" t="str">
        <f t="shared" si="274"/>
        <v>FRD</v>
      </c>
      <c r="AM2534" s="662" t="str">
        <f t="shared" si="277"/>
        <v>F350-Crew Cab XL-2WD-6-6'9"-12300-6.2L FFV-8-W3A-610A-160-34-E85-Unleaded</v>
      </c>
      <c r="AN2534" s="662" t="str">
        <f t="shared" si="275"/>
        <v>2019-LTK-FRD-F350-007</v>
      </c>
    </row>
    <row r="2535" spans="1:40" s="572" customFormat="1" ht="15">
      <c r="A2535" s="570" t="s">
        <v>4525</v>
      </c>
      <c r="B2535" s="573" t="s">
        <v>4507</v>
      </c>
      <c r="C2535" s="573" t="s">
        <v>280</v>
      </c>
      <c r="D2535" s="578">
        <v>27</v>
      </c>
      <c r="E2535" s="573" t="s">
        <v>3374</v>
      </c>
      <c r="F2535" s="573" t="s">
        <v>187</v>
      </c>
      <c r="G2535" s="573" t="s">
        <v>271</v>
      </c>
      <c r="H2535" s="573">
        <v>2019</v>
      </c>
      <c r="I2535" s="573" t="s">
        <v>4503</v>
      </c>
      <c r="J2535" s="573" t="s">
        <v>3766</v>
      </c>
      <c r="K2535" s="573" t="s">
        <v>3377</v>
      </c>
      <c r="L2535" s="573">
        <v>6</v>
      </c>
      <c r="M2535" s="573">
        <v>0</v>
      </c>
      <c r="N2535" s="573" t="s">
        <v>157</v>
      </c>
      <c r="O2535" s="573">
        <v>2</v>
      </c>
      <c r="P2535" s="573" t="s">
        <v>4230</v>
      </c>
      <c r="Q2535" s="571">
        <v>12700</v>
      </c>
      <c r="R2535" s="573" t="s">
        <v>4235</v>
      </c>
      <c r="S2535" s="573">
        <v>8</v>
      </c>
      <c r="T2535" s="573" t="s">
        <v>4504</v>
      </c>
      <c r="U2535" s="573" t="s">
        <v>4505</v>
      </c>
      <c r="V2535" s="573">
        <v>160</v>
      </c>
      <c r="W2535" s="573">
        <v>34</v>
      </c>
      <c r="X2535" s="571">
        <v>10100</v>
      </c>
      <c r="Y2535" s="569">
        <v>13</v>
      </c>
      <c r="Z2535" s="579" t="s">
        <v>450</v>
      </c>
      <c r="AA2535" s="579" t="s">
        <v>178</v>
      </c>
      <c r="AB2535" s="584">
        <v>39415</v>
      </c>
      <c r="AC2535" s="584" t="s">
        <v>164</v>
      </c>
      <c r="AD2535" s="584">
        <v>29681.810526315792</v>
      </c>
      <c r="AE2535" s="586">
        <v>0.03</v>
      </c>
      <c r="AF2535" s="661" t="str">
        <f t="shared" si="276"/>
        <v>2019-LTK-FRD-F350-008-27</v>
      </c>
      <c r="AG2535" s="661" t="str">
        <f>IF(AND($Y2535&gt;=32,(AI2535="I"),(Y2535&lt;&gt;"~"),(COUNTIF($AN$1:$AN2535,$AN2535)=1)),"TRUE","FALSE")</f>
        <v>FALSE</v>
      </c>
      <c r="AH2535" s="661" t="str">
        <f>IF(AND($Y2535&gt;=22, (AI2535&lt;&gt;"I"),(Y2535&lt;&gt;"~"),(COUNTIF($AN$1:$AN2535,$AN2535)=1)),"TRUE","FALSE")</f>
        <v>FALSE</v>
      </c>
      <c r="AI2535" s="661" t="str">
        <f t="shared" si="278"/>
        <v>N/A</v>
      </c>
      <c r="AJ2535" s="662" t="str">
        <f t="shared" si="272"/>
        <v>F350-008</v>
      </c>
      <c r="AK2535" s="662" t="str">
        <f t="shared" si="273"/>
        <v>LTK</v>
      </c>
      <c r="AL2535" s="662" t="str">
        <f t="shared" si="274"/>
        <v>FRD</v>
      </c>
      <c r="AM2535" s="662" t="str">
        <f t="shared" si="277"/>
        <v>F350-Crew Cab XL-2WD-6-6'9"-12700-6.2L FFV-8-W3A-610A-160-34-E85-Unleaded</v>
      </c>
      <c r="AN2535" s="662" t="str">
        <f t="shared" si="275"/>
        <v>2019-LTK-FRD-F350-008</v>
      </c>
    </row>
    <row r="2536" spans="1:40" s="572" customFormat="1" ht="15">
      <c r="A2536" s="570" t="s">
        <v>4525</v>
      </c>
      <c r="B2536" s="569" t="s">
        <v>4507</v>
      </c>
      <c r="C2536" s="569" t="s">
        <v>280</v>
      </c>
      <c r="D2536" s="580">
        <v>27</v>
      </c>
      <c r="E2536" s="569" t="s">
        <v>3374</v>
      </c>
      <c r="F2536" s="569" t="s">
        <v>187</v>
      </c>
      <c r="G2536" s="569" t="s">
        <v>271</v>
      </c>
      <c r="H2536" s="569">
        <v>2019</v>
      </c>
      <c r="I2536" s="569" t="s">
        <v>4503</v>
      </c>
      <c r="J2536" s="569" t="s">
        <v>3766</v>
      </c>
      <c r="K2536" s="569" t="s">
        <v>3377</v>
      </c>
      <c r="L2536" s="569">
        <v>6</v>
      </c>
      <c r="M2536" s="569">
        <v>0</v>
      </c>
      <c r="N2536" s="569" t="s">
        <v>157</v>
      </c>
      <c r="O2536" s="569">
        <v>2</v>
      </c>
      <c r="P2536" s="569" t="s">
        <v>4230</v>
      </c>
      <c r="Q2536" s="568">
        <v>12700</v>
      </c>
      <c r="R2536" s="569" t="s">
        <v>4235</v>
      </c>
      <c r="S2536" s="569">
        <v>8</v>
      </c>
      <c r="T2536" s="569" t="s">
        <v>4504</v>
      </c>
      <c r="U2536" s="569" t="s">
        <v>4505</v>
      </c>
      <c r="V2536" s="569">
        <v>160</v>
      </c>
      <c r="W2536" s="569">
        <v>34</v>
      </c>
      <c r="X2536" s="568">
        <v>10100</v>
      </c>
      <c r="Y2536" s="569">
        <v>13</v>
      </c>
      <c r="Z2536" s="581" t="s">
        <v>450</v>
      </c>
      <c r="AA2536" s="581" t="s">
        <v>178</v>
      </c>
      <c r="AB2536" s="585">
        <v>39415</v>
      </c>
      <c r="AC2536" s="585" t="s">
        <v>164</v>
      </c>
      <c r="AD2536" s="585">
        <v>29681.810526315792</v>
      </c>
      <c r="AE2536" s="587">
        <v>0.03</v>
      </c>
      <c r="AF2536" s="661" t="str">
        <f t="shared" si="276"/>
        <v>2019-LTK-FRD-F350-008-27</v>
      </c>
      <c r="AG2536" s="661" t="str">
        <f>IF(AND($Y2536&gt;=32,(AI2536="I"),(Y2536&lt;&gt;"~"),(COUNTIF($AN$1:$AN2536,$AN2536)=1)),"TRUE","FALSE")</f>
        <v>FALSE</v>
      </c>
      <c r="AH2536" s="661" t="str">
        <f>IF(AND($Y2536&gt;=22, (AI2536&lt;&gt;"I"),(Y2536&lt;&gt;"~"),(COUNTIF($AN$1:$AN2536,$AN2536)=1)),"TRUE","FALSE")</f>
        <v>FALSE</v>
      </c>
      <c r="AI2536" s="661" t="str">
        <f t="shared" si="278"/>
        <v>N/A</v>
      </c>
      <c r="AJ2536" s="662" t="str">
        <f t="shared" si="272"/>
        <v>F350-008</v>
      </c>
      <c r="AK2536" s="662" t="str">
        <f t="shared" si="273"/>
        <v>LTK</v>
      </c>
      <c r="AL2536" s="662" t="str">
        <f t="shared" si="274"/>
        <v>FRD</v>
      </c>
      <c r="AM2536" s="662" t="str">
        <f t="shared" si="277"/>
        <v>F350-Crew Cab XL-2WD-6-6'9"-12700-6.2L FFV-8-W3A-610A-160-34-E85-Unleaded</v>
      </c>
      <c r="AN2536" s="662" t="str">
        <f t="shared" si="275"/>
        <v>2019-LTK-FRD-F350-008</v>
      </c>
    </row>
    <row r="2537" spans="1:40" s="572" customFormat="1" ht="15">
      <c r="A2537" s="570" t="s">
        <v>4526</v>
      </c>
      <c r="B2537" s="573" t="s">
        <v>4509</v>
      </c>
      <c r="C2537" s="573" t="s">
        <v>280</v>
      </c>
      <c r="D2537" s="578">
        <v>27</v>
      </c>
      <c r="E2537" s="573" t="s">
        <v>3374</v>
      </c>
      <c r="F2537" s="573" t="s">
        <v>187</v>
      </c>
      <c r="G2537" s="573" t="s">
        <v>271</v>
      </c>
      <c r="H2537" s="573">
        <v>2019</v>
      </c>
      <c r="I2537" s="573" t="s">
        <v>4503</v>
      </c>
      <c r="J2537" s="573" t="s">
        <v>3766</v>
      </c>
      <c r="K2537" s="573" t="s">
        <v>3377</v>
      </c>
      <c r="L2537" s="573">
        <v>6</v>
      </c>
      <c r="M2537" s="573">
        <v>0</v>
      </c>
      <c r="N2537" s="573" t="s">
        <v>157</v>
      </c>
      <c r="O2537" s="573">
        <v>2</v>
      </c>
      <c r="P2537" s="573" t="s">
        <v>4230</v>
      </c>
      <c r="Q2537" s="571">
        <v>12700</v>
      </c>
      <c r="R2537" s="573" t="s">
        <v>4231</v>
      </c>
      <c r="S2537" s="573">
        <v>8</v>
      </c>
      <c r="T2537" s="573" t="s">
        <v>4504</v>
      </c>
      <c r="U2537" s="573" t="s">
        <v>4505</v>
      </c>
      <c r="V2537" s="573">
        <v>160</v>
      </c>
      <c r="W2537" s="573">
        <v>34</v>
      </c>
      <c r="X2537" s="571">
        <v>10900</v>
      </c>
      <c r="Y2537" s="569">
        <v>13</v>
      </c>
      <c r="Z2537" s="579" t="s">
        <v>728</v>
      </c>
      <c r="AA2537" s="579" t="s">
        <v>1523</v>
      </c>
      <c r="AB2537" s="584">
        <v>48535</v>
      </c>
      <c r="AC2537" s="584" t="s">
        <v>164</v>
      </c>
      <c r="AD2537" s="584">
        <v>37874.000000000007</v>
      </c>
      <c r="AE2537" s="586">
        <v>0.03</v>
      </c>
      <c r="AF2537" s="661" t="str">
        <f t="shared" si="276"/>
        <v>2019-LTK-FRD-F350-009-27</v>
      </c>
      <c r="AG2537" s="661" t="str">
        <f>IF(AND($Y2537&gt;=32,(AI2537="I"),(Y2537&lt;&gt;"~"),(COUNTIF($AN$1:$AN2537,$AN2537)=1)),"TRUE","FALSE")</f>
        <v>FALSE</v>
      </c>
      <c r="AH2537" s="661" t="str">
        <f>IF(AND($Y2537&gt;=22, (AI2537&lt;&gt;"I"),(Y2537&lt;&gt;"~"),(COUNTIF($AN$1:$AN2537,$AN2537)=1)),"TRUE","FALSE")</f>
        <v>FALSE</v>
      </c>
      <c r="AI2537" s="661" t="str">
        <f t="shared" si="278"/>
        <v>N/A</v>
      </c>
      <c r="AJ2537" s="662" t="str">
        <f t="shared" si="272"/>
        <v>F350-009</v>
      </c>
      <c r="AK2537" s="662" t="str">
        <f t="shared" si="273"/>
        <v>LTK</v>
      </c>
      <c r="AL2537" s="662" t="str">
        <f t="shared" si="274"/>
        <v>FRD</v>
      </c>
      <c r="AM2537" s="662" t="str">
        <f t="shared" si="277"/>
        <v>F350-Crew Cab XL-2WD-6-6'9"-12700-6.7L Diesel-8-W3A-610A-160-34-Diesel-BioDiesel</v>
      </c>
      <c r="AN2537" s="662" t="str">
        <f t="shared" si="275"/>
        <v>2019-LTK-FRD-F350-009</v>
      </c>
    </row>
    <row r="2538" spans="1:40" s="572" customFormat="1" ht="15">
      <c r="A2538" s="570" t="s">
        <v>4527</v>
      </c>
      <c r="B2538" s="569" t="s">
        <v>4511</v>
      </c>
      <c r="C2538" s="569" t="s">
        <v>280</v>
      </c>
      <c r="D2538" s="580">
        <v>27</v>
      </c>
      <c r="E2538" s="569" t="s">
        <v>3374</v>
      </c>
      <c r="F2538" s="569" t="s">
        <v>187</v>
      </c>
      <c r="G2538" s="569" t="s">
        <v>271</v>
      </c>
      <c r="H2538" s="569">
        <v>2019</v>
      </c>
      <c r="I2538" s="569" t="s">
        <v>4503</v>
      </c>
      <c r="J2538" s="569" t="s">
        <v>3766</v>
      </c>
      <c r="K2538" s="569" t="s">
        <v>3377</v>
      </c>
      <c r="L2538" s="569">
        <v>6</v>
      </c>
      <c r="M2538" s="569">
        <v>0</v>
      </c>
      <c r="N2538" s="569" t="s">
        <v>157</v>
      </c>
      <c r="O2538" s="569">
        <v>2</v>
      </c>
      <c r="P2538" s="569" t="s">
        <v>3846</v>
      </c>
      <c r="Q2538" s="568">
        <v>12500</v>
      </c>
      <c r="R2538" s="569" t="s">
        <v>4235</v>
      </c>
      <c r="S2538" s="569">
        <v>8</v>
      </c>
      <c r="T2538" s="569" t="s">
        <v>4504</v>
      </c>
      <c r="U2538" s="569" t="s">
        <v>4505</v>
      </c>
      <c r="V2538" s="569">
        <v>176</v>
      </c>
      <c r="W2538" s="569">
        <v>34</v>
      </c>
      <c r="X2538" s="568">
        <v>10500</v>
      </c>
      <c r="Y2538" s="569">
        <v>13</v>
      </c>
      <c r="Z2538" s="581" t="s">
        <v>450</v>
      </c>
      <c r="AA2538" s="581" t="s">
        <v>178</v>
      </c>
      <c r="AB2538" s="585">
        <v>39615</v>
      </c>
      <c r="AC2538" s="585" t="s">
        <v>164</v>
      </c>
      <c r="AD2538" s="585">
        <v>29867.073684210529</v>
      </c>
      <c r="AE2538" s="587">
        <v>0.03</v>
      </c>
      <c r="AF2538" s="661" t="str">
        <f t="shared" si="276"/>
        <v>2019-LTK-FRD-F350-081-27</v>
      </c>
      <c r="AG2538" s="661" t="str">
        <f>IF(AND($Y2538&gt;=32,(AI2538="I"),(Y2538&lt;&gt;"~"),(COUNTIF($AN$1:$AN2538,$AN2538)=1)),"TRUE","FALSE")</f>
        <v>FALSE</v>
      </c>
      <c r="AH2538" s="661" t="str">
        <f>IF(AND($Y2538&gt;=22, (AI2538&lt;&gt;"I"),(Y2538&lt;&gt;"~"),(COUNTIF($AN$1:$AN2538,$AN2538)=1)),"TRUE","FALSE")</f>
        <v>FALSE</v>
      </c>
      <c r="AI2538" s="661" t="str">
        <f t="shared" si="278"/>
        <v>N/A</v>
      </c>
      <c r="AJ2538" s="662" t="str">
        <f t="shared" si="272"/>
        <v>F350-081</v>
      </c>
      <c r="AK2538" s="662" t="str">
        <f t="shared" si="273"/>
        <v>LTK</v>
      </c>
      <c r="AL2538" s="662" t="str">
        <f t="shared" si="274"/>
        <v>FRD</v>
      </c>
      <c r="AM2538" s="662" t="str">
        <f t="shared" si="277"/>
        <v>F350-Crew Cab XL-2WD-6-8'-12500-6.2L FFV-8-W3A-610A-176-34-E85-Unleaded</v>
      </c>
      <c r="AN2538" s="662" t="str">
        <f t="shared" si="275"/>
        <v>2019-LTK-FRD-F350-081</v>
      </c>
    </row>
    <row r="2539" spans="1:40" s="572" customFormat="1" ht="15">
      <c r="A2539" s="570" t="s">
        <v>4528</v>
      </c>
      <c r="B2539" s="573" t="s">
        <v>4513</v>
      </c>
      <c r="C2539" s="573" t="s">
        <v>280</v>
      </c>
      <c r="D2539" s="578">
        <v>27</v>
      </c>
      <c r="E2539" s="573" t="s">
        <v>3374</v>
      </c>
      <c r="F2539" s="573" t="s">
        <v>187</v>
      </c>
      <c r="G2539" s="573" t="s">
        <v>271</v>
      </c>
      <c r="H2539" s="573">
        <v>2019</v>
      </c>
      <c r="I2539" s="573" t="s">
        <v>4503</v>
      </c>
      <c r="J2539" s="573" t="s">
        <v>3766</v>
      </c>
      <c r="K2539" s="573" t="s">
        <v>3377</v>
      </c>
      <c r="L2539" s="573">
        <v>6</v>
      </c>
      <c r="M2539" s="573">
        <v>0</v>
      </c>
      <c r="N2539" s="573" t="s">
        <v>157</v>
      </c>
      <c r="O2539" s="573">
        <v>2</v>
      </c>
      <c r="P2539" s="573" t="s">
        <v>3846</v>
      </c>
      <c r="Q2539" s="571">
        <v>12500</v>
      </c>
      <c r="R2539" s="573" t="s">
        <v>4235</v>
      </c>
      <c r="S2539" s="573">
        <v>8</v>
      </c>
      <c r="T2539" s="573" t="s">
        <v>4504</v>
      </c>
      <c r="U2539" s="573" t="s">
        <v>4505</v>
      </c>
      <c r="V2539" s="573">
        <v>176</v>
      </c>
      <c r="W2539" s="573">
        <v>48</v>
      </c>
      <c r="X2539" s="571">
        <v>10500</v>
      </c>
      <c r="Y2539" s="569">
        <v>13</v>
      </c>
      <c r="Z2539" s="579" t="s">
        <v>450</v>
      </c>
      <c r="AA2539" s="579" t="s">
        <v>178</v>
      </c>
      <c r="AB2539" s="584">
        <v>39615</v>
      </c>
      <c r="AC2539" s="584" t="s">
        <v>164</v>
      </c>
      <c r="AD2539" s="584">
        <v>29867.073684210529</v>
      </c>
      <c r="AE2539" s="586">
        <v>0.03</v>
      </c>
      <c r="AF2539" s="661" t="str">
        <f t="shared" si="276"/>
        <v>2019-LTK-FRD-F350-010-27</v>
      </c>
      <c r="AG2539" s="661" t="str">
        <f>IF(AND($Y2539&gt;=32,(AI2539="I"),(Y2539&lt;&gt;"~"),(COUNTIF($AN$1:$AN2539,$AN2539)=1)),"TRUE","FALSE")</f>
        <v>FALSE</v>
      </c>
      <c r="AH2539" s="661" t="str">
        <f>IF(AND($Y2539&gt;=22, (AI2539&lt;&gt;"I"),(Y2539&lt;&gt;"~"),(COUNTIF($AN$1:$AN2539,$AN2539)=1)),"TRUE","FALSE")</f>
        <v>FALSE</v>
      </c>
      <c r="AI2539" s="661" t="str">
        <f t="shared" si="278"/>
        <v>N/A</v>
      </c>
      <c r="AJ2539" s="662" t="str">
        <f t="shared" si="272"/>
        <v>F350-010</v>
      </c>
      <c r="AK2539" s="662" t="str">
        <f t="shared" si="273"/>
        <v>LTK</v>
      </c>
      <c r="AL2539" s="662" t="str">
        <f t="shared" si="274"/>
        <v>FRD</v>
      </c>
      <c r="AM2539" s="662" t="str">
        <f t="shared" si="277"/>
        <v>F350-Crew Cab XL-2WD-6-8'-12500-6.2L FFV-8-W3A-610A-176-48-E85-Unleaded</v>
      </c>
      <c r="AN2539" s="662" t="str">
        <f t="shared" si="275"/>
        <v>2019-LTK-FRD-F350-010</v>
      </c>
    </row>
    <row r="2540" spans="1:40" s="572" customFormat="1" ht="15">
      <c r="A2540" s="570" t="s">
        <v>4529</v>
      </c>
      <c r="B2540" s="569" t="s">
        <v>4515</v>
      </c>
      <c r="C2540" s="569" t="s">
        <v>280</v>
      </c>
      <c r="D2540" s="580">
        <v>27</v>
      </c>
      <c r="E2540" s="569" t="s">
        <v>3374</v>
      </c>
      <c r="F2540" s="569" t="s">
        <v>187</v>
      </c>
      <c r="G2540" s="569" t="s">
        <v>271</v>
      </c>
      <c r="H2540" s="569">
        <v>2019</v>
      </c>
      <c r="I2540" s="569" t="s">
        <v>4503</v>
      </c>
      <c r="J2540" s="569" t="s">
        <v>3766</v>
      </c>
      <c r="K2540" s="569" t="s">
        <v>3377</v>
      </c>
      <c r="L2540" s="569">
        <v>6</v>
      </c>
      <c r="M2540" s="569">
        <v>0</v>
      </c>
      <c r="N2540" s="569" t="s">
        <v>157</v>
      </c>
      <c r="O2540" s="569">
        <v>2</v>
      </c>
      <c r="P2540" s="569" t="s">
        <v>3846</v>
      </c>
      <c r="Q2540" s="568">
        <v>12500</v>
      </c>
      <c r="R2540" s="569" t="s">
        <v>4231</v>
      </c>
      <c r="S2540" s="569">
        <v>8</v>
      </c>
      <c r="T2540" s="569" t="s">
        <v>4504</v>
      </c>
      <c r="U2540" s="569" t="s">
        <v>4505</v>
      </c>
      <c r="V2540" s="569">
        <v>176</v>
      </c>
      <c r="W2540" s="569">
        <v>48</v>
      </c>
      <c r="X2540" s="568">
        <v>11100</v>
      </c>
      <c r="Y2540" s="569">
        <v>13</v>
      </c>
      <c r="Z2540" s="581" t="s">
        <v>728</v>
      </c>
      <c r="AA2540" s="581" t="s">
        <v>1523</v>
      </c>
      <c r="AB2540" s="585">
        <v>48735</v>
      </c>
      <c r="AC2540" s="585" t="s">
        <v>164</v>
      </c>
      <c r="AD2540" s="585">
        <v>38059.26315789474</v>
      </c>
      <c r="AE2540" s="587">
        <v>0.03</v>
      </c>
      <c r="AF2540" s="661" t="str">
        <f t="shared" si="276"/>
        <v>2019-LTK-FRD-F350-011-27</v>
      </c>
      <c r="AG2540" s="661" t="str">
        <f>IF(AND($Y2540&gt;=32,(AI2540="I"),(Y2540&lt;&gt;"~"),(COUNTIF($AN$1:$AN2540,$AN2540)=1)),"TRUE","FALSE")</f>
        <v>FALSE</v>
      </c>
      <c r="AH2540" s="661" t="str">
        <f>IF(AND($Y2540&gt;=22, (AI2540&lt;&gt;"I"),(Y2540&lt;&gt;"~"),(COUNTIF($AN$1:$AN2540,$AN2540)=1)),"TRUE","FALSE")</f>
        <v>FALSE</v>
      </c>
      <c r="AI2540" s="661" t="str">
        <f t="shared" si="278"/>
        <v>N/A</v>
      </c>
      <c r="AJ2540" s="662" t="str">
        <f t="shared" si="272"/>
        <v>F350-011</v>
      </c>
      <c r="AK2540" s="662" t="str">
        <f t="shared" si="273"/>
        <v>LTK</v>
      </c>
      <c r="AL2540" s="662" t="str">
        <f t="shared" si="274"/>
        <v>FRD</v>
      </c>
      <c r="AM2540" s="662" t="str">
        <f t="shared" si="277"/>
        <v>F350-Crew Cab XL-2WD-6-8'-12500-6.7L Diesel-8-W3A-610A-176-48-Diesel-BioDiesel</v>
      </c>
      <c r="AN2540" s="662" t="str">
        <f t="shared" si="275"/>
        <v>2019-LTK-FRD-F350-011</v>
      </c>
    </row>
    <row r="2541" spans="1:40" s="572" customFormat="1" ht="15">
      <c r="A2541" s="570" t="s">
        <v>4530</v>
      </c>
      <c r="B2541" s="573" t="s">
        <v>4531</v>
      </c>
      <c r="C2541" s="573" t="s">
        <v>269</v>
      </c>
      <c r="D2541" s="578" t="s">
        <v>270</v>
      </c>
      <c r="E2541" s="573" t="s">
        <v>3374</v>
      </c>
      <c r="F2541" s="573" t="s">
        <v>187</v>
      </c>
      <c r="G2541" s="573" t="s">
        <v>271</v>
      </c>
      <c r="H2541" s="573">
        <v>2019</v>
      </c>
      <c r="I2541" s="573" t="s">
        <v>4503</v>
      </c>
      <c r="J2541" s="573" t="s">
        <v>3766</v>
      </c>
      <c r="K2541" s="573" t="s">
        <v>752</v>
      </c>
      <c r="L2541" s="573">
        <v>6</v>
      </c>
      <c r="M2541" s="573">
        <v>0</v>
      </c>
      <c r="N2541" s="573" t="s">
        <v>157</v>
      </c>
      <c r="O2541" s="573">
        <v>2</v>
      </c>
      <c r="P2541" s="573" t="s">
        <v>4230</v>
      </c>
      <c r="Q2541" s="571">
        <v>12300</v>
      </c>
      <c r="R2541" s="573" t="s">
        <v>4235</v>
      </c>
      <c r="S2541" s="573">
        <v>8</v>
      </c>
      <c r="T2541" s="573" t="s">
        <v>4532</v>
      </c>
      <c r="U2541" s="573" t="s">
        <v>4505</v>
      </c>
      <c r="V2541" s="573">
        <v>160</v>
      </c>
      <c r="W2541" s="573">
        <v>34</v>
      </c>
      <c r="X2541" s="571">
        <v>10500</v>
      </c>
      <c r="Y2541" s="569">
        <v>12</v>
      </c>
      <c r="Z2541" s="579" t="s">
        <v>450</v>
      </c>
      <c r="AA2541" s="579" t="s">
        <v>178</v>
      </c>
      <c r="AB2541" s="584">
        <v>42220</v>
      </c>
      <c r="AC2541" s="584" t="s">
        <v>164</v>
      </c>
      <c r="AD2541" s="584">
        <v>32272.336842105266</v>
      </c>
      <c r="AE2541" s="586">
        <v>0.03</v>
      </c>
      <c r="AF2541" s="661" t="str">
        <f t="shared" si="276"/>
        <v>2019-LTK-FRD-F350-014-05</v>
      </c>
      <c r="AG2541" s="661" t="str">
        <f>IF(AND($Y2541&gt;=32,(AI2541="I"),(Y2541&lt;&gt;"~"),(COUNTIF($AN$1:$AN2541,$AN2541)=1)),"TRUE","FALSE")</f>
        <v>FALSE</v>
      </c>
      <c r="AH2541" s="661" t="str">
        <f>IF(AND($Y2541&gt;=22, (AI2541&lt;&gt;"I"),(Y2541&lt;&gt;"~"),(COUNTIF($AN$1:$AN2541,$AN2541)=1)),"TRUE","FALSE")</f>
        <v>FALSE</v>
      </c>
      <c r="AI2541" s="661" t="str">
        <f t="shared" si="278"/>
        <v>N/A</v>
      </c>
      <c r="AJ2541" s="662" t="str">
        <f t="shared" si="272"/>
        <v>F350-014</v>
      </c>
      <c r="AK2541" s="662" t="str">
        <f t="shared" si="273"/>
        <v>LTK</v>
      </c>
      <c r="AL2541" s="662" t="str">
        <f t="shared" si="274"/>
        <v>FRD</v>
      </c>
      <c r="AM2541" s="662" t="str">
        <f t="shared" si="277"/>
        <v>F350-Crew Cab XL-4WD-6-6'9"-12300-6.2L FFV-8-W3B-610A-160-34-E85-Unleaded</v>
      </c>
      <c r="AN2541" s="662" t="str">
        <f t="shared" si="275"/>
        <v>2019-LTK-FRD-F350-014</v>
      </c>
    </row>
    <row r="2542" spans="1:40" s="572" customFormat="1" ht="15">
      <c r="A2542" s="570" t="s">
        <v>4533</v>
      </c>
      <c r="B2542" s="569" t="s">
        <v>4534</v>
      </c>
      <c r="C2542" s="569" t="s">
        <v>269</v>
      </c>
      <c r="D2542" s="580" t="s">
        <v>270</v>
      </c>
      <c r="E2542" s="569" t="s">
        <v>3374</v>
      </c>
      <c r="F2542" s="569" t="s">
        <v>187</v>
      </c>
      <c r="G2542" s="569" t="s">
        <v>271</v>
      </c>
      <c r="H2542" s="569">
        <v>2019</v>
      </c>
      <c r="I2542" s="569" t="s">
        <v>4503</v>
      </c>
      <c r="J2542" s="569" t="s">
        <v>3766</v>
      </c>
      <c r="K2542" s="569" t="s">
        <v>752</v>
      </c>
      <c r="L2542" s="569">
        <v>6</v>
      </c>
      <c r="M2542" s="569">
        <v>0</v>
      </c>
      <c r="N2542" s="569" t="s">
        <v>157</v>
      </c>
      <c r="O2542" s="569">
        <v>2</v>
      </c>
      <c r="P2542" s="569" t="s">
        <v>4230</v>
      </c>
      <c r="Q2542" s="568">
        <v>12300</v>
      </c>
      <c r="R2542" s="569" t="s">
        <v>4231</v>
      </c>
      <c r="S2542" s="569">
        <v>8</v>
      </c>
      <c r="T2542" s="569" t="s">
        <v>4532</v>
      </c>
      <c r="U2542" s="569" t="s">
        <v>4505</v>
      </c>
      <c r="V2542" s="569">
        <v>160</v>
      </c>
      <c r="W2542" s="569">
        <v>34</v>
      </c>
      <c r="X2542" s="568">
        <v>11200</v>
      </c>
      <c r="Y2542" s="569">
        <v>12</v>
      </c>
      <c r="Z2542" s="581" t="s">
        <v>728</v>
      </c>
      <c r="AA2542" s="581" t="s">
        <v>1523</v>
      </c>
      <c r="AB2542" s="585">
        <v>51340</v>
      </c>
      <c r="AC2542" s="585" t="s">
        <v>164</v>
      </c>
      <c r="AD2542" s="585">
        <v>40464.526315789481</v>
      </c>
      <c r="AE2542" s="587">
        <v>0.03</v>
      </c>
      <c r="AF2542" s="661" t="str">
        <f t="shared" si="276"/>
        <v>2019-LTK-FRD-F350-015-05</v>
      </c>
      <c r="AG2542" s="661" t="str">
        <f>IF(AND($Y2542&gt;=32,(AI2542="I"),(Y2542&lt;&gt;"~"),(COUNTIF($AN$1:$AN2542,$AN2542)=1)),"TRUE","FALSE")</f>
        <v>FALSE</v>
      </c>
      <c r="AH2542" s="661" t="str">
        <f>IF(AND($Y2542&gt;=22, (AI2542&lt;&gt;"I"),(Y2542&lt;&gt;"~"),(COUNTIF($AN$1:$AN2542,$AN2542)=1)),"TRUE","FALSE")</f>
        <v>FALSE</v>
      </c>
      <c r="AI2542" s="661" t="str">
        <f t="shared" si="278"/>
        <v>N/A</v>
      </c>
      <c r="AJ2542" s="662" t="str">
        <f t="shared" si="272"/>
        <v>F350-015</v>
      </c>
      <c r="AK2542" s="662" t="str">
        <f t="shared" si="273"/>
        <v>LTK</v>
      </c>
      <c r="AL2542" s="662" t="str">
        <f t="shared" si="274"/>
        <v>FRD</v>
      </c>
      <c r="AM2542" s="662" t="str">
        <f t="shared" si="277"/>
        <v>F350-Crew Cab XL-4WD-6-6'9"-12300-6.7L Diesel-8-W3B-610A-160-34-Diesel-BioDiesel</v>
      </c>
      <c r="AN2542" s="662" t="str">
        <f t="shared" si="275"/>
        <v>2019-LTK-FRD-F350-015</v>
      </c>
    </row>
    <row r="2543" spans="1:40" s="572" customFormat="1" ht="15">
      <c r="A2543" s="570" t="s">
        <v>4535</v>
      </c>
      <c r="B2543" s="573" t="s">
        <v>4536</v>
      </c>
      <c r="C2543" s="573" t="s">
        <v>269</v>
      </c>
      <c r="D2543" s="578" t="s">
        <v>270</v>
      </c>
      <c r="E2543" s="573" t="s">
        <v>3374</v>
      </c>
      <c r="F2543" s="573" t="s">
        <v>187</v>
      </c>
      <c r="G2543" s="573" t="s">
        <v>271</v>
      </c>
      <c r="H2543" s="573">
        <v>2019</v>
      </c>
      <c r="I2543" s="573" t="s">
        <v>4503</v>
      </c>
      <c r="J2543" s="573" t="s">
        <v>3766</v>
      </c>
      <c r="K2543" s="573" t="s">
        <v>752</v>
      </c>
      <c r="L2543" s="573">
        <v>6</v>
      </c>
      <c r="M2543" s="573">
        <v>0</v>
      </c>
      <c r="N2543" s="573" t="s">
        <v>157</v>
      </c>
      <c r="O2543" s="573">
        <v>2</v>
      </c>
      <c r="P2543" s="573" t="s">
        <v>3846</v>
      </c>
      <c r="Q2543" s="571">
        <v>12000</v>
      </c>
      <c r="R2543" s="573" t="s">
        <v>4235</v>
      </c>
      <c r="S2543" s="573">
        <v>8</v>
      </c>
      <c r="T2543" s="573" t="s">
        <v>4532</v>
      </c>
      <c r="U2543" s="573" t="s">
        <v>4505</v>
      </c>
      <c r="V2543" s="573">
        <v>176</v>
      </c>
      <c r="W2543" s="573">
        <v>48</v>
      </c>
      <c r="X2543" s="571">
        <v>10800</v>
      </c>
      <c r="Y2543" s="569">
        <v>12</v>
      </c>
      <c r="Z2543" s="579" t="s">
        <v>450</v>
      </c>
      <c r="AA2543" s="579" t="s">
        <v>178</v>
      </c>
      <c r="AB2543" s="584">
        <v>42415</v>
      </c>
      <c r="AC2543" s="584" t="s">
        <v>164</v>
      </c>
      <c r="AD2543" s="584">
        <v>32453.389473684212</v>
      </c>
      <c r="AE2543" s="586">
        <v>0.03</v>
      </c>
      <c r="AF2543" s="661" t="str">
        <f t="shared" si="276"/>
        <v>2019-LTK-FRD-F350-016-05</v>
      </c>
      <c r="AG2543" s="661" t="str">
        <f>IF(AND($Y2543&gt;=32,(AI2543="I"),(Y2543&lt;&gt;"~"),(COUNTIF($AN$1:$AN2543,$AN2543)=1)),"TRUE","FALSE")</f>
        <v>FALSE</v>
      </c>
      <c r="AH2543" s="661" t="str">
        <f>IF(AND($Y2543&gt;=22, (AI2543&lt;&gt;"I"),(Y2543&lt;&gt;"~"),(COUNTIF($AN$1:$AN2543,$AN2543)=1)),"TRUE","FALSE")</f>
        <v>FALSE</v>
      </c>
      <c r="AI2543" s="661" t="str">
        <f t="shared" si="278"/>
        <v>N/A</v>
      </c>
      <c r="AJ2543" s="662" t="str">
        <f t="shared" si="272"/>
        <v>F350-016</v>
      </c>
      <c r="AK2543" s="662" t="str">
        <f t="shared" si="273"/>
        <v>LTK</v>
      </c>
      <c r="AL2543" s="662" t="str">
        <f t="shared" si="274"/>
        <v>FRD</v>
      </c>
      <c r="AM2543" s="662" t="str">
        <f t="shared" si="277"/>
        <v>F350-Crew Cab XL-4WD-6-8'-12000-6.2L FFV-8-W3B-610A-176-48-E85-Unleaded</v>
      </c>
      <c r="AN2543" s="662" t="str">
        <f t="shared" si="275"/>
        <v>2019-LTK-FRD-F350-016</v>
      </c>
    </row>
    <row r="2544" spans="1:40" s="572" customFormat="1" ht="15">
      <c r="A2544" s="570" t="s">
        <v>4537</v>
      </c>
      <c r="B2544" s="569" t="s">
        <v>4538</v>
      </c>
      <c r="C2544" s="569" t="s">
        <v>269</v>
      </c>
      <c r="D2544" s="580" t="s">
        <v>270</v>
      </c>
      <c r="E2544" s="569" t="s">
        <v>3374</v>
      </c>
      <c r="F2544" s="569" t="s">
        <v>187</v>
      </c>
      <c r="G2544" s="569" t="s">
        <v>271</v>
      </c>
      <c r="H2544" s="569">
        <v>2019</v>
      </c>
      <c r="I2544" s="569" t="s">
        <v>4503</v>
      </c>
      <c r="J2544" s="569" t="s">
        <v>3766</v>
      </c>
      <c r="K2544" s="569" t="s">
        <v>752</v>
      </c>
      <c r="L2544" s="569">
        <v>6</v>
      </c>
      <c r="M2544" s="569">
        <v>0</v>
      </c>
      <c r="N2544" s="569" t="s">
        <v>157</v>
      </c>
      <c r="O2544" s="569">
        <v>2</v>
      </c>
      <c r="P2544" s="569" t="s">
        <v>3846</v>
      </c>
      <c r="Q2544" s="568">
        <v>12000</v>
      </c>
      <c r="R2544" s="569" t="s">
        <v>4231</v>
      </c>
      <c r="S2544" s="569">
        <v>8</v>
      </c>
      <c r="T2544" s="569" t="s">
        <v>4532</v>
      </c>
      <c r="U2544" s="569" t="s">
        <v>4505</v>
      </c>
      <c r="V2544" s="569">
        <v>176</v>
      </c>
      <c r="W2544" s="569">
        <v>48</v>
      </c>
      <c r="X2544" s="568">
        <v>11500</v>
      </c>
      <c r="Y2544" s="569">
        <v>12</v>
      </c>
      <c r="Z2544" s="581" t="s">
        <v>728</v>
      </c>
      <c r="AA2544" s="581" t="s">
        <v>1523</v>
      </c>
      <c r="AB2544" s="585">
        <v>51535</v>
      </c>
      <c r="AC2544" s="585" t="s">
        <v>164</v>
      </c>
      <c r="AD2544" s="585">
        <v>40645.578947368427</v>
      </c>
      <c r="AE2544" s="587">
        <v>0.03</v>
      </c>
      <c r="AF2544" s="661" t="str">
        <f t="shared" si="276"/>
        <v>2019-LTK-FRD-F350-017-05</v>
      </c>
      <c r="AG2544" s="661" t="str">
        <f>IF(AND($Y2544&gt;=32,(AI2544="I"),(Y2544&lt;&gt;"~"),(COUNTIF($AN$1:$AN2544,$AN2544)=1)),"TRUE","FALSE")</f>
        <v>FALSE</v>
      </c>
      <c r="AH2544" s="661" t="str">
        <f>IF(AND($Y2544&gt;=22, (AI2544&lt;&gt;"I"),(Y2544&lt;&gt;"~"),(COUNTIF($AN$1:$AN2544,$AN2544)=1)),"TRUE","FALSE")</f>
        <v>FALSE</v>
      </c>
      <c r="AI2544" s="661" t="str">
        <f t="shared" si="278"/>
        <v>N/A</v>
      </c>
      <c r="AJ2544" s="662" t="str">
        <f t="shared" si="272"/>
        <v>F350-017</v>
      </c>
      <c r="AK2544" s="662" t="str">
        <f t="shared" si="273"/>
        <v>LTK</v>
      </c>
      <c r="AL2544" s="662" t="str">
        <f t="shared" si="274"/>
        <v>FRD</v>
      </c>
      <c r="AM2544" s="662" t="str">
        <f t="shared" si="277"/>
        <v>F350-Crew Cab XL-4WD-6-8'-12000-6.7L Diesel-8-W3B-610A-176-48-Diesel-BioDiesel</v>
      </c>
      <c r="AN2544" s="662" t="str">
        <f t="shared" si="275"/>
        <v>2019-LTK-FRD-F350-017</v>
      </c>
    </row>
    <row r="2545" spans="1:40" s="572" customFormat="1" ht="15">
      <c r="A2545" s="570" t="s">
        <v>4539</v>
      </c>
      <c r="B2545" s="573" t="s">
        <v>4540</v>
      </c>
      <c r="C2545" s="573" t="s">
        <v>269</v>
      </c>
      <c r="D2545" s="578" t="s">
        <v>270</v>
      </c>
      <c r="E2545" s="573" t="s">
        <v>3374</v>
      </c>
      <c r="F2545" s="573" t="s">
        <v>187</v>
      </c>
      <c r="G2545" s="573" t="s">
        <v>271</v>
      </c>
      <c r="H2545" s="573">
        <v>2019</v>
      </c>
      <c r="I2545" s="573" t="s">
        <v>4503</v>
      </c>
      <c r="J2545" s="573" t="s">
        <v>3766</v>
      </c>
      <c r="K2545" s="573" t="s">
        <v>752</v>
      </c>
      <c r="L2545" s="573">
        <v>6</v>
      </c>
      <c r="M2545" s="573">
        <v>0</v>
      </c>
      <c r="N2545" s="573" t="s">
        <v>157</v>
      </c>
      <c r="O2545" s="573">
        <v>2</v>
      </c>
      <c r="P2545" s="573" t="s">
        <v>3846</v>
      </c>
      <c r="Q2545" s="571">
        <v>12500</v>
      </c>
      <c r="R2545" s="573" t="s">
        <v>4235</v>
      </c>
      <c r="S2545" s="573">
        <v>8</v>
      </c>
      <c r="T2545" s="573" t="s">
        <v>4532</v>
      </c>
      <c r="U2545" s="573" t="s">
        <v>4505</v>
      </c>
      <c r="V2545" s="573">
        <v>176</v>
      </c>
      <c r="W2545" s="573">
        <v>34</v>
      </c>
      <c r="X2545" s="571">
        <v>10800</v>
      </c>
      <c r="Y2545" s="569">
        <v>12</v>
      </c>
      <c r="Z2545" s="579" t="s">
        <v>450</v>
      </c>
      <c r="AA2545" s="579" t="s">
        <v>178</v>
      </c>
      <c r="AB2545" s="584">
        <v>42415</v>
      </c>
      <c r="AC2545" s="584" t="s">
        <v>164</v>
      </c>
      <c r="AD2545" s="584">
        <v>32453.389473684212</v>
      </c>
      <c r="AE2545" s="586">
        <v>0.03</v>
      </c>
      <c r="AF2545" s="661" t="str">
        <f t="shared" si="276"/>
        <v>2019-LTK-FRD-F350-018-05</v>
      </c>
      <c r="AG2545" s="661" t="str">
        <f>IF(AND($Y2545&gt;=32,(AI2545="I"),(Y2545&lt;&gt;"~"),(COUNTIF($AN$1:$AN2545,$AN2545)=1)),"TRUE","FALSE")</f>
        <v>FALSE</v>
      </c>
      <c r="AH2545" s="661" t="str">
        <f>IF(AND($Y2545&gt;=22, (AI2545&lt;&gt;"I"),(Y2545&lt;&gt;"~"),(COUNTIF($AN$1:$AN2545,$AN2545)=1)),"TRUE","FALSE")</f>
        <v>FALSE</v>
      </c>
      <c r="AI2545" s="661" t="str">
        <f t="shared" si="278"/>
        <v>N/A</v>
      </c>
      <c r="AJ2545" s="662" t="str">
        <f t="shared" si="272"/>
        <v>F350-018</v>
      </c>
      <c r="AK2545" s="662" t="str">
        <f t="shared" si="273"/>
        <v>LTK</v>
      </c>
      <c r="AL2545" s="662" t="str">
        <f t="shared" si="274"/>
        <v>FRD</v>
      </c>
      <c r="AM2545" s="662" t="str">
        <f t="shared" si="277"/>
        <v>F350-Crew Cab XL-4WD-6-8'-12500-6.2L FFV-8-W3B-610A-176-34-E85-Unleaded</v>
      </c>
      <c r="AN2545" s="662" t="str">
        <f t="shared" si="275"/>
        <v>2019-LTK-FRD-F350-018</v>
      </c>
    </row>
    <row r="2546" spans="1:40" s="572" customFormat="1" ht="15">
      <c r="A2546" s="570" t="s">
        <v>4541</v>
      </c>
      <c r="B2546" s="569" t="s">
        <v>4531</v>
      </c>
      <c r="C2546" s="569" t="s">
        <v>278</v>
      </c>
      <c r="D2546" s="580">
        <v>15</v>
      </c>
      <c r="E2546" s="569" t="s">
        <v>3374</v>
      </c>
      <c r="F2546" s="569" t="s">
        <v>187</v>
      </c>
      <c r="G2546" s="569" t="s">
        <v>271</v>
      </c>
      <c r="H2546" s="569">
        <v>2019</v>
      </c>
      <c r="I2546" s="569" t="s">
        <v>4503</v>
      </c>
      <c r="J2546" s="569" t="s">
        <v>3766</v>
      </c>
      <c r="K2546" s="569" t="s">
        <v>752</v>
      </c>
      <c r="L2546" s="569">
        <v>6</v>
      </c>
      <c r="M2546" s="569">
        <v>0</v>
      </c>
      <c r="N2546" s="569" t="s">
        <v>157</v>
      </c>
      <c r="O2546" s="569">
        <v>2</v>
      </c>
      <c r="P2546" s="569" t="s">
        <v>4230</v>
      </c>
      <c r="Q2546" s="568">
        <v>12300</v>
      </c>
      <c r="R2546" s="569" t="s">
        <v>4235</v>
      </c>
      <c r="S2546" s="569">
        <v>8</v>
      </c>
      <c r="T2546" s="569" t="s">
        <v>4532</v>
      </c>
      <c r="U2546" s="569" t="s">
        <v>4505</v>
      </c>
      <c r="V2546" s="569">
        <v>160</v>
      </c>
      <c r="W2546" s="569">
        <v>34</v>
      </c>
      <c r="X2546" s="568">
        <v>10500</v>
      </c>
      <c r="Y2546" s="569">
        <v>12</v>
      </c>
      <c r="Z2546" s="581" t="s">
        <v>450</v>
      </c>
      <c r="AA2546" s="581" t="s">
        <v>178</v>
      </c>
      <c r="AB2546" s="585">
        <v>42220</v>
      </c>
      <c r="AC2546" s="585" t="s">
        <v>164</v>
      </c>
      <c r="AD2546" s="585">
        <v>32400</v>
      </c>
      <c r="AE2546" s="587">
        <v>0.01</v>
      </c>
      <c r="AF2546" s="661" t="str">
        <f t="shared" si="276"/>
        <v>2019-LTK-FRD-F350-014-15</v>
      </c>
      <c r="AG2546" s="661" t="str">
        <f>IF(AND($Y2546&gt;=32,(AI2546="I"),(Y2546&lt;&gt;"~"),(COUNTIF($AN$1:$AN2546,$AN2546)=1)),"TRUE","FALSE")</f>
        <v>FALSE</v>
      </c>
      <c r="AH2546" s="661" t="str">
        <f>IF(AND($Y2546&gt;=22, (AI2546&lt;&gt;"I"),(Y2546&lt;&gt;"~"),(COUNTIF($AN$1:$AN2546,$AN2546)=1)),"TRUE","FALSE")</f>
        <v>FALSE</v>
      </c>
      <c r="AI2546" s="661" t="str">
        <f t="shared" si="278"/>
        <v>N/A</v>
      </c>
      <c r="AJ2546" s="662" t="str">
        <f t="shared" si="272"/>
        <v>F350-014</v>
      </c>
      <c r="AK2546" s="662" t="str">
        <f t="shared" si="273"/>
        <v>LTK</v>
      </c>
      <c r="AL2546" s="662" t="str">
        <f t="shared" si="274"/>
        <v>FRD</v>
      </c>
      <c r="AM2546" s="662" t="str">
        <f t="shared" si="277"/>
        <v>F350-Crew Cab XL-4WD-6-6'9"-12300-6.2L FFV-8-W3B-610A-160-34-E85-Unleaded</v>
      </c>
      <c r="AN2546" s="662" t="str">
        <f t="shared" si="275"/>
        <v>2019-LTK-FRD-F350-014</v>
      </c>
    </row>
    <row r="2547" spans="1:40" s="572" customFormat="1" ht="15">
      <c r="A2547" s="570" t="s">
        <v>4542</v>
      </c>
      <c r="B2547" s="573" t="s">
        <v>4534</v>
      </c>
      <c r="C2547" s="573" t="s">
        <v>278</v>
      </c>
      <c r="D2547" s="578">
        <v>15</v>
      </c>
      <c r="E2547" s="573" t="s">
        <v>3374</v>
      </c>
      <c r="F2547" s="573" t="s">
        <v>187</v>
      </c>
      <c r="G2547" s="573" t="s">
        <v>271</v>
      </c>
      <c r="H2547" s="573">
        <v>2019</v>
      </c>
      <c r="I2547" s="573" t="s">
        <v>4503</v>
      </c>
      <c r="J2547" s="573" t="s">
        <v>3766</v>
      </c>
      <c r="K2547" s="573" t="s">
        <v>752</v>
      </c>
      <c r="L2547" s="573">
        <v>6</v>
      </c>
      <c r="M2547" s="573">
        <v>0</v>
      </c>
      <c r="N2547" s="573" t="s">
        <v>157</v>
      </c>
      <c r="O2547" s="573">
        <v>2</v>
      </c>
      <c r="P2547" s="573" t="s">
        <v>4230</v>
      </c>
      <c r="Q2547" s="571">
        <v>12300</v>
      </c>
      <c r="R2547" s="573" t="s">
        <v>4231</v>
      </c>
      <c r="S2547" s="573">
        <v>8</v>
      </c>
      <c r="T2547" s="573" t="s">
        <v>4532</v>
      </c>
      <c r="U2547" s="573" t="s">
        <v>4505</v>
      </c>
      <c r="V2547" s="573">
        <v>160</v>
      </c>
      <c r="W2547" s="573">
        <v>34</v>
      </c>
      <c r="X2547" s="571">
        <v>11200</v>
      </c>
      <c r="Y2547" s="569">
        <v>12</v>
      </c>
      <c r="Z2547" s="579" t="s">
        <v>728</v>
      </c>
      <c r="AA2547" s="579" t="s">
        <v>1523</v>
      </c>
      <c r="AB2547" s="584">
        <v>51340</v>
      </c>
      <c r="AC2547" s="584" t="s">
        <v>164</v>
      </c>
      <c r="AD2547" s="584">
        <v>40700</v>
      </c>
      <c r="AE2547" s="586">
        <v>0.01</v>
      </c>
      <c r="AF2547" s="661" t="str">
        <f t="shared" si="276"/>
        <v>2019-LTK-FRD-F350-015-15</v>
      </c>
      <c r="AG2547" s="661" t="str">
        <f>IF(AND($Y2547&gt;=32,(AI2547="I"),(Y2547&lt;&gt;"~"),(COUNTIF($AN$1:$AN2547,$AN2547)=1)),"TRUE","FALSE")</f>
        <v>FALSE</v>
      </c>
      <c r="AH2547" s="661" t="str">
        <f>IF(AND($Y2547&gt;=22, (AI2547&lt;&gt;"I"),(Y2547&lt;&gt;"~"),(COUNTIF($AN$1:$AN2547,$AN2547)=1)),"TRUE","FALSE")</f>
        <v>FALSE</v>
      </c>
      <c r="AI2547" s="661" t="str">
        <f t="shared" si="278"/>
        <v>N/A</v>
      </c>
      <c r="AJ2547" s="662" t="str">
        <f t="shared" si="272"/>
        <v>F350-015</v>
      </c>
      <c r="AK2547" s="662" t="str">
        <f t="shared" si="273"/>
        <v>LTK</v>
      </c>
      <c r="AL2547" s="662" t="str">
        <f t="shared" si="274"/>
        <v>FRD</v>
      </c>
      <c r="AM2547" s="662" t="str">
        <f t="shared" si="277"/>
        <v>F350-Crew Cab XL-4WD-6-6'9"-12300-6.7L Diesel-8-W3B-610A-160-34-Diesel-BioDiesel</v>
      </c>
      <c r="AN2547" s="662" t="str">
        <f t="shared" si="275"/>
        <v>2019-LTK-FRD-F350-015</v>
      </c>
    </row>
    <row r="2548" spans="1:40" s="572" customFormat="1" ht="15">
      <c r="A2548" s="570" t="s">
        <v>4543</v>
      </c>
      <c r="B2548" s="569" t="s">
        <v>4536</v>
      </c>
      <c r="C2548" s="569" t="s">
        <v>278</v>
      </c>
      <c r="D2548" s="580">
        <v>15</v>
      </c>
      <c r="E2548" s="569" t="s">
        <v>3374</v>
      </c>
      <c r="F2548" s="569" t="s">
        <v>187</v>
      </c>
      <c r="G2548" s="569" t="s">
        <v>271</v>
      </c>
      <c r="H2548" s="569">
        <v>2019</v>
      </c>
      <c r="I2548" s="569" t="s">
        <v>4503</v>
      </c>
      <c r="J2548" s="569" t="s">
        <v>3766</v>
      </c>
      <c r="K2548" s="569" t="s">
        <v>752</v>
      </c>
      <c r="L2548" s="569">
        <v>6</v>
      </c>
      <c r="M2548" s="569">
        <v>0</v>
      </c>
      <c r="N2548" s="569" t="s">
        <v>157</v>
      </c>
      <c r="O2548" s="569">
        <v>2</v>
      </c>
      <c r="P2548" s="569" t="s">
        <v>3846</v>
      </c>
      <c r="Q2548" s="568">
        <v>12000</v>
      </c>
      <c r="R2548" s="569" t="s">
        <v>4235</v>
      </c>
      <c r="S2548" s="569">
        <v>8</v>
      </c>
      <c r="T2548" s="569" t="s">
        <v>4532</v>
      </c>
      <c r="U2548" s="569" t="s">
        <v>4505</v>
      </c>
      <c r="V2548" s="569">
        <v>176</v>
      </c>
      <c r="W2548" s="569">
        <v>48</v>
      </c>
      <c r="X2548" s="568">
        <v>10800</v>
      </c>
      <c r="Y2548" s="569">
        <v>12</v>
      </c>
      <c r="Z2548" s="581" t="s">
        <v>450</v>
      </c>
      <c r="AA2548" s="581" t="s">
        <v>178</v>
      </c>
      <c r="AB2548" s="585">
        <v>42415</v>
      </c>
      <c r="AC2548" s="585" t="s">
        <v>164</v>
      </c>
      <c r="AD2548" s="585">
        <v>32600</v>
      </c>
      <c r="AE2548" s="587">
        <v>0.01</v>
      </c>
      <c r="AF2548" s="661" t="str">
        <f t="shared" si="276"/>
        <v>2019-LTK-FRD-F350-016-15</v>
      </c>
      <c r="AG2548" s="661" t="str">
        <f>IF(AND($Y2548&gt;=32,(AI2548="I"),(Y2548&lt;&gt;"~"),(COUNTIF($AN$1:$AN2548,$AN2548)=1)),"TRUE","FALSE")</f>
        <v>FALSE</v>
      </c>
      <c r="AH2548" s="661" t="str">
        <f>IF(AND($Y2548&gt;=22, (AI2548&lt;&gt;"I"),(Y2548&lt;&gt;"~"),(COUNTIF($AN$1:$AN2548,$AN2548)=1)),"TRUE","FALSE")</f>
        <v>FALSE</v>
      </c>
      <c r="AI2548" s="661" t="str">
        <f t="shared" si="278"/>
        <v>N/A</v>
      </c>
      <c r="AJ2548" s="662" t="str">
        <f t="shared" si="272"/>
        <v>F350-016</v>
      </c>
      <c r="AK2548" s="662" t="str">
        <f t="shared" si="273"/>
        <v>LTK</v>
      </c>
      <c r="AL2548" s="662" t="str">
        <f t="shared" si="274"/>
        <v>FRD</v>
      </c>
      <c r="AM2548" s="662" t="str">
        <f t="shared" si="277"/>
        <v>F350-Crew Cab XL-4WD-6-8'-12000-6.2L FFV-8-W3B-610A-176-48-E85-Unleaded</v>
      </c>
      <c r="AN2548" s="662" t="str">
        <f t="shared" si="275"/>
        <v>2019-LTK-FRD-F350-016</v>
      </c>
    </row>
    <row r="2549" spans="1:40" s="572" customFormat="1" ht="15">
      <c r="A2549" s="570" t="s">
        <v>4544</v>
      </c>
      <c r="B2549" s="573" t="s">
        <v>4538</v>
      </c>
      <c r="C2549" s="573" t="s">
        <v>278</v>
      </c>
      <c r="D2549" s="578">
        <v>15</v>
      </c>
      <c r="E2549" s="573" t="s">
        <v>3374</v>
      </c>
      <c r="F2549" s="573" t="s">
        <v>187</v>
      </c>
      <c r="G2549" s="573" t="s">
        <v>271</v>
      </c>
      <c r="H2549" s="573">
        <v>2019</v>
      </c>
      <c r="I2549" s="573" t="s">
        <v>4503</v>
      </c>
      <c r="J2549" s="573" t="s">
        <v>3766</v>
      </c>
      <c r="K2549" s="573" t="s">
        <v>752</v>
      </c>
      <c r="L2549" s="573">
        <v>6</v>
      </c>
      <c r="M2549" s="573">
        <v>0</v>
      </c>
      <c r="N2549" s="573" t="s">
        <v>157</v>
      </c>
      <c r="O2549" s="573">
        <v>2</v>
      </c>
      <c r="P2549" s="573" t="s">
        <v>3846</v>
      </c>
      <c r="Q2549" s="571">
        <v>12000</v>
      </c>
      <c r="R2549" s="573" t="s">
        <v>4231</v>
      </c>
      <c r="S2549" s="573">
        <v>8</v>
      </c>
      <c r="T2549" s="573" t="s">
        <v>4532</v>
      </c>
      <c r="U2549" s="573" t="s">
        <v>4505</v>
      </c>
      <c r="V2549" s="573">
        <v>176</v>
      </c>
      <c r="W2549" s="573">
        <v>48</v>
      </c>
      <c r="X2549" s="571">
        <v>11500</v>
      </c>
      <c r="Y2549" s="569">
        <v>12</v>
      </c>
      <c r="Z2549" s="579" t="s">
        <v>728</v>
      </c>
      <c r="AA2549" s="579" t="s">
        <v>1523</v>
      </c>
      <c r="AB2549" s="584">
        <v>51535</v>
      </c>
      <c r="AC2549" s="584" t="s">
        <v>164</v>
      </c>
      <c r="AD2549" s="584">
        <v>40900</v>
      </c>
      <c r="AE2549" s="586">
        <v>0.01</v>
      </c>
      <c r="AF2549" s="661" t="str">
        <f t="shared" si="276"/>
        <v>2019-LTK-FRD-F350-017-15</v>
      </c>
      <c r="AG2549" s="661" t="str">
        <f>IF(AND($Y2549&gt;=32,(AI2549="I"),(Y2549&lt;&gt;"~"),(COUNTIF($AN$1:$AN2549,$AN2549)=1)),"TRUE","FALSE")</f>
        <v>FALSE</v>
      </c>
      <c r="AH2549" s="661" t="str">
        <f>IF(AND($Y2549&gt;=22, (AI2549&lt;&gt;"I"),(Y2549&lt;&gt;"~"),(COUNTIF($AN$1:$AN2549,$AN2549)=1)),"TRUE","FALSE")</f>
        <v>FALSE</v>
      </c>
      <c r="AI2549" s="661" t="str">
        <f t="shared" si="278"/>
        <v>N/A</v>
      </c>
      <c r="AJ2549" s="662" t="str">
        <f t="shared" si="272"/>
        <v>F350-017</v>
      </c>
      <c r="AK2549" s="662" t="str">
        <f t="shared" si="273"/>
        <v>LTK</v>
      </c>
      <c r="AL2549" s="662" t="str">
        <f t="shared" si="274"/>
        <v>FRD</v>
      </c>
      <c r="AM2549" s="662" t="str">
        <f t="shared" si="277"/>
        <v>F350-Crew Cab XL-4WD-6-8'-12000-6.7L Diesel-8-W3B-610A-176-48-Diesel-BioDiesel</v>
      </c>
      <c r="AN2549" s="662" t="str">
        <f t="shared" si="275"/>
        <v>2019-LTK-FRD-F350-017</v>
      </c>
    </row>
    <row r="2550" spans="1:40" s="572" customFormat="1" ht="15">
      <c r="A2550" s="570" t="s">
        <v>4545</v>
      </c>
      <c r="B2550" s="569" t="s">
        <v>4531</v>
      </c>
      <c r="C2550" s="569" t="s">
        <v>287</v>
      </c>
      <c r="D2550" s="580">
        <v>26</v>
      </c>
      <c r="E2550" s="569" t="s">
        <v>3374</v>
      </c>
      <c r="F2550" s="569" t="s">
        <v>187</v>
      </c>
      <c r="G2550" s="569" t="s">
        <v>271</v>
      </c>
      <c r="H2550" s="569">
        <v>2019</v>
      </c>
      <c r="I2550" s="569" t="s">
        <v>4503</v>
      </c>
      <c r="J2550" s="569" t="s">
        <v>3766</v>
      </c>
      <c r="K2550" s="569" t="s">
        <v>752</v>
      </c>
      <c r="L2550" s="569">
        <v>6</v>
      </c>
      <c r="M2550" s="569">
        <v>0</v>
      </c>
      <c r="N2550" s="569" t="s">
        <v>157</v>
      </c>
      <c r="O2550" s="569">
        <v>2</v>
      </c>
      <c r="P2550" s="569" t="s">
        <v>4230</v>
      </c>
      <c r="Q2550" s="568">
        <v>12300</v>
      </c>
      <c r="R2550" s="569" t="s">
        <v>4235</v>
      </c>
      <c r="S2550" s="569">
        <v>8</v>
      </c>
      <c r="T2550" s="569" t="s">
        <v>4532</v>
      </c>
      <c r="U2550" s="569" t="s">
        <v>4505</v>
      </c>
      <c r="V2550" s="569">
        <v>160</v>
      </c>
      <c r="W2550" s="569">
        <v>34</v>
      </c>
      <c r="X2550" s="568">
        <v>10500</v>
      </c>
      <c r="Y2550" s="569">
        <v>12</v>
      </c>
      <c r="Z2550" s="581" t="s">
        <v>450</v>
      </c>
      <c r="AA2550" s="581" t="s">
        <v>178</v>
      </c>
      <c r="AB2550" s="585">
        <v>42220</v>
      </c>
      <c r="AC2550" s="585" t="s">
        <v>164</v>
      </c>
      <c r="AD2550" s="585">
        <v>32560</v>
      </c>
      <c r="AE2550" s="587">
        <v>0.05</v>
      </c>
      <c r="AF2550" s="661" t="str">
        <f t="shared" si="276"/>
        <v>2019-LTK-FRD-F350-014-26</v>
      </c>
      <c r="AG2550" s="661" t="str">
        <f>IF(AND($Y2550&gt;=32,(AI2550="I"),(Y2550&lt;&gt;"~"),(COUNTIF($AN$1:$AN2550,$AN2550)=1)),"TRUE","FALSE")</f>
        <v>FALSE</v>
      </c>
      <c r="AH2550" s="661" t="str">
        <f>IF(AND($Y2550&gt;=22, (AI2550&lt;&gt;"I"),(Y2550&lt;&gt;"~"),(COUNTIF($AN$1:$AN2550,$AN2550)=1)),"TRUE","FALSE")</f>
        <v>FALSE</v>
      </c>
      <c r="AI2550" s="661" t="str">
        <f t="shared" si="278"/>
        <v>N/A</v>
      </c>
      <c r="AJ2550" s="662" t="str">
        <f t="shared" si="272"/>
        <v>F350-014</v>
      </c>
      <c r="AK2550" s="662" t="str">
        <f t="shared" si="273"/>
        <v>LTK</v>
      </c>
      <c r="AL2550" s="662" t="str">
        <f t="shared" si="274"/>
        <v>FRD</v>
      </c>
      <c r="AM2550" s="662" t="str">
        <f t="shared" si="277"/>
        <v>F350-Crew Cab XL-4WD-6-6'9"-12300-6.2L FFV-8-W3B-610A-160-34-E85-Unleaded</v>
      </c>
      <c r="AN2550" s="662" t="str">
        <f t="shared" si="275"/>
        <v>2019-LTK-FRD-F350-014</v>
      </c>
    </row>
    <row r="2551" spans="1:40" s="572" customFormat="1" ht="15">
      <c r="A2551" s="570" t="s">
        <v>4546</v>
      </c>
      <c r="B2551" s="573" t="s">
        <v>4534</v>
      </c>
      <c r="C2551" s="573" t="s">
        <v>287</v>
      </c>
      <c r="D2551" s="578">
        <v>26</v>
      </c>
      <c r="E2551" s="573" t="s">
        <v>3374</v>
      </c>
      <c r="F2551" s="573" t="s">
        <v>187</v>
      </c>
      <c r="G2551" s="573" t="s">
        <v>271</v>
      </c>
      <c r="H2551" s="573">
        <v>2019</v>
      </c>
      <c r="I2551" s="573" t="s">
        <v>4503</v>
      </c>
      <c r="J2551" s="573" t="s">
        <v>3766</v>
      </c>
      <c r="K2551" s="573" t="s">
        <v>752</v>
      </c>
      <c r="L2551" s="573">
        <v>6</v>
      </c>
      <c r="M2551" s="573">
        <v>0</v>
      </c>
      <c r="N2551" s="573" t="s">
        <v>157</v>
      </c>
      <c r="O2551" s="573">
        <v>2</v>
      </c>
      <c r="P2551" s="573" t="s">
        <v>4230</v>
      </c>
      <c r="Q2551" s="571">
        <v>12300</v>
      </c>
      <c r="R2551" s="573" t="s">
        <v>4231</v>
      </c>
      <c r="S2551" s="573">
        <v>8</v>
      </c>
      <c r="T2551" s="573" t="s">
        <v>4532</v>
      </c>
      <c r="U2551" s="573" t="s">
        <v>4505</v>
      </c>
      <c r="V2551" s="573">
        <v>160</v>
      </c>
      <c r="W2551" s="573">
        <v>34</v>
      </c>
      <c r="X2551" s="571">
        <v>11200</v>
      </c>
      <c r="Y2551" s="569">
        <v>12</v>
      </c>
      <c r="Z2551" s="579" t="s">
        <v>728</v>
      </c>
      <c r="AA2551" s="579" t="s">
        <v>1523</v>
      </c>
      <c r="AB2551" s="584">
        <v>51340</v>
      </c>
      <c r="AC2551" s="584" t="s">
        <v>164</v>
      </c>
      <c r="AD2551" s="584">
        <v>40754</v>
      </c>
      <c r="AE2551" s="586">
        <v>0.05</v>
      </c>
      <c r="AF2551" s="661" t="str">
        <f t="shared" si="276"/>
        <v>2019-LTK-FRD-F350-015-26</v>
      </c>
      <c r="AG2551" s="661" t="str">
        <f>IF(AND($Y2551&gt;=32,(AI2551="I"),(Y2551&lt;&gt;"~"),(COUNTIF($AN$1:$AN2551,$AN2551)=1)),"TRUE","FALSE")</f>
        <v>FALSE</v>
      </c>
      <c r="AH2551" s="661" t="str">
        <f>IF(AND($Y2551&gt;=22, (AI2551&lt;&gt;"I"),(Y2551&lt;&gt;"~"),(COUNTIF($AN$1:$AN2551,$AN2551)=1)),"TRUE","FALSE")</f>
        <v>FALSE</v>
      </c>
      <c r="AI2551" s="661" t="str">
        <f t="shared" si="278"/>
        <v>N/A</v>
      </c>
      <c r="AJ2551" s="662" t="str">
        <f t="shared" si="272"/>
        <v>F350-015</v>
      </c>
      <c r="AK2551" s="662" t="str">
        <f t="shared" si="273"/>
        <v>LTK</v>
      </c>
      <c r="AL2551" s="662" t="str">
        <f t="shared" si="274"/>
        <v>FRD</v>
      </c>
      <c r="AM2551" s="662" t="str">
        <f t="shared" si="277"/>
        <v>F350-Crew Cab XL-4WD-6-6'9"-12300-6.7L Diesel-8-W3B-610A-160-34-Diesel-BioDiesel</v>
      </c>
      <c r="AN2551" s="662" t="str">
        <f t="shared" si="275"/>
        <v>2019-LTK-FRD-F350-015</v>
      </c>
    </row>
    <row r="2552" spans="1:40" s="572" customFormat="1" ht="15">
      <c r="A2552" s="570" t="s">
        <v>4547</v>
      </c>
      <c r="B2552" s="569" t="s">
        <v>4536</v>
      </c>
      <c r="C2552" s="569" t="s">
        <v>287</v>
      </c>
      <c r="D2552" s="580">
        <v>26</v>
      </c>
      <c r="E2552" s="569" t="s">
        <v>3374</v>
      </c>
      <c r="F2552" s="569" t="s">
        <v>187</v>
      </c>
      <c r="G2552" s="569" t="s">
        <v>271</v>
      </c>
      <c r="H2552" s="569">
        <v>2019</v>
      </c>
      <c r="I2552" s="569" t="s">
        <v>4503</v>
      </c>
      <c r="J2552" s="569" t="s">
        <v>3766</v>
      </c>
      <c r="K2552" s="569" t="s">
        <v>752</v>
      </c>
      <c r="L2552" s="569">
        <v>6</v>
      </c>
      <c r="M2552" s="569">
        <v>0</v>
      </c>
      <c r="N2552" s="569" t="s">
        <v>157</v>
      </c>
      <c r="O2552" s="569">
        <v>2</v>
      </c>
      <c r="P2552" s="569" t="s">
        <v>3846</v>
      </c>
      <c r="Q2552" s="568">
        <v>12000</v>
      </c>
      <c r="R2552" s="569" t="s">
        <v>4235</v>
      </c>
      <c r="S2552" s="569">
        <v>8</v>
      </c>
      <c r="T2552" s="569" t="s">
        <v>4532</v>
      </c>
      <c r="U2552" s="569" t="s">
        <v>4505</v>
      </c>
      <c r="V2552" s="569">
        <v>176</v>
      </c>
      <c r="W2552" s="569">
        <v>48</v>
      </c>
      <c r="X2552" s="568">
        <v>10800</v>
      </c>
      <c r="Y2552" s="569">
        <v>12</v>
      </c>
      <c r="Z2552" s="581" t="s">
        <v>450</v>
      </c>
      <c r="AA2552" s="581" t="s">
        <v>178</v>
      </c>
      <c r="AB2552" s="585">
        <v>42415</v>
      </c>
      <c r="AC2552" s="585" t="s">
        <v>164</v>
      </c>
      <c r="AD2552" s="585">
        <v>32743</v>
      </c>
      <c r="AE2552" s="587">
        <v>0.05</v>
      </c>
      <c r="AF2552" s="661" t="str">
        <f t="shared" si="276"/>
        <v>2019-LTK-FRD-F350-016-26</v>
      </c>
      <c r="AG2552" s="661" t="str">
        <f>IF(AND($Y2552&gt;=32,(AI2552="I"),(Y2552&lt;&gt;"~"),(COUNTIF($AN$1:$AN2552,$AN2552)=1)),"TRUE","FALSE")</f>
        <v>FALSE</v>
      </c>
      <c r="AH2552" s="661" t="str">
        <f>IF(AND($Y2552&gt;=22, (AI2552&lt;&gt;"I"),(Y2552&lt;&gt;"~"),(COUNTIF($AN$1:$AN2552,$AN2552)=1)),"TRUE","FALSE")</f>
        <v>FALSE</v>
      </c>
      <c r="AI2552" s="661" t="str">
        <f t="shared" si="278"/>
        <v>N/A</v>
      </c>
      <c r="AJ2552" s="662" t="str">
        <f t="shared" si="272"/>
        <v>F350-016</v>
      </c>
      <c r="AK2552" s="662" t="str">
        <f t="shared" si="273"/>
        <v>LTK</v>
      </c>
      <c r="AL2552" s="662" t="str">
        <f t="shared" si="274"/>
        <v>FRD</v>
      </c>
      <c r="AM2552" s="662" t="str">
        <f t="shared" si="277"/>
        <v>F350-Crew Cab XL-4WD-6-8'-12000-6.2L FFV-8-W3B-610A-176-48-E85-Unleaded</v>
      </c>
      <c r="AN2552" s="662" t="str">
        <f t="shared" si="275"/>
        <v>2019-LTK-FRD-F350-016</v>
      </c>
    </row>
    <row r="2553" spans="1:40" s="572" customFormat="1" ht="15">
      <c r="A2553" s="570" t="s">
        <v>4548</v>
      </c>
      <c r="B2553" s="573" t="s">
        <v>4538</v>
      </c>
      <c r="C2553" s="573" t="s">
        <v>287</v>
      </c>
      <c r="D2553" s="578">
        <v>26</v>
      </c>
      <c r="E2553" s="573" t="s">
        <v>3374</v>
      </c>
      <c r="F2553" s="573" t="s">
        <v>187</v>
      </c>
      <c r="G2553" s="573" t="s">
        <v>271</v>
      </c>
      <c r="H2553" s="573">
        <v>2019</v>
      </c>
      <c r="I2553" s="573" t="s">
        <v>4503</v>
      </c>
      <c r="J2553" s="573" t="s">
        <v>3766</v>
      </c>
      <c r="K2553" s="573" t="s">
        <v>752</v>
      </c>
      <c r="L2553" s="573">
        <v>6</v>
      </c>
      <c r="M2553" s="573">
        <v>0</v>
      </c>
      <c r="N2553" s="573" t="s">
        <v>157</v>
      </c>
      <c r="O2553" s="573">
        <v>2</v>
      </c>
      <c r="P2553" s="573" t="s">
        <v>3846</v>
      </c>
      <c r="Q2553" s="571">
        <v>12000</v>
      </c>
      <c r="R2553" s="573" t="s">
        <v>4231</v>
      </c>
      <c r="S2553" s="573">
        <v>8</v>
      </c>
      <c r="T2553" s="573" t="s">
        <v>4532</v>
      </c>
      <c r="U2553" s="573" t="s">
        <v>4505</v>
      </c>
      <c r="V2553" s="573">
        <v>176</v>
      </c>
      <c r="W2553" s="573">
        <v>48</v>
      </c>
      <c r="X2553" s="571">
        <v>11500</v>
      </c>
      <c r="Y2553" s="569">
        <v>12</v>
      </c>
      <c r="Z2553" s="579" t="s">
        <v>728</v>
      </c>
      <c r="AA2553" s="579" t="s">
        <v>1523</v>
      </c>
      <c r="AB2553" s="584">
        <v>51535</v>
      </c>
      <c r="AC2553" s="584" t="s">
        <v>164</v>
      </c>
      <c r="AD2553" s="584">
        <v>40937</v>
      </c>
      <c r="AE2553" s="586">
        <v>0.05</v>
      </c>
      <c r="AF2553" s="661" t="str">
        <f t="shared" si="276"/>
        <v>2019-LTK-FRD-F350-017-26</v>
      </c>
      <c r="AG2553" s="661" t="str">
        <f>IF(AND($Y2553&gt;=32,(AI2553="I"),(Y2553&lt;&gt;"~"),(COUNTIF($AN$1:$AN2553,$AN2553)=1)),"TRUE","FALSE")</f>
        <v>FALSE</v>
      </c>
      <c r="AH2553" s="661" t="str">
        <f>IF(AND($Y2553&gt;=22, (AI2553&lt;&gt;"I"),(Y2553&lt;&gt;"~"),(COUNTIF($AN$1:$AN2553,$AN2553)=1)),"TRUE","FALSE")</f>
        <v>FALSE</v>
      </c>
      <c r="AI2553" s="661" t="str">
        <f t="shared" si="278"/>
        <v>N/A</v>
      </c>
      <c r="AJ2553" s="662" t="str">
        <f t="shared" si="272"/>
        <v>F350-017</v>
      </c>
      <c r="AK2553" s="662" t="str">
        <f t="shared" si="273"/>
        <v>LTK</v>
      </c>
      <c r="AL2553" s="662" t="str">
        <f t="shared" si="274"/>
        <v>FRD</v>
      </c>
      <c r="AM2553" s="662" t="str">
        <f t="shared" si="277"/>
        <v>F350-Crew Cab XL-4WD-6-8'-12000-6.7L Diesel-8-W3B-610A-176-48-Diesel-BioDiesel</v>
      </c>
      <c r="AN2553" s="662" t="str">
        <f t="shared" si="275"/>
        <v>2019-LTK-FRD-F350-017</v>
      </c>
    </row>
    <row r="2554" spans="1:40" s="572" customFormat="1" ht="15">
      <c r="A2554" s="570" t="s">
        <v>4549</v>
      </c>
      <c r="B2554" s="569" t="s">
        <v>4531</v>
      </c>
      <c r="C2554" s="569" t="s">
        <v>280</v>
      </c>
      <c r="D2554" s="580">
        <v>27</v>
      </c>
      <c r="E2554" s="569" t="s">
        <v>3374</v>
      </c>
      <c r="F2554" s="569" t="s">
        <v>187</v>
      </c>
      <c r="G2554" s="569" t="s">
        <v>271</v>
      </c>
      <c r="H2554" s="569">
        <v>2019</v>
      </c>
      <c r="I2554" s="569" t="s">
        <v>4503</v>
      </c>
      <c r="J2554" s="569" t="s">
        <v>3766</v>
      </c>
      <c r="K2554" s="569" t="s">
        <v>752</v>
      </c>
      <c r="L2554" s="569">
        <v>6</v>
      </c>
      <c r="M2554" s="569">
        <v>0</v>
      </c>
      <c r="N2554" s="569" t="s">
        <v>157</v>
      </c>
      <c r="O2554" s="569">
        <v>2</v>
      </c>
      <c r="P2554" s="569" t="s">
        <v>4230</v>
      </c>
      <c r="Q2554" s="568">
        <v>12300</v>
      </c>
      <c r="R2554" s="569" t="s">
        <v>4235</v>
      </c>
      <c r="S2554" s="569">
        <v>8</v>
      </c>
      <c r="T2554" s="569" t="s">
        <v>4532</v>
      </c>
      <c r="U2554" s="569" t="s">
        <v>4505</v>
      </c>
      <c r="V2554" s="569">
        <v>160</v>
      </c>
      <c r="W2554" s="569">
        <v>34</v>
      </c>
      <c r="X2554" s="568">
        <v>10500</v>
      </c>
      <c r="Y2554" s="569">
        <v>12</v>
      </c>
      <c r="Z2554" s="581" t="s">
        <v>450</v>
      </c>
      <c r="AA2554" s="581" t="s">
        <v>178</v>
      </c>
      <c r="AB2554" s="585">
        <v>42220</v>
      </c>
      <c r="AC2554" s="585" t="s">
        <v>164</v>
      </c>
      <c r="AD2554" s="585">
        <v>32272.336842105266</v>
      </c>
      <c r="AE2554" s="587">
        <v>0.03</v>
      </c>
      <c r="AF2554" s="661" t="str">
        <f t="shared" si="276"/>
        <v>2019-LTK-FRD-F350-014-27</v>
      </c>
      <c r="AG2554" s="661" t="str">
        <f>IF(AND($Y2554&gt;=32,(AI2554="I"),(Y2554&lt;&gt;"~"),(COUNTIF($AN$1:$AN2554,$AN2554)=1)),"TRUE","FALSE")</f>
        <v>FALSE</v>
      </c>
      <c r="AH2554" s="661" t="str">
        <f>IF(AND($Y2554&gt;=22, (AI2554&lt;&gt;"I"),(Y2554&lt;&gt;"~"),(COUNTIF($AN$1:$AN2554,$AN2554)=1)),"TRUE","FALSE")</f>
        <v>FALSE</v>
      </c>
      <c r="AI2554" s="661" t="str">
        <f t="shared" si="278"/>
        <v>N/A</v>
      </c>
      <c r="AJ2554" s="662" t="str">
        <f t="shared" si="272"/>
        <v>F350-014</v>
      </c>
      <c r="AK2554" s="662" t="str">
        <f t="shared" si="273"/>
        <v>LTK</v>
      </c>
      <c r="AL2554" s="662" t="str">
        <f t="shared" si="274"/>
        <v>FRD</v>
      </c>
      <c r="AM2554" s="662" t="str">
        <f t="shared" si="277"/>
        <v>F350-Crew Cab XL-4WD-6-6'9"-12300-6.2L FFV-8-W3B-610A-160-34-E85-Unleaded</v>
      </c>
      <c r="AN2554" s="662" t="str">
        <f t="shared" si="275"/>
        <v>2019-LTK-FRD-F350-014</v>
      </c>
    </row>
    <row r="2555" spans="1:40" s="572" customFormat="1" ht="15">
      <c r="A2555" s="570" t="s">
        <v>4550</v>
      </c>
      <c r="B2555" s="573" t="s">
        <v>4534</v>
      </c>
      <c r="C2555" s="573" t="s">
        <v>280</v>
      </c>
      <c r="D2555" s="578">
        <v>27</v>
      </c>
      <c r="E2555" s="573" t="s">
        <v>3374</v>
      </c>
      <c r="F2555" s="573" t="s">
        <v>187</v>
      </c>
      <c r="G2555" s="573" t="s">
        <v>271</v>
      </c>
      <c r="H2555" s="573">
        <v>2019</v>
      </c>
      <c r="I2555" s="573" t="s">
        <v>4503</v>
      </c>
      <c r="J2555" s="573" t="s">
        <v>3766</v>
      </c>
      <c r="K2555" s="573" t="s">
        <v>752</v>
      </c>
      <c r="L2555" s="573">
        <v>6</v>
      </c>
      <c r="M2555" s="573">
        <v>0</v>
      </c>
      <c r="N2555" s="573" t="s">
        <v>157</v>
      </c>
      <c r="O2555" s="573">
        <v>2</v>
      </c>
      <c r="P2555" s="573" t="s">
        <v>4230</v>
      </c>
      <c r="Q2555" s="571">
        <v>12300</v>
      </c>
      <c r="R2555" s="573" t="s">
        <v>4231</v>
      </c>
      <c r="S2555" s="573">
        <v>8</v>
      </c>
      <c r="T2555" s="573" t="s">
        <v>4532</v>
      </c>
      <c r="U2555" s="573" t="s">
        <v>4505</v>
      </c>
      <c r="V2555" s="573">
        <v>160</v>
      </c>
      <c r="W2555" s="573">
        <v>34</v>
      </c>
      <c r="X2555" s="571">
        <v>11200</v>
      </c>
      <c r="Y2555" s="569">
        <v>12</v>
      </c>
      <c r="Z2555" s="579" t="s">
        <v>728</v>
      </c>
      <c r="AA2555" s="579" t="s">
        <v>1523</v>
      </c>
      <c r="AB2555" s="584">
        <v>51340</v>
      </c>
      <c r="AC2555" s="584" t="s">
        <v>164</v>
      </c>
      <c r="AD2555" s="584">
        <v>40464.526315789481</v>
      </c>
      <c r="AE2555" s="586">
        <v>0.03</v>
      </c>
      <c r="AF2555" s="661" t="str">
        <f t="shared" si="276"/>
        <v>2019-LTK-FRD-F350-015-27</v>
      </c>
      <c r="AG2555" s="661" t="str">
        <f>IF(AND($Y2555&gt;=32,(AI2555="I"),(Y2555&lt;&gt;"~"),(COUNTIF($AN$1:$AN2555,$AN2555)=1)),"TRUE","FALSE")</f>
        <v>FALSE</v>
      </c>
      <c r="AH2555" s="661" t="str">
        <f>IF(AND($Y2555&gt;=22, (AI2555&lt;&gt;"I"),(Y2555&lt;&gt;"~"),(COUNTIF($AN$1:$AN2555,$AN2555)=1)),"TRUE","FALSE")</f>
        <v>FALSE</v>
      </c>
      <c r="AI2555" s="661" t="str">
        <f t="shared" si="278"/>
        <v>N/A</v>
      </c>
      <c r="AJ2555" s="662" t="str">
        <f t="shared" si="272"/>
        <v>F350-015</v>
      </c>
      <c r="AK2555" s="662" t="str">
        <f t="shared" si="273"/>
        <v>LTK</v>
      </c>
      <c r="AL2555" s="662" t="str">
        <f t="shared" si="274"/>
        <v>FRD</v>
      </c>
      <c r="AM2555" s="662" t="str">
        <f t="shared" si="277"/>
        <v>F350-Crew Cab XL-4WD-6-6'9"-12300-6.7L Diesel-8-W3B-610A-160-34-Diesel-BioDiesel</v>
      </c>
      <c r="AN2555" s="662" t="str">
        <f t="shared" si="275"/>
        <v>2019-LTK-FRD-F350-015</v>
      </c>
    </row>
    <row r="2556" spans="1:40" s="572" customFormat="1" ht="15">
      <c r="A2556" s="570" t="s">
        <v>4551</v>
      </c>
      <c r="B2556" s="569" t="s">
        <v>4536</v>
      </c>
      <c r="C2556" s="569" t="s">
        <v>280</v>
      </c>
      <c r="D2556" s="580">
        <v>27</v>
      </c>
      <c r="E2556" s="569" t="s">
        <v>3374</v>
      </c>
      <c r="F2556" s="569" t="s">
        <v>187</v>
      </c>
      <c r="G2556" s="569" t="s">
        <v>271</v>
      </c>
      <c r="H2556" s="569">
        <v>2019</v>
      </c>
      <c r="I2556" s="569" t="s">
        <v>4503</v>
      </c>
      <c r="J2556" s="569" t="s">
        <v>3766</v>
      </c>
      <c r="K2556" s="569" t="s">
        <v>752</v>
      </c>
      <c r="L2556" s="569">
        <v>6</v>
      </c>
      <c r="M2556" s="569">
        <v>0</v>
      </c>
      <c r="N2556" s="569" t="s">
        <v>157</v>
      </c>
      <c r="O2556" s="569">
        <v>2</v>
      </c>
      <c r="P2556" s="569" t="s">
        <v>3846</v>
      </c>
      <c r="Q2556" s="568">
        <v>12000</v>
      </c>
      <c r="R2556" s="569" t="s">
        <v>4235</v>
      </c>
      <c r="S2556" s="569">
        <v>8</v>
      </c>
      <c r="T2556" s="569" t="s">
        <v>4532</v>
      </c>
      <c r="U2556" s="569" t="s">
        <v>4505</v>
      </c>
      <c r="V2556" s="569">
        <v>176</v>
      </c>
      <c r="W2556" s="569">
        <v>48</v>
      </c>
      <c r="X2556" s="568">
        <v>10800</v>
      </c>
      <c r="Y2556" s="569">
        <v>12</v>
      </c>
      <c r="Z2556" s="581" t="s">
        <v>450</v>
      </c>
      <c r="AA2556" s="581" t="s">
        <v>178</v>
      </c>
      <c r="AB2556" s="585">
        <v>42415</v>
      </c>
      <c r="AC2556" s="585" t="s">
        <v>164</v>
      </c>
      <c r="AD2556" s="585">
        <v>32453.389473684212</v>
      </c>
      <c r="AE2556" s="587">
        <v>0.03</v>
      </c>
      <c r="AF2556" s="661" t="str">
        <f t="shared" si="276"/>
        <v>2019-LTK-FRD-F350-016-27</v>
      </c>
      <c r="AG2556" s="661" t="str">
        <f>IF(AND($Y2556&gt;=32,(AI2556="I"),(Y2556&lt;&gt;"~"),(COUNTIF($AN$1:$AN2556,$AN2556)=1)),"TRUE","FALSE")</f>
        <v>FALSE</v>
      </c>
      <c r="AH2556" s="661" t="str">
        <f>IF(AND($Y2556&gt;=22, (AI2556&lt;&gt;"I"),(Y2556&lt;&gt;"~"),(COUNTIF($AN$1:$AN2556,$AN2556)=1)),"TRUE","FALSE")</f>
        <v>FALSE</v>
      </c>
      <c r="AI2556" s="661" t="str">
        <f t="shared" si="278"/>
        <v>N/A</v>
      </c>
      <c r="AJ2556" s="662" t="str">
        <f t="shared" si="272"/>
        <v>F350-016</v>
      </c>
      <c r="AK2556" s="662" t="str">
        <f t="shared" si="273"/>
        <v>LTK</v>
      </c>
      <c r="AL2556" s="662" t="str">
        <f t="shared" si="274"/>
        <v>FRD</v>
      </c>
      <c r="AM2556" s="662" t="str">
        <f t="shared" si="277"/>
        <v>F350-Crew Cab XL-4WD-6-8'-12000-6.2L FFV-8-W3B-610A-176-48-E85-Unleaded</v>
      </c>
      <c r="AN2556" s="662" t="str">
        <f t="shared" si="275"/>
        <v>2019-LTK-FRD-F350-016</v>
      </c>
    </row>
    <row r="2557" spans="1:40" s="572" customFormat="1" ht="15">
      <c r="A2557" s="570" t="s">
        <v>4552</v>
      </c>
      <c r="B2557" s="573" t="s">
        <v>4538</v>
      </c>
      <c r="C2557" s="573" t="s">
        <v>280</v>
      </c>
      <c r="D2557" s="578">
        <v>27</v>
      </c>
      <c r="E2557" s="573" t="s">
        <v>3374</v>
      </c>
      <c r="F2557" s="573" t="s">
        <v>187</v>
      </c>
      <c r="G2557" s="573" t="s">
        <v>271</v>
      </c>
      <c r="H2557" s="573">
        <v>2019</v>
      </c>
      <c r="I2557" s="573" t="s">
        <v>4503</v>
      </c>
      <c r="J2557" s="573" t="s">
        <v>3766</v>
      </c>
      <c r="K2557" s="573" t="s">
        <v>752</v>
      </c>
      <c r="L2557" s="573">
        <v>6</v>
      </c>
      <c r="M2557" s="573">
        <v>0</v>
      </c>
      <c r="N2557" s="573" t="s">
        <v>157</v>
      </c>
      <c r="O2557" s="573">
        <v>2</v>
      </c>
      <c r="P2557" s="573" t="s">
        <v>3846</v>
      </c>
      <c r="Q2557" s="571">
        <v>12000</v>
      </c>
      <c r="R2557" s="573" t="s">
        <v>4231</v>
      </c>
      <c r="S2557" s="573">
        <v>8</v>
      </c>
      <c r="T2557" s="573" t="s">
        <v>4532</v>
      </c>
      <c r="U2557" s="573" t="s">
        <v>4505</v>
      </c>
      <c r="V2557" s="573">
        <v>176</v>
      </c>
      <c r="W2557" s="573">
        <v>48</v>
      </c>
      <c r="X2557" s="571">
        <v>11500</v>
      </c>
      <c r="Y2557" s="569">
        <v>12</v>
      </c>
      <c r="Z2557" s="579" t="s">
        <v>728</v>
      </c>
      <c r="AA2557" s="579" t="s">
        <v>1523</v>
      </c>
      <c r="AB2557" s="584">
        <v>51535</v>
      </c>
      <c r="AC2557" s="584" t="s">
        <v>164</v>
      </c>
      <c r="AD2557" s="584">
        <v>40645.578947368427</v>
      </c>
      <c r="AE2557" s="586">
        <v>0.03</v>
      </c>
      <c r="AF2557" s="661" t="str">
        <f t="shared" si="276"/>
        <v>2019-LTK-FRD-F350-017-27</v>
      </c>
      <c r="AG2557" s="661" t="str">
        <f>IF(AND($Y2557&gt;=32,(AI2557="I"),(Y2557&lt;&gt;"~"),(COUNTIF($AN$1:$AN2557,$AN2557)=1)),"TRUE","FALSE")</f>
        <v>FALSE</v>
      </c>
      <c r="AH2557" s="661" t="str">
        <f>IF(AND($Y2557&gt;=22, (AI2557&lt;&gt;"I"),(Y2557&lt;&gt;"~"),(COUNTIF($AN$1:$AN2557,$AN2557)=1)),"TRUE","FALSE")</f>
        <v>FALSE</v>
      </c>
      <c r="AI2557" s="661" t="str">
        <f t="shared" si="278"/>
        <v>N/A</v>
      </c>
      <c r="AJ2557" s="662" t="str">
        <f t="shared" si="272"/>
        <v>F350-017</v>
      </c>
      <c r="AK2557" s="662" t="str">
        <f t="shared" si="273"/>
        <v>LTK</v>
      </c>
      <c r="AL2557" s="662" t="str">
        <f t="shared" si="274"/>
        <v>FRD</v>
      </c>
      <c r="AM2557" s="662" t="str">
        <f t="shared" si="277"/>
        <v>F350-Crew Cab XL-4WD-6-8'-12000-6.7L Diesel-8-W3B-610A-176-48-Diesel-BioDiesel</v>
      </c>
      <c r="AN2557" s="662" t="str">
        <f t="shared" si="275"/>
        <v>2019-LTK-FRD-F350-017</v>
      </c>
    </row>
    <row r="2558" spans="1:40" s="572" customFormat="1" ht="15">
      <c r="A2558" s="570" t="s">
        <v>4553</v>
      </c>
      <c r="B2558" s="569" t="s">
        <v>4540</v>
      </c>
      <c r="C2558" s="569" t="s">
        <v>280</v>
      </c>
      <c r="D2558" s="580">
        <v>27</v>
      </c>
      <c r="E2558" s="569" t="s">
        <v>3374</v>
      </c>
      <c r="F2558" s="569" t="s">
        <v>187</v>
      </c>
      <c r="G2558" s="569" t="s">
        <v>271</v>
      </c>
      <c r="H2558" s="569">
        <v>2019</v>
      </c>
      <c r="I2558" s="569" t="s">
        <v>4503</v>
      </c>
      <c r="J2558" s="569" t="s">
        <v>3766</v>
      </c>
      <c r="K2558" s="569" t="s">
        <v>752</v>
      </c>
      <c r="L2558" s="569">
        <v>6</v>
      </c>
      <c r="M2558" s="569">
        <v>0</v>
      </c>
      <c r="N2558" s="569" t="s">
        <v>157</v>
      </c>
      <c r="O2558" s="569">
        <v>2</v>
      </c>
      <c r="P2558" s="569" t="s">
        <v>3846</v>
      </c>
      <c r="Q2558" s="568">
        <v>12500</v>
      </c>
      <c r="R2558" s="569" t="s">
        <v>4235</v>
      </c>
      <c r="S2558" s="569">
        <v>8</v>
      </c>
      <c r="T2558" s="569" t="s">
        <v>4532</v>
      </c>
      <c r="U2558" s="569" t="s">
        <v>4505</v>
      </c>
      <c r="V2558" s="569">
        <v>176</v>
      </c>
      <c r="W2558" s="569">
        <v>34</v>
      </c>
      <c r="X2558" s="568">
        <v>10800</v>
      </c>
      <c r="Y2558" s="569">
        <v>12</v>
      </c>
      <c r="Z2558" s="581" t="s">
        <v>450</v>
      </c>
      <c r="AA2558" s="581" t="s">
        <v>178</v>
      </c>
      <c r="AB2558" s="585">
        <v>42415</v>
      </c>
      <c r="AC2558" s="585" t="s">
        <v>164</v>
      </c>
      <c r="AD2558" s="585">
        <v>32453.389473684212</v>
      </c>
      <c r="AE2558" s="587">
        <v>0.03</v>
      </c>
      <c r="AF2558" s="661" t="str">
        <f t="shared" si="276"/>
        <v>2019-LTK-FRD-F350-018-27</v>
      </c>
      <c r="AG2558" s="661" t="str">
        <f>IF(AND($Y2558&gt;=32,(AI2558="I"),(Y2558&lt;&gt;"~"),(COUNTIF($AN$1:$AN2558,$AN2558)=1)),"TRUE","FALSE")</f>
        <v>FALSE</v>
      </c>
      <c r="AH2558" s="661" t="str">
        <f>IF(AND($Y2558&gt;=22, (AI2558&lt;&gt;"I"),(Y2558&lt;&gt;"~"),(COUNTIF($AN$1:$AN2558,$AN2558)=1)),"TRUE","FALSE")</f>
        <v>FALSE</v>
      </c>
      <c r="AI2558" s="661" t="str">
        <f t="shared" si="278"/>
        <v>N/A</v>
      </c>
      <c r="AJ2558" s="662" t="str">
        <f t="shared" si="272"/>
        <v>F350-018</v>
      </c>
      <c r="AK2558" s="662" t="str">
        <f t="shared" si="273"/>
        <v>LTK</v>
      </c>
      <c r="AL2558" s="662" t="str">
        <f t="shared" si="274"/>
        <v>FRD</v>
      </c>
      <c r="AM2558" s="662" t="str">
        <f t="shared" si="277"/>
        <v>F350-Crew Cab XL-4WD-6-8'-12500-6.2L FFV-8-W3B-610A-176-34-E85-Unleaded</v>
      </c>
      <c r="AN2558" s="662" t="str">
        <f t="shared" si="275"/>
        <v>2019-LTK-FRD-F350-018</v>
      </c>
    </row>
    <row r="2559" spans="1:40" s="572" customFormat="1" ht="15">
      <c r="A2559" s="570" t="s">
        <v>4554</v>
      </c>
      <c r="B2559" s="573" t="s">
        <v>4555</v>
      </c>
      <c r="C2559" s="573" t="s">
        <v>269</v>
      </c>
      <c r="D2559" s="578" t="s">
        <v>270</v>
      </c>
      <c r="E2559" s="573" t="s">
        <v>3374</v>
      </c>
      <c r="F2559" s="573" t="s">
        <v>187</v>
      </c>
      <c r="G2559" s="573" t="s">
        <v>271</v>
      </c>
      <c r="H2559" s="573">
        <v>2019</v>
      </c>
      <c r="I2559" s="573" t="s">
        <v>4503</v>
      </c>
      <c r="J2559" s="573" t="s">
        <v>4556</v>
      </c>
      <c r="K2559" s="573" t="s">
        <v>3377</v>
      </c>
      <c r="L2559" s="573">
        <v>6</v>
      </c>
      <c r="M2559" s="573">
        <v>0</v>
      </c>
      <c r="N2559" s="573" t="s">
        <v>157</v>
      </c>
      <c r="O2559" s="573">
        <v>2</v>
      </c>
      <c r="P2559" s="573" t="s">
        <v>3846</v>
      </c>
      <c r="Q2559" s="571">
        <v>12500</v>
      </c>
      <c r="R2559" s="573" t="s">
        <v>4235</v>
      </c>
      <c r="S2559" s="573">
        <v>8</v>
      </c>
      <c r="T2559" s="573" t="s">
        <v>4557</v>
      </c>
      <c r="U2559" s="573" t="s">
        <v>4558</v>
      </c>
      <c r="V2559" s="573">
        <v>176</v>
      </c>
      <c r="W2559" s="573">
        <v>34</v>
      </c>
      <c r="X2559" s="571">
        <v>14000</v>
      </c>
      <c r="Y2559" s="569">
        <v>13</v>
      </c>
      <c r="Z2559" s="579" t="s">
        <v>450</v>
      </c>
      <c r="AA2559" s="579" t="s">
        <v>178</v>
      </c>
      <c r="AB2559" s="584">
        <v>41100</v>
      </c>
      <c r="AC2559" s="584" t="s">
        <v>164</v>
      </c>
      <c r="AD2559" s="584">
        <v>31028.126315789475</v>
      </c>
      <c r="AE2559" s="586">
        <v>0.03</v>
      </c>
      <c r="AF2559" s="661" t="str">
        <f t="shared" si="276"/>
        <v>2019-LTK-FRD-F350-001-05</v>
      </c>
      <c r="AG2559" s="661" t="str">
        <f>IF(AND($Y2559&gt;=32,(AI2559="I"),(Y2559&lt;&gt;"~"),(COUNTIF($AN$1:$AN2559,$AN2559)=1)),"TRUE","FALSE")</f>
        <v>FALSE</v>
      </c>
      <c r="AH2559" s="661" t="str">
        <f>IF(AND($Y2559&gt;=22, (AI2559&lt;&gt;"I"),(Y2559&lt;&gt;"~"),(COUNTIF($AN$1:$AN2559,$AN2559)=1)),"TRUE","FALSE")</f>
        <v>FALSE</v>
      </c>
      <c r="AI2559" s="661" t="str">
        <f t="shared" si="278"/>
        <v>N/A</v>
      </c>
      <c r="AJ2559" s="662" t="str">
        <f t="shared" si="272"/>
        <v>F350-001</v>
      </c>
      <c r="AK2559" s="662" t="str">
        <f t="shared" si="273"/>
        <v>LTK</v>
      </c>
      <c r="AL2559" s="662" t="str">
        <f t="shared" si="274"/>
        <v>FRD</v>
      </c>
      <c r="AM2559" s="662" t="str">
        <f t="shared" si="277"/>
        <v>F350-Crew Cab XL DRW-2WD-6-8'-12500-6.2L FFV-8-W3C-620A-176-34-E85-Unleaded</v>
      </c>
      <c r="AN2559" s="662" t="str">
        <f t="shared" si="275"/>
        <v>2019-LTK-FRD-F350-001</v>
      </c>
    </row>
    <row r="2560" spans="1:40" s="572" customFormat="1" ht="15">
      <c r="A2560" s="570" t="s">
        <v>4559</v>
      </c>
      <c r="B2560" s="569" t="s">
        <v>4560</v>
      </c>
      <c r="C2560" s="569" t="s">
        <v>269</v>
      </c>
      <c r="D2560" s="580" t="s">
        <v>270</v>
      </c>
      <c r="E2560" s="569" t="s">
        <v>3374</v>
      </c>
      <c r="F2560" s="569" t="s">
        <v>187</v>
      </c>
      <c r="G2560" s="569" t="s">
        <v>271</v>
      </c>
      <c r="H2560" s="569">
        <v>2019</v>
      </c>
      <c r="I2560" s="569" t="s">
        <v>4503</v>
      </c>
      <c r="J2560" s="569" t="s">
        <v>4556</v>
      </c>
      <c r="K2560" s="569" t="s">
        <v>3377</v>
      </c>
      <c r="L2560" s="569">
        <v>6</v>
      </c>
      <c r="M2560" s="569">
        <v>0</v>
      </c>
      <c r="N2560" s="569" t="s">
        <v>157</v>
      </c>
      <c r="O2560" s="569">
        <v>2</v>
      </c>
      <c r="P2560" s="569" t="s">
        <v>3846</v>
      </c>
      <c r="Q2560" s="568">
        <v>12500</v>
      </c>
      <c r="R2560" s="569" t="s">
        <v>4235</v>
      </c>
      <c r="S2560" s="569">
        <v>8</v>
      </c>
      <c r="T2560" s="569" t="s">
        <v>4557</v>
      </c>
      <c r="U2560" s="569" t="s">
        <v>4558</v>
      </c>
      <c r="V2560" s="569">
        <v>176</v>
      </c>
      <c r="W2560" s="569">
        <v>48</v>
      </c>
      <c r="X2560" s="568">
        <v>14000</v>
      </c>
      <c r="Y2560" s="569">
        <v>13</v>
      </c>
      <c r="Z2560" s="581" t="s">
        <v>450</v>
      </c>
      <c r="AA2560" s="581" t="s">
        <v>178</v>
      </c>
      <c r="AB2560" s="585">
        <v>41100</v>
      </c>
      <c r="AC2560" s="585" t="s">
        <v>164</v>
      </c>
      <c r="AD2560" s="585">
        <v>31028.126315789475</v>
      </c>
      <c r="AE2560" s="587">
        <v>0.03</v>
      </c>
      <c r="AF2560" s="661" t="str">
        <f t="shared" si="276"/>
        <v>2019-LTK-FRD-F350-002-05</v>
      </c>
      <c r="AG2560" s="661" t="str">
        <f>IF(AND($Y2560&gt;=32,(AI2560="I"),(Y2560&lt;&gt;"~"),(COUNTIF($AN$1:$AN2560,$AN2560)=1)),"TRUE","FALSE")</f>
        <v>FALSE</v>
      </c>
      <c r="AH2560" s="661" t="str">
        <f>IF(AND($Y2560&gt;=22, (AI2560&lt;&gt;"I"),(Y2560&lt;&gt;"~"),(COUNTIF($AN$1:$AN2560,$AN2560)=1)),"TRUE","FALSE")</f>
        <v>FALSE</v>
      </c>
      <c r="AI2560" s="661" t="str">
        <f t="shared" si="278"/>
        <v>N/A</v>
      </c>
      <c r="AJ2560" s="662" t="str">
        <f t="shared" si="272"/>
        <v>F350-002</v>
      </c>
      <c r="AK2560" s="662" t="str">
        <f t="shared" si="273"/>
        <v>LTK</v>
      </c>
      <c r="AL2560" s="662" t="str">
        <f t="shared" si="274"/>
        <v>FRD</v>
      </c>
      <c r="AM2560" s="662" t="str">
        <f t="shared" si="277"/>
        <v>F350-Crew Cab XL DRW-2WD-6-8'-12500-6.2L FFV-8-W3C-620A-176-48-E85-Unleaded</v>
      </c>
      <c r="AN2560" s="662" t="str">
        <f t="shared" si="275"/>
        <v>2019-LTK-FRD-F350-002</v>
      </c>
    </row>
    <row r="2561" spans="1:40" s="572" customFormat="1" ht="15">
      <c r="A2561" s="570" t="s">
        <v>4561</v>
      </c>
      <c r="B2561" s="573" t="s">
        <v>4562</v>
      </c>
      <c r="C2561" s="573" t="s">
        <v>269</v>
      </c>
      <c r="D2561" s="578" t="s">
        <v>270</v>
      </c>
      <c r="E2561" s="573" t="s">
        <v>3374</v>
      </c>
      <c r="F2561" s="573" t="s">
        <v>187</v>
      </c>
      <c r="G2561" s="573" t="s">
        <v>271</v>
      </c>
      <c r="H2561" s="573">
        <v>2019</v>
      </c>
      <c r="I2561" s="573" t="s">
        <v>4503</v>
      </c>
      <c r="J2561" s="573" t="s">
        <v>4556</v>
      </c>
      <c r="K2561" s="573" t="s">
        <v>3377</v>
      </c>
      <c r="L2561" s="573">
        <v>6</v>
      </c>
      <c r="M2561" s="573">
        <v>0</v>
      </c>
      <c r="N2561" s="573" t="s">
        <v>157</v>
      </c>
      <c r="O2561" s="573">
        <v>2</v>
      </c>
      <c r="P2561" s="573" t="s">
        <v>3846</v>
      </c>
      <c r="Q2561" s="571">
        <v>12500</v>
      </c>
      <c r="R2561" s="573" t="s">
        <v>4231</v>
      </c>
      <c r="S2561" s="573">
        <v>8</v>
      </c>
      <c r="T2561" s="573" t="s">
        <v>4557</v>
      </c>
      <c r="U2561" s="573" t="s">
        <v>4558</v>
      </c>
      <c r="V2561" s="573">
        <v>176</v>
      </c>
      <c r="W2561" s="573">
        <v>48</v>
      </c>
      <c r="X2561" s="571">
        <v>14000</v>
      </c>
      <c r="Y2561" s="569">
        <v>13</v>
      </c>
      <c r="Z2561" s="579" t="s">
        <v>728</v>
      </c>
      <c r="AA2561" s="579" t="s">
        <v>1523</v>
      </c>
      <c r="AB2561" s="584">
        <v>50220</v>
      </c>
      <c r="AC2561" s="584" t="s">
        <v>164</v>
      </c>
      <c r="AD2561" s="584">
        <v>39220.315789473687</v>
      </c>
      <c r="AE2561" s="586">
        <v>0.03</v>
      </c>
      <c r="AF2561" s="661" t="str">
        <f t="shared" si="276"/>
        <v>2019-LTK-FRD-F350-003-05</v>
      </c>
      <c r="AG2561" s="661" t="str">
        <f>IF(AND($Y2561&gt;=32,(AI2561="I"),(Y2561&lt;&gt;"~"),(COUNTIF($AN$1:$AN2561,$AN2561)=1)),"TRUE","FALSE")</f>
        <v>FALSE</v>
      </c>
      <c r="AH2561" s="661" t="str">
        <f>IF(AND($Y2561&gt;=22, (AI2561&lt;&gt;"I"),(Y2561&lt;&gt;"~"),(COUNTIF($AN$1:$AN2561,$AN2561)=1)),"TRUE","FALSE")</f>
        <v>FALSE</v>
      </c>
      <c r="AI2561" s="661" t="str">
        <f t="shared" si="278"/>
        <v>N/A</v>
      </c>
      <c r="AJ2561" s="662" t="str">
        <f t="shared" si="272"/>
        <v>F350-003</v>
      </c>
      <c r="AK2561" s="662" t="str">
        <f t="shared" si="273"/>
        <v>LTK</v>
      </c>
      <c r="AL2561" s="662" t="str">
        <f t="shared" si="274"/>
        <v>FRD</v>
      </c>
      <c r="AM2561" s="662" t="str">
        <f t="shared" si="277"/>
        <v>F350-Crew Cab XL DRW-2WD-6-8'-12500-6.7L Diesel-8-W3C-620A-176-48-Diesel-BioDiesel</v>
      </c>
      <c r="AN2561" s="662" t="str">
        <f t="shared" si="275"/>
        <v>2019-LTK-FRD-F350-003</v>
      </c>
    </row>
    <row r="2562" spans="1:40" s="572" customFormat="1" ht="15">
      <c r="A2562" s="570" t="s">
        <v>4563</v>
      </c>
      <c r="B2562" s="569" t="s">
        <v>4560</v>
      </c>
      <c r="C2562" s="569" t="s">
        <v>278</v>
      </c>
      <c r="D2562" s="580">
        <v>15</v>
      </c>
      <c r="E2562" s="569" t="s">
        <v>3374</v>
      </c>
      <c r="F2562" s="569" t="s">
        <v>187</v>
      </c>
      <c r="G2562" s="569" t="s">
        <v>271</v>
      </c>
      <c r="H2562" s="569">
        <v>2019</v>
      </c>
      <c r="I2562" s="569" t="s">
        <v>4503</v>
      </c>
      <c r="J2562" s="569" t="s">
        <v>4556</v>
      </c>
      <c r="K2562" s="569" t="s">
        <v>3377</v>
      </c>
      <c r="L2562" s="569">
        <v>6</v>
      </c>
      <c r="M2562" s="569">
        <v>0</v>
      </c>
      <c r="N2562" s="569" t="s">
        <v>157</v>
      </c>
      <c r="O2562" s="569">
        <v>2</v>
      </c>
      <c r="P2562" s="569" t="s">
        <v>3846</v>
      </c>
      <c r="Q2562" s="568">
        <v>12500</v>
      </c>
      <c r="R2562" s="569" t="s">
        <v>4235</v>
      </c>
      <c r="S2562" s="569">
        <v>8</v>
      </c>
      <c r="T2562" s="569" t="s">
        <v>4557</v>
      </c>
      <c r="U2562" s="569" t="s">
        <v>4558</v>
      </c>
      <c r="V2562" s="569">
        <v>176</v>
      </c>
      <c r="W2562" s="569">
        <v>48</v>
      </c>
      <c r="X2562" s="568">
        <v>14000</v>
      </c>
      <c r="Y2562" s="569">
        <v>13</v>
      </c>
      <c r="Z2562" s="581" t="s">
        <v>450</v>
      </c>
      <c r="AA2562" s="581" t="s">
        <v>178</v>
      </c>
      <c r="AB2562" s="585">
        <v>41110</v>
      </c>
      <c r="AC2562" s="585" t="s">
        <v>164</v>
      </c>
      <c r="AD2562" s="585">
        <v>31150</v>
      </c>
      <c r="AE2562" s="587">
        <v>0.01</v>
      </c>
      <c r="AF2562" s="661" t="str">
        <f t="shared" si="276"/>
        <v>2019-LTK-FRD-F350-002-15</v>
      </c>
      <c r="AG2562" s="661" t="str">
        <f>IF(AND($Y2562&gt;=32,(AI2562="I"),(Y2562&lt;&gt;"~"),(COUNTIF($AN$1:$AN2562,$AN2562)=1)),"TRUE","FALSE")</f>
        <v>FALSE</v>
      </c>
      <c r="AH2562" s="661" t="str">
        <f>IF(AND($Y2562&gt;=22, (AI2562&lt;&gt;"I"),(Y2562&lt;&gt;"~"),(COUNTIF($AN$1:$AN2562,$AN2562)=1)),"TRUE","FALSE")</f>
        <v>FALSE</v>
      </c>
      <c r="AI2562" s="661" t="str">
        <f t="shared" si="278"/>
        <v>N/A</v>
      </c>
      <c r="AJ2562" s="662" t="str">
        <f t="shared" si="272"/>
        <v>F350-002</v>
      </c>
      <c r="AK2562" s="662" t="str">
        <f t="shared" si="273"/>
        <v>LTK</v>
      </c>
      <c r="AL2562" s="662" t="str">
        <f t="shared" si="274"/>
        <v>FRD</v>
      </c>
      <c r="AM2562" s="662" t="str">
        <f t="shared" si="277"/>
        <v>F350-Crew Cab XL DRW-2WD-6-8'-12500-6.2L FFV-8-W3C-620A-176-48-E85-Unleaded</v>
      </c>
      <c r="AN2562" s="662" t="str">
        <f t="shared" si="275"/>
        <v>2019-LTK-FRD-F350-002</v>
      </c>
    </row>
    <row r="2563" spans="1:40" s="572" customFormat="1" ht="15">
      <c r="A2563" s="570" t="s">
        <v>4564</v>
      </c>
      <c r="B2563" s="573" t="s">
        <v>4562</v>
      </c>
      <c r="C2563" s="573" t="s">
        <v>278</v>
      </c>
      <c r="D2563" s="578">
        <v>15</v>
      </c>
      <c r="E2563" s="573" t="s">
        <v>3374</v>
      </c>
      <c r="F2563" s="573" t="s">
        <v>187</v>
      </c>
      <c r="G2563" s="573" t="s">
        <v>271</v>
      </c>
      <c r="H2563" s="573">
        <v>2019</v>
      </c>
      <c r="I2563" s="573" t="s">
        <v>4503</v>
      </c>
      <c r="J2563" s="573" t="s">
        <v>4556</v>
      </c>
      <c r="K2563" s="573" t="s">
        <v>3377</v>
      </c>
      <c r="L2563" s="573">
        <v>6</v>
      </c>
      <c r="M2563" s="573">
        <v>0</v>
      </c>
      <c r="N2563" s="573" t="s">
        <v>157</v>
      </c>
      <c r="O2563" s="573">
        <v>2</v>
      </c>
      <c r="P2563" s="573" t="s">
        <v>3846</v>
      </c>
      <c r="Q2563" s="571">
        <v>12500</v>
      </c>
      <c r="R2563" s="573" t="s">
        <v>4231</v>
      </c>
      <c r="S2563" s="573">
        <v>8</v>
      </c>
      <c r="T2563" s="573" t="s">
        <v>4557</v>
      </c>
      <c r="U2563" s="573" t="s">
        <v>4558</v>
      </c>
      <c r="V2563" s="573">
        <v>176</v>
      </c>
      <c r="W2563" s="573">
        <v>48</v>
      </c>
      <c r="X2563" s="571">
        <v>14000</v>
      </c>
      <c r="Y2563" s="569">
        <v>13</v>
      </c>
      <c r="Z2563" s="579" t="s">
        <v>728</v>
      </c>
      <c r="AA2563" s="579" t="s">
        <v>1523</v>
      </c>
      <c r="AB2563" s="584">
        <v>50220</v>
      </c>
      <c r="AC2563" s="584" t="s">
        <v>164</v>
      </c>
      <c r="AD2563" s="584">
        <v>39450</v>
      </c>
      <c r="AE2563" s="586">
        <v>0.01</v>
      </c>
      <c r="AF2563" s="661" t="str">
        <f t="shared" si="276"/>
        <v>2019-LTK-FRD-F350-003-15</v>
      </c>
      <c r="AG2563" s="661" t="str">
        <f>IF(AND($Y2563&gt;=32,(AI2563="I"),(Y2563&lt;&gt;"~"),(COUNTIF($AN$1:$AN2563,$AN2563)=1)),"TRUE","FALSE")</f>
        <v>FALSE</v>
      </c>
      <c r="AH2563" s="661" t="str">
        <f>IF(AND($Y2563&gt;=22, (AI2563&lt;&gt;"I"),(Y2563&lt;&gt;"~"),(COUNTIF($AN$1:$AN2563,$AN2563)=1)),"TRUE","FALSE")</f>
        <v>FALSE</v>
      </c>
      <c r="AI2563" s="661" t="str">
        <f t="shared" si="278"/>
        <v>N/A</v>
      </c>
      <c r="AJ2563" s="662" t="str">
        <f t="shared" ref="AJ2563:AJ2626" si="279">MID(A2563,14,8)</f>
        <v>F350-003</v>
      </c>
      <c r="AK2563" s="662" t="str">
        <f t="shared" ref="AK2563:AK2626" si="280">MID(A2563,6,3)</f>
        <v>LTK</v>
      </c>
      <c r="AL2563" s="662" t="str">
        <f t="shared" ref="AL2563:AL2626" si="281">MID(A2563,10,3)</f>
        <v>FRD</v>
      </c>
      <c r="AM2563" s="662" t="str">
        <f t="shared" si="277"/>
        <v>F350-Crew Cab XL DRW-2WD-6-8'-12500-6.7L Diesel-8-W3C-620A-176-48-Diesel-BioDiesel</v>
      </c>
      <c r="AN2563" s="662" t="str">
        <f t="shared" ref="AN2563:AN2626" si="282">LEFT(A2563,21)</f>
        <v>2019-LTK-FRD-F350-003</v>
      </c>
    </row>
    <row r="2564" spans="1:40" s="572" customFormat="1" ht="15">
      <c r="A2564" s="570" t="s">
        <v>4565</v>
      </c>
      <c r="B2564" s="569" t="s">
        <v>4560</v>
      </c>
      <c r="C2564" s="569" t="s">
        <v>287</v>
      </c>
      <c r="D2564" s="580">
        <v>26</v>
      </c>
      <c r="E2564" s="569" t="s">
        <v>3374</v>
      </c>
      <c r="F2564" s="569" t="s">
        <v>187</v>
      </c>
      <c r="G2564" s="569" t="s">
        <v>271</v>
      </c>
      <c r="H2564" s="569">
        <v>2019</v>
      </c>
      <c r="I2564" s="569" t="s">
        <v>4503</v>
      </c>
      <c r="J2564" s="569" t="s">
        <v>4556</v>
      </c>
      <c r="K2564" s="569" t="s">
        <v>3377</v>
      </c>
      <c r="L2564" s="569">
        <v>6</v>
      </c>
      <c r="M2564" s="569">
        <v>0</v>
      </c>
      <c r="N2564" s="569" t="s">
        <v>157</v>
      </c>
      <c r="O2564" s="569">
        <v>2</v>
      </c>
      <c r="P2564" s="569" t="s">
        <v>3846</v>
      </c>
      <c r="Q2564" s="568">
        <v>12500</v>
      </c>
      <c r="R2564" s="569" t="s">
        <v>4235</v>
      </c>
      <c r="S2564" s="569">
        <v>8</v>
      </c>
      <c r="T2564" s="569" t="s">
        <v>4557</v>
      </c>
      <c r="U2564" s="569" t="s">
        <v>4558</v>
      </c>
      <c r="V2564" s="569">
        <v>176</v>
      </c>
      <c r="W2564" s="569">
        <v>48</v>
      </c>
      <c r="X2564" s="568">
        <v>14000</v>
      </c>
      <c r="Y2564" s="569">
        <v>13</v>
      </c>
      <c r="Z2564" s="581" t="s">
        <v>450</v>
      </c>
      <c r="AA2564" s="581" t="s">
        <v>178</v>
      </c>
      <c r="AB2564" s="585">
        <v>41100</v>
      </c>
      <c r="AC2564" s="585" t="s">
        <v>164</v>
      </c>
      <c r="AD2564" s="585">
        <v>31294</v>
      </c>
      <c r="AE2564" s="587">
        <v>0.05</v>
      </c>
      <c r="AF2564" s="661" t="str">
        <f t="shared" si="276"/>
        <v>2019-LTK-FRD-F350-002-26</v>
      </c>
      <c r="AG2564" s="661" t="str">
        <f>IF(AND($Y2564&gt;=32,(AI2564="I"),(Y2564&lt;&gt;"~"),(COUNTIF($AN$1:$AN2564,$AN2564)=1)),"TRUE","FALSE")</f>
        <v>FALSE</v>
      </c>
      <c r="AH2564" s="661" t="str">
        <f>IF(AND($Y2564&gt;=22, (AI2564&lt;&gt;"I"),(Y2564&lt;&gt;"~"),(COUNTIF($AN$1:$AN2564,$AN2564)=1)),"TRUE","FALSE")</f>
        <v>FALSE</v>
      </c>
      <c r="AI2564" s="661" t="str">
        <f t="shared" si="278"/>
        <v>N/A</v>
      </c>
      <c r="AJ2564" s="662" t="str">
        <f t="shared" si="279"/>
        <v>F350-002</v>
      </c>
      <c r="AK2564" s="662" t="str">
        <f t="shared" si="280"/>
        <v>LTK</v>
      </c>
      <c r="AL2564" s="662" t="str">
        <f t="shared" si="281"/>
        <v>FRD</v>
      </c>
      <c r="AM2564" s="662" t="str">
        <f t="shared" si="277"/>
        <v>F350-Crew Cab XL DRW-2WD-6-8'-12500-6.2L FFV-8-W3C-620A-176-48-E85-Unleaded</v>
      </c>
      <c r="AN2564" s="662" t="str">
        <f t="shared" si="282"/>
        <v>2019-LTK-FRD-F350-002</v>
      </c>
    </row>
    <row r="2565" spans="1:40" s="572" customFormat="1" ht="15">
      <c r="A2565" s="570" t="s">
        <v>4566</v>
      </c>
      <c r="B2565" s="573" t="s">
        <v>4562</v>
      </c>
      <c r="C2565" s="573" t="s">
        <v>287</v>
      </c>
      <c r="D2565" s="578">
        <v>26</v>
      </c>
      <c r="E2565" s="573" t="s">
        <v>3374</v>
      </c>
      <c r="F2565" s="573" t="s">
        <v>187</v>
      </c>
      <c r="G2565" s="573" t="s">
        <v>271</v>
      </c>
      <c r="H2565" s="573">
        <v>2019</v>
      </c>
      <c r="I2565" s="573" t="s">
        <v>4503</v>
      </c>
      <c r="J2565" s="573" t="s">
        <v>4556</v>
      </c>
      <c r="K2565" s="573" t="s">
        <v>3377</v>
      </c>
      <c r="L2565" s="573">
        <v>6</v>
      </c>
      <c r="M2565" s="573">
        <v>0</v>
      </c>
      <c r="N2565" s="573" t="s">
        <v>157</v>
      </c>
      <c r="O2565" s="573">
        <v>2</v>
      </c>
      <c r="P2565" s="573" t="s">
        <v>3846</v>
      </c>
      <c r="Q2565" s="571">
        <v>12500</v>
      </c>
      <c r="R2565" s="573" t="s">
        <v>4231</v>
      </c>
      <c r="S2565" s="573">
        <v>8</v>
      </c>
      <c r="T2565" s="573" t="s">
        <v>4557</v>
      </c>
      <c r="U2565" s="573" t="s">
        <v>4558</v>
      </c>
      <c r="V2565" s="573">
        <v>176</v>
      </c>
      <c r="W2565" s="573">
        <v>48</v>
      </c>
      <c r="X2565" s="571">
        <v>14000</v>
      </c>
      <c r="Y2565" s="569">
        <v>13</v>
      </c>
      <c r="Z2565" s="579" t="s">
        <v>728</v>
      </c>
      <c r="AA2565" s="579" t="s">
        <v>1523</v>
      </c>
      <c r="AB2565" s="584">
        <v>50220</v>
      </c>
      <c r="AC2565" s="584" t="s">
        <v>164</v>
      </c>
      <c r="AD2565" s="584">
        <v>39489</v>
      </c>
      <c r="AE2565" s="586">
        <v>0.05</v>
      </c>
      <c r="AF2565" s="661" t="str">
        <f t="shared" si="276"/>
        <v>2019-LTK-FRD-F350-003-26</v>
      </c>
      <c r="AG2565" s="661" t="str">
        <f>IF(AND($Y2565&gt;=32,(AI2565="I"),(Y2565&lt;&gt;"~"),(COUNTIF($AN$1:$AN2565,$AN2565)=1)),"TRUE","FALSE")</f>
        <v>FALSE</v>
      </c>
      <c r="AH2565" s="661" t="str">
        <f>IF(AND($Y2565&gt;=22, (AI2565&lt;&gt;"I"),(Y2565&lt;&gt;"~"),(COUNTIF($AN$1:$AN2565,$AN2565)=1)),"TRUE","FALSE")</f>
        <v>FALSE</v>
      </c>
      <c r="AI2565" s="661" t="str">
        <f t="shared" si="278"/>
        <v>N/A</v>
      </c>
      <c r="AJ2565" s="662" t="str">
        <f t="shared" si="279"/>
        <v>F350-003</v>
      </c>
      <c r="AK2565" s="662" t="str">
        <f t="shared" si="280"/>
        <v>LTK</v>
      </c>
      <c r="AL2565" s="662" t="str">
        <f t="shared" si="281"/>
        <v>FRD</v>
      </c>
      <c r="AM2565" s="662" t="str">
        <f t="shared" si="277"/>
        <v>F350-Crew Cab XL DRW-2WD-6-8'-12500-6.7L Diesel-8-W3C-620A-176-48-Diesel-BioDiesel</v>
      </c>
      <c r="AN2565" s="662" t="str">
        <f t="shared" si="282"/>
        <v>2019-LTK-FRD-F350-003</v>
      </c>
    </row>
    <row r="2566" spans="1:40" s="572" customFormat="1" ht="15">
      <c r="A2566" s="570" t="s">
        <v>4567</v>
      </c>
      <c r="B2566" s="569" t="s">
        <v>4555</v>
      </c>
      <c r="C2566" s="569" t="s">
        <v>280</v>
      </c>
      <c r="D2566" s="580">
        <v>27</v>
      </c>
      <c r="E2566" s="569" t="s">
        <v>3374</v>
      </c>
      <c r="F2566" s="569" t="s">
        <v>187</v>
      </c>
      <c r="G2566" s="569" t="s">
        <v>271</v>
      </c>
      <c r="H2566" s="569">
        <v>2019</v>
      </c>
      <c r="I2566" s="569" t="s">
        <v>4503</v>
      </c>
      <c r="J2566" s="569" t="s">
        <v>4556</v>
      </c>
      <c r="K2566" s="569" t="s">
        <v>3377</v>
      </c>
      <c r="L2566" s="569">
        <v>6</v>
      </c>
      <c r="M2566" s="569">
        <v>0</v>
      </c>
      <c r="N2566" s="569" t="s">
        <v>157</v>
      </c>
      <c r="O2566" s="569">
        <v>2</v>
      </c>
      <c r="P2566" s="569" t="s">
        <v>3846</v>
      </c>
      <c r="Q2566" s="568">
        <v>12500</v>
      </c>
      <c r="R2566" s="569" t="s">
        <v>4235</v>
      </c>
      <c r="S2566" s="569">
        <v>8</v>
      </c>
      <c r="T2566" s="569" t="s">
        <v>4557</v>
      </c>
      <c r="U2566" s="569" t="s">
        <v>4558</v>
      </c>
      <c r="V2566" s="569">
        <v>176</v>
      </c>
      <c r="W2566" s="569">
        <v>34</v>
      </c>
      <c r="X2566" s="568">
        <v>14000</v>
      </c>
      <c r="Y2566" s="569">
        <v>13</v>
      </c>
      <c r="Z2566" s="581" t="s">
        <v>450</v>
      </c>
      <c r="AA2566" s="581" t="s">
        <v>178</v>
      </c>
      <c r="AB2566" s="585">
        <v>41100</v>
      </c>
      <c r="AC2566" s="585" t="s">
        <v>164</v>
      </c>
      <c r="AD2566" s="585">
        <v>31028.126315789475</v>
      </c>
      <c r="AE2566" s="587">
        <v>0.03</v>
      </c>
      <c r="AF2566" s="661" t="str">
        <f t="shared" si="276"/>
        <v>2019-LTK-FRD-F350-001-27</v>
      </c>
      <c r="AG2566" s="661" t="str">
        <f>IF(AND($Y2566&gt;=32,(AI2566="I"),(Y2566&lt;&gt;"~"),(COUNTIF($AN$1:$AN2566,$AN2566)=1)),"TRUE","FALSE")</f>
        <v>FALSE</v>
      </c>
      <c r="AH2566" s="661" t="str">
        <f>IF(AND($Y2566&gt;=22, (AI2566&lt;&gt;"I"),(Y2566&lt;&gt;"~"),(COUNTIF($AN$1:$AN2566,$AN2566)=1)),"TRUE","FALSE")</f>
        <v>FALSE</v>
      </c>
      <c r="AI2566" s="661" t="str">
        <f t="shared" si="278"/>
        <v>N/A</v>
      </c>
      <c r="AJ2566" s="662" t="str">
        <f t="shared" si="279"/>
        <v>F350-001</v>
      </c>
      <c r="AK2566" s="662" t="str">
        <f t="shared" si="280"/>
        <v>LTK</v>
      </c>
      <c r="AL2566" s="662" t="str">
        <f t="shared" si="281"/>
        <v>FRD</v>
      </c>
      <c r="AM2566" s="662" t="str">
        <f t="shared" si="277"/>
        <v>F350-Crew Cab XL DRW-2WD-6-8'-12500-6.2L FFV-8-W3C-620A-176-34-E85-Unleaded</v>
      </c>
      <c r="AN2566" s="662" t="str">
        <f t="shared" si="282"/>
        <v>2019-LTK-FRD-F350-001</v>
      </c>
    </row>
    <row r="2567" spans="1:40" s="572" customFormat="1" ht="15">
      <c r="A2567" s="570" t="s">
        <v>4568</v>
      </c>
      <c r="B2567" s="573" t="s">
        <v>4560</v>
      </c>
      <c r="C2567" s="573" t="s">
        <v>280</v>
      </c>
      <c r="D2567" s="578">
        <v>27</v>
      </c>
      <c r="E2567" s="573" t="s">
        <v>3374</v>
      </c>
      <c r="F2567" s="573" t="s">
        <v>187</v>
      </c>
      <c r="G2567" s="573" t="s">
        <v>271</v>
      </c>
      <c r="H2567" s="573">
        <v>2019</v>
      </c>
      <c r="I2567" s="573" t="s">
        <v>4503</v>
      </c>
      <c r="J2567" s="573" t="s">
        <v>4556</v>
      </c>
      <c r="K2567" s="573" t="s">
        <v>3377</v>
      </c>
      <c r="L2567" s="573">
        <v>6</v>
      </c>
      <c r="M2567" s="573">
        <v>0</v>
      </c>
      <c r="N2567" s="573" t="s">
        <v>157</v>
      </c>
      <c r="O2567" s="573">
        <v>2</v>
      </c>
      <c r="P2567" s="573" t="s">
        <v>3846</v>
      </c>
      <c r="Q2567" s="571">
        <v>12500</v>
      </c>
      <c r="R2567" s="573" t="s">
        <v>4235</v>
      </c>
      <c r="S2567" s="573">
        <v>8</v>
      </c>
      <c r="T2567" s="573" t="s">
        <v>4557</v>
      </c>
      <c r="U2567" s="573" t="s">
        <v>4558</v>
      </c>
      <c r="V2567" s="573">
        <v>176</v>
      </c>
      <c r="W2567" s="573">
        <v>48</v>
      </c>
      <c r="X2567" s="571">
        <v>14000</v>
      </c>
      <c r="Y2567" s="569">
        <v>13</v>
      </c>
      <c r="Z2567" s="579" t="s">
        <v>450</v>
      </c>
      <c r="AA2567" s="579" t="s">
        <v>178</v>
      </c>
      <c r="AB2567" s="584">
        <v>41100</v>
      </c>
      <c r="AC2567" s="584" t="s">
        <v>164</v>
      </c>
      <c r="AD2567" s="584">
        <v>31028.126315789475</v>
      </c>
      <c r="AE2567" s="586">
        <v>0.03</v>
      </c>
      <c r="AF2567" s="661" t="str">
        <f t="shared" si="276"/>
        <v>2019-LTK-FRD-F350-002-27</v>
      </c>
      <c r="AG2567" s="661" t="str">
        <f>IF(AND($Y2567&gt;=32,(AI2567="I"),(Y2567&lt;&gt;"~"),(COUNTIF($AN$1:$AN2567,$AN2567)=1)),"TRUE","FALSE")</f>
        <v>FALSE</v>
      </c>
      <c r="AH2567" s="661" t="str">
        <f>IF(AND($Y2567&gt;=22, (AI2567&lt;&gt;"I"),(Y2567&lt;&gt;"~"),(COUNTIF($AN$1:$AN2567,$AN2567)=1)),"TRUE","FALSE")</f>
        <v>FALSE</v>
      </c>
      <c r="AI2567" s="661" t="str">
        <f t="shared" si="278"/>
        <v>N/A</v>
      </c>
      <c r="AJ2567" s="662" t="str">
        <f t="shared" si="279"/>
        <v>F350-002</v>
      </c>
      <c r="AK2567" s="662" t="str">
        <f t="shared" si="280"/>
        <v>LTK</v>
      </c>
      <c r="AL2567" s="662" t="str">
        <f t="shared" si="281"/>
        <v>FRD</v>
      </c>
      <c r="AM2567" s="662" t="str">
        <f t="shared" si="277"/>
        <v>F350-Crew Cab XL DRW-2WD-6-8'-12500-6.2L FFV-8-W3C-620A-176-48-E85-Unleaded</v>
      </c>
      <c r="AN2567" s="662" t="str">
        <f t="shared" si="282"/>
        <v>2019-LTK-FRD-F350-002</v>
      </c>
    </row>
    <row r="2568" spans="1:40" s="572" customFormat="1" ht="15">
      <c r="A2568" s="570" t="s">
        <v>4569</v>
      </c>
      <c r="B2568" s="569" t="s">
        <v>4562</v>
      </c>
      <c r="C2568" s="569" t="s">
        <v>280</v>
      </c>
      <c r="D2568" s="580">
        <v>27</v>
      </c>
      <c r="E2568" s="569" t="s">
        <v>3374</v>
      </c>
      <c r="F2568" s="569" t="s">
        <v>187</v>
      </c>
      <c r="G2568" s="569" t="s">
        <v>271</v>
      </c>
      <c r="H2568" s="569">
        <v>2019</v>
      </c>
      <c r="I2568" s="569" t="s">
        <v>4503</v>
      </c>
      <c r="J2568" s="569" t="s">
        <v>4556</v>
      </c>
      <c r="K2568" s="569" t="s">
        <v>3377</v>
      </c>
      <c r="L2568" s="569">
        <v>6</v>
      </c>
      <c r="M2568" s="569">
        <v>0</v>
      </c>
      <c r="N2568" s="569" t="s">
        <v>157</v>
      </c>
      <c r="O2568" s="569">
        <v>2</v>
      </c>
      <c r="P2568" s="569" t="s">
        <v>3846</v>
      </c>
      <c r="Q2568" s="568">
        <v>12500</v>
      </c>
      <c r="R2568" s="569" t="s">
        <v>4231</v>
      </c>
      <c r="S2568" s="569">
        <v>8</v>
      </c>
      <c r="T2568" s="569" t="s">
        <v>4557</v>
      </c>
      <c r="U2568" s="569" t="s">
        <v>4558</v>
      </c>
      <c r="V2568" s="569">
        <v>176</v>
      </c>
      <c r="W2568" s="569">
        <v>48</v>
      </c>
      <c r="X2568" s="568">
        <v>14000</v>
      </c>
      <c r="Y2568" s="569">
        <v>13</v>
      </c>
      <c r="Z2568" s="581" t="s">
        <v>728</v>
      </c>
      <c r="AA2568" s="581" t="s">
        <v>1523</v>
      </c>
      <c r="AB2568" s="585">
        <v>50220</v>
      </c>
      <c r="AC2568" s="585" t="s">
        <v>164</v>
      </c>
      <c r="AD2568" s="585">
        <v>39220.315789473687</v>
      </c>
      <c r="AE2568" s="587">
        <v>0.03</v>
      </c>
      <c r="AF2568" s="661" t="str">
        <f t="shared" ref="AF2568:AF2635" si="283">A2568</f>
        <v>2019-LTK-FRD-F350-003-27</v>
      </c>
      <c r="AG2568" s="661" t="str">
        <f>IF(AND($Y2568&gt;=32,(AI2568="I"),(Y2568&lt;&gt;"~"),(COUNTIF($AN$1:$AN2568,$AN2568)=1)),"TRUE","FALSE")</f>
        <v>FALSE</v>
      </c>
      <c r="AH2568" s="661" t="str">
        <f>IF(AND($Y2568&gt;=22, (AI2568&lt;&gt;"I"),(Y2568&lt;&gt;"~"),(COUNTIF($AN$1:$AN2568,$AN2568)=1)),"TRUE","FALSE")</f>
        <v>FALSE</v>
      </c>
      <c r="AI2568" s="661" t="str">
        <f t="shared" si="278"/>
        <v>N/A</v>
      </c>
      <c r="AJ2568" s="662" t="str">
        <f t="shared" si="279"/>
        <v>F350-003</v>
      </c>
      <c r="AK2568" s="662" t="str">
        <f t="shared" si="280"/>
        <v>LTK</v>
      </c>
      <c r="AL2568" s="662" t="str">
        <f t="shared" si="281"/>
        <v>FRD</v>
      </c>
      <c r="AM2568" s="662" t="str">
        <f t="shared" si="277"/>
        <v>F350-Crew Cab XL DRW-2WD-6-8'-12500-6.7L Diesel-8-W3C-620A-176-48-Diesel-BioDiesel</v>
      </c>
      <c r="AN2568" s="662" t="str">
        <f t="shared" si="282"/>
        <v>2019-LTK-FRD-F350-003</v>
      </c>
    </row>
    <row r="2569" spans="1:40" s="572" customFormat="1" ht="15">
      <c r="A2569" s="570" t="s">
        <v>4570</v>
      </c>
      <c r="B2569" s="573" t="s">
        <v>4571</v>
      </c>
      <c r="C2569" s="573" t="s">
        <v>269</v>
      </c>
      <c r="D2569" s="578" t="s">
        <v>270</v>
      </c>
      <c r="E2569" s="573" t="s">
        <v>3374</v>
      </c>
      <c r="F2569" s="573" t="s">
        <v>187</v>
      </c>
      <c r="G2569" s="573" t="s">
        <v>271</v>
      </c>
      <c r="H2569" s="573">
        <v>2019</v>
      </c>
      <c r="I2569" s="573" t="s">
        <v>4503</v>
      </c>
      <c r="J2569" s="573" t="s">
        <v>4556</v>
      </c>
      <c r="K2569" s="573" t="s">
        <v>752</v>
      </c>
      <c r="L2569" s="573">
        <v>6</v>
      </c>
      <c r="M2569" s="573">
        <v>0</v>
      </c>
      <c r="N2569" s="573" t="s">
        <v>157</v>
      </c>
      <c r="O2569" s="573">
        <v>2</v>
      </c>
      <c r="P2569" s="573" t="s">
        <v>3846</v>
      </c>
      <c r="Q2569" s="571">
        <v>12100</v>
      </c>
      <c r="R2569" s="573" t="s">
        <v>4235</v>
      </c>
      <c r="S2569" s="573">
        <v>8</v>
      </c>
      <c r="T2569" s="573" t="s">
        <v>4572</v>
      </c>
      <c r="U2569" s="573" t="s">
        <v>4558</v>
      </c>
      <c r="V2569" s="573">
        <v>176</v>
      </c>
      <c r="W2569" s="573">
        <v>34</v>
      </c>
      <c r="X2569" s="571">
        <v>14000</v>
      </c>
      <c r="Y2569" s="569">
        <v>12</v>
      </c>
      <c r="Z2569" s="579" t="s">
        <v>450</v>
      </c>
      <c r="AA2569" s="579" t="s">
        <v>178</v>
      </c>
      <c r="AB2569" s="584">
        <v>43900</v>
      </c>
      <c r="AC2569" s="584" t="s">
        <v>164</v>
      </c>
      <c r="AD2569" s="584">
        <v>33614.442105263159</v>
      </c>
      <c r="AE2569" s="586">
        <v>0.03</v>
      </c>
      <c r="AF2569" s="661" t="str">
        <f t="shared" si="283"/>
        <v>2019-LTK-FRD-F350-004-05</v>
      </c>
      <c r="AG2569" s="661" t="str">
        <f>IF(AND($Y2569&gt;=32,(AI2569="I"),(Y2569&lt;&gt;"~"),(COUNTIF($AN$1:$AN2569,$AN2569)=1)),"TRUE","FALSE")</f>
        <v>FALSE</v>
      </c>
      <c r="AH2569" s="661" t="str">
        <f>IF(AND($Y2569&gt;=22, (AI2569&lt;&gt;"I"),(Y2569&lt;&gt;"~"),(COUNTIF($AN$1:$AN2569,$AN2569)=1)),"TRUE","FALSE")</f>
        <v>FALSE</v>
      </c>
      <c r="AI2569" s="661" t="str">
        <f t="shared" si="278"/>
        <v>N/A</v>
      </c>
      <c r="AJ2569" s="662" t="str">
        <f t="shared" si="279"/>
        <v>F350-004</v>
      </c>
      <c r="AK2569" s="662" t="str">
        <f t="shared" si="280"/>
        <v>LTK</v>
      </c>
      <c r="AL2569" s="662" t="str">
        <f t="shared" si="281"/>
        <v>FRD</v>
      </c>
      <c r="AM2569" s="662" t="str">
        <f t="shared" si="277"/>
        <v>F350-Crew Cab XL DRW-4WD-6-8'-12100-6.2L FFV-8-W3D-620A-176-34-E85-Unleaded</v>
      </c>
      <c r="AN2569" s="662" t="str">
        <f t="shared" si="282"/>
        <v>2019-LTK-FRD-F350-004</v>
      </c>
    </row>
    <row r="2570" spans="1:40" s="572" customFormat="1" ht="15">
      <c r="A2570" s="570" t="s">
        <v>4573</v>
      </c>
      <c r="B2570" s="569" t="s">
        <v>4574</v>
      </c>
      <c r="C2570" s="569" t="s">
        <v>269</v>
      </c>
      <c r="D2570" s="580" t="s">
        <v>270</v>
      </c>
      <c r="E2570" s="569" t="s">
        <v>3374</v>
      </c>
      <c r="F2570" s="569" t="s">
        <v>187</v>
      </c>
      <c r="G2570" s="569" t="s">
        <v>271</v>
      </c>
      <c r="H2570" s="569">
        <v>2019</v>
      </c>
      <c r="I2570" s="569" t="s">
        <v>4503</v>
      </c>
      <c r="J2570" s="569" t="s">
        <v>4556</v>
      </c>
      <c r="K2570" s="569" t="s">
        <v>752</v>
      </c>
      <c r="L2570" s="569">
        <v>6</v>
      </c>
      <c r="M2570" s="569">
        <v>0</v>
      </c>
      <c r="N2570" s="569" t="s">
        <v>157</v>
      </c>
      <c r="O2570" s="569">
        <v>2</v>
      </c>
      <c r="P2570" s="569" t="s">
        <v>3846</v>
      </c>
      <c r="Q2570" s="568">
        <v>12100</v>
      </c>
      <c r="R2570" s="569" t="s">
        <v>4231</v>
      </c>
      <c r="S2570" s="569">
        <v>8</v>
      </c>
      <c r="T2570" s="569" t="s">
        <v>4572</v>
      </c>
      <c r="U2570" s="569" t="s">
        <v>4558</v>
      </c>
      <c r="V2570" s="569">
        <v>176</v>
      </c>
      <c r="W2570" s="569">
        <v>48</v>
      </c>
      <c r="X2570" s="568">
        <v>14000</v>
      </c>
      <c r="Y2570" s="569">
        <v>12</v>
      </c>
      <c r="Z2570" s="581" t="s">
        <v>728</v>
      </c>
      <c r="AA2570" s="581" t="s">
        <v>1523</v>
      </c>
      <c r="AB2570" s="585">
        <v>53020</v>
      </c>
      <c r="AC2570" s="585" t="s">
        <v>164</v>
      </c>
      <c r="AD2570" s="585">
        <v>41806.631578947374</v>
      </c>
      <c r="AE2570" s="587">
        <v>0.03</v>
      </c>
      <c r="AF2570" s="661" t="str">
        <f t="shared" si="283"/>
        <v>2019-LTK-FRD-F350-006-05</v>
      </c>
      <c r="AG2570" s="661" t="str">
        <f>IF(AND($Y2570&gt;=32,(AI2570="I"),(Y2570&lt;&gt;"~"),(COUNTIF($AN$1:$AN2570,$AN2570)=1)),"TRUE","FALSE")</f>
        <v>FALSE</v>
      </c>
      <c r="AH2570" s="661" t="str">
        <f>IF(AND($Y2570&gt;=22, (AI2570&lt;&gt;"I"),(Y2570&lt;&gt;"~"),(COUNTIF($AN$1:$AN2570,$AN2570)=1)),"TRUE","FALSE")</f>
        <v>FALSE</v>
      </c>
      <c r="AI2570" s="661" t="str">
        <f t="shared" si="278"/>
        <v>N/A</v>
      </c>
      <c r="AJ2570" s="662" t="str">
        <f t="shared" si="279"/>
        <v>F350-006</v>
      </c>
      <c r="AK2570" s="662" t="str">
        <f t="shared" si="280"/>
        <v>LTK</v>
      </c>
      <c r="AL2570" s="662" t="str">
        <f t="shared" si="281"/>
        <v>FRD</v>
      </c>
      <c r="AM2570" s="662" t="str">
        <f t="shared" si="277"/>
        <v>F350-Crew Cab XL DRW-4WD-6-8'-12100-6.7L Diesel-8-W3D-620A-176-48-Diesel-BioDiesel</v>
      </c>
      <c r="AN2570" s="662" t="str">
        <f t="shared" si="282"/>
        <v>2019-LTK-FRD-F350-006</v>
      </c>
    </row>
    <row r="2571" spans="1:40" s="572" customFormat="1" ht="15">
      <c r="A2571" s="570" t="s">
        <v>4575</v>
      </c>
      <c r="B2571" s="573" t="s">
        <v>4576</v>
      </c>
      <c r="C2571" s="573" t="s">
        <v>278</v>
      </c>
      <c r="D2571" s="578">
        <v>15</v>
      </c>
      <c r="E2571" s="573" t="s">
        <v>3374</v>
      </c>
      <c r="F2571" s="573" t="s">
        <v>187</v>
      </c>
      <c r="G2571" s="573" t="s">
        <v>271</v>
      </c>
      <c r="H2571" s="573">
        <v>2019</v>
      </c>
      <c r="I2571" s="573" t="s">
        <v>4503</v>
      </c>
      <c r="J2571" s="573" t="s">
        <v>4556</v>
      </c>
      <c r="K2571" s="573" t="s">
        <v>752</v>
      </c>
      <c r="L2571" s="573">
        <v>6</v>
      </c>
      <c r="M2571" s="573">
        <v>0</v>
      </c>
      <c r="N2571" s="573" t="s">
        <v>157</v>
      </c>
      <c r="O2571" s="573">
        <v>2</v>
      </c>
      <c r="P2571" s="573" t="s">
        <v>3846</v>
      </c>
      <c r="Q2571" s="571">
        <v>12100</v>
      </c>
      <c r="R2571" s="573" t="s">
        <v>4235</v>
      </c>
      <c r="S2571" s="573">
        <v>8</v>
      </c>
      <c r="T2571" s="573" t="s">
        <v>4572</v>
      </c>
      <c r="U2571" s="573" t="s">
        <v>4558</v>
      </c>
      <c r="V2571" s="573">
        <v>176</v>
      </c>
      <c r="W2571" s="573">
        <v>48</v>
      </c>
      <c r="X2571" s="571">
        <v>14000</v>
      </c>
      <c r="Y2571" s="569">
        <v>12</v>
      </c>
      <c r="Z2571" s="579" t="s">
        <v>450</v>
      </c>
      <c r="AA2571" s="579" t="s">
        <v>178</v>
      </c>
      <c r="AB2571" s="584">
        <v>43900</v>
      </c>
      <c r="AC2571" s="584" t="s">
        <v>164</v>
      </c>
      <c r="AD2571" s="584">
        <v>33750</v>
      </c>
      <c r="AE2571" s="586">
        <v>0.01</v>
      </c>
      <c r="AF2571" s="661" t="str">
        <f t="shared" si="283"/>
        <v>2019-LTK-FRD-F350-005-15</v>
      </c>
      <c r="AG2571" s="661" t="str">
        <f>IF(AND($Y2571&gt;=32,(AI2571="I"),(Y2571&lt;&gt;"~"),(COUNTIF($AN$1:$AN2571,$AN2571)=1)),"TRUE","FALSE")</f>
        <v>FALSE</v>
      </c>
      <c r="AH2571" s="661" t="str">
        <f>IF(AND($Y2571&gt;=22, (AI2571&lt;&gt;"I"),(Y2571&lt;&gt;"~"),(COUNTIF($AN$1:$AN2571,$AN2571)=1)),"TRUE","FALSE")</f>
        <v>FALSE</v>
      </c>
      <c r="AI2571" s="661" t="str">
        <f t="shared" si="278"/>
        <v>N/A</v>
      </c>
      <c r="AJ2571" s="662" t="str">
        <f t="shared" si="279"/>
        <v>F350-005</v>
      </c>
      <c r="AK2571" s="662" t="str">
        <f t="shared" si="280"/>
        <v>LTK</v>
      </c>
      <c r="AL2571" s="662" t="str">
        <f t="shared" si="281"/>
        <v>FRD</v>
      </c>
      <c r="AM2571" s="662" t="str">
        <f t="shared" si="277"/>
        <v>F350-Crew Cab XL DRW-4WD-6-8'-12100-6.2L FFV-8-W3D-620A-176-48-E85-Unleaded</v>
      </c>
      <c r="AN2571" s="662" t="str">
        <f t="shared" si="282"/>
        <v>2019-LTK-FRD-F350-005</v>
      </c>
    </row>
    <row r="2572" spans="1:40" s="572" customFormat="1" ht="15">
      <c r="A2572" s="570" t="s">
        <v>4577</v>
      </c>
      <c r="B2572" s="569" t="s">
        <v>4574</v>
      </c>
      <c r="C2572" s="569" t="s">
        <v>278</v>
      </c>
      <c r="D2572" s="580">
        <v>15</v>
      </c>
      <c r="E2572" s="569" t="s">
        <v>3374</v>
      </c>
      <c r="F2572" s="569" t="s">
        <v>187</v>
      </c>
      <c r="G2572" s="569" t="s">
        <v>271</v>
      </c>
      <c r="H2572" s="569">
        <v>2019</v>
      </c>
      <c r="I2572" s="569" t="s">
        <v>4503</v>
      </c>
      <c r="J2572" s="569" t="s">
        <v>4556</v>
      </c>
      <c r="K2572" s="569" t="s">
        <v>752</v>
      </c>
      <c r="L2572" s="569">
        <v>6</v>
      </c>
      <c r="M2572" s="569">
        <v>0</v>
      </c>
      <c r="N2572" s="569" t="s">
        <v>157</v>
      </c>
      <c r="O2572" s="569">
        <v>2</v>
      </c>
      <c r="P2572" s="569" t="s">
        <v>3846</v>
      </c>
      <c r="Q2572" s="568">
        <v>12100</v>
      </c>
      <c r="R2572" s="569" t="s">
        <v>4231</v>
      </c>
      <c r="S2572" s="569">
        <v>8</v>
      </c>
      <c r="T2572" s="569" t="s">
        <v>4572</v>
      </c>
      <c r="U2572" s="569" t="s">
        <v>4558</v>
      </c>
      <c r="V2572" s="569">
        <v>176</v>
      </c>
      <c r="W2572" s="569">
        <v>48</v>
      </c>
      <c r="X2572" s="568">
        <v>14000</v>
      </c>
      <c r="Y2572" s="569">
        <v>12</v>
      </c>
      <c r="Z2572" s="581" t="s">
        <v>728</v>
      </c>
      <c r="AA2572" s="581" t="s">
        <v>1523</v>
      </c>
      <c r="AB2572" s="585">
        <v>53020</v>
      </c>
      <c r="AC2572" s="585" t="s">
        <v>164</v>
      </c>
      <c r="AD2572" s="585">
        <v>42100</v>
      </c>
      <c r="AE2572" s="587">
        <v>0.01</v>
      </c>
      <c r="AF2572" s="661" t="str">
        <f t="shared" si="283"/>
        <v>2019-LTK-FRD-F350-006-15</v>
      </c>
      <c r="AG2572" s="661" t="str">
        <f>IF(AND($Y2572&gt;=32,(AI2572="I"),(Y2572&lt;&gt;"~"),(COUNTIF($AN$1:$AN2572,$AN2572)=1)),"TRUE","FALSE")</f>
        <v>FALSE</v>
      </c>
      <c r="AH2572" s="661" t="str">
        <f>IF(AND($Y2572&gt;=22, (AI2572&lt;&gt;"I"),(Y2572&lt;&gt;"~"),(COUNTIF($AN$1:$AN2572,$AN2572)=1)),"TRUE","FALSE")</f>
        <v>FALSE</v>
      </c>
      <c r="AI2572" s="661" t="str">
        <f t="shared" si="278"/>
        <v>N/A</v>
      </c>
      <c r="AJ2572" s="662" t="str">
        <f t="shared" si="279"/>
        <v>F350-006</v>
      </c>
      <c r="AK2572" s="662" t="str">
        <f t="shared" si="280"/>
        <v>LTK</v>
      </c>
      <c r="AL2572" s="662" t="str">
        <f t="shared" si="281"/>
        <v>FRD</v>
      </c>
      <c r="AM2572" s="662" t="str">
        <f t="shared" si="277"/>
        <v>F350-Crew Cab XL DRW-4WD-6-8'-12100-6.7L Diesel-8-W3D-620A-176-48-Diesel-BioDiesel</v>
      </c>
      <c r="AN2572" s="662" t="str">
        <f t="shared" si="282"/>
        <v>2019-LTK-FRD-F350-006</v>
      </c>
    </row>
    <row r="2573" spans="1:40" s="572" customFormat="1" ht="15">
      <c r="A2573" s="570" t="s">
        <v>4578</v>
      </c>
      <c r="B2573" s="573" t="s">
        <v>4576</v>
      </c>
      <c r="C2573" s="573" t="s">
        <v>287</v>
      </c>
      <c r="D2573" s="578">
        <v>26</v>
      </c>
      <c r="E2573" s="573" t="s">
        <v>3374</v>
      </c>
      <c r="F2573" s="573" t="s">
        <v>187</v>
      </c>
      <c r="G2573" s="573" t="s">
        <v>271</v>
      </c>
      <c r="H2573" s="573">
        <v>2019</v>
      </c>
      <c r="I2573" s="573" t="s">
        <v>4503</v>
      </c>
      <c r="J2573" s="573" t="s">
        <v>4556</v>
      </c>
      <c r="K2573" s="573" t="s">
        <v>752</v>
      </c>
      <c r="L2573" s="573">
        <v>6</v>
      </c>
      <c r="M2573" s="573">
        <v>0</v>
      </c>
      <c r="N2573" s="573" t="s">
        <v>157</v>
      </c>
      <c r="O2573" s="573">
        <v>2</v>
      </c>
      <c r="P2573" s="573" t="s">
        <v>3846</v>
      </c>
      <c r="Q2573" s="571">
        <v>12100</v>
      </c>
      <c r="R2573" s="573" t="s">
        <v>4235</v>
      </c>
      <c r="S2573" s="573">
        <v>8</v>
      </c>
      <c r="T2573" s="573" t="s">
        <v>4572</v>
      </c>
      <c r="U2573" s="573" t="s">
        <v>4558</v>
      </c>
      <c r="V2573" s="573">
        <v>176</v>
      </c>
      <c r="W2573" s="573">
        <v>48</v>
      </c>
      <c r="X2573" s="571">
        <v>14000</v>
      </c>
      <c r="Y2573" s="569">
        <v>12</v>
      </c>
      <c r="Z2573" s="579" t="s">
        <v>450</v>
      </c>
      <c r="AA2573" s="579" t="s">
        <v>178</v>
      </c>
      <c r="AB2573" s="584">
        <v>43535</v>
      </c>
      <c r="AC2573" s="584" t="s">
        <v>164</v>
      </c>
      <c r="AD2573" s="584">
        <v>33920</v>
      </c>
      <c r="AE2573" s="586">
        <v>0.05</v>
      </c>
      <c r="AF2573" s="661" t="str">
        <f t="shared" si="283"/>
        <v>2019-LTK-FRD-F350-005-26</v>
      </c>
      <c r="AG2573" s="661" t="str">
        <f>IF(AND($Y2573&gt;=32,(AI2573="I"),(Y2573&lt;&gt;"~"),(COUNTIF($AN$1:$AN2573,$AN2573)=1)),"TRUE","FALSE")</f>
        <v>FALSE</v>
      </c>
      <c r="AH2573" s="661" t="str">
        <f>IF(AND($Y2573&gt;=22, (AI2573&lt;&gt;"I"),(Y2573&lt;&gt;"~"),(COUNTIF($AN$1:$AN2573,$AN2573)=1)),"TRUE","FALSE")</f>
        <v>FALSE</v>
      </c>
      <c r="AI2573" s="661" t="str">
        <f t="shared" si="278"/>
        <v>N/A</v>
      </c>
      <c r="AJ2573" s="662" t="str">
        <f t="shared" si="279"/>
        <v>F350-005</v>
      </c>
      <c r="AK2573" s="662" t="str">
        <f t="shared" si="280"/>
        <v>LTK</v>
      </c>
      <c r="AL2573" s="662" t="str">
        <f t="shared" si="281"/>
        <v>FRD</v>
      </c>
      <c r="AM2573" s="662" t="str">
        <f t="shared" si="277"/>
        <v>F350-Crew Cab XL DRW-4WD-6-8'-12100-6.2L FFV-8-W3D-620A-176-48-E85-Unleaded</v>
      </c>
      <c r="AN2573" s="662" t="str">
        <f t="shared" si="282"/>
        <v>2019-LTK-FRD-F350-005</v>
      </c>
    </row>
    <row r="2574" spans="1:40" s="572" customFormat="1" ht="15">
      <c r="A2574" s="570" t="s">
        <v>4579</v>
      </c>
      <c r="B2574" s="569" t="s">
        <v>4574</v>
      </c>
      <c r="C2574" s="569" t="s">
        <v>287</v>
      </c>
      <c r="D2574" s="580">
        <v>26</v>
      </c>
      <c r="E2574" s="569" t="s">
        <v>3374</v>
      </c>
      <c r="F2574" s="569" t="s">
        <v>187</v>
      </c>
      <c r="G2574" s="569" t="s">
        <v>271</v>
      </c>
      <c r="H2574" s="569">
        <v>2019</v>
      </c>
      <c r="I2574" s="569" t="s">
        <v>4503</v>
      </c>
      <c r="J2574" s="569" t="s">
        <v>4556</v>
      </c>
      <c r="K2574" s="569" t="s">
        <v>752</v>
      </c>
      <c r="L2574" s="569">
        <v>6</v>
      </c>
      <c r="M2574" s="569">
        <v>0</v>
      </c>
      <c r="N2574" s="569" t="s">
        <v>157</v>
      </c>
      <c r="O2574" s="569">
        <v>2</v>
      </c>
      <c r="P2574" s="569" t="s">
        <v>3846</v>
      </c>
      <c r="Q2574" s="568">
        <v>12100</v>
      </c>
      <c r="R2574" s="569" t="s">
        <v>4231</v>
      </c>
      <c r="S2574" s="569">
        <v>8</v>
      </c>
      <c r="T2574" s="569" t="s">
        <v>4572</v>
      </c>
      <c r="U2574" s="569" t="s">
        <v>4558</v>
      </c>
      <c r="V2574" s="569">
        <v>176</v>
      </c>
      <c r="W2574" s="569">
        <v>48</v>
      </c>
      <c r="X2574" s="568">
        <v>14000</v>
      </c>
      <c r="Y2574" s="569">
        <v>12</v>
      </c>
      <c r="Z2574" s="581" t="s">
        <v>728</v>
      </c>
      <c r="AA2574" s="581" t="s">
        <v>1523</v>
      </c>
      <c r="AB2574" s="585">
        <v>53020</v>
      </c>
      <c r="AC2574" s="585" t="s">
        <v>164</v>
      </c>
      <c r="AD2574" s="585">
        <v>42114</v>
      </c>
      <c r="AE2574" s="587">
        <v>0.05</v>
      </c>
      <c r="AF2574" s="661" t="str">
        <f t="shared" si="283"/>
        <v>2019-LTK-FRD-F350-006-26</v>
      </c>
      <c r="AG2574" s="661" t="str">
        <f>IF(AND($Y2574&gt;=32,(AI2574="I"),(Y2574&lt;&gt;"~"),(COUNTIF($AN$1:$AN2574,$AN2574)=1)),"TRUE","FALSE")</f>
        <v>FALSE</v>
      </c>
      <c r="AH2574" s="661" t="str">
        <f>IF(AND($Y2574&gt;=22, (AI2574&lt;&gt;"I"),(Y2574&lt;&gt;"~"),(COUNTIF($AN$1:$AN2574,$AN2574)=1)),"TRUE","FALSE")</f>
        <v>FALSE</v>
      </c>
      <c r="AI2574" s="661" t="str">
        <f t="shared" si="278"/>
        <v>N/A</v>
      </c>
      <c r="AJ2574" s="662" t="str">
        <f t="shared" si="279"/>
        <v>F350-006</v>
      </c>
      <c r="AK2574" s="662" t="str">
        <f t="shared" si="280"/>
        <v>LTK</v>
      </c>
      <c r="AL2574" s="662" t="str">
        <f t="shared" si="281"/>
        <v>FRD</v>
      </c>
      <c r="AM2574" s="662" t="str">
        <f t="shared" si="277"/>
        <v>F350-Crew Cab XL DRW-4WD-6-8'-12100-6.7L Diesel-8-W3D-620A-176-48-Diesel-BioDiesel</v>
      </c>
      <c r="AN2574" s="662" t="str">
        <f t="shared" si="282"/>
        <v>2019-LTK-FRD-F350-006</v>
      </c>
    </row>
    <row r="2575" spans="1:40" s="572" customFormat="1" ht="15">
      <c r="A2575" s="570" t="s">
        <v>4580</v>
      </c>
      <c r="B2575" s="573" t="s">
        <v>4571</v>
      </c>
      <c r="C2575" s="573" t="s">
        <v>280</v>
      </c>
      <c r="D2575" s="578">
        <v>27</v>
      </c>
      <c r="E2575" s="573" t="s">
        <v>3374</v>
      </c>
      <c r="F2575" s="573" t="s">
        <v>187</v>
      </c>
      <c r="G2575" s="573" t="s">
        <v>271</v>
      </c>
      <c r="H2575" s="573">
        <v>2019</v>
      </c>
      <c r="I2575" s="573" t="s">
        <v>4503</v>
      </c>
      <c r="J2575" s="573" t="s">
        <v>4556</v>
      </c>
      <c r="K2575" s="573" t="s">
        <v>752</v>
      </c>
      <c r="L2575" s="573">
        <v>6</v>
      </c>
      <c r="M2575" s="573">
        <v>0</v>
      </c>
      <c r="N2575" s="573" t="s">
        <v>157</v>
      </c>
      <c r="O2575" s="573">
        <v>2</v>
      </c>
      <c r="P2575" s="573" t="s">
        <v>3846</v>
      </c>
      <c r="Q2575" s="571">
        <v>12100</v>
      </c>
      <c r="R2575" s="573" t="s">
        <v>4235</v>
      </c>
      <c r="S2575" s="573">
        <v>8</v>
      </c>
      <c r="T2575" s="573" t="s">
        <v>4572</v>
      </c>
      <c r="U2575" s="573" t="s">
        <v>4558</v>
      </c>
      <c r="V2575" s="573">
        <v>176</v>
      </c>
      <c r="W2575" s="573">
        <v>34</v>
      </c>
      <c r="X2575" s="571">
        <v>14000</v>
      </c>
      <c r="Y2575" s="569">
        <v>12</v>
      </c>
      <c r="Z2575" s="579" t="s">
        <v>450</v>
      </c>
      <c r="AA2575" s="579" t="s">
        <v>178</v>
      </c>
      <c r="AB2575" s="584">
        <v>43900</v>
      </c>
      <c r="AC2575" s="584" t="s">
        <v>164</v>
      </c>
      <c r="AD2575" s="584">
        <v>33614.442105263159</v>
      </c>
      <c r="AE2575" s="586">
        <v>0.03</v>
      </c>
      <c r="AF2575" s="661" t="str">
        <f t="shared" si="283"/>
        <v>2019-LTK-FRD-F350-004-27</v>
      </c>
      <c r="AG2575" s="661" t="str">
        <f>IF(AND($Y2575&gt;=32,(AI2575="I"),(Y2575&lt;&gt;"~"),(COUNTIF($AN$1:$AN2575,$AN2575)=1)),"TRUE","FALSE")</f>
        <v>FALSE</v>
      </c>
      <c r="AH2575" s="661" t="str">
        <f>IF(AND($Y2575&gt;=22, (AI2575&lt;&gt;"I"),(Y2575&lt;&gt;"~"),(COUNTIF($AN$1:$AN2575,$AN2575)=1)),"TRUE","FALSE")</f>
        <v>FALSE</v>
      </c>
      <c r="AI2575" s="661" t="str">
        <f t="shared" si="278"/>
        <v>N/A</v>
      </c>
      <c r="AJ2575" s="662" t="str">
        <f t="shared" si="279"/>
        <v>F350-004</v>
      </c>
      <c r="AK2575" s="662" t="str">
        <f t="shared" si="280"/>
        <v>LTK</v>
      </c>
      <c r="AL2575" s="662" t="str">
        <f t="shared" si="281"/>
        <v>FRD</v>
      </c>
      <c r="AM2575" s="662" t="str">
        <f t="shared" si="277"/>
        <v>F350-Crew Cab XL DRW-4WD-6-8'-12100-6.2L FFV-8-W3D-620A-176-34-E85-Unleaded</v>
      </c>
      <c r="AN2575" s="662" t="str">
        <f t="shared" si="282"/>
        <v>2019-LTK-FRD-F350-004</v>
      </c>
    </row>
    <row r="2576" spans="1:40" s="572" customFormat="1" ht="15">
      <c r="A2576" s="570" t="s">
        <v>4581</v>
      </c>
      <c r="B2576" s="569" t="s">
        <v>4574</v>
      </c>
      <c r="C2576" s="569" t="s">
        <v>280</v>
      </c>
      <c r="D2576" s="580">
        <v>27</v>
      </c>
      <c r="E2576" s="569" t="s">
        <v>3374</v>
      </c>
      <c r="F2576" s="569" t="s">
        <v>187</v>
      </c>
      <c r="G2576" s="569" t="s">
        <v>271</v>
      </c>
      <c r="H2576" s="569">
        <v>2019</v>
      </c>
      <c r="I2576" s="569" t="s">
        <v>4503</v>
      </c>
      <c r="J2576" s="569" t="s">
        <v>4556</v>
      </c>
      <c r="K2576" s="569" t="s">
        <v>752</v>
      </c>
      <c r="L2576" s="569">
        <v>6</v>
      </c>
      <c r="M2576" s="569">
        <v>0</v>
      </c>
      <c r="N2576" s="569" t="s">
        <v>157</v>
      </c>
      <c r="O2576" s="569">
        <v>2</v>
      </c>
      <c r="P2576" s="569" t="s">
        <v>3846</v>
      </c>
      <c r="Q2576" s="568">
        <v>12100</v>
      </c>
      <c r="R2576" s="569" t="s">
        <v>4231</v>
      </c>
      <c r="S2576" s="569">
        <v>8</v>
      </c>
      <c r="T2576" s="569" t="s">
        <v>4572</v>
      </c>
      <c r="U2576" s="569" t="s">
        <v>4558</v>
      </c>
      <c r="V2576" s="569">
        <v>176</v>
      </c>
      <c r="W2576" s="569">
        <v>48</v>
      </c>
      <c r="X2576" s="568">
        <v>14000</v>
      </c>
      <c r="Y2576" s="569">
        <v>12</v>
      </c>
      <c r="Z2576" s="581" t="s">
        <v>728</v>
      </c>
      <c r="AA2576" s="581" t="s">
        <v>1523</v>
      </c>
      <c r="AB2576" s="585">
        <v>53020</v>
      </c>
      <c r="AC2576" s="585" t="s">
        <v>164</v>
      </c>
      <c r="AD2576" s="585">
        <v>41806.631578947374</v>
      </c>
      <c r="AE2576" s="587">
        <v>0.03</v>
      </c>
      <c r="AF2576" s="661" t="str">
        <f t="shared" si="283"/>
        <v>2019-LTK-FRD-F350-006-27</v>
      </c>
      <c r="AG2576" s="661" t="str">
        <f>IF(AND($Y2576&gt;=32,(AI2576="I"),(Y2576&lt;&gt;"~"),(COUNTIF($AN$1:$AN2576,$AN2576)=1)),"TRUE","FALSE")</f>
        <v>FALSE</v>
      </c>
      <c r="AH2576" s="661" t="str">
        <f>IF(AND($Y2576&gt;=22, (AI2576&lt;&gt;"I"),(Y2576&lt;&gt;"~"),(COUNTIF($AN$1:$AN2576,$AN2576)=1)),"TRUE","FALSE")</f>
        <v>FALSE</v>
      </c>
      <c r="AI2576" s="661" t="str">
        <f t="shared" si="278"/>
        <v>N/A</v>
      </c>
      <c r="AJ2576" s="662" t="str">
        <f t="shared" si="279"/>
        <v>F350-006</v>
      </c>
      <c r="AK2576" s="662" t="str">
        <f t="shared" si="280"/>
        <v>LTK</v>
      </c>
      <c r="AL2576" s="662" t="str">
        <f t="shared" si="281"/>
        <v>FRD</v>
      </c>
      <c r="AM2576" s="662" t="str">
        <f t="shared" si="277"/>
        <v>F350-Crew Cab XL DRW-4WD-6-8'-12100-6.7L Diesel-8-W3D-620A-176-48-Diesel-BioDiesel</v>
      </c>
      <c r="AN2576" s="662" t="str">
        <f t="shared" si="282"/>
        <v>2019-LTK-FRD-F350-006</v>
      </c>
    </row>
    <row r="2577" spans="1:40" s="572" customFormat="1" ht="15">
      <c r="A2577" s="570" t="s">
        <v>4582</v>
      </c>
      <c r="B2577" s="573" t="s">
        <v>4583</v>
      </c>
      <c r="C2577" s="573" t="s">
        <v>269</v>
      </c>
      <c r="D2577" s="578" t="s">
        <v>270</v>
      </c>
      <c r="E2577" s="573" t="s">
        <v>3374</v>
      </c>
      <c r="F2577" s="573" t="s">
        <v>187</v>
      </c>
      <c r="G2577" s="573" t="s">
        <v>271</v>
      </c>
      <c r="H2577" s="573">
        <v>2019</v>
      </c>
      <c r="I2577" s="573" t="s">
        <v>4503</v>
      </c>
      <c r="J2577" s="573" t="s">
        <v>3805</v>
      </c>
      <c r="K2577" s="573" t="s">
        <v>3377</v>
      </c>
      <c r="L2577" s="573">
        <v>6</v>
      </c>
      <c r="M2577" s="573">
        <v>0</v>
      </c>
      <c r="N2577" s="573" t="s">
        <v>157</v>
      </c>
      <c r="O2577" s="573">
        <v>2</v>
      </c>
      <c r="P2577" s="573" t="s">
        <v>4230</v>
      </c>
      <c r="Q2577" s="571">
        <v>12600</v>
      </c>
      <c r="R2577" s="573" t="s">
        <v>4231</v>
      </c>
      <c r="S2577" s="573">
        <v>8</v>
      </c>
      <c r="T2577" s="573" t="s">
        <v>4504</v>
      </c>
      <c r="U2577" s="573" t="s">
        <v>4584</v>
      </c>
      <c r="V2577" s="573">
        <v>160</v>
      </c>
      <c r="W2577" s="573">
        <v>34</v>
      </c>
      <c r="X2577" s="571">
        <v>11300</v>
      </c>
      <c r="Y2577" s="569">
        <v>13</v>
      </c>
      <c r="Z2577" s="579" t="s">
        <v>728</v>
      </c>
      <c r="AA2577" s="579" t="s">
        <v>1523</v>
      </c>
      <c r="AB2577" s="584">
        <v>53655</v>
      </c>
      <c r="AC2577" s="584" t="s">
        <v>164</v>
      </c>
      <c r="AD2577" s="584">
        <v>42602.421052631587</v>
      </c>
      <c r="AE2577" s="586">
        <v>0.03</v>
      </c>
      <c r="AF2577" s="661" t="str">
        <f t="shared" si="283"/>
        <v>2019-LTK-FRD-F350-026-05</v>
      </c>
      <c r="AG2577" s="661" t="str">
        <f>IF(AND($Y2577&gt;=32,(AI2577="I"),(Y2577&lt;&gt;"~"),(COUNTIF($AN$1:$AN2577,$AN2577)=1)),"TRUE","FALSE")</f>
        <v>FALSE</v>
      </c>
      <c r="AH2577" s="661" t="str">
        <f>IF(AND($Y2577&gt;=22, (AI2577&lt;&gt;"I"),(Y2577&lt;&gt;"~"),(COUNTIF($AN$1:$AN2577,$AN2577)=1)),"TRUE","FALSE")</f>
        <v>FALSE</v>
      </c>
      <c r="AI2577" s="661" t="str">
        <f t="shared" si="278"/>
        <v>N/A</v>
      </c>
      <c r="AJ2577" s="662" t="str">
        <f t="shared" si="279"/>
        <v>F350-026</v>
      </c>
      <c r="AK2577" s="662" t="str">
        <f t="shared" si="280"/>
        <v>LTK</v>
      </c>
      <c r="AL2577" s="662" t="str">
        <f t="shared" si="281"/>
        <v>FRD</v>
      </c>
      <c r="AM2577" s="662" t="str">
        <f t="shared" si="277"/>
        <v>F350-Crew Cab XLT-2WD-6-6'9"-12600-6.7L Diesel-8-W3A-613A-160-34-Diesel-BioDiesel</v>
      </c>
      <c r="AN2577" s="662" t="str">
        <f t="shared" si="282"/>
        <v>2019-LTK-FRD-F350-026</v>
      </c>
    </row>
    <row r="2578" spans="1:40" s="572" customFormat="1" ht="15">
      <c r="A2578" s="570" t="s">
        <v>4585</v>
      </c>
      <c r="B2578" s="569" t="s">
        <v>4586</v>
      </c>
      <c r="C2578" s="569" t="s">
        <v>269</v>
      </c>
      <c r="D2578" s="580" t="s">
        <v>270</v>
      </c>
      <c r="E2578" s="569" t="s">
        <v>3374</v>
      </c>
      <c r="F2578" s="569" t="s">
        <v>187</v>
      </c>
      <c r="G2578" s="569" t="s">
        <v>271</v>
      </c>
      <c r="H2578" s="569">
        <v>2019</v>
      </c>
      <c r="I2578" s="569" t="s">
        <v>4503</v>
      </c>
      <c r="J2578" s="569" t="s">
        <v>3805</v>
      </c>
      <c r="K2578" s="569" t="s">
        <v>3377</v>
      </c>
      <c r="L2578" s="569">
        <v>6</v>
      </c>
      <c r="M2578" s="569">
        <v>0</v>
      </c>
      <c r="N2578" s="569" t="s">
        <v>157</v>
      </c>
      <c r="O2578" s="569">
        <v>2</v>
      </c>
      <c r="P2578" s="569" t="s">
        <v>4230</v>
      </c>
      <c r="Q2578" s="568">
        <v>12700</v>
      </c>
      <c r="R2578" s="569" t="s">
        <v>4235</v>
      </c>
      <c r="S2578" s="569">
        <v>8</v>
      </c>
      <c r="T2578" s="569" t="s">
        <v>4504</v>
      </c>
      <c r="U2578" s="569" t="s">
        <v>4584</v>
      </c>
      <c r="V2578" s="569">
        <v>160</v>
      </c>
      <c r="W2578" s="569">
        <v>34</v>
      </c>
      <c r="X2578" s="568">
        <v>10600</v>
      </c>
      <c r="Y2578" s="569">
        <v>13</v>
      </c>
      <c r="Z2578" s="581" t="s">
        <v>450</v>
      </c>
      <c r="AA2578" s="581" t="s">
        <v>178</v>
      </c>
      <c r="AB2578" s="585">
        <v>44535</v>
      </c>
      <c r="AC2578" s="585" t="s">
        <v>164</v>
      </c>
      <c r="AD2578" s="585">
        <v>34410.231578947372</v>
      </c>
      <c r="AE2578" s="587">
        <v>0.03</v>
      </c>
      <c r="AF2578" s="661" t="str">
        <f t="shared" si="283"/>
        <v>2019-LTK-FRD-F350-082-05</v>
      </c>
      <c r="AG2578" s="661" t="str">
        <f>IF(AND($Y2578&gt;=32,(AI2578="I"),(Y2578&lt;&gt;"~"),(COUNTIF($AN$1:$AN2578,$AN2578)=1)),"TRUE","FALSE")</f>
        <v>FALSE</v>
      </c>
      <c r="AH2578" s="661" t="str">
        <f>IF(AND($Y2578&gt;=22, (AI2578&lt;&gt;"I"),(Y2578&lt;&gt;"~"),(COUNTIF($AN$1:$AN2578,$AN2578)=1)),"TRUE","FALSE")</f>
        <v>FALSE</v>
      </c>
      <c r="AI2578" s="661" t="str">
        <f t="shared" si="278"/>
        <v>N/A</v>
      </c>
      <c r="AJ2578" s="662" t="str">
        <f t="shared" si="279"/>
        <v>F350-082</v>
      </c>
      <c r="AK2578" s="662" t="str">
        <f t="shared" si="280"/>
        <v>LTK</v>
      </c>
      <c r="AL2578" s="662" t="str">
        <f t="shared" si="281"/>
        <v>FRD</v>
      </c>
      <c r="AM2578" s="662" t="str">
        <f t="shared" si="277"/>
        <v>F350-Crew Cab XLT-2WD-6-6'9"-12700-6.2L FFV-8-W3A-613A-160-34-E85-Unleaded</v>
      </c>
      <c r="AN2578" s="662" t="str">
        <f t="shared" si="282"/>
        <v>2019-LTK-FRD-F350-082</v>
      </c>
    </row>
    <row r="2579" spans="1:40" s="572" customFormat="1" ht="15">
      <c r="A2579" s="570" t="s">
        <v>4587</v>
      </c>
      <c r="B2579" s="573" t="s">
        <v>4588</v>
      </c>
      <c r="C2579" s="573" t="s">
        <v>269</v>
      </c>
      <c r="D2579" s="578" t="s">
        <v>270</v>
      </c>
      <c r="E2579" s="573" t="s">
        <v>3374</v>
      </c>
      <c r="F2579" s="573" t="s">
        <v>187</v>
      </c>
      <c r="G2579" s="573" t="s">
        <v>271</v>
      </c>
      <c r="H2579" s="573">
        <v>2019</v>
      </c>
      <c r="I2579" s="573" t="s">
        <v>4503</v>
      </c>
      <c r="J2579" s="573" t="s">
        <v>3805</v>
      </c>
      <c r="K2579" s="573" t="s">
        <v>3377</v>
      </c>
      <c r="L2579" s="573">
        <v>6</v>
      </c>
      <c r="M2579" s="573">
        <v>0</v>
      </c>
      <c r="N2579" s="573" t="s">
        <v>157</v>
      </c>
      <c r="O2579" s="573">
        <v>2</v>
      </c>
      <c r="P2579" s="573" t="s">
        <v>3846</v>
      </c>
      <c r="Q2579" s="571">
        <v>12400</v>
      </c>
      <c r="R2579" s="573" t="s">
        <v>4235</v>
      </c>
      <c r="S2579" s="573">
        <v>8</v>
      </c>
      <c r="T2579" s="573" t="s">
        <v>4504</v>
      </c>
      <c r="U2579" s="573" t="s">
        <v>4584</v>
      </c>
      <c r="V2579" s="573">
        <v>176</v>
      </c>
      <c r="W2579" s="573">
        <v>48</v>
      </c>
      <c r="X2579" s="571">
        <v>10900</v>
      </c>
      <c r="Y2579" s="569">
        <v>13</v>
      </c>
      <c r="Z2579" s="579" t="s">
        <v>450</v>
      </c>
      <c r="AA2579" s="579" t="s">
        <v>178</v>
      </c>
      <c r="AB2579" s="584">
        <v>44730</v>
      </c>
      <c r="AC2579" s="584" t="s">
        <v>164</v>
      </c>
      <c r="AD2579" s="584">
        <v>34591.284210526319</v>
      </c>
      <c r="AE2579" s="586">
        <v>0.03</v>
      </c>
      <c r="AF2579" s="661" t="str">
        <f t="shared" si="283"/>
        <v>2019-LTK-FRD-F350-027-05</v>
      </c>
      <c r="AG2579" s="661" t="str">
        <f>IF(AND($Y2579&gt;=32,(AI2579="I"),(Y2579&lt;&gt;"~"),(COUNTIF($AN$1:$AN2579,$AN2579)=1)),"TRUE","FALSE")</f>
        <v>FALSE</v>
      </c>
      <c r="AH2579" s="661" t="str">
        <f>IF(AND($Y2579&gt;=22, (AI2579&lt;&gt;"I"),(Y2579&lt;&gt;"~"),(COUNTIF($AN$1:$AN2579,$AN2579)=1)),"TRUE","FALSE")</f>
        <v>FALSE</v>
      </c>
      <c r="AI2579" s="661" t="str">
        <f t="shared" si="278"/>
        <v>N/A</v>
      </c>
      <c r="AJ2579" s="662" t="str">
        <f t="shared" si="279"/>
        <v>F350-027</v>
      </c>
      <c r="AK2579" s="662" t="str">
        <f t="shared" si="280"/>
        <v>LTK</v>
      </c>
      <c r="AL2579" s="662" t="str">
        <f t="shared" si="281"/>
        <v>FRD</v>
      </c>
      <c r="AM2579" s="662" t="str">
        <f t="shared" si="277"/>
        <v>F350-Crew Cab XLT-2WD-6-8'-12400-6.2L FFV-8-W3A-613A-176-48-E85-Unleaded</v>
      </c>
      <c r="AN2579" s="662" t="str">
        <f t="shared" si="282"/>
        <v>2019-LTK-FRD-F350-027</v>
      </c>
    </row>
    <row r="2580" spans="1:40" s="572" customFormat="1" ht="15">
      <c r="A2580" s="570" t="s">
        <v>4589</v>
      </c>
      <c r="B2580" s="569" t="s">
        <v>4590</v>
      </c>
      <c r="C2580" s="569" t="s">
        <v>269</v>
      </c>
      <c r="D2580" s="580" t="s">
        <v>270</v>
      </c>
      <c r="E2580" s="569" t="s">
        <v>3374</v>
      </c>
      <c r="F2580" s="569" t="s">
        <v>187</v>
      </c>
      <c r="G2580" s="569" t="s">
        <v>271</v>
      </c>
      <c r="H2580" s="569">
        <v>2019</v>
      </c>
      <c r="I2580" s="569" t="s">
        <v>4503</v>
      </c>
      <c r="J2580" s="569" t="s">
        <v>3805</v>
      </c>
      <c r="K2580" s="569" t="s">
        <v>3377</v>
      </c>
      <c r="L2580" s="569">
        <v>6</v>
      </c>
      <c r="M2580" s="569">
        <v>0</v>
      </c>
      <c r="N2580" s="569" t="s">
        <v>157</v>
      </c>
      <c r="O2580" s="569">
        <v>2</v>
      </c>
      <c r="P2580" s="569" t="s">
        <v>3846</v>
      </c>
      <c r="Q2580" s="568">
        <v>12400</v>
      </c>
      <c r="R2580" s="569" t="s">
        <v>4231</v>
      </c>
      <c r="S2580" s="569">
        <v>8</v>
      </c>
      <c r="T2580" s="569" t="s">
        <v>4504</v>
      </c>
      <c r="U2580" s="569" t="s">
        <v>4584</v>
      </c>
      <c r="V2580" s="569">
        <v>176</v>
      </c>
      <c r="W2580" s="569">
        <v>48</v>
      </c>
      <c r="X2580" s="568">
        <v>11500</v>
      </c>
      <c r="Y2580" s="569">
        <v>13</v>
      </c>
      <c r="Z2580" s="581" t="s">
        <v>728</v>
      </c>
      <c r="AA2580" s="581" t="s">
        <v>1523</v>
      </c>
      <c r="AB2580" s="585">
        <v>53850</v>
      </c>
      <c r="AC2580" s="585" t="s">
        <v>164</v>
      </c>
      <c r="AD2580" s="585">
        <v>42783.473684210534</v>
      </c>
      <c r="AE2580" s="587">
        <v>0.03</v>
      </c>
      <c r="AF2580" s="661" t="str">
        <f t="shared" si="283"/>
        <v>2019-LTK-FRD-F350-028-05</v>
      </c>
      <c r="AG2580" s="661" t="str">
        <f>IF(AND($Y2580&gt;=32,(AI2580="I"),(Y2580&lt;&gt;"~"),(COUNTIF($AN$1:$AN2580,$AN2580)=1)),"TRUE","FALSE")</f>
        <v>FALSE</v>
      </c>
      <c r="AH2580" s="661" t="str">
        <f>IF(AND($Y2580&gt;=22, (AI2580&lt;&gt;"I"),(Y2580&lt;&gt;"~"),(COUNTIF($AN$1:$AN2580,$AN2580)=1)),"TRUE","FALSE")</f>
        <v>FALSE</v>
      </c>
      <c r="AI2580" s="661" t="str">
        <f t="shared" si="278"/>
        <v>N/A</v>
      </c>
      <c r="AJ2580" s="662" t="str">
        <f t="shared" si="279"/>
        <v>F350-028</v>
      </c>
      <c r="AK2580" s="662" t="str">
        <f t="shared" si="280"/>
        <v>LTK</v>
      </c>
      <c r="AL2580" s="662" t="str">
        <f t="shared" si="281"/>
        <v>FRD</v>
      </c>
      <c r="AM2580" s="662" t="str">
        <f t="shared" si="277"/>
        <v>F350-Crew Cab XLT-2WD-6-8'-12400-6.7L Diesel-8-W3A-613A-176-48-Diesel-BioDiesel</v>
      </c>
      <c r="AN2580" s="662" t="str">
        <f t="shared" si="282"/>
        <v>2019-LTK-FRD-F350-028</v>
      </c>
    </row>
    <row r="2581" spans="1:40" s="572" customFormat="1" ht="15">
      <c r="A2581" s="570" t="s">
        <v>4591</v>
      </c>
      <c r="B2581" s="573" t="s">
        <v>4592</v>
      </c>
      <c r="C2581" s="573" t="s">
        <v>269</v>
      </c>
      <c r="D2581" s="578" t="s">
        <v>270</v>
      </c>
      <c r="E2581" s="573" t="s">
        <v>3374</v>
      </c>
      <c r="F2581" s="573" t="s">
        <v>187</v>
      </c>
      <c r="G2581" s="573" t="s">
        <v>271</v>
      </c>
      <c r="H2581" s="573">
        <v>2019</v>
      </c>
      <c r="I2581" s="573" t="s">
        <v>4503</v>
      </c>
      <c r="J2581" s="573" t="s">
        <v>3805</v>
      </c>
      <c r="K2581" s="573" t="s">
        <v>3377</v>
      </c>
      <c r="L2581" s="573">
        <v>6</v>
      </c>
      <c r="M2581" s="573">
        <v>0</v>
      </c>
      <c r="N2581" s="573" t="s">
        <v>157</v>
      </c>
      <c r="O2581" s="573">
        <v>2</v>
      </c>
      <c r="P2581" s="573" t="s">
        <v>3846</v>
      </c>
      <c r="Q2581" s="571">
        <v>12600</v>
      </c>
      <c r="R2581" s="573" t="s">
        <v>4235</v>
      </c>
      <c r="S2581" s="573">
        <v>8</v>
      </c>
      <c r="T2581" s="573" t="s">
        <v>4504</v>
      </c>
      <c r="U2581" s="573" t="s">
        <v>4584</v>
      </c>
      <c r="V2581" s="573">
        <v>176</v>
      </c>
      <c r="W2581" s="573">
        <v>34</v>
      </c>
      <c r="X2581" s="571">
        <v>10100</v>
      </c>
      <c r="Y2581" s="569">
        <v>13</v>
      </c>
      <c r="Z2581" s="579" t="s">
        <v>450</v>
      </c>
      <c r="AA2581" s="579" t="s">
        <v>178</v>
      </c>
      <c r="AB2581" s="584">
        <v>44730</v>
      </c>
      <c r="AC2581" s="584" t="s">
        <v>164</v>
      </c>
      <c r="AD2581" s="584">
        <v>34591.284210526319</v>
      </c>
      <c r="AE2581" s="586">
        <v>0.03</v>
      </c>
      <c r="AF2581" s="661" t="str">
        <f t="shared" si="283"/>
        <v>2019-LTK-FRD-F350-029-05</v>
      </c>
      <c r="AG2581" s="661" t="str">
        <f>IF(AND($Y2581&gt;=32,(AI2581="I"),(Y2581&lt;&gt;"~"),(COUNTIF($AN$1:$AN2581,$AN2581)=1)),"TRUE","FALSE")</f>
        <v>FALSE</v>
      </c>
      <c r="AH2581" s="661" t="str">
        <f>IF(AND($Y2581&gt;=22, (AI2581&lt;&gt;"I"),(Y2581&lt;&gt;"~"),(COUNTIF($AN$1:$AN2581,$AN2581)=1)),"TRUE","FALSE")</f>
        <v>FALSE</v>
      </c>
      <c r="AI2581" s="661" t="str">
        <f t="shared" si="278"/>
        <v>N/A</v>
      </c>
      <c r="AJ2581" s="662" t="str">
        <f t="shared" si="279"/>
        <v>F350-029</v>
      </c>
      <c r="AK2581" s="662" t="str">
        <f t="shared" si="280"/>
        <v>LTK</v>
      </c>
      <c r="AL2581" s="662" t="str">
        <f t="shared" si="281"/>
        <v>FRD</v>
      </c>
      <c r="AM2581" s="662" t="str">
        <f t="shared" si="277"/>
        <v>F350-Crew Cab XLT-2WD-6-8'-12600-6.2L FFV-8-W3A-613A-176-34-E85-Unleaded</v>
      </c>
      <c r="AN2581" s="662" t="str">
        <f t="shared" si="282"/>
        <v>2019-LTK-FRD-F350-029</v>
      </c>
    </row>
    <row r="2582" spans="1:40" s="572" customFormat="1" ht="15">
      <c r="A2582" s="570" t="s">
        <v>4593</v>
      </c>
      <c r="B2582" s="569" t="s">
        <v>4594</v>
      </c>
      <c r="C2582" s="569" t="s">
        <v>278</v>
      </c>
      <c r="D2582" s="580">
        <v>15</v>
      </c>
      <c r="E2582" s="569" t="s">
        <v>3374</v>
      </c>
      <c r="F2582" s="569" t="s">
        <v>187</v>
      </c>
      <c r="G2582" s="569" t="s">
        <v>271</v>
      </c>
      <c r="H2582" s="569">
        <v>2019</v>
      </c>
      <c r="I2582" s="569" t="s">
        <v>4503</v>
      </c>
      <c r="J2582" s="569" t="s">
        <v>3805</v>
      </c>
      <c r="K2582" s="569" t="s">
        <v>3377</v>
      </c>
      <c r="L2582" s="569">
        <v>6</v>
      </c>
      <c r="M2582" s="569">
        <v>0</v>
      </c>
      <c r="N2582" s="569" t="s">
        <v>157</v>
      </c>
      <c r="O2582" s="569">
        <v>2</v>
      </c>
      <c r="P2582" s="569" t="s">
        <v>4230</v>
      </c>
      <c r="Q2582" s="568">
        <v>12600</v>
      </c>
      <c r="R2582" s="569" t="s">
        <v>4235</v>
      </c>
      <c r="S2582" s="569">
        <v>8</v>
      </c>
      <c r="T2582" s="569" t="s">
        <v>4504</v>
      </c>
      <c r="U2582" s="569" t="s">
        <v>4584</v>
      </c>
      <c r="V2582" s="569">
        <v>160</v>
      </c>
      <c r="W2582" s="569">
        <v>34</v>
      </c>
      <c r="X2582" s="568">
        <v>10600</v>
      </c>
      <c r="Y2582" s="569">
        <v>13</v>
      </c>
      <c r="Z2582" s="581" t="s">
        <v>450</v>
      </c>
      <c r="AA2582" s="581" t="s">
        <v>178</v>
      </c>
      <c r="AB2582" s="585">
        <v>44535</v>
      </c>
      <c r="AC2582" s="585" t="s">
        <v>164</v>
      </c>
      <c r="AD2582" s="585">
        <v>34575</v>
      </c>
      <c r="AE2582" s="587">
        <v>0.01</v>
      </c>
      <c r="AF2582" s="661" t="str">
        <f t="shared" si="283"/>
        <v>2019-LTK-FRD-F350-025-15</v>
      </c>
      <c r="AG2582" s="661" t="str">
        <f>IF(AND($Y2582&gt;=32,(AI2582="I"),(Y2582&lt;&gt;"~"),(COUNTIF($AN$1:$AN2582,$AN2582)=1)),"TRUE","FALSE")</f>
        <v>FALSE</v>
      </c>
      <c r="AH2582" s="661" t="str">
        <f>IF(AND($Y2582&gt;=22, (AI2582&lt;&gt;"I"),(Y2582&lt;&gt;"~"),(COUNTIF($AN$1:$AN2582,$AN2582)=1)),"TRUE","FALSE")</f>
        <v>FALSE</v>
      </c>
      <c r="AI2582" s="661" t="str">
        <f t="shared" si="278"/>
        <v>N/A</v>
      </c>
      <c r="AJ2582" s="662" t="str">
        <f t="shared" si="279"/>
        <v>F350-025</v>
      </c>
      <c r="AK2582" s="662" t="str">
        <f t="shared" si="280"/>
        <v>LTK</v>
      </c>
      <c r="AL2582" s="662" t="str">
        <f t="shared" si="281"/>
        <v>FRD</v>
      </c>
      <c r="AM2582" s="662" t="str">
        <f t="shared" si="277"/>
        <v>F350-Crew Cab XLT-2WD-6-6'9"-12600-6.2L FFV-8-W3A-613A-160-34-E85-Unleaded</v>
      </c>
      <c r="AN2582" s="662" t="str">
        <f t="shared" si="282"/>
        <v>2019-LTK-FRD-F350-025</v>
      </c>
    </row>
    <row r="2583" spans="1:40" s="572" customFormat="1" ht="15">
      <c r="A2583" s="570" t="s">
        <v>4595</v>
      </c>
      <c r="B2583" s="573" t="s">
        <v>4583</v>
      </c>
      <c r="C2583" s="573" t="s">
        <v>278</v>
      </c>
      <c r="D2583" s="578">
        <v>15</v>
      </c>
      <c r="E2583" s="573" t="s">
        <v>3374</v>
      </c>
      <c r="F2583" s="573" t="s">
        <v>187</v>
      </c>
      <c r="G2583" s="573" t="s">
        <v>271</v>
      </c>
      <c r="H2583" s="573">
        <v>2019</v>
      </c>
      <c r="I2583" s="573" t="s">
        <v>4503</v>
      </c>
      <c r="J2583" s="573" t="s">
        <v>3805</v>
      </c>
      <c r="K2583" s="573" t="s">
        <v>3377</v>
      </c>
      <c r="L2583" s="573">
        <v>6</v>
      </c>
      <c r="M2583" s="573">
        <v>0</v>
      </c>
      <c r="N2583" s="573" t="s">
        <v>157</v>
      </c>
      <c r="O2583" s="573">
        <v>2</v>
      </c>
      <c r="P2583" s="573" t="s">
        <v>4230</v>
      </c>
      <c r="Q2583" s="571">
        <v>12600</v>
      </c>
      <c r="R2583" s="573" t="s">
        <v>4231</v>
      </c>
      <c r="S2583" s="573">
        <v>8</v>
      </c>
      <c r="T2583" s="573" t="s">
        <v>4504</v>
      </c>
      <c r="U2583" s="573" t="s">
        <v>4584</v>
      </c>
      <c r="V2583" s="573">
        <v>160</v>
      </c>
      <c r="W2583" s="573">
        <v>34</v>
      </c>
      <c r="X2583" s="571">
        <v>11300</v>
      </c>
      <c r="Y2583" s="569">
        <v>13</v>
      </c>
      <c r="Z2583" s="579" t="s">
        <v>728</v>
      </c>
      <c r="AA2583" s="579" t="s">
        <v>1523</v>
      </c>
      <c r="AB2583" s="584">
        <v>53655</v>
      </c>
      <c r="AC2583" s="584" t="s">
        <v>164</v>
      </c>
      <c r="AD2583" s="584">
        <v>42850</v>
      </c>
      <c r="AE2583" s="586">
        <v>0.01</v>
      </c>
      <c r="AF2583" s="661" t="str">
        <f t="shared" si="283"/>
        <v>2019-LTK-FRD-F350-026-15</v>
      </c>
      <c r="AG2583" s="661" t="str">
        <f>IF(AND($Y2583&gt;=32,(AI2583="I"),(Y2583&lt;&gt;"~"),(COUNTIF($AN$1:$AN2583,$AN2583)=1)),"TRUE","FALSE")</f>
        <v>FALSE</v>
      </c>
      <c r="AH2583" s="661" t="str">
        <f>IF(AND($Y2583&gt;=22, (AI2583&lt;&gt;"I"),(Y2583&lt;&gt;"~"),(COUNTIF($AN$1:$AN2583,$AN2583)=1)),"TRUE","FALSE")</f>
        <v>FALSE</v>
      </c>
      <c r="AI2583" s="661" t="str">
        <f t="shared" si="278"/>
        <v>N/A</v>
      </c>
      <c r="AJ2583" s="662" t="str">
        <f t="shared" si="279"/>
        <v>F350-026</v>
      </c>
      <c r="AK2583" s="662" t="str">
        <f t="shared" si="280"/>
        <v>LTK</v>
      </c>
      <c r="AL2583" s="662" t="str">
        <f t="shared" si="281"/>
        <v>FRD</v>
      </c>
      <c r="AM2583" s="662" t="str">
        <f t="shared" si="277"/>
        <v>F350-Crew Cab XLT-2WD-6-6'9"-12600-6.7L Diesel-8-W3A-613A-160-34-Diesel-BioDiesel</v>
      </c>
      <c r="AN2583" s="662" t="str">
        <f t="shared" si="282"/>
        <v>2019-LTK-FRD-F350-026</v>
      </c>
    </row>
    <row r="2584" spans="1:40" s="572" customFormat="1" ht="15">
      <c r="A2584" s="570" t="s">
        <v>4596</v>
      </c>
      <c r="B2584" s="569" t="s">
        <v>4588</v>
      </c>
      <c r="C2584" s="569" t="s">
        <v>278</v>
      </c>
      <c r="D2584" s="580">
        <v>15</v>
      </c>
      <c r="E2584" s="569" t="s">
        <v>3374</v>
      </c>
      <c r="F2584" s="569" t="s">
        <v>187</v>
      </c>
      <c r="G2584" s="569" t="s">
        <v>271</v>
      </c>
      <c r="H2584" s="569">
        <v>2019</v>
      </c>
      <c r="I2584" s="569" t="s">
        <v>4503</v>
      </c>
      <c r="J2584" s="569" t="s">
        <v>3805</v>
      </c>
      <c r="K2584" s="569" t="s">
        <v>3377</v>
      </c>
      <c r="L2584" s="569">
        <v>6</v>
      </c>
      <c r="M2584" s="569">
        <v>0</v>
      </c>
      <c r="N2584" s="569" t="s">
        <v>157</v>
      </c>
      <c r="O2584" s="569">
        <v>2</v>
      </c>
      <c r="P2584" s="569" t="s">
        <v>3846</v>
      </c>
      <c r="Q2584" s="568">
        <v>12400</v>
      </c>
      <c r="R2584" s="569" t="s">
        <v>4235</v>
      </c>
      <c r="S2584" s="569">
        <v>8</v>
      </c>
      <c r="T2584" s="569" t="s">
        <v>4504</v>
      </c>
      <c r="U2584" s="569" t="s">
        <v>4584</v>
      </c>
      <c r="V2584" s="569">
        <v>176</v>
      </c>
      <c r="W2584" s="569">
        <v>48</v>
      </c>
      <c r="X2584" s="568">
        <v>10900</v>
      </c>
      <c r="Y2584" s="569">
        <v>13</v>
      </c>
      <c r="Z2584" s="581" t="s">
        <v>450</v>
      </c>
      <c r="AA2584" s="581" t="s">
        <v>178</v>
      </c>
      <c r="AB2584" s="585">
        <v>44730</v>
      </c>
      <c r="AC2584" s="585" t="s">
        <v>164</v>
      </c>
      <c r="AD2584" s="585">
        <v>34750</v>
      </c>
      <c r="AE2584" s="587">
        <v>0.01</v>
      </c>
      <c r="AF2584" s="661" t="str">
        <f t="shared" si="283"/>
        <v>2019-LTK-FRD-F350-027-15</v>
      </c>
      <c r="AG2584" s="661" t="str">
        <f>IF(AND($Y2584&gt;=32,(AI2584="I"),(Y2584&lt;&gt;"~"),(COUNTIF($AN$1:$AN2584,$AN2584)=1)),"TRUE","FALSE")</f>
        <v>FALSE</v>
      </c>
      <c r="AH2584" s="661" t="str">
        <f>IF(AND($Y2584&gt;=22, (AI2584&lt;&gt;"I"),(Y2584&lt;&gt;"~"),(COUNTIF($AN$1:$AN2584,$AN2584)=1)),"TRUE","FALSE")</f>
        <v>FALSE</v>
      </c>
      <c r="AI2584" s="661" t="str">
        <f t="shared" si="278"/>
        <v>N/A</v>
      </c>
      <c r="AJ2584" s="662" t="str">
        <f t="shared" si="279"/>
        <v>F350-027</v>
      </c>
      <c r="AK2584" s="662" t="str">
        <f t="shared" si="280"/>
        <v>LTK</v>
      </c>
      <c r="AL2584" s="662" t="str">
        <f t="shared" si="281"/>
        <v>FRD</v>
      </c>
      <c r="AM2584" s="662" t="str">
        <f t="shared" si="277"/>
        <v>F350-Crew Cab XLT-2WD-6-8'-12400-6.2L FFV-8-W3A-613A-176-48-E85-Unleaded</v>
      </c>
      <c r="AN2584" s="662" t="str">
        <f t="shared" si="282"/>
        <v>2019-LTK-FRD-F350-027</v>
      </c>
    </row>
    <row r="2585" spans="1:40" s="572" customFormat="1" ht="15">
      <c r="A2585" s="570" t="s">
        <v>4597</v>
      </c>
      <c r="B2585" s="573" t="s">
        <v>4590</v>
      </c>
      <c r="C2585" s="573" t="s">
        <v>278</v>
      </c>
      <c r="D2585" s="578">
        <v>15</v>
      </c>
      <c r="E2585" s="573" t="s">
        <v>3374</v>
      </c>
      <c r="F2585" s="573" t="s">
        <v>187</v>
      </c>
      <c r="G2585" s="573" t="s">
        <v>271</v>
      </c>
      <c r="H2585" s="573">
        <v>2019</v>
      </c>
      <c r="I2585" s="573" t="s">
        <v>4503</v>
      </c>
      <c r="J2585" s="573" t="s">
        <v>3805</v>
      </c>
      <c r="K2585" s="573" t="s">
        <v>3377</v>
      </c>
      <c r="L2585" s="573">
        <v>6</v>
      </c>
      <c r="M2585" s="573">
        <v>0</v>
      </c>
      <c r="N2585" s="573" t="s">
        <v>157</v>
      </c>
      <c r="O2585" s="573">
        <v>2</v>
      </c>
      <c r="P2585" s="573" t="s">
        <v>3846</v>
      </c>
      <c r="Q2585" s="571">
        <v>12400</v>
      </c>
      <c r="R2585" s="573" t="s">
        <v>4231</v>
      </c>
      <c r="S2585" s="573">
        <v>8</v>
      </c>
      <c r="T2585" s="573" t="s">
        <v>4504</v>
      </c>
      <c r="U2585" s="573" t="s">
        <v>4584</v>
      </c>
      <c r="V2585" s="573">
        <v>176</v>
      </c>
      <c r="W2585" s="573">
        <v>48</v>
      </c>
      <c r="X2585" s="571">
        <v>11500</v>
      </c>
      <c r="Y2585" s="569">
        <v>13</v>
      </c>
      <c r="Z2585" s="579" t="s">
        <v>728</v>
      </c>
      <c r="AA2585" s="579" t="s">
        <v>1523</v>
      </c>
      <c r="AB2585" s="584">
        <v>53850</v>
      </c>
      <c r="AC2585" s="584" t="s">
        <v>164</v>
      </c>
      <c r="AD2585" s="584">
        <v>43100</v>
      </c>
      <c r="AE2585" s="586">
        <v>0.01</v>
      </c>
      <c r="AF2585" s="661" t="str">
        <f t="shared" si="283"/>
        <v>2019-LTK-FRD-F350-028-15</v>
      </c>
      <c r="AG2585" s="661" t="str">
        <f>IF(AND($Y2585&gt;=32,(AI2585="I"),(Y2585&lt;&gt;"~"),(COUNTIF($AN$1:$AN2585,$AN2585)=1)),"TRUE","FALSE")</f>
        <v>FALSE</v>
      </c>
      <c r="AH2585" s="661" t="str">
        <f>IF(AND($Y2585&gt;=22, (AI2585&lt;&gt;"I"),(Y2585&lt;&gt;"~"),(COUNTIF($AN$1:$AN2585,$AN2585)=1)),"TRUE","FALSE")</f>
        <v>FALSE</v>
      </c>
      <c r="AI2585" s="661" t="str">
        <f t="shared" si="278"/>
        <v>N/A</v>
      </c>
      <c r="AJ2585" s="662" t="str">
        <f t="shared" si="279"/>
        <v>F350-028</v>
      </c>
      <c r="AK2585" s="662" t="str">
        <f t="shared" si="280"/>
        <v>LTK</v>
      </c>
      <c r="AL2585" s="662" t="str">
        <f t="shared" si="281"/>
        <v>FRD</v>
      </c>
      <c r="AM2585" s="662" t="str">
        <f t="shared" si="277"/>
        <v>F350-Crew Cab XLT-2WD-6-8'-12400-6.7L Diesel-8-W3A-613A-176-48-Diesel-BioDiesel</v>
      </c>
      <c r="AN2585" s="662" t="str">
        <f t="shared" si="282"/>
        <v>2019-LTK-FRD-F350-028</v>
      </c>
    </row>
    <row r="2586" spans="1:40" s="572" customFormat="1" ht="15">
      <c r="A2586" s="570" t="s">
        <v>4598</v>
      </c>
      <c r="B2586" s="569" t="s">
        <v>4594</v>
      </c>
      <c r="C2586" s="569" t="s">
        <v>287</v>
      </c>
      <c r="D2586" s="580">
        <v>26</v>
      </c>
      <c r="E2586" s="569" t="s">
        <v>3374</v>
      </c>
      <c r="F2586" s="569" t="s">
        <v>187</v>
      </c>
      <c r="G2586" s="569" t="s">
        <v>271</v>
      </c>
      <c r="H2586" s="569">
        <v>2019</v>
      </c>
      <c r="I2586" s="569" t="s">
        <v>4503</v>
      </c>
      <c r="J2586" s="569" t="s">
        <v>3805</v>
      </c>
      <c r="K2586" s="569" t="s">
        <v>3377</v>
      </c>
      <c r="L2586" s="569">
        <v>6</v>
      </c>
      <c r="M2586" s="569">
        <v>0</v>
      </c>
      <c r="N2586" s="569" t="s">
        <v>157</v>
      </c>
      <c r="O2586" s="569">
        <v>2</v>
      </c>
      <c r="P2586" s="569" t="s">
        <v>4230</v>
      </c>
      <c r="Q2586" s="568">
        <v>12600</v>
      </c>
      <c r="R2586" s="569" t="s">
        <v>4235</v>
      </c>
      <c r="S2586" s="569">
        <v>8</v>
      </c>
      <c r="T2586" s="569" t="s">
        <v>4504</v>
      </c>
      <c r="U2586" s="569" t="s">
        <v>4584</v>
      </c>
      <c r="V2586" s="569">
        <v>160</v>
      </c>
      <c r="W2586" s="569">
        <v>34</v>
      </c>
      <c r="X2586" s="568">
        <v>10600</v>
      </c>
      <c r="Y2586" s="569">
        <v>13</v>
      </c>
      <c r="Z2586" s="581" t="s">
        <v>450</v>
      </c>
      <c r="AA2586" s="581" t="s">
        <v>178</v>
      </c>
      <c r="AB2586" s="585">
        <v>44085</v>
      </c>
      <c r="AC2586" s="585" t="s">
        <v>164</v>
      </c>
      <c r="AD2586" s="585">
        <v>34651</v>
      </c>
      <c r="AE2586" s="587">
        <v>0.05</v>
      </c>
      <c r="AF2586" s="661" t="str">
        <f t="shared" si="283"/>
        <v>2019-LTK-FRD-F350-025-26</v>
      </c>
      <c r="AG2586" s="661" t="str">
        <f>IF(AND($Y2586&gt;=32,(AI2586="I"),(Y2586&lt;&gt;"~"),(COUNTIF($AN$1:$AN2586,$AN2586)=1)),"TRUE","FALSE")</f>
        <v>FALSE</v>
      </c>
      <c r="AH2586" s="661" t="str">
        <f>IF(AND($Y2586&gt;=22, (AI2586&lt;&gt;"I"),(Y2586&lt;&gt;"~"),(COUNTIF($AN$1:$AN2586,$AN2586)=1)),"TRUE","FALSE")</f>
        <v>FALSE</v>
      </c>
      <c r="AI2586" s="661" t="str">
        <f t="shared" si="278"/>
        <v>N/A</v>
      </c>
      <c r="AJ2586" s="662" t="str">
        <f t="shared" si="279"/>
        <v>F350-025</v>
      </c>
      <c r="AK2586" s="662" t="str">
        <f t="shared" si="280"/>
        <v>LTK</v>
      </c>
      <c r="AL2586" s="662" t="str">
        <f t="shared" si="281"/>
        <v>FRD</v>
      </c>
      <c r="AM2586" s="662" t="str">
        <f t="shared" si="277"/>
        <v>F350-Crew Cab XLT-2WD-6-6'9"-12600-6.2L FFV-8-W3A-613A-160-34-E85-Unleaded</v>
      </c>
      <c r="AN2586" s="662" t="str">
        <f t="shared" si="282"/>
        <v>2019-LTK-FRD-F350-025</v>
      </c>
    </row>
    <row r="2587" spans="1:40" s="572" customFormat="1" ht="15">
      <c r="A2587" s="570" t="s">
        <v>4599</v>
      </c>
      <c r="B2587" s="573" t="s">
        <v>4583</v>
      </c>
      <c r="C2587" s="573" t="s">
        <v>287</v>
      </c>
      <c r="D2587" s="578">
        <v>26</v>
      </c>
      <c r="E2587" s="573" t="s">
        <v>3374</v>
      </c>
      <c r="F2587" s="573" t="s">
        <v>187</v>
      </c>
      <c r="G2587" s="573" t="s">
        <v>271</v>
      </c>
      <c r="H2587" s="573">
        <v>2019</v>
      </c>
      <c r="I2587" s="573" t="s">
        <v>4503</v>
      </c>
      <c r="J2587" s="573" t="s">
        <v>3805</v>
      </c>
      <c r="K2587" s="573" t="s">
        <v>3377</v>
      </c>
      <c r="L2587" s="573">
        <v>6</v>
      </c>
      <c r="M2587" s="573">
        <v>0</v>
      </c>
      <c r="N2587" s="573" t="s">
        <v>157</v>
      </c>
      <c r="O2587" s="573">
        <v>2</v>
      </c>
      <c r="P2587" s="573" t="s">
        <v>4230</v>
      </c>
      <c r="Q2587" s="571">
        <v>12600</v>
      </c>
      <c r="R2587" s="573" t="s">
        <v>4231</v>
      </c>
      <c r="S2587" s="573">
        <v>8</v>
      </c>
      <c r="T2587" s="573" t="s">
        <v>4504</v>
      </c>
      <c r="U2587" s="573" t="s">
        <v>4584</v>
      </c>
      <c r="V2587" s="573">
        <v>160</v>
      </c>
      <c r="W2587" s="573">
        <v>34</v>
      </c>
      <c r="X2587" s="571">
        <v>11300</v>
      </c>
      <c r="Y2587" s="569">
        <v>13</v>
      </c>
      <c r="Z2587" s="579" t="s">
        <v>728</v>
      </c>
      <c r="AA2587" s="579" t="s">
        <v>1523</v>
      </c>
      <c r="AB2587" s="584">
        <v>53655</v>
      </c>
      <c r="AC2587" s="584" t="s">
        <v>164</v>
      </c>
      <c r="AD2587" s="584">
        <v>42845</v>
      </c>
      <c r="AE2587" s="586">
        <v>0.05</v>
      </c>
      <c r="AF2587" s="661" t="str">
        <f t="shared" si="283"/>
        <v>2019-LTK-FRD-F350-026-26</v>
      </c>
      <c r="AG2587" s="661" t="str">
        <f>IF(AND($Y2587&gt;=32,(AI2587="I"),(Y2587&lt;&gt;"~"),(COUNTIF($AN$1:$AN2587,$AN2587)=1)),"TRUE","FALSE")</f>
        <v>FALSE</v>
      </c>
      <c r="AH2587" s="661" t="str">
        <f>IF(AND($Y2587&gt;=22, (AI2587&lt;&gt;"I"),(Y2587&lt;&gt;"~"),(COUNTIF($AN$1:$AN2587,$AN2587)=1)),"TRUE","FALSE")</f>
        <v>FALSE</v>
      </c>
      <c r="AI2587" s="661" t="str">
        <f t="shared" si="278"/>
        <v>N/A</v>
      </c>
      <c r="AJ2587" s="662" t="str">
        <f t="shared" si="279"/>
        <v>F350-026</v>
      </c>
      <c r="AK2587" s="662" t="str">
        <f t="shared" si="280"/>
        <v>LTK</v>
      </c>
      <c r="AL2587" s="662" t="str">
        <f t="shared" si="281"/>
        <v>FRD</v>
      </c>
      <c r="AM2587" s="662" t="str">
        <f t="shared" ref="AM2587:AM2650" si="284">CONCATENATE(I2587,"-",J2587,"-",K2587,"-",L2587,"-",P2587,"-",Q2587,"-",R2587,"-",S2587,"-",T2587,"-",U2587,"-",V2587,"-",W2587,"-",Z2587,"-",AA2587)</f>
        <v>F350-Crew Cab XLT-2WD-6-6'9"-12600-6.7L Diesel-8-W3A-613A-160-34-Diesel-BioDiesel</v>
      </c>
      <c r="AN2587" s="662" t="str">
        <f t="shared" si="282"/>
        <v>2019-LTK-FRD-F350-026</v>
      </c>
    </row>
    <row r="2588" spans="1:40" s="572" customFormat="1" ht="15">
      <c r="A2588" s="570" t="s">
        <v>4600</v>
      </c>
      <c r="B2588" s="569" t="s">
        <v>4588</v>
      </c>
      <c r="C2588" s="569" t="s">
        <v>287</v>
      </c>
      <c r="D2588" s="580">
        <v>26</v>
      </c>
      <c r="E2588" s="569" t="s">
        <v>3374</v>
      </c>
      <c r="F2588" s="569" t="s">
        <v>187</v>
      </c>
      <c r="G2588" s="569" t="s">
        <v>271</v>
      </c>
      <c r="H2588" s="569">
        <v>2019</v>
      </c>
      <c r="I2588" s="569" t="s">
        <v>4503</v>
      </c>
      <c r="J2588" s="569" t="s">
        <v>3805</v>
      </c>
      <c r="K2588" s="569" t="s">
        <v>3377</v>
      </c>
      <c r="L2588" s="569">
        <v>6</v>
      </c>
      <c r="M2588" s="569">
        <v>0</v>
      </c>
      <c r="N2588" s="569" t="s">
        <v>157</v>
      </c>
      <c r="O2588" s="569">
        <v>2</v>
      </c>
      <c r="P2588" s="569" t="s">
        <v>3846</v>
      </c>
      <c r="Q2588" s="568">
        <v>12400</v>
      </c>
      <c r="R2588" s="569" t="s">
        <v>4235</v>
      </c>
      <c r="S2588" s="569">
        <v>8</v>
      </c>
      <c r="T2588" s="569" t="s">
        <v>4504</v>
      </c>
      <c r="U2588" s="569" t="s">
        <v>4584</v>
      </c>
      <c r="V2588" s="569">
        <v>176</v>
      </c>
      <c r="W2588" s="569">
        <v>48</v>
      </c>
      <c r="X2588" s="568">
        <v>10900</v>
      </c>
      <c r="Y2588" s="569">
        <v>13</v>
      </c>
      <c r="Z2588" s="581" t="s">
        <v>450</v>
      </c>
      <c r="AA2588" s="581" t="s">
        <v>178</v>
      </c>
      <c r="AB2588" s="585">
        <v>44730</v>
      </c>
      <c r="AC2588" s="585" t="s">
        <v>164</v>
      </c>
      <c r="AD2588" s="585">
        <v>34833</v>
      </c>
      <c r="AE2588" s="587">
        <v>0.05</v>
      </c>
      <c r="AF2588" s="661" t="str">
        <f t="shared" si="283"/>
        <v>2019-LTK-FRD-F350-027-26</v>
      </c>
      <c r="AG2588" s="661" t="str">
        <f>IF(AND($Y2588&gt;=32,(AI2588="I"),(Y2588&lt;&gt;"~"),(COUNTIF($AN$1:$AN2588,$AN2588)=1)),"TRUE","FALSE")</f>
        <v>FALSE</v>
      </c>
      <c r="AH2588" s="661" t="str">
        <f>IF(AND($Y2588&gt;=22, (AI2588&lt;&gt;"I"),(Y2588&lt;&gt;"~"),(COUNTIF($AN$1:$AN2588,$AN2588)=1)),"TRUE","FALSE")</f>
        <v>FALSE</v>
      </c>
      <c r="AI2588" s="661" t="str">
        <f t="shared" ref="AI2588:AI2651" si="285">IF(OR((LEFT($E2588,2)="01"),AND(LEFT($E2588,2)="06",ISNUMBER(SEARCH("pas",$F2588))),AND(LEFT($E2588,2)="05",ISNUMBER(SEARCH("pas",$F2588)))),"I",IF(AND((LEFT($E2588,2)&lt;&gt;"01"),$X2588&lt;=10000),"II",IF(AND((LEFT($E2588,2)&lt;&gt;"01"),$X2588&gt;10000),"N/A")))</f>
        <v>N/A</v>
      </c>
      <c r="AJ2588" s="662" t="str">
        <f t="shared" si="279"/>
        <v>F350-027</v>
      </c>
      <c r="AK2588" s="662" t="str">
        <f t="shared" si="280"/>
        <v>LTK</v>
      </c>
      <c r="AL2588" s="662" t="str">
        <f t="shared" si="281"/>
        <v>FRD</v>
      </c>
      <c r="AM2588" s="662" t="str">
        <f t="shared" si="284"/>
        <v>F350-Crew Cab XLT-2WD-6-8'-12400-6.2L FFV-8-W3A-613A-176-48-E85-Unleaded</v>
      </c>
      <c r="AN2588" s="662" t="str">
        <f t="shared" si="282"/>
        <v>2019-LTK-FRD-F350-027</v>
      </c>
    </row>
    <row r="2589" spans="1:40" s="572" customFormat="1" ht="15">
      <c r="A2589" s="570" t="s">
        <v>4601</v>
      </c>
      <c r="B2589" s="573" t="s">
        <v>4590</v>
      </c>
      <c r="C2589" s="573" t="s">
        <v>287</v>
      </c>
      <c r="D2589" s="578">
        <v>26</v>
      </c>
      <c r="E2589" s="573" t="s">
        <v>3374</v>
      </c>
      <c r="F2589" s="573" t="s">
        <v>187</v>
      </c>
      <c r="G2589" s="573" t="s">
        <v>271</v>
      </c>
      <c r="H2589" s="573">
        <v>2019</v>
      </c>
      <c r="I2589" s="573" t="s">
        <v>4503</v>
      </c>
      <c r="J2589" s="573" t="s">
        <v>3805</v>
      </c>
      <c r="K2589" s="573" t="s">
        <v>3377</v>
      </c>
      <c r="L2589" s="573">
        <v>6</v>
      </c>
      <c r="M2589" s="573">
        <v>0</v>
      </c>
      <c r="N2589" s="573" t="s">
        <v>157</v>
      </c>
      <c r="O2589" s="573">
        <v>2</v>
      </c>
      <c r="P2589" s="573" t="s">
        <v>3846</v>
      </c>
      <c r="Q2589" s="571">
        <v>12400</v>
      </c>
      <c r="R2589" s="573" t="s">
        <v>4231</v>
      </c>
      <c r="S2589" s="573">
        <v>8</v>
      </c>
      <c r="T2589" s="573" t="s">
        <v>4504</v>
      </c>
      <c r="U2589" s="573" t="s">
        <v>4584</v>
      </c>
      <c r="V2589" s="573">
        <v>176</v>
      </c>
      <c r="W2589" s="573">
        <v>48</v>
      </c>
      <c r="X2589" s="571">
        <v>11500</v>
      </c>
      <c r="Y2589" s="569">
        <v>13</v>
      </c>
      <c r="Z2589" s="579" t="s">
        <v>728</v>
      </c>
      <c r="AA2589" s="579" t="s">
        <v>1523</v>
      </c>
      <c r="AB2589" s="584">
        <v>53850</v>
      </c>
      <c r="AC2589" s="584" t="s">
        <v>164</v>
      </c>
      <c r="AD2589" s="584">
        <v>43027</v>
      </c>
      <c r="AE2589" s="586">
        <v>0.05</v>
      </c>
      <c r="AF2589" s="661" t="str">
        <f t="shared" si="283"/>
        <v>2019-LTK-FRD-F350-028-26</v>
      </c>
      <c r="AG2589" s="661" t="str">
        <f>IF(AND($Y2589&gt;=32,(AI2589="I"),(Y2589&lt;&gt;"~"),(COUNTIF($AN$1:$AN2589,$AN2589)=1)),"TRUE","FALSE")</f>
        <v>FALSE</v>
      </c>
      <c r="AH2589" s="661" t="str">
        <f>IF(AND($Y2589&gt;=22, (AI2589&lt;&gt;"I"),(Y2589&lt;&gt;"~"),(COUNTIF($AN$1:$AN2589,$AN2589)=1)),"TRUE","FALSE")</f>
        <v>FALSE</v>
      </c>
      <c r="AI2589" s="661" t="str">
        <f t="shared" si="285"/>
        <v>N/A</v>
      </c>
      <c r="AJ2589" s="662" t="str">
        <f t="shared" si="279"/>
        <v>F350-028</v>
      </c>
      <c r="AK2589" s="662" t="str">
        <f t="shared" si="280"/>
        <v>LTK</v>
      </c>
      <c r="AL2589" s="662" t="str">
        <f t="shared" si="281"/>
        <v>FRD</v>
      </c>
      <c r="AM2589" s="662" t="str">
        <f t="shared" si="284"/>
        <v>F350-Crew Cab XLT-2WD-6-8'-12400-6.7L Diesel-8-W3A-613A-176-48-Diesel-BioDiesel</v>
      </c>
      <c r="AN2589" s="662" t="str">
        <f t="shared" si="282"/>
        <v>2019-LTK-FRD-F350-028</v>
      </c>
    </row>
    <row r="2590" spans="1:40" s="572" customFormat="1" ht="15">
      <c r="A2590" s="570" t="s">
        <v>4602</v>
      </c>
      <c r="B2590" s="569" t="s">
        <v>4583</v>
      </c>
      <c r="C2590" s="569" t="s">
        <v>280</v>
      </c>
      <c r="D2590" s="580">
        <v>27</v>
      </c>
      <c r="E2590" s="569" t="s">
        <v>3374</v>
      </c>
      <c r="F2590" s="569" t="s">
        <v>187</v>
      </c>
      <c r="G2590" s="569" t="s">
        <v>271</v>
      </c>
      <c r="H2590" s="569">
        <v>2019</v>
      </c>
      <c r="I2590" s="569" t="s">
        <v>4503</v>
      </c>
      <c r="J2590" s="569" t="s">
        <v>3805</v>
      </c>
      <c r="K2590" s="569" t="s">
        <v>3377</v>
      </c>
      <c r="L2590" s="569">
        <v>6</v>
      </c>
      <c r="M2590" s="569">
        <v>0</v>
      </c>
      <c r="N2590" s="569" t="s">
        <v>157</v>
      </c>
      <c r="O2590" s="569">
        <v>2</v>
      </c>
      <c r="P2590" s="569" t="s">
        <v>4230</v>
      </c>
      <c r="Q2590" s="568">
        <v>12600</v>
      </c>
      <c r="R2590" s="569" t="s">
        <v>4231</v>
      </c>
      <c r="S2590" s="569">
        <v>8</v>
      </c>
      <c r="T2590" s="569" t="s">
        <v>4504</v>
      </c>
      <c r="U2590" s="569" t="s">
        <v>4584</v>
      </c>
      <c r="V2590" s="569">
        <v>160</v>
      </c>
      <c r="W2590" s="569">
        <v>34</v>
      </c>
      <c r="X2590" s="568">
        <v>11300</v>
      </c>
      <c r="Y2590" s="569">
        <v>13</v>
      </c>
      <c r="Z2590" s="581" t="s">
        <v>728</v>
      </c>
      <c r="AA2590" s="581" t="s">
        <v>1523</v>
      </c>
      <c r="AB2590" s="585">
        <v>53655</v>
      </c>
      <c r="AC2590" s="585" t="s">
        <v>164</v>
      </c>
      <c r="AD2590" s="585">
        <v>42602.421052631587</v>
      </c>
      <c r="AE2590" s="587">
        <v>0.03</v>
      </c>
      <c r="AF2590" s="661" t="str">
        <f t="shared" si="283"/>
        <v>2019-LTK-FRD-F350-026-27</v>
      </c>
      <c r="AG2590" s="661" t="str">
        <f>IF(AND($Y2590&gt;=32,(AI2590="I"),(Y2590&lt;&gt;"~"),(COUNTIF($AN$1:$AN2590,$AN2590)=1)),"TRUE","FALSE")</f>
        <v>FALSE</v>
      </c>
      <c r="AH2590" s="661" t="str">
        <f>IF(AND($Y2590&gt;=22, (AI2590&lt;&gt;"I"),(Y2590&lt;&gt;"~"),(COUNTIF($AN$1:$AN2590,$AN2590)=1)),"TRUE","FALSE")</f>
        <v>FALSE</v>
      </c>
      <c r="AI2590" s="661" t="str">
        <f t="shared" si="285"/>
        <v>N/A</v>
      </c>
      <c r="AJ2590" s="662" t="str">
        <f t="shared" si="279"/>
        <v>F350-026</v>
      </c>
      <c r="AK2590" s="662" t="str">
        <f t="shared" si="280"/>
        <v>LTK</v>
      </c>
      <c r="AL2590" s="662" t="str">
        <f t="shared" si="281"/>
        <v>FRD</v>
      </c>
      <c r="AM2590" s="662" t="str">
        <f t="shared" si="284"/>
        <v>F350-Crew Cab XLT-2WD-6-6'9"-12600-6.7L Diesel-8-W3A-613A-160-34-Diesel-BioDiesel</v>
      </c>
      <c r="AN2590" s="662" t="str">
        <f t="shared" si="282"/>
        <v>2019-LTK-FRD-F350-026</v>
      </c>
    </row>
    <row r="2591" spans="1:40" s="572" customFormat="1" ht="15">
      <c r="A2591" s="570" t="s">
        <v>4603</v>
      </c>
      <c r="B2591" s="573" t="s">
        <v>4586</v>
      </c>
      <c r="C2591" s="573" t="s">
        <v>280</v>
      </c>
      <c r="D2591" s="578">
        <v>27</v>
      </c>
      <c r="E2591" s="573" t="s">
        <v>3374</v>
      </c>
      <c r="F2591" s="573" t="s">
        <v>187</v>
      </c>
      <c r="G2591" s="573" t="s">
        <v>271</v>
      </c>
      <c r="H2591" s="573">
        <v>2019</v>
      </c>
      <c r="I2591" s="573" t="s">
        <v>4503</v>
      </c>
      <c r="J2591" s="573" t="s">
        <v>3805</v>
      </c>
      <c r="K2591" s="573" t="s">
        <v>3377</v>
      </c>
      <c r="L2591" s="573">
        <v>6</v>
      </c>
      <c r="M2591" s="573">
        <v>0</v>
      </c>
      <c r="N2591" s="573" t="s">
        <v>157</v>
      </c>
      <c r="O2591" s="573">
        <v>2</v>
      </c>
      <c r="P2591" s="573" t="s">
        <v>4230</v>
      </c>
      <c r="Q2591" s="571">
        <v>12700</v>
      </c>
      <c r="R2591" s="573" t="s">
        <v>4235</v>
      </c>
      <c r="S2591" s="573">
        <v>8</v>
      </c>
      <c r="T2591" s="573" t="s">
        <v>4504</v>
      </c>
      <c r="U2591" s="573" t="s">
        <v>4584</v>
      </c>
      <c r="V2591" s="573">
        <v>160</v>
      </c>
      <c r="W2591" s="573">
        <v>34</v>
      </c>
      <c r="X2591" s="571">
        <v>10600</v>
      </c>
      <c r="Y2591" s="569">
        <v>13</v>
      </c>
      <c r="Z2591" s="579" t="s">
        <v>450</v>
      </c>
      <c r="AA2591" s="579" t="s">
        <v>178</v>
      </c>
      <c r="AB2591" s="584">
        <v>44535</v>
      </c>
      <c r="AC2591" s="584" t="s">
        <v>164</v>
      </c>
      <c r="AD2591" s="584">
        <v>34410.231578947372</v>
      </c>
      <c r="AE2591" s="586">
        <v>0.03</v>
      </c>
      <c r="AF2591" s="661" t="str">
        <f t="shared" si="283"/>
        <v>2019-LTK-FRD-F350-082-27</v>
      </c>
      <c r="AG2591" s="661" t="str">
        <f>IF(AND($Y2591&gt;=32,(AI2591="I"),(Y2591&lt;&gt;"~"),(COUNTIF($AN$1:$AN2591,$AN2591)=1)),"TRUE","FALSE")</f>
        <v>FALSE</v>
      </c>
      <c r="AH2591" s="661" t="str">
        <f>IF(AND($Y2591&gt;=22, (AI2591&lt;&gt;"I"),(Y2591&lt;&gt;"~"),(COUNTIF($AN$1:$AN2591,$AN2591)=1)),"TRUE","FALSE")</f>
        <v>FALSE</v>
      </c>
      <c r="AI2591" s="661" t="str">
        <f t="shared" si="285"/>
        <v>N/A</v>
      </c>
      <c r="AJ2591" s="662" t="str">
        <f t="shared" si="279"/>
        <v>F350-082</v>
      </c>
      <c r="AK2591" s="662" t="str">
        <f t="shared" si="280"/>
        <v>LTK</v>
      </c>
      <c r="AL2591" s="662" t="str">
        <f t="shared" si="281"/>
        <v>FRD</v>
      </c>
      <c r="AM2591" s="662" t="str">
        <f t="shared" si="284"/>
        <v>F350-Crew Cab XLT-2WD-6-6'9"-12700-6.2L FFV-8-W3A-613A-160-34-E85-Unleaded</v>
      </c>
      <c r="AN2591" s="662" t="str">
        <f t="shared" si="282"/>
        <v>2019-LTK-FRD-F350-082</v>
      </c>
    </row>
    <row r="2592" spans="1:40" s="572" customFormat="1" ht="15">
      <c r="A2592" s="570" t="s">
        <v>4604</v>
      </c>
      <c r="B2592" s="569" t="s">
        <v>4588</v>
      </c>
      <c r="C2592" s="569" t="s">
        <v>280</v>
      </c>
      <c r="D2592" s="580">
        <v>27</v>
      </c>
      <c r="E2592" s="569" t="s">
        <v>3374</v>
      </c>
      <c r="F2592" s="569" t="s">
        <v>187</v>
      </c>
      <c r="G2592" s="569" t="s">
        <v>271</v>
      </c>
      <c r="H2592" s="569">
        <v>2019</v>
      </c>
      <c r="I2592" s="569" t="s">
        <v>4503</v>
      </c>
      <c r="J2592" s="569" t="s">
        <v>3805</v>
      </c>
      <c r="K2592" s="569" t="s">
        <v>3377</v>
      </c>
      <c r="L2592" s="569">
        <v>6</v>
      </c>
      <c r="M2592" s="569">
        <v>0</v>
      </c>
      <c r="N2592" s="569" t="s">
        <v>157</v>
      </c>
      <c r="O2592" s="569">
        <v>2</v>
      </c>
      <c r="P2592" s="569" t="s">
        <v>3846</v>
      </c>
      <c r="Q2592" s="568">
        <v>12400</v>
      </c>
      <c r="R2592" s="569" t="s">
        <v>4235</v>
      </c>
      <c r="S2592" s="569">
        <v>8</v>
      </c>
      <c r="T2592" s="569" t="s">
        <v>4504</v>
      </c>
      <c r="U2592" s="569" t="s">
        <v>4584</v>
      </c>
      <c r="V2592" s="569">
        <v>176</v>
      </c>
      <c r="W2592" s="569">
        <v>48</v>
      </c>
      <c r="X2592" s="568">
        <v>10900</v>
      </c>
      <c r="Y2592" s="569">
        <v>13</v>
      </c>
      <c r="Z2592" s="581" t="s">
        <v>450</v>
      </c>
      <c r="AA2592" s="581" t="s">
        <v>178</v>
      </c>
      <c r="AB2592" s="585">
        <v>44730</v>
      </c>
      <c r="AC2592" s="585" t="s">
        <v>164</v>
      </c>
      <c r="AD2592" s="585">
        <v>34591.284210526319</v>
      </c>
      <c r="AE2592" s="587">
        <v>0.03</v>
      </c>
      <c r="AF2592" s="661" t="str">
        <f t="shared" si="283"/>
        <v>2019-LTK-FRD-F350-027-27</v>
      </c>
      <c r="AG2592" s="661" t="str">
        <f>IF(AND($Y2592&gt;=32,(AI2592="I"),(Y2592&lt;&gt;"~"),(COUNTIF($AN$1:$AN2592,$AN2592)=1)),"TRUE","FALSE")</f>
        <v>FALSE</v>
      </c>
      <c r="AH2592" s="661" t="str">
        <f>IF(AND($Y2592&gt;=22, (AI2592&lt;&gt;"I"),(Y2592&lt;&gt;"~"),(COUNTIF($AN$1:$AN2592,$AN2592)=1)),"TRUE","FALSE")</f>
        <v>FALSE</v>
      </c>
      <c r="AI2592" s="661" t="str">
        <f t="shared" si="285"/>
        <v>N/A</v>
      </c>
      <c r="AJ2592" s="662" t="str">
        <f t="shared" si="279"/>
        <v>F350-027</v>
      </c>
      <c r="AK2592" s="662" t="str">
        <f t="shared" si="280"/>
        <v>LTK</v>
      </c>
      <c r="AL2592" s="662" t="str">
        <f t="shared" si="281"/>
        <v>FRD</v>
      </c>
      <c r="AM2592" s="662" t="str">
        <f t="shared" si="284"/>
        <v>F350-Crew Cab XLT-2WD-6-8'-12400-6.2L FFV-8-W3A-613A-176-48-E85-Unleaded</v>
      </c>
      <c r="AN2592" s="662" t="str">
        <f t="shared" si="282"/>
        <v>2019-LTK-FRD-F350-027</v>
      </c>
    </row>
    <row r="2593" spans="1:40" s="572" customFormat="1" ht="15">
      <c r="A2593" s="570" t="s">
        <v>4605</v>
      </c>
      <c r="B2593" s="573" t="s">
        <v>4590</v>
      </c>
      <c r="C2593" s="573" t="s">
        <v>280</v>
      </c>
      <c r="D2593" s="578">
        <v>27</v>
      </c>
      <c r="E2593" s="573" t="s">
        <v>3374</v>
      </c>
      <c r="F2593" s="573" t="s">
        <v>187</v>
      </c>
      <c r="G2593" s="573" t="s">
        <v>271</v>
      </c>
      <c r="H2593" s="573">
        <v>2019</v>
      </c>
      <c r="I2593" s="573" t="s">
        <v>4503</v>
      </c>
      <c r="J2593" s="573" t="s">
        <v>3805</v>
      </c>
      <c r="K2593" s="573" t="s">
        <v>3377</v>
      </c>
      <c r="L2593" s="573">
        <v>6</v>
      </c>
      <c r="M2593" s="573">
        <v>0</v>
      </c>
      <c r="N2593" s="573" t="s">
        <v>157</v>
      </c>
      <c r="O2593" s="573">
        <v>2</v>
      </c>
      <c r="P2593" s="573" t="s">
        <v>3846</v>
      </c>
      <c r="Q2593" s="571">
        <v>12400</v>
      </c>
      <c r="R2593" s="573" t="s">
        <v>4231</v>
      </c>
      <c r="S2593" s="573">
        <v>8</v>
      </c>
      <c r="T2593" s="573" t="s">
        <v>4504</v>
      </c>
      <c r="U2593" s="573" t="s">
        <v>4584</v>
      </c>
      <c r="V2593" s="573">
        <v>176</v>
      </c>
      <c r="W2593" s="573">
        <v>48</v>
      </c>
      <c r="X2593" s="571">
        <v>11500</v>
      </c>
      <c r="Y2593" s="569">
        <v>13</v>
      </c>
      <c r="Z2593" s="579" t="s">
        <v>728</v>
      </c>
      <c r="AA2593" s="579" t="s">
        <v>1523</v>
      </c>
      <c r="AB2593" s="584">
        <v>53850</v>
      </c>
      <c r="AC2593" s="584" t="s">
        <v>164</v>
      </c>
      <c r="AD2593" s="584">
        <v>42783.473684210534</v>
      </c>
      <c r="AE2593" s="586">
        <v>0.03</v>
      </c>
      <c r="AF2593" s="661" t="str">
        <f t="shared" si="283"/>
        <v>2019-LTK-FRD-F350-028-27</v>
      </c>
      <c r="AG2593" s="661" t="str">
        <f>IF(AND($Y2593&gt;=32,(AI2593="I"),(Y2593&lt;&gt;"~"),(COUNTIF($AN$1:$AN2593,$AN2593)=1)),"TRUE","FALSE")</f>
        <v>FALSE</v>
      </c>
      <c r="AH2593" s="661" t="str">
        <f>IF(AND($Y2593&gt;=22, (AI2593&lt;&gt;"I"),(Y2593&lt;&gt;"~"),(COUNTIF($AN$1:$AN2593,$AN2593)=1)),"TRUE","FALSE")</f>
        <v>FALSE</v>
      </c>
      <c r="AI2593" s="661" t="str">
        <f t="shared" si="285"/>
        <v>N/A</v>
      </c>
      <c r="AJ2593" s="662" t="str">
        <f t="shared" si="279"/>
        <v>F350-028</v>
      </c>
      <c r="AK2593" s="662" t="str">
        <f t="shared" si="280"/>
        <v>LTK</v>
      </c>
      <c r="AL2593" s="662" t="str">
        <f t="shared" si="281"/>
        <v>FRD</v>
      </c>
      <c r="AM2593" s="662" t="str">
        <f t="shared" si="284"/>
        <v>F350-Crew Cab XLT-2WD-6-8'-12400-6.7L Diesel-8-W3A-613A-176-48-Diesel-BioDiesel</v>
      </c>
      <c r="AN2593" s="662" t="str">
        <f t="shared" si="282"/>
        <v>2019-LTK-FRD-F350-028</v>
      </c>
    </row>
    <row r="2594" spans="1:40" s="572" customFormat="1" ht="15">
      <c r="A2594" s="570" t="s">
        <v>4606</v>
      </c>
      <c r="B2594" s="569" t="s">
        <v>4592</v>
      </c>
      <c r="C2594" s="569" t="s">
        <v>280</v>
      </c>
      <c r="D2594" s="580">
        <v>27</v>
      </c>
      <c r="E2594" s="569" t="s">
        <v>3374</v>
      </c>
      <c r="F2594" s="569" t="s">
        <v>187</v>
      </c>
      <c r="G2594" s="569" t="s">
        <v>271</v>
      </c>
      <c r="H2594" s="569">
        <v>2019</v>
      </c>
      <c r="I2594" s="569" t="s">
        <v>4503</v>
      </c>
      <c r="J2594" s="569" t="s">
        <v>3805</v>
      </c>
      <c r="K2594" s="569" t="s">
        <v>3377</v>
      </c>
      <c r="L2594" s="569">
        <v>6</v>
      </c>
      <c r="M2594" s="569">
        <v>0</v>
      </c>
      <c r="N2594" s="569" t="s">
        <v>157</v>
      </c>
      <c r="O2594" s="569">
        <v>2</v>
      </c>
      <c r="P2594" s="569" t="s">
        <v>3846</v>
      </c>
      <c r="Q2594" s="568">
        <v>12600</v>
      </c>
      <c r="R2594" s="569" t="s">
        <v>4235</v>
      </c>
      <c r="S2594" s="569">
        <v>8</v>
      </c>
      <c r="T2594" s="569" t="s">
        <v>4504</v>
      </c>
      <c r="U2594" s="569" t="s">
        <v>4584</v>
      </c>
      <c r="V2594" s="569">
        <v>176</v>
      </c>
      <c r="W2594" s="569">
        <v>34</v>
      </c>
      <c r="X2594" s="568">
        <v>10100</v>
      </c>
      <c r="Y2594" s="569">
        <v>13</v>
      </c>
      <c r="Z2594" s="581" t="s">
        <v>450</v>
      </c>
      <c r="AA2594" s="581" t="s">
        <v>178</v>
      </c>
      <c r="AB2594" s="585">
        <v>44730</v>
      </c>
      <c r="AC2594" s="585" t="s">
        <v>164</v>
      </c>
      <c r="AD2594" s="585">
        <v>34591.284210526319</v>
      </c>
      <c r="AE2594" s="587">
        <v>0.03</v>
      </c>
      <c r="AF2594" s="661" t="str">
        <f t="shared" si="283"/>
        <v>2019-LTK-FRD-F350-029-27</v>
      </c>
      <c r="AG2594" s="661" t="str">
        <f>IF(AND($Y2594&gt;=32,(AI2594="I"),(Y2594&lt;&gt;"~"),(COUNTIF($AN$1:$AN2594,$AN2594)=1)),"TRUE","FALSE")</f>
        <v>FALSE</v>
      </c>
      <c r="AH2594" s="661" t="str">
        <f>IF(AND($Y2594&gt;=22, (AI2594&lt;&gt;"I"),(Y2594&lt;&gt;"~"),(COUNTIF($AN$1:$AN2594,$AN2594)=1)),"TRUE","FALSE")</f>
        <v>FALSE</v>
      </c>
      <c r="AI2594" s="661" t="str">
        <f t="shared" si="285"/>
        <v>N/A</v>
      </c>
      <c r="AJ2594" s="662" t="str">
        <f t="shared" si="279"/>
        <v>F350-029</v>
      </c>
      <c r="AK2594" s="662" t="str">
        <f t="shared" si="280"/>
        <v>LTK</v>
      </c>
      <c r="AL2594" s="662" t="str">
        <f t="shared" si="281"/>
        <v>FRD</v>
      </c>
      <c r="AM2594" s="662" t="str">
        <f t="shared" si="284"/>
        <v>F350-Crew Cab XLT-2WD-6-8'-12600-6.2L FFV-8-W3A-613A-176-34-E85-Unleaded</v>
      </c>
      <c r="AN2594" s="662" t="str">
        <f t="shared" si="282"/>
        <v>2019-LTK-FRD-F350-029</v>
      </c>
    </row>
    <row r="2595" spans="1:40" s="572" customFormat="1" ht="15">
      <c r="A2595" s="570" t="s">
        <v>4607</v>
      </c>
      <c r="B2595" s="573" t="s">
        <v>4608</v>
      </c>
      <c r="C2595" s="573" t="s">
        <v>269</v>
      </c>
      <c r="D2595" s="578" t="s">
        <v>270</v>
      </c>
      <c r="E2595" s="573" t="s">
        <v>3374</v>
      </c>
      <c r="F2595" s="573" t="s">
        <v>187</v>
      </c>
      <c r="G2595" s="573" t="s">
        <v>271</v>
      </c>
      <c r="H2595" s="573">
        <v>2019</v>
      </c>
      <c r="I2595" s="573" t="s">
        <v>4503</v>
      </c>
      <c r="J2595" s="573" t="s">
        <v>3805</v>
      </c>
      <c r="K2595" s="573" t="s">
        <v>752</v>
      </c>
      <c r="L2595" s="573">
        <v>6</v>
      </c>
      <c r="M2595" s="573">
        <v>0</v>
      </c>
      <c r="N2595" s="573" t="s">
        <v>157</v>
      </c>
      <c r="O2595" s="573">
        <v>2</v>
      </c>
      <c r="P2595" s="573" t="s">
        <v>4230</v>
      </c>
      <c r="Q2595" s="571">
        <v>12300</v>
      </c>
      <c r="R2595" s="573" t="s">
        <v>4235</v>
      </c>
      <c r="S2595" s="573">
        <v>8</v>
      </c>
      <c r="T2595" s="573" t="s">
        <v>4532</v>
      </c>
      <c r="U2595" s="573" t="s">
        <v>4584</v>
      </c>
      <c r="V2595" s="573">
        <v>160</v>
      </c>
      <c r="W2595" s="573">
        <v>34</v>
      </c>
      <c r="X2595" s="571">
        <v>10900</v>
      </c>
      <c r="Y2595" s="569">
        <v>12</v>
      </c>
      <c r="Z2595" s="579" t="s">
        <v>450</v>
      </c>
      <c r="AA2595" s="579" t="s">
        <v>178</v>
      </c>
      <c r="AB2595" s="584">
        <v>47335</v>
      </c>
      <c r="AC2595" s="584" t="s">
        <v>164</v>
      </c>
      <c r="AD2595" s="584">
        <v>36996.547368421059</v>
      </c>
      <c r="AE2595" s="586">
        <v>0.03</v>
      </c>
      <c r="AF2595" s="661" t="str">
        <f t="shared" si="283"/>
        <v>2019-LTK-FRD-F350-032-05</v>
      </c>
      <c r="AG2595" s="661" t="str">
        <f>IF(AND($Y2595&gt;=32,(AI2595="I"),(Y2595&lt;&gt;"~"),(COUNTIF($AN$1:$AN2595,$AN2595)=1)),"TRUE","FALSE")</f>
        <v>FALSE</v>
      </c>
      <c r="AH2595" s="661" t="str">
        <f>IF(AND($Y2595&gt;=22, (AI2595&lt;&gt;"I"),(Y2595&lt;&gt;"~"),(COUNTIF($AN$1:$AN2595,$AN2595)=1)),"TRUE","FALSE")</f>
        <v>FALSE</v>
      </c>
      <c r="AI2595" s="661" t="str">
        <f t="shared" si="285"/>
        <v>N/A</v>
      </c>
      <c r="AJ2595" s="662" t="str">
        <f t="shared" si="279"/>
        <v>F350-032</v>
      </c>
      <c r="AK2595" s="662" t="str">
        <f t="shared" si="280"/>
        <v>LTK</v>
      </c>
      <c r="AL2595" s="662" t="str">
        <f t="shared" si="281"/>
        <v>FRD</v>
      </c>
      <c r="AM2595" s="662" t="str">
        <f t="shared" si="284"/>
        <v>F350-Crew Cab XLT-4WD-6-6'9"-12300-6.2L FFV-8-W3B-613A-160-34-E85-Unleaded</v>
      </c>
      <c r="AN2595" s="662" t="str">
        <f t="shared" si="282"/>
        <v>2019-LTK-FRD-F350-032</v>
      </c>
    </row>
    <row r="2596" spans="1:40" s="572" customFormat="1" ht="15">
      <c r="A2596" s="570" t="s">
        <v>4609</v>
      </c>
      <c r="B2596" s="569" t="s">
        <v>4610</v>
      </c>
      <c r="C2596" s="569" t="s">
        <v>269</v>
      </c>
      <c r="D2596" s="580" t="s">
        <v>270</v>
      </c>
      <c r="E2596" s="569" t="s">
        <v>3374</v>
      </c>
      <c r="F2596" s="569" t="s">
        <v>187</v>
      </c>
      <c r="G2596" s="569" t="s">
        <v>271</v>
      </c>
      <c r="H2596" s="569">
        <v>2019</v>
      </c>
      <c r="I2596" s="569" t="s">
        <v>4503</v>
      </c>
      <c r="J2596" s="569" t="s">
        <v>3805</v>
      </c>
      <c r="K2596" s="569" t="s">
        <v>752</v>
      </c>
      <c r="L2596" s="569">
        <v>6</v>
      </c>
      <c r="M2596" s="569">
        <v>0</v>
      </c>
      <c r="N2596" s="569" t="s">
        <v>157</v>
      </c>
      <c r="O2596" s="569">
        <v>2</v>
      </c>
      <c r="P2596" s="569" t="s">
        <v>4230</v>
      </c>
      <c r="Q2596" s="568">
        <v>12300</v>
      </c>
      <c r="R2596" s="569" t="s">
        <v>4231</v>
      </c>
      <c r="S2596" s="569">
        <v>8</v>
      </c>
      <c r="T2596" s="569" t="s">
        <v>4532</v>
      </c>
      <c r="U2596" s="569" t="s">
        <v>4584</v>
      </c>
      <c r="V2596" s="569">
        <v>160</v>
      </c>
      <c r="W2596" s="569">
        <v>34</v>
      </c>
      <c r="X2596" s="568">
        <v>11500</v>
      </c>
      <c r="Y2596" s="569">
        <v>12</v>
      </c>
      <c r="Z2596" s="581" t="s">
        <v>728</v>
      </c>
      <c r="AA2596" s="581" t="s">
        <v>1523</v>
      </c>
      <c r="AB2596" s="585">
        <v>56455</v>
      </c>
      <c r="AC2596" s="585" t="s">
        <v>164</v>
      </c>
      <c r="AD2596" s="585">
        <v>45188.736842105267</v>
      </c>
      <c r="AE2596" s="587">
        <v>0.03</v>
      </c>
      <c r="AF2596" s="661" t="str">
        <f t="shared" si="283"/>
        <v>2019-LTK-FRD-F350-083-05</v>
      </c>
      <c r="AG2596" s="661" t="str">
        <f>IF(AND($Y2596&gt;=32,(AI2596="I"),(Y2596&lt;&gt;"~"),(COUNTIF($AN$1:$AN2596,$AN2596)=1)),"TRUE","FALSE")</f>
        <v>FALSE</v>
      </c>
      <c r="AH2596" s="661" t="str">
        <f>IF(AND($Y2596&gt;=22, (AI2596&lt;&gt;"I"),(Y2596&lt;&gt;"~"),(COUNTIF($AN$1:$AN2596,$AN2596)=1)),"TRUE","FALSE")</f>
        <v>FALSE</v>
      </c>
      <c r="AI2596" s="661" t="str">
        <f t="shared" si="285"/>
        <v>N/A</v>
      </c>
      <c r="AJ2596" s="662" t="str">
        <f t="shared" si="279"/>
        <v>F350-083</v>
      </c>
      <c r="AK2596" s="662" t="str">
        <f t="shared" si="280"/>
        <v>LTK</v>
      </c>
      <c r="AL2596" s="662" t="str">
        <f t="shared" si="281"/>
        <v>FRD</v>
      </c>
      <c r="AM2596" s="662" t="str">
        <f t="shared" si="284"/>
        <v>F350-Crew Cab XLT-4WD-6-6'9"-12300-6.7L Diesel-8-W3B-613A-160-34-Diesel-BioDiesel</v>
      </c>
      <c r="AN2596" s="662" t="str">
        <f t="shared" si="282"/>
        <v>2019-LTK-FRD-F350-083</v>
      </c>
    </row>
    <row r="2597" spans="1:40" s="572" customFormat="1" ht="15">
      <c r="A2597" s="570" t="s">
        <v>4611</v>
      </c>
      <c r="B2597" s="573" t="s">
        <v>4612</v>
      </c>
      <c r="C2597" s="573" t="s">
        <v>269</v>
      </c>
      <c r="D2597" s="578" t="s">
        <v>270</v>
      </c>
      <c r="E2597" s="573" t="s">
        <v>3374</v>
      </c>
      <c r="F2597" s="573" t="s">
        <v>187</v>
      </c>
      <c r="G2597" s="573" t="s">
        <v>271</v>
      </c>
      <c r="H2597" s="573">
        <v>2019</v>
      </c>
      <c r="I2597" s="573" t="s">
        <v>4503</v>
      </c>
      <c r="J2597" s="573" t="s">
        <v>3805</v>
      </c>
      <c r="K2597" s="573" t="s">
        <v>752</v>
      </c>
      <c r="L2597" s="573">
        <v>6</v>
      </c>
      <c r="M2597" s="573">
        <v>0</v>
      </c>
      <c r="N2597" s="573" t="s">
        <v>157</v>
      </c>
      <c r="O2597" s="573">
        <v>2</v>
      </c>
      <c r="P2597" s="573" t="s">
        <v>3846</v>
      </c>
      <c r="Q2597" s="571">
        <v>12000</v>
      </c>
      <c r="R2597" s="573" t="s">
        <v>4235</v>
      </c>
      <c r="S2597" s="573">
        <v>8</v>
      </c>
      <c r="T2597" s="573" t="s">
        <v>4532</v>
      </c>
      <c r="U2597" s="573" t="s">
        <v>4584</v>
      </c>
      <c r="V2597" s="573">
        <v>176</v>
      </c>
      <c r="W2597" s="573">
        <v>48</v>
      </c>
      <c r="X2597" s="571">
        <v>11300</v>
      </c>
      <c r="Y2597" s="569">
        <v>12</v>
      </c>
      <c r="Z2597" s="579" t="s">
        <v>450</v>
      </c>
      <c r="AA2597" s="579" t="s">
        <v>178</v>
      </c>
      <c r="AB2597" s="584">
        <v>47530</v>
      </c>
      <c r="AC2597" s="584" t="s">
        <v>164</v>
      </c>
      <c r="AD2597" s="584">
        <v>37177.600000000006</v>
      </c>
      <c r="AE2597" s="586">
        <v>0.03</v>
      </c>
      <c r="AF2597" s="661" t="str">
        <f t="shared" si="283"/>
        <v>2019-LTK-FRD-F350-033-05</v>
      </c>
      <c r="AG2597" s="661" t="str">
        <f>IF(AND($Y2597&gt;=32,(AI2597="I"),(Y2597&lt;&gt;"~"),(COUNTIF($AN$1:$AN2597,$AN2597)=1)),"TRUE","FALSE")</f>
        <v>FALSE</v>
      </c>
      <c r="AH2597" s="661" t="str">
        <f>IF(AND($Y2597&gt;=22, (AI2597&lt;&gt;"I"),(Y2597&lt;&gt;"~"),(COUNTIF($AN$1:$AN2597,$AN2597)=1)),"TRUE","FALSE")</f>
        <v>FALSE</v>
      </c>
      <c r="AI2597" s="661" t="str">
        <f t="shared" si="285"/>
        <v>N/A</v>
      </c>
      <c r="AJ2597" s="662" t="str">
        <f t="shared" si="279"/>
        <v>F350-033</v>
      </c>
      <c r="AK2597" s="662" t="str">
        <f t="shared" si="280"/>
        <v>LTK</v>
      </c>
      <c r="AL2597" s="662" t="str">
        <f t="shared" si="281"/>
        <v>FRD</v>
      </c>
      <c r="AM2597" s="662" t="str">
        <f t="shared" si="284"/>
        <v>F350-Crew Cab XLT-4WD-6-8'-12000-6.2L FFV-8-W3B-613A-176-48-E85-Unleaded</v>
      </c>
      <c r="AN2597" s="662" t="str">
        <f t="shared" si="282"/>
        <v>2019-LTK-FRD-F350-033</v>
      </c>
    </row>
    <row r="2598" spans="1:40" s="572" customFormat="1" ht="15">
      <c r="A2598" s="570" t="s">
        <v>4613</v>
      </c>
      <c r="B2598" s="569" t="s">
        <v>4614</v>
      </c>
      <c r="C2598" s="569" t="s">
        <v>269</v>
      </c>
      <c r="D2598" s="580" t="s">
        <v>270</v>
      </c>
      <c r="E2598" s="569" t="s">
        <v>3374</v>
      </c>
      <c r="F2598" s="569" t="s">
        <v>187</v>
      </c>
      <c r="G2598" s="569" t="s">
        <v>271</v>
      </c>
      <c r="H2598" s="569">
        <v>2019</v>
      </c>
      <c r="I2598" s="569" t="s">
        <v>4503</v>
      </c>
      <c r="J2598" s="569" t="s">
        <v>3805</v>
      </c>
      <c r="K2598" s="569" t="s">
        <v>752</v>
      </c>
      <c r="L2598" s="569">
        <v>6</v>
      </c>
      <c r="M2598" s="569">
        <v>0</v>
      </c>
      <c r="N2598" s="569" t="s">
        <v>157</v>
      </c>
      <c r="O2598" s="569">
        <v>2</v>
      </c>
      <c r="P2598" s="569" t="s">
        <v>3846</v>
      </c>
      <c r="Q2598" s="568">
        <v>12000</v>
      </c>
      <c r="R2598" s="569" t="s">
        <v>4231</v>
      </c>
      <c r="S2598" s="569">
        <v>8</v>
      </c>
      <c r="T2598" s="569" t="s">
        <v>4532</v>
      </c>
      <c r="U2598" s="569" t="s">
        <v>4584</v>
      </c>
      <c r="V2598" s="569">
        <v>176</v>
      </c>
      <c r="W2598" s="569">
        <v>48</v>
      </c>
      <c r="X2598" s="568">
        <v>11500</v>
      </c>
      <c r="Y2598" s="569">
        <v>12</v>
      </c>
      <c r="Z2598" s="581" t="s">
        <v>728</v>
      </c>
      <c r="AA2598" s="581" t="s">
        <v>1523</v>
      </c>
      <c r="AB2598" s="585">
        <v>56650</v>
      </c>
      <c r="AC2598" s="585" t="s">
        <v>164</v>
      </c>
      <c r="AD2598" s="585">
        <v>45369.789473684214</v>
      </c>
      <c r="AE2598" s="587">
        <v>0.03</v>
      </c>
      <c r="AF2598" s="661" t="str">
        <f t="shared" si="283"/>
        <v>2019-LTK-FRD-F350-034-05</v>
      </c>
      <c r="AG2598" s="661" t="str">
        <f>IF(AND($Y2598&gt;=32,(AI2598="I"),(Y2598&lt;&gt;"~"),(COUNTIF($AN$1:$AN2598,$AN2598)=1)),"TRUE","FALSE")</f>
        <v>FALSE</v>
      </c>
      <c r="AH2598" s="661" t="str">
        <f>IF(AND($Y2598&gt;=22, (AI2598&lt;&gt;"I"),(Y2598&lt;&gt;"~"),(COUNTIF($AN$1:$AN2598,$AN2598)=1)),"TRUE","FALSE")</f>
        <v>FALSE</v>
      </c>
      <c r="AI2598" s="661" t="str">
        <f t="shared" si="285"/>
        <v>N/A</v>
      </c>
      <c r="AJ2598" s="662" t="str">
        <f t="shared" si="279"/>
        <v>F350-034</v>
      </c>
      <c r="AK2598" s="662" t="str">
        <f t="shared" si="280"/>
        <v>LTK</v>
      </c>
      <c r="AL2598" s="662" t="str">
        <f t="shared" si="281"/>
        <v>FRD</v>
      </c>
      <c r="AM2598" s="662" t="str">
        <f t="shared" si="284"/>
        <v>F350-Crew Cab XLT-4WD-6-8'-12000-6.7L Diesel-8-W3B-613A-176-48-Diesel-BioDiesel</v>
      </c>
      <c r="AN2598" s="662" t="str">
        <f t="shared" si="282"/>
        <v>2019-LTK-FRD-F350-034</v>
      </c>
    </row>
    <row r="2599" spans="1:40" s="572" customFormat="1" ht="15">
      <c r="A2599" s="570" t="s">
        <v>4615</v>
      </c>
      <c r="B2599" s="573" t="s">
        <v>4616</v>
      </c>
      <c r="C2599" s="573" t="s">
        <v>269</v>
      </c>
      <c r="D2599" s="578" t="s">
        <v>270</v>
      </c>
      <c r="E2599" s="573" t="s">
        <v>3374</v>
      </c>
      <c r="F2599" s="573" t="s">
        <v>187</v>
      </c>
      <c r="G2599" s="573" t="s">
        <v>271</v>
      </c>
      <c r="H2599" s="573">
        <v>2019</v>
      </c>
      <c r="I2599" s="573" t="s">
        <v>4503</v>
      </c>
      <c r="J2599" s="573" t="s">
        <v>3805</v>
      </c>
      <c r="K2599" s="573" t="s">
        <v>752</v>
      </c>
      <c r="L2599" s="573">
        <v>6</v>
      </c>
      <c r="M2599" s="573">
        <v>0</v>
      </c>
      <c r="N2599" s="573" t="s">
        <v>157</v>
      </c>
      <c r="O2599" s="573">
        <v>2</v>
      </c>
      <c r="P2599" s="573" t="s">
        <v>3846</v>
      </c>
      <c r="Q2599" s="571">
        <v>12500</v>
      </c>
      <c r="R2599" s="573" t="s">
        <v>4235</v>
      </c>
      <c r="S2599" s="573">
        <v>8</v>
      </c>
      <c r="T2599" s="573" t="s">
        <v>4532</v>
      </c>
      <c r="U2599" s="573" t="s">
        <v>4584</v>
      </c>
      <c r="V2599" s="573">
        <v>176</v>
      </c>
      <c r="W2599" s="573">
        <v>34</v>
      </c>
      <c r="X2599" s="571">
        <v>11300</v>
      </c>
      <c r="Y2599" s="569">
        <v>12</v>
      </c>
      <c r="Z2599" s="579" t="s">
        <v>450</v>
      </c>
      <c r="AA2599" s="579" t="s">
        <v>178</v>
      </c>
      <c r="AB2599" s="584">
        <v>47530</v>
      </c>
      <c r="AC2599" s="584" t="s">
        <v>164</v>
      </c>
      <c r="AD2599" s="584">
        <v>37177.600000000006</v>
      </c>
      <c r="AE2599" s="586">
        <v>0.03</v>
      </c>
      <c r="AF2599" s="661" t="str">
        <f t="shared" si="283"/>
        <v>2019-LTK-FRD-F350-035-05</v>
      </c>
      <c r="AG2599" s="661" t="str">
        <f>IF(AND($Y2599&gt;=32,(AI2599="I"),(Y2599&lt;&gt;"~"),(COUNTIF($AN$1:$AN2599,$AN2599)=1)),"TRUE","FALSE")</f>
        <v>FALSE</v>
      </c>
      <c r="AH2599" s="661" t="str">
        <f>IF(AND($Y2599&gt;=22, (AI2599&lt;&gt;"I"),(Y2599&lt;&gt;"~"),(COUNTIF($AN$1:$AN2599,$AN2599)=1)),"TRUE","FALSE")</f>
        <v>FALSE</v>
      </c>
      <c r="AI2599" s="661" t="str">
        <f t="shared" si="285"/>
        <v>N/A</v>
      </c>
      <c r="AJ2599" s="662" t="str">
        <f t="shared" si="279"/>
        <v>F350-035</v>
      </c>
      <c r="AK2599" s="662" t="str">
        <f t="shared" si="280"/>
        <v>LTK</v>
      </c>
      <c r="AL2599" s="662" t="str">
        <f t="shared" si="281"/>
        <v>FRD</v>
      </c>
      <c r="AM2599" s="662" t="str">
        <f t="shared" si="284"/>
        <v>F350-Crew Cab XLT-4WD-6-8'-12500-6.2L FFV-8-W3B-613A-176-34-E85-Unleaded</v>
      </c>
      <c r="AN2599" s="662" t="str">
        <f t="shared" si="282"/>
        <v>2019-LTK-FRD-F350-035</v>
      </c>
    </row>
    <row r="2600" spans="1:40" s="572" customFormat="1" ht="15">
      <c r="A2600" s="570" t="s">
        <v>4617</v>
      </c>
      <c r="B2600" s="569" t="s">
        <v>4618</v>
      </c>
      <c r="C2600" s="569" t="s">
        <v>278</v>
      </c>
      <c r="D2600" s="580">
        <v>15</v>
      </c>
      <c r="E2600" s="569" t="s">
        <v>3374</v>
      </c>
      <c r="F2600" s="569" t="s">
        <v>187</v>
      </c>
      <c r="G2600" s="569" t="s">
        <v>271</v>
      </c>
      <c r="H2600" s="569">
        <v>2019</v>
      </c>
      <c r="I2600" s="569" t="s">
        <v>4503</v>
      </c>
      <c r="J2600" s="569" t="s">
        <v>3805</v>
      </c>
      <c r="K2600" s="569" t="s">
        <v>752</v>
      </c>
      <c r="L2600" s="569">
        <v>6</v>
      </c>
      <c r="M2600" s="569">
        <v>0</v>
      </c>
      <c r="N2600" s="569" t="s">
        <v>157</v>
      </c>
      <c r="O2600" s="569">
        <v>2</v>
      </c>
      <c r="P2600" s="569" t="s">
        <v>4230</v>
      </c>
      <c r="Q2600" s="568">
        <v>12200</v>
      </c>
      <c r="R2600" s="569" t="s">
        <v>4235</v>
      </c>
      <c r="S2600" s="569">
        <v>8</v>
      </c>
      <c r="T2600" s="569" t="s">
        <v>4532</v>
      </c>
      <c r="U2600" s="569" t="s">
        <v>4584</v>
      </c>
      <c r="V2600" s="569">
        <v>160</v>
      </c>
      <c r="W2600" s="569">
        <v>34</v>
      </c>
      <c r="X2600" s="568">
        <v>10900</v>
      </c>
      <c r="Y2600" s="569">
        <v>12</v>
      </c>
      <c r="Z2600" s="581" t="s">
        <v>450</v>
      </c>
      <c r="AA2600" s="581" t="s">
        <v>178</v>
      </c>
      <c r="AB2600" s="585">
        <v>47335</v>
      </c>
      <c r="AC2600" s="585" t="s">
        <v>164</v>
      </c>
      <c r="AD2600" s="585">
        <v>37200</v>
      </c>
      <c r="AE2600" s="587">
        <v>0.01</v>
      </c>
      <c r="AF2600" s="661" t="str">
        <f t="shared" si="283"/>
        <v>2019-LTK-FRD-F350-030-15</v>
      </c>
      <c r="AG2600" s="661" t="str">
        <f>IF(AND($Y2600&gt;=32,(AI2600="I"),(Y2600&lt;&gt;"~"),(COUNTIF($AN$1:$AN2600,$AN2600)=1)),"TRUE","FALSE")</f>
        <v>FALSE</v>
      </c>
      <c r="AH2600" s="661" t="str">
        <f>IF(AND($Y2600&gt;=22, (AI2600&lt;&gt;"I"),(Y2600&lt;&gt;"~"),(COUNTIF($AN$1:$AN2600,$AN2600)=1)),"TRUE","FALSE")</f>
        <v>FALSE</v>
      </c>
      <c r="AI2600" s="661" t="str">
        <f t="shared" si="285"/>
        <v>N/A</v>
      </c>
      <c r="AJ2600" s="662" t="str">
        <f t="shared" si="279"/>
        <v>F350-030</v>
      </c>
      <c r="AK2600" s="662" t="str">
        <f t="shared" si="280"/>
        <v>LTK</v>
      </c>
      <c r="AL2600" s="662" t="str">
        <f t="shared" si="281"/>
        <v>FRD</v>
      </c>
      <c r="AM2600" s="662" t="str">
        <f t="shared" si="284"/>
        <v>F350-Crew Cab XLT-4WD-6-6'9"-12200-6.2L FFV-8-W3B-613A-160-34-E85-Unleaded</v>
      </c>
      <c r="AN2600" s="662" t="str">
        <f t="shared" si="282"/>
        <v>2019-LTK-FRD-F350-030</v>
      </c>
    </row>
    <row r="2601" spans="1:40" s="572" customFormat="1" ht="15">
      <c r="A2601" s="570" t="s">
        <v>4619</v>
      </c>
      <c r="B2601" s="573" t="s">
        <v>4620</v>
      </c>
      <c r="C2601" s="573" t="s">
        <v>278</v>
      </c>
      <c r="D2601" s="578">
        <v>15</v>
      </c>
      <c r="E2601" s="573" t="s">
        <v>3374</v>
      </c>
      <c r="F2601" s="573" t="s">
        <v>187</v>
      </c>
      <c r="G2601" s="573" t="s">
        <v>271</v>
      </c>
      <c r="H2601" s="573">
        <v>2019</v>
      </c>
      <c r="I2601" s="573" t="s">
        <v>4503</v>
      </c>
      <c r="J2601" s="573" t="s">
        <v>3805</v>
      </c>
      <c r="K2601" s="573" t="s">
        <v>752</v>
      </c>
      <c r="L2601" s="573">
        <v>6</v>
      </c>
      <c r="M2601" s="573">
        <v>0</v>
      </c>
      <c r="N2601" s="573" t="s">
        <v>157</v>
      </c>
      <c r="O2601" s="573">
        <v>2</v>
      </c>
      <c r="P2601" s="573" t="s">
        <v>4230</v>
      </c>
      <c r="Q2601" s="571">
        <v>12200</v>
      </c>
      <c r="R2601" s="573" t="s">
        <v>4231</v>
      </c>
      <c r="S2601" s="573">
        <v>8</v>
      </c>
      <c r="T2601" s="573" t="s">
        <v>4532</v>
      </c>
      <c r="U2601" s="573" t="s">
        <v>4584</v>
      </c>
      <c r="V2601" s="573">
        <v>160</v>
      </c>
      <c r="W2601" s="573">
        <v>34</v>
      </c>
      <c r="X2601" s="571">
        <v>11500</v>
      </c>
      <c r="Y2601" s="569">
        <v>12</v>
      </c>
      <c r="Z2601" s="579" t="s">
        <v>728</v>
      </c>
      <c r="AA2601" s="579" t="s">
        <v>1523</v>
      </c>
      <c r="AB2601" s="584">
        <v>56455</v>
      </c>
      <c r="AC2601" s="584" t="s">
        <v>164</v>
      </c>
      <c r="AD2601" s="584">
        <v>45500</v>
      </c>
      <c r="AE2601" s="586">
        <v>0.01</v>
      </c>
      <c r="AF2601" s="661" t="str">
        <f t="shared" si="283"/>
        <v>2019-LTK-FRD-F350-031-15</v>
      </c>
      <c r="AG2601" s="661" t="str">
        <f>IF(AND($Y2601&gt;=32,(AI2601="I"),(Y2601&lt;&gt;"~"),(COUNTIF($AN$1:$AN2601,$AN2601)=1)),"TRUE","FALSE")</f>
        <v>FALSE</v>
      </c>
      <c r="AH2601" s="661" t="str">
        <f>IF(AND($Y2601&gt;=22, (AI2601&lt;&gt;"I"),(Y2601&lt;&gt;"~"),(COUNTIF($AN$1:$AN2601,$AN2601)=1)),"TRUE","FALSE")</f>
        <v>FALSE</v>
      </c>
      <c r="AI2601" s="661" t="str">
        <f t="shared" si="285"/>
        <v>N/A</v>
      </c>
      <c r="AJ2601" s="662" t="str">
        <f t="shared" si="279"/>
        <v>F350-031</v>
      </c>
      <c r="AK2601" s="662" t="str">
        <f t="shared" si="280"/>
        <v>LTK</v>
      </c>
      <c r="AL2601" s="662" t="str">
        <f t="shared" si="281"/>
        <v>FRD</v>
      </c>
      <c r="AM2601" s="662" t="str">
        <f t="shared" si="284"/>
        <v>F350-Crew Cab XLT-4WD-6-6'9"-12200-6.7L Diesel-8-W3B-613A-160-34-Diesel-BioDiesel</v>
      </c>
      <c r="AN2601" s="662" t="str">
        <f t="shared" si="282"/>
        <v>2019-LTK-FRD-F350-031</v>
      </c>
    </row>
    <row r="2602" spans="1:40" s="572" customFormat="1" ht="15">
      <c r="A2602" s="570" t="s">
        <v>4621</v>
      </c>
      <c r="B2602" s="569" t="s">
        <v>4612</v>
      </c>
      <c r="C2602" s="569" t="s">
        <v>278</v>
      </c>
      <c r="D2602" s="580">
        <v>15</v>
      </c>
      <c r="E2602" s="569" t="s">
        <v>3374</v>
      </c>
      <c r="F2602" s="569" t="s">
        <v>187</v>
      </c>
      <c r="G2602" s="569" t="s">
        <v>271</v>
      </c>
      <c r="H2602" s="569">
        <v>2019</v>
      </c>
      <c r="I2602" s="569" t="s">
        <v>4503</v>
      </c>
      <c r="J2602" s="569" t="s">
        <v>3805</v>
      </c>
      <c r="K2602" s="569" t="s">
        <v>752</v>
      </c>
      <c r="L2602" s="569">
        <v>6</v>
      </c>
      <c r="M2602" s="569">
        <v>0</v>
      </c>
      <c r="N2602" s="569" t="s">
        <v>157</v>
      </c>
      <c r="O2602" s="569">
        <v>2</v>
      </c>
      <c r="P2602" s="569" t="s">
        <v>3846</v>
      </c>
      <c r="Q2602" s="568">
        <v>12000</v>
      </c>
      <c r="R2602" s="569" t="s">
        <v>4235</v>
      </c>
      <c r="S2602" s="569">
        <v>8</v>
      </c>
      <c r="T2602" s="569" t="s">
        <v>4532</v>
      </c>
      <c r="U2602" s="569" t="s">
        <v>4584</v>
      </c>
      <c r="V2602" s="569">
        <v>176</v>
      </c>
      <c r="W2602" s="569">
        <v>48</v>
      </c>
      <c r="X2602" s="568">
        <v>11300</v>
      </c>
      <c r="Y2602" s="569">
        <v>12</v>
      </c>
      <c r="Z2602" s="581" t="s">
        <v>450</v>
      </c>
      <c r="AA2602" s="581" t="s">
        <v>178</v>
      </c>
      <c r="AB2602" s="585">
        <v>47530</v>
      </c>
      <c r="AC2602" s="585" t="s">
        <v>164</v>
      </c>
      <c r="AD2602" s="585">
        <v>37350</v>
      </c>
      <c r="AE2602" s="587">
        <v>0.01</v>
      </c>
      <c r="AF2602" s="661" t="str">
        <f t="shared" si="283"/>
        <v>2019-LTK-FRD-F350-033-15</v>
      </c>
      <c r="AG2602" s="661" t="str">
        <f>IF(AND($Y2602&gt;=32,(AI2602="I"),(Y2602&lt;&gt;"~"),(COUNTIF($AN$1:$AN2602,$AN2602)=1)),"TRUE","FALSE")</f>
        <v>FALSE</v>
      </c>
      <c r="AH2602" s="661" t="str">
        <f>IF(AND($Y2602&gt;=22, (AI2602&lt;&gt;"I"),(Y2602&lt;&gt;"~"),(COUNTIF($AN$1:$AN2602,$AN2602)=1)),"TRUE","FALSE")</f>
        <v>FALSE</v>
      </c>
      <c r="AI2602" s="661" t="str">
        <f t="shared" si="285"/>
        <v>N/A</v>
      </c>
      <c r="AJ2602" s="662" t="str">
        <f t="shared" si="279"/>
        <v>F350-033</v>
      </c>
      <c r="AK2602" s="662" t="str">
        <f t="shared" si="280"/>
        <v>LTK</v>
      </c>
      <c r="AL2602" s="662" t="str">
        <f t="shared" si="281"/>
        <v>FRD</v>
      </c>
      <c r="AM2602" s="662" t="str">
        <f t="shared" si="284"/>
        <v>F350-Crew Cab XLT-4WD-6-8'-12000-6.2L FFV-8-W3B-613A-176-48-E85-Unleaded</v>
      </c>
      <c r="AN2602" s="662" t="str">
        <f t="shared" si="282"/>
        <v>2019-LTK-FRD-F350-033</v>
      </c>
    </row>
    <row r="2603" spans="1:40" s="572" customFormat="1" ht="15">
      <c r="A2603" s="570" t="s">
        <v>4622</v>
      </c>
      <c r="B2603" s="573" t="s">
        <v>4614</v>
      </c>
      <c r="C2603" s="573" t="s">
        <v>278</v>
      </c>
      <c r="D2603" s="578">
        <v>15</v>
      </c>
      <c r="E2603" s="573" t="s">
        <v>3374</v>
      </c>
      <c r="F2603" s="573" t="s">
        <v>187</v>
      </c>
      <c r="G2603" s="573" t="s">
        <v>271</v>
      </c>
      <c r="H2603" s="573">
        <v>2019</v>
      </c>
      <c r="I2603" s="573" t="s">
        <v>4503</v>
      </c>
      <c r="J2603" s="573" t="s">
        <v>3805</v>
      </c>
      <c r="K2603" s="573" t="s">
        <v>752</v>
      </c>
      <c r="L2603" s="573">
        <v>6</v>
      </c>
      <c r="M2603" s="573">
        <v>0</v>
      </c>
      <c r="N2603" s="573" t="s">
        <v>157</v>
      </c>
      <c r="O2603" s="573">
        <v>2</v>
      </c>
      <c r="P2603" s="573" t="s">
        <v>3846</v>
      </c>
      <c r="Q2603" s="571">
        <v>12000</v>
      </c>
      <c r="R2603" s="573" t="s">
        <v>4231</v>
      </c>
      <c r="S2603" s="573">
        <v>8</v>
      </c>
      <c r="T2603" s="573" t="s">
        <v>4532</v>
      </c>
      <c r="U2603" s="573" t="s">
        <v>4584</v>
      </c>
      <c r="V2603" s="573">
        <v>176</v>
      </c>
      <c r="W2603" s="573">
        <v>48</v>
      </c>
      <c r="X2603" s="571">
        <v>11500</v>
      </c>
      <c r="Y2603" s="569">
        <v>12</v>
      </c>
      <c r="Z2603" s="579" t="s">
        <v>728</v>
      </c>
      <c r="AA2603" s="579" t="s">
        <v>1523</v>
      </c>
      <c r="AB2603" s="584">
        <v>56650</v>
      </c>
      <c r="AC2603" s="584" t="s">
        <v>164</v>
      </c>
      <c r="AD2603" s="584">
        <v>45650</v>
      </c>
      <c r="AE2603" s="586">
        <v>0.01</v>
      </c>
      <c r="AF2603" s="661" t="str">
        <f t="shared" si="283"/>
        <v>2019-LTK-FRD-F350-034-15</v>
      </c>
      <c r="AG2603" s="661" t="str">
        <f>IF(AND($Y2603&gt;=32,(AI2603="I"),(Y2603&lt;&gt;"~"),(COUNTIF($AN$1:$AN2603,$AN2603)=1)),"TRUE","FALSE")</f>
        <v>FALSE</v>
      </c>
      <c r="AH2603" s="661" t="str">
        <f>IF(AND($Y2603&gt;=22, (AI2603&lt;&gt;"I"),(Y2603&lt;&gt;"~"),(COUNTIF($AN$1:$AN2603,$AN2603)=1)),"TRUE","FALSE")</f>
        <v>FALSE</v>
      </c>
      <c r="AI2603" s="661" t="str">
        <f t="shared" si="285"/>
        <v>N/A</v>
      </c>
      <c r="AJ2603" s="662" t="str">
        <f t="shared" si="279"/>
        <v>F350-034</v>
      </c>
      <c r="AK2603" s="662" t="str">
        <f t="shared" si="280"/>
        <v>LTK</v>
      </c>
      <c r="AL2603" s="662" t="str">
        <f t="shared" si="281"/>
        <v>FRD</v>
      </c>
      <c r="AM2603" s="662" t="str">
        <f t="shared" si="284"/>
        <v>F350-Crew Cab XLT-4WD-6-8'-12000-6.7L Diesel-8-W3B-613A-176-48-Diesel-BioDiesel</v>
      </c>
      <c r="AN2603" s="662" t="str">
        <f t="shared" si="282"/>
        <v>2019-LTK-FRD-F350-034</v>
      </c>
    </row>
    <row r="2604" spans="1:40" s="572" customFormat="1" ht="15">
      <c r="A2604" s="570" t="s">
        <v>4623</v>
      </c>
      <c r="B2604" s="569" t="s">
        <v>4618</v>
      </c>
      <c r="C2604" s="569" t="s">
        <v>287</v>
      </c>
      <c r="D2604" s="580">
        <v>26</v>
      </c>
      <c r="E2604" s="569" t="s">
        <v>3374</v>
      </c>
      <c r="F2604" s="569" t="s">
        <v>187</v>
      </c>
      <c r="G2604" s="569" t="s">
        <v>271</v>
      </c>
      <c r="H2604" s="569">
        <v>2019</v>
      </c>
      <c r="I2604" s="569" t="s">
        <v>4503</v>
      </c>
      <c r="J2604" s="569" t="s">
        <v>3805</v>
      </c>
      <c r="K2604" s="569" t="s">
        <v>752</v>
      </c>
      <c r="L2604" s="569">
        <v>6</v>
      </c>
      <c r="M2604" s="569">
        <v>0</v>
      </c>
      <c r="N2604" s="569" t="s">
        <v>157</v>
      </c>
      <c r="O2604" s="569">
        <v>2</v>
      </c>
      <c r="P2604" s="569" t="s">
        <v>4230</v>
      </c>
      <c r="Q2604" s="568">
        <v>12200</v>
      </c>
      <c r="R2604" s="569" t="s">
        <v>4235</v>
      </c>
      <c r="S2604" s="569">
        <v>8</v>
      </c>
      <c r="T2604" s="569" t="s">
        <v>4532</v>
      </c>
      <c r="U2604" s="569" t="s">
        <v>4584</v>
      </c>
      <c r="V2604" s="569">
        <v>160</v>
      </c>
      <c r="W2604" s="569">
        <v>34</v>
      </c>
      <c r="X2604" s="568">
        <v>10900</v>
      </c>
      <c r="Y2604" s="569">
        <v>12</v>
      </c>
      <c r="Z2604" s="581" t="s">
        <v>450</v>
      </c>
      <c r="AA2604" s="581" t="s">
        <v>178</v>
      </c>
      <c r="AB2604" s="585">
        <v>46885</v>
      </c>
      <c r="AC2604" s="585" t="s">
        <v>164</v>
      </c>
      <c r="AD2604" s="585">
        <v>37276</v>
      </c>
      <c r="AE2604" s="587">
        <v>0.05</v>
      </c>
      <c r="AF2604" s="661" t="str">
        <f t="shared" si="283"/>
        <v>2019-LTK-FRD-F350-030-26</v>
      </c>
      <c r="AG2604" s="661" t="str">
        <f>IF(AND($Y2604&gt;=32,(AI2604="I"),(Y2604&lt;&gt;"~"),(COUNTIF($AN$1:$AN2604,$AN2604)=1)),"TRUE","FALSE")</f>
        <v>FALSE</v>
      </c>
      <c r="AH2604" s="661" t="str">
        <f>IF(AND($Y2604&gt;=22, (AI2604&lt;&gt;"I"),(Y2604&lt;&gt;"~"),(COUNTIF($AN$1:$AN2604,$AN2604)=1)),"TRUE","FALSE")</f>
        <v>FALSE</v>
      </c>
      <c r="AI2604" s="661" t="str">
        <f t="shared" si="285"/>
        <v>N/A</v>
      </c>
      <c r="AJ2604" s="662" t="str">
        <f t="shared" si="279"/>
        <v>F350-030</v>
      </c>
      <c r="AK2604" s="662" t="str">
        <f t="shared" si="280"/>
        <v>LTK</v>
      </c>
      <c r="AL2604" s="662" t="str">
        <f t="shared" si="281"/>
        <v>FRD</v>
      </c>
      <c r="AM2604" s="662" t="str">
        <f t="shared" si="284"/>
        <v>F350-Crew Cab XLT-4WD-6-6'9"-12200-6.2L FFV-8-W3B-613A-160-34-E85-Unleaded</v>
      </c>
      <c r="AN2604" s="662" t="str">
        <f t="shared" si="282"/>
        <v>2019-LTK-FRD-F350-030</v>
      </c>
    </row>
    <row r="2605" spans="1:40" s="572" customFormat="1" ht="15">
      <c r="A2605" s="570" t="s">
        <v>4624</v>
      </c>
      <c r="B2605" s="573" t="s">
        <v>4620</v>
      </c>
      <c r="C2605" s="573" t="s">
        <v>287</v>
      </c>
      <c r="D2605" s="578">
        <v>26</v>
      </c>
      <c r="E2605" s="573" t="s">
        <v>3374</v>
      </c>
      <c r="F2605" s="573" t="s">
        <v>187</v>
      </c>
      <c r="G2605" s="573" t="s">
        <v>271</v>
      </c>
      <c r="H2605" s="573">
        <v>2019</v>
      </c>
      <c r="I2605" s="573" t="s">
        <v>4503</v>
      </c>
      <c r="J2605" s="573" t="s">
        <v>3805</v>
      </c>
      <c r="K2605" s="573" t="s">
        <v>752</v>
      </c>
      <c r="L2605" s="573">
        <v>6</v>
      </c>
      <c r="M2605" s="573">
        <v>0</v>
      </c>
      <c r="N2605" s="573" t="s">
        <v>157</v>
      </c>
      <c r="O2605" s="573">
        <v>2</v>
      </c>
      <c r="P2605" s="573" t="s">
        <v>4230</v>
      </c>
      <c r="Q2605" s="571">
        <v>12200</v>
      </c>
      <c r="R2605" s="573" t="s">
        <v>4231</v>
      </c>
      <c r="S2605" s="573">
        <v>8</v>
      </c>
      <c r="T2605" s="573" t="s">
        <v>4532</v>
      </c>
      <c r="U2605" s="573" t="s">
        <v>4584</v>
      </c>
      <c r="V2605" s="573">
        <v>160</v>
      </c>
      <c r="W2605" s="573">
        <v>34</v>
      </c>
      <c r="X2605" s="571">
        <v>11500</v>
      </c>
      <c r="Y2605" s="569">
        <v>12</v>
      </c>
      <c r="Z2605" s="579" t="s">
        <v>728</v>
      </c>
      <c r="AA2605" s="579" t="s">
        <v>1523</v>
      </c>
      <c r="AB2605" s="584">
        <v>55880</v>
      </c>
      <c r="AC2605" s="584" t="s">
        <v>164</v>
      </c>
      <c r="AD2605" s="584">
        <v>45470</v>
      </c>
      <c r="AE2605" s="586">
        <v>0.05</v>
      </c>
      <c r="AF2605" s="661" t="str">
        <f t="shared" si="283"/>
        <v>2019-LTK-FRD-F350-031-26</v>
      </c>
      <c r="AG2605" s="661" t="str">
        <f>IF(AND($Y2605&gt;=32,(AI2605="I"),(Y2605&lt;&gt;"~"),(COUNTIF($AN$1:$AN2605,$AN2605)=1)),"TRUE","FALSE")</f>
        <v>FALSE</v>
      </c>
      <c r="AH2605" s="661" t="str">
        <f>IF(AND($Y2605&gt;=22, (AI2605&lt;&gt;"I"),(Y2605&lt;&gt;"~"),(COUNTIF($AN$1:$AN2605,$AN2605)=1)),"TRUE","FALSE")</f>
        <v>FALSE</v>
      </c>
      <c r="AI2605" s="661" t="str">
        <f t="shared" si="285"/>
        <v>N/A</v>
      </c>
      <c r="AJ2605" s="662" t="str">
        <f t="shared" si="279"/>
        <v>F350-031</v>
      </c>
      <c r="AK2605" s="662" t="str">
        <f t="shared" si="280"/>
        <v>LTK</v>
      </c>
      <c r="AL2605" s="662" t="str">
        <f t="shared" si="281"/>
        <v>FRD</v>
      </c>
      <c r="AM2605" s="662" t="str">
        <f t="shared" si="284"/>
        <v>F350-Crew Cab XLT-4WD-6-6'9"-12200-6.7L Diesel-8-W3B-613A-160-34-Diesel-BioDiesel</v>
      </c>
      <c r="AN2605" s="662" t="str">
        <f t="shared" si="282"/>
        <v>2019-LTK-FRD-F350-031</v>
      </c>
    </row>
    <row r="2606" spans="1:40" s="572" customFormat="1" ht="15">
      <c r="A2606" s="570" t="s">
        <v>4625</v>
      </c>
      <c r="B2606" s="569" t="s">
        <v>4612</v>
      </c>
      <c r="C2606" s="569" t="s">
        <v>287</v>
      </c>
      <c r="D2606" s="580">
        <v>26</v>
      </c>
      <c r="E2606" s="569" t="s">
        <v>3374</v>
      </c>
      <c r="F2606" s="569" t="s">
        <v>187</v>
      </c>
      <c r="G2606" s="569" t="s">
        <v>271</v>
      </c>
      <c r="H2606" s="569">
        <v>2019</v>
      </c>
      <c r="I2606" s="569" t="s">
        <v>4503</v>
      </c>
      <c r="J2606" s="569" t="s">
        <v>3805</v>
      </c>
      <c r="K2606" s="569" t="s">
        <v>752</v>
      </c>
      <c r="L2606" s="569">
        <v>6</v>
      </c>
      <c r="M2606" s="569">
        <v>0</v>
      </c>
      <c r="N2606" s="569" t="s">
        <v>157</v>
      </c>
      <c r="O2606" s="569">
        <v>2</v>
      </c>
      <c r="P2606" s="569" t="s">
        <v>3846</v>
      </c>
      <c r="Q2606" s="568">
        <v>12000</v>
      </c>
      <c r="R2606" s="569" t="s">
        <v>4235</v>
      </c>
      <c r="S2606" s="569">
        <v>8</v>
      </c>
      <c r="T2606" s="569" t="s">
        <v>4532</v>
      </c>
      <c r="U2606" s="569" t="s">
        <v>4584</v>
      </c>
      <c r="V2606" s="569">
        <v>176</v>
      </c>
      <c r="W2606" s="569">
        <v>48</v>
      </c>
      <c r="X2606" s="568">
        <v>11300</v>
      </c>
      <c r="Y2606" s="569">
        <v>12</v>
      </c>
      <c r="Z2606" s="581" t="s">
        <v>450</v>
      </c>
      <c r="AA2606" s="581" t="s">
        <v>178</v>
      </c>
      <c r="AB2606" s="585">
        <v>47080</v>
      </c>
      <c r="AC2606" s="585" t="s">
        <v>164</v>
      </c>
      <c r="AD2606" s="585">
        <v>37458</v>
      </c>
      <c r="AE2606" s="587">
        <v>0.05</v>
      </c>
      <c r="AF2606" s="661" t="str">
        <f t="shared" si="283"/>
        <v>2019-LTK-FRD-F350-033-26</v>
      </c>
      <c r="AG2606" s="661" t="str">
        <f>IF(AND($Y2606&gt;=32,(AI2606="I"),(Y2606&lt;&gt;"~"),(COUNTIF($AN$1:$AN2606,$AN2606)=1)),"TRUE","FALSE")</f>
        <v>FALSE</v>
      </c>
      <c r="AH2606" s="661" t="str">
        <f>IF(AND($Y2606&gt;=22, (AI2606&lt;&gt;"I"),(Y2606&lt;&gt;"~"),(COUNTIF($AN$1:$AN2606,$AN2606)=1)),"TRUE","FALSE")</f>
        <v>FALSE</v>
      </c>
      <c r="AI2606" s="661" t="str">
        <f t="shared" si="285"/>
        <v>N/A</v>
      </c>
      <c r="AJ2606" s="662" t="str">
        <f t="shared" si="279"/>
        <v>F350-033</v>
      </c>
      <c r="AK2606" s="662" t="str">
        <f t="shared" si="280"/>
        <v>LTK</v>
      </c>
      <c r="AL2606" s="662" t="str">
        <f t="shared" si="281"/>
        <v>FRD</v>
      </c>
      <c r="AM2606" s="662" t="str">
        <f t="shared" si="284"/>
        <v>F350-Crew Cab XLT-4WD-6-8'-12000-6.2L FFV-8-W3B-613A-176-48-E85-Unleaded</v>
      </c>
      <c r="AN2606" s="662" t="str">
        <f t="shared" si="282"/>
        <v>2019-LTK-FRD-F350-033</v>
      </c>
    </row>
    <row r="2607" spans="1:40" s="572" customFormat="1" ht="15">
      <c r="A2607" s="570" t="s">
        <v>4626</v>
      </c>
      <c r="B2607" s="573" t="s">
        <v>4614</v>
      </c>
      <c r="C2607" s="573" t="s">
        <v>287</v>
      </c>
      <c r="D2607" s="578">
        <v>26</v>
      </c>
      <c r="E2607" s="573" t="s">
        <v>3374</v>
      </c>
      <c r="F2607" s="573" t="s">
        <v>187</v>
      </c>
      <c r="G2607" s="573" t="s">
        <v>271</v>
      </c>
      <c r="H2607" s="573">
        <v>2019</v>
      </c>
      <c r="I2607" s="573" t="s">
        <v>4503</v>
      </c>
      <c r="J2607" s="573" t="s">
        <v>3805</v>
      </c>
      <c r="K2607" s="573" t="s">
        <v>752</v>
      </c>
      <c r="L2607" s="573">
        <v>6</v>
      </c>
      <c r="M2607" s="573">
        <v>0</v>
      </c>
      <c r="N2607" s="573" t="s">
        <v>157</v>
      </c>
      <c r="O2607" s="573">
        <v>2</v>
      </c>
      <c r="P2607" s="573" t="s">
        <v>3846</v>
      </c>
      <c r="Q2607" s="571">
        <v>12000</v>
      </c>
      <c r="R2607" s="573" t="s">
        <v>4231</v>
      </c>
      <c r="S2607" s="573">
        <v>8</v>
      </c>
      <c r="T2607" s="573" t="s">
        <v>4532</v>
      </c>
      <c r="U2607" s="573" t="s">
        <v>4584</v>
      </c>
      <c r="V2607" s="573">
        <v>176</v>
      </c>
      <c r="W2607" s="573">
        <v>48</v>
      </c>
      <c r="X2607" s="571">
        <v>11500</v>
      </c>
      <c r="Y2607" s="569">
        <v>12</v>
      </c>
      <c r="Z2607" s="579" t="s">
        <v>728</v>
      </c>
      <c r="AA2607" s="579" t="s">
        <v>1523</v>
      </c>
      <c r="AB2607" s="584">
        <v>56650</v>
      </c>
      <c r="AC2607" s="584" t="s">
        <v>164</v>
      </c>
      <c r="AD2607" s="584">
        <v>45653</v>
      </c>
      <c r="AE2607" s="586">
        <v>0.05</v>
      </c>
      <c r="AF2607" s="661" t="str">
        <f t="shared" si="283"/>
        <v>2019-LTK-FRD-F350-034-26</v>
      </c>
      <c r="AG2607" s="661" t="str">
        <f>IF(AND($Y2607&gt;=32,(AI2607="I"),(Y2607&lt;&gt;"~"),(COUNTIF($AN$1:$AN2607,$AN2607)=1)),"TRUE","FALSE")</f>
        <v>FALSE</v>
      </c>
      <c r="AH2607" s="661" t="str">
        <f>IF(AND($Y2607&gt;=22, (AI2607&lt;&gt;"I"),(Y2607&lt;&gt;"~"),(COUNTIF($AN$1:$AN2607,$AN2607)=1)),"TRUE","FALSE")</f>
        <v>FALSE</v>
      </c>
      <c r="AI2607" s="661" t="str">
        <f t="shared" si="285"/>
        <v>N/A</v>
      </c>
      <c r="AJ2607" s="662" t="str">
        <f t="shared" si="279"/>
        <v>F350-034</v>
      </c>
      <c r="AK2607" s="662" t="str">
        <f t="shared" si="280"/>
        <v>LTK</v>
      </c>
      <c r="AL2607" s="662" t="str">
        <f t="shared" si="281"/>
        <v>FRD</v>
      </c>
      <c r="AM2607" s="662" t="str">
        <f t="shared" si="284"/>
        <v>F350-Crew Cab XLT-4WD-6-8'-12000-6.7L Diesel-8-W3B-613A-176-48-Diesel-BioDiesel</v>
      </c>
      <c r="AN2607" s="662" t="str">
        <f t="shared" si="282"/>
        <v>2019-LTK-FRD-F350-034</v>
      </c>
    </row>
    <row r="2608" spans="1:40" s="572" customFormat="1" ht="15">
      <c r="A2608" s="570" t="s">
        <v>4627</v>
      </c>
      <c r="B2608" s="569" t="s">
        <v>4608</v>
      </c>
      <c r="C2608" s="569" t="s">
        <v>280</v>
      </c>
      <c r="D2608" s="580">
        <v>27</v>
      </c>
      <c r="E2608" s="569" t="s">
        <v>3374</v>
      </c>
      <c r="F2608" s="569" t="s">
        <v>187</v>
      </c>
      <c r="G2608" s="569" t="s">
        <v>271</v>
      </c>
      <c r="H2608" s="569">
        <v>2019</v>
      </c>
      <c r="I2608" s="569" t="s">
        <v>4503</v>
      </c>
      <c r="J2608" s="569" t="s">
        <v>3805</v>
      </c>
      <c r="K2608" s="569" t="s">
        <v>752</v>
      </c>
      <c r="L2608" s="569">
        <v>6</v>
      </c>
      <c r="M2608" s="569">
        <v>0</v>
      </c>
      <c r="N2608" s="569" t="s">
        <v>157</v>
      </c>
      <c r="O2608" s="569">
        <v>2</v>
      </c>
      <c r="P2608" s="569" t="s">
        <v>4230</v>
      </c>
      <c r="Q2608" s="568">
        <v>12300</v>
      </c>
      <c r="R2608" s="569" t="s">
        <v>4235</v>
      </c>
      <c r="S2608" s="569">
        <v>8</v>
      </c>
      <c r="T2608" s="569" t="s">
        <v>4532</v>
      </c>
      <c r="U2608" s="569" t="s">
        <v>4584</v>
      </c>
      <c r="V2608" s="569">
        <v>160</v>
      </c>
      <c r="W2608" s="569">
        <v>34</v>
      </c>
      <c r="X2608" s="568">
        <v>10900</v>
      </c>
      <c r="Y2608" s="569">
        <v>12</v>
      </c>
      <c r="Z2608" s="581" t="s">
        <v>450</v>
      </c>
      <c r="AA2608" s="581" t="s">
        <v>178</v>
      </c>
      <c r="AB2608" s="585">
        <v>47335</v>
      </c>
      <c r="AC2608" s="585" t="s">
        <v>164</v>
      </c>
      <c r="AD2608" s="585">
        <v>36996.547368421059</v>
      </c>
      <c r="AE2608" s="587">
        <v>0.03</v>
      </c>
      <c r="AF2608" s="661" t="str">
        <f t="shared" si="283"/>
        <v>2019-LTK-FRD-F350-032-27</v>
      </c>
      <c r="AG2608" s="661" t="str">
        <f>IF(AND($Y2608&gt;=32,(AI2608="I"),(Y2608&lt;&gt;"~"),(COUNTIF($AN$1:$AN2608,$AN2608)=1)),"TRUE","FALSE")</f>
        <v>FALSE</v>
      </c>
      <c r="AH2608" s="661" t="str">
        <f>IF(AND($Y2608&gt;=22, (AI2608&lt;&gt;"I"),(Y2608&lt;&gt;"~"),(COUNTIF($AN$1:$AN2608,$AN2608)=1)),"TRUE","FALSE")</f>
        <v>FALSE</v>
      </c>
      <c r="AI2608" s="661" t="str">
        <f t="shared" si="285"/>
        <v>N/A</v>
      </c>
      <c r="AJ2608" s="662" t="str">
        <f t="shared" si="279"/>
        <v>F350-032</v>
      </c>
      <c r="AK2608" s="662" t="str">
        <f t="shared" si="280"/>
        <v>LTK</v>
      </c>
      <c r="AL2608" s="662" t="str">
        <f t="shared" si="281"/>
        <v>FRD</v>
      </c>
      <c r="AM2608" s="662" t="str">
        <f t="shared" si="284"/>
        <v>F350-Crew Cab XLT-4WD-6-6'9"-12300-6.2L FFV-8-W3B-613A-160-34-E85-Unleaded</v>
      </c>
      <c r="AN2608" s="662" t="str">
        <f t="shared" si="282"/>
        <v>2019-LTK-FRD-F350-032</v>
      </c>
    </row>
    <row r="2609" spans="1:40" s="572" customFormat="1" ht="15">
      <c r="A2609" s="570" t="s">
        <v>4628</v>
      </c>
      <c r="B2609" s="573" t="s">
        <v>4610</v>
      </c>
      <c r="C2609" s="573" t="s">
        <v>280</v>
      </c>
      <c r="D2609" s="578">
        <v>27</v>
      </c>
      <c r="E2609" s="573" t="s">
        <v>3374</v>
      </c>
      <c r="F2609" s="573" t="s">
        <v>187</v>
      </c>
      <c r="G2609" s="573" t="s">
        <v>271</v>
      </c>
      <c r="H2609" s="573">
        <v>2019</v>
      </c>
      <c r="I2609" s="573" t="s">
        <v>4503</v>
      </c>
      <c r="J2609" s="573" t="s">
        <v>3805</v>
      </c>
      <c r="K2609" s="573" t="s">
        <v>752</v>
      </c>
      <c r="L2609" s="573">
        <v>6</v>
      </c>
      <c r="M2609" s="573">
        <v>0</v>
      </c>
      <c r="N2609" s="573" t="s">
        <v>157</v>
      </c>
      <c r="O2609" s="573">
        <v>2</v>
      </c>
      <c r="P2609" s="573" t="s">
        <v>4230</v>
      </c>
      <c r="Q2609" s="571">
        <v>12300</v>
      </c>
      <c r="R2609" s="573" t="s">
        <v>4231</v>
      </c>
      <c r="S2609" s="573">
        <v>8</v>
      </c>
      <c r="T2609" s="573" t="s">
        <v>4532</v>
      </c>
      <c r="U2609" s="573" t="s">
        <v>4584</v>
      </c>
      <c r="V2609" s="573">
        <v>160</v>
      </c>
      <c r="W2609" s="573">
        <v>34</v>
      </c>
      <c r="X2609" s="571">
        <v>11500</v>
      </c>
      <c r="Y2609" s="569">
        <v>12</v>
      </c>
      <c r="Z2609" s="579" t="s">
        <v>728</v>
      </c>
      <c r="AA2609" s="579" t="s">
        <v>1523</v>
      </c>
      <c r="AB2609" s="584">
        <v>56455</v>
      </c>
      <c r="AC2609" s="584" t="s">
        <v>164</v>
      </c>
      <c r="AD2609" s="584">
        <v>45188.736842105267</v>
      </c>
      <c r="AE2609" s="586">
        <v>0.03</v>
      </c>
      <c r="AF2609" s="661" t="str">
        <f t="shared" si="283"/>
        <v>2019-LTK-FRD-F350-083-27</v>
      </c>
      <c r="AG2609" s="661" t="str">
        <f>IF(AND($Y2609&gt;=32,(AI2609="I"),(Y2609&lt;&gt;"~"),(COUNTIF($AN$1:$AN2609,$AN2609)=1)),"TRUE","FALSE")</f>
        <v>FALSE</v>
      </c>
      <c r="AH2609" s="661" t="str">
        <f>IF(AND($Y2609&gt;=22, (AI2609&lt;&gt;"I"),(Y2609&lt;&gt;"~"),(COUNTIF($AN$1:$AN2609,$AN2609)=1)),"TRUE","FALSE")</f>
        <v>FALSE</v>
      </c>
      <c r="AI2609" s="661" t="str">
        <f t="shared" si="285"/>
        <v>N/A</v>
      </c>
      <c r="AJ2609" s="662" t="str">
        <f t="shared" si="279"/>
        <v>F350-083</v>
      </c>
      <c r="AK2609" s="662" t="str">
        <f t="shared" si="280"/>
        <v>LTK</v>
      </c>
      <c r="AL2609" s="662" t="str">
        <f t="shared" si="281"/>
        <v>FRD</v>
      </c>
      <c r="AM2609" s="662" t="str">
        <f t="shared" si="284"/>
        <v>F350-Crew Cab XLT-4WD-6-6'9"-12300-6.7L Diesel-8-W3B-613A-160-34-Diesel-BioDiesel</v>
      </c>
      <c r="AN2609" s="662" t="str">
        <f t="shared" si="282"/>
        <v>2019-LTK-FRD-F350-083</v>
      </c>
    </row>
    <row r="2610" spans="1:40" s="572" customFormat="1" ht="15">
      <c r="A2610" s="570" t="s">
        <v>4629</v>
      </c>
      <c r="B2610" s="569" t="s">
        <v>4612</v>
      </c>
      <c r="C2610" s="569" t="s">
        <v>280</v>
      </c>
      <c r="D2610" s="580">
        <v>27</v>
      </c>
      <c r="E2610" s="569" t="s">
        <v>3374</v>
      </c>
      <c r="F2610" s="569" t="s">
        <v>187</v>
      </c>
      <c r="G2610" s="569" t="s">
        <v>271</v>
      </c>
      <c r="H2610" s="569">
        <v>2019</v>
      </c>
      <c r="I2610" s="569" t="s">
        <v>4503</v>
      </c>
      <c r="J2610" s="569" t="s">
        <v>3805</v>
      </c>
      <c r="K2610" s="569" t="s">
        <v>752</v>
      </c>
      <c r="L2610" s="569">
        <v>6</v>
      </c>
      <c r="M2610" s="569">
        <v>0</v>
      </c>
      <c r="N2610" s="569" t="s">
        <v>157</v>
      </c>
      <c r="O2610" s="569">
        <v>2</v>
      </c>
      <c r="P2610" s="569" t="s">
        <v>3846</v>
      </c>
      <c r="Q2610" s="568">
        <v>12000</v>
      </c>
      <c r="R2610" s="569" t="s">
        <v>4235</v>
      </c>
      <c r="S2610" s="569">
        <v>8</v>
      </c>
      <c r="T2610" s="569" t="s">
        <v>4532</v>
      </c>
      <c r="U2610" s="569" t="s">
        <v>4584</v>
      </c>
      <c r="V2610" s="569">
        <v>176</v>
      </c>
      <c r="W2610" s="569">
        <v>48</v>
      </c>
      <c r="X2610" s="568">
        <v>11300</v>
      </c>
      <c r="Y2610" s="569">
        <v>12</v>
      </c>
      <c r="Z2610" s="581" t="s">
        <v>450</v>
      </c>
      <c r="AA2610" s="581" t="s">
        <v>178</v>
      </c>
      <c r="AB2610" s="585">
        <v>47530</v>
      </c>
      <c r="AC2610" s="585" t="s">
        <v>164</v>
      </c>
      <c r="AD2610" s="585">
        <v>37177.600000000006</v>
      </c>
      <c r="AE2610" s="587">
        <v>0.03</v>
      </c>
      <c r="AF2610" s="661" t="str">
        <f t="shared" si="283"/>
        <v>2019-LTK-FRD-F350-033-27</v>
      </c>
      <c r="AG2610" s="661" t="str">
        <f>IF(AND($Y2610&gt;=32,(AI2610="I"),(Y2610&lt;&gt;"~"),(COUNTIF($AN$1:$AN2610,$AN2610)=1)),"TRUE","FALSE")</f>
        <v>FALSE</v>
      </c>
      <c r="AH2610" s="661" t="str">
        <f>IF(AND($Y2610&gt;=22, (AI2610&lt;&gt;"I"),(Y2610&lt;&gt;"~"),(COUNTIF($AN$1:$AN2610,$AN2610)=1)),"TRUE","FALSE")</f>
        <v>FALSE</v>
      </c>
      <c r="AI2610" s="661" t="str">
        <f t="shared" si="285"/>
        <v>N/A</v>
      </c>
      <c r="AJ2610" s="662" t="str">
        <f t="shared" si="279"/>
        <v>F350-033</v>
      </c>
      <c r="AK2610" s="662" t="str">
        <f t="shared" si="280"/>
        <v>LTK</v>
      </c>
      <c r="AL2610" s="662" t="str">
        <f t="shared" si="281"/>
        <v>FRD</v>
      </c>
      <c r="AM2610" s="662" t="str">
        <f t="shared" si="284"/>
        <v>F350-Crew Cab XLT-4WD-6-8'-12000-6.2L FFV-8-W3B-613A-176-48-E85-Unleaded</v>
      </c>
      <c r="AN2610" s="662" t="str">
        <f t="shared" si="282"/>
        <v>2019-LTK-FRD-F350-033</v>
      </c>
    </row>
    <row r="2611" spans="1:40" s="572" customFormat="1" ht="15">
      <c r="A2611" s="570" t="s">
        <v>4630</v>
      </c>
      <c r="B2611" s="573" t="s">
        <v>4614</v>
      </c>
      <c r="C2611" s="573" t="s">
        <v>280</v>
      </c>
      <c r="D2611" s="578">
        <v>27</v>
      </c>
      <c r="E2611" s="573" t="s">
        <v>3374</v>
      </c>
      <c r="F2611" s="573" t="s">
        <v>187</v>
      </c>
      <c r="G2611" s="573" t="s">
        <v>271</v>
      </c>
      <c r="H2611" s="573">
        <v>2019</v>
      </c>
      <c r="I2611" s="573" t="s">
        <v>4503</v>
      </c>
      <c r="J2611" s="573" t="s">
        <v>3805</v>
      </c>
      <c r="K2611" s="573" t="s">
        <v>752</v>
      </c>
      <c r="L2611" s="573">
        <v>6</v>
      </c>
      <c r="M2611" s="573">
        <v>0</v>
      </c>
      <c r="N2611" s="573" t="s">
        <v>157</v>
      </c>
      <c r="O2611" s="573">
        <v>2</v>
      </c>
      <c r="P2611" s="573" t="s">
        <v>3846</v>
      </c>
      <c r="Q2611" s="571">
        <v>12000</v>
      </c>
      <c r="R2611" s="573" t="s">
        <v>4231</v>
      </c>
      <c r="S2611" s="573">
        <v>8</v>
      </c>
      <c r="T2611" s="573" t="s">
        <v>4532</v>
      </c>
      <c r="U2611" s="573" t="s">
        <v>4584</v>
      </c>
      <c r="V2611" s="573">
        <v>176</v>
      </c>
      <c r="W2611" s="573">
        <v>48</v>
      </c>
      <c r="X2611" s="571">
        <v>11500</v>
      </c>
      <c r="Y2611" s="569">
        <v>12</v>
      </c>
      <c r="Z2611" s="579" t="s">
        <v>728</v>
      </c>
      <c r="AA2611" s="579" t="s">
        <v>1523</v>
      </c>
      <c r="AB2611" s="584">
        <v>56650</v>
      </c>
      <c r="AC2611" s="584" t="s">
        <v>164</v>
      </c>
      <c r="AD2611" s="584">
        <v>45369.789473684214</v>
      </c>
      <c r="AE2611" s="586">
        <v>0.03</v>
      </c>
      <c r="AF2611" s="661" t="str">
        <f t="shared" si="283"/>
        <v>2019-LTK-FRD-F350-034-27</v>
      </c>
      <c r="AG2611" s="661" t="str">
        <f>IF(AND($Y2611&gt;=32,(AI2611="I"),(Y2611&lt;&gt;"~"),(COUNTIF($AN$1:$AN2611,$AN2611)=1)),"TRUE","FALSE")</f>
        <v>FALSE</v>
      </c>
      <c r="AH2611" s="661" t="str">
        <f>IF(AND($Y2611&gt;=22, (AI2611&lt;&gt;"I"),(Y2611&lt;&gt;"~"),(COUNTIF($AN$1:$AN2611,$AN2611)=1)),"TRUE","FALSE")</f>
        <v>FALSE</v>
      </c>
      <c r="AI2611" s="661" t="str">
        <f t="shared" si="285"/>
        <v>N/A</v>
      </c>
      <c r="AJ2611" s="662" t="str">
        <f t="shared" si="279"/>
        <v>F350-034</v>
      </c>
      <c r="AK2611" s="662" t="str">
        <f t="shared" si="280"/>
        <v>LTK</v>
      </c>
      <c r="AL2611" s="662" t="str">
        <f t="shared" si="281"/>
        <v>FRD</v>
      </c>
      <c r="AM2611" s="662" t="str">
        <f t="shared" si="284"/>
        <v>F350-Crew Cab XLT-4WD-6-8'-12000-6.7L Diesel-8-W3B-613A-176-48-Diesel-BioDiesel</v>
      </c>
      <c r="AN2611" s="662" t="str">
        <f t="shared" si="282"/>
        <v>2019-LTK-FRD-F350-034</v>
      </c>
    </row>
    <row r="2612" spans="1:40" s="572" customFormat="1" ht="15">
      <c r="A2612" s="570" t="s">
        <v>4631</v>
      </c>
      <c r="B2612" s="569" t="s">
        <v>4616</v>
      </c>
      <c r="C2612" s="569" t="s">
        <v>280</v>
      </c>
      <c r="D2612" s="580">
        <v>27</v>
      </c>
      <c r="E2612" s="569" t="s">
        <v>3374</v>
      </c>
      <c r="F2612" s="569" t="s">
        <v>187</v>
      </c>
      <c r="G2612" s="569" t="s">
        <v>271</v>
      </c>
      <c r="H2612" s="569">
        <v>2019</v>
      </c>
      <c r="I2612" s="569" t="s">
        <v>4503</v>
      </c>
      <c r="J2612" s="569" t="s">
        <v>3805</v>
      </c>
      <c r="K2612" s="569" t="s">
        <v>752</v>
      </c>
      <c r="L2612" s="569">
        <v>6</v>
      </c>
      <c r="M2612" s="569">
        <v>0</v>
      </c>
      <c r="N2612" s="569" t="s">
        <v>157</v>
      </c>
      <c r="O2612" s="569">
        <v>2</v>
      </c>
      <c r="P2612" s="569" t="s">
        <v>3846</v>
      </c>
      <c r="Q2612" s="568">
        <v>12500</v>
      </c>
      <c r="R2612" s="569" t="s">
        <v>4235</v>
      </c>
      <c r="S2612" s="569">
        <v>8</v>
      </c>
      <c r="T2612" s="569" t="s">
        <v>4532</v>
      </c>
      <c r="U2612" s="569" t="s">
        <v>4584</v>
      </c>
      <c r="V2612" s="569">
        <v>176</v>
      </c>
      <c r="W2612" s="569">
        <v>34</v>
      </c>
      <c r="X2612" s="568">
        <v>11300</v>
      </c>
      <c r="Y2612" s="569">
        <v>12</v>
      </c>
      <c r="Z2612" s="581" t="s">
        <v>450</v>
      </c>
      <c r="AA2612" s="581" t="s">
        <v>178</v>
      </c>
      <c r="AB2612" s="585">
        <v>47530</v>
      </c>
      <c r="AC2612" s="585" t="s">
        <v>164</v>
      </c>
      <c r="AD2612" s="585">
        <v>37177.600000000006</v>
      </c>
      <c r="AE2612" s="587">
        <v>0.03</v>
      </c>
      <c r="AF2612" s="661" t="str">
        <f t="shared" si="283"/>
        <v>2019-LTK-FRD-F350-035-27</v>
      </c>
      <c r="AG2612" s="661" t="str">
        <f>IF(AND($Y2612&gt;=32,(AI2612="I"),(Y2612&lt;&gt;"~"),(COUNTIF($AN$1:$AN2612,$AN2612)=1)),"TRUE","FALSE")</f>
        <v>FALSE</v>
      </c>
      <c r="AH2612" s="661" t="str">
        <f>IF(AND($Y2612&gt;=22, (AI2612&lt;&gt;"I"),(Y2612&lt;&gt;"~"),(COUNTIF($AN$1:$AN2612,$AN2612)=1)),"TRUE","FALSE")</f>
        <v>FALSE</v>
      </c>
      <c r="AI2612" s="661" t="str">
        <f t="shared" si="285"/>
        <v>N/A</v>
      </c>
      <c r="AJ2612" s="662" t="str">
        <f t="shared" si="279"/>
        <v>F350-035</v>
      </c>
      <c r="AK2612" s="662" t="str">
        <f t="shared" si="280"/>
        <v>LTK</v>
      </c>
      <c r="AL2612" s="662" t="str">
        <f t="shared" si="281"/>
        <v>FRD</v>
      </c>
      <c r="AM2612" s="662" t="str">
        <f t="shared" si="284"/>
        <v>F350-Crew Cab XLT-4WD-6-8'-12500-6.2L FFV-8-W3B-613A-176-34-E85-Unleaded</v>
      </c>
      <c r="AN2612" s="662" t="str">
        <f t="shared" si="282"/>
        <v>2019-LTK-FRD-F350-035</v>
      </c>
    </row>
    <row r="2613" spans="1:40" s="572" customFormat="1" ht="15">
      <c r="A2613" s="570" t="s">
        <v>4632</v>
      </c>
      <c r="B2613" s="573" t="s">
        <v>4633</v>
      </c>
      <c r="C2613" s="573" t="s">
        <v>269</v>
      </c>
      <c r="D2613" s="578" t="s">
        <v>270</v>
      </c>
      <c r="E2613" s="573" t="s">
        <v>3374</v>
      </c>
      <c r="F2613" s="573" t="s">
        <v>187</v>
      </c>
      <c r="G2613" s="573" t="s">
        <v>271</v>
      </c>
      <c r="H2613" s="573">
        <v>2019</v>
      </c>
      <c r="I2613" s="573" t="s">
        <v>4503</v>
      </c>
      <c r="J2613" s="573" t="s">
        <v>4634</v>
      </c>
      <c r="K2613" s="573" t="s">
        <v>3377</v>
      </c>
      <c r="L2613" s="573">
        <v>6</v>
      </c>
      <c r="M2613" s="573">
        <v>0</v>
      </c>
      <c r="N2613" s="573" t="s">
        <v>157</v>
      </c>
      <c r="O2613" s="573">
        <v>2</v>
      </c>
      <c r="P2613" s="573" t="s">
        <v>3846</v>
      </c>
      <c r="Q2613" s="571">
        <v>12500</v>
      </c>
      <c r="R2613" s="573" t="s">
        <v>4235</v>
      </c>
      <c r="S2613" s="573">
        <v>8</v>
      </c>
      <c r="T2613" s="573" t="s">
        <v>4557</v>
      </c>
      <c r="U2613" s="573" t="s">
        <v>4635</v>
      </c>
      <c r="V2613" s="573">
        <v>176</v>
      </c>
      <c r="W2613" s="573">
        <v>34</v>
      </c>
      <c r="X2613" s="571">
        <v>14000</v>
      </c>
      <c r="Y2613" s="569">
        <v>13</v>
      </c>
      <c r="Z2613" s="579" t="s">
        <v>450</v>
      </c>
      <c r="AA2613" s="579" t="s">
        <v>178</v>
      </c>
      <c r="AB2613" s="584">
        <v>46000</v>
      </c>
      <c r="AC2613" s="584" t="s">
        <v>164</v>
      </c>
      <c r="AD2613" s="584">
        <v>35553.389473684212</v>
      </c>
      <c r="AE2613" s="586">
        <v>0.03</v>
      </c>
      <c r="AF2613" s="661" t="str">
        <f t="shared" si="283"/>
        <v>2019-LTK-FRD-F350-019-05</v>
      </c>
      <c r="AG2613" s="661" t="str">
        <f>IF(AND($Y2613&gt;=32,(AI2613="I"),(Y2613&lt;&gt;"~"),(COUNTIF($AN$1:$AN2613,$AN2613)=1)),"TRUE","FALSE")</f>
        <v>FALSE</v>
      </c>
      <c r="AH2613" s="661" t="str">
        <f>IF(AND($Y2613&gt;=22, (AI2613&lt;&gt;"I"),(Y2613&lt;&gt;"~"),(COUNTIF($AN$1:$AN2613,$AN2613)=1)),"TRUE","FALSE")</f>
        <v>FALSE</v>
      </c>
      <c r="AI2613" s="661" t="str">
        <f t="shared" si="285"/>
        <v>N/A</v>
      </c>
      <c r="AJ2613" s="662" t="str">
        <f t="shared" si="279"/>
        <v>F350-019</v>
      </c>
      <c r="AK2613" s="662" t="str">
        <f t="shared" si="280"/>
        <v>LTK</v>
      </c>
      <c r="AL2613" s="662" t="str">
        <f t="shared" si="281"/>
        <v>FRD</v>
      </c>
      <c r="AM2613" s="662" t="str">
        <f t="shared" si="284"/>
        <v>F350-Crew Cab XLT DRW-2WD-6-8'-12500-6.2L FFV-8-W3C-623A-176-34-E85-Unleaded</v>
      </c>
      <c r="AN2613" s="662" t="str">
        <f t="shared" si="282"/>
        <v>2019-LTK-FRD-F350-019</v>
      </c>
    </row>
    <row r="2614" spans="1:40" s="572" customFormat="1" ht="15">
      <c r="A2614" s="570" t="s">
        <v>4636</v>
      </c>
      <c r="B2614" s="569" t="s">
        <v>4637</v>
      </c>
      <c r="C2614" s="569" t="s">
        <v>269</v>
      </c>
      <c r="D2614" s="580" t="s">
        <v>270</v>
      </c>
      <c r="E2614" s="569" t="s">
        <v>3374</v>
      </c>
      <c r="F2614" s="569" t="s">
        <v>187</v>
      </c>
      <c r="G2614" s="569" t="s">
        <v>271</v>
      </c>
      <c r="H2614" s="569">
        <v>2019</v>
      </c>
      <c r="I2614" s="569" t="s">
        <v>4503</v>
      </c>
      <c r="J2614" s="569" t="s">
        <v>4634</v>
      </c>
      <c r="K2614" s="569" t="s">
        <v>3377</v>
      </c>
      <c r="L2614" s="569">
        <v>6</v>
      </c>
      <c r="M2614" s="569">
        <v>0</v>
      </c>
      <c r="N2614" s="569" t="s">
        <v>157</v>
      </c>
      <c r="O2614" s="569">
        <v>2</v>
      </c>
      <c r="P2614" s="569" t="s">
        <v>3846</v>
      </c>
      <c r="Q2614" s="568">
        <v>12500</v>
      </c>
      <c r="R2614" s="569" t="s">
        <v>4235</v>
      </c>
      <c r="S2614" s="569">
        <v>8</v>
      </c>
      <c r="T2614" s="569" t="s">
        <v>4557</v>
      </c>
      <c r="U2614" s="569" t="s">
        <v>4635</v>
      </c>
      <c r="V2614" s="569">
        <v>176</v>
      </c>
      <c r="W2614" s="569">
        <v>48</v>
      </c>
      <c r="X2614" s="568">
        <v>14000</v>
      </c>
      <c r="Y2614" s="569">
        <v>13</v>
      </c>
      <c r="Z2614" s="581" t="s">
        <v>450</v>
      </c>
      <c r="AA2614" s="581" t="s">
        <v>178</v>
      </c>
      <c r="AB2614" s="585">
        <v>46000</v>
      </c>
      <c r="AC2614" s="585" t="s">
        <v>164</v>
      </c>
      <c r="AD2614" s="585">
        <v>35553.389473684212</v>
      </c>
      <c r="AE2614" s="587">
        <v>0.03</v>
      </c>
      <c r="AF2614" s="661" t="str">
        <f t="shared" si="283"/>
        <v>2019-LTK-FRD-F350-020-05</v>
      </c>
      <c r="AG2614" s="661" t="str">
        <f>IF(AND($Y2614&gt;=32,(AI2614="I"),(Y2614&lt;&gt;"~"),(COUNTIF($AN$1:$AN2614,$AN2614)=1)),"TRUE","FALSE")</f>
        <v>FALSE</v>
      </c>
      <c r="AH2614" s="661" t="str">
        <f>IF(AND($Y2614&gt;=22, (AI2614&lt;&gt;"I"),(Y2614&lt;&gt;"~"),(COUNTIF($AN$1:$AN2614,$AN2614)=1)),"TRUE","FALSE")</f>
        <v>FALSE</v>
      </c>
      <c r="AI2614" s="661" t="str">
        <f t="shared" si="285"/>
        <v>N/A</v>
      </c>
      <c r="AJ2614" s="662" t="str">
        <f t="shared" si="279"/>
        <v>F350-020</v>
      </c>
      <c r="AK2614" s="662" t="str">
        <f t="shared" si="280"/>
        <v>LTK</v>
      </c>
      <c r="AL2614" s="662" t="str">
        <f t="shared" si="281"/>
        <v>FRD</v>
      </c>
      <c r="AM2614" s="662" t="str">
        <f t="shared" si="284"/>
        <v>F350-Crew Cab XLT DRW-2WD-6-8'-12500-6.2L FFV-8-W3C-623A-176-48-E85-Unleaded</v>
      </c>
      <c r="AN2614" s="662" t="str">
        <f t="shared" si="282"/>
        <v>2019-LTK-FRD-F350-020</v>
      </c>
    </row>
    <row r="2615" spans="1:40" s="572" customFormat="1" ht="15">
      <c r="A2615" s="570" t="s">
        <v>4638</v>
      </c>
      <c r="B2615" s="573" t="s">
        <v>4639</v>
      </c>
      <c r="C2615" s="573" t="s">
        <v>269</v>
      </c>
      <c r="D2615" s="578" t="s">
        <v>270</v>
      </c>
      <c r="E2615" s="573" t="s">
        <v>3374</v>
      </c>
      <c r="F2615" s="573" t="s">
        <v>187</v>
      </c>
      <c r="G2615" s="573" t="s">
        <v>271</v>
      </c>
      <c r="H2615" s="573">
        <v>2019</v>
      </c>
      <c r="I2615" s="573" t="s">
        <v>4503</v>
      </c>
      <c r="J2615" s="573" t="s">
        <v>4634</v>
      </c>
      <c r="K2615" s="573" t="s">
        <v>3377</v>
      </c>
      <c r="L2615" s="573">
        <v>6</v>
      </c>
      <c r="M2615" s="573">
        <v>0</v>
      </c>
      <c r="N2615" s="573" t="s">
        <v>157</v>
      </c>
      <c r="O2615" s="573">
        <v>2</v>
      </c>
      <c r="P2615" s="573" t="s">
        <v>3846</v>
      </c>
      <c r="Q2615" s="571">
        <v>12500</v>
      </c>
      <c r="R2615" s="573" t="s">
        <v>4231</v>
      </c>
      <c r="S2615" s="573">
        <v>8</v>
      </c>
      <c r="T2615" s="573" t="s">
        <v>4557</v>
      </c>
      <c r="U2615" s="573" t="s">
        <v>4635</v>
      </c>
      <c r="V2615" s="573">
        <v>176</v>
      </c>
      <c r="W2615" s="573">
        <v>48</v>
      </c>
      <c r="X2615" s="571">
        <v>14000</v>
      </c>
      <c r="Y2615" s="569">
        <v>13</v>
      </c>
      <c r="Z2615" s="579" t="s">
        <v>728</v>
      </c>
      <c r="AA2615" s="579" t="s">
        <v>1523</v>
      </c>
      <c r="AB2615" s="584">
        <v>55120</v>
      </c>
      <c r="AC2615" s="584" t="s">
        <v>164</v>
      </c>
      <c r="AD2615" s="584">
        <v>43745.578947368427</v>
      </c>
      <c r="AE2615" s="586">
        <v>0.03</v>
      </c>
      <c r="AF2615" s="661" t="str">
        <f t="shared" si="283"/>
        <v>2019-LTK-FRD-F350-021-05</v>
      </c>
      <c r="AG2615" s="661" t="str">
        <f>IF(AND($Y2615&gt;=32,(AI2615="I"),(Y2615&lt;&gt;"~"),(COUNTIF($AN$1:$AN2615,$AN2615)=1)),"TRUE","FALSE")</f>
        <v>FALSE</v>
      </c>
      <c r="AH2615" s="661" t="str">
        <f>IF(AND($Y2615&gt;=22, (AI2615&lt;&gt;"I"),(Y2615&lt;&gt;"~"),(COUNTIF($AN$1:$AN2615,$AN2615)=1)),"TRUE","FALSE")</f>
        <v>FALSE</v>
      </c>
      <c r="AI2615" s="661" t="str">
        <f t="shared" si="285"/>
        <v>N/A</v>
      </c>
      <c r="AJ2615" s="662" t="str">
        <f t="shared" si="279"/>
        <v>F350-021</v>
      </c>
      <c r="AK2615" s="662" t="str">
        <f t="shared" si="280"/>
        <v>LTK</v>
      </c>
      <c r="AL2615" s="662" t="str">
        <f t="shared" si="281"/>
        <v>FRD</v>
      </c>
      <c r="AM2615" s="662" t="str">
        <f t="shared" si="284"/>
        <v>F350-Crew Cab XLT DRW-2WD-6-8'-12500-6.7L Diesel-8-W3C-623A-176-48-Diesel-BioDiesel</v>
      </c>
      <c r="AN2615" s="662" t="str">
        <f t="shared" si="282"/>
        <v>2019-LTK-FRD-F350-021</v>
      </c>
    </row>
    <row r="2616" spans="1:40" s="572" customFormat="1" ht="15">
      <c r="A2616" s="570" t="s">
        <v>4640</v>
      </c>
      <c r="B2616" s="569" t="s">
        <v>4637</v>
      </c>
      <c r="C2616" s="569" t="s">
        <v>278</v>
      </c>
      <c r="D2616" s="580">
        <v>15</v>
      </c>
      <c r="E2616" s="569" t="s">
        <v>3374</v>
      </c>
      <c r="F2616" s="569" t="s">
        <v>187</v>
      </c>
      <c r="G2616" s="569" t="s">
        <v>271</v>
      </c>
      <c r="H2616" s="569">
        <v>2019</v>
      </c>
      <c r="I2616" s="569" t="s">
        <v>4503</v>
      </c>
      <c r="J2616" s="569" t="s">
        <v>4634</v>
      </c>
      <c r="K2616" s="569" t="s">
        <v>3377</v>
      </c>
      <c r="L2616" s="569">
        <v>6</v>
      </c>
      <c r="M2616" s="569">
        <v>0</v>
      </c>
      <c r="N2616" s="569" t="s">
        <v>157</v>
      </c>
      <c r="O2616" s="569">
        <v>2</v>
      </c>
      <c r="P2616" s="569" t="s">
        <v>3846</v>
      </c>
      <c r="Q2616" s="568">
        <v>12500</v>
      </c>
      <c r="R2616" s="569" t="s">
        <v>4235</v>
      </c>
      <c r="S2616" s="569">
        <v>8</v>
      </c>
      <c r="T2616" s="569" t="s">
        <v>4557</v>
      </c>
      <c r="U2616" s="569" t="s">
        <v>4635</v>
      </c>
      <c r="V2616" s="569">
        <v>176</v>
      </c>
      <c r="W2616" s="569">
        <v>48</v>
      </c>
      <c r="X2616" s="568">
        <v>14000</v>
      </c>
      <c r="Y2616" s="569">
        <v>13</v>
      </c>
      <c r="Z2616" s="581" t="s">
        <v>450</v>
      </c>
      <c r="AA2616" s="581" t="s">
        <v>178</v>
      </c>
      <c r="AB2616" s="585">
        <v>46000</v>
      </c>
      <c r="AC2616" s="585" t="s">
        <v>164</v>
      </c>
      <c r="AD2616" s="585">
        <v>35750</v>
      </c>
      <c r="AE2616" s="587">
        <v>0.01</v>
      </c>
      <c r="AF2616" s="661" t="str">
        <f t="shared" si="283"/>
        <v>2019-LTK-FRD-F350-020-15</v>
      </c>
      <c r="AG2616" s="661" t="str">
        <f>IF(AND($Y2616&gt;=32,(AI2616="I"),(Y2616&lt;&gt;"~"),(COUNTIF($AN$1:$AN2616,$AN2616)=1)),"TRUE","FALSE")</f>
        <v>FALSE</v>
      </c>
      <c r="AH2616" s="661" t="str">
        <f>IF(AND($Y2616&gt;=22, (AI2616&lt;&gt;"I"),(Y2616&lt;&gt;"~"),(COUNTIF($AN$1:$AN2616,$AN2616)=1)),"TRUE","FALSE")</f>
        <v>FALSE</v>
      </c>
      <c r="AI2616" s="661" t="str">
        <f t="shared" si="285"/>
        <v>N/A</v>
      </c>
      <c r="AJ2616" s="662" t="str">
        <f t="shared" si="279"/>
        <v>F350-020</v>
      </c>
      <c r="AK2616" s="662" t="str">
        <f t="shared" si="280"/>
        <v>LTK</v>
      </c>
      <c r="AL2616" s="662" t="str">
        <f t="shared" si="281"/>
        <v>FRD</v>
      </c>
      <c r="AM2616" s="662" t="str">
        <f t="shared" si="284"/>
        <v>F350-Crew Cab XLT DRW-2WD-6-8'-12500-6.2L FFV-8-W3C-623A-176-48-E85-Unleaded</v>
      </c>
      <c r="AN2616" s="662" t="str">
        <f t="shared" si="282"/>
        <v>2019-LTK-FRD-F350-020</v>
      </c>
    </row>
    <row r="2617" spans="1:40" s="572" customFormat="1" ht="15">
      <c r="A2617" s="570" t="s">
        <v>4641</v>
      </c>
      <c r="B2617" s="573" t="s">
        <v>4639</v>
      </c>
      <c r="C2617" s="573" t="s">
        <v>278</v>
      </c>
      <c r="D2617" s="578">
        <v>15</v>
      </c>
      <c r="E2617" s="573" t="s">
        <v>3374</v>
      </c>
      <c r="F2617" s="573" t="s">
        <v>187</v>
      </c>
      <c r="G2617" s="573" t="s">
        <v>271</v>
      </c>
      <c r="H2617" s="573">
        <v>2019</v>
      </c>
      <c r="I2617" s="573" t="s">
        <v>4503</v>
      </c>
      <c r="J2617" s="573" t="s">
        <v>4634</v>
      </c>
      <c r="K2617" s="573" t="s">
        <v>3377</v>
      </c>
      <c r="L2617" s="573">
        <v>6</v>
      </c>
      <c r="M2617" s="573">
        <v>0</v>
      </c>
      <c r="N2617" s="573" t="s">
        <v>157</v>
      </c>
      <c r="O2617" s="573">
        <v>2</v>
      </c>
      <c r="P2617" s="573" t="s">
        <v>3846</v>
      </c>
      <c r="Q2617" s="571">
        <v>12500</v>
      </c>
      <c r="R2617" s="573" t="s">
        <v>4231</v>
      </c>
      <c r="S2617" s="573">
        <v>8</v>
      </c>
      <c r="T2617" s="573" t="s">
        <v>4557</v>
      </c>
      <c r="U2617" s="573" t="s">
        <v>4635</v>
      </c>
      <c r="V2617" s="573">
        <v>176</v>
      </c>
      <c r="W2617" s="573">
        <v>48</v>
      </c>
      <c r="X2617" s="571">
        <v>14000</v>
      </c>
      <c r="Y2617" s="569">
        <v>13</v>
      </c>
      <c r="Z2617" s="579" t="s">
        <v>728</v>
      </c>
      <c r="AA2617" s="579" t="s">
        <v>1523</v>
      </c>
      <c r="AB2617" s="584">
        <v>55120</v>
      </c>
      <c r="AC2617" s="584" t="s">
        <v>164</v>
      </c>
      <c r="AD2617" s="584">
        <v>44100</v>
      </c>
      <c r="AE2617" s="586">
        <v>0.01</v>
      </c>
      <c r="AF2617" s="661" t="str">
        <f t="shared" si="283"/>
        <v>2019-LTK-FRD-F350-021-15</v>
      </c>
      <c r="AG2617" s="661" t="str">
        <f>IF(AND($Y2617&gt;=32,(AI2617="I"),(Y2617&lt;&gt;"~"),(COUNTIF($AN$1:$AN2617,$AN2617)=1)),"TRUE","FALSE")</f>
        <v>FALSE</v>
      </c>
      <c r="AH2617" s="661" t="str">
        <f>IF(AND($Y2617&gt;=22, (AI2617&lt;&gt;"I"),(Y2617&lt;&gt;"~"),(COUNTIF($AN$1:$AN2617,$AN2617)=1)),"TRUE","FALSE")</f>
        <v>FALSE</v>
      </c>
      <c r="AI2617" s="661" t="str">
        <f t="shared" si="285"/>
        <v>N/A</v>
      </c>
      <c r="AJ2617" s="662" t="str">
        <f t="shared" si="279"/>
        <v>F350-021</v>
      </c>
      <c r="AK2617" s="662" t="str">
        <f t="shared" si="280"/>
        <v>LTK</v>
      </c>
      <c r="AL2617" s="662" t="str">
        <f t="shared" si="281"/>
        <v>FRD</v>
      </c>
      <c r="AM2617" s="662" t="str">
        <f t="shared" si="284"/>
        <v>F350-Crew Cab XLT DRW-2WD-6-8'-12500-6.7L Diesel-8-W3C-623A-176-48-Diesel-BioDiesel</v>
      </c>
      <c r="AN2617" s="662" t="str">
        <f t="shared" si="282"/>
        <v>2019-LTK-FRD-F350-021</v>
      </c>
    </row>
    <row r="2618" spans="1:40" s="572" customFormat="1" ht="15">
      <c r="A2618" s="570" t="s">
        <v>4642</v>
      </c>
      <c r="B2618" s="569" t="s">
        <v>4637</v>
      </c>
      <c r="C2618" s="569" t="s">
        <v>287</v>
      </c>
      <c r="D2618" s="580">
        <v>26</v>
      </c>
      <c r="E2618" s="569" t="s">
        <v>3374</v>
      </c>
      <c r="F2618" s="569" t="s">
        <v>187</v>
      </c>
      <c r="G2618" s="569" t="s">
        <v>271</v>
      </c>
      <c r="H2618" s="569">
        <v>2019</v>
      </c>
      <c r="I2618" s="569" t="s">
        <v>4503</v>
      </c>
      <c r="J2618" s="569" t="s">
        <v>4634</v>
      </c>
      <c r="K2618" s="569" t="s">
        <v>3377</v>
      </c>
      <c r="L2618" s="569">
        <v>6</v>
      </c>
      <c r="M2618" s="569">
        <v>0</v>
      </c>
      <c r="N2618" s="569" t="s">
        <v>157</v>
      </c>
      <c r="O2618" s="569">
        <v>2</v>
      </c>
      <c r="P2618" s="569" t="s">
        <v>3846</v>
      </c>
      <c r="Q2618" s="568">
        <v>12500</v>
      </c>
      <c r="R2618" s="569" t="s">
        <v>4235</v>
      </c>
      <c r="S2618" s="569">
        <v>8</v>
      </c>
      <c r="T2618" s="569" t="s">
        <v>4557</v>
      </c>
      <c r="U2618" s="569" t="s">
        <v>4635</v>
      </c>
      <c r="V2618" s="569">
        <v>176</v>
      </c>
      <c r="W2618" s="569">
        <v>48</v>
      </c>
      <c r="X2618" s="568">
        <v>14000</v>
      </c>
      <c r="Y2618" s="569">
        <v>13</v>
      </c>
      <c r="Z2618" s="581" t="s">
        <v>450</v>
      </c>
      <c r="AA2618" s="581" t="s">
        <v>178</v>
      </c>
      <c r="AB2618" s="585">
        <v>46000</v>
      </c>
      <c r="AC2618" s="585" t="s">
        <v>164</v>
      </c>
      <c r="AD2618" s="585">
        <v>35811</v>
      </c>
      <c r="AE2618" s="587">
        <v>0.05</v>
      </c>
      <c r="AF2618" s="661" t="str">
        <f t="shared" si="283"/>
        <v>2019-LTK-FRD-F350-020-26</v>
      </c>
      <c r="AG2618" s="661" t="str">
        <f>IF(AND($Y2618&gt;=32,(AI2618="I"),(Y2618&lt;&gt;"~"),(COUNTIF($AN$1:$AN2618,$AN2618)=1)),"TRUE","FALSE")</f>
        <v>FALSE</v>
      </c>
      <c r="AH2618" s="661" t="str">
        <f>IF(AND($Y2618&gt;=22, (AI2618&lt;&gt;"I"),(Y2618&lt;&gt;"~"),(COUNTIF($AN$1:$AN2618,$AN2618)=1)),"TRUE","FALSE")</f>
        <v>FALSE</v>
      </c>
      <c r="AI2618" s="661" t="str">
        <f t="shared" si="285"/>
        <v>N/A</v>
      </c>
      <c r="AJ2618" s="662" t="str">
        <f t="shared" si="279"/>
        <v>F350-020</v>
      </c>
      <c r="AK2618" s="662" t="str">
        <f t="shared" si="280"/>
        <v>LTK</v>
      </c>
      <c r="AL2618" s="662" t="str">
        <f t="shared" si="281"/>
        <v>FRD</v>
      </c>
      <c r="AM2618" s="662" t="str">
        <f t="shared" si="284"/>
        <v>F350-Crew Cab XLT DRW-2WD-6-8'-12500-6.2L FFV-8-W3C-623A-176-48-E85-Unleaded</v>
      </c>
      <c r="AN2618" s="662" t="str">
        <f t="shared" si="282"/>
        <v>2019-LTK-FRD-F350-020</v>
      </c>
    </row>
    <row r="2619" spans="1:40" s="572" customFormat="1" ht="15">
      <c r="A2619" s="570" t="s">
        <v>4643</v>
      </c>
      <c r="B2619" s="573" t="s">
        <v>4639</v>
      </c>
      <c r="C2619" s="573" t="s">
        <v>287</v>
      </c>
      <c r="D2619" s="578">
        <v>26</v>
      </c>
      <c r="E2619" s="573" t="s">
        <v>3374</v>
      </c>
      <c r="F2619" s="573" t="s">
        <v>187</v>
      </c>
      <c r="G2619" s="573" t="s">
        <v>271</v>
      </c>
      <c r="H2619" s="573">
        <v>2019</v>
      </c>
      <c r="I2619" s="573" t="s">
        <v>4503</v>
      </c>
      <c r="J2619" s="573" t="s">
        <v>4634</v>
      </c>
      <c r="K2619" s="573" t="s">
        <v>3377</v>
      </c>
      <c r="L2619" s="573">
        <v>6</v>
      </c>
      <c r="M2619" s="573">
        <v>0</v>
      </c>
      <c r="N2619" s="573" t="s">
        <v>157</v>
      </c>
      <c r="O2619" s="573">
        <v>2</v>
      </c>
      <c r="P2619" s="573" t="s">
        <v>3846</v>
      </c>
      <c r="Q2619" s="571">
        <v>12500</v>
      </c>
      <c r="R2619" s="573" t="s">
        <v>4231</v>
      </c>
      <c r="S2619" s="573">
        <v>8</v>
      </c>
      <c r="T2619" s="573" t="s">
        <v>4557</v>
      </c>
      <c r="U2619" s="573" t="s">
        <v>4635</v>
      </c>
      <c r="V2619" s="573">
        <v>176</v>
      </c>
      <c r="W2619" s="573">
        <v>48</v>
      </c>
      <c r="X2619" s="571">
        <v>14000</v>
      </c>
      <c r="Y2619" s="569">
        <v>13</v>
      </c>
      <c r="Z2619" s="579" t="s">
        <v>728</v>
      </c>
      <c r="AA2619" s="579" t="s">
        <v>1523</v>
      </c>
      <c r="AB2619" s="584">
        <v>55120</v>
      </c>
      <c r="AC2619" s="584" t="s">
        <v>164</v>
      </c>
      <c r="AD2619" s="584">
        <v>44005</v>
      </c>
      <c r="AE2619" s="586">
        <v>0.05</v>
      </c>
      <c r="AF2619" s="661" t="str">
        <f t="shared" si="283"/>
        <v>2019-LTK-FRD-F350-021-26</v>
      </c>
      <c r="AG2619" s="661" t="str">
        <f>IF(AND($Y2619&gt;=32,(AI2619="I"),(Y2619&lt;&gt;"~"),(COUNTIF($AN$1:$AN2619,$AN2619)=1)),"TRUE","FALSE")</f>
        <v>FALSE</v>
      </c>
      <c r="AH2619" s="661" t="str">
        <f>IF(AND($Y2619&gt;=22, (AI2619&lt;&gt;"I"),(Y2619&lt;&gt;"~"),(COUNTIF($AN$1:$AN2619,$AN2619)=1)),"TRUE","FALSE")</f>
        <v>FALSE</v>
      </c>
      <c r="AI2619" s="661" t="str">
        <f t="shared" si="285"/>
        <v>N/A</v>
      </c>
      <c r="AJ2619" s="662" t="str">
        <f t="shared" si="279"/>
        <v>F350-021</v>
      </c>
      <c r="AK2619" s="662" t="str">
        <f t="shared" si="280"/>
        <v>LTK</v>
      </c>
      <c r="AL2619" s="662" t="str">
        <f t="shared" si="281"/>
        <v>FRD</v>
      </c>
      <c r="AM2619" s="662" t="str">
        <f t="shared" si="284"/>
        <v>F350-Crew Cab XLT DRW-2WD-6-8'-12500-6.7L Diesel-8-W3C-623A-176-48-Diesel-BioDiesel</v>
      </c>
      <c r="AN2619" s="662" t="str">
        <f t="shared" si="282"/>
        <v>2019-LTK-FRD-F350-021</v>
      </c>
    </row>
    <row r="2620" spans="1:40" s="572" customFormat="1" ht="15">
      <c r="A2620" s="570" t="s">
        <v>4644</v>
      </c>
      <c r="B2620" s="569" t="s">
        <v>4633</v>
      </c>
      <c r="C2620" s="569" t="s">
        <v>280</v>
      </c>
      <c r="D2620" s="580">
        <v>27</v>
      </c>
      <c r="E2620" s="569" t="s">
        <v>3374</v>
      </c>
      <c r="F2620" s="569" t="s">
        <v>187</v>
      </c>
      <c r="G2620" s="569" t="s">
        <v>271</v>
      </c>
      <c r="H2620" s="569">
        <v>2019</v>
      </c>
      <c r="I2620" s="569" t="s">
        <v>4503</v>
      </c>
      <c r="J2620" s="569" t="s">
        <v>4634</v>
      </c>
      <c r="K2620" s="569" t="s">
        <v>3377</v>
      </c>
      <c r="L2620" s="569">
        <v>6</v>
      </c>
      <c r="M2620" s="569">
        <v>0</v>
      </c>
      <c r="N2620" s="569" t="s">
        <v>157</v>
      </c>
      <c r="O2620" s="569">
        <v>2</v>
      </c>
      <c r="P2620" s="569" t="s">
        <v>3846</v>
      </c>
      <c r="Q2620" s="568">
        <v>12500</v>
      </c>
      <c r="R2620" s="569" t="s">
        <v>4235</v>
      </c>
      <c r="S2620" s="569">
        <v>8</v>
      </c>
      <c r="T2620" s="569" t="s">
        <v>4557</v>
      </c>
      <c r="U2620" s="569" t="s">
        <v>4635</v>
      </c>
      <c r="V2620" s="569">
        <v>176</v>
      </c>
      <c r="W2620" s="569">
        <v>34</v>
      </c>
      <c r="X2620" s="568">
        <v>14000</v>
      </c>
      <c r="Y2620" s="569">
        <v>13</v>
      </c>
      <c r="Z2620" s="581" t="s">
        <v>450</v>
      </c>
      <c r="AA2620" s="581" t="s">
        <v>178</v>
      </c>
      <c r="AB2620" s="585">
        <v>46000</v>
      </c>
      <c r="AC2620" s="585" t="s">
        <v>164</v>
      </c>
      <c r="AD2620" s="585">
        <v>35553.389473684212</v>
      </c>
      <c r="AE2620" s="587">
        <v>0.03</v>
      </c>
      <c r="AF2620" s="661" t="str">
        <f t="shared" si="283"/>
        <v>2019-LTK-FRD-F350-019-27</v>
      </c>
      <c r="AG2620" s="661" t="str">
        <f>IF(AND($Y2620&gt;=32,(AI2620="I"),(Y2620&lt;&gt;"~"),(COUNTIF($AN$1:$AN2620,$AN2620)=1)),"TRUE","FALSE")</f>
        <v>FALSE</v>
      </c>
      <c r="AH2620" s="661" t="str">
        <f>IF(AND($Y2620&gt;=22, (AI2620&lt;&gt;"I"),(Y2620&lt;&gt;"~"),(COUNTIF($AN$1:$AN2620,$AN2620)=1)),"TRUE","FALSE")</f>
        <v>FALSE</v>
      </c>
      <c r="AI2620" s="661" t="str">
        <f t="shared" si="285"/>
        <v>N/A</v>
      </c>
      <c r="AJ2620" s="662" t="str">
        <f t="shared" si="279"/>
        <v>F350-019</v>
      </c>
      <c r="AK2620" s="662" t="str">
        <f t="shared" si="280"/>
        <v>LTK</v>
      </c>
      <c r="AL2620" s="662" t="str">
        <f t="shared" si="281"/>
        <v>FRD</v>
      </c>
      <c r="AM2620" s="662" t="str">
        <f t="shared" si="284"/>
        <v>F350-Crew Cab XLT DRW-2WD-6-8'-12500-6.2L FFV-8-W3C-623A-176-34-E85-Unleaded</v>
      </c>
      <c r="AN2620" s="662" t="str">
        <f t="shared" si="282"/>
        <v>2019-LTK-FRD-F350-019</v>
      </c>
    </row>
    <row r="2621" spans="1:40" s="572" customFormat="1" ht="15">
      <c r="A2621" s="570" t="s">
        <v>4645</v>
      </c>
      <c r="B2621" s="573" t="s">
        <v>4637</v>
      </c>
      <c r="C2621" s="573" t="s">
        <v>280</v>
      </c>
      <c r="D2621" s="578">
        <v>27</v>
      </c>
      <c r="E2621" s="573" t="s">
        <v>3374</v>
      </c>
      <c r="F2621" s="573" t="s">
        <v>187</v>
      </c>
      <c r="G2621" s="573" t="s">
        <v>271</v>
      </c>
      <c r="H2621" s="573">
        <v>2019</v>
      </c>
      <c r="I2621" s="573" t="s">
        <v>4503</v>
      </c>
      <c r="J2621" s="573" t="s">
        <v>4634</v>
      </c>
      <c r="K2621" s="573" t="s">
        <v>3377</v>
      </c>
      <c r="L2621" s="573">
        <v>6</v>
      </c>
      <c r="M2621" s="573">
        <v>0</v>
      </c>
      <c r="N2621" s="573" t="s">
        <v>157</v>
      </c>
      <c r="O2621" s="573">
        <v>2</v>
      </c>
      <c r="P2621" s="573" t="s">
        <v>3846</v>
      </c>
      <c r="Q2621" s="571">
        <v>12500</v>
      </c>
      <c r="R2621" s="573" t="s">
        <v>4235</v>
      </c>
      <c r="S2621" s="573">
        <v>8</v>
      </c>
      <c r="T2621" s="573" t="s">
        <v>4557</v>
      </c>
      <c r="U2621" s="573" t="s">
        <v>4635</v>
      </c>
      <c r="V2621" s="573">
        <v>176</v>
      </c>
      <c r="W2621" s="573">
        <v>48</v>
      </c>
      <c r="X2621" s="571">
        <v>14000</v>
      </c>
      <c r="Y2621" s="569">
        <v>13</v>
      </c>
      <c r="Z2621" s="579" t="s">
        <v>450</v>
      </c>
      <c r="AA2621" s="579" t="s">
        <v>178</v>
      </c>
      <c r="AB2621" s="584">
        <v>46000</v>
      </c>
      <c r="AC2621" s="584" t="s">
        <v>164</v>
      </c>
      <c r="AD2621" s="584">
        <v>35553.389473684212</v>
      </c>
      <c r="AE2621" s="586">
        <v>0.03</v>
      </c>
      <c r="AF2621" s="661" t="str">
        <f t="shared" si="283"/>
        <v>2019-LTK-FRD-F350-020-27</v>
      </c>
      <c r="AG2621" s="661" t="str">
        <f>IF(AND($Y2621&gt;=32,(AI2621="I"),(Y2621&lt;&gt;"~"),(COUNTIF($AN$1:$AN2621,$AN2621)=1)),"TRUE","FALSE")</f>
        <v>FALSE</v>
      </c>
      <c r="AH2621" s="661" t="str">
        <f>IF(AND($Y2621&gt;=22, (AI2621&lt;&gt;"I"),(Y2621&lt;&gt;"~"),(COUNTIF($AN$1:$AN2621,$AN2621)=1)),"TRUE","FALSE")</f>
        <v>FALSE</v>
      </c>
      <c r="AI2621" s="661" t="str">
        <f t="shared" si="285"/>
        <v>N/A</v>
      </c>
      <c r="AJ2621" s="662" t="str">
        <f t="shared" si="279"/>
        <v>F350-020</v>
      </c>
      <c r="AK2621" s="662" t="str">
        <f t="shared" si="280"/>
        <v>LTK</v>
      </c>
      <c r="AL2621" s="662" t="str">
        <f t="shared" si="281"/>
        <v>FRD</v>
      </c>
      <c r="AM2621" s="662" t="str">
        <f t="shared" si="284"/>
        <v>F350-Crew Cab XLT DRW-2WD-6-8'-12500-6.2L FFV-8-W3C-623A-176-48-E85-Unleaded</v>
      </c>
      <c r="AN2621" s="662" t="str">
        <f t="shared" si="282"/>
        <v>2019-LTK-FRD-F350-020</v>
      </c>
    </row>
    <row r="2622" spans="1:40" s="572" customFormat="1" ht="15">
      <c r="A2622" s="570" t="s">
        <v>4646</v>
      </c>
      <c r="B2622" s="569" t="s">
        <v>4639</v>
      </c>
      <c r="C2622" s="569" t="s">
        <v>280</v>
      </c>
      <c r="D2622" s="580">
        <v>27</v>
      </c>
      <c r="E2622" s="569" t="s">
        <v>3374</v>
      </c>
      <c r="F2622" s="569" t="s">
        <v>187</v>
      </c>
      <c r="G2622" s="569" t="s">
        <v>271</v>
      </c>
      <c r="H2622" s="569">
        <v>2019</v>
      </c>
      <c r="I2622" s="569" t="s">
        <v>4503</v>
      </c>
      <c r="J2622" s="569" t="s">
        <v>4634</v>
      </c>
      <c r="K2622" s="569" t="s">
        <v>3377</v>
      </c>
      <c r="L2622" s="569">
        <v>6</v>
      </c>
      <c r="M2622" s="569">
        <v>0</v>
      </c>
      <c r="N2622" s="569" t="s">
        <v>157</v>
      </c>
      <c r="O2622" s="569">
        <v>2</v>
      </c>
      <c r="P2622" s="569" t="s">
        <v>3846</v>
      </c>
      <c r="Q2622" s="568">
        <v>12500</v>
      </c>
      <c r="R2622" s="569" t="s">
        <v>4231</v>
      </c>
      <c r="S2622" s="569">
        <v>8</v>
      </c>
      <c r="T2622" s="569" t="s">
        <v>4557</v>
      </c>
      <c r="U2622" s="569" t="s">
        <v>4635</v>
      </c>
      <c r="V2622" s="569">
        <v>176</v>
      </c>
      <c r="W2622" s="569">
        <v>48</v>
      </c>
      <c r="X2622" s="568">
        <v>14000</v>
      </c>
      <c r="Y2622" s="569">
        <v>13</v>
      </c>
      <c r="Z2622" s="581" t="s">
        <v>728</v>
      </c>
      <c r="AA2622" s="581" t="s">
        <v>1523</v>
      </c>
      <c r="AB2622" s="585">
        <v>55120</v>
      </c>
      <c r="AC2622" s="585" t="s">
        <v>164</v>
      </c>
      <c r="AD2622" s="585">
        <v>43745.578947368427</v>
      </c>
      <c r="AE2622" s="587">
        <v>0.03</v>
      </c>
      <c r="AF2622" s="661" t="str">
        <f t="shared" si="283"/>
        <v>2019-LTK-FRD-F350-021-27</v>
      </c>
      <c r="AG2622" s="661" t="str">
        <f>IF(AND($Y2622&gt;=32,(AI2622="I"),(Y2622&lt;&gt;"~"),(COUNTIF($AN$1:$AN2622,$AN2622)=1)),"TRUE","FALSE")</f>
        <v>FALSE</v>
      </c>
      <c r="AH2622" s="661" t="str">
        <f>IF(AND($Y2622&gt;=22, (AI2622&lt;&gt;"I"),(Y2622&lt;&gt;"~"),(COUNTIF($AN$1:$AN2622,$AN2622)=1)),"TRUE","FALSE")</f>
        <v>FALSE</v>
      </c>
      <c r="AI2622" s="661" t="str">
        <f t="shared" si="285"/>
        <v>N/A</v>
      </c>
      <c r="AJ2622" s="662" t="str">
        <f t="shared" si="279"/>
        <v>F350-021</v>
      </c>
      <c r="AK2622" s="662" t="str">
        <f t="shared" si="280"/>
        <v>LTK</v>
      </c>
      <c r="AL2622" s="662" t="str">
        <f t="shared" si="281"/>
        <v>FRD</v>
      </c>
      <c r="AM2622" s="662" t="str">
        <f t="shared" si="284"/>
        <v>F350-Crew Cab XLT DRW-2WD-6-8'-12500-6.7L Diesel-8-W3C-623A-176-48-Diesel-BioDiesel</v>
      </c>
      <c r="AN2622" s="662" t="str">
        <f t="shared" si="282"/>
        <v>2019-LTK-FRD-F350-021</v>
      </c>
    </row>
    <row r="2623" spans="1:40" s="572" customFormat="1" ht="15">
      <c r="A2623" s="570" t="s">
        <v>4647</v>
      </c>
      <c r="B2623" s="573" t="s">
        <v>4648</v>
      </c>
      <c r="C2623" s="573" t="s">
        <v>269</v>
      </c>
      <c r="D2623" s="578" t="s">
        <v>270</v>
      </c>
      <c r="E2623" s="573" t="s">
        <v>3374</v>
      </c>
      <c r="F2623" s="573" t="s">
        <v>187</v>
      </c>
      <c r="G2623" s="573" t="s">
        <v>271</v>
      </c>
      <c r="H2623" s="573">
        <v>2019</v>
      </c>
      <c r="I2623" s="573" t="s">
        <v>4503</v>
      </c>
      <c r="J2623" s="573" t="s">
        <v>4634</v>
      </c>
      <c r="K2623" s="573" t="s">
        <v>752</v>
      </c>
      <c r="L2623" s="573">
        <v>6</v>
      </c>
      <c r="M2623" s="573">
        <v>0</v>
      </c>
      <c r="N2623" s="573" t="s">
        <v>157</v>
      </c>
      <c r="O2623" s="573">
        <v>2</v>
      </c>
      <c r="P2623" s="573" t="s">
        <v>3846</v>
      </c>
      <c r="Q2623" s="571">
        <v>12100</v>
      </c>
      <c r="R2623" s="573" t="s">
        <v>4235</v>
      </c>
      <c r="S2623" s="573">
        <v>8</v>
      </c>
      <c r="T2623" s="573" t="s">
        <v>4572</v>
      </c>
      <c r="U2623" s="573" t="s">
        <v>4635</v>
      </c>
      <c r="V2623" s="573">
        <v>176</v>
      </c>
      <c r="W2623" s="573">
        <v>34</v>
      </c>
      <c r="X2623" s="571">
        <v>14000</v>
      </c>
      <c r="Y2623" s="569">
        <v>12</v>
      </c>
      <c r="Z2623" s="579" t="s">
        <v>450</v>
      </c>
      <c r="AA2623" s="579" t="s">
        <v>178</v>
      </c>
      <c r="AB2623" s="584">
        <v>48810</v>
      </c>
      <c r="AC2623" s="584" t="s">
        <v>164</v>
      </c>
      <c r="AD2623" s="584">
        <v>38149.178947368426</v>
      </c>
      <c r="AE2623" s="586">
        <v>0.03</v>
      </c>
      <c r="AF2623" s="661" t="str">
        <f t="shared" si="283"/>
        <v>2019-LTK-FRD-F350-022-05</v>
      </c>
      <c r="AG2623" s="661" t="str">
        <f>IF(AND($Y2623&gt;=32,(AI2623="I"),(Y2623&lt;&gt;"~"),(COUNTIF($AN$1:$AN2623,$AN2623)=1)),"TRUE","FALSE")</f>
        <v>FALSE</v>
      </c>
      <c r="AH2623" s="661" t="str">
        <f>IF(AND($Y2623&gt;=22, (AI2623&lt;&gt;"I"),(Y2623&lt;&gt;"~"),(COUNTIF($AN$1:$AN2623,$AN2623)=1)),"TRUE","FALSE")</f>
        <v>FALSE</v>
      </c>
      <c r="AI2623" s="661" t="str">
        <f t="shared" si="285"/>
        <v>N/A</v>
      </c>
      <c r="AJ2623" s="662" t="str">
        <f t="shared" si="279"/>
        <v>F350-022</v>
      </c>
      <c r="AK2623" s="662" t="str">
        <f t="shared" si="280"/>
        <v>LTK</v>
      </c>
      <c r="AL2623" s="662" t="str">
        <f t="shared" si="281"/>
        <v>FRD</v>
      </c>
      <c r="AM2623" s="662" t="str">
        <f t="shared" si="284"/>
        <v>F350-Crew Cab XLT DRW-4WD-6-8'-12100-6.2L FFV-8-W3D-623A-176-34-E85-Unleaded</v>
      </c>
      <c r="AN2623" s="662" t="str">
        <f t="shared" si="282"/>
        <v>2019-LTK-FRD-F350-022</v>
      </c>
    </row>
    <row r="2624" spans="1:40" s="572" customFormat="1" ht="15">
      <c r="A2624" s="570" t="s">
        <v>4649</v>
      </c>
      <c r="B2624" s="569" t="s">
        <v>4650</v>
      </c>
      <c r="C2624" s="569" t="s">
        <v>269</v>
      </c>
      <c r="D2624" s="580" t="s">
        <v>270</v>
      </c>
      <c r="E2624" s="569" t="s">
        <v>3374</v>
      </c>
      <c r="F2624" s="569" t="s">
        <v>187</v>
      </c>
      <c r="G2624" s="569" t="s">
        <v>271</v>
      </c>
      <c r="H2624" s="569">
        <v>2019</v>
      </c>
      <c r="I2624" s="569" t="s">
        <v>4503</v>
      </c>
      <c r="J2624" s="569" t="s">
        <v>4634</v>
      </c>
      <c r="K2624" s="569" t="s">
        <v>752</v>
      </c>
      <c r="L2624" s="569">
        <v>6</v>
      </c>
      <c r="M2624" s="569">
        <v>0</v>
      </c>
      <c r="N2624" s="569" t="s">
        <v>157</v>
      </c>
      <c r="O2624" s="569">
        <v>2</v>
      </c>
      <c r="P2624" s="569" t="s">
        <v>3846</v>
      </c>
      <c r="Q2624" s="568">
        <v>12100</v>
      </c>
      <c r="R2624" s="569" t="s">
        <v>4235</v>
      </c>
      <c r="S2624" s="569">
        <v>8</v>
      </c>
      <c r="T2624" s="569" t="s">
        <v>4572</v>
      </c>
      <c r="U2624" s="569" t="s">
        <v>4635</v>
      </c>
      <c r="V2624" s="569">
        <v>176</v>
      </c>
      <c r="W2624" s="569">
        <v>48</v>
      </c>
      <c r="X2624" s="568">
        <v>14000</v>
      </c>
      <c r="Y2624" s="569">
        <v>12</v>
      </c>
      <c r="Z2624" s="581" t="s">
        <v>450</v>
      </c>
      <c r="AA2624" s="581" t="s">
        <v>178</v>
      </c>
      <c r="AB2624" s="585">
        <v>48810</v>
      </c>
      <c r="AC2624" s="585" t="s">
        <v>164</v>
      </c>
      <c r="AD2624" s="585">
        <v>38149.178947368426</v>
      </c>
      <c r="AE2624" s="587">
        <v>0.03</v>
      </c>
      <c r="AF2624" s="661" t="str">
        <f t="shared" si="283"/>
        <v>2019-LTK-FRD-F350-023-05</v>
      </c>
      <c r="AG2624" s="661" t="str">
        <f>IF(AND($Y2624&gt;=32,(AI2624="I"),(Y2624&lt;&gt;"~"),(COUNTIF($AN$1:$AN2624,$AN2624)=1)),"TRUE","FALSE")</f>
        <v>FALSE</v>
      </c>
      <c r="AH2624" s="661" t="str">
        <f>IF(AND($Y2624&gt;=22, (AI2624&lt;&gt;"I"),(Y2624&lt;&gt;"~"),(COUNTIF($AN$1:$AN2624,$AN2624)=1)),"TRUE","FALSE")</f>
        <v>FALSE</v>
      </c>
      <c r="AI2624" s="661" t="str">
        <f t="shared" si="285"/>
        <v>N/A</v>
      </c>
      <c r="AJ2624" s="662" t="str">
        <f t="shared" si="279"/>
        <v>F350-023</v>
      </c>
      <c r="AK2624" s="662" t="str">
        <f t="shared" si="280"/>
        <v>LTK</v>
      </c>
      <c r="AL2624" s="662" t="str">
        <f t="shared" si="281"/>
        <v>FRD</v>
      </c>
      <c r="AM2624" s="662" t="str">
        <f t="shared" si="284"/>
        <v>F350-Crew Cab XLT DRW-4WD-6-8'-12100-6.2L FFV-8-W3D-623A-176-48-E85-Unleaded</v>
      </c>
      <c r="AN2624" s="662" t="str">
        <f t="shared" si="282"/>
        <v>2019-LTK-FRD-F350-023</v>
      </c>
    </row>
    <row r="2625" spans="1:40" s="572" customFormat="1" ht="15">
      <c r="A2625" s="570" t="s">
        <v>4651</v>
      </c>
      <c r="B2625" s="573" t="s">
        <v>4652</v>
      </c>
      <c r="C2625" s="573" t="s">
        <v>269</v>
      </c>
      <c r="D2625" s="578" t="s">
        <v>270</v>
      </c>
      <c r="E2625" s="573" t="s">
        <v>3374</v>
      </c>
      <c r="F2625" s="573" t="s">
        <v>187</v>
      </c>
      <c r="G2625" s="573" t="s">
        <v>271</v>
      </c>
      <c r="H2625" s="573">
        <v>2019</v>
      </c>
      <c r="I2625" s="573" t="s">
        <v>4503</v>
      </c>
      <c r="J2625" s="573" t="s">
        <v>4634</v>
      </c>
      <c r="K2625" s="573" t="s">
        <v>752</v>
      </c>
      <c r="L2625" s="573">
        <v>6</v>
      </c>
      <c r="M2625" s="573">
        <v>0</v>
      </c>
      <c r="N2625" s="573" t="s">
        <v>157</v>
      </c>
      <c r="O2625" s="573">
        <v>2</v>
      </c>
      <c r="P2625" s="573" t="s">
        <v>3846</v>
      </c>
      <c r="Q2625" s="571">
        <v>12100</v>
      </c>
      <c r="R2625" s="573" t="s">
        <v>4231</v>
      </c>
      <c r="S2625" s="573">
        <v>8</v>
      </c>
      <c r="T2625" s="573" t="s">
        <v>4572</v>
      </c>
      <c r="U2625" s="573" t="s">
        <v>4635</v>
      </c>
      <c r="V2625" s="573">
        <v>176</v>
      </c>
      <c r="W2625" s="573">
        <v>48</v>
      </c>
      <c r="X2625" s="571">
        <v>14000</v>
      </c>
      <c r="Y2625" s="569">
        <v>12</v>
      </c>
      <c r="Z2625" s="579" t="s">
        <v>728</v>
      </c>
      <c r="AA2625" s="579" t="s">
        <v>1523</v>
      </c>
      <c r="AB2625" s="584">
        <v>57930</v>
      </c>
      <c r="AC2625" s="584" t="s">
        <v>164</v>
      </c>
      <c r="AD2625" s="584">
        <v>46341.368421052633</v>
      </c>
      <c r="AE2625" s="586">
        <v>0.03</v>
      </c>
      <c r="AF2625" s="661" t="str">
        <f t="shared" si="283"/>
        <v>2019-LTK-FRD-F350-024-05</v>
      </c>
      <c r="AG2625" s="661" t="str">
        <f>IF(AND($Y2625&gt;=32,(AI2625="I"),(Y2625&lt;&gt;"~"),(COUNTIF($AN$1:$AN2625,$AN2625)=1)),"TRUE","FALSE")</f>
        <v>FALSE</v>
      </c>
      <c r="AH2625" s="661" t="str">
        <f>IF(AND($Y2625&gt;=22, (AI2625&lt;&gt;"I"),(Y2625&lt;&gt;"~"),(COUNTIF($AN$1:$AN2625,$AN2625)=1)),"TRUE","FALSE")</f>
        <v>FALSE</v>
      </c>
      <c r="AI2625" s="661" t="str">
        <f t="shared" si="285"/>
        <v>N/A</v>
      </c>
      <c r="AJ2625" s="662" t="str">
        <f t="shared" si="279"/>
        <v>F350-024</v>
      </c>
      <c r="AK2625" s="662" t="str">
        <f t="shared" si="280"/>
        <v>LTK</v>
      </c>
      <c r="AL2625" s="662" t="str">
        <f t="shared" si="281"/>
        <v>FRD</v>
      </c>
      <c r="AM2625" s="662" t="str">
        <f t="shared" si="284"/>
        <v>F350-Crew Cab XLT DRW-4WD-6-8'-12100-6.7L Diesel-8-W3D-623A-176-48-Diesel-BioDiesel</v>
      </c>
      <c r="AN2625" s="662" t="str">
        <f t="shared" si="282"/>
        <v>2019-LTK-FRD-F350-024</v>
      </c>
    </row>
    <row r="2626" spans="1:40" s="572" customFormat="1" ht="15">
      <c r="A2626" s="570" t="s">
        <v>4653</v>
      </c>
      <c r="B2626" s="569" t="s">
        <v>4650</v>
      </c>
      <c r="C2626" s="569" t="s">
        <v>278</v>
      </c>
      <c r="D2626" s="580">
        <v>15</v>
      </c>
      <c r="E2626" s="569" t="s">
        <v>3374</v>
      </c>
      <c r="F2626" s="569" t="s">
        <v>187</v>
      </c>
      <c r="G2626" s="569" t="s">
        <v>271</v>
      </c>
      <c r="H2626" s="569">
        <v>2019</v>
      </c>
      <c r="I2626" s="569" t="s">
        <v>4503</v>
      </c>
      <c r="J2626" s="569" t="s">
        <v>4634</v>
      </c>
      <c r="K2626" s="569" t="s">
        <v>752</v>
      </c>
      <c r="L2626" s="569">
        <v>6</v>
      </c>
      <c r="M2626" s="569">
        <v>0</v>
      </c>
      <c r="N2626" s="569" t="s">
        <v>157</v>
      </c>
      <c r="O2626" s="569">
        <v>2</v>
      </c>
      <c r="P2626" s="569" t="s">
        <v>3846</v>
      </c>
      <c r="Q2626" s="568">
        <v>12100</v>
      </c>
      <c r="R2626" s="569" t="s">
        <v>4235</v>
      </c>
      <c r="S2626" s="569">
        <v>8</v>
      </c>
      <c r="T2626" s="569" t="s">
        <v>4572</v>
      </c>
      <c r="U2626" s="569" t="s">
        <v>4635</v>
      </c>
      <c r="V2626" s="569">
        <v>176</v>
      </c>
      <c r="W2626" s="569">
        <v>48</v>
      </c>
      <c r="X2626" s="568">
        <v>14000</v>
      </c>
      <c r="Y2626" s="569">
        <v>12</v>
      </c>
      <c r="Z2626" s="581" t="s">
        <v>450</v>
      </c>
      <c r="AA2626" s="581" t="s">
        <v>178</v>
      </c>
      <c r="AB2626" s="585">
        <v>48810</v>
      </c>
      <c r="AC2626" s="585" t="s">
        <v>164</v>
      </c>
      <c r="AD2626" s="585">
        <v>38350</v>
      </c>
      <c r="AE2626" s="587">
        <v>0.01</v>
      </c>
      <c r="AF2626" s="661" t="str">
        <f t="shared" si="283"/>
        <v>2019-LTK-FRD-F350-023-15</v>
      </c>
      <c r="AG2626" s="661" t="str">
        <f>IF(AND($Y2626&gt;=32,(AI2626="I"),(Y2626&lt;&gt;"~"),(COUNTIF($AN$1:$AN2626,$AN2626)=1)),"TRUE","FALSE")</f>
        <v>FALSE</v>
      </c>
      <c r="AH2626" s="661" t="str">
        <f>IF(AND($Y2626&gt;=22, (AI2626&lt;&gt;"I"),(Y2626&lt;&gt;"~"),(COUNTIF($AN$1:$AN2626,$AN2626)=1)),"TRUE","FALSE")</f>
        <v>FALSE</v>
      </c>
      <c r="AI2626" s="661" t="str">
        <f t="shared" si="285"/>
        <v>N/A</v>
      </c>
      <c r="AJ2626" s="662" t="str">
        <f t="shared" si="279"/>
        <v>F350-023</v>
      </c>
      <c r="AK2626" s="662" t="str">
        <f t="shared" si="280"/>
        <v>LTK</v>
      </c>
      <c r="AL2626" s="662" t="str">
        <f t="shared" si="281"/>
        <v>FRD</v>
      </c>
      <c r="AM2626" s="662" t="str">
        <f t="shared" si="284"/>
        <v>F350-Crew Cab XLT DRW-4WD-6-8'-12100-6.2L FFV-8-W3D-623A-176-48-E85-Unleaded</v>
      </c>
      <c r="AN2626" s="662" t="str">
        <f t="shared" si="282"/>
        <v>2019-LTK-FRD-F350-023</v>
      </c>
    </row>
    <row r="2627" spans="1:40" s="572" customFormat="1" ht="15">
      <c r="A2627" s="570" t="s">
        <v>4654</v>
      </c>
      <c r="B2627" s="573" t="s">
        <v>4652</v>
      </c>
      <c r="C2627" s="573" t="s">
        <v>278</v>
      </c>
      <c r="D2627" s="578">
        <v>15</v>
      </c>
      <c r="E2627" s="573" t="s">
        <v>3374</v>
      </c>
      <c r="F2627" s="573" t="s">
        <v>187</v>
      </c>
      <c r="G2627" s="573" t="s">
        <v>271</v>
      </c>
      <c r="H2627" s="573">
        <v>2019</v>
      </c>
      <c r="I2627" s="573" t="s">
        <v>4503</v>
      </c>
      <c r="J2627" s="573" t="s">
        <v>4634</v>
      </c>
      <c r="K2627" s="573" t="s">
        <v>752</v>
      </c>
      <c r="L2627" s="573">
        <v>6</v>
      </c>
      <c r="M2627" s="573">
        <v>0</v>
      </c>
      <c r="N2627" s="573" t="s">
        <v>157</v>
      </c>
      <c r="O2627" s="573">
        <v>2</v>
      </c>
      <c r="P2627" s="573" t="s">
        <v>3846</v>
      </c>
      <c r="Q2627" s="571">
        <v>12100</v>
      </c>
      <c r="R2627" s="573" t="s">
        <v>4231</v>
      </c>
      <c r="S2627" s="573">
        <v>8</v>
      </c>
      <c r="T2627" s="573" t="s">
        <v>4572</v>
      </c>
      <c r="U2627" s="573" t="s">
        <v>4635</v>
      </c>
      <c r="V2627" s="573">
        <v>176</v>
      </c>
      <c r="W2627" s="573">
        <v>48</v>
      </c>
      <c r="X2627" s="571">
        <v>14000</v>
      </c>
      <c r="Y2627" s="569">
        <v>12</v>
      </c>
      <c r="Z2627" s="579" t="s">
        <v>728</v>
      </c>
      <c r="AA2627" s="579" t="s">
        <v>1523</v>
      </c>
      <c r="AB2627" s="584">
        <v>57930</v>
      </c>
      <c r="AC2627" s="584" t="s">
        <v>164</v>
      </c>
      <c r="AD2627" s="584">
        <v>46650</v>
      </c>
      <c r="AE2627" s="586">
        <v>0.01</v>
      </c>
      <c r="AF2627" s="661" t="str">
        <f t="shared" si="283"/>
        <v>2019-LTK-FRD-F350-024-15</v>
      </c>
      <c r="AG2627" s="661" t="str">
        <f>IF(AND($Y2627&gt;=32,(AI2627="I"),(Y2627&lt;&gt;"~"),(COUNTIF($AN$1:$AN2627,$AN2627)=1)),"TRUE","FALSE")</f>
        <v>FALSE</v>
      </c>
      <c r="AH2627" s="661" t="str">
        <f>IF(AND($Y2627&gt;=22, (AI2627&lt;&gt;"I"),(Y2627&lt;&gt;"~"),(COUNTIF($AN$1:$AN2627,$AN2627)=1)),"TRUE","FALSE")</f>
        <v>FALSE</v>
      </c>
      <c r="AI2627" s="661" t="str">
        <f t="shared" si="285"/>
        <v>N/A</v>
      </c>
      <c r="AJ2627" s="662" t="str">
        <f t="shared" ref="AJ2627:AJ2690" si="286">MID(A2627,14,8)</f>
        <v>F350-024</v>
      </c>
      <c r="AK2627" s="662" t="str">
        <f t="shared" ref="AK2627:AK2690" si="287">MID(A2627,6,3)</f>
        <v>LTK</v>
      </c>
      <c r="AL2627" s="662" t="str">
        <f t="shared" ref="AL2627:AL2690" si="288">MID(A2627,10,3)</f>
        <v>FRD</v>
      </c>
      <c r="AM2627" s="662" t="str">
        <f t="shared" si="284"/>
        <v>F350-Crew Cab XLT DRW-4WD-6-8'-12100-6.7L Diesel-8-W3D-623A-176-48-Diesel-BioDiesel</v>
      </c>
      <c r="AN2627" s="662" t="str">
        <f t="shared" ref="AN2627:AN2690" si="289">LEFT(A2627,21)</f>
        <v>2019-LTK-FRD-F350-024</v>
      </c>
    </row>
    <row r="2628" spans="1:40" s="572" customFormat="1" ht="15">
      <c r="A2628" s="570" t="s">
        <v>4655</v>
      </c>
      <c r="B2628" s="569" t="s">
        <v>4650</v>
      </c>
      <c r="C2628" s="569" t="s">
        <v>287</v>
      </c>
      <c r="D2628" s="580">
        <v>26</v>
      </c>
      <c r="E2628" s="569" t="s">
        <v>3374</v>
      </c>
      <c r="F2628" s="569" t="s">
        <v>187</v>
      </c>
      <c r="G2628" s="569" t="s">
        <v>271</v>
      </c>
      <c r="H2628" s="569">
        <v>2019</v>
      </c>
      <c r="I2628" s="569" t="s">
        <v>4503</v>
      </c>
      <c r="J2628" s="569" t="s">
        <v>4634</v>
      </c>
      <c r="K2628" s="569" t="s">
        <v>752</v>
      </c>
      <c r="L2628" s="569">
        <v>6</v>
      </c>
      <c r="M2628" s="569">
        <v>0</v>
      </c>
      <c r="N2628" s="569" t="s">
        <v>157</v>
      </c>
      <c r="O2628" s="569">
        <v>2</v>
      </c>
      <c r="P2628" s="569" t="s">
        <v>3846</v>
      </c>
      <c r="Q2628" s="568">
        <v>12100</v>
      </c>
      <c r="R2628" s="569" t="s">
        <v>4235</v>
      </c>
      <c r="S2628" s="569">
        <v>8</v>
      </c>
      <c r="T2628" s="569" t="s">
        <v>4572</v>
      </c>
      <c r="U2628" s="569" t="s">
        <v>4635</v>
      </c>
      <c r="V2628" s="569">
        <v>176</v>
      </c>
      <c r="W2628" s="569">
        <v>48</v>
      </c>
      <c r="X2628" s="568">
        <v>14000</v>
      </c>
      <c r="Y2628" s="569">
        <v>12</v>
      </c>
      <c r="Z2628" s="581" t="s">
        <v>450</v>
      </c>
      <c r="AA2628" s="581" t="s">
        <v>178</v>
      </c>
      <c r="AB2628" s="585">
        <v>48810</v>
      </c>
      <c r="AC2628" s="585" t="s">
        <v>164</v>
      </c>
      <c r="AD2628" s="585">
        <v>38445</v>
      </c>
      <c r="AE2628" s="587">
        <v>0.05</v>
      </c>
      <c r="AF2628" s="661" t="str">
        <f t="shared" si="283"/>
        <v>2019-LTK-FRD-F350-023-26</v>
      </c>
      <c r="AG2628" s="661" t="str">
        <f>IF(AND($Y2628&gt;=32,(AI2628="I"),(Y2628&lt;&gt;"~"),(COUNTIF($AN$1:$AN2628,$AN2628)=1)),"TRUE","FALSE")</f>
        <v>FALSE</v>
      </c>
      <c r="AH2628" s="661" t="str">
        <f>IF(AND($Y2628&gt;=22, (AI2628&lt;&gt;"I"),(Y2628&lt;&gt;"~"),(COUNTIF($AN$1:$AN2628,$AN2628)=1)),"TRUE","FALSE")</f>
        <v>FALSE</v>
      </c>
      <c r="AI2628" s="661" t="str">
        <f t="shared" si="285"/>
        <v>N/A</v>
      </c>
      <c r="AJ2628" s="662" t="str">
        <f t="shared" si="286"/>
        <v>F350-023</v>
      </c>
      <c r="AK2628" s="662" t="str">
        <f t="shared" si="287"/>
        <v>LTK</v>
      </c>
      <c r="AL2628" s="662" t="str">
        <f t="shared" si="288"/>
        <v>FRD</v>
      </c>
      <c r="AM2628" s="662" t="str">
        <f t="shared" si="284"/>
        <v>F350-Crew Cab XLT DRW-4WD-6-8'-12100-6.2L FFV-8-W3D-623A-176-48-E85-Unleaded</v>
      </c>
      <c r="AN2628" s="662" t="str">
        <f t="shared" si="289"/>
        <v>2019-LTK-FRD-F350-023</v>
      </c>
    </row>
    <row r="2629" spans="1:40" s="572" customFormat="1" ht="15">
      <c r="A2629" s="570" t="s">
        <v>4656</v>
      </c>
      <c r="B2629" s="573" t="s">
        <v>4652</v>
      </c>
      <c r="C2629" s="573" t="s">
        <v>287</v>
      </c>
      <c r="D2629" s="578">
        <v>26</v>
      </c>
      <c r="E2629" s="573" t="s">
        <v>3374</v>
      </c>
      <c r="F2629" s="573" t="s">
        <v>187</v>
      </c>
      <c r="G2629" s="573" t="s">
        <v>271</v>
      </c>
      <c r="H2629" s="573">
        <v>2019</v>
      </c>
      <c r="I2629" s="573" t="s">
        <v>4503</v>
      </c>
      <c r="J2629" s="573" t="s">
        <v>4634</v>
      </c>
      <c r="K2629" s="573" t="s">
        <v>752</v>
      </c>
      <c r="L2629" s="573">
        <v>6</v>
      </c>
      <c r="M2629" s="573">
        <v>0</v>
      </c>
      <c r="N2629" s="573" t="s">
        <v>157</v>
      </c>
      <c r="O2629" s="573">
        <v>2</v>
      </c>
      <c r="P2629" s="573" t="s">
        <v>3846</v>
      </c>
      <c r="Q2629" s="571">
        <v>12100</v>
      </c>
      <c r="R2629" s="573" t="s">
        <v>4231</v>
      </c>
      <c r="S2629" s="573">
        <v>8</v>
      </c>
      <c r="T2629" s="573" t="s">
        <v>4572</v>
      </c>
      <c r="U2629" s="573" t="s">
        <v>4635</v>
      </c>
      <c r="V2629" s="573">
        <v>176</v>
      </c>
      <c r="W2629" s="573">
        <v>48</v>
      </c>
      <c r="X2629" s="571">
        <v>14000</v>
      </c>
      <c r="Y2629" s="569">
        <v>12</v>
      </c>
      <c r="Z2629" s="579" t="s">
        <v>728</v>
      </c>
      <c r="AA2629" s="579" t="s">
        <v>1523</v>
      </c>
      <c r="AB2629" s="584">
        <v>57930</v>
      </c>
      <c r="AC2629" s="584" t="s">
        <v>164</v>
      </c>
      <c r="AD2629" s="584">
        <v>46640</v>
      </c>
      <c r="AE2629" s="586">
        <v>0.05</v>
      </c>
      <c r="AF2629" s="661" t="str">
        <f t="shared" si="283"/>
        <v>2019-LTK-FRD-F350-024-26</v>
      </c>
      <c r="AG2629" s="661" t="str">
        <f>IF(AND($Y2629&gt;=32,(AI2629="I"),(Y2629&lt;&gt;"~"),(COUNTIF($AN$1:$AN2629,$AN2629)=1)),"TRUE","FALSE")</f>
        <v>FALSE</v>
      </c>
      <c r="AH2629" s="661" t="str">
        <f>IF(AND($Y2629&gt;=22, (AI2629&lt;&gt;"I"),(Y2629&lt;&gt;"~"),(COUNTIF($AN$1:$AN2629,$AN2629)=1)),"TRUE","FALSE")</f>
        <v>FALSE</v>
      </c>
      <c r="AI2629" s="661" t="str">
        <f t="shared" si="285"/>
        <v>N/A</v>
      </c>
      <c r="AJ2629" s="662" t="str">
        <f t="shared" si="286"/>
        <v>F350-024</v>
      </c>
      <c r="AK2629" s="662" t="str">
        <f t="shared" si="287"/>
        <v>LTK</v>
      </c>
      <c r="AL2629" s="662" t="str">
        <f t="shared" si="288"/>
        <v>FRD</v>
      </c>
      <c r="AM2629" s="662" t="str">
        <f t="shared" si="284"/>
        <v>F350-Crew Cab XLT DRW-4WD-6-8'-12100-6.7L Diesel-8-W3D-623A-176-48-Diesel-BioDiesel</v>
      </c>
      <c r="AN2629" s="662" t="str">
        <f t="shared" si="289"/>
        <v>2019-LTK-FRD-F350-024</v>
      </c>
    </row>
    <row r="2630" spans="1:40" s="572" customFormat="1" ht="15">
      <c r="A2630" s="570" t="s">
        <v>4657</v>
      </c>
      <c r="B2630" s="569" t="s">
        <v>4648</v>
      </c>
      <c r="C2630" s="569" t="s">
        <v>280</v>
      </c>
      <c r="D2630" s="580">
        <v>27</v>
      </c>
      <c r="E2630" s="569" t="s">
        <v>3374</v>
      </c>
      <c r="F2630" s="569" t="s">
        <v>187</v>
      </c>
      <c r="G2630" s="569" t="s">
        <v>271</v>
      </c>
      <c r="H2630" s="569">
        <v>2019</v>
      </c>
      <c r="I2630" s="569" t="s">
        <v>4503</v>
      </c>
      <c r="J2630" s="569" t="s">
        <v>4634</v>
      </c>
      <c r="K2630" s="569" t="s">
        <v>752</v>
      </c>
      <c r="L2630" s="569">
        <v>6</v>
      </c>
      <c r="M2630" s="569">
        <v>0</v>
      </c>
      <c r="N2630" s="569" t="s">
        <v>157</v>
      </c>
      <c r="O2630" s="569">
        <v>2</v>
      </c>
      <c r="P2630" s="569" t="s">
        <v>3846</v>
      </c>
      <c r="Q2630" s="568">
        <v>12100</v>
      </c>
      <c r="R2630" s="569" t="s">
        <v>4235</v>
      </c>
      <c r="S2630" s="569">
        <v>8</v>
      </c>
      <c r="T2630" s="569" t="s">
        <v>4572</v>
      </c>
      <c r="U2630" s="569" t="s">
        <v>4635</v>
      </c>
      <c r="V2630" s="569">
        <v>176</v>
      </c>
      <c r="W2630" s="569">
        <v>34</v>
      </c>
      <c r="X2630" s="568">
        <v>14000</v>
      </c>
      <c r="Y2630" s="569">
        <v>12</v>
      </c>
      <c r="Z2630" s="581" t="s">
        <v>450</v>
      </c>
      <c r="AA2630" s="581" t="s">
        <v>178</v>
      </c>
      <c r="AB2630" s="585">
        <v>48810</v>
      </c>
      <c r="AC2630" s="585" t="s">
        <v>164</v>
      </c>
      <c r="AD2630" s="585">
        <v>38149.178947368426</v>
      </c>
      <c r="AE2630" s="587">
        <v>0.03</v>
      </c>
      <c r="AF2630" s="661" t="str">
        <f t="shared" si="283"/>
        <v>2019-LTK-FRD-F350-022-27</v>
      </c>
      <c r="AG2630" s="661" t="str">
        <f>IF(AND($Y2630&gt;=32,(AI2630="I"),(Y2630&lt;&gt;"~"),(COUNTIF($AN$1:$AN2630,$AN2630)=1)),"TRUE","FALSE")</f>
        <v>FALSE</v>
      </c>
      <c r="AH2630" s="661" t="str">
        <f>IF(AND($Y2630&gt;=22, (AI2630&lt;&gt;"I"),(Y2630&lt;&gt;"~"),(COUNTIF($AN$1:$AN2630,$AN2630)=1)),"TRUE","FALSE")</f>
        <v>FALSE</v>
      </c>
      <c r="AI2630" s="661" t="str">
        <f t="shared" si="285"/>
        <v>N/A</v>
      </c>
      <c r="AJ2630" s="662" t="str">
        <f t="shared" si="286"/>
        <v>F350-022</v>
      </c>
      <c r="AK2630" s="662" t="str">
        <f t="shared" si="287"/>
        <v>LTK</v>
      </c>
      <c r="AL2630" s="662" t="str">
        <f t="shared" si="288"/>
        <v>FRD</v>
      </c>
      <c r="AM2630" s="662" t="str">
        <f t="shared" si="284"/>
        <v>F350-Crew Cab XLT DRW-4WD-6-8'-12100-6.2L FFV-8-W3D-623A-176-34-E85-Unleaded</v>
      </c>
      <c r="AN2630" s="662" t="str">
        <f t="shared" si="289"/>
        <v>2019-LTK-FRD-F350-022</v>
      </c>
    </row>
    <row r="2631" spans="1:40" s="572" customFormat="1" ht="15">
      <c r="A2631" s="570" t="s">
        <v>4658</v>
      </c>
      <c r="B2631" s="573" t="s">
        <v>4650</v>
      </c>
      <c r="C2631" s="573" t="s">
        <v>280</v>
      </c>
      <c r="D2631" s="578">
        <v>27</v>
      </c>
      <c r="E2631" s="573" t="s">
        <v>3374</v>
      </c>
      <c r="F2631" s="573" t="s">
        <v>187</v>
      </c>
      <c r="G2631" s="573" t="s">
        <v>271</v>
      </c>
      <c r="H2631" s="573">
        <v>2019</v>
      </c>
      <c r="I2631" s="573" t="s">
        <v>4503</v>
      </c>
      <c r="J2631" s="573" t="s">
        <v>4634</v>
      </c>
      <c r="K2631" s="573" t="s">
        <v>752</v>
      </c>
      <c r="L2631" s="573">
        <v>6</v>
      </c>
      <c r="M2631" s="573">
        <v>0</v>
      </c>
      <c r="N2631" s="573" t="s">
        <v>157</v>
      </c>
      <c r="O2631" s="573">
        <v>2</v>
      </c>
      <c r="P2631" s="573" t="s">
        <v>3846</v>
      </c>
      <c r="Q2631" s="571">
        <v>12100</v>
      </c>
      <c r="R2631" s="573" t="s">
        <v>4235</v>
      </c>
      <c r="S2631" s="573">
        <v>8</v>
      </c>
      <c r="T2631" s="573" t="s">
        <v>4572</v>
      </c>
      <c r="U2631" s="573" t="s">
        <v>4635</v>
      </c>
      <c r="V2631" s="573">
        <v>176</v>
      </c>
      <c r="W2631" s="573">
        <v>48</v>
      </c>
      <c r="X2631" s="571">
        <v>14000</v>
      </c>
      <c r="Y2631" s="569">
        <v>12</v>
      </c>
      <c r="Z2631" s="579" t="s">
        <v>450</v>
      </c>
      <c r="AA2631" s="579" t="s">
        <v>178</v>
      </c>
      <c r="AB2631" s="584">
        <v>48810</v>
      </c>
      <c r="AC2631" s="584" t="s">
        <v>164</v>
      </c>
      <c r="AD2631" s="584">
        <v>38149.178947368426</v>
      </c>
      <c r="AE2631" s="586">
        <v>0.03</v>
      </c>
      <c r="AF2631" s="661" t="str">
        <f t="shared" si="283"/>
        <v>2019-LTK-FRD-F350-023-27</v>
      </c>
      <c r="AG2631" s="661" t="str">
        <f>IF(AND($Y2631&gt;=32,(AI2631="I"),(Y2631&lt;&gt;"~"),(COUNTIF($AN$1:$AN2631,$AN2631)=1)),"TRUE","FALSE")</f>
        <v>FALSE</v>
      </c>
      <c r="AH2631" s="661" t="str">
        <f>IF(AND($Y2631&gt;=22, (AI2631&lt;&gt;"I"),(Y2631&lt;&gt;"~"),(COUNTIF($AN$1:$AN2631,$AN2631)=1)),"TRUE","FALSE")</f>
        <v>FALSE</v>
      </c>
      <c r="AI2631" s="661" t="str">
        <f t="shared" si="285"/>
        <v>N/A</v>
      </c>
      <c r="AJ2631" s="662" t="str">
        <f t="shared" si="286"/>
        <v>F350-023</v>
      </c>
      <c r="AK2631" s="662" t="str">
        <f t="shared" si="287"/>
        <v>LTK</v>
      </c>
      <c r="AL2631" s="662" t="str">
        <f t="shared" si="288"/>
        <v>FRD</v>
      </c>
      <c r="AM2631" s="662" t="str">
        <f t="shared" si="284"/>
        <v>F350-Crew Cab XLT DRW-4WD-6-8'-12100-6.2L FFV-8-W3D-623A-176-48-E85-Unleaded</v>
      </c>
      <c r="AN2631" s="662" t="str">
        <f t="shared" si="289"/>
        <v>2019-LTK-FRD-F350-023</v>
      </c>
    </row>
    <row r="2632" spans="1:40" s="572" customFormat="1" ht="15">
      <c r="A2632" s="570" t="s">
        <v>4659</v>
      </c>
      <c r="B2632" s="569" t="s">
        <v>4652</v>
      </c>
      <c r="C2632" s="569" t="s">
        <v>280</v>
      </c>
      <c r="D2632" s="580">
        <v>27</v>
      </c>
      <c r="E2632" s="569" t="s">
        <v>3374</v>
      </c>
      <c r="F2632" s="569" t="s">
        <v>187</v>
      </c>
      <c r="G2632" s="569" t="s">
        <v>271</v>
      </c>
      <c r="H2632" s="569">
        <v>2019</v>
      </c>
      <c r="I2632" s="569" t="s">
        <v>4503</v>
      </c>
      <c r="J2632" s="569" t="s">
        <v>4634</v>
      </c>
      <c r="K2632" s="569" t="s">
        <v>752</v>
      </c>
      <c r="L2632" s="569">
        <v>6</v>
      </c>
      <c r="M2632" s="569">
        <v>0</v>
      </c>
      <c r="N2632" s="569" t="s">
        <v>157</v>
      </c>
      <c r="O2632" s="569">
        <v>2</v>
      </c>
      <c r="P2632" s="569" t="s">
        <v>3846</v>
      </c>
      <c r="Q2632" s="568">
        <v>12100</v>
      </c>
      <c r="R2632" s="569" t="s">
        <v>4231</v>
      </c>
      <c r="S2632" s="569">
        <v>8</v>
      </c>
      <c r="T2632" s="569" t="s">
        <v>4572</v>
      </c>
      <c r="U2632" s="569" t="s">
        <v>4635</v>
      </c>
      <c r="V2632" s="569">
        <v>176</v>
      </c>
      <c r="W2632" s="569">
        <v>48</v>
      </c>
      <c r="X2632" s="568">
        <v>14000</v>
      </c>
      <c r="Y2632" s="569">
        <v>12</v>
      </c>
      <c r="Z2632" s="581" t="s">
        <v>728</v>
      </c>
      <c r="AA2632" s="581" t="s">
        <v>1523</v>
      </c>
      <c r="AB2632" s="585">
        <v>57930</v>
      </c>
      <c r="AC2632" s="585" t="s">
        <v>164</v>
      </c>
      <c r="AD2632" s="585">
        <v>46341.368421052633</v>
      </c>
      <c r="AE2632" s="587">
        <v>0.03</v>
      </c>
      <c r="AF2632" s="661" t="str">
        <f t="shared" si="283"/>
        <v>2019-LTK-FRD-F350-024-27</v>
      </c>
      <c r="AG2632" s="661" t="str">
        <f>IF(AND($Y2632&gt;=32,(AI2632="I"),(Y2632&lt;&gt;"~"),(COUNTIF($AN$1:$AN2632,$AN2632)=1)),"TRUE","FALSE")</f>
        <v>FALSE</v>
      </c>
      <c r="AH2632" s="661" t="str">
        <f>IF(AND($Y2632&gt;=22, (AI2632&lt;&gt;"I"),(Y2632&lt;&gt;"~"),(COUNTIF($AN$1:$AN2632,$AN2632)=1)),"TRUE","FALSE")</f>
        <v>FALSE</v>
      </c>
      <c r="AI2632" s="661" t="str">
        <f t="shared" si="285"/>
        <v>N/A</v>
      </c>
      <c r="AJ2632" s="662" t="str">
        <f t="shared" si="286"/>
        <v>F350-024</v>
      </c>
      <c r="AK2632" s="662" t="str">
        <f t="shared" si="287"/>
        <v>LTK</v>
      </c>
      <c r="AL2632" s="662" t="str">
        <f t="shared" si="288"/>
        <v>FRD</v>
      </c>
      <c r="AM2632" s="662" t="str">
        <f t="shared" si="284"/>
        <v>F350-Crew Cab XLT DRW-4WD-6-8'-12100-6.7L Diesel-8-W3D-623A-176-48-Diesel-BioDiesel</v>
      </c>
      <c r="AN2632" s="662" t="str">
        <f t="shared" si="289"/>
        <v>2019-LTK-FRD-F350-024</v>
      </c>
    </row>
    <row r="2633" spans="1:40" s="572" customFormat="1" ht="15">
      <c r="A2633" s="570" t="s">
        <v>4660</v>
      </c>
      <c r="B2633" s="573" t="s">
        <v>4661</v>
      </c>
      <c r="C2633" s="573" t="s">
        <v>269</v>
      </c>
      <c r="D2633" s="578" t="s">
        <v>270</v>
      </c>
      <c r="E2633" s="573" t="s">
        <v>3374</v>
      </c>
      <c r="F2633" s="573" t="s">
        <v>187</v>
      </c>
      <c r="G2633" s="573" t="s">
        <v>271</v>
      </c>
      <c r="H2633" s="573">
        <v>2019</v>
      </c>
      <c r="I2633" s="573" t="s">
        <v>4503</v>
      </c>
      <c r="J2633" s="573" t="s">
        <v>3837</v>
      </c>
      <c r="K2633" s="573" t="s">
        <v>3377</v>
      </c>
      <c r="L2633" s="573">
        <v>3</v>
      </c>
      <c r="M2633" s="573">
        <v>0</v>
      </c>
      <c r="N2633" s="573" t="s">
        <v>157</v>
      </c>
      <c r="O2633" s="573">
        <v>1</v>
      </c>
      <c r="P2633" s="573" t="s">
        <v>3846</v>
      </c>
      <c r="Q2633" s="571">
        <v>13100</v>
      </c>
      <c r="R2633" s="573" t="s">
        <v>4235</v>
      </c>
      <c r="S2633" s="573">
        <v>8</v>
      </c>
      <c r="T2633" s="573" t="s">
        <v>4662</v>
      </c>
      <c r="U2633" s="573" t="s">
        <v>4505</v>
      </c>
      <c r="V2633" s="573">
        <v>142</v>
      </c>
      <c r="W2633" s="573">
        <v>34</v>
      </c>
      <c r="X2633" s="571">
        <v>10000</v>
      </c>
      <c r="Y2633" s="569">
        <v>13</v>
      </c>
      <c r="Z2633" s="579" t="s">
        <v>450</v>
      </c>
      <c r="AA2633" s="579" t="s">
        <v>178</v>
      </c>
      <c r="AB2633" s="584">
        <v>35815</v>
      </c>
      <c r="AC2633" s="584" t="s">
        <v>164</v>
      </c>
      <c r="AD2633" s="584">
        <v>26146.021052631582</v>
      </c>
      <c r="AE2633" s="586">
        <v>0.03</v>
      </c>
      <c r="AF2633" s="661" t="str">
        <f t="shared" si="283"/>
        <v>2019-LTK-FRD-F350-040-05</v>
      </c>
      <c r="AG2633" s="661" t="str">
        <f>IF(AND($Y2633&gt;=32,(AI2633="I"),(Y2633&lt;&gt;"~"),(COUNTIF($AN$1:$AN2633,$AN2633)=1)),"TRUE","FALSE")</f>
        <v>FALSE</v>
      </c>
      <c r="AH2633" s="661" t="str">
        <f>IF(AND($Y2633&gt;=22, (AI2633&lt;&gt;"I"),(Y2633&lt;&gt;"~"),(COUNTIF($AN$1:$AN2633,$AN2633)=1)),"TRUE","FALSE")</f>
        <v>FALSE</v>
      </c>
      <c r="AI2633" s="661" t="str">
        <f t="shared" si="285"/>
        <v>II</v>
      </c>
      <c r="AJ2633" s="662" t="str">
        <f t="shared" si="286"/>
        <v>F350-040</v>
      </c>
      <c r="AK2633" s="662" t="str">
        <f t="shared" si="287"/>
        <v>LTK</v>
      </c>
      <c r="AL2633" s="662" t="str">
        <f t="shared" si="288"/>
        <v>FRD</v>
      </c>
      <c r="AM2633" s="662" t="str">
        <f t="shared" si="284"/>
        <v>F350-Regular Cab XL-2WD-3-8'-13100-6.2L FFV-8-F3A-610A-142-34-E85-Unleaded</v>
      </c>
      <c r="AN2633" s="662" t="str">
        <f t="shared" si="289"/>
        <v>2019-LTK-FRD-F350-040</v>
      </c>
    </row>
    <row r="2634" spans="1:40" s="572" customFormat="1" ht="15">
      <c r="A2634" s="570" t="s">
        <v>4663</v>
      </c>
      <c r="B2634" s="569" t="s">
        <v>4664</v>
      </c>
      <c r="C2634" s="569" t="s">
        <v>269</v>
      </c>
      <c r="D2634" s="580" t="s">
        <v>270</v>
      </c>
      <c r="E2634" s="569" t="s">
        <v>3374</v>
      </c>
      <c r="F2634" s="569" t="s">
        <v>187</v>
      </c>
      <c r="G2634" s="569" t="s">
        <v>271</v>
      </c>
      <c r="H2634" s="569">
        <v>2019</v>
      </c>
      <c r="I2634" s="569" t="s">
        <v>4503</v>
      </c>
      <c r="J2634" s="569" t="s">
        <v>3837</v>
      </c>
      <c r="K2634" s="569" t="s">
        <v>3377</v>
      </c>
      <c r="L2634" s="569">
        <v>3</v>
      </c>
      <c r="M2634" s="569">
        <v>0</v>
      </c>
      <c r="N2634" s="569" t="s">
        <v>157</v>
      </c>
      <c r="O2634" s="569">
        <v>1</v>
      </c>
      <c r="P2634" s="569" t="s">
        <v>3846</v>
      </c>
      <c r="Q2634" s="568">
        <v>13100</v>
      </c>
      <c r="R2634" s="569" t="s">
        <v>4231</v>
      </c>
      <c r="S2634" s="569">
        <v>8</v>
      </c>
      <c r="T2634" s="569" t="s">
        <v>4662</v>
      </c>
      <c r="U2634" s="569" t="s">
        <v>4505</v>
      </c>
      <c r="V2634" s="569">
        <v>142</v>
      </c>
      <c r="W2634" s="569">
        <v>29</v>
      </c>
      <c r="X2634" s="568">
        <v>10600</v>
      </c>
      <c r="Y2634" s="569">
        <v>13</v>
      </c>
      <c r="Z2634" s="581" t="s">
        <v>728</v>
      </c>
      <c r="AA2634" s="581" t="s">
        <v>1523</v>
      </c>
      <c r="AB2634" s="585">
        <v>44935</v>
      </c>
      <c r="AC2634" s="585" t="s">
        <v>164</v>
      </c>
      <c r="AD2634" s="585">
        <v>34338.210526315794</v>
      </c>
      <c r="AE2634" s="587">
        <v>0.03</v>
      </c>
      <c r="AF2634" s="661" t="str">
        <f t="shared" si="283"/>
        <v>2019-LTK-FRD-F350-041-05</v>
      </c>
      <c r="AG2634" s="661" t="str">
        <f>IF(AND($Y2634&gt;=32,(AI2634="I"),(Y2634&lt;&gt;"~"),(COUNTIF($AN$1:$AN2634,$AN2634)=1)),"TRUE","FALSE")</f>
        <v>FALSE</v>
      </c>
      <c r="AH2634" s="661" t="str">
        <f>IF(AND($Y2634&gt;=22, (AI2634&lt;&gt;"I"),(Y2634&lt;&gt;"~"),(COUNTIF($AN$1:$AN2634,$AN2634)=1)),"TRUE","FALSE")</f>
        <v>FALSE</v>
      </c>
      <c r="AI2634" s="661" t="str">
        <f t="shared" si="285"/>
        <v>N/A</v>
      </c>
      <c r="AJ2634" s="662" t="str">
        <f t="shared" si="286"/>
        <v>F350-041</v>
      </c>
      <c r="AK2634" s="662" t="str">
        <f t="shared" si="287"/>
        <v>LTK</v>
      </c>
      <c r="AL2634" s="662" t="str">
        <f t="shared" si="288"/>
        <v>FRD</v>
      </c>
      <c r="AM2634" s="662" t="str">
        <f t="shared" si="284"/>
        <v>F350-Regular Cab XL-2WD-3-8'-13100-6.7L Diesel-8-F3A-610A-142-29-Diesel-BioDiesel</v>
      </c>
      <c r="AN2634" s="662" t="str">
        <f t="shared" si="289"/>
        <v>2019-LTK-FRD-F350-041</v>
      </c>
    </row>
    <row r="2635" spans="1:40" s="572" customFormat="1" ht="15">
      <c r="A2635" s="570" t="s">
        <v>4665</v>
      </c>
      <c r="B2635" s="573" t="s">
        <v>4661</v>
      </c>
      <c r="C2635" s="573" t="s">
        <v>278</v>
      </c>
      <c r="D2635" s="578">
        <v>15</v>
      </c>
      <c r="E2635" s="573" t="s">
        <v>3374</v>
      </c>
      <c r="F2635" s="573" t="s">
        <v>187</v>
      </c>
      <c r="G2635" s="573" t="s">
        <v>271</v>
      </c>
      <c r="H2635" s="573">
        <v>2019</v>
      </c>
      <c r="I2635" s="573" t="s">
        <v>4503</v>
      </c>
      <c r="J2635" s="573" t="s">
        <v>3837</v>
      </c>
      <c r="K2635" s="573" t="s">
        <v>3377</v>
      </c>
      <c r="L2635" s="573">
        <v>3</v>
      </c>
      <c r="M2635" s="573">
        <v>0</v>
      </c>
      <c r="N2635" s="573" t="s">
        <v>157</v>
      </c>
      <c r="O2635" s="573">
        <v>1</v>
      </c>
      <c r="P2635" s="573" t="s">
        <v>3846</v>
      </c>
      <c r="Q2635" s="571">
        <v>13100</v>
      </c>
      <c r="R2635" s="573" t="s">
        <v>4235</v>
      </c>
      <c r="S2635" s="573">
        <v>8</v>
      </c>
      <c r="T2635" s="573" t="s">
        <v>4662</v>
      </c>
      <c r="U2635" s="573" t="s">
        <v>4505</v>
      </c>
      <c r="V2635" s="573">
        <v>142</v>
      </c>
      <c r="W2635" s="573">
        <v>34</v>
      </c>
      <c r="X2635" s="571">
        <v>10000</v>
      </c>
      <c r="Y2635" s="569">
        <v>13</v>
      </c>
      <c r="Z2635" s="579" t="s">
        <v>450</v>
      </c>
      <c r="AA2635" s="579" t="s">
        <v>178</v>
      </c>
      <c r="AB2635" s="584">
        <v>35815</v>
      </c>
      <c r="AC2635" s="584" t="s">
        <v>164</v>
      </c>
      <c r="AD2635" s="584">
        <v>26300</v>
      </c>
      <c r="AE2635" s="586">
        <v>0.01</v>
      </c>
      <c r="AF2635" s="661" t="str">
        <f t="shared" si="283"/>
        <v>2019-LTK-FRD-F350-040-15</v>
      </c>
      <c r="AG2635" s="661" t="str">
        <f>IF(AND($Y2635&gt;=32,(AI2635="I"),(Y2635&lt;&gt;"~"),(COUNTIF($AN$1:$AN2635,$AN2635)=1)),"TRUE","FALSE")</f>
        <v>FALSE</v>
      </c>
      <c r="AH2635" s="661" t="str">
        <f>IF(AND($Y2635&gt;=22, (AI2635&lt;&gt;"I"),(Y2635&lt;&gt;"~"),(COUNTIF($AN$1:$AN2635,$AN2635)=1)),"TRUE","FALSE")</f>
        <v>FALSE</v>
      </c>
      <c r="AI2635" s="661" t="str">
        <f t="shared" si="285"/>
        <v>II</v>
      </c>
      <c r="AJ2635" s="662" t="str">
        <f t="shared" si="286"/>
        <v>F350-040</v>
      </c>
      <c r="AK2635" s="662" t="str">
        <f t="shared" si="287"/>
        <v>LTK</v>
      </c>
      <c r="AL2635" s="662" t="str">
        <f t="shared" si="288"/>
        <v>FRD</v>
      </c>
      <c r="AM2635" s="662" t="str">
        <f t="shared" si="284"/>
        <v>F350-Regular Cab XL-2WD-3-8'-13100-6.2L FFV-8-F3A-610A-142-34-E85-Unleaded</v>
      </c>
      <c r="AN2635" s="662" t="str">
        <f t="shared" si="289"/>
        <v>2019-LTK-FRD-F350-040</v>
      </c>
    </row>
    <row r="2636" spans="1:40" ht="15">
      <c r="A2636" s="570" t="s">
        <v>4666</v>
      </c>
      <c r="B2636" s="569" t="s">
        <v>4664</v>
      </c>
      <c r="C2636" s="569" t="s">
        <v>278</v>
      </c>
      <c r="D2636" s="580">
        <v>15</v>
      </c>
      <c r="E2636" s="569" t="s">
        <v>3374</v>
      </c>
      <c r="F2636" s="569" t="s">
        <v>187</v>
      </c>
      <c r="G2636" s="569" t="s">
        <v>271</v>
      </c>
      <c r="H2636" s="569">
        <v>2019</v>
      </c>
      <c r="I2636" s="569" t="s">
        <v>4503</v>
      </c>
      <c r="J2636" s="569" t="s">
        <v>3837</v>
      </c>
      <c r="K2636" s="569" t="s">
        <v>3377</v>
      </c>
      <c r="L2636" s="569">
        <v>3</v>
      </c>
      <c r="M2636" s="569">
        <v>0</v>
      </c>
      <c r="N2636" s="569" t="s">
        <v>157</v>
      </c>
      <c r="O2636" s="569">
        <v>1</v>
      </c>
      <c r="P2636" s="569" t="s">
        <v>3846</v>
      </c>
      <c r="Q2636" s="568">
        <v>13100</v>
      </c>
      <c r="R2636" s="569" t="s">
        <v>4231</v>
      </c>
      <c r="S2636" s="569">
        <v>8</v>
      </c>
      <c r="T2636" s="569" t="s">
        <v>4662</v>
      </c>
      <c r="U2636" s="569" t="s">
        <v>4505</v>
      </c>
      <c r="V2636" s="569">
        <v>142</v>
      </c>
      <c r="W2636" s="569">
        <v>29</v>
      </c>
      <c r="X2636" s="568">
        <v>10600</v>
      </c>
      <c r="Y2636" s="569">
        <v>13</v>
      </c>
      <c r="Z2636" s="581" t="s">
        <v>728</v>
      </c>
      <c r="AA2636" s="581" t="s">
        <v>1523</v>
      </c>
      <c r="AB2636" s="585">
        <v>44935</v>
      </c>
      <c r="AC2636" s="585" t="s">
        <v>164</v>
      </c>
      <c r="AD2636" s="585">
        <v>34500</v>
      </c>
      <c r="AE2636" s="587">
        <v>0.01</v>
      </c>
      <c r="AF2636" s="661" t="str">
        <f t="shared" ref="AF2636:AF2699" si="290">A2636</f>
        <v>2019-LTK-FRD-F350-041-15</v>
      </c>
      <c r="AG2636" s="661" t="str">
        <f>IF(AND($Y2636&gt;=32,(AI2636="I"),(Y2636&lt;&gt;"~"),(COUNTIF($AN$1:$AN2636,$AN2636)=1)),"TRUE","FALSE")</f>
        <v>FALSE</v>
      </c>
      <c r="AH2636" s="661" t="str">
        <f>IF(AND($Y2636&gt;=22, (AI2636&lt;&gt;"I"),(Y2636&lt;&gt;"~"),(COUNTIF($AN$1:$AN2636,$AN2636)=1)),"TRUE","FALSE")</f>
        <v>FALSE</v>
      </c>
      <c r="AI2636" s="661" t="str">
        <f t="shared" si="285"/>
        <v>N/A</v>
      </c>
      <c r="AJ2636" s="662" t="str">
        <f t="shared" si="286"/>
        <v>F350-041</v>
      </c>
      <c r="AK2636" s="662" t="str">
        <f t="shared" si="287"/>
        <v>LTK</v>
      </c>
      <c r="AL2636" s="662" t="str">
        <f t="shared" si="288"/>
        <v>FRD</v>
      </c>
      <c r="AM2636" s="662" t="str">
        <f t="shared" si="284"/>
        <v>F350-Regular Cab XL-2WD-3-8'-13100-6.7L Diesel-8-F3A-610A-142-29-Diesel-BioDiesel</v>
      </c>
      <c r="AN2636" s="662" t="str">
        <f t="shared" si="289"/>
        <v>2019-LTK-FRD-F350-041</v>
      </c>
    </row>
    <row r="2637" spans="1:40" ht="15">
      <c r="A2637" s="570" t="s">
        <v>4667</v>
      </c>
      <c r="B2637" s="573" t="s">
        <v>4661</v>
      </c>
      <c r="C2637" s="573" t="s">
        <v>287</v>
      </c>
      <c r="D2637" s="578">
        <v>26</v>
      </c>
      <c r="E2637" s="573" t="s">
        <v>3374</v>
      </c>
      <c r="F2637" s="573" t="s">
        <v>187</v>
      </c>
      <c r="G2637" s="573" t="s">
        <v>271</v>
      </c>
      <c r="H2637" s="573">
        <v>2019</v>
      </c>
      <c r="I2637" s="573" t="s">
        <v>4503</v>
      </c>
      <c r="J2637" s="573" t="s">
        <v>3837</v>
      </c>
      <c r="K2637" s="573" t="s">
        <v>3377</v>
      </c>
      <c r="L2637" s="573">
        <v>3</v>
      </c>
      <c r="M2637" s="573">
        <v>0</v>
      </c>
      <c r="N2637" s="573" t="s">
        <v>157</v>
      </c>
      <c r="O2637" s="573">
        <v>1</v>
      </c>
      <c r="P2637" s="573" t="s">
        <v>3846</v>
      </c>
      <c r="Q2637" s="571">
        <v>13100</v>
      </c>
      <c r="R2637" s="573" t="s">
        <v>4235</v>
      </c>
      <c r="S2637" s="573">
        <v>8</v>
      </c>
      <c r="T2637" s="573" t="s">
        <v>4662</v>
      </c>
      <c r="U2637" s="573" t="s">
        <v>4505</v>
      </c>
      <c r="V2637" s="573">
        <v>142</v>
      </c>
      <c r="W2637" s="573">
        <v>34</v>
      </c>
      <c r="X2637" s="571">
        <v>10000</v>
      </c>
      <c r="Y2637" s="569">
        <v>13</v>
      </c>
      <c r="Z2637" s="579" t="s">
        <v>450</v>
      </c>
      <c r="AA2637" s="579" t="s">
        <v>178</v>
      </c>
      <c r="AB2637" s="584">
        <v>35815</v>
      </c>
      <c r="AC2637" s="584" t="s">
        <v>164</v>
      </c>
      <c r="AD2637" s="584">
        <v>26341</v>
      </c>
      <c r="AE2637" s="586">
        <v>0.05</v>
      </c>
      <c r="AF2637" s="661" t="str">
        <f t="shared" si="290"/>
        <v>2019-LTK-FRD-F350-040-26</v>
      </c>
      <c r="AG2637" s="661" t="str">
        <f>IF(AND($Y2637&gt;=32,(AI2637="I"),(Y2637&lt;&gt;"~"),(COUNTIF($AN$1:$AN2637,$AN2637)=1)),"TRUE","FALSE")</f>
        <v>FALSE</v>
      </c>
      <c r="AH2637" s="661" t="str">
        <f>IF(AND($Y2637&gt;=22, (AI2637&lt;&gt;"I"),(Y2637&lt;&gt;"~"),(COUNTIF($AN$1:$AN2637,$AN2637)=1)),"TRUE","FALSE")</f>
        <v>FALSE</v>
      </c>
      <c r="AI2637" s="661" t="str">
        <f t="shared" si="285"/>
        <v>II</v>
      </c>
      <c r="AJ2637" s="662" t="str">
        <f t="shared" si="286"/>
        <v>F350-040</v>
      </c>
      <c r="AK2637" s="662" t="str">
        <f t="shared" si="287"/>
        <v>LTK</v>
      </c>
      <c r="AL2637" s="662" t="str">
        <f t="shared" si="288"/>
        <v>FRD</v>
      </c>
      <c r="AM2637" s="662" t="str">
        <f t="shared" si="284"/>
        <v>F350-Regular Cab XL-2WD-3-8'-13100-6.2L FFV-8-F3A-610A-142-34-E85-Unleaded</v>
      </c>
      <c r="AN2637" s="662" t="str">
        <f t="shared" si="289"/>
        <v>2019-LTK-FRD-F350-040</v>
      </c>
    </row>
    <row r="2638" spans="1:40" ht="15">
      <c r="A2638" s="570" t="s">
        <v>4668</v>
      </c>
      <c r="B2638" s="569" t="s">
        <v>4664</v>
      </c>
      <c r="C2638" s="569" t="s">
        <v>287</v>
      </c>
      <c r="D2638" s="580">
        <v>26</v>
      </c>
      <c r="E2638" s="569" t="s">
        <v>3374</v>
      </c>
      <c r="F2638" s="569" t="s">
        <v>187</v>
      </c>
      <c r="G2638" s="569" t="s">
        <v>271</v>
      </c>
      <c r="H2638" s="569">
        <v>2019</v>
      </c>
      <c r="I2638" s="569" t="s">
        <v>4503</v>
      </c>
      <c r="J2638" s="569" t="s">
        <v>3837</v>
      </c>
      <c r="K2638" s="569" t="s">
        <v>3377</v>
      </c>
      <c r="L2638" s="569">
        <v>3</v>
      </c>
      <c r="M2638" s="569">
        <v>0</v>
      </c>
      <c r="N2638" s="569" t="s">
        <v>157</v>
      </c>
      <c r="O2638" s="569">
        <v>1</v>
      </c>
      <c r="P2638" s="569" t="s">
        <v>3846</v>
      </c>
      <c r="Q2638" s="568">
        <v>13100</v>
      </c>
      <c r="R2638" s="569" t="s">
        <v>4231</v>
      </c>
      <c r="S2638" s="569">
        <v>8</v>
      </c>
      <c r="T2638" s="569" t="s">
        <v>4662</v>
      </c>
      <c r="U2638" s="569" t="s">
        <v>4505</v>
      </c>
      <c r="V2638" s="569">
        <v>142</v>
      </c>
      <c r="W2638" s="569">
        <v>29</v>
      </c>
      <c r="X2638" s="568">
        <v>10600</v>
      </c>
      <c r="Y2638" s="569">
        <v>13</v>
      </c>
      <c r="Z2638" s="581" t="s">
        <v>728</v>
      </c>
      <c r="AA2638" s="581" t="s">
        <v>1523</v>
      </c>
      <c r="AB2638" s="585">
        <v>44935</v>
      </c>
      <c r="AC2638" s="585" t="s">
        <v>164</v>
      </c>
      <c r="AD2638" s="585">
        <v>34535</v>
      </c>
      <c r="AE2638" s="587">
        <v>0.05</v>
      </c>
      <c r="AF2638" s="661" t="str">
        <f t="shared" si="290"/>
        <v>2019-LTK-FRD-F350-041-26</v>
      </c>
      <c r="AG2638" s="661" t="str">
        <f>IF(AND($Y2638&gt;=32,(AI2638="I"),(Y2638&lt;&gt;"~"),(COUNTIF($AN$1:$AN2638,$AN2638)=1)),"TRUE","FALSE")</f>
        <v>FALSE</v>
      </c>
      <c r="AH2638" s="661" t="str">
        <f>IF(AND($Y2638&gt;=22, (AI2638&lt;&gt;"I"),(Y2638&lt;&gt;"~"),(COUNTIF($AN$1:$AN2638,$AN2638)=1)),"TRUE","FALSE")</f>
        <v>FALSE</v>
      </c>
      <c r="AI2638" s="661" t="str">
        <f t="shared" si="285"/>
        <v>N/A</v>
      </c>
      <c r="AJ2638" s="662" t="str">
        <f t="shared" si="286"/>
        <v>F350-041</v>
      </c>
      <c r="AK2638" s="662" t="str">
        <f t="shared" si="287"/>
        <v>LTK</v>
      </c>
      <c r="AL2638" s="662" t="str">
        <f t="shared" si="288"/>
        <v>FRD</v>
      </c>
      <c r="AM2638" s="662" t="str">
        <f t="shared" si="284"/>
        <v>F350-Regular Cab XL-2WD-3-8'-13100-6.7L Diesel-8-F3A-610A-142-29-Diesel-BioDiesel</v>
      </c>
      <c r="AN2638" s="662" t="str">
        <f t="shared" si="289"/>
        <v>2019-LTK-FRD-F350-041</v>
      </c>
    </row>
    <row r="2639" spans="1:40" ht="15">
      <c r="A2639" s="570" t="s">
        <v>4669</v>
      </c>
      <c r="B2639" s="573" t="s">
        <v>4661</v>
      </c>
      <c r="C2639" s="573" t="s">
        <v>280</v>
      </c>
      <c r="D2639" s="578">
        <v>27</v>
      </c>
      <c r="E2639" s="573" t="s">
        <v>3374</v>
      </c>
      <c r="F2639" s="573" t="s">
        <v>187</v>
      </c>
      <c r="G2639" s="573" t="s">
        <v>271</v>
      </c>
      <c r="H2639" s="573">
        <v>2019</v>
      </c>
      <c r="I2639" s="573" t="s">
        <v>4503</v>
      </c>
      <c r="J2639" s="573" t="s">
        <v>3837</v>
      </c>
      <c r="K2639" s="573" t="s">
        <v>3377</v>
      </c>
      <c r="L2639" s="573">
        <v>3</v>
      </c>
      <c r="M2639" s="573">
        <v>0</v>
      </c>
      <c r="N2639" s="573" t="s">
        <v>157</v>
      </c>
      <c r="O2639" s="573">
        <v>1</v>
      </c>
      <c r="P2639" s="573" t="s">
        <v>3846</v>
      </c>
      <c r="Q2639" s="571">
        <v>13100</v>
      </c>
      <c r="R2639" s="573" t="s">
        <v>4235</v>
      </c>
      <c r="S2639" s="573">
        <v>8</v>
      </c>
      <c r="T2639" s="573" t="s">
        <v>4662</v>
      </c>
      <c r="U2639" s="573" t="s">
        <v>4505</v>
      </c>
      <c r="V2639" s="573">
        <v>142</v>
      </c>
      <c r="W2639" s="573">
        <v>34</v>
      </c>
      <c r="X2639" s="571">
        <v>10000</v>
      </c>
      <c r="Y2639" s="569">
        <v>13</v>
      </c>
      <c r="Z2639" s="579" t="s">
        <v>450</v>
      </c>
      <c r="AA2639" s="579" t="s">
        <v>178</v>
      </c>
      <c r="AB2639" s="584">
        <v>35815</v>
      </c>
      <c r="AC2639" s="584" t="s">
        <v>164</v>
      </c>
      <c r="AD2639" s="584">
        <v>26146.021052631582</v>
      </c>
      <c r="AE2639" s="586">
        <v>0.03</v>
      </c>
      <c r="AF2639" s="661" t="str">
        <f t="shared" si="290"/>
        <v>2019-LTK-FRD-F350-040-27</v>
      </c>
      <c r="AG2639" s="661" t="str">
        <f>IF(AND($Y2639&gt;=32,(AI2639="I"),(Y2639&lt;&gt;"~"),(COUNTIF($AN$1:$AN2639,$AN2639)=1)),"TRUE","FALSE")</f>
        <v>FALSE</v>
      </c>
      <c r="AH2639" s="661" t="str">
        <f>IF(AND($Y2639&gt;=22, (AI2639&lt;&gt;"I"),(Y2639&lt;&gt;"~"),(COUNTIF($AN$1:$AN2639,$AN2639)=1)),"TRUE","FALSE")</f>
        <v>FALSE</v>
      </c>
      <c r="AI2639" s="661" t="str">
        <f t="shared" si="285"/>
        <v>II</v>
      </c>
      <c r="AJ2639" s="662" t="str">
        <f t="shared" si="286"/>
        <v>F350-040</v>
      </c>
      <c r="AK2639" s="662" t="str">
        <f t="shared" si="287"/>
        <v>LTK</v>
      </c>
      <c r="AL2639" s="662" t="str">
        <f t="shared" si="288"/>
        <v>FRD</v>
      </c>
      <c r="AM2639" s="662" t="str">
        <f t="shared" si="284"/>
        <v>F350-Regular Cab XL-2WD-3-8'-13100-6.2L FFV-8-F3A-610A-142-34-E85-Unleaded</v>
      </c>
      <c r="AN2639" s="662" t="str">
        <f t="shared" si="289"/>
        <v>2019-LTK-FRD-F350-040</v>
      </c>
    </row>
    <row r="2640" spans="1:40" ht="15">
      <c r="A2640" s="570" t="s">
        <v>4670</v>
      </c>
      <c r="B2640" s="569" t="s">
        <v>4664</v>
      </c>
      <c r="C2640" s="569" t="s">
        <v>280</v>
      </c>
      <c r="D2640" s="580">
        <v>27</v>
      </c>
      <c r="E2640" s="569" t="s">
        <v>3374</v>
      </c>
      <c r="F2640" s="569" t="s">
        <v>187</v>
      </c>
      <c r="G2640" s="569" t="s">
        <v>271</v>
      </c>
      <c r="H2640" s="569">
        <v>2019</v>
      </c>
      <c r="I2640" s="569" t="s">
        <v>4503</v>
      </c>
      <c r="J2640" s="569" t="s">
        <v>3837</v>
      </c>
      <c r="K2640" s="569" t="s">
        <v>3377</v>
      </c>
      <c r="L2640" s="569">
        <v>3</v>
      </c>
      <c r="M2640" s="569">
        <v>0</v>
      </c>
      <c r="N2640" s="569" t="s">
        <v>157</v>
      </c>
      <c r="O2640" s="569">
        <v>1</v>
      </c>
      <c r="P2640" s="569" t="s">
        <v>3846</v>
      </c>
      <c r="Q2640" s="568">
        <v>13100</v>
      </c>
      <c r="R2640" s="569" t="s">
        <v>4231</v>
      </c>
      <c r="S2640" s="569">
        <v>8</v>
      </c>
      <c r="T2640" s="569" t="s">
        <v>4662</v>
      </c>
      <c r="U2640" s="569" t="s">
        <v>4505</v>
      </c>
      <c r="V2640" s="569">
        <v>142</v>
      </c>
      <c r="W2640" s="569">
        <v>29</v>
      </c>
      <c r="X2640" s="568">
        <v>10600</v>
      </c>
      <c r="Y2640" s="569">
        <v>13</v>
      </c>
      <c r="Z2640" s="581" t="s">
        <v>728</v>
      </c>
      <c r="AA2640" s="581" t="s">
        <v>1523</v>
      </c>
      <c r="AB2640" s="585">
        <v>44935</v>
      </c>
      <c r="AC2640" s="585" t="s">
        <v>164</v>
      </c>
      <c r="AD2640" s="585">
        <v>34338.210526315794</v>
      </c>
      <c r="AE2640" s="587">
        <v>0.03</v>
      </c>
      <c r="AF2640" s="661" t="str">
        <f t="shared" si="290"/>
        <v>2019-LTK-FRD-F350-041-27</v>
      </c>
      <c r="AG2640" s="661" t="str">
        <f>IF(AND($Y2640&gt;=32,(AI2640="I"),(Y2640&lt;&gt;"~"),(COUNTIF($AN$1:$AN2640,$AN2640)=1)),"TRUE","FALSE")</f>
        <v>FALSE</v>
      </c>
      <c r="AH2640" s="661" t="str">
        <f>IF(AND($Y2640&gt;=22, (AI2640&lt;&gt;"I"),(Y2640&lt;&gt;"~"),(COUNTIF($AN$1:$AN2640,$AN2640)=1)),"TRUE","FALSE")</f>
        <v>FALSE</v>
      </c>
      <c r="AI2640" s="661" t="str">
        <f t="shared" si="285"/>
        <v>N/A</v>
      </c>
      <c r="AJ2640" s="662" t="str">
        <f t="shared" si="286"/>
        <v>F350-041</v>
      </c>
      <c r="AK2640" s="662" t="str">
        <f t="shared" si="287"/>
        <v>LTK</v>
      </c>
      <c r="AL2640" s="662" t="str">
        <f t="shared" si="288"/>
        <v>FRD</v>
      </c>
      <c r="AM2640" s="662" t="str">
        <f t="shared" si="284"/>
        <v>F350-Regular Cab XL-2WD-3-8'-13100-6.7L Diesel-8-F3A-610A-142-29-Diesel-BioDiesel</v>
      </c>
      <c r="AN2640" s="662" t="str">
        <f t="shared" si="289"/>
        <v>2019-LTK-FRD-F350-041</v>
      </c>
    </row>
    <row r="2641" spans="1:40" ht="15">
      <c r="A2641" s="570" t="s">
        <v>4671</v>
      </c>
      <c r="B2641" s="573" t="s">
        <v>4672</v>
      </c>
      <c r="C2641" s="573" t="s">
        <v>269</v>
      </c>
      <c r="D2641" s="578" t="s">
        <v>270</v>
      </c>
      <c r="E2641" s="573" t="s">
        <v>3374</v>
      </c>
      <c r="F2641" s="573" t="s">
        <v>187</v>
      </c>
      <c r="G2641" s="573" t="s">
        <v>271</v>
      </c>
      <c r="H2641" s="573">
        <v>2019</v>
      </c>
      <c r="I2641" s="573" t="s">
        <v>4503</v>
      </c>
      <c r="J2641" s="573" t="s">
        <v>3837</v>
      </c>
      <c r="K2641" s="573" t="s">
        <v>752</v>
      </c>
      <c r="L2641" s="573">
        <v>3</v>
      </c>
      <c r="M2641" s="573">
        <v>0</v>
      </c>
      <c r="N2641" s="573" t="s">
        <v>157</v>
      </c>
      <c r="O2641" s="573">
        <v>1</v>
      </c>
      <c r="P2641" s="573" t="s">
        <v>3846</v>
      </c>
      <c r="Q2641" s="571">
        <v>12600</v>
      </c>
      <c r="R2641" s="573" t="s">
        <v>4235</v>
      </c>
      <c r="S2641" s="573">
        <v>8</v>
      </c>
      <c r="T2641" s="573" t="s">
        <v>4673</v>
      </c>
      <c r="U2641" s="573" t="s">
        <v>4505</v>
      </c>
      <c r="V2641" s="573">
        <v>142</v>
      </c>
      <c r="W2641" s="573">
        <v>34</v>
      </c>
      <c r="X2641" s="571">
        <v>10300</v>
      </c>
      <c r="Y2641" s="569">
        <v>12</v>
      </c>
      <c r="Z2641" s="579" t="s">
        <v>450</v>
      </c>
      <c r="AA2641" s="579" t="s">
        <v>178</v>
      </c>
      <c r="AB2641" s="584">
        <v>38615</v>
      </c>
      <c r="AC2641" s="584" t="s">
        <v>164</v>
      </c>
      <c r="AD2641" s="584">
        <v>27679.705263157899</v>
      </c>
      <c r="AE2641" s="586">
        <v>0.03</v>
      </c>
      <c r="AF2641" s="661" t="str">
        <f t="shared" si="290"/>
        <v>2019-LTK-FRD-F350-042-05</v>
      </c>
      <c r="AG2641" s="661" t="str">
        <f>IF(AND($Y2641&gt;=32,(AI2641="I"),(Y2641&lt;&gt;"~"),(COUNTIF($AN$1:$AN2641,$AN2641)=1)),"TRUE","FALSE")</f>
        <v>FALSE</v>
      </c>
      <c r="AH2641" s="661" t="str">
        <f>IF(AND($Y2641&gt;=22, (AI2641&lt;&gt;"I"),(Y2641&lt;&gt;"~"),(COUNTIF($AN$1:$AN2641,$AN2641)=1)),"TRUE","FALSE")</f>
        <v>FALSE</v>
      </c>
      <c r="AI2641" s="661" t="str">
        <f t="shared" si="285"/>
        <v>N/A</v>
      </c>
      <c r="AJ2641" s="662" t="str">
        <f t="shared" si="286"/>
        <v>F350-042</v>
      </c>
      <c r="AK2641" s="662" t="str">
        <f t="shared" si="287"/>
        <v>LTK</v>
      </c>
      <c r="AL2641" s="662" t="str">
        <f t="shared" si="288"/>
        <v>FRD</v>
      </c>
      <c r="AM2641" s="662" t="str">
        <f t="shared" si="284"/>
        <v>F350-Regular Cab XL-4WD-3-8'-12600-6.2L FFV-8-F3B-610A-142-34-E85-Unleaded</v>
      </c>
      <c r="AN2641" s="662" t="str">
        <f t="shared" si="289"/>
        <v>2019-LTK-FRD-F350-042</v>
      </c>
    </row>
    <row r="2642" spans="1:40" ht="15">
      <c r="A2642" s="570" t="s">
        <v>4674</v>
      </c>
      <c r="B2642" s="569" t="s">
        <v>4675</v>
      </c>
      <c r="C2642" s="569" t="s">
        <v>269</v>
      </c>
      <c r="D2642" s="580" t="s">
        <v>270</v>
      </c>
      <c r="E2642" s="569" t="s">
        <v>3374</v>
      </c>
      <c r="F2642" s="569" t="s">
        <v>187</v>
      </c>
      <c r="G2642" s="569" t="s">
        <v>271</v>
      </c>
      <c r="H2642" s="569">
        <v>2019</v>
      </c>
      <c r="I2642" s="569" t="s">
        <v>4503</v>
      </c>
      <c r="J2642" s="569" t="s">
        <v>3837</v>
      </c>
      <c r="K2642" s="569" t="s">
        <v>752</v>
      </c>
      <c r="L2642" s="569">
        <v>3</v>
      </c>
      <c r="M2642" s="569">
        <v>0</v>
      </c>
      <c r="N2642" s="569" t="s">
        <v>157</v>
      </c>
      <c r="O2642" s="569">
        <v>1</v>
      </c>
      <c r="P2642" s="569" t="s">
        <v>3846</v>
      </c>
      <c r="Q2642" s="568">
        <v>12600</v>
      </c>
      <c r="R2642" s="569" t="s">
        <v>4231</v>
      </c>
      <c r="S2642" s="569">
        <v>8</v>
      </c>
      <c r="T2642" s="569" t="s">
        <v>4673</v>
      </c>
      <c r="U2642" s="569" t="s">
        <v>4505</v>
      </c>
      <c r="V2642" s="569">
        <v>142</v>
      </c>
      <c r="W2642" s="569">
        <v>29</v>
      </c>
      <c r="X2642" s="568">
        <v>11000</v>
      </c>
      <c r="Y2642" s="569">
        <v>12</v>
      </c>
      <c r="Z2642" s="581" t="s">
        <v>728</v>
      </c>
      <c r="AA2642" s="581" t="s">
        <v>1523</v>
      </c>
      <c r="AB2642" s="585">
        <v>47735</v>
      </c>
      <c r="AC2642" s="585" t="s">
        <v>164</v>
      </c>
      <c r="AD2642" s="585">
        <v>35871.894736842107</v>
      </c>
      <c r="AE2642" s="587">
        <v>0.03</v>
      </c>
      <c r="AF2642" s="661" t="str">
        <f t="shared" si="290"/>
        <v>2019-LTK-FRD-F350-043-05</v>
      </c>
      <c r="AG2642" s="661" t="str">
        <f>IF(AND($Y2642&gt;=32,(AI2642="I"),(Y2642&lt;&gt;"~"),(COUNTIF($AN$1:$AN2642,$AN2642)=1)),"TRUE","FALSE")</f>
        <v>FALSE</v>
      </c>
      <c r="AH2642" s="661" t="str">
        <f>IF(AND($Y2642&gt;=22, (AI2642&lt;&gt;"I"),(Y2642&lt;&gt;"~"),(COUNTIF($AN$1:$AN2642,$AN2642)=1)),"TRUE","FALSE")</f>
        <v>FALSE</v>
      </c>
      <c r="AI2642" s="661" t="str">
        <f t="shared" si="285"/>
        <v>N/A</v>
      </c>
      <c r="AJ2642" s="662" t="str">
        <f t="shared" si="286"/>
        <v>F350-043</v>
      </c>
      <c r="AK2642" s="662" t="str">
        <f t="shared" si="287"/>
        <v>LTK</v>
      </c>
      <c r="AL2642" s="662" t="str">
        <f t="shared" si="288"/>
        <v>FRD</v>
      </c>
      <c r="AM2642" s="662" t="str">
        <f t="shared" si="284"/>
        <v>F350-Regular Cab XL-4WD-3-8'-12600-6.7L Diesel-8-F3B-610A-142-29-Diesel-BioDiesel</v>
      </c>
      <c r="AN2642" s="662" t="str">
        <f t="shared" si="289"/>
        <v>2019-LTK-FRD-F350-043</v>
      </c>
    </row>
    <row r="2643" spans="1:40" ht="15">
      <c r="A2643" s="570" t="s">
        <v>4676</v>
      </c>
      <c r="B2643" s="573" t="s">
        <v>4672</v>
      </c>
      <c r="C2643" s="573" t="s">
        <v>278</v>
      </c>
      <c r="D2643" s="578">
        <v>15</v>
      </c>
      <c r="E2643" s="573" t="s">
        <v>3374</v>
      </c>
      <c r="F2643" s="573" t="s">
        <v>187</v>
      </c>
      <c r="G2643" s="573" t="s">
        <v>271</v>
      </c>
      <c r="H2643" s="573">
        <v>2019</v>
      </c>
      <c r="I2643" s="573" t="s">
        <v>4503</v>
      </c>
      <c r="J2643" s="573" t="s">
        <v>3837</v>
      </c>
      <c r="K2643" s="573" t="s">
        <v>752</v>
      </c>
      <c r="L2643" s="573">
        <v>3</v>
      </c>
      <c r="M2643" s="573">
        <v>0</v>
      </c>
      <c r="N2643" s="573" t="s">
        <v>157</v>
      </c>
      <c r="O2643" s="573">
        <v>1</v>
      </c>
      <c r="P2643" s="573" t="s">
        <v>3846</v>
      </c>
      <c r="Q2643" s="571">
        <v>12600</v>
      </c>
      <c r="R2643" s="573" t="s">
        <v>4235</v>
      </c>
      <c r="S2643" s="573">
        <v>8</v>
      </c>
      <c r="T2643" s="573" t="s">
        <v>4673</v>
      </c>
      <c r="U2643" s="573" t="s">
        <v>4505</v>
      </c>
      <c r="V2643" s="573">
        <v>142</v>
      </c>
      <c r="W2643" s="573">
        <v>34</v>
      </c>
      <c r="X2643" s="571">
        <v>10300</v>
      </c>
      <c r="Y2643" s="569">
        <v>12</v>
      </c>
      <c r="Z2643" s="579" t="s">
        <v>450</v>
      </c>
      <c r="AA2643" s="579" t="s">
        <v>178</v>
      </c>
      <c r="AB2643" s="584">
        <v>38615</v>
      </c>
      <c r="AC2643" s="584" t="s">
        <v>164</v>
      </c>
      <c r="AD2643" s="584">
        <v>27750</v>
      </c>
      <c r="AE2643" s="586">
        <v>0.01</v>
      </c>
      <c r="AF2643" s="661" t="str">
        <f t="shared" si="290"/>
        <v>2019-LTK-FRD-F350-042-15</v>
      </c>
      <c r="AG2643" s="661" t="str">
        <f>IF(AND($Y2643&gt;=32,(AI2643="I"),(Y2643&lt;&gt;"~"),(COUNTIF($AN$1:$AN2643,$AN2643)=1)),"TRUE","FALSE")</f>
        <v>FALSE</v>
      </c>
      <c r="AH2643" s="661" t="str">
        <f>IF(AND($Y2643&gt;=22, (AI2643&lt;&gt;"I"),(Y2643&lt;&gt;"~"),(COUNTIF($AN$1:$AN2643,$AN2643)=1)),"TRUE","FALSE")</f>
        <v>FALSE</v>
      </c>
      <c r="AI2643" s="661" t="str">
        <f t="shared" si="285"/>
        <v>N/A</v>
      </c>
      <c r="AJ2643" s="662" t="str">
        <f t="shared" si="286"/>
        <v>F350-042</v>
      </c>
      <c r="AK2643" s="662" t="str">
        <f t="shared" si="287"/>
        <v>LTK</v>
      </c>
      <c r="AL2643" s="662" t="str">
        <f t="shared" si="288"/>
        <v>FRD</v>
      </c>
      <c r="AM2643" s="662" t="str">
        <f t="shared" si="284"/>
        <v>F350-Regular Cab XL-4WD-3-8'-12600-6.2L FFV-8-F3B-610A-142-34-E85-Unleaded</v>
      </c>
      <c r="AN2643" s="662" t="str">
        <f t="shared" si="289"/>
        <v>2019-LTK-FRD-F350-042</v>
      </c>
    </row>
    <row r="2644" spans="1:40" ht="15">
      <c r="A2644" s="570" t="s">
        <v>4677</v>
      </c>
      <c r="B2644" s="569" t="s">
        <v>4675</v>
      </c>
      <c r="C2644" s="569" t="s">
        <v>278</v>
      </c>
      <c r="D2644" s="580">
        <v>15</v>
      </c>
      <c r="E2644" s="569" t="s">
        <v>3374</v>
      </c>
      <c r="F2644" s="569" t="s">
        <v>187</v>
      </c>
      <c r="G2644" s="569" t="s">
        <v>271</v>
      </c>
      <c r="H2644" s="569">
        <v>2019</v>
      </c>
      <c r="I2644" s="569" t="s">
        <v>4503</v>
      </c>
      <c r="J2644" s="569" t="s">
        <v>3837</v>
      </c>
      <c r="K2644" s="569" t="s">
        <v>752</v>
      </c>
      <c r="L2644" s="569">
        <v>3</v>
      </c>
      <c r="M2644" s="569">
        <v>0</v>
      </c>
      <c r="N2644" s="569" t="s">
        <v>157</v>
      </c>
      <c r="O2644" s="569">
        <v>1</v>
      </c>
      <c r="P2644" s="569" t="s">
        <v>3846</v>
      </c>
      <c r="Q2644" s="568">
        <v>12600</v>
      </c>
      <c r="R2644" s="569" t="s">
        <v>4231</v>
      </c>
      <c r="S2644" s="569">
        <v>8</v>
      </c>
      <c r="T2644" s="569" t="s">
        <v>4673</v>
      </c>
      <c r="U2644" s="569" t="s">
        <v>4505</v>
      </c>
      <c r="V2644" s="569">
        <v>142</v>
      </c>
      <c r="W2644" s="569">
        <v>29</v>
      </c>
      <c r="X2644" s="568">
        <v>11000</v>
      </c>
      <c r="Y2644" s="569">
        <v>12</v>
      </c>
      <c r="Z2644" s="581" t="s">
        <v>728</v>
      </c>
      <c r="AA2644" s="581" t="s">
        <v>1523</v>
      </c>
      <c r="AB2644" s="585">
        <v>47735</v>
      </c>
      <c r="AC2644" s="585" t="s">
        <v>164</v>
      </c>
      <c r="AD2644" s="585">
        <v>36100</v>
      </c>
      <c r="AE2644" s="587">
        <v>0.01</v>
      </c>
      <c r="AF2644" s="661" t="str">
        <f t="shared" si="290"/>
        <v>2019-LTK-FRD-F350-043-15</v>
      </c>
      <c r="AG2644" s="661" t="str">
        <f>IF(AND($Y2644&gt;=32,(AI2644="I"),(Y2644&lt;&gt;"~"),(COUNTIF($AN$1:$AN2644,$AN2644)=1)),"TRUE","FALSE")</f>
        <v>FALSE</v>
      </c>
      <c r="AH2644" s="661" t="str">
        <f>IF(AND($Y2644&gt;=22, (AI2644&lt;&gt;"I"),(Y2644&lt;&gt;"~"),(COUNTIF($AN$1:$AN2644,$AN2644)=1)),"TRUE","FALSE")</f>
        <v>FALSE</v>
      </c>
      <c r="AI2644" s="661" t="str">
        <f t="shared" si="285"/>
        <v>N/A</v>
      </c>
      <c r="AJ2644" s="662" t="str">
        <f t="shared" si="286"/>
        <v>F350-043</v>
      </c>
      <c r="AK2644" s="662" t="str">
        <f t="shared" si="287"/>
        <v>LTK</v>
      </c>
      <c r="AL2644" s="662" t="str">
        <f t="shared" si="288"/>
        <v>FRD</v>
      </c>
      <c r="AM2644" s="662" t="str">
        <f t="shared" si="284"/>
        <v>F350-Regular Cab XL-4WD-3-8'-12600-6.7L Diesel-8-F3B-610A-142-29-Diesel-BioDiesel</v>
      </c>
      <c r="AN2644" s="662" t="str">
        <f t="shared" si="289"/>
        <v>2019-LTK-FRD-F350-043</v>
      </c>
    </row>
    <row r="2645" spans="1:40" ht="15">
      <c r="A2645" s="570" t="s">
        <v>4678</v>
      </c>
      <c r="B2645" s="573" t="s">
        <v>4672</v>
      </c>
      <c r="C2645" s="573" t="s">
        <v>287</v>
      </c>
      <c r="D2645" s="578">
        <v>26</v>
      </c>
      <c r="E2645" s="573" t="s">
        <v>3374</v>
      </c>
      <c r="F2645" s="573" t="s">
        <v>187</v>
      </c>
      <c r="G2645" s="573" t="s">
        <v>271</v>
      </c>
      <c r="H2645" s="573">
        <v>2019</v>
      </c>
      <c r="I2645" s="573" t="s">
        <v>4503</v>
      </c>
      <c r="J2645" s="573" t="s">
        <v>3837</v>
      </c>
      <c r="K2645" s="573" t="s">
        <v>752</v>
      </c>
      <c r="L2645" s="573">
        <v>3</v>
      </c>
      <c r="M2645" s="573">
        <v>0</v>
      </c>
      <c r="N2645" s="573" t="s">
        <v>157</v>
      </c>
      <c r="O2645" s="573">
        <v>1</v>
      </c>
      <c r="P2645" s="573" t="s">
        <v>3846</v>
      </c>
      <c r="Q2645" s="571">
        <v>12600</v>
      </c>
      <c r="R2645" s="573" t="s">
        <v>4235</v>
      </c>
      <c r="S2645" s="573">
        <v>8</v>
      </c>
      <c r="T2645" s="573" t="s">
        <v>4673</v>
      </c>
      <c r="U2645" s="573" t="s">
        <v>4505</v>
      </c>
      <c r="V2645" s="573">
        <v>142</v>
      </c>
      <c r="W2645" s="573">
        <v>34</v>
      </c>
      <c r="X2645" s="571">
        <v>10300</v>
      </c>
      <c r="Y2645" s="569">
        <v>12</v>
      </c>
      <c r="Z2645" s="579" t="s">
        <v>450</v>
      </c>
      <c r="AA2645" s="579" t="s">
        <v>178</v>
      </c>
      <c r="AB2645" s="584">
        <v>38615</v>
      </c>
      <c r="AC2645" s="584" t="s">
        <v>164</v>
      </c>
      <c r="AD2645" s="584">
        <v>27897</v>
      </c>
      <c r="AE2645" s="586">
        <v>0.05</v>
      </c>
      <c r="AF2645" s="661" t="str">
        <f t="shared" si="290"/>
        <v>2019-LTK-FRD-F350-042-26</v>
      </c>
      <c r="AG2645" s="661" t="str">
        <f>IF(AND($Y2645&gt;=32,(AI2645="I"),(Y2645&lt;&gt;"~"),(COUNTIF($AN$1:$AN2645,$AN2645)=1)),"TRUE","FALSE")</f>
        <v>FALSE</v>
      </c>
      <c r="AH2645" s="661" t="str">
        <f>IF(AND($Y2645&gt;=22, (AI2645&lt;&gt;"I"),(Y2645&lt;&gt;"~"),(COUNTIF($AN$1:$AN2645,$AN2645)=1)),"TRUE","FALSE")</f>
        <v>FALSE</v>
      </c>
      <c r="AI2645" s="661" t="str">
        <f t="shared" si="285"/>
        <v>N/A</v>
      </c>
      <c r="AJ2645" s="662" t="str">
        <f t="shared" si="286"/>
        <v>F350-042</v>
      </c>
      <c r="AK2645" s="662" t="str">
        <f t="shared" si="287"/>
        <v>LTK</v>
      </c>
      <c r="AL2645" s="662" t="str">
        <f t="shared" si="288"/>
        <v>FRD</v>
      </c>
      <c r="AM2645" s="662" t="str">
        <f t="shared" si="284"/>
        <v>F350-Regular Cab XL-4WD-3-8'-12600-6.2L FFV-8-F3B-610A-142-34-E85-Unleaded</v>
      </c>
      <c r="AN2645" s="662" t="str">
        <f t="shared" si="289"/>
        <v>2019-LTK-FRD-F350-042</v>
      </c>
    </row>
    <row r="2646" spans="1:40" ht="15">
      <c r="A2646" s="570" t="s">
        <v>4679</v>
      </c>
      <c r="B2646" s="569" t="s">
        <v>4675</v>
      </c>
      <c r="C2646" s="569" t="s">
        <v>287</v>
      </c>
      <c r="D2646" s="580">
        <v>26</v>
      </c>
      <c r="E2646" s="569" t="s">
        <v>3374</v>
      </c>
      <c r="F2646" s="569" t="s">
        <v>187</v>
      </c>
      <c r="G2646" s="569" t="s">
        <v>271</v>
      </c>
      <c r="H2646" s="569">
        <v>2019</v>
      </c>
      <c r="I2646" s="569" t="s">
        <v>4503</v>
      </c>
      <c r="J2646" s="569" t="s">
        <v>3837</v>
      </c>
      <c r="K2646" s="569" t="s">
        <v>752</v>
      </c>
      <c r="L2646" s="569">
        <v>3</v>
      </c>
      <c r="M2646" s="569">
        <v>0</v>
      </c>
      <c r="N2646" s="569" t="s">
        <v>157</v>
      </c>
      <c r="O2646" s="569">
        <v>1</v>
      </c>
      <c r="P2646" s="569" t="s">
        <v>3846</v>
      </c>
      <c r="Q2646" s="568">
        <v>12600</v>
      </c>
      <c r="R2646" s="569" t="s">
        <v>4231</v>
      </c>
      <c r="S2646" s="569">
        <v>8</v>
      </c>
      <c r="T2646" s="569" t="s">
        <v>4673</v>
      </c>
      <c r="U2646" s="569" t="s">
        <v>4505</v>
      </c>
      <c r="V2646" s="569">
        <v>142</v>
      </c>
      <c r="W2646" s="569">
        <v>29</v>
      </c>
      <c r="X2646" s="568">
        <v>11000</v>
      </c>
      <c r="Y2646" s="569">
        <v>12</v>
      </c>
      <c r="Z2646" s="581" t="s">
        <v>728</v>
      </c>
      <c r="AA2646" s="581" t="s">
        <v>1523</v>
      </c>
      <c r="AB2646" s="585">
        <v>47735</v>
      </c>
      <c r="AC2646" s="585" t="s">
        <v>164</v>
      </c>
      <c r="AD2646" s="585">
        <v>36092</v>
      </c>
      <c r="AE2646" s="587">
        <v>0.05</v>
      </c>
      <c r="AF2646" s="661" t="str">
        <f t="shared" si="290"/>
        <v>2019-LTK-FRD-F350-043-26</v>
      </c>
      <c r="AG2646" s="661" t="str">
        <f>IF(AND($Y2646&gt;=32,(AI2646="I"),(Y2646&lt;&gt;"~"),(COUNTIF($AN$1:$AN2646,$AN2646)=1)),"TRUE","FALSE")</f>
        <v>FALSE</v>
      </c>
      <c r="AH2646" s="661" t="str">
        <f>IF(AND($Y2646&gt;=22, (AI2646&lt;&gt;"I"),(Y2646&lt;&gt;"~"),(COUNTIF($AN$1:$AN2646,$AN2646)=1)),"TRUE","FALSE")</f>
        <v>FALSE</v>
      </c>
      <c r="AI2646" s="661" t="str">
        <f t="shared" si="285"/>
        <v>N/A</v>
      </c>
      <c r="AJ2646" s="662" t="str">
        <f t="shared" si="286"/>
        <v>F350-043</v>
      </c>
      <c r="AK2646" s="662" t="str">
        <f t="shared" si="287"/>
        <v>LTK</v>
      </c>
      <c r="AL2646" s="662" t="str">
        <f t="shared" si="288"/>
        <v>FRD</v>
      </c>
      <c r="AM2646" s="662" t="str">
        <f t="shared" si="284"/>
        <v>F350-Regular Cab XL-4WD-3-8'-12600-6.7L Diesel-8-F3B-610A-142-29-Diesel-BioDiesel</v>
      </c>
      <c r="AN2646" s="662" t="str">
        <f t="shared" si="289"/>
        <v>2019-LTK-FRD-F350-043</v>
      </c>
    </row>
    <row r="2647" spans="1:40" ht="15">
      <c r="A2647" s="570" t="s">
        <v>4680</v>
      </c>
      <c r="B2647" s="573" t="s">
        <v>4672</v>
      </c>
      <c r="C2647" s="573" t="s">
        <v>280</v>
      </c>
      <c r="D2647" s="578">
        <v>27</v>
      </c>
      <c r="E2647" s="573" t="s">
        <v>3374</v>
      </c>
      <c r="F2647" s="573" t="s">
        <v>187</v>
      </c>
      <c r="G2647" s="573" t="s">
        <v>271</v>
      </c>
      <c r="H2647" s="573">
        <v>2019</v>
      </c>
      <c r="I2647" s="573" t="s">
        <v>4503</v>
      </c>
      <c r="J2647" s="573" t="s">
        <v>3837</v>
      </c>
      <c r="K2647" s="573" t="s">
        <v>752</v>
      </c>
      <c r="L2647" s="573">
        <v>3</v>
      </c>
      <c r="M2647" s="573">
        <v>0</v>
      </c>
      <c r="N2647" s="573" t="s">
        <v>157</v>
      </c>
      <c r="O2647" s="573">
        <v>1</v>
      </c>
      <c r="P2647" s="573" t="s">
        <v>3846</v>
      </c>
      <c r="Q2647" s="571">
        <v>12600</v>
      </c>
      <c r="R2647" s="573" t="s">
        <v>4235</v>
      </c>
      <c r="S2647" s="573">
        <v>8</v>
      </c>
      <c r="T2647" s="573" t="s">
        <v>4673</v>
      </c>
      <c r="U2647" s="573" t="s">
        <v>4505</v>
      </c>
      <c r="V2647" s="573">
        <v>142</v>
      </c>
      <c r="W2647" s="573">
        <v>34</v>
      </c>
      <c r="X2647" s="571">
        <v>10300</v>
      </c>
      <c r="Y2647" s="569">
        <v>12</v>
      </c>
      <c r="Z2647" s="579" t="s">
        <v>450</v>
      </c>
      <c r="AA2647" s="579" t="s">
        <v>178</v>
      </c>
      <c r="AB2647" s="584">
        <v>38615</v>
      </c>
      <c r="AC2647" s="584" t="s">
        <v>164</v>
      </c>
      <c r="AD2647" s="584">
        <v>27679.705263157899</v>
      </c>
      <c r="AE2647" s="586">
        <v>0.03</v>
      </c>
      <c r="AF2647" s="661" t="str">
        <f t="shared" si="290"/>
        <v>2019-LTK-FRD-F350-042-27</v>
      </c>
      <c r="AG2647" s="661" t="str">
        <f>IF(AND($Y2647&gt;=32,(AI2647="I"),(Y2647&lt;&gt;"~"),(COUNTIF($AN$1:$AN2647,$AN2647)=1)),"TRUE","FALSE")</f>
        <v>FALSE</v>
      </c>
      <c r="AH2647" s="661" t="str">
        <f>IF(AND($Y2647&gt;=22, (AI2647&lt;&gt;"I"),(Y2647&lt;&gt;"~"),(COUNTIF($AN$1:$AN2647,$AN2647)=1)),"TRUE","FALSE")</f>
        <v>FALSE</v>
      </c>
      <c r="AI2647" s="661" t="str">
        <f t="shared" si="285"/>
        <v>N/A</v>
      </c>
      <c r="AJ2647" s="662" t="str">
        <f t="shared" si="286"/>
        <v>F350-042</v>
      </c>
      <c r="AK2647" s="662" t="str">
        <f t="shared" si="287"/>
        <v>LTK</v>
      </c>
      <c r="AL2647" s="662" t="str">
        <f t="shared" si="288"/>
        <v>FRD</v>
      </c>
      <c r="AM2647" s="662" t="str">
        <f t="shared" si="284"/>
        <v>F350-Regular Cab XL-4WD-3-8'-12600-6.2L FFV-8-F3B-610A-142-34-E85-Unleaded</v>
      </c>
      <c r="AN2647" s="662" t="str">
        <f t="shared" si="289"/>
        <v>2019-LTK-FRD-F350-042</v>
      </c>
    </row>
    <row r="2648" spans="1:40" ht="15">
      <c r="A2648" s="570" t="s">
        <v>4681</v>
      </c>
      <c r="B2648" s="569" t="s">
        <v>4675</v>
      </c>
      <c r="C2648" s="569" t="s">
        <v>280</v>
      </c>
      <c r="D2648" s="580">
        <v>27</v>
      </c>
      <c r="E2648" s="569" t="s">
        <v>3374</v>
      </c>
      <c r="F2648" s="569" t="s">
        <v>187</v>
      </c>
      <c r="G2648" s="569" t="s">
        <v>271</v>
      </c>
      <c r="H2648" s="569">
        <v>2019</v>
      </c>
      <c r="I2648" s="569" t="s">
        <v>4503</v>
      </c>
      <c r="J2648" s="569" t="s">
        <v>3837</v>
      </c>
      <c r="K2648" s="569" t="s">
        <v>752</v>
      </c>
      <c r="L2648" s="569">
        <v>3</v>
      </c>
      <c r="M2648" s="569">
        <v>0</v>
      </c>
      <c r="N2648" s="569" t="s">
        <v>157</v>
      </c>
      <c r="O2648" s="569">
        <v>1</v>
      </c>
      <c r="P2648" s="569" t="s">
        <v>3846</v>
      </c>
      <c r="Q2648" s="568">
        <v>12600</v>
      </c>
      <c r="R2648" s="569" t="s">
        <v>4231</v>
      </c>
      <c r="S2648" s="569">
        <v>8</v>
      </c>
      <c r="T2648" s="569" t="s">
        <v>4673</v>
      </c>
      <c r="U2648" s="569" t="s">
        <v>4505</v>
      </c>
      <c r="V2648" s="569">
        <v>142</v>
      </c>
      <c r="W2648" s="569">
        <v>29</v>
      </c>
      <c r="X2648" s="568">
        <v>11000</v>
      </c>
      <c r="Y2648" s="569">
        <v>12</v>
      </c>
      <c r="Z2648" s="581" t="s">
        <v>728</v>
      </c>
      <c r="AA2648" s="581" t="s">
        <v>1523</v>
      </c>
      <c r="AB2648" s="585">
        <v>47735</v>
      </c>
      <c r="AC2648" s="585" t="s">
        <v>164</v>
      </c>
      <c r="AD2648" s="585">
        <v>35871.894736842107</v>
      </c>
      <c r="AE2648" s="587">
        <v>0.03</v>
      </c>
      <c r="AF2648" s="661" t="str">
        <f t="shared" si="290"/>
        <v>2019-LTK-FRD-F350-043-27</v>
      </c>
      <c r="AG2648" s="661" t="str">
        <f>IF(AND($Y2648&gt;=32,(AI2648="I"),(Y2648&lt;&gt;"~"),(COUNTIF($AN$1:$AN2648,$AN2648)=1)),"TRUE","FALSE")</f>
        <v>FALSE</v>
      </c>
      <c r="AH2648" s="661" t="str">
        <f>IF(AND($Y2648&gt;=22, (AI2648&lt;&gt;"I"),(Y2648&lt;&gt;"~"),(COUNTIF($AN$1:$AN2648,$AN2648)=1)),"TRUE","FALSE")</f>
        <v>FALSE</v>
      </c>
      <c r="AI2648" s="661" t="str">
        <f t="shared" si="285"/>
        <v>N/A</v>
      </c>
      <c r="AJ2648" s="662" t="str">
        <f t="shared" si="286"/>
        <v>F350-043</v>
      </c>
      <c r="AK2648" s="662" t="str">
        <f t="shared" si="287"/>
        <v>LTK</v>
      </c>
      <c r="AL2648" s="662" t="str">
        <f t="shared" si="288"/>
        <v>FRD</v>
      </c>
      <c r="AM2648" s="662" t="str">
        <f t="shared" si="284"/>
        <v>F350-Regular Cab XL-4WD-3-8'-12600-6.7L Diesel-8-F3B-610A-142-29-Diesel-BioDiesel</v>
      </c>
      <c r="AN2648" s="662" t="str">
        <f t="shared" si="289"/>
        <v>2019-LTK-FRD-F350-043</v>
      </c>
    </row>
    <row r="2649" spans="1:40" ht="15">
      <c r="A2649" s="570" t="s">
        <v>4682</v>
      </c>
      <c r="B2649" s="573" t="s">
        <v>4683</v>
      </c>
      <c r="C2649" s="573" t="s">
        <v>269</v>
      </c>
      <c r="D2649" s="578" t="s">
        <v>270</v>
      </c>
      <c r="E2649" s="573" t="s">
        <v>3374</v>
      </c>
      <c r="F2649" s="573" t="s">
        <v>187</v>
      </c>
      <c r="G2649" s="573" t="s">
        <v>271</v>
      </c>
      <c r="H2649" s="573">
        <v>2019</v>
      </c>
      <c r="I2649" s="573" t="s">
        <v>4503</v>
      </c>
      <c r="J2649" s="573" t="s">
        <v>4684</v>
      </c>
      <c r="K2649" s="573" t="s">
        <v>3377</v>
      </c>
      <c r="L2649" s="573">
        <v>3</v>
      </c>
      <c r="M2649" s="573">
        <v>0</v>
      </c>
      <c r="N2649" s="573" t="s">
        <v>157</v>
      </c>
      <c r="O2649" s="573">
        <v>1</v>
      </c>
      <c r="P2649" s="573" t="s">
        <v>3846</v>
      </c>
      <c r="Q2649" s="571">
        <v>13200</v>
      </c>
      <c r="R2649" s="573" t="s">
        <v>4235</v>
      </c>
      <c r="S2649" s="573">
        <v>8</v>
      </c>
      <c r="T2649" s="573" t="s">
        <v>4685</v>
      </c>
      <c r="U2649" s="573" t="s">
        <v>4558</v>
      </c>
      <c r="V2649" s="573">
        <v>142</v>
      </c>
      <c r="W2649" s="573">
        <v>34</v>
      </c>
      <c r="X2649" s="571">
        <v>14000</v>
      </c>
      <c r="Y2649" s="569">
        <v>13</v>
      </c>
      <c r="Z2649" s="579" t="s">
        <v>450</v>
      </c>
      <c r="AA2649" s="579" t="s">
        <v>178</v>
      </c>
      <c r="AB2649" s="584">
        <v>37305</v>
      </c>
      <c r="AC2649" s="584" t="s">
        <v>164</v>
      </c>
      <c r="AD2649" s="584">
        <v>26679.705263157899</v>
      </c>
      <c r="AE2649" s="586">
        <v>0.03</v>
      </c>
      <c r="AF2649" s="661" t="str">
        <f t="shared" si="290"/>
        <v>2019-LTK-FRD-F350-036-05</v>
      </c>
      <c r="AG2649" s="661" t="str">
        <f>IF(AND($Y2649&gt;=32,(AI2649="I"),(Y2649&lt;&gt;"~"),(COUNTIF($AN$1:$AN2649,$AN2649)=1)),"TRUE","FALSE")</f>
        <v>FALSE</v>
      </c>
      <c r="AH2649" s="661" t="str">
        <f>IF(AND($Y2649&gt;=22, (AI2649&lt;&gt;"I"),(Y2649&lt;&gt;"~"),(COUNTIF($AN$1:$AN2649,$AN2649)=1)),"TRUE","FALSE")</f>
        <v>FALSE</v>
      </c>
      <c r="AI2649" s="661" t="str">
        <f t="shared" si="285"/>
        <v>N/A</v>
      </c>
      <c r="AJ2649" s="662" t="str">
        <f t="shared" si="286"/>
        <v>F350-036</v>
      </c>
      <c r="AK2649" s="662" t="str">
        <f t="shared" si="287"/>
        <v>LTK</v>
      </c>
      <c r="AL2649" s="662" t="str">
        <f t="shared" si="288"/>
        <v>FRD</v>
      </c>
      <c r="AM2649" s="662" t="str">
        <f t="shared" si="284"/>
        <v>F350-Regular Cab XL DRW-2WD-3-8'-13200-6.2L FFV-8-F3C-620A-142-34-E85-Unleaded</v>
      </c>
      <c r="AN2649" s="662" t="str">
        <f t="shared" si="289"/>
        <v>2019-LTK-FRD-F350-036</v>
      </c>
    </row>
    <row r="2650" spans="1:40" ht="15">
      <c r="A2650" s="570" t="s">
        <v>4686</v>
      </c>
      <c r="B2650" s="569" t="s">
        <v>4687</v>
      </c>
      <c r="C2650" s="569" t="s">
        <v>269</v>
      </c>
      <c r="D2650" s="580" t="s">
        <v>270</v>
      </c>
      <c r="E2650" s="569" t="s">
        <v>3374</v>
      </c>
      <c r="F2650" s="569" t="s">
        <v>187</v>
      </c>
      <c r="G2650" s="569" t="s">
        <v>271</v>
      </c>
      <c r="H2650" s="569">
        <v>2019</v>
      </c>
      <c r="I2650" s="569" t="s">
        <v>4503</v>
      </c>
      <c r="J2650" s="569" t="s">
        <v>4684</v>
      </c>
      <c r="K2650" s="569" t="s">
        <v>3377</v>
      </c>
      <c r="L2650" s="569">
        <v>3</v>
      </c>
      <c r="M2650" s="569">
        <v>0</v>
      </c>
      <c r="N2650" s="569" t="s">
        <v>157</v>
      </c>
      <c r="O2650" s="569">
        <v>1</v>
      </c>
      <c r="P2650" s="569" t="s">
        <v>3846</v>
      </c>
      <c r="Q2650" s="568">
        <v>13200</v>
      </c>
      <c r="R2650" s="569" t="s">
        <v>4231</v>
      </c>
      <c r="S2650" s="569">
        <v>8</v>
      </c>
      <c r="T2650" s="569" t="s">
        <v>4685</v>
      </c>
      <c r="U2650" s="569" t="s">
        <v>4558</v>
      </c>
      <c r="V2650" s="569">
        <v>142</v>
      </c>
      <c r="W2650" s="569">
        <v>29</v>
      </c>
      <c r="X2650" s="568">
        <v>14000</v>
      </c>
      <c r="Y2650" s="569">
        <v>13</v>
      </c>
      <c r="Z2650" s="581" t="s">
        <v>728</v>
      </c>
      <c r="AA2650" s="581" t="s">
        <v>1523</v>
      </c>
      <c r="AB2650" s="585">
        <v>46425</v>
      </c>
      <c r="AC2650" s="585" t="s">
        <v>164</v>
      </c>
      <c r="AD2650" s="585">
        <v>34871.894736842107</v>
      </c>
      <c r="AE2650" s="587">
        <v>0.03</v>
      </c>
      <c r="AF2650" s="661" t="str">
        <f t="shared" si="290"/>
        <v>2019-LTK-FRD-F350-037-05</v>
      </c>
      <c r="AG2650" s="661" t="str">
        <f>IF(AND($Y2650&gt;=32,(AI2650="I"),(Y2650&lt;&gt;"~"),(COUNTIF($AN$1:$AN2650,$AN2650)=1)),"TRUE","FALSE")</f>
        <v>FALSE</v>
      </c>
      <c r="AH2650" s="661" t="str">
        <f>IF(AND($Y2650&gt;=22, (AI2650&lt;&gt;"I"),(Y2650&lt;&gt;"~"),(COUNTIF($AN$1:$AN2650,$AN2650)=1)),"TRUE","FALSE")</f>
        <v>FALSE</v>
      </c>
      <c r="AI2650" s="661" t="str">
        <f t="shared" si="285"/>
        <v>N/A</v>
      </c>
      <c r="AJ2650" s="662" t="str">
        <f t="shared" si="286"/>
        <v>F350-037</v>
      </c>
      <c r="AK2650" s="662" t="str">
        <f t="shared" si="287"/>
        <v>LTK</v>
      </c>
      <c r="AL2650" s="662" t="str">
        <f t="shared" si="288"/>
        <v>FRD</v>
      </c>
      <c r="AM2650" s="662" t="str">
        <f t="shared" si="284"/>
        <v>F350-Regular Cab XL DRW-2WD-3-8'-13200-6.7L Diesel-8-F3C-620A-142-29-Diesel-BioDiesel</v>
      </c>
      <c r="AN2650" s="662" t="str">
        <f t="shared" si="289"/>
        <v>2019-LTK-FRD-F350-037</v>
      </c>
    </row>
    <row r="2651" spans="1:40" ht="15">
      <c r="A2651" s="570" t="s">
        <v>4688</v>
      </c>
      <c r="B2651" s="573" t="s">
        <v>4683</v>
      </c>
      <c r="C2651" s="573" t="s">
        <v>278</v>
      </c>
      <c r="D2651" s="578">
        <v>15</v>
      </c>
      <c r="E2651" s="573" t="s">
        <v>3374</v>
      </c>
      <c r="F2651" s="573" t="s">
        <v>187</v>
      </c>
      <c r="G2651" s="573" t="s">
        <v>271</v>
      </c>
      <c r="H2651" s="573">
        <v>2019</v>
      </c>
      <c r="I2651" s="573" t="s">
        <v>4503</v>
      </c>
      <c r="J2651" s="573" t="s">
        <v>4684</v>
      </c>
      <c r="K2651" s="573" t="s">
        <v>3377</v>
      </c>
      <c r="L2651" s="573">
        <v>3</v>
      </c>
      <c r="M2651" s="573">
        <v>0</v>
      </c>
      <c r="N2651" s="573" t="s">
        <v>157</v>
      </c>
      <c r="O2651" s="573">
        <v>1</v>
      </c>
      <c r="P2651" s="573" t="s">
        <v>3846</v>
      </c>
      <c r="Q2651" s="571">
        <v>13200</v>
      </c>
      <c r="R2651" s="573" t="s">
        <v>4235</v>
      </c>
      <c r="S2651" s="573">
        <v>8</v>
      </c>
      <c r="T2651" s="573" t="s">
        <v>4685</v>
      </c>
      <c r="U2651" s="573" t="s">
        <v>4558</v>
      </c>
      <c r="V2651" s="573">
        <v>142</v>
      </c>
      <c r="W2651" s="573">
        <v>34</v>
      </c>
      <c r="X2651" s="571">
        <v>14000</v>
      </c>
      <c r="Y2651" s="569">
        <v>13</v>
      </c>
      <c r="Z2651" s="579" t="s">
        <v>450</v>
      </c>
      <c r="AA2651" s="579" t="s">
        <v>178</v>
      </c>
      <c r="AB2651" s="584">
        <v>37305</v>
      </c>
      <c r="AC2651" s="584" t="s">
        <v>164</v>
      </c>
      <c r="AD2651" s="584">
        <v>26750</v>
      </c>
      <c r="AE2651" s="586">
        <v>0.01</v>
      </c>
      <c r="AF2651" s="661" t="str">
        <f t="shared" si="290"/>
        <v>2019-LTK-FRD-F350-036-15</v>
      </c>
      <c r="AG2651" s="661" t="str">
        <f>IF(AND($Y2651&gt;=32,(AI2651="I"),(Y2651&lt;&gt;"~"),(COUNTIF($AN$1:$AN2651,$AN2651)=1)),"TRUE","FALSE")</f>
        <v>FALSE</v>
      </c>
      <c r="AH2651" s="661" t="str">
        <f>IF(AND($Y2651&gt;=22, (AI2651&lt;&gt;"I"),(Y2651&lt;&gt;"~"),(COUNTIF($AN$1:$AN2651,$AN2651)=1)),"TRUE","FALSE")</f>
        <v>FALSE</v>
      </c>
      <c r="AI2651" s="661" t="str">
        <f t="shared" si="285"/>
        <v>N/A</v>
      </c>
      <c r="AJ2651" s="662" t="str">
        <f t="shared" si="286"/>
        <v>F350-036</v>
      </c>
      <c r="AK2651" s="662" t="str">
        <f t="shared" si="287"/>
        <v>LTK</v>
      </c>
      <c r="AL2651" s="662" t="str">
        <f t="shared" si="288"/>
        <v>FRD</v>
      </c>
      <c r="AM2651" s="662" t="str">
        <f t="shared" ref="AM2651:AM2714" si="291">CONCATENATE(I2651,"-",J2651,"-",K2651,"-",L2651,"-",P2651,"-",Q2651,"-",R2651,"-",S2651,"-",T2651,"-",U2651,"-",V2651,"-",W2651,"-",Z2651,"-",AA2651)</f>
        <v>F350-Regular Cab XL DRW-2WD-3-8'-13200-6.2L FFV-8-F3C-620A-142-34-E85-Unleaded</v>
      </c>
      <c r="AN2651" s="662" t="str">
        <f t="shared" si="289"/>
        <v>2019-LTK-FRD-F350-036</v>
      </c>
    </row>
    <row r="2652" spans="1:40" ht="15">
      <c r="A2652" s="570" t="s">
        <v>4689</v>
      </c>
      <c r="B2652" s="569" t="s">
        <v>4687</v>
      </c>
      <c r="C2652" s="569" t="s">
        <v>278</v>
      </c>
      <c r="D2652" s="580">
        <v>15</v>
      </c>
      <c r="E2652" s="569" t="s">
        <v>3374</v>
      </c>
      <c r="F2652" s="569" t="s">
        <v>187</v>
      </c>
      <c r="G2652" s="569" t="s">
        <v>271</v>
      </c>
      <c r="H2652" s="569">
        <v>2019</v>
      </c>
      <c r="I2652" s="569" t="s">
        <v>4503</v>
      </c>
      <c r="J2652" s="569" t="s">
        <v>4684</v>
      </c>
      <c r="K2652" s="569" t="s">
        <v>3377</v>
      </c>
      <c r="L2652" s="569">
        <v>3</v>
      </c>
      <c r="M2652" s="569">
        <v>0</v>
      </c>
      <c r="N2652" s="569" t="s">
        <v>157</v>
      </c>
      <c r="O2652" s="569">
        <v>1</v>
      </c>
      <c r="P2652" s="569" t="s">
        <v>3846</v>
      </c>
      <c r="Q2652" s="568">
        <v>13200</v>
      </c>
      <c r="R2652" s="569" t="s">
        <v>4231</v>
      </c>
      <c r="S2652" s="569">
        <v>8</v>
      </c>
      <c r="T2652" s="569" t="s">
        <v>4685</v>
      </c>
      <c r="U2652" s="569" t="s">
        <v>4558</v>
      </c>
      <c r="V2652" s="569">
        <v>142</v>
      </c>
      <c r="W2652" s="569">
        <v>29</v>
      </c>
      <c r="X2652" s="568">
        <v>14000</v>
      </c>
      <c r="Y2652" s="569">
        <v>13</v>
      </c>
      <c r="Z2652" s="581" t="s">
        <v>728</v>
      </c>
      <c r="AA2652" s="581" t="s">
        <v>1523</v>
      </c>
      <c r="AB2652" s="585">
        <v>46425</v>
      </c>
      <c r="AC2652" s="585" t="s">
        <v>164</v>
      </c>
      <c r="AD2652" s="585">
        <v>35100</v>
      </c>
      <c r="AE2652" s="587">
        <v>0.01</v>
      </c>
      <c r="AF2652" s="661" t="str">
        <f t="shared" si="290"/>
        <v>2019-LTK-FRD-F350-037-15</v>
      </c>
      <c r="AG2652" s="661" t="str">
        <f>IF(AND($Y2652&gt;=32,(AI2652="I"),(Y2652&lt;&gt;"~"),(COUNTIF($AN$1:$AN2652,$AN2652)=1)),"TRUE","FALSE")</f>
        <v>FALSE</v>
      </c>
      <c r="AH2652" s="661" t="str">
        <f>IF(AND($Y2652&gt;=22, (AI2652&lt;&gt;"I"),(Y2652&lt;&gt;"~"),(COUNTIF($AN$1:$AN2652,$AN2652)=1)),"TRUE","FALSE")</f>
        <v>FALSE</v>
      </c>
      <c r="AI2652" s="661" t="str">
        <f t="shared" ref="AI2652:AI2715" si="292">IF(OR((LEFT($E2652,2)="01"),AND(LEFT($E2652,2)="06",ISNUMBER(SEARCH("pas",$F2652))),AND(LEFT($E2652,2)="05",ISNUMBER(SEARCH("pas",$F2652)))),"I",IF(AND((LEFT($E2652,2)&lt;&gt;"01"),$X2652&lt;=10000),"II",IF(AND((LEFT($E2652,2)&lt;&gt;"01"),$X2652&gt;10000),"N/A")))</f>
        <v>N/A</v>
      </c>
      <c r="AJ2652" s="662" t="str">
        <f t="shared" si="286"/>
        <v>F350-037</v>
      </c>
      <c r="AK2652" s="662" t="str">
        <f t="shared" si="287"/>
        <v>LTK</v>
      </c>
      <c r="AL2652" s="662" t="str">
        <f t="shared" si="288"/>
        <v>FRD</v>
      </c>
      <c r="AM2652" s="662" t="str">
        <f t="shared" si="291"/>
        <v>F350-Regular Cab XL DRW-2WD-3-8'-13200-6.7L Diesel-8-F3C-620A-142-29-Diesel-BioDiesel</v>
      </c>
      <c r="AN2652" s="662" t="str">
        <f t="shared" si="289"/>
        <v>2019-LTK-FRD-F350-037</v>
      </c>
    </row>
    <row r="2653" spans="1:40" ht="15">
      <c r="A2653" s="570" t="s">
        <v>4690</v>
      </c>
      <c r="B2653" s="573" t="s">
        <v>4683</v>
      </c>
      <c r="C2653" s="573" t="s">
        <v>287</v>
      </c>
      <c r="D2653" s="578">
        <v>26</v>
      </c>
      <c r="E2653" s="573" t="s">
        <v>3374</v>
      </c>
      <c r="F2653" s="573" t="s">
        <v>187</v>
      </c>
      <c r="G2653" s="573" t="s">
        <v>271</v>
      </c>
      <c r="H2653" s="573">
        <v>2019</v>
      </c>
      <c r="I2653" s="573" t="s">
        <v>4503</v>
      </c>
      <c r="J2653" s="573" t="s">
        <v>4684</v>
      </c>
      <c r="K2653" s="573" t="s">
        <v>3377</v>
      </c>
      <c r="L2653" s="573">
        <v>3</v>
      </c>
      <c r="M2653" s="573">
        <v>0</v>
      </c>
      <c r="N2653" s="573" t="s">
        <v>157</v>
      </c>
      <c r="O2653" s="573">
        <v>1</v>
      </c>
      <c r="P2653" s="573" t="s">
        <v>3846</v>
      </c>
      <c r="Q2653" s="571">
        <v>13200</v>
      </c>
      <c r="R2653" s="573" t="s">
        <v>4235</v>
      </c>
      <c r="S2653" s="573">
        <v>8</v>
      </c>
      <c r="T2653" s="573" t="s">
        <v>4685</v>
      </c>
      <c r="U2653" s="573" t="s">
        <v>4558</v>
      </c>
      <c r="V2653" s="573">
        <v>142</v>
      </c>
      <c r="W2653" s="573">
        <v>34</v>
      </c>
      <c r="X2653" s="571">
        <v>14000</v>
      </c>
      <c r="Y2653" s="569">
        <v>13</v>
      </c>
      <c r="Z2653" s="579" t="s">
        <v>450</v>
      </c>
      <c r="AA2653" s="579" t="s">
        <v>178</v>
      </c>
      <c r="AB2653" s="584">
        <v>37305</v>
      </c>
      <c r="AC2653" s="584" t="s">
        <v>164</v>
      </c>
      <c r="AD2653" s="584">
        <v>26882</v>
      </c>
      <c r="AE2653" s="586">
        <v>0.05</v>
      </c>
      <c r="AF2653" s="661" t="str">
        <f t="shared" si="290"/>
        <v>2019-LTK-FRD-F350-036-26</v>
      </c>
      <c r="AG2653" s="661" t="str">
        <f>IF(AND($Y2653&gt;=32,(AI2653="I"),(Y2653&lt;&gt;"~"),(COUNTIF($AN$1:$AN2653,$AN2653)=1)),"TRUE","FALSE")</f>
        <v>FALSE</v>
      </c>
      <c r="AH2653" s="661" t="str">
        <f>IF(AND($Y2653&gt;=22, (AI2653&lt;&gt;"I"),(Y2653&lt;&gt;"~"),(COUNTIF($AN$1:$AN2653,$AN2653)=1)),"TRUE","FALSE")</f>
        <v>FALSE</v>
      </c>
      <c r="AI2653" s="661" t="str">
        <f t="shared" si="292"/>
        <v>N/A</v>
      </c>
      <c r="AJ2653" s="662" t="str">
        <f t="shared" si="286"/>
        <v>F350-036</v>
      </c>
      <c r="AK2653" s="662" t="str">
        <f t="shared" si="287"/>
        <v>LTK</v>
      </c>
      <c r="AL2653" s="662" t="str">
        <f t="shared" si="288"/>
        <v>FRD</v>
      </c>
      <c r="AM2653" s="662" t="str">
        <f t="shared" si="291"/>
        <v>F350-Regular Cab XL DRW-2WD-3-8'-13200-6.2L FFV-8-F3C-620A-142-34-E85-Unleaded</v>
      </c>
      <c r="AN2653" s="662" t="str">
        <f t="shared" si="289"/>
        <v>2019-LTK-FRD-F350-036</v>
      </c>
    </row>
    <row r="2654" spans="1:40" ht="15">
      <c r="A2654" s="570" t="s">
        <v>4691</v>
      </c>
      <c r="B2654" s="569" t="s">
        <v>4687</v>
      </c>
      <c r="C2654" s="569" t="s">
        <v>287</v>
      </c>
      <c r="D2654" s="580">
        <v>26</v>
      </c>
      <c r="E2654" s="569" t="s">
        <v>3374</v>
      </c>
      <c r="F2654" s="569" t="s">
        <v>187</v>
      </c>
      <c r="G2654" s="569" t="s">
        <v>271</v>
      </c>
      <c r="H2654" s="569">
        <v>2019</v>
      </c>
      <c r="I2654" s="569" t="s">
        <v>4503</v>
      </c>
      <c r="J2654" s="569" t="s">
        <v>4684</v>
      </c>
      <c r="K2654" s="569" t="s">
        <v>3377</v>
      </c>
      <c r="L2654" s="569">
        <v>3</v>
      </c>
      <c r="M2654" s="569">
        <v>0</v>
      </c>
      <c r="N2654" s="569" t="s">
        <v>157</v>
      </c>
      <c r="O2654" s="569">
        <v>1</v>
      </c>
      <c r="P2654" s="569" t="s">
        <v>3846</v>
      </c>
      <c r="Q2654" s="568">
        <v>13200</v>
      </c>
      <c r="R2654" s="569" t="s">
        <v>4231</v>
      </c>
      <c r="S2654" s="569">
        <v>8</v>
      </c>
      <c r="T2654" s="569" t="s">
        <v>4685</v>
      </c>
      <c r="U2654" s="569" t="s">
        <v>4558</v>
      </c>
      <c r="V2654" s="569">
        <v>142</v>
      </c>
      <c r="W2654" s="569">
        <v>29</v>
      </c>
      <c r="X2654" s="568">
        <v>14000</v>
      </c>
      <c r="Y2654" s="569">
        <v>13</v>
      </c>
      <c r="Z2654" s="581" t="s">
        <v>728</v>
      </c>
      <c r="AA2654" s="581" t="s">
        <v>1523</v>
      </c>
      <c r="AB2654" s="585">
        <v>46425</v>
      </c>
      <c r="AC2654" s="585" t="s">
        <v>164</v>
      </c>
      <c r="AD2654" s="585">
        <v>35076</v>
      </c>
      <c r="AE2654" s="587">
        <v>0.05</v>
      </c>
      <c r="AF2654" s="661" t="str">
        <f t="shared" si="290"/>
        <v>2019-LTK-FRD-F350-037-26</v>
      </c>
      <c r="AG2654" s="661" t="str">
        <f>IF(AND($Y2654&gt;=32,(AI2654="I"),(Y2654&lt;&gt;"~"),(COUNTIF($AN$1:$AN2654,$AN2654)=1)),"TRUE","FALSE")</f>
        <v>FALSE</v>
      </c>
      <c r="AH2654" s="661" t="str">
        <f>IF(AND($Y2654&gt;=22, (AI2654&lt;&gt;"I"),(Y2654&lt;&gt;"~"),(COUNTIF($AN$1:$AN2654,$AN2654)=1)),"TRUE","FALSE")</f>
        <v>FALSE</v>
      </c>
      <c r="AI2654" s="661" t="str">
        <f t="shared" si="292"/>
        <v>N/A</v>
      </c>
      <c r="AJ2654" s="662" t="str">
        <f t="shared" si="286"/>
        <v>F350-037</v>
      </c>
      <c r="AK2654" s="662" t="str">
        <f t="shared" si="287"/>
        <v>LTK</v>
      </c>
      <c r="AL2654" s="662" t="str">
        <f t="shared" si="288"/>
        <v>FRD</v>
      </c>
      <c r="AM2654" s="662" t="str">
        <f t="shared" si="291"/>
        <v>F350-Regular Cab XL DRW-2WD-3-8'-13200-6.7L Diesel-8-F3C-620A-142-29-Diesel-BioDiesel</v>
      </c>
      <c r="AN2654" s="662" t="str">
        <f t="shared" si="289"/>
        <v>2019-LTK-FRD-F350-037</v>
      </c>
    </row>
    <row r="2655" spans="1:40" ht="15">
      <c r="A2655" s="570" t="s">
        <v>4692</v>
      </c>
      <c r="B2655" s="573" t="s">
        <v>4683</v>
      </c>
      <c r="C2655" s="573" t="s">
        <v>280</v>
      </c>
      <c r="D2655" s="578">
        <v>27</v>
      </c>
      <c r="E2655" s="573" t="s">
        <v>3374</v>
      </c>
      <c r="F2655" s="573" t="s">
        <v>187</v>
      </c>
      <c r="G2655" s="573" t="s">
        <v>271</v>
      </c>
      <c r="H2655" s="573">
        <v>2019</v>
      </c>
      <c r="I2655" s="573" t="s">
        <v>4503</v>
      </c>
      <c r="J2655" s="573" t="s">
        <v>4684</v>
      </c>
      <c r="K2655" s="573" t="s">
        <v>3377</v>
      </c>
      <c r="L2655" s="573">
        <v>3</v>
      </c>
      <c r="M2655" s="573">
        <v>0</v>
      </c>
      <c r="N2655" s="573" t="s">
        <v>157</v>
      </c>
      <c r="O2655" s="573">
        <v>1</v>
      </c>
      <c r="P2655" s="573" t="s">
        <v>3846</v>
      </c>
      <c r="Q2655" s="571">
        <v>13200</v>
      </c>
      <c r="R2655" s="573" t="s">
        <v>4235</v>
      </c>
      <c r="S2655" s="573">
        <v>8</v>
      </c>
      <c r="T2655" s="573" t="s">
        <v>4685</v>
      </c>
      <c r="U2655" s="573" t="s">
        <v>4558</v>
      </c>
      <c r="V2655" s="573">
        <v>142</v>
      </c>
      <c r="W2655" s="573">
        <v>34</v>
      </c>
      <c r="X2655" s="571">
        <v>14000</v>
      </c>
      <c r="Y2655" s="569">
        <v>13</v>
      </c>
      <c r="Z2655" s="579" t="s">
        <v>450</v>
      </c>
      <c r="AA2655" s="579" t="s">
        <v>178</v>
      </c>
      <c r="AB2655" s="584">
        <v>37305</v>
      </c>
      <c r="AC2655" s="584" t="s">
        <v>164</v>
      </c>
      <c r="AD2655" s="584">
        <v>26679.705263157899</v>
      </c>
      <c r="AE2655" s="586">
        <v>0.03</v>
      </c>
      <c r="AF2655" s="661" t="str">
        <f t="shared" si="290"/>
        <v>2019-LTK-FRD-F350-036-27</v>
      </c>
      <c r="AG2655" s="661" t="str">
        <f>IF(AND($Y2655&gt;=32,(AI2655="I"),(Y2655&lt;&gt;"~"),(COUNTIF($AN$1:$AN2655,$AN2655)=1)),"TRUE","FALSE")</f>
        <v>FALSE</v>
      </c>
      <c r="AH2655" s="661" t="str">
        <f>IF(AND($Y2655&gt;=22, (AI2655&lt;&gt;"I"),(Y2655&lt;&gt;"~"),(COUNTIF($AN$1:$AN2655,$AN2655)=1)),"TRUE","FALSE")</f>
        <v>FALSE</v>
      </c>
      <c r="AI2655" s="661" t="str">
        <f t="shared" si="292"/>
        <v>N/A</v>
      </c>
      <c r="AJ2655" s="662" t="str">
        <f t="shared" si="286"/>
        <v>F350-036</v>
      </c>
      <c r="AK2655" s="662" t="str">
        <f t="shared" si="287"/>
        <v>LTK</v>
      </c>
      <c r="AL2655" s="662" t="str">
        <f t="shared" si="288"/>
        <v>FRD</v>
      </c>
      <c r="AM2655" s="662" t="str">
        <f t="shared" si="291"/>
        <v>F350-Regular Cab XL DRW-2WD-3-8'-13200-6.2L FFV-8-F3C-620A-142-34-E85-Unleaded</v>
      </c>
      <c r="AN2655" s="662" t="str">
        <f t="shared" si="289"/>
        <v>2019-LTK-FRD-F350-036</v>
      </c>
    </row>
    <row r="2656" spans="1:40" ht="15">
      <c r="A2656" s="570" t="s">
        <v>4693</v>
      </c>
      <c r="B2656" s="569" t="s">
        <v>4687</v>
      </c>
      <c r="C2656" s="569" t="s">
        <v>280</v>
      </c>
      <c r="D2656" s="580">
        <v>27</v>
      </c>
      <c r="E2656" s="569" t="s">
        <v>3374</v>
      </c>
      <c r="F2656" s="569" t="s">
        <v>187</v>
      </c>
      <c r="G2656" s="569" t="s">
        <v>271</v>
      </c>
      <c r="H2656" s="569">
        <v>2019</v>
      </c>
      <c r="I2656" s="569" t="s">
        <v>4503</v>
      </c>
      <c r="J2656" s="569" t="s">
        <v>4684</v>
      </c>
      <c r="K2656" s="569" t="s">
        <v>3377</v>
      </c>
      <c r="L2656" s="569">
        <v>3</v>
      </c>
      <c r="M2656" s="569">
        <v>0</v>
      </c>
      <c r="N2656" s="569" t="s">
        <v>157</v>
      </c>
      <c r="O2656" s="569">
        <v>1</v>
      </c>
      <c r="P2656" s="569" t="s">
        <v>3846</v>
      </c>
      <c r="Q2656" s="568">
        <v>13200</v>
      </c>
      <c r="R2656" s="569" t="s">
        <v>4231</v>
      </c>
      <c r="S2656" s="569">
        <v>8</v>
      </c>
      <c r="T2656" s="569" t="s">
        <v>4685</v>
      </c>
      <c r="U2656" s="569" t="s">
        <v>4558</v>
      </c>
      <c r="V2656" s="569">
        <v>142</v>
      </c>
      <c r="W2656" s="569">
        <v>29</v>
      </c>
      <c r="X2656" s="568">
        <v>14000</v>
      </c>
      <c r="Y2656" s="569">
        <v>13</v>
      </c>
      <c r="Z2656" s="581" t="s">
        <v>728</v>
      </c>
      <c r="AA2656" s="581" t="s">
        <v>1523</v>
      </c>
      <c r="AB2656" s="585">
        <v>46425</v>
      </c>
      <c r="AC2656" s="585" t="s">
        <v>164</v>
      </c>
      <c r="AD2656" s="585">
        <v>34871.894736842107</v>
      </c>
      <c r="AE2656" s="587">
        <v>0.03</v>
      </c>
      <c r="AF2656" s="661" t="str">
        <f t="shared" si="290"/>
        <v>2019-LTK-FRD-F350-037-27</v>
      </c>
      <c r="AG2656" s="661" t="str">
        <f>IF(AND($Y2656&gt;=32,(AI2656="I"),(Y2656&lt;&gt;"~"),(COUNTIF($AN$1:$AN2656,$AN2656)=1)),"TRUE","FALSE")</f>
        <v>FALSE</v>
      </c>
      <c r="AH2656" s="661" t="str">
        <f>IF(AND($Y2656&gt;=22, (AI2656&lt;&gt;"I"),(Y2656&lt;&gt;"~"),(COUNTIF($AN$1:$AN2656,$AN2656)=1)),"TRUE","FALSE")</f>
        <v>FALSE</v>
      </c>
      <c r="AI2656" s="661" t="str">
        <f t="shared" si="292"/>
        <v>N/A</v>
      </c>
      <c r="AJ2656" s="662" t="str">
        <f t="shared" si="286"/>
        <v>F350-037</v>
      </c>
      <c r="AK2656" s="662" t="str">
        <f t="shared" si="287"/>
        <v>LTK</v>
      </c>
      <c r="AL2656" s="662" t="str">
        <f t="shared" si="288"/>
        <v>FRD</v>
      </c>
      <c r="AM2656" s="662" t="str">
        <f t="shared" si="291"/>
        <v>F350-Regular Cab XL DRW-2WD-3-8'-13200-6.7L Diesel-8-F3C-620A-142-29-Diesel-BioDiesel</v>
      </c>
      <c r="AN2656" s="662" t="str">
        <f t="shared" si="289"/>
        <v>2019-LTK-FRD-F350-037</v>
      </c>
    </row>
    <row r="2657" spans="1:40" ht="15">
      <c r="A2657" s="570" t="s">
        <v>4694</v>
      </c>
      <c r="B2657" s="573" t="s">
        <v>4695</v>
      </c>
      <c r="C2657" s="573" t="s">
        <v>269</v>
      </c>
      <c r="D2657" s="578" t="s">
        <v>270</v>
      </c>
      <c r="E2657" s="573" t="s">
        <v>3374</v>
      </c>
      <c r="F2657" s="573" t="s">
        <v>187</v>
      </c>
      <c r="G2657" s="573" t="s">
        <v>271</v>
      </c>
      <c r="H2657" s="573">
        <v>2019</v>
      </c>
      <c r="I2657" s="573" t="s">
        <v>4503</v>
      </c>
      <c r="J2657" s="573" t="s">
        <v>4684</v>
      </c>
      <c r="K2657" s="573" t="s">
        <v>752</v>
      </c>
      <c r="L2657" s="573">
        <v>3</v>
      </c>
      <c r="M2657" s="573">
        <v>0</v>
      </c>
      <c r="N2657" s="573" t="s">
        <v>157</v>
      </c>
      <c r="O2657" s="573">
        <v>1</v>
      </c>
      <c r="P2657" s="573" t="s">
        <v>3846</v>
      </c>
      <c r="Q2657" s="571">
        <v>12700</v>
      </c>
      <c r="R2657" s="573" t="s">
        <v>4235</v>
      </c>
      <c r="S2657" s="573">
        <v>8</v>
      </c>
      <c r="T2657" s="573" t="s">
        <v>4696</v>
      </c>
      <c r="U2657" s="573" t="s">
        <v>4558</v>
      </c>
      <c r="V2657" s="573">
        <v>142</v>
      </c>
      <c r="W2657" s="573">
        <v>34</v>
      </c>
      <c r="X2657" s="571">
        <v>14000</v>
      </c>
      <c r="Y2657" s="569">
        <v>12</v>
      </c>
      <c r="Z2657" s="579" t="s">
        <v>450</v>
      </c>
      <c r="AA2657" s="579" t="s">
        <v>178</v>
      </c>
      <c r="AB2657" s="584">
        <v>40100</v>
      </c>
      <c r="AC2657" s="584" t="s">
        <v>164</v>
      </c>
      <c r="AD2657" s="584">
        <v>29682.863157894739</v>
      </c>
      <c r="AE2657" s="586">
        <v>0.03</v>
      </c>
      <c r="AF2657" s="661" t="str">
        <f t="shared" si="290"/>
        <v>2019-LTK-FRD-F350-038-05</v>
      </c>
      <c r="AG2657" s="661" t="str">
        <f>IF(AND($Y2657&gt;=32,(AI2657="I"),(Y2657&lt;&gt;"~"),(COUNTIF($AN$1:$AN2657,$AN2657)=1)),"TRUE","FALSE")</f>
        <v>FALSE</v>
      </c>
      <c r="AH2657" s="661" t="str">
        <f>IF(AND($Y2657&gt;=22, (AI2657&lt;&gt;"I"),(Y2657&lt;&gt;"~"),(COUNTIF($AN$1:$AN2657,$AN2657)=1)),"TRUE","FALSE")</f>
        <v>FALSE</v>
      </c>
      <c r="AI2657" s="661" t="str">
        <f t="shared" si="292"/>
        <v>N/A</v>
      </c>
      <c r="AJ2657" s="662" t="str">
        <f t="shared" si="286"/>
        <v>F350-038</v>
      </c>
      <c r="AK2657" s="662" t="str">
        <f t="shared" si="287"/>
        <v>LTK</v>
      </c>
      <c r="AL2657" s="662" t="str">
        <f t="shared" si="288"/>
        <v>FRD</v>
      </c>
      <c r="AM2657" s="662" t="str">
        <f t="shared" si="291"/>
        <v>F350-Regular Cab XL DRW-4WD-3-8'-12700-6.2L FFV-8-F3D-620A-142-34-E85-Unleaded</v>
      </c>
      <c r="AN2657" s="662" t="str">
        <f t="shared" si="289"/>
        <v>2019-LTK-FRD-F350-038</v>
      </c>
    </row>
    <row r="2658" spans="1:40" ht="15">
      <c r="A2658" s="570" t="s">
        <v>4697</v>
      </c>
      <c r="B2658" s="569" t="s">
        <v>4698</v>
      </c>
      <c r="C2658" s="569" t="s">
        <v>269</v>
      </c>
      <c r="D2658" s="580" t="s">
        <v>270</v>
      </c>
      <c r="E2658" s="569" t="s">
        <v>3374</v>
      </c>
      <c r="F2658" s="569" t="s">
        <v>187</v>
      </c>
      <c r="G2658" s="569" t="s">
        <v>271</v>
      </c>
      <c r="H2658" s="569">
        <v>2019</v>
      </c>
      <c r="I2658" s="569" t="s">
        <v>4503</v>
      </c>
      <c r="J2658" s="569" t="s">
        <v>4684</v>
      </c>
      <c r="K2658" s="569" t="s">
        <v>752</v>
      </c>
      <c r="L2658" s="569">
        <v>3</v>
      </c>
      <c r="M2658" s="569">
        <v>0</v>
      </c>
      <c r="N2658" s="569" t="s">
        <v>157</v>
      </c>
      <c r="O2658" s="569">
        <v>1</v>
      </c>
      <c r="P2658" s="569" t="s">
        <v>3846</v>
      </c>
      <c r="Q2658" s="568">
        <v>12700</v>
      </c>
      <c r="R2658" s="569" t="s">
        <v>4231</v>
      </c>
      <c r="S2658" s="569">
        <v>8</v>
      </c>
      <c r="T2658" s="569" t="s">
        <v>4696</v>
      </c>
      <c r="U2658" s="569" t="s">
        <v>4558</v>
      </c>
      <c r="V2658" s="569">
        <v>142</v>
      </c>
      <c r="W2658" s="569">
        <v>29</v>
      </c>
      <c r="X2658" s="568">
        <v>14000</v>
      </c>
      <c r="Y2658" s="569">
        <v>12</v>
      </c>
      <c r="Z2658" s="581" t="s">
        <v>728</v>
      </c>
      <c r="AA2658" s="581" t="s">
        <v>1523</v>
      </c>
      <c r="AB2658" s="585">
        <v>49220</v>
      </c>
      <c r="AC2658" s="585" t="s">
        <v>164</v>
      </c>
      <c r="AD2658" s="585">
        <v>37875.052631578954</v>
      </c>
      <c r="AE2658" s="587">
        <v>0.03</v>
      </c>
      <c r="AF2658" s="661" t="str">
        <f t="shared" si="290"/>
        <v>2019-LTK-FRD-F350-039-05</v>
      </c>
      <c r="AG2658" s="661" t="str">
        <f>IF(AND($Y2658&gt;=32,(AI2658="I"),(Y2658&lt;&gt;"~"),(COUNTIF($AN$1:$AN2658,$AN2658)=1)),"TRUE","FALSE")</f>
        <v>FALSE</v>
      </c>
      <c r="AH2658" s="661" t="str">
        <f>IF(AND($Y2658&gt;=22, (AI2658&lt;&gt;"I"),(Y2658&lt;&gt;"~"),(COUNTIF($AN$1:$AN2658,$AN2658)=1)),"TRUE","FALSE")</f>
        <v>FALSE</v>
      </c>
      <c r="AI2658" s="661" t="str">
        <f t="shared" si="292"/>
        <v>N/A</v>
      </c>
      <c r="AJ2658" s="662" t="str">
        <f t="shared" si="286"/>
        <v>F350-039</v>
      </c>
      <c r="AK2658" s="662" t="str">
        <f t="shared" si="287"/>
        <v>LTK</v>
      </c>
      <c r="AL2658" s="662" t="str">
        <f t="shared" si="288"/>
        <v>FRD</v>
      </c>
      <c r="AM2658" s="662" t="str">
        <f t="shared" si="291"/>
        <v>F350-Regular Cab XL DRW-4WD-3-8'-12700-6.7L Diesel-8-F3D-620A-142-29-Diesel-BioDiesel</v>
      </c>
      <c r="AN2658" s="662" t="str">
        <f t="shared" si="289"/>
        <v>2019-LTK-FRD-F350-039</v>
      </c>
    </row>
    <row r="2659" spans="1:40" ht="15">
      <c r="A2659" s="570" t="s">
        <v>4699</v>
      </c>
      <c r="B2659" s="573" t="s">
        <v>4695</v>
      </c>
      <c r="C2659" s="573" t="s">
        <v>278</v>
      </c>
      <c r="D2659" s="578">
        <v>15</v>
      </c>
      <c r="E2659" s="573" t="s">
        <v>3374</v>
      </c>
      <c r="F2659" s="573" t="s">
        <v>187</v>
      </c>
      <c r="G2659" s="573" t="s">
        <v>271</v>
      </c>
      <c r="H2659" s="573">
        <v>2019</v>
      </c>
      <c r="I2659" s="573" t="s">
        <v>4503</v>
      </c>
      <c r="J2659" s="573" t="s">
        <v>4684</v>
      </c>
      <c r="K2659" s="573" t="s">
        <v>752</v>
      </c>
      <c r="L2659" s="573">
        <v>3</v>
      </c>
      <c r="M2659" s="573">
        <v>0</v>
      </c>
      <c r="N2659" s="573" t="s">
        <v>157</v>
      </c>
      <c r="O2659" s="573">
        <v>1</v>
      </c>
      <c r="P2659" s="573" t="s">
        <v>3846</v>
      </c>
      <c r="Q2659" s="571">
        <v>12700</v>
      </c>
      <c r="R2659" s="573" t="s">
        <v>4235</v>
      </c>
      <c r="S2659" s="573">
        <v>8</v>
      </c>
      <c r="T2659" s="573" t="s">
        <v>4696</v>
      </c>
      <c r="U2659" s="573" t="s">
        <v>4558</v>
      </c>
      <c r="V2659" s="573">
        <v>142</v>
      </c>
      <c r="W2659" s="573">
        <v>34</v>
      </c>
      <c r="X2659" s="571">
        <v>14000</v>
      </c>
      <c r="Y2659" s="569">
        <v>12</v>
      </c>
      <c r="Z2659" s="579" t="s">
        <v>450</v>
      </c>
      <c r="AA2659" s="579" t="s">
        <v>178</v>
      </c>
      <c r="AB2659" s="584">
        <v>40100</v>
      </c>
      <c r="AC2659" s="584" t="s">
        <v>164</v>
      </c>
      <c r="AD2659" s="584">
        <v>29800</v>
      </c>
      <c r="AE2659" s="586">
        <v>0.01</v>
      </c>
      <c r="AF2659" s="661" t="str">
        <f t="shared" si="290"/>
        <v>2019-LTK-FRD-F350-038-15</v>
      </c>
      <c r="AG2659" s="661" t="str">
        <f>IF(AND($Y2659&gt;=32,(AI2659="I"),(Y2659&lt;&gt;"~"),(COUNTIF($AN$1:$AN2659,$AN2659)=1)),"TRUE","FALSE")</f>
        <v>FALSE</v>
      </c>
      <c r="AH2659" s="661" t="str">
        <f>IF(AND($Y2659&gt;=22, (AI2659&lt;&gt;"I"),(Y2659&lt;&gt;"~"),(COUNTIF($AN$1:$AN2659,$AN2659)=1)),"TRUE","FALSE")</f>
        <v>FALSE</v>
      </c>
      <c r="AI2659" s="661" t="str">
        <f t="shared" si="292"/>
        <v>N/A</v>
      </c>
      <c r="AJ2659" s="662" t="str">
        <f t="shared" si="286"/>
        <v>F350-038</v>
      </c>
      <c r="AK2659" s="662" t="str">
        <f t="shared" si="287"/>
        <v>LTK</v>
      </c>
      <c r="AL2659" s="662" t="str">
        <f t="shared" si="288"/>
        <v>FRD</v>
      </c>
      <c r="AM2659" s="662" t="str">
        <f t="shared" si="291"/>
        <v>F350-Regular Cab XL DRW-4WD-3-8'-12700-6.2L FFV-8-F3D-620A-142-34-E85-Unleaded</v>
      </c>
      <c r="AN2659" s="662" t="str">
        <f t="shared" si="289"/>
        <v>2019-LTK-FRD-F350-038</v>
      </c>
    </row>
    <row r="2660" spans="1:40" ht="15">
      <c r="A2660" s="570" t="s">
        <v>4700</v>
      </c>
      <c r="B2660" s="569" t="s">
        <v>4698</v>
      </c>
      <c r="C2660" s="569" t="s">
        <v>278</v>
      </c>
      <c r="D2660" s="580">
        <v>15</v>
      </c>
      <c r="E2660" s="569" t="s">
        <v>3374</v>
      </c>
      <c r="F2660" s="569" t="s">
        <v>187</v>
      </c>
      <c r="G2660" s="569" t="s">
        <v>271</v>
      </c>
      <c r="H2660" s="569">
        <v>2019</v>
      </c>
      <c r="I2660" s="569" t="s">
        <v>4503</v>
      </c>
      <c r="J2660" s="569" t="s">
        <v>4684</v>
      </c>
      <c r="K2660" s="569" t="s">
        <v>752</v>
      </c>
      <c r="L2660" s="569">
        <v>3</v>
      </c>
      <c r="M2660" s="569">
        <v>0</v>
      </c>
      <c r="N2660" s="569" t="s">
        <v>157</v>
      </c>
      <c r="O2660" s="569">
        <v>1</v>
      </c>
      <c r="P2660" s="569" t="s">
        <v>3846</v>
      </c>
      <c r="Q2660" s="568">
        <v>12700</v>
      </c>
      <c r="R2660" s="569" t="s">
        <v>4231</v>
      </c>
      <c r="S2660" s="569">
        <v>8</v>
      </c>
      <c r="T2660" s="569" t="s">
        <v>4696</v>
      </c>
      <c r="U2660" s="569" t="s">
        <v>4558</v>
      </c>
      <c r="V2660" s="569">
        <v>142</v>
      </c>
      <c r="W2660" s="569">
        <v>29</v>
      </c>
      <c r="X2660" s="568">
        <v>14000</v>
      </c>
      <c r="Y2660" s="569">
        <v>12</v>
      </c>
      <c r="Z2660" s="581" t="s">
        <v>728</v>
      </c>
      <c r="AA2660" s="581" t="s">
        <v>1523</v>
      </c>
      <c r="AB2660" s="585">
        <v>49220</v>
      </c>
      <c r="AC2660" s="585" t="s">
        <v>164</v>
      </c>
      <c r="AD2660" s="585">
        <v>38100</v>
      </c>
      <c r="AE2660" s="587">
        <v>0.01</v>
      </c>
      <c r="AF2660" s="661" t="str">
        <f t="shared" si="290"/>
        <v>2019-LTK-FRD-F350-039-15</v>
      </c>
      <c r="AG2660" s="661" t="str">
        <f>IF(AND($Y2660&gt;=32,(AI2660="I"),(Y2660&lt;&gt;"~"),(COUNTIF($AN$1:$AN2660,$AN2660)=1)),"TRUE","FALSE")</f>
        <v>FALSE</v>
      </c>
      <c r="AH2660" s="661" t="str">
        <f>IF(AND($Y2660&gt;=22, (AI2660&lt;&gt;"I"),(Y2660&lt;&gt;"~"),(COUNTIF($AN$1:$AN2660,$AN2660)=1)),"TRUE","FALSE")</f>
        <v>FALSE</v>
      </c>
      <c r="AI2660" s="661" t="str">
        <f t="shared" si="292"/>
        <v>N/A</v>
      </c>
      <c r="AJ2660" s="662" t="str">
        <f t="shared" si="286"/>
        <v>F350-039</v>
      </c>
      <c r="AK2660" s="662" t="str">
        <f t="shared" si="287"/>
        <v>LTK</v>
      </c>
      <c r="AL2660" s="662" t="str">
        <f t="shared" si="288"/>
        <v>FRD</v>
      </c>
      <c r="AM2660" s="662" t="str">
        <f t="shared" si="291"/>
        <v>F350-Regular Cab XL DRW-4WD-3-8'-12700-6.7L Diesel-8-F3D-620A-142-29-Diesel-BioDiesel</v>
      </c>
      <c r="AN2660" s="662" t="str">
        <f t="shared" si="289"/>
        <v>2019-LTK-FRD-F350-039</v>
      </c>
    </row>
    <row r="2661" spans="1:40" ht="15">
      <c r="A2661" s="570" t="s">
        <v>4701</v>
      </c>
      <c r="B2661" s="573" t="s">
        <v>4695</v>
      </c>
      <c r="C2661" s="573" t="s">
        <v>287</v>
      </c>
      <c r="D2661" s="578">
        <v>26</v>
      </c>
      <c r="E2661" s="573" t="s">
        <v>3374</v>
      </c>
      <c r="F2661" s="573" t="s">
        <v>187</v>
      </c>
      <c r="G2661" s="573" t="s">
        <v>271</v>
      </c>
      <c r="H2661" s="573">
        <v>2019</v>
      </c>
      <c r="I2661" s="573" t="s">
        <v>4503</v>
      </c>
      <c r="J2661" s="573" t="s">
        <v>4684</v>
      </c>
      <c r="K2661" s="573" t="s">
        <v>752</v>
      </c>
      <c r="L2661" s="573">
        <v>3</v>
      </c>
      <c r="M2661" s="573">
        <v>0</v>
      </c>
      <c r="N2661" s="573" t="s">
        <v>157</v>
      </c>
      <c r="O2661" s="573">
        <v>1</v>
      </c>
      <c r="P2661" s="573" t="s">
        <v>3846</v>
      </c>
      <c r="Q2661" s="571">
        <v>12700</v>
      </c>
      <c r="R2661" s="573" t="s">
        <v>4235</v>
      </c>
      <c r="S2661" s="573">
        <v>8</v>
      </c>
      <c r="T2661" s="573" t="s">
        <v>4696</v>
      </c>
      <c r="U2661" s="573" t="s">
        <v>4558</v>
      </c>
      <c r="V2661" s="573">
        <v>142</v>
      </c>
      <c r="W2661" s="573">
        <v>34</v>
      </c>
      <c r="X2661" s="571">
        <v>14000</v>
      </c>
      <c r="Y2661" s="569">
        <v>12</v>
      </c>
      <c r="Z2661" s="579" t="s">
        <v>450</v>
      </c>
      <c r="AA2661" s="579" t="s">
        <v>178</v>
      </c>
      <c r="AB2661" s="584">
        <v>40100</v>
      </c>
      <c r="AC2661" s="584" t="s">
        <v>164</v>
      </c>
      <c r="AD2661" s="584">
        <v>29929</v>
      </c>
      <c r="AE2661" s="586">
        <v>0.05</v>
      </c>
      <c r="AF2661" s="661" t="str">
        <f t="shared" si="290"/>
        <v>2019-LTK-FRD-F350-038-26</v>
      </c>
      <c r="AG2661" s="661" t="str">
        <f>IF(AND($Y2661&gt;=32,(AI2661="I"),(Y2661&lt;&gt;"~"),(COUNTIF($AN$1:$AN2661,$AN2661)=1)),"TRUE","FALSE")</f>
        <v>FALSE</v>
      </c>
      <c r="AH2661" s="661" t="str">
        <f>IF(AND($Y2661&gt;=22, (AI2661&lt;&gt;"I"),(Y2661&lt;&gt;"~"),(COUNTIF($AN$1:$AN2661,$AN2661)=1)),"TRUE","FALSE")</f>
        <v>FALSE</v>
      </c>
      <c r="AI2661" s="661" t="str">
        <f t="shared" si="292"/>
        <v>N/A</v>
      </c>
      <c r="AJ2661" s="662" t="str">
        <f t="shared" si="286"/>
        <v>F350-038</v>
      </c>
      <c r="AK2661" s="662" t="str">
        <f t="shared" si="287"/>
        <v>LTK</v>
      </c>
      <c r="AL2661" s="662" t="str">
        <f t="shared" si="288"/>
        <v>FRD</v>
      </c>
      <c r="AM2661" s="662" t="str">
        <f t="shared" si="291"/>
        <v>F350-Regular Cab XL DRW-4WD-3-8'-12700-6.2L FFV-8-F3D-620A-142-34-E85-Unleaded</v>
      </c>
      <c r="AN2661" s="662" t="str">
        <f t="shared" si="289"/>
        <v>2019-LTK-FRD-F350-038</v>
      </c>
    </row>
    <row r="2662" spans="1:40" ht="15">
      <c r="A2662" s="570" t="s">
        <v>4702</v>
      </c>
      <c r="B2662" s="569" t="s">
        <v>4698</v>
      </c>
      <c r="C2662" s="569" t="s">
        <v>287</v>
      </c>
      <c r="D2662" s="580">
        <v>26</v>
      </c>
      <c r="E2662" s="569" t="s">
        <v>3374</v>
      </c>
      <c r="F2662" s="569" t="s">
        <v>187</v>
      </c>
      <c r="G2662" s="569" t="s">
        <v>271</v>
      </c>
      <c r="H2662" s="569">
        <v>2019</v>
      </c>
      <c r="I2662" s="569" t="s">
        <v>4503</v>
      </c>
      <c r="J2662" s="569" t="s">
        <v>4684</v>
      </c>
      <c r="K2662" s="569" t="s">
        <v>752</v>
      </c>
      <c r="L2662" s="569">
        <v>3</v>
      </c>
      <c r="M2662" s="569">
        <v>0</v>
      </c>
      <c r="N2662" s="569" t="s">
        <v>157</v>
      </c>
      <c r="O2662" s="569">
        <v>1</v>
      </c>
      <c r="P2662" s="569" t="s">
        <v>3846</v>
      </c>
      <c r="Q2662" s="568">
        <v>12700</v>
      </c>
      <c r="R2662" s="569" t="s">
        <v>4231</v>
      </c>
      <c r="S2662" s="569">
        <v>8</v>
      </c>
      <c r="T2662" s="569" t="s">
        <v>4696</v>
      </c>
      <c r="U2662" s="569" t="s">
        <v>4558</v>
      </c>
      <c r="V2662" s="569">
        <v>142</v>
      </c>
      <c r="W2662" s="569">
        <v>29</v>
      </c>
      <c r="X2662" s="568">
        <v>14000</v>
      </c>
      <c r="Y2662" s="569">
        <v>12</v>
      </c>
      <c r="Z2662" s="581" t="s">
        <v>728</v>
      </c>
      <c r="AA2662" s="581" t="s">
        <v>1523</v>
      </c>
      <c r="AB2662" s="585">
        <v>49220</v>
      </c>
      <c r="AC2662" s="585" t="s">
        <v>164</v>
      </c>
      <c r="AD2662" s="585">
        <v>38124</v>
      </c>
      <c r="AE2662" s="587">
        <v>0.05</v>
      </c>
      <c r="AF2662" s="661" t="str">
        <f t="shared" si="290"/>
        <v>2019-LTK-FRD-F350-039-26</v>
      </c>
      <c r="AG2662" s="661" t="str">
        <f>IF(AND($Y2662&gt;=32,(AI2662="I"),(Y2662&lt;&gt;"~"),(COUNTIF($AN$1:$AN2662,$AN2662)=1)),"TRUE","FALSE")</f>
        <v>FALSE</v>
      </c>
      <c r="AH2662" s="661" t="str">
        <f>IF(AND($Y2662&gt;=22, (AI2662&lt;&gt;"I"),(Y2662&lt;&gt;"~"),(COUNTIF($AN$1:$AN2662,$AN2662)=1)),"TRUE","FALSE")</f>
        <v>FALSE</v>
      </c>
      <c r="AI2662" s="661" t="str">
        <f t="shared" si="292"/>
        <v>N/A</v>
      </c>
      <c r="AJ2662" s="662" t="str">
        <f t="shared" si="286"/>
        <v>F350-039</v>
      </c>
      <c r="AK2662" s="662" t="str">
        <f t="shared" si="287"/>
        <v>LTK</v>
      </c>
      <c r="AL2662" s="662" t="str">
        <f t="shared" si="288"/>
        <v>FRD</v>
      </c>
      <c r="AM2662" s="662" t="str">
        <f t="shared" si="291"/>
        <v>F350-Regular Cab XL DRW-4WD-3-8'-12700-6.7L Diesel-8-F3D-620A-142-29-Diesel-BioDiesel</v>
      </c>
      <c r="AN2662" s="662" t="str">
        <f t="shared" si="289"/>
        <v>2019-LTK-FRD-F350-039</v>
      </c>
    </row>
    <row r="2663" spans="1:40" ht="15">
      <c r="A2663" s="570" t="s">
        <v>4703</v>
      </c>
      <c r="B2663" s="573" t="s">
        <v>4695</v>
      </c>
      <c r="C2663" s="573" t="s">
        <v>280</v>
      </c>
      <c r="D2663" s="578">
        <v>27</v>
      </c>
      <c r="E2663" s="573" t="s">
        <v>3374</v>
      </c>
      <c r="F2663" s="573" t="s">
        <v>187</v>
      </c>
      <c r="G2663" s="573" t="s">
        <v>271</v>
      </c>
      <c r="H2663" s="573">
        <v>2019</v>
      </c>
      <c r="I2663" s="573" t="s">
        <v>4503</v>
      </c>
      <c r="J2663" s="573" t="s">
        <v>4684</v>
      </c>
      <c r="K2663" s="573" t="s">
        <v>752</v>
      </c>
      <c r="L2663" s="573">
        <v>3</v>
      </c>
      <c r="M2663" s="573">
        <v>0</v>
      </c>
      <c r="N2663" s="573" t="s">
        <v>157</v>
      </c>
      <c r="O2663" s="573">
        <v>1</v>
      </c>
      <c r="P2663" s="573" t="s">
        <v>3846</v>
      </c>
      <c r="Q2663" s="571">
        <v>12700</v>
      </c>
      <c r="R2663" s="573" t="s">
        <v>4235</v>
      </c>
      <c r="S2663" s="573">
        <v>8</v>
      </c>
      <c r="T2663" s="573" t="s">
        <v>4696</v>
      </c>
      <c r="U2663" s="573" t="s">
        <v>4558</v>
      </c>
      <c r="V2663" s="573">
        <v>142</v>
      </c>
      <c r="W2663" s="573">
        <v>34</v>
      </c>
      <c r="X2663" s="571">
        <v>14000</v>
      </c>
      <c r="Y2663" s="569">
        <v>12</v>
      </c>
      <c r="Z2663" s="579" t="s">
        <v>450</v>
      </c>
      <c r="AA2663" s="579" t="s">
        <v>178</v>
      </c>
      <c r="AB2663" s="584">
        <v>40100</v>
      </c>
      <c r="AC2663" s="584" t="s">
        <v>164</v>
      </c>
      <c r="AD2663" s="584">
        <v>29682.863157894739</v>
      </c>
      <c r="AE2663" s="586">
        <v>0.03</v>
      </c>
      <c r="AF2663" s="661" t="str">
        <f t="shared" si="290"/>
        <v>2019-LTK-FRD-F350-038-27</v>
      </c>
      <c r="AG2663" s="661" t="str">
        <f>IF(AND($Y2663&gt;=32,(AI2663="I"),(Y2663&lt;&gt;"~"),(COUNTIF($AN$1:$AN2663,$AN2663)=1)),"TRUE","FALSE")</f>
        <v>FALSE</v>
      </c>
      <c r="AH2663" s="661" t="str">
        <f>IF(AND($Y2663&gt;=22, (AI2663&lt;&gt;"I"),(Y2663&lt;&gt;"~"),(COUNTIF($AN$1:$AN2663,$AN2663)=1)),"TRUE","FALSE")</f>
        <v>FALSE</v>
      </c>
      <c r="AI2663" s="661" t="str">
        <f t="shared" si="292"/>
        <v>N/A</v>
      </c>
      <c r="AJ2663" s="662" t="str">
        <f t="shared" si="286"/>
        <v>F350-038</v>
      </c>
      <c r="AK2663" s="662" t="str">
        <f t="shared" si="287"/>
        <v>LTK</v>
      </c>
      <c r="AL2663" s="662" t="str">
        <f t="shared" si="288"/>
        <v>FRD</v>
      </c>
      <c r="AM2663" s="662" t="str">
        <f t="shared" si="291"/>
        <v>F350-Regular Cab XL DRW-4WD-3-8'-12700-6.2L FFV-8-F3D-620A-142-34-E85-Unleaded</v>
      </c>
      <c r="AN2663" s="662" t="str">
        <f t="shared" si="289"/>
        <v>2019-LTK-FRD-F350-038</v>
      </c>
    </row>
    <row r="2664" spans="1:40" ht="15">
      <c r="A2664" s="570" t="s">
        <v>4704</v>
      </c>
      <c r="B2664" s="569" t="s">
        <v>4698</v>
      </c>
      <c r="C2664" s="569" t="s">
        <v>280</v>
      </c>
      <c r="D2664" s="580">
        <v>27</v>
      </c>
      <c r="E2664" s="569" t="s">
        <v>3374</v>
      </c>
      <c r="F2664" s="569" t="s">
        <v>187</v>
      </c>
      <c r="G2664" s="569" t="s">
        <v>271</v>
      </c>
      <c r="H2664" s="569">
        <v>2019</v>
      </c>
      <c r="I2664" s="569" t="s">
        <v>4503</v>
      </c>
      <c r="J2664" s="569" t="s">
        <v>4684</v>
      </c>
      <c r="K2664" s="569" t="s">
        <v>752</v>
      </c>
      <c r="L2664" s="569">
        <v>3</v>
      </c>
      <c r="M2664" s="569">
        <v>0</v>
      </c>
      <c r="N2664" s="569" t="s">
        <v>157</v>
      </c>
      <c r="O2664" s="569">
        <v>1</v>
      </c>
      <c r="P2664" s="569" t="s">
        <v>3846</v>
      </c>
      <c r="Q2664" s="568">
        <v>12700</v>
      </c>
      <c r="R2664" s="569" t="s">
        <v>4231</v>
      </c>
      <c r="S2664" s="569">
        <v>8</v>
      </c>
      <c r="T2664" s="569" t="s">
        <v>4696</v>
      </c>
      <c r="U2664" s="569" t="s">
        <v>4558</v>
      </c>
      <c r="V2664" s="569">
        <v>142</v>
      </c>
      <c r="W2664" s="569">
        <v>29</v>
      </c>
      <c r="X2664" s="568">
        <v>14000</v>
      </c>
      <c r="Y2664" s="569">
        <v>12</v>
      </c>
      <c r="Z2664" s="581" t="s">
        <v>728</v>
      </c>
      <c r="AA2664" s="581" t="s">
        <v>1523</v>
      </c>
      <c r="AB2664" s="585">
        <v>49220</v>
      </c>
      <c r="AC2664" s="585" t="s">
        <v>164</v>
      </c>
      <c r="AD2664" s="585">
        <v>37875.052631578954</v>
      </c>
      <c r="AE2664" s="587">
        <v>0.03</v>
      </c>
      <c r="AF2664" s="661" t="str">
        <f t="shared" si="290"/>
        <v>2019-LTK-FRD-F350-039-27</v>
      </c>
      <c r="AG2664" s="661" t="str">
        <f>IF(AND($Y2664&gt;=32,(AI2664="I"),(Y2664&lt;&gt;"~"),(COUNTIF($AN$1:$AN2664,$AN2664)=1)),"TRUE","FALSE")</f>
        <v>FALSE</v>
      </c>
      <c r="AH2664" s="661" t="str">
        <f>IF(AND($Y2664&gt;=22, (AI2664&lt;&gt;"I"),(Y2664&lt;&gt;"~"),(COUNTIF($AN$1:$AN2664,$AN2664)=1)),"TRUE","FALSE")</f>
        <v>FALSE</v>
      </c>
      <c r="AI2664" s="661" t="str">
        <f t="shared" si="292"/>
        <v>N/A</v>
      </c>
      <c r="AJ2664" s="662" t="str">
        <f t="shared" si="286"/>
        <v>F350-039</v>
      </c>
      <c r="AK2664" s="662" t="str">
        <f t="shared" si="287"/>
        <v>LTK</v>
      </c>
      <c r="AL2664" s="662" t="str">
        <f t="shared" si="288"/>
        <v>FRD</v>
      </c>
      <c r="AM2664" s="662" t="str">
        <f t="shared" si="291"/>
        <v>F350-Regular Cab XL DRW-4WD-3-8'-12700-6.7L Diesel-8-F3D-620A-142-29-Diesel-BioDiesel</v>
      </c>
      <c r="AN2664" s="662" t="str">
        <f t="shared" si="289"/>
        <v>2019-LTK-FRD-F350-039</v>
      </c>
    </row>
    <row r="2665" spans="1:40" ht="15">
      <c r="A2665" s="570" t="s">
        <v>4705</v>
      </c>
      <c r="B2665" s="573" t="s">
        <v>4706</v>
      </c>
      <c r="C2665" s="573" t="s">
        <v>269</v>
      </c>
      <c r="D2665" s="578" t="s">
        <v>270</v>
      </c>
      <c r="E2665" s="573" t="s">
        <v>3374</v>
      </c>
      <c r="F2665" s="573" t="s">
        <v>187</v>
      </c>
      <c r="G2665" s="573" t="s">
        <v>271</v>
      </c>
      <c r="H2665" s="573">
        <v>2019</v>
      </c>
      <c r="I2665" s="573" t="s">
        <v>4503</v>
      </c>
      <c r="J2665" s="573" t="s">
        <v>3916</v>
      </c>
      <c r="K2665" s="573" t="s">
        <v>3377</v>
      </c>
      <c r="L2665" s="573">
        <v>3</v>
      </c>
      <c r="M2665" s="573">
        <v>0</v>
      </c>
      <c r="N2665" s="573" t="s">
        <v>157</v>
      </c>
      <c r="O2665" s="573">
        <v>1</v>
      </c>
      <c r="P2665" s="573" t="s">
        <v>3846</v>
      </c>
      <c r="Q2665" s="571">
        <v>13000</v>
      </c>
      <c r="R2665" s="573" t="s">
        <v>4235</v>
      </c>
      <c r="S2665" s="573">
        <v>8</v>
      </c>
      <c r="T2665" s="573" t="s">
        <v>4662</v>
      </c>
      <c r="U2665" s="573" t="s">
        <v>4584</v>
      </c>
      <c r="V2665" s="573">
        <v>142</v>
      </c>
      <c r="W2665" s="573">
        <v>34</v>
      </c>
      <c r="X2665" s="571">
        <v>10400</v>
      </c>
      <c r="Y2665" s="569">
        <v>13</v>
      </c>
      <c r="Z2665" s="579" t="s">
        <v>450</v>
      </c>
      <c r="AA2665" s="579" t="s">
        <v>178</v>
      </c>
      <c r="AB2665" s="584">
        <v>40040</v>
      </c>
      <c r="AC2665" s="584" t="s">
        <v>164</v>
      </c>
      <c r="AD2665" s="584">
        <v>30048.126315789475</v>
      </c>
      <c r="AE2665" s="586">
        <v>0.03</v>
      </c>
      <c r="AF2665" s="661" t="str">
        <f t="shared" si="290"/>
        <v>2019-LTK-FRD-F350-048-05</v>
      </c>
      <c r="AG2665" s="661" t="str">
        <f>IF(AND($Y2665&gt;=32,(AI2665="I"),(Y2665&lt;&gt;"~"),(COUNTIF($AN$1:$AN2665,$AN2665)=1)),"TRUE","FALSE")</f>
        <v>FALSE</v>
      </c>
      <c r="AH2665" s="661" t="str">
        <f>IF(AND($Y2665&gt;=22, (AI2665&lt;&gt;"I"),(Y2665&lt;&gt;"~"),(COUNTIF($AN$1:$AN2665,$AN2665)=1)),"TRUE","FALSE")</f>
        <v>FALSE</v>
      </c>
      <c r="AI2665" s="661" t="str">
        <f t="shared" si="292"/>
        <v>N/A</v>
      </c>
      <c r="AJ2665" s="662" t="str">
        <f t="shared" si="286"/>
        <v>F350-048</v>
      </c>
      <c r="AK2665" s="662" t="str">
        <f t="shared" si="287"/>
        <v>LTK</v>
      </c>
      <c r="AL2665" s="662" t="str">
        <f t="shared" si="288"/>
        <v>FRD</v>
      </c>
      <c r="AM2665" s="662" t="str">
        <f t="shared" si="291"/>
        <v>F350-Regular Cab XLT-2WD-3-8'-13000-6.2L FFV-8-F3A-613A-142-34-E85-Unleaded</v>
      </c>
      <c r="AN2665" s="662" t="str">
        <f t="shared" si="289"/>
        <v>2019-LTK-FRD-F350-048</v>
      </c>
    </row>
    <row r="2666" spans="1:40" ht="15">
      <c r="A2666" s="570" t="s">
        <v>4707</v>
      </c>
      <c r="B2666" s="569" t="s">
        <v>4708</v>
      </c>
      <c r="C2666" s="569" t="s">
        <v>269</v>
      </c>
      <c r="D2666" s="580" t="s">
        <v>270</v>
      </c>
      <c r="E2666" s="569" t="s">
        <v>3374</v>
      </c>
      <c r="F2666" s="569" t="s">
        <v>187</v>
      </c>
      <c r="G2666" s="569" t="s">
        <v>271</v>
      </c>
      <c r="H2666" s="569">
        <v>2019</v>
      </c>
      <c r="I2666" s="569" t="s">
        <v>4503</v>
      </c>
      <c r="J2666" s="569" t="s">
        <v>3916</v>
      </c>
      <c r="K2666" s="569" t="s">
        <v>3377</v>
      </c>
      <c r="L2666" s="569">
        <v>3</v>
      </c>
      <c r="M2666" s="569">
        <v>0</v>
      </c>
      <c r="N2666" s="569" t="s">
        <v>157</v>
      </c>
      <c r="O2666" s="569">
        <v>1</v>
      </c>
      <c r="P2666" s="569" t="s">
        <v>3846</v>
      </c>
      <c r="Q2666" s="568">
        <v>13000</v>
      </c>
      <c r="R2666" s="569" t="s">
        <v>4231</v>
      </c>
      <c r="S2666" s="569">
        <v>8</v>
      </c>
      <c r="T2666" s="569" t="s">
        <v>4662</v>
      </c>
      <c r="U2666" s="569" t="s">
        <v>4584</v>
      </c>
      <c r="V2666" s="569">
        <v>142</v>
      </c>
      <c r="W2666" s="569">
        <v>29</v>
      </c>
      <c r="X2666" s="568">
        <v>11100</v>
      </c>
      <c r="Y2666" s="569">
        <v>13</v>
      </c>
      <c r="Z2666" s="581" t="s">
        <v>728</v>
      </c>
      <c r="AA2666" s="581" t="s">
        <v>1523</v>
      </c>
      <c r="AB2666" s="585">
        <v>49160</v>
      </c>
      <c r="AC2666" s="585" t="s">
        <v>164</v>
      </c>
      <c r="AD2666" s="585">
        <v>38240</v>
      </c>
      <c r="AE2666" s="587">
        <v>0.03</v>
      </c>
      <c r="AF2666" s="661" t="str">
        <f t="shared" si="290"/>
        <v>2019-LTK-FRD-F350-049-05</v>
      </c>
      <c r="AG2666" s="661" t="str">
        <f>IF(AND($Y2666&gt;=32,(AI2666="I"),(Y2666&lt;&gt;"~"),(COUNTIF($AN$1:$AN2666,$AN2666)=1)),"TRUE","FALSE")</f>
        <v>FALSE</v>
      </c>
      <c r="AH2666" s="661" t="str">
        <f>IF(AND($Y2666&gt;=22, (AI2666&lt;&gt;"I"),(Y2666&lt;&gt;"~"),(COUNTIF($AN$1:$AN2666,$AN2666)=1)),"TRUE","FALSE")</f>
        <v>FALSE</v>
      </c>
      <c r="AI2666" s="661" t="str">
        <f t="shared" si="292"/>
        <v>N/A</v>
      </c>
      <c r="AJ2666" s="662" t="str">
        <f t="shared" si="286"/>
        <v>F350-049</v>
      </c>
      <c r="AK2666" s="662" t="str">
        <f t="shared" si="287"/>
        <v>LTK</v>
      </c>
      <c r="AL2666" s="662" t="str">
        <f t="shared" si="288"/>
        <v>FRD</v>
      </c>
      <c r="AM2666" s="662" t="str">
        <f t="shared" si="291"/>
        <v>F350-Regular Cab XLT-2WD-3-8'-13000-6.7L Diesel-8-F3A-613A-142-29-Diesel-BioDiesel</v>
      </c>
      <c r="AN2666" s="662" t="str">
        <f t="shared" si="289"/>
        <v>2019-LTK-FRD-F350-049</v>
      </c>
    </row>
    <row r="2667" spans="1:40" ht="15">
      <c r="A2667" s="570" t="s">
        <v>4709</v>
      </c>
      <c r="B2667" s="573" t="s">
        <v>4710</v>
      </c>
      <c r="C2667" s="573" t="s">
        <v>269</v>
      </c>
      <c r="D2667" s="578" t="s">
        <v>270</v>
      </c>
      <c r="E2667" s="573" t="s">
        <v>3374</v>
      </c>
      <c r="F2667" s="573" t="s">
        <v>187</v>
      </c>
      <c r="G2667" s="573" t="s">
        <v>271</v>
      </c>
      <c r="H2667" s="573">
        <v>2019</v>
      </c>
      <c r="I2667" s="573" t="s">
        <v>4503</v>
      </c>
      <c r="J2667" s="573" t="s">
        <v>3916</v>
      </c>
      <c r="K2667" s="573" t="s">
        <v>3377</v>
      </c>
      <c r="L2667" s="573">
        <v>3</v>
      </c>
      <c r="M2667" s="573">
        <v>0</v>
      </c>
      <c r="N2667" s="573" t="s">
        <v>157</v>
      </c>
      <c r="O2667" s="573">
        <v>1</v>
      </c>
      <c r="P2667" s="573" t="s">
        <v>3846</v>
      </c>
      <c r="Q2667" s="571">
        <v>13100</v>
      </c>
      <c r="R2667" s="573" t="s">
        <v>4235</v>
      </c>
      <c r="S2667" s="573">
        <v>8</v>
      </c>
      <c r="T2667" s="573" t="s">
        <v>4662</v>
      </c>
      <c r="U2667" s="573" t="s">
        <v>4584</v>
      </c>
      <c r="V2667" s="573">
        <v>142</v>
      </c>
      <c r="W2667" s="573">
        <v>34</v>
      </c>
      <c r="X2667" s="571">
        <v>10000</v>
      </c>
      <c r="Y2667" s="569">
        <v>13</v>
      </c>
      <c r="Z2667" s="579" t="s">
        <v>450</v>
      </c>
      <c r="AA2667" s="579" t="s">
        <v>178</v>
      </c>
      <c r="AB2667" s="584">
        <v>40040</v>
      </c>
      <c r="AC2667" s="584" t="s">
        <v>164</v>
      </c>
      <c r="AD2667" s="584">
        <v>30048.126315789475</v>
      </c>
      <c r="AE2667" s="586">
        <v>0.03</v>
      </c>
      <c r="AF2667" s="661" t="str">
        <f t="shared" si="290"/>
        <v>2019-LTK-FRD-F350-050-05</v>
      </c>
      <c r="AG2667" s="661" t="str">
        <f>IF(AND($Y2667&gt;=32,(AI2667="I"),(Y2667&lt;&gt;"~"),(COUNTIF($AN$1:$AN2667,$AN2667)=1)),"TRUE","FALSE")</f>
        <v>FALSE</v>
      </c>
      <c r="AH2667" s="661" t="str">
        <f>IF(AND($Y2667&gt;=22, (AI2667&lt;&gt;"I"),(Y2667&lt;&gt;"~"),(COUNTIF($AN$1:$AN2667,$AN2667)=1)),"TRUE","FALSE")</f>
        <v>FALSE</v>
      </c>
      <c r="AI2667" s="661" t="str">
        <f t="shared" si="292"/>
        <v>II</v>
      </c>
      <c r="AJ2667" s="662" t="str">
        <f t="shared" si="286"/>
        <v>F350-050</v>
      </c>
      <c r="AK2667" s="662" t="str">
        <f t="shared" si="287"/>
        <v>LTK</v>
      </c>
      <c r="AL2667" s="662" t="str">
        <f t="shared" si="288"/>
        <v>FRD</v>
      </c>
      <c r="AM2667" s="662" t="str">
        <f t="shared" si="291"/>
        <v>F350-Regular Cab XLT-2WD-3-8'-13100-6.2L FFV-8-F3A-613A-142-34-E85-Unleaded</v>
      </c>
      <c r="AN2667" s="662" t="str">
        <f t="shared" si="289"/>
        <v>2019-LTK-FRD-F350-050</v>
      </c>
    </row>
    <row r="2668" spans="1:40" ht="15">
      <c r="A2668" s="570" t="s">
        <v>4711</v>
      </c>
      <c r="B2668" s="569" t="s">
        <v>4706</v>
      </c>
      <c r="C2668" s="569" t="s">
        <v>278</v>
      </c>
      <c r="D2668" s="580">
        <v>15</v>
      </c>
      <c r="E2668" s="569" t="s">
        <v>3374</v>
      </c>
      <c r="F2668" s="569" t="s">
        <v>187</v>
      </c>
      <c r="G2668" s="569" t="s">
        <v>271</v>
      </c>
      <c r="H2668" s="569">
        <v>2019</v>
      </c>
      <c r="I2668" s="569" t="s">
        <v>4503</v>
      </c>
      <c r="J2668" s="569" t="s">
        <v>3916</v>
      </c>
      <c r="K2668" s="569" t="s">
        <v>3377</v>
      </c>
      <c r="L2668" s="569">
        <v>3</v>
      </c>
      <c r="M2668" s="569">
        <v>0</v>
      </c>
      <c r="N2668" s="569" t="s">
        <v>157</v>
      </c>
      <c r="O2668" s="569">
        <v>1</v>
      </c>
      <c r="P2668" s="569" t="s">
        <v>3846</v>
      </c>
      <c r="Q2668" s="568">
        <v>13000</v>
      </c>
      <c r="R2668" s="569" t="s">
        <v>4235</v>
      </c>
      <c r="S2668" s="569">
        <v>8</v>
      </c>
      <c r="T2668" s="569" t="s">
        <v>4662</v>
      </c>
      <c r="U2668" s="569" t="s">
        <v>4584</v>
      </c>
      <c r="V2668" s="569">
        <v>142</v>
      </c>
      <c r="W2668" s="569">
        <v>34</v>
      </c>
      <c r="X2668" s="568">
        <v>10400</v>
      </c>
      <c r="Y2668" s="569">
        <v>13</v>
      </c>
      <c r="Z2668" s="581" t="s">
        <v>450</v>
      </c>
      <c r="AA2668" s="581" t="s">
        <v>178</v>
      </c>
      <c r="AB2668" s="585">
        <v>40040</v>
      </c>
      <c r="AC2668" s="585" t="s">
        <v>164</v>
      </c>
      <c r="AD2668" s="585">
        <v>30150</v>
      </c>
      <c r="AE2668" s="587">
        <v>0.01</v>
      </c>
      <c r="AF2668" s="661" t="str">
        <f t="shared" si="290"/>
        <v>2019-LTK-FRD-F350-048-15</v>
      </c>
      <c r="AG2668" s="661" t="str">
        <f>IF(AND($Y2668&gt;=32,(AI2668="I"),(Y2668&lt;&gt;"~"),(COUNTIF($AN$1:$AN2668,$AN2668)=1)),"TRUE","FALSE")</f>
        <v>FALSE</v>
      </c>
      <c r="AH2668" s="661" t="str">
        <f>IF(AND($Y2668&gt;=22, (AI2668&lt;&gt;"I"),(Y2668&lt;&gt;"~"),(COUNTIF($AN$1:$AN2668,$AN2668)=1)),"TRUE","FALSE")</f>
        <v>FALSE</v>
      </c>
      <c r="AI2668" s="661" t="str">
        <f t="shared" si="292"/>
        <v>N/A</v>
      </c>
      <c r="AJ2668" s="662" t="str">
        <f t="shared" si="286"/>
        <v>F350-048</v>
      </c>
      <c r="AK2668" s="662" t="str">
        <f t="shared" si="287"/>
        <v>LTK</v>
      </c>
      <c r="AL2668" s="662" t="str">
        <f t="shared" si="288"/>
        <v>FRD</v>
      </c>
      <c r="AM2668" s="662" t="str">
        <f t="shared" si="291"/>
        <v>F350-Regular Cab XLT-2WD-3-8'-13000-6.2L FFV-8-F3A-613A-142-34-E85-Unleaded</v>
      </c>
      <c r="AN2668" s="662" t="str">
        <f t="shared" si="289"/>
        <v>2019-LTK-FRD-F350-048</v>
      </c>
    </row>
    <row r="2669" spans="1:40" ht="15">
      <c r="A2669" s="570" t="s">
        <v>4712</v>
      </c>
      <c r="B2669" s="573" t="s">
        <v>4708</v>
      </c>
      <c r="C2669" s="573" t="s">
        <v>278</v>
      </c>
      <c r="D2669" s="578">
        <v>15</v>
      </c>
      <c r="E2669" s="573" t="s">
        <v>3374</v>
      </c>
      <c r="F2669" s="573" t="s">
        <v>187</v>
      </c>
      <c r="G2669" s="573" t="s">
        <v>271</v>
      </c>
      <c r="H2669" s="573">
        <v>2019</v>
      </c>
      <c r="I2669" s="573" t="s">
        <v>4503</v>
      </c>
      <c r="J2669" s="573" t="s">
        <v>3916</v>
      </c>
      <c r="K2669" s="573" t="s">
        <v>3377</v>
      </c>
      <c r="L2669" s="573">
        <v>3</v>
      </c>
      <c r="M2669" s="573">
        <v>0</v>
      </c>
      <c r="N2669" s="573" t="s">
        <v>157</v>
      </c>
      <c r="O2669" s="573">
        <v>1</v>
      </c>
      <c r="P2669" s="573" t="s">
        <v>3846</v>
      </c>
      <c r="Q2669" s="571">
        <v>13000</v>
      </c>
      <c r="R2669" s="573" t="s">
        <v>4231</v>
      </c>
      <c r="S2669" s="573">
        <v>8</v>
      </c>
      <c r="T2669" s="573" t="s">
        <v>4662</v>
      </c>
      <c r="U2669" s="573" t="s">
        <v>4584</v>
      </c>
      <c r="V2669" s="573">
        <v>142</v>
      </c>
      <c r="W2669" s="573">
        <v>29</v>
      </c>
      <c r="X2669" s="571">
        <v>11100</v>
      </c>
      <c r="Y2669" s="569">
        <v>13</v>
      </c>
      <c r="Z2669" s="579" t="s">
        <v>728</v>
      </c>
      <c r="AA2669" s="579" t="s">
        <v>1523</v>
      </c>
      <c r="AB2669" s="584">
        <v>49160</v>
      </c>
      <c r="AC2669" s="584" t="s">
        <v>164</v>
      </c>
      <c r="AD2669" s="584">
        <v>38500</v>
      </c>
      <c r="AE2669" s="586">
        <v>0.01</v>
      </c>
      <c r="AF2669" s="661" t="str">
        <f t="shared" si="290"/>
        <v>2019-LTK-FRD-F350-049-15</v>
      </c>
      <c r="AG2669" s="661" t="str">
        <f>IF(AND($Y2669&gt;=32,(AI2669="I"),(Y2669&lt;&gt;"~"),(COUNTIF($AN$1:$AN2669,$AN2669)=1)),"TRUE","FALSE")</f>
        <v>FALSE</v>
      </c>
      <c r="AH2669" s="661" t="str">
        <f>IF(AND($Y2669&gt;=22, (AI2669&lt;&gt;"I"),(Y2669&lt;&gt;"~"),(COUNTIF($AN$1:$AN2669,$AN2669)=1)),"TRUE","FALSE")</f>
        <v>FALSE</v>
      </c>
      <c r="AI2669" s="661" t="str">
        <f t="shared" si="292"/>
        <v>N/A</v>
      </c>
      <c r="AJ2669" s="662" t="str">
        <f t="shared" si="286"/>
        <v>F350-049</v>
      </c>
      <c r="AK2669" s="662" t="str">
        <f t="shared" si="287"/>
        <v>LTK</v>
      </c>
      <c r="AL2669" s="662" t="str">
        <f t="shared" si="288"/>
        <v>FRD</v>
      </c>
      <c r="AM2669" s="662" t="str">
        <f t="shared" si="291"/>
        <v>F350-Regular Cab XLT-2WD-3-8'-13000-6.7L Diesel-8-F3A-613A-142-29-Diesel-BioDiesel</v>
      </c>
      <c r="AN2669" s="662" t="str">
        <f t="shared" si="289"/>
        <v>2019-LTK-FRD-F350-049</v>
      </c>
    </row>
    <row r="2670" spans="1:40" ht="15">
      <c r="A2670" s="570" t="s">
        <v>4713</v>
      </c>
      <c r="B2670" s="569" t="s">
        <v>4706</v>
      </c>
      <c r="C2670" s="569" t="s">
        <v>287</v>
      </c>
      <c r="D2670" s="580">
        <v>26</v>
      </c>
      <c r="E2670" s="569" t="s">
        <v>3374</v>
      </c>
      <c r="F2670" s="569" t="s">
        <v>187</v>
      </c>
      <c r="G2670" s="569" t="s">
        <v>271</v>
      </c>
      <c r="H2670" s="569">
        <v>2019</v>
      </c>
      <c r="I2670" s="569" t="s">
        <v>4503</v>
      </c>
      <c r="J2670" s="569" t="s">
        <v>3916</v>
      </c>
      <c r="K2670" s="569" t="s">
        <v>3377</v>
      </c>
      <c r="L2670" s="569">
        <v>3</v>
      </c>
      <c r="M2670" s="569">
        <v>0</v>
      </c>
      <c r="N2670" s="569" t="s">
        <v>157</v>
      </c>
      <c r="O2670" s="569">
        <v>1</v>
      </c>
      <c r="P2670" s="569" t="s">
        <v>3846</v>
      </c>
      <c r="Q2670" s="568">
        <v>13000</v>
      </c>
      <c r="R2670" s="569" t="s">
        <v>4235</v>
      </c>
      <c r="S2670" s="569">
        <v>8</v>
      </c>
      <c r="T2670" s="569" t="s">
        <v>4662</v>
      </c>
      <c r="U2670" s="569" t="s">
        <v>4584</v>
      </c>
      <c r="V2670" s="569">
        <v>142</v>
      </c>
      <c r="W2670" s="569">
        <v>34</v>
      </c>
      <c r="X2670" s="568">
        <v>10400</v>
      </c>
      <c r="Y2670" s="569">
        <v>13</v>
      </c>
      <c r="Z2670" s="581" t="s">
        <v>450</v>
      </c>
      <c r="AA2670" s="581" t="s">
        <v>178</v>
      </c>
      <c r="AB2670" s="585">
        <v>39590</v>
      </c>
      <c r="AC2670" s="585" t="s">
        <v>164</v>
      </c>
      <c r="AD2670" s="585">
        <v>30222</v>
      </c>
      <c r="AE2670" s="587">
        <v>0.05</v>
      </c>
      <c r="AF2670" s="661" t="str">
        <f t="shared" si="290"/>
        <v>2019-LTK-FRD-F350-048-26</v>
      </c>
      <c r="AG2670" s="661" t="str">
        <f>IF(AND($Y2670&gt;=32,(AI2670="I"),(Y2670&lt;&gt;"~"),(COUNTIF($AN$1:$AN2670,$AN2670)=1)),"TRUE","FALSE")</f>
        <v>FALSE</v>
      </c>
      <c r="AH2670" s="661" t="str">
        <f>IF(AND($Y2670&gt;=22, (AI2670&lt;&gt;"I"),(Y2670&lt;&gt;"~"),(COUNTIF($AN$1:$AN2670,$AN2670)=1)),"TRUE","FALSE")</f>
        <v>FALSE</v>
      </c>
      <c r="AI2670" s="661" t="str">
        <f t="shared" si="292"/>
        <v>N/A</v>
      </c>
      <c r="AJ2670" s="662" t="str">
        <f t="shared" si="286"/>
        <v>F350-048</v>
      </c>
      <c r="AK2670" s="662" t="str">
        <f t="shared" si="287"/>
        <v>LTK</v>
      </c>
      <c r="AL2670" s="662" t="str">
        <f t="shared" si="288"/>
        <v>FRD</v>
      </c>
      <c r="AM2670" s="662" t="str">
        <f t="shared" si="291"/>
        <v>F350-Regular Cab XLT-2WD-3-8'-13000-6.2L FFV-8-F3A-613A-142-34-E85-Unleaded</v>
      </c>
      <c r="AN2670" s="662" t="str">
        <f t="shared" si="289"/>
        <v>2019-LTK-FRD-F350-048</v>
      </c>
    </row>
    <row r="2671" spans="1:40" ht="15">
      <c r="A2671" s="570" t="s">
        <v>4714</v>
      </c>
      <c r="B2671" s="573" t="s">
        <v>4708</v>
      </c>
      <c r="C2671" s="573" t="s">
        <v>287</v>
      </c>
      <c r="D2671" s="578">
        <v>26</v>
      </c>
      <c r="E2671" s="573" t="s">
        <v>3374</v>
      </c>
      <c r="F2671" s="573" t="s">
        <v>187</v>
      </c>
      <c r="G2671" s="573" t="s">
        <v>271</v>
      </c>
      <c r="H2671" s="573">
        <v>2019</v>
      </c>
      <c r="I2671" s="573" t="s">
        <v>4503</v>
      </c>
      <c r="J2671" s="573" t="s">
        <v>3916</v>
      </c>
      <c r="K2671" s="573" t="s">
        <v>3377</v>
      </c>
      <c r="L2671" s="573">
        <v>3</v>
      </c>
      <c r="M2671" s="573">
        <v>0</v>
      </c>
      <c r="N2671" s="573" t="s">
        <v>157</v>
      </c>
      <c r="O2671" s="573">
        <v>1</v>
      </c>
      <c r="P2671" s="573" t="s">
        <v>3846</v>
      </c>
      <c r="Q2671" s="571">
        <v>13000</v>
      </c>
      <c r="R2671" s="573" t="s">
        <v>4231</v>
      </c>
      <c r="S2671" s="573">
        <v>8</v>
      </c>
      <c r="T2671" s="573" t="s">
        <v>4662</v>
      </c>
      <c r="U2671" s="573" t="s">
        <v>4584</v>
      </c>
      <c r="V2671" s="573">
        <v>142</v>
      </c>
      <c r="W2671" s="573">
        <v>29</v>
      </c>
      <c r="X2671" s="571">
        <v>11100</v>
      </c>
      <c r="Y2671" s="569">
        <v>13</v>
      </c>
      <c r="Z2671" s="579" t="s">
        <v>728</v>
      </c>
      <c r="AA2671" s="579" t="s">
        <v>1523</v>
      </c>
      <c r="AB2671" s="584">
        <v>49160</v>
      </c>
      <c r="AC2671" s="584" t="s">
        <v>164</v>
      </c>
      <c r="AD2671" s="584">
        <v>38416</v>
      </c>
      <c r="AE2671" s="586">
        <v>0.05</v>
      </c>
      <c r="AF2671" s="661" t="str">
        <f t="shared" si="290"/>
        <v>2019-LTK-FRD-F350-049-26</v>
      </c>
      <c r="AG2671" s="661" t="str">
        <f>IF(AND($Y2671&gt;=32,(AI2671="I"),(Y2671&lt;&gt;"~"),(COUNTIF($AN$1:$AN2671,$AN2671)=1)),"TRUE","FALSE")</f>
        <v>FALSE</v>
      </c>
      <c r="AH2671" s="661" t="str">
        <f>IF(AND($Y2671&gt;=22, (AI2671&lt;&gt;"I"),(Y2671&lt;&gt;"~"),(COUNTIF($AN$1:$AN2671,$AN2671)=1)),"TRUE","FALSE")</f>
        <v>FALSE</v>
      </c>
      <c r="AI2671" s="661" t="str">
        <f t="shared" si="292"/>
        <v>N/A</v>
      </c>
      <c r="AJ2671" s="662" t="str">
        <f t="shared" si="286"/>
        <v>F350-049</v>
      </c>
      <c r="AK2671" s="662" t="str">
        <f t="shared" si="287"/>
        <v>LTK</v>
      </c>
      <c r="AL2671" s="662" t="str">
        <f t="shared" si="288"/>
        <v>FRD</v>
      </c>
      <c r="AM2671" s="662" t="str">
        <f t="shared" si="291"/>
        <v>F350-Regular Cab XLT-2WD-3-8'-13000-6.7L Diesel-8-F3A-613A-142-29-Diesel-BioDiesel</v>
      </c>
      <c r="AN2671" s="662" t="str">
        <f t="shared" si="289"/>
        <v>2019-LTK-FRD-F350-049</v>
      </c>
    </row>
    <row r="2672" spans="1:40" ht="15">
      <c r="A2672" s="570" t="s">
        <v>4715</v>
      </c>
      <c r="B2672" s="569" t="s">
        <v>4706</v>
      </c>
      <c r="C2672" s="569" t="s">
        <v>280</v>
      </c>
      <c r="D2672" s="580">
        <v>27</v>
      </c>
      <c r="E2672" s="569" t="s">
        <v>3374</v>
      </c>
      <c r="F2672" s="569" t="s">
        <v>187</v>
      </c>
      <c r="G2672" s="569" t="s">
        <v>271</v>
      </c>
      <c r="H2672" s="569">
        <v>2019</v>
      </c>
      <c r="I2672" s="569" t="s">
        <v>4503</v>
      </c>
      <c r="J2672" s="569" t="s">
        <v>3916</v>
      </c>
      <c r="K2672" s="569" t="s">
        <v>3377</v>
      </c>
      <c r="L2672" s="569">
        <v>3</v>
      </c>
      <c r="M2672" s="569">
        <v>0</v>
      </c>
      <c r="N2672" s="569" t="s">
        <v>157</v>
      </c>
      <c r="O2672" s="569">
        <v>1</v>
      </c>
      <c r="P2672" s="569" t="s">
        <v>3846</v>
      </c>
      <c r="Q2672" s="568">
        <v>13000</v>
      </c>
      <c r="R2672" s="569" t="s">
        <v>4235</v>
      </c>
      <c r="S2672" s="569">
        <v>8</v>
      </c>
      <c r="T2672" s="569" t="s">
        <v>4662</v>
      </c>
      <c r="U2672" s="569" t="s">
        <v>4584</v>
      </c>
      <c r="V2672" s="569">
        <v>142</v>
      </c>
      <c r="W2672" s="569">
        <v>34</v>
      </c>
      <c r="X2672" s="568">
        <v>10400</v>
      </c>
      <c r="Y2672" s="569">
        <v>13</v>
      </c>
      <c r="Z2672" s="581" t="s">
        <v>450</v>
      </c>
      <c r="AA2672" s="581" t="s">
        <v>178</v>
      </c>
      <c r="AB2672" s="585">
        <v>40040</v>
      </c>
      <c r="AC2672" s="585" t="s">
        <v>164</v>
      </c>
      <c r="AD2672" s="585">
        <v>30048.126315789475</v>
      </c>
      <c r="AE2672" s="587">
        <v>0.03</v>
      </c>
      <c r="AF2672" s="661" t="str">
        <f t="shared" si="290"/>
        <v>2019-LTK-FRD-F350-048-27</v>
      </c>
      <c r="AG2672" s="661" t="str">
        <f>IF(AND($Y2672&gt;=32,(AI2672="I"),(Y2672&lt;&gt;"~"),(COUNTIF($AN$1:$AN2672,$AN2672)=1)),"TRUE","FALSE")</f>
        <v>FALSE</v>
      </c>
      <c r="AH2672" s="661" t="str">
        <f>IF(AND($Y2672&gt;=22, (AI2672&lt;&gt;"I"),(Y2672&lt;&gt;"~"),(COUNTIF($AN$1:$AN2672,$AN2672)=1)),"TRUE","FALSE")</f>
        <v>FALSE</v>
      </c>
      <c r="AI2672" s="661" t="str">
        <f t="shared" si="292"/>
        <v>N/A</v>
      </c>
      <c r="AJ2672" s="662" t="str">
        <f t="shared" si="286"/>
        <v>F350-048</v>
      </c>
      <c r="AK2672" s="662" t="str">
        <f t="shared" si="287"/>
        <v>LTK</v>
      </c>
      <c r="AL2672" s="662" t="str">
        <f t="shared" si="288"/>
        <v>FRD</v>
      </c>
      <c r="AM2672" s="662" t="str">
        <f t="shared" si="291"/>
        <v>F350-Regular Cab XLT-2WD-3-8'-13000-6.2L FFV-8-F3A-613A-142-34-E85-Unleaded</v>
      </c>
      <c r="AN2672" s="662" t="str">
        <f t="shared" si="289"/>
        <v>2019-LTK-FRD-F350-048</v>
      </c>
    </row>
    <row r="2673" spans="1:40" ht="15">
      <c r="A2673" s="570" t="s">
        <v>4716</v>
      </c>
      <c r="B2673" s="573" t="s">
        <v>4708</v>
      </c>
      <c r="C2673" s="573" t="s">
        <v>280</v>
      </c>
      <c r="D2673" s="578">
        <v>27</v>
      </c>
      <c r="E2673" s="573" t="s">
        <v>3374</v>
      </c>
      <c r="F2673" s="573" t="s">
        <v>187</v>
      </c>
      <c r="G2673" s="573" t="s">
        <v>271</v>
      </c>
      <c r="H2673" s="573">
        <v>2019</v>
      </c>
      <c r="I2673" s="573" t="s">
        <v>4503</v>
      </c>
      <c r="J2673" s="573" t="s">
        <v>3916</v>
      </c>
      <c r="K2673" s="573" t="s">
        <v>3377</v>
      </c>
      <c r="L2673" s="573">
        <v>3</v>
      </c>
      <c r="M2673" s="573">
        <v>0</v>
      </c>
      <c r="N2673" s="573" t="s">
        <v>157</v>
      </c>
      <c r="O2673" s="573">
        <v>1</v>
      </c>
      <c r="P2673" s="573" t="s">
        <v>3846</v>
      </c>
      <c r="Q2673" s="571">
        <v>13000</v>
      </c>
      <c r="R2673" s="573" t="s">
        <v>4231</v>
      </c>
      <c r="S2673" s="573">
        <v>8</v>
      </c>
      <c r="T2673" s="573" t="s">
        <v>4662</v>
      </c>
      <c r="U2673" s="573" t="s">
        <v>4584</v>
      </c>
      <c r="V2673" s="573">
        <v>142</v>
      </c>
      <c r="W2673" s="573">
        <v>29</v>
      </c>
      <c r="X2673" s="571">
        <v>11100</v>
      </c>
      <c r="Y2673" s="569">
        <v>13</v>
      </c>
      <c r="Z2673" s="579" t="s">
        <v>728</v>
      </c>
      <c r="AA2673" s="579" t="s">
        <v>1523</v>
      </c>
      <c r="AB2673" s="584">
        <v>49160</v>
      </c>
      <c r="AC2673" s="584" t="s">
        <v>164</v>
      </c>
      <c r="AD2673" s="584">
        <v>38240</v>
      </c>
      <c r="AE2673" s="586">
        <v>0.03</v>
      </c>
      <c r="AF2673" s="661" t="str">
        <f t="shared" si="290"/>
        <v>2019-LTK-FRD-F350-049-27</v>
      </c>
      <c r="AG2673" s="661" t="str">
        <f>IF(AND($Y2673&gt;=32,(AI2673="I"),(Y2673&lt;&gt;"~"),(COUNTIF($AN$1:$AN2673,$AN2673)=1)),"TRUE","FALSE")</f>
        <v>FALSE</v>
      </c>
      <c r="AH2673" s="661" t="str">
        <f>IF(AND($Y2673&gt;=22, (AI2673&lt;&gt;"I"),(Y2673&lt;&gt;"~"),(COUNTIF($AN$1:$AN2673,$AN2673)=1)),"TRUE","FALSE")</f>
        <v>FALSE</v>
      </c>
      <c r="AI2673" s="661" t="str">
        <f t="shared" si="292"/>
        <v>N/A</v>
      </c>
      <c r="AJ2673" s="662" t="str">
        <f t="shared" si="286"/>
        <v>F350-049</v>
      </c>
      <c r="AK2673" s="662" t="str">
        <f t="shared" si="287"/>
        <v>LTK</v>
      </c>
      <c r="AL2673" s="662" t="str">
        <f t="shared" si="288"/>
        <v>FRD</v>
      </c>
      <c r="AM2673" s="662" t="str">
        <f t="shared" si="291"/>
        <v>F350-Regular Cab XLT-2WD-3-8'-13000-6.7L Diesel-8-F3A-613A-142-29-Diesel-BioDiesel</v>
      </c>
      <c r="AN2673" s="662" t="str">
        <f t="shared" si="289"/>
        <v>2019-LTK-FRD-F350-049</v>
      </c>
    </row>
    <row r="2674" spans="1:40" ht="15">
      <c r="A2674" s="570" t="s">
        <v>4717</v>
      </c>
      <c r="B2674" s="569" t="s">
        <v>4710</v>
      </c>
      <c r="C2674" s="569" t="s">
        <v>280</v>
      </c>
      <c r="D2674" s="580">
        <v>27</v>
      </c>
      <c r="E2674" s="569" t="s">
        <v>3374</v>
      </c>
      <c r="F2674" s="569" t="s">
        <v>187</v>
      </c>
      <c r="G2674" s="569" t="s">
        <v>271</v>
      </c>
      <c r="H2674" s="569">
        <v>2019</v>
      </c>
      <c r="I2674" s="569" t="s">
        <v>4503</v>
      </c>
      <c r="J2674" s="569" t="s">
        <v>3916</v>
      </c>
      <c r="K2674" s="569" t="s">
        <v>3377</v>
      </c>
      <c r="L2674" s="569">
        <v>3</v>
      </c>
      <c r="M2674" s="569">
        <v>0</v>
      </c>
      <c r="N2674" s="569" t="s">
        <v>157</v>
      </c>
      <c r="O2674" s="569">
        <v>1</v>
      </c>
      <c r="P2674" s="569" t="s">
        <v>3846</v>
      </c>
      <c r="Q2674" s="568">
        <v>13100</v>
      </c>
      <c r="R2674" s="569" t="s">
        <v>4235</v>
      </c>
      <c r="S2674" s="569">
        <v>8</v>
      </c>
      <c r="T2674" s="569" t="s">
        <v>4662</v>
      </c>
      <c r="U2674" s="569" t="s">
        <v>4584</v>
      </c>
      <c r="V2674" s="569">
        <v>142</v>
      </c>
      <c r="W2674" s="569">
        <v>34</v>
      </c>
      <c r="X2674" s="568">
        <v>10000</v>
      </c>
      <c r="Y2674" s="569">
        <v>13</v>
      </c>
      <c r="Z2674" s="581" t="s">
        <v>450</v>
      </c>
      <c r="AA2674" s="581" t="s">
        <v>178</v>
      </c>
      <c r="AB2674" s="585">
        <v>40040</v>
      </c>
      <c r="AC2674" s="585" t="s">
        <v>164</v>
      </c>
      <c r="AD2674" s="585">
        <v>30048.126315789475</v>
      </c>
      <c r="AE2674" s="587">
        <v>0.03</v>
      </c>
      <c r="AF2674" s="661" t="str">
        <f t="shared" si="290"/>
        <v>2019-LTK-FRD-F350-050-27</v>
      </c>
      <c r="AG2674" s="661" t="str">
        <f>IF(AND($Y2674&gt;=32,(AI2674="I"),(Y2674&lt;&gt;"~"),(COUNTIF($AN$1:$AN2674,$AN2674)=1)),"TRUE","FALSE")</f>
        <v>FALSE</v>
      </c>
      <c r="AH2674" s="661" t="str">
        <f>IF(AND($Y2674&gt;=22, (AI2674&lt;&gt;"I"),(Y2674&lt;&gt;"~"),(COUNTIF($AN$1:$AN2674,$AN2674)=1)),"TRUE","FALSE")</f>
        <v>FALSE</v>
      </c>
      <c r="AI2674" s="661" t="str">
        <f t="shared" si="292"/>
        <v>II</v>
      </c>
      <c r="AJ2674" s="662" t="str">
        <f t="shared" si="286"/>
        <v>F350-050</v>
      </c>
      <c r="AK2674" s="662" t="str">
        <f t="shared" si="287"/>
        <v>LTK</v>
      </c>
      <c r="AL2674" s="662" t="str">
        <f t="shared" si="288"/>
        <v>FRD</v>
      </c>
      <c r="AM2674" s="662" t="str">
        <f t="shared" si="291"/>
        <v>F350-Regular Cab XLT-2WD-3-8'-13100-6.2L FFV-8-F3A-613A-142-34-E85-Unleaded</v>
      </c>
      <c r="AN2674" s="662" t="str">
        <f t="shared" si="289"/>
        <v>2019-LTK-FRD-F350-050</v>
      </c>
    </row>
    <row r="2675" spans="1:40" ht="15">
      <c r="A2675" s="570" t="s">
        <v>4718</v>
      </c>
      <c r="B2675" s="573" t="s">
        <v>4719</v>
      </c>
      <c r="C2675" s="573" t="s">
        <v>269</v>
      </c>
      <c r="D2675" s="578" t="s">
        <v>270</v>
      </c>
      <c r="E2675" s="573" t="s">
        <v>3374</v>
      </c>
      <c r="F2675" s="573" t="s">
        <v>187</v>
      </c>
      <c r="G2675" s="573" t="s">
        <v>271</v>
      </c>
      <c r="H2675" s="573">
        <v>2019</v>
      </c>
      <c r="I2675" s="573" t="s">
        <v>4503</v>
      </c>
      <c r="J2675" s="573" t="s">
        <v>3916</v>
      </c>
      <c r="K2675" s="573" t="s">
        <v>752</v>
      </c>
      <c r="L2675" s="573">
        <v>3</v>
      </c>
      <c r="M2675" s="573">
        <v>0</v>
      </c>
      <c r="N2675" s="573" t="s">
        <v>157</v>
      </c>
      <c r="O2675" s="573">
        <v>1</v>
      </c>
      <c r="P2675" s="573" t="s">
        <v>3846</v>
      </c>
      <c r="Q2675" s="571">
        <v>12600</v>
      </c>
      <c r="R2675" s="573" t="s">
        <v>4235</v>
      </c>
      <c r="S2675" s="573">
        <v>8</v>
      </c>
      <c r="T2675" s="573" t="s">
        <v>4673</v>
      </c>
      <c r="U2675" s="573" t="s">
        <v>4584</v>
      </c>
      <c r="V2675" s="573">
        <v>142</v>
      </c>
      <c r="W2675" s="573">
        <v>34</v>
      </c>
      <c r="X2675" s="571">
        <v>10800</v>
      </c>
      <c r="Y2675" s="569">
        <v>12</v>
      </c>
      <c r="Z2675" s="579" t="s">
        <v>450</v>
      </c>
      <c r="AA2675" s="579" t="s">
        <v>178</v>
      </c>
      <c r="AB2675" s="584">
        <v>42840</v>
      </c>
      <c r="AC2675" s="584" t="s">
        <v>164</v>
      </c>
      <c r="AD2675" s="584">
        <v>31581.810526315792</v>
      </c>
      <c r="AE2675" s="586">
        <v>0.03</v>
      </c>
      <c r="AF2675" s="661" t="str">
        <f t="shared" si="290"/>
        <v>2019-LTK-FRD-F350-051-05</v>
      </c>
      <c r="AG2675" s="661" t="str">
        <f>IF(AND($Y2675&gt;=32,(AI2675="I"),(Y2675&lt;&gt;"~"),(COUNTIF($AN$1:$AN2675,$AN2675)=1)),"TRUE","FALSE")</f>
        <v>FALSE</v>
      </c>
      <c r="AH2675" s="661" t="str">
        <f>IF(AND($Y2675&gt;=22, (AI2675&lt;&gt;"I"),(Y2675&lt;&gt;"~"),(COUNTIF($AN$1:$AN2675,$AN2675)=1)),"TRUE","FALSE")</f>
        <v>FALSE</v>
      </c>
      <c r="AI2675" s="661" t="str">
        <f t="shared" si="292"/>
        <v>N/A</v>
      </c>
      <c r="AJ2675" s="662" t="str">
        <f t="shared" si="286"/>
        <v>F350-051</v>
      </c>
      <c r="AK2675" s="662" t="str">
        <f t="shared" si="287"/>
        <v>LTK</v>
      </c>
      <c r="AL2675" s="662" t="str">
        <f t="shared" si="288"/>
        <v>FRD</v>
      </c>
      <c r="AM2675" s="662" t="str">
        <f t="shared" si="291"/>
        <v>F350-Regular Cab XLT-4WD-3-8'-12600-6.2L FFV-8-F3B-613A-142-34-E85-Unleaded</v>
      </c>
      <c r="AN2675" s="662" t="str">
        <f t="shared" si="289"/>
        <v>2019-LTK-FRD-F350-051</v>
      </c>
    </row>
    <row r="2676" spans="1:40" ht="15">
      <c r="A2676" s="570" t="s">
        <v>4720</v>
      </c>
      <c r="B2676" s="569" t="s">
        <v>4721</v>
      </c>
      <c r="C2676" s="569" t="s">
        <v>269</v>
      </c>
      <c r="D2676" s="580" t="s">
        <v>270</v>
      </c>
      <c r="E2676" s="569" t="s">
        <v>3374</v>
      </c>
      <c r="F2676" s="569" t="s">
        <v>187</v>
      </c>
      <c r="G2676" s="569" t="s">
        <v>271</v>
      </c>
      <c r="H2676" s="569">
        <v>2019</v>
      </c>
      <c r="I2676" s="569" t="s">
        <v>4503</v>
      </c>
      <c r="J2676" s="569" t="s">
        <v>3916</v>
      </c>
      <c r="K2676" s="569" t="s">
        <v>752</v>
      </c>
      <c r="L2676" s="569">
        <v>3</v>
      </c>
      <c r="M2676" s="569">
        <v>0</v>
      </c>
      <c r="N2676" s="569" t="s">
        <v>157</v>
      </c>
      <c r="O2676" s="569">
        <v>1</v>
      </c>
      <c r="P2676" s="569" t="s">
        <v>3846</v>
      </c>
      <c r="Q2676" s="568">
        <v>12600</v>
      </c>
      <c r="R2676" s="569" t="s">
        <v>4231</v>
      </c>
      <c r="S2676" s="569">
        <v>8</v>
      </c>
      <c r="T2676" s="569" t="s">
        <v>4673</v>
      </c>
      <c r="U2676" s="569" t="s">
        <v>4584</v>
      </c>
      <c r="V2676" s="569">
        <v>142</v>
      </c>
      <c r="W2676" s="569">
        <v>29</v>
      </c>
      <c r="X2676" s="568">
        <v>11500</v>
      </c>
      <c r="Y2676" s="569">
        <v>12</v>
      </c>
      <c r="Z2676" s="581" t="s">
        <v>728</v>
      </c>
      <c r="AA2676" s="581" t="s">
        <v>1523</v>
      </c>
      <c r="AB2676" s="585">
        <v>51960</v>
      </c>
      <c r="AC2676" s="585" t="s">
        <v>164</v>
      </c>
      <c r="AD2676" s="585">
        <v>39774.000000000007</v>
      </c>
      <c r="AE2676" s="587">
        <v>0.03</v>
      </c>
      <c r="AF2676" s="661" t="str">
        <f t="shared" si="290"/>
        <v>2019-LTK-FRD-F350-052-05</v>
      </c>
      <c r="AG2676" s="661" t="str">
        <f>IF(AND($Y2676&gt;=32,(AI2676="I"),(Y2676&lt;&gt;"~"),(COUNTIF($AN$1:$AN2676,$AN2676)=1)),"TRUE","FALSE")</f>
        <v>FALSE</v>
      </c>
      <c r="AH2676" s="661" t="str">
        <f>IF(AND($Y2676&gt;=22, (AI2676&lt;&gt;"I"),(Y2676&lt;&gt;"~"),(COUNTIF($AN$1:$AN2676,$AN2676)=1)),"TRUE","FALSE")</f>
        <v>FALSE</v>
      </c>
      <c r="AI2676" s="661" t="str">
        <f t="shared" si="292"/>
        <v>N/A</v>
      </c>
      <c r="AJ2676" s="662" t="str">
        <f t="shared" si="286"/>
        <v>F350-052</v>
      </c>
      <c r="AK2676" s="662" t="str">
        <f t="shared" si="287"/>
        <v>LTK</v>
      </c>
      <c r="AL2676" s="662" t="str">
        <f t="shared" si="288"/>
        <v>FRD</v>
      </c>
      <c r="AM2676" s="662" t="str">
        <f t="shared" si="291"/>
        <v>F350-Regular Cab XLT-4WD-3-8'-12600-6.7L Diesel-8-F3B-613A-142-29-Diesel-BioDiesel</v>
      </c>
      <c r="AN2676" s="662" t="str">
        <f t="shared" si="289"/>
        <v>2019-LTK-FRD-F350-052</v>
      </c>
    </row>
    <row r="2677" spans="1:40" ht="15">
      <c r="A2677" s="570" t="s">
        <v>4722</v>
      </c>
      <c r="B2677" s="573" t="s">
        <v>4719</v>
      </c>
      <c r="C2677" s="573" t="s">
        <v>278</v>
      </c>
      <c r="D2677" s="578">
        <v>15</v>
      </c>
      <c r="E2677" s="573" t="s">
        <v>3374</v>
      </c>
      <c r="F2677" s="573" t="s">
        <v>187</v>
      </c>
      <c r="G2677" s="573" t="s">
        <v>271</v>
      </c>
      <c r="H2677" s="573">
        <v>2019</v>
      </c>
      <c r="I2677" s="573" t="s">
        <v>4503</v>
      </c>
      <c r="J2677" s="573" t="s">
        <v>3916</v>
      </c>
      <c r="K2677" s="573" t="s">
        <v>752</v>
      </c>
      <c r="L2677" s="573">
        <v>3</v>
      </c>
      <c r="M2677" s="573">
        <v>0</v>
      </c>
      <c r="N2677" s="573" t="s">
        <v>157</v>
      </c>
      <c r="O2677" s="573">
        <v>1</v>
      </c>
      <c r="P2677" s="573" t="s">
        <v>3846</v>
      </c>
      <c r="Q2677" s="571">
        <v>12600</v>
      </c>
      <c r="R2677" s="573" t="s">
        <v>4235</v>
      </c>
      <c r="S2677" s="573">
        <v>8</v>
      </c>
      <c r="T2677" s="573" t="s">
        <v>4673</v>
      </c>
      <c r="U2677" s="573" t="s">
        <v>4584</v>
      </c>
      <c r="V2677" s="573">
        <v>142</v>
      </c>
      <c r="W2677" s="573">
        <v>34</v>
      </c>
      <c r="X2677" s="571">
        <v>10800</v>
      </c>
      <c r="Y2677" s="569">
        <v>12</v>
      </c>
      <c r="Z2677" s="579" t="s">
        <v>450</v>
      </c>
      <c r="AA2677" s="579" t="s">
        <v>178</v>
      </c>
      <c r="AB2677" s="584">
        <v>42840</v>
      </c>
      <c r="AC2677" s="584" t="s">
        <v>164</v>
      </c>
      <c r="AD2677" s="584">
        <v>31700</v>
      </c>
      <c r="AE2677" s="586">
        <v>0.01</v>
      </c>
      <c r="AF2677" s="661" t="str">
        <f t="shared" si="290"/>
        <v>2019-LTK-FRD-F350-051-15</v>
      </c>
      <c r="AG2677" s="661" t="str">
        <f>IF(AND($Y2677&gt;=32,(AI2677="I"),(Y2677&lt;&gt;"~"),(COUNTIF($AN$1:$AN2677,$AN2677)=1)),"TRUE","FALSE")</f>
        <v>FALSE</v>
      </c>
      <c r="AH2677" s="661" t="str">
        <f>IF(AND($Y2677&gt;=22, (AI2677&lt;&gt;"I"),(Y2677&lt;&gt;"~"),(COUNTIF($AN$1:$AN2677,$AN2677)=1)),"TRUE","FALSE")</f>
        <v>FALSE</v>
      </c>
      <c r="AI2677" s="661" t="str">
        <f t="shared" si="292"/>
        <v>N/A</v>
      </c>
      <c r="AJ2677" s="662" t="str">
        <f t="shared" si="286"/>
        <v>F350-051</v>
      </c>
      <c r="AK2677" s="662" t="str">
        <f t="shared" si="287"/>
        <v>LTK</v>
      </c>
      <c r="AL2677" s="662" t="str">
        <f t="shared" si="288"/>
        <v>FRD</v>
      </c>
      <c r="AM2677" s="662" t="str">
        <f t="shared" si="291"/>
        <v>F350-Regular Cab XLT-4WD-3-8'-12600-6.2L FFV-8-F3B-613A-142-34-E85-Unleaded</v>
      </c>
      <c r="AN2677" s="662" t="str">
        <f t="shared" si="289"/>
        <v>2019-LTK-FRD-F350-051</v>
      </c>
    </row>
    <row r="2678" spans="1:40" ht="15">
      <c r="A2678" s="570" t="s">
        <v>4723</v>
      </c>
      <c r="B2678" s="569" t="s">
        <v>4721</v>
      </c>
      <c r="C2678" s="569" t="s">
        <v>278</v>
      </c>
      <c r="D2678" s="580">
        <v>15</v>
      </c>
      <c r="E2678" s="569" t="s">
        <v>3374</v>
      </c>
      <c r="F2678" s="569" t="s">
        <v>187</v>
      </c>
      <c r="G2678" s="569" t="s">
        <v>271</v>
      </c>
      <c r="H2678" s="569">
        <v>2019</v>
      </c>
      <c r="I2678" s="569" t="s">
        <v>4503</v>
      </c>
      <c r="J2678" s="569" t="s">
        <v>3916</v>
      </c>
      <c r="K2678" s="569" t="s">
        <v>752</v>
      </c>
      <c r="L2678" s="569">
        <v>3</v>
      </c>
      <c r="M2678" s="569">
        <v>0</v>
      </c>
      <c r="N2678" s="569" t="s">
        <v>157</v>
      </c>
      <c r="O2678" s="569">
        <v>1</v>
      </c>
      <c r="P2678" s="569" t="s">
        <v>3846</v>
      </c>
      <c r="Q2678" s="568">
        <v>12600</v>
      </c>
      <c r="R2678" s="569" t="s">
        <v>4231</v>
      </c>
      <c r="S2678" s="569">
        <v>8</v>
      </c>
      <c r="T2678" s="569" t="s">
        <v>4673</v>
      </c>
      <c r="U2678" s="569" t="s">
        <v>4584</v>
      </c>
      <c r="V2678" s="569">
        <v>142</v>
      </c>
      <c r="W2678" s="569">
        <v>29</v>
      </c>
      <c r="X2678" s="568">
        <v>11500</v>
      </c>
      <c r="Y2678" s="569">
        <v>12</v>
      </c>
      <c r="Z2678" s="581" t="s">
        <v>728</v>
      </c>
      <c r="AA2678" s="581" t="s">
        <v>1523</v>
      </c>
      <c r="AB2678" s="585">
        <v>51960</v>
      </c>
      <c r="AC2678" s="585" t="s">
        <v>164</v>
      </c>
      <c r="AD2678" s="585">
        <v>39995</v>
      </c>
      <c r="AE2678" s="587">
        <v>0.01</v>
      </c>
      <c r="AF2678" s="661" t="str">
        <f t="shared" si="290"/>
        <v>2019-LTK-FRD-F350-052-15</v>
      </c>
      <c r="AG2678" s="661" t="str">
        <f>IF(AND($Y2678&gt;=32,(AI2678="I"),(Y2678&lt;&gt;"~"),(COUNTIF($AN$1:$AN2678,$AN2678)=1)),"TRUE","FALSE")</f>
        <v>FALSE</v>
      </c>
      <c r="AH2678" s="661" t="str">
        <f>IF(AND($Y2678&gt;=22, (AI2678&lt;&gt;"I"),(Y2678&lt;&gt;"~"),(COUNTIF($AN$1:$AN2678,$AN2678)=1)),"TRUE","FALSE")</f>
        <v>FALSE</v>
      </c>
      <c r="AI2678" s="661" t="str">
        <f t="shared" si="292"/>
        <v>N/A</v>
      </c>
      <c r="AJ2678" s="662" t="str">
        <f t="shared" si="286"/>
        <v>F350-052</v>
      </c>
      <c r="AK2678" s="662" t="str">
        <f t="shared" si="287"/>
        <v>LTK</v>
      </c>
      <c r="AL2678" s="662" t="str">
        <f t="shared" si="288"/>
        <v>FRD</v>
      </c>
      <c r="AM2678" s="662" t="str">
        <f t="shared" si="291"/>
        <v>F350-Regular Cab XLT-4WD-3-8'-12600-6.7L Diesel-8-F3B-613A-142-29-Diesel-BioDiesel</v>
      </c>
      <c r="AN2678" s="662" t="str">
        <f t="shared" si="289"/>
        <v>2019-LTK-FRD-F350-052</v>
      </c>
    </row>
    <row r="2679" spans="1:40" ht="15">
      <c r="A2679" s="570" t="s">
        <v>4724</v>
      </c>
      <c r="B2679" s="573" t="s">
        <v>4719</v>
      </c>
      <c r="C2679" s="573" t="s">
        <v>287</v>
      </c>
      <c r="D2679" s="578">
        <v>26</v>
      </c>
      <c r="E2679" s="573" t="s">
        <v>3374</v>
      </c>
      <c r="F2679" s="573" t="s">
        <v>187</v>
      </c>
      <c r="G2679" s="573" t="s">
        <v>271</v>
      </c>
      <c r="H2679" s="573">
        <v>2019</v>
      </c>
      <c r="I2679" s="573" t="s">
        <v>4503</v>
      </c>
      <c r="J2679" s="573" t="s">
        <v>3916</v>
      </c>
      <c r="K2679" s="573" t="s">
        <v>752</v>
      </c>
      <c r="L2679" s="573">
        <v>3</v>
      </c>
      <c r="M2679" s="573">
        <v>0</v>
      </c>
      <c r="N2679" s="573" t="s">
        <v>157</v>
      </c>
      <c r="O2679" s="573">
        <v>1</v>
      </c>
      <c r="P2679" s="573" t="s">
        <v>3846</v>
      </c>
      <c r="Q2679" s="571">
        <v>12600</v>
      </c>
      <c r="R2679" s="573" t="s">
        <v>4235</v>
      </c>
      <c r="S2679" s="573">
        <v>8</v>
      </c>
      <c r="T2679" s="573" t="s">
        <v>4673</v>
      </c>
      <c r="U2679" s="573" t="s">
        <v>4584</v>
      </c>
      <c r="V2679" s="573">
        <v>142</v>
      </c>
      <c r="W2679" s="573">
        <v>34</v>
      </c>
      <c r="X2679" s="571">
        <v>10800</v>
      </c>
      <c r="Y2679" s="569">
        <v>12</v>
      </c>
      <c r="Z2679" s="579" t="s">
        <v>450</v>
      </c>
      <c r="AA2679" s="579" t="s">
        <v>178</v>
      </c>
      <c r="AB2679" s="584">
        <v>42840</v>
      </c>
      <c r="AC2679" s="584" t="s">
        <v>164</v>
      </c>
      <c r="AD2679" s="584">
        <v>31779</v>
      </c>
      <c r="AE2679" s="586">
        <v>0.05</v>
      </c>
      <c r="AF2679" s="661" t="str">
        <f t="shared" si="290"/>
        <v>2019-LTK-FRD-F350-051-26</v>
      </c>
      <c r="AG2679" s="661" t="str">
        <f>IF(AND($Y2679&gt;=32,(AI2679="I"),(Y2679&lt;&gt;"~"),(COUNTIF($AN$1:$AN2679,$AN2679)=1)),"TRUE","FALSE")</f>
        <v>FALSE</v>
      </c>
      <c r="AH2679" s="661" t="str">
        <f>IF(AND($Y2679&gt;=22, (AI2679&lt;&gt;"I"),(Y2679&lt;&gt;"~"),(COUNTIF($AN$1:$AN2679,$AN2679)=1)),"TRUE","FALSE")</f>
        <v>FALSE</v>
      </c>
      <c r="AI2679" s="661" t="str">
        <f t="shared" si="292"/>
        <v>N/A</v>
      </c>
      <c r="AJ2679" s="662" t="str">
        <f t="shared" si="286"/>
        <v>F350-051</v>
      </c>
      <c r="AK2679" s="662" t="str">
        <f t="shared" si="287"/>
        <v>LTK</v>
      </c>
      <c r="AL2679" s="662" t="str">
        <f t="shared" si="288"/>
        <v>FRD</v>
      </c>
      <c r="AM2679" s="662" t="str">
        <f t="shared" si="291"/>
        <v>F350-Regular Cab XLT-4WD-3-8'-12600-6.2L FFV-8-F3B-613A-142-34-E85-Unleaded</v>
      </c>
      <c r="AN2679" s="662" t="str">
        <f t="shared" si="289"/>
        <v>2019-LTK-FRD-F350-051</v>
      </c>
    </row>
    <row r="2680" spans="1:40" ht="15">
      <c r="A2680" s="570" t="s">
        <v>4725</v>
      </c>
      <c r="B2680" s="569" t="s">
        <v>4721</v>
      </c>
      <c r="C2680" s="569" t="s">
        <v>287</v>
      </c>
      <c r="D2680" s="580">
        <v>26</v>
      </c>
      <c r="E2680" s="569" t="s">
        <v>3374</v>
      </c>
      <c r="F2680" s="569" t="s">
        <v>187</v>
      </c>
      <c r="G2680" s="569" t="s">
        <v>271</v>
      </c>
      <c r="H2680" s="569">
        <v>2019</v>
      </c>
      <c r="I2680" s="569" t="s">
        <v>4503</v>
      </c>
      <c r="J2680" s="569" t="s">
        <v>3916</v>
      </c>
      <c r="K2680" s="569" t="s">
        <v>752</v>
      </c>
      <c r="L2680" s="569">
        <v>3</v>
      </c>
      <c r="M2680" s="569">
        <v>0</v>
      </c>
      <c r="N2680" s="569" t="s">
        <v>157</v>
      </c>
      <c r="O2680" s="569">
        <v>1</v>
      </c>
      <c r="P2680" s="569" t="s">
        <v>3846</v>
      </c>
      <c r="Q2680" s="568">
        <v>12600</v>
      </c>
      <c r="R2680" s="569" t="s">
        <v>4231</v>
      </c>
      <c r="S2680" s="569">
        <v>8</v>
      </c>
      <c r="T2680" s="569" t="s">
        <v>4673</v>
      </c>
      <c r="U2680" s="569" t="s">
        <v>4584</v>
      </c>
      <c r="V2680" s="569">
        <v>142</v>
      </c>
      <c r="W2680" s="569">
        <v>29</v>
      </c>
      <c r="X2680" s="568">
        <v>11500</v>
      </c>
      <c r="Y2680" s="569">
        <v>12</v>
      </c>
      <c r="Z2680" s="581" t="s">
        <v>728</v>
      </c>
      <c r="AA2680" s="581" t="s">
        <v>1523</v>
      </c>
      <c r="AB2680" s="585">
        <v>51960</v>
      </c>
      <c r="AC2680" s="585" t="s">
        <v>164</v>
      </c>
      <c r="AD2680" s="585">
        <v>39973</v>
      </c>
      <c r="AE2680" s="587">
        <v>0.05</v>
      </c>
      <c r="AF2680" s="661" t="str">
        <f t="shared" si="290"/>
        <v>2019-LTK-FRD-F350-052-26</v>
      </c>
      <c r="AG2680" s="661" t="str">
        <f>IF(AND($Y2680&gt;=32,(AI2680="I"),(Y2680&lt;&gt;"~"),(COUNTIF($AN$1:$AN2680,$AN2680)=1)),"TRUE","FALSE")</f>
        <v>FALSE</v>
      </c>
      <c r="AH2680" s="661" t="str">
        <f>IF(AND($Y2680&gt;=22, (AI2680&lt;&gt;"I"),(Y2680&lt;&gt;"~"),(COUNTIF($AN$1:$AN2680,$AN2680)=1)),"TRUE","FALSE")</f>
        <v>FALSE</v>
      </c>
      <c r="AI2680" s="661" t="str">
        <f t="shared" si="292"/>
        <v>N/A</v>
      </c>
      <c r="AJ2680" s="662" t="str">
        <f t="shared" si="286"/>
        <v>F350-052</v>
      </c>
      <c r="AK2680" s="662" t="str">
        <f t="shared" si="287"/>
        <v>LTK</v>
      </c>
      <c r="AL2680" s="662" t="str">
        <f t="shared" si="288"/>
        <v>FRD</v>
      </c>
      <c r="AM2680" s="662" t="str">
        <f t="shared" si="291"/>
        <v>F350-Regular Cab XLT-4WD-3-8'-12600-6.7L Diesel-8-F3B-613A-142-29-Diesel-BioDiesel</v>
      </c>
      <c r="AN2680" s="662" t="str">
        <f t="shared" si="289"/>
        <v>2019-LTK-FRD-F350-052</v>
      </c>
    </row>
    <row r="2681" spans="1:40" ht="15">
      <c r="A2681" s="570" t="s">
        <v>4726</v>
      </c>
      <c r="B2681" s="573" t="s">
        <v>4719</v>
      </c>
      <c r="C2681" s="573" t="s">
        <v>280</v>
      </c>
      <c r="D2681" s="578">
        <v>27</v>
      </c>
      <c r="E2681" s="573" t="s">
        <v>3374</v>
      </c>
      <c r="F2681" s="573" t="s">
        <v>187</v>
      </c>
      <c r="G2681" s="573" t="s">
        <v>271</v>
      </c>
      <c r="H2681" s="573">
        <v>2019</v>
      </c>
      <c r="I2681" s="573" t="s">
        <v>4503</v>
      </c>
      <c r="J2681" s="573" t="s">
        <v>3916</v>
      </c>
      <c r="K2681" s="573" t="s">
        <v>752</v>
      </c>
      <c r="L2681" s="573">
        <v>3</v>
      </c>
      <c r="M2681" s="573">
        <v>0</v>
      </c>
      <c r="N2681" s="573" t="s">
        <v>157</v>
      </c>
      <c r="O2681" s="573">
        <v>1</v>
      </c>
      <c r="P2681" s="573" t="s">
        <v>3846</v>
      </c>
      <c r="Q2681" s="571">
        <v>12600</v>
      </c>
      <c r="R2681" s="573" t="s">
        <v>4235</v>
      </c>
      <c r="S2681" s="573">
        <v>8</v>
      </c>
      <c r="T2681" s="573" t="s">
        <v>4673</v>
      </c>
      <c r="U2681" s="573" t="s">
        <v>4584</v>
      </c>
      <c r="V2681" s="573">
        <v>142</v>
      </c>
      <c r="W2681" s="573">
        <v>34</v>
      </c>
      <c r="X2681" s="571">
        <v>10800</v>
      </c>
      <c r="Y2681" s="569">
        <v>12</v>
      </c>
      <c r="Z2681" s="579" t="s">
        <v>450</v>
      </c>
      <c r="AA2681" s="579" t="s">
        <v>178</v>
      </c>
      <c r="AB2681" s="584">
        <v>42840</v>
      </c>
      <c r="AC2681" s="584" t="s">
        <v>164</v>
      </c>
      <c r="AD2681" s="584">
        <v>31581.810526315792</v>
      </c>
      <c r="AE2681" s="586">
        <v>0.03</v>
      </c>
      <c r="AF2681" s="661" t="str">
        <f t="shared" si="290"/>
        <v>2019-LTK-FRD-F350-051-27</v>
      </c>
      <c r="AG2681" s="661" t="str">
        <f>IF(AND($Y2681&gt;=32,(AI2681="I"),(Y2681&lt;&gt;"~"),(COUNTIF($AN$1:$AN2681,$AN2681)=1)),"TRUE","FALSE")</f>
        <v>FALSE</v>
      </c>
      <c r="AH2681" s="661" t="str">
        <f>IF(AND($Y2681&gt;=22, (AI2681&lt;&gt;"I"),(Y2681&lt;&gt;"~"),(COUNTIF($AN$1:$AN2681,$AN2681)=1)),"TRUE","FALSE")</f>
        <v>FALSE</v>
      </c>
      <c r="AI2681" s="661" t="str">
        <f t="shared" si="292"/>
        <v>N/A</v>
      </c>
      <c r="AJ2681" s="662" t="str">
        <f t="shared" si="286"/>
        <v>F350-051</v>
      </c>
      <c r="AK2681" s="662" t="str">
        <f t="shared" si="287"/>
        <v>LTK</v>
      </c>
      <c r="AL2681" s="662" t="str">
        <f t="shared" si="288"/>
        <v>FRD</v>
      </c>
      <c r="AM2681" s="662" t="str">
        <f t="shared" si="291"/>
        <v>F350-Regular Cab XLT-4WD-3-8'-12600-6.2L FFV-8-F3B-613A-142-34-E85-Unleaded</v>
      </c>
      <c r="AN2681" s="662" t="str">
        <f t="shared" si="289"/>
        <v>2019-LTK-FRD-F350-051</v>
      </c>
    </row>
    <row r="2682" spans="1:40" ht="15">
      <c r="A2682" s="570" t="s">
        <v>4727</v>
      </c>
      <c r="B2682" s="569" t="s">
        <v>4721</v>
      </c>
      <c r="C2682" s="569" t="s">
        <v>280</v>
      </c>
      <c r="D2682" s="580">
        <v>27</v>
      </c>
      <c r="E2682" s="569" t="s">
        <v>3374</v>
      </c>
      <c r="F2682" s="569" t="s">
        <v>187</v>
      </c>
      <c r="G2682" s="569" t="s">
        <v>271</v>
      </c>
      <c r="H2682" s="569">
        <v>2019</v>
      </c>
      <c r="I2682" s="569" t="s">
        <v>4503</v>
      </c>
      <c r="J2682" s="569" t="s">
        <v>3916</v>
      </c>
      <c r="K2682" s="569" t="s">
        <v>752</v>
      </c>
      <c r="L2682" s="569">
        <v>3</v>
      </c>
      <c r="M2682" s="569">
        <v>0</v>
      </c>
      <c r="N2682" s="569" t="s">
        <v>157</v>
      </c>
      <c r="O2682" s="569">
        <v>1</v>
      </c>
      <c r="P2682" s="569" t="s">
        <v>3846</v>
      </c>
      <c r="Q2682" s="568">
        <v>12600</v>
      </c>
      <c r="R2682" s="569" t="s">
        <v>4231</v>
      </c>
      <c r="S2682" s="569">
        <v>8</v>
      </c>
      <c r="T2682" s="569" t="s">
        <v>4673</v>
      </c>
      <c r="U2682" s="569" t="s">
        <v>4584</v>
      </c>
      <c r="V2682" s="569">
        <v>142</v>
      </c>
      <c r="W2682" s="569">
        <v>29</v>
      </c>
      <c r="X2682" s="568">
        <v>11500</v>
      </c>
      <c r="Y2682" s="569">
        <v>12</v>
      </c>
      <c r="Z2682" s="581" t="s">
        <v>728</v>
      </c>
      <c r="AA2682" s="581" t="s">
        <v>1523</v>
      </c>
      <c r="AB2682" s="585">
        <v>51960</v>
      </c>
      <c r="AC2682" s="585" t="s">
        <v>164</v>
      </c>
      <c r="AD2682" s="585">
        <v>39774.000000000007</v>
      </c>
      <c r="AE2682" s="587">
        <v>0.03</v>
      </c>
      <c r="AF2682" s="661" t="str">
        <f t="shared" si="290"/>
        <v>2019-LTK-FRD-F350-052-27</v>
      </c>
      <c r="AG2682" s="661" t="str">
        <f>IF(AND($Y2682&gt;=32,(AI2682="I"),(Y2682&lt;&gt;"~"),(COUNTIF($AN$1:$AN2682,$AN2682)=1)),"TRUE","FALSE")</f>
        <v>FALSE</v>
      </c>
      <c r="AH2682" s="661" t="str">
        <f>IF(AND($Y2682&gt;=22, (AI2682&lt;&gt;"I"),(Y2682&lt;&gt;"~"),(COUNTIF($AN$1:$AN2682,$AN2682)=1)),"TRUE","FALSE")</f>
        <v>FALSE</v>
      </c>
      <c r="AI2682" s="661" t="str">
        <f t="shared" si="292"/>
        <v>N/A</v>
      </c>
      <c r="AJ2682" s="662" t="str">
        <f t="shared" si="286"/>
        <v>F350-052</v>
      </c>
      <c r="AK2682" s="662" t="str">
        <f t="shared" si="287"/>
        <v>LTK</v>
      </c>
      <c r="AL2682" s="662" t="str">
        <f t="shared" si="288"/>
        <v>FRD</v>
      </c>
      <c r="AM2682" s="662" t="str">
        <f t="shared" si="291"/>
        <v>F350-Regular Cab XLT-4WD-3-8'-12600-6.7L Diesel-8-F3B-613A-142-29-Diesel-BioDiesel</v>
      </c>
      <c r="AN2682" s="662" t="str">
        <f t="shared" si="289"/>
        <v>2019-LTK-FRD-F350-052</v>
      </c>
    </row>
    <row r="2683" spans="1:40" ht="15">
      <c r="A2683" s="570" t="s">
        <v>4728</v>
      </c>
      <c r="B2683" s="573" t="s">
        <v>4729</v>
      </c>
      <c r="C2683" s="573" t="s">
        <v>269</v>
      </c>
      <c r="D2683" s="578" t="s">
        <v>270</v>
      </c>
      <c r="E2683" s="573" t="s">
        <v>3374</v>
      </c>
      <c r="F2683" s="573" t="s">
        <v>187</v>
      </c>
      <c r="G2683" s="573" t="s">
        <v>271</v>
      </c>
      <c r="H2683" s="573">
        <v>2019</v>
      </c>
      <c r="I2683" s="573" t="s">
        <v>4503</v>
      </c>
      <c r="J2683" s="573" t="s">
        <v>4730</v>
      </c>
      <c r="K2683" s="573" t="s">
        <v>3377</v>
      </c>
      <c r="L2683" s="573">
        <v>3</v>
      </c>
      <c r="M2683" s="573">
        <v>0</v>
      </c>
      <c r="N2683" s="573" t="s">
        <v>157</v>
      </c>
      <c r="O2683" s="573">
        <v>1</v>
      </c>
      <c r="P2683" s="573" t="s">
        <v>3846</v>
      </c>
      <c r="Q2683" s="571">
        <v>13200</v>
      </c>
      <c r="R2683" s="573" t="s">
        <v>4235</v>
      </c>
      <c r="S2683" s="573">
        <v>8</v>
      </c>
      <c r="T2683" s="573" t="s">
        <v>4685</v>
      </c>
      <c r="U2683" s="573" t="s">
        <v>4635</v>
      </c>
      <c r="V2683" s="573">
        <v>142</v>
      </c>
      <c r="W2683" s="573">
        <v>34</v>
      </c>
      <c r="X2683" s="571">
        <v>14000</v>
      </c>
      <c r="Y2683" s="569">
        <v>13</v>
      </c>
      <c r="Z2683" s="579" t="s">
        <v>450</v>
      </c>
      <c r="AA2683" s="579" t="s">
        <v>178</v>
      </c>
      <c r="AB2683" s="584">
        <v>41315</v>
      </c>
      <c r="AC2683" s="584" t="s">
        <v>164</v>
      </c>
      <c r="AD2683" s="584">
        <v>30383.915789473685</v>
      </c>
      <c r="AE2683" s="586">
        <v>0.03</v>
      </c>
      <c r="AF2683" s="661" t="str">
        <f t="shared" si="290"/>
        <v>2019-LTK-FRD-F350-044-05</v>
      </c>
      <c r="AG2683" s="661" t="str">
        <f>IF(AND($Y2683&gt;=32,(AI2683="I"),(Y2683&lt;&gt;"~"),(COUNTIF($AN$1:$AN2683,$AN2683)=1)),"TRUE","FALSE")</f>
        <v>FALSE</v>
      </c>
      <c r="AH2683" s="661" t="str">
        <f>IF(AND($Y2683&gt;=22, (AI2683&lt;&gt;"I"),(Y2683&lt;&gt;"~"),(COUNTIF($AN$1:$AN2683,$AN2683)=1)),"TRUE","FALSE")</f>
        <v>FALSE</v>
      </c>
      <c r="AI2683" s="661" t="str">
        <f t="shared" si="292"/>
        <v>N/A</v>
      </c>
      <c r="AJ2683" s="662" t="str">
        <f t="shared" si="286"/>
        <v>F350-044</v>
      </c>
      <c r="AK2683" s="662" t="str">
        <f t="shared" si="287"/>
        <v>LTK</v>
      </c>
      <c r="AL2683" s="662" t="str">
        <f t="shared" si="288"/>
        <v>FRD</v>
      </c>
      <c r="AM2683" s="662" t="str">
        <f t="shared" si="291"/>
        <v>F350-Regular Cab XLT DRW-2WD-3-8'-13200-6.2L FFV-8-F3C-623A-142-34-E85-Unleaded</v>
      </c>
      <c r="AN2683" s="662" t="str">
        <f t="shared" si="289"/>
        <v>2019-LTK-FRD-F350-044</v>
      </c>
    </row>
    <row r="2684" spans="1:40" ht="15">
      <c r="A2684" s="570" t="s">
        <v>4731</v>
      </c>
      <c r="B2684" s="569" t="s">
        <v>4732</v>
      </c>
      <c r="C2684" s="569" t="s">
        <v>269</v>
      </c>
      <c r="D2684" s="580" t="s">
        <v>270</v>
      </c>
      <c r="E2684" s="569" t="s">
        <v>3374</v>
      </c>
      <c r="F2684" s="569" t="s">
        <v>187</v>
      </c>
      <c r="G2684" s="569" t="s">
        <v>271</v>
      </c>
      <c r="H2684" s="569">
        <v>2019</v>
      </c>
      <c r="I2684" s="569" t="s">
        <v>4503</v>
      </c>
      <c r="J2684" s="569" t="s">
        <v>4730</v>
      </c>
      <c r="K2684" s="569" t="s">
        <v>3377</v>
      </c>
      <c r="L2684" s="569">
        <v>3</v>
      </c>
      <c r="M2684" s="569">
        <v>0</v>
      </c>
      <c r="N2684" s="569" t="s">
        <v>157</v>
      </c>
      <c r="O2684" s="569">
        <v>1</v>
      </c>
      <c r="P2684" s="569" t="s">
        <v>3846</v>
      </c>
      <c r="Q2684" s="568">
        <v>13200</v>
      </c>
      <c r="R2684" s="569" t="s">
        <v>4231</v>
      </c>
      <c r="S2684" s="569">
        <v>8</v>
      </c>
      <c r="T2684" s="569" t="s">
        <v>4685</v>
      </c>
      <c r="U2684" s="569" t="s">
        <v>4635</v>
      </c>
      <c r="V2684" s="569">
        <v>142</v>
      </c>
      <c r="W2684" s="569">
        <v>29</v>
      </c>
      <c r="X2684" s="568">
        <v>14000</v>
      </c>
      <c r="Y2684" s="569">
        <v>13</v>
      </c>
      <c r="Z2684" s="581" t="s">
        <v>728</v>
      </c>
      <c r="AA2684" s="581" t="s">
        <v>1523</v>
      </c>
      <c r="AB2684" s="585">
        <v>50435</v>
      </c>
      <c r="AC2684" s="585" t="s">
        <v>164</v>
      </c>
      <c r="AD2684" s="585">
        <v>38576.1052631579</v>
      </c>
      <c r="AE2684" s="587">
        <v>0.03</v>
      </c>
      <c r="AF2684" s="661" t="str">
        <f t="shared" si="290"/>
        <v>2019-LTK-FRD-F350-045-05</v>
      </c>
      <c r="AG2684" s="661" t="str">
        <f>IF(AND($Y2684&gt;=32,(AI2684="I"),(Y2684&lt;&gt;"~"),(COUNTIF($AN$1:$AN2684,$AN2684)=1)),"TRUE","FALSE")</f>
        <v>FALSE</v>
      </c>
      <c r="AH2684" s="661" t="str">
        <f>IF(AND($Y2684&gt;=22, (AI2684&lt;&gt;"I"),(Y2684&lt;&gt;"~"),(COUNTIF($AN$1:$AN2684,$AN2684)=1)),"TRUE","FALSE")</f>
        <v>FALSE</v>
      </c>
      <c r="AI2684" s="661" t="str">
        <f t="shared" si="292"/>
        <v>N/A</v>
      </c>
      <c r="AJ2684" s="662" t="str">
        <f t="shared" si="286"/>
        <v>F350-045</v>
      </c>
      <c r="AK2684" s="662" t="str">
        <f t="shared" si="287"/>
        <v>LTK</v>
      </c>
      <c r="AL2684" s="662" t="str">
        <f t="shared" si="288"/>
        <v>FRD</v>
      </c>
      <c r="AM2684" s="662" t="str">
        <f t="shared" si="291"/>
        <v>F350-Regular Cab XLT DRW-2WD-3-8'-13200-6.7L Diesel-8-F3C-623A-142-29-Diesel-BioDiesel</v>
      </c>
      <c r="AN2684" s="662" t="str">
        <f t="shared" si="289"/>
        <v>2019-LTK-FRD-F350-045</v>
      </c>
    </row>
    <row r="2685" spans="1:40" ht="15">
      <c r="A2685" s="570" t="s">
        <v>4733</v>
      </c>
      <c r="B2685" s="573" t="s">
        <v>4729</v>
      </c>
      <c r="C2685" s="573" t="s">
        <v>278</v>
      </c>
      <c r="D2685" s="578">
        <v>15</v>
      </c>
      <c r="E2685" s="573" t="s">
        <v>3374</v>
      </c>
      <c r="F2685" s="573" t="s">
        <v>187</v>
      </c>
      <c r="G2685" s="573" t="s">
        <v>271</v>
      </c>
      <c r="H2685" s="573">
        <v>2019</v>
      </c>
      <c r="I2685" s="573" t="s">
        <v>4503</v>
      </c>
      <c r="J2685" s="573" t="s">
        <v>4730</v>
      </c>
      <c r="K2685" s="573" t="s">
        <v>3377</v>
      </c>
      <c r="L2685" s="573">
        <v>3</v>
      </c>
      <c r="M2685" s="573">
        <v>0</v>
      </c>
      <c r="N2685" s="573" t="s">
        <v>157</v>
      </c>
      <c r="O2685" s="573">
        <v>1</v>
      </c>
      <c r="P2685" s="573" t="s">
        <v>3846</v>
      </c>
      <c r="Q2685" s="571">
        <v>13200</v>
      </c>
      <c r="R2685" s="573" t="s">
        <v>4235</v>
      </c>
      <c r="S2685" s="573">
        <v>8</v>
      </c>
      <c r="T2685" s="573" t="s">
        <v>4685</v>
      </c>
      <c r="U2685" s="573" t="s">
        <v>4635</v>
      </c>
      <c r="V2685" s="573">
        <v>142</v>
      </c>
      <c r="W2685" s="573">
        <v>34</v>
      </c>
      <c r="X2685" s="571">
        <v>14000</v>
      </c>
      <c r="Y2685" s="569">
        <v>13</v>
      </c>
      <c r="Z2685" s="579" t="s">
        <v>450</v>
      </c>
      <c r="AA2685" s="579" t="s">
        <v>178</v>
      </c>
      <c r="AB2685" s="584">
        <v>41315</v>
      </c>
      <c r="AC2685" s="584" t="s">
        <v>164</v>
      </c>
      <c r="AD2685" s="584">
        <v>30500</v>
      </c>
      <c r="AE2685" s="586">
        <v>0.01</v>
      </c>
      <c r="AF2685" s="661" t="str">
        <f t="shared" si="290"/>
        <v>2019-LTK-FRD-F350-044-15</v>
      </c>
      <c r="AG2685" s="661" t="str">
        <f>IF(AND($Y2685&gt;=32,(AI2685="I"),(Y2685&lt;&gt;"~"),(COUNTIF($AN$1:$AN2685,$AN2685)=1)),"TRUE","FALSE")</f>
        <v>FALSE</v>
      </c>
      <c r="AH2685" s="661" t="str">
        <f>IF(AND($Y2685&gt;=22, (AI2685&lt;&gt;"I"),(Y2685&lt;&gt;"~"),(COUNTIF($AN$1:$AN2685,$AN2685)=1)),"TRUE","FALSE")</f>
        <v>FALSE</v>
      </c>
      <c r="AI2685" s="661" t="str">
        <f t="shared" si="292"/>
        <v>N/A</v>
      </c>
      <c r="AJ2685" s="662" t="str">
        <f t="shared" si="286"/>
        <v>F350-044</v>
      </c>
      <c r="AK2685" s="662" t="str">
        <f t="shared" si="287"/>
        <v>LTK</v>
      </c>
      <c r="AL2685" s="662" t="str">
        <f t="shared" si="288"/>
        <v>FRD</v>
      </c>
      <c r="AM2685" s="662" t="str">
        <f t="shared" si="291"/>
        <v>F350-Regular Cab XLT DRW-2WD-3-8'-13200-6.2L FFV-8-F3C-623A-142-34-E85-Unleaded</v>
      </c>
      <c r="AN2685" s="662" t="str">
        <f t="shared" si="289"/>
        <v>2019-LTK-FRD-F350-044</v>
      </c>
    </row>
    <row r="2686" spans="1:40" ht="15">
      <c r="A2686" s="570" t="s">
        <v>4734</v>
      </c>
      <c r="B2686" s="569" t="s">
        <v>4732</v>
      </c>
      <c r="C2686" s="569" t="s">
        <v>278</v>
      </c>
      <c r="D2686" s="580">
        <v>15</v>
      </c>
      <c r="E2686" s="569" t="s">
        <v>3374</v>
      </c>
      <c r="F2686" s="569" t="s">
        <v>187</v>
      </c>
      <c r="G2686" s="569" t="s">
        <v>271</v>
      </c>
      <c r="H2686" s="569">
        <v>2019</v>
      </c>
      <c r="I2686" s="569" t="s">
        <v>4503</v>
      </c>
      <c r="J2686" s="569" t="s">
        <v>4730</v>
      </c>
      <c r="K2686" s="569" t="s">
        <v>3377</v>
      </c>
      <c r="L2686" s="569">
        <v>3</v>
      </c>
      <c r="M2686" s="569">
        <v>0</v>
      </c>
      <c r="N2686" s="569" t="s">
        <v>157</v>
      </c>
      <c r="O2686" s="569">
        <v>1</v>
      </c>
      <c r="P2686" s="569" t="s">
        <v>3846</v>
      </c>
      <c r="Q2686" s="568">
        <v>13200</v>
      </c>
      <c r="R2686" s="569" t="s">
        <v>4231</v>
      </c>
      <c r="S2686" s="569">
        <v>8</v>
      </c>
      <c r="T2686" s="569" t="s">
        <v>4685</v>
      </c>
      <c r="U2686" s="569" t="s">
        <v>4635</v>
      </c>
      <c r="V2686" s="569">
        <v>142</v>
      </c>
      <c r="W2686" s="569">
        <v>29</v>
      </c>
      <c r="X2686" s="568">
        <v>14000</v>
      </c>
      <c r="Y2686" s="569">
        <v>13</v>
      </c>
      <c r="Z2686" s="581" t="s">
        <v>728</v>
      </c>
      <c r="AA2686" s="581" t="s">
        <v>1523</v>
      </c>
      <c r="AB2686" s="585">
        <v>50435</v>
      </c>
      <c r="AC2686" s="585" t="s">
        <v>164</v>
      </c>
      <c r="AD2686" s="585">
        <v>38800</v>
      </c>
      <c r="AE2686" s="587">
        <v>0.01</v>
      </c>
      <c r="AF2686" s="661" t="str">
        <f t="shared" si="290"/>
        <v>2019-LTK-FRD-F350-045-15</v>
      </c>
      <c r="AG2686" s="661" t="str">
        <f>IF(AND($Y2686&gt;=32,(AI2686="I"),(Y2686&lt;&gt;"~"),(COUNTIF($AN$1:$AN2686,$AN2686)=1)),"TRUE","FALSE")</f>
        <v>FALSE</v>
      </c>
      <c r="AH2686" s="661" t="str">
        <f>IF(AND($Y2686&gt;=22, (AI2686&lt;&gt;"I"),(Y2686&lt;&gt;"~"),(COUNTIF($AN$1:$AN2686,$AN2686)=1)),"TRUE","FALSE")</f>
        <v>FALSE</v>
      </c>
      <c r="AI2686" s="661" t="str">
        <f t="shared" si="292"/>
        <v>N/A</v>
      </c>
      <c r="AJ2686" s="662" t="str">
        <f t="shared" si="286"/>
        <v>F350-045</v>
      </c>
      <c r="AK2686" s="662" t="str">
        <f t="shared" si="287"/>
        <v>LTK</v>
      </c>
      <c r="AL2686" s="662" t="str">
        <f t="shared" si="288"/>
        <v>FRD</v>
      </c>
      <c r="AM2686" s="662" t="str">
        <f t="shared" si="291"/>
        <v>F350-Regular Cab XLT DRW-2WD-3-8'-13200-6.7L Diesel-8-F3C-623A-142-29-Diesel-BioDiesel</v>
      </c>
      <c r="AN2686" s="662" t="str">
        <f t="shared" si="289"/>
        <v>2019-LTK-FRD-F350-045</v>
      </c>
    </row>
    <row r="2687" spans="1:40" ht="15">
      <c r="A2687" s="570" t="s">
        <v>4735</v>
      </c>
      <c r="B2687" s="573" t="s">
        <v>4729</v>
      </c>
      <c r="C2687" s="573" t="s">
        <v>287</v>
      </c>
      <c r="D2687" s="578">
        <v>26</v>
      </c>
      <c r="E2687" s="573" t="s">
        <v>3374</v>
      </c>
      <c r="F2687" s="573" t="s">
        <v>187</v>
      </c>
      <c r="G2687" s="573" t="s">
        <v>271</v>
      </c>
      <c r="H2687" s="573">
        <v>2019</v>
      </c>
      <c r="I2687" s="573" t="s">
        <v>4503</v>
      </c>
      <c r="J2687" s="573" t="s">
        <v>4730</v>
      </c>
      <c r="K2687" s="573" t="s">
        <v>3377</v>
      </c>
      <c r="L2687" s="573">
        <v>3</v>
      </c>
      <c r="M2687" s="573">
        <v>0</v>
      </c>
      <c r="N2687" s="573" t="s">
        <v>157</v>
      </c>
      <c r="O2687" s="573">
        <v>1</v>
      </c>
      <c r="P2687" s="573" t="s">
        <v>3846</v>
      </c>
      <c r="Q2687" s="571">
        <v>13200</v>
      </c>
      <c r="R2687" s="573" t="s">
        <v>4235</v>
      </c>
      <c r="S2687" s="573">
        <v>8</v>
      </c>
      <c r="T2687" s="573" t="s">
        <v>4685</v>
      </c>
      <c r="U2687" s="573" t="s">
        <v>4635</v>
      </c>
      <c r="V2687" s="573">
        <v>142</v>
      </c>
      <c r="W2687" s="573">
        <v>34</v>
      </c>
      <c r="X2687" s="571">
        <v>14000</v>
      </c>
      <c r="Y2687" s="569">
        <v>13</v>
      </c>
      <c r="Z2687" s="579" t="s">
        <v>450</v>
      </c>
      <c r="AA2687" s="579" t="s">
        <v>178</v>
      </c>
      <c r="AB2687" s="584">
        <v>41315</v>
      </c>
      <c r="AC2687" s="584" t="s">
        <v>164</v>
      </c>
      <c r="AD2687" s="584">
        <v>30563</v>
      </c>
      <c r="AE2687" s="586">
        <v>0.05</v>
      </c>
      <c r="AF2687" s="661" t="str">
        <f t="shared" si="290"/>
        <v>2019-LTK-FRD-F350-044-26</v>
      </c>
      <c r="AG2687" s="661" t="str">
        <f>IF(AND($Y2687&gt;=32,(AI2687="I"),(Y2687&lt;&gt;"~"),(COUNTIF($AN$1:$AN2687,$AN2687)=1)),"TRUE","FALSE")</f>
        <v>FALSE</v>
      </c>
      <c r="AH2687" s="661" t="str">
        <f>IF(AND($Y2687&gt;=22, (AI2687&lt;&gt;"I"),(Y2687&lt;&gt;"~"),(COUNTIF($AN$1:$AN2687,$AN2687)=1)),"TRUE","FALSE")</f>
        <v>FALSE</v>
      </c>
      <c r="AI2687" s="661" t="str">
        <f t="shared" si="292"/>
        <v>N/A</v>
      </c>
      <c r="AJ2687" s="662" t="str">
        <f t="shared" si="286"/>
        <v>F350-044</v>
      </c>
      <c r="AK2687" s="662" t="str">
        <f t="shared" si="287"/>
        <v>LTK</v>
      </c>
      <c r="AL2687" s="662" t="str">
        <f t="shared" si="288"/>
        <v>FRD</v>
      </c>
      <c r="AM2687" s="662" t="str">
        <f t="shared" si="291"/>
        <v>F350-Regular Cab XLT DRW-2WD-3-8'-13200-6.2L FFV-8-F3C-623A-142-34-E85-Unleaded</v>
      </c>
      <c r="AN2687" s="662" t="str">
        <f t="shared" si="289"/>
        <v>2019-LTK-FRD-F350-044</v>
      </c>
    </row>
    <row r="2688" spans="1:40" ht="15">
      <c r="A2688" s="570" t="s">
        <v>4736</v>
      </c>
      <c r="B2688" s="569" t="s">
        <v>4732</v>
      </c>
      <c r="C2688" s="569" t="s">
        <v>287</v>
      </c>
      <c r="D2688" s="580">
        <v>26</v>
      </c>
      <c r="E2688" s="569" t="s">
        <v>3374</v>
      </c>
      <c r="F2688" s="569" t="s">
        <v>187</v>
      </c>
      <c r="G2688" s="569" t="s">
        <v>271</v>
      </c>
      <c r="H2688" s="569">
        <v>2019</v>
      </c>
      <c r="I2688" s="569" t="s">
        <v>4503</v>
      </c>
      <c r="J2688" s="569" t="s">
        <v>4730</v>
      </c>
      <c r="K2688" s="569" t="s">
        <v>3377</v>
      </c>
      <c r="L2688" s="569">
        <v>3</v>
      </c>
      <c r="M2688" s="569">
        <v>0</v>
      </c>
      <c r="N2688" s="569" t="s">
        <v>157</v>
      </c>
      <c r="O2688" s="569">
        <v>1</v>
      </c>
      <c r="P2688" s="569" t="s">
        <v>3846</v>
      </c>
      <c r="Q2688" s="568">
        <v>13200</v>
      </c>
      <c r="R2688" s="569" t="s">
        <v>4231</v>
      </c>
      <c r="S2688" s="569">
        <v>8</v>
      </c>
      <c r="T2688" s="569" t="s">
        <v>4685</v>
      </c>
      <c r="U2688" s="569" t="s">
        <v>4635</v>
      </c>
      <c r="V2688" s="569">
        <v>142</v>
      </c>
      <c r="W2688" s="569">
        <v>29</v>
      </c>
      <c r="X2688" s="568">
        <v>14000</v>
      </c>
      <c r="Y2688" s="569">
        <v>13</v>
      </c>
      <c r="Z2688" s="581" t="s">
        <v>728</v>
      </c>
      <c r="AA2688" s="581" t="s">
        <v>1523</v>
      </c>
      <c r="AB2688" s="585">
        <v>49860</v>
      </c>
      <c r="AC2688" s="585" t="s">
        <v>164</v>
      </c>
      <c r="AD2688" s="585">
        <v>38757</v>
      </c>
      <c r="AE2688" s="587">
        <v>0.05</v>
      </c>
      <c r="AF2688" s="661" t="str">
        <f t="shared" si="290"/>
        <v>2019-LTK-FRD-F350-045-26</v>
      </c>
      <c r="AG2688" s="661" t="str">
        <f>IF(AND($Y2688&gt;=32,(AI2688="I"),(Y2688&lt;&gt;"~"),(COUNTIF($AN$1:$AN2688,$AN2688)=1)),"TRUE","FALSE")</f>
        <v>FALSE</v>
      </c>
      <c r="AH2688" s="661" t="str">
        <f>IF(AND($Y2688&gt;=22, (AI2688&lt;&gt;"I"),(Y2688&lt;&gt;"~"),(COUNTIF($AN$1:$AN2688,$AN2688)=1)),"TRUE","FALSE")</f>
        <v>FALSE</v>
      </c>
      <c r="AI2688" s="661" t="str">
        <f t="shared" si="292"/>
        <v>N/A</v>
      </c>
      <c r="AJ2688" s="662" t="str">
        <f t="shared" si="286"/>
        <v>F350-045</v>
      </c>
      <c r="AK2688" s="662" t="str">
        <f t="shared" si="287"/>
        <v>LTK</v>
      </c>
      <c r="AL2688" s="662" t="str">
        <f t="shared" si="288"/>
        <v>FRD</v>
      </c>
      <c r="AM2688" s="662" t="str">
        <f t="shared" si="291"/>
        <v>F350-Regular Cab XLT DRW-2WD-3-8'-13200-6.7L Diesel-8-F3C-623A-142-29-Diesel-BioDiesel</v>
      </c>
      <c r="AN2688" s="662" t="str">
        <f t="shared" si="289"/>
        <v>2019-LTK-FRD-F350-045</v>
      </c>
    </row>
    <row r="2689" spans="1:40" ht="15">
      <c r="A2689" s="570" t="s">
        <v>4737</v>
      </c>
      <c r="B2689" s="573" t="s">
        <v>4729</v>
      </c>
      <c r="C2689" s="573" t="s">
        <v>280</v>
      </c>
      <c r="D2689" s="578">
        <v>27</v>
      </c>
      <c r="E2689" s="573" t="s">
        <v>3374</v>
      </c>
      <c r="F2689" s="573" t="s">
        <v>187</v>
      </c>
      <c r="G2689" s="573" t="s">
        <v>271</v>
      </c>
      <c r="H2689" s="573">
        <v>2019</v>
      </c>
      <c r="I2689" s="573" t="s">
        <v>4503</v>
      </c>
      <c r="J2689" s="573" t="s">
        <v>4730</v>
      </c>
      <c r="K2689" s="573" t="s">
        <v>3377</v>
      </c>
      <c r="L2689" s="573">
        <v>3</v>
      </c>
      <c r="M2689" s="573">
        <v>0</v>
      </c>
      <c r="N2689" s="573" t="s">
        <v>157</v>
      </c>
      <c r="O2689" s="573">
        <v>1</v>
      </c>
      <c r="P2689" s="573" t="s">
        <v>3846</v>
      </c>
      <c r="Q2689" s="571">
        <v>13200</v>
      </c>
      <c r="R2689" s="573" t="s">
        <v>4235</v>
      </c>
      <c r="S2689" s="573">
        <v>8</v>
      </c>
      <c r="T2689" s="573" t="s">
        <v>4685</v>
      </c>
      <c r="U2689" s="573" t="s">
        <v>4635</v>
      </c>
      <c r="V2689" s="573">
        <v>142</v>
      </c>
      <c r="W2689" s="573">
        <v>34</v>
      </c>
      <c r="X2689" s="571">
        <v>14000</v>
      </c>
      <c r="Y2689" s="569">
        <v>13</v>
      </c>
      <c r="Z2689" s="579" t="s">
        <v>450</v>
      </c>
      <c r="AA2689" s="579" t="s">
        <v>178</v>
      </c>
      <c r="AB2689" s="584">
        <v>41315</v>
      </c>
      <c r="AC2689" s="584" t="s">
        <v>164</v>
      </c>
      <c r="AD2689" s="584">
        <v>30383.915789473685</v>
      </c>
      <c r="AE2689" s="586">
        <v>0.03</v>
      </c>
      <c r="AF2689" s="661" t="str">
        <f t="shared" si="290"/>
        <v>2019-LTK-FRD-F350-044-27</v>
      </c>
      <c r="AG2689" s="661" t="str">
        <f>IF(AND($Y2689&gt;=32,(AI2689="I"),(Y2689&lt;&gt;"~"),(COUNTIF($AN$1:$AN2689,$AN2689)=1)),"TRUE","FALSE")</f>
        <v>FALSE</v>
      </c>
      <c r="AH2689" s="661" t="str">
        <f>IF(AND($Y2689&gt;=22, (AI2689&lt;&gt;"I"),(Y2689&lt;&gt;"~"),(COUNTIF($AN$1:$AN2689,$AN2689)=1)),"TRUE","FALSE")</f>
        <v>FALSE</v>
      </c>
      <c r="AI2689" s="661" t="str">
        <f t="shared" si="292"/>
        <v>N/A</v>
      </c>
      <c r="AJ2689" s="662" t="str">
        <f t="shared" si="286"/>
        <v>F350-044</v>
      </c>
      <c r="AK2689" s="662" t="str">
        <f t="shared" si="287"/>
        <v>LTK</v>
      </c>
      <c r="AL2689" s="662" t="str">
        <f t="shared" si="288"/>
        <v>FRD</v>
      </c>
      <c r="AM2689" s="662" t="str">
        <f t="shared" si="291"/>
        <v>F350-Regular Cab XLT DRW-2WD-3-8'-13200-6.2L FFV-8-F3C-623A-142-34-E85-Unleaded</v>
      </c>
      <c r="AN2689" s="662" t="str">
        <f t="shared" si="289"/>
        <v>2019-LTK-FRD-F350-044</v>
      </c>
    </row>
    <row r="2690" spans="1:40" ht="15">
      <c r="A2690" s="570" t="s">
        <v>4738</v>
      </c>
      <c r="B2690" s="569" t="s">
        <v>4732</v>
      </c>
      <c r="C2690" s="569" t="s">
        <v>280</v>
      </c>
      <c r="D2690" s="580">
        <v>27</v>
      </c>
      <c r="E2690" s="569" t="s">
        <v>3374</v>
      </c>
      <c r="F2690" s="569" t="s">
        <v>187</v>
      </c>
      <c r="G2690" s="569" t="s">
        <v>271</v>
      </c>
      <c r="H2690" s="569">
        <v>2019</v>
      </c>
      <c r="I2690" s="569" t="s">
        <v>4503</v>
      </c>
      <c r="J2690" s="569" t="s">
        <v>4730</v>
      </c>
      <c r="K2690" s="569" t="s">
        <v>3377</v>
      </c>
      <c r="L2690" s="569">
        <v>3</v>
      </c>
      <c r="M2690" s="569">
        <v>0</v>
      </c>
      <c r="N2690" s="569" t="s">
        <v>157</v>
      </c>
      <c r="O2690" s="569">
        <v>1</v>
      </c>
      <c r="P2690" s="569" t="s">
        <v>3846</v>
      </c>
      <c r="Q2690" s="568">
        <v>13200</v>
      </c>
      <c r="R2690" s="569" t="s">
        <v>4231</v>
      </c>
      <c r="S2690" s="569">
        <v>8</v>
      </c>
      <c r="T2690" s="569" t="s">
        <v>4685</v>
      </c>
      <c r="U2690" s="569" t="s">
        <v>4635</v>
      </c>
      <c r="V2690" s="569">
        <v>142</v>
      </c>
      <c r="W2690" s="569">
        <v>29</v>
      </c>
      <c r="X2690" s="568">
        <v>14000</v>
      </c>
      <c r="Y2690" s="569">
        <v>13</v>
      </c>
      <c r="Z2690" s="581" t="s">
        <v>728</v>
      </c>
      <c r="AA2690" s="581" t="s">
        <v>1523</v>
      </c>
      <c r="AB2690" s="585">
        <v>50435</v>
      </c>
      <c r="AC2690" s="585" t="s">
        <v>164</v>
      </c>
      <c r="AD2690" s="585">
        <v>38576.1052631579</v>
      </c>
      <c r="AE2690" s="587">
        <v>0.03</v>
      </c>
      <c r="AF2690" s="661" t="str">
        <f t="shared" si="290"/>
        <v>2019-LTK-FRD-F350-045-27</v>
      </c>
      <c r="AG2690" s="661" t="str">
        <f>IF(AND($Y2690&gt;=32,(AI2690="I"),(Y2690&lt;&gt;"~"),(COUNTIF($AN$1:$AN2690,$AN2690)=1)),"TRUE","FALSE")</f>
        <v>FALSE</v>
      </c>
      <c r="AH2690" s="661" t="str">
        <f>IF(AND($Y2690&gt;=22, (AI2690&lt;&gt;"I"),(Y2690&lt;&gt;"~"),(COUNTIF($AN$1:$AN2690,$AN2690)=1)),"TRUE","FALSE")</f>
        <v>FALSE</v>
      </c>
      <c r="AI2690" s="661" t="str">
        <f t="shared" si="292"/>
        <v>N/A</v>
      </c>
      <c r="AJ2690" s="662" t="str">
        <f t="shared" si="286"/>
        <v>F350-045</v>
      </c>
      <c r="AK2690" s="662" t="str">
        <f t="shared" si="287"/>
        <v>LTK</v>
      </c>
      <c r="AL2690" s="662" t="str">
        <f t="shared" si="288"/>
        <v>FRD</v>
      </c>
      <c r="AM2690" s="662" t="str">
        <f t="shared" si="291"/>
        <v>F350-Regular Cab XLT DRW-2WD-3-8'-13200-6.7L Diesel-8-F3C-623A-142-29-Diesel-BioDiesel</v>
      </c>
      <c r="AN2690" s="662" t="str">
        <f t="shared" si="289"/>
        <v>2019-LTK-FRD-F350-045</v>
      </c>
    </row>
    <row r="2691" spans="1:40" ht="15">
      <c r="A2691" s="570" t="s">
        <v>4739</v>
      </c>
      <c r="B2691" s="573" t="s">
        <v>4740</v>
      </c>
      <c r="C2691" s="573" t="s">
        <v>269</v>
      </c>
      <c r="D2691" s="578" t="s">
        <v>270</v>
      </c>
      <c r="E2691" s="573" t="s">
        <v>3374</v>
      </c>
      <c r="F2691" s="573" t="s">
        <v>187</v>
      </c>
      <c r="G2691" s="573" t="s">
        <v>271</v>
      </c>
      <c r="H2691" s="573">
        <v>2019</v>
      </c>
      <c r="I2691" s="573" t="s">
        <v>4503</v>
      </c>
      <c r="J2691" s="573" t="s">
        <v>4730</v>
      </c>
      <c r="K2691" s="573" t="s">
        <v>752</v>
      </c>
      <c r="L2691" s="573">
        <v>3</v>
      </c>
      <c r="M2691" s="573">
        <v>0</v>
      </c>
      <c r="N2691" s="573" t="s">
        <v>157</v>
      </c>
      <c r="O2691" s="573">
        <v>1</v>
      </c>
      <c r="P2691" s="573" t="s">
        <v>3846</v>
      </c>
      <c r="Q2691" s="571">
        <v>12700</v>
      </c>
      <c r="R2691" s="573" t="s">
        <v>4235</v>
      </c>
      <c r="S2691" s="573">
        <v>8</v>
      </c>
      <c r="T2691" s="573" t="s">
        <v>4696</v>
      </c>
      <c r="U2691" s="573" t="s">
        <v>4635</v>
      </c>
      <c r="V2691" s="573">
        <v>142</v>
      </c>
      <c r="W2691" s="573">
        <v>34</v>
      </c>
      <c r="X2691" s="571">
        <v>14000</v>
      </c>
      <c r="Y2691" s="569">
        <v>12</v>
      </c>
      <c r="Z2691" s="579" t="s">
        <v>450</v>
      </c>
      <c r="AA2691" s="579" t="s">
        <v>178</v>
      </c>
      <c r="AB2691" s="584">
        <v>44115</v>
      </c>
      <c r="AC2691" s="584" t="s">
        <v>164</v>
      </c>
      <c r="AD2691" s="584">
        <v>33391.284210526319</v>
      </c>
      <c r="AE2691" s="586">
        <v>0.03</v>
      </c>
      <c r="AF2691" s="661" t="str">
        <f t="shared" si="290"/>
        <v>2019-LTK-FRD-F350-046-05</v>
      </c>
      <c r="AG2691" s="661" t="str">
        <f>IF(AND($Y2691&gt;=32,(AI2691="I"),(Y2691&lt;&gt;"~"),(COUNTIF($AN$1:$AN2691,$AN2691)=1)),"TRUE","FALSE")</f>
        <v>FALSE</v>
      </c>
      <c r="AH2691" s="661" t="str">
        <f>IF(AND($Y2691&gt;=22, (AI2691&lt;&gt;"I"),(Y2691&lt;&gt;"~"),(COUNTIF($AN$1:$AN2691,$AN2691)=1)),"TRUE","FALSE")</f>
        <v>FALSE</v>
      </c>
      <c r="AI2691" s="661" t="str">
        <f t="shared" si="292"/>
        <v>N/A</v>
      </c>
      <c r="AJ2691" s="662" t="str">
        <f t="shared" ref="AJ2691:AJ2754" si="293">MID(A2691,14,8)</f>
        <v>F350-046</v>
      </c>
      <c r="AK2691" s="662" t="str">
        <f t="shared" ref="AK2691:AK2754" si="294">MID(A2691,6,3)</f>
        <v>LTK</v>
      </c>
      <c r="AL2691" s="662" t="str">
        <f t="shared" ref="AL2691:AL2754" si="295">MID(A2691,10,3)</f>
        <v>FRD</v>
      </c>
      <c r="AM2691" s="662" t="str">
        <f t="shared" si="291"/>
        <v>F350-Regular Cab XLT DRW-4WD-3-8'-12700-6.2L FFV-8-F3D-623A-142-34-E85-Unleaded</v>
      </c>
      <c r="AN2691" s="662" t="str">
        <f t="shared" ref="AN2691:AN2754" si="296">LEFT(A2691,21)</f>
        <v>2019-LTK-FRD-F350-046</v>
      </c>
    </row>
    <row r="2692" spans="1:40" ht="15">
      <c r="A2692" s="570" t="s">
        <v>4741</v>
      </c>
      <c r="B2692" s="569" t="s">
        <v>4742</v>
      </c>
      <c r="C2692" s="569" t="s">
        <v>269</v>
      </c>
      <c r="D2692" s="580" t="s">
        <v>270</v>
      </c>
      <c r="E2692" s="569" t="s">
        <v>3374</v>
      </c>
      <c r="F2692" s="569" t="s">
        <v>187</v>
      </c>
      <c r="G2692" s="569" t="s">
        <v>271</v>
      </c>
      <c r="H2692" s="569">
        <v>2019</v>
      </c>
      <c r="I2692" s="569" t="s">
        <v>4503</v>
      </c>
      <c r="J2692" s="569" t="s">
        <v>4730</v>
      </c>
      <c r="K2692" s="569" t="s">
        <v>752</v>
      </c>
      <c r="L2692" s="569">
        <v>3</v>
      </c>
      <c r="M2692" s="569">
        <v>0</v>
      </c>
      <c r="N2692" s="569" t="s">
        <v>157</v>
      </c>
      <c r="O2692" s="569">
        <v>1</v>
      </c>
      <c r="P2692" s="569" t="s">
        <v>3846</v>
      </c>
      <c r="Q2692" s="568">
        <v>12700</v>
      </c>
      <c r="R2692" s="569" t="s">
        <v>4231</v>
      </c>
      <c r="S2692" s="569">
        <v>8</v>
      </c>
      <c r="T2692" s="569" t="s">
        <v>4696</v>
      </c>
      <c r="U2692" s="569" t="s">
        <v>4635</v>
      </c>
      <c r="V2692" s="569">
        <v>142</v>
      </c>
      <c r="W2692" s="569">
        <v>29</v>
      </c>
      <c r="X2692" s="568">
        <v>14000</v>
      </c>
      <c r="Y2692" s="569">
        <v>12</v>
      </c>
      <c r="Z2692" s="581" t="s">
        <v>728</v>
      </c>
      <c r="AA2692" s="581" t="s">
        <v>1523</v>
      </c>
      <c r="AB2692" s="585">
        <v>53235</v>
      </c>
      <c r="AC2692" s="585" t="s">
        <v>164</v>
      </c>
      <c r="AD2692" s="585">
        <v>41583.473684210534</v>
      </c>
      <c r="AE2692" s="587">
        <v>0.03</v>
      </c>
      <c r="AF2692" s="661" t="str">
        <f t="shared" si="290"/>
        <v>2019-LTK-FRD-F350-047-05</v>
      </c>
      <c r="AG2692" s="661" t="str">
        <f>IF(AND($Y2692&gt;=32,(AI2692="I"),(Y2692&lt;&gt;"~"),(COUNTIF($AN$1:$AN2692,$AN2692)=1)),"TRUE","FALSE")</f>
        <v>FALSE</v>
      </c>
      <c r="AH2692" s="661" t="str">
        <f>IF(AND($Y2692&gt;=22, (AI2692&lt;&gt;"I"),(Y2692&lt;&gt;"~"),(COUNTIF($AN$1:$AN2692,$AN2692)=1)),"TRUE","FALSE")</f>
        <v>FALSE</v>
      </c>
      <c r="AI2692" s="661" t="str">
        <f t="shared" si="292"/>
        <v>N/A</v>
      </c>
      <c r="AJ2692" s="662" t="str">
        <f t="shared" si="293"/>
        <v>F350-047</v>
      </c>
      <c r="AK2692" s="662" t="str">
        <f t="shared" si="294"/>
        <v>LTK</v>
      </c>
      <c r="AL2692" s="662" t="str">
        <f t="shared" si="295"/>
        <v>FRD</v>
      </c>
      <c r="AM2692" s="662" t="str">
        <f t="shared" si="291"/>
        <v>F350-Regular Cab XLT DRW-4WD-3-8'-12700-6.7L Diesel-8-F3D-623A-142-29-Diesel-BioDiesel</v>
      </c>
      <c r="AN2692" s="662" t="str">
        <f t="shared" si="296"/>
        <v>2019-LTK-FRD-F350-047</v>
      </c>
    </row>
    <row r="2693" spans="1:40" ht="15">
      <c r="A2693" s="570" t="s">
        <v>4743</v>
      </c>
      <c r="B2693" s="573" t="s">
        <v>4740</v>
      </c>
      <c r="C2693" s="573" t="s">
        <v>278</v>
      </c>
      <c r="D2693" s="578">
        <v>15</v>
      </c>
      <c r="E2693" s="573" t="s">
        <v>3374</v>
      </c>
      <c r="F2693" s="573" t="s">
        <v>187</v>
      </c>
      <c r="G2693" s="573" t="s">
        <v>271</v>
      </c>
      <c r="H2693" s="573">
        <v>2019</v>
      </c>
      <c r="I2693" s="573" t="s">
        <v>4503</v>
      </c>
      <c r="J2693" s="573" t="s">
        <v>4730</v>
      </c>
      <c r="K2693" s="573" t="s">
        <v>752</v>
      </c>
      <c r="L2693" s="573">
        <v>3</v>
      </c>
      <c r="M2693" s="573">
        <v>0</v>
      </c>
      <c r="N2693" s="573" t="s">
        <v>157</v>
      </c>
      <c r="O2693" s="573">
        <v>1</v>
      </c>
      <c r="P2693" s="573" t="s">
        <v>3846</v>
      </c>
      <c r="Q2693" s="571">
        <v>12700</v>
      </c>
      <c r="R2693" s="573" t="s">
        <v>4235</v>
      </c>
      <c r="S2693" s="573">
        <v>8</v>
      </c>
      <c r="T2693" s="573" t="s">
        <v>4696</v>
      </c>
      <c r="U2693" s="573" t="s">
        <v>4635</v>
      </c>
      <c r="V2693" s="573">
        <v>142</v>
      </c>
      <c r="W2693" s="573">
        <v>34</v>
      </c>
      <c r="X2693" s="571">
        <v>14000</v>
      </c>
      <c r="Y2693" s="569">
        <v>12</v>
      </c>
      <c r="Z2693" s="579" t="s">
        <v>450</v>
      </c>
      <c r="AA2693" s="579" t="s">
        <v>178</v>
      </c>
      <c r="AB2693" s="584">
        <v>44115</v>
      </c>
      <c r="AC2693" s="584" t="s">
        <v>164</v>
      </c>
      <c r="AD2693" s="584">
        <v>33600</v>
      </c>
      <c r="AE2693" s="586">
        <v>0.01</v>
      </c>
      <c r="AF2693" s="661" t="str">
        <f t="shared" si="290"/>
        <v>2019-LTK-FRD-F350-046-15</v>
      </c>
      <c r="AG2693" s="661" t="str">
        <f>IF(AND($Y2693&gt;=32,(AI2693="I"),(Y2693&lt;&gt;"~"),(COUNTIF($AN$1:$AN2693,$AN2693)=1)),"TRUE","FALSE")</f>
        <v>FALSE</v>
      </c>
      <c r="AH2693" s="661" t="str">
        <f>IF(AND($Y2693&gt;=22, (AI2693&lt;&gt;"I"),(Y2693&lt;&gt;"~"),(COUNTIF($AN$1:$AN2693,$AN2693)=1)),"TRUE","FALSE")</f>
        <v>FALSE</v>
      </c>
      <c r="AI2693" s="661" t="str">
        <f t="shared" si="292"/>
        <v>N/A</v>
      </c>
      <c r="AJ2693" s="662" t="str">
        <f t="shared" si="293"/>
        <v>F350-046</v>
      </c>
      <c r="AK2693" s="662" t="str">
        <f t="shared" si="294"/>
        <v>LTK</v>
      </c>
      <c r="AL2693" s="662" t="str">
        <f t="shared" si="295"/>
        <v>FRD</v>
      </c>
      <c r="AM2693" s="662" t="str">
        <f t="shared" si="291"/>
        <v>F350-Regular Cab XLT DRW-4WD-3-8'-12700-6.2L FFV-8-F3D-623A-142-34-E85-Unleaded</v>
      </c>
      <c r="AN2693" s="662" t="str">
        <f t="shared" si="296"/>
        <v>2019-LTK-FRD-F350-046</v>
      </c>
    </row>
    <row r="2694" spans="1:40" ht="15">
      <c r="A2694" s="570" t="s">
        <v>4744</v>
      </c>
      <c r="B2694" s="569" t="s">
        <v>4742</v>
      </c>
      <c r="C2694" s="569" t="s">
        <v>278</v>
      </c>
      <c r="D2694" s="580">
        <v>15</v>
      </c>
      <c r="E2694" s="569" t="s">
        <v>3374</v>
      </c>
      <c r="F2694" s="569" t="s">
        <v>187</v>
      </c>
      <c r="G2694" s="569" t="s">
        <v>271</v>
      </c>
      <c r="H2694" s="569">
        <v>2019</v>
      </c>
      <c r="I2694" s="569" t="s">
        <v>4503</v>
      </c>
      <c r="J2694" s="569" t="s">
        <v>4730</v>
      </c>
      <c r="K2694" s="569" t="s">
        <v>752</v>
      </c>
      <c r="L2694" s="569">
        <v>3</v>
      </c>
      <c r="M2694" s="569">
        <v>0</v>
      </c>
      <c r="N2694" s="569" t="s">
        <v>157</v>
      </c>
      <c r="O2694" s="569">
        <v>1</v>
      </c>
      <c r="P2694" s="569" t="s">
        <v>3846</v>
      </c>
      <c r="Q2694" s="568">
        <v>12700</v>
      </c>
      <c r="R2694" s="569" t="s">
        <v>4231</v>
      </c>
      <c r="S2694" s="569">
        <v>8</v>
      </c>
      <c r="T2694" s="569" t="s">
        <v>4696</v>
      </c>
      <c r="U2694" s="569" t="s">
        <v>4635</v>
      </c>
      <c r="V2694" s="569">
        <v>142</v>
      </c>
      <c r="W2694" s="569">
        <v>29</v>
      </c>
      <c r="X2694" s="568">
        <v>14000</v>
      </c>
      <c r="Y2694" s="569">
        <v>12</v>
      </c>
      <c r="Z2694" s="581" t="s">
        <v>728</v>
      </c>
      <c r="AA2694" s="581" t="s">
        <v>1523</v>
      </c>
      <c r="AB2694" s="585">
        <v>53235</v>
      </c>
      <c r="AC2694" s="585" t="s">
        <v>164</v>
      </c>
      <c r="AD2694" s="585">
        <v>41800</v>
      </c>
      <c r="AE2694" s="587">
        <v>0.01</v>
      </c>
      <c r="AF2694" s="661" t="str">
        <f t="shared" si="290"/>
        <v>2019-LTK-FRD-F350-047-15</v>
      </c>
      <c r="AG2694" s="661" t="str">
        <f>IF(AND($Y2694&gt;=32,(AI2694="I"),(Y2694&lt;&gt;"~"),(COUNTIF($AN$1:$AN2694,$AN2694)=1)),"TRUE","FALSE")</f>
        <v>FALSE</v>
      </c>
      <c r="AH2694" s="661" t="str">
        <f>IF(AND($Y2694&gt;=22, (AI2694&lt;&gt;"I"),(Y2694&lt;&gt;"~"),(COUNTIF($AN$1:$AN2694,$AN2694)=1)),"TRUE","FALSE")</f>
        <v>FALSE</v>
      </c>
      <c r="AI2694" s="661" t="str">
        <f t="shared" si="292"/>
        <v>N/A</v>
      </c>
      <c r="AJ2694" s="662" t="str">
        <f t="shared" si="293"/>
        <v>F350-047</v>
      </c>
      <c r="AK2694" s="662" t="str">
        <f t="shared" si="294"/>
        <v>LTK</v>
      </c>
      <c r="AL2694" s="662" t="str">
        <f t="shared" si="295"/>
        <v>FRD</v>
      </c>
      <c r="AM2694" s="662" t="str">
        <f t="shared" si="291"/>
        <v>F350-Regular Cab XLT DRW-4WD-3-8'-12700-6.7L Diesel-8-F3D-623A-142-29-Diesel-BioDiesel</v>
      </c>
      <c r="AN2694" s="662" t="str">
        <f t="shared" si="296"/>
        <v>2019-LTK-FRD-F350-047</v>
      </c>
    </row>
    <row r="2695" spans="1:40" ht="15">
      <c r="A2695" s="570" t="s">
        <v>4745</v>
      </c>
      <c r="B2695" s="573" t="s">
        <v>4740</v>
      </c>
      <c r="C2695" s="573" t="s">
        <v>287</v>
      </c>
      <c r="D2695" s="578">
        <v>26</v>
      </c>
      <c r="E2695" s="573" t="s">
        <v>3374</v>
      </c>
      <c r="F2695" s="573" t="s">
        <v>187</v>
      </c>
      <c r="G2695" s="573" t="s">
        <v>271</v>
      </c>
      <c r="H2695" s="573">
        <v>2019</v>
      </c>
      <c r="I2695" s="573" t="s">
        <v>4503</v>
      </c>
      <c r="J2695" s="573" t="s">
        <v>4730</v>
      </c>
      <c r="K2695" s="573" t="s">
        <v>752</v>
      </c>
      <c r="L2695" s="573">
        <v>3</v>
      </c>
      <c r="M2695" s="573">
        <v>0</v>
      </c>
      <c r="N2695" s="573" t="s">
        <v>157</v>
      </c>
      <c r="O2695" s="573">
        <v>1</v>
      </c>
      <c r="P2695" s="573" t="s">
        <v>3846</v>
      </c>
      <c r="Q2695" s="571">
        <v>12700</v>
      </c>
      <c r="R2695" s="573" t="s">
        <v>4235</v>
      </c>
      <c r="S2695" s="573">
        <v>8</v>
      </c>
      <c r="T2695" s="573" t="s">
        <v>4696</v>
      </c>
      <c r="U2695" s="573" t="s">
        <v>4635</v>
      </c>
      <c r="V2695" s="573">
        <v>142</v>
      </c>
      <c r="W2695" s="573">
        <v>34</v>
      </c>
      <c r="X2695" s="571">
        <v>14000</v>
      </c>
      <c r="Y2695" s="569">
        <v>12</v>
      </c>
      <c r="Z2695" s="579" t="s">
        <v>450</v>
      </c>
      <c r="AA2695" s="579" t="s">
        <v>178</v>
      </c>
      <c r="AB2695" s="584">
        <v>44115</v>
      </c>
      <c r="AC2695" s="584" t="s">
        <v>164</v>
      </c>
      <c r="AD2695" s="584">
        <v>33616</v>
      </c>
      <c r="AE2695" s="586">
        <v>0.05</v>
      </c>
      <c r="AF2695" s="661" t="str">
        <f t="shared" si="290"/>
        <v>2019-LTK-FRD-F350-046-26</v>
      </c>
      <c r="AG2695" s="661" t="str">
        <f>IF(AND($Y2695&gt;=32,(AI2695="I"),(Y2695&lt;&gt;"~"),(COUNTIF($AN$1:$AN2695,$AN2695)=1)),"TRUE","FALSE")</f>
        <v>FALSE</v>
      </c>
      <c r="AH2695" s="661" t="str">
        <f>IF(AND($Y2695&gt;=22, (AI2695&lt;&gt;"I"),(Y2695&lt;&gt;"~"),(COUNTIF($AN$1:$AN2695,$AN2695)=1)),"TRUE","FALSE")</f>
        <v>FALSE</v>
      </c>
      <c r="AI2695" s="661" t="str">
        <f t="shared" si="292"/>
        <v>N/A</v>
      </c>
      <c r="AJ2695" s="662" t="str">
        <f t="shared" si="293"/>
        <v>F350-046</v>
      </c>
      <c r="AK2695" s="662" t="str">
        <f t="shared" si="294"/>
        <v>LTK</v>
      </c>
      <c r="AL2695" s="662" t="str">
        <f t="shared" si="295"/>
        <v>FRD</v>
      </c>
      <c r="AM2695" s="662" t="str">
        <f t="shared" si="291"/>
        <v>F350-Regular Cab XLT DRW-4WD-3-8'-12700-6.2L FFV-8-F3D-623A-142-34-E85-Unleaded</v>
      </c>
      <c r="AN2695" s="662" t="str">
        <f t="shared" si="296"/>
        <v>2019-LTK-FRD-F350-046</v>
      </c>
    </row>
    <row r="2696" spans="1:40" ht="15">
      <c r="A2696" s="570" t="s">
        <v>4746</v>
      </c>
      <c r="B2696" s="569" t="s">
        <v>4742</v>
      </c>
      <c r="C2696" s="569" t="s">
        <v>287</v>
      </c>
      <c r="D2696" s="580">
        <v>26</v>
      </c>
      <c r="E2696" s="569" t="s">
        <v>3374</v>
      </c>
      <c r="F2696" s="569" t="s">
        <v>187</v>
      </c>
      <c r="G2696" s="569" t="s">
        <v>271</v>
      </c>
      <c r="H2696" s="569">
        <v>2019</v>
      </c>
      <c r="I2696" s="569" t="s">
        <v>4503</v>
      </c>
      <c r="J2696" s="569" t="s">
        <v>4730</v>
      </c>
      <c r="K2696" s="569" t="s">
        <v>752</v>
      </c>
      <c r="L2696" s="569">
        <v>3</v>
      </c>
      <c r="M2696" s="569">
        <v>0</v>
      </c>
      <c r="N2696" s="569" t="s">
        <v>157</v>
      </c>
      <c r="O2696" s="569">
        <v>1</v>
      </c>
      <c r="P2696" s="569" t="s">
        <v>3846</v>
      </c>
      <c r="Q2696" s="568">
        <v>12700</v>
      </c>
      <c r="R2696" s="569" t="s">
        <v>4231</v>
      </c>
      <c r="S2696" s="569">
        <v>8</v>
      </c>
      <c r="T2696" s="569" t="s">
        <v>4696</v>
      </c>
      <c r="U2696" s="569" t="s">
        <v>4635</v>
      </c>
      <c r="V2696" s="569">
        <v>142</v>
      </c>
      <c r="W2696" s="569">
        <v>29</v>
      </c>
      <c r="X2696" s="568">
        <v>14000</v>
      </c>
      <c r="Y2696" s="569">
        <v>12</v>
      </c>
      <c r="Z2696" s="581" t="s">
        <v>728</v>
      </c>
      <c r="AA2696" s="581" t="s">
        <v>1523</v>
      </c>
      <c r="AB2696" s="585">
        <v>53235</v>
      </c>
      <c r="AC2696" s="585" t="s">
        <v>164</v>
      </c>
      <c r="AD2696" s="585">
        <v>41810</v>
      </c>
      <c r="AE2696" s="587">
        <v>0.05</v>
      </c>
      <c r="AF2696" s="661" t="str">
        <f t="shared" si="290"/>
        <v>2019-LTK-FRD-F350-047-26</v>
      </c>
      <c r="AG2696" s="661" t="str">
        <f>IF(AND($Y2696&gt;=32,(AI2696="I"),(Y2696&lt;&gt;"~"),(COUNTIF($AN$1:$AN2696,$AN2696)=1)),"TRUE","FALSE")</f>
        <v>FALSE</v>
      </c>
      <c r="AH2696" s="661" t="str">
        <f>IF(AND($Y2696&gt;=22, (AI2696&lt;&gt;"I"),(Y2696&lt;&gt;"~"),(COUNTIF($AN$1:$AN2696,$AN2696)=1)),"TRUE","FALSE")</f>
        <v>FALSE</v>
      </c>
      <c r="AI2696" s="661" t="str">
        <f t="shared" si="292"/>
        <v>N/A</v>
      </c>
      <c r="AJ2696" s="662" t="str">
        <f t="shared" si="293"/>
        <v>F350-047</v>
      </c>
      <c r="AK2696" s="662" t="str">
        <f t="shared" si="294"/>
        <v>LTK</v>
      </c>
      <c r="AL2696" s="662" t="str">
        <f t="shared" si="295"/>
        <v>FRD</v>
      </c>
      <c r="AM2696" s="662" t="str">
        <f t="shared" si="291"/>
        <v>F350-Regular Cab XLT DRW-4WD-3-8'-12700-6.7L Diesel-8-F3D-623A-142-29-Diesel-BioDiesel</v>
      </c>
      <c r="AN2696" s="662" t="str">
        <f t="shared" si="296"/>
        <v>2019-LTK-FRD-F350-047</v>
      </c>
    </row>
    <row r="2697" spans="1:40" ht="15">
      <c r="A2697" s="570" t="s">
        <v>4747</v>
      </c>
      <c r="B2697" s="573" t="s">
        <v>4740</v>
      </c>
      <c r="C2697" s="573" t="s">
        <v>280</v>
      </c>
      <c r="D2697" s="578">
        <v>27</v>
      </c>
      <c r="E2697" s="573" t="s">
        <v>3374</v>
      </c>
      <c r="F2697" s="573" t="s">
        <v>187</v>
      </c>
      <c r="G2697" s="573" t="s">
        <v>271</v>
      </c>
      <c r="H2697" s="573">
        <v>2019</v>
      </c>
      <c r="I2697" s="573" t="s">
        <v>4503</v>
      </c>
      <c r="J2697" s="573" t="s">
        <v>4730</v>
      </c>
      <c r="K2697" s="573" t="s">
        <v>752</v>
      </c>
      <c r="L2697" s="573">
        <v>3</v>
      </c>
      <c r="M2697" s="573">
        <v>0</v>
      </c>
      <c r="N2697" s="573" t="s">
        <v>157</v>
      </c>
      <c r="O2697" s="573">
        <v>1</v>
      </c>
      <c r="P2697" s="573" t="s">
        <v>3846</v>
      </c>
      <c r="Q2697" s="571">
        <v>12700</v>
      </c>
      <c r="R2697" s="573" t="s">
        <v>4235</v>
      </c>
      <c r="S2697" s="573">
        <v>8</v>
      </c>
      <c r="T2697" s="573" t="s">
        <v>4696</v>
      </c>
      <c r="U2697" s="573" t="s">
        <v>4635</v>
      </c>
      <c r="V2697" s="573">
        <v>142</v>
      </c>
      <c r="W2697" s="573">
        <v>34</v>
      </c>
      <c r="X2697" s="571">
        <v>14000</v>
      </c>
      <c r="Y2697" s="569">
        <v>12</v>
      </c>
      <c r="Z2697" s="579" t="s">
        <v>450</v>
      </c>
      <c r="AA2697" s="579" t="s">
        <v>178</v>
      </c>
      <c r="AB2697" s="584">
        <v>44115</v>
      </c>
      <c r="AC2697" s="584" t="s">
        <v>164</v>
      </c>
      <c r="AD2697" s="584">
        <v>33391.284210526319</v>
      </c>
      <c r="AE2697" s="586">
        <v>0.03</v>
      </c>
      <c r="AF2697" s="661" t="str">
        <f t="shared" si="290"/>
        <v>2019-LTK-FRD-F350-046-27</v>
      </c>
      <c r="AG2697" s="661" t="str">
        <f>IF(AND($Y2697&gt;=32,(AI2697="I"),(Y2697&lt;&gt;"~"),(COUNTIF($AN$1:$AN2697,$AN2697)=1)),"TRUE","FALSE")</f>
        <v>FALSE</v>
      </c>
      <c r="AH2697" s="661" t="str">
        <f>IF(AND($Y2697&gt;=22, (AI2697&lt;&gt;"I"),(Y2697&lt;&gt;"~"),(COUNTIF($AN$1:$AN2697,$AN2697)=1)),"TRUE","FALSE")</f>
        <v>FALSE</v>
      </c>
      <c r="AI2697" s="661" t="str">
        <f t="shared" si="292"/>
        <v>N/A</v>
      </c>
      <c r="AJ2697" s="662" t="str">
        <f t="shared" si="293"/>
        <v>F350-046</v>
      </c>
      <c r="AK2697" s="662" t="str">
        <f t="shared" si="294"/>
        <v>LTK</v>
      </c>
      <c r="AL2697" s="662" t="str">
        <f t="shared" si="295"/>
        <v>FRD</v>
      </c>
      <c r="AM2697" s="662" t="str">
        <f t="shared" si="291"/>
        <v>F350-Regular Cab XLT DRW-4WD-3-8'-12700-6.2L FFV-8-F3D-623A-142-34-E85-Unleaded</v>
      </c>
      <c r="AN2697" s="662" t="str">
        <f t="shared" si="296"/>
        <v>2019-LTK-FRD-F350-046</v>
      </c>
    </row>
    <row r="2698" spans="1:40" ht="15">
      <c r="A2698" s="570" t="s">
        <v>4748</v>
      </c>
      <c r="B2698" s="569" t="s">
        <v>4742</v>
      </c>
      <c r="C2698" s="569" t="s">
        <v>280</v>
      </c>
      <c r="D2698" s="580">
        <v>27</v>
      </c>
      <c r="E2698" s="569" t="s">
        <v>3374</v>
      </c>
      <c r="F2698" s="569" t="s">
        <v>187</v>
      </c>
      <c r="G2698" s="569" t="s">
        <v>271</v>
      </c>
      <c r="H2698" s="569">
        <v>2019</v>
      </c>
      <c r="I2698" s="569" t="s">
        <v>4503</v>
      </c>
      <c r="J2698" s="569" t="s">
        <v>4730</v>
      </c>
      <c r="K2698" s="569" t="s">
        <v>752</v>
      </c>
      <c r="L2698" s="569">
        <v>3</v>
      </c>
      <c r="M2698" s="569">
        <v>0</v>
      </c>
      <c r="N2698" s="569" t="s">
        <v>157</v>
      </c>
      <c r="O2698" s="569">
        <v>1</v>
      </c>
      <c r="P2698" s="569" t="s">
        <v>3846</v>
      </c>
      <c r="Q2698" s="568">
        <v>12700</v>
      </c>
      <c r="R2698" s="569" t="s">
        <v>4231</v>
      </c>
      <c r="S2698" s="569">
        <v>8</v>
      </c>
      <c r="T2698" s="569" t="s">
        <v>4696</v>
      </c>
      <c r="U2698" s="569" t="s">
        <v>4635</v>
      </c>
      <c r="V2698" s="569">
        <v>142</v>
      </c>
      <c r="W2698" s="569">
        <v>29</v>
      </c>
      <c r="X2698" s="568">
        <v>14000</v>
      </c>
      <c r="Y2698" s="569">
        <v>12</v>
      </c>
      <c r="Z2698" s="581" t="s">
        <v>728</v>
      </c>
      <c r="AA2698" s="581" t="s">
        <v>1523</v>
      </c>
      <c r="AB2698" s="585">
        <v>53235</v>
      </c>
      <c r="AC2698" s="585" t="s">
        <v>164</v>
      </c>
      <c r="AD2698" s="585">
        <v>41583.473684210534</v>
      </c>
      <c r="AE2698" s="587">
        <v>0.03</v>
      </c>
      <c r="AF2698" s="661" t="str">
        <f t="shared" si="290"/>
        <v>2019-LTK-FRD-F350-047-27</v>
      </c>
      <c r="AG2698" s="661" t="str">
        <f>IF(AND($Y2698&gt;=32,(AI2698="I"),(Y2698&lt;&gt;"~"),(COUNTIF($AN$1:$AN2698,$AN2698)=1)),"TRUE","FALSE")</f>
        <v>FALSE</v>
      </c>
      <c r="AH2698" s="661" t="str">
        <f>IF(AND($Y2698&gt;=22, (AI2698&lt;&gt;"I"),(Y2698&lt;&gt;"~"),(COUNTIF($AN$1:$AN2698,$AN2698)=1)),"TRUE","FALSE")</f>
        <v>FALSE</v>
      </c>
      <c r="AI2698" s="661" t="str">
        <f t="shared" si="292"/>
        <v>N/A</v>
      </c>
      <c r="AJ2698" s="662" t="str">
        <f t="shared" si="293"/>
        <v>F350-047</v>
      </c>
      <c r="AK2698" s="662" t="str">
        <f t="shared" si="294"/>
        <v>LTK</v>
      </c>
      <c r="AL2698" s="662" t="str">
        <f t="shared" si="295"/>
        <v>FRD</v>
      </c>
      <c r="AM2698" s="662" t="str">
        <f t="shared" si="291"/>
        <v>F350-Regular Cab XLT DRW-4WD-3-8'-12700-6.7L Diesel-8-F3D-623A-142-29-Diesel-BioDiesel</v>
      </c>
      <c r="AN2698" s="662" t="str">
        <f t="shared" si="296"/>
        <v>2019-LTK-FRD-F350-047</v>
      </c>
    </row>
    <row r="2699" spans="1:40" ht="15">
      <c r="A2699" s="570" t="s">
        <v>4749</v>
      </c>
      <c r="B2699" s="573" t="s">
        <v>4750</v>
      </c>
      <c r="C2699" s="573" t="s">
        <v>269</v>
      </c>
      <c r="D2699" s="578" t="s">
        <v>270</v>
      </c>
      <c r="E2699" s="573" t="s">
        <v>3374</v>
      </c>
      <c r="F2699" s="573" t="s">
        <v>187</v>
      </c>
      <c r="G2699" s="573" t="s">
        <v>271</v>
      </c>
      <c r="H2699" s="573">
        <v>2019</v>
      </c>
      <c r="I2699" s="573" t="s">
        <v>4503</v>
      </c>
      <c r="J2699" s="573" t="s">
        <v>3996</v>
      </c>
      <c r="K2699" s="573" t="s">
        <v>3377</v>
      </c>
      <c r="L2699" s="573">
        <v>6</v>
      </c>
      <c r="M2699" s="573">
        <v>0</v>
      </c>
      <c r="N2699" s="573" t="s">
        <v>157</v>
      </c>
      <c r="O2699" s="573">
        <v>2</v>
      </c>
      <c r="P2699" s="573" t="s">
        <v>4230</v>
      </c>
      <c r="Q2699" s="571">
        <v>12800</v>
      </c>
      <c r="R2699" s="573" t="s">
        <v>4235</v>
      </c>
      <c r="S2699" s="573">
        <v>8</v>
      </c>
      <c r="T2699" s="573" t="s">
        <v>4751</v>
      </c>
      <c r="U2699" s="573" t="s">
        <v>4505</v>
      </c>
      <c r="V2699" s="573">
        <v>148</v>
      </c>
      <c r="W2699" s="573">
        <v>34</v>
      </c>
      <c r="X2699" s="571">
        <v>10000</v>
      </c>
      <c r="Y2699" s="569">
        <v>13</v>
      </c>
      <c r="Z2699" s="579" t="s">
        <v>450</v>
      </c>
      <c r="AA2699" s="579" t="s">
        <v>178</v>
      </c>
      <c r="AB2699" s="584">
        <v>38155</v>
      </c>
      <c r="AC2699" s="584" t="s">
        <v>164</v>
      </c>
      <c r="AD2699" s="584">
        <v>27886.021052631582</v>
      </c>
      <c r="AE2699" s="586">
        <v>0.03</v>
      </c>
      <c r="AF2699" s="661" t="str">
        <f t="shared" si="290"/>
        <v>2019-LTK-FRD-F350-058-05</v>
      </c>
      <c r="AG2699" s="661" t="str">
        <f>IF(AND($Y2699&gt;=32,(AI2699="I"),(Y2699&lt;&gt;"~"),(COUNTIF($AN$1:$AN2699,$AN2699)=1)),"TRUE","FALSE")</f>
        <v>FALSE</v>
      </c>
      <c r="AH2699" s="661" t="str">
        <f>IF(AND($Y2699&gt;=22, (AI2699&lt;&gt;"I"),(Y2699&lt;&gt;"~"),(COUNTIF($AN$1:$AN2699,$AN2699)=1)),"TRUE","FALSE")</f>
        <v>FALSE</v>
      </c>
      <c r="AI2699" s="661" t="str">
        <f t="shared" si="292"/>
        <v>II</v>
      </c>
      <c r="AJ2699" s="662" t="str">
        <f t="shared" si="293"/>
        <v>F350-058</v>
      </c>
      <c r="AK2699" s="662" t="str">
        <f t="shared" si="294"/>
        <v>LTK</v>
      </c>
      <c r="AL2699" s="662" t="str">
        <f t="shared" si="295"/>
        <v>FRD</v>
      </c>
      <c r="AM2699" s="662" t="str">
        <f t="shared" si="291"/>
        <v>F350-Super Cab XL-2WD-6-6'9"-12800-6.2L FFV-8-X3A-610A-148-34-E85-Unleaded</v>
      </c>
      <c r="AN2699" s="662" t="str">
        <f t="shared" si="296"/>
        <v>2019-LTK-FRD-F350-058</v>
      </c>
    </row>
    <row r="2700" spans="1:40" ht="15">
      <c r="A2700" s="570" t="s">
        <v>4752</v>
      </c>
      <c r="B2700" s="569" t="s">
        <v>4753</v>
      </c>
      <c r="C2700" s="569" t="s">
        <v>269</v>
      </c>
      <c r="D2700" s="580" t="s">
        <v>270</v>
      </c>
      <c r="E2700" s="569" t="s">
        <v>3374</v>
      </c>
      <c r="F2700" s="569" t="s">
        <v>187</v>
      </c>
      <c r="G2700" s="569" t="s">
        <v>271</v>
      </c>
      <c r="H2700" s="569">
        <v>2019</v>
      </c>
      <c r="I2700" s="569" t="s">
        <v>4503</v>
      </c>
      <c r="J2700" s="569" t="s">
        <v>3996</v>
      </c>
      <c r="K2700" s="569" t="s">
        <v>3377</v>
      </c>
      <c r="L2700" s="569">
        <v>6</v>
      </c>
      <c r="M2700" s="569">
        <v>0</v>
      </c>
      <c r="N2700" s="569" t="s">
        <v>157</v>
      </c>
      <c r="O2700" s="569">
        <v>2</v>
      </c>
      <c r="P2700" s="569" t="s">
        <v>4230</v>
      </c>
      <c r="Q2700" s="568">
        <v>12800</v>
      </c>
      <c r="R2700" s="569" t="s">
        <v>4231</v>
      </c>
      <c r="S2700" s="569">
        <v>8</v>
      </c>
      <c r="T2700" s="569" t="s">
        <v>4751</v>
      </c>
      <c r="U2700" s="569" t="s">
        <v>4505</v>
      </c>
      <c r="V2700" s="569">
        <v>148</v>
      </c>
      <c r="W2700" s="569">
        <v>34</v>
      </c>
      <c r="X2700" s="568">
        <v>10800</v>
      </c>
      <c r="Y2700" s="569">
        <v>13</v>
      </c>
      <c r="Z2700" s="581" t="s">
        <v>728</v>
      </c>
      <c r="AA2700" s="581" t="s">
        <v>1523</v>
      </c>
      <c r="AB2700" s="585">
        <v>47275</v>
      </c>
      <c r="AC2700" s="585" t="s">
        <v>164</v>
      </c>
      <c r="AD2700" s="585">
        <v>36078.210526315794</v>
      </c>
      <c r="AE2700" s="587">
        <v>0.03</v>
      </c>
      <c r="AF2700" s="661" t="str">
        <f t="shared" ref="AF2700:AF2763" si="297">A2700</f>
        <v>2019-LTK-FRD-F350-059-05</v>
      </c>
      <c r="AG2700" s="661" t="str">
        <f>IF(AND($Y2700&gt;=32,(AI2700="I"),(Y2700&lt;&gt;"~"),(COUNTIF($AN$1:$AN2700,$AN2700)=1)),"TRUE","FALSE")</f>
        <v>FALSE</v>
      </c>
      <c r="AH2700" s="661" t="str">
        <f>IF(AND($Y2700&gt;=22, (AI2700&lt;&gt;"I"),(Y2700&lt;&gt;"~"),(COUNTIF($AN$1:$AN2700,$AN2700)=1)),"TRUE","FALSE")</f>
        <v>FALSE</v>
      </c>
      <c r="AI2700" s="661" t="str">
        <f t="shared" si="292"/>
        <v>N/A</v>
      </c>
      <c r="AJ2700" s="662" t="str">
        <f t="shared" si="293"/>
        <v>F350-059</v>
      </c>
      <c r="AK2700" s="662" t="str">
        <f t="shared" si="294"/>
        <v>LTK</v>
      </c>
      <c r="AL2700" s="662" t="str">
        <f t="shared" si="295"/>
        <v>FRD</v>
      </c>
      <c r="AM2700" s="662" t="str">
        <f t="shared" si="291"/>
        <v>F350-Super Cab XL-2WD-6-6'9"-12800-6.7L Diesel-8-X3A-610A-148-34-Diesel-BioDiesel</v>
      </c>
      <c r="AN2700" s="662" t="str">
        <f t="shared" si="296"/>
        <v>2019-LTK-FRD-F350-059</v>
      </c>
    </row>
    <row r="2701" spans="1:40" ht="15">
      <c r="A2701" s="570" t="s">
        <v>4754</v>
      </c>
      <c r="B2701" s="573" t="s">
        <v>4755</v>
      </c>
      <c r="C2701" s="573" t="s">
        <v>269</v>
      </c>
      <c r="D2701" s="578" t="s">
        <v>270</v>
      </c>
      <c r="E2701" s="573" t="s">
        <v>3374</v>
      </c>
      <c r="F2701" s="573" t="s">
        <v>187</v>
      </c>
      <c r="G2701" s="573" t="s">
        <v>271</v>
      </c>
      <c r="H2701" s="573">
        <v>2019</v>
      </c>
      <c r="I2701" s="573" t="s">
        <v>4503</v>
      </c>
      <c r="J2701" s="573" t="s">
        <v>3996</v>
      </c>
      <c r="K2701" s="573" t="s">
        <v>3377</v>
      </c>
      <c r="L2701" s="573">
        <v>6</v>
      </c>
      <c r="M2701" s="573">
        <v>0</v>
      </c>
      <c r="N2701" s="573" t="s">
        <v>157</v>
      </c>
      <c r="O2701" s="573">
        <v>2</v>
      </c>
      <c r="P2701" s="573" t="s">
        <v>3846</v>
      </c>
      <c r="Q2701" s="571">
        <v>12700</v>
      </c>
      <c r="R2701" s="573" t="s">
        <v>4235</v>
      </c>
      <c r="S2701" s="573">
        <v>8</v>
      </c>
      <c r="T2701" s="573" t="s">
        <v>4751</v>
      </c>
      <c r="U2701" s="573" t="s">
        <v>4505</v>
      </c>
      <c r="V2701" s="573">
        <v>164</v>
      </c>
      <c r="W2701" s="573">
        <v>34</v>
      </c>
      <c r="X2701" s="571">
        <v>10000</v>
      </c>
      <c r="Y2701" s="569">
        <v>13</v>
      </c>
      <c r="Z2701" s="579" t="s">
        <v>450</v>
      </c>
      <c r="AA2701" s="579" t="s">
        <v>178</v>
      </c>
      <c r="AB2701" s="584">
        <v>38355</v>
      </c>
      <c r="AC2701" s="584" t="s">
        <v>164</v>
      </c>
      <c r="AD2701" s="584">
        <v>28070.231578947372</v>
      </c>
      <c r="AE2701" s="586">
        <v>0.03</v>
      </c>
      <c r="AF2701" s="661" t="str">
        <f t="shared" si="297"/>
        <v>2019-LTK-FRD-F350-060-05</v>
      </c>
      <c r="AG2701" s="661" t="str">
        <f>IF(AND($Y2701&gt;=32,(AI2701="I"),(Y2701&lt;&gt;"~"),(COUNTIF($AN$1:$AN2701,$AN2701)=1)),"TRUE","FALSE")</f>
        <v>FALSE</v>
      </c>
      <c r="AH2701" s="661" t="str">
        <f>IF(AND($Y2701&gt;=22, (AI2701&lt;&gt;"I"),(Y2701&lt;&gt;"~"),(COUNTIF($AN$1:$AN2701,$AN2701)=1)),"TRUE","FALSE")</f>
        <v>FALSE</v>
      </c>
      <c r="AI2701" s="661" t="str">
        <f t="shared" si="292"/>
        <v>II</v>
      </c>
      <c r="AJ2701" s="662" t="str">
        <f t="shared" si="293"/>
        <v>F350-060</v>
      </c>
      <c r="AK2701" s="662" t="str">
        <f t="shared" si="294"/>
        <v>LTK</v>
      </c>
      <c r="AL2701" s="662" t="str">
        <f t="shared" si="295"/>
        <v>FRD</v>
      </c>
      <c r="AM2701" s="662" t="str">
        <f t="shared" si="291"/>
        <v>F350-Super Cab XL-2WD-6-8'-12700-6.2L FFV-8-X3A-610A-164-34-E85-Unleaded</v>
      </c>
      <c r="AN2701" s="662" t="str">
        <f t="shared" si="296"/>
        <v>2019-LTK-FRD-F350-060</v>
      </c>
    </row>
    <row r="2702" spans="1:40" ht="15">
      <c r="A2702" s="570" t="s">
        <v>4754</v>
      </c>
      <c r="B2702" s="569" t="s">
        <v>4755</v>
      </c>
      <c r="C2702" s="569" t="s">
        <v>269</v>
      </c>
      <c r="D2702" s="580" t="s">
        <v>270</v>
      </c>
      <c r="E2702" s="569" t="s">
        <v>3374</v>
      </c>
      <c r="F2702" s="569" t="s">
        <v>187</v>
      </c>
      <c r="G2702" s="569" t="s">
        <v>271</v>
      </c>
      <c r="H2702" s="569">
        <v>2019</v>
      </c>
      <c r="I2702" s="569" t="s">
        <v>4503</v>
      </c>
      <c r="J2702" s="569" t="s">
        <v>3996</v>
      </c>
      <c r="K2702" s="569" t="s">
        <v>3377</v>
      </c>
      <c r="L2702" s="569">
        <v>6</v>
      </c>
      <c r="M2702" s="569">
        <v>0</v>
      </c>
      <c r="N2702" s="569" t="s">
        <v>157</v>
      </c>
      <c r="O2702" s="569">
        <v>2</v>
      </c>
      <c r="P2702" s="569" t="s">
        <v>3846</v>
      </c>
      <c r="Q2702" s="568">
        <v>12700</v>
      </c>
      <c r="R2702" s="569" t="s">
        <v>4235</v>
      </c>
      <c r="S2702" s="569">
        <v>8</v>
      </c>
      <c r="T2702" s="569" t="s">
        <v>4751</v>
      </c>
      <c r="U2702" s="569" t="s">
        <v>4505</v>
      </c>
      <c r="V2702" s="569">
        <v>164</v>
      </c>
      <c r="W2702" s="569">
        <v>34</v>
      </c>
      <c r="X2702" s="568">
        <v>10300</v>
      </c>
      <c r="Y2702" s="569">
        <v>13</v>
      </c>
      <c r="Z2702" s="581" t="s">
        <v>450</v>
      </c>
      <c r="AA2702" s="581" t="s">
        <v>178</v>
      </c>
      <c r="AB2702" s="585">
        <v>38355</v>
      </c>
      <c r="AC2702" s="585" t="s">
        <v>164</v>
      </c>
      <c r="AD2702" s="585">
        <v>28070.231578947372</v>
      </c>
      <c r="AE2702" s="587">
        <v>0.03</v>
      </c>
      <c r="AF2702" s="661" t="str">
        <f t="shared" si="297"/>
        <v>2019-LTK-FRD-F350-060-05</v>
      </c>
      <c r="AG2702" s="661" t="str">
        <f>IF(AND($Y2702&gt;=32,(AI2702="I"),(Y2702&lt;&gt;"~"),(COUNTIF($AN$1:$AN2702,$AN2702)=1)),"TRUE","FALSE")</f>
        <v>FALSE</v>
      </c>
      <c r="AH2702" s="661" t="str">
        <f>IF(AND($Y2702&gt;=22, (AI2702&lt;&gt;"I"),(Y2702&lt;&gt;"~"),(COUNTIF($AN$1:$AN2702,$AN2702)=1)),"TRUE","FALSE")</f>
        <v>FALSE</v>
      </c>
      <c r="AI2702" s="661" t="str">
        <f t="shared" si="292"/>
        <v>N/A</v>
      </c>
      <c r="AJ2702" s="662" t="str">
        <f t="shared" si="293"/>
        <v>F350-060</v>
      </c>
      <c r="AK2702" s="662" t="str">
        <f t="shared" si="294"/>
        <v>LTK</v>
      </c>
      <c r="AL2702" s="662" t="str">
        <f t="shared" si="295"/>
        <v>FRD</v>
      </c>
      <c r="AM2702" s="662" t="str">
        <f t="shared" si="291"/>
        <v>F350-Super Cab XL-2WD-6-8'-12700-6.2L FFV-8-X3A-610A-164-34-E85-Unleaded</v>
      </c>
      <c r="AN2702" s="662" t="str">
        <f t="shared" si="296"/>
        <v>2019-LTK-FRD-F350-060</v>
      </c>
    </row>
    <row r="2703" spans="1:40" ht="15">
      <c r="A2703" s="570" t="s">
        <v>4756</v>
      </c>
      <c r="B2703" s="573" t="s">
        <v>4757</v>
      </c>
      <c r="C2703" s="573" t="s">
        <v>269</v>
      </c>
      <c r="D2703" s="578" t="s">
        <v>270</v>
      </c>
      <c r="E2703" s="573" t="s">
        <v>3374</v>
      </c>
      <c r="F2703" s="573" t="s">
        <v>187</v>
      </c>
      <c r="G2703" s="573" t="s">
        <v>271</v>
      </c>
      <c r="H2703" s="573">
        <v>2019</v>
      </c>
      <c r="I2703" s="573" t="s">
        <v>4503</v>
      </c>
      <c r="J2703" s="573" t="s">
        <v>3996</v>
      </c>
      <c r="K2703" s="573" t="s">
        <v>3377</v>
      </c>
      <c r="L2703" s="573">
        <v>6</v>
      </c>
      <c r="M2703" s="573">
        <v>0</v>
      </c>
      <c r="N2703" s="573" t="s">
        <v>157</v>
      </c>
      <c r="O2703" s="573">
        <v>2</v>
      </c>
      <c r="P2703" s="573" t="s">
        <v>3846</v>
      </c>
      <c r="Q2703" s="571">
        <v>12700</v>
      </c>
      <c r="R2703" s="573" t="s">
        <v>4231</v>
      </c>
      <c r="S2703" s="573">
        <v>8</v>
      </c>
      <c r="T2703" s="573" t="s">
        <v>4751</v>
      </c>
      <c r="U2703" s="573" t="s">
        <v>4505</v>
      </c>
      <c r="V2703" s="573">
        <v>164</v>
      </c>
      <c r="W2703" s="573">
        <v>34</v>
      </c>
      <c r="X2703" s="571">
        <v>11000</v>
      </c>
      <c r="Y2703" s="569">
        <v>13</v>
      </c>
      <c r="Z2703" s="579" t="s">
        <v>728</v>
      </c>
      <c r="AA2703" s="579" t="s">
        <v>1523</v>
      </c>
      <c r="AB2703" s="584">
        <v>47475</v>
      </c>
      <c r="AC2703" s="584" t="s">
        <v>164</v>
      </c>
      <c r="AD2703" s="584">
        <v>36262.42105263158</v>
      </c>
      <c r="AE2703" s="586">
        <v>0.03</v>
      </c>
      <c r="AF2703" s="661" t="str">
        <f t="shared" si="297"/>
        <v>2019-LTK-FRD-F350-061-05</v>
      </c>
      <c r="AG2703" s="661" t="str">
        <f>IF(AND($Y2703&gt;=32,(AI2703="I"),(Y2703&lt;&gt;"~"),(COUNTIF($AN$1:$AN2703,$AN2703)=1)),"TRUE","FALSE")</f>
        <v>FALSE</v>
      </c>
      <c r="AH2703" s="661" t="str">
        <f>IF(AND($Y2703&gt;=22, (AI2703&lt;&gt;"I"),(Y2703&lt;&gt;"~"),(COUNTIF($AN$1:$AN2703,$AN2703)=1)),"TRUE","FALSE")</f>
        <v>FALSE</v>
      </c>
      <c r="AI2703" s="661" t="str">
        <f t="shared" si="292"/>
        <v>N/A</v>
      </c>
      <c r="AJ2703" s="662" t="str">
        <f t="shared" si="293"/>
        <v>F350-061</v>
      </c>
      <c r="AK2703" s="662" t="str">
        <f t="shared" si="294"/>
        <v>LTK</v>
      </c>
      <c r="AL2703" s="662" t="str">
        <f t="shared" si="295"/>
        <v>FRD</v>
      </c>
      <c r="AM2703" s="662" t="str">
        <f t="shared" si="291"/>
        <v>F350-Super Cab XL-2WD-6-8'-12700-6.7L Diesel-8-X3A-610A-164-34-Diesel-BioDiesel</v>
      </c>
      <c r="AN2703" s="662" t="str">
        <f t="shared" si="296"/>
        <v>2019-LTK-FRD-F350-061</v>
      </c>
    </row>
    <row r="2704" spans="1:40" ht="15">
      <c r="A2704" s="570" t="s">
        <v>4758</v>
      </c>
      <c r="B2704" s="569" t="s">
        <v>4750</v>
      </c>
      <c r="C2704" s="569" t="s">
        <v>278</v>
      </c>
      <c r="D2704" s="580">
        <v>15</v>
      </c>
      <c r="E2704" s="569" t="s">
        <v>3374</v>
      </c>
      <c r="F2704" s="569" t="s">
        <v>187</v>
      </c>
      <c r="G2704" s="569" t="s">
        <v>271</v>
      </c>
      <c r="H2704" s="569">
        <v>2019</v>
      </c>
      <c r="I2704" s="569" t="s">
        <v>4503</v>
      </c>
      <c r="J2704" s="569" t="s">
        <v>3996</v>
      </c>
      <c r="K2704" s="569" t="s">
        <v>3377</v>
      </c>
      <c r="L2704" s="569">
        <v>6</v>
      </c>
      <c r="M2704" s="569">
        <v>0</v>
      </c>
      <c r="N2704" s="569" t="s">
        <v>157</v>
      </c>
      <c r="O2704" s="569">
        <v>2</v>
      </c>
      <c r="P2704" s="569" t="s">
        <v>4230</v>
      </c>
      <c r="Q2704" s="568">
        <v>12900</v>
      </c>
      <c r="R2704" s="569" t="s">
        <v>4235</v>
      </c>
      <c r="S2704" s="569">
        <v>8</v>
      </c>
      <c r="T2704" s="569" t="s">
        <v>4751</v>
      </c>
      <c r="U2704" s="569" t="s">
        <v>4505</v>
      </c>
      <c r="V2704" s="569">
        <v>148</v>
      </c>
      <c r="W2704" s="569">
        <v>34</v>
      </c>
      <c r="X2704" s="568">
        <v>10000</v>
      </c>
      <c r="Y2704" s="569">
        <v>13</v>
      </c>
      <c r="Z2704" s="581" t="s">
        <v>450</v>
      </c>
      <c r="AA2704" s="581" t="s">
        <v>178</v>
      </c>
      <c r="AB2704" s="585">
        <v>38155</v>
      </c>
      <c r="AC2704" s="585" t="s">
        <v>164</v>
      </c>
      <c r="AD2704" s="585">
        <v>27995</v>
      </c>
      <c r="AE2704" s="587">
        <v>0.01</v>
      </c>
      <c r="AF2704" s="661" t="str">
        <f t="shared" si="297"/>
        <v>2019-LTK-FRD-F350-058-15</v>
      </c>
      <c r="AG2704" s="661" t="str">
        <f>IF(AND($Y2704&gt;=32,(AI2704="I"),(Y2704&lt;&gt;"~"),(COUNTIF($AN$1:$AN2704,$AN2704)=1)),"TRUE","FALSE")</f>
        <v>FALSE</v>
      </c>
      <c r="AH2704" s="661" t="str">
        <f>IF(AND($Y2704&gt;=22, (AI2704&lt;&gt;"I"),(Y2704&lt;&gt;"~"),(COUNTIF($AN$1:$AN2704,$AN2704)=1)),"TRUE","FALSE")</f>
        <v>FALSE</v>
      </c>
      <c r="AI2704" s="661" t="str">
        <f t="shared" si="292"/>
        <v>II</v>
      </c>
      <c r="AJ2704" s="662" t="str">
        <f t="shared" si="293"/>
        <v>F350-058</v>
      </c>
      <c r="AK2704" s="662" t="str">
        <f t="shared" si="294"/>
        <v>LTK</v>
      </c>
      <c r="AL2704" s="662" t="str">
        <f t="shared" si="295"/>
        <v>FRD</v>
      </c>
      <c r="AM2704" s="662" t="str">
        <f t="shared" si="291"/>
        <v>F350-Super Cab XL-2WD-6-6'9"-12900-6.2L FFV-8-X3A-610A-148-34-E85-Unleaded</v>
      </c>
      <c r="AN2704" s="662" t="str">
        <f t="shared" si="296"/>
        <v>2019-LTK-FRD-F350-058</v>
      </c>
    </row>
    <row r="2705" spans="1:40" ht="15">
      <c r="A2705" s="570" t="s">
        <v>4759</v>
      </c>
      <c r="B2705" s="573" t="s">
        <v>4753</v>
      </c>
      <c r="C2705" s="573" t="s">
        <v>278</v>
      </c>
      <c r="D2705" s="578">
        <v>15</v>
      </c>
      <c r="E2705" s="573" t="s">
        <v>3374</v>
      </c>
      <c r="F2705" s="573" t="s">
        <v>187</v>
      </c>
      <c r="G2705" s="573" t="s">
        <v>271</v>
      </c>
      <c r="H2705" s="573">
        <v>2019</v>
      </c>
      <c r="I2705" s="573" t="s">
        <v>4503</v>
      </c>
      <c r="J2705" s="573" t="s">
        <v>3996</v>
      </c>
      <c r="K2705" s="573" t="s">
        <v>3377</v>
      </c>
      <c r="L2705" s="573">
        <v>6</v>
      </c>
      <c r="M2705" s="573">
        <v>0</v>
      </c>
      <c r="N2705" s="573" t="s">
        <v>157</v>
      </c>
      <c r="O2705" s="573">
        <v>2</v>
      </c>
      <c r="P2705" s="573" t="s">
        <v>4230</v>
      </c>
      <c r="Q2705" s="571">
        <v>12900</v>
      </c>
      <c r="R2705" s="573" t="s">
        <v>4231</v>
      </c>
      <c r="S2705" s="573">
        <v>8</v>
      </c>
      <c r="T2705" s="573" t="s">
        <v>4751</v>
      </c>
      <c r="U2705" s="573" t="s">
        <v>4505</v>
      </c>
      <c r="V2705" s="573">
        <v>148</v>
      </c>
      <c r="W2705" s="573">
        <v>29</v>
      </c>
      <c r="X2705" s="571">
        <v>10800</v>
      </c>
      <c r="Y2705" s="569">
        <v>13</v>
      </c>
      <c r="Z2705" s="579" t="s">
        <v>728</v>
      </c>
      <c r="AA2705" s="579" t="s">
        <v>1523</v>
      </c>
      <c r="AB2705" s="584">
        <v>47275</v>
      </c>
      <c r="AC2705" s="584" t="s">
        <v>164</v>
      </c>
      <c r="AD2705" s="584">
        <v>36250</v>
      </c>
      <c r="AE2705" s="586">
        <v>0.01</v>
      </c>
      <c r="AF2705" s="661" t="str">
        <f t="shared" si="297"/>
        <v>2019-LTK-FRD-F350-059-15</v>
      </c>
      <c r="AG2705" s="661" t="str">
        <f>IF(AND($Y2705&gt;=32,(AI2705="I"),(Y2705&lt;&gt;"~"),(COUNTIF($AN$1:$AN2705,$AN2705)=1)),"TRUE","FALSE")</f>
        <v>FALSE</v>
      </c>
      <c r="AH2705" s="661" t="str">
        <f>IF(AND($Y2705&gt;=22, (AI2705&lt;&gt;"I"),(Y2705&lt;&gt;"~"),(COUNTIF($AN$1:$AN2705,$AN2705)=1)),"TRUE","FALSE")</f>
        <v>FALSE</v>
      </c>
      <c r="AI2705" s="661" t="str">
        <f t="shared" si="292"/>
        <v>N/A</v>
      </c>
      <c r="AJ2705" s="662" t="str">
        <f t="shared" si="293"/>
        <v>F350-059</v>
      </c>
      <c r="AK2705" s="662" t="str">
        <f t="shared" si="294"/>
        <v>LTK</v>
      </c>
      <c r="AL2705" s="662" t="str">
        <f t="shared" si="295"/>
        <v>FRD</v>
      </c>
      <c r="AM2705" s="662" t="str">
        <f t="shared" si="291"/>
        <v>F350-Super Cab XL-2WD-6-6'9"-12900-6.7L Diesel-8-X3A-610A-148-29-Diesel-BioDiesel</v>
      </c>
      <c r="AN2705" s="662" t="str">
        <f t="shared" si="296"/>
        <v>2019-LTK-FRD-F350-059</v>
      </c>
    </row>
    <row r="2706" spans="1:40" ht="15">
      <c r="A2706" s="570" t="s">
        <v>4760</v>
      </c>
      <c r="B2706" s="569" t="s">
        <v>4755</v>
      </c>
      <c r="C2706" s="569" t="s">
        <v>278</v>
      </c>
      <c r="D2706" s="580">
        <v>15</v>
      </c>
      <c r="E2706" s="569" t="s">
        <v>3374</v>
      </c>
      <c r="F2706" s="569" t="s">
        <v>187</v>
      </c>
      <c r="G2706" s="569" t="s">
        <v>271</v>
      </c>
      <c r="H2706" s="569">
        <v>2019</v>
      </c>
      <c r="I2706" s="569" t="s">
        <v>4503</v>
      </c>
      <c r="J2706" s="569" t="s">
        <v>3996</v>
      </c>
      <c r="K2706" s="569" t="s">
        <v>3377</v>
      </c>
      <c r="L2706" s="569">
        <v>6</v>
      </c>
      <c r="M2706" s="569">
        <v>0</v>
      </c>
      <c r="N2706" s="569" t="s">
        <v>157</v>
      </c>
      <c r="O2706" s="569">
        <v>2</v>
      </c>
      <c r="P2706" s="569" t="s">
        <v>3846</v>
      </c>
      <c r="Q2706" s="568">
        <v>12700</v>
      </c>
      <c r="R2706" s="569" t="s">
        <v>4235</v>
      </c>
      <c r="S2706" s="569">
        <v>8</v>
      </c>
      <c r="T2706" s="569" t="s">
        <v>4751</v>
      </c>
      <c r="U2706" s="569" t="s">
        <v>4505</v>
      </c>
      <c r="V2706" s="569">
        <v>164</v>
      </c>
      <c r="W2706" s="569">
        <v>34</v>
      </c>
      <c r="X2706" s="568">
        <v>10300</v>
      </c>
      <c r="Y2706" s="569">
        <v>13</v>
      </c>
      <c r="Z2706" s="581" t="s">
        <v>450</v>
      </c>
      <c r="AA2706" s="581" t="s">
        <v>178</v>
      </c>
      <c r="AB2706" s="585">
        <v>38355</v>
      </c>
      <c r="AC2706" s="585" t="s">
        <v>164</v>
      </c>
      <c r="AD2706" s="585">
        <v>28150</v>
      </c>
      <c r="AE2706" s="587">
        <v>0.01</v>
      </c>
      <c r="AF2706" s="661" t="str">
        <f t="shared" si="297"/>
        <v>2019-LTK-FRD-F350-060-15</v>
      </c>
      <c r="AG2706" s="661" t="str">
        <f>IF(AND($Y2706&gt;=32,(AI2706="I"),(Y2706&lt;&gt;"~"),(COUNTIF($AN$1:$AN2706,$AN2706)=1)),"TRUE","FALSE")</f>
        <v>FALSE</v>
      </c>
      <c r="AH2706" s="661" t="str">
        <f>IF(AND($Y2706&gt;=22, (AI2706&lt;&gt;"I"),(Y2706&lt;&gt;"~"),(COUNTIF($AN$1:$AN2706,$AN2706)=1)),"TRUE","FALSE")</f>
        <v>FALSE</v>
      </c>
      <c r="AI2706" s="661" t="str">
        <f t="shared" si="292"/>
        <v>N/A</v>
      </c>
      <c r="AJ2706" s="662" t="str">
        <f t="shared" si="293"/>
        <v>F350-060</v>
      </c>
      <c r="AK2706" s="662" t="str">
        <f t="shared" si="294"/>
        <v>LTK</v>
      </c>
      <c r="AL2706" s="662" t="str">
        <f t="shared" si="295"/>
        <v>FRD</v>
      </c>
      <c r="AM2706" s="662" t="str">
        <f t="shared" si="291"/>
        <v>F350-Super Cab XL-2WD-6-8'-12700-6.2L FFV-8-X3A-610A-164-34-E85-Unleaded</v>
      </c>
      <c r="AN2706" s="662" t="str">
        <f t="shared" si="296"/>
        <v>2019-LTK-FRD-F350-060</v>
      </c>
    </row>
    <row r="2707" spans="1:40" ht="15">
      <c r="A2707" s="570" t="s">
        <v>4761</v>
      </c>
      <c r="B2707" s="573" t="s">
        <v>4757</v>
      </c>
      <c r="C2707" s="573" t="s">
        <v>278</v>
      </c>
      <c r="D2707" s="578">
        <v>15</v>
      </c>
      <c r="E2707" s="573" t="s">
        <v>3374</v>
      </c>
      <c r="F2707" s="573" t="s">
        <v>187</v>
      </c>
      <c r="G2707" s="573" t="s">
        <v>271</v>
      </c>
      <c r="H2707" s="573">
        <v>2019</v>
      </c>
      <c r="I2707" s="573" t="s">
        <v>4503</v>
      </c>
      <c r="J2707" s="573" t="s">
        <v>3996</v>
      </c>
      <c r="K2707" s="573" t="s">
        <v>3377</v>
      </c>
      <c r="L2707" s="573">
        <v>6</v>
      </c>
      <c r="M2707" s="573">
        <v>0</v>
      </c>
      <c r="N2707" s="573" t="s">
        <v>157</v>
      </c>
      <c r="O2707" s="573">
        <v>2</v>
      </c>
      <c r="P2707" s="573" t="s">
        <v>3846</v>
      </c>
      <c r="Q2707" s="571">
        <v>12700</v>
      </c>
      <c r="R2707" s="573" t="s">
        <v>4231</v>
      </c>
      <c r="S2707" s="573">
        <v>8</v>
      </c>
      <c r="T2707" s="573" t="s">
        <v>4751</v>
      </c>
      <c r="U2707" s="573" t="s">
        <v>4505</v>
      </c>
      <c r="V2707" s="573">
        <v>164</v>
      </c>
      <c r="W2707" s="573">
        <v>34</v>
      </c>
      <c r="X2707" s="571">
        <v>11000</v>
      </c>
      <c r="Y2707" s="569">
        <v>13</v>
      </c>
      <c r="Z2707" s="579" t="s">
        <v>728</v>
      </c>
      <c r="AA2707" s="579" t="s">
        <v>1523</v>
      </c>
      <c r="AB2707" s="584">
        <v>47475</v>
      </c>
      <c r="AC2707" s="584" t="s">
        <v>164</v>
      </c>
      <c r="AD2707" s="584">
        <v>36450</v>
      </c>
      <c r="AE2707" s="586">
        <v>0.01</v>
      </c>
      <c r="AF2707" s="661" t="str">
        <f t="shared" si="297"/>
        <v>2019-LTK-FRD-F350-061-15</v>
      </c>
      <c r="AG2707" s="661" t="str">
        <f>IF(AND($Y2707&gt;=32,(AI2707="I"),(Y2707&lt;&gt;"~"),(COUNTIF($AN$1:$AN2707,$AN2707)=1)),"TRUE","FALSE")</f>
        <v>FALSE</v>
      </c>
      <c r="AH2707" s="661" t="str">
        <f>IF(AND($Y2707&gt;=22, (AI2707&lt;&gt;"I"),(Y2707&lt;&gt;"~"),(COUNTIF($AN$1:$AN2707,$AN2707)=1)),"TRUE","FALSE")</f>
        <v>FALSE</v>
      </c>
      <c r="AI2707" s="661" t="str">
        <f t="shared" si="292"/>
        <v>N/A</v>
      </c>
      <c r="AJ2707" s="662" t="str">
        <f t="shared" si="293"/>
        <v>F350-061</v>
      </c>
      <c r="AK2707" s="662" t="str">
        <f t="shared" si="294"/>
        <v>LTK</v>
      </c>
      <c r="AL2707" s="662" t="str">
        <f t="shared" si="295"/>
        <v>FRD</v>
      </c>
      <c r="AM2707" s="662" t="str">
        <f t="shared" si="291"/>
        <v>F350-Super Cab XL-2WD-6-8'-12700-6.7L Diesel-8-X3A-610A-164-34-Diesel-BioDiesel</v>
      </c>
      <c r="AN2707" s="662" t="str">
        <f t="shared" si="296"/>
        <v>2019-LTK-FRD-F350-061</v>
      </c>
    </row>
    <row r="2708" spans="1:40" ht="15">
      <c r="A2708" s="570" t="s">
        <v>4762</v>
      </c>
      <c r="B2708" s="569" t="s">
        <v>4750</v>
      </c>
      <c r="C2708" s="569" t="s">
        <v>287</v>
      </c>
      <c r="D2708" s="580">
        <v>26</v>
      </c>
      <c r="E2708" s="569" t="s">
        <v>3374</v>
      </c>
      <c r="F2708" s="569" t="s">
        <v>187</v>
      </c>
      <c r="G2708" s="569" t="s">
        <v>271</v>
      </c>
      <c r="H2708" s="569">
        <v>2019</v>
      </c>
      <c r="I2708" s="569" t="s">
        <v>4503</v>
      </c>
      <c r="J2708" s="569" t="s">
        <v>3996</v>
      </c>
      <c r="K2708" s="569" t="s">
        <v>3377</v>
      </c>
      <c r="L2708" s="569">
        <v>6</v>
      </c>
      <c r="M2708" s="569">
        <v>0</v>
      </c>
      <c r="N2708" s="569" t="s">
        <v>157</v>
      </c>
      <c r="O2708" s="569">
        <v>2</v>
      </c>
      <c r="P2708" s="569" t="s">
        <v>4230</v>
      </c>
      <c r="Q2708" s="568">
        <v>12900</v>
      </c>
      <c r="R2708" s="569" t="s">
        <v>4235</v>
      </c>
      <c r="S2708" s="569">
        <v>8</v>
      </c>
      <c r="T2708" s="569" t="s">
        <v>4751</v>
      </c>
      <c r="U2708" s="569" t="s">
        <v>4505</v>
      </c>
      <c r="V2708" s="569">
        <v>148</v>
      </c>
      <c r="W2708" s="569">
        <v>34</v>
      </c>
      <c r="X2708" s="568">
        <v>10000</v>
      </c>
      <c r="Y2708" s="569">
        <v>13</v>
      </c>
      <c r="Z2708" s="581" t="s">
        <v>450</v>
      </c>
      <c r="AA2708" s="581" t="s">
        <v>178</v>
      </c>
      <c r="AB2708" s="585">
        <v>37790</v>
      </c>
      <c r="AC2708" s="585" t="s">
        <v>164</v>
      </c>
      <c r="AD2708" s="585">
        <v>28107</v>
      </c>
      <c r="AE2708" s="587">
        <v>0.05</v>
      </c>
      <c r="AF2708" s="661" t="str">
        <f t="shared" si="297"/>
        <v>2019-LTK-FRD-F350-058-26</v>
      </c>
      <c r="AG2708" s="661" t="str">
        <f>IF(AND($Y2708&gt;=32,(AI2708="I"),(Y2708&lt;&gt;"~"),(COUNTIF($AN$1:$AN2708,$AN2708)=1)),"TRUE","FALSE")</f>
        <v>FALSE</v>
      </c>
      <c r="AH2708" s="661" t="str">
        <f>IF(AND($Y2708&gt;=22, (AI2708&lt;&gt;"I"),(Y2708&lt;&gt;"~"),(COUNTIF($AN$1:$AN2708,$AN2708)=1)),"TRUE","FALSE")</f>
        <v>FALSE</v>
      </c>
      <c r="AI2708" s="661" t="str">
        <f t="shared" si="292"/>
        <v>II</v>
      </c>
      <c r="AJ2708" s="662" t="str">
        <f t="shared" si="293"/>
        <v>F350-058</v>
      </c>
      <c r="AK2708" s="662" t="str">
        <f t="shared" si="294"/>
        <v>LTK</v>
      </c>
      <c r="AL2708" s="662" t="str">
        <f t="shared" si="295"/>
        <v>FRD</v>
      </c>
      <c r="AM2708" s="662" t="str">
        <f t="shared" si="291"/>
        <v>F350-Super Cab XL-2WD-6-6'9"-12900-6.2L FFV-8-X3A-610A-148-34-E85-Unleaded</v>
      </c>
      <c r="AN2708" s="662" t="str">
        <f t="shared" si="296"/>
        <v>2019-LTK-FRD-F350-058</v>
      </c>
    </row>
    <row r="2709" spans="1:40" ht="15">
      <c r="A2709" s="570" t="s">
        <v>4763</v>
      </c>
      <c r="B2709" s="573" t="s">
        <v>4753</v>
      </c>
      <c r="C2709" s="573" t="s">
        <v>287</v>
      </c>
      <c r="D2709" s="578">
        <v>26</v>
      </c>
      <c r="E2709" s="573" t="s">
        <v>3374</v>
      </c>
      <c r="F2709" s="573" t="s">
        <v>187</v>
      </c>
      <c r="G2709" s="573" t="s">
        <v>271</v>
      </c>
      <c r="H2709" s="573">
        <v>2019</v>
      </c>
      <c r="I2709" s="573" t="s">
        <v>4503</v>
      </c>
      <c r="J2709" s="573" t="s">
        <v>3996</v>
      </c>
      <c r="K2709" s="573" t="s">
        <v>3377</v>
      </c>
      <c r="L2709" s="573">
        <v>6</v>
      </c>
      <c r="M2709" s="573">
        <v>0</v>
      </c>
      <c r="N2709" s="573" t="s">
        <v>157</v>
      </c>
      <c r="O2709" s="573">
        <v>2</v>
      </c>
      <c r="P2709" s="573" t="s">
        <v>4230</v>
      </c>
      <c r="Q2709" s="571">
        <v>12900</v>
      </c>
      <c r="R2709" s="573" t="s">
        <v>4231</v>
      </c>
      <c r="S2709" s="573">
        <v>8</v>
      </c>
      <c r="T2709" s="573" t="s">
        <v>4751</v>
      </c>
      <c r="U2709" s="573" t="s">
        <v>4505</v>
      </c>
      <c r="V2709" s="573">
        <v>148</v>
      </c>
      <c r="W2709" s="573">
        <v>29</v>
      </c>
      <c r="X2709" s="571">
        <v>10800</v>
      </c>
      <c r="Y2709" s="569">
        <v>13</v>
      </c>
      <c r="Z2709" s="579" t="s">
        <v>728</v>
      </c>
      <c r="AA2709" s="579" t="s">
        <v>1523</v>
      </c>
      <c r="AB2709" s="584">
        <v>46785</v>
      </c>
      <c r="AC2709" s="584" t="s">
        <v>164</v>
      </c>
      <c r="AD2709" s="584">
        <v>36301</v>
      </c>
      <c r="AE2709" s="586">
        <v>0.05</v>
      </c>
      <c r="AF2709" s="661" t="str">
        <f t="shared" si="297"/>
        <v>2019-LTK-FRD-F350-059-26</v>
      </c>
      <c r="AG2709" s="661" t="str">
        <f>IF(AND($Y2709&gt;=32,(AI2709="I"),(Y2709&lt;&gt;"~"),(COUNTIF($AN$1:$AN2709,$AN2709)=1)),"TRUE","FALSE")</f>
        <v>FALSE</v>
      </c>
      <c r="AH2709" s="661" t="str">
        <f>IF(AND($Y2709&gt;=22, (AI2709&lt;&gt;"I"),(Y2709&lt;&gt;"~"),(COUNTIF($AN$1:$AN2709,$AN2709)=1)),"TRUE","FALSE")</f>
        <v>FALSE</v>
      </c>
      <c r="AI2709" s="661" t="str">
        <f t="shared" si="292"/>
        <v>N/A</v>
      </c>
      <c r="AJ2709" s="662" t="str">
        <f t="shared" si="293"/>
        <v>F350-059</v>
      </c>
      <c r="AK2709" s="662" t="str">
        <f t="shared" si="294"/>
        <v>LTK</v>
      </c>
      <c r="AL2709" s="662" t="str">
        <f t="shared" si="295"/>
        <v>FRD</v>
      </c>
      <c r="AM2709" s="662" t="str">
        <f t="shared" si="291"/>
        <v>F350-Super Cab XL-2WD-6-6'9"-12900-6.7L Diesel-8-X3A-610A-148-29-Diesel-BioDiesel</v>
      </c>
      <c r="AN2709" s="662" t="str">
        <f t="shared" si="296"/>
        <v>2019-LTK-FRD-F350-059</v>
      </c>
    </row>
    <row r="2710" spans="1:40" ht="15">
      <c r="A2710" s="570" t="s">
        <v>4764</v>
      </c>
      <c r="B2710" s="569" t="s">
        <v>4755</v>
      </c>
      <c r="C2710" s="569" t="s">
        <v>287</v>
      </c>
      <c r="D2710" s="580">
        <v>26</v>
      </c>
      <c r="E2710" s="569" t="s">
        <v>3374</v>
      </c>
      <c r="F2710" s="569" t="s">
        <v>187</v>
      </c>
      <c r="G2710" s="569" t="s">
        <v>271</v>
      </c>
      <c r="H2710" s="569">
        <v>2019</v>
      </c>
      <c r="I2710" s="569" t="s">
        <v>4503</v>
      </c>
      <c r="J2710" s="569" t="s">
        <v>3996</v>
      </c>
      <c r="K2710" s="569" t="s">
        <v>3377</v>
      </c>
      <c r="L2710" s="569">
        <v>6</v>
      </c>
      <c r="M2710" s="569">
        <v>0</v>
      </c>
      <c r="N2710" s="569" t="s">
        <v>157</v>
      </c>
      <c r="O2710" s="569">
        <v>2</v>
      </c>
      <c r="P2710" s="569" t="s">
        <v>3846</v>
      </c>
      <c r="Q2710" s="568">
        <v>12700</v>
      </c>
      <c r="R2710" s="569" t="s">
        <v>4235</v>
      </c>
      <c r="S2710" s="569">
        <v>8</v>
      </c>
      <c r="T2710" s="569" t="s">
        <v>4751</v>
      </c>
      <c r="U2710" s="569" t="s">
        <v>4505</v>
      </c>
      <c r="V2710" s="569">
        <v>164</v>
      </c>
      <c r="W2710" s="569">
        <v>34</v>
      </c>
      <c r="X2710" s="568">
        <v>10300</v>
      </c>
      <c r="Y2710" s="569">
        <v>13</v>
      </c>
      <c r="Z2710" s="581" t="s">
        <v>450</v>
      </c>
      <c r="AA2710" s="581" t="s">
        <v>178</v>
      </c>
      <c r="AB2710" s="585">
        <v>38355</v>
      </c>
      <c r="AC2710" s="585" t="s">
        <v>164</v>
      </c>
      <c r="AD2710" s="585">
        <v>28294</v>
      </c>
      <c r="AE2710" s="587">
        <v>0.05</v>
      </c>
      <c r="AF2710" s="661" t="str">
        <f t="shared" si="297"/>
        <v>2019-LTK-FRD-F350-060-26</v>
      </c>
      <c r="AG2710" s="661" t="str">
        <f>IF(AND($Y2710&gt;=32,(AI2710="I"),(Y2710&lt;&gt;"~"),(COUNTIF($AN$1:$AN2710,$AN2710)=1)),"TRUE","FALSE")</f>
        <v>FALSE</v>
      </c>
      <c r="AH2710" s="661" t="str">
        <f>IF(AND($Y2710&gt;=22, (AI2710&lt;&gt;"I"),(Y2710&lt;&gt;"~"),(COUNTIF($AN$1:$AN2710,$AN2710)=1)),"TRUE","FALSE")</f>
        <v>FALSE</v>
      </c>
      <c r="AI2710" s="661" t="str">
        <f t="shared" si="292"/>
        <v>N/A</v>
      </c>
      <c r="AJ2710" s="662" t="str">
        <f t="shared" si="293"/>
        <v>F350-060</v>
      </c>
      <c r="AK2710" s="662" t="str">
        <f t="shared" si="294"/>
        <v>LTK</v>
      </c>
      <c r="AL2710" s="662" t="str">
        <f t="shared" si="295"/>
        <v>FRD</v>
      </c>
      <c r="AM2710" s="662" t="str">
        <f t="shared" si="291"/>
        <v>F350-Super Cab XL-2WD-6-8'-12700-6.2L FFV-8-X3A-610A-164-34-E85-Unleaded</v>
      </c>
      <c r="AN2710" s="662" t="str">
        <f t="shared" si="296"/>
        <v>2019-LTK-FRD-F350-060</v>
      </c>
    </row>
    <row r="2711" spans="1:40" ht="15">
      <c r="A2711" s="570" t="s">
        <v>4765</v>
      </c>
      <c r="B2711" s="573" t="s">
        <v>4757</v>
      </c>
      <c r="C2711" s="573" t="s">
        <v>287</v>
      </c>
      <c r="D2711" s="578">
        <v>26</v>
      </c>
      <c r="E2711" s="573" t="s">
        <v>3374</v>
      </c>
      <c r="F2711" s="573" t="s">
        <v>187</v>
      </c>
      <c r="G2711" s="573" t="s">
        <v>271</v>
      </c>
      <c r="H2711" s="573">
        <v>2019</v>
      </c>
      <c r="I2711" s="573" t="s">
        <v>4503</v>
      </c>
      <c r="J2711" s="573" t="s">
        <v>3996</v>
      </c>
      <c r="K2711" s="573" t="s">
        <v>3377</v>
      </c>
      <c r="L2711" s="573">
        <v>6</v>
      </c>
      <c r="M2711" s="573">
        <v>0</v>
      </c>
      <c r="N2711" s="573" t="s">
        <v>157</v>
      </c>
      <c r="O2711" s="573">
        <v>2</v>
      </c>
      <c r="P2711" s="573" t="s">
        <v>3846</v>
      </c>
      <c r="Q2711" s="571">
        <v>12700</v>
      </c>
      <c r="R2711" s="573" t="s">
        <v>4231</v>
      </c>
      <c r="S2711" s="573">
        <v>8</v>
      </c>
      <c r="T2711" s="573" t="s">
        <v>4751</v>
      </c>
      <c r="U2711" s="573" t="s">
        <v>4505</v>
      </c>
      <c r="V2711" s="573">
        <v>164</v>
      </c>
      <c r="W2711" s="573">
        <v>34</v>
      </c>
      <c r="X2711" s="571">
        <v>11000</v>
      </c>
      <c r="Y2711" s="569">
        <v>13</v>
      </c>
      <c r="Z2711" s="579" t="s">
        <v>728</v>
      </c>
      <c r="AA2711" s="579" t="s">
        <v>1523</v>
      </c>
      <c r="AB2711" s="584">
        <v>47475</v>
      </c>
      <c r="AC2711" s="584" t="s">
        <v>164</v>
      </c>
      <c r="AD2711" s="584">
        <v>36489</v>
      </c>
      <c r="AE2711" s="586">
        <v>0.05</v>
      </c>
      <c r="AF2711" s="661" t="str">
        <f t="shared" si="297"/>
        <v>2019-LTK-FRD-F350-061-26</v>
      </c>
      <c r="AG2711" s="661" t="str">
        <f>IF(AND($Y2711&gt;=32,(AI2711="I"),(Y2711&lt;&gt;"~"),(COUNTIF($AN$1:$AN2711,$AN2711)=1)),"TRUE","FALSE")</f>
        <v>FALSE</v>
      </c>
      <c r="AH2711" s="661" t="str">
        <f>IF(AND($Y2711&gt;=22, (AI2711&lt;&gt;"I"),(Y2711&lt;&gt;"~"),(COUNTIF($AN$1:$AN2711,$AN2711)=1)),"TRUE","FALSE")</f>
        <v>FALSE</v>
      </c>
      <c r="AI2711" s="661" t="str">
        <f t="shared" si="292"/>
        <v>N/A</v>
      </c>
      <c r="AJ2711" s="662" t="str">
        <f t="shared" si="293"/>
        <v>F350-061</v>
      </c>
      <c r="AK2711" s="662" t="str">
        <f t="shared" si="294"/>
        <v>LTK</v>
      </c>
      <c r="AL2711" s="662" t="str">
        <f t="shared" si="295"/>
        <v>FRD</v>
      </c>
      <c r="AM2711" s="662" t="str">
        <f t="shared" si="291"/>
        <v>F350-Super Cab XL-2WD-6-8'-12700-6.7L Diesel-8-X3A-610A-164-34-Diesel-BioDiesel</v>
      </c>
      <c r="AN2711" s="662" t="str">
        <f t="shared" si="296"/>
        <v>2019-LTK-FRD-F350-061</v>
      </c>
    </row>
    <row r="2712" spans="1:40" ht="15">
      <c r="A2712" s="570" t="s">
        <v>4766</v>
      </c>
      <c r="B2712" s="569" t="s">
        <v>4750</v>
      </c>
      <c r="C2712" s="569" t="s">
        <v>280</v>
      </c>
      <c r="D2712" s="580">
        <v>27</v>
      </c>
      <c r="E2712" s="569" t="s">
        <v>3374</v>
      </c>
      <c r="F2712" s="569" t="s">
        <v>187</v>
      </c>
      <c r="G2712" s="569" t="s">
        <v>271</v>
      </c>
      <c r="H2712" s="569">
        <v>2019</v>
      </c>
      <c r="I2712" s="569" t="s">
        <v>4503</v>
      </c>
      <c r="J2712" s="569" t="s">
        <v>3996</v>
      </c>
      <c r="K2712" s="569" t="s">
        <v>3377</v>
      </c>
      <c r="L2712" s="569">
        <v>6</v>
      </c>
      <c r="M2712" s="569">
        <v>0</v>
      </c>
      <c r="N2712" s="569" t="s">
        <v>157</v>
      </c>
      <c r="O2712" s="569">
        <v>2</v>
      </c>
      <c r="P2712" s="569" t="s">
        <v>4230</v>
      </c>
      <c r="Q2712" s="568">
        <v>12800</v>
      </c>
      <c r="R2712" s="569" t="s">
        <v>4235</v>
      </c>
      <c r="S2712" s="569">
        <v>8</v>
      </c>
      <c r="T2712" s="569" t="s">
        <v>4751</v>
      </c>
      <c r="U2712" s="569" t="s">
        <v>4505</v>
      </c>
      <c r="V2712" s="569">
        <v>148</v>
      </c>
      <c r="W2712" s="569">
        <v>34</v>
      </c>
      <c r="X2712" s="568">
        <v>10000</v>
      </c>
      <c r="Y2712" s="569">
        <v>13</v>
      </c>
      <c r="Z2712" s="581" t="s">
        <v>450</v>
      </c>
      <c r="AA2712" s="581" t="s">
        <v>178</v>
      </c>
      <c r="AB2712" s="585">
        <v>38155</v>
      </c>
      <c r="AC2712" s="585" t="s">
        <v>164</v>
      </c>
      <c r="AD2712" s="585">
        <v>27886.021052631582</v>
      </c>
      <c r="AE2712" s="587">
        <v>0.03</v>
      </c>
      <c r="AF2712" s="661" t="str">
        <f t="shared" si="297"/>
        <v>2019-LTK-FRD-F350-058-27</v>
      </c>
      <c r="AG2712" s="661" t="str">
        <f>IF(AND($Y2712&gt;=32,(AI2712="I"),(Y2712&lt;&gt;"~"),(COUNTIF($AN$1:$AN2712,$AN2712)=1)),"TRUE","FALSE")</f>
        <v>FALSE</v>
      </c>
      <c r="AH2712" s="661" t="str">
        <f>IF(AND($Y2712&gt;=22, (AI2712&lt;&gt;"I"),(Y2712&lt;&gt;"~"),(COUNTIF($AN$1:$AN2712,$AN2712)=1)),"TRUE","FALSE")</f>
        <v>FALSE</v>
      </c>
      <c r="AI2712" s="661" t="str">
        <f t="shared" si="292"/>
        <v>II</v>
      </c>
      <c r="AJ2712" s="662" t="str">
        <f t="shared" si="293"/>
        <v>F350-058</v>
      </c>
      <c r="AK2712" s="662" t="str">
        <f t="shared" si="294"/>
        <v>LTK</v>
      </c>
      <c r="AL2712" s="662" t="str">
        <f t="shared" si="295"/>
        <v>FRD</v>
      </c>
      <c r="AM2712" s="662" t="str">
        <f t="shared" si="291"/>
        <v>F350-Super Cab XL-2WD-6-6'9"-12800-6.2L FFV-8-X3A-610A-148-34-E85-Unleaded</v>
      </c>
      <c r="AN2712" s="662" t="str">
        <f t="shared" si="296"/>
        <v>2019-LTK-FRD-F350-058</v>
      </c>
    </row>
    <row r="2713" spans="1:40" ht="15">
      <c r="A2713" s="570" t="s">
        <v>4767</v>
      </c>
      <c r="B2713" s="573" t="s">
        <v>4753</v>
      </c>
      <c r="C2713" s="573" t="s">
        <v>280</v>
      </c>
      <c r="D2713" s="578">
        <v>27</v>
      </c>
      <c r="E2713" s="573" t="s">
        <v>3374</v>
      </c>
      <c r="F2713" s="573" t="s">
        <v>187</v>
      </c>
      <c r="G2713" s="573" t="s">
        <v>271</v>
      </c>
      <c r="H2713" s="573">
        <v>2019</v>
      </c>
      <c r="I2713" s="573" t="s">
        <v>4503</v>
      </c>
      <c r="J2713" s="573" t="s">
        <v>3996</v>
      </c>
      <c r="K2713" s="573" t="s">
        <v>3377</v>
      </c>
      <c r="L2713" s="573">
        <v>6</v>
      </c>
      <c r="M2713" s="573">
        <v>0</v>
      </c>
      <c r="N2713" s="573" t="s">
        <v>157</v>
      </c>
      <c r="O2713" s="573">
        <v>2</v>
      </c>
      <c r="P2713" s="573" t="s">
        <v>4230</v>
      </c>
      <c r="Q2713" s="571">
        <v>12800</v>
      </c>
      <c r="R2713" s="573" t="s">
        <v>4231</v>
      </c>
      <c r="S2713" s="573">
        <v>8</v>
      </c>
      <c r="T2713" s="573" t="s">
        <v>4751</v>
      </c>
      <c r="U2713" s="573" t="s">
        <v>4505</v>
      </c>
      <c r="V2713" s="573">
        <v>148</v>
      </c>
      <c r="W2713" s="573">
        <v>34</v>
      </c>
      <c r="X2713" s="571">
        <v>10800</v>
      </c>
      <c r="Y2713" s="569">
        <v>13</v>
      </c>
      <c r="Z2713" s="579" t="s">
        <v>728</v>
      </c>
      <c r="AA2713" s="579" t="s">
        <v>1523</v>
      </c>
      <c r="AB2713" s="584">
        <v>47275</v>
      </c>
      <c r="AC2713" s="584" t="s">
        <v>164</v>
      </c>
      <c r="AD2713" s="584">
        <v>36078.210526315794</v>
      </c>
      <c r="AE2713" s="586">
        <v>0.03</v>
      </c>
      <c r="AF2713" s="661" t="str">
        <f t="shared" si="297"/>
        <v>2019-LTK-FRD-F350-059-27</v>
      </c>
      <c r="AG2713" s="661" t="str">
        <f>IF(AND($Y2713&gt;=32,(AI2713="I"),(Y2713&lt;&gt;"~"),(COUNTIF($AN$1:$AN2713,$AN2713)=1)),"TRUE","FALSE")</f>
        <v>FALSE</v>
      </c>
      <c r="AH2713" s="661" t="str">
        <f>IF(AND($Y2713&gt;=22, (AI2713&lt;&gt;"I"),(Y2713&lt;&gt;"~"),(COUNTIF($AN$1:$AN2713,$AN2713)=1)),"TRUE","FALSE")</f>
        <v>FALSE</v>
      </c>
      <c r="AI2713" s="661" t="str">
        <f t="shared" si="292"/>
        <v>N/A</v>
      </c>
      <c r="AJ2713" s="662" t="str">
        <f t="shared" si="293"/>
        <v>F350-059</v>
      </c>
      <c r="AK2713" s="662" t="str">
        <f t="shared" si="294"/>
        <v>LTK</v>
      </c>
      <c r="AL2713" s="662" t="str">
        <f t="shared" si="295"/>
        <v>FRD</v>
      </c>
      <c r="AM2713" s="662" t="str">
        <f t="shared" si="291"/>
        <v>F350-Super Cab XL-2WD-6-6'9"-12800-6.7L Diesel-8-X3A-610A-148-34-Diesel-BioDiesel</v>
      </c>
      <c r="AN2713" s="662" t="str">
        <f t="shared" si="296"/>
        <v>2019-LTK-FRD-F350-059</v>
      </c>
    </row>
    <row r="2714" spans="1:40" ht="15">
      <c r="A2714" s="570" t="s">
        <v>4768</v>
      </c>
      <c r="B2714" s="569" t="s">
        <v>4757</v>
      </c>
      <c r="C2714" s="569" t="s">
        <v>280</v>
      </c>
      <c r="D2714" s="580">
        <v>27</v>
      </c>
      <c r="E2714" s="569" t="s">
        <v>3374</v>
      </c>
      <c r="F2714" s="569" t="s">
        <v>187</v>
      </c>
      <c r="G2714" s="569" t="s">
        <v>271</v>
      </c>
      <c r="H2714" s="569">
        <v>2019</v>
      </c>
      <c r="I2714" s="569" t="s">
        <v>4503</v>
      </c>
      <c r="J2714" s="569" t="s">
        <v>3996</v>
      </c>
      <c r="K2714" s="569" t="s">
        <v>3377</v>
      </c>
      <c r="L2714" s="569">
        <v>6</v>
      </c>
      <c r="M2714" s="569">
        <v>0</v>
      </c>
      <c r="N2714" s="569" t="s">
        <v>157</v>
      </c>
      <c r="O2714" s="569">
        <v>2</v>
      </c>
      <c r="P2714" s="569" t="s">
        <v>3846</v>
      </c>
      <c r="Q2714" s="568">
        <v>12700</v>
      </c>
      <c r="R2714" s="569" t="s">
        <v>4231</v>
      </c>
      <c r="S2714" s="569">
        <v>8</v>
      </c>
      <c r="T2714" s="569" t="s">
        <v>4751</v>
      </c>
      <c r="U2714" s="569" t="s">
        <v>4505</v>
      </c>
      <c r="V2714" s="569">
        <v>164</v>
      </c>
      <c r="W2714" s="569">
        <v>34</v>
      </c>
      <c r="X2714" s="568">
        <v>11000</v>
      </c>
      <c r="Y2714" s="569">
        <v>13</v>
      </c>
      <c r="Z2714" s="581" t="s">
        <v>728</v>
      </c>
      <c r="AA2714" s="581" t="s">
        <v>1523</v>
      </c>
      <c r="AB2714" s="585">
        <v>47475</v>
      </c>
      <c r="AC2714" s="585" t="s">
        <v>164</v>
      </c>
      <c r="AD2714" s="585">
        <v>36262.42105263158</v>
      </c>
      <c r="AE2714" s="587">
        <v>0.03</v>
      </c>
      <c r="AF2714" s="661" t="str">
        <f t="shared" si="297"/>
        <v>2019-LTK-FRD-F350-061-27</v>
      </c>
      <c r="AG2714" s="661" t="str">
        <f>IF(AND($Y2714&gt;=32,(AI2714="I"),(Y2714&lt;&gt;"~"),(COUNTIF($AN$1:$AN2714,$AN2714)=1)),"TRUE","FALSE")</f>
        <v>FALSE</v>
      </c>
      <c r="AH2714" s="661" t="str">
        <f>IF(AND($Y2714&gt;=22, (AI2714&lt;&gt;"I"),(Y2714&lt;&gt;"~"),(COUNTIF($AN$1:$AN2714,$AN2714)=1)),"TRUE","FALSE")</f>
        <v>FALSE</v>
      </c>
      <c r="AI2714" s="661" t="str">
        <f t="shared" si="292"/>
        <v>N/A</v>
      </c>
      <c r="AJ2714" s="662" t="str">
        <f t="shared" si="293"/>
        <v>F350-061</v>
      </c>
      <c r="AK2714" s="662" t="str">
        <f t="shared" si="294"/>
        <v>LTK</v>
      </c>
      <c r="AL2714" s="662" t="str">
        <f t="shared" si="295"/>
        <v>FRD</v>
      </c>
      <c r="AM2714" s="662" t="str">
        <f t="shared" si="291"/>
        <v>F350-Super Cab XL-2WD-6-8'-12700-6.7L Diesel-8-X3A-610A-164-34-Diesel-BioDiesel</v>
      </c>
      <c r="AN2714" s="662" t="str">
        <f t="shared" si="296"/>
        <v>2019-LTK-FRD-F350-061</v>
      </c>
    </row>
    <row r="2715" spans="1:40" ht="15">
      <c r="A2715" s="570" t="s">
        <v>4769</v>
      </c>
      <c r="B2715" s="573" t="s">
        <v>4770</v>
      </c>
      <c r="C2715" s="573" t="s">
        <v>269</v>
      </c>
      <c r="D2715" s="578" t="s">
        <v>270</v>
      </c>
      <c r="E2715" s="573" t="s">
        <v>3374</v>
      </c>
      <c r="F2715" s="573" t="s">
        <v>187</v>
      </c>
      <c r="G2715" s="573" t="s">
        <v>271</v>
      </c>
      <c r="H2715" s="573">
        <v>2019</v>
      </c>
      <c r="I2715" s="573" t="s">
        <v>4503</v>
      </c>
      <c r="J2715" s="573" t="s">
        <v>3996</v>
      </c>
      <c r="K2715" s="573" t="s">
        <v>752</v>
      </c>
      <c r="L2715" s="573">
        <v>6</v>
      </c>
      <c r="M2715" s="573">
        <v>0</v>
      </c>
      <c r="N2715" s="573" t="s">
        <v>157</v>
      </c>
      <c r="O2715" s="573">
        <v>2</v>
      </c>
      <c r="P2715" s="573" t="s">
        <v>4230</v>
      </c>
      <c r="Q2715" s="571">
        <v>12300</v>
      </c>
      <c r="R2715" s="573" t="s">
        <v>4235</v>
      </c>
      <c r="S2715" s="573">
        <v>8</v>
      </c>
      <c r="T2715" s="573" t="s">
        <v>4771</v>
      </c>
      <c r="U2715" s="573" t="s">
        <v>4505</v>
      </c>
      <c r="V2715" s="573">
        <v>148</v>
      </c>
      <c r="W2715" s="573">
        <v>34</v>
      </c>
      <c r="X2715" s="571">
        <v>10400</v>
      </c>
      <c r="Y2715" s="569">
        <v>12</v>
      </c>
      <c r="Z2715" s="579" t="s">
        <v>450</v>
      </c>
      <c r="AA2715" s="579" t="s">
        <v>178</v>
      </c>
      <c r="AB2715" s="584">
        <v>40955</v>
      </c>
      <c r="AC2715" s="584" t="s">
        <v>164</v>
      </c>
      <c r="AD2715" s="584">
        <v>29630.231578947372</v>
      </c>
      <c r="AE2715" s="586">
        <v>0.03</v>
      </c>
      <c r="AF2715" s="661" t="str">
        <f t="shared" si="297"/>
        <v>2019-LTK-FRD-F350-062-05</v>
      </c>
      <c r="AG2715" s="661" t="str">
        <f>IF(AND($Y2715&gt;=32,(AI2715="I"),(Y2715&lt;&gt;"~"),(COUNTIF($AN$1:$AN2715,$AN2715)=1)),"TRUE","FALSE")</f>
        <v>FALSE</v>
      </c>
      <c r="AH2715" s="661" t="str">
        <f>IF(AND($Y2715&gt;=22, (AI2715&lt;&gt;"I"),(Y2715&lt;&gt;"~"),(COUNTIF($AN$1:$AN2715,$AN2715)=1)),"TRUE","FALSE")</f>
        <v>FALSE</v>
      </c>
      <c r="AI2715" s="661" t="str">
        <f t="shared" si="292"/>
        <v>N/A</v>
      </c>
      <c r="AJ2715" s="662" t="str">
        <f t="shared" si="293"/>
        <v>F350-062</v>
      </c>
      <c r="AK2715" s="662" t="str">
        <f t="shared" si="294"/>
        <v>LTK</v>
      </c>
      <c r="AL2715" s="662" t="str">
        <f t="shared" si="295"/>
        <v>FRD</v>
      </c>
      <c r="AM2715" s="662" t="str">
        <f t="shared" ref="AM2715:AM2778" si="298">CONCATENATE(I2715,"-",J2715,"-",K2715,"-",L2715,"-",P2715,"-",Q2715,"-",R2715,"-",S2715,"-",T2715,"-",U2715,"-",V2715,"-",W2715,"-",Z2715,"-",AA2715)</f>
        <v>F350-Super Cab XL-4WD-6-6'9"-12300-6.2L FFV-8-X3B-610A-148-34-E85-Unleaded</v>
      </c>
      <c r="AN2715" s="662" t="str">
        <f t="shared" si="296"/>
        <v>2019-LTK-FRD-F350-062</v>
      </c>
    </row>
    <row r="2716" spans="1:40" ht="15">
      <c r="A2716" s="570" t="s">
        <v>4772</v>
      </c>
      <c r="B2716" s="569" t="s">
        <v>4773</v>
      </c>
      <c r="C2716" s="569" t="s">
        <v>269</v>
      </c>
      <c r="D2716" s="580" t="s">
        <v>270</v>
      </c>
      <c r="E2716" s="569" t="s">
        <v>3374</v>
      </c>
      <c r="F2716" s="569" t="s">
        <v>187</v>
      </c>
      <c r="G2716" s="569" t="s">
        <v>271</v>
      </c>
      <c r="H2716" s="569">
        <v>2019</v>
      </c>
      <c r="I2716" s="569" t="s">
        <v>4503</v>
      </c>
      <c r="J2716" s="569" t="s">
        <v>3996</v>
      </c>
      <c r="K2716" s="569" t="s">
        <v>752</v>
      </c>
      <c r="L2716" s="569">
        <v>6</v>
      </c>
      <c r="M2716" s="569">
        <v>0</v>
      </c>
      <c r="N2716" s="569" t="s">
        <v>157</v>
      </c>
      <c r="O2716" s="569">
        <v>2</v>
      </c>
      <c r="P2716" s="569" t="s">
        <v>4230</v>
      </c>
      <c r="Q2716" s="568">
        <v>12400</v>
      </c>
      <c r="R2716" s="569" t="s">
        <v>4235</v>
      </c>
      <c r="S2716" s="569">
        <v>8</v>
      </c>
      <c r="T2716" s="569" t="s">
        <v>4771</v>
      </c>
      <c r="U2716" s="569" t="s">
        <v>4505</v>
      </c>
      <c r="V2716" s="569">
        <v>148</v>
      </c>
      <c r="W2716" s="569">
        <v>34</v>
      </c>
      <c r="X2716" s="568">
        <v>10400</v>
      </c>
      <c r="Y2716" s="569">
        <v>12</v>
      </c>
      <c r="Z2716" s="581" t="s">
        <v>450</v>
      </c>
      <c r="AA2716" s="581" t="s">
        <v>178</v>
      </c>
      <c r="AB2716" s="585">
        <v>40955</v>
      </c>
      <c r="AC2716" s="585" t="s">
        <v>164</v>
      </c>
      <c r="AD2716" s="585">
        <v>29630.231578947372</v>
      </c>
      <c r="AE2716" s="587">
        <v>0.03</v>
      </c>
      <c r="AF2716" s="661" t="str">
        <f t="shared" si="297"/>
        <v>2019-LTK-FRD-F350-063-05</v>
      </c>
      <c r="AG2716" s="661" t="str">
        <f>IF(AND($Y2716&gt;=32,(AI2716="I"),(Y2716&lt;&gt;"~"),(COUNTIF($AN$1:$AN2716,$AN2716)=1)),"TRUE","FALSE")</f>
        <v>FALSE</v>
      </c>
      <c r="AH2716" s="661" t="str">
        <f>IF(AND($Y2716&gt;=22, (AI2716&lt;&gt;"I"),(Y2716&lt;&gt;"~"),(COUNTIF($AN$1:$AN2716,$AN2716)=1)),"TRUE","FALSE")</f>
        <v>FALSE</v>
      </c>
      <c r="AI2716" s="661" t="str">
        <f t="shared" ref="AI2716:AI2779" si="299">IF(OR((LEFT($E2716,2)="01"),AND(LEFT($E2716,2)="06",ISNUMBER(SEARCH("pas",$F2716))),AND(LEFT($E2716,2)="05",ISNUMBER(SEARCH("pas",$F2716)))),"I",IF(AND((LEFT($E2716,2)&lt;&gt;"01"),$X2716&lt;=10000),"II",IF(AND((LEFT($E2716,2)&lt;&gt;"01"),$X2716&gt;10000),"N/A")))</f>
        <v>N/A</v>
      </c>
      <c r="AJ2716" s="662" t="str">
        <f t="shared" si="293"/>
        <v>F350-063</v>
      </c>
      <c r="AK2716" s="662" t="str">
        <f t="shared" si="294"/>
        <v>LTK</v>
      </c>
      <c r="AL2716" s="662" t="str">
        <f t="shared" si="295"/>
        <v>FRD</v>
      </c>
      <c r="AM2716" s="662" t="str">
        <f t="shared" si="298"/>
        <v>F350-Super Cab XL-4WD-6-6'9"-12400-6.2L FFV-8-X3B-610A-148-34-E85-Unleaded</v>
      </c>
      <c r="AN2716" s="662" t="str">
        <f t="shared" si="296"/>
        <v>2019-LTK-FRD-F350-063</v>
      </c>
    </row>
    <row r="2717" spans="1:40" ht="15">
      <c r="A2717" s="570" t="s">
        <v>4774</v>
      </c>
      <c r="B2717" s="573" t="s">
        <v>4775</v>
      </c>
      <c r="C2717" s="573" t="s">
        <v>269</v>
      </c>
      <c r="D2717" s="578" t="s">
        <v>270</v>
      </c>
      <c r="E2717" s="573" t="s">
        <v>3374</v>
      </c>
      <c r="F2717" s="573" t="s">
        <v>187</v>
      </c>
      <c r="G2717" s="573" t="s">
        <v>271</v>
      </c>
      <c r="H2717" s="573">
        <v>2019</v>
      </c>
      <c r="I2717" s="573" t="s">
        <v>4503</v>
      </c>
      <c r="J2717" s="573" t="s">
        <v>3996</v>
      </c>
      <c r="K2717" s="573" t="s">
        <v>752</v>
      </c>
      <c r="L2717" s="573">
        <v>6</v>
      </c>
      <c r="M2717" s="573">
        <v>0</v>
      </c>
      <c r="N2717" s="573" t="s">
        <v>157</v>
      </c>
      <c r="O2717" s="573">
        <v>2</v>
      </c>
      <c r="P2717" s="573" t="s">
        <v>4230</v>
      </c>
      <c r="Q2717" s="571">
        <v>12400</v>
      </c>
      <c r="R2717" s="573" t="s">
        <v>4231</v>
      </c>
      <c r="S2717" s="573">
        <v>8</v>
      </c>
      <c r="T2717" s="573" t="s">
        <v>4771</v>
      </c>
      <c r="U2717" s="573" t="s">
        <v>4505</v>
      </c>
      <c r="V2717" s="573">
        <v>148</v>
      </c>
      <c r="W2717" s="573">
        <v>29</v>
      </c>
      <c r="X2717" s="571">
        <v>11100</v>
      </c>
      <c r="Y2717" s="569">
        <v>12</v>
      </c>
      <c r="Z2717" s="579" t="s">
        <v>728</v>
      </c>
      <c r="AA2717" s="579" t="s">
        <v>1523</v>
      </c>
      <c r="AB2717" s="584">
        <v>50075</v>
      </c>
      <c r="AC2717" s="584" t="s">
        <v>164</v>
      </c>
      <c r="AD2717" s="584">
        <v>37822.421052631587</v>
      </c>
      <c r="AE2717" s="586">
        <v>0.03</v>
      </c>
      <c r="AF2717" s="661" t="str">
        <f t="shared" si="297"/>
        <v>2019-LTK-FRD-F350-064-05</v>
      </c>
      <c r="AG2717" s="661" t="str">
        <f>IF(AND($Y2717&gt;=32,(AI2717="I"),(Y2717&lt;&gt;"~"),(COUNTIF($AN$1:$AN2717,$AN2717)=1)),"TRUE","FALSE")</f>
        <v>FALSE</v>
      </c>
      <c r="AH2717" s="661" t="str">
        <f>IF(AND($Y2717&gt;=22, (AI2717&lt;&gt;"I"),(Y2717&lt;&gt;"~"),(COUNTIF($AN$1:$AN2717,$AN2717)=1)),"TRUE","FALSE")</f>
        <v>FALSE</v>
      </c>
      <c r="AI2717" s="661" t="str">
        <f t="shared" si="299"/>
        <v>N/A</v>
      </c>
      <c r="AJ2717" s="662" t="str">
        <f t="shared" si="293"/>
        <v>F350-064</v>
      </c>
      <c r="AK2717" s="662" t="str">
        <f t="shared" si="294"/>
        <v>LTK</v>
      </c>
      <c r="AL2717" s="662" t="str">
        <f t="shared" si="295"/>
        <v>FRD</v>
      </c>
      <c r="AM2717" s="662" t="str">
        <f t="shared" si="298"/>
        <v>F350-Super Cab XL-4WD-6-6'9"-12400-6.7L Diesel-8-X3B-610A-148-29-Diesel-BioDiesel</v>
      </c>
      <c r="AN2717" s="662" t="str">
        <f t="shared" si="296"/>
        <v>2019-LTK-FRD-F350-064</v>
      </c>
    </row>
    <row r="2718" spans="1:40" ht="15">
      <c r="A2718" s="570" t="s">
        <v>4776</v>
      </c>
      <c r="B2718" s="569" t="s">
        <v>4777</v>
      </c>
      <c r="C2718" s="569" t="s">
        <v>269</v>
      </c>
      <c r="D2718" s="580" t="s">
        <v>270</v>
      </c>
      <c r="E2718" s="569" t="s">
        <v>3374</v>
      </c>
      <c r="F2718" s="569" t="s">
        <v>187</v>
      </c>
      <c r="G2718" s="569" t="s">
        <v>271</v>
      </c>
      <c r="H2718" s="569">
        <v>2019</v>
      </c>
      <c r="I2718" s="569" t="s">
        <v>4503</v>
      </c>
      <c r="J2718" s="569" t="s">
        <v>3996</v>
      </c>
      <c r="K2718" s="569" t="s">
        <v>752</v>
      </c>
      <c r="L2718" s="569">
        <v>6</v>
      </c>
      <c r="M2718" s="569">
        <v>0</v>
      </c>
      <c r="N2718" s="569" t="s">
        <v>157</v>
      </c>
      <c r="O2718" s="569">
        <v>2</v>
      </c>
      <c r="P2718" s="569" t="s">
        <v>3846</v>
      </c>
      <c r="Q2718" s="568">
        <v>12300</v>
      </c>
      <c r="R2718" s="569" t="s">
        <v>4235</v>
      </c>
      <c r="S2718" s="569">
        <v>8</v>
      </c>
      <c r="T2718" s="569" t="s">
        <v>4771</v>
      </c>
      <c r="U2718" s="569" t="s">
        <v>4505</v>
      </c>
      <c r="V2718" s="569">
        <v>164</v>
      </c>
      <c r="W2718" s="569">
        <v>34</v>
      </c>
      <c r="X2718" s="568">
        <v>10700</v>
      </c>
      <c r="Y2718" s="569">
        <v>12</v>
      </c>
      <c r="Z2718" s="581" t="s">
        <v>450</v>
      </c>
      <c r="AA2718" s="581" t="s">
        <v>178</v>
      </c>
      <c r="AB2718" s="585">
        <v>41155</v>
      </c>
      <c r="AC2718" s="585" t="s">
        <v>164</v>
      </c>
      <c r="AD2718" s="585">
        <v>29814.442105263159</v>
      </c>
      <c r="AE2718" s="587">
        <v>0.03</v>
      </c>
      <c r="AF2718" s="661" t="str">
        <f t="shared" si="297"/>
        <v>2019-LTK-FRD-F350-065-05</v>
      </c>
      <c r="AG2718" s="661" t="str">
        <f>IF(AND($Y2718&gt;=32,(AI2718="I"),(Y2718&lt;&gt;"~"),(COUNTIF($AN$1:$AN2718,$AN2718)=1)),"TRUE","FALSE")</f>
        <v>FALSE</v>
      </c>
      <c r="AH2718" s="661" t="str">
        <f>IF(AND($Y2718&gt;=22, (AI2718&lt;&gt;"I"),(Y2718&lt;&gt;"~"),(COUNTIF($AN$1:$AN2718,$AN2718)=1)),"TRUE","FALSE")</f>
        <v>FALSE</v>
      </c>
      <c r="AI2718" s="661" t="str">
        <f t="shared" si="299"/>
        <v>N/A</v>
      </c>
      <c r="AJ2718" s="662" t="str">
        <f t="shared" si="293"/>
        <v>F350-065</v>
      </c>
      <c r="AK2718" s="662" t="str">
        <f t="shared" si="294"/>
        <v>LTK</v>
      </c>
      <c r="AL2718" s="662" t="str">
        <f t="shared" si="295"/>
        <v>FRD</v>
      </c>
      <c r="AM2718" s="662" t="str">
        <f t="shared" si="298"/>
        <v>F350-Super Cab XL-4WD-6-8'-12300-6.2L FFV-8-X3B-610A-164-34-E85-Unleaded</v>
      </c>
      <c r="AN2718" s="662" t="str">
        <f t="shared" si="296"/>
        <v>2019-LTK-FRD-F350-065</v>
      </c>
    </row>
    <row r="2719" spans="1:40" ht="15">
      <c r="A2719" s="570" t="s">
        <v>4778</v>
      </c>
      <c r="B2719" s="573" t="s">
        <v>4779</v>
      </c>
      <c r="C2719" s="573" t="s">
        <v>269</v>
      </c>
      <c r="D2719" s="578" t="s">
        <v>270</v>
      </c>
      <c r="E2719" s="573" t="s">
        <v>3374</v>
      </c>
      <c r="F2719" s="573" t="s">
        <v>187</v>
      </c>
      <c r="G2719" s="573" t="s">
        <v>271</v>
      </c>
      <c r="H2719" s="573">
        <v>2019</v>
      </c>
      <c r="I2719" s="573" t="s">
        <v>4503</v>
      </c>
      <c r="J2719" s="573" t="s">
        <v>3996</v>
      </c>
      <c r="K2719" s="573" t="s">
        <v>752</v>
      </c>
      <c r="L2719" s="573">
        <v>6</v>
      </c>
      <c r="M2719" s="573">
        <v>0</v>
      </c>
      <c r="N2719" s="573" t="s">
        <v>157</v>
      </c>
      <c r="O2719" s="573">
        <v>2</v>
      </c>
      <c r="P2719" s="573" t="s">
        <v>3846</v>
      </c>
      <c r="Q2719" s="571">
        <v>12300</v>
      </c>
      <c r="R2719" s="573" t="s">
        <v>4231</v>
      </c>
      <c r="S2719" s="573">
        <v>8</v>
      </c>
      <c r="T2719" s="573" t="s">
        <v>4771</v>
      </c>
      <c r="U2719" s="573" t="s">
        <v>4505</v>
      </c>
      <c r="V2719" s="573">
        <v>164</v>
      </c>
      <c r="W2719" s="573">
        <v>34</v>
      </c>
      <c r="X2719" s="571">
        <v>11300</v>
      </c>
      <c r="Y2719" s="569">
        <v>12</v>
      </c>
      <c r="Z2719" s="579" t="s">
        <v>728</v>
      </c>
      <c r="AA2719" s="579" t="s">
        <v>1523</v>
      </c>
      <c r="AB2719" s="584">
        <v>50275</v>
      </c>
      <c r="AC2719" s="584" t="s">
        <v>164</v>
      </c>
      <c r="AD2719" s="584">
        <v>38006.631578947374</v>
      </c>
      <c r="AE2719" s="586">
        <v>0.03</v>
      </c>
      <c r="AF2719" s="661" t="str">
        <f t="shared" si="297"/>
        <v>2019-LTK-FRD-F350-066-05</v>
      </c>
      <c r="AG2719" s="661" t="str">
        <f>IF(AND($Y2719&gt;=32,(AI2719="I"),(Y2719&lt;&gt;"~"),(COUNTIF($AN$1:$AN2719,$AN2719)=1)),"TRUE","FALSE")</f>
        <v>FALSE</v>
      </c>
      <c r="AH2719" s="661" t="str">
        <f>IF(AND($Y2719&gt;=22, (AI2719&lt;&gt;"I"),(Y2719&lt;&gt;"~"),(COUNTIF($AN$1:$AN2719,$AN2719)=1)),"TRUE","FALSE")</f>
        <v>FALSE</v>
      </c>
      <c r="AI2719" s="661" t="str">
        <f t="shared" si="299"/>
        <v>N/A</v>
      </c>
      <c r="AJ2719" s="662" t="str">
        <f t="shared" si="293"/>
        <v>F350-066</v>
      </c>
      <c r="AK2719" s="662" t="str">
        <f t="shared" si="294"/>
        <v>LTK</v>
      </c>
      <c r="AL2719" s="662" t="str">
        <f t="shared" si="295"/>
        <v>FRD</v>
      </c>
      <c r="AM2719" s="662" t="str">
        <f t="shared" si="298"/>
        <v>F350-Super Cab XL-4WD-6-8'-12300-6.7L Diesel-8-X3B-610A-164-34-Diesel-BioDiesel</v>
      </c>
      <c r="AN2719" s="662" t="str">
        <f t="shared" si="296"/>
        <v>2019-LTK-FRD-F350-066</v>
      </c>
    </row>
    <row r="2720" spans="1:40" ht="15">
      <c r="A2720" s="570" t="s">
        <v>4780</v>
      </c>
      <c r="B2720" s="569" t="s">
        <v>4773</v>
      </c>
      <c r="C2720" s="569" t="s">
        <v>278</v>
      </c>
      <c r="D2720" s="580">
        <v>15</v>
      </c>
      <c r="E2720" s="569" t="s">
        <v>3374</v>
      </c>
      <c r="F2720" s="569" t="s">
        <v>187</v>
      </c>
      <c r="G2720" s="569" t="s">
        <v>271</v>
      </c>
      <c r="H2720" s="569">
        <v>2019</v>
      </c>
      <c r="I2720" s="569" t="s">
        <v>4503</v>
      </c>
      <c r="J2720" s="569" t="s">
        <v>3996</v>
      </c>
      <c r="K2720" s="569" t="s">
        <v>752</v>
      </c>
      <c r="L2720" s="569">
        <v>6</v>
      </c>
      <c r="M2720" s="569">
        <v>0</v>
      </c>
      <c r="N2720" s="569" t="s">
        <v>157</v>
      </c>
      <c r="O2720" s="569">
        <v>2</v>
      </c>
      <c r="P2720" s="569" t="s">
        <v>4230</v>
      </c>
      <c r="Q2720" s="568">
        <v>12400</v>
      </c>
      <c r="R2720" s="569" t="s">
        <v>4235</v>
      </c>
      <c r="S2720" s="569">
        <v>8</v>
      </c>
      <c r="T2720" s="569" t="s">
        <v>4771</v>
      </c>
      <c r="U2720" s="569" t="s">
        <v>4505</v>
      </c>
      <c r="V2720" s="569">
        <v>148</v>
      </c>
      <c r="W2720" s="569">
        <v>34</v>
      </c>
      <c r="X2720" s="568">
        <v>10400</v>
      </c>
      <c r="Y2720" s="569">
        <v>12</v>
      </c>
      <c r="Z2720" s="581" t="s">
        <v>450</v>
      </c>
      <c r="AA2720" s="581" t="s">
        <v>178</v>
      </c>
      <c r="AB2720" s="585">
        <v>40955</v>
      </c>
      <c r="AC2720" s="585" t="s">
        <v>164</v>
      </c>
      <c r="AD2720" s="585">
        <v>29750</v>
      </c>
      <c r="AE2720" s="587">
        <v>0.01</v>
      </c>
      <c r="AF2720" s="661" t="str">
        <f t="shared" si="297"/>
        <v>2019-LTK-FRD-F350-063-15</v>
      </c>
      <c r="AG2720" s="661" t="str">
        <f>IF(AND($Y2720&gt;=32,(AI2720="I"),(Y2720&lt;&gt;"~"),(COUNTIF($AN$1:$AN2720,$AN2720)=1)),"TRUE","FALSE")</f>
        <v>FALSE</v>
      </c>
      <c r="AH2720" s="661" t="str">
        <f>IF(AND($Y2720&gt;=22, (AI2720&lt;&gt;"I"),(Y2720&lt;&gt;"~"),(COUNTIF($AN$1:$AN2720,$AN2720)=1)),"TRUE","FALSE")</f>
        <v>FALSE</v>
      </c>
      <c r="AI2720" s="661" t="str">
        <f t="shared" si="299"/>
        <v>N/A</v>
      </c>
      <c r="AJ2720" s="662" t="str">
        <f t="shared" si="293"/>
        <v>F350-063</v>
      </c>
      <c r="AK2720" s="662" t="str">
        <f t="shared" si="294"/>
        <v>LTK</v>
      </c>
      <c r="AL2720" s="662" t="str">
        <f t="shared" si="295"/>
        <v>FRD</v>
      </c>
      <c r="AM2720" s="662" t="str">
        <f t="shared" si="298"/>
        <v>F350-Super Cab XL-4WD-6-6'9"-12400-6.2L FFV-8-X3B-610A-148-34-E85-Unleaded</v>
      </c>
      <c r="AN2720" s="662" t="str">
        <f t="shared" si="296"/>
        <v>2019-LTK-FRD-F350-063</v>
      </c>
    </row>
    <row r="2721" spans="1:40" ht="15">
      <c r="A2721" s="570" t="s">
        <v>4781</v>
      </c>
      <c r="B2721" s="573" t="s">
        <v>4775</v>
      </c>
      <c r="C2721" s="573" t="s">
        <v>278</v>
      </c>
      <c r="D2721" s="578">
        <v>15</v>
      </c>
      <c r="E2721" s="573" t="s">
        <v>3374</v>
      </c>
      <c r="F2721" s="573" t="s">
        <v>187</v>
      </c>
      <c r="G2721" s="573" t="s">
        <v>271</v>
      </c>
      <c r="H2721" s="573">
        <v>2019</v>
      </c>
      <c r="I2721" s="573" t="s">
        <v>4503</v>
      </c>
      <c r="J2721" s="573" t="s">
        <v>3996</v>
      </c>
      <c r="K2721" s="573" t="s">
        <v>752</v>
      </c>
      <c r="L2721" s="573">
        <v>6</v>
      </c>
      <c r="M2721" s="573">
        <v>0</v>
      </c>
      <c r="N2721" s="573" t="s">
        <v>157</v>
      </c>
      <c r="O2721" s="573">
        <v>2</v>
      </c>
      <c r="P2721" s="573" t="s">
        <v>4230</v>
      </c>
      <c r="Q2721" s="571">
        <v>12400</v>
      </c>
      <c r="R2721" s="573" t="s">
        <v>4231</v>
      </c>
      <c r="S2721" s="573">
        <v>8</v>
      </c>
      <c r="T2721" s="573" t="s">
        <v>4771</v>
      </c>
      <c r="U2721" s="573" t="s">
        <v>4505</v>
      </c>
      <c r="V2721" s="573">
        <v>148</v>
      </c>
      <c r="W2721" s="573">
        <v>29</v>
      </c>
      <c r="X2721" s="571">
        <v>11100</v>
      </c>
      <c r="Y2721" s="569">
        <v>12</v>
      </c>
      <c r="Z2721" s="579" t="s">
        <v>728</v>
      </c>
      <c r="AA2721" s="579" t="s">
        <v>1523</v>
      </c>
      <c r="AB2721" s="584">
        <v>50075</v>
      </c>
      <c r="AC2721" s="584" t="s">
        <v>164</v>
      </c>
      <c r="AD2721" s="584">
        <v>37995</v>
      </c>
      <c r="AE2721" s="586">
        <v>0.01</v>
      </c>
      <c r="AF2721" s="661" t="str">
        <f t="shared" si="297"/>
        <v>2019-LTK-FRD-F350-064-15</v>
      </c>
      <c r="AG2721" s="661" t="str">
        <f>IF(AND($Y2721&gt;=32,(AI2721="I"),(Y2721&lt;&gt;"~"),(COUNTIF($AN$1:$AN2721,$AN2721)=1)),"TRUE","FALSE")</f>
        <v>FALSE</v>
      </c>
      <c r="AH2721" s="661" t="str">
        <f>IF(AND($Y2721&gt;=22, (AI2721&lt;&gt;"I"),(Y2721&lt;&gt;"~"),(COUNTIF($AN$1:$AN2721,$AN2721)=1)),"TRUE","FALSE")</f>
        <v>FALSE</v>
      </c>
      <c r="AI2721" s="661" t="str">
        <f t="shared" si="299"/>
        <v>N/A</v>
      </c>
      <c r="AJ2721" s="662" t="str">
        <f t="shared" si="293"/>
        <v>F350-064</v>
      </c>
      <c r="AK2721" s="662" t="str">
        <f t="shared" si="294"/>
        <v>LTK</v>
      </c>
      <c r="AL2721" s="662" t="str">
        <f t="shared" si="295"/>
        <v>FRD</v>
      </c>
      <c r="AM2721" s="662" t="str">
        <f t="shared" si="298"/>
        <v>F350-Super Cab XL-4WD-6-6'9"-12400-6.7L Diesel-8-X3B-610A-148-29-Diesel-BioDiesel</v>
      </c>
      <c r="AN2721" s="662" t="str">
        <f t="shared" si="296"/>
        <v>2019-LTK-FRD-F350-064</v>
      </c>
    </row>
    <row r="2722" spans="1:40" ht="15">
      <c r="A2722" s="570" t="s">
        <v>4782</v>
      </c>
      <c r="B2722" s="569" t="s">
        <v>4777</v>
      </c>
      <c r="C2722" s="569" t="s">
        <v>278</v>
      </c>
      <c r="D2722" s="580">
        <v>15</v>
      </c>
      <c r="E2722" s="569" t="s">
        <v>3374</v>
      </c>
      <c r="F2722" s="569" t="s">
        <v>187</v>
      </c>
      <c r="G2722" s="569" t="s">
        <v>271</v>
      </c>
      <c r="H2722" s="569">
        <v>2019</v>
      </c>
      <c r="I2722" s="569" t="s">
        <v>4503</v>
      </c>
      <c r="J2722" s="569" t="s">
        <v>3996</v>
      </c>
      <c r="K2722" s="569" t="s">
        <v>752</v>
      </c>
      <c r="L2722" s="569">
        <v>6</v>
      </c>
      <c r="M2722" s="569">
        <v>0</v>
      </c>
      <c r="N2722" s="569" t="s">
        <v>157</v>
      </c>
      <c r="O2722" s="569">
        <v>2</v>
      </c>
      <c r="P2722" s="569" t="s">
        <v>3846</v>
      </c>
      <c r="Q2722" s="568">
        <v>12300</v>
      </c>
      <c r="R2722" s="569" t="s">
        <v>4235</v>
      </c>
      <c r="S2722" s="569">
        <v>8</v>
      </c>
      <c r="T2722" s="569" t="s">
        <v>4771</v>
      </c>
      <c r="U2722" s="569" t="s">
        <v>4505</v>
      </c>
      <c r="V2722" s="569">
        <v>164</v>
      </c>
      <c r="W2722" s="569">
        <v>34</v>
      </c>
      <c r="X2722" s="568">
        <v>10700</v>
      </c>
      <c r="Y2722" s="569">
        <v>12</v>
      </c>
      <c r="Z2722" s="581" t="s">
        <v>450</v>
      </c>
      <c r="AA2722" s="581" t="s">
        <v>178</v>
      </c>
      <c r="AB2722" s="585">
        <v>41155</v>
      </c>
      <c r="AC2722" s="585" t="s">
        <v>164</v>
      </c>
      <c r="AD2722" s="585">
        <v>29950</v>
      </c>
      <c r="AE2722" s="587">
        <v>0.01</v>
      </c>
      <c r="AF2722" s="661" t="str">
        <f t="shared" si="297"/>
        <v>2019-LTK-FRD-F350-065-15</v>
      </c>
      <c r="AG2722" s="661" t="str">
        <f>IF(AND($Y2722&gt;=32,(AI2722="I"),(Y2722&lt;&gt;"~"),(COUNTIF($AN$1:$AN2722,$AN2722)=1)),"TRUE","FALSE")</f>
        <v>FALSE</v>
      </c>
      <c r="AH2722" s="661" t="str">
        <f>IF(AND($Y2722&gt;=22, (AI2722&lt;&gt;"I"),(Y2722&lt;&gt;"~"),(COUNTIF($AN$1:$AN2722,$AN2722)=1)),"TRUE","FALSE")</f>
        <v>FALSE</v>
      </c>
      <c r="AI2722" s="661" t="str">
        <f t="shared" si="299"/>
        <v>N/A</v>
      </c>
      <c r="AJ2722" s="662" t="str">
        <f t="shared" si="293"/>
        <v>F350-065</v>
      </c>
      <c r="AK2722" s="662" t="str">
        <f t="shared" si="294"/>
        <v>LTK</v>
      </c>
      <c r="AL2722" s="662" t="str">
        <f t="shared" si="295"/>
        <v>FRD</v>
      </c>
      <c r="AM2722" s="662" t="str">
        <f t="shared" si="298"/>
        <v>F350-Super Cab XL-4WD-6-8'-12300-6.2L FFV-8-X3B-610A-164-34-E85-Unleaded</v>
      </c>
      <c r="AN2722" s="662" t="str">
        <f t="shared" si="296"/>
        <v>2019-LTK-FRD-F350-065</v>
      </c>
    </row>
    <row r="2723" spans="1:40" ht="15">
      <c r="A2723" s="570" t="s">
        <v>4783</v>
      </c>
      <c r="B2723" s="573" t="s">
        <v>4779</v>
      </c>
      <c r="C2723" s="573" t="s">
        <v>278</v>
      </c>
      <c r="D2723" s="578">
        <v>15</v>
      </c>
      <c r="E2723" s="573" t="s">
        <v>3374</v>
      </c>
      <c r="F2723" s="573" t="s">
        <v>187</v>
      </c>
      <c r="G2723" s="573" t="s">
        <v>271</v>
      </c>
      <c r="H2723" s="573">
        <v>2019</v>
      </c>
      <c r="I2723" s="573" t="s">
        <v>4503</v>
      </c>
      <c r="J2723" s="573" t="s">
        <v>3996</v>
      </c>
      <c r="K2723" s="573" t="s">
        <v>752</v>
      </c>
      <c r="L2723" s="573">
        <v>6</v>
      </c>
      <c r="M2723" s="573">
        <v>0</v>
      </c>
      <c r="N2723" s="573" t="s">
        <v>157</v>
      </c>
      <c r="O2723" s="573">
        <v>2</v>
      </c>
      <c r="P2723" s="573" t="s">
        <v>3846</v>
      </c>
      <c r="Q2723" s="571">
        <v>12300</v>
      </c>
      <c r="R2723" s="573" t="s">
        <v>4231</v>
      </c>
      <c r="S2723" s="573">
        <v>8</v>
      </c>
      <c r="T2723" s="573" t="s">
        <v>4771</v>
      </c>
      <c r="U2723" s="573" t="s">
        <v>4505</v>
      </c>
      <c r="V2723" s="573">
        <v>164</v>
      </c>
      <c r="W2723" s="573">
        <v>34</v>
      </c>
      <c r="X2723" s="571">
        <v>11300</v>
      </c>
      <c r="Y2723" s="569">
        <v>12</v>
      </c>
      <c r="Z2723" s="579" t="s">
        <v>728</v>
      </c>
      <c r="AA2723" s="579" t="s">
        <v>1523</v>
      </c>
      <c r="AB2723" s="584">
        <v>50275</v>
      </c>
      <c r="AC2723" s="584" t="s">
        <v>164</v>
      </c>
      <c r="AD2723" s="584">
        <v>38200</v>
      </c>
      <c r="AE2723" s="586">
        <v>0.01</v>
      </c>
      <c r="AF2723" s="661" t="str">
        <f t="shared" si="297"/>
        <v>2019-LTK-FRD-F350-066-15</v>
      </c>
      <c r="AG2723" s="661" t="str">
        <f>IF(AND($Y2723&gt;=32,(AI2723="I"),(Y2723&lt;&gt;"~"),(COUNTIF($AN$1:$AN2723,$AN2723)=1)),"TRUE","FALSE")</f>
        <v>FALSE</v>
      </c>
      <c r="AH2723" s="661" t="str">
        <f>IF(AND($Y2723&gt;=22, (AI2723&lt;&gt;"I"),(Y2723&lt;&gt;"~"),(COUNTIF($AN$1:$AN2723,$AN2723)=1)),"TRUE","FALSE")</f>
        <v>FALSE</v>
      </c>
      <c r="AI2723" s="661" t="str">
        <f t="shared" si="299"/>
        <v>N/A</v>
      </c>
      <c r="AJ2723" s="662" t="str">
        <f t="shared" si="293"/>
        <v>F350-066</v>
      </c>
      <c r="AK2723" s="662" t="str">
        <f t="shared" si="294"/>
        <v>LTK</v>
      </c>
      <c r="AL2723" s="662" t="str">
        <f t="shared" si="295"/>
        <v>FRD</v>
      </c>
      <c r="AM2723" s="662" t="str">
        <f t="shared" si="298"/>
        <v>F350-Super Cab XL-4WD-6-8'-12300-6.7L Diesel-8-X3B-610A-164-34-Diesel-BioDiesel</v>
      </c>
      <c r="AN2723" s="662" t="str">
        <f t="shared" si="296"/>
        <v>2019-LTK-FRD-F350-066</v>
      </c>
    </row>
    <row r="2724" spans="1:40" ht="15">
      <c r="A2724" s="570" t="s">
        <v>4784</v>
      </c>
      <c r="B2724" s="569" t="s">
        <v>4773</v>
      </c>
      <c r="C2724" s="569" t="s">
        <v>287</v>
      </c>
      <c r="D2724" s="580">
        <v>26</v>
      </c>
      <c r="E2724" s="569" t="s">
        <v>3374</v>
      </c>
      <c r="F2724" s="569" t="s">
        <v>187</v>
      </c>
      <c r="G2724" s="569" t="s">
        <v>271</v>
      </c>
      <c r="H2724" s="569">
        <v>2019</v>
      </c>
      <c r="I2724" s="569" t="s">
        <v>4503</v>
      </c>
      <c r="J2724" s="569" t="s">
        <v>3996</v>
      </c>
      <c r="K2724" s="569" t="s">
        <v>752</v>
      </c>
      <c r="L2724" s="569">
        <v>6</v>
      </c>
      <c r="M2724" s="569">
        <v>0</v>
      </c>
      <c r="N2724" s="569" t="s">
        <v>157</v>
      </c>
      <c r="O2724" s="569">
        <v>2</v>
      </c>
      <c r="P2724" s="569" t="s">
        <v>4230</v>
      </c>
      <c r="Q2724" s="568">
        <v>12400</v>
      </c>
      <c r="R2724" s="569" t="s">
        <v>4235</v>
      </c>
      <c r="S2724" s="569">
        <v>8</v>
      </c>
      <c r="T2724" s="569" t="s">
        <v>4771</v>
      </c>
      <c r="U2724" s="569" t="s">
        <v>4505</v>
      </c>
      <c r="V2724" s="569">
        <v>148</v>
      </c>
      <c r="W2724" s="569">
        <v>34</v>
      </c>
      <c r="X2724" s="568">
        <v>10400</v>
      </c>
      <c r="Y2724" s="569">
        <v>12</v>
      </c>
      <c r="Z2724" s="581" t="s">
        <v>450</v>
      </c>
      <c r="AA2724" s="581" t="s">
        <v>178</v>
      </c>
      <c r="AB2724" s="585">
        <v>40955</v>
      </c>
      <c r="AC2724" s="585" t="s">
        <v>164</v>
      </c>
      <c r="AD2724" s="585">
        <v>29877</v>
      </c>
      <c r="AE2724" s="587">
        <v>0.05</v>
      </c>
      <c r="AF2724" s="661" t="str">
        <f t="shared" si="297"/>
        <v>2019-LTK-FRD-F350-063-26</v>
      </c>
      <c r="AG2724" s="661" t="str">
        <f>IF(AND($Y2724&gt;=32,(AI2724="I"),(Y2724&lt;&gt;"~"),(COUNTIF($AN$1:$AN2724,$AN2724)=1)),"TRUE","FALSE")</f>
        <v>FALSE</v>
      </c>
      <c r="AH2724" s="661" t="str">
        <f>IF(AND($Y2724&gt;=22, (AI2724&lt;&gt;"I"),(Y2724&lt;&gt;"~"),(COUNTIF($AN$1:$AN2724,$AN2724)=1)),"TRUE","FALSE")</f>
        <v>FALSE</v>
      </c>
      <c r="AI2724" s="661" t="str">
        <f t="shared" si="299"/>
        <v>N/A</v>
      </c>
      <c r="AJ2724" s="662" t="str">
        <f t="shared" si="293"/>
        <v>F350-063</v>
      </c>
      <c r="AK2724" s="662" t="str">
        <f t="shared" si="294"/>
        <v>LTK</v>
      </c>
      <c r="AL2724" s="662" t="str">
        <f t="shared" si="295"/>
        <v>FRD</v>
      </c>
      <c r="AM2724" s="662" t="str">
        <f t="shared" si="298"/>
        <v>F350-Super Cab XL-4WD-6-6'9"-12400-6.2L FFV-8-X3B-610A-148-34-E85-Unleaded</v>
      </c>
      <c r="AN2724" s="662" t="str">
        <f t="shared" si="296"/>
        <v>2019-LTK-FRD-F350-063</v>
      </c>
    </row>
    <row r="2725" spans="1:40" ht="15">
      <c r="A2725" s="570" t="s">
        <v>4785</v>
      </c>
      <c r="B2725" s="573" t="s">
        <v>4775</v>
      </c>
      <c r="C2725" s="573" t="s">
        <v>287</v>
      </c>
      <c r="D2725" s="578">
        <v>26</v>
      </c>
      <c r="E2725" s="573" t="s">
        <v>3374</v>
      </c>
      <c r="F2725" s="573" t="s">
        <v>187</v>
      </c>
      <c r="G2725" s="573" t="s">
        <v>271</v>
      </c>
      <c r="H2725" s="573">
        <v>2019</v>
      </c>
      <c r="I2725" s="573" t="s">
        <v>4503</v>
      </c>
      <c r="J2725" s="573" t="s">
        <v>3996</v>
      </c>
      <c r="K2725" s="573" t="s">
        <v>752</v>
      </c>
      <c r="L2725" s="573">
        <v>6</v>
      </c>
      <c r="M2725" s="573">
        <v>0</v>
      </c>
      <c r="N2725" s="573" t="s">
        <v>157</v>
      </c>
      <c r="O2725" s="573">
        <v>2</v>
      </c>
      <c r="P2725" s="573" t="s">
        <v>4230</v>
      </c>
      <c r="Q2725" s="571">
        <v>12400</v>
      </c>
      <c r="R2725" s="573" t="s">
        <v>4231</v>
      </c>
      <c r="S2725" s="573">
        <v>8</v>
      </c>
      <c r="T2725" s="573" t="s">
        <v>4771</v>
      </c>
      <c r="U2725" s="573" t="s">
        <v>4505</v>
      </c>
      <c r="V2725" s="573">
        <v>148</v>
      </c>
      <c r="W2725" s="573">
        <v>29</v>
      </c>
      <c r="X2725" s="571">
        <v>11100</v>
      </c>
      <c r="Y2725" s="569">
        <v>12</v>
      </c>
      <c r="Z2725" s="579" t="s">
        <v>728</v>
      </c>
      <c r="AA2725" s="579" t="s">
        <v>1523</v>
      </c>
      <c r="AB2725" s="584">
        <v>50075</v>
      </c>
      <c r="AC2725" s="584" t="s">
        <v>164</v>
      </c>
      <c r="AD2725" s="584">
        <v>38072</v>
      </c>
      <c r="AE2725" s="586">
        <v>0.05</v>
      </c>
      <c r="AF2725" s="661" t="str">
        <f t="shared" si="297"/>
        <v>2019-LTK-FRD-F350-064-26</v>
      </c>
      <c r="AG2725" s="661" t="str">
        <f>IF(AND($Y2725&gt;=32,(AI2725="I"),(Y2725&lt;&gt;"~"),(COUNTIF($AN$1:$AN2725,$AN2725)=1)),"TRUE","FALSE")</f>
        <v>FALSE</v>
      </c>
      <c r="AH2725" s="661" t="str">
        <f>IF(AND($Y2725&gt;=22, (AI2725&lt;&gt;"I"),(Y2725&lt;&gt;"~"),(COUNTIF($AN$1:$AN2725,$AN2725)=1)),"TRUE","FALSE")</f>
        <v>FALSE</v>
      </c>
      <c r="AI2725" s="661" t="str">
        <f t="shared" si="299"/>
        <v>N/A</v>
      </c>
      <c r="AJ2725" s="662" t="str">
        <f t="shared" si="293"/>
        <v>F350-064</v>
      </c>
      <c r="AK2725" s="662" t="str">
        <f t="shared" si="294"/>
        <v>LTK</v>
      </c>
      <c r="AL2725" s="662" t="str">
        <f t="shared" si="295"/>
        <v>FRD</v>
      </c>
      <c r="AM2725" s="662" t="str">
        <f t="shared" si="298"/>
        <v>F350-Super Cab XL-4WD-6-6'9"-12400-6.7L Diesel-8-X3B-610A-148-29-Diesel-BioDiesel</v>
      </c>
      <c r="AN2725" s="662" t="str">
        <f t="shared" si="296"/>
        <v>2019-LTK-FRD-F350-064</v>
      </c>
    </row>
    <row r="2726" spans="1:40" ht="15">
      <c r="A2726" s="570" t="s">
        <v>4786</v>
      </c>
      <c r="B2726" s="569" t="s">
        <v>4777</v>
      </c>
      <c r="C2726" s="569" t="s">
        <v>287</v>
      </c>
      <c r="D2726" s="580">
        <v>26</v>
      </c>
      <c r="E2726" s="569" t="s">
        <v>3374</v>
      </c>
      <c r="F2726" s="569" t="s">
        <v>187</v>
      </c>
      <c r="G2726" s="569" t="s">
        <v>271</v>
      </c>
      <c r="H2726" s="569">
        <v>2019</v>
      </c>
      <c r="I2726" s="569" t="s">
        <v>4503</v>
      </c>
      <c r="J2726" s="569" t="s">
        <v>3996</v>
      </c>
      <c r="K2726" s="569" t="s">
        <v>752</v>
      </c>
      <c r="L2726" s="569">
        <v>6</v>
      </c>
      <c r="M2726" s="569">
        <v>0</v>
      </c>
      <c r="N2726" s="569" t="s">
        <v>157</v>
      </c>
      <c r="O2726" s="569">
        <v>2</v>
      </c>
      <c r="P2726" s="569" t="s">
        <v>3846</v>
      </c>
      <c r="Q2726" s="568">
        <v>12300</v>
      </c>
      <c r="R2726" s="569" t="s">
        <v>4235</v>
      </c>
      <c r="S2726" s="569">
        <v>8</v>
      </c>
      <c r="T2726" s="569" t="s">
        <v>4771</v>
      </c>
      <c r="U2726" s="569" t="s">
        <v>4505</v>
      </c>
      <c r="V2726" s="569">
        <v>164</v>
      </c>
      <c r="W2726" s="569">
        <v>34</v>
      </c>
      <c r="X2726" s="568">
        <v>10700</v>
      </c>
      <c r="Y2726" s="569">
        <v>12</v>
      </c>
      <c r="Z2726" s="581" t="s">
        <v>450</v>
      </c>
      <c r="AA2726" s="581" t="s">
        <v>178</v>
      </c>
      <c r="AB2726" s="585">
        <v>41155</v>
      </c>
      <c r="AC2726" s="585" t="s">
        <v>164</v>
      </c>
      <c r="AD2726" s="585">
        <v>30032</v>
      </c>
      <c r="AE2726" s="587">
        <v>0.05</v>
      </c>
      <c r="AF2726" s="661" t="str">
        <f t="shared" si="297"/>
        <v>2019-LTK-FRD-F350-065-26</v>
      </c>
      <c r="AG2726" s="661" t="str">
        <f>IF(AND($Y2726&gt;=32,(AI2726="I"),(Y2726&lt;&gt;"~"),(COUNTIF($AN$1:$AN2726,$AN2726)=1)),"TRUE","FALSE")</f>
        <v>FALSE</v>
      </c>
      <c r="AH2726" s="661" t="str">
        <f>IF(AND($Y2726&gt;=22, (AI2726&lt;&gt;"I"),(Y2726&lt;&gt;"~"),(COUNTIF($AN$1:$AN2726,$AN2726)=1)),"TRUE","FALSE")</f>
        <v>FALSE</v>
      </c>
      <c r="AI2726" s="661" t="str">
        <f t="shared" si="299"/>
        <v>N/A</v>
      </c>
      <c r="AJ2726" s="662" t="str">
        <f t="shared" si="293"/>
        <v>F350-065</v>
      </c>
      <c r="AK2726" s="662" t="str">
        <f t="shared" si="294"/>
        <v>LTK</v>
      </c>
      <c r="AL2726" s="662" t="str">
        <f t="shared" si="295"/>
        <v>FRD</v>
      </c>
      <c r="AM2726" s="662" t="str">
        <f t="shared" si="298"/>
        <v>F350-Super Cab XL-4WD-6-8'-12300-6.2L FFV-8-X3B-610A-164-34-E85-Unleaded</v>
      </c>
      <c r="AN2726" s="662" t="str">
        <f t="shared" si="296"/>
        <v>2019-LTK-FRD-F350-065</v>
      </c>
    </row>
    <row r="2727" spans="1:40" ht="15">
      <c r="A2727" s="570" t="s">
        <v>4787</v>
      </c>
      <c r="B2727" s="573" t="s">
        <v>4779</v>
      </c>
      <c r="C2727" s="573" t="s">
        <v>287</v>
      </c>
      <c r="D2727" s="578">
        <v>26</v>
      </c>
      <c r="E2727" s="573" t="s">
        <v>3374</v>
      </c>
      <c r="F2727" s="573" t="s">
        <v>187</v>
      </c>
      <c r="G2727" s="573" t="s">
        <v>271</v>
      </c>
      <c r="H2727" s="573">
        <v>2019</v>
      </c>
      <c r="I2727" s="573" t="s">
        <v>4503</v>
      </c>
      <c r="J2727" s="573" t="s">
        <v>3996</v>
      </c>
      <c r="K2727" s="573" t="s">
        <v>752</v>
      </c>
      <c r="L2727" s="573">
        <v>6</v>
      </c>
      <c r="M2727" s="573">
        <v>0</v>
      </c>
      <c r="N2727" s="573" t="s">
        <v>157</v>
      </c>
      <c r="O2727" s="573">
        <v>2</v>
      </c>
      <c r="P2727" s="573" t="s">
        <v>3846</v>
      </c>
      <c r="Q2727" s="571">
        <v>12300</v>
      </c>
      <c r="R2727" s="573" t="s">
        <v>4231</v>
      </c>
      <c r="S2727" s="573">
        <v>8</v>
      </c>
      <c r="T2727" s="573" t="s">
        <v>4771</v>
      </c>
      <c r="U2727" s="573" t="s">
        <v>4505</v>
      </c>
      <c r="V2727" s="573">
        <v>164</v>
      </c>
      <c r="W2727" s="573">
        <v>34</v>
      </c>
      <c r="X2727" s="571">
        <v>11300</v>
      </c>
      <c r="Y2727" s="569">
        <v>12</v>
      </c>
      <c r="Z2727" s="579" t="s">
        <v>728</v>
      </c>
      <c r="AA2727" s="579" t="s">
        <v>1523</v>
      </c>
      <c r="AB2727" s="584">
        <v>50275</v>
      </c>
      <c r="AC2727" s="584" t="s">
        <v>164</v>
      </c>
      <c r="AD2727" s="584">
        <v>38227</v>
      </c>
      <c r="AE2727" s="586">
        <v>0.05</v>
      </c>
      <c r="AF2727" s="661" t="str">
        <f t="shared" si="297"/>
        <v>2019-LTK-FRD-F350-066-26</v>
      </c>
      <c r="AG2727" s="661" t="str">
        <f>IF(AND($Y2727&gt;=32,(AI2727="I"),(Y2727&lt;&gt;"~"),(COUNTIF($AN$1:$AN2727,$AN2727)=1)),"TRUE","FALSE")</f>
        <v>FALSE</v>
      </c>
      <c r="AH2727" s="661" t="str">
        <f>IF(AND($Y2727&gt;=22, (AI2727&lt;&gt;"I"),(Y2727&lt;&gt;"~"),(COUNTIF($AN$1:$AN2727,$AN2727)=1)),"TRUE","FALSE")</f>
        <v>FALSE</v>
      </c>
      <c r="AI2727" s="661" t="str">
        <f t="shared" si="299"/>
        <v>N/A</v>
      </c>
      <c r="AJ2727" s="662" t="str">
        <f t="shared" si="293"/>
        <v>F350-066</v>
      </c>
      <c r="AK2727" s="662" t="str">
        <f t="shared" si="294"/>
        <v>LTK</v>
      </c>
      <c r="AL2727" s="662" t="str">
        <f t="shared" si="295"/>
        <v>FRD</v>
      </c>
      <c r="AM2727" s="662" t="str">
        <f t="shared" si="298"/>
        <v>F350-Super Cab XL-4WD-6-8'-12300-6.7L Diesel-8-X3B-610A-164-34-Diesel-BioDiesel</v>
      </c>
      <c r="AN2727" s="662" t="str">
        <f t="shared" si="296"/>
        <v>2019-LTK-FRD-F350-066</v>
      </c>
    </row>
    <row r="2728" spans="1:40" ht="15">
      <c r="A2728" s="570" t="s">
        <v>4788</v>
      </c>
      <c r="B2728" s="569" t="s">
        <v>4770</v>
      </c>
      <c r="C2728" s="569" t="s">
        <v>280</v>
      </c>
      <c r="D2728" s="580">
        <v>27</v>
      </c>
      <c r="E2728" s="569" t="s">
        <v>3374</v>
      </c>
      <c r="F2728" s="569" t="s">
        <v>187</v>
      </c>
      <c r="G2728" s="569" t="s">
        <v>271</v>
      </c>
      <c r="H2728" s="569">
        <v>2019</v>
      </c>
      <c r="I2728" s="569" t="s">
        <v>4503</v>
      </c>
      <c r="J2728" s="569" t="s">
        <v>3996</v>
      </c>
      <c r="K2728" s="569" t="s">
        <v>752</v>
      </c>
      <c r="L2728" s="569">
        <v>6</v>
      </c>
      <c r="M2728" s="569">
        <v>0</v>
      </c>
      <c r="N2728" s="569" t="s">
        <v>157</v>
      </c>
      <c r="O2728" s="569">
        <v>2</v>
      </c>
      <c r="P2728" s="569" t="s">
        <v>4230</v>
      </c>
      <c r="Q2728" s="568">
        <v>12300</v>
      </c>
      <c r="R2728" s="569" t="s">
        <v>4235</v>
      </c>
      <c r="S2728" s="569">
        <v>8</v>
      </c>
      <c r="T2728" s="569" t="s">
        <v>4771</v>
      </c>
      <c r="U2728" s="569" t="s">
        <v>4505</v>
      </c>
      <c r="V2728" s="569">
        <v>148</v>
      </c>
      <c r="W2728" s="569">
        <v>34</v>
      </c>
      <c r="X2728" s="568">
        <v>10400</v>
      </c>
      <c r="Y2728" s="569">
        <v>12</v>
      </c>
      <c r="Z2728" s="581" t="s">
        <v>450</v>
      </c>
      <c r="AA2728" s="581" t="s">
        <v>178</v>
      </c>
      <c r="AB2728" s="585">
        <v>40955</v>
      </c>
      <c r="AC2728" s="585" t="s">
        <v>164</v>
      </c>
      <c r="AD2728" s="585">
        <v>29630.231578947372</v>
      </c>
      <c r="AE2728" s="587">
        <v>0.03</v>
      </c>
      <c r="AF2728" s="661" t="str">
        <f t="shared" si="297"/>
        <v>2019-LTK-FRD-F350-062-27</v>
      </c>
      <c r="AG2728" s="661" t="str">
        <f>IF(AND($Y2728&gt;=32,(AI2728="I"),(Y2728&lt;&gt;"~"),(COUNTIF($AN$1:$AN2728,$AN2728)=1)),"TRUE","FALSE")</f>
        <v>FALSE</v>
      </c>
      <c r="AH2728" s="661" t="str">
        <f>IF(AND($Y2728&gt;=22, (AI2728&lt;&gt;"I"),(Y2728&lt;&gt;"~"),(COUNTIF($AN$1:$AN2728,$AN2728)=1)),"TRUE","FALSE")</f>
        <v>FALSE</v>
      </c>
      <c r="AI2728" s="661" t="str">
        <f t="shared" si="299"/>
        <v>N/A</v>
      </c>
      <c r="AJ2728" s="662" t="str">
        <f t="shared" si="293"/>
        <v>F350-062</v>
      </c>
      <c r="AK2728" s="662" t="str">
        <f t="shared" si="294"/>
        <v>LTK</v>
      </c>
      <c r="AL2728" s="662" t="str">
        <f t="shared" si="295"/>
        <v>FRD</v>
      </c>
      <c r="AM2728" s="662" t="str">
        <f t="shared" si="298"/>
        <v>F350-Super Cab XL-4WD-6-6'9"-12300-6.2L FFV-8-X3B-610A-148-34-E85-Unleaded</v>
      </c>
      <c r="AN2728" s="662" t="str">
        <f t="shared" si="296"/>
        <v>2019-LTK-FRD-F350-062</v>
      </c>
    </row>
    <row r="2729" spans="1:40" ht="15">
      <c r="A2729" s="570" t="s">
        <v>4789</v>
      </c>
      <c r="B2729" s="573" t="s">
        <v>4773</v>
      </c>
      <c r="C2729" s="573" t="s">
        <v>280</v>
      </c>
      <c r="D2729" s="578">
        <v>27</v>
      </c>
      <c r="E2729" s="573" t="s">
        <v>3374</v>
      </c>
      <c r="F2729" s="573" t="s">
        <v>187</v>
      </c>
      <c r="G2729" s="573" t="s">
        <v>271</v>
      </c>
      <c r="H2729" s="573">
        <v>2019</v>
      </c>
      <c r="I2729" s="573" t="s">
        <v>4503</v>
      </c>
      <c r="J2729" s="573" t="s">
        <v>3996</v>
      </c>
      <c r="K2729" s="573" t="s">
        <v>752</v>
      </c>
      <c r="L2729" s="573">
        <v>6</v>
      </c>
      <c r="M2729" s="573">
        <v>0</v>
      </c>
      <c r="N2729" s="573" t="s">
        <v>157</v>
      </c>
      <c r="O2729" s="573">
        <v>2</v>
      </c>
      <c r="P2729" s="573" t="s">
        <v>4230</v>
      </c>
      <c r="Q2729" s="571">
        <v>12400</v>
      </c>
      <c r="R2729" s="573" t="s">
        <v>4235</v>
      </c>
      <c r="S2729" s="573">
        <v>8</v>
      </c>
      <c r="T2729" s="573" t="s">
        <v>4771</v>
      </c>
      <c r="U2729" s="573" t="s">
        <v>4505</v>
      </c>
      <c r="V2729" s="573">
        <v>148</v>
      </c>
      <c r="W2729" s="573">
        <v>34</v>
      </c>
      <c r="X2729" s="571">
        <v>10400</v>
      </c>
      <c r="Y2729" s="569">
        <v>12</v>
      </c>
      <c r="Z2729" s="579" t="s">
        <v>450</v>
      </c>
      <c r="AA2729" s="579" t="s">
        <v>178</v>
      </c>
      <c r="AB2729" s="584">
        <v>40955</v>
      </c>
      <c r="AC2729" s="584" t="s">
        <v>164</v>
      </c>
      <c r="AD2729" s="584">
        <v>29630.231578947372</v>
      </c>
      <c r="AE2729" s="586">
        <v>0.03</v>
      </c>
      <c r="AF2729" s="661" t="str">
        <f t="shared" si="297"/>
        <v>2019-LTK-FRD-F350-063-27</v>
      </c>
      <c r="AG2729" s="661" t="str">
        <f>IF(AND($Y2729&gt;=32,(AI2729="I"),(Y2729&lt;&gt;"~"),(COUNTIF($AN$1:$AN2729,$AN2729)=1)),"TRUE","FALSE")</f>
        <v>FALSE</v>
      </c>
      <c r="AH2729" s="661" t="str">
        <f>IF(AND($Y2729&gt;=22, (AI2729&lt;&gt;"I"),(Y2729&lt;&gt;"~"),(COUNTIF($AN$1:$AN2729,$AN2729)=1)),"TRUE","FALSE")</f>
        <v>FALSE</v>
      </c>
      <c r="AI2729" s="661" t="str">
        <f t="shared" si="299"/>
        <v>N/A</v>
      </c>
      <c r="AJ2729" s="662" t="str">
        <f t="shared" si="293"/>
        <v>F350-063</v>
      </c>
      <c r="AK2729" s="662" t="str">
        <f t="shared" si="294"/>
        <v>LTK</v>
      </c>
      <c r="AL2729" s="662" t="str">
        <f t="shared" si="295"/>
        <v>FRD</v>
      </c>
      <c r="AM2729" s="662" t="str">
        <f t="shared" si="298"/>
        <v>F350-Super Cab XL-4WD-6-6'9"-12400-6.2L FFV-8-X3B-610A-148-34-E85-Unleaded</v>
      </c>
      <c r="AN2729" s="662" t="str">
        <f t="shared" si="296"/>
        <v>2019-LTK-FRD-F350-063</v>
      </c>
    </row>
    <row r="2730" spans="1:40" ht="15">
      <c r="A2730" s="570" t="s">
        <v>4790</v>
      </c>
      <c r="B2730" s="569" t="s">
        <v>4775</v>
      </c>
      <c r="C2730" s="569" t="s">
        <v>280</v>
      </c>
      <c r="D2730" s="580">
        <v>27</v>
      </c>
      <c r="E2730" s="569" t="s">
        <v>3374</v>
      </c>
      <c r="F2730" s="569" t="s">
        <v>187</v>
      </c>
      <c r="G2730" s="569" t="s">
        <v>271</v>
      </c>
      <c r="H2730" s="569">
        <v>2019</v>
      </c>
      <c r="I2730" s="569" t="s">
        <v>4503</v>
      </c>
      <c r="J2730" s="569" t="s">
        <v>3996</v>
      </c>
      <c r="K2730" s="569" t="s">
        <v>752</v>
      </c>
      <c r="L2730" s="569">
        <v>6</v>
      </c>
      <c r="M2730" s="569">
        <v>0</v>
      </c>
      <c r="N2730" s="569" t="s">
        <v>157</v>
      </c>
      <c r="O2730" s="569">
        <v>2</v>
      </c>
      <c r="P2730" s="569" t="s">
        <v>4230</v>
      </c>
      <c r="Q2730" s="568">
        <v>12400</v>
      </c>
      <c r="R2730" s="569" t="s">
        <v>4231</v>
      </c>
      <c r="S2730" s="569">
        <v>8</v>
      </c>
      <c r="T2730" s="569" t="s">
        <v>4771</v>
      </c>
      <c r="U2730" s="569" t="s">
        <v>4505</v>
      </c>
      <c r="V2730" s="569">
        <v>148</v>
      </c>
      <c r="W2730" s="569">
        <v>29</v>
      </c>
      <c r="X2730" s="568">
        <v>11100</v>
      </c>
      <c r="Y2730" s="569">
        <v>12</v>
      </c>
      <c r="Z2730" s="581" t="s">
        <v>728</v>
      </c>
      <c r="AA2730" s="581" t="s">
        <v>1523</v>
      </c>
      <c r="AB2730" s="585">
        <v>50075</v>
      </c>
      <c r="AC2730" s="585" t="s">
        <v>164</v>
      </c>
      <c r="AD2730" s="585">
        <v>37822.421052631587</v>
      </c>
      <c r="AE2730" s="587">
        <v>0.03</v>
      </c>
      <c r="AF2730" s="661" t="str">
        <f t="shared" si="297"/>
        <v>2019-LTK-FRD-F350-064-27</v>
      </c>
      <c r="AG2730" s="661" t="str">
        <f>IF(AND($Y2730&gt;=32,(AI2730="I"),(Y2730&lt;&gt;"~"),(COUNTIF($AN$1:$AN2730,$AN2730)=1)),"TRUE","FALSE")</f>
        <v>FALSE</v>
      </c>
      <c r="AH2730" s="661" t="str">
        <f>IF(AND($Y2730&gt;=22, (AI2730&lt;&gt;"I"),(Y2730&lt;&gt;"~"),(COUNTIF($AN$1:$AN2730,$AN2730)=1)),"TRUE","FALSE")</f>
        <v>FALSE</v>
      </c>
      <c r="AI2730" s="661" t="str">
        <f t="shared" si="299"/>
        <v>N/A</v>
      </c>
      <c r="AJ2730" s="662" t="str">
        <f t="shared" si="293"/>
        <v>F350-064</v>
      </c>
      <c r="AK2730" s="662" t="str">
        <f t="shared" si="294"/>
        <v>LTK</v>
      </c>
      <c r="AL2730" s="662" t="str">
        <f t="shared" si="295"/>
        <v>FRD</v>
      </c>
      <c r="AM2730" s="662" t="str">
        <f t="shared" si="298"/>
        <v>F350-Super Cab XL-4WD-6-6'9"-12400-6.7L Diesel-8-X3B-610A-148-29-Diesel-BioDiesel</v>
      </c>
      <c r="AN2730" s="662" t="str">
        <f t="shared" si="296"/>
        <v>2019-LTK-FRD-F350-064</v>
      </c>
    </row>
    <row r="2731" spans="1:40" ht="15">
      <c r="A2731" s="570" t="s">
        <v>4791</v>
      </c>
      <c r="B2731" s="573" t="s">
        <v>4777</v>
      </c>
      <c r="C2731" s="573" t="s">
        <v>280</v>
      </c>
      <c r="D2731" s="578">
        <v>27</v>
      </c>
      <c r="E2731" s="573" t="s">
        <v>3374</v>
      </c>
      <c r="F2731" s="573" t="s">
        <v>187</v>
      </c>
      <c r="G2731" s="573" t="s">
        <v>271</v>
      </c>
      <c r="H2731" s="573">
        <v>2019</v>
      </c>
      <c r="I2731" s="573" t="s">
        <v>4503</v>
      </c>
      <c r="J2731" s="573" t="s">
        <v>3996</v>
      </c>
      <c r="K2731" s="573" t="s">
        <v>752</v>
      </c>
      <c r="L2731" s="573">
        <v>6</v>
      </c>
      <c r="M2731" s="573">
        <v>0</v>
      </c>
      <c r="N2731" s="573" t="s">
        <v>157</v>
      </c>
      <c r="O2731" s="573">
        <v>2</v>
      </c>
      <c r="P2731" s="573" t="s">
        <v>3846</v>
      </c>
      <c r="Q2731" s="571">
        <v>12300</v>
      </c>
      <c r="R2731" s="573" t="s">
        <v>4235</v>
      </c>
      <c r="S2731" s="573">
        <v>8</v>
      </c>
      <c r="T2731" s="573" t="s">
        <v>4771</v>
      </c>
      <c r="U2731" s="573" t="s">
        <v>4505</v>
      </c>
      <c r="V2731" s="573">
        <v>164</v>
      </c>
      <c r="W2731" s="573">
        <v>34</v>
      </c>
      <c r="X2731" s="571">
        <v>10700</v>
      </c>
      <c r="Y2731" s="569">
        <v>12</v>
      </c>
      <c r="Z2731" s="579" t="s">
        <v>450</v>
      </c>
      <c r="AA2731" s="579" t="s">
        <v>178</v>
      </c>
      <c r="AB2731" s="584">
        <v>41155</v>
      </c>
      <c r="AC2731" s="584" t="s">
        <v>164</v>
      </c>
      <c r="AD2731" s="584">
        <v>29814.442105263159</v>
      </c>
      <c r="AE2731" s="586">
        <v>0.03</v>
      </c>
      <c r="AF2731" s="661" t="str">
        <f t="shared" si="297"/>
        <v>2019-LTK-FRD-F350-065-27</v>
      </c>
      <c r="AG2731" s="661" t="str">
        <f>IF(AND($Y2731&gt;=32,(AI2731="I"),(Y2731&lt;&gt;"~"),(COUNTIF($AN$1:$AN2731,$AN2731)=1)),"TRUE","FALSE")</f>
        <v>FALSE</v>
      </c>
      <c r="AH2731" s="661" t="str">
        <f>IF(AND($Y2731&gt;=22, (AI2731&lt;&gt;"I"),(Y2731&lt;&gt;"~"),(COUNTIF($AN$1:$AN2731,$AN2731)=1)),"TRUE","FALSE")</f>
        <v>FALSE</v>
      </c>
      <c r="AI2731" s="661" t="str">
        <f t="shared" si="299"/>
        <v>N/A</v>
      </c>
      <c r="AJ2731" s="662" t="str">
        <f t="shared" si="293"/>
        <v>F350-065</v>
      </c>
      <c r="AK2731" s="662" t="str">
        <f t="shared" si="294"/>
        <v>LTK</v>
      </c>
      <c r="AL2731" s="662" t="str">
        <f t="shared" si="295"/>
        <v>FRD</v>
      </c>
      <c r="AM2731" s="662" t="str">
        <f t="shared" si="298"/>
        <v>F350-Super Cab XL-4WD-6-8'-12300-6.2L FFV-8-X3B-610A-164-34-E85-Unleaded</v>
      </c>
      <c r="AN2731" s="662" t="str">
        <f t="shared" si="296"/>
        <v>2019-LTK-FRD-F350-065</v>
      </c>
    </row>
    <row r="2732" spans="1:40" ht="15">
      <c r="A2732" s="570" t="s">
        <v>4792</v>
      </c>
      <c r="B2732" s="569" t="s">
        <v>4779</v>
      </c>
      <c r="C2732" s="569" t="s">
        <v>280</v>
      </c>
      <c r="D2732" s="580">
        <v>27</v>
      </c>
      <c r="E2732" s="569" t="s">
        <v>3374</v>
      </c>
      <c r="F2732" s="569" t="s">
        <v>187</v>
      </c>
      <c r="G2732" s="569" t="s">
        <v>271</v>
      </c>
      <c r="H2732" s="569">
        <v>2019</v>
      </c>
      <c r="I2732" s="569" t="s">
        <v>4503</v>
      </c>
      <c r="J2732" s="569" t="s">
        <v>3996</v>
      </c>
      <c r="K2732" s="569" t="s">
        <v>752</v>
      </c>
      <c r="L2732" s="569">
        <v>6</v>
      </c>
      <c r="M2732" s="569">
        <v>0</v>
      </c>
      <c r="N2732" s="569" t="s">
        <v>157</v>
      </c>
      <c r="O2732" s="569">
        <v>2</v>
      </c>
      <c r="P2732" s="569" t="s">
        <v>3846</v>
      </c>
      <c r="Q2732" s="568">
        <v>12300</v>
      </c>
      <c r="R2732" s="569" t="s">
        <v>4231</v>
      </c>
      <c r="S2732" s="569">
        <v>8</v>
      </c>
      <c r="T2732" s="569" t="s">
        <v>4771</v>
      </c>
      <c r="U2732" s="569" t="s">
        <v>4505</v>
      </c>
      <c r="V2732" s="569">
        <v>164</v>
      </c>
      <c r="W2732" s="569">
        <v>34</v>
      </c>
      <c r="X2732" s="568">
        <v>11300</v>
      </c>
      <c r="Y2732" s="569">
        <v>12</v>
      </c>
      <c r="Z2732" s="581" t="s">
        <v>728</v>
      </c>
      <c r="AA2732" s="581" t="s">
        <v>1523</v>
      </c>
      <c r="AB2732" s="585">
        <v>50275</v>
      </c>
      <c r="AC2732" s="585" t="s">
        <v>164</v>
      </c>
      <c r="AD2732" s="585">
        <v>38006.631578947374</v>
      </c>
      <c r="AE2732" s="587">
        <v>0.03</v>
      </c>
      <c r="AF2732" s="661" t="str">
        <f t="shared" si="297"/>
        <v>2019-LTK-FRD-F350-066-27</v>
      </c>
      <c r="AG2732" s="661" t="str">
        <f>IF(AND($Y2732&gt;=32,(AI2732="I"),(Y2732&lt;&gt;"~"),(COUNTIF($AN$1:$AN2732,$AN2732)=1)),"TRUE","FALSE")</f>
        <v>FALSE</v>
      </c>
      <c r="AH2732" s="661" t="str">
        <f>IF(AND($Y2732&gt;=22, (AI2732&lt;&gt;"I"),(Y2732&lt;&gt;"~"),(COUNTIF($AN$1:$AN2732,$AN2732)=1)),"TRUE","FALSE")</f>
        <v>FALSE</v>
      </c>
      <c r="AI2732" s="661" t="str">
        <f t="shared" si="299"/>
        <v>N/A</v>
      </c>
      <c r="AJ2732" s="662" t="str">
        <f t="shared" si="293"/>
        <v>F350-066</v>
      </c>
      <c r="AK2732" s="662" t="str">
        <f t="shared" si="294"/>
        <v>LTK</v>
      </c>
      <c r="AL2732" s="662" t="str">
        <f t="shared" si="295"/>
        <v>FRD</v>
      </c>
      <c r="AM2732" s="662" t="str">
        <f t="shared" si="298"/>
        <v>F350-Super Cab XL-4WD-6-8'-12300-6.7L Diesel-8-X3B-610A-164-34-Diesel-BioDiesel</v>
      </c>
      <c r="AN2732" s="662" t="str">
        <f t="shared" si="296"/>
        <v>2019-LTK-FRD-F350-066</v>
      </c>
    </row>
    <row r="2733" spans="1:40" ht="15">
      <c r="A2733" s="570" t="s">
        <v>4793</v>
      </c>
      <c r="B2733" s="573" t="s">
        <v>4794</v>
      </c>
      <c r="C2733" s="573" t="s">
        <v>269</v>
      </c>
      <c r="D2733" s="578" t="s">
        <v>270</v>
      </c>
      <c r="E2733" s="573" t="s">
        <v>3374</v>
      </c>
      <c r="F2733" s="573" t="s">
        <v>187</v>
      </c>
      <c r="G2733" s="573" t="s">
        <v>271</v>
      </c>
      <c r="H2733" s="573">
        <v>2019</v>
      </c>
      <c r="I2733" s="573" t="s">
        <v>4503</v>
      </c>
      <c r="J2733" s="573" t="s">
        <v>4795</v>
      </c>
      <c r="K2733" s="573" t="s">
        <v>3377</v>
      </c>
      <c r="L2733" s="573">
        <v>6</v>
      </c>
      <c r="M2733" s="573">
        <v>0</v>
      </c>
      <c r="N2733" s="573" t="s">
        <v>157</v>
      </c>
      <c r="O2733" s="573">
        <v>2</v>
      </c>
      <c r="P2733" s="573" t="s">
        <v>3846</v>
      </c>
      <c r="Q2733" s="571">
        <v>12700</v>
      </c>
      <c r="R2733" s="573" t="s">
        <v>4235</v>
      </c>
      <c r="S2733" s="573">
        <v>8</v>
      </c>
      <c r="T2733" s="573" t="s">
        <v>4796</v>
      </c>
      <c r="U2733" s="573" t="s">
        <v>4558</v>
      </c>
      <c r="V2733" s="573">
        <v>164</v>
      </c>
      <c r="W2733" s="573">
        <v>34</v>
      </c>
      <c r="X2733" s="571">
        <v>14000</v>
      </c>
      <c r="Y2733" s="569">
        <v>13</v>
      </c>
      <c r="Z2733" s="579" t="s">
        <v>450</v>
      </c>
      <c r="AA2733" s="579" t="s">
        <v>178</v>
      </c>
      <c r="AB2733" s="584">
        <v>39840</v>
      </c>
      <c r="AC2733" s="584" t="s">
        <v>164</v>
      </c>
      <c r="AD2733" s="584">
        <v>29442.863157894739</v>
      </c>
      <c r="AE2733" s="586">
        <v>0.03</v>
      </c>
      <c r="AF2733" s="661" t="str">
        <f t="shared" si="297"/>
        <v>2019-LTK-FRD-F350-053-05</v>
      </c>
      <c r="AG2733" s="661" t="str">
        <f>IF(AND($Y2733&gt;=32,(AI2733="I"),(Y2733&lt;&gt;"~"),(COUNTIF($AN$1:$AN2733,$AN2733)=1)),"TRUE","FALSE")</f>
        <v>FALSE</v>
      </c>
      <c r="AH2733" s="661" t="str">
        <f>IF(AND($Y2733&gt;=22, (AI2733&lt;&gt;"I"),(Y2733&lt;&gt;"~"),(COUNTIF($AN$1:$AN2733,$AN2733)=1)),"TRUE","FALSE")</f>
        <v>FALSE</v>
      </c>
      <c r="AI2733" s="661" t="str">
        <f t="shared" si="299"/>
        <v>N/A</v>
      </c>
      <c r="AJ2733" s="662" t="str">
        <f t="shared" si="293"/>
        <v>F350-053</v>
      </c>
      <c r="AK2733" s="662" t="str">
        <f t="shared" si="294"/>
        <v>LTK</v>
      </c>
      <c r="AL2733" s="662" t="str">
        <f t="shared" si="295"/>
        <v>FRD</v>
      </c>
      <c r="AM2733" s="662" t="str">
        <f t="shared" si="298"/>
        <v>F350-Super Cab XL DRW-2WD-6-8'-12700-6.2L FFV-8-X3C-620A-164-34-E85-Unleaded</v>
      </c>
      <c r="AN2733" s="662" t="str">
        <f t="shared" si="296"/>
        <v>2019-LTK-FRD-F350-053</v>
      </c>
    </row>
    <row r="2734" spans="1:40" ht="15">
      <c r="A2734" s="570" t="s">
        <v>4797</v>
      </c>
      <c r="B2734" s="569" t="s">
        <v>4798</v>
      </c>
      <c r="C2734" s="569" t="s">
        <v>269</v>
      </c>
      <c r="D2734" s="580" t="s">
        <v>270</v>
      </c>
      <c r="E2734" s="569" t="s">
        <v>3374</v>
      </c>
      <c r="F2734" s="569" t="s">
        <v>187</v>
      </c>
      <c r="G2734" s="569" t="s">
        <v>271</v>
      </c>
      <c r="H2734" s="569">
        <v>2019</v>
      </c>
      <c r="I2734" s="569" t="s">
        <v>4503</v>
      </c>
      <c r="J2734" s="569" t="s">
        <v>4795</v>
      </c>
      <c r="K2734" s="569" t="s">
        <v>3377</v>
      </c>
      <c r="L2734" s="569">
        <v>6</v>
      </c>
      <c r="M2734" s="569">
        <v>0</v>
      </c>
      <c r="N2734" s="569" t="s">
        <v>157</v>
      </c>
      <c r="O2734" s="569">
        <v>2</v>
      </c>
      <c r="P2734" s="569" t="s">
        <v>3846</v>
      </c>
      <c r="Q2734" s="568">
        <v>12700</v>
      </c>
      <c r="R2734" s="569" t="s">
        <v>4231</v>
      </c>
      <c r="S2734" s="569">
        <v>8</v>
      </c>
      <c r="T2734" s="569" t="s">
        <v>4796</v>
      </c>
      <c r="U2734" s="569" t="s">
        <v>4558</v>
      </c>
      <c r="V2734" s="569">
        <v>164</v>
      </c>
      <c r="W2734" s="569">
        <v>34</v>
      </c>
      <c r="X2734" s="568">
        <v>14000</v>
      </c>
      <c r="Y2734" s="569">
        <v>13</v>
      </c>
      <c r="Z2734" s="581" t="s">
        <v>728</v>
      </c>
      <c r="AA2734" s="581" t="s">
        <v>1523</v>
      </c>
      <c r="AB2734" s="585">
        <v>48960</v>
      </c>
      <c r="AC2734" s="585" t="s">
        <v>164</v>
      </c>
      <c r="AD2734" s="585">
        <v>37635.052631578954</v>
      </c>
      <c r="AE2734" s="587">
        <v>0.03</v>
      </c>
      <c r="AF2734" s="661" t="str">
        <f t="shared" si="297"/>
        <v>2019-LTK-FRD-F350-054-05</v>
      </c>
      <c r="AG2734" s="661" t="str">
        <f>IF(AND($Y2734&gt;=32,(AI2734="I"),(Y2734&lt;&gt;"~"),(COUNTIF($AN$1:$AN2734,$AN2734)=1)),"TRUE","FALSE")</f>
        <v>FALSE</v>
      </c>
      <c r="AH2734" s="661" t="str">
        <f>IF(AND($Y2734&gt;=22, (AI2734&lt;&gt;"I"),(Y2734&lt;&gt;"~"),(COUNTIF($AN$1:$AN2734,$AN2734)=1)),"TRUE","FALSE")</f>
        <v>FALSE</v>
      </c>
      <c r="AI2734" s="661" t="str">
        <f t="shared" si="299"/>
        <v>N/A</v>
      </c>
      <c r="AJ2734" s="662" t="str">
        <f t="shared" si="293"/>
        <v>F350-054</v>
      </c>
      <c r="AK2734" s="662" t="str">
        <f t="shared" si="294"/>
        <v>LTK</v>
      </c>
      <c r="AL2734" s="662" t="str">
        <f t="shared" si="295"/>
        <v>FRD</v>
      </c>
      <c r="AM2734" s="662" t="str">
        <f t="shared" si="298"/>
        <v>F350-Super Cab XL DRW-2WD-6-8'-12700-6.7L Diesel-8-X3C-620A-164-34-Diesel-BioDiesel</v>
      </c>
      <c r="AN2734" s="662" t="str">
        <f t="shared" si="296"/>
        <v>2019-LTK-FRD-F350-054</v>
      </c>
    </row>
    <row r="2735" spans="1:40" ht="15">
      <c r="A2735" s="570" t="s">
        <v>4799</v>
      </c>
      <c r="B2735" s="573" t="s">
        <v>4794</v>
      </c>
      <c r="C2735" s="573" t="s">
        <v>278</v>
      </c>
      <c r="D2735" s="578">
        <v>15</v>
      </c>
      <c r="E2735" s="573" t="s">
        <v>3374</v>
      </c>
      <c r="F2735" s="573" t="s">
        <v>187</v>
      </c>
      <c r="G2735" s="573" t="s">
        <v>271</v>
      </c>
      <c r="H2735" s="573">
        <v>2019</v>
      </c>
      <c r="I2735" s="573" t="s">
        <v>4503</v>
      </c>
      <c r="J2735" s="573" t="s">
        <v>4795</v>
      </c>
      <c r="K2735" s="573" t="s">
        <v>3377</v>
      </c>
      <c r="L2735" s="573">
        <v>6</v>
      </c>
      <c r="M2735" s="573">
        <v>0</v>
      </c>
      <c r="N2735" s="573" t="s">
        <v>157</v>
      </c>
      <c r="O2735" s="573">
        <v>2</v>
      </c>
      <c r="P2735" s="573" t="s">
        <v>3846</v>
      </c>
      <c r="Q2735" s="571">
        <v>12700</v>
      </c>
      <c r="R2735" s="573" t="s">
        <v>4235</v>
      </c>
      <c r="S2735" s="573">
        <v>8</v>
      </c>
      <c r="T2735" s="573" t="s">
        <v>4796</v>
      </c>
      <c r="U2735" s="573" t="s">
        <v>4558</v>
      </c>
      <c r="V2735" s="573">
        <v>164</v>
      </c>
      <c r="W2735" s="573">
        <v>34</v>
      </c>
      <c r="X2735" s="571">
        <v>14000</v>
      </c>
      <c r="Y2735" s="569">
        <v>13</v>
      </c>
      <c r="Z2735" s="579" t="s">
        <v>450</v>
      </c>
      <c r="AA2735" s="579" t="s">
        <v>178</v>
      </c>
      <c r="AB2735" s="584">
        <v>39840</v>
      </c>
      <c r="AC2735" s="584" t="s">
        <v>164</v>
      </c>
      <c r="AD2735" s="584">
        <v>29550</v>
      </c>
      <c r="AE2735" s="586">
        <v>0.01</v>
      </c>
      <c r="AF2735" s="661" t="str">
        <f t="shared" si="297"/>
        <v>2019-LTK-FRD-F350-053-15</v>
      </c>
      <c r="AG2735" s="661" t="str">
        <f>IF(AND($Y2735&gt;=32,(AI2735="I"),(Y2735&lt;&gt;"~"),(COUNTIF($AN$1:$AN2735,$AN2735)=1)),"TRUE","FALSE")</f>
        <v>FALSE</v>
      </c>
      <c r="AH2735" s="661" t="str">
        <f>IF(AND($Y2735&gt;=22, (AI2735&lt;&gt;"I"),(Y2735&lt;&gt;"~"),(COUNTIF($AN$1:$AN2735,$AN2735)=1)),"TRUE","FALSE")</f>
        <v>FALSE</v>
      </c>
      <c r="AI2735" s="661" t="str">
        <f t="shared" si="299"/>
        <v>N/A</v>
      </c>
      <c r="AJ2735" s="662" t="str">
        <f t="shared" si="293"/>
        <v>F350-053</v>
      </c>
      <c r="AK2735" s="662" t="str">
        <f t="shared" si="294"/>
        <v>LTK</v>
      </c>
      <c r="AL2735" s="662" t="str">
        <f t="shared" si="295"/>
        <v>FRD</v>
      </c>
      <c r="AM2735" s="662" t="str">
        <f t="shared" si="298"/>
        <v>F350-Super Cab XL DRW-2WD-6-8'-12700-6.2L FFV-8-X3C-620A-164-34-E85-Unleaded</v>
      </c>
      <c r="AN2735" s="662" t="str">
        <f t="shared" si="296"/>
        <v>2019-LTK-FRD-F350-053</v>
      </c>
    </row>
    <row r="2736" spans="1:40" ht="15">
      <c r="A2736" s="570" t="s">
        <v>4800</v>
      </c>
      <c r="B2736" s="569" t="s">
        <v>4798</v>
      </c>
      <c r="C2736" s="569" t="s">
        <v>278</v>
      </c>
      <c r="D2736" s="580">
        <v>15</v>
      </c>
      <c r="E2736" s="569" t="s">
        <v>3374</v>
      </c>
      <c r="F2736" s="569" t="s">
        <v>187</v>
      </c>
      <c r="G2736" s="569" t="s">
        <v>271</v>
      </c>
      <c r="H2736" s="569">
        <v>2019</v>
      </c>
      <c r="I2736" s="569" t="s">
        <v>4503</v>
      </c>
      <c r="J2736" s="569" t="s">
        <v>4795</v>
      </c>
      <c r="K2736" s="569" t="s">
        <v>3377</v>
      </c>
      <c r="L2736" s="569">
        <v>6</v>
      </c>
      <c r="M2736" s="569">
        <v>0</v>
      </c>
      <c r="N2736" s="569" t="s">
        <v>157</v>
      </c>
      <c r="O2736" s="569">
        <v>2</v>
      </c>
      <c r="P2736" s="569" t="s">
        <v>3846</v>
      </c>
      <c r="Q2736" s="568">
        <v>12700</v>
      </c>
      <c r="R2736" s="569" t="s">
        <v>4231</v>
      </c>
      <c r="S2736" s="569">
        <v>8</v>
      </c>
      <c r="T2736" s="569" t="s">
        <v>4796</v>
      </c>
      <c r="U2736" s="569" t="s">
        <v>4558</v>
      </c>
      <c r="V2736" s="569">
        <v>164</v>
      </c>
      <c r="W2736" s="569">
        <v>34</v>
      </c>
      <c r="X2736" s="568">
        <v>14000</v>
      </c>
      <c r="Y2736" s="569">
        <v>13</v>
      </c>
      <c r="Z2736" s="581" t="s">
        <v>728</v>
      </c>
      <c r="AA2736" s="581" t="s">
        <v>1523</v>
      </c>
      <c r="AB2736" s="585">
        <v>48960</v>
      </c>
      <c r="AC2736" s="585" t="s">
        <v>164</v>
      </c>
      <c r="AD2736" s="585">
        <v>37850</v>
      </c>
      <c r="AE2736" s="587">
        <v>0.01</v>
      </c>
      <c r="AF2736" s="661" t="str">
        <f t="shared" si="297"/>
        <v>2019-LTK-FRD-F350-054-15</v>
      </c>
      <c r="AG2736" s="661" t="str">
        <f>IF(AND($Y2736&gt;=32,(AI2736="I"),(Y2736&lt;&gt;"~"),(COUNTIF($AN$1:$AN2736,$AN2736)=1)),"TRUE","FALSE")</f>
        <v>FALSE</v>
      </c>
      <c r="AH2736" s="661" t="str">
        <f>IF(AND($Y2736&gt;=22, (AI2736&lt;&gt;"I"),(Y2736&lt;&gt;"~"),(COUNTIF($AN$1:$AN2736,$AN2736)=1)),"TRUE","FALSE")</f>
        <v>FALSE</v>
      </c>
      <c r="AI2736" s="661" t="str">
        <f t="shared" si="299"/>
        <v>N/A</v>
      </c>
      <c r="AJ2736" s="662" t="str">
        <f t="shared" si="293"/>
        <v>F350-054</v>
      </c>
      <c r="AK2736" s="662" t="str">
        <f t="shared" si="294"/>
        <v>LTK</v>
      </c>
      <c r="AL2736" s="662" t="str">
        <f t="shared" si="295"/>
        <v>FRD</v>
      </c>
      <c r="AM2736" s="662" t="str">
        <f t="shared" si="298"/>
        <v>F350-Super Cab XL DRW-2WD-6-8'-12700-6.7L Diesel-8-X3C-620A-164-34-Diesel-BioDiesel</v>
      </c>
      <c r="AN2736" s="662" t="str">
        <f t="shared" si="296"/>
        <v>2019-LTK-FRD-F350-054</v>
      </c>
    </row>
    <row r="2737" spans="1:40" ht="15">
      <c r="A2737" s="570" t="s">
        <v>4801</v>
      </c>
      <c r="B2737" s="573" t="s">
        <v>4794</v>
      </c>
      <c r="C2737" s="573" t="s">
        <v>287</v>
      </c>
      <c r="D2737" s="578">
        <v>26</v>
      </c>
      <c r="E2737" s="573" t="s">
        <v>3374</v>
      </c>
      <c r="F2737" s="573" t="s">
        <v>187</v>
      </c>
      <c r="G2737" s="573" t="s">
        <v>271</v>
      </c>
      <c r="H2737" s="573">
        <v>2019</v>
      </c>
      <c r="I2737" s="573" t="s">
        <v>4503</v>
      </c>
      <c r="J2737" s="573" t="s">
        <v>4795</v>
      </c>
      <c r="K2737" s="573" t="s">
        <v>3377</v>
      </c>
      <c r="L2737" s="573">
        <v>6</v>
      </c>
      <c r="M2737" s="573">
        <v>0</v>
      </c>
      <c r="N2737" s="573" t="s">
        <v>157</v>
      </c>
      <c r="O2737" s="573">
        <v>2</v>
      </c>
      <c r="P2737" s="573" t="s">
        <v>3846</v>
      </c>
      <c r="Q2737" s="571">
        <v>12700</v>
      </c>
      <c r="R2737" s="573" t="s">
        <v>4235</v>
      </c>
      <c r="S2737" s="573">
        <v>8</v>
      </c>
      <c r="T2737" s="573" t="s">
        <v>4796</v>
      </c>
      <c r="U2737" s="573" t="s">
        <v>4558</v>
      </c>
      <c r="V2737" s="573">
        <v>164</v>
      </c>
      <c r="W2737" s="573">
        <v>34</v>
      </c>
      <c r="X2737" s="571">
        <v>14000</v>
      </c>
      <c r="Y2737" s="569">
        <v>13</v>
      </c>
      <c r="Z2737" s="579" t="s">
        <v>450</v>
      </c>
      <c r="AA2737" s="579" t="s">
        <v>178</v>
      </c>
      <c r="AB2737" s="584">
        <v>39840</v>
      </c>
      <c r="AC2737" s="584" t="s">
        <v>164</v>
      </c>
      <c r="AD2737" s="584">
        <v>29686</v>
      </c>
      <c r="AE2737" s="586">
        <v>0.05</v>
      </c>
      <c r="AF2737" s="661" t="str">
        <f t="shared" si="297"/>
        <v>2019-LTK-FRD-F350-053-26</v>
      </c>
      <c r="AG2737" s="661" t="str">
        <f>IF(AND($Y2737&gt;=32,(AI2737="I"),(Y2737&lt;&gt;"~"),(COUNTIF($AN$1:$AN2737,$AN2737)=1)),"TRUE","FALSE")</f>
        <v>FALSE</v>
      </c>
      <c r="AH2737" s="661" t="str">
        <f>IF(AND($Y2737&gt;=22, (AI2737&lt;&gt;"I"),(Y2737&lt;&gt;"~"),(COUNTIF($AN$1:$AN2737,$AN2737)=1)),"TRUE","FALSE")</f>
        <v>FALSE</v>
      </c>
      <c r="AI2737" s="661" t="str">
        <f t="shared" si="299"/>
        <v>N/A</v>
      </c>
      <c r="AJ2737" s="662" t="str">
        <f t="shared" si="293"/>
        <v>F350-053</v>
      </c>
      <c r="AK2737" s="662" t="str">
        <f t="shared" si="294"/>
        <v>LTK</v>
      </c>
      <c r="AL2737" s="662" t="str">
        <f t="shared" si="295"/>
        <v>FRD</v>
      </c>
      <c r="AM2737" s="662" t="str">
        <f t="shared" si="298"/>
        <v>F350-Super Cab XL DRW-2WD-6-8'-12700-6.2L FFV-8-X3C-620A-164-34-E85-Unleaded</v>
      </c>
      <c r="AN2737" s="662" t="str">
        <f t="shared" si="296"/>
        <v>2019-LTK-FRD-F350-053</v>
      </c>
    </row>
    <row r="2738" spans="1:40" ht="15">
      <c r="A2738" s="570" t="s">
        <v>4802</v>
      </c>
      <c r="B2738" s="569" t="s">
        <v>4798</v>
      </c>
      <c r="C2738" s="569" t="s">
        <v>287</v>
      </c>
      <c r="D2738" s="580">
        <v>26</v>
      </c>
      <c r="E2738" s="569" t="s">
        <v>3374</v>
      </c>
      <c r="F2738" s="569" t="s">
        <v>187</v>
      </c>
      <c r="G2738" s="569" t="s">
        <v>271</v>
      </c>
      <c r="H2738" s="569">
        <v>2019</v>
      </c>
      <c r="I2738" s="569" t="s">
        <v>4503</v>
      </c>
      <c r="J2738" s="569" t="s">
        <v>4795</v>
      </c>
      <c r="K2738" s="569" t="s">
        <v>3377</v>
      </c>
      <c r="L2738" s="569">
        <v>6</v>
      </c>
      <c r="M2738" s="569">
        <v>0</v>
      </c>
      <c r="N2738" s="569" t="s">
        <v>157</v>
      </c>
      <c r="O2738" s="569">
        <v>2</v>
      </c>
      <c r="P2738" s="569" t="s">
        <v>3846</v>
      </c>
      <c r="Q2738" s="568">
        <v>12700</v>
      </c>
      <c r="R2738" s="569" t="s">
        <v>4231</v>
      </c>
      <c r="S2738" s="569">
        <v>8</v>
      </c>
      <c r="T2738" s="569" t="s">
        <v>4796</v>
      </c>
      <c r="U2738" s="569" t="s">
        <v>4558</v>
      </c>
      <c r="V2738" s="569">
        <v>164</v>
      </c>
      <c r="W2738" s="569">
        <v>34</v>
      </c>
      <c r="X2738" s="568">
        <v>14000</v>
      </c>
      <c r="Y2738" s="569">
        <v>13</v>
      </c>
      <c r="Z2738" s="581" t="s">
        <v>728</v>
      </c>
      <c r="AA2738" s="581" t="s">
        <v>1523</v>
      </c>
      <c r="AB2738" s="585">
        <v>48960</v>
      </c>
      <c r="AC2738" s="585" t="s">
        <v>164</v>
      </c>
      <c r="AD2738" s="585">
        <v>37881</v>
      </c>
      <c r="AE2738" s="587">
        <v>0.05</v>
      </c>
      <c r="AF2738" s="661" t="str">
        <f t="shared" si="297"/>
        <v>2019-LTK-FRD-F350-054-26</v>
      </c>
      <c r="AG2738" s="661" t="str">
        <f>IF(AND($Y2738&gt;=32,(AI2738="I"),(Y2738&lt;&gt;"~"),(COUNTIF($AN$1:$AN2738,$AN2738)=1)),"TRUE","FALSE")</f>
        <v>FALSE</v>
      </c>
      <c r="AH2738" s="661" t="str">
        <f>IF(AND($Y2738&gt;=22, (AI2738&lt;&gt;"I"),(Y2738&lt;&gt;"~"),(COUNTIF($AN$1:$AN2738,$AN2738)=1)),"TRUE","FALSE")</f>
        <v>FALSE</v>
      </c>
      <c r="AI2738" s="661" t="str">
        <f t="shared" si="299"/>
        <v>N/A</v>
      </c>
      <c r="AJ2738" s="662" t="str">
        <f t="shared" si="293"/>
        <v>F350-054</v>
      </c>
      <c r="AK2738" s="662" t="str">
        <f t="shared" si="294"/>
        <v>LTK</v>
      </c>
      <c r="AL2738" s="662" t="str">
        <f t="shared" si="295"/>
        <v>FRD</v>
      </c>
      <c r="AM2738" s="662" t="str">
        <f t="shared" si="298"/>
        <v>F350-Super Cab XL DRW-2WD-6-8'-12700-6.7L Diesel-8-X3C-620A-164-34-Diesel-BioDiesel</v>
      </c>
      <c r="AN2738" s="662" t="str">
        <f t="shared" si="296"/>
        <v>2019-LTK-FRD-F350-054</v>
      </c>
    </row>
    <row r="2739" spans="1:40" ht="15">
      <c r="A2739" s="570" t="s">
        <v>4803</v>
      </c>
      <c r="B2739" s="573" t="s">
        <v>4794</v>
      </c>
      <c r="C2739" s="573" t="s">
        <v>280</v>
      </c>
      <c r="D2739" s="578">
        <v>27</v>
      </c>
      <c r="E2739" s="573" t="s">
        <v>3374</v>
      </c>
      <c r="F2739" s="573" t="s">
        <v>187</v>
      </c>
      <c r="G2739" s="573" t="s">
        <v>271</v>
      </c>
      <c r="H2739" s="573">
        <v>2019</v>
      </c>
      <c r="I2739" s="573" t="s">
        <v>4503</v>
      </c>
      <c r="J2739" s="573" t="s">
        <v>4795</v>
      </c>
      <c r="K2739" s="573" t="s">
        <v>3377</v>
      </c>
      <c r="L2739" s="573">
        <v>6</v>
      </c>
      <c r="M2739" s="573">
        <v>0</v>
      </c>
      <c r="N2739" s="573" t="s">
        <v>157</v>
      </c>
      <c r="O2739" s="573">
        <v>2</v>
      </c>
      <c r="P2739" s="573" t="s">
        <v>3846</v>
      </c>
      <c r="Q2739" s="571">
        <v>12700</v>
      </c>
      <c r="R2739" s="573" t="s">
        <v>4235</v>
      </c>
      <c r="S2739" s="573">
        <v>8</v>
      </c>
      <c r="T2739" s="573" t="s">
        <v>4796</v>
      </c>
      <c r="U2739" s="573" t="s">
        <v>4558</v>
      </c>
      <c r="V2739" s="573">
        <v>164</v>
      </c>
      <c r="W2739" s="573">
        <v>34</v>
      </c>
      <c r="X2739" s="571">
        <v>14000</v>
      </c>
      <c r="Y2739" s="569">
        <v>13</v>
      </c>
      <c r="Z2739" s="579" t="s">
        <v>450</v>
      </c>
      <c r="AA2739" s="579" t="s">
        <v>178</v>
      </c>
      <c r="AB2739" s="584">
        <v>39840</v>
      </c>
      <c r="AC2739" s="584" t="s">
        <v>164</v>
      </c>
      <c r="AD2739" s="584">
        <v>29442.863157894739</v>
      </c>
      <c r="AE2739" s="586">
        <v>0.03</v>
      </c>
      <c r="AF2739" s="661" t="str">
        <f t="shared" si="297"/>
        <v>2019-LTK-FRD-F350-053-27</v>
      </c>
      <c r="AG2739" s="661" t="str">
        <f>IF(AND($Y2739&gt;=32,(AI2739="I"),(Y2739&lt;&gt;"~"),(COUNTIF($AN$1:$AN2739,$AN2739)=1)),"TRUE","FALSE")</f>
        <v>FALSE</v>
      </c>
      <c r="AH2739" s="661" t="str">
        <f>IF(AND($Y2739&gt;=22, (AI2739&lt;&gt;"I"),(Y2739&lt;&gt;"~"),(COUNTIF($AN$1:$AN2739,$AN2739)=1)),"TRUE","FALSE")</f>
        <v>FALSE</v>
      </c>
      <c r="AI2739" s="661" t="str">
        <f t="shared" si="299"/>
        <v>N/A</v>
      </c>
      <c r="AJ2739" s="662" t="str">
        <f t="shared" si="293"/>
        <v>F350-053</v>
      </c>
      <c r="AK2739" s="662" t="str">
        <f t="shared" si="294"/>
        <v>LTK</v>
      </c>
      <c r="AL2739" s="662" t="str">
        <f t="shared" si="295"/>
        <v>FRD</v>
      </c>
      <c r="AM2739" s="662" t="str">
        <f t="shared" si="298"/>
        <v>F350-Super Cab XL DRW-2WD-6-8'-12700-6.2L FFV-8-X3C-620A-164-34-E85-Unleaded</v>
      </c>
      <c r="AN2739" s="662" t="str">
        <f t="shared" si="296"/>
        <v>2019-LTK-FRD-F350-053</v>
      </c>
    </row>
    <row r="2740" spans="1:40" ht="15">
      <c r="A2740" s="570" t="s">
        <v>4804</v>
      </c>
      <c r="B2740" s="569" t="s">
        <v>4798</v>
      </c>
      <c r="C2740" s="569" t="s">
        <v>280</v>
      </c>
      <c r="D2740" s="580">
        <v>27</v>
      </c>
      <c r="E2740" s="569" t="s">
        <v>3374</v>
      </c>
      <c r="F2740" s="569" t="s">
        <v>187</v>
      </c>
      <c r="G2740" s="569" t="s">
        <v>271</v>
      </c>
      <c r="H2740" s="569">
        <v>2019</v>
      </c>
      <c r="I2740" s="569" t="s">
        <v>4503</v>
      </c>
      <c r="J2740" s="569" t="s">
        <v>4795</v>
      </c>
      <c r="K2740" s="569" t="s">
        <v>3377</v>
      </c>
      <c r="L2740" s="569">
        <v>6</v>
      </c>
      <c r="M2740" s="569">
        <v>0</v>
      </c>
      <c r="N2740" s="569" t="s">
        <v>157</v>
      </c>
      <c r="O2740" s="569">
        <v>2</v>
      </c>
      <c r="P2740" s="569" t="s">
        <v>3846</v>
      </c>
      <c r="Q2740" s="568">
        <v>12700</v>
      </c>
      <c r="R2740" s="569" t="s">
        <v>4231</v>
      </c>
      <c r="S2740" s="569">
        <v>8</v>
      </c>
      <c r="T2740" s="569" t="s">
        <v>4796</v>
      </c>
      <c r="U2740" s="569" t="s">
        <v>4558</v>
      </c>
      <c r="V2740" s="569">
        <v>164</v>
      </c>
      <c r="W2740" s="569">
        <v>34</v>
      </c>
      <c r="X2740" s="568">
        <v>14000</v>
      </c>
      <c r="Y2740" s="569">
        <v>13</v>
      </c>
      <c r="Z2740" s="581" t="s">
        <v>728</v>
      </c>
      <c r="AA2740" s="581" t="s">
        <v>1523</v>
      </c>
      <c r="AB2740" s="585">
        <v>48960</v>
      </c>
      <c r="AC2740" s="585" t="s">
        <v>164</v>
      </c>
      <c r="AD2740" s="585">
        <v>37635.052631578954</v>
      </c>
      <c r="AE2740" s="587">
        <v>0.03</v>
      </c>
      <c r="AF2740" s="661" t="str">
        <f t="shared" si="297"/>
        <v>2019-LTK-FRD-F350-054-27</v>
      </c>
      <c r="AG2740" s="661" t="str">
        <f>IF(AND($Y2740&gt;=32,(AI2740="I"),(Y2740&lt;&gt;"~"),(COUNTIF($AN$1:$AN2740,$AN2740)=1)),"TRUE","FALSE")</f>
        <v>FALSE</v>
      </c>
      <c r="AH2740" s="661" t="str">
        <f>IF(AND($Y2740&gt;=22, (AI2740&lt;&gt;"I"),(Y2740&lt;&gt;"~"),(COUNTIF($AN$1:$AN2740,$AN2740)=1)),"TRUE","FALSE")</f>
        <v>FALSE</v>
      </c>
      <c r="AI2740" s="661" t="str">
        <f t="shared" si="299"/>
        <v>N/A</v>
      </c>
      <c r="AJ2740" s="662" t="str">
        <f t="shared" si="293"/>
        <v>F350-054</v>
      </c>
      <c r="AK2740" s="662" t="str">
        <f t="shared" si="294"/>
        <v>LTK</v>
      </c>
      <c r="AL2740" s="662" t="str">
        <f t="shared" si="295"/>
        <v>FRD</v>
      </c>
      <c r="AM2740" s="662" t="str">
        <f t="shared" si="298"/>
        <v>F350-Super Cab XL DRW-2WD-6-8'-12700-6.7L Diesel-8-X3C-620A-164-34-Diesel-BioDiesel</v>
      </c>
      <c r="AN2740" s="662" t="str">
        <f t="shared" si="296"/>
        <v>2019-LTK-FRD-F350-054</v>
      </c>
    </row>
    <row r="2741" spans="1:40" ht="15">
      <c r="A2741" s="570" t="s">
        <v>4805</v>
      </c>
      <c r="B2741" s="573" t="s">
        <v>4806</v>
      </c>
      <c r="C2741" s="573" t="s">
        <v>269</v>
      </c>
      <c r="D2741" s="578" t="s">
        <v>270</v>
      </c>
      <c r="E2741" s="573" t="s">
        <v>3374</v>
      </c>
      <c r="F2741" s="573" t="s">
        <v>187</v>
      </c>
      <c r="G2741" s="573" t="s">
        <v>271</v>
      </c>
      <c r="H2741" s="573">
        <v>2019</v>
      </c>
      <c r="I2741" s="573" t="s">
        <v>4503</v>
      </c>
      <c r="J2741" s="573" t="s">
        <v>4795</v>
      </c>
      <c r="K2741" s="573" t="s">
        <v>752</v>
      </c>
      <c r="L2741" s="573">
        <v>6</v>
      </c>
      <c r="M2741" s="573">
        <v>0</v>
      </c>
      <c r="N2741" s="573" t="s">
        <v>157</v>
      </c>
      <c r="O2741" s="573">
        <v>2</v>
      </c>
      <c r="P2741" s="573" t="s">
        <v>3846</v>
      </c>
      <c r="Q2741" s="571">
        <v>12300</v>
      </c>
      <c r="R2741" s="573" t="s">
        <v>4235</v>
      </c>
      <c r="S2741" s="573">
        <v>8</v>
      </c>
      <c r="T2741" s="573" t="s">
        <v>4807</v>
      </c>
      <c r="U2741" s="573" t="s">
        <v>4558</v>
      </c>
      <c r="V2741" s="573">
        <v>164</v>
      </c>
      <c r="W2741" s="573">
        <v>34</v>
      </c>
      <c r="X2741" s="571">
        <v>14000</v>
      </c>
      <c r="Y2741" s="569">
        <v>12</v>
      </c>
      <c r="Z2741" s="579" t="s">
        <v>450</v>
      </c>
      <c r="AA2741" s="579" t="s">
        <v>178</v>
      </c>
      <c r="AB2741" s="584">
        <v>42635</v>
      </c>
      <c r="AC2741" s="584" t="s">
        <v>164</v>
      </c>
      <c r="AD2741" s="584">
        <v>32867.073684210533</v>
      </c>
      <c r="AE2741" s="586">
        <v>0.03</v>
      </c>
      <c r="AF2741" s="661" t="str">
        <f t="shared" si="297"/>
        <v>2019-LTK-FRD-F350-055-05</v>
      </c>
      <c r="AG2741" s="661" t="str">
        <f>IF(AND($Y2741&gt;=32,(AI2741="I"),(Y2741&lt;&gt;"~"),(COUNTIF($AN$1:$AN2741,$AN2741)=1)),"TRUE","FALSE")</f>
        <v>FALSE</v>
      </c>
      <c r="AH2741" s="661" t="str">
        <f>IF(AND($Y2741&gt;=22, (AI2741&lt;&gt;"I"),(Y2741&lt;&gt;"~"),(COUNTIF($AN$1:$AN2741,$AN2741)=1)),"TRUE","FALSE")</f>
        <v>FALSE</v>
      </c>
      <c r="AI2741" s="661" t="str">
        <f t="shared" si="299"/>
        <v>N/A</v>
      </c>
      <c r="AJ2741" s="662" t="str">
        <f t="shared" si="293"/>
        <v>F350-055</v>
      </c>
      <c r="AK2741" s="662" t="str">
        <f t="shared" si="294"/>
        <v>LTK</v>
      </c>
      <c r="AL2741" s="662" t="str">
        <f t="shared" si="295"/>
        <v>FRD</v>
      </c>
      <c r="AM2741" s="662" t="str">
        <f t="shared" si="298"/>
        <v>F350-Super Cab XL DRW-4WD-6-8'-12300-6.2L FFV-8-X3D-620A-164-34-E85-Unleaded</v>
      </c>
      <c r="AN2741" s="662" t="str">
        <f t="shared" si="296"/>
        <v>2019-LTK-FRD-F350-055</v>
      </c>
    </row>
    <row r="2742" spans="1:40" ht="15">
      <c r="A2742" s="570" t="s">
        <v>4808</v>
      </c>
      <c r="B2742" s="569" t="s">
        <v>4809</v>
      </c>
      <c r="C2742" s="569" t="s">
        <v>269</v>
      </c>
      <c r="D2742" s="580" t="s">
        <v>270</v>
      </c>
      <c r="E2742" s="569" t="s">
        <v>3374</v>
      </c>
      <c r="F2742" s="569" t="s">
        <v>187</v>
      </c>
      <c r="G2742" s="569" t="s">
        <v>271</v>
      </c>
      <c r="H2742" s="569">
        <v>2019</v>
      </c>
      <c r="I2742" s="569" t="s">
        <v>4503</v>
      </c>
      <c r="J2742" s="569" t="s">
        <v>4795</v>
      </c>
      <c r="K2742" s="569" t="s">
        <v>752</v>
      </c>
      <c r="L2742" s="569">
        <v>6</v>
      </c>
      <c r="M2742" s="569">
        <v>0</v>
      </c>
      <c r="N2742" s="569" t="s">
        <v>157</v>
      </c>
      <c r="O2742" s="569">
        <v>2</v>
      </c>
      <c r="P2742" s="569" t="s">
        <v>3846</v>
      </c>
      <c r="Q2742" s="568">
        <v>12300</v>
      </c>
      <c r="R2742" s="569" t="s">
        <v>4231</v>
      </c>
      <c r="S2742" s="569">
        <v>8</v>
      </c>
      <c r="T2742" s="569" t="s">
        <v>4807</v>
      </c>
      <c r="U2742" s="569" t="s">
        <v>4558</v>
      </c>
      <c r="V2742" s="569">
        <v>164</v>
      </c>
      <c r="W2742" s="569">
        <v>34</v>
      </c>
      <c r="X2742" s="568">
        <v>14000</v>
      </c>
      <c r="Y2742" s="569">
        <v>12</v>
      </c>
      <c r="Z2742" s="581" t="s">
        <v>728</v>
      </c>
      <c r="AA2742" s="581" t="s">
        <v>1523</v>
      </c>
      <c r="AB2742" s="585">
        <v>51755</v>
      </c>
      <c r="AC2742" s="585" t="s">
        <v>164</v>
      </c>
      <c r="AD2742" s="585">
        <v>41059.26315789474</v>
      </c>
      <c r="AE2742" s="587">
        <v>0.03</v>
      </c>
      <c r="AF2742" s="661" t="str">
        <f t="shared" si="297"/>
        <v>2019-LTK-FRD-F350-056-05</v>
      </c>
      <c r="AG2742" s="661" t="str">
        <f>IF(AND($Y2742&gt;=32,(AI2742="I"),(Y2742&lt;&gt;"~"),(COUNTIF($AN$1:$AN2742,$AN2742)=1)),"TRUE","FALSE")</f>
        <v>FALSE</v>
      </c>
      <c r="AH2742" s="661" t="str">
        <f>IF(AND($Y2742&gt;=22, (AI2742&lt;&gt;"I"),(Y2742&lt;&gt;"~"),(COUNTIF($AN$1:$AN2742,$AN2742)=1)),"TRUE","FALSE")</f>
        <v>FALSE</v>
      </c>
      <c r="AI2742" s="661" t="str">
        <f t="shared" si="299"/>
        <v>N/A</v>
      </c>
      <c r="AJ2742" s="662" t="str">
        <f t="shared" si="293"/>
        <v>F350-056</v>
      </c>
      <c r="AK2742" s="662" t="str">
        <f t="shared" si="294"/>
        <v>LTK</v>
      </c>
      <c r="AL2742" s="662" t="str">
        <f t="shared" si="295"/>
        <v>FRD</v>
      </c>
      <c r="AM2742" s="662" t="str">
        <f t="shared" si="298"/>
        <v>F350-Super Cab XL DRW-4WD-6-8'-12300-6.7L Diesel-8-X3D-620A-164-34-Diesel-BioDiesel</v>
      </c>
      <c r="AN2742" s="662" t="str">
        <f t="shared" si="296"/>
        <v>2019-LTK-FRD-F350-056</v>
      </c>
    </row>
    <row r="2743" spans="1:40" ht="15">
      <c r="A2743" s="570" t="s">
        <v>4810</v>
      </c>
      <c r="B2743" s="573" t="s">
        <v>4806</v>
      </c>
      <c r="C2743" s="573" t="s">
        <v>278</v>
      </c>
      <c r="D2743" s="578">
        <v>15</v>
      </c>
      <c r="E2743" s="573" t="s">
        <v>3374</v>
      </c>
      <c r="F2743" s="573" t="s">
        <v>187</v>
      </c>
      <c r="G2743" s="573" t="s">
        <v>271</v>
      </c>
      <c r="H2743" s="573">
        <v>2019</v>
      </c>
      <c r="I2743" s="573" t="s">
        <v>4503</v>
      </c>
      <c r="J2743" s="573" t="s">
        <v>4795</v>
      </c>
      <c r="K2743" s="573" t="s">
        <v>752</v>
      </c>
      <c r="L2743" s="573">
        <v>6</v>
      </c>
      <c r="M2743" s="573">
        <v>0</v>
      </c>
      <c r="N2743" s="573" t="s">
        <v>157</v>
      </c>
      <c r="O2743" s="573">
        <v>2</v>
      </c>
      <c r="P2743" s="573" t="s">
        <v>3846</v>
      </c>
      <c r="Q2743" s="571">
        <v>12300</v>
      </c>
      <c r="R2743" s="573" t="s">
        <v>4235</v>
      </c>
      <c r="S2743" s="573">
        <v>8</v>
      </c>
      <c r="T2743" s="573" t="s">
        <v>4807</v>
      </c>
      <c r="U2743" s="573" t="s">
        <v>4558</v>
      </c>
      <c r="V2743" s="573">
        <v>164</v>
      </c>
      <c r="W2743" s="573">
        <v>34</v>
      </c>
      <c r="X2743" s="571">
        <v>14000</v>
      </c>
      <c r="Y2743" s="569">
        <v>12</v>
      </c>
      <c r="Z2743" s="579" t="s">
        <v>450</v>
      </c>
      <c r="AA2743" s="579" t="s">
        <v>178</v>
      </c>
      <c r="AB2743" s="584">
        <v>42635</v>
      </c>
      <c r="AC2743" s="584" t="s">
        <v>164</v>
      </c>
      <c r="AD2743" s="584">
        <v>32995</v>
      </c>
      <c r="AE2743" s="586">
        <v>0.01</v>
      </c>
      <c r="AF2743" s="661" t="str">
        <f t="shared" si="297"/>
        <v>2019-LTK-FRD-F350-055-15</v>
      </c>
      <c r="AG2743" s="661" t="str">
        <f>IF(AND($Y2743&gt;=32,(AI2743="I"),(Y2743&lt;&gt;"~"),(COUNTIF($AN$1:$AN2743,$AN2743)=1)),"TRUE","FALSE")</f>
        <v>FALSE</v>
      </c>
      <c r="AH2743" s="661" t="str">
        <f>IF(AND($Y2743&gt;=22, (AI2743&lt;&gt;"I"),(Y2743&lt;&gt;"~"),(COUNTIF($AN$1:$AN2743,$AN2743)=1)),"TRUE","FALSE")</f>
        <v>FALSE</v>
      </c>
      <c r="AI2743" s="661" t="str">
        <f t="shared" si="299"/>
        <v>N/A</v>
      </c>
      <c r="AJ2743" s="662" t="str">
        <f t="shared" si="293"/>
        <v>F350-055</v>
      </c>
      <c r="AK2743" s="662" t="str">
        <f t="shared" si="294"/>
        <v>LTK</v>
      </c>
      <c r="AL2743" s="662" t="str">
        <f t="shared" si="295"/>
        <v>FRD</v>
      </c>
      <c r="AM2743" s="662" t="str">
        <f t="shared" si="298"/>
        <v>F350-Super Cab XL DRW-4WD-6-8'-12300-6.2L FFV-8-X3D-620A-164-34-E85-Unleaded</v>
      </c>
      <c r="AN2743" s="662" t="str">
        <f t="shared" si="296"/>
        <v>2019-LTK-FRD-F350-055</v>
      </c>
    </row>
    <row r="2744" spans="1:40" ht="15">
      <c r="A2744" s="570" t="s">
        <v>4811</v>
      </c>
      <c r="B2744" s="569" t="s">
        <v>4809</v>
      </c>
      <c r="C2744" s="569" t="s">
        <v>278</v>
      </c>
      <c r="D2744" s="580">
        <v>15</v>
      </c>
      <c r="E2744" s="569" t="s">
        <v>3374</v>
      </c>
      <c r="F2744" s="569" t="s">
        <v>187</v>
      </c>
      <c r="G2744" s="569" t="s">
        <v>271</v>
      </c>
      <c r="H2744" s="569">
        <v>2019</v>
      </c>
      <c r="I2744" s="569" t="s">
        <v>4503</v>
      </c>
      <c r="J2744" s="569" t="s">
        <v>4795</v>
      </c>
      <c r="K2744" s="569" t="s">
        <v>752</v>
      </c>
      <c r="L2744" s="569">
        <v>6</v>
      </c>
      <c r="M2744" s="569">
        <v>0</v>
      </c>
      <c r="N2744" s="569" t="s">
        <v>157</v>
      </c>
      <c r="O2744" s="569">
        <v>2</v>
      </c>
      <c r="P2744" s="569" t="s">
        <v>3846</v>
      </c>
      <c r="Q2744" s="568">
        <v>12300</v>
      </c>
      <c r="R2744" s="569" t="s">
        <v>4231</v>
      </c>
      <c r="S2744" s="569">
        <v>8</v>
      </c>
      <c r="T2744" s="569" t="s">
        <v>4807</v>
      </c>
      <c r="U2744" s="569" t="s">
        <v>4558</v>
      </c>
      <c r="V2744" s="569">
        <v>164</v>
      </c>
      <c r="W2744" s="569">
        <v>34</v>
      </c>
      <c r="X2744" s="568">
        <v>14000</v>
      </c>
      <c r="Y2744" s="569">
        <v>12</v>
      </c>
      <c r="Z2744" s="581" t="s">
        <v>728</v>
      </c>
      <c r="AA2744" s="581" t="s">
        <v>1523</v>
      </c>
      <c r="AB2744" s="585">
        <v>51755</v>
      </c>
      <c r="AC2744" s="585" t="s">
        <v>164</v>
      </c>
      <c r="AD2744" s="585">
        <v>41300</v>
      </c>
      <c r="AE2744" s="587">
        <v>0.01</v>
      </c>
      <c r="AF2744" s="661" t="str">
        <f t="shared" si="297"/>
        <v>2019-LTK-FRD-F350-056-15</v>
      </c>
      <c r="AG2744" s="661" t="str">
        <f>IF(AND($Y2744&gt;=32,(AI2744="I"),(Y2744&lt;&gt;"~"),(COUNTIF($AN$1:$AN2744,$AN2744)=1)),"TRUE","FALSE")</f>
        <v>FALSE</v>
      </c>
      <c r="AH2744" s="661" t="str">
        <f>IF(AND($Y2744&gt;=22, (AI2744&lt;&gt;"I"),(Y2744&lt;&gt;"~"),(COUNTIF($AN$1:$AN2744,$AN2744)=1)),"TRUE","FALSE")</f>
        <v>FALSE</v>
      </c>
      <c r="AI2744" s="661" t="str">
        <f t="shared" si="299"/>
        <v>N/A</v>
      </c>
      <c r="AJ2744" s="662" t="str">
        <f t="shared" si="293"/>
        <v>F350-056</v>
      </c>
      <c r="AK2744" s="662" t="str">
        <f t="shared" si="294"/>
        <v>LTK</v>
      </c>
      <c r="AL2744" s="662" t="str">
        <f t="shared" si="295"/>
        <v>FRD</v>
      </c>
      <c r="AM2744" s="662" t="str">
        <f t="shared" si="298"/>
        <v>F350-Super Cab XL DRW-4WD-6-8'-12300-6.7L Diesel-8-X3D-620A-164-34-Diesel-BioDiesel</v>
      </c>
      <c r="AN2744" s="662" t="str">
        <f t="shared" si="296"/>
        <v>2019-LTK-FRD-F350-056</v>
      </c>
    </row>
    <row r="2745" spans="1:40" ht="15">
      <c r="A2745" s="570" t="s">
        <v>4812</v>
      </c>
      <c r="B2745" s="573" t="s">
        <v>4806</v>
      </c>
      <c r="C2745" s="573" t="s">
        <v>287</v>
      </c>
      <c r="D2745" s="578">
        <v>26</v>
      </c>
      <c r="E2745" s="573" t="s">
        <v>3374</v>
      </c>
      <c r="F2745" s="573" t="s">
        <v>187</v>
      </c>
      <c r="G2745" s="573" t="s">
        <v>271</v>
      </c>
      <c r="H2745" s="573">
        <v>2019</v>
      </c>
      <c r="I2745" s="573" t="s">
        <v>4503</v>
      </c>
      <c r="J2745" s="573" t="s">
        <v>4795</v>
      </c>
      <c r="K2745" s="573" t="s">
        <v>752</v>
      </c>
      <c r="L2745" s="573">
        <v>6</v>
      </c>
      <c r="M2745" s="573">
        <v>0</v>
      </c>
      <c r="N2745" s="573" t="s">
        <v>157</v>
      </c>
      <c r="O2745" s="573">
        <v>2</v>
      </c>
      <c r="P2745" s="573" t="s">
        <v>3846</v>
      </c>
      <c r="Q2745" s="571">
        <v>12300</v>
      </c>
      <c r="R2745" s="573" t="s">
        <v>4235</v>
      </c>
      <c r="S2745" s="573">
        <v>8</v>
      </c>
      <c r="T2745" s="573" t="s">
        <v>4807</v>
      </c>
      <c r="U2745" s="573" t="s">
        <v>4558</v>
      </c>
      <c r="V2745" s="573">
        <v>164</v>
      </c>
      <c r="W2745" s="573">
        <v>34</v>
      </c>
      <c r="X2745" s="571">
        <v>14000</v>
      </c>
      <c r="Y2745" s="569">
        <v>12</v>
      </c>
      <c r="Z2745" s="579" t="s">
        <v>450</v>
      </c>
      <c r="AA2745" s="579" t="s">
        <v>178</v>
      </c>
      <c r="AB2745" s="584">
        <v>42635</v>
      </c>
      <c r="AC2745" s="584" t="s">
        <v>164</v>
      </c>
      <c r="AD2745" s="584">
        <v>33162</v>
      </c>
      <c r="AE2745" s="586">
        <v>0.05</v>
      </c>
      <c r="AF2745" s="661" t="str">
        <f t="shared" si="297"/>
        <v>2019-LTK-FRD-F350-055-26</v>
      </c>
      <c r="AG2745" s="661" t="str">
        <f>IF(AND($Y2745&gt;=32,(AI2745="I"),(Y2745&lt;&gt;"~"),(COUNTIF($AN$1:$AN2745,$AN2745)=1)),"TRUE","FALSE")</f>
        <v>FALSE</v>
      </c>
      <c r="AH2745" s="661" t="str">
        <f>IF(AND($Y2745&gt;=22, (AI2745&lt;&gt;"I"),(Y2745&lt;&gt;"~"),(COUNTIF($AN$1:$AN2745,$AN2745)=1)),"TRUE","FALSE")</f>
        <v>FALSE</v>
      </c>
      <c r="AI2745" s="661" t="str">
        <f t="shared" si="299"/>
        <v>N/A</v>
      </c>
      <c r="AJ2745" s="662" t="str">
        <f t="shared" si="293"/>
        <v>F350-055</v>
      </c>
      <c r="AK2745" s="662" t="str">
        <f t="shared" si="294"/>
        <v>LTK</v>
      </c>
      <c r="AL2745" s="662" t="str">
        <f t="shared" si="295"/>
        <v>FRD</v>
      </c>
      <c r="AM2745" s="662" t="str">
        <f t="shared" si="298"/>
        <v>F350-Super Cab XL DRW-4WD-6-8'-12300-6.2L FFV-8-X3D-620A-164-34-E85-Unleaded</v>
      </c>
      <c r="AN2745" s="662" t="str">
        <f t="shared" si="296"/>
        <v>2019-LTK-FRD-F350-055</v>
      </c>
    </row>
    <row r="2746" spans="1:40" ht="15">
      <c r="A2746" s="570" t="s">
        <v>4813</v>
      </c>
      <c r="B2746" s="569" t="s">
        <v>4809</v>
      </c>
      <c r="C2746" s="569" t="s">
        <v>287</v>
      </c>
      <c r="D2746" s="580">
        <v>26</v>
      </c>
      <c r="E2746" s="569" t="s">
        <v>3374</v>
      </c>
      <c r="F2746" s="569" t="s">
        <v>187</v>
      </c>
      <c r="G2746" s="569" t="s">
        <v>271</v>
      </c>
      <c r="H2746" s="569">
        <v>2019</v>
      </c>
      <c r="I2746" s="569" t="s">
        <v>4503</v>
      </c>
      <c r="J2746" s="569" t="s">
        <v>4795</v>
      </c>
      <c r="K2746" s="569" t="s">
        <v>752</v>
      </c>
      <c r="L2746" s="569">
        <v>6</v>
      </c>
      <c r="M2746" s="569">
        <v>0</v>
      </c>
      <c r="N2746" s="569" t="s">
        <v>157</v>
      </c>
      <c r="O2746" s="569">
        <v>2</v>
      </c>
      <c r="P2746" s="569" t="s">
        <v>3846</v>
      </c>
      <c r="Q2746" s="568">
        <v>12300</v>
      </c>
      <c r="R2746" s="569" t="s">
        <v>4231</v>
      </c>
      <c r="S2746" s="569">
        <v>8</v>
      </c>
      <c r="T2746" s="569" t="s">
        <v>4807</v>
      </c>
      <c r="U2746" s="569" t="s">
        <v>4558</v>
      </c>
      <c r="V2746" s="569">
        <v>164</v>
      </c>
      <c r="W2746" s="569">
        <v>34</v>
      </c>
      <c r="X2746" s="568">
        <v>14000</v>
      </c>
      <c r="Y2746" s="569">
        <v>12</v>
      </c>
      <c r="Z2746" s="581" t="s">
        <v>728</v>
      </c>
      <c r="AA2746" s="581" t="s">
        <v>1523</v>
      </c>
      <c r="AB2746" s="585">
        <v>51755</v>
      </c>
      <c r="AC2746" s="585" t="s">
        <v>164</v>
      </c>
      <c r="AD2746" s="585">
        <v>41356</v>
      </c>
      <c r="AE2746" s="587">
        <v>0.05</v>
      </c>
      <c r="AF2746" s="661" t="str">
        <f t="shared" si="297"/>
        <v>2019-LTK-FRD-F350-056-26</v>
      </c>
      <c r="AG2746" s="661" t="str">
        <f>IF(AND($Y2746&gt;=32,(AI2746="I"),(Y2746&lt;&gt;"~"),(COUNTIF($AN$1:$AN2746,$AN2746)=1)),"TRUE","FALSE")</f>
        <v>FALSE</v>
      </c>
      <c r="AH2746" s="661" t="str">
        <f>IF(AND($Y2746&gt;=22, (AI2746&lt;&gt;"I"),(Y2746&lt;&gt;"~"),(COUNTIF($AN$1:$AN2746,$AN2746)=1)),"TRUE","FALSE")</f>
        <v>FALSE</v>
      </c>
      <c r="AI2746" s="661" t="str">
        <f t="shared" si="299"/>
        <v>N/A</v>
      </c>
      <c r="AJ2746" s="662" t="str">
        <f t="shared" si="293"/>
        <v>F350-056</v>
      </c>
      <c r="AK2746" s="662" t="str">
        <f t="shared" si="294"/>
        <v>LTK</v>
      </c>
      <c r="AL2746" s="662" t="str">
        <f t="shared" si="295"/>
        <v>FRD</v>
      </c>
      <c r="AM2746" s="662" t="str">
        <f t="shared" si="298"/>
        <v>F350-Super Cab XL DRW-4WD-6-8'-12300-6.7L Diesel-8-X3D-620A-164-34-Diesel-BioDiesel</v>
      </c>
      <c r="AN2746" s="662" t="str">
        <f t="shared" si="296"/>
        <v>2019-LTK-FRD-F350-056</v>
      </c>
    </row>
    <row r="2747" spans="1:40" ht="15">
      <c r="A2747" s="570" t="s">
        <v>4814</v>
      </c>
      <c r="B2747" s="573" t="s">
        <v>4806</v>
      </c>
      <c r="C2747" s="573" t="s">
        <v>280</v>
      </c>
      <c r="D2747" s="578">
        <v>27</v>
      </c>
      <c r="E2747" s="573" t="s">
        <v>3374</v>
      </c>
      <c r="F2747" s="573" t="s">
        <v>187</v>
      </c>
      <c r="G2747" s="573" t="s">
        <v>271</v>
      </c>
      <c r="H2747" s="573">
        <v>2019</v>
      </c>
      <c r="I2747" s="573" t="s">
        <v>4503</v>
      </c>
      <c r="J2747" s="573" t="s">
        <v>4795</v>
      </c>
      <c r="K2747" s="573" t="s">
        <v>752</v>
      </c>
      <c r="L2747" s="573">
        <v>6</v>
      </c>
      <c r="M2747" s="573">
        <v>0</v>
      </c>
      <c r="N2747" s="573" t="s">
        <v>157</v>
      </c>
      <c r="O2747" s="573">
        <v>2</v>
      </c>
      <c r="P2747" s="573" t="s">
        <v>3846</v>
      </c>
      <c r="Q2747" s="571">
        <v>12300</v>
      </c>
      <c r="R2747" s="573" t="s">
        <v>4235</v>
      </c>
      <c r="S2747" s="573">
        <v>8</v>
      </c>
      <c r="T2747" s="573" t="s">
        <v>4807</v>
      </c>
      <c r="U2747" s="573" t="s">
        <v>4558</v>
      </c>
      <c r="V2747" s="573">
        <v>164</v>
      </c>
      <c r="W2747" s="573">
        <v>34</v>
      </c>
      <c r="X2747" s="571">
        <v>14000</v>
      </c>
      <c r="Y2747" s="569">
        <v>12</v>
      </c>
      <c r="Z2747" s="579" t="s">
        <v>450</v>
      </c>
      <c r="AA2747" s="579" t="s">
        <v>178</v>
      </c>
      <c r="AB2747" s="584">
        <v>42635</v>
      </c>
      <c r="AC2747" s="584" t="s">
        <v>164</v>
      </c>
      <c r="AD2747" s="584">
        <v>32867.073684210533</v>
      </c>
      <c r="AE2747" s="586">
        <v>0.03</v>
      </c>
      <c r="AF2747" s="661" t="str">
        <f t="shared" si="297"/>
        <v>2019-LTK-FRD-F350-055-27</v>
      </c>
      <c r="AG2747" s="661" t="str">
        <f>IF(AND($Y2747&gt;=32,(AI2747="I"),(Y2747&lt;&gt;"~"),(COUNTIF($AN$1:$AN2747,$AN2747)=1)),"TRUE","FALSE")</f>
        <v>FALSE</v>
      </c>
      <c r="AH2747" s="661" t="str">
        <f>IF(AND($Y2747&gt;=22, (AI2747&lt;&gt;"I"),(Y2747&lt;&gt;"~"),(COUNTIF($AN$1:$AN2747,$AN2747)=1)),"TRUE","FALSE")</f>
        <v>FALSE</v>
      </c>
      <c r="AI2747" s="661" t="str">
        <f t="shared" si="299"/>
        <v>N/A</v>
      </c>
      <c r="AJ2747" s="662" t="str">
        <f t="shared" si="293"/>
        <v>F350-055</v>
      </c>
      <c r="AK2747" s="662" t="str">
        <f t="shared" si="294"/>
        <v>LTK</v>
      </c>
      <c r="AL2747" s="662" t="str">
        <f t="shared" si="295"/>
        <v>FRD</v>
      </c>
      <c r="AM2747" s="662" t="str">
        <f t="shared" si="298"/>
        <v>F350-Super Cab XL DRW-4WD-6-8'-12300-6.2L FFV-8-X3D-620A-164-34-E85-Unleaded</v>
      </c>
      <c r="AN2747" s="662" t="str">
        <f t="shared" si="296"/>
        <v>2019-LTK-FRD-F350-055</v>
      </c>
    </row>
    <row r="2748" spans="1:40" ht="15">
      <c r="A2748" s="570" t="s">
        <v>4815</v>
      </c>
      <c r="B2748" s="569" t="s">
        <v>4809</v>
      </c>
      <c r="C2748" s="569" t="s">
        <v>280</v>
      </c>
      <c r="D2748" s="580">
        <v>27</v>
      </c>
      <c r="E2748" s="569" t="s">
        <v>3374</v>
      </c>
      <c r="F2748" s="569" t="s">
        <v>187</v>
      </c>
      <c r="G2748" s="569" t="s">
        <v>271</v>
      </c>
      <c r="H2748" s="569">
        <v>2019</v>
      </c>
      <c r="I2748" s="569" t="s">
        <v>4503</v>
      </c>
      <c r="J2748" s="569" t="s">
        <v>4795</v>
      </c>
      <c r="K2748" s="569" t="s">
        <v>752</v>
      </c>
      <c r="L2748" s="569">
        <v>6</v>
      </c>
      <c r="M2748" s="569">
        <v>0</v>
      </c>
      <c r="N2748" s="569" t="s">
        <v>157</v>
      </c>
      <c r="O2748" s="569">
        <v>2</v>
      </c>
      <c r="P2748" s="569" t="s">
        <v>3846</v>
      </c>
      <c r="Q2748" s="568">
        <v>12300</v>
      </c>
      <c r="R2748" s="569" t="s">
        <v>4231</v>
      </c>
      <c r="S2748" s="569">
        <v>8</v>
      </c>
      <c r="T2748" s="569" t="s">
        <v>4807</v>
      </c>
      <c r="U2748" s="569" t="s">
        <v>4558</v>
      </c>
      <c r="V2748" s="569">
        <v>164</v>
      </c>
      <c r="W2748" s="569">
        <v>34</v>
      </c>
      <c r="X2748" s="568">
        <v>14000</v>
      </c>
      <c r="Y2748" s="569">
        <v>12</v>
      </c>
      <c r="Z2748" s="581" t="s">
        <v>728</v>
      </c>
      <c r="AA2748" s="581" t="s">
        <v>1523</v>
      </c>
      <c r="AB2748" s="585">
        <v>51755</v>
      </c>
      <c r="AC2748" s="585" t="s">
        <v>164</v>
      </c>
      <c r="AD2748" s="585">
        <v>41059.26315789474</v>
      </c>
      <c r="AE2748" s="587">
        <v>0.03</v>
      </c>
      <c r="AF2748" s="661" t="str">
        <f t="shared" si="297"/>
        <v>2019-LTK-FRD-F350-056-27</v>
      </c>
      <c r="AG2748" s="661" t="str">
        <f>IF(AND($Y2748&gt;=32,(AI2748="I"),(Y2748&lt;&gt;"~"),(COUNTIF($AN$1:$AN2748,$AN2748)=1)),"TRUE","FALSE")</f>
        <v>FALSE</v>
      </c>
      <c r="AH2748" s="661" t="str">
        <f>IF(AND($Y2748&gt;=22, (AI2748&lt;&gt;"I"),(Y2748&lt;&gt;"~"),(COUNTIF($AN$1:$AN2748,$AN2748)=1)),"TRUE","FALSE")</f>
        <v>FALSE</v>
      </c>
      <c r="AI2748" s="661" t="str">
        <f t="shared" si="299"/>
        <v>N/A</v>
      </c>
      <c r="AJ2748" s="662" t="str">
        <f t="shared" si="293"/>
        <v>F350-056</v>
      </c>
      <c r="AK2748" s="662" t="str">
        <f t="shared" si="294"/>
        <v>LTK</v>
      </c>
      <c r="AL2748" s="662" t="str">
        <f t="shared" si="295"/>
        <v>FRD</v>
      </c>
      <c r="AM2748" s="662" t="str">
        <f t="shared" si="298"/>
        <v>F350-Super Cab XL DRW-4WD-6-8'-12300-6.7L Diesel-8-X3D-620A-164-34-Diesel-BioDiesel</v>
      </c>
      <c r="AN2748" s="662" t="str">
        <f t="shared" si="296"/>
        <v>2019-LTK-FRD-F350-056</v>
      </c>
    </row>
    <row r="2749" spans="1:40" ht="15">
      <c r="A2749" s="570" t="s">
        <v>4816</v>
      </c>
      <c r="B2749" s="573" t="s">
        <v>4817</v>
      </c>
      <c r="C2749" s="573" t="s">
        <v>269</v>
      </c>
      <c r="D2749" s="578" t="s">
        <v>270</v>
      </c>
      <c r="E2749" s="573" t="s">
        <v>3374</v>
      </c>
      <c r="F2749" s="573" t="s">
        <v>187</v>
      </c>
      <c r="G2749" s="573" t="s">
        <v>271</v>
      </c>
      <c r="H2749" s="573">
        <v>2019</v>
      </c>
      <c r="I2749" s="573" t="s">
        <v>4503</v>
      </c>
      <c r="J2749" s="573" t="s">
        <v>4070</v>
      </c>
      <c r="K2749" s="573" t="s">
        <v>3377</v>
      </c>
      <c r="L2749" s="573">
        <v>6</v>
      </c>
      <c r="M2749" s="573">
        <v>0</v>
      </c>
      <c r="N2749" s="573" t="s">
        <v>157</v>
      </c>
      <c r="O2749" s="573">
        <v>2</v>
      </c>
      <c r="P2749" s="573" t="s">
        <v>4230</v>
      </c>
      <c r="Q2749" s="571">
        <v>12800</v>
      </c>
      <c r="R2749" s="573" t="s">
        <v>4235</v>
      </c>
      <c r="S2749" s="573">
        <v>8</v>
      </c>
      <c r="T2749" s="573" t="s">
        <v>4751</v>
      </c>
      <c r="U2749" s="573" t="s">
        <v>4584</v>
      </c>
      <c r="V2749" s="573">
        <v>148</v>
      </c>
      <c r="W2749" s="573">
        <v>34</v>
      </c>
      <c r="X2749" s="571">
        <v>10500</v>
      </c>
      <c r="Y2749" s="569">
        <v>13</v>
      </c>
      <c r="Z2749" s="579" t="s">
        <v>450</v>
      </c>
      <c r="AA2749" s="579" t="s">
        <v>178</v>
      </c>
      <c r="AB2749" s="584">
        <v>42700</v>
      </c>
      <c r="AC2749" s="584" t="s">
        <v>164</v>
      </c>
      <c r="AD2749" s="584">
        <v>32084.968421052636</v>
      </c>
      <c r="AE2749" s="586">
        <v>0.03</v>
      </c>
      <c r="AF2749" s="661" t="str">
        <f t="shared" si="297"/>
        <v>2019-LTK-FRD-F350-072-05</v>
      </c>
      <c r="AG2749" s="661" t="str">
        <f>IF(AND($Y2749&gt;=32,(AI2749="I"),(Y2749&lt;&gt;"~"),(COUNTIF($AN$1:$AN2749,$AN2749)=1)),"TRUE","FALSE")</f>
        <v>FALSE</v>
      </c>
      <c r="AH2749" s="661" t="str">
        <f>IF(AND($Y2749&gt;=22, (AI2749&lt;&gt;"I"),(Y2749&lt;&gt;"~"),(COUNTIF($AN$1:$AN2749,$AN2749)=1)),"TRUE","FALSE")</f>
        <v>FALSE</v>
      </c>
      <c r="AI2749" s="661" t="str">
        <f t="shared" si="299"/>
        <v>N/A</v>
      </c>
      <c r="AJ2749" s="662" t="str">
        <f t="shared" si="293"/>
        <v>F350-072</v>
      </c>
      <c r="AK2749" s="662" t="str">
        <f t="shared" si="294"/>
        <v>LTK</v>
      </c>
      <c r="AL2749" s="662" t="str">
        <f t="shared" si="295"/>
        <v>FRD</v>
      </c>
      <c r="AM2749" s="662" t="str">
        <f t="shared" si="298"/>
        <v>F350-Super Cab XLT-2WD-6-6'9"-12800-6.2L FFV-8-X3A-613A-148-34-E85-Unleaded</v>
      </c>
      <c r="AN2749" s="662" t="str">
        <f t="shared" si="296"/>
        <v>2019-LTK-FRD-F350-072</v>
      </c>
    </row>
    <row r="2750" spans="1:40" ht="15">
      <c r="A2750" s="570" t="s">
        <v>4818</v>
      </c>
      <c r="B2750" s="569" t="s">
        <v>4819</v>
      </c>
      <c r="C2750" s="569" t="s">
        <v>269</v>
      </c>
      <c r="D2750" s="580" t="s">
        <v>270</v>
      </c>
      <c r="E2750" s="569" t="s">
        <v>3374</v>
      </c>
      <c r="F2750" s="569" t="s">
        <v>187</v>
      </c>
      <c r="G2750" s="569" t="s">
        <v>271</v>
      </c>
      <c r="H2750" s="569">
        <v>2019</v>
      </c>
      <c r="I2750" s="569" t="s">
        <v>4503</v>
      </c>
      <c r="J2750" s="569" t="s">
        <v>4070</v>
      </c>
      <c r="K2750" s="569" t="s">
        <v>3377</v>
      </c>
      <c r="L2750" s="569">
        <v>6</v>
      </c>
      <c r="M2750" s="569">
        <v>0</v>
      </c>
      <c r="N2750" s="569" t="s">
        <v>157</v>
      </c>
      <c r="O2750" s="569">
        <v>2</v>
      </c>
      <c r="P2750" s="569" t="s">
        <v>4230</v>
      </c>
      <c r="Q2750" s="568">
        <v>12800</v>
      </c>
      <c r="R2750" s="569" t="s">
        <v>4231</v>
      </c>
      <c r="S2750" s="569">
        <v>8</v>
      </c>
      <c r="T2750" s="569" t="s">
        <v>4751</v>
      </c>
      <c r="U2750" s="569" t="s">
        <v>4584</v>
      </c>
      <c r="V2750" s="569">
        <v>148</v>
      </c>
      <c r="W2750" s="569">
        <v>34</v>
      </c>
      <c r="X2750" s="568">
        <v>11200</v>
      </c>
      <c r="Y2750" s="569">
        <v>13</v>
      </c>
      <c r="Z2750" s="581" t="s">
        <v>728</v>
      </c>
      <c r="AA2750" s="581" t="s">
        <v>1523</v>
      </c>
      <c r="AB2750" s="585">
        <v>51820</v>
      </c>
      <c r="AC2750" s="585" t="s">
        <v>164</v>
      </c>
      <c r="AD2750" s="585">
        <v>40277.157894736847</v>
      </c>
      <c r="AE2750" s="587">
        <v>0.03</v>
      </c>
      <c r="AF2750" s="661" t="str">
        <f t="shared" si="297"/>
        <v>2019-LTK-FRD-F350-073-05</v>
      </c>
      <c r="AG2750" s="661" t="str">
        <f>IF(AND($Y2750&gt;=32,(AI2750="I"),(Y2750&lt;&gt;"~"),(COUNTIF($AN$1:$AN2750,$AN2750)=1)),"TRUE","FALSE")</f>
        <v>FALSE</v>
      </c>
      <c r="AH2750" s="661" t="str">
        <f>IF(AND($Y2750&gt;=22, (AI2750&lt;&gt;"I"),(Y2750&lt;&gt;"~"),(COUNTIF($AN$1:$AN2750,$AN2750)=1)),"TRUE","FALSE")</f>
        <v>FALSE</v>
      </c>
      <c r="AI2750" s="661" t="str">
        <f t="shared" si="299"/>
        <v>N/A</v>
      </c>
      <c r="AJ2750" s="662" t="str">
        <f t="shared" si="293"/>
        <v>F350-073</v>
      </c>
      <c r="AK2750" s="662" t="str">
        <f t="shared" si="294"/>
        <v>LTK</v>
      </c>
      <c r="AL2750" s="662" t="str">
        <f t="shared" si="295"/>
        <v>FRD</v>
      </c>
      <c r="AM2750" s="662" t="str">
        <f t="shared" si="298"/>
        <v>F350-Super Cab XLT-2WD-6-6'9"-12800-6.7L Diesel-8-X3A-613A-148-34-Diesel-BioDiesel</v>
      </c>
      <c r="AN2750" s="662" t="str">
        <f t="shared" si="296"/>
        <v>2019-LTK-FRD-F350-073</v>
      </c>
    </row>
    <row r="2751" spans="1:40" ht="15">
      <c r="A2751" s="570" t="s">
        <v>4820</v>
      </c>
      <c r="B2751" s="573" t="s">
        <v>4821</v>
      </c>
      <c r="C2751" s="573" t="s">
        <v>269</v>
      </c>
      <c r="D2751" s="578" t="s">
        <v>270</v>
      </c>
      <c r="E2751" s="573" t="s">
        <v>3374</v>
      </c>
      <c r="F2751" s="573" t="s">
        <v>187</v>
      </c>
      <c r="G2751" s="573" t="s">
        <v>271</v>
      </c>
      <c r="H2751" s="573">
        <v>2019</v>
      </c>
      <c r="I2751" s="573" t="s">
        <v>4503</v>
      </c>
      <c r="J2751" s="573" t="s">
        <v>4070</v>
      </c>
      <c r="K2751" s="573" t="s">
        <v>3377</v>
      </c>
      <c r="L2751" s="573">
        <v>6</v>
      </c>
      <c r="M2751" s="573">
        <v>0</v>
      </c>
      <c r="N2751" s="573" t="s">
        <v>157</v>
      </c>
      <c r="O2751" s="573">
        <v>2</v>
      </c>
      <c r="P2751" s="573" t="s">
        <v>3846</v>
      </c>
      <c r="Q2751" s="571">
        <v>12700</v>
      </c>
      <c r="R2751" s="573" t="s">
        <v>4235</v>
      </c>
      <c r="S2751" s="573">
        <v>8</v>
      </c>
      <c r="T2751" s="573" t="s">
        <v>4751</v>
      </c>
      <c r="U2751" s="573" t="s">
        <v>4584</v>
      </c>
      <c r="V2751" s="573">
        <v>164</v>
      </c>
      <c r="W2751" s="573">
        <v>34</v>
      </c>
      <c r="X2751" s="571">
        <v>10800</v>
      </c>
      <c r="Y2751" s="569">
        <v>13</v>
      </c>
      <c r="Z2751" s="579" t="s">
        <v>450</v>
      </c>
      <c r="AA2751" s="579" t="s">
        <v>178</v>
      </c>
      <c r="AB2751" s="584">
        <v>42900</v>
      </c>
      <c r="AC2751" s="584" t="s">
        <v>164</v>
      </c>
      <c r="AD2751" s="584">
        <v>32269.178947368422</v>
      </c>
      <c r="AE2751" s="586">
        <v>0.03</v>
      </c>
      <c r="AF2751" s="661" t="str">
        <f t="shared" si="297"/>
        <v>2019-LTK-FRD-F350-074-05</v>
      </c>
      <c r="AG2751" s="661" t="str">
        <f>IF(AND($Y2751&gt;=32,(AI2751="I"),(Y2751&lt;&gt;"~"),(COUNTIF($AN$1:$AN2751,$AN2751)=1)),"TRUE","FALSE")</f>
        <v>FALSE</v>
      </c>
      <c r="AH2751" s="661" t="str">
        <f>IF(AND($Y2751&gt;=22, (AI2751&lt;&gt;"I"),(Y2751&lt;&gt;"~"),(COUNTIF($AN$1:$AN2751,$AN2751)=1)),"TRUE","FALSE")</f>
        <v>FALSE</v>
      </c>
      <c r="AI2751" s="661" t="str">
        <f t="shared" si="299"/>
        <v>N/A</v>
      </c>
      <c r="AJ2751" s="662" t="str">
        <f t="shared" si="293"/>
        <v>F350-074</v>
      </c>
      <c r="AK2751" s="662" t="str">
        <f t="shared" si="294"/>
        <v>LTK</v>
      </c>
      <c r="AL2751" s="662" t="str">
        <f t="shared" si="295"/>
        <v>FRD</v>
      </c>
      <c r="AM2751" s="662" t="str">
        <f t="shared" si="298"/>
        <v>F350-Super Cab XLT-2WD-6-8'-12700-6.2L FFV-8-X3A-613A-164-34-E85-Unleaded</v>
      </c>
      <c r="AN2751" s="662" t="str">
        <f t="shared" si="296"/>
        <v>2019-LTK-FRD-F350-074</v>
      </c>
    </row>
    <row r="2752" spans="1:40" ht="15">
      <c r="A2752" s="570" t="s">
        <v>4822</v>
      </c>
      <c r="B2752" s="569" t="s">
        <v>4823</v>
      </c>
      <c r="C2752" s="569" t="s">
        <v>269</v>
      </c>
      <c r="D2752" s="580" t="s">
        <v>270</v>
      </c>
      <c r="E2752" s="569" t="s">
        <v>3374</v>
      </c>
      <c r="F2752" s="569" t="s">
        <v>187</v>
      </c>
      <c r="G2752" s="569" t="s">
        <v>271</v>
      </c>
      <c r="H2752" s="569">
        <v>2019</v>
      </c>
      <c r="I2752" s="569" t="s">
        <v>4503</v>
      </c>
      <c r="J2752" s="569" t="s">
        <v>4070</v>
      </c>
      <c r="K2752" s="569" t="s">
        <v>3377</v>
      </c>
      <c r="L2752" s="569">
        <v>6</v>
      </c>
      <c r="M2752" s="569">
        <v>0</v>
      </c>
      <c r="N2752" s="569" t="s">
        <v>157</v>
      </c>
      <c r="O2752" s="569">
        <v>2</v>
      </c>
      <c r="P2752" s="569" t="s">
        <v>3846</v>
      </c>
      <c r="Q2752" s="568">
        <v>12700</v>
      </c>
      <c r="R2752" s="569" t="s">
        <v>4231</v>
      </c>
      <c r="S2752" s="569">
        <v>8</v>
      </c>
      <c r="T2752" s="569" t="s">
        <v>4751</v>
      </c>
      <c r="U2752" s="569" t="s">
        <v>4584</v>
      </c>
      <c r="V2752" s="569">
        <v>164</v>
      </c>
      <c r="W2752" s="569">
        <v>34</v>
      </c>
      <c r="X2752" s="568">
        <v>11500</v>
      </c>
      <c r="Y2752" s="569">
        <v>13</v>
      </c>
      <c r="Z2752" s="581" t="s">
        <v>728</v>
      </c>
      <c r="AA2752" s="581" t="s">
        <v>1523</v>
      </c>
      <c r="AB2752" s="585">
        <v>52020</v>
      </c>
      <c r="AC2752" s="585" t="s">
        <v>164</v>
      </c>
      <c r="AD2752" s="585">
        <v>40461.368421052633</v>
      </c>
      <c r="AE2752" s="587">
        <v>0.03</v>
      </c>
      <c r="AF2752" s="661" t="str">
        <f t="shared" si="297"/>
        <v>2019-LTK-FRD-F350-075-05</v>
      </c>
      <c r="AG2752" s="661" t="str">
        <f>IF(AND($Y2752&gt;=32,(AI2752="I"),(Y2752&lt;&gt;"~"),(COUNTIF($AN$1:$AN2752,$AN2752)=1)),"TRUE","FALSE")</f>
        <v>FALSE</v>
      </c>
      <c r="AH2752" s="661" t="str">
        <f>IF(AND($Y2752&gt;=22, (AI2752&lt;&gt;"I"),(Y2752&lt;&gt;"~"),(COUNTIF($AN$1:$AN2752,$AN2752)=1)),"TRUE","FALSE")</f>
        <v>FALSE</v>
      </c>
      <c r="AI2752" s="661" t="str">
        <f t="shared" si="299"/>
        <v>N/A</v>
      </c>
      <c r="AJ2752" s="662" t="str">
        <f t="shared" si="293"/>
        <v>F350-075</v>
      </c>
      <c r="AK2752" s="662" t="str">
        <f t="shared" si="294"/>
        <v>LTK</v>
      </c>
      <c r="AL2752" s="662" t="str">
        <f t="shared" si="295"/>
        <v>FRD</v>
      </c>
      <c r="AM2752" s="662" t="str">
        <f t="shared" si="298"/>
        <v>F350-Super Cab XLT-2WD-6-8'-12700-6.7L Diesel-8-X3A-613A-164-34-Diesel-BioDiesel</v>
      </c>
      <c r="AN2752" s="662" t="str">
        <f t="shared" si="296"/>
        <v>2019-LTK-FRD-F350-075</v>
      </c>
    </row>
    <row r="2753" spans="1:40" ht="15">
      <c r="A2753" s="570" t="s">
        <v>4824</v>
      </c>
      <c r="B2753" s="573" t="s">
        <v>4817</v>
      </c>
      <c r="C2753" s="573" t="s">
        <v>278</v>
      </c>
      <c r="D2753" s="578">
        <v>15</v>
      </c>
      <c r="E2753" s="573" t="s">
        <v>3374</v>
      </c>
      <c r="F2753" s="573" t="s">
        <v>187</v>
      </c>
      <c r="G2753" s="573" t="s">
        <v>271</v>
      </c>
      <c r="H2753" s="573">
        <v>2019</v>
      </c>
      <c r="I2753" s="573" t="s">
        <v>4503</v>
      </c>
      <c r="J2753" s="573" t="s">
        <v>4070</v>
      </c>
      <c r="K2753" s="573" t="s">
        <v>3377</v>
      </c>
      <c r="L2753" s="573">
        <v>6</v>
      </c>
      <c r="M2753" s="573">
        <v>0</v>
      </c>
      <c r="N2753" s="573" t="s">
        <v>157</v>
      </c>
      <c r="O2753" s="573">
        <v>2</v>
      </c>
      <c r="P2753" s="573" t="s">
        <v>4230</v>
      </c>
      <c r="Q2753" s="571">
        <v>12800</v>
      </c>
      <c r="R2753" s="573" t="s">
        <v>4235</v>
      </c>
      <c r="S2753" s="573">
        <v>8</v>
      </c>
      <c r="T2753" s="573" t="s">
        <v>4751</v>
      </c>
      <c r="U2753" s="573" t="s">
        <v>4584</v>
      </c>
      <c r="V2753" s="573">
        <v>148</v>
      </c>
      <c r="W2753" s="573">
        <v>34</v>
      </c>
      <c r="X2753" s="571">
        <v>10500</v>
      </c>
      <c r="Y2753" s="569">
        <v>13</v>
      </c>
      <c r="Z2753" s="579" t="s">
        <v>450</v>
      </c>
      <c r="AA2753" s="579" t="s">
        <v>178</v>
      </c>
      <c r="AB2753" s="584">
        <v>42700</v>
      </c>
      <c r="AC2753" s="584" t="s">
        <v>164</v>
      </c>
      <c r="AD2753" s="584">
        <v>32250</v>
      </c>
      <c r="AE2753" s="586">
        <v>0.01</v>
      </c>
      <c r="AF2753" s="661" t="str">
        <f t="shared" si="297"/>
        <v>2019-LTK-FRD-F350-072-15</v>
      </c>
      <c r="AG2753" s="661" t="str">
        <f>IF(AND($Y2753&gt;=32,(AI2753="I"),(Y2753&lt;&gt;"~"),(COUNTIF($AN$1:$AN2753,$AN2753)=1)),"TRUE","FALSE")</f>
        <v>FALSE</v>
      </c>
      <c r="AH2753" s="661" t="str">
        <f>IF(AND($Y2753&gt;=22, (AI2753&lt;&gt;"I"),(Y2753&lt;&gt;"~"),(COUNTIF($AN$1:$AN2753,$AN2753)=1)),"TRUE","FALSE")</f>
        <v>FALSE</v>
      </c>
      <c r="AI2753" s="661" t="str">
        <f t="shared" si="299"/>
        <v>N/A</v>
      </c>
      <c r="AJ2753" s="662" t="str">
        <f t="shared" si="293"/>
        <v>F350-072</v>
      </c>
      <c r="AK2753" s="662" t="str">
        <f t="shared" si="294"/>
        <v>LTK</v>
      </c>
      <c r="AL2753" s="662" t="str">
        <f t="shared" si="295"/>
        <v>FRD</v>
      </c>
      <c r="AM2753" s="662" t="str">
        <f t="shared" si="298"/>
        <v>F350-Super Cab XLT-2WD-6-6'9"-12800-6.2L FFV-8-X3A-613A-148-34-E85-Unleaded</v>
      </c>
      <c r="AN2753" s="662" t="str">
        <f t="shared" si="296"/>
        <v>2019-LTK-FRD-F350-072</v>
      </c>
    </row>
    <row r="2754" spans="1:40" ht="15">
      <c r="A2754" s="570" t="s">
        <v>4825</v>
      </c>
      <c r="B2754" s="569" t="s">
        <v>4819</v>
      </c>
      <c r="C2754" s="569" t="s">
        <v>278</v>
      </c>
      <c r="D2754" s="580">
        <v>15</v>
      </c>
      <c r="E2754" s="569" t="s">
        <v>3374</v>
      </c>
      <c r="F2754" s="569" t="s">
        <v>187</v>
      </c>
      <c r="G2754" s="569" t="s">
        <v>271</v>
      </c>
      <c r="H2754" s="569">
        <v>2019</v>
      </c>
      <c r="I2754" s="569" t="s">
        <v>4503</v>
      </c>
      <c r="J2754" s="569" t="s">
        <v>4070</v>
      </c>
      <c r="K2754" s="569" t="s">
        <v>3377</v>
      </c>
      <c r="L2754" s="569">
        <v>6</v>
      </c>
      <c r="M2754" s="569">
        <v>0</v>
      </c>
      <c r="N2754" s="569" t="s">
        <v>157</v>
      </c>
      <c r="O2754" s="569">
        <v>2</v>
      </c>
      <c r="P2754" s="569" t="s">
        <v>4230</v>
      </c>
      <c r="Q2754" s="568">
        <v>12800</v>
      </c>
      <c r="R2754" s="569" t="s">
        <v>4231</v>
      </c>
      <c r="S2754" s="569">
        <v>8</v>
      </c>
      <c r="T2754" s="569" t="s">
        <v>4751</v>
      </c>
      <c r="U2754" s="569" t="s">
        <v>4584</v>
      </c>
      <c r="V2754" s="569">
        <v>148</v>
      </c>
      <c r="W2754" s="569">
        <v>29</v>
      </c>
      <c r="X2754" s="568">
        <v>11200</v>
      </c>
      <c r="Y2754" s="569">
        <v>13</v>
      </c>
      <c r="Z2754" s="581" t="s">
        <v>728</v>
      </c>
      <c r="AA2754" s="581" t="s">
        <v>1523</v>
      </c>
      <c r="AB2754" s="585">
        <v>51820</v>
      </c>
      <c r="AC2754" s="585" t="s">
        <v>164</v>
      </c>
      <c r="AD2754" s="585">
        <v>40500</v>
      </c>
      <c r="AE2754" s="587">
        <v>0.01</v>
      </c>
      <c r="AF2754" s="661" t="str">
        <f t="shared" si="297"/>
        <v>2019-LTK-FRD-F350-073-15</v>
      </c>
      <c r="AG2754" s="661" t="str">
        <f>IF(AND($Y2754&gt;=32,(AI2754="I"),(Y2754&lt;&gt;"~"),(COUNTIF($AN$1:$AN2754,$AN2754)=1)),"TRUE","FALSE")</f>
        <v>FALSE</v>
      </c>
      <c r="AH2754" s="661" t="str">
        <f>IF(AND($Y2754&gt;=22, (AI2754&lt;&gt;"I"),(Y2754&lt;&gt;"~"),(COUNTIF($AN$1:$AN2754,$AN2754)=1)),"TRUE","FALSE")</f>
        <v>FALSE</v>
      </c>
      <c r="AI2754" s="661" t="str">
        <f t="shared" si="299"/>
        <v>N/A</v>
      </c>
      <c r="AJ2754" s="662" t="str">
        <f t="shared" si="293"/>
        <v>F350-073</v>
      </c>
      <c r="AK2754" s="662" t="str">
        <f t="shared" si="294"/>
        <v>LTK</v>
      </c>
      <c r="AL2754" s="662" t="str">
        <f t="shared" si="295"/>
        <v>FRD</v>
      </c>
      <c r="AM2754" s="662" t="str">
        <f t="shared" si="298"/>
        <v>F350-Super Cab XLT-2WD-6-6'9"-12800-6.7L Diesel-8-X3A-613A-148-29-Diesel-BioDiesel</v>
      </c>
      <c r="AN2754" s="662" t="str">
        <f t="shared" si="296"/>
        <v>2019-LTK-FRD-F350-073</v>
      </c>
    </row>
    <row r="2755" spans="1:40" ht="15">
      <c r="A2755" s="570" t="s">
        <v>4826</v>
      </c>
      <c r="B2755" s="573" t="s">
        <v>4821</v>
      </c>
      <c r="C2755" s="573" t="s">
        <v>278</v>
      </c>
      <c r="D2755" s="578">
        <v>15</v>
      </c>
      <c r="E2755" s="573" t="s">
        <v>3374</v>
      </c>
      <c r="F2755" s="573" t="s">
        <v>187</v>
      </c>
      <c r="G2755" s="573" t="s">
        <v>271</v>
      </c>
      <c r="H2755" s="573">
        <v>2019</v>
      </c>
      <c r="I2755" s="573" t="s">
        <v>4503</v>
      </c>
      <c r="J2755" s="573" t="s">
        <v>4070</v>
      </c>
      <c r="K2755" s="573" t="s">
        <v>3377</v>
      </c>
      <c r="L2755" s="573">
        <v>6</v>
      </c>
      <c r="M2755" s="573">
        <v>0</v>
      </c>
      <c r="N2755" s="573" t="s">
        <v>157</v>
      </c>
      <c r="O2755" s="573">
        <v>2</v>
      </c>
      <c r="P2755" s="573" t="s">
        <v>3846</v>
      </c>
      <c r="Q2755" s="571">
        <v>12700</v>
      </c>
      <c r="R2755" s="573" t="s">
        <v>4235</v>
      </c>
      <c r="S2755" s="573">
        <v>8</v>
      </c>
      <c r="T2755" s="573" t="s">
        <v>4751</v>
      </c>
      <c r="U2755" s="573" t="s">
        <v>4584</v>
      </c>
      <c r="V2755" s="573">
        <v>164</v>
      </c>
      <c r="W2755" s="573">
        <v>34</v>
      </c>
      <c r="X2755" s="571">
        <v>10800</v>
      </c>
      <c r="Y2755" s="569">
        <v>13</v>
      </c>
      <c r="Z2755" s="579" t="s">
        <v>450</v>
      </c>
      <c r="AA2755" s="579" t="s">
        <v>178</v>
      </c>
      <c r="AB2755" s="584">
        <v>42900</v>
      </c>
      <c r="AC2755" s="584" t="s">
        <v>164</v>
      </c>
      <c r="AD2755" s="584">
        <v>32400</v>
      </c>
      <c r="AE2755" s="586">
        <v>0.01</v>
      </c>
      <c r="AF2755" s="661" t="str">
        <f t="shared" si="297"/>
        <v>2019-LTK-FRD-F350-074-15</v>
      </c>
      <c r="AG2755" s="661" t="str">
        <f>IF(AND($Y2755&gt;=32,(AI2755="I"),(Y2755&lt;&gt;"~"),(COUNTIF($AN$1:$AN2755,$AN2755)=1)),"TRUE","FALSE")</f>
        <v>FALSE</v>
      </c>
      <c r="AH2755" s="661" t="str">
        <f>IF(AND($Y2755&gt;=22, (AI2755&lt;&gt;"I"),(Y2755&lt;&gt;"~"),(COUNTIF($AN$1:$AN2755,$AN2755)=1)),"TRUE","FALSE")</f>
        <v>FALSE</v>
      </c>
      <c r="AI2755" s="661" t="str">
        <f t="shared" si="299"/>
        <v>N/A</v>
      </c>
      <c r="AJ2755" s="662" t="str">
        <f t="shared" ref="AJ2755:AJ2818" si="300">MID(A2755,14,8)</f>
        <v>F350-074</v>
      </c>
      <c r="AK2755" s="662" t="str">
        <f t="shared" ref="AK2755:AK2818" si="301">MID(A2755,6,3)</f>
        <v>LTK</v>
      </c>
      <c r="AL2755" s="662" t="str">
        <f t="shared" ref="AL2755:AL2818" si="302">MID(A2755,10,3)</f>
        <v>FRD</v>
      </c>
      <c r="AM2755" s="662" t="str">
        <f t="shared" si="298"/>
        <v>F350-Super Cab XLT-2WD-6-8'-12700-6.2L FFV-8-X3A-613A-164-34-E85-Unleaded</v>
      </c>
      <c r="AN2755" s="662" t="str">
        <f t="shared" ref="AN2755:AN2818" si="303">LEFT(A2755,21)</f>
        <v>2019-LTK-FRD-F350-074</v>
      </c>
    </row>
    <row r="2756" spans="1:40" ht="15">
      <c r="A2756" s="570" t="s">
        <v>4827</v>
      </c>
      <c r="B2756" s="569" t="s">
        <v>4823</v>
      </c>
      <c r="C2756" s="569" t="s">
        <v>278</v>
      </c>
      <c r="D2756" s="580">
        <v>15</v>
      </c>
      <c r="E2756" s="569" t="s">
        <v>3374</v>
      </c>
      <c r="F2756" s="569" t="s">
        <v>187</v>
      </c>
      <c r="G2756" s="569" t="s">
        <v>271</v>
      </c>
      <c r="H2756" s="569">
        <v>2019</v>
      </c>
      <c r="I2756" s="569" t="s">
        <v>4503</v>
      </c>
      <c r="J2756" s="569" t="s">
        <v>4070</v>
      </c>
      <c r="K2756" s="569" t="s">
        <v>3377</v>
      </c>
      <c r="L2756" s="569">
        <v>6</v>
      </c>
      <c r="M2756" s="569">
        <v>0</v>
      </c>
      <c r="N2756" s="569" t="s">
        <v>157</v>
      </c>
      <c r="O2756" s="569">
        <v>2</v>
      </c>
      <c r="P2756" s="569" t="s">
        <v>3846</v>
      </c>
      <c r="Q2756" s="568">
        <v>12700</v>
      </c>
      <c r="R2756" s="569" t="s">
        <v>4231</v>
      </c>
      <c r="S2756" s="569">
        <v>8</v>
      </c>
      <c r="T2756" s="569" t="s">
        <v>4751</v>
      </c>
      <c r="U2756" s="569" t="s">
        <v>4584</v>
      </c>
      <c r="V2756" s="569">
        <v>164</v>
      </c>
      <c r="W2756" s="569">
        <v>34</v>
      </c>
      <c r="X2756" s="568">
        <v>11500</v>
      </c>
      <c r="Y2756" s="569">
        <v>13</v>
      </c>
      <c r="Z2756" s="581" t="s">
        <v>728</v>
      </c>
      <c r="AA2756" s="581" t="s">
        <v>1523</v>
      </c>
      <c r="AB2756" s="585">
        <v>52020</v>
      </c>
      <c r="AC2756" s="585" t="s">
        <v>164</v>
      </c>
      <c r="AD2756" s="585">
        <v>40700</v>
      </c>
      <c r="AE2756" s="587">
        <v>0.01</v>
      </c>
      <c r="AF2756" s="661" t="str">
        <f t="shared" si="297"/>
        <v>2019-LTK-FRD-F350-075-15</v>
      </c>
      <c r="AG2756" s="661" t="str">
        <f>IF(AND($Y2756&gt;=32,(AI2756="I"),(Y2756&lt;&gt;"~"),(COUNTIF($AN$1:$AN2756,$AN2756)=1)),"TRUE","FALSE")</f>
        <v>FALSE</v>
      </c>
      <c r="AH2756" s="661" t="str">
        <f>IF(AND($Y2756&gt;=22, (AI2756&lt;&gt;"I"),(Y2756&lt;&gt;"~"),(COUNTIF($AN$1:$AN2756,$AN2756)=1)),"TRUE","FALSE")</f>
        <v>FALSE</v>
      </c>
      <c r="AI2756" s="661" t="str">
        <f t="shared" si="299"/>
        <v>N/A</v>
      </c>
      <c r="AJ2756" s="662" t="str">
        <f t="shared" si="300"/>
        <v>F350-075</v>
      </c>
      <c r="AK2756" s="662" t="str">
        <f t="shared" si="301"/>
        <v>LTK</v>
      </c>
      <c r="AL2756" s="662" t="str">
        <f t="shared" si="302"/>
        <v>FRD</v>
      </c>
      <c r="AM2756" s="662" t="str">
        <f t="shared" si="298"/>
        <v>F350-Super Cab XLT-2WD-6-8'-12700-6.7L Diesel-8-X3A-613A-164-34-Diesel-BioDiesel</v>
      </c>
      <c r="AN2756" s="662" t="str">
        <f t="shared" si="303"/>
        <v>2019-LTK-FRD-F350-075</v>
      </c>
    </row>
    <row r="2757" spans="1:40" ht="15">
      <c r="A2757" s="570" t="s">
        <v>4828</v>
      </c>
      <c r="B2757" s="573" t="s">
        <v>4817</v>
      </c>
      <c r="C2757" s="573" t="s">
        <v>287</v>
      </c>
      <c r="D2757" s="578">
        <v>26</v>
      </c>
      <c r="E2757" s="573" t="s">
        <v>3374</v>
      </c>
      <c r="F2757" s="573" t="s">
        <v>187</v>
      </c>
      <c r="G2757" s="573" t="s">
        <v>271</v>
      </c>
      <c r="H2757" s="573">
        <v>2019</v>
      </c>
      <c r="I2757" s="573" t="s">
        <v>4503</v>
      </c>
      <c r="J2757" s="573" t="s">
        <v>4070</v>
      </c>
      <c r="K2757" s="573" t="s">
        <v>3377</v>
      </c>
      <c r="L2757" s="573">
        <v>6</v>
      </c>
      <c r="M2757" s="573">
        <v>0</v>
      </c>
      <c r="N2757" s="573" t="s">
        <v>157</v>
      </c>
      <c r="O2757" s="573">
        <v>2</v>
      </c>
      <c r="P2757" s="573" t="s">
        <v>4230</v>
      </c>
      <c r="Q2757" s="571">
        <v>12800</v>
      </c>
      <c r="R2757" s="573" t="s">
        <v>4235</v>
      </c>
      <c r="S2757" s="573">
        <v>8</v>
      </c>
      <c r="T2757" s="573" t="s">
        <v>4751</v>
      </c>
      <c r="U2757" s="573" t="s">
        <v>4584</v>
      </c>
      <c r="V2757" s="573">
        <v>148</v>
      </c>
      <c r="W2757" s="573">
        <v>34</v>
      </c>
      <c r="X2757" s="571">
        <v>10500</v>
      </c>
      <c r="Y2757" s="569">
        <v>13</v>
      </c>
      <c r="Z2757" s="579" t="s">
        <v>450</v>
      </c>
      <c r="AA2757" s="579" t="s">
        <v>178</v>
      </c>
      <c r="AB2757" s="584">
        <v>42700</v>
      </c>
      <c r="AC2757" s="584" t="s">
        <v>164</v>
      </c>
      <c r="AD2757" s="584">
        <v>32289</v>
      </c>
      <c r="AE2757" s="586">
        <v>0.05</v>
      </c>
      <c r="AF2757" s="661" t="str">
        <f t="shared" si="297"/>
        <v>2019-LTK-FRD-F350-072-26</v>
      </c>
      <c r="AG2757" s="661" t="str">
        <f>IF(AND($Y2757&gt;=32,(AI2757="I"),(Y2757&lt;&gt;"~"),(COUNTIF($AN$1:$AN2757,$AN2757)=1)),"TRUE","FALSE")</f>
        <v>FALSE</v>
      </c>
      <c r="AH2757" s="661" t="str">
        <f>IF(AND($Y2757&gt;=22, (AI2757&lt;&gt;"I"),(Y2757&lt;&gt;"~"),(COUNTIF($AN$1:$AN2757,$AN2757)=1)),"TRUE","FALSE")</f>
        <v>FALSE</v>
      </c>
      <c r="AI2757" s="661" t="str">
        <f t="shared" si="299"/>
        <v>N/A</v>
      </c>
      <c r="AJ2757" s="662" t="str">
        <f t="shared" si="300"/>
        <v>F350-072</v>
      </c>
      <c r="AK2757" s="662" t="str">
        <f t="shared" si="301"/>
        <v>LTK</v>
      </c>
      <c r="AL2757" s="662" t="str">
        <f t="shared" si="302"/>
        <v>FRD</v>
      </c>
      <c r="AM2757" s="662" t="str">
        <f t="shared" si="298"/>
        <v>F350-Super Cab XLT-2WD-6-6'9"-12800-6.2L FFV-8-X3A-613A-148-34-E85-Unleaded</v>
      </c>
      <c r="AN2757" s="662" t="str">
        <f t="shared" si="303"/>
        <v>2019-LTK-FRD-F350-072</v>
      </c>
    </row>
    <row r="2758" spans="1:40" ht="15">
      <c r="A2758" s="570" t="s">
        <v>4829</v>
      </c>
      <c r="B2758" s="569" t="s">
        <v>4819</v>
      </c>
      <c r="C2758" s="569" t="s">
        <v>287</v>
      </c>
      <c r="D2758" s="580">
        <v>26</v>
      </c>
      <c r="E2758" s="569" t="s">
        <v>3374</v>
      </c>
      <c r="F2758" s="569" t="s">
        <v>187</v>
      </c>
      <c r="G2758" s="569" t="s">
        <v>271</v>
      </c>
      <c r="H2758" s="569">
        <v>2019</v>
      </c>
      <c r="I2758" s="569" t="s">
        <v>4503</v>
      </c>
      <c r="J2758" s="569" t="s">
        <v>4070</v>
      </c>
      <c r="K2758" s="569" t="s">
        <v>3377</v>
      </c>
      <c r="L2758" s="569">
        <v>6</v>
      </c>
      <c r="M2758" s="569">
        <v>0</v>
      </c>
      <c r="N2758" s="569" t="s">
        <v>157</v>
      </c>
      <c r="O2758" s="569">
        <v>2</v>
      </c>
      <c r="P2758" s="569" t="s">
        <v>4230</v>
      </c>
      <c r="Q2758" s="568">
        <v>12800</v>
      </c>
      <c r="R2758" s="569" t="s">
        <v>4231</v>
      </c>
      <c r="S2758" s="569">
        <v>8</v>
      </c>
      <c r="T2758" s="569" t="s">
        <v>4751</v>
      </c>
      <c r="U2758" s="569" t="s">
        <v>4584</v>
      </c>
      <c r="V2758" s="569">
        <v>148</v>
      </c>
      <c r="W2758" s="569">
        <v>29</v>
      </c>
      <c r="X2758" s="568">
        <v>11200</v>
      </c>
      <c r="Y2758" s="569">
        <v>13</v>
      </c>
      <c r="Z2758" s="581" t="s">
        <v>728</v>
      </c>
      <c r="AA2758" s="581" t="s">
        <v>1523</v>
      </c>
      <c r="AB2758" s="585">
        <v>51245</v>
      </c>
      <c r="AC2758" s="585" t="s">
        <v>164</v>
      </c>
      <c r="AD2758" s="585">
        <v>40483</v>
      </c>
      <c r="AE2758" s="587">
        <v>0.05</v>
      </c>
      <c r="AF2758" s="661" t="str">
        <f t="shared" si="297"/>
        <v>2019-LTK-FRD-F350-073-26</v>
      </c>
      <c r="AG2758" s="661" t="str">
        <f>IF(AND($Y2758&gt;=32,(AI2758="I"),(Y2758&lt;&gt;"~"),(COUNTIF($AN$1:$AN2758,$AN2758)=1)),"TRUE","FALSE")</f>
        <v>FALSE</v>
      </c>
      <c r="AH2758" s="661" t="str">
        <f>IF(AND($Y2758&gt;=22, (AI2758&lt;&gt;"I"),(Y2758&lt;&gt;"~"),(COUNTIF($AN$1:$AN2758,$AN2758)=1)),"TRUE","FALSE")</f>
        <v>FALSE</v>
      </c>
      <c r="AI2758" s="661" t="str">
        <f t="shared" si="299"/>
        <v>N/A</v>
      </c>
      <c r="AJ2758" s="662" t="str">
        <f t="shared" si="300"/>
        <v>F350-073</v>
      </c>
      <c r="AK2758" s="662" t="str">
        <f t="shared" si="301"/>
        <v>LTK</v>
      </c>
      <c r="AL2758" s="662" t="str">
        <f t="shared" si="302"/>
        <v>FRD</v>
      </c>
      <c r="AM2758" s="662" t="str">
        <f t="shared" si="298"/>
        <v>F350-Super Cab XLT-2WD-6-6'9"-12800-6.7L Diesel-8-X3A-613A-148-29-Diesel-BioDiesel</v>
      </c>
      <c r="AN2758" s="662" t="str">
        <f t="shared" si="303"/>
        <v>2019-LTK-FRD-F350-073</v>
      </c>
    </row>
    <row r="2759" spans="1:40" ht="15">
      <c r="A2759" s="570" t="s">
        <v>4830</v>
      </c>
      <c r="B2759" s="573" t="s">
        <v>4821</v>
      </c>
      <c r="C2759" s="573" t="s">
        <v>287</v>
      </c>
      <c r="D2759" s="578">
        <v>26</v>
      </c>
      <c r="E2759" s="573" t="s">
        <v>3374</v>
      </c>
      <c r="F2759" s="573" t="s">
        <v>187</v>
      </c>
      <c r="G2759" s="573" t="s">
        <v>271</v>
      </c>
      <c r="H2759" s="573">
        <v>2019</v>
      </c>
      <c r="I2759" s="573" t="s">
        <v>4503</v>
      </c>
      <c r="J2759" s="573" t="s">
        <v>4070</v>
      </c>
      <c r="K2759" s="573" t="s">
        <v>3377</v>
      </c>
      <c r="L2759" s="573">
        <v>6</v>
      </c>
      <c r="M2759" s="573">
        <v>0</v>
      </c>
      <c r="N2759" s="573" t="s">
        <v>157</v>
      </c>
      <c r="O2759" s="573">
        <v>2</v>
      </c>
      <c r="P2759" s="573" t="s">
        <v>3846</v>
      </c>
      <c r="Q2759" s="571">
        <v>12700</v>
      </c>
      <c r="R2759" s="573" t="s">
        <v>4235</v>
      </c>
      <c r="S2759" s="573">
        <v>8</v>
      </c>
      <c r="T2759" s="573" t="s">
        <v>4751</v>
      </c>
      <c r="U2759" s="573" t="s">
        <v>4584</v>
      </c>
      <c r="V2759" s="573">
        <v>164</v>
      </c>
      <c r="W2759" s="573">
        <v>34</v>
      </c>
      <c r="X2759" s="571">
        <v>10800</v>
      </c>
      <c r="Y2759" s="569">
        <v>13</v>
      </c>
      <c r="Z2759" s="579" t="s">
        <v>450</v>
      </c>
      <c r="AA2759" s="579" t="s">
        <v>178</v>
      </c>
      <c r="AB2759" s="584">
        <v>42450</v>
      </c>
      <c r="AC2759" s="584" t="s">
        <v>164</v>
      </c>
      <c r="AD2759" s="584">
        <v>32477</v>
      </c>
      <c r="AE2759" s="586">
        <v>0.05</v>
      </c>
      <c r="AF2759" s="661" t="str">
        <f t="shared" si="297"/>
        <v>2019-LTK-FRD-F350-074-26</v>
      </c>
      <c r="AG2759" s="661" t="str">
        <f>IF(AND($Y2759&gt;=32,(AI2759="I"),(Y2759&lt;&gt;"~"),(COUNTIF($AN$1:$AN2759,$AN2759)=1)),"TRUE","FALSE")</f>
        <v>FALSE</v>
      </c>
      <c r="AH2759" s="661" t="str">
        <f>IF(AND($Y2759&gt;=22, (AI2759&lt;&gt;"I"),(Y2759&lt;&gt;"~"),(COUNTIF($AN$1:$AN2759,$AN2759)=1)),"TRUE","FALSE")</f>
        <v>FALSE</v>
      </c>
      <c r="AI2759" s="661" t="str">
        <f t="shared" si="299"/>
        <v>N/A</v>
      </c>
      <c r="AJ2759" s="662" t="str">
        <f t="shared" si="300"/>
        <v>F350-074</v>
      </c>
      <c r="AK2759" s="662" t="str">
        <f t="shared" si="301"/>
        <v>LTK</v>
      </c>
      <c r="AL2759" s="662" t="str">
        <f t="shared" si="302"/>
        <v>FRD</v>
      </c>
      <c r="AM2759" s="662" t="str">
        <f t="shared" si="298"/>
        <v>F350-Super Cab XLT-2WD-6-8'-12700-6.2L FFV-8-X3A-613A-164-34-E85-Unleaded</v>
      </c>
      <c r="AN2759" s="662" t="str">
        <f t="shared" si="303"/>
        <v>2019-LTK-FRD-F350-074</v>
      </c>
    </row>
    <row r="2760" spans="1:40" ht="15">
      <c r="A2760" s="570" t="s">
        <v>4831</v>
      </c>
      <c r="B2760" s="569" t="s">
        <v>4823</v>
      </c>
      <c r="C2760" s="569" t="s">
        <v>287</v>
      </c>
      <c r="D2760" s="580">
        <v>26</v>
      </c>
      <c r="E2760" s="569" t="s">
        <v>3374</v>
      </c>
      <c r="F2760" s="569" t="s">
        <v>187</v>
      </c>
      <c r="G2760" s="569" t="s">
        <v>271</v>
      </c>
      <c r="H2760" s="569">
        <v>2019</v>
      </c>
      <c r="I2760" s="569" t="s">
        <v>4503</v>
      </c>
      <c r="J2760" s="569" t="s">
        <v>4070</v>
      </c>
      <c r="K2760" s="569" t="s">
        <v>3377</v>
      </c>
      <c r="L2760" s="569">
        <v>6</v>
      </c>
      <c r="M2760" s="569">
        <v>0</v>
      </c>
      <c r="N2760" s="569" t="s">
        <v>157</v>
      </c>
      <c r="O2760" s="569">
        <v>2</v>
      </c>
      <c r="P2760" s="569" t="s">
        <v>3846</v>
      </c>
      <c r="Q2760" s="568">
        <v>12700</v>
      </c>
      <c r="R2760" s="569" t="s">
        <v>4231</v>
      </c>
      <c r="S2760" s="569">
        <v>8</v>
      </c>
      <c r="T2760" s="569" t="s">
        <v>4751</v>
      </c>
      <c r="U2760" s="569" t="s">
        <v>4584</v>
      </c>
      <c r="V2760" s="569">
        <v>164</v>
      </c>
      <c r="W2760" s="569">
        <v>34</v>
      </c>
      <c r="X2760" s="568">
        <v>11500</v>
      </c>
      <c r="Y2760" s="569">
        <v>13</v>
      </c>
      <c r="Z2760" s="581" t="s">
        <v>728</v>
      </c>
      <c r="AA2760" s="581" t="s">
        <v>1523</v>
      </c>
      <c r="AB2760" s="585">
        <v>52020</v>
      </c>
      <c r="AC2760" s="585" t="s">
        <v>164</v>
      </c>
      <c r="AD2760" s="585">
        <v>40671</v>
      </c>
      <c r="AE2760" s="587">
        <v>0.05</v>
      </c>
      <c r="AF2760" s="661" t="str">
        <f t="shared" si="297"/>
        <v>2019-LTK-FRD-F350-075-26</v>
      </c>
      <c r="AG2760" s="661" t="str">
        <f>IF(AND($Y2760&gt;=32,(AI2760="I"),(Y2760&lt;&gt;"~"),(COUNTIF($AN$1:$AN2760,$AN2760)=1)),"TRUE","FALSE")</f>
        <v>FALSE</v>
      </c>
      <c r="AH2760" s="661" t="str">
        <f>IF(AND($Y2760&gt;=22, (AI2760&lt;&gt;"I"),(Y2760&lt;&gt;"~"),(COUNTIF($AN$1:$AN2760,$AN2760)=1)),"TRUE","FALSE")</f>
        <v>FALSE</v>
      </c>
      <c r="AI2760" s="661" t="str">
        <f t="shared" si="299"/>
        <v>N/A</v>
      </c>
      <c r="AJ2760" s="662" t="str">
        <f t="shared" si="300"/>
        <v>F350-075</v>
      </c>
      <c r="AK2760" s="662" t="str">
        <f t="shared" si="301"/>
        <v>LTK</v>
      </c>
      <c r="AL2760" s="662" t="str">
        <f t="shared" si="302"/>
        <v>FRD</v>
      </c>
      <c r="AM2760" s="662" t="str">
        <f t="shared" si="298"/>
        <v>F350-Super Cab XLT-2WD-6-8'-12700-6.7L Diesel-8-X3A-613A-164-34-Diesel-BioDiesel</v>
      </c>
      <c r="AN2760" s="662" t="str">
        <f t="shared" si="303"/>
        <v>2019-LTK-FRD-F350-075</v>
      </c>
    </row>
    <row r="2761" spans="1:40" ht="15">
      <c r="A2761" s="570" t="s">
        <v>4832</v>
      </c>
      <c r="B2761" s="573" t="s">
        <v>4817</v>
      </c>
      <c r="C2761" s="573" t="s">
        <v>280</v>
      </c>
      <c r="D2761" s="578">
        <v>27</v>
      </c>
      <c r="E2761" s="573" t="s">
        <v>3374</v>
      </c>
      <c r="F2761" s="573" t="s">
        <v>187</v>
      </c>
      <c r="G2761" s="573" t="s">
        <v>271</v>
      </c>
      <c r="H2761" s="573">
        <v>2019</v>
      </c>
      <c r="I2761" s="573" t="s">
        <v>4503</v>
      </c>
      <c r="J2761" s="573" t="s">
        <v>4070</v>
      </c>
      <c r="K2761" s="573" t="s">
        <v>3377</v>
      </c>
      <c r="L2761" s="573">
        <v>6</v>
      </c>
      <c r="M2761" s="573">
        <v>0</v>
      </c>
      <c r="N2761" s="573" t="s">
        <v>157</v>
      </c>
      <c r="O2761" s="573">
        <v>2</v>
      </c>
      <c r="P2761" s="573" t="s">
        <v>4230</v>
      </c>
      <c r="Q2761" s="571">
        <v>12800</v>
      </c>
      <c r="R2761" s="573" t="s">
        <v>4235</v>
      </c>
      <c r="S2761" s="573">
        <v>8</v>
      </c>
      <c r="T2761" s="573" t="s">
        <v>4751</v>
      </c>
      <c r="U2761" s="573" t="s">
        <v>4584</v>
      </c>
      <c r="V2761" s="573">
        <v>148</v>
      </c>
      <c r="W2761" s="573">
        <v>34</v>
      </c>
      <c r="X2761" s="571">
        <v>10500</v>
      </c>
      <c r="Y2761" s="569">
        <v>13</v>
      </c>
      <c r="Z2761" s="579" t="s">
        <v>450</v>
      </c>
      <c r="AA2761" s="579" t="s">
        <v>178</v>
      </c>
      <c r="AB2761" s="584">
        <v>42700</v>
      </c>
      <c r="AC2761" s="584" t="s">
        <v>164</v>
      </c>
      <c r="AD2761" s="584">
        <v>32084.968421052636</v>
      </c>
      <c r="AE2761" s="586">
        <v>0.03</v>
      </c>
      <c r="AF2761" s="661" t="str">
        <f t="shared" si="297"/>
        <v>2019-LTK-FRD-F350-072-27</v>
      </c>
      <c r="AG2761" s="661" t="str">
        <f>IF(AND($Y2761&gt;=32,(AI2761="I"),(Y2761&lt;&gt;"~"),(COUNTIF($AN$1:$AN2761,$AN2761)=1)),"TRUE","FALSE")</f>
        <v>FALSE</v>
      </c>
      <c r="AH2761" s="661" t="str">
        <f>IF(AND($Y2761&gt;=22, (AI2761&lt;&gt;"I"),(Y2761&lt;&gt;"~"),(COUNTIF($AN$1:$AN2761,$AN2761)=1)),"TRUE","FALSE")</f>
        <v>FALSE</v>
      </c>
      <c r="AI2761" s="661" t="str">
        <f t="shared" si="299"/>
        <v>N/A</v>
      </c>
      <c r="AJ2761" s="662" t="str">
        <f t="shared" si="300"/>
        <v>F350-072</v>
      </c>
      <c r="AK2761" s="662" t="str">
        <f t="shared" si="301"/>
        <v>LTK</v>
      </c>
      <c r="AL2761" s="662" t="str">
        <f t="shared" si="302"/>
        <v>FRD</v>
      </c>
      <c r="AM2761" s="662" t="str">
        <f t="shared" si="298"/>
        <v>F350-Super Cab XLT-2WD-6-6'9"-12800-6.2L FFV-8-X3A-613A-148-34-E85-Unleaded</v>
      </c>
      <c r="AN2761" s="662" t="str">
        <f t="shared" si="303"/>
        <v>2019-LTK-FRD-F350-072</v>
      </c>
    </row>
    <row r="2762" spans="1:40" ht="15">
      <c r="A2762" s="570" t="s">
        <v>4833</v>
      </c>
      <c r="B2762" s="569" t="s">
        <v>4819</v>
      </c>
      <c r="C2762" s="569" t="s">
        <v>280</v>
      </c>
      <c r="D2762" s="580">
        <v>27</v>
      </c>
      <c r="E2762" s="569" t="s">
        <v>3374</v>
      </c>
      <c r="F2762" s="569" t="s">
        <v>187</v>
      </c>
      <c r="G2762" s="569" t="s">
        <v>271</v>
      </c>
      <c r="H2762" s="569">
        <v>2019</v>
      </c>
      <c r="I2762" s="569" t="s">
        <v>4503</v>
      </c>
      <c r="J2762" s="569" t="s">
        <v>4070</v>
      </c>
      <c r="K2762" s="569" t="s">
        <v>3377</v>
      </c>
      <c r="L2762" s="569">
        <v>6</v>
      </c>
      <c r="M2762" s="569">
        <v>0</v>
      </c>
      <c r="N2762" s="569" t="s">
        <v>157</v>
      </c>
      <c r="O2762" s="569">
        <v>2</v>
      </c>
      <c r="P2762" s="569" t="s">
        <v>4230</v>
      </c>
      <c r="Q2762" s="568">
        <v>12800</v>
      </c>
      <c r="R2762" s="569" t="s">
        <v>4231</v>
      </c>
      <c r="S2762" s="569">
        <v>8</v>
      </c>
      <c r="T2762" s="569" t="s">
        <v>4751</v>
      </c>
      <c r="U2762" s="569" t="s">
        <v>4584</v>
      </c>
      <c r="V2762" s="569">
        <v>148</v>
      </c>
      <c r="W2762" s="569">
        <v>34</v>
      </c>
      <c r="X2762" s="568">
        <v>11200</v>
      </c>
      <c r="Y2762" s="569">
        <v>13</v>
      </c>
      <c r="Z2762" s="581" t="s">
        <v>728</v>
      </c>
      <c r="AA2762" s="581" t="s">
        <v>1523</v>
      </c>
      <c r="AB2762" s="585">
        <v>51820</v>
      </c>
      <c r="AC2762" s="585" t="s">
        <v>164</v>
      </c>
      <c r="AD2762" s="585">
        <v>40277.157894736847</v>
      </c>
      <c r="AE2762" s="587">
        <v>0.03</v>
      </c>
      <c r="AF2762" s="661" t="str">
        <f t="shared" si="297"/>
        <v>2019-LTK-FRD-F350-073-27</v>
      </c>
      <c r="AG2762" s="661" t="str">
        <f>IF(AND($Y2762&gt;=32,(AI2762="I"),(Y2762&lt;&gt;"~"),(COUNTIF($AN$1:$AN2762,$AN2762)=1)),"TRUE","FALSE")</f>
        <v>FALSE</v>
      </c>
      <c r="AH2762" s="661" t="str">
        <f>IF(AND($Y2762&gt;=22, (AI2762&lt;&gt;"I"),(Y2762&lt;&gt;"~"),(COUNTIF($AN$1:$AN2762,$AN2762)=1)),"TRUE","FALSE")</f>
        <v>FALSE</v>
      </c>
      <c r="AI2762" s="661" t="str">
        <f t="shared" si="299"/>
        <v>N/A</v>
      </c>
      <c r="AJ2762" s="662" t="str">
        <f t="shared" si="300"/>
        <v>F350-073</v>
      </c>
      <c r="AK2762" s="662" t="str">
        <f t="shared" si="301"/>
        <v>LTK</v>
      </c>
      <c r="AL2762" s="662" t="str">
        <f t="shared" si="302"/>
        <v>FRD</v>
      </c>
      <c r="AM2762" s="662" t="str">
        <f t="shared" si="298"/>
        <v>F350-Super Cab XLT-2WD-6-6'9"-12800-6.7L Diesel-8-X3A-613A-148-34-Diesel-BioDiesel</v>
      </c>
      <c r="AN2762" s="662" t="str">
        <f t="shared" si="303"/>
        <v>2019-LTK-FRD-F350-073</v>
      </c>
    </row>
    <row r="2763" spans="1:40" ht="15">
      <c r="A2763" s="570" t="s">
        <v>4834</v>
      </c>
      <c r="B2763" s="573" t="s">
        <v>4821</v>
      </c>
      <c r="C2763" s="573" t="s">
        <v>280</v>
      </c>
      <c r="D2763" s="578">
        <v>27</v>
      </c>
      <c r="E2763" s="573" t="s">
        <v>3374</v>
      </c>
      <c r="F2763" s="573" t="s">
        <v>187</v>
      </c>
      <c r="G2763" s="573" t="s">
        <v>271</v>
      </c>
      <c r="H2763" s="573">
        <v>2019</v>
      </c>
      <c r="I2763" s="573" t="s">
        <v>4503</v>
      </c>
      <c r="J2763" s="573" t="s">
        <v>4070</v>
      </c>
      <c r="K2763" s="573" t="s">
        <v>3377</v>
      </c>
      <c r="L2763" s="573">
        <v>6</v>
      </c>
      <c r="M2763" s="573">
        <v>0</v>
      </c>
      <c r="N2763" s="573" t="s">
        <v>157</v>
      </c>
      <c r="O2763" s="573">
        <v>2</v>
      </c>
      <c r="P2763" s="573" t="s">
        <v>3846</v>
      </c>
      <c r="Q2763" s="571">
        <v>12700</v>
      </c>
      <c r="R2763" s="573" t="s">
        <v>4235</v>
      </c>
      <c r="S2763" s="573">
        <v>8</v>
      </c>
      <c r="T2763" s="573" t="s">
        <v>4751</v>
      </c>
      <c r="U2763" s="573" t="s">
        <v>4584</v>
      </c>
      <c r="V2763" s="573">
        <v>164</v>
      </c>
      <c r="W2763" s="573">
        <v>34</v>
      </c>
      <c r="X2763" s="571">
        <v>10800</v>
      </c>
      <c r="Y2763" s="569">
        <v>13</v>
      </c>
      <c r="Z2763" s="579" t="s">
        <v>450</v>
      </c>
      <c r="AA2763" s="579" t="s">
        <v>178</v>
      </c>
      <c r="AB2763" s="584">
        <v>42900</v>
      </c>
      <c r="AC2763" s="584" t="s">
        <v>164</v>
      </c>
      <c r="AD2763" s="584">
        <v>32269.178947368422</v>
      </c>
      <c r="AE2763" s="586">
        <v>0.03</v>
      </c>
      <c r="AF2763" s="661" t="str">
        <f t="shared" si="297"/>
        <v>2019-LTK-FRD-F350-074-27</v>
      </c>
      <c r="AG2763" s="661" t="str">
        <f>IF(AND($Y2763&gt;=32,(AI2763="I"),(Y2763&lt;&gt;"~"),(COUNTIF($AN$1:$AN2763,$AN2763)=1)),"TRUE","FALSE")</f>
        <v>FALSE</v>
      </c>
      <c r="AH2763" s="661" t="str">
        <f>IF(AND($Y2763&gt;=22, (AI2763&lt;&gt;"I"),(Y2763&lt;&gt;"~"),(COUNTIF($AN$1:$AN2763,$AN2763)=1)),"TRUE","FALSE")</f>
        <v>FALSE</v>
      </c>
      <c r="AI2763" s="661" t="str">
        <f t="shared" si="299"/>
        <v>N/A</v>
      </c>
      <c r="AJ2763" s="662" t="str">
        <f t="shared" si="300"/>
        <v>F350-074</v>
      </c>
      <c r="AK2763" s="662" t="str">
        <f t="shared" si="301"/>
        <v>LTK</v>
      </c>
      <c r="AL2763" s="662" t="str">
        <f t="shared" si="302"/>
        <v>FRD</v>
      </c>
      <c r="AM2763" s="662" t="str">
        <f t="shared" si="298"/>
        <v>F350-Super Cab XLT-2WD-6-8'-12700-6.2L FFV-8-X3A-613A-164-34-E85-Unleaded</v>
      </c>
      <c r="AN2763" s="662" t="str">
        <f t="shared" si="303"/>
        <v>2019-LTK-FRD-F350-074</v>
      </c>
    </row>
    <row r="2764" spans="1:40" ht="15">
      <c r="A2764" s="570" t="s">
        <v>4835</v>
      </c>
      <c r="B2764" s="569" t="s">
        <v>4823</v>
      </c>
      <c r="C2764" s="569" t="s">
        <v>280</v>
      </c>
      <c r="D2764" s="580">
        <v>27</v>
      </c>
      <c r="E2764" s="569" t="s">
        <v>3374</v>
      </c>
      <c r="F2764" s="569" t="s">
        <v>187</v>
      </c>
      <c r="G2764" s="569" t="s">
        <v>271</v>
      </c>
      <c r="H2764" s="569">
        <v>2019</v>
      </c>
      <c r="I2764" s="569" t="s">
        <v>4503</v>
      </c>
      <c r="J2764" s="569" t="s">
        <v>4070</v>
      </c>
      <c r="K2764" s="569" t="s">
        <v>3377</v>
      </c>
      <c r="L2764" s="569">
        <v>6</v>
      </c>
      <c r="M2764" s="569">
        <v>0</v>
      </c>
      <c r="N2764" s="569" t="s">
        <v>157</v>
      </c>
      <c r="O2764" s="569">
        <v>2</v>
      </c>
      <c r="P2764" s="569" t="s">
        <v>3846</v>
      </c>
      <c r="Q2764" s="568">
        <v>12700</v>
      </c>
      <c r="R2764" s="569" t="s">
        <v>4231</v>
      </c>
      <c r="S2764" s="569">
        <v>8</v>
      </c>
      <c r="T2764" s="569" t="s">
        <v>4751</v>
      </c>
      <c r="U2764" s="569" t="s">
        <v>4584</v>
      </c>
      <c r="V2764" s="569">
        <v>164</v>
      </c>
      <c r="W2764" s="569">
        <v>34</v>
      </c>
      <c r="X2764" s="568">
        <v>11500</v>
      </c>
      <c r="Y2764" s="569">
        <v>13</v>
      </c>
      <c r="Z2764" s="581" t="s">
        <v>728</v>
      </c>
      <c r="AA2764" s="581" t="s">
        <v>1523</v>
      </c>
      <c r="AB2764" s="585">
        <v>52020</v>
      </c>
      <c r="AC2764" s="585" t="s">
        <v>164</v>
      </c>
      <c r="AD2764" s="585">
        <v>40461.368421052633</v>
      </c>
      <c r="AE2764" s="587">
        <v>0.03</v>
      </c>
      <c r="AF2764" s="661" t="str">
        <f t="shared" ref="AF2764:AF2827" si="304">A2764</f>
        <v>2019-LTK-FRD-F350-075-27</v>
      </c>
      <c r="AG2764" s="661" t="str">
        <f>IF(AND($Y2764&gt;=32,(AI2764="I"),(Y2764&lt;&gt;"~"),(COUNTIF($AN$1:$AN2764,$AN2764)=1)),"TRUE","FALSE")</f>
        <v>FALSE</v>
      </c>
      <c r="AH2764" s="661" t="str">
        <f>IF(AND($Y2764&gt;=22, (AI2764&lt;&gt;"I"),(Y2764&lt;&gt;"~"),(COUNTIF($AN$1:$AN2764,$AN2764)=1)),"TRUE","FALSE")</f>
        <v>FALSE</v>
      </c>
      <c r="AI2764" s="661" t="str">
        <f t="shared" si="299"/>
        <v>N/A</v>
      </c>
      <c r="AJ2764" s="662" t="str">
        <f t="shared" si="300"/>
        <v>F350-075</v>
      </c>
      <c r="AK2764" s="662" t="str">
        <f t="shared" si="301"/>
        <v>LTK</v>
      </c>
      <c r="AL2764" s="662" t="str">
        <f t="shared" si="302"/>
        <v>FRD</v>
      </c>
      <c r="AM2764" s="662" t="str">
        <f t="shared" si="298"/>
        <v>F350-Super Cab XLT-2WD-6-8'-12700-6.7L Diesel-8-X3A-613A-164-34-Diesel-BioDiesel</v>
      </c>
      <c r="AN2764" s="662" t="str">
        <f t="shared" si="303"/>
        <v>2019-LTK-FRD-F350-075</v>
      </c>
    </row>
    <row r="2765" spans="1:40" ht="15">
      <c r="A2765" s="570" t="s">
        <v>4836</v>
      </c>
      <c r="B2765" s="573" t="s">
        <v>4837</v>
      </c>
      <c r="C2765" s="573" t="s">
        <v>269</v>
      </c>
      <c r="D2765" s="578" t="s">
        <v>270</v>
      </c>
      <c r="E2765" s="573" t="s">
        <v>3374</v>
      </c>
      <c r="F2765" s="573" t="s">
        <v>187</v>
      </c>
      <c r="G2765" s="573" t="s">
        <v>271</v>
      </c>
      <c r="H2765" s="573">
        <v>2019</v>
      </c>
      <c r="I2765" s="573" t="s">
        <v>4503</v>
      </c>
      <c r="J2765" s="573" t="s">
        <v>4070</v>
      </c>
      <c r="K2765" s="573" t="s">
        <v>752</v>
      </c>
      <c r="L2765" s="573">
        <v>6</v>
      </c>
      <c r="M2765" s="573">
        <v>0</v>
      </c>
      <c r="N2765" s="573" t="s">
        <v>157</v>
      </c>
      <c r="O2765" s="573">
        <v>2</v>
      </c>
      <c r="P2765" s="573" t="s">
        <v>4230</v>
      </c>
      <c r="Q2765" s="571">
        <v>12400</v>
      </c>
      <c r="R2765" s="573" t="s">
        <v>4235</v>
      </c>
      <c r="S2765" s="573">
        <v>8</v>
      </c>
      <c r="T2765" s="573" t="s">
        <v>4771</v>
      </c>
      <c r="U2765" s="573" t="s">
        <v>4584</v>
      </c>
      <c r="V2765" s="573">
        <v>148</v>
      </c>
      <c r="W2765" s="573">
        <v>34</v>
      </c>
      <c r="X2765" s="571">
        <v>10400</v>
      </c>
      <c r="Y2765" s="569">
        <v>12</v>
      </c>
      <c r="Z2765" s="579" t="s">
        <v>450</v>
      </c>
      <c r="AA2765" s="579" t="s">
        <v>178</v>
      </c>
      <c r="AB2765" s="584">
        <v>45505</v>
      </c>
      <c r="AC2765" s="584" t="s">
        <v>164</v>
      </c>
      <c r="AD2765" s="584">
        <v>33833.389473684212</v>
      </c>
      <c r="AE2765" s="586">
        <v>0.03</v>
      </c>
      <c r="AF2765" s="661" t="str">
        <f t="shared" si="304"/>
        <v>2019-LTK-FRD-F350-077-05</v>
      </c>
      <c r="AG2765" s="661" t="str">
        <f>IF(AND($Y2765&gt;=32,(AI2765="I"),(Y2765&lt;&gt;"~"),(COUNTIF($AN$1:$AN2765,$AN2765)=1)),"TRUE","FALSE")</f>
        <v>FALSE</v>
      </c>
      <c r="AH2765" s="661" t="str">
        <f>IF(AND($Y2765&gt;=22, (AI2765&lt;&gt;"I"),(Y2765&lt;&gt;"~"),(COUNTIF($AN$1:$AN2765,$AN2765)=1)),"TRUE","FALSE")</f>
        <v>FALSE</v>
      </c>
      <c r="AI2765" s="661" t="str">
        <f t="shared" si="299"/>
        <v>N/A</v>
      </c>
      <c r="AJ2765" s="662" t="str">
        <f t="shared" si="300"/>
        <v>F350-077</v>
      </c>
      <c r="AK2765" s="662" t="str">
        <f t="shared" si="301"/>
        <v>LTK</v>
      </c>
      <c r="AL2765" s="662" t="str">
        <f t="shared" si="302"/>
        <v>FRD</v>
      </c>
      <c r="AM2765" s="662" t="str">
        <f t="shared" si="298"/>
        <v>F350-Super Cab XLT-4WD-6-6'9"-12400-6.2L FFV-8-X3B-613A-148-34-E85-Unleaded</v>
      </c>
      <c r="AN2765" s="662" t="str">
        <f t="shared" si="303"/>
        <v>2019-LTK-FRD-F350-077</v>
      </c>
    </row>
    <row r="2766" spans="1:40" ht="15">
      <c r="A2766" s="570" t="s">
        <v>4838</v>
      </c>
      <c r="B2766" s="569" t="s">
        <v>4839</v>
      </c>
      <c r="C2766" s="569" t="s">
        <v>269</v>
      </c>
      <c r="D2766" s="580" t="s">
        <v>270</v>
      </c>
      <c r="E2766" s="569" t="s">
        <v>3374</v>
      </c>
      <c r="F2766" s="569" t="s">
        <v>187</v>
      </c>
      <c r="G2766" s="569" t="s">
        <v>271</v>
      </c>
      <c r="H2766" s="569">
        <v>2019</v>
      </c>
      <c r="I2766" s="569" t="s">
        <v>4503</v>
      </c>
      <c r="J2766" s="569" t="s">
        <v>4070</v>
      </c>
      <c r="K2766" s="569" t="s">
        <v>752</v>
      </c>
      <c r="L2766" s="569">
        <v>6</v>
      </c>
      <c r="M2766" s="569">
        <v>0</v>
      </c>
      <c r="N2766" s="569" t="s">
        <v>157</v>
      </c>
      <c r="O2766" s="569">
        <v>2</v>
      </c>
      <c r="P2766" s="569" t="s">
        <v>4230</v>
      </c>
      <c r="Q2766" s="568">
        <v>12400</v>
      </c>
      <c r="R2766" s="569" t="s">
        <v>4231</v>
      </c>
      <c r="S2766" s="569">
        <v>8</v>
      </c>
      <c r="T2766" s="569" t="s">
        <v>4771</v>
      </c>
      <c r="U2766" s="569" t="s">
        <v>4584</v>
      </c>
      <c r="V2766" s="569">
        <v>148</v>
      </c>
      <c r="W2766" s="569">
        <v>29</v>
      </c>
      <c r="X2766" s="568">
        <v>11500</v>
      </c>
      <c r="Y2766" s="569">
        <v>12</v>
      </c>
      <c r="Z2766" s="581" t="s">
        <v>728</v>
      </c>
      <c r="AA2766" s="581" t="s">
        <v>1523</v>
      </c>
      <c r="AB2766" s="585">
        <v>54625</v>
      </c>
      <c r="AC2766" s="585" t="s">
        <v>164</v>
      </c>
      <c r="AD2766" s="585">
        <v>42025.578947368427</v>
      </c>
      <c r="AE2766" s="587">
        <v>0.03</v>
      </c>
      <c r="AF2766" s="661" t="str">
        <f t="shared" si="304"/>
        <v>2019-LTK-FRD-F350-078-05</v>
      </c>
      <c r="AG2766" s="661" t="str">
        <f>IF(AND($Y2766&gt;=32,(AI2766="I"),(Y2766&lt;&gt;"~"),(COUNTIF($AN$1:$AN2766,$AN2766)=1)),"TRUE","FALSE")</f>
        <v>FALSE</v>
      </c>
      <c r="AH2766" s="661" t="str">
        <f>IF(AND($Y2766&gt;=22, (AI2766&lt;&gt;"I"),(Y2766&lt;&gt;"~"),(COUNTIF($AN$1:$AN2766,$AN2766)=1)),"TRUE","FALSE")</f>
        <v>FALSE</v>
      </c>
      <c r="AI2766" s="661" t="str">
        <f t="shared" si="299"/>
        <v>N/A</v>
      </c>
      <c r="AJ2766" s="662" t="str">
        <f t="shared" si="300"/>
        <v>F350-078</v>
      </c>
      <c r="AK2766" s="662" t="str">
        <f t="shared" si="301"/>
        <v>LTK</v>
      </c>
      <c r="AL2766" s="662" t="str">
        <f t="shared" si="302"/>
        <v>FRD</v>
      </c>
      <c r="AM2766" s="662" t="str">
        <f t="shared" si="298"/>
        <v>F350-Super Cab XLT-4WD-6-6'9"-12400-6.7L Diesel-8-X3B-613A-148-29-Diesel-BioDiesel</v>
      </c>
      <c r="AN2766" s="662" t="str">
        <f t="shared" si="303"/>
        <v>2019-LTK-FRD-F350-078</v>
      </c>
    </row>
    <row r="2767" spans="1:40" ht="15">
      <c r="A2767" s="570" t="s">
        <v>4840</v>
      </c>
      <c r="B2767" s="573" t="s">
        <v>4841</v>
      </c>
      <c r="C2767" s="573" t="s">
        <v>269</v>
      </c>
      <c r="D2767" s="578" t="s">
        <v>270</v>
      </c>
      <c r="E2767" s="573" t="s">
        <v>3374</v>
      </c>
      <c r="F2767" s="573" t="s">
        <v>187</v>
      </c>
      <c r="G2767" s="573" t="s">
        <v>271</v>
      </c>
      <c r="H2767" s="573">
        <v>2019</v>
      </c>
      <c r="I2767" s="573" t="s">
        <v>4503</v>
      </c>
      <c r="J2767" s="573" t="s">
        <v>4070</v>
      </c>
      <c r="K2767" s="573" t="s">
        <v>752</v>
      </c>
      <c r="L2767" s="573">
        <v>6</v>
      </c>
      <c r="M2767" s="573">
        <v>0</v>
      </c>
      <c r="N2767" s="573" t="s">
        <v>157</v>
      </c>
      <c r="O2767" s="573">
        <v>2</v>
      </c>
      <c r="P2767" s="573" t="s">
        <v>3846</v>
      </c>
      <c r="Q2767" s="571">
        <v>12300</v>
      </c>
      <c r="R2767" s="573" t="s">
        <v>4235</v>
      </c>
      <c r="S2767" s="573">
        <v>8</v>
      </c>
      <c r="T2767" s="573" t="s">
        <v>4771</v>
      </c>
      <c r="U2767" s="573" t="s">
        <v>4584</v>
      </c>
      <c r="V2767" s="573">
        <v>164</v>
      </c>
      <c r="W2767" s="573">
        <v>34</v>
      </c>
      <c r="X2767" s="571">
        <v>11200</v>
      </c>
      <c r="Y2767" s="569">
        <v>12</v>
      </c>
      <c r="Z2767" s="579" t="s">
        <v>450</v>
      </c>
      <c r="AA2767" s="579" t="s">
        <v>178</v>
      </c>
      <c r="AB2767" s="584">
        <v>45705</v>
      </c>
      <c r="AC2767" s="584" t="s">
        <v>164</v>
      </c>
      <c r="AD2767" s="584">
        <v>34017.600000000006</v>
      </c>
      <c r="AE2767" s="586">
        <v>0.03</v>
      </c>
      <c r="AF2767" s="661" t="str">
        <f t="shared" si="304"/>
        <v>2019-LTK-FRD-F350-079-05</v>
      </c>
      <c r="AG2767" s="661" t="str">
        <f>IF(AND($Y2767&gt;=32,(AI2767="I"),(Y2767&lt;&gt;"~"),(COUNTIF($AN$1:$AN2767,$AN2767)=1)),"TRUE","FALSE")</f>
        <v>FALSE</v>
      </c>
      <c r="AH2767" s="661" t="str">
        <f>IF(AND($Y2767&gt;=22, (AI2767&lt;&gt;"I"),(Y2767&lt;&gt;"~"),(COUNTIF($AN$1:$AN2767,$AN2767)=1)),"TRUE","FALSE")</f>
        <v>FALSE</v>
      </c>
      <c r="AI2767" s="661" t="str">
        <f t="shared" si="299"/>
        <v>N/A</v>
      </c>
      <c r="AJ2767" s="662" t="str">
        <f t="shared" si="300"/>
        <v>F350-079</v>
      </c>
      <c r="AK2767" s="662" t="str">
        <f t="shared" si="301"/>
        <v>LTK</v>
      </c>
      <c r="AL2767" s="662" t="str">
        <f t="shared" si="302"/>
        <v>FRD</v>
      </c>
      <c r="AM2767" s="662" t="str">
        <f t="shared" si="298"/>
        <v>F350-Super Cab XLT-4WD-6-8'-12300-6.2L FFV-8-X3B-613A-164-34-E85-Unleaded</v>
      </c>
      <c r="AN2767" s="662" t="str">
        <f t="shared" si="303"/>
        <v>2019-LTK-FRD-F350-079</v>
      </c>
    </row>
    <row r="2768" spans="1:40" ht="15">
      <c r="A2768" s="570" t="s">
        <v>4842</v>
      </c>
      <c r="B2768" s="569" t="s">
        <v>4843</v>
      </c>
      <c r="C2768" s="569" t="s">
        <v>269</v>
      </c>
      <c r="D2768" s="580" t="s">
        <v>270</v>
      </c>
      <c r="E2768" s="569" t="s">
        <v>3374</v>
      </c>
      <c r="F2768" s="569" t="s">
        <v>187</v>
      </c>
      <c r="G2768" s="569" t="s">
        <v>271</v>
      </c>
      <c r="H2768" s="569">
        <v>2019</v>
      </c>
      <c r="I2768" s="569" t="s">
        <v>4503</v>
      </c>
      <c r="J2768" s="569" t="s">
        <v>4070</v>
      </c>
      <c r="K2768" s="569" t="s">
        <v>752</v>
      </c>
      <c r="L2768" s="569">
        <v>6</v>
      </c>
      <c r="M2768" s="569">
        <v>0</v>
      </c>
      <c r="N2768" s="569" t="s">
        <v>157</v>
      </c>
      <c r="O2768" s="569">
        <v>2</v>
      </c>
      <c r="P2768" s="569" t="s">
        <v>3846</v>
      </c>
      <c r="Q2768" s="568">
        <v>12300</v>
      </c>
      <c r="R2768" s="569" t="s">
        <v>4231</v>
      </c>
      <c r="S2768" s="569">
        <v>8</v>
      </c>
      <c r="T2768" s="569" t="s">
        <v>4771</v>
      </c>
      <c r="U2768" s="569" t="s">
        <v>4584</v>
      </c>
      <c r="V2768" s="569">
        <v>164</v>
      </c>
      <c r="W2768" s="569">
        <v>34</v>
      </c>
      <c r="X2768" s="568">
        <v>11500</v>
      </c>
      <c r="Y2768" s="569">
        <v>12</v>
      </c>
      <c r="Z2768" s="581" t="s">
        <v>728</v>
      </c>
      <c r="AA2768" s="581" t="s">
        <v>1523</v>
      </c>
      <c r="AB2768" s="585">
        <v>54825</v>
      </c>
      <c r="AC2768" s="585" t="s">
        <v>164</v>
      </c>
      <c r="AD2768" s="585">
        <v>42209.789473684214</v>
      </c>
      <c r="AE2768" s="587">
        <v>0.03</v>
      </c>
      <c r="AF2768" s="661" t="str">
        <f t="shared" si="304"/>
        <v>2019-LTK-FRD-F350-080-05</v>
      </c>
      <c r="AG2768" s="661" t="str">
        <f>IF(AND($Y2768&gt;=32,(AI2768="I"),(Y2768&lt;&gt;"~"),(COUNTIF($AN$1:$AN2768,$AN2768)=1)),"TRUE","FALSE")</f>
        <v>FALSE</v>
      </c>
      <c r="AH2768" s="661" t="str">
        <f>IF(AND($Y2768&gt;=22, (AI2768&lt;&gt;"I"),(Y2768&lt;&gt;"~"),(COUNTIF($AN$1:$AN2768,$AN2768)=1)),"TRUE","FALSE")</f>
        <v>FALSE</v>
      </c>
      <c r="AI2768" s="661" t="str">
        <f t="shared" si="299"/>
        <v>N/A</v>
      </c>
      <c r="AJ2768" s="662" t="str">
        <f t="shared" si="300"/>
        <v>F350-080</v>
      </c>
      <c r="AK2768" s="662" t="str">
        <f t="shared" si="301"/>
        <v>LTK</v>
      </c>
      <c r="AL2768" s="662" t="str">
        <f t="shared" si="302"/>
        <v>FRD</v>
      </c>
      <c r="AM2768" s="662" t="str">
        <f t="shared" si="298"/>
        <v>F350-Super Cab XLT-4WD-6-8'-12300-6.7L Diesel-8-X3B-613A-164-34-Diesel-BioDiesel</v>
      </c>
      <c r="AN2768" s="662" t="str">
        <f t="shared" si="303"/>
        <v>2019-LTK-FRD-F350-080</v>
      </c>
    </row>
    <row r="2769" spans="1:40" ht="15">
      <c r="A2769" s="570" t="s">
        <v>4844</v>
      </c>
      <c r="B2769" s="573" t="s">
        <v>4837</v>
      </c>
      <c r="C2769" s="573" t="s">
        <v>278</v>
      </c>
      <c r="D2769" s="578">
        <v>15</v>
      </c>
      <c r="E2769" s="573" t="s">
        <v>3374</v>
      </c>
      <c r="F2769" s="573" t="s">
        <v>187</v>
      </c>
      <c r="G2769" s="573" t="s">
        <v>271</v>
      </c>
      <c r="H2769" s="573">
        <v>2019</v>
      </c>
      <c r="I2769" s="573" t="s">
        <v>4503</v>
      </c>
      <c r="J2769" s="573" t="s">
        <v>4070</v>
      </c>
      <c r="K2769" s="573" t="s">
        <v>752</v>
      </c>
      <c r="L2769" s="573">
        <v>6</v>
      </c>
      <c r="M2769" s="573">
        <v>0</v>
      </c>
      <c r="N2769" s="573" t="s">
        <v>157</v>
      </c>
      <c r="O2769" s="573">
        <v>2</v>
      </c>
      <c r="P2769" s="573" t="s">
        <v>4230</v>
      </c>
      <c r="Q2769" s="571">
        <v>12400</v>
      </c>
      <c r="R2769" s="573" t="s">
        <v>4235</v>
      </c>
      <c r="S2769" s="573">
        <v>8</v>
      </c>
      <c r="T2769" s="573" t="s">
        <v>4771</v>
      </c>
      <c r="U2769" s="573" t="s">
        <v>4584</v>
      </c>
      <c r="V2769" s="573">
        <v>148</v>
      </c>
      <c r="W2769" s="573">
        <v>34</v>
      </c>
      <c r="X2769" s="571">
        <v>10800</v>
      </c>
      <c r="Y2769" s="569">
        <v>12</v>
      </c>
      <c r="Z2769" s="579" t="s">
        <v>450</v>
      </c>
      <c r="AA2769" s="579" t="s">
        <v>178</v>
      </c>
      <c r="AB2769" s="584">
        <v>45505</v>
      </c>
      <c r="AC2769" s="584" t="s">
        <v>164</v>
      </c>
      <c r="AD2769" s="584">
        <v>33975</v>
      </c>
      <c r="AE2769" s="586">
        <v>0.01</v>
      </c>
      <c r="AF2769" s="661" t="str">
        <f t="shared" si="304"/>
        <v>2019-LTK-FRD-F350-077-15</v>
      </c>
      <c r="AG2769" s="661" t="str">
        <f>IF(AND($Y2769&gt;=32,(AI2769="I"),(Y2769&lt;&gt;"~"),(COUNTIF($AN$1:$AN2769,$AN2769)=1)),"TRUE","FALSE")</f>
        <v>FALSE</v>
      </c>
      <c r="AH2769" s="661" t="str">
        <f>IF(AND($Y2769&gt;=22, (AI2769&lt;&gt;"I"),(Y2769&lt;&gt;"~"),(COUNTIF($AN$1:$AN2769,$AN2769)=1)),"TRUE","FALSE")</f>
        <v>FALSE</v>
      </c>
      <c r="AI2769" s="661" t="str">
        <f t="shared" si="299"/>
        <v>N/A</v>
      </c>
      <c r="AJ2769" s="662" t="str">
        <f t="shared" si="300"/>
        <v>F350-077</v>
      </c>
      <c r="AK2769" s="662" t="str">
        <f t="shared" si="301"/>
        <v>LTK</v>
      </c>
      <c r="AL2769" s="662" t="str">
        <f t="shared" si="302"/>
        <v>FRD</v>
      </c>
      <c r="AM2769" s="662" t="str">
        <f t="shared" si="298"/>
        <v>F350-Super Cab XLT-4WD-6-6'9"-12400-6.2L FFV-8-X3B-613A-148-34-E85-Unleaded</v>
      </c>
      <c r="AN2769" s="662" t="str">
        <f t="shared" si="303"/>
        <v>2019-LTK-FRD-F350-077</v>
      </c>
    </row>
    <row r="2770" spans="1:40" ht="15">
      <c r="A2770" s="570" t="s">
        <v>4845</v>
      </c>
      <c r="B2770" s="569" t="s">
        <v>4839</v>
      </c>
      <c r="C2770" s="569" t="s">
        <v>278</v>
      </c>
      <c r="D2770" s="580">
        <v>15</v>
      </c>
      <c r="E2770" s="569" t="s">
        <v>3374</v>
      </c>
      <c r="F2770" s="569" t="s">
        <v>187</v>
      </c>
      <c r="G2770" s="569" t="s">
        <v>271</v>
      </c>
      <c r="H2770" s="569">
        <v>2019</v>
      </c>
      <c r="I2770" s="569" t="s">
        <v>4503</v>
      </c>
      <c r="J2770" s="569" t="s">
        <v>4070</v>
      </c>
      <c r="K2770" s="569" t="s">
        <v>752</v>
      </c>
      <c r="L2770" s="569">
        <v>6</v>
      </c>
      <c r="M2770" s="569">
        <v>0</v>
      </c>
      <c r="N2770" s="569" t="s">
        <v>157</v>
      </c>
      <c r="O2770" s="569">
        <v>2</v>
      </c>
      <c r="P2770" s="569" t="s">
        <v>4230</v>
      </c>
      <c r="Q2770" s="568">
        <v>12400</v>
      </c>
      <c r="R2770" s="569" t="s">
        <v>4231</v>
      </c>
      <c r="S2770" s="569">
        <v>8</v>
      </c>
      <c r="T2770" s="569" t="s">
        <v>4771</v>
      </c>
      <c r="U2770" s="569" t="s">
        <v>4584</v>
      </c>
      <c r="V2770" s="569">
        <v>148</v>
      </c>
      <c r="W2770" s="569">
        <v>29</v>
      </c>
      <c r="X2770" s="568">
        <v>11500</v>
      </c>
      <c r="Y2770" s="569">
        <v>12</v>
      </c>
      <c r="Z2770" s="581" t="s">
        <v>728</v>
      </c>
      <c r="AA2770" s="581" t="s">
        <v>1523</v>
      </c>
      <c r="AB2770" s="585">
        <v>54625</v>
      </c>
      <c r="AC2770" s="585" t="s">
        <v>164</v>
      </c>
      <c r="AD2770" s="585">
        <v>42250</v>
      </c>
      <c r="AE2770" s="587">
        <v>0.01</v>
      </c>
      <c r="AF2770" s="661" t="str">
        <f t="shared" si="304"/>
        <v>2019-LTK-FRD-F350-078-15</v>
      </c>
      <c r="AG2770" s="661" t="str">
        <f>IF(AND($Y2770&gt;=32,(AI2770="I"),(Y2770&lt;&gt;"~"),(COUNTIF($AN$1:$AN2770,$AN2770)=1)),"TRUE","FALSE")</f>
        <v>FALSE</v>
      </c>
      <c r="AH2770" s="661" t="str">
        <f>IF(AND($Y2770&gt;=22, (AI2770&lt;&gt;"I"),(Y2770&lt;&gt;"~"),(COUNTIF($AN$1:$AN2770,$AN2770)=1)),"TRUE","FALSE")</f>
        <v>FALSE</v>
      </c>
      <c r="AI2770" s="661" t="str">
        <f t="shared" si="299"/>
        <v>N/A</v>
      </c>
      <c r="AJ2770" s="662" t="str">
        <f t="shared" si="300"/>
        <v>F350-078</v>
      </c>
      <c r="AK2770" s="662" t="str">
        <f t="shared" si="301"/>
        <v>LTK</v>
      </c>
      <c r="AL2770" s="662" t="str">
        <f t="shared" si="302"/>
        <v>FRD</v>
      </c>
      <c r="AM2770" s="662" t="str">
        <f t="shared" si="298"/>
        <v>F350-Super Cab XLT-4WD-6-6'9"-12400-6.7L Diesel-8-X3B-613A-148-29-Diesel-BioDiesel</v>
      </c>
      <c r="AN2770" s="662" t="str">
        <f t="shared" si="303"/>
        <v>2019-LTK-FRD-F350-078</v>
      </c>
    </row>
    <row r="2771" spans="1:40" ht="15">
      <c r="A2771" s="570" t="s">
        <v>4846</v>
      </c>
      <c r="B2771" s="573" t="s">
        <v>4841</v>
      </c>
      <c r="C2771" s="573" t="s">
        <v>278</v>
      </c>
      <c r="D2771" s="578">
        <v>15</v>
      </c>
      <c r="E2771" s="573" t="s">
        <v>3374</v>
      </c>
      <c r="F2771" s="573" t="s">
        <v>187</v>
      </c>
      <c r="G2771" s="573" t="s">
        <v>271</v>
      </c>
      <c r="H2771" s="573">
        <v>2019</v>
      </c>
      <c r="I2771" s="573" t="s">
        <v>4503</v>
      </c>
      <c r="J2771" s="573" t="s">
        <v>4070</v>
      </c>
      <c r="K2771" s="573" t="s">
        <v>752</v>
      </c>
      <c r="L2771" s="573">
        <v>6</v>
      </c>
      <c r="M2771" s="573">
        <v>0</v>
      </c>
      <c r="N2771" s="573" t="s">
        <v>157</v>
      </c>
      <c r="O2771" s="573">
        <v>2</v>
      </c>
      <c r="P2771" s="573" t="s">
        <v>3846</v>
      </c>
      <c r="Q2771" s="571">
        <v>12300</v>
      </c>
      <c r="R2771" s="573" t="s">
        <v>4235</v>
      </c>
      <c r="S2771" s="573">
        <v>8</v>
      </c>
      <c r="T2771" s="573" t="s">
        <v>4771</v>
      </c>
      <c r="U2771" s="573" t="s">
        <v>4584</v>
      </c>
      <c r="V2771" s="573">
        <v>164</v>
      </c>
      <c r="W2771" s="573">
        <v>34</v>
      </c>
      <c r="X2771" s="571">
        <v>11200</v>
      </c>
      <c r="Y2771" s="569">
        <v>12</v>
      </c>
      <c r="Z2771" s="579" t="s">
        <v>450</v>
      </c>
      <c r="AA2771" s="579" t="s">
        <v>178</v>
      </c>
      <c r="AB2771" s="584">
        <v>45705</v>
      </c>
      <c r="AC2771" s="584" t="s">
        <v>164</v>
      </c>
      <c r="AD2771" s="584">
        <v>34200</v>
      </c>
      <c r="AE2771" s="586">
        <v>0.01</v>
      </c>
      <c r="AF2771" s="661" t="str">
        <f t="shared" si="304"/>
        <v>2019-LTK-FRD-F350-079-15</v>
      </c>
      <c r="AG2771" s="661" t="str">
        <f>IF(AND($Y2771&gt;=32,(AI2771="I"),(Y2771&lt;&gt;"~"),(COUNTIF($AN$1:$AN2771,$AN2771)=1)),"TRUE","FALSE")</f>
        <v>FALSE</v>
      </c>
      <c r="AH2771" s="661" t="str">
        <f>IF(AND($Y2771&gt;=22, (AI2771&lt;&gt;"I"),(Y2771&lt;&gt;"~"),(COUNTIF($AN$1:$AN2771,$AN2771)=1)),"TRUE","FALSE")</f>
        <v>FALSE</v>
      </c>
      <c r="AI2771" s="661" t="str">
        <f t="shared" si="299"/>
        <v>N/A</v>
      </c>
      <c r="AJ2771" s="662" t="str">
        <f t="shared" si="300"/>
        <v>F350-079</v>
      </c>
      <c r="AK2771" s="662" t="str">
        <f t="shared" si="301"/>
        <v>LTK</v>
      </c>
      <c r="AL2771" s="662" t="str">
        <f t="shared" si="302"/>
        <v>FRD</v>
      </c>
      <c r="AM2771" s="662" t="str">
        <f t="shared" si="298"/>
        <v>F350-Super Cab XLT-4WD-6-8'-12300-6.2L FFV-8-X3B-613A-164-34-E85-Unleaded</v>
      </c>
      <c r="AN2771" s="662" t="str">
        <f t="shared" si="303"/>
        <v>2019-LTK-FRD-F350-079</v>
      </c>
    </row>
    <row r="2772" spans="1:40" ht="15">
      <c r="A2772" s="570" t="s">
        <v>4847</v>
      </c>
      <c r="B2772" s="569" t="s">
        <v>4843</v>
      </c>
      <c r="C2772" s="569" t="s">
        <v>278</v>
      </c>
      <c r="D2772" s="580">
        <v>15</v>
      </c>
      <c r="E2772" s="569" t="s">
        <v>3374</v>
      </c>
      <c r="F2772" s="569" t="s">
        <v>187</v>
      </c>
      <c r="G2772" s="569" t="s">
        <v>271</v>
      </c>
      <c r="H2772" s="569">
        <v>2019</v>
      </c>
      <c r="I2772" s="569" t="s">
        <v>4503</v>
      </c>
      <c r="J2772" s="569" t="s">
        <v>4070</v>
      </c>
      <c r="K2772" s="569" t="s">
        <v>752</v>
      </c>
      <c r="L2772" s="569">
        <v>6</v>
      </c>
      <c r="M2772" s="569">
        <v>0</v>
      </c>
      <c r="N2772" s="569" t="s">
        <v>157</v>
      </c>
      <c r="O2772" s="569">
        <v>2</v>
      </c>
      <c r="P2772" s="569" t="s">
        <v>3846</v>
      </c>
      <c r="Q2772" s="568">
        <v>12300</v>
      </c>
      <c r="R2772" s="569" t="s">
        <v>4231</v>
      </c>
      <c r="S2772" s="569">
        <v>8</v>
      </c>
      <c r="T2772" s="569" t="s">
        <v>4771</v>
      </c>
      <c r="U2772" s="569" t="s">
        <v>4584</v>
      </c>
      <c r="V2772" s="569">
        <v>164</v>
      </c>
      <c r="W2772" s="569">
        <v>34</v>
      </c>
      <c r="X2772" s="568">
        <v>11500</v>
      </c>
      <c r="Y2772" s="569">
        <v>12</v>
      </c>
      <c r="Z2772" s="581" t="s">
        <v>728</v>
      </c>
      <c r="AA2772" s="581" t="s">
        <v>1523</v>
      </c>
      <c r="AB2772" s="585">
        <v>54825</v>
      </c>
      <c r="AC2772" s="585" t="s">
        <v>164</v>
      </c>
      <c r="AD2772" s="585">
        <v>42450</v>
      </c>
      <c r="AE2772" s="587">
        <v>0.01</v>
      </c>
      <c r="AF2772" s="661" t="str">
        <f t="shared" si="304"/>
        <v>2019-LTK-FRD-F350-080-15</v>
      </c>
      <c r="AG2772" s="661" t="str">
        <f>IF(AND($Y2772&gt;=32,(AI2772="I"),(Y2772&lt;&gt;"~"),(COUNTIF($AN$1:$AN2772,$AN2772)=1)),"TRUE","FALSE")</f>
        <v>FALSE</v>
      </c>
      <c r="AH2772" s="661" t="str">
        <f>IF(AND($Y2772&gt;=22, (AI2772&lt;&gt;"I"),(Y2772&lt;&gt;"~"),(COUNTIF($AN$1:$AN2772,$AN2772)=1)),"TRUE","FALSE")</f>
        <v>FALSE</v>
      </c>
      <c r="AI2772" s="661" t="str">
        <f t="shared" si="299"/>
        <v>N/A</v>
      </c>
      <c r="AJ2772" s="662" t="str">
        <f t="shared" si="300"/>
        <v>F350-080</v>
      </c>
      <c r="AK2772" s="662" t="str">
        <f t="shared" si="301"/>
        <v>LTK</v>
      </c>
      <c r="AL2772" s="662" t="str">
        <f t="shared" si="302"/>
        <v>FRD</v>
      </c>
      <c r="AM2772" s="662" t="str">
        <f t="shared" si="298"/>
        <v>F350-Super Cab XLT-4WD-6-8'-12300-6.7L Diesel-8-X3B-613A-164-34-Diesel-BioDiesel</v>
      </c>
      <c r="AN2772" s="662" t="str">
        <f t="shared" si="303"/>
        <v>2019-LTK-FRD-F350-080</v>
      </c>
    </row>
    <row r="2773" spans="1:40" ht="15">
      <c r="A2773" s="570" t="s">
        <v>4848</v>
      </c>
      <c r="B2773" s="573" t="s">
        <v>4837</v>
      </c>
      <c r="C2773" s="573" t="s">
        <v>287</v>
      </c>
      <c r="D2773" s="578">
        <v>26</v>
      </c>
      <c r="E2773" s="573" t="s">
        <v>3374</v>
      </c>
      <c r="F2773" s="573" t="s">
        <v>187</v>
      </c>
      <c r="G2773" s="573" t="s">
        <v>271</v>
      </c>
      <c r="H2773" s="573">
        <v>2019</v>
      </c>
      <c r="I2773" s="573" t="s">
        <v>4503</v>
      </c>
      <c r="J2773" s="573" t="s">
        <v>4070</v>
      </c>
      <c r="K2773" s="573" t="s">
        <v>752</v>
      </c>
      <c r="L2773" s="573">
        <v>6</v>
      </c>
      <c r="M2773" s="573">
        <v>0</v>
      </c>
      <c r="N2773" s="573" t="s">
        <v>157</v>
      </c>
      <c r="O2773" s="573">
        <v>2</v>
      </c>
      <c r="P2773" s="573" t="s">
        <v>4230</v>
      </c>
      <c r="Q2773" s="571">
        <v>12400</v>
      </c>
      <c r="R2773" s="573" t="s">
        <v>4235</v>
      </c>
      <c r="S2773" s="573">
        <v>8</v>
      </c>
      <c r="T2773" s="573" t="s">
        <v>4771</v>
      </c>
      <c r="U2773" s="573" t="s">
        <v>4584</v>
      </c>
      <c r="V2773" s="573">
        <v>148</v>
      </c>
      <c r="W2773" s="573">
        <v>34</v>
      </c>
      <c r="X2773" s="571">
        <v>10800</v>
      </c>
      <c r="Y2773" s="569">
        <v>12</v>
      </c>
      <c r="Z2773" s="579" t="s">
        <v>450</v>
      </c>
      <c r="AA2773" s="579" t="s">
        <v>178</v>
      </c>
      <c r="AB2773" s="584">
        <v>45055</v>
      </c>
      <c r="AC2773" s="584" t="s">
        <v>164</v>
      </c>
      <c r="AD2773" s="584">
        <v>34064</v>
      </c>
      <c r="AE2773" s="586">
        <v>0.05</v>
      </c>
      <c r="AF2773" s="661" t="str">
        <f t="shared" si="304"/>
        <v>2019-LTK-FRD-F350-077-26</v>
      </c>
      <c r="AG2773" s="661" t="str">
        <f>IF(AND($Y2773&gt;=32,(AI2773="I"),(Y2773&lt;&gt;"~"),(COUNTIF($AN$1:$AN2773,$AN2773)=1)),"TRUE","FALSE")</f>
        <v>FALSE</v>
      </c>
      <c r="AH2773" s="661" t="str">
        <f>IF(AND($Y2773&gt;=22, (AI2773&lt;&gt;"I"),(Y2773&lt;&gt;"~"),(COUNTIF($AN$1:$AN2773,$AN2773)=1)),"TRUE","FALSE")</f>
        <v>FALSE</v>
      </c>
      <c r="AI2773" s="661" t="str">
        <f t="shared" si="299"/>
        <v>N/A</v>
      </c>
      <c r="AJ2773" s="662" t="str">
        <f t="shared" si="300"/>
        <v>F350-077</v>
      </c>
      <c r="AK2773" s="662" t="str">
        <f t="shared" si="301"/>
        <v>LTK</v>
      </c>
      <c r="AL2773" s="662" t="str">
        <f t="shared" si="302"/>
        <v>FRD</v>
      </c>
      <c r="AM2773" s="662" t="str">
        <f t="shared" si="298"/>
        <v>F350-Super Cab XLT-4WD-6-6'9"-12400-6.2L FFV-8-X3B-613A-148-34-E85-Unleaded</v>
      </c>
      <c r="AN2773" s="662" t="str">
        <f t="shared" si="303"/>
        <v>2019-LTK-FRD-F350-077</v>
      </c>
    </row>
    <row r="2774" spans="1:40" ht="15">
      <c r="A2774" s="570" t="s">
        <v>4849</v>
      </c>
      <c r="B2774" s="569" t="s">
        <v>4839</v>
      </c>
      <c r="C2774" s="569" t="s">
        <v>287</v>
      </c>
      <c r="D2774" s="580">
        <v>26</v>
      </c>
      <c r="E2774" s="569" t="s">
        <v>3374</v>
      </c>
      <c r="F2774" s="569" t="s">
        <v>187</v>
      </c>
      <c r="G2774" s="569" t="s">
        <v>271</v>
      </c>
      <c r="H2774" s="569">
        <v>2019</v>
      </c>
      <c r="I2774" s="569" t="s">
        <v>4503</v>
      </c>
      <c r="J2774" s="569" t="s">
        <v>4070</v>
      </c>
      <c r="K2774" s="569" t="s">
        <v>752</v>
      </c>
      <c r="L2774" s="569">
        <v>6</v>
      </c>
      <c r="M2774" s="569">
        <v>0</v>
      </c>
      <c r="N2774" s="569" t="s">
        <v>157</v>
      </c>
      <c r="O2774" s="569">
        <v>2</v>
      </c>
      <c r="P2774" s="569" t="s">
        <v>4230</v>
      </c>
      <c r="Q2774" s="568">
        <v>12400</v>
      </c>
      <c r="R2774" s="569" t="s">
        <v>4231</v>
      </c>
      <c r="S2774" s="569">
        <v>8</v>
      </c>
      <c r="T2774" s="569" t="s">
        <v>4771</v>
      </c>
      <c r="U2774" s="569" t="s">
        <v>4584</v>
      </c>
      <c r="V2774" s="569">
        <v>148</v>
      </c>
      <c r="W2774" s="569">
        <v>29</v>
      </c>
      <c r="X2774" s="568">
        <v>11500</v>
      </c>
      <c r="Y2774" s="569">
        <v>12</v>
      </c>
      <c r="Z2774" s="581" t="s">
        <v>728</v>
      </c>
      <c r="AA2774" s="581" t="s">
        <v>1523</v>
      </c>
      <c r="AB2774" s="585">
        <v>54625</v>
      </c>
      <c r="AC2774" s="585" t="s">
        <v>164</v>
      </c>
      <c r="AD2774" s="585">
        <v>42259</v>
      </c>
      <c r="AE2774" s="587">
        <v>0.05</v>
      </c>
      <c r="AF2774" s="661" t="str">
        <f t="shared" si="304"/>
        <v>2019-LTK-FRD-F350-078-26</v>
      </c>
      <c r="AG2774" s="661" t="str">
        <f>IF(AND($Y2774&gt;=32,(AI2774="I"),(Y2774&lt;&gt;"~"),(COUNTIF($AN$1:$AN2774,$AN2774)=1)),"TRUE","FALSE")</f>
        <v>FALSE</v>
      </c>
      <c r="AH2774" s="661" t="str">
        <f>IF(AND($Y2774&gt;=22, (AI2774&lt;&gt;"I"),(Y2774&lt;&gt;"~"),(COUNTIF($AN$1:$AN2774,$AN2774)=1)),"TRUE","FALSE")</f>
        <v>FALSE</v>
      </c>
      <c r="AI2774" s="661" t="str">
        <f t="shared" si="299"/>
        <v>N/A</v>
      </c>
      <c r="AJ2774" s="662" t="str">
        <f t="shared" si="300"/>
        <v>F350-078</v>
      </c>
      <c r="AK2774" s="662" t="str">
        <f t="shared" si="301"/>
        <v>LTK</v>
      </c>
      <c r="AL2774" s="662" t="str">
        <f t="shared" si="302"/>
        <v>FRD</v>
      </c>
      <c r="AM2774" s="662" t="str">
        <f t="shared" si="298"/>
        <v>F350-Super Cab XLT-4WD-6-6'9"-12400-6.7L Diesel-8-X3B-613A-148-29-Diesel-BioDiesel</v>
      </c>
      <c r="AN2774" s="662" t="str">
        <f t="shared" si="303"/>
        <v>2019-LTK-FRD-F350-078</v>
      </c>
    </row>
    <row r="2775" spans="1:40" ht="15">
      <c r="A2775" s="570" t="s">
        <v>4850</v>
      </c>
      <c r="B2775" s="573" t="s">
        <v>4841</v>
      </c>
      <c r="C2775" s="573" t="s">
        <v>287</v>
      </c>
      <c r="D2775" s="578">
        <v>26</v>
      </c>
      <c r="E2775" s="573" t="s">
        <v>3374</v>
      </c>
      <c r="F2775" s="573" t="s">
        <v>187</v>
      </c>
      <c r="G2775" s="573" t="s">
        <v>271</v>
      </c>
      <c r="H2775" s="573">
        <v>2019</v>
      </c>
      <c r="I2775" s="573" t="s">
        <v>4503</v>
      </c>
      <c r="J2775" s="573" t="s">
        <v>4070</v>
      </c>
      <c r="K2775" s="573" t="s">
        <v>752</v>
      </c>
      <c r="L2775" s="573">
        <v>6</v>
      </c>
      <c r="M2775" s="573">
        <v>0</v>
      </c>
      <c r="N2775" s="573" t="s">
        <v>157</v>
      </c>
      <c r="O2775" s="573">
        <v>2</v>
      </c>
      <c r="P2775" s="573" t="s">
        <v>3846</v>
      </c>
      <c r="Q2775" s="571">
        <v>12300</v>
      </c>
      <c r="R2775" s="573" t="s">
        <v>4235</v>
      </c>
      <c r="S2775" s="573">
        <v>8</v>
      </c>
      <c r="T2775" s="573" t="s">
        <v>4771</v>
      </c>
      <c r="U2775" s="573" t="s">
        <v>4584</v>
      </c>
      <c r="V2775" s="573">
        <v>164</v>
      </c>
      <c r="W2775" s="573">
        <v>34</v>
      </c>
      <c r="X2775" s="571">
        <v>11200</v>
      </c>
      <c r="Y2775" s="569">
        <v>12</v>
      </c>
      <c r="Z2775" s="579" t="s">
        <v>450</v>
      </c>
      <c r="AA2775" s="579" t="s">
        <v>178</v>
      </c>
      <c r="AB2775" s="584">
        <v>45705</v>
      </c>
      <c r="AC2775" s="584" t="s">
        <v>164</v>
      </c>
      <c r="AD2775" s="584">
        <v>34252</v>
      </c>
      <c r="AE2775" s="586">
        <v>0.05</v>
      </c>
      <c r="AF2775" s="661" t="str">
        <f t="shared" si="304"/>
        <v>2019-LTK-FRD-F350-079-26</v>
      </c>
      <c r="AG2775" s="661" t="str">
        <f>IF(AND($Y2775&gt;=32,(AI2775="I"),(Y2775&lt;&gt;"~"),(COUNTIF($AN$1:$AN2775,$AN2775)=1)),"TRUE","FALSE")</f>
        <v>FALSE</v>
      </c>
      <c r="AH2775" s="661" t="str">
        <f>IF(AND($Y2775&gt;=22, (AI2775&lt;&gt;"I"),(Y2775&lt;&gt;"~"),(COUNTIF($AN$1:$AN2775,$AN2775)=1)),"TRUE","FALSE")</f>
        <v>FALSE</v>
      </c>
      <c r="AI2775" s="661" t="str">
        <f t="shared" si="299"/>
        <v>N/A</v>
      </c>
      <c r="AJ2775" s="662" t="str">
        <f t="shared" si="300"/>
        <v>F350-079</v>
      </c>
      <c r="AK2775" s="662" t="str">
        <f t="shared" si="301"/>
        <v>LTK</v>
      </c>
      <c r="AL2775" s="662" t="str">
        <f t="shared" si="302"/>
        <v>FRD</v>
      </c>
      <c r="AM2775" s="662" t="str">
        <f t="shared" si="298"/>
        <v>F350-Super Cab XLT-4WD-6-8'-12300-6.2L FFV-8-X3B-613A-164-34-E85-Unleaded</v>
      </c>
      <c r="AN2775" s="662" t="str">
        <f t="shared" si="303"/>
        <v>2019-LTK-FRD-F350-079</v>
      </c>
    </row>
    <row r="2776" spans="1:40" ht="15">
      <c r="A2776" s="570" t="s">
        <v>4851</v>
      </c>
      <c r="B2776" s="569" t="s">
        <v>4843</v>
      </c>
      <c r="C2776" s="569" t="s">
        <v>287</v>
      </c>
      <c r="D2776" s="580">
        <v>26</v>
      </c>
      <c r="E2776" s="569" t="s">
        <v>3374</v>
      </c>
      <c r="F2776" s="569" t="s">
        <v>187</v>
      </c>
      <c r="G2776" s="569" t="s">
        <v>271</v>
      </c>
      <c r="H2776" s="569">
        <v>2019</v>
      </c>
      <c r="I2776" s="569" t="s">
        <v>4503</v>
      </c>
      <c r="J2776" s="569" t="s">
        <v>4070</v>
      </c>
      <c r="K2776" s="569" t="s">
        <v>752</v>
      </c>
      <c r="L2776" s="569">
        <v>6</v>
      </c>
      <c r="M2776" s="569">
        <v>0</v>
      </c>
      <c r="N2776" s="569" t="s">
        <v>157</v>
      </c>
      <c r="O2776" s="569">
        <v>2</v>
      </c>
      <c r="P2776" s="569" t="s">
        <v>3846</v>
      </c>
      <c r="Q2776" s="568">
        <v>12300</v>
      </c>
      <c r="R2776" s="569" t="s">
        <v>4231</v>
      </c>
      <c r="S2776" s="569">
        <v>8</v>
      </c>
      <c r="T2776" s="569" t="s">
        <v>4771</v>
      </c>
      <c r="U2776" s="569" t="s">
        <v>4584</v>
      </c>
      <c r="V2776" s="569">
        <v>164</v>
      </c>
      <c r="W2776" s="569">
        <v>34</v>
      </c>
      <c r="X2776" s="568">
        <v>11500</v>
      </c>
      <c r="Y2776" s="569">
        <v>12</v>
      </c>
      <c r="Z2776" s="581" t="s">
        <v>728</v>
      </c>
      <c r="AA2776" s="581" t="s">
        <v>1523</v>
      </c>
      <c r="AB2776" s="585">
        <v>54825</v>
      </c>
      <c r="AC2776" s="585" t="s">
        <v>164</v>
      </c>
      <c r="AD2776" s="585">
        <v>42446</v>
      </c>
      <c r="AE2776" s="587">
        <v>0.05</v>
      </c>
      <c r="AF2776" s="661" t="str">
        <f t="shared" si="304"/>
        <v>2019-LTK-FRD-F350-080-26</v>
      </c>
      <c r="AG2776" s="661" t="str">
        <f>IF(AND($Y2776&gt;=32,(AI2776="I"),(Y2776&lt;&gt;"~"),(COUNTIF($AN$1:$AN2776,$AN2776)=1)),"TRUE","FALSE")</f>
        <v>FALSE</v>
      </c>
      <c r="AH2776" s="661" t="str">
        <f>IF(AND($Y2776&gt;=22, (AI2776&lt;&gt;"I"),(Y2776&lt;&gt;"~"),(COUNTIF($AN$1:$AN2776,$AN2776)=1)),"TRUE","FALSE")</f>
        <v>FALSE</v>
      </c>
      <c r="AI2776" s="661" t="str">
        <f t="shared" si="299"/>
        <v>N/A</v>
      </c>
      <c r="AJ2776" s="662" t="str">
        <f t="shared" si="300"/>
        <v>F350-080</v>
      </c>
      <c r="AK2776" s="662" t="str">
        <f t="shared" si="301"/>
        <v>LTK</v>
      </c>
      <c r="AL2776" s="662" t="str">
        <f t="shared" si="302"/>
        <v>FRD</v>
      </c>
      <c r="AM2776" s="662" t="str">
        <f t="shared" si="298"/>
        <v>F350-Super Cab XLT-4WD-6-8'-12300-6.7L Diesel-8-X3B-613A-164-34-Diesel-BioDiesel</v>
      </c>
      <c r="AN2776" s="662" t="str">
        <f t="shared" si="303"/>
        <v>2019-LTK-FRD-F350-080</v>
      </c>
    </row>
    <row r="2777" spans="1:40" ht="15">
      <c r="A2777" s="570" t="s">
        <v>4852</v>
      </c>
      <c r="B2777" s="573" t="s">
        <v>4837</v>
      </c>
      <c r="C2777" s="573" t="s">
        <v>280</v>
      </c>
      <c r="D2777" s="578">
        <v>27</v>
      </c>
      <c r="E2777" s="573" t="s">
        <v>3374</v>
      </c>
      <c r="F2777" s="573" t="s">
        <v>187</v>
      </c>
      <c r="G2777" s="573" t="s">
        <v>271</v>
      </c>
      <c r="H2777" s="573">
        <v>2019</v>
      </c>
      <c r="I2777" s="573" t="s">
        <v>4503</v>
      </c>
      <c r="J2777" s="573" t="s">
        <v>4070</v>
      </c>
      <c r="K2777" s="573" t="s">
        <v>752</v>
      </c>
      <c r="L2777" s="573">
        <v>6</v>
      </c>
      <c r="M2777" s="573">
        <v>0</v>
      </c>
      <c r="N2777" s="573" t="s">
        <v>157</v>
      </c>
      <c r="O2777" s="573">
        <v>2</v>
      </c>
      <c r="P2777" s="573" t="s">
        <v>4230</v>
      </c>
      <c r="Q2777" s="571">
        <v>12400</v>
      </c>
      <c r="R2777" s="573" t="s">
        <v>4235</v>
      </c>
      <c r="S2777" s="573">
        <v>8</v>
      </c>
      <c r="T2777" s="573" t="s">
        <v>4771</v>
      </c>
      <c r="U2777" s="573" t="s">
        <v>4584</v>
      </c>
      <c r="V2777" s="573">
        <v>148</v>
      </c>
      <c r="W2777" s="573">
        <v>34</v>
      </c>
      <c r="X2777" s="571">
        <v>10400</v>
      </c>
      <c r="Y2777" s="569">
        <v>12</v>
      </c>
      <c r="Z2777" s="579" t="s">
        <v>450</v>
      </c>
      <c r="AA2777" s="579" t="s">
        <v>178</v>
      </c>
      <c r="AB2777" s="584">
        <v>45505</v>
      </c>
      <c r="AC2777" s="584" t="s">
        <v>164</v>
      </c>
      <c r="AD2777" s="584">
        <v>33833.389473684212</v>
      </c>
      <c r="AE2777" s="586">
        <v>0.03</v>
      </c>
      <c r="AF2777" s="661" t="str">
        <f t="shared" si="304"/>
        <v>2019-LTK-FRD-F350-077-27</v>
      </c>
      <c r="AG2777" s="661" t="str">
        <f>IF(AND($Y2777&gt;=32,(AI2777="I"),(Y2777&lt;&gt;"~"),(COUNTIF($AN$1:$AN2777,$AN2777)=1)),"TRUE","FALSE")</f>
        <v>FALSE</v>
      </c>
      <c r="AH2777" s="661" t="str">
        <f>IF(AND($Y2777&gt;=22, (AI2777&lt;&gt;"I"),(Y2777&lt;&gt;"~"),(COUNTIF($AN$1:$AN2777,$AN2777)=1)),"TRUE","FALSE")</f>
        <v>FALSE</v>
      </c>
      <c r="AI2777" s="661" t="str">
        <f t="shared" si="299"/>
        <v>N/A</v>
      </c>
      <c r="AJ2777" s="662" t="str">
        <f t="shared" si="300"/>
        <v>F350-077</v>
      </c>
      <c r="AK2777" s="662" t="str">
        <f t="shared" si="301"/>
        <v>LTK</v>
      </c>
      <c r="AL2777" s="662" t="str">
        <f t="shared" si="302"/>
        <v>FRD</v>
      </c>
      <c r="AM2777" s="662" t="str">
        <f t="shared" si="298"/>
        <v>F350-Super Cab XLT-4WD-6-6'9"-12400-6.2L FFV-8-X3B-613A-148-34-E85-Unleaded</v>
      </c>
      <c r="AN2777" s="662" t="str">
        <f t="shared" si="303"/>
        <v>2019-LTK-FRD-F350-077</v>
      </c>
    </row>
    <row r="2778" spans="1:40" ht="15">
      <c r="A2778" s="570" t="s">
        <v>4853</v>
      </c>
      <c r="B2778" s="569" t="s">
        <v>4839</v>
      </c>
      <c r="C2778" s="569" t="s">
        <v>280</v>
      </c>
      <c r="D2778" s="580">
        <v>27</v>
      </c>
      <c r="E2778" s="569" t="s">
        <v>3374</v>
      </c>
      <c r="F2778" s="569" t="s">
        <v>187</v>
      </c>
      <c r="G2778" s="569" t="s">
        <v>271</v>
      </c>
      <c r="H2778" s="569">
        <v>2019</v>
      </c>
      <c r="I2778" s="569" t="s">
        <v>4503</v>
      </c>
      <c r="J2778" s="569" t="s">
        <v>4070</v>
      </c>
      <c r="K2778" s="569" t="s">
        <v>752</v>
      </c>
      <c r="L2778" s="569">
        <v>6</v>
      </c>
      <c r="M2778" s="569">
        <v>0</v>
      </c>
      <c r="N2778" s="569" t="s">
        <v>157</v>
      </c>
      <c r="O2778" s="569">
        <v>2</v>
      </c>
      <c r="P2778" s="569" t="s">
        <v>4230</v>
      </c>
      <c r="Q2778" s="568">
        <v>12400</v>
      </c>
      <c r="R2778" s="569" t="s">
        <v>4231</v>
      </c>
      <c r="S2778" s="569">
        <v>8</v>
      </c>
      <c r="T2778" s="569" t="s">
        <v>4771</v>
      </c>
      <c r="U2778" s="569" t="s">
        <v>4584</v>
      </c>
      <c r="V2778" s="569">
        <v>148</v>
      </c>
      <c r="W2778" s="569">
        <v>29</v>
      </c>
      <c r="X2778" s="568">
        <v>11500</v>
      </c>
      <c r="Y2778" s="569">
        <v>12</v>
      </c>
      <c r="Z2778" s="581" t="s">
        <v>728</v>
      </c>
      <c r="AA2778" s="581" t="s">
        <v>1523</v>
      </c>
      <c r="AB2778" s="585">
        <v>54625</v>
      </c>
      <c r="AC2778" s="585" t="s">
        <v>164</v>
      </c>
      <c r="AD2778" s="585">
        <v>42025.578947368427</v>
      </c>
      <c r="AE2778" s="587">
        <v>0.03</v>
      </c>
      <c r="AF2778" s="661" t="str">
        <f t="shared" si="304"/>
        <v>2019-LTK-FRD-F350-078-27</v>
      </c>
      <c r="AG2778" s="661" t="str">
        <f>IF(AND($Y2778&gt;=32,(AI2778="I"),(Y2778&lt;&gt;"~"),(COUNTIF($AN$1:$AN2778,$AN2778)=1)),"TRUE","FALSE")</f>
        <v>FALSE</v>
      </c>
      <c r="AH2778" s="661" t="str">
        <f>IF(AND($Y2778&gt;=22, (AI2778&lt;&gt;"I"),(Y2778&lt;&gt;"~"),(COUNTIF($AN$1:$AN2778,$AN2778)=1)),"TRUE","FALSE")</f>
        <v>FALSE</v>
      </c>
      <c r="AI2778" s="661" t="str">
        <f t="shared" si="299"/>
        <v>N/A</v>
      </c>
      <c r="AJ2778" s="662" t="str">
        <f t="shared" si="300"/>
        <v>F350-078</v>
      </c>
      <c r="AK2778" s="662" t="str">
        <f t="shared" si="301"/>
        <v>LTK</v>
      </c>
      <c r="AL2778" s="662" t="str">
        <f t="shared" si="302"/>
        <v>FRD</v>
      </c>
      <c r="AM2778" s="662" t="str">
        <f t="shared" si="298"/>
        <v>F350-Super Cab XLT-4WD-6-6'9"-12400-6.7L Diesel-8-X3B-613A-148-29-Diesel-BioDiesel</v>
      </c>
      <c r="AN2778" s="662" t="str">
        <f t="shared" si="303"/>
        <v>2019-LTK-FRD-F350-078</v>
      </c>
    </row>
    <row r="2779" spans="1:40" ht="15">
      <c r="A2779" s="570" t="s">
        <v>4854</v>
      </c>
      <c r="B2779" s="573" t="s">
        <v>4841</v>
      </c>
      <c r="C2779" s="573" t="s">
        <v>280</v>
      </c>
      <c r="D2779" s="578">
        <v>27</v>
      </c>
      <c r="E2779" s="573" t="s">
        <v>3374</v>
      </c>
      <c r="F2779" s="573" t="s">
        <v>187</v>
      </c>
      <c r="G2779" s="573" t="s">
        <v>271</v>
      </c>
      <c r="H2779" s="573">
        <v>2019</v>
      </c>
      <c r="I2779" s="573" t="s">
        <v>4503</v>
      </c>
      <c r="J2779" s="573" t="s">
        <v>4070</v>
      </c>
      <c r="K2779" s="573" t="s">
        <v>752</v>
      </c>
      <c r="L2779" s="573">
        <v>6</v>
      </c>
      <c r="M2779" s="573">
        <v>0</v>
      </c>
      <c r="N2779" s="573" t="s">
        <v>157</v>
      </c>
      <c r="O2779" s="573">
        <v>2</v>
      </c>
      <c r="P2779" s="573" t="s">
        <v>3846</v>
      </c>
      <c r="Q2779" s="571">
        <v>12300</v>
      </c>
      <c r="R2779" s="573" t="s">
        <v>4235</v>
      </c>
      <c r="S2779" s="573">
        <v>8</v>
      </c>
      <c r="T2779" s="573" t="s">
        <v>4771</v>
      </c>
      <c r="U2779" s="573" t="s">
        <v>4584</v>
      </c>
      <c r="V2779" s="573">
        <v>164</v>
      </c>
      <c r="W2779" s="573">
        <v>34</v>
      </c>
      <c r="X2779" s="571">
        <v>11200</v>
      </c>
      <c r="Y2779" s="569">
        <v>12</v>
      </c>
      <c r="Z2779" s="579" t="s">
        <v>450</v>
      </c>
      <c r="AA2779" s="579" t="s">
        <v>178</v>
      </c>
      <c r="AB2779" s="584">
        <v>45705</v>
      </c>
      <c r="AC2779" s="584" t="s">
        <v>164</v>
      </c>
      <c r="AD2779" s="584">
        <v>34017.600000000006</v>
      </c>
      <c r="AE2779" s="586">
        <v>0.03</v>
      </c>
      <c r="AF2779" s="661" t="str">
        <f t="shared" si="304"/>
        <v>2019-LTK-FRD-F350-079-27</v>
      </c>
      <c r="AG2779" s="661" t="str">
        <f>IF(AND($Y2779&gt;=32,(AI2779="I"),(Y2779&lt;&gt;"~"),(COUNTIF($AN$1:$AN2779,$AN2779)=1)),"TRUE","FALSE")</f>
        <v>FALSE</v>
      </c>
      <c r="AH2779" s="661" t="str">
        <f>IF(AND($Y2779&gt;=22, (AI2779&lt;&gt;"I"),(Y2779&lt;&gt;"~"),(COUNTIF($AN$1:$AN2779,$AN2779)=1)),"TRUE","FALSE")</f>
        <v>FALSE</v>
      </c>
      <c r="AI2779" s="661" t="str">
        <f t="shared" si="299"/>
        <v>N/A</v>
      </c>
      <c r="AJ2779" s="662" t="str">
        <f t="shared" si="300"/>
        <v>F350-079</v>
      </c>
      <c r="AK2779" s="662" t="str">
        <f t="shared" si="301"/>
        <v>LTK</v>
      </c>
      <c r="AL2779" s="662" t="str">
        <f t="shared" si="302"/>
        <v>FRD</v>
      </c>
      <c r="AM2779" s="662" t="str">
        <f t="shared" ref="AM2779:AM2842" si="305">CONCATENATE(I2779,"-",J2779,"-",K2779,"-",L2779,"-",P2779,"-",Q2779,"-",R2779,"-",S2779,"-",T2779,"-",U2779,"-",V2779,"-",W2779,"-",Z2779,"-",AA2779)</f>
        <v>F350-Super Cab XLT-4WD-6-8'-12300-6.2L FFV-8-X3B-613A-164-34-E85-Unleaded</v>
      </c>
      <c r="AN2779" s="662" t="str">
        <f t="shared" si="303"/>
        <v>2019-LTK-FRD-F350-079</v>
      </c>
    </row>
    <row r="2780" spans="1:40" ht="15">
      <c r="A2780" s="570" t="s">
        <v>4855</v>
      </c>
      <c r="B2780" s="569" t="s">
        <v>4843</v>
      </c>
      <c r="C2780" s="569" t="s">
        <v>280</v>
      </c>
      <c r="D2780" s="580">
        <v>27</v>
      </c>
      <c r="E2780" s="569" t="s">
        <v>3374</v>
      </c>
      <c r="F2780" s="569" t="s">
        <v>187</v>
      </c>
      <c r="G2780" s="569" t="s">
        <v>271</v>
      </c>
      <c r="H2780" s="569">
        <v>2019</v>
      </c>
      <c r="I2780" s="569" t="s">
        <v>4503</v>
      </c>
      <c r="J2780" s="569" t="s">
        <v>4070</v>
      </c>
      <c r="K2780" s="569" t="s">
        <v>752</v>
      </c>
      <c r="L2780" s="569">
        <v>6</v>
      </c>
      <c r="M2780" s="569">
        <v>0</v>
      </c>
      <c r="N2780" s="569" t="s">
        <v>157</v>
      </c>
      <c r="O2780" s="569">
        <v>2</v>
      </c>
      <c r="P2780" s="569" t="s">
        <v>3846</v>
      </c>
      <c r="Q2780" s="568">
        <v>12300</v>
      </c>
      <c r="R2780" s="569" t="s">
        <v>4231</v>
      </c>
      <c r="S2780" s="569">
        <v>8</v>
      </c>
      <c r="T2780" s="569" t="s">
        <v>4771</v>
      </c>
      <c r="U2780" s="569" t="s">
        <v>4584</v>
      </c>
      <c r="V2780" s="569">
        <v>164</v>
      </c>
      <c r="W2780" s="569">
        <v>34</v>
      </c>
      <c r="X2780" s="568">
        <v>11500</v>
      </c>
      <c r="Y2780" s="569">
        <v>12</v>
      </c>
      <c r="Z2780" s="581" t="s">
        <v>728</v>
      </c>
      <c r="AA2780" s="581" t="s">
        <v>1523</v>
      </c>
      <c r="AB2780" s="585">
        <v>54825</v>
      </c>
      <c r="AC2780" s="585" t="s">
        <v>164</v>
      </c>
      <c r="AD2780" s="585">
        <v>42209.789473684214</v>
      </c>
      <c r="AE2780" s="587">
        <v>0.03</v>
      </c>
      <c r="AF2780" s="661" t="str">
        <f t="shared" si="304"/>
        <v>2019-LTK-FRD-F350-080-27</v>
      </c>
      <c r="AG2780" s="661" t="str">
        <f>IF(AND($Y2780&gt;=32,(AI2780="I"),(Y2780&lt;&gt;"~"),(COUNTIF($AN$1:$AN2780,$AN2780)=1)),"TRUE","FALSE")</f>
        <v>FALSE</v>
      </c>
      <c r="AH2780" s="661" t="str">
        <f>IF(AND($Y2780&gt;=22, (AI2780&lt;&gt;"I"),(Y2780&lt;&gt;"~"),(COUNTIF($AN$1:$AN2780,$AN2780)=1)),"TRUE","FALSE")</f>
        <v>FALSE</v>
      </c>
      <c r="AI2780" s="661" t="str">
        <f t="shared" ref="AI2780:AI2843" si="306">IF(OR((LEFT($E2780,2)="01"),AND(LEFT($E2780,2)="06",ISNUMBER(SEARCH("pas",$F2780))),AND(LEFT($E2780,2)="05",ISNUMBER(SEARCH("pas",$F2780)))),"I",IF(AND((LEFT($E2780,2)&lt;&gt;"01"),$X2780&lt;=10000),"II",IF(AND((LEFT($E2780,2)&lt;&gt;"01"),$X2780&gt;10000),"N/A")))</f>
        <v>N/A</v>
      </c>
      <c r="AJ2780" s="662" t="str">
        <f t="shared" si="300"/>
        <v>F350-080</v>
      </c>
      <c r="AK2780" s="662" t="str">
        <f t="shared" si="301"/>
        <v>LTK</v>
      </c>
      <c r="AL2780" s="662" t="str">
        <f t="shared" si="302"/>
        <v>FRD</v>
      </c>
      <c r="AM2780" s="662" t="str">
        <f t="shared" si="305"/>
        <v>F350-Super Cab XLT-4WD-6-8'-12300-6.7L Diesel-8-X3B-613A-164-34-Diesel-BioDiesel</v>
      </c>
      <c r="AN2780" s="662" t="str">
        <f t="shared" si="303"/>
        <v>2019-LTK-FRD-F350-080</v>
      </c>
    </row>
    <row r="2781" spans="1:40" ht="15">
      <c r="A2781" s="570" t="s">
        <v>4856</v>
      </c>
      <c r="B2781" s="573" t="s">
        <v>4857</v>
      </c>
      <c r="C2781" s="573" t="s">
        <v>269</v>
      </c>
      <c r="D2781" s="578" t="s">
        <v>270</v>
      </c>
      <c r="E2781" s="573" t="s">
        <v>3374</v>
      </c>
      <c r="F2781" s="573" t="s">
        <v>187</v>
      </c>
      <c r="G2781" s="573" t="s">
        <v>271</v>
      </c>
      <c r="H2781" s="573">
        <v>2019</v>
      </c>
      <c r="I2781" s="573" t="s">
        <v>4503</v>
      </c>
      <c r="J2781" s="573" t="s">
        <v>4858</v>
      </c>
      <c r="K2781" s="573" t="s">
        <v>3377</v>
      </c>
      <c r="L2781" s="573">
        <v>6</v>
      </c>
      <c r="M2781" s="573">
        <v>0</v>
      </c>
      <c r="N2781" s="573" t="s">
        <v>157</v>
      </c>
      <c r="O2781" s="573">
        <v>2</v>
      </c>
      <c r="P2781" s="573" t="s">
        <v>3846</v>
      </c>
      <c r="Q2781" s="571">
        <v>12700</v>
      </c>
      <c r="R2781" s="573" t="s">
        <v>4235</v>
      </c>
      <c r="S2781" s="573">
        <v>8</v>
      </c>
      <c r="T2781" s="573" t="s">
        <v>4796</v>
      </c>
      <c r="U2781" s="573" t="s">
        <v>4635</v>
      </c>
      <c r="V2781" s="573">
        <v>164</v>
      </c>
      <c r="W2781" s="573">
        <v>34</v>
      </c>
      <c r="X2781" s="571">
        <v>14000</v>
      </c>
      <c r="Y2781" s="569">
        <v>13</v>
      </c>
      <c r="Z2781" s="579" t="s">
        <v>450</v>
      </c>
      <c r="AA2781" s="579" t="s">
        <v>178</v>
      </c>
      <c r="AB2781" s="584">
        <v>44175</v>
      </c>
      <c r="AC2781" s="584" t="s">
        <v>164</v>
      </c>
      <c r="AD2781" s="584">
        <v>33446.021052631579</v>
      </c>
      <c r="AE2781" s="586">
        <v>0.03</v>
      </c>
      <c r="AF2781" s="661" t="str">
        <f t="shared" si="304"/>
        <v>2019-LTK-FRD-F350-067-05</v>
      </c>
      <c r="AG2781" s="661" t="str">
        <f>IF(AND($Y2781&gt;=32,(AI2781="I"),(Y2781&lt;&gt;"~"),(COUNTIF($AN$1:$AN2781,$AN2781)=1)),"TRUE","FALSE")</f>
        <v>FALSE</v>
      </c>
      <c r="AH2781" s="661" t="str">
        <f>IF(AND($Y2781&gt;=22, (AI2781&lt;&gt;"I"),(Y2781&lt;&gt;"~"),(COUNTIF($AN$1:$AN2781,$AN2781)=1)),"TRUE","FALSE")</f>
        <v>FALSE</v>
      </c>
      <c r="AI2781" s="661" t="str">
        <f t="shared" si="306"/>
        <v>N/A</v>
      </c>
      <c r="AJ2781" s="662" t="str">
        <f t="shared" si="300"/>
        <v>F350-067</v>
      </c>
      <c r="AK2781" s="662" t="str">
        <f t="shared" si="301"/>
        <v>LTK</v>
      </c>
      <c r="AL2781" s="662" t="str">
        <f t="shared" si="302"/>
        <v>FRD</v>
      </c>
      <c r="AM2781" s="662" t="str">
        <f t="shared" si="305"/>
        <v>F350-Super Cab XLT DRW-2WD-6-8'-12700-6.2L FFV-8-X3C-623A-164-34-E85-Unleaded</v>
      </c>
      <c r="AN2781" s="662" t="str">
        <f t="shared" si="303"/>
        <v>2019-LTK-FRD-F350-067</v>
      </c>
    </row>
    <row r="2782" spans="1:40" ht="15">
      <c r="A2782" s="570" t="s">
        <v>4859</v>
      </c>
      <c r="B2782" s="569" t="s">
        <v>4860</v>
      </c>
      <c r="C2782" s="569" t="s">
        <v>269</v>
      </c>
      <c r="D2782" s="580" t="s">
        <v>270</v>
      </c>
      <c r="E2782" s="569" t="s">
        <v>3374</v>
      </c>
      <c r="F2782" s="569" t="s">
        <v>187</v>
      </c>
      <c r="G2782" s="569" t="s">
        <v>271</v>
      </c>
      <c r="H2782" s="569">
        <v>2019</v>
      </c>
      <c r="I2782" s="569" t="s">
        <v>4503</v>
      </c>
      <c r="J2782" s="569" t="s">
        <v>4858</v>
      </c>
      <c r="K2782" s="569" t="s">
        <v>3377</v>
      </c>
      <c r="L2782" s="569">
        <v>6</v>
      </c>
      <c r="M2782" s="569">
        <v>0</v>
      </c>
      <c r="N2782" s="569" t="s">
        <v>157</v>
      </c>
      <c r="O2782" s="569">
        <v>2</v>
      </c>
      <c r="P2782" s="569" t="s">
        <v>3846</v>
      </c>
      <c r="Q2782" s="568">
        <v>12700</v>
      </c>
      <c r="R2782" s="569" t="s">
        <v>4231</v>
      </c>
      <c r="S2782" s="569">
        <v>8</v>
      </c>
      <c r="T2782" s="569" t="s">
        <v>4796</v>
      </c>
      <c r="U2782" s="569" t="s">
        <v>4635</v>
      </c>
      <c r="V2782" s="569">
        <v>164</v>
      </c>
      <c r="W2782" s="569">
        <v>34</v>
      </c>
      <c r="X2782" s="568">
        <v>14000</v>
      </c>
      <c r="Y2782" s="569">
        <v>13</v>
      </c>
      <c r="Z2782" s="581" t="s">
        <v>728</v>
      </c>
      <c r="AA2782" s="581" t="s">
        <v>1523</v>
      </c>
      <c r="AB2782" s="585">
        <v>53295</v>
      </c>
      <c r="AC2782" s="585" t="s">
        <v>164</v>
      </c>
      <c r="AD2782" s="585">
        <v>41638.210526315794</v>
      </c>
      <c r="AE2782" s="587">
        <v>0.03</v>
      </c>
      <c r="AF2782" s="661" t="str">
        <f t="shared" si="304"/>
        <v>2019-LTK-FRD-F350-068-05</v>
      </c>
      <c r="AG2782" s="661" t="str">
        <f>IF(AND($Y2782&gt;=32,(AI2782="I"),(Y2782&lt;&gt;"~"),(COUNTIF($AN$1:$AN2782,$AN2782)=1)),"TRUE","FALSE")</f>
        <v>FALSE</v>
      </c>
      <c r="AH2782" s="661" t="str">
        <f>IF(AND($Y2782&gt;=22, (AI2782&lt;&gt;"I"),(Y2782&lt;&gt;"~"),(COUNTIF($AN$1:$AN2782,$AN2782)=1)),"TRUE","FALSE")</f>
        <v>FALSE</v>
      </c>
      <c r="AI2782" s="661" t="str">
        <f t="shared" si="306"/>
        <v>N/A</v>
      </c>
      <c r="AJ2782" s="662" t="str">
        <f t="shared" si="300"/>
        <v>F350-068</v>
      </c>
      <c r="AK2782" s="662" t="str">
        <f t="shared" si="301"/>
        <v>LTK</v>
      </c>
      <c r="AL2782" s="662" t="str">
        <f t="shared" si="302"/>
        <v>FRD</v>
      </c>
      <c r="AM2782" s="662" t="str">
        <f t="shared" si="305"/>
        <v>F350-Super Cab XLT DRW-2WD-6-8'-12700-6.7L Diesel-8-X3C-623A-164-34-Diesel-BioDiesel</v>
      </c>
      <c r="AN2782" s="662" t="str">
        <f t="shared" si="303"/>
        <v>2019-LTK-FRD-F350-068</v>
      </c>
    </row>
    <row r="2783" spans="1:40" ht="15">
      <c r="A2783" s="570" t="s">
        <v>4861</v>
      </c>
      <c r="B2783" s="573" t="s">
        <v>4857</v>
      </c>
      <c r="C2783" s="573" t="s">
        <v>278</v>
      </c>
      <c r="D2783" s="578">
        <v>15</v>
      </c>
      <c r="E2783" s="573" t="s">
        <v>3374</v>
      </c>
      <c r="F2783" s="573" t="s">
        <v>187</v>
      </c>
      <c r="G2783" s="573" t="s">
        <v>271</v>
      </c>
      <c r="H2783" s="573">
        <v>2019</v>
      </c>
      <c r="I2783" s="573" t="s">
        <v>4503</v>
      </c>
      <c r="J2783" s="573" t="s">
        <v>4858</v>
      </c>
      <c r="K2783" s="573" t="s">
        <v>3377</v>
      </c>
      <c r="L2783" s="573">
        <v>6</v>
      </c>
      <c r="M2783" s="573">
        <v>0</v>
      </c>
      <c r="N2783" s="573" t="s">
        <v>157</v>
      </c>
      <c r="O2783" s="573">
        <v>2</v>
      </c>
      <c r="P2783" s="573" t="s">
        <v>3846</v>
      </c>
      <c r="Q2783" s="571">
        <v>12700</v>
      </c>
      <c r="R2783" s="573" t="s">
        <v>4235</v>
      </c>
      <c r="S2783" s="573">
        <v>8</v>
      </c>
      <c r="T2783" s="573" t="s">
        <v>4796</v>
      </c>
      <c r="U2783" s="573" t="s">
        <v>4635</v>
      </c>
      <c r="V2783" s="573">
        <v>164</v>
      </c>
      <c r="W2783" s="573">
        <v>34</v>
      </c>
      <c r="X2783" s="571">
        <v>14000</v>
      </c>
      <c r="Y2783" s="569">
        <v>13</v>
      </c>
      <c r="Z2783" s="579" t="s">
        <v>450</v>
      </c>
      <c r="AA2783" s="579" t="s">
        <v>178</v>
      </c>
      <c r="AB2783" s="584">
        <v>44175</v>
      </c>
      <c r="AC2783" s="584" t="s">
        <v>164</v>
      </c>
      <c r="AD2783" s="584">
        <v>33600</v>
      </c>
      <c r="AE2783" s="586">
        <v>0.01</v>
      </c>
      <c r="AF2783" s="661" t="str">
        <f t="shared" si="304"/>
        <v>2019-LTK-FRD-F350-067-15</v>
      </c>
      <c r="AG2783" s="661" t="str">
        <f>IF(AND($Y2783&gt;=32,(AI2783="I"),(Y2783&lt;&gt;"~"),(COUNTIF($AN$1:$AN2783,$AN2783)=1)),"TRUE","FALSE")</f>
        <v>FALSE</v>
      </c>
      <c r="AH2783" s="661" t="str">
        <f>IF(AND($Y2783&gt;=22, (AI2783&lt;&gt;"I"),(Y2783&lt;&gt;"~"),(COUNTIF($AN$1:$AN2783,$AN2783)=1)),"TRUE","FALSE")</f>
        <v>FALSE</v>
      </c>
      <c r="AI2783" s="661" t="str">
        <f t="shared" si="306"/>
        <v>N/A</v>
      </c>
      <c r="AJ2783" s="662" t="str">
        <f t="shared" si="300"/>
        <v>F350-067</v>
      </c>
      <c r="AK2783" s="662" t="str">
        <f t="shared" si="301"/>
        <v>LTK</v>
      </c>
      <c r="AL2783" s="662" t="str">
        <f t="shared" si="302"/>
        <v>FRD</v>
      </c>
      <c r="AM2783" s="662" t="str">
        <f t="shared" si="305"/>
        <v>F350-Super Cab XLT DRW-2WD-6-8'-12700-6.2L FFV-8-X3C-623A-164-34-E85-Unleaded</v>
      </c>
      <c r="AN2783" s="662" t="str">
        <f t="shared" si="303"/>
        <v>2019-LTK-FRD-F350-067</v>
      </c>
    </row>
    <row r="2784" spans="1:40" ht="15">
      <c r="A2784" s="570" t="s">
        <v>4862</v>
      </c>
      <c r="B2784" s="569" t="s">
        <v>4860</v>
      </c>
      <c r="C2784" s="569" t="s">
        <v>278</v>
      </c>
      <c r="D2784" s="580">
        <v>15</v>
      </c>
      <c r="E2784" s="569" t="s">
        <v>3374</v>
      </c>
      <c r="F2784" s="569" t="s">
        <v>187</v>
      </c>
      <c r="G2784" s="569" t="s">
        <v>271</v>
      </c>
      <c r="H2784" s="569">
        <v>2019</v>
      </c>
      <c r="I2784" s="569" t="s">
        <v>4503</v>
      </c>
      <c r="J2784" s="569" t="s">
        <v>4858</v>
      </c>
      <c r="K2784" s="569" t="s">
        <v>3377</v>
      </c>
      <c r="L2784" s="569">
        <v>6</v>
      </c>
      <c r="M2784" s="569">
        <v>0</v>
      </c>
      <c r="N2784" s="569" t="s">
        <v>157</v>
      </c>
      <c r="O2784" s="569">
        <v>2</v>
      </c>
      <c r="P2784" s="569" t="s">
        <v>3846</v>
      </c>
      <c r="Q2784" s="568">
        <v>12700</v>
      </c>
      <c r="R2784" s="569" t="s">
        <v>4231</v>
      </c>
      <c r="S2784" s="569">
        <v>8</v>
      </c>
      <c r="T2784" s="569" t="s">
        <v>4796</v>
      </c>
      <c r="U2784" s="569" t="s">
        <v>4635</v>
      </c>
      <c r="V2784" s="569">
        <v>164</v>
      </c>
      <c r="W2784" s="569">
        <v>34</v>
      </c>
      <c r="X2784" s="568">
        <v>14000</v>
      </c>
      <c r="Y2784" s="569">
        <v>13</v>
      </c>
      <c r="Z2784" s="581" t="s">
        <v>728</v>
      </c>
      <c r="AA2784" s="581" t="s">
        <v>1523</v>
      </c>
      <c r="AB2784" s="585">
        <v>53295</v>
      </c>
      <c r="AC2784" s="585" t="s">
        <v>164</v>
      </c>
      <c r="AD2784" s="585">
        <v>41900</v>
      </c>
      <c r="AE2784" s="587">
        <v>0.01</v>
      </c>
      <c r="AF2784" s="661" t="str">
        <f t="shared" si="304"/>
        <v>2019-LTK-FRD-F350-068-15</v>
      </c>
      <c r="AG2784" s="661" t="str">
        <f>IF(AND($Y2784&gt;=32,(AI2784="I"),(Y2784&lt;&gt;"~"),(COUNTIF($AN$1:$AN2784,$AN2784)=1)),"TRUE","FALSE")</f>
        <v>FALSE</v>
      </c>
      <c r="AH2784" s="661" t="str">
        <f>IF(AND($Y2784&gt;=22, (AI2784&lt;&gt;"I"),(Y2784&lt;&gt;"~"),(COUNTIF($AN$1:$AN2784,$AN2784)=1)),"TRUE","FALSE")</f>
        <v>FALSE</v>
      </c>
      <c r="AI2784" s="661" t="str">
        <f t="shared" si="306"/>
        <v>N/A</v>
      </c>
      <c r="AJ2784" s="662" t="str">
        <f t="shared" si="300"/>
        <v>F350-068</v>
      </c>
      <c r="AK2784" s="662" t="str">
        <f t="shared" si="301"/>
        <v>LTK</v>
      </c>
      <c r="AL2784" s="662" t="str">
        <f t="shared" si="302"/>
        <v>FRD</v>
      </c>
      <c r="AM2784" s="662" t="str">
        <f t="shared" si="305"/>
        <v>F350-Super Cab XLT DRW-2WD-6-8'-12700-6.7L Diesel-8-X3C-623A-164-34-Diesel-BioDiesel</v>
      </c>
      <c r="AN2784" s="662" t="str">
        <f t="shared" si="303"/>
        <v>2019-LTK-FRD-F350-068</v>
      </c>
    </row>
    <row r="2785" spans="1:40" ht="15">
      <c r="A2785" s="570" t="s">
        <v>4863</v>
      </c>
      <c r="B2785" s="573" t="s">
        <v>4857</v>
      </c>
      <c r="C2785" s="573" t="s">
        <v>287</v>
      </c>
      <c r="D2785" s="578">
        <v>26</v>
      </c>
      <c r="E2785" s="573" t="s">
        <v>3374</v>
      </c>
      <c r="F2785" s="573" t="s">
        <v>187</v>
      </c>
      <c r="G2785" s="573" t="s">
        <v>271</v>
      </c>
      <c r="H2785" s="573">
        <v>2019</v>
      </c>
      <c r="I2785" s="573" t="s">
        <v>4503</v>
      </c>
      <c r="J2785" s="573" t="s">
        <v>4858</v>
      </c>
      <c r="K2785" s="573" t="s">
        <v>3377</v>
      </c>
      <c r="L2785" s="573">
        <v>6</v>
      </c>
      <c r="M2785" s="573">
        <v>0</v>
      </c>
      <c r="N2785" s="573" t="s">
        <v>157</v>
      </c>
      <c r="O2785" s="573">
        <v>2</v>
      </c>
      <c r="P2785" s="573" t="s">
        <v>3846</v>
      </c>
      <c r="Q2785" s="571">
        <v>12700</v>
      </c>
      <c r="R2785" s="573" t="s">
        <v>4235</v>
      </c>
      <c r="S2785" s="573">
        <v>8</v>
      </c>
      <c r="T2785" s="573" t="s">
        <v>4796</v>
      </c>
      <c r="U2785" s="573" t="s">
        <v>4635</v>
      </c>
      <c r="V2785" s="573">
        <v>164</v>
      </c>
      <c r="W2785" s="573">
        <v>34</v>
      </c>
      <c r="X2785" s="571">
        <v>14000</v>
      </c>
      <c r="Y2785" s="569">
        <v>13</v>
      </c>
      <c r="Z2785" s="579" t="s">
        <v>450</v>
      </c>
      <c r="AA2785" s="579" t="s">
        <v>178</v>
      </c>
      <c r="AB2785" s="584">
        <v>44175</v>
      </c>
      <c r="AC2785" s="584" t="s">
        <v>164</v>
      </c>
      <c r="AD2785" s="584">
        <v>33162</v>
      </c>
      <c r="AE2785" s="586">
        <v>0.05</v>
      </c>
      <c r="AF2785" s="661" t="str">
        <f t="shared" si="304"/>
        <v>2019-LTK-FRD-F350-067-26</v>
      </c>
      <c r="AG2785" s="661" t="str">
        <f>IF(AND($Y2785&gt;=32,(AI2785="I"),(Y2785&lt;&gt;"~"),(COUNTIF($AN$1:$AN2785,$AN2785)=1)),"TRUE","FALSE")</f>
        <v>FALSE</v>
      </c>
      <c r="AH2785" s="661" t="str">
        <f>IF(AND($Y2785&gt;=22, (AI2785&lt;&gt;"I"),(Y2785&lt;&gt;"~"),(COUNTIF($AN$1:$AN2785,$AN2785)=1)),"TRUE","FALSE")</f>
        <v>FALSE</v>
      </c>
      <c r="AI2785" s="661" t="str">
        <f t="shared" si="306"/>
        <v>N/A</v>
      </c>
      <c r="AJ2785" s="662" t="str">
        <f t="shared" si="300"/>
        <v>F350-067</v>
      </c>
      <c r="AK2785" s="662" t="str">
        <f t="shared" si="301"/>
        <v>LTK</v>
      </c>
      <c r="AL2785" s="662" t="str">
        <f t="shared" si="302"/>
        <v>FRD</v>
      </c>
      <c r="AM2785" s="662" t="str">
        <f t="shared" si="305"/>
        <v>F350-Super Cab XLT DRW-2WD-6-8'-12700-6.2L FFV-8-X3C-623A-164-34-E85-Unleaded</v>
      </c>
      <c r="AN2785" s="662" t="str">
        <f t="shared" si="303"/>
        <v>2019-LTK-FRD-F350-067</v>
      </c>
    </row>
    <row r="2786" spans="1:40" ht="15">
      <c r="A2786" s="570" t="s">
        <v>4864</v>
      </c>
      <c r="B2786" s="569" t="s">
        <v>4860</v>
      </c>
      <c r="C2786" s="569" t="s">
        <v>287</v>
      </c>
      <c r="D2786" s="580">
        <v>26</v>
      </c>
      <c r="E2786" s="569" t="s">
        <v>3374</v>
      </c>
      <c r="F2786" s="569" t="s">
        <v>187</v>
      </c>
      <c r="G2786" s="569" t="s">
        <v>271</v>
      </c>
      <c r="H2786" s="569">
        <v>2019</v>
      </c>
      <c r="I2786" s="569" t="s">
        <v>4503</v>
      </c>
      <c r="J2786" s="569" t="s">
        <v>4858</v>
      </c>
      <c r="K2786" s="569" t="s">
        <v>3377</v>
      </c>
      <c r="L2786" s="569">
        <v>6</v>
      </c>
      <c r="M2786" s="569">
        <v>0</v>
      </c>
      <c r="N2786" s="569" t="s">
        <v>157</v>
      </c>
      <c r="O2786" s="569">
        <v>2</v>
      </c>
      <c r="P2786" s="569" t="s">
        <v>3846</v>
      </c>
      <c r="Q2786" s="568">
        <v>12700</v>
      </c>
      <c r="R2786" s="569" t="s">
        <v>4231</v>
      </c>
      <c r="S2786" s="569">
        <v>8</v>
      </c>
      <c r="T2786" s="569" t="s">
        <v>4796</v>
      </c>
      <c r="U2786" s="569" t="s">
        <v>4635</v>
      </c>
      <c r="V2786" s="569">
        <v>164</v>
      </c>
      <c r="W2786" s="569">
        <v>34</v>
      </c>
      <c r="X2786" s="568">
        <v>14000</v>
      </c>
      <c r="Y2786" s="569">
        <v>13</v>
      </c>
      <c r="Z2786" s="581" t="s">
        <v>728</v>
      </c>
      <c r="AA2786" s="581" t="s">
        <v>1523</v>
      </c>
      <c r="AB2786" s="585">
        <v>53295</v>
      </c>
      <c r="AC2786" s="585" t="s">
        <v>164</v>
      </c>
      <c r="AD2786" s="585">
        <v>45345</v>
      </c>
      <c r="AE2786" s="587">
        <v>0.05</v>
      </c>
      <c r="AF2786" s="661" t="str">
        <f t="shared" si="304"/>
        <v>2019-LTK-FRD-F350-068-26</v>
      </c>
      <c r="AG2786" s="661" t="str">
        <f>IF(AND($Y2786&gt;=32,(AI2786="I"),(Y2786&lt;&gt;"~"),(COUNTIF($AN$1:$AN2786,$AN2786)=1)),"TRUE","FALSE")</f>
        <v>FALSE</v>
      </c>
      <c r="AH2786" s="661" t="str">
        <f>IF(AND($Y2786&gt;=22, (AI2786&lt;&gt;"I"),(Y2786&lt;&gt;"~"),(COUNTIF($AN$1:$AN2786,$AN2786)=1)),"TRUE","FALSE")</f>
        <v>FALSE</v>
      </c>
      <c r="AI2786" s="661" t="str">
        <f t="shared" si="306"/>
        <v>N/A</v>
      </c>
      <c r="AJ2786" s="662" t="str">
        <f t="shared" si="300"/>
        <v>F350-068</v>
      </c>
      <c r="AK2786" s="662" t="str">
        <f t="shared" si="301"/>
        <v>LTK</v>
      </c>
      <c r="AL2786" s="662" t="str">
        <f t="shared" si="302"/>
        <v>FRD</v>
      </c>
      <c r="AM2786" s="662" t="str">
        <f t="shared" si="305"/>
        <v>F350-Super Cab XLT DRW-2WD-6-8'-12700-6.7L Diesel-8-X3C-623A-164-34-Diesel-BioDiesel</v>
      </c>
      <c r="AN2786" s="662" t="str">
        <f t="shared" si="303"/>
        <v>2019-LTK-FRD-F350-068</v>
      </c>
    </row>
    <row r="2787" spans="1:40" ht="15">
      <c r="A2787" s="570" t="s">
        <v>4865</v>
      </c>
      <c r="B2787" s="573" t="s">
        <v>4857</v>
      </c>
      <c r="C2787" s="573" t="s">
        <v>280</v>
      </c>
      <c r="D2787" s="578">
        <v>27</v>
      </c>
      <c r="E2787" s="573" t="s">
        <v>3374</v>
      </c>
      <c r="F2787" s="573" t="s">
        <v>187</v>
      </c>
      <c r="G2787" s="573" t="s">
        <v>271</v>
      </c>
      <c r="H2787" s="573">
        <v>2019</v>
      </c>
      <c r="I2787" s="573" t="s">
        <v>4503</v>
      </c>
      <c r="J2787" s="573" t="s">
        <v>4858</v>
      </c>
      <c r="K2787" s="573" t="s">
        <v>3377</v>
      </c>
      <c r="L2787" s="573">
        <v>6</v>
      </c>
      <c r="M2787" s="573">
        <v>0</v>
      </c>
      <c r="N2787" s="573" t="s">
        <v>157</v>
      </c>
      <c r="O2787" s="573">
        <v>2</v>
      </c>
      <c r="P2787" s="573" t="s">
        <v>3846</v>
      </c>
      <c r="Q2787" s="571">
        <v>12700</v>
      </c>
      <c r="R2787" s="573" t="s">
        <v>4235</v>
      </c>
      <c r="S2787" s="573">
        <v>8</v>
      </c>
      <c r="T2787" s="573" t="s">
        <v>4796</v>
      </c>
      <c r="U2787" s="573" t="s">
        <v>4635</v>
      </c>
      <c r="V2787" s="573">
        <v>164</v>
      </c>
      <c r="W2787" s="573">
        <v>34</v>
      </c>
      <c r="X2787" s="571">
        <v>14000</v>
      </c>
      <c r="Y2787" s="569">
        <v>13</v>
      </c>
      <c r="Z2787" s="579" t="s">
        <v>450</v>
      </c>
      <c r="AA2787" s="579" t="s">
        <v>178</v>
      </c>
      <c r="AB2787" s="584">
        <v>44175</v>
      </c>
      <c r="AC2787" s="584" t="s">
        <v>164</v>
      </c>
      <c r="AD2787" s="584">
        <v>33446.021052631579</v>
      </c>
      <c r="AE2787" s="586">
        <v>0.03</v>
      </c>
      <c r="AF2787" s="661" t="str">
        <f t="shared" si="304"/>
        <v>2019-LTK-FRD-F350-067-27</v>
      </c>
      <c r="AG2787" s="661" t="str">
        <f>IF(AND($Y2787&gt;=32,(AI2787="I"),(Y2787&lt;&gt;"~"),(COUNTIF($AN$1:$AN2787,$AN2787)=1)),"TRUE","FALSE")</f>
        <v>FALSE</v>
      </c>
      <c r="AH2787" s="661" t="str">
        <f>IF(AND($Y2787&gt;=22, (AI2787&lt;&gt;"I"),(Y2787&lt;&gt;"~"),(COUNTIF($AN$1:$AN2787,$AN2787)=1)),"TRUE","FALSE")</f>
        <v>FALSE</v>
      </c>
      <c r="AI2787" s="661" t="str">
        <f t="shared" si="306"/>
        <v>N/A</v>
      </c>
      <c r="AJ2787" s="662" t="str">
        <f t="shared" si="300"/>
        <v>F350-067</v>
      </c>
      <c r="AK2787" s="662" t="str">
        <f t="shared" si="301"/>
        <v>LTK</v>
      </c>
      <c r="AL2787" s="662" t="str">
        <f t="shared" si="302"/>
        <v>FRD</v>
      </c>
      <c r="AM2787" s="662" t="str">
        <f t="shared" si="305"/>
        <v>F350-Super Cab XLT DRW-2WD-6-8'-12700-6.2L FFV-8-X3C-623A-164-34-E85-Unleaded</v>
      </c>
      <c r="AN2787" s="662" t="str">
        <f t="shared" si="303"/>
        <v>2019-LTK-FRD-F350-067</v>
      </c>
    </row>
    <row r="2788" spans="1:40" ht="15">
      <c r="A2788" s="570" t="s">
        <v>4866</v>
      </c>
      <c r="B2788" s="569" t="s">
        <v>4860</v>
      </c>
      <c r="C2788" s="569" t="s">
        <v>280</v>
      </c>
      <c r="D2788" s="580">
        <v>27</v>
      </c>
      <c r="E2788" s="569" t="s">
        <v>3374</v>
      </c>
      <c r="F2788" s="569" t="s">
        <v>187</v>
      </c>
      <c r="G2788" s="569" t="s">
        <v>271</v>
      </c>
      <c r="H2788" s="569">
        <v>2019</v>
      </c>
      <c r="I2788" s="569" t="s">
        <v>4503</v>
      </c>
      <c r="J2788" s="569" t="s">
        <v>4858</v>
      </c>
      <c r="K2788" s="569" t="s">
        <v>3377</v>
      </c>
      <c r="L2788" s="569">
        <v>6</v>
      </c>
      <c r="M2788" s="569">
        <v>0</v>
      </c>
      <c r="N2788" s="569" t="s">
        <v>157</v>
      </c>
      <c r="O2788" s="569">
        <v>2</v>
      </c>
      <c r="P2788" s="569" t="s">
        <v>3846</v>
      </c>
      <c r="Q2788" s="568">
        <v>12700</v>
      </c>
      <c r="R2788" s="569" t="s">
        <v>4231</v>
      </c>
      <c r="S2788" s="569">
        <v>8</v>
      </c>
      <c r="T2788" s="569" t="s">
        <v>4796</v>
      </c>
      <c r="U2788" s="569" t="s">
        <v>4635</v>
      </c>
      <c r="V2788" s="569">
        <v>164</v>
      </c>
      <c r="W2788" s="569">
        <v>34</v>
      </c>
      <c r="X2788" s="568">
        <v>14000</v>
      </c>
      <c r="Y2788" s="569">
        <v>13</v>
      </c>
      <c r="Z2788" s="581" t="s">
        <v>728</v>
      </c>
      <c r="AA2788" s="581" t="s">
        <v>1523</v>
      </c>
      <c r="AB2788" s="585">
        <v>53295</v>
      </c>
      <c r="AC2788" s="585" t="s">
        <v>164</v>
      </c>
      <c r="AD2788" s="585">
        <v>41638.210526315794</v>
      </c>
      <c r="AE2788" s="587">
        <v>0.03</v>
      </c>
      <c r="AF2788" s="661" t="str">
        <f t="shared" si="304"/>
        <v>2019-LTK-FRD-F350-068-27</v>
      </c>
      <c r="AG2788" s="661" t="str">
        <f>IF(AND($Y2788&gt;=32,(AI2788="I"),(Y2788&lt;&gt;"~"),(COUNTIF($AN$1:$AN2788,$AN2788)=1)),"TRUE","FALSE")</f>
        <v>FALSE</v>
      </c>
      <c r="AH2788" s="661" t="str">
        <f>IF(AND($Y2788&gt;=22, (AI2788&lt;&gt;"I"),(Y2788&lt;&gt;"~"),(COUNTIF($AN$1:$AN2788,$AN2788)=1)),"TRUE","FALSE")</f>
        <v>FALSE</v>
      </c>
      <c r="AI2788" s="661" t="str">
        <f t="shared" si="306"/>
        <v>N/A</v>
      </c>
      <c r="AJ2788" s="662" t="str">
        <f t="shared" si="300"/>
        <v>F350-068</v>
      </c>
      <c r="AK2788" s="662" t="str">
        <f t="shared" si="301"/>
        <v>LTK</v>
      </c>
      <c r="AL2788" s="662" t="str">
        <f t="shared" si="302"/>
        <v>FRD</v>
      </c>
      <c r="AM2788" s="662" t="str">
        <f t="shared" si="305"/>
        <v>F350-Super Cab XLT DRW-2WD-6-8'-12700-6.7L Diesel-8-X3C-623A-164-34-Diesel-BioDiesel</v>
      </c>
      <c r="AN2788" s="662" t="str">
        <f t="shared" si="303"/>
        <v>2019-LTK-FRD-F350-068</v>
      </c>
    </row>
    <row r="2789" spans="1:40" ht="15">
      <c r="A2789" s="570" t="s">
        <v>4867</v>
      </c>
      <c r="B2789" s="573" t="s">
        <v>4868</v>
      </c>
      <c r="C2789" s="573" t="s">
        <v>269</v>
      </c>
      <c r="D2789" s="578" t="s">
        <v>270</v>
      </c>
      <c r="E2789" s="573" t="s">
        <v>3374</v>
      </c>
      <c r="F2789" s="573" t="s">
        <v>187</v>
      </c>
      <c r="G2789" s="573" t="s">
        <v>271</v>
      </c>
      <c r="H2789" s="573">
        <v>2019</v>
      </c>
      <c r="I2789" s="573" t="s">
        <v>4503</v>
      </c>
      <c r="J2789" s="573" t="s">
        <v>4858</v>
      </c>
      <c r="K2789" s="573" t="s">
        <v>752</v>
      </c>
      <c r="L2789" s="573">
        <v>6</v>
      </c>
      <c r="M2789" s="573">
        <v>0</v>
      </c>
      <c r="N2789" s="573" t="s">
        <v>157</v>
      </c>
      <c r="O2789" s="573">
        <v>2</v>
      </c>
      <c r="P2789" s="573" t="s">
        <v>3846</v>
      </c>
      <c r="Q2789" s="571">
        <v>12300</v>
      </c>
      <c r="R2789" s="573" t="s">
        <v>4235</v>
      </c>
      <c r="S2789" s="573">
        <v>8</v>
      </c>
      <c r="T2789" s="573" t="s">
        <v>4807</v>
      </c>
      <c r="U2789" s="573" t="s">
        <v>4635</v>
      </c>
      <c r="V2789" s="573">
        <v>164</v>
      </c>
      <c r="W2789" s="573">
        <v>34</v>
      </c>
      <c r="X2789" s="571">
        <v>14000</v>
      </c>
      <c r="Y2789" s="569">
        <v>12</v>
      </c>
      <c r="Z2789" s="579" t="s">
        <v>450</v>
      </c>
      <c r="AA2789" s="579" t="s">
        <v>178</v>
      </c>
      <c r="AB2789" s="584">
        <v>46975</v>
      </c>
      <c r="AC2789" s="584" t="s">
        <v>164</v>
      </c>
      <c r="AD2789" s="584">
        <v>36874.442105263159</v>
      </c>
      <c r="AE2789" s="586">
        <v>0.03</v>
      </c>
      <c r="AF2789" s="661" t="str">
        <f t="shared" si="304"/>
        <v>2019-LTK-FRD-F350-069-05</v>
      </c>
      <c r="AG2789" s="661" t="str">
        <f>IF(AND($Y2789&gt;=32,(AI2789="I"),(Y2789&lt;&gt;"~"),(COUNTIF($AN$1:$AN2789,$AN2789)=1)),"TRUE","FALSE")</f>
        <v>FALSE</v>
      </c>
      <c r="AH2789" s="661" t="str">
        <f>IF(AND($Y2789&gt;=22, (AI2789&lt;&gt;"I"),(Y2789&lt;&gt;"~"),(COUNTIF($AN$1:$AN2789,$AN2789)=1)),"TRUE","FALSE")</f>
        <v>FALSE</v>
      </c>
      <c r="AI2789" s="661" t="str">
        <f t="shared" si="306"/>
        <v>N/A</v>
      </c>
      <c r="AJ2789" s="662" t="str">
        <f t="shared" si="300"/>
        <v>F350-069</v>
      </c>
      <c r="AK2789" s="662" t="str">
        <f t="shared" si="301"/>
        <v>LTK</v>
      </c>
      <c r="AL2789" s="662" t="str">
        <f t="shared" si="302"/>
        <v>FRD</v>
      </c>
      <c r="AM2789" s="662" t="str">
        <f t="shared" si="305"/>
        <v>F350-Super Cab XLT DRW-4WD-6-8'-12300-6.2L FFV-8-X3D-623A-164-34-E85-Unleaded</v>
      </c>
      <c r="AN2789" s="662" t="str">
        <f t="shared" si="303"/>
        <v>2019-LTK-FRD-F350-069</v>
      </c>
    </row>
    <row r="2790" spans="1:40" ht="15">
      <c r="A2790" s="570" t="s">
        <v>4869</v>
      </c>
      <c r="B2790" s="569" t="s">
        <v>4870</v>
      </c>
      <c r="C2790" s="569" t="s">
        <v>269</v>
      </c>
      <c r="D2790" s="580" t="s">
        <v>270</v>
      </c>
      <c r="E2790" s="569" t="s">
        <v>3374</v>
      </c>
      <c r="F2790" s="569" t="s">
        <v>187</v>
      </c>
      <c r="G2790" s="569" t="s">
        <v>271</v>
      </c>
      <c r="H2790" s="569">
        <v>2019</v>
      </c>
      <c r="I2790" s="569" t="s">
        <v>4503</v>
      </c>
      <c r="J2790" s="569" t="s">
        <v>4858</v>
      </c>
      <c r="K2790" s="569" t="s">
        <v>752</v>
      </c>
      <c r="L2790" s="569">
        <v>6</v>
      </c>
      <c r="M2790" s="569">
        <v>0</v>
      </c>
      <c r="N2790" s="569" t="s">
        <v>157</v>
      </c>
      <c r="O2790" s="569">
        <v>2</v>
      </c>
      <c r="P2790" s="569" t="s">
        <v>3846</v>
      </c>
      <c r="Q2790" s="568">
        <v>12300</v>
      </c>
      <c r="R2790" s="569" t="s">
        <v>4231</v>
      </c>
      <c r="S2790" s="569">
        <v>8</v>
      </c>
      <c r="T2790" s="569" t="s">
        <v>4807</v>
      </c>
      <c r="U2790" s="569" t="s">
        <v>4635</v>
      </c>
      <c r="V2790" s="569">
        <v>164</v>
      </c>
      <c r="W2790" s="569">
        <v>34</v>
      </c>
      <c r="X2790" s="568">
        <v>14000</v>
      </c>
      <c r="Y2790" s="569">
        <v>12</v>
      </c>
      <c r="Z2790" s="581" t="s">
        <v>728</v>
      </c>
      <c r="AA2790" s="581" t="s">
        <v>1523</v>
      </c>
      <c r="AB2790" s="585">
        <v>56095</v>
      </c>
      <c r="AC2790" s="585" t="s">
        <v>164</v>
      </c>
      <c r="AD2790" s="585">
        <v>45066.631578947374</v>
      </c>
      <c r="AE2790" s="587">
        <v>0.03</v>
      </c>
      <c r="AF2790" s="661" t="str">
        <f t="shared" si="304"/>
        <v>2019-LTK-FRD-F350-070-05</v>
      </c>
      <c r="AG2790" s="661" t="str">
        <f>IF(AND($Y2790&gt;=32,(AI2790="I"),(Y2790&lt;&gt;"~"),(COUNTIF($AN$1:$AN2790,$AN2790)=1)),"TRUE","FALSE")</f>
        <v>FALSE</v>
      </c>
      <c r="AH2790" s="661" t="str">
        <f>IF(AND($Y2790&gt;=22, (AI2790&lt;&gt;"I"),(Y2790&lt;&gt;"~"),(COUNTIF($AN$1:$AN2790,$AN2790)=1)),"TRUE","FALSE")</f>
        <v>FALSE</v>
      </c>
      <c r="AI2790" s="661" t="str">
        <f t="shared" si="306"/>
        <v>N/A</v>
      </c>
      <c r="AJ2790" s="662" t="str">
        <f t="shared" si="300"/>
        <v>F350-070</v>
      </c>
      <c r="AK2790" s="662" t="str">
        <f t="shared" si="301"/>
        <v>LTK</v>
      </c>
      <c r="AL2790" s="662" t="str">
        <f t="shared" si="302"/>
        <v>FRD</v>
      </c>
      <c r="AM2790" s="662" t="str">
        <f t="shared" si="305"/>
        <v>F350-Super Cab XLT DRW-4WD-6-8'-12300-6.7L Diesel-8-X3D-623A-164-34-Diesel-BioDiesel</v>
      </c>
      <c r="AN2790" s="662" t="str">
        <f t="shared" si="303"/>
        <v>2019-LTK-FRD-F350-070</v>
      </c>
    </row>
    <row r="2791" spans="1:40" ht="15">
      <c r="A2791" s="570" t="s">
        <v>4871</v>
      </c>
      <c r="B2791" s="573" t="s">
        <v>4868</v>
      </c>
      <c r="C2791" s="573" t="s">
        <v>278</v>
      </c>
      <c r="D2791" s="578">
        <v>15</v>
      </c>
      <c r="E2791" s="573" t="s">
        <v>3374</v>
      </c>
      <c r="F2791" s="573" t="s">
        <v>187</v>
      </c>
      <c r="G2791" s="573" t="s">
        <v>271</v>
      </c>
      <c r="H2791" s="573">
        <v>2019</v>
      </c>
      <c r="I2791" s="573" t="s">
        <v>4503</v>
      </c>
      <c r="J2791" s="573" t="s">
        <v>4858</v>
      </c>
      <c r="K2791" s="573" t="s">
        <v>752</v>
      </c>
      <c r="L2791" s="573">
        <v>6</v>
      </c>
      <c r="M2791" s="573">
        <v>0</v>
      </c>
      <c r="N2791" s="573" t="s">
        <v>157</v>
      </c>
      <c r="O2791" s="573">
        <v>2</v>
      </c>
      <c r="P2791" s="573" t="s">
        <v>3846</v>
      </c>
      <c r="Q2791" s="571">
        <v>12300</v>
      </c>
      <c r="R2791" s="573" t="s">
        <v>4235</v>
      </c>
      <c r="S2791" s="573">
        <v>8</v>
      </c>
      <c r="T2791" s="573" t="s">
        <v>4807</v>
      </c>
      <c r="U2791" s="573" t="s">
        <v>4635</v>
      </c>
      <c r="V2791" s="573">
        <v>164</v>
      </c>
      <c r="W2791" s="573">
        <v>34</v>
      </c>
      <c r="X2791" s="571">
        <v>14000</v>
      </c>
      <c r="Y2791" s="569">
        <v>12</v>
      </c>
      <c r="Z2791" s="579" t="s">
        <v>450</v>
      </c>
      <c r="AA2791" s="579" t="s">
        <v>178</v>
      </c>
      <c r="AB2791" s="584">
        <v>46975</v>
      </c>
      <c r="AC2791" s="584" t="s">
        <v>164</v>
      </c>
      <c r="AD2791" s="584">
        <v>37100</v>
      </c>
      <c r="AE2791" s="586">
        <v>0.01</v>
      </c>
      <c r="AF2791" s="661" t="str">
        <f t="shared" si="304"/>
        <v>2019-LTK-FRD-F350-069-15</v>
      </c>
      <c r="AG2791" s="661" t="str">
        <f>IF(AND($Y2791&gt;=32,(AI2791="I"),(Y2791&lt;&gt;"~"),(COUNTIF($AN$1:$AN2791,$AN2791)=1)),"TRUE","FALSE")</f>
        <v>FALSE</v>
      </c>
      <c r="AH2791" s="661" t="str">
        <f>IF(AND($Y2791&gt;=22, (AI2791&lt;&gt;"I"),(Y2791&lt;&gt;"~"),(COUNTIF($AN$1:$AN2791,$AN2791)=1)),"TRUE","FALSE")</f>
        <v>FALSE</v>
      </c>
      <c r="AI2791" s="661" t="str">
        <f t="shared" si="306"/>
        <v>N/A</v>
      </c>
      <c r="AJ2791" s="662" t="str">
        <f t="shared" si="300"/>
        <v>F350-069</v>
      </c>
      <c r="AK2791" s="662" t="str">
        <f t="shared" si="301"/>
        <v>LTK</v>
      </c>
      <c r="AL2791" s="662" t="str">
        <f t="shared" si="302"/>
        <v>FRD</v>
      </c>
      <c r="AM2791" s="662" t="str">
        <f t="shared" si="305"/>
        <v>F350-Super Cab XLT DRW-4WD-6-8'-12300-6.2L FFV-8-X3D-623A-164-34-E85-Unleaded</v>
      </c>
      <c r="AN2791" s="662" t="str">
        <f t="shared" si="303"/>
        <v>2019-LTK-FRD-F350-069</v>
      </c>
    </row>
    <row r="2792" spans="1:40" ht="15">
      <c r="A2792" s="570" t="s">
        <v>4872</v>
      </c>
      <c r="B2792" s="569" t="s">
        <v>4870</v>
      </c>
      <c r="C2792" s="569" t="s">
        <v>278</v>
      </c>
      <c r="D2792" s="580">
        <v>15</v>
      </c>
      <c r="E2792" s="569" t="s">
        <v>3374</v>
      </c>
      <c r="F2792" s="569" t="s">
        <v>187</v>
      </c>
      <c r="G2792" s="569" t="s">
        <v>271</v>
      </c>
      <c r="H2792" s="569">
        <v>2019</v>
      </c>
      <c r="I2792" s="569" t="s">
        <v>4503</v>
      </c>
      <c r="J2792" s="569" t="s">
        <v>4858</v>
      </c>
      <c r="K2792" s="569" t="s">
        <v>752</v>
      </c>
      <c r="L2792" s="569">
        <v>6</v>
      </c>
      <c r="M2792" s="569">
        <v>0</v>
      </c>
      <c r="N2792" s="569" t="s">
        <v>157</v>
      </c>
      <c r="O2792" s="569">
        <v>2</v>
      </c>
      <c r="P2792" s="569" t="s">
        <v>3846</v>
      </c>
      <c r="Q2792" s="568">
        <v>12300</v>
      </c>
      <c r="R2792" s="569" t="s">
        <v>4231</v>
      </c>
      <c r="S2792" s="569">
        <v>8</v>
      </c>
      <c r="T2792" s="569" t="s">
        <v>4807</v>
      </c>
      <c r="U2792" s="569" t="s">
        <v>4635</v>
      </c>
      <c r="V2792" s="569">
        <v>164</v>
      </c>
      <c r="W2792" s="569">
        <v>34</v>
      </c>
      <c r="X2792" s="568">
        <v>14000</v>
      </c>
      <c r="Y2792" s="569">
        <v>12</v>
      </c>
      <c r="Z2792" s="581" t="s">
        <v>728</v>
      </c>
      <c r="AA2792" s="581" t="s">
        <v>1523</v>
      </c>
      <c r="AB2792" s="585">
        <v>56095</v>
      </c>
      <c r="AC2792" s="585" t="s">
        <v>164</v>
      </c>
      <c r="AD2792" s="585">
        <v>45400</v>
      </c>
      <c r="AE2792" s="587">
        <v>0.01</v>
      </c>
      <c r="AF2792" s="661" t="str">
        <f t="shared" si="304"/>
        <v>2019-LTK-FRD-F350-070-15</v>
      </c>
      <c r="AG2792" s="661" t="str">
        <f>IF(AND($Y2792&gt;=32,(AI2792="I"),(Y2792&lt;&gt;"~"),(COUNTIF($AN$1:$AN2792,$AN2792)=1)),"TRUE","FALSE")</f>
        <v>FALSE</v>
      </c>
      <c r="AH2792" s="661" t="str">
        <f>IF(AND($Y2792&gt;=22, (AI2792&lt;&gt;"I"),(Y2792&lt;&gt;"~"),(COUNTIF($AN$1:$AN2792,$AN2792)=1)),"TRUE","FALSE")</f>
        <v>FALSE</v>
      </c>
      <c r="AI2792" s="661" t="str">
        <f t="shared" si="306"/>
        <v>N/A</v>
      </c>
      <c r="AJ2792" s="662" t="str">
        <f t="shared" si="300"/>
        <v>F350-070</v>
      </c>
      <c r="AK2792" s="662" t="str">
        <f t="shared" si="301"/>
        <v>LTK</v>
      </c>
      <c r="AL2792" s="662" t="str">
        <f t="shared" si="302"/>
        <v>FRD</v>
      </c>
      <c r="AM2792" s="662" t="str">
        <f t="shared" si="305"/>
        <v>F350-Super Cab XLT DRW-4WD-6-8'-12300-6.7L Diesel-8-X3D-623A-164-34-Diesel-BioDiesel</v>
      </c>
      <c r="AN2792" s="662" t="str">
        <f t="shared" si="303"/>
        <v>2019-LTK-FRD-F350-070</v>
      </c>
    </row>
    <row r="2793" spans="1:40" ht="15">
      <c r="A2793" s="570" t="s">
        <v>4873</v>
      </c>
      <c r="B2793" s="573" t="s">
        <v>4868</v>
      </c>
      <c r="C2793" s="573" t="s">
        <v>287</v>
      </c>
      <c r="D2793" s="578">
        <v>26</v>
      </c>
      <c r="E2793" s="573" t="s">
        <v>3374</v>
      </c>
      <c r="F2793" s="573" t="s">
        <v>187</v>
      </c>
      <c r="G2793" s="573" t="s">
        <v>271</v>
      </c>
      <c r="H2793" s="573">
        <v>2019</v>
      </c>
      <c r="I2793" s="573" t="s">
        <v>4503</v>
      </c>
      <c r="J2793" s="573" t="s">
        <v>4858</v>
      </c>
      <c r="K2793" s="573" t="s">
        <v>752</v>
      </c>
      <c r="L2793" s="573">
        <v>6</v>
      </c>
      <c r="M2793" s="573">
        <v>0</v>
      </c>
      <c r="N2793" s="573" t="s">
        <v>157</v>
      </c>
      <c r="O2793" s="573">
        <v>2</v>
      </c>
      <c r="P2793" s="573" t="s">
        <v>3846</v>
      </c>
      <c r="Q2793" s="571">
        <v>12300</v>
      </c>
      <c r="R2793" s="573" t="s">
        <v>4235</v>
      </c>
      <c r="S2793" s="573">
        <v>8</v>
      </c>
      <c r="T2793" s="573" t="s">
        <v>4807</v>
      </c>
      <c r="U2793" s="573" t="s">
        <v>4635</v>
      </c>
      <c r="V2793" s="573">
        <v>164</v>
      </c>
      <c r="W2793" s="573">
        <v>34</v>
      </c>
      <c r="X2793" s="571">
        <v>14000</v>
      </c>
      <c r="Y2793" s="569">
        <v>12</v>
      </c>
      <c r="Z2793" s="579" t="s">
        <v>450</v>
      </c>
      <c r="AA2793" s="579" t="s">
        <v>178</v>
      </c>
      <c r="AB2793" s="584">
        <v>46525</v>
      </c>
      <c r="AC2793" s="584" t="s">
        <v>164</v>
      </c>
      <c r="AD2793" s="584">
        <v>37151</v>
      </c>
      <c r="AE2793" s="586">
        <v>0.05</v>
      </c>
      <c r="AF2793" s="661" t="str">
        <f t="shared" si="304"/>
        <v>2019-LTK-FRD-F350-069-26</v>
      </c>
      <c r="AG2793" s="661" t="str">
        <f>IF(AND($Y2793&gt;=32,(AI2793="I"),(Y2793&lt;&gt;"~"),(COUNTIF($AN$1:$AN2793,$AN2793)=1)),"TRUE","FALSE")</f>
        <v>FALSE</v>
      </c>
      <c r="AH2793" s="661" t="str">
        <f>IF(AND($Y2793&gt;=22, (AI2793&lt;&gt;"I"),(Y2793&lt;&gt;"~"),(COUNTIF($AN$1:$AN2793,$AN2793)=1)),"TRUE","FALSE")</f>
        <v>FALSE</v>
      </c>
      <c r="AI2793" s="661" t="str">
        <f t="shared" si="306"/>
        <v>N/A</v>
      </c>
      <c r="AJ2793" s="662" t="str">
        <f t="shared" si="300"/>
        <v>F350-069</v>
      </c>
      <c r="AK2793" s="662" t="str">
        <f t="shared" si="301"/>
        <v>LTK</v>
      </c>
      <c r="AL2793" s="662" t="str">
        <f t="shared" si="302"/>
        <v>FRD</v>
      </c>
      <c r="AM2793" s="662" t="str">
        <f t="shared" si="305"/>
        <v>F350-Super Cab XLT DRW-4WD-6-8'-12300-6.2L FFV-8-X3D-623A-164-34-E85-Unleaded</v>
      </c>
      <c r="AN2793" s="662" t="str">
        <f t="shared" si="303"/>
        <v>2019-LTK-FRD-F350-069</v>
      </c>
    </row>
    <row r="2794" spans="1:40" ht="15">
      <c r="A2794" s="570" t="s">
        <v>4874</v>
      </c>
      <c r="B2794" s="569" t="s">
        <v>4870</v>
      </c>
      <c r="C2794" s="569" t="s">
        <v>287</v>
      </c>
      <c r="D2794" s="580">
        <v>26</v>
      </c>
      <c r="E2794" s="569" t="s">
        <v>3374</v>
      </c>
      <c r="F2794" s="569" t="s">
        <v>187</v>
      </c>
      <c r="G2794" s="569" t="s">
        <v>271</v>
      </c>
      <c r="H2794" s="569">
        <v>2019</v>
      </c>
      <c r="I2794" s="569" t="s">
        <v>4503</v>
      </c>
      <c r="J2794" s="569" t="s">
        <v>4858</v>
      </c>
      <c r="K2794" s="569" t="s">
        <v>752</v>
      </c>
      <c r="L2794" s="569">
        <v>6</v>
      </c>
      <c r="M2794" s="569">
        <v>0</v>
      </c>
      <c r="N2794" s="569" t="s">
        <v>157</v>
      </c>
      <c r="O2794" s="569">
        <v>2</v>
      </c>
      <c r="P2794" s="569" t="s">
        <v>3846</v>
      </c>
      <c r="Q2794" s="568">
        <v>12300</v>
      </c>
      <c r="R2794" s="569" t="s">
        <v>4231</v>
      </c>
      <c r="S2794" s="569">
        <v>8</v>
      </c>
      <c r="T2794" s="569" t="s">
        <v>4807</v>
      </c>
      <c r="U2794" s="569" t="s">
        <v>4635</v>
      </c>
      <c r="V2794" s="569">
        <v>164</v>
      </c>
      <c r="W2794" s="569">
        <v>34</v>
      </c>
      <c r="X2794" s="568">
        <v>14000</v>
      </c>
      <c r="Y2794" s="569">
        <v>12</v>
      </c>
      <c r="Z2794" s="581" t="s">
        <v>728</v>
      </c>
      <c r="AA2794" s="581" t="s">
        <v>1523</v>
      </c>
      <c r="AB2794" s="585">
        <v>56095</v>
      </c>
      <c r="AC2794" s="585" t="s">
        <v>164</v>
      </c>
      <c r="AD2794" s="585">
        <v>45345</v>
      </c>
      <c r="AE2794" s="587">
        <v>0.05</v>
      </c>
      <c r="AF2794" s="661" t="str">
        <f t="shared" si="304"/>
        <v>2019-LTK-FRD-F350-070-26</v>
      </c>
      <c r="AG2794" s="661" t="str">
        <f>IF(AND($Y2794&gt;=32,(AI2794="I"),(Y2794&lt;&gt;"~"),(COUNTIF($AN$1:$AN2794,$AN2794)=1)),"TRUE","FALSE")</f>
        <v>FALSE</v>
      </c>
      <c r="AH2794" s="661" t="str">
        <f>IF(AND($Y2794&gt;=22, (AI2794&lt;&gt;"I"),(Y2794&lt;&gt;"~"),(COUNTIF($AN$1:$AN2794,$AN2794)=1)),"TRUE","FALSE")</f>
        <v>FALSE</v>
      </c>
      <c r="AI2794" s="661" t="str">
        <f t="shared" si="306"/>
        <v>N/A</v>
      </c>
      <c r="AJ2794" s="662" t="str">
        <f t="shared" si="300"/>
        <v>F350-070</v>
      </c>
      <c r="AK2794" s="662" t="str">
        <f t="shared" si="301"/>
        <v>LTK</v>
      </c>
      <c r="AL2794" s="662" t="str">
        <f t="shared" si="302"/>
        <v>FRD</v>
      </c>
      <c r="AM2794" s="662" t="str">
        <f t="shared" si="305"/>
        <v>F350-Super Cab XLT DRW-4WD-6-8'-12300-6.7L Diesel-8-X3D-623A-164-34-Diesel-BioDiesel</v>
      </c>
      <c r="AN2794" s="662" t="str">
        <f t="shared" si="303"/>
        <v>2019-LTK-FRD-F350-070</v>
      </c>
    </row>
    <row r="2795" spans="1:40" ht="15">
      <c r="A2795" s="570" t="s">
        <v>4875</v>
      </c>
      <c r="B2795" s="573" t="s">
        <v>4868</v>
      </c>
      <c r="C2795" s="573" t="s">
        <v>280</v>
      </c>
      <c r="D2795" s="578">
        <v>27</v>
      </c>
      <c r="E2795" s="573" t="s">
        <v>3374</v>
      </c>
      <c r="F2795" s="573" t="s">
        <v>187</v>
      </c>
      <c r="G2795" s="573" t="s">
        <v>271</v>
      </c>
      <c r="H2795" s="573">
        <v>2019</v>
      </c>
      <c r="I2795" s="573" t="s">
        <v>4503</v>
      </c>
      <c r="J2795" s="573" t="s">
        <v>4858</v>
      </c>
      <c r="K2795" s="573" t="s">
        <v>752</v>
      </c>
      <c r="L2795" s="573">
        <v>6</v>
      </c>
      <c r="M2795" s="573">
        <v>0</v>
      </c>
      <c r="N2795" s="573" t="s">
        <v>157</v>
      </c>
      <c r="O2795" s="573">
        <v>2</v>
      </c>
      <c r="P2795" s="573" t="s">
        <v>3846</v>
      </c>
      <c r="Q2795" s="571">
        <v>12300</v>
      </c>
      <c r="R2795" s="573" t="s">
        <v>4235</v>
      </c>
      <c r="S2795" s="573">
        <v>8</v>
      </c>
      <c r="T2795" s="573" t="s">
        <v>4807</v>
      </c>
      <c r="U2795" s="573" t="s">
        <v>4635</v>
      </c>
      <c r="V2795" s="573">
        <v>164</v>
      </c>
      <c r="W2795" s="573">
        <v>34</v>
      </c>
      <c r="X2795" s="571">
        <v>14000</v>
      </c>
      <c r="Y2795" s="569">
        <v>12</v>
      </c>
      <c r="Z2795" s="579" t="s">
        <v>450</v>
      </c>
      <c r="AA2795" s="579" t="s">
        <v>178</v>
      </c>
      <c r="AB2795" s="584">
        <v>46975</v>
      </c>
      <c r="AC2795" s="584" t="s">
        <v>164</v>
      </c>
      <c r="AD2795" s="584">
        <v>36874.442105263159</v>
      </c>
      <c r="AE2795" s="586">
        <v>0.03</v>
      </c>
      <c r="AF2795" s="661" t="str">
        <f t="shared" si="304"/>
        <v>2019-LTK-FRD-F350-069-27</v>
      </c>
      <c r="AG2795" s="661" t="str">
        <f>IF(AND($Y2795&gt;=32,(AI2795="I"),(Y2795&lt;&gt;"~"),(COUNTIF($AN$1:$AN2795,$AN2795)=1)),"TRUE","FALSE")</f>
        <v>FALSE</v>
      </c>
      <c r="AH2795" s="661" t="str">
        <f>IF(AND($Y2795&gt;=22, (AI2795&lt;&gt;"I"),(Y2795&lt;&gt;"~"),(COUNTIF($AN$1:$AN2795,$AN2795)=1)),"TRUE","FALSE")</f>
        <v>FALSE</v>
      </c>
      <c r="AI2795" s="661" t="str">
        <f t="shared" si="306"/>
        <v>N/A</v>
      </c>
      <c r="AJ2795" s="662" t="str">
        <f t="shared" si="300"/>
        <v>F350-069</v>
      </c>
      <c r="AK2795" s="662" t="str">
        <f t="shared" si="301"/>
        <v>LTK</v>
      </c>
      <c r="AL2795" s="662" t="str">
        <f t="shared" si="302"/>
        <v>FRD</v>
      </c>
      <c r="AM2795" s="662" t="str">
        <f t="shared" si="305"/>
        <v>F350-Super Cab XLT DRW-4WD-6-8'-12300-6.2L FFV-8-X3D-623A-164-34-E85-Unleaded</v>
      </c>
      <c r="AN2795" s="662" t="str">
        <f t="shared" si="303"/>
        <v>2019-LTK-FRD-F350-069</v>
      </c>
    </row>
    <row r="2796" spans="1:40" ht="15">
      <c r="A2796" s="570" t="s">
        <v>4876</v>
      </c>
      <c r="B2796" s="569" t="s">
        <v>4870</v>
      </c>
      <c r="C2796" s="569" t="s">
        <v>280</v>
      </c>
      <c r="D2796" s="580">
        <v>27</v>
      </c>
      <c r="E2796" s="569" t="s">
        <v>3374</v>
      </c>
      <c r="F2796" s="569" t="s">
        <v>187</v>
      </c>
      <c r="G2796" s="569" t="s">
        <v>271</v>
      </c>
      <c r="H2796" s="569">
        <v>2019</v>
      </c>
      <c r="I2796" s="569" t="s">
        <v>4503</v>
      </c>
      <c r="J2796" s="569" t="s">
        <v>4858</v>
      </c>
      <c r="K2796" s="569" t="s">
        <v>752</v>
      </c>
      <c r="L2796" s="569">
        <v>6</v>
      </c>
      <c r="M2796" s="569">
        <v>0</v>
      </c>
      <c r="N2796" s="569" t="s">
        <v>157</v>
      </c>
      <c r="O2796" s="569">
        <v>2</v>
      </c>
      <c r="P2796" s="569" t="s">
        <v>3846</v>
      </c>
      <c r="Q2796" s="568">
        <v>12300</v>
      </c>
      <c r="R2796" s="569" t="s">
        <v>4231</v>
      </c>
      <c r="S2796" s="569">
        <v>8</v>
      </c>
      <c r="T2796" s="569" t="s">
        <v>4807</v>
      </c>
      <c r="U2796" s="569" t="s">
        <v>4635</v>
      </c>
      <c r="V2796" s="569">
        <v>164</v>
      </c>
      <c r="W2796" s="569">
        <v>34</v>
      </c>
      <c r="X2796" s="568">
        <v>14000</v>
      </c>
      <c r="Y2796" s="569">
        <v>12</v>
      </c>
      <c r="Z2796" s="581" t="s">
        <v>728</v>
      </c>
      <c r="AA2796" s="581" t="s">
        <v>1523</v>
      </c>
      <c r="AB2796" s="585">
        <v>56095</v>
      </c>
      <c r="AC2796" s="585" t="s">
        <v>164</v>
      </c>
      <c r="AD2796" s="585">
        <v>45066.631578947374</v>
      </c>
      <c r="AE2796" s="587">
        <v>0.03</v>
      </c>
      <c r="AF2796" s="661" t="str">
        <f t="shared" si="304"/>
        <v>2019-LTK-FRD-F350-070-27</v>
      </c>
      <c r="AG2796" s="661" t="str">
        <f>IF(AND($Y2796&gt;=32,(AI2796="I"),(Y2796&lt;&gt;"~"),(COUNTIF($AN$1:$AN2796,$AN2796)=1)),"TRUE","FALSE")</f>
        <v>FALSE</v>
      </c>
      <c r="AH2796" s="661" t="str">
        <f>IF(AND($Y2796&gt;=22, (AI2796&lt;&gt;"I"),(Y2796&lt;&gt;"~"),(COUNTIF($AN$1:$AN2796,$AN2796)=1)),"TRUE","FALSE")</f>
        <v>FALSE</v>
      </c>
      <c r="AI2796" s="661" t="str">
        <f t="shared" si="306"/>
        <v>N/A</v>
      </c>
      <c r="AJ2796" s="662" t="str">
        <f t="shared" si="300"/>
        <v>F350-070</v>
      </c>
      <c r="AK2796" s="662" t="str">
        <f t="shared" si="301"/>
        <v>LTK</v>
      </c>
      <c r="AL2796" s="662" t="str">
        <f t="shared" si="302"/>
        <v>FRD</v>
      </c>
      <c r="AM2796" s="662" t="str">
        <f t="shared" si="305"/>
        <v>F350-Super Cab XLT DRW-4WD-6-8'-12300-6.7L Diesel-8-X3D-623A-164-34-Diesel-BioDiesel</v>
      </c>
      <c r="AN2796" s="662" t="str">
        <f t="shared" si="303"/>
        <v>2019-LTK-FRD-F350-070</v>
      </c>
    </row>
    <row r="2797" spans="1:40" ht="15">
      <c r="A2797" s="570" t="s">
        <v>4877</v>
      </c>
      <c r="B2797" s="573" t="s">
        <v>4878</v>
      </c>
      <c r="C2797" s="573" t="s">
        <v>269</v>
      </c>
      <c r="D2797" s="578" t="s">
        <v>270</v>
      </c>
      <c r="E2797" s="573" t="s">
        <v>3374</v>
      </c>
      <c r="F2797" s="573" t="s">
        <v>1684</v>
      </c>
      <c r="G2797" s="573" t="s">
        <v>271</v>
      </c>
      <c r="H2797" s="573">
        <v>2019</v>
      </c>
      <c r="I2797" s="573" t="s">
        <v>4879</v>
      </c>
      <c r="J2797" s="573" t="s">
        <v>4556</v>
      </c>
      <c r="K2797" s="573" t="s">
        <v>3377</v>
      </c>
      <c r="L2797" s="573">
        <v>6</v>
      </c>
      <c r="M2797" s="573">
        <v>0</v>
      </c>
      <c r="N2797" s="573" t="s">
        <v>157</v>
      </c>
      <c r="O2797" s="573">
        <v>2</v>
      </c>
      <c r="P2797" s="573" t="s">
        <v>157</v>
      </c>
      <c r="Q2797" s="571">
        <v>12800</v>
      </c>
      <c r="R2797" s="573" t="s">
        <v>4235</v>
      </c>
      <c r="S2797" s="573">
        <v>8</v>
      </c>
      <c r="T2797" s="573" t="s">
        <v>4880</v>
      </c>
      <c r="U2797" s="573" t="s">
        <v>4881</v>
      </c>
      <c r="V2797" s="573">
        <v>179</v>
      </c>
      <c r="W2797" s="573">
        <v>40</v>
      </c>
      <c r="X2797" s="571">
        <v>14000</v>
      </c>
      <c r="Y2797" s="569" t="s">
        <v>164</v>
      </c>
      <c r="Z2797" s="579" t="s">
        <v>450</v>
      </c>
      <c r="AA2797" s="579" t="s">
        <v>178</v>
      </c>
      <c r="AB2797" s="584">
        <v>39550</v>
      </c>
      <c r="AC2797" s="584" t="s">
        <v>164</v>
      </c>
      <c r="AD2797" s="584">
        <v>28963.915789473685</v>
      </c>
      <c r="AE2797" s="586">
        <v>0.03</v>
      </c>
      <c r="AF2797" s="661" t="str">
        <f t="shared" si="304"/>
        <v>2019-LTK-FRD-F35C-001-05</v>
      </c>
      <c r="AG2797" s="661" t="str">
        <f>IF(AND($Y2797&gt;=32,(AI2797="I"),(Y2797&lt;&gt;"~"),(COUNTIF($AN$1:$AN2797,$AN2797)=1)),"TRUE","FALSE")</f>
        <v>FALSE</v>
      </c>
      <c r="AH2797" s="661" t="str">
        <f>IF(AND($Y2797&gt;=22, (AI2797&lt;&gt;"I"),(Y2797&lt;&gt;"~"),(COUNTIF($AN$1:$AN2797,$AN2797)=1)),"TRUE","FALSE")</f>
        <v>TRUE</v>
      </c>
      <c r="AI2797" s="661" t="str">
        <f t="shared" si="306"/>
        <v>N/A</v>
      </c>
      <c r="AJ2797" s="662" t="str">
        <f t="shared" si="300"/>
        <v>F35C-001</v>
      </c>
      <c r="AK2797" s="662" t="str">
        <f t="shared" si="301"/>
        <v>LTK</v>
      </c>
      <c r="AL2797" s="662" t="str">
        <f t="shared" si="302"/>
        <v>FRD</v>
      </c>
      <c r="AM2797" s="662" t="str">
        <f t="shared" si="305"/>
        <v>F350 Chassis Cab-Crew Cab XL DRW-2WD-6-~-12800-6.2L FFV-8-W3G-640A-179-40-E85-Unleaded</v>
      </c>
      <c r="AN2797" s="662" t="str">
        <f t="shared" si="303"/>
        <v>2019-LTK-FRD-F35C-001</v>
      </c>
    </row>
    <row r="2798" spans="1:40" ht="15">
      <c r="A2798" s="570" t="s">
        <v>4882</v>
      </c>
      <c r="B2798" s="569" t="s">
        <v>4883</v>
      </c>
      <c r="C2798" s="569" t="s">
        <v>269</v>
      </c>
      <c r="D2798" s="580" t="s">
        <v>270</v>
      </c>
      <c r="E2798" s="569" t="s">
        <v>3374</v>
      </c>
      <c r="F2798" s="569" t="s">
        <v>1684</v>
      </c>
      <c r="G2798" s="569" t="s">
        <v>271</v>
      </c>
      <c r="H2798" s="569">
        <v>2019</v>
      </c>
      <c r="I2798" s="569" t="s">
        <v>4879</v>
      </c>
      <c r="J2798" s="569" t="s">
        <v>4556</v>
      </c>
      <c r="K2798" s="569" t="s">
        <v>3377</v>
      </c>
      <c r="L2798" s="569">
        <v>6</v>
      </c>
      <c r="M2798" s="569">
        <v>0</v>
      </c>
      <c r="N2798" s="569" t="s">
        <v>157</v>
      </c>
      <c r="O2798" s="569">
        <v>2</v>
      </c>
      <c r="P2798" s="569" t="s">
        <v>157</v>
      </c>
      <c r="Q2798" s="568">
        <v>12800</v>
      </c>
      <c r="R2798" s="569" t="s">
        <v>4231</v>
      </c>
      <c r="S2798" s="569">
        <v>8</v>
      </c>
      <c r="T2798" s="569" t="s">
        <v>4880</v>
      </c>
      <c r="U2798" s="569" t="s">
        <v>4881</v>
      </c>
      <c r="V2798" s="569">
        <v>179</v>
      </c>
      <c r="W2798" s="569">
        <v>40</v>
      </c>
      <c r="X2798" s="568">
        <v>14000</v>
      </c>
      <c r="Y2798" s="569" t="s">
        <v>164</v>
      </c>
      <c r="Z2798" s="581" t="s">
        <v>728</v>
      </c>
      <c r="AA2798" s="581" t="s">
        <v>1523</v>
      </c>
      <c r="AB2798" s="585">
        <v>48670</v>
      </c>
      <c r="AC2798" s="585" t="s">
        <v>164</v>
      </c>
      <c r="AD2798" s="585">
        <v>37156.1052631579</v>
      </c>
      <c r="AE2798" s="587">
        <v>0.03</v>
      </c>
      <c r="AF2798" s="661" t="str">
        <f t="shared" si="304"/>
        <v>2019-LTK-FRD-F35C-002-05</v>
      </c>
      <c r="AG2798" s="661" t="str">
        <f>IF(AND($Y2798&gt;=32,(AI2798="I"),(Y2798&lt;&gt;"~"),(COUNTIF($AN$1:$AN2798,$AN2798)=1)),"TRUE","FALSE")</f>
        <v>FALSE</v>
      </c>
      <c r="AH2798" s="661" t="str">
        <f>IF(AND($Y2798&gt;=22, (AI2798&lt;&gt;"I"),(Y2798&lt;&gt;"~"),(COUNTIF($AN$1:$AN2798,$AN2798)=1)),"TRUE","FALSE")</f>
        <v>TRUE</v>
      </c>
      <c r="AI2798" s="661" t="str">
        <f t="shared" si="306"/>
        <v>N/A</v>
      </c>
      <c r="AJ2798" s="662" t="str">
        <f t="shared" si="300"/>
        <v>F35C-002</v>
      </c>
      <c r="AK2798" s="662" t="str">
        <f t="shared" si="301"/>
        <v>LTK</v>
      </c>
      <c r="AL2798" s="662" t="str">
        <f t="shared" si="302"/>
        <v>FRD</v>
      </c>
      <c r="AM2798" s="662" t="str">
        <f t="shared" si="305"/>
        <v>F350 Chassis Cab-Crew Cab XL DRW-2WD-6-~-12800-6.7L Diesel-8-W3G-640A-179-40-Diesel-BioDiesel</v>
      </c>
      <c r="AN2798" s="662" t="str">
        <f t="shared" si="303"/>
        <v>2019-LTK-FRD-F35C-002</v>
      </c>
    </row>
    <row r="2799" spans="1:40" ht="15">
      <c r="A2799" s="570" t="s">
        <v>4884</v>
      </c>
      <c r="B2799" s="573" t="s">
        <v>4878</v>
      </c>
      <c r="C2799" s="573" t="s">
        <v>278</v>
      </c>
      <c r="D2799" s="578">
        <v>15</v>
      </c>
      <c r="E2799" s="573" t="s">
        <v>3374</v>
      </c>
      <c r="F2799" s="573" t="s">
        <v>1684</v>
      </c>
      <c r="G2799" s="573" t="s">
        <v>271</v>
      </c>
      <c r="H2799" s="573">
        <v>2019</v>
      </c>
      <c r="I2799" s="573" t="s">
        <v>4879</v>
      </c>
      <c r="J2799" s="573" t="s">
        <v>4556</v>
      </c>
      <c r="K2799" s="573" t="s">
        <v>3377</v>
      </c>
      <c r="L2799" s="573">
        <v>6</v>
      </c>
      <c r="M2799" s="573">
        <v>0</v>
      </c>
      <c r="N2799" s="573" t="s">
        <v>157</v>
      </c>
      <c r="O2799" s="573">
        <v>2</v>
      </c>
      <c r="P2799" s="573" t="s">
        <v>157</v>
      </c>
      <c r="Q2799" s="571">
        <v>12800</v>
      </c>
      <c r="R2799" s="573" t="s">
        <v>4235</v>
      </c>
      <c r="S2799" s="573">
        <v>8</v>
      </c>
      <c r="T2799" s="573" t="s">
        <v>4880</v>
      </c>
      <c r="U2799" s="573" t="s">
        <v>4881</v>
      </c>
      <c r="V2799" s="573">
        <v>179</v>
      </c>
      <c r="W2799" s="573">
        <v>40</v>
      </c>
      <c r="X2799" s="571">
        <v>14000</v>
      </c>
      <c r="Y2799" s="569" t="s">
        <v>164</v>
      </c>
      <c r="Z2799" s="579" t="s">
        <v>450</v>
      </c>
      <c r="AA2799" s="579" t="s">
        <v>178</v>
      </c>
      <c r="AB2799" s="584">
        <v>39550</v>
      </c>
      <c r="AC2799" s="584" t="s">
        <v>164</v>
      </c>
      <c r="AD2799" s="584">
        <v>29100</v>
      </c>
      <c r="AE2799" s="586">
        <v>0.01</v>
      </c>
      <c r="AF2799" s="661" t="str">
        <f t="shared" si="304"/>
        <v>2019-LTK-FRD-F35C-001-15</v>
      </c>
      <c r="AG2799" s="661" t="str">
        <f>IF(AND($Y2799&gt;=32,(AI2799="I"),(Y2799&lt;&gt;"~"),(COUNTIF($AN$1:$AN2799,$AN2799)=1)),"TRUE","FALSE")</f>
        <v>FALSE</v>
      </c>
      <c r="AH2799" s="661" t="str">
        <f>IF(AND($Y2799&gt;=22, (AI2799&lt;&gt;"I"),(Y2799&lt;&gt;"~"),(COUNTIF($AN$1:$AN2799,$AN2799)=1)),"TRUE","FALSE")</f>
        <v>FALSE</v>
      </c>
      <c r="AI2799" s="661" t="str">
        <f t="shared" si="306"/>
        <v>N/A</v>
      </c>
      <c r="AJ2799" s="662" t="str">
        <f t="shared" si="300"/>
        <v>F35C-001</v>
      </c>
      <c r="AK2799" s="662" t="str">
        <f t="shared" si="301"/>
        <v>LTK</v>
      </c>
      <c r="AL2799" s="662" t="str">
        <f t="shared" si="302"/>
        <v>FRD</v>
      </c>
      <c r="AM2799" s="662" t="str">
        <f t="shared" si="305"/>
        <v>F350 Chassis Cab-Crew Cab XL DRW-2WD-6-~-12800-6.2L FFV-8-W3G-640A-179-40-E85-Unleaded</v>
      </c>
      <c r="AN2799" s="662" t="str">
        <f t="shared" si="303"/>
        <v>2019-LTK-FRD-F35C-001</v>
      </c>
    </row>
    <row r="2800" spans="1:40" ht="15">
      <c r="A2800" s="570" t="s">
        <v>4885</v>
      </c>
      <c r="B2800" s="569" t="s">
        <v>4883</v>
      </c>
      <c r="C2800" s="569" t="s">
        <v>278</v>
      </c>
      <c r="D2800" s="580">
        <v>15</v>
      </c>
      <c r="E2800" s="569" t="s">
        <v>3374</v>
      </c>
      <c r="F2800" s="569" t="s">
        <v>1684</v>
      </c>
      <c r="G2800" s="569" t="s">
        <v>271</v>
      </c>
      <c r="H2800" s="569">
        <v>2019</v>
      </c>
      <c r="I2800" s="569" t="s">
        <v>4879</v>
      </c>
      <c r="J2800" s="569" t="s">
        <v>4556</v>
      </c>
      <c r="K2800" s="569" t="s">
        <v>3377</v>
      </c>
      <c r="L2800" s="569">
        <v>6</v>
      </c>
      <c r="M2800" s="569">
        <v>0</v>
      </c>
      <c r="N2800" s="569" t="s">
        <v>157</v>
      </c>
      <c r="O2800" s="569">
        <v>2</v>
      </c>
      <c r="P2800" s="569" t="s">
        <v>157</v>
      </c>
      <c r="Q2800" s="568">
        <v>12800</v>
      </c>
      <c r="R2800" s="569" t="s">
        <v>4231</v>
      </c>
      <c r="S2800" s="569">
        <v>8</v>
      </c>
      <c r="T2800" s="569" t="s">
        <v>4880</v>
      </c>
      <c r="U2800" s="569" t="s">
        <v>4881</v>
      </c>
      <c r="V2800" s="569">
        <v>179</v>
      </c>
      <c r="W2800" s="569">
        <v>40</v>
      </c>
      <c r="X2800" s="568">
        <v>14000</v>
      </c>
      <c r="Y2800" s="569" t="s">
        <v>164</v>
      </c>
      <c r="Z2800" s="581" t="s">
        <v>728</v>
      </c>
      <c r="AA2800" s="581" t="s">
        <v>1523</v>
      </c>
      <c r="AB2800" s="585">
        <v>48670</v>
      </c>
      <c r="AC2800" s="585" t="s">
        <v>164</v>
      </c>
      <c r="AD2800" s="585">
        <v>37350</v>
      </c>
      <c r="AE2800" s="587">
        <v>0.01</v>
      </c>
      <c r="AF2800" s="661" t="str">
        <f t="shared" si="304"/>
        <v>2019-LTK-FRD-F35C-002-15</v>
      </c>
      <c r="AG2800" s="661" t="str">
        <f>IF(AND($Y2800&gt;=32,(AI2800="I"),(Y2800&lt;&gt;"~"),(COUNTIF($AN$1:$AN2800,$AN2800)=1)),"TRUE","FALSE")</f>
        <v>FALSE</v>
      </c>
      <c r="AH2800" s="661" t="str">
        <f>IF(AND($Y2800&gt;=22, (AI2800&lt;&gt;"I"),(Y2800&lt;&gt;"~"),(COUNTIF($AN$1:$AN2800,$AN2800)=1)),"TRUE","FALSE")</f>
        <v>FALSE</v>
      </c>
      <c r="AI2800" s="661" t="str">
        <f t="shared" si="306"/>
        <v>N/A</v>
      </c>
      <c r="AJ2800" s="662" t="str">
        <f t="shared" si="300"/>
        <v>F35C-002</v>
      </c>
      <c r="AK2800" s="662" t="str">
        <f t="shared" si="301"/>
        <v>LTK</v>
      </c>
      <c r="AL2800" s="662" t="str">
        <f t="shared" si="302"/>
        <v>FRD</v>
      </c>
      <c r="AM2800" s="662" t="str">
        <f t="shared" si="305"/>
        <v>F350 Chassis Cab-Crew Cab XL DRW-2WD-6-~-12800-6.7L Diesel-8-W3G-640A-179-40-Diesel-BioDiesel</v>
      </c>
      <c r="AN2800" s="662" t="str">
        <f t="shared" si="303"/>
        <v>2019-LTK-FRD-F35C-002</v>
      </c>
    </row>
    <row r="2801" spans="1:40" ht="15">
      <c r="A2801" s="570" t="s">
        <v>4886</v>
      </c>
      <c r="B2801" s="573" t="s">
        <v>4878</v>
      </c>
      <c r="C2801" s="573" t="s">
        <v>287</v>
      </c>
      <c r="D2801" s="578">
        <v>26</v>
      </c>
      <c r="E2801" s="573" t="s">
        <v>3374</v>
      </c>
      <c r="F2801" s="573" t="s">
        <v>1684</v>
      </c>
      <c r="G2801" s="573" t="s">
        <v>271</v>
      </c>
      <c r="H2801" s="573">
        <v>2019</v>
      </c>
      <c r="I2801" s="573" t="s">
        <v>4879</v>
      </c>
      <c r="J2801" s="573" t="s">
        <v>4556</v>
      </c>
      <c r="K2801" s="573" t="s">
        <v>3377</v>
      </c>
      <c r="L2801" s="573">
        <v>6</v>
      </c>
      <c r="M2801" s="573">
        <v>0</v>
      </c>
      <c r="N2801" s="573" t="s">
        <v>157</v>
      </c>
      <c r="O2801" s="573">
        <v>2</v>
      </c>
      <c r="P2801" s="573" t="s">
        <v>157</v>
      </c>
      <c r="Q2801" s="571">
        <v>12800</v>
      </c>
      <c r="R2801" s="573" t="s">
        <v>4235</v>
      </c>
      <c r="S2801" s="573">
        <v>8</v>
      </c>
      <c r="T2801" s="573" t="s">
        <v>4880</v>
      </c>
      <c r="U2801" s="573" t="s">
        <v>4881</v>
      </c>
      <c r="V2801" s="573">
        <v>179</v>
      </c>
      <c r="W2801" s="573">
        <v>40</v>
      </c>
      <c r="X2801" s="571">
        <v>14000</v>
      </c>
      <c r="Y2801" s="569" t="s">
        <v>164</v>
      </c>
      <c r="Z2801" s="579" t="s">
        <v>450</v>
      </c>
      <c r="AA2801" s="579" t="s">
        <v>178</v>
      </c>
      <c r="AB2801" s="584">
        <v>39550</v>
      </c>
      <c r="AC2801" s="584" t="s">
        <v>164</v>
      </c>
      <c r="AD2801" s="584">
        <v>29201</v>
      </c>
      <c r="AE2801" s="586">
        <v>0.05</v>
      </c>
      <c r="AF2801" s="661" t="str">
        <f t="shared" si="304"/>
        <v>2019-LTK-FRD-F35C-001-26</v>
      </c>
      <c r="AG2801" s="661" t="str">
        <f>IF(AND($Y2801&gt;=32,(AI2801="I"),(Y2801&lt;&gt;"~"),(COUNTIF($AN$1:$AN2801,$AN2801)=1)),"TRUE","FALSE")</f>
        <v>FALSE</v>
      </c>
      <c r="AH2801" s="661" t="str">
        <f>IF(AND($Y2801&gt;=22, (AI2801&lt;&gt;"I"),(Y2801&lt;&gt;"~"),(COUNTIF($AN$1:$AN2801,$AN2801)=1)),"TRUE","FALSE")</f>
        <v>FALSE</v>
      </c>
      <c r="AI2801" s="661" t="str">
        <f t="shared" si="306"/>
        <v>N/A</v>
      </c>
      <c r="AJ2801" s="662" t="str">
        <f t="shared" si="300"/>
        <v>F35C-001</v>
      </c>
      <c r="AK2801" s="662" t="str">
        <f t="shared" si="301"/>
        <v>LTK</v>
      </c>
      <c r="AL2801" s="662" t="str">
        <f t="shared" si="302"/>
        <v>FRD</v>
      </c>
      <c r="AM2801" s="662" t="str">
        <f t="shared" si="305"/>
        <v>F350 Chassis Cab-Crew Cab XL DRW-2WD-6-~-12800-6.2L FFV-8-W3G-640A-179-40-E85-Unleaded</v>
      </c>
      <c r="AN2801" s="662" t="str">
        <f t="shared" si="303"/>
        <v>2019-LTK-FRD-F35C-001</v>
      </c>
    </row>
    <row r="2802" spans="1:40" ht="15">
      <c r="A2802" s="570" t="s">
        <v>4887</v>
      </c>
      <c r="B2802" s="569" t="s">
        <v>4883</v>
      </c>
      <c r="C2802" s="569" t="s">
        <v>287</v>
      </c>
      <c r="D2802" s="580">
        <v>26</v>
      </c>
      <c r="E2802" s="569" t="s">
        <v>3374</v>
      </c>
      <c r="F2802" s="569" t="s">
        <v>1684</v>
      </c>
      <c r="G2802" s="569" t="s">
        <v>271</v>
      </c>
      <c r="H2802" s="569">
        <v>2019</v>
      </c>
      <c r="I2802" s="569" t="s">
        <v>4879</v>
      </c>
      <c r="J2802" s="569" t="s">
        <v>4556</v>
      </c>
      <c r="K2802" s="569" t="s">
        <v>3377</v>
      </c>
      <c r="L2802" s="569">
        <v>6</v>
      </c>
      <c r="M2802" s="569">
        <v>0</v>
      </c>
      <c r="N2802" s="569" t="s">
        <v>157</v>
      </c>
      <c r="O2802" s="569">
        <v>2</v>
      </c>
      <c r="P2802" s="569" t="s">
        <v>157</v>
      </c>
      <c r="Q2802" s="568">
        <v>12800</v>
      </c>
      <c r="R2802" s="569" t="s">
        <v>4231</v>
      </c>
      <c r="S2802" s="569">
        <v>8</v>
      </c>
      <c r="T2802" s="569" t="s">
        <v>4880</v>
      </c>
      <c r="U2802" s="569" t="s">
        <v>4881</v>
      </c>
      <c r="V2802" s="569">
        <v>179</v>
      </c>
      <c r="W2802" s="569">
        <v>40</v>
      </c>
      <c r="X2802" s="568">
        <v>14000</v>
      </c>
      <c r="Y2802" s="569" t="s">
        <v>164</v>
      </c>
      <c r="Z2802" s="581" t="s">
        <v>728</v>
      </c>
      <c r="AA2802" s="581" t="s">
        <v>1523</v>
      </c>
      <c r="AB2802" s="585">
        <v>48670</v>
      </c>
      <c r="AC2802" s="585" t="s">
        <v>164</v>
      </c>
      <c r="AD2802" s="585">
        <v>37395</v>
      </c>
      <c r="AE2802" s="587">
        <v>0.05</v>
      </c>
      <c r="AF2802" s="661" t="str">
        <f t="shared" si="304"/>
        <v>2019-LTK-FRD-F35C-002-26</v>
      </c>
      <c r="AG2802" s="661" t="str">
        <f>IF(AND($Y2802&gt;=32,(AI2802="I"),(Y2802&lt;&gt;"~"),(COUNTIF($AN$1:$AN2802,$AN2802)=1)),"TRUE","FALSE")</f>
        <v>FALSE</v>
      </c>
      <c r="AH2802" s="661" t="str">
        <f>IF(AND($Y2802&gt;=22, (AI2802&lt;&gt;"I"),(Y2802&lt;&gt;"~"),(COUNTIF($AN$1:$AN2802,$AN2802)=1)),"TRUE","FALSE")</f>
        <v>FALSE</v>
      </c>
      <c r="AI2802" s="661" t="str">
        <f t="shared" si="306"/>
        <v>N/A</v>
      </c>
      <c r="AJ2802" s="662" t="str">
        <f t="shared" si="300"/>
        <v>F35C-002</v>
      </c>
      <c r="AK2802" s="662" t="str">
        <f t="shared" si="301"/>
        <v>LTK</v>
      </c>
      <c r="AL2802" s="662" t="str">
        <f t="shared" si="302"/>
        <v>FRD</v>
      </c>
      <c r="AM2802" s="662" t="str">
        <f t="shared" si="305"/>
        <v>F350 Chassis Cab-Crew Cab XL DRW-2WD-6-~-12800-6.7L Diesel-8-W3G-640A-179-40-Diesel-BioDiesel</v>
      </c>
      <c r="AN2802" s="662" t="str">
        <f t="shared" si="303"/>
        <v>2019-LTK-FRD-F35C-002</v>
      </c>
    </row>
    <row r="2803" spans="1:40" ht="15">
      <c r="A2803" s="570" t="s">
        <v>4888</v>
      </c>
      <c r="B2803" s="573" t="s">
        <v>4878</v>
      </c>
      <c r="C2803" s="573" t="s">
        <v>280</v>
      </c>
      <c r="D2803" s="578">
        <v>27</v>
      </c>
      <c r="E2803" s="573" t="s">
        <v>3374</v>
      </c>
      <c r="F2803" s="573" t="s">
        <v>1684</v>
      </c>
      <c r="G2803" s="573" t="s">
        <v>271</v>
      </c>
      <c r="H2803" s="573">
        <v>2019</v>
      </c>
      <c r="I2803" s="573" t="s">
        <v>4879</v>
      </c>
      <c r="J2803" s="573" t="s">
        <v>4556</v>
      </c>
      <c r="K2803" s="573" t="s">
        <v>3377</v>
      </c>
      <c r="L2803" s="573">
        <v>6</v>
      </c>
      <c r="M2803" s="573">
        <v>0</v>
      </c>
      <c r="N2803" s="573" t="s">
        <v>157</v>
      </c>
      <c r="O2803" s="573">
        <v>2</v>
      </c>
      <c r="P2803" s="573" t="s">
        <v>157</v>
      </c>
      <c r="Q2803" s="571">
        <v>12800</v>
      </c>
      <c r="R2803" s="573" t="s">
        <v>4235</v>
      </c>
      <c r="S2803" s="573">
        <v>8</v>
      </c>
      <c r="T2803" s="573" t="s">
        <v>4880</v>
      </c>
      <c r="U2803" s="573" t="s">
        <v>4881</v>
      </c>
      <c r="V2803" s="573">
        <v>179</v>
      </c>
      <c r="W2803" s="573">
        <v>40</v>
      </c>
      <c r="X2803" s="571">
        <v>14000</v>
      </c>
      <c r="Y2803" s="569" t="s">
        <v>164</v>
      </c>
      <c r="Z2803" s="579" t="s">
        <v>450</v>
      </c>
      <c r="AA2803" s="579" t="s">
        <v>178</v>
      </c>
      <c r="AB2803" s="584">
        <v>39550</v>
      </c>
      <c r="AC2803" s="584" t="s">
        <v>164</v>
      </c>
      <c r="AD2803" s="584">
        <v>28963.915789473685</v>
      </c>
      <c r="AE2803" s="586">
        <v>0.03</v>
      </c>
      <c r="AF2803" s="661" t="str">
        <f t="shared" si="304"/>
        <v>2019-LTK-FRD-F35C-001-27</v>
      </c>
      <c r="AG2803" s="661" t="str">
        <f>IF(AND($Y2803&gt;=32,(AI2803="I"),(Y2803&lt;&gt;"~"),(COUNTIF($AN$1:$AN2803,$AN2803)=1)),"TRUE","FALSE")</f>
        <v>FALSE</v>
      </c>
      <c r="AH2803" s="661" t="str">
        <f>IF(AND($Y2803&gt;=22, (AI2803&lt;&gt;"I"),(Y2803&lt;&gt;"~"),(COUNTIF($AN$1:$AN2803,$AN2803)=1)),"TRUE","FALSE")</f>
        <v>FALSE</v>
      </c>
      <c r="AI2803" s="661" t="str">
        <f t="shared" si="306"/>
        <v>N/A</v>
      </c>
      <c r="AJ2803" s="662" t="str">
        <f t="shared" si="300"/>
        <v>F35C-001</v>
      </c>
      <c r="AK2803" s="662" t="str">
        <f t="shared" si="301"/>
        <v>LTK</v>
      </c>
      <c r="AL2803" s="662" t="str">
        <f t="shared" si="302"/>
        <v>FRD</v>
      </c>
      <c r="AM2803" s="662" t="str">
        <f t="shared" si="305"/>
        <v>F350 Chassis Cab-Crew Cab XL DRW-2WD-6-~-12800-6.2L FFV-8-W3G-640A-179-40-E85-Unleaded</v>
      </c>
      <c r="AN2803" s="662" t="str">
        <f t="shared" si="303"/>
        <v>2019-LTK-FRD-F35C-001</v>
      </c>
    </row>
    <row r="2804" spans="1:40" ht="15">
      <c r="A2804" s="570" t="s">
        <v>4889</v>
      </c>
      <c r="B2804" s="569" t="s">
        <v>4883</v>
      </c>
      <c r="C2804" s="569" t="s">
        <v>280</v>
      </c>
      <c r="D2804" s="580">
        <v>27</v>
      </c>
      <c r="E2804" s="569" t="s">
        <v>3374</v>
      </c>
      <c r="F2804" s="569" t="s">
        <v>1684</v>
      </c>
      <c r="G2804" s="569" t="s">
        <v>271</v>
      </c>
      <c r="H2804" s="569">
        <v>2019</v>
      </c>
      <c r="I2804" s="569" t="s">
        <v>4879</v>
      </c>
      <c r="J2804" s="569" t="s">
        <v>4556</v>
      </c>
      <c r="K2804" s="569" t="s">
        <v>3377</v>
      </c>
      <c r="L2804" s="569">
        <v>6</v>
      </c>
      <c r="M2804" s="569">
        <v>0</v>
      </c>
      <c r="N2804" s="569" t="s">
        <v>157</v>
      </c>
      <c r="O2804" s="569">
        <v>2</v>
      </c>
      <c r="P2804" s="569" t="s">
        <v>157</v>
      </c>
      <c r="Q2804" s="568">
        <v>12800</v>
      </c>
      <c r="R2804" s="569" t="s">
        <v>4231</v>
      </c>
      <c r="S2804" s="569">
        <v>8</v>
      </c>
      <c r="T2804" s="569" t="s">
        <v>4880</v>
      </c>
      <c r="U2804" s="569" t="s">
        <v>4881</v>
      </c>
      <c r="V2804" s="569">
        <v>179</v>
      </c>
      <c r="W2804" s="569">
        <v>40</v>
      </c>
      <c r="X2804" s="568">
        <v>14000</v>
      </c>
      <c r="Y2804" s="569" t="s">
        <v>164</v>
      </c>
      <c r="Z2804" s="581" t="s">
        <v>728</v>
      </c>
      <c r="AA2804" s="581" t="s">
        <v>1523</v>
      </c>
      <c r="AB2804" s="585">
        <v>48670</v>
      </c>
      <c r="AC2804" s="585" t="s">
        <v>164</v>
      </c>
      <c r="AD2804" s="585">
        <v>37156.1052631579</v>
      </c>
      <c r="AE2804" s="587">
        <v>0.03</v>
      </c>
      <c r="AF2804" s="661" t="str">
        <f t="shared" si="304"/>
        <v>2019-LTK-FRD-F35C-002-27</v>
      </c>
      <c r="AG2804" s="661" t="str">
        <f>IF(AND($Y2804&gt;=32,(AI2804="I"),(Y2804&lt;&gt;"~"),(COUNTIF($AN$1:$AN2804,$AN2804)=1)),"TRUE","FALSE")</f>
        <v>FALSE</v>
      </c>
      <c r="AH2804" s="661" t="str">
        <f>IF(AND($Y2804&gt;=22, (AI2804&lt;&gt;"I"),(Y2804&lt;&gt;"~"),(COUNTIF($AN$1:$AN2804,$AN2804)=1)),"TRUE","FALSE")</f>
        <v>FALSE</v>
      </c>
      <c r="AI2804" s="661" t="str">
        <f t="shared" si="306"/>
        <v>N/A</v>
      </c>
      <c r="AJ2804" s="662" t="str">
        <f t="shared" si="300"/>
        <v>F35C-002</v>
      </c>
      <c r="AK2804" s="662" t="str">
        <f t="shared" si="301"/>
        <v>LTK</v>
      </c>
      <c r="AL2804" s="662" t="str">
        <f t="shared" si="302"/>
        <v>FRD</v>
      </c>
      <c r="AM2804" s="662" t="str">
        <f t="shared" si="305"/>
        <v>F350 Chassis Cab-Crew Cab XL DRW-2WD-6-~-12800-6.7L Diesel-8-W3G-640A-179-40-Diesel-BioDiesel</v>
      </c>
      <c r="AN2804" s="662" t="str">
        <f t="shared" si="303"/>
        <v>2019-LTK-FRD-F35C-002</v>
      </c>
    </row>
    <row r="2805" spans="1:40" ht="15">
      <c r="A2805" s="570" t="s">
        <v>4890</v>
      </c>
      <c r="B2805" s="573" t="s">
        <v>4891</v>
      </c>
      <c r="C2805" s="573" t="s">
        <v>269</v>
      </c>
      <c r="D2805" s="578" t="s">
        <v>270</v>
      </c>
      <c r="E2805" s="573" t="s">
        <v>3374</v>
      </c>
      <c r="F2805" s="573" t="s">
        <v>1684</v>
      </c>
      <c r="G2805" s="573" t="s">
        <v>271</v>
      </c>
      <c r="H2805" s="573">
        <v>2019</v>
      </c>
      <c r="I2805" s="573" t="s">
        <v>4879</v>
      </c>
      <c r="J2805" s="573" t="s">
        <v>4556</v>
      </c>
      <c r="K2805" s="573" t="s">
        <v>752</v>
      </c>
      <c r="L2805" s="573">
        <v>6</v>
      </c>
      <c r="M2805" s="573">
        <v>0</v>
      </c>
      <c r="N2805" s="573" t="s">
        <v>157</v>
      </c>
      <c r="O2805" s="573">
        <v>2</v>
      </c>
      <c r="P2805" s="573" t="s">
        <v>157</v>
      </c>
      <c r="Q2805" s="571">
        <v>12400</v>
      </c>
      <c r="R2805" s="573" t="s">
        <v>4235</v>
      </c>
      <c r="S2805" s="573">
        <v>8</v>
      </c>
      <c r="T2805" s="573" t="s">
        <v>4892</v>
      </c>
      <c r="U2805" s="573" t="s">
        <v>4881</v>
      </c>
      <c r="V2805" s="573">
        <v>179</v>
      </c>
      <c r="W2805" s="573">
        <v>40</v>
      </c>
      <c r="X2805" s="571">
        <v>14000</v>
      </c>
      <c r="Y2805" s="569" t="s">
        <v>164</v>
      </c>
      <c r="Z2805" s="579" t="s">
        <v>450</v>
      </c>
      <c r="AA2805" s="579" t="s">
        <v>178</v>
      </c>
      <c r="AB2805" s="584">
        <v>43050</v>
      </c>
      <c r="AC2805" s="584" t="s">
        <v>164</v>
      </c>
      <c r="AD2805" s="584">
        <v>31354.442105263162</v>
      </c>
      <c r="AE2805" s="586">
        <v>0.03</v>
      </c>
      <c r="AF2805" s="661" t="str">
        <f t="shared" si="304"/>
        <v>2019-LTK-FRD-F35C-003-05</v>
      </c>
      <c r="AG2805" s="661" t="str">
        <f>IF(AND($Y2805&gt;=32,(AI2805="I"),(Y2805&lt;&gt;"~"),(COUNTIF($AN$1:$AN2805,$AN2805)=1)),"TRUE","FALSE")</f>
        <v>FALSE</v>
      </c>
      <c r="AH2805" s="661" t="str">
        <f>IF(AND($Y2805&gt;=22, (AI2805&lt;&gt;"I"),(Y2805&lt;&gt;"~"),(COUNTIF($AN$1:$AN2805,$AN2805)=1)),"TRUE","FALSE")</f>
        <v>TRUE</v>
      </c>
      <c r="AI2805" s="661" t="str">
        <f t="shared" si="306"/>
        <v>N/A</v>
      </c>
      <c r="AJ2805" s="662" t="str">
        <f t="shared" si="300"/>
        <v>F35C-003</v>
      </c>
      <c r="AK2805" s="662" t="str">
        <f t="shared" si="301"/>
        <v>LTK</v>
      </c>
      <c r="AL2805" s="662" t="str">
        <f t="shared" si="302"/>
        <v>FRD</v>
      </c>
      <c r="AM2805" s="662" t="str">
        <f t="shared" si="305"/>
        <v>F350 Chassis Cab-Crew Cab XL DRW-4WD-6-~-12400-6.2L FFV-8-W3H-640A-179-40-E85-Unleaded</v>
      </c>
      <c r="AN2805" s="662" t="str">
        <f t="shared" si="303"/>
        <v>2019-LTK-FRD-F35C-003</v>
      </c>
    </row>
    <row r="2806" spans="1:40" ht="15">
      <c r="A2806" s="570" t="s">
        <v>4893</v>
      </c>
      <c r="B2806" s="569" t="s">
        <v>4894</v>
      </c>
      <c r="C2806" s="569" t="s">
        <v>269</v>
      </c>
      <c r="D2806" s="580" t="s">
        <v>270</v>
      </c>
      <c r="E2806" s="569" t="s">
        <v>3374</v>
      </c>
      <c r="F2806" s="569" t="s">
        <v>1684</v>
      </c>
      <c r="G2806" s="569" t="s">
        <v>271</v>
      </c>
      <c r="H2806" s="569">
        <v>2019</v>
      </c>
      <c r="I2806" s="569" t="s">
        <v>4879</v>
      </c>
      <c r="J2806" s="569" t="s">
        <v>4556</v>
      </c>
      <c r="K2806" s="569" t="s">
        <v>752</v>
      </c>
      <c r="L2806" s="569">
        <v>6</v>
      </c>
      <c r="M2806" s="569">
        <v>0</v>
      </c>
      <c r="N2806" s="569" t="s">
        <v>157</v>
      </c>
      <c r="O2806" s="569">
        <v>2</v>
      </c>
      <c r="P2806" s="569" t="s">
        <v>157</v>
      </c>
      <c r="Q2806" s="568">
        <v>12400</v>
      </c>
      <c r="R2806" s="569" t="s">
        <v>4231</v>
      </c>
      <c r="S2806" s="569">
        <v>8</v>
      </c>
      <c r="T2806" s="569" t="s">
        <v>4892</v>
      </c>
      <c r="U2806" s="569" t="s">
        <v>4881</v>
      </c>
      <c r="V2806" s="569">
        <v>179</v>
      </c>
      <c r="W2806" s="569">
        <v>40</v>
      </c>
      <c r="X2806" s="568">
        <v>14000</v>
      </c>
      <c r="Y2806" s="569" t="s">
        <v>164</v>
      </c>
      <c r="Z2806" s="581" t="s">
        <v>728</v>
      </c>
      <c r="AA2806" s="581" t="s">
        <v>1523</v>
      </c>
      <c r="AB2806" s="585">
        <v>52170</v>
      </c>
      <c r="AC2806" s="585" t="s">
        <v>164</v>
      </c>
      <c r="AD2806" s="585">
        <v>39546.631578947374</v>
      </c>
      <c r="AE2806" s="587">
        <v>0.03</v>
      </c>
      <c r="AF2806" s="661" t="str">
        <f t="shared" si="304"/>
        <v>2019-LTK-FRD-F35C-004-05</v>
      </c>
      <c r="AG2806" s="661" t="str">
        <f>IF(AND($Y2806&gt;=32,(AI2806="I"),(Y2806&lt;&gt;"~"),(COUNTIF($AN$1:$AN2806,$AN2806)=1)),"TRUE","FALSE")</f>
        <v>FALSE</v>
      </c>
      <c r="AH2806" s="661" t="str">
        <f>IF(AND($Y2806&gt;=22, (AI2806&lt;&gt;"I"),(Y2806&lt;&gt;"~"),(COUNTIF($AN$1:$AN2806,$AN2806)=1)),"TRUE","FALSE")</f>
        <v>TRUE</v>
      </c>
      <c r="AI2806" s="661" t="str">
        <f t="shared" si="306"/>
        <v>N/A</v>
      </c>
      <c r="AJ2806" s="662" t="str">
        <f t="shared" si="300"/>
        <v>F35C-004</v>
      </c>
      <c r="AK2806" s="662" t="str">
        <f t="shared" si="301"/>
        <v>LTK</v>
      </c>
      <c r="AL2806" s="662" t="str">
        <f t="shared" si="302"/>
        <v>FRD</v>
      </c>
      <c r="AM2806" s="662" t="str">
        <f t="shared" si="305"/>
        <v>F350 Chassis Cab-Crew Cab XL DRW-4WD-6-~-12400-6.7L Diesel-8-W3H-640A-179-40-Diesel-BioDiesel</v>
      </c>
      <c r="AN2806" s="662" t="str">
        <f t="shared" si="303"/>
        <v>2019-LTK-FRD-F35C-004</v>
      </c>
    </row>
    <row r="2807" spans="1:40" ht="15">
      <c r="A2807" s="570" t="s">
        <v>4893</v>
      </c>
      <c r="B2807" s="573" t="s">
        <v>4894</v>
      </c>
      <c r="C2807" s="573" t="s">
        <v>269</v>
      </c>
      <c r="D2807" s="578" t="s">
        <v>270</v>
      </c>
      <c r="E2807" s="573" t="s">
        <v>3374</v>
      </c>
      <c r="F2807" s="573" t="s">
        <v>1684</v>
      </c>
      <c r="G2807" s="573" t="s">
        <v>271</v>
      </c>
      <c r="H2807" s="573">
        <v>2019</v>
      </c>
      <c r="I2807" s="573" t="s">
        <v>4879</v>
      </c>
      <c r="J2807" s="573" t="s">
        <v>4556</v>
      </c>
      <c r="K2807" s="573" t="s">
        <v>752</v>
      </c>
      <c r="L2807" s="573">
        <v>6</v>
      </c>
      <c r="M2807" s="573">
        <v>0</v>
      </c>
      <c r="N2807" s="573" t="s">
        <v>157</v>
      </c>
      <c r="O2807" s="573">
        <v>2</v>
      </c>
      <c r="P2807" s="573" t="s">
        <v>157</v>
      </c>
      <c r="Q2807" s="571">
        <v>12800</v>
      </c>
      <c r="R2807" s="573" t="s">
        <v>4231</v>
      </c>
      <c r="S2807" s="573">
        <v>8</v>
      </c>
      <c r="T2807" s="573" t="s">
        <v>4892</v>
      </c>
      <c r="U2807" s="573" t="s">
        <v>4881</v>
      </c>
      <c r="V2807" s="573">
        <v>179</v>
      </c>
      <c r="W2807" s="573">
        <v>40</v>
      </c>
      <c r="X2807" s="571">
        <v>14000</v>
      </c>
      <c r="Y2807" s="569" t="s">
        <v>164</v>
      </c>
      <c r="Z2807" s="579" t="s">
        <v>728</v>
      </c>
      <c r="AA2807" s="579" t="s">
        <v>1523</v>
      </c>
      <c r="AB2807" s="584">
        <v>52170</v>
      </c>
      <c r="AC2807" s="584" t="s">
        <v>164</v>
      </c>
      <c r="AD2807" s="584">
        <v>39546.631578947374</v>
      </c>
      <c r="AE2807" s="586">
        <v>0.03</v>
      </c>
      <c r="AF2807" s="661" t="str">
        <f t="shared" si="304"/>
        <v>2019-LTK-FRD-F35C-004-05</v>
      </c>
      <c r="AG2807" s="661" t="str">
        <f>IF(AND($Y2807&gt;=32,(AI2807="I"),(Y2807&lt;&gt;"~"),(COUNTIF($AN$1:$AN2807,$AN2807)=1)),"TRUE","FALSE")</f>
        <v>FALSE</v>
      </c>
      <c r="AH2807" s="661" t="str">
        <f>IF(AND($Y2807&gt;=22, (AI2807&lt;&gt;"I"),(Y2807&lt;&gt;"~"),(COUNTIF($AN$1:$AN2807,$AN2807)=1)),"TRUE","FALSE")</f>
        <v>FALSE</v>
      </c>
      <c r="AI2807" s="661" t="str">
        <f t="shared" si="306"/>
        <v>N/A</v>
      </c>
      <c r="AJ2807" s="662" t="str">
        <f t="shared" si="300"/>
        <v>F35C-004</v>
      </c>
      <c r="AK2807" s="662" t="str">
        <f t="shared" si="301"/>
        <v>LTK</v>
      </c>
      <c r="AL2807" s="662" t="str">
        <f t="shared" si="302"/>
        <v>FRD</v>
      </c>
      <c r="AM2807" s="662" t="str">
        <f t="shared" si="305"/>
        <v>F350 Chassis Cab-Crew Cab XL DRW-4WD-6-~-12800-6.7L Diesel-8-W3H-640A-179-40-Diesel-BioDiesel</v>
      </c>
      <c r="AN2807" s="662" t="str">
        <f t="shared" si="303"/>
        <v>2019-LTK-FRD-F35C-004</v>
      </c>
    </row>
    <row r="2808" spans="1:40" ht="15">
      <c r="A2808" s="570" t="s">
        <v>4895</v>
      </c>
      <c r="B2808" s="569" t="s">
        <v>4891</v>
      </c>
      <c r="C2808" s="569" t="s">
        <v>278</v>
      </c>
      <c r="D2808" s="580">
        <v>15</v>
      </c>
      <c r="E2808" s="569" t="s">
        <v>3374</v>
      </c>
      <c r="F2808" s="569" t="s">
        <v>1684</v>
      </c>
      <c r="G2808" s="569" t="s">
        <v>271</v>
      </c>
      <c r="H2808" s="569">
        <v>2019</v>
      </c>
      <c r="I2808" s="569" t="s">
        <v>4879</v>
      </c>
      <c r="J2808" s="569" t="s">
        <v>4556</v>
      </c>
      <c r="K2808" s="569" t="s">
        <v>752</v>
      </c>
      <c r="L2808" s="569">
        <v>6</v>
      </c>
      <c r="M2808" s="569">
        <v>0</v>
      </c>
      <c r="N2808" s="569" t="s">
        <v>157</v>
      </c>
      <c r="O2808" s="569">
        <v>2</v>
      </c>
      <c r="P2808" s="569" t="s">
        <v>157</v>
      </c>
      <c r="Q2808" s="568">
        <v>12400</v>
      </c>
      <c r="R2808" s="569" t="s">
        <v>4235</v>
      </c>
      <c r="S2808" s="569">
        <v>8</v>
      </c>
      <c r="T2808" s="569" t="s">
        <v>4892</v>
      </c>
      <c r="U2808" s="569" t="s">
        <v>4881</v>
      </c>
      <c r="V2808" s="569">
        <v>179</v>
      </c>
      <c r="W2808" s="569">
        <v>40</v>
      </c>
      <c r="X2808" s="568">
        <v>14000</v>
      </c>
      <c r="Y2808" s="569" t="s">
        <v>164</v>
      </c>
      <c r="Z2808" s="581" t="s">
        <v>450</v>
      </c>
      <c r="AA2808" s="581" t="s">
        <v>178</v>
      </c>
      <c r="AB2808" s="585">
        <v>43050</v>
      </c>
      <c r="AC2808" s="585" t="s">
        <v>164</v>
      </c>
      <c r="AD2808" s="585">
        <v>31500</v>
      </c>
      <c r="AE2808" s="587">
        <v>0.01</v>
      </c>
      <c r="AF2808" s="661" t="str">
        <f t="shared" si="304"/>
        <v>2019-LTK-FRD-F35C-003-15</v>
      </c>
      <c r="AG2808" s="661" t="str">
        <f>IF(AND($Y2808&gt;=32,(AI2808="I"),(Y2808&lt;&gt;"~"),(COUNTIF($AN$1:$AN2808,$AN2808)=1)),"TRUE","FALSE")</f>
        <v>FALSE</v>
      </c>
      <c r="AH2808" s="661" t="str">
        <f>IF(AND($Y2808&gt;=22, (AI2808&lt;&gt;"I"),(Y2808&lt;&gt;"~"),(COUNTIF($AN$1:$AN2808,$AN2808)=1)),"TRUE","FALSE")</f>
        <v>FALSE</v>
      </c>
      <c r="AI2808" s="661" t="str">
        <f t="shared" si="306"/>
        <v>N/A</v>
      </c>
      <c r="AJ2808" s="662" t="str">
        <f t="shared" si="300"/>
        <v>F35C-003</v>
      </c>
      <c r="AK2808" s="662" t="str">
        <f t="shared" si="301"/>
        <v>LTK</v>
      </c>
      <c r="AL2808" s="662" t="str">
        <f t="shared" si="302"/>
        <v>FRD</v>
      </c>
      <c r="AM2808" s="662" t="str">
        <f t="shared" si="305"/>
        <v>F350 Chassis Cab-Crew Cab XL DRW-4WD-6-~-12400-6.2L FFV-8-W3H-640A-179-40-E85-Unleaded</v>
      </c>
      <c r="AN2808" s="662" t="str">
        <f t="shared" si="303"/>
        <v>2019-LTK-FRD-F35C-003</v>
      </c>
    </row>
    <row r="2809" spans="1:40" ht="15">
      <c r="A2809" s="570" t="s">
        <v>4896</v>
      </c>
      <c r="B2809" s="573" t="s">
        <v>4894</v>
      </c>
      <c r="C2809" s="573" t="s">
        <v>278</v>
      </c>
      <c r="D2809" s="578">
        <v>15</v>
      </c>
      <c r="E2809" s="573" t="s">
        <v>3374</v>
      </c>
      <c r="F2809" s="573" t="s">
        <v>1684</v>
      </c>
      <c r="G2809" s="573" t="s">
        <v>271</v>
      </c>
      <c r="H2809" s="573">
        <v>2019</v>
      </c>
      <c r="I2809" s="573" t="s">
        <v>4879</v>
      </c>
      <c r="J2809" s="573" t="s">
        <v>4556</v>
      </c>
      <c r="K2809" s="573" t="s">
        <v>752</v>
      </c>
      <c r="L2809" s="573">
        <v>6</v>
      </c>
      <c r="M2809" s="573">
        <v>0</v>
      </c>
      <c r="N2809" s="573" t="s">
        <v>157</v>
      </c>
      <c r="O2809" s="573">
        <v>2</v>
      </c>
      <c r="P2809" s="573" t="s">
        <v>157</v>
      </c>
      <c r="Q2809" s="571">
        <v>12400</v>
      </c>
      <c r="R2809" s="573" t="s">
        <v>4231</v>
      </c>
      <c r="S2809" s="573">
        <v>8</v>
      </c>
      <c r="T2809" s="573" t="s">
        <v>4892</v>
      </c>
      <c r="U2809" s="573" t="s">
        <v>4881</v>
      </c>
      <c r="V2809" s="573">
        <v>179</v>
      </c>
      <c r="W2809" s="573">
        <v>40</v>
      </c>
      <c r="X2809" s="571">
        <v>14000</v>
      </c>
      <c r="Y2809" s="569" t="s">
        <v>164</v>
      </c>
      <c r="Z2809" s="579" t="s">
        <v>728</v>
      </c>
      <c r="AA2809" s="579" t="s">
        <v>1523</v>
      </c>
      <c r="AB2809" s="584">
        <v>52170</v>
      </c>
      <c r="AC2809" s="584" t="s">
        <v>164</v>
      </c>
      <c r="AD2809" s="584">
        <v>39750</v>
      </c>
      <c r="AE2809" s="586">
        <v>0.01</v>
      </c>
      <c r="AF2809" s="661" t="str">
        <f t="shared" si="304"/>
        <v>2019-LTK-FRD-F35C-004-15</v>
      </c>
      <c r="AG2809" s="661" t="str">
        <f>IF(AND($Y2809&gt;=32,(AI2809="I"),(Y2809&lt;&gt;"~"),(COUNTIF($AN$1:$AN2809,$AN2809)=1)),"TRUE","FALSE")</f>
        <v>FALSE</v>
      </c>
      <c r="AH2809" s="661" t="str">
        <f>IF(AND($Y2809&gt;=22, (AI2809&lt;&gt;"I"),(Y2809&lt;&gt;"~"),(COUNTIF($AN$1:$AN2809,$AN2809)=1)),"TRUE","FALSE")</f>
        <v>FALSE</v>
      </c>
      <c r="AI2809" s="661" t="str">
        <f t="shared" si="306"/>
        <v>N/A</v>
      </c>
      <c r="AJ2809" s="662" t="str">
        <f t="shared" si="300"/>
        <v>F35C-004</v>
      </c>
      <c r="AK2809" s="662" t="str">
        <f t="shared" si="301"/>
        <v>LTK</v>
      </c>
      <c r="AL2809" s="662" t="str">
        <f t="shared" si="302"/>
        <v>FRD</v>
      </c>
      <c r="AM2809" s="662" t="str">
        <f t="shared" si="305"/>
        <v>F350 Chassis Cab-Crew Cab XL DRW-4WD-6-~-12400-6.7L Diesel-8-W3H-640A-179-40-Diesel-BioDiesel</v>
      </c>
      <c r="AN2809" s="662" t="str">
        <f t="shared" si="303"/>
        <v>2019-LTK-FRD-F35C-004</v>
      </c>
    </row>
    <row r="2810" spans="1:40" ht="15">
      <c r="A2810" s="570" t="s">
        <v>4897</v>
      </c>
      <c r="B2810" s="569" t="s">
        <v>4891</v>
      </c>
      <c r="C2810" s="569" t="s">
        <v>287</v>
      </c>
      <c r="D2810" s="580">
        <v>26</v>
      </c>
      <c r="E2810" s="569" t="s">
        <v>3374</v>
      </c>
      <c r="F2810" s="569" t="s">
        <v>1684</v>
      </c>
      <c r="G2810" s="569" t="s">
        <v>271</v>
      </c>
      <c r="H2810" s="569">
        <v>2019</v>
      </c>
      <c r="I2810" s="569" t="s">
        <v>4879</v>
      </c>
      <c r="J2810" s="569" t="s">
        <v>4556</v>
      </c>
      <c r="K2810" s="569" t="s">
        <v>752</v>
      </c>
      <c r="L2810" s="569">
        <v>6</v>
      </c>
      <c r="M2810" s="569">
        <v>0</v>
      </c>
      <c r="N2810" s="569" t="s">
        <v>157</v>
      </c>
      <c r="O2810" s="569">
        <v>2</v>
      </c>
      <c r="P2810" s="569" t="s">
        <v>157</v>
      </c>
      <c r="Q2810" s="568">
        <v>12400</v>
      </c>
      <c r="R2810" s="569" t="s">
        <v>4235</v>
      </c>
      <c r="S2810" s="569">
        <v>8</v>
      </c>
      <c r="T2810" s="569" t="s">
        <v>4892</v>
      </c>
      <c r="U2810" s="569" t="s">
        <v>4881</v>
      </c>
      <c r="V2810" s="569">
        <v>179</v>
      </c>
      <c r="W2810" s="569">
        <v>40</v>
      </c>
      <c r="X2810" s="568">
        <v>14000</v>
      </c>
      <c r="Y2810" s="569" t="s">
        <v>164</v>
      </c>
      <c r="Z2810" s="581" t="s">
        <v>450</v>
      </c>
      <c r="AA2810" s="581" t="s">
        <v>178</v>
      </c>
      <c r="AB2810" s="585">
        <v>43050</v>
      </c>
      <c r="AC2810" s="585" t="s">
        <v>164</v>
      </c>
      <c r="AD2810" s="585">
        <v>31628</v>
      </c>
      <c r="AE2810" s="587">
        <v>0.05</v>
      </c>
      <c r="AF2810" s="661" t="str">
        <f t="shared" si="304"/>
        <v>2019-LTK-FRD-F35C-003-26</v>
      </c>
      <c r="AG2810" s="661" t="str">
        <f>IF(AND($Y2810&gt;=32,(AI2810="I"),(Y2810&lt;&gt;"~"),(COUNTIF($AN$1:$AN2810,$AN2810)=1)),"TRUE","FALSE")</f>
        <v>FALSE</v>
      </c>
      <c r="AH2810" s="661" t="str">
        <f>IF(AND($Y2810&gt;=22, (AI2810&lt;&gt;"I"),(Y2810&lt;&gt;"~"),(COUNTIF($AN$1:$AN2810,$AN2810)=1)),"TRUE","FALSE")</f>
        <v>FALSE</v>
      </c>
      <c r="AI2810" s="661" t="str">
        <f t="shared" si="306"/>
        <v>N/A</v>
      </c>
      <c r="AJ2810" s="662" t="str">
        <f t="shared" si="300"/>
        <v>F35C-003</v>
      </c>
      <c r="AK2810" s="662" t="str">
        <f t="shared" si="301"/>
        <v>LTK</v>
      </c>
      <c r="AL2810" s="662" t="str">
        <f t="shared" si="302"/>
        <v>FRD</v>
      </c>
      <c r="AM2810" s="662" t="str">
        <f t="shared" si="305"/>
        <v>F350 Chassis Cab-Crew Cab XL DRW-4WD-6-~-12400-6.2L FFV-8-W3H-640A-179-40-E85-Unleaded</v>
      </c>
      <c r="AN2810" s="662" t="str">
        <f t="shared" si="303"/>
        <v>2019-LTK-FRD-F35C-003</v>
      </c>
    </row>
    <row r="2811" spans="1:40" ht="15">
      <c r="A2811" s="570" t="s">
        <v>4898</v>
      </c>
      <c r="B2811" s="573" t="s">
        <v>4894</v>
      </c>
      <c r="C2811" s="573" t="s">
        <v>287</v>
      </c>
      <c r="D2811" s="578">
        <v>26</v>
      </c>
      <c r="E2811" s="573" t="s">
        <v>3374</v>
      </c>
      <c r="F2811" s="573" t="s">
        <v>1684</v>
      </c>
      <c r="G2811" s="573" t="s">
        <v>271</v>
      </c>
      <c r="H2811" s="573">
        <v>2019</v>
      </c>
      <c r="I2811" s="573" t="s">
        <v>4879</v>
      </c>
      <c r="J2811" s="573" t="s">
        <v>4556</v>
      </c>
      <c r="K2811" s="573" t="s">
        <v>752</v>
      </c>
      <c r="L2811" s="573">
        <v>6</v>
      </c>
      <c r="M2811" s="573">
        <v>0</v>
      </c>
      <c r="N2811" s="573" t="s">
        <v>157</v>
      </c>
      <c r="O2811" s="573">
        <v>2</v>
      </c>
      <c r="P2811" s="573" t="s">
        <v>157</v>
      </c>
      <c r="Q2811" s="571">
        <v>12400</v>
      </c>
      <c r="R2811" s="573" t="s">
        <v>4231</v>
      </c>
      <c r="S2811" s="573">
        <v>8</v>
      </c>
      <c r="T2811" s="573" t="s">
        <v>4892</v>
      </c>
      <c r="U2811" s="573" t="s">
        <v>4881</v>
      </c>
      <c r="V2811" s="573">
        <v>179</v>
      </c>
      <c r="W2811" s="573">
        <v>40</v>
      </c>
      <c r="X2811" s="571">
        <v>14000</v>
      </c>
      <c r="Y2811" s="569" t="s">
        <v>164</v>
      </c>
      <c r="Z2811" s="579" t="s">
        <v>728</v>
      </c>
      <c r="AA2811" s="579" t="s">
        <v>1523</v>
      </c>
      <c r="AB2811" s="584">
        <v>52170</v>
      </c>
      <c r="AC2811" s="584" t="s">
        <v>164</v>
      </c>
      <c r="AD2811" s="584">
        <v>39823</v>
      </c>
      <c r="AE2811" s="586">
        <v>0.05</v>
      </c>
      <c r="AF2811" s="661" t="str">
        <f t="shared" si="304"/>
        <v>2019-LTK-FRD-F35C-004-26</v>
      </c>
      <c r="AG2811" s="661" t="str">
        <f>IF(AND($Y2811&gt;=32,(AI2811="I"),(Y2811&lt;&gt;"~"),(COUNTIF($AN$1:$AN2811,$AN2811)=1)),"TRUE","FALSE")</f>
        <v>FALSE</v>
      </c>
      <c r="AH2811" s="661" t="str">
        <f>IF(AND($Y2811&gt;=22, (AI2811&lt;&gt;"I"),(Y2811&lt;&gt;"~"),(COUNTIF($AN$1:$AN2811,$AN2811)=1)),"TRUE","FALSE")</f>
        <v>FALSE</v>
      </c>
      <c r="AI2811" s="661" t="str">
        <f t="shared" si="306"/>
        <v>N/A</v>
      </c>
      <c r="AJ2811" s="662" t="str">
        <f t="shared" si="300"/>
        <v>F35C-004</v>
      </c>
      <c r="AK2811" s="662" t="str">
        <f t="shared" si="301"/>
        <v>LTK</v>
      </c>
      <c r="AL2811" s="662" t="str">
        <f t="shared" si="302"/>
        <v>FRD</v>
      </c>
      <c r="AM2811" s="662" t="str">
        <f t="shared" si="305"/>
        <v>F350 Chassis Cab-Crew Cab XL DRW-4WD-6-~-12400-6.7L Diesel-8-W3H-640A-179-40-Diesel-BioDiesel</v>
      </c>
      <c r="AN2811" s="662" t="str">
        <f t="shared" si="303"/>
        <v>2019-LTK-FRD-F35C-004</v>
      </c>
    </row>
    <row r="2812" spans="1:40" ht="15">
      <c r="A2812" s="570" t="s">
        <v>4899</v>
      </c>
      <c r="B2812" s="569" t="s">
        <v>4891</v>
      </c>
      <c r="C2812" s="569" t="s">
        <v>280</v>
      </c>
      <c r="D2812" s="580">
        <v>27</v>
      </c>
      <c r="E2812" s="569" t="s">
        <v>3374</v>
      </c>
      <c r="F2812" s="569" t="s">
        <v>1684</v>
      </c>
      <c r="G2812" s="569" t="s">
        <v>271</v>
      </c>
      <c r="H2812" s="569">
        <v>2019</v>
      </c>
      <c r="I2812" s="569" t="s">
        <v>4879</v>
      </c>
      <c r="J2812" s="569" t="s">
        <v>4556</v>
      </c>
      <c r="K2812" s="569" t="s">
        <v>752</v>
      </c>
      <c r="L2812" s="569">
        <v>6</v>
      </c>
      <c r="M2812" s="569">
        <v>0</v>
      </c>
      <c r="N2812" s="569" t="s">
        <v>157</v>
      </c>
      <c r="O2812" s="569">
        <v>2</v>
      </c>
      <c r="P2812" s="569" t="s">
        <v>157</v>
      </c>
      <c r="Q2812" s="568">
        <v>12400</v>
      </c>
      <c r="R2812" s="569" t="s">
        <v>4235</v>
      </c>
      <c r="S2812" s="569">
        <v>8</v>
      </c>
      <c r="T2812" s="569" t="s">
        <v>4892</v>
      </c>
      <c r="U2812" s="569" t="s">
        <v>4881</v>
      </c>
      <c r="V2812" s="569">
        <v>179</v>
      </c>
      <c r="W2812" s="569">
        <v>40</v>
      </c>
      <c r="X2812" s="568">
        <v>14000</v>
      </c>
      <c r="Y2812" s="569" t="s">
        <v>164</v>
      </c>
      <c r="Z2812" s="581" t="s">
        <v>450</v>
      </c>
      <c r="AA2812" s="581" t="s">
        <v>178</v>
      </c>
      <c r="AB2812" s="585">
        <v>43050</v>
      </c>
      <c r="AC2812" s="585" t="s">
        <v>164</v>
      </c>
      <c r="AD2812" s="585">
        <v>31354.442105263162</v>
      </c>
      <c r="AE2812" s="587">
        <v>0.03</v>
      </c>
      <c r="AF2812" s="661" t="str">
        <f t="shared" si="304"/>
        <v>2019-LTK-FRD-F35C-003-27</v>
      </c>
      <c r="AG2812" s="661" t="str">
        <f>IF(AND($Y2812&gt;=32,(AI2812="I"),(Y2812&lt;&gt;"~"),(COUNTIF($AN$1:$AN2812,$AN2812)=1)),"TRUE","FALSE")</f>
        <v>FALSE</v>
      </c>
      <c r="AH2812" s="661" t="str">
        <f>IF(AND($Y2812&gt;=22, (AI2812&lt;&gt;"I"),(Y2812&lt;&gt;"~"),(COUNTIF($AN$1:$AN2812,$AN2812)=1)),"TRUE","FALSE")</f>
        <v>FALSE</v>
      </c>
      <c r="AI2812" s="661" t="str">
        <f t="shared" si="306"/>
        <v>N/A</v>
      </c>
      <c r="AJ2812" s="662" t="str">
        <f t="shared" si="300"/>
        <v>F35C-003</v>
      </c>
      <c r="AK2812" s="662" t="str">
        <f t="shared" si="301"/>
        <v>LTK</v>
      </c>
      <c r="AL2812" s="662" t="str">
        <f t="shared" si="302"/>
        <v>FRD</v>
      </c>
      <c r="AM2812" s="662" t="str">
        <f t="shared" si="305"/>
        <v>F350 Chassis Cab-Crew Cab XL DRW-4WD-6-~-12400-6.2L FFV-8-W3H-640A-179-40-E85-Unleaded</v>
      </c>
      <c r="AN2812" s="662" t="str">
        <f t="shared" si="303"/>
        <v>2019-LTK-FRD-F35C-003</v>
      </c>
    </row>
    <row r="2813" spans="1:40" ht="15">
      <c r="A2813" s="570" t="s">
        <v>4900</v>
      </c>
      <c r="B2813" s="573" t="s">
        <v>4894</v>
      </c>
      <c r="C2813" s="573" t="s">
        <v>280</v>
      </c>
      <c r="D2813" s="578">
        <v>27</v>
      </c>
      <c r="E2813" s="573" t="s">
        <v>3374</v>
      </c>
      <c r="F2813" s="573" t="s">
        <v>1684</v>
      </c>
      <c r="G2813" s="573" t="s">
        <v>271</v>
      </c>
      <c r="H2813" s="573">
        <v>2019</v>
      </c>
      <c r="I2813" s="573" t="s">
        <v>4879</v>
      </c>
      <c r="J2813" s="573" t="s">
        <v>4556</v>
      </c>
      <c r="K2813" s="573" t="s">
        <v>752</v>
      </c>
      <c r="L2813" s="573">
        <v>6</v>
      </c>
      <c r="M2813" s="573">
        <v>0</v>
      </c>
      <c r="N2813" s="573" t="s">
        <v>157</v>
      </c>
      <c r="O2813" s="573">
        <v>2</v>
      </c>
      <c r="P2813" s="573" t="s">
        <v>157</v>
      </c>
      <c r="Q2813" s="571">
        <v>12400</v>
      </c>
      <c r="R2813" s="573" t="s">
        <v>4231</v>
      </c>
      <c r="S2813" s="573">
        <v>8</v>
      </c>
      <c r="T2813" s="573" t="s">
        <v>4892</v>
      </c>
      <c r="U2813" s="573" t="s">
        <v>4881</v>
      </c>
      <c r="V2813" s="573">
        <v>179</v>
      </c>
      <c r="W2813" s="573">
        <v>40</v>
      </c>
      <c r="X2813" s="571">
        <v>14000</v>
      </c>
      <c r="Y2813" s="569" t="s">
        <v>164</v>
      </c>
      <c r="Z2813" s="579" t="s">
        <v>728</v>
      </c>
      <c r="AA2813" s="579" t="s">
        <v>1523</v>
      </c>
      <c r="AB2813" s="584">
        <v>52170</v>
      </c>
      <c r="AC2813" s="584" t="s">
        <v>164</v>
      </c>
      <c r="AD2813" s="584">
        <v>39546.631578947374</v>
      </c>
      <c r="AE2813" s="586">
        <v>0.03</v>
      </c>
      <c r="AF2813" s="661" t="str">
        <f t="shared" si="304"/>
        <v>2019-LTK-FRD-F35C-004-27</v>
      </c>
      <c r="AG2813" s="661" t="str">
        <f>IF(AND($Y2813&gt;=32,(AI2813="I"),(Y2813&lt;&gt;"~"),(COUNTIF($AN$1:$AN2813,$AN2813)=1)),"TRUE","FALSE")</f>
        <v>FALSE</v>
      </c>
      <c r="AH2813" s="661" t="str">
        <f>IF(AND($Y2813&gt;=22, (AI2813&lt;&gt;"I"),(Y2813&lt;&gt;"~"),(COUNTIF($AN$1:$AN2813,$AN2813)=1)),"TRUE","FALSE")</f>
        <v>FALSE</v>
      </c>
      <c r="AI2813" s="661" t="str">
        <f t="shared" si="306"/>
        <v>N/A</v>
      </c>
      <c r="AJ2813" s="662" t="str">
        <f t="shared" si="300"/>
        <v>F35C-004</v>
      </c>
      <c r="AK2813" s="662" t="str">
        <f t="shared" si="301"/>
        <v>LTK</v>
      </c>
      <c r="AL2813" s="662" t="str">
        <f t="shared" si="302"/>
        <v>FRD</v>
      </c>
      <c r="AM2813" s="662" t="str">
        <f t="shared" si="305"/>
        <v>F350 Chassis Cab-Crew Cab XL DRW-4WD-6-~-12400-6.7L Diesel-8-W3H-640A-179-40-Diesel-BioDiesel</v>
      </c>
      <c r="AN2813" s="662" t="str">
        <f t="shared" si="303"/>
        <v>2019-LTK-FRD-F35C-004</v>
      </c>
    </row>
    <row r="2814" spans="1:40" ht="15">
      <c r="A2814" s="570" t="s">
        <v>4900</v>
      </c>
      <c r="B2814" s="569" t="s">
        <v>4894</v>
      </c>
      <c r="C2814" s="569" t="s">
        <v>280</v>
      </c>
      <c r="D2814" s="580">
        <v>27</v>
      </c>
      <c r="E2814" s="569" t="s">
        <v>3374</v>
      </c>
      <c r="F2814" s="569" t="s">
        <v>1684</v>
      </c>
      <c r="G2814" s="569" t="s">
        <v>271</v>
      </c>
      <c r="H2814" s="569">
        <v>2019</v>
      </c>
      <c r="I2814" s="569" t="s">
        <v>4879</v>
      </c>
      <c r="J2814" s="569" t="s">
        <v>4556</v>
      </c>
      <c r="K2814" s="569" t="s">
        <v>752</v>
      </c>
      <c r="L2814" s="569">
        <v>6</v>
      </c>
      <c r="M2814" s="569">
        <v>0</v>
      </c>
      <c r="N2814" s="569" t="s">
        <v>157</v>
      </c>
      <c r="O2814" s="569">
        <v>2</v>
      </c>
      <c r="P2814" s="569" t="s">
        <v>157</v>
      </c>
      <c r="Q2814" s="568">
        <v>12800</v>
      </c>
      <c r="R2814" s="569" t="s">
        <v>4231</v>
      </c>
      <c r="S2814" s="569">
        <v>8</v>
      </c>
      <c r="T2814" s="569" t="s">
        <v>4892</v>
      </c>
      <c r="U2814" s="569" t="s">
        <v>4881</v>
      </c>
      <c r="V2814" s="569">
        <v>179</v>
      </c>
      <c r="W2814" s="569">
        <v>40</v>
      </c>
      <c r="X2814" s="568">
        <v>14000</v>
      </c>
      <c r="Y2814" s="569" t="s">
        <v>164</v>
      </c>
      <c r="Z2814" s="581" t="s">
        <v>728</v>
      </c>
      <c r="AA2814" s="581" t="s">
        <v>1523</v>
      </c>
      <c r="AB2814" s="585">
        <v>52170</v>
      </c>
      <c r="AC2814" s="585" t="s">
        <v>164</v>
      </c>
      <c r="AD2814" s="585">
        <v>39546.631578947374</v>
      </c>
      <c r="AE2814" s="587">
        <v>0.03</v>
      </c>
      <c r="AF2814" s="661" t="str">
        <f t="shared" si="304"/>
        <v>2019-LTK-FRD-F35C-004-27</v>
      </c>
      <c r="AG2814" s="661" t="str">
        <f>IF(AND($Y2814&gt;=32,(AI2814="I"),(Y2814&lt;&gt;"~"),(COUNTIF($AN$1:$AN2814,$AN2814)=1)),"TRUE","FALSE")</f>
        <v>FALSE</v>
      </c>
      <c r="AH2814" s="661" t="str">
        <f>IF(AND($Y2814&gt;=22, (AI2814&lt;&gt;"I"),(Y2814&lt;&gt;"~"),(COUNTIF($AN$1:$AN2814,$AN2814)=1)),"TRUE","FALSE")</f>
        <v>FALSE</v>
      </c>
      <c r="AI2814" s="661" t="str">
        <f t="shared" si="306"/>
        <v>N/A</v>
      </c>
      <c r="AJ2814" s="662" t="str">
        <f t="shared" si="300"/>
        <v>F35C-004</v>
      </c>
      <c r="AK2814" s="662" t="str">
        <f t="shared" si="301"/>
        <v>LTK</v>
      </c>
      <c r="AL2814" s="662" t="str">
        <f t="shared" si="302"/>
        <v>FRD</v>
      </c>
      <c r="AM2814" s="662" t="str">
        <f t="shared" si="305"/>
        <v>F350 Chassis Cab-Crew Cab XL DRW-4WD-6-~-12800-6.7L Diesel-8-W3H-640A-179-40-Diesel-BioDiesel</v>
      </c>
      <c r="AN2814" s="662" t="str">
        <f t="shared" si="303"/>
        <v>2019-LTK-FRD-F35C-004</v>
      </c>
    </row>
    <row r="2815" spans="1:40" ht="15">
      <c r="A2815" s="570" t="s">
        <v>4901</v>
      </c>
      <c r="B2815" s="573" t="s">
        <v>4902</v>
      </c>
      <c r="C2815" s="573" t="s">
        <v>269</v>
      </c>
      <c r="D2815" s="578" t="s">
        <v>270</v>
      </c>
      <c r="E2815" s="573" t="s">
        <v>3374</v>
      </c>
      <c r="F2815" s="573" t="s">
        <v>1684</v>
      </c>
      <c r="G2815" s="573" t="s">
        <v>271</v>
      </c>
      <c r="H2815" s="573">
        <v>2019</v>
      </c>
      <c r="I2815" s="573" t="s">
        <v>4879</v>
      </c>
      <c r="J2815" s="573" t="s">
        <v>4903</v>
      </c>
      <c r="K2815" s="573" t="s">
        <v>3377</v>
      </c>
      <c r="L2815" s="573">
        <v>6</v>
      </c>
      <c r="M2815" s="573">
        <v>0</v>
      </c>
      <c r="N2815" s="573" t="s">
        <v>157</v>
      </c>
      <c r="O2815" s="573">
        <v>2</v>
      </c>
      <c r="P2815" s="573" t="s">
        <v>157</v>
      </c>
      <c r="Q2815" s="571">
        <v>12600</v>
      </c>
      <c r="R2815" s="573" t="s">
        <v>4235</v>
      </c>
      <c r="S2815" s="573">
        <v>8</v>
      </c>
      <c r="T2815" s="573" t="s">
        <v>4904</v>
      </c>
      <c r="U2815" s="573" t="s">
        <v>4905</v>
      </c>
      <c r="V2815" s="573">
        <v>179</v>
      </c>
      <c r="W2815" s="573">
        <v>40</v>
      </c>
      <c r="X2815" s="571">
        <v>11000</v>
      </c>
      <c r="Y2815" s="569" t="s">
        <v>164</v>
      </c>
      <c r="Z2815" s="579" t="s">
        <v>450</v>
      </c>
      <c r="AA2815" s="579" t="s">
        <v>178</v>
      </c>
      <c r="AB2815" s="584">
        <v>38345</v>
      </c>
      <c r="AC2815" s="584" t="s">
        <v>164</v>
      </c>
      <c r="AD2815" s="584">
        <v>29114.442105263159</v>
      </c>
      <c r="AE2815" s="586">
        <v>0.03</v>
      </c>
      <c r="AF2815" s="661" t="str">
        <f t="shared" si="304"/>
        <v>2019-LTK-FRD-F35C-006-05</v>
      </c>
      <c r="AG2815" s="661" t="str">
        <f>IF(AND($Y2815&gt;=32,(AI2815="I"),(Y2815&lt;&gt;"~"),(COUNTIF($AN$1:$AN2815,$AN2815)=1)),"TRUE","FALSE")</f>
        <v>FALSE</v>
      </c>
      <c r="AH2815" s="661" t="str">
        <f>IF(AND($Y2815&gt;=22, (AI2815&lt;&gt;"I"),(Y2815&lt;&gt;"~"),(COUNTIF($AN$1:$AN2815,$AN2815)=1)),"TRUE","FALSE")</f>
        <v>TRUE</v>
      </c>
      <c r="AI2815" s="661" t="str">
        <f t="shared" si="306"/>
        <v>N/A</v>
      </c>
      <c r="AJ2815" s="662" t="str">
        <f t="shared" si="300"/>
        <v>F35C-006</v>
      </c>
      <c r="AK2815" s="662" t="str">
        <f t="shared" si="301"/>
        <v>LTK</v>
      </c>
      <c r="AL2815" s="662" t="str">
        <f t="shared" si="302"/>
        <v>FRD</v>
      </c>
      <c r="AM2815" s="662" t="str">
        <f t="shared" si="305"/>
        <v>F350 Chassis Cab-Crew Cab XL SRW-2WD-6-~-12600-6.2L FFV-8-W3E-630A-179-40-E85-Unleaded</v>
      </c>
      <c r="AN2815" s="662" t="str">
        <f t="shared" si="303"/>
        <v>2019-LTK-FRD-F35C-006</v>
      </c>
    </row>
    <row r="2816" spans="1:40" ht="15">
      <c r="A2816" s="570" t="s">
        <v>4906</v>
      </c>
      <c r="B2816" s="569" t="s">
        <v>4907</v>
      </c>
      <c r="C2816" s="569" t="s">
        <v>269</v>
      </c>
      <c r="D2816" s="580" t="s">
        <v>270</v>
      </c>
      <c r="E2816" s="569" t="s">
        <v>3374</v>
      </c>
      <c r="F2816" s="569" t="s">
        <v>1684</v>
      </c>
      <c r="G2816" s="569" t="s">
        <v>271</v>
      </c>
      <c r="H2816" s="569">
        <v>2019</v>
      </c>
      <c r="I2816" s="569" t="s">
        <v>4879</v>
      </c>
      <c r="J2816" s="569" t="s">
        <v>4903</v>
      </c>
      <c r="K2816" s="569" t="s">
        <v>3377</v>
      </c>
      <c r="L2816" s="569">
        <v>6</v>
      </c>
      <c r="M2816" s="569">
        <v>0</v>
      </c>
      <c r="N2816" s="569" t="s">
        <v>157</v>
      </c>
      <c r="O2816" s="569">
        <v>2</v>
      </c>
      <c r="P2816" s="569" t="s">
        <v>157</v>
      </c>
      <c r="Q2816" s="568">
        <v>12600</v>
      </c>
      <c r="R2816" s="569" t="s">
        <v>4231</v>
      </c>
      <c r="S2816" s="569">
        <v>8</v>
      </c>
      <c r="T2816" s="569" t="s">
        <v>4904</v>
      </c>
      <c r="U2816" s="569" t="s">
        <v>4905</v>
      </c>
      <c r="V2816" s="569">
        <v>179</v>
      </c>
      <c r="W2816" s="569">
        <v>40</v>
      </c>
      <c r="X2816" s="568">
        <v>11500</v>
      </c>
      <c r="Y2816" s="569" t="s">
        <v>164</v>
      </c>
      <c r="Z2816" s="581" t="s">
        <v>728</v>
      </c>
      <c r="AA2816" s="581" t="s">
        <v>1523</v>
      </c>
      <c r="AB2816" s="585">
        <v>47465</v>
      </c>
      <c r="AC2816" s="585" t="s">
        <v>164</v>
      </c>
      <c r="AD2816" s="585">
        <v>37306.631578947374</v>
      </c>
      <c r="AE2816" s="587">
        <v>0.03</v>
      </c>
      <c r="AF2816" s="661" t="str">
        <f t="shared" si="304"/>
        <v>2019-LTK-FRD-F35C-007-05</v>
      </c>
      <c r="AG2816" s="661" t="str">
        <f>IF(AND($Y2816&gt;=32,(AI2816="I"),(Y2816&lt;&gt;"~"),(COUNTIF($AN$1:$AN2816,$AN2816)=1)),"TRUE","FALSE")</f>
        <v>FALSE</v>
      </c>
      <c r="AH2816" s="661" t="str">
        <f>IF(AND($Y2816&gt;=22, (AI2816&lt;&gt;"I"),(Y2816&lt;&gt;"~"),(COUNTIF($AN$1:$AN2816,$AN2816)=1)),"TRUE","FALSE")</f>
        <v>TRUE</v>
      </c>
      <c r="AI2816" s="661" t="str">
        <f t="shared" si="306"/>
        <v>N/A</v>
      </c>
      <c r="AJ2816" s="662" t="str">
        <f t="shared" si="300"/>
        <v>F35C-007</v>
      </c>
      <c r="AK2816" s="662" t="str">
        <f t="shared" si="301"/>
        <v>LTK</v>
      </c>
      <c r="AL2816" s="662" t="str">
        <f t="shared" si="302"/>
        <v>FRD</v>
      </c>
      <c r="AM2816" s="662" t="str">
        <f t="shared" si="305"/>
        <v>F350 Chassis Cab-Crew Cab XL SRW-2WD-6-~-12600-6.7L Diesel-8-W3E-630A-179-40-Diesel-BioDiesel</v>
      </c>
      <c r="AN2816" s="662" t="str">
        <f t="shared" si="303"/>
        <v>2019-LTK-FRD-F35C-007</v>
      </c>
    </row>
    <row r="2817" spans="1:40" ht="15">
      <c r="A2817" s="570" t="s">
        <v>4908</v>
      </c>
      <c r="B2817" s="573" t="s">
        <v>4902</v>
      </c>
      <c r="C2817" s="573" t="s">
        <v>278</v>
      </c>
      <c r="D2817" s="578">
        <v>15</v>
      </c>
      <c r="E2817" s="573" t="s">
        <v>3374</v>
      </c>
      <c r="F2817" s="573" t="s">
        <v>1684</v>
      </c>
      <c r="G2817" s="573" t="s">
        <v>271</v>
      </c>
      <c r="H2817" s="573">
        <v>2019</v>
      </c>
      <c r="I2817" s="573" t="s">
        <v>4879</v>
      </c>
      <c r="J2817" s="573" t="s">
        <v>4903</v>
      </c>
      <c r="K2817" s="573" t="s">
        <v>3377</v>
      </c>
      <c r="L2817" s="573">
        <v>6</v>
      </c>
      <c r="M2817" s="573">
        <v>0</v>
      </c>
      <c r="N2817" s="573" t="s">
        <v>157</v>
      </c>
      <c r="O2817" s="573">
        <v>2</v>
      </c>
      <c r="P2817" s="573" t="s">
        <v>157</v>
      </c>
      <c r="Q2817" s="571">
        <v>12600</v>
      </c>
      <c r="R2817" s="573" t="s">
        <v>4235</v>
      </c>
      <c r="S2817" s="573">
        <v>8</v>
      </c>
      <c r="T2817" s="573" t="s">
        <v>4904</v>
      </c>
      <c r="U2817" s="573" t="s">
        <v>4905</v>
      </c>
      <c r="V2817" s="573">
        <v>179</v>
      </c>
      <c r="W2817" s="573">
        <v>40</v>
      </c>
      <c r="X2817" s="571">
        <v>11000</v>
      </c>
      <c r="Y2817" s="569" t="s">
        <v>164</v>
      </c>
      <c r="Z2817" s="579" t="s">
        <v>450</v>
      </c>
      <c r="AA2817" s="579" t="s">
        <v>178</v>
      </c>
      <c r="AB2817" s="584">
        <v>38345</v>
      </c>
      <c r="AC2817" s="584" t="s">
        <v>164</v>
      </c>
      <c r="AD2817" s="584">
        <v>29200</v>
      </c>
      <c r="AE2817" s="586">
        <v>0.01</v>
      </c>
      <c r="AF2817" s="661" t="str">
        <f t="shared" si="304"/>
        <v>2019-LTK-FRD-F35C-006-15</v>
      </c>
      <c r="AG2817" s="661" t="str">
        <f>IF(AND($Y2817&gt;=32,(AI2817="I"),(Y2817&lt;&gt;"~"),(COUNTIF($AN$1:$AN2817,$AN2817)=1)),"TRUE","FALSE")</f>
        <v>FALSE</v>
      </c>
      <c r="AH2817" s="661" t="str">
        <f>IF(AND($Y2817&gt;=22, (AI2817&lt;&gt;"I"),(Y2817&lt;&gt;"~"),(COUNTIF($AN$1:$AN2817,$AN2817)=1)),"TRUE","FALSE")</f>
        <v>FALSE</v>
      </c>
      <c r="AI2817" s="661" t="str">
        <f t="shared" si="306"/>
        <v>N/A</v>
      </c>
      <c r="AJ2817" s="662" t="str">
        <f t="shared" si="300"/>
        <v>F35C-006</v>
      </c>
      <c r="AK2817" s="662" t="str">
        <f t="shared" si="301"/>
        <v>LTK</v>
      </c>
      <c r="AL2817" s="662" t="str">
        <f t="shared" si="302"/>
        <v>FRD</v>
      </c>
      <c r="AM2817" s="662" t="str">
        <f t="shared" si="305"/>
        <v>F350 Chassis Cab-Crew Cab XL SRW-2WD-6-~-12600-6.2L FFV-8-W3E-630A-179-40-E85-Unleaded</v>
      </c>
      <c r="AN2817" s="662" t="str">
        <f t="shared" si="303"/>
        <v>2019-LTK-FRD-F35C-006</v>
      </c>
    </row>
    <row r="2818" spans="1:40" ht="15">
      <c r="A2818" s="570" t="s">
        <v>4909</v>
      </c>
      <c r="B2818" s="569" t="s">
        <v>4907</v>
      </c>
      <c r="C2818" s="569" t="s">
        <v>278</v>
      </c>
      <c r="D2818" s="580">
        <v>15</v>
      </c>
      <c r="E2818" s="569" t="s">
        <v>3374</v>
      </c>
      <c r="F2818" s="569" t="s">
        <v>1684</v>
      </c>
      <c r="G2818" s="569" t="s">
        <v>271</v>
      </c>
      <c r="H2818" s="569">
        <v>2019</v>
      </c>
      <c r="I2818" s="569" t="s">
        <v>4879</v>
      </c>
      <c r="J2818" s="569" t="s">
        <v>4903</v>
      </c>
      <c r="K2818" s="569" t="s">
        <v>3377</v>
      </c>
      <c r="L2818" s="569">
        <v>6</v>
      </c>
      <c r="M2818" s="569">
        <v>0</v>
      </c>
      <c r="N2818" s="569" t="s">
        <v>157</v>
      </c>
      <c r="O2818" s="569">
        <v>2</v>
      </c>
      <c r="P2818" s="569" t="s">
        <v>157</v>
      </c>
      <c r="Q2818" s="568">
        <v>12600</v>
      </c>
      <c r="R2818" s="569" t="s">
        <v>4231</v>
      </c>
      <c r="S2818" s="569">
        <v>8</v>
      </c>
      <c r="T2818" s="569" t="s">
        <v>4904</v>
      </c>
      <c r="U2818" s="569" t="s">
        <v>4905</v>
      </c>
      <c r="V2818" s="569">
        <v>179</v>
      </c>
      <c r="W2818" s="569">
        <v>40</v>
      </c>
      <c r="X2818" s="568">
        <v>11500</v>
      </c>
      <c r="Y2818" s="569" t="s">
        <v>164</v>
      </c>
      <c r="Z2818" s="581" t="s">
        <v>728</v>
      </c>
      <c r="AA2818" s="581" t="s">
        <v>1523</v>
      </c>
      <c r="AB2818" s="585">
        <v>47465</v>
      </c>
      <c r="AC2818" s="585" t="s">
        <v>164</v>
      </c>
      <c r="AD2818" s="585">
        <v>37500</v>
      </c>
      <c r="AE2818" s="587">
        <v>0.01</v>
      </c>
      <c r="AF2818" s="661" t="str">
        <f t="shared" si="304"/>
        <v>2019-LTK-FRD-F35C-007-15</v>
      </c>
      <c r="AG2818" s="661" t="str">
        <f>IF(AND($Y2818&gt;=32,(AI2818="I"),(Y2818&lt;&gt;"~"),(COUNTIF($AN$1:$AN2818,$AN2818)=1)),"TRUE","FALSE")</f>
        <v>FALSE</v>
      </c>
      <c r="AH2818" s="661" t="str">
        <f>IF(AND($Y2818&gt;=22, (AI2818&lt;&gt;"I"),(Y2818&lt;&gt;"~"),(COUNTIF($AN$1:$AN2818,$AN2818)=1)),"TRUE","FALSE")</f>
        <v>FALSE</v>
      </c>
      <c r="AI2818" s="661" t="str">
        <f t="shared" si="306"/>
        <v>N/A</v>
      </c>
      <c r="AJ2818" s="662" t="str">
        <f t="shared" si="300"/>
        <v>F35C-007</v>
      </c>
      <c r="AK2818" s="662" t="str">
        <f t="shared" si="301"/>
        <v>LTK</v>
      </c>
      <c r="AL2818" s="662" t="str">
        <f t="shared" si="302"/>
        <v>FRD</v>
      </c>
      <c r="AM2818" s="662" t="str">
        <f t="shared" si="305"/>
        <v>F350 Chassis Cab-Crew Cab XL SRW-2WD-6-~-12600-6.7L Diesel-8-W3E-630A-179-40-Diesel-BioDiesel</v>
      </c>
      <c r="AN2818" s="662" t="str">
        <f t="shared" si="303"/>
        <v>2019-LTK-FRD-F35C-007</v>
      </c>
    </row>
    <row r="2819" spans="1:40" ht="15">
      <c r="A2819" s="570" t="s">
        <v>4910</v>
      </c>
      <c r="B2819" s="573" t="s">
        <v>4902</v>
      </c>
      <c r="C2819" s="573" t="s">
        <v>287</v>
      </c>
      <c r="D2819" s="578">
        <v>26</v>
      </c>
      <c r="E2819" s="573" t="s">
        <v>3374</v>
      </c>
      <c r="F2819" s="573" t="s">
        <v>1684</v>
      </c>
      <c r="G2819" s="573" t="s">
        <v>271</v>
      </c>
      <c r="H2819" s="573">
        <v>2019</v>
      </c>
      <c r="I2819" s="573" t="s">
        <v>4879</v>
      </c>
      <c r="J2819" s="573" t="s">
        <v>4903</v>
      </c>
      <c r="K2819" s="573" t="s">
        <v>3377</v>
      </c>
      <c r="L2819" s="573">
        <v>6</v>
      </c>
      <c r="M2819" s="573">
        <v>0</v>
      </c>
      <c r="N2819" s="573" t="s">
        <v>157</v>
      </c>
      <c r="O2819" s="573">
        <v>2</v>
      </c>
      <c r="P2819" s="573" t="s">
        <v>157</v>
      </c>
      <c r="Q2819" s="571">
        <v>12600</v>
      </c>
      <c r="R2819" s="573" t="s">
        <v>4235</v>
      </c>
      <c r="S2819" s="573">
        <v>8</v>
      </c>
      <c r="T2819" s="573" t="s">
        <v>4904</v>
      </c>
      <c r="U2819" s="573" t="s">
        <v>4905</v>
      </c>
      <c r="V2819" s="573">
        <v>179</v>
      </c>
      <c r="W2819" s="573">
        <v>40</v>
      </c>
      <c r="X2819" s="571">
        <v>11000</v>
      </c>
      <c r="Y2819" s="569" t="s">
        <v>164</v>
      </c>
      <c r="Z2819" s="579" t="s">
        <v>450</v>
      </c>
      <c r="AA2819" s="579" t="s">
        <v>178</v>
      </c>
      <c r="AB2819" s="584">
        <v>38345</v>
      </c>
      <c r="AC2819" s="584" t="s">
        <v>164</v>
      </c>
      <c r="AD2819" s="584">
        <v>29381</v>
      </c>
      <c r="AE2819" s="586">
        <v>0.05</v>
      </c>
      <c r="AF2819" s="661" t="str">
        <f t="shared" si="304"/>
        <v>2019-LTK-FRD-F35C-006-26</v>
      </c>
      <c r="AG2819" s="661" t="str">
        <f>IF(AND($Y2819&gt;=32,(AI2819="I"),(Y2819&lt;&gt;"~"),(COUNTIF($AN$1:$AN2819,$AN2819)=1)),"TRUE","FALSE")</f>
        <v>FALSE</v>
      </c>
      <c r="AH2819" s="661" t="str">
        <f>IF(AND($Y2819&gt;=22, (AI2819&lt;&gt;"I"),(Y2819&lt;&gt;"~"),(COUNTIF($AN$1:$AN2819,$AN2819)=1)),"TRUE","FALSE")</f>
        <v>FALSE</v>
      </c>
      <c r="AI2819" s="661" t="str">
        <f t="shared" si="306"/>
        <v>N/A</v>
      </c>
      <c r="AJ2819" s="662" t="str">
        <f t="shared" ref="AJ2819:AJ2882" si="307">MID(A2819,14,8)</f>
        <v>F35C-006</v>
      </c>
      <c r="AK2819" s="662" t="str">
        <f t="shared" ref="AK2819:AK2882" si="308">MID(A2819,6,3)</f>
        <v>LTK</v>
      </c>
      <c r="AL2819" s="662" t="str">
        <f t="shared" ref="AL2819:AL2882" si="309">MID(A2819,10,3)</f>
        <v>FRD</v>
      </c>
      <c r="AM2819" s="662" t="str">
        <f t="shared" si="305"/>
        <v>F350 Chassis Cab-Crew Cab XL SRW-2WD-6-~-12600-6.2L FFV-8-W3E-630A-179-40-E85-Unleaded</v>
      </c>
      <c r="AN2819" s="662" t="str">
        <f t="shared" ref="AN2819:AN2882" si="310">LEFT(A2819,21)</f>
        <v>2019-LTK-FRD-F35C-006</v>
      </c>
    </row>
    <row r="2820" spans="1:40" ht="15">
      <c r="A2820" s="570" t="s">
        <v>4911</v>
      </c>
      <c r="B2820" s="569" t="s">
        <v>4907</v>
      </c>
      <c r="C2820" s="569" t="s">
        <v>287</v>
      </c>
      <c r="D2820" s="580">
        <v>26</v>
      </c>
      <c r="E2820" s="569" t="s">
        <v>3374</v>
      </c>
      <c r="F2820" s="569" t="s">
        <v>1684</v>
      </c>
      <c r="G2820" s="569" t="s">
        <v>271</v>
      </c>
      <c r="H2820" s="569">
        <v>2019</v>
      </c>
      <c r="I2820" s="569" t="s">
        <v>4879</v>
      </c>
      <c r="J2820" s="569" t="s">
        <v>4903</v>
      </c>
      <c r="K2820" s="569" t="s">
        <v>3377</v>
      </c>
      <c r="L2820" s="569">
        <v>6</v>
      </c>
      <c r="M2820" s="569">
        <v>0</v>
      </c>
      <c r="N2820" s="569" t="s">
        <v>157</v>
      </c>
      <c r="O2820" s="569">
        <v>2</v>
      </c>
      <c r="P2820" s="569" t="s">
        <v>157</v>
      </c>
      <c r="Q2820" s="568">
        <v>12600</v>
      </c>
      <c r="R2820" s="569" t="s">
        <v>4231</v>
      </c>
      <c r="S2820" s="569">
        <v>8</v>
      </c>
      <c r="T2820" s="569" t="s">
        <v>4904</v>
      </c>
      <c r="U2820" s="569" t="s">
        <v>4905</v>
      </c>
      <c r="V2820" s="569">
        <v>179</v>
      </c>
      <c r="W2820" s="569">
        <v>40</v>
      </c>
      <c r="X2820" s="568">
        <v>11500</v>
      </c>
      <c r="Y2820" s="569" t="s">
        <v>164</v>
      </c>
      <c r="Z2820" s="581" t="s">
        <v>728</v>
      </c>
      <c r="AA2820" s="581" t="s">
        <v>1523</v>
      </c>
      <c r="AB2820" s="585">
        <v>47465</v>
      </c>
      <c r="AC2820" s="585" t="s">
        <v>164</v>
      </c>
      <c r="AD2820" s="585">
        <v>37575</v>
      </c>
      <c r="AE2820" s="587">
        <v>0.05</v>
      </c>
      <c r="AF2820" s="661" t="str">
        <f t="shared" si="304"/>
        <v>2019-LTK-FRD-F35C-007-26</v>
      </c>
      <c r="AG2820" s="661" t="str">
        <f>IF(AND($Y2820&gt;=32,(AI2820="I"),(Y2820&lt;&gt;"~"),(COUNTIF($AN$1:$AN2820,$AN2820)=1)),"TRUE","FALSE")</f>
        <v>FALSE</v>
      </c>
      <c r="AH2820" s="661" t="str">
        <f>IF(AND($Y2820&gt;=22, (AI2820&lt;&gt;"I"),(Y2820&lt;&gt;"~"),(COUNTIF($AN$1:$AN2820,$AN2820)=1)),"TRUE","FALSE")</f>
        <v>FALSE</v>
      </c>
      <c r="AI2820" s="661" t="str">
        <f t="shared" si="306"/>
        <v>N/A</v>
      </c>
      <c r="AJ2820" s="662" t="str">
        <f t="shared" si="307"/>
        <v>F35C-007</v>
      </c>
      <c r="AK2820" s="662" t="str">
        <f t="shared" si="308"/>
        <v>LTK</v>
      </c>
      <c r="AL2820" s="662" t="str">
        <f t="shared" si="309"/>
        <v>FRD</v>
      </c>
      <c r="AM2820" s="662" t="str">
        <f t="shared" si="305"/>
        <v>F350 Chassis Cab-Crew Cab XL SRW-2WD-6-~-12600-6.7L Diesel-8-W3E-630A-179-40-Diesel-BioDiesel</v>
      </c>
      <c r="AN2820" s="662" t="str">
        <f t="shared" si="310"/>
        <v>2019-LTK-FRD-F35C-007</v>
      </c>
    </row>
    <row r="2821" spans="1:40" ht="15">
      <c r="A2821" s="570" t="s">
        <v>4912</v>
      </c>
      <c r="B2821" s="573" t="s">
        <v>4902</v>
      </c>
      <c r="C2821" s="573" t="s">
        <v>280</v>
      </c>
      <c r="D2821" s="578">
        <v>27</v>
      </c>
      <c r="E2821" s="573" t="s">
        <v>3374</v>
      </c>
      <c r="F2821" s="573" t="s">
        <v>1684</v>
      </c>
      <c r="G2821" s="573" t="s">
        <v>271</v>
      </c>
      <c r="H2821" s="573">
        <v>2019</v>
      </c>
      <c r="I2821" s="573" t="s">
        <v>4879</v>
      </c>
      <c r="J2821" s="573" t="s">
        <v>4903</v>
      </c>
      <c r="K2821" s="573" t="s">
        <v>3377</v>
      </c>
      <c r="L2821" s="573">
        <v>6</v>
      </c>
      <c r="M2821" s="573">
        <v>0</v>
      </c>
      <c r="N2821" s="573" t="s">
        <v>157</v>
      </c>
      <c r="O2821" s="573">
        <v>2</v>
      </c>
      <c r="P2821" s="573" t="s">
        <v>157</v>
      </c>
      <c r="Q2821" s="571">
        <v>12600</v>
      </c>
      <c r="R2821" s="573" t="s">
        <v>4235</v>
      </c>
      <c r="S2821" s="573">
        <v>8</v>
      </c>
      <c r="T2821" s="573" t="s">
        <v>4904</v>
      </c>
      <c r="U2821" s="573" t="s">
        <v>4905</v>
      </c>
      <c r="V2821" s="573">
        <v>179</v>
      </c>
      <c r="W2821" s="573">
        <v>40</v>
      </c>
      <c r="X2821" s="571">
        <v>11000</v>
      </c>
      <c r="Y2821" s="569" t="s">
        <v>164</v>
      </c>
      <c r="Z2821" s="579" t="s">
        <v>450</v>
      </c>
      <c r="AA2821" s="579" t="s">
        <v>178</v>
      </c>
      <c r="AB2821" s="584">
        <v>38345</v>
      </c>
      <c r="AC2821" s="584" t="s">
        <v>164</v>
      </c>
      <c r="AD2821" s="584">
        <v>29114.442105263159</v>
      </c>
      <c r="AE2821" s="586">
        <v>0.03</v>
      </c>
      <c r="AF2821" s="661" t="str">
        <f t="shared" si="304"/>
        <v>2019-LTK-FRD-F35C-006-27</v>
      </c>
      <c r="AG2821" s="661" t="str">
        <f>IF(AND($Y2821&gt;=32,(AI2821="I"),(Y2821&lt;&gt;"~"),(COUNTIF($AN$1:$AN2821,$AN2821)=1)),"TRUE","FALSE")</f>
        <v>FALSE</v>
      </c>
      <c r="AH2821" s="661" t="str">
        <f>IF(AND($Y2821&gt;=22, (AI2821&lt;&gt;"I"),(Y2821&lt;&gt;"~"),(COUNTIF($AN$1:$AN2821,$AN2821)=1)),"TRUE","FALSE")</f>
        <v>FALSE</v>
      </c>
      <c r="AI2821" s="661" t="str">
        <f t="shared" si="306"/>
        <v>N/A</v>
      </c>
      <c r="AJ2821" s="662" t="str">
        <f t="shared" si="307"/>
        <v>F35C-006</v>
      </c>
      <c r="AK2821" s="662" t="str">
        <f t="shared" si="308"/>
        <v>LTK</v>
      </c>
      <c r="AL2821" s="662" t="str">
        <f t="shared" si="309"/>
        <v>FRD</v>
      </c>
      <c r="AM2821" s="662" t="str">
        <f t="shared" si="305"/>
        <v>F350 Chassis Cab-Crew Cab XL SRW-2WD-6-~-12600-6.2L FFV-8-W3E-630A-179-40-E85-Unleaded</v>
      </c>
      <c r="AN2821" s="662" t="str">
        <f t="shared" si="310"/>
        <v>2019-LTK-FRD-F35C-006</v>
      </c>
    </row>
    <row r="2822" spans="1:40" ht="15">
      <c r="A2822" s="570" t="s">
        <v>4913</v>
      </c>
      <c r="B2822" s="569" t="s">
        <v>4907</v>
      </c>
      <c r="C2822" s="569" t="s">
        <v>280</v>
      </c>
      <c r="D2822" s="580">
        <v>27</v>
      </c>
      <c r="E2822" s="569" t="s">
        <v>3374</v>
      </c>
      <c r="F2822" s="569" t="s">
        <v>1684</v>
      </c>
      <c r="G2822" s="569" t="s">
        <v>271</v>
      </c>
      <c r="H2822" s="569">
        <v>2019</v>
      </c>
      <c r="I2822" s="569" t="s">
        <v>4879</v>
      </c>
      <c r="J2822" s="569" t="s">
        <v>4903</v>
      </c>
      <c r="K2822" s="569" t="s">
        <v>3377</v>
      </c>
      <c r="L2822" s="569">
        <v>6</v>
      </c>
      <c r="M2822" s="569">
        <v>0</v>
      </c>
      <c r="N2822" s="569" t="s">
        <v>157</v>
      </c>
      <c r="O2822" s="569">
        <v>2</v>
      </c>
      <c r="P2822" s="569" t="s">
        <v>157</v>
      </c>
      <c r="Q2822" s="568">
        <v>12600</v>
      </c>
      <c r="R2822" s="569" t="s">
        <v>4231</v>
      </c>
      <c r="S2822" s="569">
        <v>8</v>
      </c>
      <c r="T2822" s="569" t="s">
        <v>4904</v>
      </c>
      <c r="U2822" s="569" t="s">
        <v>4905</v>
      </c>
      <c r="V2822" s="569">
        <v>179</v>
      </c>
      <c r="W2822" s="569">
        <v>40</v>
      </c>
      <c r="X2822" s="568">
        <v>11500</v>
      </c>
      <c r="Y2822" s="569" t="s">
        <v>164</v>
      </c>
      <c r="Z2822" s="581" t="s">
        <v>728</v>
      </c>
      <c r="AA2822" s="581" t="s">
        <v>1523</v>
      </c>
      <c r="AB2822" s="585">
        <v>47465</v>
      </c>
      <c r="AC2822" s="585" t="s">
        <v>164</v>
      </c>
      <c r="AD2822" s="585">
        <v>37306.631578947374</v>
      </c>
      <c r="AE2822" s="587">
        <v>0.03</v>
      </c>
      <c r="AF2822" s="661" t="str">
        <f t="shared" si="304"/>
        <v>2019-LTK-FRD-F35C-007-27</v>
      </c>
      <c r="AG2822" s="661" t="str">
        <f>IF(AND($Y2822&gt;=32,(AI2822="I"),(Y2822&lt;&gt;"~"),(COUNTIF($AN$1:$AN2822,$AN2822)=1)),"TRUE","FALSE")</f>
        <v>FALSE</v>
      </c>
      <c r="AH2822" s="661" t="str">
        <f>IF(AND($Y2822&gt;=22, (AI2822&lt;&gt;"I"),(Y2822&lt;&gt;"~"),(COUNTIF($AN$1:$AN2822,$AN2822)=1)),"TRUE","FALSE")</f>
        <v>FALSE</v>
      </c>
      <c r="AI2822" s="661" t="str">
        <f t="shared" si="306"/>
        <v>N/A</v>
      </c>
      <c r="AJ2822" s="662" t="str">
        <f t="shared" si="307"/>
        <v>F35C-007</v>
      </c>
      <c r="AK2822" s="662" t="str">
        <f t="shared" si="308"/>
        <v>LTK</v>
      </c>
      <c r="AL2822" s="662" t="str">
        <f t="shared" si="309"/>
        <v>FRD</v>
      </c>
      <c r="AM2822" s="662" t="str">
        <f t="shared" si="305"/>
        <v>F350 Chassis Cab-Crew Cab XL SRW-2WD-6-~-12600-6.7L Diesel-8-W3E-630A-179-40-Diesel-BioDiesel</v>
      </c>
      <c r="AN2822" s="662" t="str">
        <f t="shared" si="310"/>
        <v>2019-LTK-FRD-F35C-007</v>
      </c>
    </row>
    <row r="2823" spans="1:40" ht="15">
      <c r="A2823" s="570" t="s">
        <v>4914</v>
      </c>
      <c r="B2823" s="573" t="s">
        <v>4915</v>
      </c>
      <c r="C2823" s="573" t="s">
        <v>269</v>
      </c>
      <c r="D2823" s="578" t="s">
        <v>270</v>
      </c>
      <c r="E2823" s="573" t="s">
        <v>3374</v>
      </c>
      <c r="F2823" s="573" t="s">
        <v>1684</v>
      </c>
      <c r="G2823" s="573" t="s">
        <v>271</v>
      </c>
      <c r="H2823" s="573">
        <v>2019</v>
      </c>
      <c r="I2823" s="573" t="s">
        <v>4879</v>
      </c>
      <c r="J2823" s="573" t="s">
        <v>4903</v>
      </c>
      <c r="K2823" s="573" t="s">
        <v>752</v>
      </c>
      <c r="L2823" s="573">
        <v>6</v>
      </c>
      <c r="M2823" s="573">
        <v>0</v>
      </c>
      <c r="N2823" s="573" t="s">
        <v>157</v>
      </c>
      <c r="O2823" s="573">
        <v>2</v>
      </c>
      <c r="P2823" s="573" t="s">
        <v>157</v>
      </c>
      <c r="Q2823" s="571">
        <v>12100</v>
      </c>
      <c r="R2823" s="573" t="s">
        <v>4235</v>
      </c>
      <c r="S2823" s="573">
        <v>8</v>
      </c>
      <c r="T2823" s="573" t="s">
        <v>4916</v>
      </c>
      <c r="U2823" s="573" t="s">
        <v>4905</v>
      </c>
      <c r="V2823" s="573">
        <v>179</v>
      </c>
      <c r="W2823" s="573">
        <v>40</v>
      </c>
      <c r="X2823" s="571">
        <v>11400</v>
      </c>
      <c r="Y2823" s="569" t="s">
        <v>164</v>
      </c>
      <c r="Z2823" s="579" t="s">
        <v>450</v>
      </c>
      <c r="AA2823" s="579" t="s">
        <v>178</v>
      </c>
      <c r="AB2823" s="584">
        <v>41845</v>
      </c>
      <c r="AC2823" s="584" t="s">
        <v>164</v>
      </c>
      <c r="AD2823" s="584">
        <v>31715.494736842109</v>
      </c>
      <c r="AE2823" s="586">
        <v>0.03</v>
      </c>
      <c r="AF2823" s="661" t="str">
        <f t="shared" si="304"/>
        <v>2019-LTK-FRD-F35C-008-05</v>
      </c>
      <c r="AG2823" s="661" t="str">
        <f>IF(AND($Y2823&gt;=32,(AI2823="I"),(Y2823&lt;&gt;"~"),(COUNTIF($AN$1:$AN2823,$AN2823)=1)),"TRUE","FALSE")</f>
        <v>FALSE</v>
      </c>
      <c r="AH2823" s="661" t="str">
        <f>IF(AND($Y2823&gt;=22, (AI2823&lt;&gt;"I"),(Y2823&lt;&gt;"~"),(COUNTIF($AN$1:$AN2823,$AN2823)=1)),"TRUE","FALSE")</f>
        <v>TRUE</v>
      </c>
      <c r="AI2823" s="661" t="str">
        <f t="shared" si="306"/>
        <v>N/A</v>
      </c>
      <c r="AJ2823" s="662" t="str">
        <f t="shared" si="307"/>
        <v>F35C-008</v>
      </c>
      <c r="AK2823" s="662" t="str">
        <f t="shared" si="308"/>
        <v>LTK</v>
      </c>
      <c r="AL2823" s="662" t="str">
        <f t="shared" si="309"/>
        <v>FRD</v>
      </c>
      <c r="AM2823" s="662" t="str">
        <f t="shared" si="305"/>
        <v>F350 Chassis Cab-Crew Cab XL SRW-4WD-6-~-12100-6.2L FFV-8-W3F-630A-179-40-E85-Unleaded</v>
      </c>
      <c r="AN2823" s="662" t="str">
        <f t="shared" si="310"/>
        <v>2019-LTK-FRD-F35C-008</v>
      </c>
    </row>
    <row r="2824" spans="1:40" ht="15">
      <c r="A2824" s="570" t="s">
        <v>4917</v>
      </c>
      <c r="B2824" s="569" t="s">
        <v>4918</v>
      </c>
      <c r="C2824" s="569" t="s">
        <v>269</v>
      </c>
      <c r="D2824" s="580" t="s">
        <v>270</v>
      </c>
      <c r="E2824" s="569" t="s">
        <v>3374</v>
      </c>
      <c r="F2824" s="569" t="s">
        <v>1684</v>
      </c>
      <c r="G2824" s="569" t="s">
        <v>271</v>
      </c>
      <c r="H2824" s="569">
        <v>2019</v>
      </c>
      <c r="I2824" s="569" t="s">
        <v>4879</v>
      </c>
      <c r="J2824" s="569" t="s">
        <v>4903</v>
      </c>
      <c r="K2824" s="569" t="s">
        <v>752</v>
      </c>
      <c r="L2824" s="569">
        <v>6</v>
      </c>
      <c r="M2824" s="569">
        <v>0</v>
      </c>
      <c r="N2824" s="569" t="s">
        <v>157</v>
      </c>
      <c r="O2824" s="569">
        <v>2</v>
      </c>
      <c r="P2824" s="569" t="s">
        <v>157</v>
      </c>
      <c r="Q2824" s="568">
        <v>12100</v>
      </c>
      <c r="R2824" s="569" t="s">
        <v>4231</v>
      </c>
      <c r="S2824" s="569">
        <v>8</v>
      </c>
      <c r="T2824" s="569" t="s">
        <v>4916</v>
      </c>
      <c r="U2824" s="569" t="s">
        <v>4905</v>
      </c>
      <c r="V2824" s="569">
        <v>179</v>
      </c>
      <c r="W2824" s="569">
        <v>40</v>
      </c>
      <c r="X2824" s="568">
        <v>11500</v>
      </c>
      <c r="Y2824" s="569" t="s">
        <v>164</v>
      </c>
      <c r="Z2824" s="581" t="s">
        <v>728</v>
      </c>
      <c r="AA2824" s="581" t="s">
        <v>1523</v>
      </c>
      <c r="AB2824" s="585">
        <v>50965</v>
      </c>
      <c r="AC2824" s="585" t="s">
        <v>164</v>
      </c>
      <c r="AD2824" s="585">
        <v>39907.68421052632</v>
      </c>
      <c r="AE2824" s="587">
        <v>0.03</v>
      </c>
      <c r="AF2824" s="661" t="str">
        <f t="shared" si="304"/>
        <v>2019-LTK-FRD-F35C-010-05</v>
      </c>
      <c r="AG2824" s="661" t="str">
        <f>IF(AND($Y2824&gt;=32,(AI2824="I"),(Y2824&lt;&gt;"~"),(COUNTIF($AN$1:$AN2824,$AN2824)=1)),"TRUE","FALSE")</f>
        <v>FALSE</v>
      </c>
      <c r="AH2824" s="661" t="str">
        <f>IF(AND($Y2824&gt;=22, (AI2824&lt;&gt;"I"),(Y2824&lt;&gt;"~"),(COUNTIF($AN$1:$AN2824,$AN2824)=1)),"TRUE","FALSE")</f>
        <v>TRUE</v>
      </c>
      <c r="AI2824" s="661" t="str">
        <f t="shared" si="306"/>
        <v>N/A</v>
      </c>
      <c r="AJ2824" s="662" t="str">
        <f t="shared" si="307"/>
        <v>F35C-010</v>
      </c>
      <c r="AK2824" s="662" t="str">
        <f t="shared" si="308"/>
        <v>LTK</v>
      </c>
      <c r="AL2824" s="662" t="str">
        <f t="shared" si="309"/>
        <v>FRD</v>
      </c>
      <c r="AM2824" s="662" t="str">
        <f t="shared" si="305"/>
        <v>F350 Chassis Cab-Crew Cab XL SRW-4WD-6-~-12100-6.7L Diesel-8-W3F-630A-179-40-Diesel-BioDiesel</v>
      </c>
      <c r="AN2824" s="662" t="str">
        <f t="shared" si="310"/>
        <v>2019-LTK-FRD-F35C-010</v>
      </c>
    </row>
    <row r="2825" spans="1:40" ht="15">
      <c r="A2825" s="570" t="s">
        <v>4919</v>
      </c>
      <c r="B2825" s="573" t="s">
        <v>4920</v>
      </c>
      <c r="C2825" s="573" t="s">
        <v>278</v>
      </c>
      <c r="D2825" s="578">
        <v>15</v>
      </c>
      <c r="E2825" s="573" t="s">
        <v>3374</v>
      </c>
      <c r="F2825" s="573" t="s">
        <v>1684</v>
      </c>
      <c r="G2825" s="573" t="s">
        <v>271</v>
      </c>
      <c r="H2825" s="573">
        <v>2019</v>
      </c>
      <c r="I2825" s="573" t="s">
        <v>4879</v>
      </c>
      <c r="J2825" s="573" t="s">
        <v>4903</v>
      </c>
      <c r="K2825" s="573" t="s">
        <v>752</v>
      </c>
      <c r="L2825" s="573">
        <v>6</v>
      </c>
      <c r="M2825" s="573">
        <v>0</v>
      </c>
      <c r="N2825" s="573" t="s">
        <v>157</v>
      </c>
      <c r="O2825" s="573">
        <v>2</v>
      </c>
      <c r="P2825" s="573" t="s">
        <v>157</v>
      </c>
      <c r="Q2825" s="571">
        <v>12200</v>
      </c>
      <c r="R2825" s="573" t="s">
        <v>4235</v>
      </c>
      <c r="S2825" s="573">
        <v>8</v>
      </c>
      <c r="T2825" s="573" t="s">
        <v>4916</v>
      </c>
      <c r="U2825" s="573" t="s">
        <v>4905</v>
      </c>
      <c r="V2825" s="573">
        <v>179</v>
      </c>
      <c r="W2825" s="573">
        <v>40</v>
      </c>
      <c r="X2825" s="571">
        <v>11400</v>
      </c>
      <c r="Y2825" s="569" t="s">
        <v>164</v>
      </c>
      <c r="Z2825" s="579" t="s">
        <v>450</v>
      </c>
      <c r="AA2825" s="579" t="s">
        <v>178</v>
      </c>
      <c r="AB2825" s="584">
        <v>41845</v>
      </c>
      <c r="AC2825" s="584" t="s">
        <v>164</v>
      </c>
      <c r="AD2825" s="584">
        <v>31900</v>
      </c>
      <c r="AE2825" s="586">
        <v>0.01</v>
      </c>
      <c r="AF2825" s="661" t="str">
        <f t="shared" si="304"/>
        <v>2019-LTK-FRD-F35C-009-15</v>
      </c>
      <c r="AG2825" s="661" t="str">
        <f>IF(AND($Y2825&gt;=32,(AI2825="I"),(Y2825&lt;&gt;"~"),(COUNTIF($AN$1:$AN2825,$AN2825)=1)),"TRUE","FALSE")</f>
        <v>FALSE</v>
      </c>
      <c r="AH2825" s="661" t="str">
        <f>IF(AND($Y2825&gt;=22, (AI2825&lt;&gt;"I"),(Y2825&lt;&gt;"~"),(COUNTIF($AN$1:$AN2825,$AN2825)=1)),"TRUE","FALSE")</f>
        <v>TRUE</v>
      </c>
      <c r="AI2825" s="661" t="str">
        <f t="shared" si="306"/>
        <v>N/A</v>
      </c>
      <c r="AJ2825" s="662" t="str">
        <f t="shared" si="307"/>
        <v>F35C-009</v>
      </c>
      <c r="AK2825" s="662" t="str">
        <f t="shared" si="308"/>
        <v>LTK</v>
      </c>
      <c r="AL2825" s="662" t="str">
        <f t="shared" si="309"/>
        <v>FRD</v>
      </c>
      <c r="AM2825" s="662" t="str">
        <f t="shared" si="305"/>
        <v>F350 Chassis Cab-Crew Cab XL SRW-4WD-6-~-12200-6.2L FFV-8-W3F-630A-179-40-E85-Unleaded</v>
      </c>
      <c r="AN2825" s="662" t="str">
        <f t="shared" si="310"/>
        <v>2019-LTK-FRD-F35C-009</v>
      </c>
    </row>
    <row r="2826" spans="1:40" ht="15">
      <c r="A2826" s="570" t="s">
        <v>4921</v>
      </c>
      <c r="B2826" s="569" t="s">
        <v>4918</v>
      </c>
      <c r="C2826" s="569" t="s">
        <v>278</v>
      </c>
      <c r="D2826" s="580">
        <v>15</v>
      </c>
      <c r="E2826" s="569" t="s">
        <v>3374</v>
      </c>
      <c r="F2826" s="569" t="s">
        <v>1684</v>
      </c>
      <c r="G2826" s="569" t="s">
        <v>271</v>
      </c>
      <c r="H2826" s="569">
        <v>2019</v>
      </c>
      <c r="I2826" s="569" t="s">
        <v>4879</v>
      </c>
      <c r="J2826" s="569" t="s">
        <v>4903</v>
      </c>
      <c r="K2826" s="569" t="s">
        <v>752</v>
      </c>
      <c r="L2826" s="569">
        <v>6</v>
      </c>
      <c r="M2826" s="569">
        <v>0</v>
      </c>
      <c r="N2826" s="569" t="s">
        <v>157</v>
      </c>
      <c r="O2826" s="569">
        <v>2</v>
      </c>
      <c r="P2826" s="569" t="s">
        <v>157</v>
      </c>
      <c r="Q2826" s="568">
        <v>12200</v>
      </c>
      <c r="R2826" s="569" t="s">
        <v>4231</v>
      </c>
      <c r="S2826" s="569">
        <v>8</v>
      </c>
      <c r="T2826" s="569" t="s">
        <v>4916</v>
      </c>
      <c r="U2826" s="569" t="s">
        <v>4905</v>
      </c>
      <c r="V2826" s="569">
        <v>179</v>
      </c>
      <c r="W2826" s="569">
        <v>40</v>
      </c>
      <c r="X2826" s="568">
        <v>11500</v>
      </c>
      <c r="Y2826" s="569" t="s">
        <v>164</v>
      </c>
      <c r="Z2826" s="581" t="s">
        <v>728</v>
      </c>
      <c r="AA2826" s="581" t="s">
        <v>1523</v>
      </c>
      <c r="AB2826" s="585">
        <v>50965</v>
      </c>
      <c r="AC2826" s="585" t="s">
        <v>164</v>
      </c>
      <c r="AD2826" s="585">
        <v>40150</v>
      </c>
      <c r="AE2826" s="587">
        <v>0.01</v>
      </c>
      <c r="AF2826" s="661" t="str">
        <f t="shared" si="304"/>
        <v>2019-LTK-FRD-F35C-010-15</v>
      </c>
      <c r="AG2826" s="661" t="str">
        <f>IF(AND($Y2826&gt;=32,(AI2826="I"),(Y2826&lt;&gt;"~"),(COUNTIF($AN$1:$AN2826,$AN2826)=1)),"TRUE","FALSE")</f>
        <v>FALSE</v>
      </c>
      <c r="AH2826" s="661" t="str">
        <f>IF(AND($Y2826&gt;=22, (AI2826&lt;&gt;"I"),(Y2826&lt;&gt;"~"),(COUNTIF($AN$1:$AN2826,$AN2826)=1)),"TRUE","FALSE")</f>
        <v>FALSE</v>
      </c>
      <c r="AI2826" s="661" t="str">
        <f t="shared" si="306"/>
        <v>N/A</v>
      </c>
      <c r="AJ2826" s="662" t="str">
        <f t="shared" si="307"/>
        <v>F35C-010</v>
      </c>
      <c r="AK2826" s="662" t="str">
        <f t="shared" si="308"/>
        <v>LTK</v>
      </c>
      <c r="AL2826" s="662" t="str">
        <f t="shared" si="309"/>
        <v>FRD</v>
      </c>
      <c r="AM2826" s="662" t="str">
        <f t="shared" si="305"/>
        <v>F350 Chassis Cab-Crew Cab XL SRW-4WD-6-~-12200-6.7L Diesel-8-W3F-630A-179-40-Diesel-BioDiesel</v>
      </c>
      <c r="AN2826" s="662" t="str">
        <f t="shared" si="310"/>
        <v>2019-LTK-FRD-F35C-010</v>
      </c>
    </row>
    <row r="2827" spans="1:40" ht="15">
      <c r="A2827" s="570" t="s">
        <v>4922</v>
      </c>
      <c r="B2827" s="573" t="s">
        <v>4920</v>
      </c>
      <c r="C2827" s="573" t="s">
        <v>287</v>
      </c>
      <c r="D2827" s="578">
        <v>26</v>
      </c>
      <c r="E2827" s="573" t="s">
        <v>3374</v>
      </c>
      <c r="F2827" s="573" t="s">
        <v>1684</v>
      </c>
      <c r="G2827" s="573" t="s">
        <v>271</v>
      </c>
      <c r="H2827" s="573">
        <v>2019</v>
      </c>
      <c r="I2827" s="573" t="s">
        <v>4879</v>
      </c>
      <c r="J2827" s="573" t="s">
        <v>4903</v>
      </c>
      <c r="K2827" s="573" t="s">
        <v>752</v>
      </c>
      <c r="L2827" s="573">
        <v>6</v>
      </c>
      <c r="M2827" s="573">
        <v>0</v>
      </c>
      <c r="N2827" s="573" t="s">
        <v>157</v>
      </c>
      <c r="O2827" s="573">
        <v>2</v>
      </c>
      <c r="P2827" s="573" t="s">
        <v>157</v>
      </c>
      <c r="Q2827" s="571">
        <v>12200</v>
      </c>
      <c r="R2827" s="573" t="s">
        <v>4235</v>
      </c>
      <c r="S2827" s="573">
        <v>8</v>
      </c>
      <c r="T2827" s="573" t="s">
        <v>4916</v>
      </c>
      <c r="U2827" s="573" t="s">
        <v>4905</v>
      </c>
      <c r="V2827" s="573">
        <v>179</v>
      </c>
      <c r="W2827" s="573">
        <v>40</v>
      </c>
      <c r="X2827" s="571">
        <v>11400</v>
      </c>
      <c r="Y2827" s="569" t="s">
        <v>164</v>
      </c>
      <c r="Z2827" s="579" t="s">
        <v>450</v>
      </c>
      <c r="AA2827" s="579" t="s">
        <v>178</v>
      </c>
      <c r="AB2827" s="584">
        <v>41480</v>
      </c>
      <c r="AC2827" s="584" t="s">
        <v>164</v>
      </c>
      <c r="AD2827" s="584">
        <v>32021</v>
      </c>
      <c r="AE2827" s="586">
        <v>0.05</v>
      </c>
      <c r="AF2827" s="661" t="str">
        <f t="shared" si="304"/>
        <v>2019-LTK-FRD-F35C-009-26</v>
      </c>
      <c r="AG2827" s="661" t="str">
        <f>IF(AND($Y2827&gt;=32,(AI2827="I"),(Y2827&lt;&gt;"~"),(COUNTIF($AN$1:$AN2827,$AN2827)=1)),"TRUE","FALSE")</f>
        <v>FALSE</v>
      </c>
      <c r="AH2827" s="661" t="str">
        <f>IF(AND($Y2827&gt;=22, (AI2827&lt;&gt;"I"),(Y2827&lt;&gt;"~"),(COUNTIF($AN$1:$AN2827,$AN2827)=1)),"TRUE","FALSE")</f>
        <v>FALSE</v>
      </c>
      <c r="AI2827" s="661" t="str">
        <f t="shared" si="306"/>
        <v>N/A</v>
      </c>
      <c r="AJ2827" s="662" t="str">
        <f t="shared" si="307"/>
        <v>F35C-009</v>
      </c>
      <c r="AK2827" s="662" t="str">
        <f t="shared" si="308"/>
        <v>LTK</v>
      </c>
      <c r="AL2827" s="662" t="str">
        <f t="shared" si="309"/>
        <v>FRD</v>
      </c>
      <c r="AM2827" s="662" t="str">
        <f t="shared" si="305"/>
        <v>F350 Chassis Cab-Crew Cab XL SRW-4WD-6-~-12200-6.2L FFV-8-W3F-630A-179-40-E85-Unleaded</v>
      </c>
      <c r="AN2827" s="662" t="str">
        <f t="shared" si="310"/>
        <v>2019-LTK-FRD-F35C-009</v>
      </c>
    </row>
    <row r="2828" spans="1:40" ht="15">
      <c r="A2828" s="570" t="s">
        <v>4923</v>
      </c>
      <c r="B2828" s="569" t="s">
        <v>4918</v>
      </c>
      <c r="C2828" s="569" t="s">
        <v>287</v>
      </c>
      <c r="D2828" s="580">
        <v>26</v>
      </c>
      <c r="E2828" s="569" t="s">
        <v>3374</v>
      </c>
      <c r="F2828" s="569" t="s">
        <v>1684</v>
      </c>
      <c r="G2828" s="569" t="s">
        <v>271</v>
      </c>
      <c r="H2828" s="569">
        <v>2019</v>
      </c>
      <c r="I2828" s="569" t="s">
        <v>4879</v>
      </c>
      <c r="J2828" s="569" t="s">
        <v>4903</v>
      </c>
      <c r="K2828" s="569" t="s">
        <v>752</v>
      </c>
      <c r="L2828" s="569">
        <v>6</v>
      </c>
      <c r="M2828" s="569">
        <v>0</v>
      </c>
      <c r="N2828" s="569" t="s">
        <v>157</v>
      </c>
      <c r="O2828" s="569">
        <v>2</v>
      </c>
      <c r="P2828" s="569" t="s">
        <v>157</v>
      </c>
      <c r="Q2828" s="568">
        <v>12200</v>
      </c>
      <c r="R2828" s="569" t="s">
        <v>4231</v>
      </c>
      <c r="S2828" s="569">
        <v>8</v>
      </c>
      <c r="T2828" s="569" t="s">
        <v>4916</v>
      </c>
      <c r="U2828" s="569" t="s">
        <v>4905</v>
      </c>
      <c r="V2828" s="569">
        <v>179</v>
      </c>
      <c r="W2828" s="569">
        <v>40</v>
      </c>
      <c r="X2828" s="568">
        <v>11500</v>
      </c>
      <c r="Y2828" s="569" t="s">
        <v>164</v>
      </c>
      <c r="Z2828" s="581" t="s">
        <v>728</v>
      </c>
      <c r="AA2828" s="581" t="s">
        <v>1523</v>
      </c>
      <c r="AB2828" s="585">
        <v>50475</v>
      </c>
      <c r="AC2828" s="585" t="s">
        <v>164</v>
      </c>
      <c r="AD2828" s="585">
        <v>40215</v>
      </c>
      <c r="AE2828" s="587">
        <v>0.05</v>
      </c>
      <c r="AF2828" s="661" t="str">
        <f t="shared" ref="AF2828:AF2891" si="311">A2828</f>
        <v>2019-LTK-FRD-F35C-010-26</v>
      </c>
      <c r="AG2828" s="661" t="str">
        <f>IF(AND($Y2828&gt;=32,(AI2828="I"),(Y2828&lt;&gt;"~"),(COUNTIF($AN$1:$AN2828,$AN2828)=1)),"TRUE","FALSE")</f>
        <v>FALSE</v>
      </c>
      <c r="AH2828" s="661" t="str">
        <f>IF(AND($Y2828&gt;=22, (AI2828&lt;&gt;"I"),(Y2828&lt;&gt;"~"),(COUNTIF($AN$1:$AN2828,$AN2828)=1)),"TRUE","FALSE")</f>
        <v>FALSE</v>
      </c>
      <c r="AI2828" s="661" t="str">
        <f t="shared" si="306"/>
        <v>N/A</v>
      </c>
      <c r="AJ2828" s="662" t="str">
        <f t="shared" si="307"/>
        <v>F35C-010</v>
      </c>
      <c r="AK2828" s="662" t="str">
        <f t="shared" si="308"/>
        <v>LTK</v>
      </c>
      <c r="AL2828" s="662" t="str">
        <f t="shared" si="309"/>
        <v>FRD</v>
      </c>
      <c r="AM2828" s="662" t="str">
        <f t="shared" si="305"/>
        <v>F350 Chassis Cab-Crew Cab XL SRW-4WD-6-~-12200-6.7L Diesel-8-W3F-630A-179-40-Diesel-BioDiesel</v>
      </c>
      <c r="AN2828" s="662" t="str">
        <f t="shared" si="310"/>
        <v>2019-LTK-FRD-F35C-010</v>
      </c>
    </row>
    <row r="2829" spans="1:40" ht="15">
      <c r="A2829" s="570" t="s">
        <v>4924</v>
      </c>
      <c r="B2829" s="573" t="s">
        <v>4915</v>
      </c>
      <c r="C2829" s="573" t="s">
        <v>280</v>
      </c>
      <c r="D2829" s="578">
        <v>27</v>
      </c>
      <c r="E2829" s="573" t="s">
        <v>3374</v>
      </c>
      <c r="F2829" s="573" t="s">
        <v>1684</v>
      </c>
      <c r="G2829" s="573" t="s">
        <v>271</v>
      </c>
      <c r="H2829" s="573">
        <v>2019</v>
      </c>
      <c r="I2829" s="573" t="s">
        <v>4879</v>
      </c>
      <c r="J2829" s="573" t="s">
        <v>4903</v>
      </c>
      <c r="K2829" s="573" t="s">
        <v>752</v>
      </c>
      <c r="L2829" s="573">
        <v>6</v>
      </c>
      <c r="M2829" s="573">
        <v>0</v>
      </c>
      <c r="N2829" s="573" t="s">
        <v>157</v>
      </c>
      <c r="O2829" s="573">
        <v>2</v>
      </c>
      <c r="P2829" s="573" t="s">
        <v>157</v>
      </c>
      <c r="Q2829" s="571">
        <v>12100</v>
      </c>
      <c r="R2829" s="573" t="s">
        <v>4235</v>
      </c>
      <c r="S2829" s="573">
        <v>8</v>
      </c>
      <c r="T2829" s="573" t="s">
        <v>4916</v>
      </c>
      <c r="U2829" s="573" t="s">
        <v>4905</v>
      </c>
      <c r="V2829" s="573">
        <v>179</v>
      </c>
      <c r="W2829" s="573">
        <v>40</v>
      </c>
      <c r="X2829" s="571">
        <v>11400</v>
      </c>
      <c r="Y2829" s="569" t="s">
        <v>164</v>
      </c>
      <c r="Z2829" s="579" t="s">
        <v>450</v>
      </c>
      <c r="AA2829" s="579" t="s">
        <v>178</v>
      </c>
      <c r="AB2829" s="584">
        <v>41845</v>
      </c>
      <c r="AC2829" s="584" t="s">
        <v>164</v>
      </c>
      <c r="AD2829" s="584">
        <v>31715.494736842109</v>
      </c>
      <c r="AE2829" s="586">
        <v>0.03</v>
      </c>
      <c r="AF2829" s="661" t="str">
        <f t="shared" si="311"/>
        <v>2019-LTK-FRD-F35C-008-27</v>
      </c>
      <c r="AG2829" s="661" t="str">
        <f>IF(AND($Y2829&gt;=32,(AI2829="I"),(Y2829&lt;&gt;"~"),(COUNTIF($AN$1:$AN2829,$AN2829)=1)),"TRUE","FALSE")</f>
        <v>FALSE</v>
      </c>
      <c r="AH2829" s="661" t="str">
        <f>IF(AND($Y2829&gt;=22, (AI2829&lt;&gt;"I"),(Y2829&lt;&gt;"~"),(COUNTIF($AN$1:$AN2829,$AN2829)=1)),"TRUE","FALSE")</f>
        <v>FALSE</v>
      </c>
      <c r="AI2829" s="661" t="str">
        <f t="shared" si="306"/>
        <v>N/A</v>
      </c>
      <c r="AJ2829" s="662" t="str">
        <f t="shared" si="307"/>
        <v>F35C-008</v>
      </c>
      <c r="AK2829" s="662" t="str">
        <f t="shared" si="308"/>
        <v>LTK</v>
      </c>
      <c r="AL2829" s="662" t="str">
        <f t="shared" si="309"/>
        <v>FRD</v>
      </c>
      <c r="AM2829" s="662" t="str">
        <f t="shared" si="305"/>
        <v>F350 Chassis Cab-Crew Cab XL SRW-4WD-6-~-12100-6.2L FFV-8-W3F-630A-179-40-E85-Unleaded</v>
      </c>
      <c r="AN2829" s="662" t="str">
        <f t="shared" si="310"/>
        <v>2019-LTK-FRD-F35C-008</v>
      </c>
    </row>
    <row r="2830" spans="1:40" ht="15">
      <c r="A2830" s="570" t="s">
        <v>4925</v>
      </c>
      <c r="B2830" s="569" t="s">
        <v>4918</v>
      </c>
      <c r="C2830" s="569" t="s">
        <v>280</v>
      </c>
      <c r="D2830" s="580">
        <v>27</v>
      </c>
      <c r="E2830" s="569" t="s">
        <v>3374</v>
      </c>
      <c r="F2830" s="569" t="s">
        <v>1684</v>
      </c>
      <c r="G2830" s="569" t="s">
        <v>271</v>
      </c>
      <c r="H2830" s="569">
        <v>2019</v>
      </c>
      <c r="I2830" s="569" t="s">
        <v>4879</v>
      </c>
      <c r="J2830" s="569" t="s">
        <v>4903</v>
      </c>
      <c r="K2830" s="569" t="s">
        <v>752</v>
      </c>
      <c r="L2830" s="569">
        <v>6</v>
      </c>
      <c r="M2830" s="569">
        <v>0</v>
      </c>
      <c r="N2830" s="569" t="s">
        <v>157</v>
      </c>
      <c r="O2830" s="569">
        <v>2</v>
      </c>
      <c r="P2830" s="569" t="s">
        <v>157</v>
      </c>
      <c r="Q2830" s="568">
        <v>12100</v>
      </c>
      <c r="R2830" s="569" t="s">
        <v>4231</v>
      </c>
      <c r="S2830" s="569">
        <v>8</v>
      </c>
      <c r="T2830" s="569" t="s">
        <v>4916</v>
      </c>
      <c r="U2830" s="569" t="s">
        <v>4905</v>
      </c>
      <c r="V2830" s="569">
        <v>179</v>
      </c>
      <c r="W2830" s="569">
        <v>40</v>
      </c>
      <c r="X2830" s="568">
        <v>11500</v>
      </c>
      <c r="Y2830" s="569" t="s">
        <v>164</v>
      </c>
      <c r="Z2830" s="581" t="s">
        <v>728</v>
      </c>
      <c r="AA2830" s="581" t="s">
        <v>1523</v>
      </c>
      <c r="AB2830" s="585">
        <v>50965</v>
      </c>
      <c r="AC2830" s="585" t="s">
        <v>164</v>
      </c>
      <c r="AD2830" s="585">
        <v>39907.68421052632</v>
      </c>
      <c r="AE2830" s="587">
        <v>0.03</v>
      </c>
      <c r="AF2830" s="661" t="str">
        <f t="shared" si="311"/>
        <v>2019-LTK-FRD-F35C-010-27</v>
      </c>
      <c r="AG2830" s="661" t="str">
        <f>IF(AND($Y2830&gt;=32,(AI2830="I"),(Y2830&lt;&gt;"~"),(COUNTIF($AN$1:$AN2830,$AN2830)=1)),"TRUE","FALSE")</f>
        <v>FALSE</v>
      </c>
      <c r="AH2830" s="661" t="str">
        <f>IF(AND($Y2830&gt;=22, (AI2830&lt;&gt;"I"),(Y2830&lt;&gt;"~"),(COUNTIF($AN$1:$AN2830,$AN2830)=1)),"TRUE","FALSE")</f>
        <v>FALSE</v>
      </c>
      <c r="AI2830" s="661" t="str">
        <f t="shared" si="306"/>
        <v>N/A</v>
      </c>
      <c r="AJ2830" s="662" t="str">
        <f t="shared" si="307"/>
        <v>F35C-010</v>
      </c>
      <c r="AK2830" s="662" t="str">
        <f t="shared" si="308"/>
        <v>LTK</v>
      </c>
      <c r="AL2830" s="662" t="str">
        <f t="shared" si="309"/>
        <v>FRD</v>
      </c>
      <c r="AM2830" s="662" t="str">
        <f t="shared" si="305"/>
        <v>F350 Chassis Cab-Crew Cab XL SRW-4WD-6-~-12100-6.7L Diesel-8-W3F-630A-179-40-Diesel-BioDiesel</v>
      </c>
      <c r="AN2830" s="662" t="str">
        <f t="shared" si="310"/>
        <v>2019-LTK-FRD-F35C-010</v>
      </c>
    </row>
    <row r="2831" spans="1:40" ht="15">
      <c r="A2831" s="570" t="s">
        <v>4926</v>
      </c>
      <c r="B2831" s="573" t="s">
        <v>4927</v>
      </c>
      <c r="C2831" s="573" t="s">
        <v>269</v>
      </c>
      <c r="D2831" s="578" t="s">
        <v>270</v>
      </c>
      <c r="E2831" s="573" t="s">
        <v>3374</v>
      </c>
      <c r="F2831" s="573" t="s">
        <v>1684</v>
      </c>
      <c r="G2831" s="573" t="s">
        <v>271</v>
      </c>
      <c r="H2831" s="573">
        <v>2019</v>
      </c>
      <c r="I2831" s="573" t="s">
        <v>4879</v>
      </c>
      <c r="J2831" s="573" t="s">
        <v>4634</v>
      </c>
      <c r="K2831" s="573" t="s">
        <v>3377</v>
      </c>
      <c r="L2831" s="573">
        <v>6</v>
      </c>
      <c r="M2831" s="573">
        <v>0</v>
      </c>
      <c r="N2831" s="573" t="s">
        <v>157</v>
      </c>
      <c r="O2831" s="573">
        <v>2</v>
      </c>
      <c r="P2831" s="573" t="s">
        <v>157</v>
      </c>
      <c r="Q2831" s="571">
        <v>12800</v>
      </c>
      <c r="R2831" s="573" t="s">
        <v>4235</v>
      </c>
      <c r="S2831" s="573">
        <v>8</v>
      </c>
      <c r="T2831" s="573" t="s">
        <v>4880</v>
      </c>
      <c r="U2831" s="573" t="s">
        <v>4928</v>
      </c>
      <c r="V2831" s="573">
        <v>179</v>
      </c>
      <c r="W2831" s="573">
        <v>40</v>
      </c>
      <c r="X2831" s="571">
        <v>14000</v>
      </c>
      <c r="Y2831" s="569" t="s">
        <v>164</v>
      </c>
      <c r="Z2831" s="579" t="s">
        <v>450</v>
      </c>
      <c r="AA2831" s="579" t="s">
        <v>178</v>
      </c>
      <c r="AB2831" s="584">
        <v>43945</v>
      </c>
      <c r="AC2831" s="584" t="s">
        <v>164</v>
      </c>
      <c r="AD2831" s="584">
        <v>33023.915789473685</v>
      </c>
      <c r="AE2831" s="586">
        <v>0.03</v>
      </c>
      <c r="AF2831" s="661" t="str">
        <f t="shared" si="311"/>
        <v>2019-LTK-FRD-F35C-011-05</v>
      </c>
      <c r="AG2831" s="661" t="str">
        <f>IF(AND($Y2831&gt;=32,(AI2831="I"),(Y2831&lt;&gt;"~"),(COUNTIF($AN$1:$AN2831,$AN2831)=1)),"TRUE","FALSE")</f>
        <v>FALSE</v>
      </c>
      <c r="AH2831" s="661" t="str">
        <f>IF(AND($Y2831&gt;=22, (AI2831&lt;&gt;"I"),(Y2831&lt;&gt;"~"),(COUNTIF($AN$1:$AN2831,$AN2831)=1)),"TRUE","FALSE")</f>
        <v>TRUE</v>
      </c>
      <c r="AI2831" s="661" t="str">
        <f t="shared" si="306"/>
        <v>N/A</v>
      </c>
      <c r="AJ2831" s="662" t="str">
        <f t="shared" si="307"/>
        <v>F35C-011</v>
      </c>
      <c r="AK2831" s="662" t="str">
        <f t="shared" si="308"/>
        <v>LTK</v>
      </c>
      <c r="AL2831" s="662" t="str">
        <f t="shared" si="309"/>
        <v>FRD</v>
      </c>
      <c r="AM2831" s="662" t="str">
        <f t="shared" si="305"/>
        <v>F350 Chassis Cab-Crew Cab XLT DRW-2WD-6-~-12800-6.2L FFV-8-W3G-643A-179-40-E85-Unleaded</v>
      </c>
      <c r="AN2831" s="662" t="str">
        <f t="shared" si="310"/>
        <v>2019-LTK-FRD-F35C-011</v>
      </c>
    </row>
    <row r="2832" spans="1:40" ht="15">
      <c r="A2832" s="570" t="s">
        <v>4929</v>
      </c>
      <c r="B2832" s="569" t="s">
        <v>4930</v>
      </c>
      <c r="C2832" s="569" t="s">
        <v>269</v>
      </c>
      <c r="D2832" s="580" t="s">
        <v>270</v>
      </c>
      <c r="E2832" s="569" t="s">
        <v>3374</v>
      </c>
      <c r="F2832" s="569" t="s">
        <v>1684</v>
      </c>
      <c r="G2832" s="569" t="s">
        <v>271</v>
      </c>
      <c r="H2832" s="569">
        <v>2019</v>
      </c>
      <c r="I2832" s="569" t="s">
        <v>4879</v>
      </c>
      <c r="J2832" s="569" t="s">
        <v>4634</v>
      </c>
      <c r="K2832" s="569" t="s">
        <v>3377</v>
      </c>
      <c r="L2832" s="569">
        <v>6</v>
      </c>
      <c r="M2832" s="569">
        <v>0</v>
      </c>
      <c r="N2832" s="569" t="s">
        <v>157</v>
      </c>
      <c r="O2832" s="569">
        <v>2</v>
      </c>
      <c r="P2832" s="569" t="s">
        <v>157</v>
      </c>
      <c r="Q2832" s="568">
        <v>12800</v>
      </c>
      <c r="R2832" s="569" t="s">
        <v>4231</v>
      </c>
      <c r="S2832" s="569">
        <v>8</v>
      </c>
      <c r="T2832" s="569" t="s">
        <v>4880</v>
      </c>
      <c r="U2832" s="569" t="s">
        <v>4928</v>
      </c>
      <c r="V2832" s="569">
        <v>179</v>
      </c>
      <c r="W2832" s="569">
        <v>40</v>
      </c>
      <c r="X2832" s="568">
        <v>14000</v>
      </c>
      <c r="Y2832" s="569" t="s">
        <v>164</v>
      </c>
      <c r="Z2832" s="581" t="s">
        <v>728</v>
      </c>
      <c r="AA2832" s="581" t="s">
        <v>1523</v>
      </c>
      <c r="AB2832" s="585">
        <v>53065</v>
      </c>
      <c r="AC2832" s="585" t="s">
        <v>164</v>
      </c>
      <c r="AD2832" s="585">
        <v>41216.1052631579</v>
      </c>
      <c r="AE2832" s="587">
        <v>0.03</v>
      </c>
      <c r="AF2832" s="661" t="str">
        <f t="shared" si="311"/>
        <v>2019-LTK-FRD-F35C-012-05</v>
      </c>
      <c r="AG2832" s="661" t="str">
        <f>IF(AND($Y2832&gt;=32,(AI2832="I"),(Y2832&lt;&gt;"~"),(COUNTIF($AN$1:$AN2832,$AN2832)=1)),"TRUE","FALSE")</f>
        <v>FALSE</v>
      </c>
      <c r="AH2832" s="661" t="str">
        <f>IF(AND($Y2832&gt;=22, (AI2832&lt;&gt;"I"),(Y2832&lt;&gt;"~"),(COUNTIF($AN$1:$AN2832,$AN2832)=1)),"TRUE","FALSE")</f>
        <v>TRUE</v>
      </c>
      <c r="AI2832" s="661" t="str">
        <f t="shared" si="306"/>
        <v>N/A</v>
      </c>
      <c r="AJ2832" s="662" t="str">
        <f t="shared" si="307"/>
        <v>F35C-012</v>
      </c>
      <c r="AK2832" s="662" t="str">
        <f t="shared" si="308"/>
        <v>LTK</v>
      </c>
      <c r="AL2832" s="662" t="str">
        <f t="shared" si="309"/>
        <v>FRD</v>
      </c>
      <c r="AM2832" s="662" t="str">
        <f t="shared" si="305"/>
        <v>F350 Chassis Cab-Crew Cab XLT DRW-2WD-6-~-12800-6.7L Diesel-8-W3G-643A-179-40-Diesel-BioDiesel</v>
      </c>
      <c r="AN2832" s="662" t="str">
        <f t="shared" si="310"/>
        <v>2019-LTK-FRD-F35C-012</v>
      </c>
    </row>
    <row r="2833" spans="1:40" ht="15">
      <c r="A2833" s="570" t="s">
        <v>4931</v>
      </c>
      <c r="B2833" s="573" t="s">
        <v>4927</v>
      </c>
      <c r="C2833" s="573" t="s">
        <v>278</v>
      </c>
      <c r="D2833" s="578">
        <v>15</v>
      </c>
      <c r="E2833" s="573" t="s">
        <v>3374</v>
      </c>
      <c r="F2833" s="573" t="s">
        <v>1684</v>
      </c>
      <c r="G2833" s="573" t="s">
        <v>271</v>
      </c>
      <c r="H2833" s="573">
        <v>2019</v>
      </c>
      <c r="I2833" s="573" t="s">
        <v>4879</v>
      </c>
      <c r="J2833" s="573" t="s">
        <v>4634</v>
      </c>
      <c r="K2833" s="573" t="s">
        <v>3377</v>
      </c>
      <c r="L2833" s="573">
        <v>6</v>
      </c>
      <c r="M2833" s="573">
        <v>0</v>
      </c>
      <c r="N2833" s="573" t="s">
        <v>157</v>
      </c>
      <c r="O2833" s="573">
        <v>2</v>
      </c>
      <c r="P2833" s="573" t="s">
        <v>157</v>
      </c>
      <c r="Q2833" s="571">
        <v>12800</v>
      </c>
      <c r="R2833" s="573" t="s">
        <v>4235</v>
      </c>
      <c r="S2833" s="573">
        <v>8</v>
      </c>
      <c r="T2833" s="573" t="s">
        <v>4880</v>
      </c>
      <c r="U2833" s="573" t="s">
        <v>4928</v>
      </c>
      <c r="V2833" s="573">
        <v>179</v>
      </c>
      <c r="W2833" s="573">
        <v>40</v>
      </c>
      <c r="X2833" s="571">
        <v>14000</v>
      </c>
      <c r="Y2833" s="569" t="s">
        <v>164</v>
      </c>
      <c r="Z2833" s="579" t="s">
        <v>450</v>
      </c>
      <c r="AA2833" s="579" t="s">
        <v>178</v>
      </c>
      <c r="AB2833" s="584">
        <v>43945</v>
      </c>
      <c r="AC2833" s="584" t="s">
        <v>164</v>
      </c>
      <c r="AD2833" s="584">
        <v>33200</v>
      </c>
      <c r="AE2833" s="586">
        <v>0.01</v>
      </c>
      <c r="AF2833" s="661" t="str">
        <f t="shared" si="311"/>
        <v>2019-LTK-FRD-F35C-011-15</v>
      </c>
      <c r="AG2833" s="661" t="str">
        <f>IF(AND($Y2833&gt;=32,(AI2833="I"),(Y2833&lt;&gt;"~"),(COUNTIF($AN$1:$AN2833,$AN2833)=1)),"TRUE","FALSE")</f>
        <v>FALSE</v>
      </c>
      <c r="AH2833" s="661" t="str">
        <f>IF(AND($Y2833&gt;=22, (AI2833&lt;&gt;"I"),(Y2833&lt;&gt;"~"),(COUNTIF($AN$1:$AN2833,$AN2833)=1)),"TRUE","FALSE")</f>
        <v>FALSE</v>
      </c>
      <c r="AI2833" s="661" t="str">
        <f t="shared" si="306"/>
        <v>N/A</v>
      </c>
      <c r="AJ2833" s="662" t="str">
        <f t="shared" si="307"/>
        <v>F35C-011</v>
      </c>
      <c r="AK2833" s="662" t="str">
        <f t="shared" si="308"/>
        <v>LTK</v>
      </c>
      <c r="AL2833" s="662" t="str">
        <f t="shared" si="309"/>
        <v>FRD</v>
      </c>
      <c r="AM2833" s="662" t="str">
        <f t="shared" si="305"/>
        <v>F350 Chassis Cab-Crew Cab XLT DRW-2WD-6-~-12800-6.2L FFV-8-W3G-643A-179-40-E85-Unleaded</v>
      </c>
      <c r="AN2833" s="662" t="str">
        <f t="shared" si="310"/>
        <v>2019-LTK-FRD-F35C-011</v>
      </c>
    </row>
    <row r="2834" spans="1:40" ht="15">
      <c r="A2834" s="570" t="s">
        <v>4932</v>
      </c>
      <c r="B2834" s="569" t="s">
        <v>4930</v>
      </c>
      <c r="C2834" s="569" t="s">
        <v>278</v>
      </c>
      <c r="D2834" s="580">
        <v>15</v>
      </c>
      <c r="E2834" s="569" t="s">
        <v>3374</v>
      </c>
      <c r="F2834" s="569" t="s">
        <v>1684</v>
      </c>
      <c r="G2834" s="569" t="s">
        <v>271</v>
      </c>
      <c r="H2834" s="569">
        <v>2019</v>
      </c>
      <c r="I2834" s="569" t="s">
        <v>4879</v>
      </c>
      <c r="J2834" s="569" t="s">
        <v>4634</v>
      </c>
      <c r="K2834" s="569" t="s">
        <v>3377</v>
      </c>
      <c r="L2834" s="569">
        <v>6</v>
      </c>
      <c r="M2834" s="569">
        <v>0</v>
      </c>
      <c r="N2834" s="569" t="s">
        <v>157</v>
      </c>
      <c r="O2834" s="569">
        <v>2</v>
      </c>
      <c r="P2834" s="569" t="s">
        <v>157</v>
      </c>
      <c r="Q2834" s="568">
        <v>12800</v>
      </c>
      <c r="R2834" s="569" t="s">
        <v>4231</v>
      </c>
      <c r="S2834" s="569">
        <v>8</v>
      </c>
      <c r="T2834" s="569" t="s">
        <v>4880</v>
      </c>
      <c r="U2834" s="569" t="s">
        <v>4928</v>
      </c>
      <c r="V2834" s="569">
        <v>179</v>
      </c>
      <c r="W2834" s="569">
        <v>40</v>
      </c>
      <c r="X2834" s="568">
        <v>14000</v>
      </c>
      <c r="Y2834" s="569" t="s">
        <v>164</v>
      </c>
      <c r="Z2834" s="581" t="s">
        <v>728</v>
      </c>
      <c r="AA2834" s="581" t="s">
        <v>1523</v>
      </c>
      <c r="AB2834" s="585">
        <v>53065</v>
      </c>
      <c r="AC2834" s="585" t="s">
        <v>164</v>
      </c>
      <c r="AD2834" s="585">
        <v>41450</v>
      </c>
      <c r="AE2834" s="587">
        <v>0.01</v>
      </c>
      <c r="AF2834" s="661" t="str">
        <f t="shared" si="311"/>
        <v>2019-LTK-FRD-F35C-012-15</v>
      </c>
      <c r="AG2834" s="661" t="str">
        <f>IF(AND($Y2834&gt;=32,(AI2834="I"),(Y2834&lt;&gt;"~"),(COUNTIF($AN$1:$AN2834,$AN2834)=1)),"TRUE","FALSE")</f>
        <v>FALSE</v>
      </c>
      <c r="AH2834" s="661" t="str">
        <f>IF(AND($Y2834&gt;=22, (AI2834&lt;&gt;"I"),(Y2834&lt;&gt;"~"),(COUNTIF($AN$1:$AN2834,$AN2834)=1)),"TRUE","FALSE")</f>
        <v>FALSE</v>
      </c>
      <c r="AI2834" s="661" t="str">
        <f t="shared" si="306"/>
        <v>N/A</v>
      </c>
      <c r="AJ2834" s="662" t="str">
        <f t="shared" si="307"/>
        <v>F35C-012</v>
      </c>
      <c r="AK2834" s="662" t="str">
        <f t="shared" si="308"/>
        <v>LTK</v>
      </c>
      <c r="AL2834" s="662" t="str">
        <f t="shared" si="309"/>
        <v>FRD</v>
      </c>
      <c r="AM2834" s="662" t="str">
        <f t="shared" si="305"/>
        <v>F350 Chassis Cab-Crew Cab XLT DRW-2WD-6-~-12800-6.7L Diesel-8-W3G-643A-179-40-Diesel-BioDiesel</v>
      </c>
      <c r="AN2834" s="662" t="str">
        <f t="shared" si="310"/>
        <v>2019-LTK-FRD-F35C-012</v>
      </c>
    </row>
    <row r="2835" spans="1:40" ht="15">
      <c r="A2835" s="570" t="s">
        <v>4933</v>
      </c>
      <c r="B2835" s="573" t="s">
        <v>4927</v>
      </c>
      <c r="C2835" s="573" t="s">
        <v>287</v>
      </c>
      <c r="D2835" s="578">
        <v>26</v>
      </c>
      <c r="E2835" s="573" t="s">
        <v>3374</v>
      </c>
      <c r="F2835" s="573" t="s">
        <v>1684</v>
      </c>
      <c r="G2835" s="573" t="s">
        <v>271</v>
      </c>
      <c r="H2835" s="573">
        <v>2019</v>
      </c>
      <c r="I2835" s="573" t="s">
        <v>4879</v>
      </c>
      <c r="J2835" s="573" t="s">
        <v>4634</v>
      </c>
      <c r="K2835" s="573" t="s">
        <v>3377</v>
      </c>
      <c r="L2835" s="573">
        <v>6</v>
      </c>
      <c r="M2835" s="573">
        <v>0</v>
      </c>
      <c r="N2835" s="573" t="s">
        <v>157</v>
      </c>
      <c r="O2835" s="573">
        <v>2</v>
      </c>
      <c r="P2835" s="573" t="s">
        <v>157</v>
      </c>
      <c r="Q2835" s="571">
        <v>12800</v>
      </c>
      <c r="R2835" s="573" t="s">
        <v>4235</v>
      </c>
      <c r="S2835" s="573">
        <v>8</v>
      </c>
      <c r="T2835" s="573" t="s">
        <v>4880</v>
      </c>
      <c r="U2835" s="573" t="s">
        <v>4928</v>
      </c>
      <c r="V2835" s="573">
        <v>179</v>
      </c>
      <c r="W2835" s="573">
        <v>40</v>
      </c>
      <c r="X2835" s="571">
        <v>14000</v>
      </c>
      <c r="Y2835" s="569" t="s">
        <v>164</v>
      </c>
      <c r="Z2835" s="579" t="s">
        <v>450</v>
      </c>
      <c r="AA2835" s="579" t="s">
        <v>178</v>
      </c>
      <c r="AB2835" s="584">
        <v>43945</v>
      </c>
      <c r="AC2835" s="584" t="s">
        <v>164</v>
      </c>
      <c r="AD2835" s="584">
        <v>33242</v>
      </c>
      <c r="AE2835" s="586">
        <v>0.05</v>
      </c>
      <c r="AF2835" s="661" t="str">
        <f t="shared" si="311"/>
        <v>2019-LTK-FRD-F35C-011-26</v>
      </c>
      <c r="AG2835" s="661" t="str">
        <f>IF(AND($Y2835&gt;=32,(AI2835="I"),(Y2835&lt;&gt;"~"),(COUNTIF($AN$1:$AN2835,$AN2835)=1)),"TRUE","FALSE")</f>
        <v>FALSE</v>
      </c>
      <c r="AH2835" s="661" t="str">
        <f>IF(AND($Y2835&gt;=22, (AI2835&lt;&gt;"I"),(Y2835&lt;&gt;"~"),(COUNTIF($AN$1:$AN2835,$AN2835)=1)),"TRUE","FALSE")</f>
        <v>FALSE</v>
      </c>
      <c r="AI2835" s="661" t="str">
        <f t="shared" si="306"/>
        <v>N/A</v>
      </c>
      <c r="AJ2835" s="662" t="str">
        <f t="shared" si="307"/>
        <v>F35C-011</v>
      </c>
      <c r="AK2835" s="662" t="str">
        <f t="shared" si="308"/>
        <v>LTK</v>
      </c>
      <c r="AL2835" s="662" t="str">
        <f t="shared" si="309"/>
        <v>FRD</v>
      </c>
      <c r="AM2835" s="662" t="str">
        <f t="shared" si="305"/>
        <v>F350 Chassis Cab-Crew Cab XLT DRW-2WD-6-~-12800-6.2L FFV-8-W3G-643A-179-40-E85-Unleaded</v>
      </c>
      <c r="AN2835" s="662" t="str">
        <f t="shared" si="310"/>
        <v>2019-LTK-FRD-F35C-011</v>
      </c>
    </row>
    <row r="2836" spans="1:40" ht="15">
      <c r="A2836" s="570" t="s">
        <v>4934</v>
      </c>
      <c r="B2836" s="569" t="s">
        <v>4930</v>
      </c>
      <c r="C2836" s="569" t="s">
        <v>287</v>
      </c>
      <c r="D2836" s="580">
        <v>26</v>
      </c>
      <c r="E2836" s="569" t="s">
        <v>3374</v>
      </c>
      <c r="F2836" s="569" t="s">
        <v>1684</v>
      </c>
      <c r="G2836" s="569" t="s">
        <v>271</v>
      </c>
      <c r="H2836" s="569">
        <v>2019</v>
      </c>
      <c r="I2836" s="569" t="s">
        <v>4879</v>
      </c>
      <c r="J2836" s="569" t="s">
        <v>4634</v>
      </c>
      <c r="K2836" s="569" t="s">
        <v>3377</v>
      </c>
      <c r="L2836" s="569">
        <v>6</v>
      </c>
      <c r="M2836" s="569">
        <v>0</v>
      </c>
      <c r="N2836" s="569" t="s">
        <v>157</v>
      </c>
      <c r="O2836" s="569">
        <v>2</v>
      </c>
      <c r="P2836" s="569" t="s">
        <v>157</v>
      </c>
      <c r="Q2836" s="568">
        <v>12800</v>
      </c>
      <c r="R2836" s="569" t="s">
        <v>4231</v>
      </c>
      <c r="S2836" s="569">
        <v>8</v>
      </c>
      <c r="T2836" s="569" t="s">
        <v>4880</v>
      </c>
      <c r="U2836" s="569" t="s">
        <v>4928</v>
      </c>
      <c r="V2836" s="569">
        <v>179</v>
      </c>
      <c r="W2836" s="569">
        <v>40</v>
      </c>
      <c r="X2836" s="568">
        <v>14000</v>
      </c>
      <c r="Y2836" s="569" t="s">
        <v>164</v>
      </c>
      <c r="Z2836" s="581" t="s">
        <v>728</v>
      </c>
      <c r="AA2836" s="581" t="s">
        <v>1523</v>
      </c>
      <c r="AB2836" s="585">
        <v>53065</v>
      </c>
      <c r="AC2836" s="585" t="s">
        <v>164</v>
      </c>
      <c r="AD2836" s="585">
        <v>41436</v>
      </c>
      <c r="AE2836" s="587">
        <v>0.05</v>
      </c>
      <c r="AF2836" s="661" t="str">
        <f t="shared" si="311"/>
        <v>2019-LTK-FRD-F35C-012-26</v>
      </c>
      <c r="AG2836" s="661" t="str">
        <f>IF(AND($Y2836&gt;=32,(AI2836="I"),(Y2836&lt;&gt;"~"),(COUNTIF($AN$1:$AN2836,$AN2836)=1)),"TRUE","FALSE")</f>
        <v>FALSE</v>
      </c>
      <c r="AH2836" s="661" t="str">
        <f>IF(AND($Y2836&gt;=22, (AI2836&lt;&gt;"I"),(Y2836&lt;&gt;"~"),(COUNTIF($AN$1:$AN2836,$AN2836)=1)),"TRUE","FALSE")</f>
        <v>FALSE</v>
      </c>
      <c r="AI2836" s="661" t="str">
        <f t="shared" si="306"/>
        <v>N/A</v>
      </c>
      <c r="AJ2836" s="662" t="str">
        <f t="shared" si="307"/>
        <v>F35C-012</v>
      </c>
      <c r="AK2836" s="662" t="str">
        <f t="shared" si="308"/>
        <v>LTK</v>
      </c>
      <c r="AL2836" s="662" t="str">
        <f t="shared" si="309"/>
        <v>FRD</v>
      </c>
      <c r="AM2836" s="662" t="str">
        <f t="shared" si="305"/>
        <v>F350 Chassis Cab-Crew Cab XLT DRW-2WD-6-~-12800-6.7L Diesel-8-W3G-643A-179-40-Diesel-BioDiesel</v>
      </c>
      <c r="AN2836" s="662" t="str">
        <f t="shared" si="310"/>
        <v>2019-LTK-FRD-F35C-012</v>
      </c>
    </row>
    <row r="2837" spans="1:40" ht="15">
      <c r="A2837" s="570" t="s">
        <v>4935</v>
      </c>
      <c r="B2837" s="573" t="s">
        <v>4927</v>
      </c>
      <c r="C2837" s="573" t="s">
        <v>280</v>
      </c>
      <c r="D2837" s="578">
        <v>27</v>
      </c>
      <c r="E2837" s="573" t="s">
        <v>3374</v>
      </c>
      <c r="F2837" s="573" t="s">
        <v>1684</v>
      </c>
      <c r="G2837" s="573" t="s">
        <v>271</v>
      </c>
      <c r="H2837" s="573">
        <v>2019</v>
      </c>
      <c r="I2837" s="573" t="s">
        <v>4879</v>
      </c>
      <c r="J2837" s="573" t="s">
        <v>4634</v>
      </c>
      <c r="K2837" s="573" t="s">
        <v>3377</v>
      </c>
      <c r="L2837" s="573">
        <v>6</v>
      </c>
      <c r="M2837" s="573">
        <v>0</v>
      </c>
      <c r="N2837" s="573" t="s">
        <v>157</v>
      </c>
      <c r="O2837" s="573">
        <v>2</v>
      </c>
      <c r="P2837" s="573" t="s">
        <v>157</v>
      </c>
      <c r="Q2837" s="571">
        <v>12800</v>
      </c>
      <c r="R2837" s="573" t="s">
        <v>4235</v>
      </c>
      <c r="S2837" s="573">
        <v>8</v>
      </c>
      <c r="T2837" s="573" t="s">
        <v>4880</v>
      </c>
      <c r="U2837" s="573" t="s">
        <v>4928</v>
      </c>
      <c r="V2837" s="573">
        <v>179</v>
      </c>
      <c r="W2837" s="573">
        <v>40</v>
      </c>
      <c r="X2837" s="571">
        <v>14000</v>
      </c>
      <c r="Y2837" s="569" t="s">
        <v>164</v>
      </c>
      <c r="Z2837" s="579" t="s">
        <v>450</v>
      </c>
      <c r="AA2837" s="579" t="s">
        <v>178</v>
      </c>
      <c r="AB2837" s="584">
        <v>43945</v>
      </c>
      <c r="AC2837" s="584" t="s">
        <v>164</v>
      </c>
      <c r="AD2837" s="584">
        <v>33023.915789473685</v>
      </c>
      <c r="AE2837" s="586">
        <v>0.03</v>
      </c>
      <c r="AF2837" s="661" t="str">
        <f t="shared" si="311"/>
        <v>2019-LTK-FRD-F35C-011-27</v>
      </c>
      <c r="AG2837" s="661" t="str">
        <f>IF(AND($Y2837&gt;=32,(AI2837="I"),(Y2837&lt;&gt;"~"),(COUNTIF($AN$1:$AN2837,$AN2837)=1)),"TRUE","FALSE")</f>
        <v>FALSE</v>
      </c>
      <c r="AH2837" s="661" t="str">
        <f>IF(AND($Y2837&gt;=22, (AI2837&lt;&gt;"I"),(Y2837&lt;&gt;"~"),(COUNTIF($AN$1:$AN2837,$AN2837)=1)),"TRUE","FALSE")</f>
        <v>FALSE</v>
      </c>
      <c r="AI2837" s="661" t="str">
        <f t="shared" si="306"/>
        <v>N/A</v>
      </c>
      <c r="AJ2837" s="662" t="str">
        <f t="shared" si="307"/>
        <v>F35C-011</v>
      </c>
      <c r="AK2837" s="662" t="str">
        <f t="shared" si="308"/>
        <v>LTK</v>
      </c>
      <c r="AL2837" s="662" t="str">
        <f t="shared" si="309"/>
        <v>FRD</v>
      </c>
      <c r="AM2837" s="662" t="str">
        <f t="shared" si="305"/>
        <v>F350 Chassis Cab-Crew Cab XLT DRW-2WD-6-~-12800-6.2L FFV-8-W3G-643A-179-40-E85-Unleaded</v>
      </c>
      <c r="AN2837" s="662" t="str">
        <f t="shared" si="310"/>
        <v>2019-LTK-FRD-F35C-011</v>
      </c>
    </row>
    <row r="2838" spans="1:40" ht="15">
      <c r="A2838" s="570" t="s">
        <v>4936</v>
      </c>
      <c r="B2838" s="569" t="s">
        <v>4930</v>
      </c>
      <c r="C2838" s="569" t="s">
        <v>280</v>
      </c>
      <c r="D2838" s="580">
        <v>27</v>
      </c>
      <c r="E2838" s="569" t="s">
        <v>3374</v>
      </c>
      <c r="F2838" s="569" t="s">
        <v>1684</v>
      </c>
      <c r="G2838" s="569" t="s">
        <v>271</v>
      </c>
      <c r="H2838" s="569">
        <v>2019</v>
      </c>
      <c r="I2838" s="569" t="s">
        <v>4879</v>
      </c>
      <c r="J2838" s="569" t="s">
        <v>4634</v>
      </c>
      <c r="K2838" s="569" t="s">
        <v>3377</v>
      </c>
      <c r="L2838" s="569">
        <v>6</v>
      </c>
      <c r="M2838" s="569">
        <v>0</v>
      </c>
      <c r="N2838" s="569" t="s">
        <v>157</v>
      </c>
      <c r="O2838" s="569">
        <v>2</v>
      </c>
      <c r="P2838" s="569" t="s">
        <v>157</v>
      </c>
      <c r="Q2838" s="568">
        <v>12800</v>
      </c>
      <c r="R2838" s="569" t="s">
        <v>4231</v>
      </c>
      <c r="S2838" s="569">
        <v>8</v>
      </c>
      <c r="T2838" s="569" t="s">
        <v>4880</v>
      </c>
      <c r="U2838" s="569" t="s">
        <v>4928</v>
      </c>
      <c r="V2838" s="569">
        <v>179</v>
      </c>
      <c r="W2838" s="569">
        <v>40</v>
      </c>
      <c r="X2838" s="568">
        <v>14000</v>
      </c>
      <c r="Y2838" s="569" t="s">
        <v>164</v>
      </c>
      <c r="Z2838" s="581" t="s">
        <v>728</v>
      </c>
      <c r="AA2838" s="581" t="s">
        <v>1523</v>
      </c>
      <c r="AB2838" s="585">
        <v>53065</v>
      </c>
      <c r="AC2838" s="585" t="s">
        <v>164</v>
      </c>
      <c r="AD2838" s="585">
        <v>41216.1052631579</v>
      </c>
      <c r="AE2838" s="587">
        <v>0.03</v>
      </c>
      <c r="AF2838" s="661" t="str">
        <f t="shared" si="311"/>
        <v>2019-LTK-FRD-F35C-012-27</v>
      </c>
      <c r="AG2838" s="661" t="str">
        <f>IF(AND($Y2838&gt;=32,(AI2838="I"),(Y2838&lt;&gt;"~"),(COUNTIF($AN$1:$AN2838,$AN2838)=1)),"TRUE","FALSE")</f>
        <v>FALSE</v>
      </c>
      <c r="AH2838" s="661" t="str">
        <f>IF(AND($Y2838&gt;=22, (AI2838&lt;&gt;"I"),(Y2838&lt;&gt;"~"),(COUNTIF($AN$1:$AN2838,$AN2838)=1)),"TRUE","FALSE")</f>
        <v>FALSE</v>
      </c>
      <c r="AI2838" s="661" t="str">
        <f t="shared" si="306"/>
        <v>N/A</v>
      </c>
      <c r="AJ2838" s="662" t="str">
        <f t="shared" si="307"/>
        <v>F35C-012</v>
      </c>
      <c r="AK2838" s="662" t="str">
        <f t="shared" si="308"/>
        <v>LTK</v>
      </c>
      <c r="AL2838" s="662" t="str">
        <f t="shared" si="309"/>
        <v>FRD</v>
      </c>
      <c r="AM2838" s="662" t="str">
        <f t="shared" si="305"/>
        <v>F350 Chassis Cab-Crew Cab XLT DRW-2WD-6-~-12800-6.7L Diesel-8-W3G-643A-179-40-Diesel-BioDiesel</v>
      </c>
      <c r="AN2838" s="662" t="str">
        <f t="shared" si="310"/>
        <v>2019-LTK-FRD-F35C-012</v>
      </c>
    </row>
    <row r="2839" spans="1:40" ht="15">
      <c r="A2839" s="570" t="s">
        <v>4937</v>
      </c>
      <c r="B2839" s="573" t="s">
        <v>4938</v>
      </c>
      <c r="C2839" s="573" t="s">
        <v>269</v>
      </c>
      <c r="D2839" s="578" t="s">
        <v>270</v>
      </c>
      <c r="E2839" s="573" t="s">
        <v>3374</v>
      </c>
      <c r="F2839" s="573" t="s">
        <v>1684</v>
      </c>
      <c r="G2839" s="573" t="s">
        <v>271</v>
      </c>
      <c r="H2839" s="573">
        <v>2019</v>
      </c>
      <c r="I2839" s="573" t="s">
        <v>4879</v>
      </c>
      <c r="J2839" s="573" t="s">
        <v>4634</v>
      </c>
      <c r="K2839" s="573" t="s">
        <v>752</v>
      </c>
      <c r="L2839" s="573">
        <v>6</v>
      </c>
      <c r="M2839" s="573">
        <v>0</v>
      </c>
      <c r="N2839" s="573" t="s">
        <v>157</v>
      </c>
      <c r="O2839" s="573">
        <v>2</v>
      </c>
      <c r="P2839" s="573" t="s">
        <v>157</v>
      </c>
      <c r="Q2839" s="571">
        <v>12400</v>
      </c>
      <c r="R2839" s="573" t="s">
        <v>4235</v>
      </c>
      <c r="S2839" s="573">
        <v>8</v>
      </c>
      <c r="T2839" s="573" t="s">
        <v>4892</v>
      </c>
      <c r="U2839" s="573" t="s">
        <v>4928</v>
      </c>
      <c r="V2839" s="573">
        <v>179</v>
      </c>
      <c r="W2839" s="573">
        <v>40</v>
      </c>
      <c r="X2839" s="571">
        <v>14000</v>
      </c>
      <c r="Y2839" s="569" t="s">
        <v>164</v>
      </c>
      <c r="Z2839" s="579" t="s">
        <v>450</v>
      </c>
      <c r="AA2839" s="579" t="s">
        <v>178</v>
      </c>
      <c r="AB2839" s="584">
        <v>47450</v>
      </c>
      <c r="AC2839" s="584" t="s">
        <v>164</v>
      </c>
      <c r="AD2839" s="584">
        <v>35418.652631578952</v>
      </c>
      <c r="AE2839" s="586">
        <v>0.03</v>
      </c>
      <c r="AF2839" s="661" t="str">
        <f t="shared" si="311"/>
        <v>2019-LTK-FRD-F35C-013-05</v>
      </c>
      <c r="AG2839" s="661" t="str">
        <f>IF(AND($Y2839&gt;=32,(AI2839="I"),(Y2839&lt;&gt;"~"),(COUNTIF($AN$1:$AN2839,$AN2839)=1)),"TRUE","FALSE")</f>
        <v>FALSE</v>
      </c>
      <c r="AH2839" s="661" t="str">
        <f>IF(AND($Y2839&gt;=22, (AI2839&lt;&gt;"I"),(Y2839&lt;&gt;"~"),(COUNTIF($AN$1:$AN2839,$AN2839)=1)),"TRUE","FALSE")</f>
        <v>TRUE</v>
      </c>
      <c r="AI2839" s="661" t="str">
        <f t="shared" si="306"/>
        <v>N/A</v>
      </c>
      <c r="AJ2839" s="662" t="str">
        <f t="shared" si="307"/>
        <v>F35C-013</v>
      </c>
      <c r="AK2839" s="662" t="str">
        <f t="shared" si="308"/>
        <v>LTK</v>
      </c>
      <c r="AL2839" s="662" t="str">
        <f t="shared" si="309"/>
        <v>FRD</v>
      </c>
      <c r="AM2839" s="662" t="str">
        <f t="shared" si="305"/>
        <v>F350 Chassis Cab-Crew Cab XLT DRW-4WD-6-~-12400-6.2L FFV-8-W3H-643A-179-40-E85-Unleaded</v>
      </c>
      <c r="AN2839" s="662" t="str">
        <f t="shared" si="310"/>
        <v>2019-LTK-FRD-F35C-013</v>
      </c>
    </row>
    <row r="2840" spans="1:40" ht="15">
      <c r="A2840" s="570" t="s">
        <v>4939</v>
      </c>
      <c r="B2840" s="569" t="s">
        <v>4940</v>
      </c>
      <c r="C2840" s="569" t="s">
        <v>269</v>
      </c>
      <c r="D2840" s="580" t="s">
        <v>270</v>
      </c>
      <c r="E2840" s="569" t="s">
        <v>3374</v>
      </c>
      <c r="F2840" s="569" t="s">
        <v>1684</v>
      </c>
      <c r="G2840" s="569" t="s">
        <v>271</v>
      </c>
      <c r="H2840" s="569">
        <v>2019</v>
      </c>
      <c r="I2840" s="569" t="s">
        <v>4879</v>
      </c>
      <c r="J2840" s="569" t="s">
        <v>4634</v>
      </c>
      <c r="K2840" s="569" t="s">
        <v>752</v>
      </c>
      <c r="L2840" s="569">
        <v>6</v>
      </c>
      <c r="M2840" s="569">
        <v>0</v>
      </c>
      <c r="N2840" s="569" t="s">
        <v>157</v>
      </c>
      <c r="O2840" s="569">
        <v>2</v>
      </c>
      <c r="P2840" s="569" t="s">
        <v>157</v>
      </c>
      <c r="Q2840" s="568">
        <v>12400</v>
      </c>
      <c r="R2840" s="569" t="s">
        <v>4231</v>
      </c>
      <c r="S2840" s="569">
        <v>8</v>
      </c>
      <c r="T2840" s="569" t="s">
        <v>4892</v>
      </c>
      <c r="U2840" s="569" t="s">
        <v>4928</v>
      </c>
      <c r="V2840" s="569">
        <v>179</v>
      </c>
      <c r="W2840" s="569">
        <v>40</v>
      </c>
      <c r="X2840" s="568">
        <v>14000</v>
      </c>
      <c r="Y2840" s="569" t="s">
        <v>164</v>
      </c>
      <c r="Z2840" s="581" t="s">
        <v>728</v>
      </c>
      <c r="AA2840" s="581" t="s">
        <v>1523</v>
      </c>
      <c r="AB2840" s="585">
        <v>56570</v>
      </c>
      <c r="AC2840" s="585" t="s">
        <v>164</v>
      </c>
      <c r="AD2840" s="585">
        <v>43610.526315789473</v>
      </c>
      <c r="AE2840" s="587">
        <v>0.03</v>
      </c>
      <c r="AF2840" s="661" t="str">
        <f t="shared" si="311"/>
        <v>2019-LTK-FRD-F35C-014-05</v>
      </c>
      <c r="AG2840" s="661" t="str">
        <f>IF(AND($Y2840&gt;=32,(AI2840="I"),(Y2840&lt;&gt;"~"),(COUNTIF($AN$1:$AN2840,$AN2840)=1)),"TRUE","FALSE")</f>
        <v>FALSE</v>
      </c>
      <c r="AH2840" s="661" t="str">
        <f>IF(AND($Y2840&gt;=22, (AI2840&lt;&gt;"I"),(Y2840&lt;&gt;"~"),(COUNTIF($AN$1:$AN2840,$AN2840)=1)),"TRUE","FALSE")</f>
        <v>TRUE</v>
      </c>
      <c r="AI2840" s="661" t="str">
        <f t="shared" si="306"/>
        <v>N/A</v>
      </c>
      <c r="AJ2840" s="662" t="str">
        <f t="shared" si="307"/>
        <v>F35C-014</v>
      </c>
      <c r="AK2840" s="662" t="str">
        <f t="shared" si="308"/>
        <v>LTK</v>
      </c>
      <c r="AL2840" s="662" t="str">
        <f t="shared" si="309"/>
        <v>FRD</v>
      </c>
      <c r="AM2840" s="662" t="str">
        <f t="shared" si="305"/>
        <v>F350 Chassis Cab-Crew Cab XLT DRW-4WD-6-~-12400-6.7L Diesel-8-W3H-643A-179-40-Diesel-BioDiesel</v>
      </c>
      <c r="AN2840" s="662" t="str">
        <f t="shared" si="310"/>
        <v>2019-LTK-FRD-F35C-014</v>
      </c>
    </row>
    <row r="2841" spans="1:40" ht="15">
      <c r="A2841" s="570" t="s">
        <v>4941</v>
      </c>
      <c r="B2841" s="573" t="s">
        <v>4938</v>
      </c>
      <c r="C2841" s="573" t="s">
        <v>278</v>
      </c>
      <c r="D2841" s="578">
        <v>15</v>
      </c>
      <c r="E2841" s="573" t="s">
        <v>3374</v>
      </c>
      <c r="F2841" s="573" t="s">
        <v>1684</v>
      </c>
      <c r="G2841" s="573" t="s">
        <v>271</v>
      </c>
      <c r="H2841" s="573">
        <v>2019</v>
      </c>
      <c r="I2841" s="573" t="s">
        <v>4879</v>
      </c>
      <c r="J2841" s="573" t="s">
        <v>4634</v>
      </c>
      <c r="K2841" s="573" t="s">
        <v>752</v>
      </c>
      <c r="L2841" s="573">
        <v>6</v>
      </c>
      <c r="M2841" s="573">
        <v>0</v>
      </c>
      <c r="N2841" s="573" t="s">
        <v>157</v>
      </c>
      <c r="O2841" s="573">
        <v>2</v>
      </c>
      <c r="P2841" s="573" t="s">
        <v>157</v>
      </c>
      <c r="Q2841" s="571">
        <v>12400</v>
      </c>
      <c r="R2841" s="573" t="s">
        <v>4235</v>
      </c>
      <c r="S2841" s="573">
        <v>8</v>
      </c>
      <c r="T2841" s="573" t="s">
        <v>4892</v>
      </c>
      <c r="U2841" s="573" t="s">
        <v>4928</v>
      </c>
      <c r="V2841" s="573">
        <v>179</v>
      </c>
      <c r="W2841" s="573">
        <v>40</v>
      </c>
      <c r="X2841" s="571">
        <v>14000</v>
      </c>
      <c r="Y2841" s="569" t="s">
        <v>164</v>
      </c>
      <c r="Z2841" s="579" t="s">
        <v>450</v>
      </c>
      <c r="AA2841" s="579" t="s">
        <v>178</v>
      </c>
      <c r="AB2841" s="584">
        <v>47450</v>
      </c>
      <c r="AC2841" s="584" t="s">
        <v>164</v>
      </c>
      <c r="AD2841" s="584">
        <v>35600</v>
      </c>
      <c r="AE2841" s="586">
        <v>0.01</v>
      </c>
      <c r="AF2841" s="661" t="str">
        <f t="shared" si="311"/>
        <v>2019-LTK-FRD-F35C-013-15</v>
      </c>
      <c r="AG2841" s="661" t="str">
        <f>IF(AND($Y2841&gt;=32,(AI2841="I"),(Y2841&lt;&gt;"~"),(COUNTIF($AN$1:$AN2841,$AN2841)=1)),"TRUE","FALSE")</f>
        <v>FALSE</v>
      </c>
      <c r="AH2841" s="661" t="str">
        <f>IF(AND($Y2841&gt;=22, (AI2841&lt;&gt;"I"),(Y2841&lt;&gt;"~"),(COUNTIF($AN$1:$AN2841,$AN2841)=1)),"TRUE","FALSE")</f>
        <v>FALSE</v>
      </c>
      <c r="AI2841" s="661" t="str">
        <f t="shared" si="306"/>
        <v>N/A</v>
      </c>
      <c r="AJ2841" s="662" t="str">
        <f t="shared" si="307"/>
        <v>F35C-013</v>
      </c>
      <c r="AK2841" s="662" t="str">
        <f t="shared" si="308"/>
        <v>LTK</v>
      </c>
      <c r="AL2841" s="662" t="str">
        <f t="shared" si="309"/>
        <v>FRD</v>
      </c>
      <c r="AM2841" s="662" t="str">
        <f t="shared" si="305"/>
        <v>F350 Chassis Cab-Crew Cab XLT DRW-4WD-6-~-12400-6.2L FFV-8-W3H-643A-179-40-E85-Unleaded</v>
      </c>
      <c r="AN2841" s="662" t="str">
        <f t="shared" si="310"/>
        <v>2019-LTK-FRD-F35C-013</v>
      </c>
    </row>
    <row r="2842" spans="1:40" ht="15">
      <c r="A2842" s="570" t="s">
        <v>4942</v>
      </c>
      <c r="B2842" s="569" t="s">
        <v>4940</v>
      </c>
      <c r="C2842" s="569" t="s">
        <v>278</v>
      </c>
      <c r="D2842" s="580">
        <v>15</v>
      </c>
      <c r="E2842" s="569" t="s">
        <v>3374</v>
      </c>
      <c r="F2842" s="569" t="s">
        <v>1684</v>
      </c>
      <c r="G2842" s="569" t="s">
        <v>271</v>
      </c>
      <c r="H2842" s="569">
        <v>2019</v>
      </c>
      <c r="I2842" s="569" t="s">
        <v>4879</v>
      </c>
      <c r="J2842" s="569" t="s">
        <v>4634</v>
      </c>
      <c r="K2842" s="569" t="s">
        <v>752</v>
      </c>
      <c r="L2842" s="569">
        <v>6</v>
      </c>
      <c r="M2842" s="569">
        <v>0</v>
      </c>
      <c r="N2842" s="569" t="s">
        <v>157</v>
      </c>
      <c r="O2842" s="569">
        <v>2</v>
      </c>
      <c r="P2842" s="569" t="s">
        <v>157</v>
      </c>
      <c r="Q2842" s="568">
        <v>12400</v>
      </c>
      <c r="R2842" s="569" t="s">
        <v>4231</v>
      </c>
      <c r="S2842" s="569">
        <v>8</v>
      </c>
      <c r="T2842" s="569" t="s">
        <v>4892</v>
      </c>
      <c r="U2842" s="569" t="s">
        <v>4928</v>
      </c>
      <c r="V2842" s="569">
        <v>179</v>
      </c>
      <c r="W2842" s="569">
        <v>40</v>
      </c>
      <c r="X2842" s="568">
        <v>14000</v>
      </c>
      <c r="Y2842" s="569" t="s">
        <v>164</v>
      </c>
      <c r="Z2842" s="581" t="s">
        <v>728</v>
      </c>
      <c r="AA2842" s="581" t="s">
        <v>1523</v>
      </c>
      <c r="AB2842" s="585">
        <v>56570</v>
      </c>
      <c r="AC2842" s="585" t="s">
        <v>164</v>
      </c>
      <c r="AD2842" s="585">
        <v>43900</v>
      </c>
      <c r="AE2842" s="587">
        <v>0.01</v>
      </c>
      <c r="AF2842" s="661" t="str">
        <f t="shared" si="311"/>
        <v>2019-LTK-FRD-F35C-014-15</v>
      </c>
      <c r="AG2842" s="661" t="str">
        <f>IF(AND($Y2842&gt;=32,(AI2842="I"),(Y2842&lt;&gt;"~"),(COUNTIF($AN$1:$AN2842,$AN2842)=1)),"TRUE","FALSE")</f>
        <v>FALSE</v>
      </c>
      <c r="AH2842" s="661" t="str">
        <f>IF(AND($Y2842&gt;=22, (AI2842&lt;&gt;"I"),(Y2842&lt;&gt;"~"),(COUNTIF($AN$1:$AN2842,$AN2842)=1)),"TRUE","FALSE")</f>
        <v>FALSE</v>
      </c>
      <c r="AI2842" s="661" t="str">
        <f t="shared" si="306"/>
        <v>N/A</v>
      </c>
      <c r="AJ2842" s="662" t="str">
        <f t="shared" si="307"/>
        <v>F35C-014</v>
      </c>
      <c r="AK2842" s="662" t="str">
        <f t="shared" si="308"/>
        <v>LTK</v>
      </c>
      <c r="AL2842" s="662" t="str">
        <f t="shared" si="309"/>
        <v>FRD</v>
      </c>
      <c r="AM2842" s="662" t="str">
        <f t="shared" si="305"/>
        <v>F350 Chassis Cab-Crew Cab XLT DRW-4WD-6-~-12400-6.7L Diesel-8-W3H-643A-179-40-Diesel-BioDiesel</v>
      </c>
      <c r="AN2842" s="662" t="str">
        <f t="shared" si="310"/>
        <v>2019-LTK-FRD-F35C-014</v>
      </c>
    </row>
    <row r="2843" spans="1:40" ht="15">
      <c r="A2843" s="570" t="s">
        <v>4943</v>
      </c>
      <c r="B2843" s="573" t="s">
        <v>4938</v>
      </c>
      <c r="C2843" s="573" t="s">
        <v>287</v>
      </c>
      <c r="D2843" s="578">
        <v>26</v>
      </c>
      <c r="E2843" s="573" t="s">
        <v>3374</v>
      </c>
      <c r="F2843" s="573" t="s">
        <v>1684</v>
      </c>
      <c r="G2843" s="573" t="s">
        <v>271</v>
      </c>
      <c r="H2843" s="573">
        <v>2019</v>
      </c>
      <c r="I2843" s="573" t="s">
        <v>4879</v>
      </c>
      <c r="J2843" s="573" t="s">
        <v>4634</v>
      </c>
      <c r="K2843" s="573" t="s">
        <v>752</v>
      </c>
      <c r="L2843" s="573">
        <v>6</v>
      </c>
      <c r="M2843" s="573">
        <v>0</v>
      </c>
      <c r="N2843" s="573" t="s">
        <v>157</v>
      </c>
      <c r="O2843" s="573">
        <v>2</v>
      </c>
      <c r="P2843" s="573" t="s">
        <v>157</v>
      </c>
      <c r="Q2843" s="571">
        <v>12400</v>
      </c>
      <c r="R2843" s="573" t="s">
        <v>4235</v>
      </c>
      <c r="S2843" s="573">
        <v>8</v>
      </c>
      <c r="T2843" s="573" t="s">
        <v>4892</v>
      </c>
      <c r="U2843" s="573" t="s">
        <v>4928</v>
      </c>
      <c r="V2843" s="573">
        <v>179</v>
      </c>
      <c r="W2843" s="573">
        <v>40</v>
      </c>
      <c r="X2843" s="571">
        <v>14000</v>
      </c>
      <c r="Y2843" s="569" t="s">
        <v>164</v>
      </c>
      <c r="Z2843" s="579" t="s">
        <v>450</v>
      </c>
      <c r="AA2843" s="579" t="s">
        <v>178</v>
      </c>
      <c r="AB2843" s="584">
        <v>47450</v>
      </c>
      <c r="AC2843" s="584" t="s">
        <v>164</v>
      </c>
      <c r="AD2843" s="584">
        <v>35673</v>
      </c>
      <c r="AE2843" s="586">
        <v>0.05</v>
      </c>
      <c r="AF2843" s="661" t="str">
        <f t="shared" si="311"/>
        <v>2019-LTK-FRD-F35C-013-26</v>
      </c>
      <c r="AG2843" s="661" t="str">
        <f>IF(AND($Y2843&gt;=32,(AI2843="I"),(Y2843&lt;&gt;"~"),(COUNTIF($AN$1:$AN2843,$AN2843)=1)),"TRUE","FALSE")</f>
        <v>FALSE</v>
      </c>
      <c r="AH2843" s="661" t="str">
        <f>IF(AND($Y2843&gt;=22, (AI2843&lt;&gt;"I"),(Y2843&lt;&gt;"~"),(COUNTIF($AN$1:$AN2843,$AN2843)=1)),"TRUE","FALSE")</f>
        <v>FALSE</v>
      </c>
      <c r="AI2843" s="661" t="str">
        <f t="shared" si="306"/>
        <v>N/A</v>
      </c>
      <c r="AJ2843" s="662" t="str">
        <f t="shared" si="307"/>
        <v>F35C-013</v>
      </c>
      <c r="AK2843" s="662" t="str">
        <f t="shared" si="308"/>
        <v>LTK</v>
      </c>
      <c r="AL2843" s="662" t="str">
        <f t="shared" si="309"/>
        <v>FRD</v>
      </c>
      <c r="AM2843" s="662" t="str">
        <f t="shared" ref="AM2843:AM2906" si="312">CONCATENATE(I2843,"-",J2843,"-",K2843,"-",L2843,"-",P2843,"-",Q2843,"-",R2843,"-",S2843,"-",T2843,"-",U2843,"-",V2843,"-",W2843,"-",Z2843,"-",AA2843)</f>
        <v>F350 Chassis Cab-Crew Cab XLT DRW-4WD-6-~-12400-6.2L FFV-8-W3H-643A-179-40-E85-Unleaded</v>
      </c>
      <c r="AN2843" s="662" t="str">
        <f t="shared" si="310"/>
        <v>2019-LTK-FRD-F35C-013</v>
      </c>
    </row>
    <row r="2844" spans="1:40" ht="15">
      <c r="A2844" s="570" t="s">
        <v>4944</v>
      </c>
      <c r="B2844" s="569" t="s">
        <v>4940</v>
      </c>
      <c r="C2844" s="569" t="s">
        <v>287</v>
      </c>
      <c r="D2844" s="580">
        <v>26</v>
      </c>
      <c r="E2844" s="569" t="s">
        <v>3374</v>
      </c>
      <c r="F2844" s="569" t="s">
        <v>1684</v>
      </c>
      <c r="G2844" s="569" t="s">
        <v>271</v>
      </c>
      <c r="H2844" s="569">
        <v>2019</v>
      </c>
      <c r="I2844" s="569" t="s">
        <v>4879</v>
      </c>
      <c r="J2844" s="569" t="s">
        <v>4634</v>
      </c>
      <c r="K2844" s="569" t="s">
        <v>752</v>
      </c>
      <c r="L2844" s="569">
        <v>6</v>
      </c>
      <c r="M2844" s="569">
        <v>0</v>
      </c>
      <c r="N2844" s="569" t="s">
        <v>157</v>
      </c>
      <c r="O2844" s="569">
        <v>2</v>
      </c>
      <c r="P2844" s="569" t="s">
        <v>157</v>
      </c>
      <c r="Q2844" s="568">
        <v>12400</v>
      </c>
      <c r="R2844" s="569" t="s">
        <v>4231</v>
      </c>
      <c r="S2844" s="569">
        <v>8</v>
      </c>
      <c r="T2844" s="569" t="s">
        <v>4892</v>
      </c>
      <c r="U2844" s="569" t="s">
        <v>4928</v>
      </c>
      <c r="V2844" s="569">
        <v>179</v>
      </c>
      <c r="W2844" s="569">
        <v>40</v>
      </c>
      <c r="X2844" s="568">
        <v>14000</v>
      </c>
      <c r="Y2844" s="569" t="s">
        <v>164</v>
      </c>
      <c r="Z2844" s="581" t="s">
        <v>728</v>
      </c>
      <c r="AA2844" s="581" t="s">
        <v>1523</v>
      </c>
      <c r="AB2844" s="585">
        <v>56570</v>
      </c>
      <c r="AC2844" s="585" t="s">
        <v>164</v>
      </c>
      <c r="AD2844" s="585">
        <v>43868</v>
      </c>
      <c r="AE2844" s="587">
        <v>0.05</v>
      </c>
      <c r="AF2844" s="661" t="str">
        <f t="shared" si="311"/>
        <v>2019-LTK-FRD-F35C-014-26</v>
      </c>
      <c r="AG2844" s="661" t="str">
        <f>IF(AND($Y2844&gt;=32,(AI2844="I"),(Y2844&lt;&gt;"~"),(COUNTIF($AN$1:$AN2844,$AN2844)=1)),"TRUE","FALSE")</f>
        <v>FALSE</v>
      </c>
      <c r="AH2844" s="661" t="str">
        <f>IF(AND($Y2844&gt;=22, (AI2844&lt;&gt;"I"),(Y2844&lt;&gt;"~"),(COUNTIF($AN$1:$AN2844,$AN2844)=1)),"TRUE","FALSE")</f>
        <v>FALSE</v>
      </c>
      <c r="AI2844" s="661" t="str">
        <f t="shared" ref="AI2844:AI2907" si="313">IF(OR((LEFT($E2844,2)="01"),AND(LEFT($E2844,2)="06",ISNUMBER(SEARCH("pas",$F2844))),AND(LEFT($E2844,2)="05",ISNUMBER(SEARCH("pas",$F2844)))),"I",IF(AND((LEFT($E2844,2)&lt;&gt;"01"),$X2844&lt;=10000),"II",IF(AND((LEFT($E2844,2)&lt;&gt;"01"),$X2844&gt;10000),"N/A")))</f>
        <v>N/A</v>
      </c>
      <c r="AJ2844" s="662" t="str">
        <f t="shared" si="307"/>
        <v>F35C-014</v>
      </c>
      <c r="AK2844" s="662" t="str">
        <f t="shared" si="308"/>
        <v>LTK</v>
      </c>
      <c r="AL2844" s="662" t="str">
        <f t="shared" si="309"/>
        <v>FRD</v>
      </c>
      <c r="AM2844" s="662" t="str">
        <f t="shared" si="312"/>
        <v>F350 Chassis Cab-Crew Cab XLT DRW-4WD-6-~-12400-6.7L Diesel-8-W3H-643A-179-40-Diesel-BioDiesel</v>
      </c>
      <c r="AN2844" s="662" t="str">
        <f t="shared" si="310"/>
        <v>2019-LTK-FRD-F35C-014</v>
      </c>
    </row>
    <row r="2845" spans="1:40" ht="15">
      <c r="A2845" s="570" t="s">
        <v>4945</v>
      </c>
      <c r="B2845" s="573" t="s">
        <v>4938</v>
      </c>
      <c r="C2845" s="573" t="s">
        <v>280</v>
      </c>
      <c r="D2845" s="578">
        <v>27</v>
      </c>
      <c r="E2845" s="573" t="s">
        <v>3374</v>
      </c>
      <c r="F2845" s="573" t="s">
        <v>1684</v>
      </c>
      <c r="G2845" s="573" t="s">
        <v>271</v>
      </c>
      <c r="H2845" s="573">
        <v>2019</v>
      </c>
      <c r="I2845" s="573" t="s">
        <v>4879</v>
      </c>
      <c r="J2845" s="573" t="s">
        <v>4634</v>
      </c>
      <c r="K2845" s="573" t="s">
        <v>752</v>
      </c>
      <c r="L2845" s="573">
        <v>6</v>
      </c>
      <c r="M2845" s="573">
        <v>0</v>
      </c>
      <c r="N2845" s="573" t="s">
        <v>157</v>
      </c>
      <c r="O2845" s="573">
        <v>2</v>
      </c>
      <c r="P2845" s="573" t="s">
        <v>157</v>
      </c>
      <c r="Q2845" s="571">
        <v>12400</v>
      </c>
      <c r="R2845" s="573" t="s">
        <v>4235</v>
      </c>
      <c r="S2845" s="573">
        <v>8</v>
      </c>
      <c r="T2845" s="573" t="s">
        <v>4892</v>
      </c>
      <c r="U2845" s="573" t="s">
        <v>4928</v>
      </c>
      <c r="V2845" s="573">
        <v>179</v>
      </c>
      <c r="W2845" s="573">
        <v>40</v>
      </c>
      <c r="X2845" s="571">
        <v>14000</v>
      </c>
      <c r="Y2845" s="569" t="s">
        <v>164</v>
      </c>
      <c r="Z2845" s="579" t="s">
        <v>450</v>
      </c>
      <c r="AA2845" s="579" t="s">
        <v>178</v>
      </c>
      <c r="AB2845" s="584">
        <v>47450</v>
      </c>
      <c r="AC2845" s="584" t="s">
        <v>164</v>
      </c>
      <c r="AD2845" s="584">
        <v>35418.652631578952</v>
      </c>
      <c r="AE2845" s="586">
        <v>0.03</v>
      </c>
      <c r="AF2845" s="661" t="str">
        <f t="shared" si="311"/>
        <v>2019-LTK-FRD-F35C-013-27</v>
      </c>
      <c r="AG2845" s="661" t="str">
        <f>IF(AND($Y2845&gt;=32,(AI2845="I"),(Y2845&lt;&gt;"~"),(COUNTIF($AN$1:$AN2845,$AN2845)=1)),"TRUE","FALSE")</f>
        <v>FALSE</v>
      </c>
      <c r="AH2845" s="661" t="str">
        <f>IF(AND($Y2845&gt;=22, (AI2845&lt;&gt;"I"),(Y2845&lt;&gt;"~"),(COUNTIF($AN$1:$AN2845,$AN2845)=1)),"TRUE","FALSE")</f>
        <v>FALSE</v>
      </c>
      <c r="AI2845" s="661" t="str">
        <f t="shared" si="313"/>
        <v>N/A</v>
      </c>
      <c r="AJ2845" s="662" t="str">
        <f t="shared" si="307"/>
        <v>F35C-013</v>
      </c>
      <c r="AK2845" s="662" t="str">
        <f t="shared" si="308"/>
        <v>LTK</v>
      </c>
      <c r="AL2845" s="662" t="str">
        <f t="shared" si="309"/>
        <v>FRD</v>
      </c>
      <c r="AM2845" s="662" t="str">
        <f t="shared" si="312"/>
        <v>F350 Chassis Cab-Crew Cab XLT DRW-4WD-6-~-12400-6.2L FFV-8-W3H-643A-179-40-E85-Unleaded</v>
      </c>
      <c r="AN2845" s="662" t="str">
        <f t="shared" si="310"/>
        <v>2019-LTK-FRD-F35C-013</v>
      </c>
    </row>
    <row r="2846" spans="1:40" ht="15">
      <c r="A2846" s="570" t="s">
        <v>4946</v>
      </c>
      <c r="B2846" s="569" t="s">
        <v>4940</v>
      </c>
      <c r="C2846" s="569" t="s">
        <v>280</v>
      </c>
      <c r="D2846" s="580">
        <v>27</v>
      </c>
      <c r="E2846" s="569" t="s">
        <v>3374</v>
      </c>
      <c r="F2846" s="569" t="s">
        <v>1684</v>
      </c>
      <c r="G2846" s="569" t="s">
        <v>271</v>
      </c>
      <c r="H2846" s="569">
        <v>2019</v>
      </c>
      <c r="I2846" s="569" t="s">
        <v>4879</v>
      </c>
      <c r="J2846" s="569" t="s">
        <v>4634</v>
      </c>
      <c r="K2846" s="569" t="s">
        <v>752</v>
      </c>
      <c r="L2846" s="569">
        <v>6</v>
      </c>
      <c r="M2846" s="569">
        <v>0</v>
      </c>
      <c r="N2846" s="569" t="s">
        <v>157</v>
      </c>
      <c r="O2846" s="569">
        <v>2</v>
      </c>
      <c r="P2846" s="569" t="s">
        <v>157</v>
      </c>
      <c r="Q2846" s="568">
        <v>12400</v>
      </c>
      <c r="R2846" s="569" t="s">
        <v>4231</v>
      </c>
      <c r="S2846" s="569">
        <v>8</v>
      </c>
      <c r="T2846" s="569" t="s">
        <v>4892</v>
      </c>
      <c r="U2846" s="569" t="s">
        <v>4928</v>
      </c>
      <c r="V2846" s="569">
        <v>179</v>
      </c>
      <c r="W2846" s="569">
        <v>40</v>
      </c>
      <c r="X2846" s="568">
        <v>14000</v>
      </c>
      <c r="Y2846" s="569" t="s">
        <v>164</v>
      </c>
      <c r="Z2846" s="581" t="s">
        <v>728</v>
      </c>
      <c r="AA2846" s="581" t="s">
        <v>1523</v>
      </c>
      <c r="AB2846" s="585">
        <v>56570</v>
      </c>
      <c r="AC2846" s="585" t="s">
        <v>164</v>
      </c>
      <c r="AD2846" s="585">
        <v>43610.526315789473</v>
      </c>
      <c r="AE2846" s="587">
        <v>0.03</v>
      </c>
      <c r="AF2846" s="661" t="str">
        <f t="shared" si="311"/>
        <v>2019-LTK-FRD-F35C-014-27</v>
      </c>
      <c r="AG2846" s="661" t="str">
        <f>IF(AND($Y2846&gt;=32,(AI2846="I"),(Y2846&lt;&gt;"~"),(COUNTIF($AN$1:$AN2846,$AN2846)=1)),"TRUE","FALSE")</f>
        <v>FALSE</v>
      </c>
      <c r="AH2846" s="661" t="str">
        <f>IF(AND($Y2846&gt;=22, (AI2846&lt;&gt;"I"),(Y2846&lt;&gt;"~"),(COUNTIF($AN$1:$AN2846,$AN2846)=1)),"TRUE","FALSE")</f>
        <v>FALSE</v>
      </c>
      <c r="AI2846" s="661" t="str">
        <f t="shared" si="313"/>
        <v>N/A</v>
      </c>
      <c r="AJ2846" s="662" t="str">
        <f t="shared" si="307"/>
        <v>F35C-014</v>
      </c>
      <c r="AK2846" s="662" t="str">
        <f t="shared" si="308"/>
        <v>LTK</v>
      </c>
      <c r="AL2846" s="662" t="str">
        <f t="shared" si="309"/>
        <v>FRD</v>
      </c>
      <c r="AM2846" s="662" t="str">
        <f t="shared" si="312"/>
        <v>F350 Chassis Cab-Crew Cab XLT DRW-4WD-6-~-12400-6.7L Diesel-8-W3H-643A-179-40-Diesel-BioDiesel</v>
      </c>
      <c r="AN2846" s="662" t="str">
        <f t="shared" si="310"/>
        <v>2019-LTK-FRD-F35C-014</v>
      </c>
    </row>
    <row r="2847" spans="1:40" ht="15">
      <c r="A2847" s="570" t="s">
        <v>4947</v>
      </c>
      <c r="B2847" s="573" t="s">
        <v>4948</v>
      </c>
      <c r="C2847" s="573" t="s">
        <v>269</v>
      </c>
      <c r="D2847" s="578" t="s">
        <v>270</v>
      </c>
      <c r="E2847" s="573" t="s">
        <v>3374</v>
      </c>
      <c r="F2847" s="573" t="s">
        <v>1684</v>
      </c>
      <c r="G2847" s="573" t="s">
        <v>271</v>
      </c>
      <c r="H2847" s="573">
        <v>2019</v>
      </c>
      <c r="I2847" s="573" t="s">
        <v>4879</v>
      </c>
      <c r="J2847" s="573" t="s">
        <v>4949</v>
      </c>
      <c r="K2847" s="573" t="s">
        <v>3377</v>
      </c>
      <c r="L2847" s="573">
        <v>6</v>
      </c>
      <c r="M2847" s="573">
        <v>0</v>
      </c>
      <c r="N2847" s="573" t="s">
        <v>157</v>
      </c>
      <c r="O2847" s="573">
        <v>2</v>
      </c>
      <c r="P2847" s="573" t="s">
        <v>157</v>
      </c>
      <c r="Q2847" s="571">
        <v>12600</v>
      </c>
      <c r="R2847" s="573" t="s">
        <v>4235</v>
      </c>
      <c r="S2847" s="573">
        <v>8</v>
      </c>
      <c r="T2847" s="573" t="s">
        <v>4904</v>
      </c>
      <c r="U2847" s="573" t="s">
        <v>4950</v>
      </c>
      <c r="V2847" s="573">
        <v>179</v>
      </c>
      <c r="W2847" s="573">
        <v>40</v>
      </c>
      <c r="X2847" s="571">
        <v>11000</v>
      </c>
      <c r="Y2847" s="569" t="s">
        <v>164</v>
      </c>
      <c r="Z2847" s="579" t="s">
        <v>450</v>
      </c>
      <c r="AA2847" s="579" t="s">
        <v>178</v>
      </c>
      <c r="AB2847" s="584">
        <v>42860</v>
      </c>
      <c r="AC2847" s="584" t="s">
        <v>164</v>
      </c>
      <c r="AD2847" s="584">
        <v>33283.915789473685</v>
      </c>
      <c r="AE2847" s="586">
        <v>0.03</v>
      </c>
      <c r="AF2847" s="661" t="str">
        <f t="shared" si="311"/>
        <v>2019-LTK-FRD-F35C-016-05</v>
      </c>
      <c r="AG2847" s="661" t="str">
        <f>IF(AND($Y2847&gt;=32,(AI2847="I"),(Y2847&lt;&gt;"~"),(COUNTIF($AN$1:$AN2847,$AN2847)=1)),"TRUE","FALSE")</f>
        <v>FALSE</v>
      </c>
      <c r="AH2847" s="661" t="str">
        <f>IF(AND($Y2847&gt;=22, (AI2847&lt;&gt;"I"),(Y2847&lt;&gt;"~"),(COUNTIF($AN$1:$AN2847,$AN2847)=1)),"TRUE","FALSE")</f>
        <v>TRUE</v>
      </c>
      <c r="AI2847" s="661" t="str">
        <f t="shared" si="313"/>
        <v>N/A</v>
      </c>
      <c r="AJ2847" s="662" t="str">
        <f t="shared" si="307"/>
        <v>F35C-016</v>
      </c>
      <c r="AK2847" s="662" t="str">
        <f t="shared" si="308"/>
        <v>LTK</v>
      </c>
      <c r="AL2847" s="662" t="str">
        <f t="shared" si="309"/>
        <v>FRD</v>
      </c>
      <c r="AM2847" s="662" t="str">
        <f t="shared" si="312"/>
        <v>F350 Chassis Cab-Crew Cab XLT SRW-2WD-6-~-12600-6.2L FFV-8-W3E-633A-179-40-E85-Unleaded</v>
      </c>
      <c r="AN2847" s="662" t="str">
        <f t="shared" si="310"/>
        <v>2019-LTK-FRD-F35C-016</v>
      </c>
    </row>
    <row r="2848" spans="1:40" ht="15">
      <c r="A2848" s="570" t="s">
        <v>4951</v>
      </c>
      <c r="B2848" s="569" t="s">
        <v>4952</v>
      </c>
      <c r="C2848" s="569" t="s">
        <v>269</v>
      </c>
      <c r="D2848" s="580" t="s">
        <v>270</v>
      </c>
      <c r="E2848" s="569" t="s">
        <v>3374</v>
      </c>
      <c r="F2848" s="569" t="s">
        <v>1684</v>
      </c>
      <c r="G2848" s="569" t="s">
        <v>271</v>
      </c>
      <c r="H2848" s="569">
        <v>2019</v>
      </c>
      <c r="I2848" s="569" t="s">
        <v>4879</v>
      </c>
      <c r="J2848" s="569" t="s">
        <v>4949</v>
      </c>
      <c r="K2848" s="569" t="s">
        <v>3377</v>
      </c>
      <c r="L2848" s="569">
        <v>6</v>
      </c>
      <c r="M2848" s="569">
        <v>0</v>
      </c>
      <c r="N2848" s="569" t="s">
        <v>157</v>
      </c>
      <c r="O2848" s="569">
        <v>2</v>
      </c>
      <c r="P2848" s="569" t="s">
        <v>157</v>
      </c>
      <c r="Q2848" s="568">
        <v>12600</v>
      </c>
      <c r="R2848" s="569" t="s">
        <v>4231</v>
      </c>
      <c r="S2848" s="569">
        <v>8</v>
      </c>
      <c r="T2848" s="569" t="s">
        <v>4904</v>
      </c>
      <c r="U2848" s="569" t="s">
        <v>4950</v>
      </c>
      <c r="V2848" s="569">
        <v>179</v>
      </c>
      <c r="W2848" s="569">
        <v>40</v>
      </c>
      <c r="X2848" s="568">
        <v>11500</v>
      </c>
      <c r="Y2848" s="569" t="s">
        <v>164</v>
      </c>
      <c r="Z2848" s="581" t="s">
        <v>728</v>
      </c>
      <c r="AA2848" s="581" t="s">
        <v>1523</v>
      </c>
      <c r="AB2848" s="585">
        <v>51980</v>
      </c>
      <c r="AC2848" s="585" t="s">
        <v>164</v>
      </c>
      <c r="AD2848" s="585">
        <v>41476.1052631579</v>
      </c>
      <c r="AE2848" s="587">
        <v>0.03</v>
      </c>
      <c r="AF2848" s="661" t="str">
        <f t="shared" si="311"/>
        <v>2019-LTK-FRD-F35C-017-05</v>
      </c>
      <c r="AG2848" s="661" t="str">
        <f>IF(AND($Y2848&gt;=32,(AI2848="I"),(Y2848&lt;&gt;"~"),(COUNTIF($AN$1:$AN2848,$AN2848)=1)),"TRUE","FALSE")</f>
        <v>FALSE</v>
      </c>
      <c r="AH2848" s="661" t="str">
        <f>IF(AND($Y2848&gt;=22, (AI2848&lt;&gt;"I"),(Y2848&lt;&gt;"~"),(COUNTIF($AN$1:$AN2848,$AN2848)=1)),"TRUE","FALSE")</f>
        <v>TRUE</v>
      </c>
      <c r="AI2848" s="661" t="str">
        <f t="shared" si="313"/>
        <v>N/A</v>
      </c>
      <c r="AJ2848" s="662" t="str">
        <f t="shared" si="307"/>
        <v>F35C-017</v>
      </c>
      <c r="AK2848" s="662" t="str">
        <f t="shared" si="308"/>
        <v>LTK</v>
      </c>
      <c r="AL2848" s="662" t="str">
        <f t="shared" si="309"/>
        <v>FRD</v>
      </c>
      <c r="AM2848" s="662" t="str">
        <f t="shared" si="312"/>
        <v>F350 Chassis Cab-Crew Cab XLT SRW-2WD-6-~-12600-6.7L Diesel-8-W3E-633A-179-40-Diesel-BioDiesel</v>
      </c>
      <c r="AN2848" s="662" t="str">
        <f t="shared" si="310"/>
        <v>2019-LTK-FRD-F35C-017</v>
      </c>
    </row>
    <row r="2849" spans="1:40" ht="15">
      <c r="A2849" s="570" t="s">
        <v>4953</v>
      </c>
      <c r="B2849" s="573" t="s">
        <v>4948</v>
      </c>
      <c r="C2849" s="573" t="s">
        <v>278</v>
      </c>
      <c r="D2849" s="578">
        <v>15</v>
      </c>
      <c r="E2849" s="573" t="s">
        <v>3374</v>
      </c>
      <c r="F2849" s="573" t="s">
        <v>1684</v>
      </c>
      <c r="G2849" s="573" t="s">
        <v>271</v>
      </c>
      <c r="H2849" s="573">
        <v>2019</v>
      </c>
      <c r="I2849" s="573" t="s">
        <v>4879</v>
      </c>
      <c r="J2849" s="573" t="s">
        <v>4949</v>
      </c>
      <c r="K2849" s="573" t="s">
        <v>3377</v>
      </c>
      <c r="L2849" s="573">
        <v>6</v>
      </c>
      <c r="M2849" s="573">
        <v>0</v>
      </c>
      <c r="N2849" s="573" t="s">
        <v>157</v>
      </c>
      <c r="O2849" s="573">
        <v>2</v>
      </c>
      <c r="P2849" s="573" t="s">
        <v>157</v>
      </c>
      <c r="Q2849" s="571">
        <v>12600</v>
      </c>
      <c r="R2849" s="573" t="s">
        <v>4235</v>
      </c>
      <c r="S2849" s="573">
        <v>8</v>
      </c>
      <c r="T2849" s="573" t="s">
        <v>4904</v>
      </c>
      <c r="U2849" s="573" t="s">
        <v>4950</v>
      </c>
      <c r="V2849" s="573">
        <v>179</v>
      </c>
      <c r="W2849" s="573">
        <v>40</v>
      </c>
      <c r="X2849" s="571">
        <v>11000</v>
      </c>
      <c r="Y2849" s="569" t="s">
        <v>164</v>
      </c>
      <c r="Z2849" s="579" t="s">
        <v>450</v>
      </c>
      <c r="AA2849" s="579" t="s">
        <v>178</v>
      </c>
      <c r="AB2849" s="584">
        <v>42860</v>
      </c>
      <c r="AC2849" s="584" t="s">
        <v>164</v>
      </c>
      <c r="AD2849" s="584">
        <v>33450</v>
      </c>
      <c r="AE2849" s="586">
        <v>0.01</v>
      </c>
      <c r="AF2849" s="661" t="str">
        <f t="shared" si="311"/>
        <v>2019-LTK-FRD-F35C-016-15</v>
      </c>
      <c r="AG2849" s="661" t="str">
        <f>IF(AND($Y2849&gt;=32,(AI2849="I"),(Y2849&lt;&gt;"~"),(COUNTIF($AN$1:$AN2849,$AN2849)=1)),"TRUE","FALSE")</f>
        <v>FALSE</v>
      </c>
      <c r="AH2849" s="661" t="str">
        <f>IF(AND($Y2849&gt;=22, (AI2849&lt;&gt;"I"),(Y2849&lt;&gt;"~"),(COUNTIF($AN$1:$AN2849,$AN2849)=1)),"TRUE","FALSE")</f>
        <v>FALSE</v>
      </c>
      <c r="AI2849" s="661" t="str">
        <f t="shared" si="313"/>
        <v>N/A</v>
      </c>
      <c r="AJ2849" s="662" t="str">
        <f t="shared" si="307"/>
        <v>F35C-016</v>
      </c>
      <c r="AK2849" s="662" t="str">
        <f t="shared" si="308"/>
        <v>LTK</v>
      </c>
      <c r="AL2849" s="662" t="str">
        <f t="shared" si="309"/>
        <v>FRD</v>
      </c>
      <c r="AM2849" s="662" t="str">
        <f t="shared" si="312"/>
        <v>F350 Chassis Cab-Crew Cab XLT SRW-2WD-6-~-12600-6.2L FFV-8-W3E-633A-179-40-E85-Unleaded</v>
      </c>
      <c r="AN2849" s="662" t="str">
        <f t="shared" si="310"/>
        <v>2019-LTK-FRD-F35C-016</v>
      </c>
    </row>
    <row r="2850" spans="1:40" ht="15">
      <c r="A2850" s="570" t="s">
        <v>4954</v>
      </c>
      <c r="B2850" s="569" t="s">
        <v>4952</v>
      </c>
      <c r="C2850" s="569" t="s">
        <v>278</v>
      </c>
      <c r="D2850" s="580">
        <v>15</v>
      </c>
      <c r="E2850" s="569" t="s">
        <v>3374</v>
      </c>
      <c r="F2850" s="569" t="s">
        <v>1684</v>
      </c>
      <c r="G2850" s="569" t="s">
        <v>271</v>
      </c>
      <c r="H2850" s="569">
        <v>2019</v>
      </c>
      <c r="I2850" s="569" t="s">
        <v>4879</v>
      </c>
      <c r="J2850" s="569" t="s">
        <v>4949</v>
      </c>
      <c r="K2850" s="569" t="s">
        <v>3377</v>
      </c>
      <c r="L2850" s="569">
        <v>6</v>
      </c>
      <c r="M2850" s="569">
        <v>0</v>
      </c>
      <c r="N2850" s="569" t="s">
        <v>157</v>
      </c>
      <c r="O2850" s="569">
        <v>2</v>
      </c>
      <c r="P2850" s="569" t="s">
        <v>157</v>
      </c>
      <c r="Q2850" s="568">
        <v>12600</v>
      </c>
      <c r="R2850" s="569" t="s">
        <v>4231</v>
      </c>
      <c r="S2850" s="569">
        <v>8</v>
      </c>
      <c r="T2850" s="569" t="s">
        <v>4904</v>
      </c>
      <c r="U2850" s="569" t="s">
        <v>4950</v>
      </c>
      <c r="V2850" s="569">
        <v>179</v>
      </c>
      <c r="W2850" s="569">
        <v>40</v>
      </c>
      <c r="X2850" s="568">
        <v>11500</v>
      </c>
      <c r="Y2850" s="569" t="s">
        <v>164</v>
      </c>
      <c r="Z2850" s="581" t="s">
        <v>728</v>
      </c>
      <c r="AA2850" s="581" t="s">
        <v>1523</v>
      </c>
      <c r="AB2850" s="585">
        <v>51980</v>
      </c>
      <c r="AC2850" s="585" t="s">
        <v>164</v>
      </c>
      <c r="AD2850" s="585">
        <v>41700</v>
      </c>
      <c r="AE2850" s="587">
        <v>0.01</v>
      </c>
      <c r="AF2850" s="661" t="str">
        <f t="shared" si="311"/>
        <v>2019-LTK-FRD-F35C-017-15</v>
      </c>
      <c r="AG2850" s="661" t="str">
        <f>IF(AND($Y2850&gt;=32,(AI2850="I"),(Y2850&lt;&gt;"~"),(COUNTIF($AN$1:$AN2850,$AN2850)=1)),"TRUE","FALSE")</f>
        <v>FALSE</v>
      </c>
      <c r="AH2850" s="661" t="str">
        <f>IF(AND($Y2850&gt;=22, (AI2850&lt;&gt;"I"),(Y2850&lt;&gt;"~"),(COUNTIF($AN$1:$AN2850,$AN2850)=1)),"TRUE","FALSE")</f>
        <v>FALSE</v>
      </c>
      <c r="AI2850" s="661" t="str">
        <f t="shared" si="313"/>
        <v>N/A</v>
      </c>
      <c r="AJ2850" s="662" t="str">
        <f t="shared" si="307"/>
        <v>F35C-017</v>
      </c>
      <c r="AK2850" s="662" t="str">
        <f t="shared" si="308"/>
        <v>LTK</v>
      </c>
      <c r="AL2850" s="662" t="str">
        <f t="shared" si="309"/>
        <v>FRD</v>
      </c>
      <c r="AM2850" s="662" t="str">
        <f t="shared" si="312"/>
        <v>F350 Chassis Cab-Crew Cab XLT SRW-2WD-6-~-12600-6.7L Diesel-8-W3E-633A-179-40-Diesel-BioDiesel</v>
      </c>
      <c r="AN2850" s="662" t="str">
        <f t="shared" si="310"/>
        <v>2019-LTK-FRD-F35C-017</v>
      </c>
    </row>
    <row r="2851" spans="1:40" ht="15">
      <c r="A2851" s="570" t="s">
        <v>4955</v>
      </c>
      <c r="B2851" s="573" t="s">
        <v>4948</v>
      </c>
      <c r="C2851" s="573" t="s">
        <v>287</v>
      </c>
      <c r="D2851" s="578">
        <v>26</v>
      </c>
      <c r="E2851" s="573" t="s">
        <v>3374</v>
      </c>
      <c r="F2851" s="573" t="s">
        <v>1684</v>
      </c>
      <c r="G2851" s="573" t="s">
        <v>271</v>
      </c>
      <c r="H2851" s="573">
        <v>2019</v>
      </c>
      <c r="I2851" s="573" t="s">
        <v>4879</v>
      </c>
      <c r="J2851" s="573" t="s">
        <v>4949</v>
      </c>
      <c r="K2851" s="573" t="s">
        <v>3377</v>
      </c>
      <c r="L2851" s="573">
        <v>6</v>
      </c>
      <c r="M2851" s="573">
        <v>0</v>
      </c>
      <c r="N2851" s="573" t="s">
        <v>157</v>
      </c>
      <c r="O2851" s="573">
        <v>2</v>
      </c>
      <c r="P2851" s="573" t="s">
        <v>157</v>
      </c>
      <c r="Q2851" s="571">
        <v>12600</v>
      </c>
      <c r="R2851" s="573" t="s">
        <v>4235</v>
      </c>
      <c r="S2851" s="573">
        <v>8</v>
      </c>
      <c r="T2851" s="573" t="s">
        <v>4904</v>
      </c>
      <c r="U2851" s="573" t="s">
        <v>4950</v>
      </c>
      <c r="V2851" s="573">
        <v>179</v>
      </c>
      <c r="W2851" s="573">
        <v>40</v>
      </c>
      <c r="X2851" s="571">
        <v>11000</v>
      </c>
      <c r="Y2851" s="569" t="s">
        <v>164</v>
      </c>
      <c r="Z2851" s="579" t="s">
        <v>450</v>
      </c>
      <c r="AA2851" s="579" t="s">
        <v>178</v>
      </c>
      <c r="AB2851" s="584">
        <v>42860</v>
      </c>
      <c r="AC2851" s="584" t="s">
        <v>164</v>
      </c>
      <c r="AD2851" s="584">
        <v>33533</v>
      </c>
      <c r="AE2851" s="586">
        <v>0.05</v>
      </c>
      <c r="AF2851" s="661" t="str">
        <f t="shared" si="311"/>
        <v>2019-LTK-FRD-F35C-016-26</v>
      </c>
      <c r="AG2851" s="661" t="str">
        <f>IF(AND($Y2851&gt;=32,(AI2851="I"),(Y2851&lt;&gt;"~"),(COUNTIF($AN$1:$AN2851,$AN2851)=1)),"TRUE","FALSE")</f>
        <v>FALSE</v>
      </c>
      <c r="AH2851" s="661" t="str">
        <f>IF(AND($Y2851&gt;=22, (AI2851&lt;&gt;"I"),(Y2851&lt;&gt;"~"),(COUNTIF($AN$1:$AN2851,$AN2851)=1)),"TRUE","FALSE")</f>
        <v>FALSE</v>
      </c>
      <c r="AI2851" s="661" t="str">
        <f t="shared" si="313"/>
        <v>N/A</v>
      </c>
      <c r="AJ2851" s="662" t="str">
        <f t="shared" si="307"/>
        <v>F35C-016</v>
      </c>
      <c r="AK2851" s="662" t="str">
        <f t="shared" si="308"/>
        <v>LTK</v>
      </c>
      <c r="AL2851" s="662" t="str">
        <f t="shared" si="309"/>
        <v>FRD</v>
      </c>
      <c r="AM2851" s="662" t="str">
        <f t="shared" si="312"/>
        <v>F350 Chassis Cab-Crew Cab XLT SRW-2WD-6-~-12600-6.2L FFV-8-W3E-633A-179-40-E85-Unleaded</v>
      </c>
      <c r="AN2851" s="662" t="str">
        <f t="shared" si="310"/>
        <v>2019-LTK-FRD-F35C-016</v>
      </c>
    </row>
    <row r="2852" spans="1:40" ht="15">
      <c r="A2852" s="570" t="s">
        <v>4956</v>
      </c>
      <c r="B2852" s="569" t="s">
        <v>4952</v>
      </c>
      <c r="C2852" s="569" t="s">
        <v>287</v>
      </c>
      <c r="D2852" s="580">
        <v>26</v>
      </c>
      <c r="E2852" s="569" t="s">
        <v>3374</v>
      </c>
      <c r="F2852" s="569" t="s">
        <v>1684</v>
      </c>
      <c r="G2852" s="569" t="s">
        <v>271</v>
      </c>
      <c r="H2852" s="569">
        <v>2019</v>
      </c>
      <c r="I2852" s="569" t="s">
        <v>4879</v>
      </c>
      <c r="J2852" s="569" t="s">
        <v>4949</v>
      </c>
      <c r="K2852" s="569" t="s">
        <v>3377</v>
      </c>
      <c r="L2852" s="569">
        <v>6</v>
      </c>
      <c r="M2852" s="569">
        <v>0</v>
      </c>
      <c r="N2852" s="569" t="s">
        <v>157</v>
      </c>
      <c r="O2852" s="569">
        <v>2</v>
      </c>
      <c r="P2852" s="569" t="s">
        <v>157</v>
      </c>
      <c r="Q2852" s="568">
        <v>12600</v>
      </c>
      <c r="R2852" s="569" t="s">
        <v>4231</v>
      </c>
      <c r="S2852" s="569">
        <v>8</v>
      </c>
      <c r="T2852" s="569" t="s">
        <v>4904</v>
      </c>
      <c r="U2852" s="569" t="s">
        <v>4950</v>
      </c>
      <c r="V2852" s="569">
        <v>179</v>
      </c>
      <c r="W2852" s="569">
        <v>40</v>
      </c>
      <c r="X2852" s="568">
        <v>11500</v>
      </c>
      <c r="Y2852" s="569" t="s">
        <v>164</v>
      </c>
      <c r="Z2852" s="581" t="s">
        <v>728</v>
      </c>
      <c r="AA2852" s="581" t="s">
        <v>1523</v>
      </c>
      <c r="AB2852" s="585">
        <v>51980</v>
      </c>
      <c r="AC2852" s="585" t="s">
        <v>164</v>
      </c>
      <c r="AD2852" s="585">
        <v>41727</v>
      </c>
      <c r="AE2852" s="587">
        <v>0.05</v>
      </c>
      <c r="AF2852" s="661" t="str">
        <f t="shared" si="311"/>
        <v>2019-LTK-FRD-F35C-017-26</v>
      </c>
      <c r="AG2852" s="661" t="str">
        <f>IF(AND($Y2852&gt;=32,(AI2852="I"),(Y2852&lt;&gt;"~"),(COUNTIF($AN$1:$AN2852,$AN2852)=1)),"TRUE","FALSE")</f>
        <v>FALSE</v>
      </c>
      <c r="AH2852" s="661" t="str">
        <f>IF(AND($Y2852&gt;=22, (AI2852&lt;&gt;"I"),(Y2852&lt;&gt;"~"),(COUNTIF($AN$1:$AN2852,$AN2852)=1)),"TRUE","FALSE")</f>
        <v>FALSE</v>
      </c>
      <c r="AI2852" s="661" t="str">
        <f t="shared" si="313"/>
        <v>N/A</v>
      </c>
      <c r="AJ2852" s="662" t="str">
        <f t="shared" si="307"/>
        <v>F35C-017</v>
      </c>
      <c r="AK2852" s="662" t="str">
        <f t="shared" si="308"/>
        <v>LTK</v>
      </c>
      <c r="AL2852" s="662" t="str">
        <f t="shared" si="309"/>
        <v>FRD</v>
      </c>
      <c r="AM2852" s="662" t="str">
        <f t="shared" si="312"/>
        <v>F350 Chassis Cab-Crew Cab XLT SRW-2WD-6-~-12600-6.7L Diesel-8-W3E-633A-179-40-Diesel-BioDiesel</v>
      </c>
      <c r="AN2852" s="662" t="str">
        <f t="shared" si="310"/>
        <v>2019-LTK-FRD-F35C-017</v>
      </c>
    </row>
    <row r="2853" spans="1:40" ht="15">
      <c r="A2853" s="570" t="s">
        <v>4957</v>
      </c>
      <c r="B2853" s="573" t="s">
        <v>4948</v>
      </c>
      <c r="C2853" s="573" t="s">
        <v>280</v>
      </c>
      <c r="D2853" s="578">
        <v>27</v>
      </c>
      <c r="E2853" s="573" t="s">
        <v>3374</v>
      </c>
      <c r="F2853" s="573" t="s">
        <v>1684</v>
      </c>
      <c r="G2853" s="573" t="s">
        <v>271</v>
      </c>
      <c r="H2853" s="573">
        <v>2019</v>
      </c>
      <c r="I2853" s="573" t="s">
        <v>4879</v>
      </c>
      <c r="J2853" s="573" t="s">
        <v>4949</v>
      </c>
      <c r="K2853" s="573" t="s">
        <v>3377</v>
      </c>
      <c r="L2853" s="573">
        <v>6</v>
      </c>
      <c r="M2853" s="573">
        <v>0</v>
      </c>
      <c r="N2853" s="573" t="s">
        <v>157</v>
      </c>
      <c r="O2853" s="573">
        <v>2</v>
      </c>
      <c r="P2853" s="573" t="s">
        <v>157</v>
      </c>
      <c r="Q2853" s="571">
        <v>12600</v>
      </c>
      <c r="R2853" s="573" t="s">
        <v>4235</v>
      </c>
      <c r="S2853" s="573">
        <v>8</v>
      </c>
      <c r="T2853" s="573" t="s">
        <v>4904</v>
      </c>
      <c r="U2853" s="573" t="s">
        <v>4950</v>
      </c>
      <c r="V2853" s="573">
        <v>179</v>
      </c>
      <c r="W2853" s="573">
        <v>40</v>
      </c>
      <c r="X2853" s="571">
        <v>11000</v>
      </c>
      <c r="Y2853" s="569" t="s">
        <v>164</v>
      </c>
      <c r="Z2853" s="579" t="s">
        <v>450</v>
      </c>
      <c r="AA2853" s="579" t="s">
        <v>178</v>
      </c>
      <c r="AB2853" s="584">
        <v>42860</v>
      </c>
      <c r="AC2853" s="584" t="s">
        <v>164</v>
      </c>
      <c r="AD2853" s="584">
        <v>33283.915789473685</v>
      </c>
      <c r="AE2853" s="586">
        <v>0.03</v>
      </c>
      <c r="AF2853" s="661" t="str">
        <f t="shared" si="311"/>
        <v>2019-LTK-FRD-F35C-016-27</v>
      </c>
      <c r="AG2853" s="661" t="str">
        <f>IF(AND($Y2853&gt;=32,(AI2853="I"),(Y2853&lt;&gt;"~"),(COUNTIF($AN$1:$AN2853,$AN2853)=1)),"TRUE","FALSE")</f>
        <v>FALSE</v>
      </c>
      <c r="AH2853" s="661" t="str">
        <f>IF(AND($Y2853&gt;=22, (AI2853&lt;&gt;"I"),(Y2853&lt;&gt;"~"),(COUNTIF($AN$1:$AN2853,$AN2853)=1)),"TRUE","FALSE")</f>
        <v>FALSE</v>
      </c>
      <c r="AI2853" s="661" t="str">
        <f t="shared" si="313"/>
        <v>N/A</v>
      </c>
      <c r="AJ2853" s="662" t="str">
        <f t="shared" si="307"/>
        <v>F35C-016</v>
      </c>
      <c r="AK2853" s="662" t="str">
        <f t="shared" si="308"/>
        <v>LTK</v>
      </c>
      <c r="AL2853" s="662" t="str">
        <f t="shared" si="309"/>
        <v>FRD</v>
      </c>
      <c r="AM2853" s="662" t="str">
        <f t="shared" si="312"/>
        <v>F350 Chassis Cab-Crew Cab XLT SRW-2WD-6-~-12600-6.2L FFV-8-W3E-633A-179-40-E85-Unleaded</v>
      </c>
      <c r="AN2853" s="662" t="str">
        <f t="shared" si="310"/>
        <v>2019-LTK-FRD-F35C-016</v>
      </c>
    </row>
    <row r="2854" spans="1:40" ht="15">
      <c r="A2854" s="570" t="s">
        <v>4958</v>
      </c>
      <c r="B2854" s="569" t="s">
        <v>4952</v>
      </c>
      <c r="C2854" s="569" t="s">
        <v>280</v>
      </c>
      <c r="D2854" s="580">
        <v>27</v>
      </c>
      <c r="E2854" s="569" t="s">
        <v>3374</v>
      </c>
      <c r="F2854" s="569" t="s">
        <v>1684</v>
      </c>
      <c r="G2854" s="569" t="s">
        <v>271</v>
      </c>
      <c r="H2854" s="569">
        <v>2019</v>
      </c>
      <c r="I2854" s="569" t="s">
        <v>4879</v>
      </c>
      <c r="J2854" s="569" t="s">
        <v>4949</v>
      </c>
      <c r="K2854" s="569" t="s">
        <v>3377</v>
      </c>
      <c r="L2854" s="569">
        <v>6</v>
      </c>
      <c r="M2854" s="569">
        <v>0</v>
      </c>
      <c r="N2854" s="569" t="s">
        <v>157</v>
      </c>
      <c r="O2854" s="569">
        <v>2</v>
      </c>
      <c r="P2854" s="569" t="s">
        <v>157</v>
      </c>
      <c r="Q2854" s="568">
        <v>12600</v>
      </c>
      <c r="R2854" s="569" t="s">
        <v>4231</v>
      </c>
      <c r="S2854" s="569">
        <v>8</v>
      </c>
      <c r="T2854" s="569" t="s">
        <v>4904</v>
      </c>
      <c r="U2854" s="569" t="s">
        <v>4950</v>
      </c>
      <c r="V2854" s="569">
        <v>179</v>
      </c>
      <c r="W2854" s="569">
        <v>40</v>
      </c>
      <c r="X2854" s="568">
        <v>11500</v>
      </c>
      <c r="Y2854" s="569" t="s">
        <v>164</v>
      </c>
      <c r="Z2854" s="581" t="s">
        <v>728</v>
      </c>
      <c r="AA2854" s="581" t="s">
        <v>1523</v>
      </c>
      <c r="AB2854" s="585">
        <v>51980</v>
      </c>
      <c r="AC2854" s="585" t="s">
        <v>164</v>
      </c>
      <c r="AD2854" s="585">
        <v>41476.1052631579</v>
      </c>
      <c r="AE2854" s="587">
        <v>0.03</v>
      </c>
      <c r="AF2854" s="661" t="str">
        <f t="shared" si="311"/>
        <v>2019-LTK-FRD-F35C-017-27</v>
      </c>
      <c r="AG2854" s="661" t="str">
        <f>IF(AND($Y2854&gt;=32,(AI2854="I"),(Y2854&lt;&gt;"~"),(COUNTIF($AN$1:$AN2854,$AN2854)=1)),"TRUE","FALSE")</f>
        <v>FALSE</v>
      </c>
      <c r="AH2854" s="661" t="str">
        <f>IF(AND($Y2854&gt;=22, (AI2854&lt;&gt;"I"),(Y2854&lt;&gt;"~"),(COUNTIF($AN$1:$AN2854,$AN2854)=1)),"TRUE","FALSE")</f>
        <v>FALSE</v>
      </c>
      <c r="AI2854" s="661" t="str">
        <f t="shared" si="313"/>
        <v>N/A</v>
      </c>
      <c r="AJ2854" s="662" t="str">
        <f t="shared" si="307"/>
        <v>F35C-017</v>
      </c>
      <c r="AK2854" s="662" t="str">
        <f t="shared" si="308"/>
        <v>LTK</v>
      </c>
      <c r="AL2854" s="662" t="str">
        <f t="shared" si="309"/>
        <v>FRD</v>
      </c>
      <c r="AM2854" s="662" t="str">
        <f t="shared" si="312"/>
        <v>F350 Chassis Cab-Crew Cab XLT SRW-2WD-6-~-12600-6.7L Diesel-8-W3E-633A-179-40-Diesel-BioDiesel</v>
      </c>
      <c r="AN2854" s="662" t="str">
        <f t="shared" si="310"/>
        <v>2019-LTK-FRD-F35C-017</v>
      </c>
    </row>
    <row r="2855" spans="1:40" ht="15">
      <c r="A2855" s="570" t="s">
        <v>4959</v>
      </c>
      <c r="B2855" s="573" t="s">
        <v>4960</v>
      </c>
      <c r="C2855" s="573" t="s">
        <v>269</v>
      </c>
      <c r="D2855" s="578" t="s">
        <v>270</v>
      </c>
      <c r="E2855" s="573" t="s">
        <v>3374</v>
      </c>
      <c r="F2855" s="573" t="s">
        <v>1684</v>
      </c>
      <c r="G2855" s="573" t="s">
        <v>271</v>
      </c>
      <c r="H2855" s="573">
        <v>2019</v>
      </c>
      <c r="I2855" s="573" t="s">
        <v>4879</v>
      </c>
      <c r="J2855" s="573" t="s">
        <v>4949</v>
      </c>
      <c r="K2855" s="573" t="s">
        <v>752</v>
      </c>
      <c r="L2855" s="573">
        <v>6</v>
      </c>
      <c r="M2855" s="573">
        <v>0</v>
      </c>
      <c r="N2855" s="573" t="s">
        <v>157</v>
      </c>
      <c r="O2855" s="573">
        <v>2</v>
      </c>
      <c r="P2855" s="573" t="s">
        <v>157</v>
      </c>
      <c r="Q2855" s="571">
        <v>12100</v>
      </c>
      <c r="R2855" s="573" t="s">
        <v>4235</v>
      </c>
      <c r="S2855" s="573">
        <v>8</v>
      </c>
      <c r="T2855" s="573" t="s">
        <v>4916</v>
      </c>
      <c r="U2855" s="573" t="s">
        <v>4950</v>
      </c>
      <c r="V2855" s="573">
        <v>179</v>
      </c>
      <c r="W2855" s="573">
        <v>40</v>
      </c>
      <c r="X2855" s="571">
        <v>11400</v>
      </c>
      <c r="Y2855" s="569" t="s">
        <v>164</v>
      </c>
      <c r="Z2855" s="579" t="s">
        <v>450</v>
      </c>
      <c r="AA2855" s="579" t="s">
        <v>178</v>
      </c>
      <c r="AB2855" s="584">
        <v>46365</v>
      </c>
      <c r="AC2855" s="584" t="s">
        <v>164</v>
      </c>
      <c r="AD2855" s="584">
        <v>35890.231578947372</v>
      </c>
      <c r="AE2855" s="586">
        <v>0.03</v>
      </c>
      <c r="AF2855" s="661" t="str">
        <f t="shared" si="311"/>
        <v>2019-LTK-FRD-F35C-018-05</v>
      </c>
      <c r="AG2855" s="661" t="str">
        <f>IF(AND($Y2855&gt;=32,(AI2855="I"),(Y2855&lt;&gt;"~"),(COUNTIF($AN$1:$AN2855,$AN2855)=1)),"TRUE","FALSE")</f>
        <v>FALSE</v>
      </c>
      <c r="AH2855" s="661" t="str">
        <f>IF(AND($Y2855&gt;=22, (AI2855&lt;&gt;"I"),(Y2855&lt;&gt;"~"),(COUNTIF($AN$1:$AN2855,$AN2855)=1)),"TRUE","FALSE")</f>
        <v>TRUE</v>
      </c>
      <c r="AI2855" s="661" t="str">
        <f t="shared" si="313"/>
        <v>N/A</v>
      </c>
      <c r="AJ2855" s="662" t="str">
        <f t="shared" si="307"/>
        <v>F35C-018</v>
      </c>
      <c r="AK2855" s="662" t="str">
        <f t="shared" si="308"/>
        <v>LTK</v>
      </c>
      <c r="AL2855" s="662" t="str">
        <f t="shared" si="309"/>
        <v>FRD</v>
      </c>
      <c r="AM2855" s="662" t="str">
        <f t="shared" si="312"/>
        <v>F350 Chassis Cab-Crew Cab XLT SRW-4WD-6-~-12100-6.2L FFV-8-W3F-633A-179-40-E85-Unleaded</v>
      </c>
      <c r="AN2855" s="662" t="str">
        <f t="shared" si="310"/>
        <v>2019-LTK-FRD-F35C-018</v>
      </c>
    </row>
    <row r="2856" spans="1:40" ht="15">
      <c r="A2856" s="570" t="s">
        <v>4961</v>
      </c>
      <c r="B2856" s="569" t="s">
        <v>4962</v>
      </c>
      <c r="C2856" s="569" t="s">
        <v>269</v>
      </c>
      <c r="D2856" s="580" t="s">
        <v>270</v>
      </c>
      <c r="E2856" s="569" t="s">
        <v>3374</v>
      </c>
      <c r="F2856" s="569" t="s">
        <v>1684</v>
      </c>
      <c r="G2856" s="569" t="s">
        <v>271</v>
      </c>
      <c r="H2856" s="569">
        <v>2019</v>
      </c>
      <c r="I2856" s="569" t="s">
        <v>4879</v>
      </c>
      <c r="J2856" s="569" t="s">
        <v>4949</v>
      </c>
      <c r="K2856" s="569" t="s">
        <v>752</v>
      </c>
      <c r="L2856" s="569">
        <v>6</v>
      </c>
      <c r="M2856" s="569">
        <v>0</v>
      </c>
      <c r="N2856" s="569" t="s">
        <v>157</v>
      </c>
      <c r="O2856" s="569">
        <v>2</v>
      </c>
      <c r="P2856" s="569" t="s">
        <v>157</v>
      </c>
      <c r="Q2856" s="568">
        <v>12100</v>
      </c>
      <c r="R2856" s="569" t="s">
        <v>4231</v>
      </c>
      <c r="S2856" s="569">
        <v>8</v>
      </c>
      <c r="T2856" s="569" t="s">
        <v>4916</v>
      </c>
      <c r="U2856" s="569" t="s">
        <v>4950</v>
      </c>
      <c r="V2856" s="569">
        <v>179</v>
      </c>
      <c r="W2856" s="569">
        <v>40</v>
      </c>
      <c r="X2856" s="568">
        <v>11500</v>
      </c>
      <c r="Y2856" s="569" t="s">
        <v>164</v>
      </c>
      <c r="Z2856" s="581" t="s">
        <v>728</v>
      </c>
      <c r="AA2856" s="581" t="s">
        <v>1523</v>
      </c>
      <c r="AB2856" s="585">
        <v>55485</v>
      </c>
      <c r="AC2856" s="585" t="s">
        <v>164</v>
      </c>
      <c r="AD2856" s="585">
        <v>44082.421052631587</v>
      </c>
      <c r="AE2856" s="587">
        <v>0.03</v>
      </c>
      <c r="AF2856" s="661" t="str">
        <f t="shared" si="311"/>
        <v>2019-LTK-FRD-F35C-020-05</v>
      </c>
      <c r="AG2856" s="661" t="str">
        <f>IF(AND($Y2856&gt;=32,(AI2856="I"),(Y2856&lt;&gt;"~"),(COUNTIF($AN$1:$AN2856,$AN2856)=1)),"TRUE","FALSE")</f>
        <v>FALSE</v>
      </c>
      <c r="AH2856" s="661" t="str">
        <f>IF(AND($Y2856&gt;=22, (AI2856&lt;&gt;"I"),(Y2856&lt;&gt;"~"),(COUNTIF($AN$1:$AN2856,$AN2856)=1)),"TRUE","FALSE")</f>
        <v>TRUE</v>
      </c>
      <c r="AI2856" s="661" t="str">
        <f t="shared" si="313"/>
        <v>N/A</v>
      </c>
      <c r="AJ2856" s="662" t="str">
        <f t="shared" si="307"/>
        <v>F35C-020</v>
      </c>
      <c r="AK2856" s="662" t="str">
        <f t="shared" si="308"/>
        <v>LTK</v>
      </c>
      <c r="AL2856" s="662" t="str">
        <f t="shared" si="309"/>
        <v>FRD</v>
      </c>
      <c r="AM2856" s="662" t="str">
        <f t="shared" si="312"/>
        <v>F350 Chassis Cab-Crew Cab XLT SRW-4WD-6-~-12100-6.7L Diesel-8-W3F-633A-179-40-Diesel-BioDiesel</v>
      </c>
      <c r="AN2856" s="662" t="str">
        <f t="shared" si="310"/>
        <v>2019-LTK-FRD-F35C-020</v>
      </c>
    </row>
    <row r="2857" spans="1:40" ht="15">
      <c r="A2857" s="570" t="s">
        <v>4963</v>
      </c>
      <c r="B2857" s="573" t="s">
        <v>4964</v>
      </c>
      <c r="C2857" s="573" t="s">
        <v>278</v>
      </c>
      <c r="D2857" s="578">
        <v>15</v>
      </c>
      <c r="E2857" s="573" t="s">
        <v>3374</v>
      </c>
      <c r="F2857" s="573" t="s">
        <v>1684</v>
      </c>
      <c r="G2857" s="573" t="s">
        <v>271</v>
      </c>
      <c r="H2857" s="573">
        <v>2019</v>
      </c>
      <c r="I2857" s="573" t="s">
        <v>4879</v>
      </c>
      <c r="J2857" s="573" t="s">
        <v>4949</v>
      </c>
      <c r="K2857" s="573" t="s">
        <v>752</v>
      </c>
      <c r="L2857" s="573">
        <v>6</v>
      </c>
      <c r="M2857" s="573">
        <v>0</v>
      </c>
      <c r="N2857" s="573" t="s">
        <v>157</v>
      </c>
      <c r="O2857" s="573">
        <v>2</v>
      </c>
      <c r="P2857" s="573" t="s">
        <v>157</v>
      </c>
      <c r="Q2857" s="571">
        <v>12200</v>
      </c>
      <c r="R2857" s="573" t="s">
        <v>4235</v>
      </c>
      <c r="S2857" s="573">
        <v>8</v>
      </c>
      <c r="T2857" s="573" t="s">
        <v>4916</v>
      </c>
      <c r="U2857" s="573" t="s">
        <v>4950</v>
      </c>
      <c r="V2857" s="573">
        <v>179</v>
      </c>
      <c r="W2857" s="573">
        <v>40</v>
      </c>
      <c r="X2857" s="571">
        <v>11400</v>
      </c>
      <c r="Y2857" s="569" t="s">
        <v>164</v>
      </c>
      <c r="Z2857" s="579" t="s">
        <v>450</v>
      </c>
      <c r="AA2857" s="579" t="s">
        <v>178</v>
      </c>
      <c r="AB2857" s="584">
        <v>46365</v>
      </c>
      <c r="AC2857" s="584" t="s">
        <v>164</v>
      </c>
      <c r="AD2857" s="584">
        <v>36100</v>
      </c>
      <c r="AE2857" s="586">
        <v>0.01</v>
      </c>
      <c r="AF2857" s="661" t="str">
        <f t="shared" si="311"/>
        <v>2019-LTK-FRD-F35C-019-15</v>
      </c>
      <c r="AG2857" s="661" t="str">
        <f>IF(AND($Y2857&gt;=32,(AI2857="I"),(Y2857&lt;&gt;"~"),(COUNTIF($AN$1:$AN2857,$AN2857)=1)),"TRUE","FALSE")</f>
        <v>FALSE</v>
      </c>
      <c r="AH2857" s="661" t="str">
        <f>IF(AND($Y2857&gt;=22, (AI2857&lt;&gt;"I"),(Y2857&lt;&gt;"~"),(COUNTIF($AN$1:$AN2857,$AN2857)=1)),"TRUE","FALSE")</f>
        <v>TRUE</v>
      </c>
      <c r="AI2857" s="661" t="str">
        <f t="shared" si="313"/>
        <v>N/A</v>
      </c>
      <c r="AJ2857" s="662" t="str">
        <f t="shared" si="307"/>
        <v>F35C-019</v>
      </c>
      <c r="AK2857" s="662" t="str">
        <f t="shared" si="308"/>
        <v>LTK</v>
      </c>
      <c r="AL2857" s="662" t="str">
        <f t="shared" si="309"/>
        <v>FRD</v>
      </c>
      <c r="AM2857" s="662" t="str">
        <f t="shared" si="312"/>
        <v>F350 Chassis Cab-Crew Cab XLT SRW-4WD-6-~-12200-6.2L FFV-8-W3F-633A-179-40-E85-Unleaded</v>
      </c>
      <c r="AN2857" s="662" t="str">
        <f t="shared" si="310"/>
        <v>2019-LTK-FRD-F35C-019</v>
      </c>
    </row>
    <row r="2858" spans="1:40" ht="15">
      <c r="A2858" s="570" t="s">
        <v>4965</v>
      </c>
      <c r="B2858" s="569" t="s">
        <v>4962</v>
      </c>
      <c r="C2858" s="569" t="s">
        <v>278</v>
      </c>
      <c r="D2858" s="580">
        <v>15</v>
      </c>
      <c r="E2858" s="569" t="s">
        <v>3374</v>
      </c>
      <c r="F2858" s="569" t="s">
        <v>1684</v>
      </c>
      <c r="G2858" s="569" t="s">
        <v>271</v>
      </c>
      <c r="H2858" s="569">
        <v>2019</v>
      </c>
      <c r="I2858" s="569" t="s">
        <v>4879</v>
      </c>
      <c r="J2858" s="569" t="s">
        <v>4949</v>
      </c>
      <c r="K2858" s="569" t="s">
        <v>752</v>
      </c>
      <c r="L2858" s="569">
        <v>6</v>
      </c>
      <c r="M2858" s="569">
        <v>0</v>
      </c>
      <c r="N2858" s="569" t="s">
        <v>157</v>
      </c>
      <c r="O2858" s="569">
        <v>2</v>
      </c>
      <c r="P2858" s="569" t="s">
        <v>157</v>
      </c>
      <c r="Q2858" s="568">
        <v>12200</v>
      </c>
      <c r="R2858" s="569" t="s">
        <v>4231</v>
      </c>
      <c r="S2858" s="569">
        <v>8</v>
      </c>
      <c r="T2858" s="569" t="s">
        <v>4916</v>
      </c>
      <c r="U2858" s="569" t="s">
        <v>4950</v>
      </c>
      <c r="V2858" s="569">
        <v>179</v>
      </c>
      <c r="W2858" s="569">
        <v>40</v>
      </c>
      <c r="X2858" s="568">
        <v>11500</v>
      </c>
      <c r="Y2858" s="569" t="s">
        <v>164</v>
      </c>
      <c r="Z2858" s="581" t="s">
        <v>728</v>
      </c>
      <c r="AA2858" s="581" t="s">
        <v>1523</v>
      </c>
      <c r="AB2858" s="585">
        <v>55485</v>
      </c>
      <c r="AC2858" s="585" t="s">
        <v>164</v>
      </c>
      <c r="AD2858" s="585">
        <v>44350</v>
      </c>
      <c r="AE2858" s="587">
        <v>0.01</v>
      </c>
      <c r="AF2858" s="661" t="str">
        <f t="shared" si="311"/>
        <v>2019-LTK-FRD-F35C-020-15</v>
      </c>
      <c r="AG2858" s="661" t="str">
        <f>IF(AND($Y2858&gt;=32,(AI2858="I"),(Y2858&lt;&gt;"~"),(COUNTIF($AN$1:$AN2858,$AN2858)=1)),"TRUE","FALSE")</f>
        <v>FALSE</v>
      </c>
      <c r="AH2858" s="661" t="str">
        <f>IF(AND($Y2858&gt;=22, (AI2858&lt;&gt;"I"),(Y2858&lt;&gt;"~"),(COUNTIF($AN$1:$AN2858,$AN2858)=1)),"TRUE","FALSE")</f>
        <v>FALSE</v>
      </c>
      <c r="AI2858" s="661" t="str">
        <f t="shared" si="313"/>
        <v>N/A</v>
      </c>
      <c r="AJ2858" s="662" t="str">
        <f t="shared" si="307"/>
        <v>F35C-020</v>
      </c>
      <c r="AK2858" s="662" t="str">
        <f t="shared" si="308"/>
        <v>LTK</v>
      </c>
      <c r="AL2858" s="662" t="str">
        <f t="shared" si="309"/>
        <v>FRD</v>
      </c>
      <c r="AM2858" s="662" t="str">
        <f t="shared" si="312"/>
        <v>F350 Chassis Cab-Crew Cab XLT SRW-4WD-6-~-12200-6.7L Diesel-8-W3F-633A-179-40-Diesel-BioDiesel</v>
      </c>
      <c r="AN2858" s="662" t="str">
        <f t="shared" si="310"/>
        <v>2019-LTK-FRD-F35C-020</v>
      </c>
    </row>
    <row r="2859" spans="1:40" ht="15">
      <c r="A2859" s="570" t="s">
        <v>4966</v>
      </c>
      <c r="B2859" s="573" t="s">
        <v>4964</v>
      </c>
      <c r="C2859" s="573" t="s">
        <v>287</v>
      </c>
      <c r="D2859" s="578">
        <v>26</v>
      </c>
      <c r="E2859" s="573" t="s">
        <v>3374</v>
      </c>
      <c r="F2859" s="573" t="s">
        <v>1684</v>
      </c>
      <c r="G2859" s="573" t="s">
        <v>271</v>
      </c>
      <c r="H2859" s="573">
        <v>2019</v>
      </c>
      <c r="I2859" s="573" t="s">
        <v>4879</v>
      </c>
      <c r="J2859" s="573" t="s">
        <v>4949</v>
      </c>
      <c r="K2859" s="573" t="s">
        <v>752</v>
      </c>
      <c r="L2859" s="573">
        <v>6</v>
      </c>
      <c r="M2859" s="573">
        <v>0</v>
      </c>
      <c r="N2859" s="573" t="s">
        <v>157</v>
      </c>
      <c r="O2859" s="573">
        <v>2</v>
      </c>
      <c r="P2859" s="573" t="s">
        <v>157</v>
      </c>
      <c r="Q2859" s="571">
        <v>12200</v>
      </c>
      <c r="R2859" s="573" t="s">
        <v>4235</v>
      </c>
      <c r="S2859" s="573">
        <v>8</v>
      </c>
      <c r="T2859" s="573" t="s">
        <v>4916</v>
      </c>
      <c r="U2859" s="573" t="s">
        <v>4950</v>
      </c>
      <c r="V2859" s="573">
        <v>179</v>
      </c>
      <c r="W2859" s="573">
        <v>40</v>
      </c>
      <c r="X2859" s="571">
        <v>11400</v>
      </c>
      <c r="Y2859" s="569" t="s">
        <v>164</v>
      </c>
      <c r="Z2859" s="579" t="s">
        <v>450</v>
      </c>
      <c r="AA2859" s="579" t="s">
        <v>178</v>
      </c>
      <c r="AB2859" s="584">
        <v>45915</v>
      </c>
      <c r="AC2859" s="584" t="s">
        <v>164</v>
      </c>
      <c r="AD2859" s="584">
        <v>36179</v>
      </c>
      <c r="AE2859" s="586">
        <v>0.05</v>
      </c>
      <c r="AF2859" s="661" t="str">
        <f t="shared" si="311"/>
        <v>2019-LTK-FRD-F35C-019-26</v>
      </c>
      <c r="AG2859" s="661" t="str">
        <f>IF(AND($Y2859&gt;=32,(AI2859="I"),(Y2859&lt;&gt;"~"),(COUNTIF($AN$1:$AN2859,$AN2859)=1)),"TRUE","FALSE")</f>
        <v>FALSE</v>
      </c>
      <c r="AH2859" s="661" t="str">
        <f>IF(AND($Y2859&gt;=22, (AI2859&lt;&gt;"I"),(Y2859&lt;&gt;"~"),(COUNTIF($AN$1:$AN2859,$AN2859)=1)),"TRUE","FALSE")</f>
        <v>FALSE</v>
      </c>
      <c r="AI2859" s="661" t="str">
        <f t="shared" si="313"/>
        <v>N/A</v>
      </c>
      <c r="AJ2859" s="662" t="str">
        <f t="shared" si="307"/>
        <v>F35C-019</v>
      </c>
      <c r="AK2859" s="662" t="str">
        <f t="shared" si="308"/>
        <v>LTK</v>
      </c>
      <c r="AL2859" s="662" t="str">
        <f t="shared" si="309"/>
        <v>FRD</v>
      </c>
      <c r="AM2859" s="662" t="str">
        <f t="shared" si="312"/>
        <v>F350 Chassis Cab-Crew Cab XLT SRW-4WD-6-~-12200-6.2L FFV-8-W3F-633A-179-40-E85-Unleaded</v>
      </c>
      <c r="AN2859" s="662" t="str">
        <f t="shared" si="310"/>
        <v>2019-LTK-FRD-F35C-019</v>
      </c>
    </row>
    <row r="2860" spans="1:40" ht="15">
      <c r="A2860" s="570" t="s">
        <v>4967</v>
      </c>
      <c r="B2860" s="569" t="s">
        <v>4962</v>
      </c>
      <c r="C2860" s="569" t="s">
        <v>287</v>
      </c>
      <c r="D2860" s="580">
        <v>26</v>
      </c>
      <c r="E2860" s="569" t="s">
        <v>3374</v>
      </c>
      <c r="F2860" s="569" t="s">
        <v>1684</v>
      </c>
      <c r="G2860" s="569" t="s">
        <v>271</v>
      </c>
      <c r="H2860" s="569">
        <v>2019</v>
      </c>
      <c r="I2860" s="569" t="s">
        <v>4879</v>
      </c>
      <c r="J2860" s="569" t="s">
        <v>4949</v>
      </c>
      <c r="K2860" s="569" t="s">
        <v>752</v>
      </c>
      <c r="L2860" s="569">
        <v>6</v>
      </c>
      <c r="M2860" s="569">
        <v>0</v>
      </c>
      <c r="N2860" s="569" t="s">
        <v>157</v>
      </c>
      <c r="O2860" s="569">
        <v>2</v>
      </c>
      <c r="P2860" s="569" t="s">
        <v>157</v>
      </c>
      <c r="Q2860" s="568">
        <v>12200</v>
      </c>
      <c r="R2860" s="569" t="s">
        <v>4231</v>
      </c>
      <c r="S2860" s="569">
        <v>8</v>
      </c>
      <c r="T2860" s="569" t="s">
        <v>4916</v>
      </c>
      <c r="U2860" s="569" t="s">
        <v>4950</v>
      </c>
      <c r="V2860" s="569">
        <v>179</v>
      </c>
      <c r="W2860" s="569">
        <v>40</v>
      </c>
      <c r="X2860" s="568">
        <v>11500</v>
      </c>
      <c r="Y2860" s="569" t="s">
        <v>164</v>
      </c>
      <c r="Z2860" s="581" t="s">
        <v>728</v>
      </c>
      <c r="AA2860" s="581" t="s">
        <v>1523</v>
      </c>
      <c r="AB2860" s="585">
        <v>54910</v>
      </c>
      <c r="AC2860" s="585" t="s">
        <v>164</v>
      </c>
      <c r="AD2860" s="585">
        <v>44373</v>
      </c>
      <c r="AE2860" s="587">
        <v>0.05</v>
      </c>
      <c r="AF2860" s="661" t="str">
        <f t="shared" si="311"/>
        <v>2019-LTK-FRD-F35C-020-26</v>
      </c>
      <c r="AG2860" s="661" t="str">
        <f>IF(AND($Y2860&gt;=32,(AI2860="I"),(Y2860&lt;&gt;"~"),(COUNTIF($AN$1:$AN2860,$AN2860)=1)),"TRUE","FALSE")</f>
        <v>FALSE</v>
      </c>
      <c r="AH2860" s="661" t="str">
        <f>IF(AND($Y2860&gt;=22, (AI2860&lt;&gt;"I"),(Y2860&lt;&gt;"~"),(COUNTIF($AN$1:$AN2860,$AN2860)=1)),"TRUE","FALSE")</f>
        <v>FALSE</v>
      </c>
      <c r="AI2860" s="661" t="str">
        <f t="shared" si="313"/>
        <v>N/A</v>
      </c>
      <c r="AJ2860" s="662" t="str">
        <f t="shared" si="307"/>
        <v>F35C-020</v>
      </c>
      <c r="AK2860" s="662" t="str">
        <f t="shared" si="308"/>
        <v>LTK</v>
      </c>
      <c r="AL2860" s="662" t="str">
        <f t="shared" si="309"/>
        <v>FRD</v>
      </c>
      <c r="AM2860" s="662" t="str">
        <f t="shared" si="312"/>
        <v>F350 Chassis Cab-Crew Cab XLT SRW-4WD-6-~-12200-6.7L Diesel-8-W3F-633A-179-40-Diesel-BioDiesel</v>
      </c>
      <c r="AN2860" s="662" t="str">
        <f t="shared" si="310"/>
        <v>2019-LTK-FRD-F35C-020</v>
      </c>
    </row>
    <row r="2861" spans="1:40" ht="15">
      <c r="A2861" s="570" t="s">
        <v>4968</v>
      </c>
      <c r="B2861" s="573" t="s">
        <v>4960</v>
      </c>
      <c r="C2861" s="573" t="s">
        <v>280</v>
      </c>
      <c r="D2861" s="578">
        <v>27</v>
      </c>
      <c r="E2861" s="573" t="s">
        <v>3374</v>
      </c>
      <c r="F2861" s="573" t="s">
        <v>1684</v>
      </c>
      <c r="G2861" s="573" t="s">
        <v>271</v>
      </c>
      <c r="H2861" s="573">
        <v>2019</v>
      </c>
      <c r="I2861" s="573" t="s">
        <v>4879</v>
      </c>
      <c r="J2861" s="573" t="s">
        <v>4949</v>
      </c>
      <c r="K2861" s="573" t="s">
        <v>752</v>
      </c>
      <c r="L2861" s="573">
        <v>6</v>
      </c>
      <c r="M2861" s="573">
        <v>0</v>
      </c>
      <c r="N2861" s="573" t="s">
        <v>157</v>
      </c>
      <c r="O2861" s="573">
        <v>2</v>
      </c>
      <c r="P2861" s="573" t="s">
        <v>157</v>
      </c>
      <c r="Q2861" s="571">
        <v>12100</v>
      </c>
      <c r="R2861" s="573" t="s">
        <v>4235</v>
      </c>
      <c r="S2861" s="573">
        <v>8</v>
      </c>
      <c r="T2861" s="573" t="s">
        <v>4916</v>
      </c>
      <c r="U2861" s="573" t="s">
        <v>4950</v>
      </c>
      <c r="V2861" s="573">
        <v>179</v>
      </c>
      <c r="W2861" s="573">
        <v>40</v>
      </c>
      <c r="X2861" s="571">
        <v>11400</v>
      </c>
      <c r="Y2861" s="569" t="s">
        <v>164</v>
      </c>
      <c r="Z2861" s="579" t="s">
        <v>450</v>
      </c>
      <c r="AA2861" s="579" t="s">
        <v>178</v>
      </c>
      <c r="AB2861" s="584">
        <v>46365</v>
      </c>
      <c r="AC2861" s="584" t="s">
        <v>164</v>
      </c>
      <c r="AD2861" s="584">
        <v>35890.231578947372</v>
      </c>
      <c r="AE2861" s="586">
        <v>0.03</v>
      </c>
      <c r="AF2861" s="661" t="str">
        <f t="shared" si="311"/>
        <v>2019-LTK-FRD-F35C-018-27</v>
      </c>
      <c r="AG2861" s="661" t="str">
        <f>IF(AND($Y2861&gt;=32,(AI2861="I"),(Y2861&lt;&gt;"~"),(COUNTIF($AN$1:$AN2861,$AN2861)=1)),"TRUE","FALSE")</f>
        <v>FALSE</v>
      </c>
      <c r="AH2861" s="661" t="str">
        <f>IF(AND($Y2861&gt;=22, (AI2861&lt;&gt;"I"),(Y2861&lt;&gt;"~"),(COUNTIF($AN$1:$AN2861,$AN2861)=1)),"TRUE","FALSE")</f>
        <v>FALSE</v>
      </c>
      <c r="AI2861" s="661" t="str">
        <f t="shared" si="313"/>
        <v>N/A</v>
      </c>
      <c r="AJ2861" s="662" t="str">
        <f t="shared" si="307"/>
        <v>F35C-018</v>
      </c>
      <c r="AK2861" s="662" t="str">
        <f t="shared" si="308"/>
        <v>LTK</v>
      </c>
      <c r="AL2861" s="662" t="str">
        <f t="shared" si="309"/>
        <v>FRD</v>
      </c>
      <c r="AM2861" s="662" t="str">
        <f t="shared" si="312"/>
        <v>F350 Chassis Cab-Crew Cab XLT SRW-4WD-6-~-12100-6.2L FFV-8-W3F-633A-179-40-E85-Unleaded</v>
      </c>
      <c r="AN2861" s="662" t="str">
        <f t="shared" si="310"/>
        <v>2019-LTK-FRD-F35C-018</v>
      </c>
    </row>
    <row r="2862" spans="1:40" ht="15">
      <c r="A2862" s="570" t="s">
        <v>4969</v>
      </c>
      <c r="B2862" s="569" t="s">
        <v>4962</v>
      </c>
      <c r="C2862" s="569" t="s">
        <v>280</v>
      </c>
      <c r="D2862" s="580">
        <v>27</v>
      </c>
      <c r="E2862" s="569" t="s">
        <v>3374</v>
      </c>
      <c r="F2862" s="569" t="s">
        <v>1684</v>
      </c>
      <c r="G2862" s="569" t="s">
        <v>271</v>
      </c>
      <c r="H2862" s="569">
        <v>2019</v>
      </c>
      <c r="I2862" s="569" t="s">
        <v>4879</v>
      </c>
      <c r="J2862" s="569" t="s">
        <v>4949</v>
      </c>
      <c r="K2862" s="569" t="s">
        <v>752</v>
      </c>
      <c r="L2862" s="569">
        <v>6</v>
      </c>
      <c r="M2862" s="569">
        <v>0</v>
      </c>
      <c r="N2862" s="569" t="s">
        <v>157</v>
      </c>
      <c r="O2862" s="569">
        <v>2</v>
      </c>
      <c r="P2862" s="569" t="s">
        <v>157</v>
      </c>
      <c r="Q2862" s="568">
        <v>12100</v>
      </c>
      <c r="R2862" s="569" t="s">
        <v>4231</v>
      </c>
      <c r="S2862" s="569">
        <v>8</v>
      </c>
      <c r="T2862" s="569" t="s">
        <v>4916</v>
      </c>
      <c r="U2862" s="569" t="s">
        <v>4950</v>
      </c>
      <c r="V2862" s="569">
        <v>179</v>
      </c>
      <c r="W2862" s="569">
        <v>40</v>
      </c>
      <c r="X2862" s="568">
        <v>11500</v>
      </c>
      <c r="Y2862" s="569" t="s">
        <v>164</v>
      </c>
      <c r="Z2862" s="581" t="s">
        <v>728</v>
      </c>
      <c r="AA2862" s="581" t="s">
        <v>1523</v>
      </c>
      <c r="AB2862" s="585">
        <v>55485</v>
      </c>
      <c r="AC2862" s="585" t="s">
        <v>164</v>
      </c>
      <c r="AD2862" s="585">
        <v>44082.421052631587</v>
      </c>
      <c r="AE2862" s="587">
        <v>0.03</v>
      </c>
      <c r="AF2862" s="661" t="str">
        <f t="shared" si="311"/>
        <v>2019-LTK-FRD-F35C-020-27</v>
      </c>
      <c r="AG2862" s="661" t="str">
        <f>IF(AND($Y2862&gt;=32,(AI2862="I"),(Y2862&lt;&gt;"~"),(COUNTIF($AN$1:$AN2862,$AN2862)=1)),"TRUE","FALSE")</f>
        <v>FALSE</v>
      </c>
      <c r="AH2862" s="661" t="str">
        <f>IF(AND($Y2862&gt;=22, (AI2862&lt;&gt;"I"),(Y2862&lt;&gt;"~"),(COUNTIF($AN$1:$AN2862,$AN2862)=1)),"TRUE","FALSE")</f>
        <v>FALSE</v>
      </c>
      <c r="AI2862" s="661" t="str">
        <f t="shared" si="313"/>
        <v>N/A</v>
      </c>
      <c r="AJ2862" s="662" t="str">
        <f t="shared" si="307"/>
        <v>F35C-020</v>
      </c>
      <c r="AK2862" s="662" t="str">
        <f t="shared" si="308"/>
        <v>LTK</v>
      </c>
      <c r="AL2862" s="662" t="str">
        <f t="shared" si="309"/>
        <v>FRD</v>
      </c>
      <c r="AM2862" s="662" t="str">
        <f t="shared" si="312"/>
        <v>F350 Chassis Cab-Crew Cab XLT SRW-4WD-6-~-12100-6.7L Diesel-8-W3F-633A-179-40-Diesel-BioDiesel</v>
      </c>
      <c r="AN2862" s="662" t="str">
        <f t="shared" si="310"/>
        <v>2019-LTK-FRD-F35C-020</v>
      </c>
    </row>
    <row r="2863" spans="1:40" ht="15">
      <c r="A2863" s="570" t="s">
        <v>4970</v>
      </c>
      <c r="B2863" s="573" t="s">
        <v>4971</v>
      </c>
      <c r="C2863" s="573" t="s">
        <v>269</v>
      </c>
      <c r="D2863" s="578" t="s">
        <v>270</v>
      </c>
      <c r="E2863" s="573" t="s">
        <v>3374</v>
      </c>
      <c r="F2863" s="573" t="s">
        <v>1684</v>
      </c>
      <c r="G2863" s="573" t="s">
        <v>271</v>
      </c>
      <c r="H2863" s="573">
        <v>2019</v>
      </c>
      <c r="I2863" s="573" t="s">
        <v>4879</v>
      </c>
      <c r="J2863" s="573" t="s">
        <v>4684</v>
      </c>
      <c r="K2863" s="573" t="s">
        <v>3377</v>
      </c>
      <c r="L2863" s="573">
        <v>3</v>
      </c>
      <c r="M2863" s="573">
        <v>0</v>
      </c>
      <c r="N2863" s="573" t="s">
        <v>157</v>
      </c>
      <c r="O2863" s="573">
        <v>1</v>
      </c>
      <c r="P2863" s="573" t="s">
        <v>157</v>
      </c>
      <c r="Q2863" s="571">
        <v>13140</v>
      </c>
      <c r="R2863" s="573" t="s">
        <v>4235</v>
      </c>
      <c r="S2863" s="573">
        <v>8</v>
      </c>
      <c r="T2863" s="573" t="s">
        <v>4972</v>
      </c>
      <c r="U2863" s="573" t="s">
        <v>4881</v>
      </c>
      <c r="V2863" s="573">
        <v>169</v>
      </c>
      <c r="W2863" s="573">
        <v>40</v>
      </c>
      <c r="X2863" s="571">
        <v>14000</v>
      </c>
      <c r="Y2863" s="569" t="s">
        <v>164</v>
      </c>
      <c r="Z2863" s="579" t="s">
        <v>450</v>
      </c>
      <c r="AA2863" s="579" t="s">
        <v>178</v>
      </c>
      <c r="AB2863" s="584">
        <v>36575</v>
      </c>
      <c r="AC2863" s="584" t="s">
        <v>164</v>
      </c>
      <c r="AD2863" s="584">
        <v>26004.968421052636</v>
      </c>
      <c r="AE2863" s="586">
        <v>0.03</v>
      </c>
      <c r="AF2863" s="661" t="str">
        <f t="shared" si="311"/>
        <v>2019-LTK-FRD-F35C-021-05</v>
      </c>
      <c r="AG2863" s="661" t="str">
        <f>IF(AND($Y2863&gt;=32,(AI2863="I"),(Y2863&lt;&gt;"~"),(COUNTIF($AN$1:$AN2863,$AN2863)=1)),"TRUE","FALSE")</f>
        <v>FALSE</v>
      </c>
      <c r="AH2863" s="661" t="str">
        <f>IF(AND($Y2863&gt;=22, (AI2863&lt;&gt;"I"),(Y2863&lt;&gt;"~"),(COUNTIF($AN$1:$AN2863,$AN2863)=1)),"TRUE","FALSE")</f>
        <v>TRUE</v>
      </c>
      <c r="AI2863" s="661" t="str">
        <f t="shared" si="313"/>
        <v>N/A</v>
      </c>
      <c r="AJ2863" s="662" t="str">
        <f t="shared" si="307"/>
        <v>F35C-021</v>
      </c>
      <c r="AK2863" s="662" t="str">
        <f t="shared" si="308"/>
        <v>LTK</v>
      </c>
      <c r="AL2863" s="662" t="str">
        <f t="shared" si="309"/>
        <v>FRD</v>
      </c>
      <c r="AM2863" s="662" t="str">
        <f t="shared" si="312"/>
        <v>F350 Chassis Cab-Regular Cab XL DRW-2WD-3-~-13140-6.2L FFV-8-F3G-640A-169-40-E85-Unleaded</v>
      </c>
      <c r="AN2863" s="662" t="str">
        <f t="shared" si="310"/>
        <v>2019-LTK-FRD-F35C-021</v>
      </c>
    </row>
    <row r="2864" spans="1:40" ht="15">
      <c r="A2864" s="570" t="s">
        <v>4973</v>
      </c>
      <c r="B2864" s="569" t="s">
        <v>4974</v>
      </c>
      <c r="C2864" s="569" t="s">
        <v>269</v>
      </c>
      <c r="D2864" s="580" t="s">
        <v>270</v>
      </c>
      <c r="E2864" s="569" t="s">
        <v>3374</v>
      </c>
      <c r="F2864" s="569" t="s">
        <v>1684</v>
      </c>
      <c r="G2864" s="569" t="s">
        <v>271</v>
      </c>
      <c r="H2864" s="569">
        <v>2019</v>
      </c>
      <c r="I2864" s="569" t="s">
        <v>4879</v>
      </c>
      <c r="J2864" s="569" t="s">
        <v>4684</v>
      </c>
      <c r="K2864" s="569" t="s">
        <v>3377</v>
      </c>
      <c r="L2864" s="569">
        <v>3</v>
      </c>
      <c r="M2864" s="569">
        <v>0</v>
      </c>
      <c r="N2864" s="569" t="s">
        <v>157</v>
      </c>
      <c r="O2864" s="569">
        <v>1</v>
      </c>
      <c r="P2864" s="569" t="s">
        <v>157</v>
      </c>
      <c r="Q2864" s="568">
        <v>13140</v>
      </c>
      <c r="R2864" s="569" t="s">
        <v>4231</v>
      </c>
      <c r="S2864" s="569">
        <v>8</v>
      </c>
      <c r="T2864" s="569" t="s">
        <v>4972</v>
      </c>
      <c r="U2864" s="569" t="s">
        <v>4881</v>
      </c>
      <c r="V2864" s="569">
        <v>169</v>
      </c>
      <c r="W2864" s="569">
        <v>40</v>
      </c>
      <c r="X2864" s="568">
        <v>14000</v>
      </c>
      <c r="Y2864" s="569" t="s">
        <v>164</v>
      </c>
      <c r="Z2864" s="581" t="s">
        <v>728</v>
      </c>
      <c r="AA2864" s="581" t="s">
        <v>1523</v>
      </c>
      <c r="AB2864" s="585">
        <v>45695</v>
      </c>
      <c r="AC2864" s="585" t="s">
        <v>164</v>
      </c>
      <c r="AD2864" s="585">
        <v>34197.157894736847</v>
      </c>
      <c r="AE2864" s="587">
        <v>0.03</v>
      </c>
      <c r="AF2864" s="661" t="str">
        <f t="shared" si="311"/>
        <v>2019-LTK-FRD-F35C-022-05</v>
      </c>
      <c r="AG2864" s="661" t="str">
        <f>IF(AND($Y2864&gt;=32,(AI2864="I"),(Y2864&lt;&gt;"~"),(COUNTIF($AN$1:$AN2864,$AN2864)=1)),"TRUE","FALSE")</f>
        <v>FALSE</v>
      </c>
      <c r="AH2864" s="661" t="str">
        <f>IF(AND($Y2864&gt;=22, (AI2864&lt;&gt;"I"),(Y2864&lt;&gt;"~"),(COUNTIF($AN$1:$AN2864,$AN2864)=1)),"TRUE","FALSE")</f>
        <v>TRUE</v>
      </c>
      <c r="AI2864" s="661" t="str">
        <f t="shared" si="313"/>
        <v>N/A</v>
      </c>
      <c r="AJ2864" s="662" t="str">
        <f t="shared" si="307"/>
        <v>F35C-022</v>
      </c>
      <c r="AK2864" s="662" t="str">
        <f t="shared" si="308"/>
        <v>LTK</v>
      </c>
      <c r="AL2864" s="662" t="str">
        <f t="shared" si="309"/>
        <v>FRD</v>
      </c>
      <c r="AM2864" s="662" t="str">
        <f t="shared" si="312"/>
        <v>F350 Chassis Cab-Regular Cab XL DRW-2WD-3-~-13140-6.7L Diesel-8-F3G-640A-169-40-Diesel-BioDiesel</v>
      </c>
      <c r="AN2864" s="662" t="str">
        <f t="shared" si="310"/>
        <v>2019-LTK-FRD-F35C-022</v>
      </c>
    </row>
    <row r="2865" spans="1:40" ht="15">
      <c r="A2865" s="570" t="s">
        <v>4975</v>
      </c>
      <c r="B2865" s="573" t="s">
        <v>4976</v>
      </c>
      <c r="C2865" s="573" t="s">
        <v>269</v>
      </c>
      <c r="D2865" s="578" t="s">
        <v>270</v>
      </c>
      <c r="E2865" s="573" t="s">
        <v>3374</v>
      </c>
      <c r="F2865" s="573" t="s">
        <v>1684</v>
      </c>
      <c r="G2865" s="573" t="s">
        <v>271</v>
      </c>
      <c r="H2865" s="573">
        <v>2019</v>
      </c>
      <c r="I2865" s="573" t="s">
        <v>4879</v>
      </c>
      <c r="J2865" s="573" t="s">
        <v>4684</v>
      </c>
      <c r="K2865" s="573" t="s">
        <v>3377</v>
      </c>
      <c r="L2865" s="573">
        <v>3</v>
      </c>
      <c r="M2865" s="573">
        <v>0</v>
      </c>
      <c r="N2865" s="573" t="s">
        <v>157</v>
      </c>
      <c r="O2865" s="573">
        <v>1</v>
      </c>
      <c r="P2865" s="573" t="s">
        <v>157</v>
      </c>
      <c r="Q2865" s="571">
        <v>13300</v>
      </c>
      <c r="R2865" s="573" t="s">
        <v>4235</v>
      </c>
      <c r="S2865" s="573">
        <v>8</v>
      </c>
      <c r="T2865" s="573" t="s">
        <v>4972</v>
      </c>
      <c r="U2865" s="573" t="s">
        <v>4881</v>
      </c>
      <c r="V2865" s="573">
        <v>145</v>
      </c>
      <c r="W2865" s="573">
        <v>40</v>
      </c>
      <c r="X2865" s="571">
        <v>14000</v>
      </c>
      <c r="Y2865" s="569" t="s">
        <v>164</v>
      </c>
      <c r="Z2865" s="579" t="s">
        <v>450</v>
      </c>
      <c r="AA2865" s="579" t="s">
        <v>178</v>
      </c>
      <c r="AB2865" s="584">
        <v>36400</v>
      </c>
      <c r="AC2865" s="584" t="s">
        <v>164</v>
      </c>
      <c r="AD2865" s="584">
        <v>25843.915789473685</v>
      </c>
      <c r="AE2865" s="586">
        <v>0.03</v>
      </c>
      <c r="AF2865" s="661" t="str">
        <f t="shared" si="311"/>
        <v>2019-LTK-FRD-F35C-023-05</v>
      </c>
      <c r="AG2865" s="661" t="str">
        <f>IF(AND($Y2865&gt;=32,(AI2865="I"),(Y2865&lt;&gt;"~"),(COUNTIF($AN$1:$AN2865,$AN2865)=1)),"TRUE","FALSE")</f>
        <v>FALSE</v>
      </c>
      <c r="AH2865" s="661" t="str">
        <f>IF(AND($Y2865&gt;=22, (AI2865&lt;&gt;"I"),(Y2865&lt;&gt;"~"),(COUNTIF($AN$1:$AN2865,$AN2865)=1)),"TRUE","FALSE")</f>
        <v>TRUE</v>
      </c>
      <c r="AI2865" s="661" t="str">
        <f t="shared" si="313"/>
        <v>N/A</v>
      </c>
      <c r="AJ2865" s="662" t="str">
        <f t="shared" si="307"/>
        <v>F35C-023</v>
      </c>
      <c r="AK2865" s="662" t="str">
        <f t="shared" si="308"/>
        <v>LTK</v>
      </c>
      <c r="AL2865" s="662" t="str">
        <f t="shared" si="309"/>
        <v>FRD</v>
      </c>
      <c r="AM2865" s="662" t="str">
        <f t="shared" si="312"/>
        <v>F350 Chassis Cab-Regular Cab XL DRW-2WD-3-~-13300-6.2L FFV-8-F3G-640A-145-40-E85-Unleaded</v>
      </c>
      <c r="AN2865" s="662" t="str">
        <f t="shared" si="310"/>
        <v>2019-LTK-FRD-F35C-023</v>
      </c>
    </row>
    <row r="2866" spans="1:40" ht="15">
      <c r="A2866" s="570" t="s">
        <v>4977</v>
      </c>
      <c r="B2866" s="569" t="s">
        <v>4978</v>
      </c>
      <c r="C2866" s="569" t="s">
        <v>269</v>
      </c>
      <c r="D2866" s="580" t="s">
        <v>270</v>
      </c>
      <c r="E2866" s="569" t="s">
        <v>3374</v>
      </c>
      <c r="F2866" s="569" t="s">
        <v>1684</v>
      </c>
      <c r="G2866" s="569" t="s">
        <v>271</v>
      </c>
      <c r="H2866" s="569">
        <v>2019</v>
      </c>
      <c r="I2866" s="569" t="s">
        <v>4879</v>
      </c>
      <c r="J2866" s="569" t="s">
        <v>4684</v>
      </c>
      <c r="K2866" s="569" t="s">
        <v>3377</v>
      </c>
      <c r="L2866" s="569">
        <v>3</v>
      </c>
      <c r="M2866" s="569">
        <v>0</v>
      </c>
      <c r="N2866" s="569" t="s">
        <v>157</v>
      </c>
      <c r="O2866" s="569">
        <v>1</v>
      </c>
      <c r="P2866" s="569" t="s">
        <v>157</v>
      </c>
      <c r="Q2866" s="568">
        <v>13300</v>
      </c>
      <c r="R2866" s="569" t="s">
        <v>4231</v>
      </c>
      <c r="S2866" s="569">
        <v>8</v>
      </c>
      <c r="T2866" s="569" t="s">
        <v>4972</v>
      </c>
      <c r="U2866" s="569" t="s">
        <v>4881</v>
      </c>
      <c r="V2866" s="569">
        <v>145</v>
      </c>
      <c r="W2866" s="569">
        <v>40</v>
      </c>
      <c r="X2866" s="568">
        <v>14000</v>
      </c>
      <c r="Y2866" s="569" t="s">
        <v>164</v>
      </c>
      <c r="Z2866" s="581" t="s">
        <v>728</v>
      </c>
      <c r="AA2866" s="581" t="s">
        <v>1523</v>
      </c>
      <c r="AB2866" s="585">
        <v>45520</v>
      </c>
      <c r="AC2866" s="585" t="s">
        <v>164</v>
      </c>
      <c r="AD2866" s="585">
        <v>34036.1052631579</v>
      </c>
      <c r="AE2866" s="587">
        <v>0.03</v>
      </c>
      <c r="AF2866" s="661" t="str">
        <f t="shared" si="311"/>
        <v>2019-LTK-FRD-F35C-025-05</v>
      </c>
      <c r="AG2866" s="661" t="str">
        <f>IF(AND($Y2866&gt;=32,(AI2866="I"),(Y2866&lt;&gt;"~"),(COUNTIF($AN$1:$AN2866,$AN2866)=1)),"TRUE","FALSE")</f>
        <v>FALSE</v>
      </c>
      <c r="AH2866" s="661" t="str">
        <f>IF(AND($Y2866&gt;=22, (AI2866&lt;&gt;"I"),(Y2866&lt;&gt;"~"),(COUNTIF($AN$1:$AN2866,$AN2866)=1)),"TRUE","FALSE")</f>
        <v>TRUE</v>
      </c>
      <c r="AI2866" s="661" t="str">
        <f t="shared" si="313"/>
        <v>N/A</v>
      </c>
      <c r="AJ2866" s="662" t="str">
        <f t="shared" si="307"/>
        <v>F35C-025</v>
      </c>
      <c r="AK2866" s="662" t="str">
        <f t="shared" si="308"/>
        <v>LTK</v>
      </c>
      <c r="AL2866" s="662" t="str">
        <f t="shared" si="309"/>
        <v>FRD</v>
      </c>
      <c r="AM2866" s="662" t="str">
        <f t="shared" si="312"/>
        <v>F350 Chassis Cab-Regular Cab XL DRW-2WD-3-~-13300-6.7L Diesel-8-F3G-640A-145-40-Diesel-BioDiesel</v>
      </c>
      <c r="AN2866" s="662" t="str">
        <f t="shared" si="310"/>
        <v>2019-LTK-FRD-F35C-025</v>
      </c>
    </row>
    <row r="2867" spans="1:40" ht="15">
      <c r="A2867" s="570" t="s">
        <v>4979</v>
      </c>
      <c r="B2867" s="573" t="s">
        <v>4971</v>
      </c>
      <c r="C2867" s="573" t="s">
        <v>278</v>
      </c>
      <c r="D2867" s="578">
        <v>15</v>
      </c>
      <c r="E2867" s="573" t="s">
        <v>3374</v>
      </c>
      <c r="F2867" s="573" t="s">
        <v>1684</v>
      </c>
      <c r="G2867" s="573" t="s">
        <v>271</v>
      </c>
      <c r="H2867" s="573">
        <v>2019</v>
      </c>
      <c r="I2867" s="573" t="s">
        <v>4879</v>
      </c>
      <c r="J2867" s="573" t="s">
        <v>4684</v>
      </c>
      <c r="K2867" s="573" t="s">
        <v>3377</v>
      </c>
      <c r="L2867" s="573">
        <v>3</v>
      </c>
      <c r="M2867" s="573">
        <v>0</v>
      </c>
      <c r="N2867" s="573" t="s">
        <v>157</v>
      </c>
      <c r="O2867" s="573">
        <v>1</v>
      </c>
      <c r="P2867" s="573" t="s">
        <v>157</v>
      </c>
      <c r="Q2867" s="571">
        <v>13200</v>
      </c>
      <c r="R2867" s="573" t="s">
        <v>4235</v>
      </c>
      <c r="S2867" s="573">
        <v>8</v>
      </c>
      <c r="T2867" s="573" t="s">
        <v>4972</v>
      </c>
      <c r="U2867" s="573" t="s">
        <v>4881</v>
      </c>
      <c r="V2867" s="573">
        <v>169</v>
      </c>
      <c r="W2867" s="573">
        <v>40</v>
      </c>
      <c r="X2867" s="571">
        <v>14000</v>
      </c>
      <c r="Y2867" s="569" t="s">
        <v>164</v>
      </c>
      <c r="Z2867" s="579" t="s">
        <v>450</v>
      </c>
      <c r="AA2867" s="579" t="s">
        <v>178</v>
      </c>
      <c r="AB2867" s="584">
        <v>36575</v>
      </c>
      <c r="AC2867" s="584" t="s">
        <v>164</v>
      </c>
      <c r="AD2867" s="584">
        <v>26100</v>
      </c>
      <c r="AE2867" s="586">
        <v>0.01</v>
      </c>
      <c r="AF2867" s="661" t="str">
        <f t="shared" si="311"/>
        <v>2019-LTK-FRD-F35C-021-15</v>
      </c>
      <c r="AG2867" s="661" t="str">
        <f>IF(AND($Y2867&gt;=32,(AI2867="I"),(Y2867&lt;&gt;"~"),(COUNTIF($AN$1:$AN2867,$AN2867)=1)),"TRUE","FALSE")</f>
        <v>FALSE</v>
      </c>
      <c r="AH2867" s="661" t="str">
        <f>IF(AND($Y2867&gt;=22, (AI2867&lt;&gt;"I"),(Y2867&lt;&gt;"~"),(COUNTIF($AN$1:$AN2867,$AN2867)=1)),"TRUE","FALSE")</f>
        <v>FALSE</v>
      </c>
      <c r="AI2867" s="661" t="str">
        <f t="shared" si="313"/>
        <v>N/A</v>
      </c>
      <c r="AJ2867" s="662" t="str">
        <f t="shared" si="307"/>
        <v>F35C-021</v>
      </c>
      <c r="AK2867" s="662" t="str">
        <f t="shared" si="308"/>
        <v>LTK</v>
      </c>
      <c r="AL2867" s="662" t="str">
        <f t="shared" si="309"/>
        <v>FRD</v>
      </c>
      <c r="AM2867" s="662" t="str">
        <f t="shared" si="312"/>
        <v>F350 Chassis Cab-Regular Cab XL DRW-2WD-3-~-13200-6.2L FFV-8-F3G-640A-169-40-E85-Unleaded</v>
      </c>
      <c r="AN2867" s="662" t="str">
        <f t="shared" si="310"/>
        <v>2019-LTK-FRD-F35C-021</v>
      </c>
    </row>
    <row r="2868" spans="1:40" ht="15">
      <c r="A2868" s="570" t="s">
        <v>4980</v>
      </c>
      <c r="B2868" s="569" t="s">
        <v>4974</v>
      </c>
      <c r="C2868" s="569" t="s">
        <v>278</v>
      </c>
      <c r="D2868" s="580">
        <v>15</v>
      </c>
      <c r="E2868" s="569" t="s">
        <v>3374</v>
      </c>
      <c r="F2868" s="569" t="s">
        <v>1684</v>
      </c>
      <c r="G2868" s="569" t="s">
        <v>271</v>
      </c>
      <c r="H2868" s="569">
        <v>2019</v>
      </c>
      <c r="I2868" s="569" t="s">
        <v>4879</v>
      </c>
      <c r="J2868" s="569" t="s">
        <v>4684</v>
      </c>
      <c r="K2868" s="569" t="s">
        <v>3377</v>
      </c>
      <c r="L2868" s="569">
        <v>3</v>
      </c>
      <c r="M2868" s="569">
        <v>0</v>
      </c>
      <c r="N2868" s="569" t="s">
        <v>157</v>
      </c>
      <c r="O2868" s="569">
        <v>1</v>
      </c>
      <c r="P2868" s="569" t="s">
        <v>157</v>
      </c>
      <c r="Q2868" s="568">
        <v>13200</v>
      </c>
      <c r="R2868" s="569" t="s">
        <v>4231</v>
      </c>
      <c r="S2868" s="569">
        <v>8</v>
      </c>
      <c r="T2868" s="569" t="s">
        <v>4972</v>
      </c>
      <c r="U2868" s="569" t="s">
        <v>4881</v>
      </c>
      <c r="V2868" s="569">
        <v>169</v>
      </c>
      <c r="W2868" s="569">
        <v>40</v>
      </c>
      <c r="X2868" s="568">
        <v>14000</v>
      </c>
      <c r="Y2868" s="569" t="s">
        <v>164</v>
      </c>
      <c r="Z2868" s="581" t="s">
        <v>728</v>
      </c>
      <c r="AA2868" s="581" t="s">
        <v>1523</v>
      </c>
      <c r="AB2868" s="585">
        <v>45695</v>
      </c>
      <c r="AC2868" s="585" t="s">
        <v>164</v>
      </c>
      <c r="AD2868" s="585">
        <v>34350</v>
      </c>
      <c r="AE2868" s="587">
        <v>0.01</v>
      </c>
      <c r="AF2868" s="661" t="str">
        <f t="shared" si="311"/>
        <v>2019-LTK-FRD-F35C-022-15</v>
      </c>
      <c r="AG2868" s="661" t="str">
        <f>IF(AND($Y2868&gt;=32,(AI2868="I"),(Y2868&lt;&gt;"~"),(COUNTIF($AN$1:$AN2868,$AN2868)=1)),"TRUE","FALSE")</f>
        <v>FALSE</v>
      </c>
      <c r="AH2868" s="661" t="str">
        <f>IF(AND($Y2868&gt;=22, (AI2868&lt;&gt;"I"),(Y2868&lt;&gt;"~"),(COUNTIF($AN$1:$AN2868,$AN2868)=1)),"TRUE","FALSE")</f>
        <v>FALSE</v>
      </c>
      <c r="AI2868" s="661" t="str">
        <f t="shared" si="313"/>
        <v>N/A</v>
      </c>
      <c r="AJ2868" s="662" t="str">
        <f t="shared" si="307"/>
        <v>F35C-022</v>
      </c>
      <c r="AK2868" s="662" t="str">
        <f t="shared" si="308"/>
        <v>LTK</v>
      </c>
      <c r="AL2868" s="662" t="str">
        <f t="shared" si="309"/>
        <v>FRD</v>
      </c>
      <c r="AM2868" s="662" t="str">
        <f t="shared" si="312"/>
        <v>F350 Chassis Cab-Regular Cab XL DRW-2WD-3-~-13200-6.7L Diesel-8-F3G-640A-169-40-Diesel-BioDiesel</v>
      </c>
      <c r="AN2868" s="662" t="str">
        <f t="shared" si="310"/>
        <v>2019-LTK-FRD-F35C-022</v>
      </c>
    </row>
    <row r="2869" spans="1:40" ht="15">
      <c r="A2869" s="570" t="s">
        <v>4981</v>
      </c>
      <c r="B2869" s="573" t="s">
        <v>4976</v>
      </c>
      <c r="C2869" s="573" t="s">
        <v>278</v>
      </c>
      <c r="D2869" s="578">
        <v>15</v>
      </c>
      <c r="E2869" s="573" t="s">
        <v>3374</v>
      </c>
      <c r="F2869" s="573" t="s">
        <v>1684</v>
      </c>
      <c r="G2869" s="573" t="s">
        <v>271</v>
      </c>
      <c r="H2869" s="573">
        <v>2019</v>
      </c>
      <c r="I2869" s="573" t="s">
        <v>4879</v>
      </c>
      <c r="J2869" s="573" t="s">
        <v>4684</v>
      </c>
      <c r="K2869" s="573" t="s">
        <v>3377</v>
      </c>
      <c r="L2869" s="573">
        <v>3</v>
      </c>
      <c r="M2869" s="573">
        <v>0</v>
      </c>
      <c r="N2869" s="573" t="s">
        <v>157</v>
      </c>
      <c r="O2869" s="573">
        <v>1</v>
      </c>
      <c r="P2869" s="573" t="s">
        <v>157</v>
      </c>
      <c r="Q2869" s="571">
        <v>13400</v>
      </c>
      <c r="R2869" s="573" t="s">
        <v>4235</v>
      </c>
      <c r="S2869" s="573">
        <v>8</v>
      </c>
      <c r="T2869" s="573" t="s">
        <v>4972</v>
      </c>
      <c r="U2869" s="573" t="s">
        <v>4881</v>
      </c>
      <c r="V2869" s="573">
        <v>145</v>
      </c>
      <c r="W2869" s="573">
        <v>40</v>
      </c>
      <c r="X2869" s="571">
        <v>14000</v>
      </c>
      <c r="Y2869" s="569" t="s">
        <v>164</v>
      </c>
      <c r="Z2869" s="579" t="s">
        <v>450</v>
      </c>
      <c r="AA2869" s="579" t="s">
        <v>178</v>
      </c>
      <c r="AB2869" s="584">
        <v>36400</v>
      </c>
      <c r="AC2869" s="584" t="s">
        <v>164</v>
      </c>
      <c r="AD2869" s="584">
        <v>25900</v>
      </c>
      <c r="AE2869" s="586">
        <v>0.01</v>
      </c>
      <c r="AF2869" s="661" t="str">
        <f t="shared" si="311"/>
        <v>2019-LTK-FRD-F35C-023-15</v>
      </c>
      <c r="AG2869" s="661" t="str">
        <f>IF(AND($Y2869&gt;=32,(AI2869="I"),(Y2869&lt;&gt;"~"),(COUNTIF($AN$1:$AN2869,$AN2869)=1)),"TRUE","FALSE")</f>
        <v>FALSE</v>
      </c>
      <c r="AH2869" s="661" t="str">
        <f>IF(AND($Y2869&gt;=22, (AI2869&lt;&gt;"I"),(Y2869&lt;&gt;"~"),(COUNTIF($AN$1:$AN2869,$AN2869)=1)),"TRUE","FALSE")</f>
        <v>FALSE</v>
      </c>
      <c r="AI2869" s="661" t="str">
        <f t="shared" si="313"/>
        <v>N/A</v>
      </c>
      <c r="AJ2869" s="662" t="str">
        <f t="shared" si="307"/>
        <v>F35C-023</v>
      </c>
      <c r="AK2869" s="662" t="str">
        <f t="shared" si="308"/>
        <v>LTK</v>
      </c>
      <c r="AL2869" s="662" t="str">
        <f t="shared" si="309"/>
        <v>FRD</v>
      </c>
      <c r="AM2869" s="662" t="str">
        <f t="shared" si="312"/>
        <v>F350 Chassis Cab-Regular Cab XL DRW-2WD-3-~-13400-6.2L FFV-8-F3G-640A-145-40-E85-Unleaded</v>
      </c>
      <c r="AN2869" s="662" t="str">
        <f t="shared" si="310"/>
        <v>2019-LTK-FRD-F35C-023</v>
      </c>
    </row>
    <row r="2870" spans="1:40" ht="15">
      <c r="A2870" s="570" t="s">
        <v>4982</v>
      </c>
      <c r="B2870" s="569" t="s">
        <v>4978</v>
      </c>
      <c r="C2870" s="569" t="s">
        <v>278</v>
      </c>
      <c r="D2870" s="580">
        <v>15</v>
      </c>
      <c r="E2870" s="569" t="s">
        <v>3374</v>
      </c>
      <c r="F2870" s="569" t="s">
        <v>1684</v>
      </c>
      <c r="G2870" s="569" t="s">
        <v>271</v>
      </c>
      <c r="H2870" s="569">
        <v>2019</v>
      </c>
      <c r="I2870" s="569" t="s">
        <v>4879</v>
      </c>
      <c r="J2870" s="569" t="s">
        <v>4684</v>
      </c>
      <c r="K2870" s="569" t="s">
        <v>3377</v>
      </c>
      <c r="L2870" s="569">
        <v>3</v>
      </c>
      <c r="M2870" s="569">
        <v>0</v>
      </c>
      <c r="N2870" s="569" t="s">
        <v>157</v>
      </c>
      <c r="O2870" s="569">
        <v>1</v>
      </c>
      <c r="P2870" s="569" t="s">
        <v>157</v>
      </c>
      <c r="Q2870" s="568">
        <v>13400</v>
      </c>
      <c r="R2870" s="569" t="s">
        <v>4231</v>
      </c>
      <c r="S2870" s="569">
        <v>8</v>
      </c>
      <c r="T2870" s="569" t="s">
        <v>4972</v>
      </c>
      <c r="U2870" s="569" t="s">
        <v>4881</v>
      </c>
      <c r="V2870" s="569">
        <v>145</v>
      </c>
      <c r="W2870" s="569">
        <v>40</v>
      </c>
      <c r="X2870" s="568">
        <v>14000</v>
      </c>
      <c r="Y2870" s="569" t="s">
        <v>164</v>
      </c>
      <c r="Z2870" s="581" t="s">
        <v>728</v>
      </c>
      <c r="AA2870" s="581" t="s">
        <v>1523</v>
      </c>
      <c r="AB2870" s="585">
        <v>45520</v>
      </c>
      <c r="AC2870" s="585" t="s">
        <v>164</v>
      </c>
      <c r="AD2870" s="585">
        <v>34200</v>
      </c>
      <c r="AE2870" s="587">
        <v>0.01</v>
      </c>
      <c r="AF2870" s="661" t="str">
        <f t="shared" si="311"/>
        <v>2019-LTK-FRD-F35C-025-15</v>
      </c>
      <c r="AG2870" s="661" t="str">
        <f>IF(AND($Y2870&gt;=32,(AI2870="I"),(Y2870&lt;&gt;"~"),(COUNTIF($AN$1:$AN2870,$AN2870)=1)),"TRUE","FALSE")</f>
        <v>FALSE</v>
      </c>
      <c r="AH2870" s="661" t="str">
        <f>IF(AND($Y2870&gt;=22, (AI2870&lt;&gt;"I"),(Y2870&lt;&gt;"~"),(COUNTIF($AN$1:$AN2870,$AN2870)=1)),"TRUE","FALSE")</f>
        <v>FALSE</v>
      </c>
      <c r="AI2870" s="661" t="str">
        <f t="shared" si="313"/>
        <v>N/A</v>
      </c>
      <c r="AJ2870" s="662" t="str">
        <f t="shared" si="307"/>
        <v>F35C-025</v>
      </c>
      <c r="AK2870" s="662" t="str">
        <f t="shared" si="308"/>
        <v>LTK</v>
      </c>
      <c r="AL2870" s="662" t="str">
        <f t="shared" si="309"/>
        <v>FRD</v>
      </c>
      <c r="AM2870" s="662" t="str">
        <f t="shared" si="312"/>
        <v>F350 Chassis Cab-Regular Cab XL DRW-2WD-3-~-13400-6.7L Diesel-8-F3G-640A-145-40-Diesel-BioDiesel</v>
      </c>
      <c r="AN2870" s="662" t="str">
        <f t="shared" si="310"/>
        <v>2019-LTK-FRD-F35C-025</v>
      </c>
    </row>
    <row r="2871" spans="1:40" ht="15">
      <c r="A2871" s="570" t="s">
        <v>4983</v>
      </c>
      <c r="B2871" s="573" t="s">
        <v>4971</v>
      </c>
      <c r="C2871" s="573" t="s">
        <v>287</v>
      </c>
      <c r="D2871" s="578">
        <v>26</v>
      </c>
      <c r="E2871" s="573" t="s">
        <v>3374</v>
      </c>
      <c r="F2871" s="573" t="s">
        <v>1684</v>
      </c>
      <c r="G2871" s="573" t="s">
        <v>271</v>
      </c>
      <c r="H2871" s="573">
        <v>2019</v>
      </c>
      <c r="I2871" s="573" t="s">
        <v>4879</v>
      </c>
      <c r="J2871" s="573" t="s">
        <v>4684</v>
      </c>
      <c r="K2871" s="573" t="s">
        <v>3377</v>
      </c>
      <c r="L2871" s="573">
        <v>3</v>
      </c>
      <c r="M2871" s="573">
        <v>0</v>
      </c>
      <c r="N2871" s="573" t="s">
        <v>157</v>
      </c>
      <c r="O2871" s="573">
        <v>1</v>
      </c>
      <c r="P2871" s="573" t="s">
        <v>157</v>
      </c>
      <c r="Q2871" s="571">
        <v>13200</v>
      </c>
      <c r="R2871" s="573" t="s">
        <v>4235</v>
      </c>
      <c r="S2871" s="573">
        <v>8</v>
      </c>
      <c r="T2871" s="573" t="s">
        <v>4972</v>
      </c>
      <c r="U2871" s="573" t="s">
        <v>4881</v>
      </c>
      <c r="V2871" s="573">
        <v>169</v>
      </c>
      <c r="W2871" s="573">
        <v>40</v>
      </c>
      <c r="X2871" s="571">
        <v>14000</v>
      </c>
      <c r="Y2871" s="569" t="s">
        <v>164</v>
      </c>
      <c r="Z2871" s="579" t="s">
        <v>450</v>
      </c>
      <c r="AA2871" s="579" t="s">
        <v>178</v>
      </c>
      <c r="AB2871" s="584">
        <v>36210</v>
      </c>
      <c r="AC2871" s="584" t="s">
        <v>164</v>
      </c>
      <c r="AD2871" s="584">
        <v>26197</v>
      </c>
      <c r="AE2871" s="586">
        <v>0.05</v>
      </c>
      <c r="AF2871" s="661" t="str">
        <f t="shared" si="311"/>
        <v>2019-LTK-FRD-F35C-021-26</v>
      </c>
      <c r="AG2871" s="661" t="str">
        <f>IF(AND($Y2871&gt;=32,(AI2871="I"),(Y2871&lt;&gt;"~"),(COUNTIF($AN$1:$AN2871,$AN2871)=1)),"TRUE","FALSE")</f>
        <v>FALSE</v>
      </c>
      <c r="AH2871" s="661" t="str">
        <f>IF(AND($Y2871&gt;=22, (AI2871&lt;&gt;"I"),(Y2871&lt;&gt;"~"),(COUNTIF($AN$1:$AN2871,$AN2871)=1)),"TRUE","FALSE")</f>
        <v>FALSE</v>
      </c>
      <c r="AI2871" s="661" t="str">
        <f t="shared" si="313"/>
        <v>N/A</v>
      </c>
      <c r="AJ2871" s="662" t="str">
        <f t="shared" si="307"/>
        <v>F35C-021</v>
      </c>
      <c r="AK2871" s="662" t="str">
        <f t="shared" si="308"/>
        <v>LTK</v>
      </c>
      <c r="AL2871" s="662" t="str">
        <f t="shared" si="309"/>
        <v>FRD</v>
      </c>
      <c r="AM2871" s="662" t="str">
        <f t="shared" si="312"/>
        <v>F350 Chassis Cab-Regular Cab XL DRW-2WD-3-~-13200-6.2L FFV-8-F3G-640A-169-40-E85-Unleaded</v>
      </c>
      <c r="AN2871" s="662" t="str">
        <f t="shared" si="310"/>
        <v>2019-LTK-FRD-F35C-021</v>
      </c>
    </row>
    <row r="2872" spans="1:40" ht="15">
      <c r="A2872" s="570" t="s">
        <v>4984</v>
      </c>
      <c r="B2872" s="569" t="s">
        <v>4974</v>
      </c>
      <c r="C2872" s="569" t="s">
        <v>287</v>
      </c>
      <c r="D2872" s="580">
        <v>26</v>
      </c>
      <c r="E2872" s="569" t="s">
        <v>3374</v>
      </c>
      <c r="F2872" s="569" t="s">
        <v>1684</v>
      </c>
      <c r="G2872" s="569" t="s">
        <v>271</v>
      </c>
      <c r="H2872" s="569">
        <v>2019</v>
      </c>
      <c r="I2872" s="569" t="s">
        <v>4879</v>
      </c>
      <c r="J2872" s="569" t="s">
        <v>4684</v>
      </c>
      <c r="K2872" s="569" t="s">
        <v>3377</v>
      </c>
      <c r="L2872" s="569">
        <v>3</v>
      </c>
      <c r="M2872" s="569">
        <v>0</v>
      </c>
      <c r="N2872" s="569" t="s">
        <v>157</v>
      </c>
      <c r="O2872" s="569">
        <v>1</v>
      </c>
      <c r="P2872" s="569" t="s">
        <v>157</v>
      </c>
      <c r="Q2872" s="568">
        <v>13200</v>
      </c>
      <c r="R2872" s="569" t="s">
        <v>4231</v>
      </c>
      <c r="S2872" s="569">
        <v>8</v>
      </c>
      <c r="T2872" s="569" t="s">
        <v>4972</v>
      </c>
      <c r="U2872" s="569" t="s">
        <v>4881</v>
      </c>
      <c r="V2872" s="569">
        <v>169</v>
      </c>
      <c r="W2872" s="569">
        <v>40</v>
      </c>
      <c r="X2872" s="568">
        <v>14000</v>
      </c>
      <c r="Y2872" s="569" t="s">
        <v>164</v>
      </c>
      <c r="Z2872" s="581" t="s">
        <v>728</v>
      </c>
      <c r="AA2872" s="581" t="s">
        <v>1523</v>
      </c>
      <c r="AB2872" s="585">
        <v>45205</v>
      </c>
      <c r="AC2872" s="585" t="s">
        <v>164</v>
      </c>
      <c r="AD2872" s="585">
        <v>34391</v>
      </c>
      <c r="AE2872" s="587">
        <v>0.05</v>
      </c>
      <c r="AF2872" s="661" t="str">
        <f t="shared" si="311"/>
        <v>2019-LTK-FRD-F35C-022-26</v>
      </c>
      <c r="AG2872" s="661" t="str">
        <f>IF(AND($Y2872&gt;=32,(AI2872="I"),(Y2872&lt;&gt;"~"),(COUNTIF($AN$1:$AN2872,$AN2872)=1)),"TRUE","FALSE")</f>
        <v>FALSE</v>
      </c>
      <c r="AH2872" s="661" t="str">
        <f>IF(AND($Y2872&gt;=22, (AI2872&lt;&gt;"I"),(Y2872&lt;&gt;"~"),(COUNTIF($AN$1:$AN2872,$AN2872)=1)),"TRUE","FALSE")</f>
        <v>FALSE</v>
      </c>
      <c r="AI2872" s="661" t="str">
        <f t="shared" si="313"/>
        <v>N/A</v>
      </c>
      <c r="AJ2872" s="662" t="str">
        <f t="shared" si="307"/>
        <v>F35C-022</v>
      </c>
      <c r="AK2872" s="662" t="str">
        <f t="shared" si="308"/>
        <v>LTK</v>
      </c>
      <c r="AL2872" s="662" t="str">
        <f t="shared" si="309"/>
        <v>FRD</v>
      </c>
      <c r="AM2872" s="662" t="str">
        <f t="shared" si="312"/>
        <v>F350 Chassis Cab-Regular Cab XL DRW-2WD-3-~-13200-6.7L Diesel-8-F3G-640A-169-40-Diesel-BioDiesel</v>
      </c>
      <c r="AN2872" s="662" t="str">
        <f t="shared" si="310"/>
        <v>2019-LTK-FRD-F35C-022</v>
      </c>
    </row>
    <row r="2873" spans="1:40" ht="15">
      <c r="A2873" s="570" t="s">
        <v>4985</v>
      </c>
      <c r="B2873" s="573" t="s">
        <v>4976</v>
      </c>
      <c r="C2873" s="573" t="s">
        <v>287</v>
      </c>
      <c r="D2873" s="578">
        <v>26</v>
      </c>
      <c r="E2873" s="573" t="s">
        <v>3374</v>
      </c>
      <c r="F2873" s="573" t="s">
        <v>1684</v>
      </c>
      <c r="G2873" s="573" t="s">
        <v>271</v>
      </c>
      <c r="H2873" s="573">
        <v>2019</v>
      </c>
      <c r="I2873" s="573" t="s">
        <v>4879</v>
      </c>
      <c r="J2873" s="573" t="s">
        <v>4684</v>
      </c>
      <c r="K2873" s="573" t="s">
        <v>3377</v>
      </c>
      <c r="L2873" s="573">
        <v>3</v>
      </c>
      <c r="M2873" s="573">
        <v>0</v>
      </c>
      <c r="N2873" s="573" t="s">
        <v>157</v>
      </c>
      <c r="O2873" s="573">
        <v>1</v>
      </c>
      <c r="P2873" s="573" t="s">
        <v>157</v>
      </c>
      <c r="Q2873" s="571">
        <v>13400</v>
      </c>
      <c r="R2873" s="573" t="s">
        <v>4235</v>
      </c>
      <c r="S2873" s="573">
        <v>8</v>
      </c>
      <c r="T2873" s="573" t="s">
        <v>4972</v>
      </c>
      <c r="U2873" s="573" t="s">
        <v>4881</v>
      </c>
      <c r="V2873" s="573">
        <v>145</v>
      </c>
      <c r="W2873" s="573">
        <v>40</v>
      </c>
      <c r="X2873" s="571">
        <v>14000</v>
      </c>
      <c r="Y2873" s="569" t="s">
        <v>164</v>
      </c>
      <c r="Z2873" s="579" t="s">
        <v>450</v>
      </c>
      <c r="AA2873" s="579" t="s">
        <v>178</v>
      </c>
      <c r="AB2873" s="584">
        <v>36035</v>
      </c>
      <c r="AC2873" s="584" t="s">
        <v>164</v>
      </c>
      <c r="AD2873" s="584">
        <v>26033</v>
      </c>
      <c r="AE2873" s="586">
        <v>0.05</v>
      </c>
      <c r="AF2873" s="661" t="str">
        <f t="shared" si="311"/>
        <v>2019-LTK-FRD-F35C-023-26</v>
      </c>
      <c r="AG2873" s="661" t="str">
        <f>IF(AND($Y2873&gt;=32,(AI2873="I"),(Y2873&lt;&gt;"~"),(COUNTIF($AN$1:$AN2873,$AN2873)=1)),"TRUE","FALSE")</f>
        <v>FALSE</v>
      </c>
      <c r="AH2873" s="661" t="str">
        <f>IF(AND($Y2873&gt;=22, (AI2873&lt;&gt;"I"),(Y2873&lt;&gt;"~"),(COUNTIF($AN$1:$AN2873,$AN2873)=1)),"TRUE","FALSE")</f>
        <v>FALSE</v>
      </c>
      <c r="AI2873" s="661" t="str">
        <f t="shared" si="313"/>
        <v>N/A</v>
      </c>
      <c r="AJ2873" s="662" t="str">
        <f t="shared" si="307"/>
        <v>F35C-023</v>
      </c>
      <c r="AK2873" s="662" t="str">
        <f t="shared" si="308"/>
        <v>LTK</v>
      </c>
      <c r="AL2873" s="662" t="str">
        <f t="shared" si="309"/>
        <v>FRD</v>
      </c>
      <c r="AM2873" s="662" t="str">
        <f t="shared" si="312"/>
        <v>F350 Chassis Cab-Regular Cab XL DRW-2WD-3-~-13400-6.2L FFV-8-F3G-640A-145-40-E85-Unleaded</v>
      </c>
      <c r="AN2873" s="662" t="str">
        <f t="shared" si="310"/>
        <v>2019-LTK-FRD-F35C-023</v>
      </c>
    </row>
    <row r="2874" spans="1:40" ht="15">
      <c r="A2874" s="570" t="s">
        <v>4986</v>
      </c>
      <c r="B2874" s="569" t="s">
        <v>4978</v>
      </c>
      <c r="C2874" s="569" t="s">
        <v>287</v>
      </c>
      <c r="D2874" s="580">
        <v>26</v>
      </c>
      <c r="E2874" s="569" t="s">
        <v>3374</v>
      </c>
      <c r="F2874" s="569" t="s">
        <v>1684</v>
      </c>
      <c r="G2874" s="569" t="s">
        <v>271</v>
      </c>
      <c r="H2874" s="569">
        <v>2019</v>
      </c>
      <c r="I2874" s="569" t="s">
        <v>4879</v>
      </c>
      <c r="J2874" s="569" t="s">
        <v>4684</v>
      </c>
      <c r="K2874" s="569" t="s">
        <v>3377</v>
      </c>
      <c r="L2874" s="569">
        <v>3</v>
      </c>
      <c r="M2874" s="569">
        <v>0</v>
      </c>
      <c r="N2874" s="569" t="s">
        <v>157</v>
      </c>
      <c r="O2874" s="569">
        <v>1</v>
      </c>
      <c r="P2874" s="569" t="s">
        <v>157</v>
      </c>
      <c r="Q2874" s="568">
        <v>13400</v>
      </c>
      <c r="R2874" s="569" t="s">
        <v>4231</v>
      </c>
      <c r="S2874" s="569">
        <v>8</v>
      </c>
      <c r="T2874" s="569" t="s">
        <v>4972</v>
      </c>
      <c r="U2874" s="569" t="s">
        <v>4881</v>
      </c>
      <c r="V2874" s="569">
        <v>145</v>
      </c>
      <c r="W2874" s="569">
        <v>40</v>
      </c>
      <c r="X2874" s="568">
        <v>14000</v>
      </c>
      <c r="Y2874" s="569" t="s">
        <v>164</v>
      </c>
      <c r="Z2874" s="581" t="s">
        <v>728</v>
      </c>
      <c r="AA2874" s="581" t="s">
        <v>1523</v>
      </c>
      <c r="AB2874" s="585">
        <v>45030</v>
      </c>
      <c r="AC2874" s="585" t="s">
        <v>164</v>
      </c>
      <c r="AD2874" s="585">
        <v>34228</v>
      </c>
      <c r="AE2874" s="587">
        <v>0.05</v>
      </c>
      <c r="AF2874" s="661" t="str">
        <f t="shared" si="311"/>
        <v>2019-LTK-FRD-F35C-025-26</v>
      </c>
      <c r="AG2874" s="661" t="str">
        <f>IF(AND($Y2874&gt;=32,(AI2874="I"),(Y2874&lt;&gt;"~"),(COUNTIF($AN$1:$AN2874,$AN2874)=1)),"TRUE","FALSE")</f>
        <v>FALSE</v>
      </c>
      <c r="AH2874" s="661" t="str">
        <f>IF(AND($Y2874&gt;=22, (AI2874&lt;&gt;"I"),(Y2874&lt;&gt;"~"),(COUNTIF($AN$1:$AN2874,$AN2874)=1)),"TRUE","FALSE")</f>
        <v>FALSE</v>
      </c>
      <c r="AI2874" s="661" t="str">
        <f t="shared" si="313"/>
        <v>N/A</v>
      </c>
      <c r="AJ2874" s="662" t="str">
        <f t="shared" si="307"/>
        <v>F35C-025</v>
      </c>
      <c r="AK2874" s="662" t="str">
        <f t="shared" si="308"/>
        <v>LTK</v>
      </c>
      <c r="AL2874" s="662" t="str">
        <f t="shared" si="309"/>
        <v>FRD</v>
      </c>
      <c r="AM2874" s="662" t="str">
        <f t="shared" si="312"/>
        <v>F350 Chassis Cab-Regular Cab XL DRW-2WD-3-~-13400-6.7L Diesel-8-F3G-640A-145-40-Diesel-BioDiesel</v>
      </c>
      <c r="AN2874" s="662" t="str">
        <f t="shared" si="310"/>
        <v>2019-LTK-FRD-F35C-025</v>
      </c>
    </row>
    <row r="2875" spans="1:40" ht="15">
      <c r="A2875" s="570" t="s">
        <v>4987</v>
      </c>
      <c r="B2875" s="573" t="s">
        <v>4971</v>
      </c>
      <c r="C2875" s="573" t="s">
        <v>280</v>
      </c>
      <c r="D2875" s="578">
        <v>27</v>
      </c>
      <c r="E2875" s="573" t="s">
        <v>3374</v>
      </c>
      <c r="F2875" s="573" t="s">
        <v>1684</v>
      </c>
      <c r="G2875" s="573" t="s">
        <v>271</v>
      </c>
      <c r="H2875" s="573">
        <v>2019</v>
      </c>
      <c r="I2875" s="573" t="s">
        <v>4879</v>
      </c>
      <c r="J2875" s="573" t="s">
        <v>4684</v>
      </c>
      <c r="K2875" s="573" t="s">
        <v>3377</v>
      </c>
      <c r="L2875" s="573">
        <v>3</v>
      </c>
      <c r="M2875" s="573">
        <v>0</v>
      </c>
      <c r="N2875" s="573" t="s">
        <v>157</v>
      </c>
      <c r="O2875" s="573">
        <v>1</v>
      </c>
      <c r="P2875" s="573" t="s">
        <v>157</v>
      </c>
      <c r="Q2875" s="571">
        <v>13140</v>
      </c>
      <c r="R2875" s="573" t="s">
        <v>4235</v>
      </c>
      <c r="S2875" s="573">
        <v>8</v>
      </c>
      <c r="T2875" s="573" t="s">
        <v>4972</v>
      </c>
      <c r="U2875" s="573" t="s">
        <v>4881</v>
      </c>
      <c r="V2875" s="573">
        <v>169</v>
      </c>
      <c r="W2875" s="573">
        <v>40</v>
      </c>
      <c r="X2875" s="571">
        <v>14000</v>
      </c>
      <c r="Y2875" s="569" t="s">
        <v>164</v>
      </c>
      <c r="Z2875" s="579" t="s">
        <v>450</v>
      </c>
      <c r="AA2875" s="579" t="s">
        <v>178</v>
      </c>
      <c r="AB2875" s="584">
        <v>36575</v>
      </c>
      <c r="AC2875" s="584" t="s">
        <v>164</v>
      </c>
      <c r="AD2875" s="584">
        <v>26004.968421052636</v>
      </c>
      <c r="AE2875" s="586">
        <v>0.03</v>
      </c>
      <c r="AF2875" s="661" t="str">
        <f t="shared" si="311"/>
        <v>2019-LTK-FRD-F35C-021-27</v>
      </c>
      <c r="AG2875" s="661" t="str">
        <f>IF(AND($Y2875&gt;=32,(AI2875="I"),(Y2875&lt;&gt;"~"),(COUNTIF($AN$1:$AN2875,$AN2875)=1)),"TRUE","FALSE")</f>
        <v>FALSE</v>
      </c>
      <c r="AH2875" s="661" t="str">
        <f>IF(AND($Y2875&gt;=22, (AI2875&lt;&gt;"I"),(Y2875&lt;&gt;"~"),(COUNTIF($AN$1:$AN2875,$AN2875)=1)),"TRUE","FALSE")</f>
        <v>FALSE</v>
      </c>
      <c r="AI2875" s="661" t="str">
        <f t="shared" si="313"/>
        <v>N/A</v>
      </c>
      <c r="AJ2875" s="662" t="str">
        <f t="shared" si="307"/>
        <v>F35C-021</v>
      </c>
      <c r="AK2875" s="662" t="str">
        <f t="shared" si="308"/>
        <v>LTK</v>
      </c>
      <c r="AL2875" s="662" t="str">
        <f t="shared" si="309"/>
        <v>FRD</v>
      </c>
      <c r="AM2875" s="662" t="str">
        <f t="shared" si="312"/>
        <v>F350 Chassis Cab-Regular Cab XL DRW-2WD-3-~-13140-6.2L FFV-8-F3G-640A-169-40-E85-Unleaded</v>
      </c>
      <c r="AN2875" s="662" t="str">
        <f t="shared" si="310"/>
        <v>2019-LTK-FRD-F35C-021</v>
      </c>
    </row>
    <row r="2876" spans="1:40" ht="15">
      <c r="A2876" s="570" t="s">
        <v>4988</v>
      </c>
      <c r="B2876" s="569" t="s">
        <v>4974</v>
      </c>
      <c r="C2876" s="569" t="s">
        <v>280</v>
      </c>
      <c r="D2876" s="580">
        <v>27</v>
      </c>
      <c r="E2876" s="569" t="s">
        <v>3374</v>
      </c>
      <c r="F2876" s="569" t="s">
        <v>1684</v>
      </c>
      <c r="G2876" s="569" t="s">
        <v>271</v>
      </c>
      <c r="H2876" s="569">
        <v>2019</v>
      </c>
      <c r="I2876" s="569" t="s">
        <v>4879</v>
      </c>
      <c r="J2876" s="569" t="s">
        <v>4684</v>
      </c>
      <c r="K2876" s="569" t="s">
        <v>3377</v>
      </c>
      <c r="L2876" s="569">
        <v>3</v>
      </c>
      <c r="M2876" s="569">
        <v>0</v>
      </c>
      <c r="N2876" s="569" t="s">
        <v>157</v>
      </c>
      <c r="O2876" s="569">
        <v>1</v>
      </c>
      <c r="P2876" s="569" t="s">
        <v>157</v>
      </c>
      <c r="Q2876" s="568">
        <v>13140</v>
      </c>
      <c r="R2876" s="569" t="s">
        <v>4231</v>
      </c>
      <c r="S2876" s="569">
        <v>8</v>
      </c>
      <c r="T2876" s="569" t="s">
        <v>4972</v>
      </c>
      <c r="U2876" s="569" t="s">
        <v>4881</v>
      </c>
      <c r="V2876" s="569">
        <v>169</v>
      </c>
      <c r="W2876" s="569">
        <v>40</v>
      </c>
      <c r="X2876" s="568">
        <v>14000</v>
      </c>
      <c r="Y2876" s="569" t="s">
        <v>164</v>
      </c>
      <c r="Z2876" s="581" t="s">
        <v>728</v>
      </c>
      <c r="AA2876" s="581" t="s">
        <v>1523</v>
      </c>
      <c r="AB2876" s="585">
        <v>45695</v>
      </c>
      <c r="AC2876" s="585" t="s">
        <v>164</v>
      </c>
      <c r="AD2876" s="585">
        <v>34197.157894736847</v>
      </c>
      <c r="AE2876" s="587">
        <v>0.03</v>
      </c>
      <c r="AF2876" s="661" t="str">
        <f t="shared" si="311"/>
        <v>2019-LTK-FRD-F35C-022-27</v>
      </c>
      <c r="AG2876" s="661" t="str">
        <f>IF(AND($Y2876&gt;=32,(AI2876="I"),(Y2876&lt;&gt;"~"),(COUNTIF($AN$1:$AN2876,$AN2876)=1)),"TRUE","FALSE")</f>
        <v>FALSE</v>
      </c>
      <c r="AH2876" s="661" t="str">
        <f>IF(AND($Y2876&gt;=22, (AI2876&lt;&gt;"I"),(Y2876&lt;&gt;"~"),(COUNTIF($AN$1:$AN2876,$AN2876)=1)),"TRUE","FALSE")</f>
        <v>FALSE</v>
      </c>
      <c r="AI2876" s="661" t="str">
        <f t="shared" si="313"/>
        <v>N/A</v>
      </c>
      <c r="AJ2876" s="662" t="str">
        <f t="shared" si="307"/>
        <v>F35C-022</v>
      </c>
      <c r="AK2876" s="662" t="str">
        <f t="shared" si="308"/>
        <v>LTK</v>
      </c>
      <c r="AL2876" s="662" t="str">
        <f t="shared" si="309"/>
        <v>FRD</v>
      </c>
      <c r="AM2876" s="662" t="str">
        <f t="shared" si="312"/>
        <v>F350 Chassis Cab-Regular Cab XL DRW-2WD-3-~-13140-6.7L Diesel-8-F3G-640A-169-40-Diesel-BioDiesel</v>
      </c>
      <c r="AN2876" s="662" t="str">
        <f t="shared" si="310"/>
        <v>2019-LTK-FRD-F35C-022</v>
      </c>
    </row>
    <row r="2877" spans="1:40" ht="15">
      <c r="A2877" s="570" t="s">
        <v>4989</v>
      </c>
      <c r="B2877" s="573" t="s">
        <v>4976</v>
      </c>
      <c r="C2877" s="573" t="s">
        <v>280</v>
      </c>
      <c r="D2877" s="578">
        <v>27</v>
      </c>
      <c r="E2877" s="573" t="s">
        <v>3374</v>
      </c>
      <c r="F2877" s="573" t="s">
        <v>1684</v>
      </c>
      <c r="G2877" s="573" t="s">
        <v>271</v>
      </c>
      <c r="H2877" s="573">
        <v>2019</v>
      </c>
      <c r="I2877" s="573" t="s">
        <v>4879</v>
      </c>
      <c r="J2877" s="573" t="s">
        <v>4684</v>
      </c>
      <c r="K2877" s="573" t="s">
        <v>3377</v>
      </c>
      <c r="L2877" s="573">
        <v>3</v>
      </c>
      <c r="M2877" s="573">
        <v>0</v>
      </c>
      <c r="N2877" s="573" t="s">
        <v>157</v>
      </c>
      <c r="O2877" s="573">
        <v>1</v>
      </c>
      <c r="P2877" s="573" t="s">
        <v>157</v>
      </c>
      <c r="Q2877" s="571">
        <v>13300</v>
      </c>
      <c r="R2877" s="573" t="s">
        <v>4235</v>
      </c>
      <c r="S2877" s="573">
        <v>8</v>
      </c>
      <c r="T2877" s="573" t="s">
        <v>4972</v>
      </c>
      <c r="U2877" s="573" t="s">
        <v>4881</v>
      </c>
      <c r="V2877" s="573">
        <v>145</v>
      </c>
      <c r="W2877" s="573">
        <v>40</v>
      </c>
      <c r="X2877" s="571">
        <v>14000</v>
      </c>
      <c r="Y2877" s="569" t="s">
        <v>164</v>
      </c>
      <c r="Z2877" s="579" t="s">
        <v>450</v>
      </c>
      <c r="AA2877" s="579" t="s">
        <v>178</v>
      </c>
      <c r="AB2877" s="584">
        <v>36400</v>
      </c>
      <c r="AC2877" s="584" t="s">
        <v>164</v>
      </c>
      <c r="AD2877" s="584">
        <v>25843.915789473685</v>
      </c>
      <c r="AE2877" s="586">
        <v>0.03</v>
      </c>
      <c r="AF2877" s="661" t="str">
        <f t="shared" si="311"/>
        <v>2019-LTK-FRD-F35C-023-27</v>
      </c>
      <c r="AG2877" s="661" t="str">
        <f>IF(AND($Y2877&gt;=32,(AI2877="I"),(Y2877&lt;&gt;"~"),(COUNTIF($AN$1:$AN2877,$AN2877)=1)),"TRUE","FALSE")</f>
        <v>FALSE</v>
      </c>
      <c r="AH2877" s="661" t="str">
        <f>IF(AND($Y2877&gt;=22, (AI2877&lt;&gt;"I"),(Y2877&lt;&gt;"~"),(COUNTIF($AN$1:$AN2877,$AN2877)=1)),"TRUE","FALSE")</f>
        <v>FALSE</v>
      </c>
      <c r="AI2877" s="661" t="str">
        <f t="shared" si="313"/>
        <v>N/A</v>
      </c>
      <c r="AJ2877" s="662" t="str">
        <f t="shared" si="307"/>
        <v>F35C-023</v>
      </c>
      <c r="AK2877" s="662" t="str">
        <f t="shared" si="308"/>
        <v>LTK</v>
      </c>
      <c r="AL2877" s="662" t="str">
        <f t="shared" si="309"/>
        <v>FRD</v>
      </c>
      <c r="AM2877" s="662" t="str">
        <f t="shared" si="312"/>
        <v>F350 Chassis Cab-Regular Cab XL DRW-2WD-3-~-13300-6.2L FFV-8-F3G-640A-145-40-E85-Unleaded</v>
      </c>
      <c r="AN2877" s="662" t="str">
        <f t="shared" si="310"/>
        <v>2019-LTK-FRD-F35C-023</v>
      </c>
    </row>
    <row r="2878" spans="1:40" ht="15">
      <c r="A2878" s="570" t="s">
        <v>4990</v>
      </c>
      <c r="B2878" s="569" t="s">
        <v>4978</v>
      </c>
      <c r="C2878" s="569" t="s">
        <v>280</v>
      </c>
      <c r="D2878" s="580">
        <v>27</v>
      </c>
      <c r="E2878" s="569" t="s">
        <v>3374</v>
      </c>
      <c r="F2878" s="569" t="s">
        <v>1684</v>
      </c>
      <c r="G2878" s="569" t="s">
        <v>271</v>
      </c>
      <c r="H2878" s="569">
        <v>2019</v>
      </c>
      <c r="I2878" s="569" t="s">
        <v>4879</v>
      </c>
      <c r="J2878" s="569" t="s">
        <v>4684</v>
      </c>
      <c r="K2878" s="569" t="s">
        <v>3377</v>
      </c>
      <c r="L2878" s="569">
        <v>3</v>
      </c>
      <c r="M2878" s="569">
        <v>0</v>
      </c>
      <c r="N2878" s="569" t="s">
        <v>157</v>
      </c>
      <c r="O2878" s="569">
        <v>1</v>
      </c>
      <c r="P2878" s="569" t="s">
        <v>157</v>
      </c>
      <c r="Q2878" s="568">
        <v>13300</v>
      </c>
      <c r="R2878" s="569" t="s">
        <v>4231</v>
      </c>
      <c r="S2878" s="569">
        <v>8</v>
      </c>
      <c r="T2878" s="569" t="s">
        <v>4972</v>
      </c>
      <c r="U2878" s="569" t="s">
        <v>4881</v>
      </c>
      <c r="V2878" s="569">
        <v>145</v>
      </c>
      <c r="W2878" s="569">
        <v>40</v>
      </c>
      <c r="X2878" s="568">
        <v>14000</v>
      </c>
      <c r="Y2878" s="569" t="s">
        <v>164</v>
      </c>
      <c r="Z2878" s="581" t="s">
        <v>728</v>
      </c>
      <c r="AA2878" s="581" t="s">
        <v>1523</v>
      </c>
      <c r="AB2878" s="585">
        <v>45520</v>
      </c>
      <c r="AC2878" s="585" t="s">
        <v>164</v>
      </c>
      <c r="AD2878" s="585">
        <v>34036.1052631579</v>
      </c>
      <c r="AE2878" s="587">
        <v>0.03</v>
      </c>
      <c r="AF2878" s="661" t="str">
        <f t="shared" si="311"/>
        <v>2019-LTK-FRD-F35C-025-27</v>
      </c>
      <c r="AG2878" s="661" t="str">
        <f>IF(AND($Y2878&gt;=32,(AI2878="I"),(Y2878&lt;&gt;"~"),(COUNTIF($AN$1:$AN2878,$AN2878)=1)),"TRUE","FALSE")</f>
        <v>FALSE</v>
      </c>
      <c r="AH2878" s="661" t="str">
        <f>IF(AND($Y2878&gt;=22, (AI2878&lt;&gt;"I"),(Y2878&lt;&gt;"~"),(COUNTIF($AN$1:$AN2878,$AN2878)=1)),"TRUE","FALSE")</f>
        <v>FALSE</v>
      </c>
      <c r="AI2878" s="661" t="str">
        <f t="shared" si="313"/>
        <v>N/A</v>
      </c>
      <c r="AJ2878" s="662" t="str">
        <f t="shared" si="307"/>
        <v>F35C-025</v>
      </c>
      <c r="AK2878" s="662" t="str">
        <f t="shared" si="308"/>
        <v>LTK</v>
      </c>
      <c r="AL2878" s="662" t="str">
        <f t="shared" si="309"/>
        <v>FRD</v>
      </c>
      <c r="AM2878" s="662" t="str">
        <f t="shared" si="312"/>
        <v>F350 Chassis Cab-Regular Cab XL DRW-2WD-3-~-13300-6.7L Diesel-8-F3G-640A-145-40-Diesel-BioDiesel</v>
      </c>
      <c r="AN2878" s="662" t="str">
        <f t="shared" si="310"/>
        <v>2019-LTK-FRD-F35C-025</v>
      </c>
    </row>
    <row r="2879" spans="1:40" ht="15">
      <c r="A2879" s="570" t="s">
        <v>4991</v>
      </c>
      <c r="B2879" s="573" t="s">
        <v>4992</v>
      </c>
      <c r="C2879" s="573" t="s">
        <v>269</v>
      </c>
      <c r="D2879" s="578" t="s">
        <v>270</v>
      </c>
      <c r="E2879" s="573" t="s">
        <v>3374</v>
      </c>
      <c r="F2879" s="573" t="s">
        <v>1684</v>
      </c>
      <c r="G2879" s="573" t="s">
        <v>271</v>
      </c>
      <c r="H2879" s="573">
        <v>2019</v>
      </c>
      <c r="I2879" s="573" t="s">
        <v>4879</v>
      </c>
      <c r="J2879" s="573" t="s">
        <v>4684</v>
      </c>
      <c r="K2879" s="573" t="s">
        <v>752</v>
      </c>
      <c r="L2879" s="573">
        <v>3</v>
      </c>
      <c r="M2879" s="573">
        <v>0</v>
      </c>
      <c r="N2879" s="573" t="s">
        <v>157</v>
      </c>
      <c r="O2879" s="573">
        <v>1</v>
      </c>
      <c r="P2879" s="573" t="s">
        <v>157</v>
      </c>
      <c r="Q2879" s="571">
        <v>12740</v>
      </c>
      <c r="R2879" s="573" t="s">
        <v>4235</v>
      </c>
      <c r="S2879" s="573">
        <v>8</v>
      </c>
      <c r="T2879" s="573" t="s">
        <v>4993</v>
      </c>
      <c r="U2879" s="573" t="s">
        <v>4881</v>
      </c>
      <c r="V2879" s="573">
        <v>169</v>
      </c>
      <c r="W2879" s="573">
        <v>40</v>
      </c>
      <c r="X2879" s="571">
        <v>14000</v>
      </c>
      <c r="Y2879" s="569" t="s">
        <v>164</v>
      </c>
      <c r="Z2879" s="579" t="s">
        <v>450</v>
      </c>
      <c r="AA2879" s="579" t="s">
        <v>178</v>
      </c>
      <c r="AB2879" s="584">
        <v>40055</v>
      </c>
      <c r="AC2879" s="584" t="s">
        <v>164</v>
      </c>
      <c r="AD2879" s="584">
        <v>30062.863157894739</v>
      </c>
      <c r="AE2879" s="586">
        <v>0.03</v>
      </c>
      <c r="AF2879" s="661" t="str">
        <f t="shared" si="311"/>
        <v>2019-LTK-FRD-F35C-028-05</v>
      </c>
      <c r="AG2879" s="661" t="str">
        <f>IF(AND($Y2879&gt;=32,(AI2879="I"),(Y2879&lt;&gt;"~"),(COUNTIF($AN$1:$AN2879,$AN2879)=1)),"TRUE","FALSE")</f>
        <v>FALSE</v>
      </c>
      <c r="AH2879" s="661" t="str">
        <f>IF(AND($Y2879&gt;=22, (AI2879&lt;&gt;"I"),(Y2879&lt;&gt;"~"),(COUNTIF($AN$1:$AN2879,$AN2879)=1)),"TRUE","FALSE")</f>
        <v>TRUE</v>
      </c>
      <c r="AI2879" s="661" t="str">
        <f t="shared" si="313"/>
        <v>N/A</v>
      </c>
      <c r="AJ2879" s="662" t="str">
        <f t="shared" si="307"/>
        <v>F35C-028</v>
      </c>
      <c r="AK2879" s="662" t="str">
        <f t="shared" si="308"/>
        <v>LTK</v>
      </c>
      <c r="AL2879" s="662" t="str">
        <f t="shared" si="309"/>
        <v>FRD</v>
      </c>
      <c r="AM2879" s="662" t="str">
        <f t="shared" si="312"/>
        <v>F350 Chassis Cab-Regular Cab XL DRW-4WD-3-~-12740-6.2L FFV-8-F3H-640A-169-40-E85-Unleaded</v>
      </c>
      <c r="AN2879" s="662" t="str">
        <f t="shared" si="310"/>
        <v>2019-LTK-FRD-F35C-028</v>
      </c>
    </row>
    <row r="2880" spans="1:40" ht="15">
      <c r="A2880" s="570" t="s">
        <v>4994</v>
      </c>
      <c r="B2880" s="569" t="s">
        <v>4995</v>
      </c>
      <c r="C2880" s="569" t="s">
        <v>269</v>
      </c>
      <c r="D2880" s="580" t="s">
        <v>270</v>
      </c>
      <c r="E2880" s="569" t="s">
        <v>3374</v>
      </c>
      <c r="F2880" s="569" t="s">
        <v>1684</v>
      </c>
      <c r="G2880" s="569" t="s">
        <v>271</v>
      </c>
      <c r="H2880" s="569">
        <v>2019</v>
      </c>
      <c r="I2880" s="569" t="s">
        <v>4879</v>
      </c>
      <c r="J2880" s="569" t="s">
        <v>4684</v>
      </c>
      <c r="K2880" s="569" t="s">
        <v>752</v>
      </c>
      <c r="L2880" s="569">
        <v>3</v>
      </c>
      <c r="M2880" s="569">
        <v>0</v>
      </c>
      <c r="N2880" s="569" t="s">
        <v>157</v>
      </c>
      <c r="O2880" s="569">
        <v>1</v>
      </c>
      <c r="P2880" s="569" t="s">
        <v>157</v>
      </c>
      <c r="Q2880" s="568">
        <v>12740</v>
      </c>
      <c r="R2880" s="569" t="s">
        <v>4231</v>
      </c>
      <c r="S2880" s="569">
        <v>8</v>
      </c>
      <c r="T2880" s="569" t="s">
        <v>4993</v>
      </c>
      <c r="U2880" s="569" t="s">
        <v>4881</v>
      </c>
      <c r="V2880" s="569">
        <v>169</v>
      </c>
      <c r="W2880" s="569">
        <v>40</v>
      </c>
      <c r="X2880" s="568">
        <v>14000</v>
      </c>
      <c r="Y2880" s="569" t="s">
        <v>164</v>
      </c>
      <c r="Z2880" s="581" t="s">
        <v>728</v>
      </c>
      <c r="AA2880" s="581" t="s">
        <v>1523</v>
      </c>
      <c r="AB2880" s="585">
        <v>49175</v>
      </c>
      <c r="AC2880" s="585" t="s">
        <v>164</v>
      </c>
      <c r="AD2880" s="585">
        <v>38255.052631578954</v>
      </c>
      <c r="AE2880" s="587">
        <v>0.03</v>
      </c>
      <c r="AF2880" s="661" t="str">
        <f t="shared" si="311"/>
        <v>2019-LTK-FRD-F35C-030-05</v>
      </c>
      <c r="AG2880" s="661" t="str">
        <f>IF(AND($Y2880&gt;=32,(AI2880="I"),(Y2880&lt;&gt;"~"),(COUNTIF($AN$1:$AN2880,$AN2880)=1)),"TRUE","FALSE")</f>
        <v>FALSE</v>
      </c>
      <c r="AH2880" s="661" t="str">
        <f>IF(AND($Y2880&gt;=22, (AI2880&lt;&gt;"I"),(Y2880&lt;&gt;"~"),(COUNTIF($AN$1:$AN2880,$AN2880)=1)),"TRUE","FALSE")</f>
        <v>TRUE</v>
      </c>
      <c r="AI2880" s="661" t="str">
        <f t="shared" si="313"/>
        <v>N/A</v>
      </c>
      <c r="AJ2880" s="662" t="str">
        <f t="shared" si="307"/>
        <v>F35C-030</v>
      </c>
      <c r="AK2880" s="662" t="str">
        <f t="shared" si="308"/>
        <v>LTK</v>
      </c>
      <c r="AL2880" s="662" t="str">
        <f t="shared" si="309"/>
        <v>FRD</v>
      </c>
      <c r="AM2880" s="662" t="str">
        <f t="shared" si="312"/>
        <v>F350 Chassis Cab-Regular Cab XL DRW-4WD-3-~-12740-6.7L Diesel-8-F3H-640A-169-40-Diesel-BioDiesel</v>
      </c>
      <c r="AN2880" s="662" t="str">
        <f t="shared" si="310"/>
        <v>2019-LTK-FRD-F35C-030</v>
      </c>
    </row>
    <row r="2881" spans="1:40" ht="15">
      <c r="A2881" s="570" t="s">
        <v>4996</v>
      </c>
      <c r="B2881" s="573" t="s">
        <v>4997</v>
      </c>
      <c r="C2881" s="573" t="s">
        <v>269</v>
      </c>
      <c r="D2881" s="578" t="s">
        <v>270</v>
      </c>
      <c r="E2881" s="573" t="s">
        <v>3374</v>
      </c>
      <c r="F2881" s="573" t="s">
        <v>1684</v>
      </c>
      <c r="G2881" s="573" t="s">
        <v>271</v>
      </c>
      <c r="H2881" s="573">
        <v>2019</v>
      </c>
      <c r="I2881" s="573" t="s">
        <v>4879</v>
      </c>
      <c r="J2881" s="573" t="s">
        <v>4684</v>
      </c>
      <c r="K2881" s="573" t="s">
        <v>752</v>
      </c>
      <c r="L2881" s="573">
        <v>3</v>
      </c>
      <c r="M2881" s="573">
        <v>0</v>
      </c>
      <c r="N2881" s="573" t="s">
        <v>157</v>
      </c>
      <c r="O2881" s="573">
        <v>1</v>
      </c>
      <c r="P2881" s="573" t="s">
        <v>157</v>
      </c>
      <c r="Q2881" s="571">
        <v>12900</v>
      </c>
      <c r="R2881" s="573" t="s">
        <v>4235</v>
      </c>
      <c r="S2881" s="573">
        <v>8</v>
      </c>
      <c r="T2881" s="573" t="s">
        <v>4993</v>
      </c>
      <c r="U2881" s="573" t="s">
        <v>4881</v>
      </c>
      <c r="V2881" s="573">
        <v>145</v>
      </c>
      <c r="W2881" s="573">
        <v>40</v>
      </c>
      <c r="X2881" s="571">
        <v>14000</v>
      </c>
      <c r="Y2881" s="569" t="s">
        <v>164</v>
      </c>
      <c r="Z2881" s="579" t="s">
        <v>450</v>
      </c>
      <c r="AA2881" s="579" t="s">
        <v>178</v>
      </c>
      <c r="AB2881" s="584">
        <v>39875</v>
      </c>
      <c r="AC2881" s="584" t="s">
        <v>164</v>
      </c>
      <c r="AD2881" s="584">
        <v>29896.547368421056</v>
      </c>
      <c r="AE2881" s="586">
        <v>0.03</v>
      </c>
      <c r="AF2881" s="661" t="str">
        <f t="shared" si="311"/>
        <v>2019-LTK-FRD-F35C-031-05</v>
      </c>
      <c r="AG2881" s="661" t="str">
        <f>IF(AND($Y2881&gt;=32,(AI2881="I"),(Y2881&lt;&gt;"~"),(COUNTIF($AN$1:$AN2881,$AN2881)=1)),"TRUE","FALSE")</f>
        <v>FALSE</v>
      </c>
      <c r="AH2881" s="661" t="str">
        <f>IF(AND($Y2881&gt;=22, (AI2881&lt;&gt;"I"),(Y2881&lt;&gt;"~"),(COUNTIF($AN$1:$AN2881,$AN2881)=1)),"TRUE","FALSE")</f>
        <v>TRUE</v>
      </c>
      <c r="AI2881" s="661" t="str">
        <f t="shared" si="313"/>
        <v>N/A</v>
      </c>
      <c r="AJ2881" s="662" t="str">
        <f t="shared" si="307"/>
        <v>F35C-031</v>
      </c>
      <c r="AK2881" s="662" t="str">
        <f t="shared" si="308"/>
        <v>LTK</v>
      </c>
      <c r="AL2881" s="662" t="str">
        <f t="shared" si="309"/>
        <v>FRD</v>
      </c>
      <c r="AM2881" s="662" t="str">
        <f t="shared" si="312"/>
        <v>F350 Chassis Cab-Regular Cab XL DRW-4WD-3-~-12900-6.2L FFV-8-F3H-640A-145-40-E85-Unleaded</v>
      </c>
      <c r="AN2881" s="662" t="str">
        <f t="shared" si="310"/>
        <v>2019-LTK-FRD-F35C-031</v>
      </c>
    </row>
    <row r="2882" spans="1:40" ht="15">
      <c r="A2882" s="570" t="s">
        <v>4998</v>
      </c>
      <c r="B2882" s="569" t="s">
        <v>4999</v>
      </c>
      <c r="C2882" s="569" t="s">
        <v>269</v>
      </c>
      <c r="D2882" s="580" t="s">
        <v>270</v>
      </c>
      <c r="E2882" s="569" t="s">
        <v>3374</v>
      </c>
      <c r="F2882" s="569" t="s">
        <v>1684</v>
      </c>
      <c r="G2882" s="569" t="s">
        <v>271</v>
      </c>
      <c r="H2882" s="569">
        <v>2019</v>
      </c>
      <c r="I2882" s="569" t="s">
        <v>4879</v>
      </c>
      <c r="J2882" s="569" t="s">
        <v>4684</v>
      </c>
      <c r="K2882" s="569" t="s">
        <v>752</v>
      </c>
      <c r="L2882" s="569">
        <v>3</v>
      </c>
      <c r="M2882" s="569">
        <v>0</v>
      </c>
      <c r="N2882" s="569" t="s">
        <v>157</v>
      </c>
      <c r="O2882" s="569">
        <v>1</v>
      </c>
      <c r="P2882" s="569" t="s">
        <v>157</v>
      </c>
      <c r="Q2882" s="568">
        <v>12900</v>
      </c>
      <c r="R2882" s="569" t="s">
        <v>4231</v>
      </c>
      <c r="S2882" s="569">
        <v>8</v>
      </c>
      <c r="T2882" s="569" t="s">
        <v>4993</v>
      </c>
      <c r="U2882" s="569" t="s">
        <v>4881</v>
      </c>
      <c r="V2882" s="569">
        <v>145</v>
      </c>
      <c r="W2882" s="569">
        <v>40</v>
      </c>
      <c r="X2882" s="568">
        <v>14000</v>
      </c>
      <c r="Y2882" s="569" t="s">
        <v>164</v>
      </c>
      <c r="Z2882" s="581" t="s">
        <v>728</v>
      </c>
      <c r="AA2882" s="581" t="s">
        <v>1523</v>
      </c>
      <c r="AB2882" s="585">
        <v>48995</v>
      </c>
      <c r="AC2882" s="585" t="s">
        <v>164</v>
      </c>
      <c r="AD2882" s="585">
        <v>38088.736842105267</v>
      </c>
      <c r="AE2882" s="587">
        <v>0.03</v>
      </c>
      <c r="AF2882" s="661" t="str">
        <f t="shared" si="311"/>
        <v>2019-LTK-FRD-F35C-033-05</v>
      </c>
      <c r="AG2882" s="661" t="str">
        <f>IF(AND($Y2882&gt;=32,(AI2882="I"),(Y2882&lt;&gt;"~"),(COUNTIF($AN$1:$AN2882,$AN2882)=1)),"TRUE","FALSE")</f>
        <v>FALSE</v>
      </c>
      <c r="AH2882" s="661" t="str">
        <f>IF(AND($Y2882&gt;=22, (AI2882&lt;&gt;"I"),(Y2882&lt;&gt;"~"),(COUNTIF($AN$1:$AN2882,$AN2882)=1)),"TRUE","FALSE")</f>
        <v>TRUE</v>
      </c>
      <c r="AI2882" s="661" t="str">
        <f t="shared" si="313"/>
        <v>N/A</v>
      </c>
      <c r="AJ2882" s="662" t="str">
        <f t="shared" si="307"/>
        <v>F35C-033</v>
      </c>
      <c r="AK2882" s="662" t="str">
        <f t="shared" si="308"/>
        <v>LTK</v>
      </c>
      <c r="AL2882" s="662" t="str">
        <f t="shared" si="309"/>
        <v>FRD</v>
      </c>
      <c r="AM2882" s="662" t="str">
        <f t="shared" si="312"/>
        <v>F350 Chassis Cab-Regular Cab XL DRW-4WD-3-~-12900-6.7L Diesel-8-F3H-640A-145-40-Diesel-BioDiesel</v>
      </c>
      <c r="AN2882" s="662" t="str">
        <f t="shared" si="310"/>
        <v>2019-LTK-FRD-F35C-033</v>
      </c>
    </row>
    <row r="2883" spans="1:40" ht="15">
      <c r="A2883" s="570" t="s">
        <v>5000</v>
      </c>
      <c r="B2883" s="573" t="s">
        <v>4992</v>
      </c>
      <c r="C2883" s="573" t="s">
        <v>278</v>
      </c>
      <c r="D2883" s="578">
        <v>15</v>
      </c>
      <c r="E2883" s="573" t="s">
        <v>3374</v>
      </c>
      <c r="F2883" s="573" t="s">
        <v>1684</v>
      </c>
      <c r="G2883" s="573" t="s">
        <v>271</v>
      </c>
      <c r="H2883" s="573">
        <v>2019</v>
      </c>
      <c r="I2883" s="573" t="s">
        <v>4879</v>
      </c>
      <c r="J2883" s="573" t="s">
        <v>4684</v>
      </c>
      <c r="K2883" s="573" t="s">
        <v>752</v>
      </c>
      <c r="L2883" s="573">
        <v>3</v>
      </c>
      <c r="M2883" s="573">
        <v>0</v>
      </c>
      <c r="N2883" s="573" t="s">
        <v>157</v>
      </c>
      <c r="O2883" s="573">
        <v>1</v>
      </c>
      <c r="P2883" s="573" t="s">
        <v>157</v>
      </c>
      <c r="Q2883" s="571">
        <v>12800</v>
      </c>
      <c r="R2883" s="573" t="s">
        <v>4235</v>
      </c>
      <c r="S2883" s="573">
        <v>8</v>
      </c>
      <c r="T2883" s="573" t="s">
        <v>4993</v>
      </c>
      <c r="U2883" s="573" t="s">
        <v>4881</v>
      </c>
      <c r="V2883" s="573">
        <v>169</v>
      </c>
      <c r="W2883" s="573">
        <v>40</v>
      </c>
      <c r="X2883" s="571">
        <v>14000</v>
      </c>
      <c r="Y2883" s="569" t="s">
        <v>164</v>
      </c>
      <c r="Z2883" s="579" t="s">
        <v>450</v>
      </c>
      <c r="AA2883" s="579" t="s">
        <v>178</v>
      </c>
      <c r="AB2883" s="584">
        <v>40055</v>
      </c>
      <c r="AC2883" s="584" t="s">
        <v>164</v>
      </c>
      <c r="AD2883" s="584">
        <v>30200</v>
      </c>
      <c r="AE2883" s="586">
        <v>0.01</v>
      </c>
      <c r="AF2883" s="661" t="str">
        <f t="shared" si="311"/>
        <v>2019-LTK-FRD-F35C-028-15</v>
      </c>
      <c r="AG2883" s="661" t="str">
        <f>IF(AND($Y2883&gt;=32,(AI2883="I"),(Y2883&lt;&gt;"~"),(COUNTIF($AN$1:$AN2883,$AN2883)=1)),"TRUE","FALSE")</f>
        <v>FALSE</v>
      </c>
      <c r="AH2883" s="661" t="str">
        <f>IF(AND($Y2883&gt;=22, (AI2883&lt;&gt;"I"),(Y2883&lt;&gt;"~"),(COUNTIF($AN$1:$AN2883,$AN2883)=1)),"TRUE","FALSE")</f>
        <v>FALSE</v>
      </c>
      <c r="AI2883" s="661" t="str">
        <f t="shared" si="313"/>
        <v>N/A</v>
      </c>
      <c r="AJ2883" s="662" t="str">
        <f t="shared" ref="AJ2883:AJ2946" si="314">MID(A2883,14,8)</f>
        <v>F35C-028</v>
      </c>
      <c r="AK2883" s="662" t="str">
        <f t="shared" ref="AK2883:AK2946" si="315">MID(A2883,6,3)</f>
        <v>LTK</v>
      </c>
      <c r="AL2883" s="662" t="str">
        <f t="shared" ref="AL2883:AL2946" si="316">MID(A2883,10,3)</f>
        <v>FRD</v>
      </c>
      <c r="AM2883" s="662" t="str">
        <f t="shared" si="312"/>
        <v>F350 Chassis Cab-Regular Cab XL DRW-4WD-3-~-12800-6.2L FFV-8-F3H-640A-169-40-E85-Unleaded</v>
      </c>
      <c r="AN2883" s="662" t="str">
        <f t="shared" ref="AN2883:AN2946" si="317">LEFT(A2883,21)</f>
        <v>2019-LTK-FRD-F35C-028</v>
      </c>
    </row>
    <row r="2884" spans="1:40" ht="15">
      <c r="A2884" s="570" t="s">
        <v>5001</v>
      </c>
      <c r="B2884" s="569" t="s">
        <v>4995</v>
      </c>
      <c r="C2884" s="569" t="s">
        <v>278</v>
      </c>
      <c r="D2884" s="580">
        <v>15</v>
      </c>
      <c r="E2884" s="569" t="s">
        <v>3374</v>
      </c>
      <c r="F2884" s="569" t="s">
        <v>1684</v>
      </c>
      <c r="G2884" s="569" t="s">
        <v>271</v>
      </c>
      <c r="H2884" s="569">
        <v>2019</v>
      </c>
      <c r="I2884" s="569" t="s">
        <v>4879</v>
      </c>
      <c r="J2884" s="569" t="s">
        <v>4684</v>
      </c>
      <c r="K2884" s="569" t="s">
        <v>752</v>
      </c>
      <c r="L2884" s="569">
        <v>3</v>
      </c>
      <c r="M2884" s="569">
        <v>0</v>
      </c>
      <c r="N2884" s="569" t="s">
        <v>157</v>
      </c>
      <c r="O2884" s="569">
        <v>1</v>
      </c>
      <c r="P2884" s="569" t="s">
        <v>157</v>
      </c>
      <c r="Q2884" s="568">
        <v>12800</v>
      </c>
      <c r="R2884" s="569" t="s">
        <v>4231</v>
      </c>
      <c r="S2884" s="569">
        <v>8</v>
      </c>
      <c r="T2884" s="569" t="s">
        <v>4993</v>
      </c>
      <c r="U2884" s="569" t="s">
        <v>4881</v>
      </c>
      <c r="V2884" s="569">
        <v>169</v>
      </c>
      <c r="W2884" s="569">
        <v>40</v>
      </c>
      <c r="X2884" s="568">
        <v>14000</v>
      </c>
      <c r="Y2884" s="569" t="s">
        <v>164</v>
      </c>
      <c r="Z2884" s="581" t="s">
        <v>728</v>
      </c>
      <c r="AA2884" s="581" t="s">
        <v>1523</v>
      </c>
      <c r="AB2884" s="585">
        <v>49175</v>
      </c>
      <c r="AC2884" s="585" t="s">
        <v>164</v>
      </c>
      <c r="AD2884" s="585">
        <v>38500</v>
      </c>
      <c r="AE2884" s="587">
        <v>0.01</v>
      </c>
      <c r="AF2884" s="661" t="str">
        <f t="shared" si="311"/>
        <v>2019-LTK-FRD-F35C-030-15</v>
      </c>
      <c r="AG2884" s="661" t="str">
        <f>IF(AND($Y2884&gt;=32,(AI2884="I"),(Y2884&lt;&gt;"~"),(COUNTIF($AN$1:$AN2884,$AN2884)=1)),"TRUE","FALSE")</f>
        <v>FALSE</v>
      </c>
      <c r="AH2884" s="661" t="str">
        <f>IF(AND($Y2884&gt;=22, (AI2884&lt;&gt;"I"),(Y2884&lt;&gt;"~"),(COUNTIF($AN$1:$AN2884,$AN2884)=1)),"TRUE","FALSE")</f>
        <v>FALSE</v>
      </c>
      <c r="AI2884" s="661" t="str">
        <f t="shared" si="313"/>
        <v>N/A</v>
      </c>
      <c r="AJ2884" s="662" t="str">
        <f t="shared" si="314"/>
        <v>F35C-030</v>
      </c>
      <c r="AK2884" s="662" t="str">
        <f t="shared" si="315"/>
        <v>LTK</v>
      </c>
      <c r="AL2884" s="662" t="str">
        <f t="shared" si="316"/>
        <v>FRD</v>
      </c>
      <c r="AM2884" s="662" t="str">
        <f t="shared" si="312"/>
        <v>F350 Chassis Cab-Regular Cab XL DRW-4WD-3-~-12800-6.7L Diesel-8-F3H-640A-169-40-Diesel-BioDiesel</v>
      </c>
      <c r="AN2884" s="662" t="str">
        <f t="shared" si="317"/>
        <v>2019-LTK-FRD-F35C-030</v>
      </c>
    </row>
    <row r="2885" spans="1:40" ht="15">
      <c r="A2885" s="570" t="s">
        <v>5002</v>
      </c>
      <c r="B2885" s="573" t="s">
        <v>4997</v>
      </c>
      <c r="C2885" s="573" t="s">
        <v>278</v>
      </c>
      <c r="D2885" s="578">
        <v>15</v>
      </c>
      <c r="E2885" s="573" t="s">
        <v>3374</v>
      </c>
      <c r="F2885" s="573" t="s">
        <v>1684</v>
      </c>
      <c r="G2885" s="573" t="s">
        <v>271</v>
      </c>
      <c r="H2885" s="573">
        <v>2019</v>
      </c>
      <c r="I2885" s="573" t="s">
        <v>4879</v>
      </c>
      <c r="J2885" s="573" t="s">
        <v>4684</v>
      </c>
      <c r="K2885" s="573" t="s">
        <v>752</v>
      </c>
      <c r="L2885" s="573">
        <v>3</v>
      </c>
      <c r="M2885" s="573">
        <v>0</v>
      </c>
      <c r="N2885" s="573" t="s">
        <v>157</v>
      </c>
      <c r="O2885" s="573">
        <v>1</v>
      </c>
      <c r="P2885" s="573" t="s">
        <v>157</v>
      </c>
      <c r="Q2885" s="571">
        <v>12900</v>
      </c>
      <c r="R2885" s="573" t="s">
        <v>4235</v>
      </c>
      <c r="S2885" s="573">
        <v>8</v>
      </c>
      <c r="T2885" s="573" t="s">
        <v>4993</v>
      </c>
      <c r="U2885" s="573" t="s">
        <v>4881</v>
      </c>
      <c r="V2885" s="573">
        <v>145</v>
      </c>
      <c r="W2885" s="573">
        <v>40</v>
      </c>
      <c r="X2885" s="571">
        <v>14000</v>
      </c>
      <c r="Y2885" s="569" t="s">
        <v>164</v>
      </c>
      <c r="Z2885" s="579" t="s">
        <v>450</v>
      </c>
      <c r="AA2885" s="579" t="s">
        <v>178</v>
      </c>
      <c r="AB2885" s="584">
        <v>39875</v>
      </c>
      <c r="AC2885" s="584" t="s">
        <v>164</v>
      </c>
      <c r="AD2885" s="584">
        <v>29995</v>
      </c>
      <c r="AE2885" s="586">
        <v>0.01</v>
      </c>
      <c r="AF2885" s="661" t="str">
        <f t="shared" si="311"/>
        <v>2019-LTK-FRD-F35C-031-15</v>
      </c>
      <c r="AG2885" s="661" t="str">
        <f>IF(AND($Y2885&gt;=32,(AI2885="I"),(Y2885&lt;&gt;"~"),(COUNTIF($AN$1:$AN2885,$AN2885)=1)),"TRUE","FALSE")</f>
        <v>FALSE</v>
      </c>
      <c r="AH2885" s="661" t="str">
        <f>IF(AND($Y2885&gt;=22, (AI2885&lt;&gt;"I"),(Y2885&lt;&gt;"~"),(COUNTIF($AN$1:$AN2885,$AN2885)=1)),"TRUE","FALSE")</f>
        <v>FALSE</v>
      </c>
      <c r="AI2885" s="661" t="str">
        <f t="shared" si="313"/>
        <v>N/A</v>
      </c>
      <c r="AJ2885" s="662" t="str">
        <f t="shared" si="314"/>
        <v>F35C-031</v>
      </c>
      <c r="AK2885" s="662" t="str">
        <f t="shared" si="315"/>
        <v>LTK</v>
      </c>
      <c r="AL2885" s="662" t="str">
        <f t="shared" si="316"/>
        <v>FRD</v>
      </c>
      <c r="AM2885" s="662" t="str">
        <f t="shared" si="312"/>
        <v>F350 Chassis Cab-Regular Cab XL DRW-4WD-3-~-12900-6.2L FFV-8-F3H-640A-145-40-E85-Unleaded</v>
      </c>
      <c r="AN2885" s="662" t="str">
        <f t="shared" si="317"/>
        <v>2019-LTK-FRD-F35C-031</v>
      </c>
    </row>
    <row r="2886" spans="1:40" ht="15">
      <c r="A2886" s="570" t="s">
        <v>5003</v>
      </c>
      <c r="B2886" s="569" t="s">
        <v>4999</v>
      </c>
      <c r="C2886" s="569" t="s">
        <v>278</v>
      </c>
      <c r="D2886" s="580">
        <v>15</v>
      </c>
      <c r="E2886" s="569" t="s">
        <v>3374</v>
      </c>
      <c r="F2886" s="569" t="s">
        <v>1684</v>
      </c>
      <c r="G2886" s="569" t="s">
        <v>271</v>
      </c>
      <c r="H2886" s="569">
        <v>2019</v>
      </c>
      <c r="I2886" s="569" t="s">
        <v>4879</v>
      </c>
      <c r="J2886" s="569" t="s">
        <v>4684</v>
      </c>
      <c r="K2886" s="569" t="s">
        <v>752</v>
      </c>
      <c r="L2886" s="569">
        <v>3</v>
      </c>
      <c r="M2886" s="569">
        <v>0</v>
      </c>
      <c r="N2886" s="569" t="s">
        <v>157</v>
      </c>
      <c r="O2886" s="569">
        <v>1</v>
      </c>
      <c r="P2886" s="569" t="s">
        <v>157</v>
      </c>
      <c r="Q2886" s="568">
        <v>12900</v>
      </c>
      <c r="R2886" s="569" t="s">
        <v>4231</v>
      </c>
      <c r="S2886" s="569">
        <v>8</v>
      </c>
      <c r="T2886" s="569" t="s">
        <v>4993</v>
      </c>
      <c r="U2886" s="569" t="s">
        <v>4881</v>
      </c>
      <c r="V2886" s="569">
        <v>145</v>
      </c>
      <c r="W2886" s="569">
        <v>40</v>
      </c>
      <c r="X2886" s="568">
        <v>14000</v>
      </c>
      <c r="Y2886" s="569" t="s">
        <v>164</v>
      </c>
      <c r="Z2886" s="581" t="s">
        <v>728</v>
      </c>
      <c r="AA2886" s="581" t="s">
        <v>1523</v>
      </c>
      <c r="AB2886" s="585">
        <v>48995</v>
      </c>
      <c r="AC2886" s="585" t="s">
        <v>164</v>
      </c>
      <c r="AD2886" s="585">
        <v>38300</v>
      </c>
      <c r="AE2886" s="587">
        <v>0.01</v>
      </c>
      <c r="AF2886" s="661" t="str">
        <f t="shared" si="311"/>
        <v>2019-LTK-FRD-F35C-033-15</v>
      </c>
      <c r="AG2886" s="661" t="str">
        <f>IF(AND($Y2886&gt;=32,(AI2886="I"),(Y2886&lt;&gt;"~"),(COUNTIF($AN$1:$AN2886,$AN2886)=1)),"TRUE","FALSE")</f>
        <v>FALSE</v>
      </c>
      <c r="AH2886" s="661" t="str">
        <f>IF(AND($Y2886&gt;=22, (AI2886&lt;&gt;"I"),(Y2886&lt;&gt;"~"),(COUNTIF($AN$1:$AN2886,$AN2886)=1)),"TRUE","FALSE")</f>
        <v>FALSE</v>
      </c>
      <c r="AI2886" s="661" t="str">
        <f t="shared" si="313"/>
        <v>N/A</v>
      </c>
      <c r="AJ2886" s="662" t="str">
        <f t="shared" si="314"/>
        <v>F35C-033</v>
      </c>
      <c r="AK2886" s="662" t="str">
        <f t="shared" si="315"/>
        <v>LTK</v>
      </c>
      <c r="AL2886" s="662" t="str">
        <f t="shared" si="316"/>
        <v>FRD</v>
      </c>
      <c r="AM2886" s="662" t="str">
        <f t="shared" si="312"/>
        <v>F350 Chassis Cab-Regular Cab XL DRW-4WD-3-~-12900-6.7L Diesel-8-F3H-640A-145-40-Diesel-BioDiesel</v>
      </c>
      <c r="AN2886" s="662" t="str">
        <f t="shared" si="317"/>
        <v>2019-LTK-FRD-F35C-033</v>
      </c>
    </row>
    <row r="2887" spans="1:40" ht="15">
      <c r="A2887" s="570" t="s">
        <v>5004</v>
      </c>
      <c r="B2887" s="573" t="s">
        <v>4992</v>
      </c>
      <c r="C2887" s="573" t="s">
        <v>287</v>
      </c>
      <c r="D2887" s="578">
        <v>26</v>
      </c>
      <c r="E2887" s="573" t="s">
        <v>3374</v>
      </c>
      <c r="F2887" s="573" t="s">
        <v>1684</v>
      </c>
      <c r="G2887" s="573" t="s">
        <v>271</v>
      </c>
      <c r="H2887" s="573">
        <v>2019</v>
      </c>
      <c r="I2887" s="573" t="s">
        <v>4879</v>
      </c>
      <c r="J2887" s="573" t="s">
        <v>4684</v>
      </c>
      <c r="K2887" s="573" t="s">
        <v>752</v>
      </c>
      <c r="L2887" s="573">
        <v>3</v>
      </c>
      <c r="M2887" s="573">
        <v>0</v>
      </c>
      <c r="N2887" s="573" t="s">
        <v>157</v>
      </c>
      <c r="O2887" s="573">
        <v>1</v>
      </c>
      <c r="P2887" s="573" t="s">
        <v>157</v>
      </c>
      <c r="Q2887" s="571">
        <v>12800</v>
      </c>
      <c r="R2887" s="573" t="s">
        <v>4235</v>
      </c>
      <c r="S2887" s="573">
        <v>8</v>
      </c>
      <c r="T2887" s="573" t="s">
        <v>4993</v>
      </c>
      <c r="U2887" s="573" t="s">
        <v>4881</v>
      </c>
      <c r="V2887" s="573">
        <v>169</v>
      </c>
      <c r="W2887" s="573">
        <v>40</v>
      </c>
      <c r="X2887" s="571">
        <v>14000</v>
      </c>
      <c r="Y2887" s="569" t="s">
        <v>164</v>
      </c>
      <c r="Z2887" s="579" t="s">
        <v>450</v>
      </c>
      <c r="AA2887" s="579" t="s">
        <v>178</v>
      </c>
      <c r="AB2887" s="584">
        <v>39690</v>
      </c>
      <c r="AC2887" s="584" t="s">
        <v>164</v>
      </c>
      <c r="AD2887" s="584">
        <v>30315</v>
      </c>
      <c r="AE2887" s="586">
        <v>0.05</v>
      </c>
      <c r="AF2887" s="661" t="str">
        <f t="shared" si="311"/>
        <v>2019-LTK-FRD-F35C-028-26</v>
      </c>
      <c r="AG2887" s="661" t="str">
        <f>IF(AND($Y2887&gt;=32,(AI2887="I"),(Y2887&lt;&gt;"~"),(COUNTIF($AN$1:$AN2887,$AN2887)=1)),"TRUE","FALSE")</f>
        <v>FALSE</v>
      </c>
      <c r="AH2887" s="661" t="str">
        <f>IF(AND($Y2887&gt;=22, (AI2887&lt;&gt;"I"),(Y2887&lt;&gt;"~"),(COUNTIF($AN$1:$AN2887,$AN2887)=1)),"TRUE","FALSE")</f>
        <v>FALSE</v>
      </c>
      <c r="AI2887" s="661" t="str">
        <f t="shared" si="313"/>
        <v>N/A</v>
      </c>
      <c r="AJ2887" s="662" t="str">
        <f t="shared" si="314"/>
        <v>F35C-028</v>
      </c>
      <c r="AK2887" s="662" t="str">
        <f t="shared" si="315"/>
        <v>LTK</v>
      </c>
      <c r="AL2887" s="662" t="str">
        <f t="shared" si="316"/>
        <v>FRD</v>
      </c>
      <c r="AM2887" s="662" t="str">
        <f t="shared" si="312"/>
        <v>F350 Chassis Cab-Regular Cab XL DRW-4WD-3-~-12800-6.2L FFV-8-F3H-640A-169-40-E85-Unleaded</v>
      </c>
      <c r="AN2887" s="662" t="str">
        <f t="shared" si="317"/>
        <v>2019-LTK-FRD-F35C-028</v>
      </c>
    </row>
    <row r="2888" spans="1:40" ht="15">
      <c r="A2888" s="570" t="s">
        <v>5005</v>
      </c>
      <c r="B2888" s="569" t="s">
        <v>4995</v>
      </c>
      <c r="C2888" s="569" t="s">
        <v>287</v>
      </c>
      <c r="D2888" s="580">
        <v>26</v>
      </c>
      <c r="E2888" s="569" t="s">
        <v>3374</v>
      </c>
      <c r="F2888" s="569" t="s">
        <v>1684</v>
      </c>
      <c r="G2888" s="569" t="s">
        <v>271</v>
      </c>
      <c r="H2888" s="569">
        <v>2019</v>
      </c>
      <c r="I2888" s="569" t="s">
        <v>4879</v>
      </c>
      <c r="J2888" s="569" t="s">
        <v>4684</v>
      </c>
      <c r="K2888" s="569" t="s">
        <v>752</v>
      </c>
      <c r="L2888" s="569">
        <v>3</v>
      </c>
      <c r="M2888" s="569">
        <v>0</v>
      </c>
      <c r="N2888" s="569" t="s">
        <v>157</v>
      </c>
      <c r="O2888" s="569">
        <v>1</v>
      </c>
      <c r="P2888" s="569" t="s">
        <v>157</v>
      </c>
      <c r="Q2888" s="568">
        <v>12800</v>
      </c>
      <c r="R2888" s="569" t="s">
        <v>4231</v>
      </c>
      <c r="S2888" s="569">
        <v>8</v>
      </c>
      <c r="T2888" s="569" t="s">
        <v>4993</v>
      </c>
      <c r="U2888" s="569" t="s">
        <v>4881</v>
      </c>
      <c r="V2888" s="569">
        <v>169</v>
      </c>
      <c r="W2888" s="569">
        <v>40</v>
      </c>
      <c r="X2888" s="568">
        <v>14000</v>
      </c>
      <c r="Y2888" s="569" t="s">
        <v>164</v>
      </c>
      <c r="Z2888" s="581" t="s">
        <v>728</v>
      </c>
      <c r="AA2888" s="581" t="s">
        <v>1523</v>
      </c>
      <c r="AB2888" s="585">
        <v>48685</v>
      </c>
      <c r="AC2888" s="585" t="s">
        <v>164</v>
      </c>
      <c r="AD2888" s="585">
        <v>38509</v>
      </c>
      <c r="AE2888" s="587">
        <v>0.05</v>
      </c>
      <c r="AF2888" s="661" t="str">
        <f t="shared" si="311"/>
        <v>2019-LTK-FRD-F35C-030-26</v>
      </c>
      <c r="AG2888" s="661" t="str">
        <f>IF(AND($Y2888&gt;=32,(AI2888="I"),(Y2888&lt;&gt;"~"),(COUNTIF($AN$1:$AN2888,$AN2888)=1)),"TRUE","FALSE")</f>
        <v>FALSE</v>
      </c>
      <c r="AH2888" s="661" t="str">
        <f>IF(AND($Y2888&gt;=22, (AI2888&lt;&gt;"I"),(Y2888&lt;&gt;"~"),(COUNTIF($AN$1:$AN2888,$AN2888)=1)),"TRUE","FALSE")</f>
        <v>FALSE</v>
      </c>
      <c r="AI2888" s="661" t="str">
        <f t="shared" si="313"/>
        <v>N/A</v>
      </c>
      <c r="AJ2888" s="662" t="str">
        <f t="shared" si="314"/>
        <v>F35C-030</v>
      </c>
      <c r="AK2888" s="662" t="str">
        <f t="shared" si="315"/>
        <v>LTK</v>
      </c>
      <c r="AL2888" s="662" t="str">
        <f t="shared" si="316"/>
        <v>FRD</v>
      </c>
      <c r="AM2888" s="662" t="str">
        <f t="shared" si="312"/>
        <v>F350 Chassis Cab-Regular Cab XL DRW-4WD-3-~-12800-6.7L Diesel-8-F3H-640A-169-40-Diesel-BioDiesel</v>
      </c>
      <c r="AN2888" s="662" t="str">
        <f t="shared" si="317"/>
        <v>2019-LTK-FRD-F35C-030</v>
      </c>
    </row>
    <row r="2889" spans="1:40" ht="15">
      <c r="A2889" s="570" t="s">
        <v>5006</v>
      </c>
      <c r="B2889" s="573" t="s">
        <v>4997</v>
      </c>
      <c r="C2889" s="573" t="s">
        <v>287</v>
      </c>
      <c r="D2889" s="578">
        <v>26</v>
      </c>
      <c r="E2889" s="573" t="s">
        <v>3374</v>
      </c>
      <c r="F2889" s="573" t="s">
        <v>1684</v>
      </c>
      <c r="G2889" s="573" t="s">
        <v>271</v>
      </c>
      <c r="H2889" s="573">
        <v>2019</v>
      </c>
      <c r="I2889" s="573" t="s">
        <v>4879</v>
      </c>
      <c r="J2889" s="573" t="s">
        <v>4684</v>
      </c>
      <c r="K2889" s="573" t="s">
        <v>752</v>
      </c>
      <c r="L2889" s="573">
        <v>3</v>
      </c>
      <c r="M2889" s="573">
        <v>0</v>
      </c>
      <c r="N2889" s="573" t="s">
        <v>157</v>
      </c>
      <c r="O2889" s="573">
        <v>1</v>
      </c>
      <c r="P2889" s="573" t="s">
        <v>157</v>
      </c>
      <c r="Q2889" s="571">
        <v>12900</v>
      </c>
      <c r="R2889" s="573" t="s">
        <v>4235</v>
      </c>
      <c r="S2889" s="573">
        <v>8</v>
      </c>
      <c r="T2889" s="573" t="s">
        <v>4993</v>
      </c>
      <c r="U2889" s="573" t="s">
        <v>4881</v>
      </c>
      <c r="V2889" s="573">
        <v>145</v>
      </c>
      <c r="W2889" s="573">
        <v>40</v>
      </c>
      <c r="X2889" s="571">
        <v>14000</v>
      </c>
      <c r="Y2889" s="569" t="s">
        <v>164</v>
      </c>
      <c r="Z2889" s="579" t="s">
        <v>450</v>
      </c>
      <c r="AA2889" s="579" t="s">
        <v>178</v>
      </c>
      <c r="AB2889" s="584">
        <v>39875</v>
      </c>
      <c r="AC2889" s="584" t="s">
        <v>164</v>
      </c>
      <c r="AD2889" s="584">
        <v>30147</v>
      </c>
      <c r="AE2889" s="586">
        <v>0.05</v>
      </c>
      <c r="AF2889" s="661" t="str">
        <f t="shared" si="311"/>
        <v>2019-LTK-FRD-F35C-031-26</v>
      </c>
      <c r="AG2889" s="661" t="str">
        <f>IF(AND($Y2889&gt;=32,(AI2889="I"),(Y2889&lt;&gt;"~"),(COUNTIF($AN$1:$AN2889,$AN2889)=1)),"TRUE","FALSE")</f>
        <v>FALSE</v>
      </c>
      <c r="AH2889" s="661" t="str">
        <f>IF(AND($Y2889&gt;=22, (AI2889&lt;&gt;"I"),(Y2889&lt;&gt;"~"),(COUNTIF($AN$1:$AN2889,$AN2889)=1)),"TRUE","FALSE")</f>
        <v>FALSE</v>
      </c>
      <c r="AI2889" s="661" t="str">
        <f t="shared" si="313"/>
        <v>N/A</v>
      </c>
      <c r="AJ2889" s="662" t="str">
        <f t="shared" si="314"/>
        <v>F35C-031</v>
      </c>
      <c r="AK2889" s="662" t="str">
        <f t="shared" si="315"/>
        <v>LTK</v>
      </c>
      <c r="AL2889" s="662" t="str">
        <f t="shared" si="316"/>
        <v>FRD</v>
      </c>
      <c r="AM2889" s="662" t="str">
        <f t="shared" si="312"/>
        <v>F350 Chassis Cab-Regular Cab XL DRW-4WD-3-~-12900-6.2L FFV-8-F3H-640A-145-40-E85-Unleaded</v>
      </c>
      <c r="AN2889" s="662" t="str">
        <f t="shared" si="317"/>
        <v>2019-LTK-FRD-F35C-031</v>
      </c>
    </row>
    <row r="2890" spans="1:40" ht="15">
      <c r="A2890" s="570" t="s">
        <v>5007</v>
      </c>
      <c r="B2890" s="569" t="s">
        <v>4999</v>
      </c>
      <c r="C2890" s="569" t="s">
        <v>287</v>
      </c>
      <c r="D2890" s="580">
        <v>26</v>
      </c>
      <c r="E2890" s="569" t="s">
        <v>3374</v>
      </c>
      <c r="F2890" s="569" t="s">
        <v>1684</v>
      </c>
      <c r="G2890" s="569" t="s">
        <v>271</v>
      </c>
      <c r="H2890" s="569">
        <v>2019</v>
      </c>
      <c r="I2890" s="569" t="s">
        <v>4879</v>
      </c>
      <c r="J2890" s="569" t="s">
        <v>4684</v>
      </c>
      <c r="K2890" s="569" t="s">
        <v>752</v>
      </c>
      <c r="L2890" s="569">
        <v>3</v>
      </c>
      <c r="M2890" s="569">
        <v>0</v>
      </c>
      <c r="N2890" s="569" t="s">
        <v>157</v>
      </c>
      <c r="O2890" s="569">
        <v>1</v>
      </c>
      <c r="P2890" s="569" t="s">
        <v>157</v>
      </c>
      <c r="Q2890" s="568">
        <v>12900</v>
      </c>
      <c r="R2890" s="569" t="s">
        <v>4231</v>
      </c>
      <c r="S2890" s="569">
        <v>8</v>
      </c>
      <c r="T2890" s="569" t="s">
        <v>4993</v>
      </c>
      <c r="U2890" s="569" t="s">
        <v>4881</v>
      </c>
      <c r="V2890" s="569">
        <v>145</v>
      </c>
      <c r="W2890" s="569">
        <v>40</v>
      </c>
      <c r="X2890" s="568">
        <v>14000</v>
      </c>
      <c r="Y2890" s="569" t="s">
        <v>164</v>
      </c>
      <c r="Z2890" s="581" t="s">
        <v>728</v>
      </c>
      <c r="AA2890" s="581" t="s">
        <v>1523</v>
      </c>
      <c r="AB2890" s="585">
        <v>48995</v>
      </c>
      <c r="AC2890" s="585" t="s">
        <v>164</v>
      </c>
      <c r="AD2890" s="585">
        <v>38341</v>
      </c>
      <c r="AE2890" s="587">
        <v>0.05</v>
      </c>
      <c r="AF2890" s="661" t="str">
        <f t="shared" si="311"/>
        <v>2019-LTK-FRD-F35C-033-26</v>
      </c>
      <c r="AG2890" s="661" t="str">
        <f>IF(AND($Y2890&gt;=32,(AI2890="I"),(Y2890&lt;&gt;"~"),(COUNTIF($AN$1:$AN2890,$AN2890)=1)),"TRUE","FALSE")</f>
        <v>FALSE</v>
      </c>
      <c r="AH2890" s="661" t="str">
        <f>IF(AND($Y2890&gt;=22, (AI2890&lt;&gt;"I"),(Y2890&lt;&gt;"~"),(COUNTIF($AN$1:$AN2890,$AN2890)=1)),"TRUE","FALSE")</f>
        <v>FALSE</v>
      </c>
      <c r="AI2890" s="661" t="str">
        <f t="shared" si="313"/>
        <v>N/A</v>
      </c>
      <c r="AJ2890" s="662" t="str">
        <f t="shared" si="314"/>
        <v>F35C-033</v>
      </c>
      <c r="AK2890" s="662" t="str">
        <f t="shared" si="315"/>
        <v>LTK</v>
      </c>
      <c r="AL2890" s="662" t="str">
        <f t="shared" si="316"/>
        <v>FRD</v>
      </c>
      <c r="AM2890" s="662" t="str">
        <f t="shared" si="312"/>
        <v>F350 Chassis Cab-Regular Cab XL DRW-4WD-3-~-12900-6.7L Diesel-8-F3H-640A-145-40-Diesel-BioDiesel</v>
      </c>
      <c r="AN2890" s="662" t="str">
        <f t="shared" si="317"/>
        <v>2019-LTK-FRD-F35C-033</v>
      </c>
    </row>
    <row r="2891" spans="1:40" ht="15">
      <c r="A2891" s="570" t="s">
        <v>5008</v>
      </c>
      <c r="B2891" s="573" t="s">
        <v>4992</v>
      </c>
      <c r="C2891" s="573" t="s">
        <v>280</v>
      </c>
      <c r="D2891" s="578">
        <v>27</v>
      </c>
      <c r="E2891" s="573" t="s">
        <v>3374</v>
      </c>
      <c r="F2891" s="573" t="s">
        <v>1684</v>
      </c>
      <c r="G2891" s="573" t="s">
        <v>271</v>
      </c>
      <c r="H2891" s="573">
        <v>2019</v>
      </c>
      <c r="I2891" s="573" t="s">
        <v>4879</v>
      </c>
      <c r="J2891" s="573" t="s">
        <v>4684</v>
      </c>
      <c r="K2891" s="573" t="s">
        <v>752</v>
      </c>
      <c r="L2891" s="573">
        <v>3</v>
      </c>
      <c r="M2891" s="573">
        <v>0</v>
      </c>
      <c r="N2891" s="573" t="s">
        <v>157</v>
      </c>
      <c r="O2891" s="573">
        <v>1</v>
      </c>
      <c r="P2891" s="573" t="s">
        <v>157</v>
      </c>
      <c r="Q2891" s="571">
        <v>12740</v>
      </c>
      <c r="R2891" s="573" t="s">
        <v>4235</v>
      </c>
      <c r="S2891" s="573">
        <v>8</v>
      </c>
      <c r="T2891" s="573" t="s">
        <v>4993</v>
      </c>
      <c r="U2891" s="573" t="s">
        <v>4881</v>
      </c>
      <c r="V2891" s="573">
        <v>169</v>
      </c>
      <c r="W2891" s="573">
        <v>40</v>
      </c>
      <c r="X2891" s="571">
        <v>14000</v>
      </c>
      <c r="Y2891" s="569" t="s">
        <v>164</v>
      </c>
      <c r="Z2891" s="579" t="s">
        <v>450</v>
      </c>
      <c r="AA2891" s="579" t="s">
        <v>178</v>
      </c>
      <c r="AB2891" s="584">
        <v>40055</v>
      </c>
      <c r="AC2891" s="584" t="s">
        <v>164</v>
      </c>
      <c r="AD2891" s="584">
        <v>30062.863157894739</v>
      </c>
      <c r="AE2891" s="586">
        <v>0.03</v>
      </c>
      <c r="AF2891" s="661" t="str">
        <f t="shared" si="311"/>
        <v>2019-LTK-FRD-F35C-028-27</v>
      </c>
      <c r="AG2891" s="661" t="str">
        <f>IF(AND($Y2891&gt;=32,(AI2891="I"),(Y2891&lt;&gt;"~"),(COUNTIF($AN$1:$AN2891,$AN2891)=1)),"TRUE","FALSE")</f>
        <v>FALSE</v>
      </c>
      <c r="AH2891" s="661" t="str">
        <f>IF(AND($Y2891&gt;=22, (AI2891&lt;&gt;"I"),(Y2891&lt;&gt;"~"),(COUNTIF($AN$1:$AN2891,$AN2891)=1)),"TRUE","FALSE")</f>
        <v>FALSE</v>
      </c>
      <c r="AI2891" s="661" t="str">
        <f t="shared" si="313"/>
        <v>N/A</v>
      </c>
      <c r="AJ2891" s="662" t="str">
        <f t="shared" si="314"/>
        <v>F35C-028</v>
      </c>
      <c r="AK2891" s="662" t="str">
        <f t="shared" si="315"/>
        <v>LTK</v>
      </c>
      <c r="AL2891" s="662" t="str">
        <f t="shared" si="316"/>
        <v>FRD</v>
      </c>
      <c r="AM2891" s="662" t="str">
        <f t="shared" si="312"/>
        <v>F350 Chassis Cab-Regular Cab XL DRW-4WD-3-~-12740-6.2L FFV-8-F3H-640A-169-40-E85-Unleaded</v>
      </c>
      <c r="AN2891" s="662" t="str">
        <f t="shared" si="317"/>
        <v>2019-LTK-FRD-F35C-028</v>
      </c>
    </row>
    <row r="2892" spans="1:40" ht="15">
      <c r="A2892" s="570" t="s">
        <v>5009</v>
      </c>
      <c r="B2892" s="569" t="s">
        <v>4995</v>
      </c>
      <c r="C2892" s="569" t="s">
        <v>280</v>
      </c>
      <c r="D2892" s="580">
        <v>27</v>
      </c>
      <c r="E2892" s="569" t="s">
        <v>3374</v>
      </c>
      <c r="F2892" s="569" t="s">
        <v>1684</v>
      </c>
      <c r="G2892" s="569" t="s">
        <v>271</v>
      </c>
      <c r="H2892" s="569">
        <v>2019</v>
      </c>
      <c r="I2892" s="569" t="s">
        <v>4879</v>
      </c>
      <c r="J2892" s="569" t="s">
        <v>4684</v>
      </c>
      <c r="K2892" s="569" t="s">
        <v>752</v>
      </c>
      <c r="L2892" s="569">
        <v>3</v>
      </c>
      <c r="M2892" s="569">
        <v>0</v>
      </c>
      <c r="N2892" s="569" t="s">
        <v>157</v>
      </c>
      <c r="O2892" s="569">
        <v>1</v>
      </c>
      <c r="P2892" s="569" t="s">
        <v>157</v>
      </c>
      <c r="Q2892" s="568">
        <v>12740</v>
      </c>
      <c r="R2892" s="569" t="s">
        <v>4231</v>
      </c>
      <c r="S2892" s="569">
        <v>8</v>
      </c>
      <c r="T2892" s="569" t="s">
        <v>4993</v>
      </c>
      <c r="U2892" s="569" t="s">
        <v>4881</v>
      </c>
      <c r="V2892" s="569">
        <v>169</v>
      </c>
      <c r="W2892" s="569">
        <v>40</v>
      </c>
      <c r="X2892" s="568">
        <v>14000</v>
      </c>
      <c r="Y2892" s="569" t="s">
        <v>164</v>
      </c>
      <c r="Z2892" s="581" t="s">
        <v>728</v>
      </c>
      <c r="AA2892" s="581" t="s">
        <v>1523</v>
      </c>
      <c r="AB2892" s="585">
        <v>49175</v>
      </c>
      <c r="AC2892" s="585" t="s">
        <v>164</v>
      </c>
      <c r="AD2892" s="585">
        <v>38255.052631578954</v>
      </c>
      <c r="AE2892" s="587">
        <v>0.03</v>
      </c>
      <c r="AF2892" s="661" t="str">
        <f t="shared" ref="AF2892:AF2955" si="318">A2892</f>
        <v>2019-LTK-FRD-F35C-030-27</v>
      </c>
      <c r="AG2892" s="661" t="str">
        <f>IF(AND($Y2892&gt;=32,(AI2892="I"),(Y2892&lt;&gt;"~"),(COUNTIF($AN$1:$AN2892,$AN2892)=1)),"TRUE","FALSE")</f>
        <v>FALSE</v>
      </c>
      <c r="AH2892" s="661" t="str">
        <f>IF(AND($Y2892&gt;=22, (AI2892&lt;&gt;"I"),(Y2892&lt;&gt;"~"),(COUNTIF($AN$1:$AN2892,$AN2892)=1)),"TRUE","FALSE")</f>
        <v>FALSE</v>
      </c>
      <c r="AI2892" s="661" t="str">
        <f t="shared" si="313"/>
        <v>N/A</v>
      </c>
      <c r="AJ2892" s="662" t="str">
        <f t="shared" si="314"/>
        <v>F35C-030</v>
      </c>
      <c r="AK2892" s="662" t="str">
        <f t="shared" si="315"/>
        <v>LTK</v>
      </c>
      <c r="AL2892" s="662" t="str">
        <f t="shared" si="316"/>
        <v>FRD</v>
      </c>
      <c r="AM2892" s="662" t="str">
        <f t="shared" si="312"/>
        <v>F350 Chassis Cab-Regular Cab XL DRW-4WD-3-~-12740-6.7L Diesel-8-F3H-640A-169-40-Diesel-BioDiesel</v>
      </c>
      <c r="AN2892" s="662" t="str">
        <f t="shared" si="317"/>
        <v>2019-LTK-FRD-F35C-030</v>
      </c>
    </row>
    <row r="2893" spans="1:40" ht="15">
      <c r="A2893" s="570" t="s">
        <v>5010</v>
      </c>
      <c r="B2893" s="573" t="s">
        <v>4997</v>
      </c>
      <c r="C2893" s="573" t="s">
        <v>280</v>
      </c>
      <c r="D2893" s="578">
        <v>27</v>
      </c>
      <c r="E2893" s="573" t="s">
        <v>3374</v>
      </c>
      <c r="F2893" s="573" t="s">
        <v>1684</v>
      </c>
      <c r="G2893" s="573" t="s">
        <v>271</v>
      </c>
      <c r="H2893" s="573">
        <v>2019</v>
      </c>
      <c r="I2893" s="573" t="s">
        <v>4879</v>
      </c>
      <c r="J2893" s="573" t="s">
        <v>4684</v>
      </c>
      <c r="K2893" s="573" t="s">
        <v>752</v>
      </c>
      <c r="L2893" s="573">
        <v>3</v>
      </c>
      <c r="M2893" s="573">
        <v>0</v>
      </c>
      <c r="N2893" s="573" t="s">
        <v>157</v>
      </c>
      <c r="O2893" s="573">
        <v>1</v>
      </c>
      <c r="P2893" s="573" t="s">
        <v>157</v>
      </c>
      <c r="Q2893" s="571">
        <v>12900</v>
      </c>
      <c r="R2893" s="573" t="s">
        <v>4235</v>
      </c>
      <c r="S2893" s="573">
        <v>8</v>
      </c>
      <c r="T2893" s="573" t="s">
        <v>4993</v>
      </c>
      <c r="U2893" s="573" t="s">
        <v>4881</v>
      </c>
      <c r="V2893" s="573">
        <v>145</v>
      </c>
      <c r="W2893" s="573">
        <v>40</v>
      </c>
      <c r="X2893" s="571">
        <v>14000</v>
      </c>
      <c r="Y2893" s="569" t="s">
        <v>164</v>
      </c>
      <c r="Z2893" s="579" t="s">
        <v>450</v>
      </c>
      <c r="AA2893" s="579" t="s">
        <v>178</v>
      </c>
      <c r="AB2893" s="584">
        <v>39875</v>
      </c>
      <c r="AC2893" s="584" t="s">
        <v>164</v>
      </c>
      <c r="AD2893" s="584">
        <v>29896.547368421056</v>
      </c>
      <c r="AE2893" s="586">
        <v>0.03</v>
      </c>
      <c r="AF2893" s="661" t="str">
        <f t="shared" si="318"/>
        <v>2019-LTK-FRD-F35C-031-27</v>
      </c>
      <c r="AG2893" s="661" t="str">
        <f>IF(AND($Y2893&gt;=32,(AI2893="I"),(Y2893&lt;&gt;"~"),(COUNTIF($AN$1:$AN2893,$AN2893)=1)),"TRUE","FALSE")</f>
        <v>FALSE</v>
      </c>
      <c r="AH2893" s="661" t="str">
        <f>IF(AND($Y2893&gt;=22, (AI2893&lt;&gt;"I"),(Y2893&lt;&gt;"~"),(COUNTIF($AN$1:$AN2893,$AN2893)=1)),"TRUE","FALSE")</f>
        <v>FALSE</v>
      </c>
      <c r="AI2893" s="661" t="str">
        <f t="shared" si="313"/>
        <v>N/A</v>
      </c>
      <c r="AJ2893" s="662" t="str">
        <f t="shared" si="314"/>
        <v>F35C-031</v>
      </c>
      <c r="AK2893" s="662" t="str">
        <f t="shared" si="315"/>
        <v>LTK</v>
      </c>
      <c r="AL2893" s="662" t="str">
        <f t="shared" si="316"/>
        <v>FRD</v>
      </c>
      <c r="AM2893" s="662" t="str">
        <f t="shared" si="312"/>
        <v>F350 Chassis Cab-Regular Cab XL DRW-4WD-3-~-12900-6.2L FFV-8-F3H-640A-145-40-E85-Unleaded</v>
      </c>
      <c r="AN2893" s="662" t="str">
        <f t="shared" si="317"/>
        <v>2019-LTK-FRD-F35C-031</v>
      </c>
    </row>
    <row r="2894" spans="1:40" ht="15">
      <c r="A2894" s="570" t="s">
        <v>5011</v>
      </c>
      <c r="B2894" s="569" t="s">
        <v>4999</v>
      </c>
      <c r="C2894" s="569" t="s">
        <v>280</v>
      </c>
      <c r="D2894" s="580">
        <v>27</v>
      </c>
      <c r="E2894" s="569" t="s">
        <v>3374</v>
      </c>
      <c r="F2894" s="569" t="s">
        <v>1684</v>
      </c>
      <c r="G2894" s="569" t="s">
        <v>271</v>
      </c>
      <c r="H2894" s="569">
        <v>2019</v>
      </c>
      <c r="I2894" s="569" t="s">
        <v>4879</v>
      </c>
      <c r="J2894" s="569" t="s">
        <v>4684</v>
      </c>
      <c r="K2894" s="569" t="s">
        <v>752</v>
      </c>
      <c r="L2894" s="569">
        <v>3</v>
      </c>
      <c r="M2894" s="569">
        <v>0</v>
      </c>
      <c r="N2894" s="569" t="s">
        <v>157</v>
      </c>
      <c r="O2894" s="569">
        <v>1</v>
      </c>
      <c r="P2894" s="569" t="s">
        <v>157</v>
      </c>
      <c r="Q2894" s="568">
        <v>12900</v>
      </c>
      <c r="R2894" s="569" t="s">
        <v>4231</v>
      </c>
      <c r="S2894" s="569">
        <v>8</v>
      </c>
      <c r="T2894" s="569" t="s">
        <v>4993</v>
      </c>
      <c r="U2894" s="569" t="s">
        <v>4881</v>
      </c>
      <c r="V2894" s="569">
        <v>145</v>
      </c>
      <c r="W2894" s="569">
        <v>40</v>
      </c>
      <c r="X2894" s="568">
        <v>14000</v>
      </c>
      <c r="Y2894" s="569" t="s">
        <v>164</v>
      </c>
      <c r="Z2894" s="581" t="s">
        <v>728</v>
      </c>
      <c r="AA2894" s="581" t="s">
        <v>1523</v>
      </c>
      <c r="AB2894" s="585">
        <v>48995</v>
      </c>
      <c r="AC2894" s="585" t="s">
        <v>164</v>
      </c>
      <c r="AD2894" s="585">
        <v>38088.736842105267</v>
      </c>
      <c r="AE2894" s="587">
        <v>0.03</v>
      </c>
      <c r="AF2894" s="661" t="str">
        <f t="shared" si="318"/>
        <v>2019-LTK-FRD-F35C-033-27</v>
      </c>
      <c r="AG2894" s="661" t="str">
        <f>IF(AND($Y2894&gt;=32,(AI2894="I"),(Y2894&lt;&gt;"~"),(COUNTIF($AN$1:$AN2894,$AN2894)=1)),"TRUE","FALSE")</f>
        <v>FALSE</v>
      </c>
      <c r="AH2894" s="661" t="str">
        <f>IF(AND($Y2894&gt;=22, (AI2894&lt;&gt;"I"),(Y2894&lt;&gt;"~"),(COUNTIF($AN$1:$AN2894,$AN2894)=1)),"TRUE","FALSE")</f>
        <v>FALSE</v>
      </c>
      <c r="AI2894" s="661" t="str">
        <f t="shared" si="313"/>
        <v>N/A</v>
      </c>
      <c r="AJ2894" s="662" t="str">
        <f t="shared" si="314"/>
        <v>F35C-033</v>
      </c>
      <c r="AK2894" s="662" t="str">
        <f t="shared" si="315"/>
        <v>LTK</v>
      </c>
      <c r="AL2894" s="662" t="str">
        <f t="shared" si="316"/>
        <v>FRD</v>
      </c>
      <c r="AM2894" s="662" t="str">
        <f t="shared" si="312"/>
        <v>F350 Chassis Cab-Regular Cab XL DRW-4WD-3-~-12900-6.7L Diesel-8-F3H-640A-145-40-Diesel-BioDiesel</v>
      </c>
      <c r="AN2894" s="662" t="str">
        <f t="shared" si="317"/>
        <v>2019-LTK-FRD-F35C-033</v>
      </c>
    </row>
    <row r="2895" spans="1:40" ht="15">
      <c r="A2895" s="570" t="s">
        <v>5012</v>
      </c>
      <c r="B2895" s="573" t="s">
        <v>5013</v>
      </c>
      <c r="C2895" s="573" t="s">
        <v>269</v>
      </c>
      <c r="D2895" s="578" t="s">
        <v>270</v>
      </c>
      <c r="E2895" s="573" t="s">
        <v>3374</v>
      </c>
      <c r="F2895" s="573" t="s">
        <v>1684</v>
      </c>
      <c r="G2895" s="573" t="s">
        <v>271</v>
      </c>
      <c r="H2895" s="573">
        <v>2019</v>
      </c>
      <c r="I2895" s="573" t="s">
        <v>4879</v>
      </c>
      <c r="J2895" s="573" t="s">
        <v>5014</v>
      </c>
      <c r="K2895" s="573" t="s">
        <v>3377</v>
      </c>
      <c r="L2895" s="573">
        <v>3</v>
      </c>
      <c r="M2895" s="573">
        <v>0</v>
      </c>
      <c r="N2895" s="573" t="s">
        <v>157</v>
      </c>
      <c r="O2895" s="573">
        <v>1</v>
      </c>
      <c r="P2895" s="573" t="s">
        <v>157</v>
      </c>
      <c r="Q2895" s="571">
        <v>13100</v>
      </c>
      <c r="R2895" s="573" t="s">
        <v>4235</v>
      </c>
      <c r="S2895" s="573">
        <v>8</v>
      </c>
      <c r="T2895" s="573" t="s">
        <v>5015</v>
      </c>
      <c r="U2895" s="573" t="s">
        <v>4905</v>
      </c>
      <c r="V2895" s="573">
        <v>145</v>
      </c>
      <c r="W2895" s="573">
        <v>40</v>
      </c>
      <c r="X2895" s="571">
        <v>10500</v>
      </c>
      <c r="Y2895" s="569" t="s">
        <v>164</v>
      </c>
      <c r="Z2895" s="579" t="s">
        <v>450</v>
      </c>
      <c r="AA2895" s="579" t="s">
        <v>178</v>
      </c>
      <c r="AB2895" s="584">
        <v>35195</v>
      </c>
      <c r="AC2895" s="584" t="s">
        <v>164</v>
      </c>
      <c r="AD2895" s="584">
        <v>26626.021052631582</v>
      </c>
      <c r="AE2895" s="586">
        <v>0.03</v>
      </c>
      <c r="AF2895" s="661" t="str">
        <f t="shared" si="318"/>
        <v>2019-LTK-FRD-F35C-034-05</v>
      </c>
      <c r="AG2895" s="661" t="str">
        <f>IF(AND($Y2895&gt;=32,(AI2895="I"),(Y2895&lt;&gt;"~"),(COUNTIF($AN$1:$AN2895,$AN2895)=1)),"TRUE","FALSE")</f>
        <v>FALSE</v>
      </c>
      <c r="AH2895" s="661" t="str">
        <f>IF(AND($Y2895&gt;=22, (AI2895&lt;&gt;"I"),(Y2895&lt;&gt;"~"),(COUNTIF($AN$1:$AN2895,$AN2895)=1)),"TRUE","FALSE")</f>
        <v>TRUE</v>
      </c>
      <c r="AI2895" s="661" t="str">
        <f t="shared" si="313"/>
        <v>N/A</v>
      </c>
      <c r="AJ2895" s="662" t="str">
        <f t="shared" si="314"/>
        <v>F35C-034</v>
      </c>
      <c r="AK2895" s="662" t="str">
        <f t="shared" si="315"/>
        <v>LTK</v>
      </c>
      <c r="AL2895" s="662" t="str">
        <f t="shared" si="316"/>
        <v>FRD</v>
      </c>
      <c r="AM2895" s="662" t="str">
        <f t="shared" si="312"/>
        <v>F350 Chassis Cab-Regular Cab XL SRW-2WD-3-~-13100-6.2L FFV-8-F3E-630A-145-40-E85-Unleaded</v>
      </c>
      <c r="AN2895" s="662" t="str">
        <f t="shared" si="317"/>
        <v>2019-LTK-FRD-F35C-034</v>
      </c>
    </row>
    <row r="2896" spans="1:40" ht="15">
      <c r="A2896" s="570" t="s">
        <v>5016</v>
      </c>
      <c r="B2896" s="569" t="s">
        <v>5017</v>
      </c>
      <c r="C2896" s="569" t="s">
        <v>269</v>
      </c>
      <c r="D2896" s="580" t="s">
        <v>270</v>
      </c>
      <c r="E2896" s="569" t="s">
        <v>3374</v>
      </c>
      <c r="F2896" s="569" t="s">
        <v>1684</v>
      </c>
      <c r="G2896" s="569" t="s">
        <v>271</v>
      </c>
      <c r="H2896" s="569">
        <v>2019</v>
      </c>
      <c r="I2896" s="569" t="s">
        <v>4879</v>
      </c>
      <c r="J2896" s="569" t="s">
        <v>5014</v>
      </c>
      <c r="K2896" s="569" t="s">
        <v>3377</v>
      </c>
      <c r="L2896" s="569">
        <v>3</v>
      </c>
      <c r="M2896" s="569">
        <v>0</v>
      </c>
      <c r="N2896" s="569" t="s">
        <v>157</v>
      </c>
      <c r="O2896" s="569">
        <v>1</v>
      </c>
      <c r="P2896" s="569" t="s">
        <v>157</v>
      </c>
      <c r="Q2896" s="568">
        <v>13100</v>
      </c>
      <c r="R2896" s="569" t="s">
        <v>4231</v>
      </c>
      <c r="S2896" s="569">
        <v>8</v>
      </c>
      <c r="T2896" s="569" t="s">
        <v>5015</v>
      </c>
      <c r="U2896" s="569" t="s">
        <v>4905</v>
      </c>
      <c r="V2896" s="569">
        <v>145</v>
      </c>
      <c r="W2896" s="569">
        <v>40</v>
      </c>
      <c r="X2896" s="568">
        <v>11100</v>
      </c>
      <c r="Y2896" s="569" t="s">
        <v>164</v>
      </c>
      <c r="Z2896" s="581" t="s">
        <v>728</v>
      </c>
      <c r="AA2896" s="581" t="s">
        <v>1523</v>
      </c>
      <c r="AB2896" s="585">
        <v>44315</v>
      </c>
      <c r="AC2896" s="585" t="s">
        <v>164</v>
      </c>
      <c r="AD2896" s="585">
        <v>34818.210526315794</v>
      </c>
      <c r="AE2896" s="587">
        <v>0.03</v>
      </c>
      <c r="AF2896" s="661" t="str">
        <f t="shared" si="318"/>
        <v>2019-LTK-FRD-F35C-035-05</v>
      </c>
      <c r="AG2896" s="661" t="str">
        <f>IF(AND($Y2896&gt;=32,(AI2896="I"),(Y2896&lt;&gt;"~"),(COUNTIF($AN$1:$AN2896,$AN2896)=1)),"TRUE","FALSE")</f>
        <v>FALSE</v>
      </c>
      <c r="AH2896" s="661" t="str">
        <f>IF(AND($Y2896&gt;=22, (AI2896&lt;&gt;"I"),(Y2896&lt;&gt;"~"),(COUNTIF($AN$1:$AN2896,$AN2896)=1)),"TRUE","FALSE")</f>
        <v>TRUE</v>
      </c>
      <c r="AI2896" s="661" t="str">
        <f t="shared" si="313"/>
        <v>N/A</v>
      </c>
      <c r="AJ2896" s="662" t="str">
        <f t="shared" si="314"/>
        <v>F35C-035</v>
      </c>
      <c r="AK2896" s="662" t="str">
        <f t="shared" si="315"/>
        <v>LTK</v>
      </c>
      <c r="AL2896" s="662" t="str">
        <f t="shared" si="316"/>
        <v>FRD</v>
      </c>
      <c r="AM2896" s="662" t="str">
        <f t="shared" si="312"/>
        <v>F350 Chassis Cab-Regular Cab XL SRW-2WD-3-~-13100-6.7L Diesel-8-F3E-630A-145-40-Diesel-BioDiesel</v>
      </c>
      <c r="AN2896" s="662" t="str">
        <f t="shared" si="317"/>
        <v>2019-LTK-FRD-F35C-035</v>
      </c>
    </row>
    <row r="2897" spans="1:40" ht="15">
      <c r="A2897" s="570" t="s">
        <v>5018</v>
      </c>
      <c r="B2897" s="573" t="s">
        <v>5013</v>
      </c>
      <c r="C2897" s="573" t="s">
        <v>278</v>
      </c>
      <c r="D2897" s="578">
        <v>15</v>
      </c>
      <c r="E2897" s="573" t="s">
        <v>3374</v>
      </c>
      <c r="F2897" s="573" t="s">
        <v>1684</v>
      </c>
      <c r="G2897" s="573" t="s">
        <v>271</v>
      </c>
      <c r="H2897" s="573">
        <v>2019</v>
      </c>
      <c r="I2897" s="573" t="s">
        <v>4879</v>
      </c>
      <c r="J2897" s="573" t="s">
        <v>5014</v>
      </c>
      <c r="K2897" s="573" t="s">
        <v>3377</v>
      </c>
      <c r="L2897" s="573">
        <v>3</v>
      </c>
      <c r="M2897" s="573">
        <v>0</v>
      </c>
      <c r="N2897" s="573" t="s">
        <v>157</v>
      </c>
      <c r="O2897" s="573">
        <v>1</v>
      </c>
      <c r="P2897" s="573" t="s">
        <v>157</v>
      </c>
      <c r="Q2897" s="571">
        <v>13200</v>
      </c>
      <c r="R2897" s="573" t="s">
        <v>4235</v>
      </c>
      <c r="S2897" s="573">
        <v>8</v>
      </c>
      <c r="T2897" s="573" t="s">
        <v>5015</v>
      </c>
      <c r="U2897" s="573" t="s">
        <v>4905</v>
      </c>
      <c r="V2897" s="573">
        <v>145</v>
      </c>
      <c r="W2897" s="573">
        <v>40</v>
      </c>
      <c r="X2897" s="571">
        <v>10500</v>
      </c>
      <c r="Y2897" s="569" t="s">
        <v>164</v>
      </c>
      <c r="Z2897" s="579" t="s">
        <v>450</v>
      </c>
      <c r="AA2897" s="579" t="s">
        <v>178</v>
      </c>
      <c r="AB2897" s="584">
        <v>35195</v>
      </c>
      <c r="AC2897" s="584" t="s">
        <v>164</v>
      </c>
      <c r="AD2897" s="584">
        <v>26700</v>
      </c>
      <c r="AE2897" s="586">
        <v>0.01</v>
      </c>
      <c r="AF2897" s="661" t="str">
        <f t="shared" si="318"/>
        <v>2019-LTK-FRD-F35C-034-15</v>
      </c>
      <c r="AG2897" s="661" t="str">
        <f>IF(AND($Y2897&gt;=32,(AI2897="I"),(Y2897&lt;&gt;"~"),(COUNTIF($AN$1:$AN2897,$AN2897)=1)),"TRUE","FALSE")</f>
        <v>FALSE</v>
      </c>
      <c r="AH2897" s="661" t="str">
        <f>IF(AND($Y2897&gt;=22, (AI2897&lt;&gt;"I"),(Y2897&lt;&gt;"~"),(COUNTIF($AN$1:$AN2897,$AN2897)=1)),"TRUE","FALSE")</f>
        <v>FALSE</v>
      </c>
      <c r="AI2897" s="661" t="str">
        <f t="shared" si="313"/>
        <v>N/A</v>
      </c>
      <c r="AJ2897" s="662" t="str">
        <f t="shared" si="314"/>
        <v>F35C-034</v>
      </c>
      <c r="AK2897" s="662" t="str">
        <f t="shared" si="315"/>
        <v>LTK</v>
      </c>
      <c r="AL2897" s="662" t="str">
        <f t="shared" si="316"/>
        <v>FRD</v>
      </c>
      <c r="AM2897" s="662" t="str">
        <f t="shared" si="312"/>
        <v>F350 Chassis Cab-Regular Cab XL SRW-2WD-3-~-13200-6.2L FFV-8-F3E-630A-145-40-E85-Unleaded</v>
      </c>
      <c r="AN2897" s="662" t="str">
        <f t="shared" si="317"/>
        <v>2019-LTK-FRD-F35C-034</v>
      </c>
    </row>
    <row r="2898" spans="1:40" ht="15">
      <c r="A2898" s="570" t="s">
        <v>5019</v>
      </c>
      <c r="B2898" s="569" t="s">
        <v>5017</v>
      </c>
      <c r="C2898" s="569" t="s">
        <v>278</v>
      </c>
      <c r="D2898" s="580">
        <v>15</v>
      </c>
      <c r="E2898" s="569" t="s">
        <v>3374</v>
      </c>
      <c r="F2898" s="569" t="s">
        <v>1684</v>
      </c>
      <c r="G2898" s="569" t="s">
        <v>271</v>
      </c>
      <c r="H2898" s="569">
        <v>2019</v>
      </c>
      <c r="I2898" s="569" t="s">
        <v>4879</v>
      </c>
      <c r="J2898" s="569" t="s">
        <v>5014</v>
      </c>
      <c r="K2898" s="569" t="s">
        <v>3377</v>
      </c>
      <c r="L2898" s="569">
        <v>3</v>
      </c>
      <c r="M2898" s="569">
        <v>0</v>
      </c>
      <c r="N2898" s="569" t="s">
        <v>157</v>
      </c>
      <c r="O2898" s="569">
        <v>1</v>
      </c>
      <c r="P2898" s="569" t="s">
        <v>157</v>
      </c>
      <c r="Q2898" s="568">
        <v>13200</v>
      </c>
      <c r="R2898" s="569" t="s">
        <v>4231</v>
      </c>
      <c r="S2898" s="569">
        <v>8</v>
      </c>
      <c r="T2898" s="569" t="s">
        <v>5015</v>
      </c>
      <c r="U2898" s="569" t="s">
        <v>4905</v>
      </c>
      <c r="V2898" s="569">
        <v>145</v>
      </c>
      <c r="W2898" s="569">
        <v>40</v>
      </c>
      <c r="X2898" s="568">
        <v>11100</v>
      </c>
      <c r="Y2898" s="569" t="s">
        <v>164</v>
      </c>
      <c r="Z2898" s="581" t="s">
        <v>728</v>
      </c>
      <c r="AA2898" s="581" t="s">
        <v>1523</v>
      </c>
      <c r="AB2898" s="585">
        <v>44315</v>
      </c>
      <c r="AC2898" s="585" t="s">
        <v>164</v>
      </c>
      <c r="AD2898" s="585">
        <v>34995</v>
      </c>
      <c r="AE2898" s="587">
        <v>0.01</v>
      </c>
      <c r="AF2898" s="661" t="str">
        <f t="shared" si="318"/>
        <v>2019-LTK-FRD-F35C-035-15</v>
      </c>
      <c r="AG2898" s="661" t="str">
        <f>IF(AND($Y2898&gt;=32,(AI2898="I"),(Y2898&lt;&gt;"~"),(COUNTIF($AN$1:$AN2898,$AN2898)=1)),"TRUE","FALSE")</f>
        <v>FALSE</v>
      </c>
      <c r="AH2898" s="661" t="str">
        <f>IF(AND($Y2898&gt;=22, (AI2898&lt;&gt;"I"),(Y2898&lt;&gt;"~"),(COUNTIF($AN$1:$AN2898,$AN2898)=1)),"TRUE","FALSE")</f>
        <v>FALSE</v>
      </c>
      <c r="AI2898" s="661" t="str">
        <f t="shared" si="313"/>
        <v>N/A</v>
      </c>
      <c r="AJ2898" s="662" t="str">
        <f t="shared" si="314"/>
        <v>F35C-035</v>
      </c>
      <c r="AK2898" s="662" t="str">
        <f t="shared" si="315"/>
        <v>LTK</v>
      </c>
      <c r="AL2898" s="662" t="str">
        <f t="shared" si="316"/>
        <v>FRD</v>
      </c>
      <c r="AM2898" s="662" t="str">
        <f t="shared" si="312"/>
        <v>F350 Chassis Cab-Regular Cab XL SRW-2WD-3-~-13200-6.7L Diesel-8-F3E-630A-145-40-Diesel-BioDiesel</v>
      </c>
      <c r="AN2898" s="662" t="str">
        <f t="shared" si="317"/>
        <v>2019-LTK-FRD-F35C-035</v>
      </c>
    </row>
    <row r="2899" spans="1:40" ht="15">
      <c r="A2899" s="570" t="s">
        <v>5020</v>
      </c>
      <c r="B2899" s="573" t="s">
        <v>5013</v>
      </c>
      <c r="C2899" s="573" t="s">
        <v>287</v>
      </c>
      <c r="D2899" s="578">
        <v>26</v>
      </c>
      <c r="E2899" s="573" t="s">
        <v>3374</v>
      </c>
      <c r="F2899" s="573" t="s">
        <v>1684</v>
      </c>
      <c r="G2899" s="573" t="s">
        <v>271</v>
      </c>
      <c r="H2899" s="573">
        <v>2019</v>
      </c>
      <c r="I2899" s="573" t="s">
        <v>4879</v>
      </c>
      <c r="J2899" s="573" t="s">
        <v>5014</v>
      </c>
      <c r="K2899" s="573" t="s">
        <v>3377</v>
      </c>
      <c r="L2899" s="573">
        <v>3</v>
      </c>
      <c r="M2899" s="573">
        <v>0</v>
      </c>
      <c r="N2899" s="573" t="s">
        <v>157</v>
      </c>
      <c r="O2899" s="573">
        <v>1</v>
      </c>
      <c r="P2899" s="573" t="s">
        <v>157</v>
      </c>
      <c r="Q2899" s="571">
        <v>13200</v>
      </c>
      <c r="R2899" s="573" t="s">
        <v>4235</v>
      </c>
      <c r="S2899" s="573">
        <v>8</v>
      </c>
      <c r="T2899" s="573" t="s">
        <v>5015</v>
      </c>
      <c r="U2899" s="573" t="s">
        <v>4905</v>
      </c>
      <c r="V2899" s="573">
        <v>145</v>
      </c>
      <c r="W2899" s="573">
        <v>40</v>
      </c>
      <c r="X2899" s="571">
        <v>10500</v>
      </c>
      <c r="Y2899" s="569" t="s">
        <v>164</v>
      </c>
      <c r="Z2899" s="579" t="s">
        <v>450</v>
      </c>
      <c r="AA2899" s="579" t="s">
        <v>178</v>
      </c>
      <c r="AB2899" s="584">
        <v>34830</v>
      </c>
      <c r="AC2899" s="584" t="s">
        <v>164</v>
      </c>
      <c r="AD2899" s="584">
        <v>26853</v>
      </c>
      <c r="AE2899" s="586">
        <v>0.05</v>
      </c>
      <c r="AF2899" s="661" t="str">
        <f t="shared" si="318"/>
        <v>2019-LTK-FRD-F35C-034-26</v>
      </c>
      <c r="AG2899" s="661" t="str">
        <f>IF(AND($Y2899&gt;=32,(AI2899="I"),(Y2899&lt;&gt;"~"),(COUNTIF($AN$1:$AN2899,$AN2899)=1)),"TRUE","FALSE")</f>
        <v>FALSE</v>
      </c>
      <c r="AH2899" s="661" t="str">
        <f>IF(AND($Y2899&gt;=22, (AI2899&lt;&gt;"I"),(Y2899&lt;&gt;"~"),(COUNTIF($AN$1:$AN2899,$AN2899)=1)),"TRUE","FALSE")</f>
        <v>FALSE</v>
      </c>
      <c r="AI2899" s="661" t="str">
        <f t="shared" si="313"/>
        <v>N/A</v>
      </c>
      <c r="AJ2899" s="662" t="str">
        <f t="shared" si="314"/>
        <v>F35C-034</v>
      </c>
      <c r="AK2899" s="662" t="str">
        <f t="shared" si="315"/>
        <v>LTK</v>
      </c>
      <c r="AL2899" s="662" t="str">
        <f t="shared" si="316"/>
        <v>FRD</v>
      </c>
      <c r="AM2899" s="662" t="str">
        <f t="shared" si="312"/>
        <v>F350 Chassis Cab-Regular Cab XL SRW-2WD-3-~-13200-6.2L FFV-8-F3E-630A-145-40-E85-Unleaded</v>
      </c>
      <c r="AN2899" s="662" t="str">
        <f t="shared" si="317"/>
        <v>2019-LTK-FRD-F35C-034</v>
      </c>
    </row>
    <row r="2900" spans="1:40" ht="15">
      <c r="A2900" s="570" t="s">
        <v>5021</v>
      </c>
      <c r="B2900" s="569" t="s">
        <v>5017</v>
      </c>
      <c r="C2900" s="569" t="s">
        <v>287</v>
      </c>
      <c r="D2900" s="580">
        <v>26</v>
      </c>
      <c r="E2900" s="569" t="s">
        <v>3374</v>
      </c>
      <c r="F2900" s="569" t="s">
        <v>1684</v>
      </c>
      <c r="G2900" s="569" t="s">
        <v>271</v>
      </c>
      <c r="H2900" s="569">
        <v>2019</v>
      </c>
      <c r="I2900" s="569" t="s">
        <v>4879</v>
      </c>
      <c r="J2900" s="569" t="s">
        <v>5014</v>
      </c>
      <c r="K2900" s="569" t="s">
        <v>3377</v>
      </c>
      <c r="L2900" s="569">
        <v>3</v>
      </c>
      <c r="M2900" s="569">
        <v>0</v>
      </c>
      <c r="N2900" s="569" t="s">
        <v>157</v>
      </c>
      <c r="O2900" s="569">
        <v>1</v>
      </c>
      <c r="P2900" s="569" t="s">
        <v>157</v>
      </c>
      <c r="Q2900" s="568">
        <v>13200</v>
      </c>
      <c r="R2900" s="569" t="s">
        <v>4231</v>
      </c>
      <c r="S2900" s="569">
        <v>8</v>
      </c>
      <c r="T2900" s="569" t="s">
        <v>5015</v>
      </c>
      <c r="U2900" s="569" t="s">
        <v>4905</v>
      </c>
      <c r="V2900" s="569">
        <v>145</v>
      </c>
      <c r="W2900" s="569">
        <v>40</v>
      </c>
      <c r="X2900" s="568">
        <v>11100</v>
      </c>
      <c r="Y2900" s="569" t="s">
        <v>164</v>
      </c>
      <c r="Z2900" s="581" t="s">
        <v>728</v>
      </c>
      <c r="AA2900" s="581" t="s">
        <v>1523</v>
      </c>
      <c r="AB2900" s="585">
        <v>43825</v>
      </c>
      <c r="AC2900" s="585" t="s">
        <v>164</v>
      </c>
      <c r="AD2900" s="585">
        <v>35048</v>
      </c>
      <c r="AE2900" s="587">
        <v>0.05</v>
      </c>
      <c r="AF2900" s="661" t="str">
        <f t="shared" si="318"/>
        <v>2019-LTK-FRD-F35C-035-26</v>
      </c>
      <c r="AG2900" s="661" t="str">
        <f>IF(AND($Y2900&gt;=32,(AI2900="I"),(Y2900&lt;&gt;"~"),(COUNTIF($AN$1:$AN2900,$AN2900)=1)),"TRUE","FALSE")</f>
        <v>FALSE</v>
      </c>
      <c r="AH2900" s="661" t="str">
        <f>IF(AND($Y2900&gt;=22, (AI2900&lt;&gt;"I"),(Y2900&lt;&gt;"~"),(COUNTIF($AN$1:$AN2900,$AN2900)=1)),"TRUE","FALSE")</f>
        <v>FALSE</v>
      </c>
      <c r="AI2900" s="661" t="str">
        <f t="shared" si="313"/>
        <v>N/A</v>
      </c>
      <c r="AJ2900" s="662" t="str">
        <f t="shared" si="314"/>
        <v>F35C-035</v>
      </c>
      <c r="AK2900" s="662" t="str">
        <f t="shared" si="315"/>
        <v>LTK</v>
      </c>
      <c r="AL2900" s="662" t="str">
        <f t="shared" si="316"/>
        <v>FRD</v>
      </c>
      <c r="AM2900" s="662" t="str">
        <f t="shared" si="312"/>
        <v>F350 Chassis Cab-Regular Cab XL SRW-2WD-3-~-13200-6.7L Diesel-8-F3E-630A-145-40-Diesel-BioDiesel</v>
      </c>
      <c r="AN2900" s="662" t="str">
        <f t="shared" si="317"/>
        <v>2019-LTK-FRD-F35C-035</v>
      </c>
    </row>
    <row r="2901" spans="1:40" ht="15">
      <c r="A2901" s="570" t="s">
        <v>5022</v>
      </c>
      <c r="B2901" s="573" t="s">
        <v>5013</v>
      </c>
      <c r="C2901" s="573" t="s">
        <v>280</v>
      </c>
      <c r="D2901" s="578">
        <v>27</v>
      </c>
      <c r="E2901" s="573" t="s">
        <v>3374</v>
      </c>
      <c r="F2901" s="573" t="s">
        <v>1684</v>
      </c>
      <c r="G2901" s="573" t="s">
        <v>271</v>
      </c>
      <c r="H2901" s="573">
        <v>2019</v>
      </c>
      <c r="I2901" s="573" t="s">
        <v>4879</v>
      </c>
      <c r="J2901" s="573" t="s">
        <v>5014</v>
      </c>
      <c r="K2901" s="573" t="s">
        <v>3377</v>
      </c>
      <c r="L2901" s="573">
        <v>3</v>
      </c>
      <c r="M2901" s="573">
        <v>0</v>
      </c>
      <c r="N2901" s="573" t="s">
        <v>157</v>
      </c>
      <c r="O2901" s="573">
        <v>1</v>
      </c>
      <c r="P2901" s="573" t="s">
        <v>157</v>
      </c>
      <c r="Q2901" s="571">
        <v>13100</v>
      </c>
      <c r="R2901" s="573" t="s">
        <v>4235</v>
      </c>
      <c r="S2901" s="573">
        <v>8</v>
      </c>
      <c r="T2901" s="573" t="s">
        <v>5015</v>
      </c>
      <c r="U2901" s="573" t="s">
        <v>4905</v>
      </c>
      <c r="V2901" s="573">
        <v>145</v>
      </c>
      <c r="W2901" s="573">
        <v>40</v>
      </c>
      <c r="X2901" s="571">
        <v>10500</v>
      </c>
      <c r="Y2901" s="569" t="s">
        <v>164</v>
      </c>
      <c r="Z2901" s="579" t="s">
        <v>450</v>
      </c>
      <c r="AA2901" s="579" t="s">
        <v>178</v>
      </c>
      <c r="AB2901" s="584">
        <v>35195</v>
      </c>
      <c r="AC2901" s="584" t="s">
        <v>164</v>
      </c>
      <c r="AD2901" s="584">
        <v>26626.021052631582</v>
      </c>
      <c r="AE2901" s="586">
        <v>0.03</v>
      </c>
      <c r="AF2901" s="661" t="str">
        <f t="shared" si="318"/>
        <v>2019-LTK-FRD-F35C-034-27</v>
      </c>
      <c r="AG2901" s="661" t="str">
        <f>IF(AND($Y2901&gt;=32,(AI2901="I"),(Y2901&lt;&gt;"~"),(COUNTIF($AN$1:$AN2901,$AN2901)=1)),"TRUE","FALSE")</f>
        <v>FALSE</v>
      </c>
      <c r="AH2901" s="661" t="str">
        <f>IF(AND($Y2901&gt;=22, (AI2901&lt;&gt;"I"),(Y2901&lt;&gt;"~"),(COUNTIF($AN$1:$AN2901,$AN2901)=1)),"TRUE","FALSE")</f>
        <v>FALSE</v>
      </c>
      <c r="AI2901" s="661" t="str">
        <f t="shared" si="313"/>
        <v>N/A</v>
      </c>
      <c r="AJ2901" s="662" t="str">
        <f t="shared" si="314"/>
        <v>F35C-034</v>
      </c>
      <c r="AK2901" s="662" t="str">
        <f t="shared" si="315"/>
        <v>LTK</v>
      </c>
      <c r="AL2901" s="662" t="str">
        <f t="shared" si="316"/>
        <v>FRD</v>
      </c>
      <c r="AM2901" s="662" t="str">
        <f t="shared" si="312"/>
        <v>F350 Chassis Cab-Regular Cab XL SRW-2WD-3-~-13100-6.2L FFV-8-F3E-630A-145-40-E85-Unleaded</v>
      </c>
      <c r="AN2901" s="662" t="str">
        <f t="shared" si="317"/>
        <v>2019-LTK-FRD-F35C-034</v>
      </c>
    </row>
    <row r="2902" spans="1:40" ht="15">
      <c r="A2902" s="570" t="s">
        <v>5023</v>
      </c>
      <c r="B2902" s="569" t="s">
        <v>5017</v>
      </c>
      <c r="C2902" s="569" t="s">
        <v>280</v>
      </c>
      <c r="D2902" s="580">
        <v>27</v>
      </c>
      <c r="E2902" s="569" t="s">
        <v>3374</v>
      </c>
      <c r="F2902" s="569" t="s">
        <v>1684</v>
      </c>
      <c r="G2902" s="569" t="s">
        <v>271</v>
      </c>
      <c r="H2902" s="569">
        <v>2019</v>
      </c>
      <c r="I2902" s="569" t="s">
        <v>4879</v>
      </c>
      <c r="J2902" s="569" t="s">
        <v>5014</v>
      </c>
      <c r="K2902" s="569" t="s">
        <v>3377</v>
      </c>
      <c r="L2902" s="569">
        <v>3</v>
      </c>
      <c r="M2902" s="569">
        <v>0</v>
      </c>
      <c r="N2902" s="569" t="s">
        <v>157</v>
      </c>
      <c r="O2902" s="569">
        <v>1</v>
      </c>
      <c r="P2902" s="569" t="s">
        <v>157</v>
      </c>
      <c r="Q2902" s="568">
        <v>13100</v>
      </c>
      <c r="R2902" s="569" t="s">
        <v>4231</v>
      </c>
      <c r="S2902" s="569">
        <v>8</v>
      </c>
      <c r="T2902" s="569" t="s">
        <v>5015</v>
      </c>
      <c r="U2902" s="569" t="s">
        <v>4905</v>
      </c>
      <c r="V2902" s="569">
        <v>145</v>
      </c>
      <c r="W2902" s="569">
        <v>40</v>
      </c>
      <c r="X2902" s="568">
        <v>11100</v>
      </c>
      <c r="Y2902" s="569" t="s">
        <v>164</v>
      </c>
      <c r="Z2902" s="581" t="s">
        <v>728</v>
      </c>
      <c r="AA2902" s="581" t="s">
        <v>1523</v>
      </c>
      <c r="AB2902" s="585">
        <v>44315</v>
      </c>
      <c r="AC2902" s="585" t="s">
        <v>164</v>
      </c>
      <c r="AD2902" s="585">
        <v>34818.210526315794</v>
      </c>
      <c r="AE2902" s="587">
        <v>0.03</v>
      </c>
      <c r="AF2902" s="661" t="str">
        <f t="shared" si="318"/>
        <v>2019-LTK-FRD-F35C-035-27</v>
      </c>
      <c r="AG2902" s="661" t="str">
        <f>IF(AND($Y2902&gt;=32,(AI2902="I"),(Y2902&lt;&gt;"~"),(COUNTIF($AN$1:$AN2902,$AN2902)=1)),"TRUE","FALSE")</f>
        <v>FALSE</v>
      </c>
      <c r="AH2902" s="661" t="str">
        <f>IF(AND($Y2902&gt;=22, (AI2902&lt;&gt;"I"),(Y2902&lt;&gt;"~"),(COUNTIF($AN$1:$AN2902,$AN2902)=1)),"TRUE","FALSE")</f>
        <v>FALSE</v>
      </c>
      <c r="AI2902" s="661" t="str">
        <f t="shared" si="313"/>
        <v>N/A</v>
      </c>
      <c r="AJ2902" s="662" t="str">
        <f t="shared" si="314"/>
        <v>F35C-035</v>
      </c>
      <c r="AK2902" s="662" t="str">
        <f t="shared" si="315"/>
        <v>LTK</v>
      </c>
      <c r="AL2902" s="662" t="str">
        <f t="shared" si="316"/>
        <v>FRD</v>
      </c>
      <c r="AM2902" s="662" t="str">
        <f t="shared" si="312"/>
        <v>F350 Chassis Cab-Regular Cab XL SRW-2WD-3-~-13100-6.7L Diesel-8-F3E-630A-145-40-Diesel-BioDiesel</v>
      </c>
      <c r="AN2902" s="662" t="str">
        <f t="shared" si="317"/>
        <v>2019-LTK-FRD-F35C-035</v>
      </c>
    </row>
    <row r="2903" spans="1:40" ht="15">
      <c r="A2903" s="570" t="s">
        <v>5024</v>
      </c>
      <c r="B2903" s="573" t="s">
        <v>5025</v>
      </c>
      <c r="C2903" s="573" t="s">
        <v>269</v>
      </c>
      <c r="D2903" s="578" t="s">
        <v>270</v>
      </c>
      <c r="E2903" s="573" t="s">
        <v>3374</v>
      </c>
      <c r="F2903" s="573" t="s">
        <v>1684</v>
      </c>
      <c r="G2903" s="573" t="s">
        <v>271</v>
      </c>
      <c r="H2903" s="573">
        <v>2019</v>
      </c>
      <c r="I2903" s="573" t="s">
        <v>4879</v>
      </c>
      <c r="J2903" s="573" t="s">
        <v>5014</v>
      </c>
      <c r="K2903" s="573" t="s">
        <v>752</v>
      </c>
      <c r="L2903" s="573">
        <v>3</v>
      </c>
      <c r="M2903" s="573">
        <v>0</v>
      </c>
      <c r="N2903" s="573" t="s">
        <v>157</v>
      </c>
      <c r="O2903" s="573">
        <v>1</v>
      </c>
      <c r="P2903" s="573" t="s">
        <v>157</v>
      </c>
      <c r="Q2903" s="571">
        <v>12700</v>
      </c>
      <c r="R2903" s="573" t="s">
        <v>4235</v>
      </c>
      <c r="S2903" s="573">
        <v>8</v>
      </c>
      <c r="T2903" s="573" t="s">
        <v>5026</v>
      </c>
      <c r="U2903" s="573" t="s">
        <v>4905</v>
      </c>
      <c r="V2903" s="573">
        <v>145</v>
      </c>
      <c r="W2903" s="573">
        <v>40</v>
      </c>
      <c r="X2903" s="571">
        <v>10900</v>
      </c>
      <c r="Y2903" s="569" t="s">
        <v>164</v>
      </c>
      <c r="Z2903" s="579" t="s">
        <v>450</v>
      </c>
      <c r="AA2903" s="579" t="s">
        <v>178</v>
      </c>
      <c r="AB2903" s="584">
        <v>38695</v>
      </c>
      <c r="AC2903" s="584" t="s">
        <v>164</v>
      </c>
      <c r="AD2903" s="584">
        <v>29227.073684210529</v>
      </c>
      <c r="AE2903" s="586">
        <v>0.03</v>
      </c>
      <c r="AF2903" s="661" t="str">
        <f t="shared" si="318"/>
        <v>2019-LTK-FRD-F35C-037-05</v>
      </c>
      <c r="AG2903" s="661" t="str">
        <f>IF(AND($Y2903&gt;=32,(AI2903="I"),(Y2903&lt;&gt;"~"),(COUNTIF($AN$1:$AN2903,$AN2903)=1)),"TRUE","FALSE")</f>
        <v>FALSE</v>
      </c>
      <c r="AH2903" s="661" t="str">
        <f>IF(AND($Y2903&gt;=22, (AI2903&lt;&gt;"I"),(Y2903&lt;&gt;"~"),(COUNTIF($AN$1:$AN2903,$AN2903)=1)),"TRUE","FALSE")</f>
        <v>TRUE</v>
      </c>
      <c r="AI2903" s="661" t="str">
        <f t="shared" si="313"/>
        <v>N/A</v>
      </c>
      <c r="AJ2903" s="662" t="str">
        <f t="shared" si="314"/>
        <v>F35C-037</v>
      </c>
      <c r="AK2903" s="662" t="str">
        <f t="shared" si="315"/>
        <v>LTK</v>
      </c>
      <c r="AL2903" s="662" t="str">
        <f t="shared" si="316"/>
        <v>FRD</v>
      </c>
      <c r="AM2903" s="662" t="str">
        <f t="shared" si="312"/>
        <v>F350 Chassis Cab-Regular Cab XL SRW-4WD-3-~-12700-6.2L FFV-8-F3F-630A-145-40-E85-Unleaded</v>
      </c>
      <c r="AN2903" s="662" t="str">
        <f t="shared" si="317"/>
        <v>2019-LTK-FRD-F35C-037</v>
      </c>
    </row>
    <row r="2904" spans="1:40" ht="15">
      <c r="A2904" s="570" t="s">
        <v>5027</v>
      </c>
      <c r="B2904" s="569" t="s">
        <v>5028</v>
      </c>
      <c r="C2904" s="569" t="s">
        <v>269</v>
      </c>
      <c r="D2904" s="580" t="s">
        <v>270</v>
      </c>
      <c r="E2904" s="569" t="s">
        <v>3374</v>
      </c>
      <c r="F2904" s="569" t="s">
        <v>1684</v>
      </c>
      <c r="G2904" s="569" t="s">
        <v>271</v>
      </c>
      <c r="H2904" s="569">
        <v>2019</v>
      </c>
      <c r="I2904" s="569" t="s">
        <v>4879</v>
      </c>
      <c r="J2904" s="569" t="s">
        <v>5014</v>
      </c>
      <c r="K2904" s="569" t="s">
        <v>752</v>
      </c>
      <c r="L2904" s="569">
        <v>3</v>
      </c>
      <c r="M2904" s="569">
        <v>0</v>
      </c>
      <c r="N2904" s="569" t="s">
        <v>157</v>
      </c>
      <c r="O2904" s="569">
        <v>1</v>
      </c>
      <c r="P2904" s="569" t="s">
        <v>157</v>
      </c>
      <c r="Q2904" s="568">
        <v>12700</v>
      </c>
      <c r="R2904" s="569" t="s">
        <v>4231</v>
      </c>
      <c r="S2904" s="569">
        <v>8</v>
      </c>
      <c r="T2904" s="569" t="s">
        <v>5026</v>
      </c>
      <c r="U2904" s="569" t="s">
        <v>4905</v>
      </c>
      <c r="V2904" s="569">
        <v>145</v>
      </c>
      <c r="W2904" s="569">
        <v>40</v>
      </c>
      <c r="X2904" s="568">
        <v>11500</v>
      </c>
      <c r="Y2904" s="569" t="s">
        <v>164</v>
      </c>
      <c r="Z2904" s="581" t="s">
        <v>728</v>
      </c>
      <c r="AA2904" s="581" t="s">
        <v>1523</v>
      </c>
      <c r="AB2904" s="585">
        <v>47815</v>
      </c>
      <c r="AC2904" s="585" t="s">
        <v>164</v>
      </c>
      <c r="AD2904" s="585">
        <v>37419.26315789474</v>
      </c>
      <c r="AE2904" s="587">
        <v>0.03</v>
      </c>
      <c r="AF2904" s="661" t="str">
        <f t="shared" si="318"/>
        <v>2019-LTK-FRD-F35C-038-05</v>
      </c>
      <c r="AG2904" s="661" t="str">
        <f>IF(AND($Y2904&gt;=32,(AI2904="I"),(Y2904&lt;&gt;"~"),(COUNTIF($AN$1:$AN2904,$AN2904)=1)),"TRUE","FALSE")</f>
        <v>FALSE</v>
      </c>
      <c r="AH2904" s="661" t="str">
        <f>IF(AND($Y2904&gt;=22, (AI2904&lt;&gt;"I"),(Y2904&lt;&gt;"~"),(COUNTIF($AN$1:$AN2904,$AN2904)=1)),"TRUE","FALSE")</f>
        <v>TRUE</v>
      </c>
      <c r="AI2904" s="661" t="str">
        <f t="shared" si="313"/>
        <v>N/A</v>
      </c>
      <c r="AJ2904" s="662" t="str">
        <f t="shared" si="314"/>
        <v>F35C-038</v>
      </c>
      <c r="AK2904" s="662" t="str">
        <f t="shared" si="315"/>
        <v>LTK</v>
      </c>
      <c r="AL2904" s="662" t="str">
        <f t="shared" si="316"/>
        <v>FRD</v>
      </c>
      <c r="AM2904" s="662" t="str">
        <f t="shared" si="312"/>
        <v>F350 Chassis Cab-Regular Cab XL SRW-4WD-3-~-12700-6.7L Diesel-8-F3F-630A-145-40-Diesel-BioDiesel</v>
      </c>
      <c r="AN2904" s="662" t="str">
        <f t="shared" si="317"/>
        <v>2019-LTK-FRD-F35C-038</v>
      </c>
    </row>
    <row r="2905" spans="1:40" ht="15">
      <c r="A2905" s="570" t="s">
        <v>5029</v>
      </c>
      <c r="B2905" s="573" t="s">
        <v>5025</v>
      </c>
      <c r="C2905" s="573" t="s">
        <v>278</v>
      </c>
      <c r="D2905" s="578">
        <v>15</v>
      </c>
      <c r="E2905" s="573" t="s">
        <v>3374</v>
      </c>
      <c r="F2905" s="573" t="s">
        <v>1684</v>
      </c>
      <c r="G2905" s="573" t="s">
        <v>271</v>
      </c>
      <c r="H2905" s="573">
        <v>2019</v>
      </c>
      <c r="I2905" s="573" t="s">
        <v>4879</v>
      </c>
      <c r="J2905" s="573" t="s">
        <v>5014</v>
      </c>
      <c r="K2905" s="573" t="s">
        <v>752</v>
      </c>
      <c r="L2905" s="573">
        <v>3</v>
      </c>
      <c r="M2905" s="573">
        <v>0</v>
      </c>
      <c r="N2905" s="573" t="s">
        <v>157</v>
      </c>
      <c r="O2905" s="573">
        <v>1</v>
      </c>
      <c r="P2905" s="573" t="s">
        <v>157</v>
      </c>
      <c r="Q2905" s="571">
        <v>12700</v>
      </c>
      <c r="R2905" s="573" t="s">
        <v>4235</v>
      </c>
      <c r="S2905" s="573">
        <v>8</v>
      </c>
      <c r="T2905" s="573" t="s">
        <v>5026</v>
      </c>
      <c r="U2905" s="573" t="s">
        <v>4905</v>
      </c>
      <c r="V2905" s="573">
        <v>145</v>
      </c>
      <c r="W2905" s="573">
        <v>40</v>
      </c>
      <c r="X2905" s="571">
        <v>10900</v>
      </c>
      <c r="Y2905" s="569" t="s">
        <v>164</v>
      </c>
      <c r="Z2905" s="579" t="s">
        <v>450</v>
      </c>
      <c r="AA2905" s="579" t="s">
        <v>178</v>
      </c>
      <c r="AB2905" s="584">
        <v>38695</v>
      </c>
      <c r="AC2905" s="584" t="s">
        <v>164</v>
      </c>
      <c r="AD2905" s="584">
        <v>29350</v>
      </c>
      <c r="AE2905" s="586">
        <v>0.01</v>
      </c>
      <c r="AF2905" s="661" t="str">
        <f t="shared" si="318"/>
        <v>2019-LTK-FRD-F35C-037-15</v>
      </c>
      <c r="AG2905" s="661" t="str">
        <f>IF(AND($Y2905&gt;=32,(AI2905="I"),(Y2905&lt;&gt;"~"),(COUNTIF($AN$1:$AN2905,$AN2905)=1)),"TRUE","FALSE")</f>
        <v>FALSE</v>
      </c>
      <c r="AH2905" s="661" t="str">
        <f>IF(AND($Y2905&gt;=22, (AI2905&lt;&gt;"I"),(Y2905&lt;&gt;"~"),(COUNTIF($AN$1:$AN2905,$AN2905)=1)),"TRUE","FALSE")</f>
        <v>FALSE</v>
      </c>
      <c r="AI2905" s="661" t="str">
        <f t="shared" si="313"/>
        <v>N/A</v>
      </c>
      <c r="AJ2905" s="662" t="str">
        <f t="shared" si="314"/>
        <v>F35C-037</v>
      </c>
      <c r="AK2905" s="662" t="str">
        <f t="shared" si="315"/>
        <v>LTK</v>
      </c>
      <c r="AL2905" s="662" t="str">
        <f t="shared" si="316"/>
        <v>FRD</v>
      </c>
      <c r="AM2905" s="662" t="str">
        <f t="shared" si="312"/>
        <v>F350 Chassis Cab-Regular Cab XL SRW-4WD-3-~-12700-6.2L FFV-8-F3F-630A-145-40-E85-Unleaded</v>
      </c>
      <c r="AN2905" s="662" t="str">
        <f t="shared" si="317"/>
        <v>2019-LTK-FRD-F35C-037</v>
      </c>
    </row>
    <row r="2906" spans="1:40" ht="15">
      <c r="A2906" s="570" t="s">
        <v>5030</v>
      </c>
      <c r="B2906" s="569" t="s">
        <v>5028</v>
      </c>
      <c r="C2906" s="569" t="s">
        <v>278</v>
      </c>
      <c r="D2906" s="580">
        <v>15</v>
      </c>
      <c r="E2906" s="569" t="s">
        <v>3374</v>
      </c>
      <c r="F2906" s="569" t="s">
        <v>1684</v>
      </c>
      <c r="G2906" s="569" t="s">
        <v>271</v>
      </c>
      <c r="H2906" s="569">
        <v>2019</v>
      </c>
      <c r="I2906" s="569" t="s">
        <v>4879</v>
      </c>
      <c r="J2906" s="569" t="s">
        <v>5014</v>
      </c>
      <c r="K2906" s="569" t="s">
        <v>752</v>
      </c>
      <c r="L2906" s="569">
        <v>3</v>
      </c>
      <c r="M2906" s="569">
        <v>0</v>
      </c>
      <c r="N2906" s="569" t="s">
        <v>157</v>
      </c>
      <c r="O2906" s="569">
        <v>1</v>
      </c>
      <c r="P2906" s="569" t="s">
        <v>157</v>
      </c>
      <c r="Q2906" s="568">
        <v>12700</v>
      </c>
      <c r="R2906" s="569" t="s">
        <v>4231</v>
      </c>
      <c r="S2906" s="569">
        <v>8</v>
      </c>
      <c r="T2906" s="569" t="s">
        <v>5026</v>
      </c>
      <c r="U2906" s="569" t="s">
        <v>4905</v>
      </c>
      <c r="V2906" s="569">
        <v>145</v>
      </c>
      <c r="W2906" s="569">
        <v>40</v>
      </c>
      <c r="X2906" s="568">
        <v>11500</v>
      </c>
      <c r="Y2906" s="569" t="s">
        <v>164</v>
      </c>
      <c r="Z2906" s="581" t="s">
        <v>728</v>
      </c>
      <c r="AA2906" s="581" t="s">
        <v>1523</v>
      </c>
      <c r="AB2906" s="585">
        <v>47815</v>
      </c>
      <c r="AC2906" s="585" t="s">
        <v>164</v>
      </c>
      <c r="AD2906" s="585">
        <v>37600</v>
      </c>
      <c r="AE2906" s="587">
        <v>0.01</v>
      </c>
      <c r="AF2906" s="661" t="str">
        <f t="shared" si="318"/>
        <v>2019-LTK-FRD-F35C-038-15</v>
      </c>
      <c r="AG2906" s="661" t="str">
        <f>IF(AND($Y2906&gt;=32,(AI2906="I"),(Y2906&lt;&gt;"~"),(COUNTIF($AN$1:$AN2906,$AN2906)=1)),"TRUE","FALSE")</f>
        <v>FALSE</v>
      </c>
      <c r="AH2906" s="661" t="str">
        <f>IF(AND($Y2906&gt;=22, (AI2906&lt;&gt;"I"),(Y2906&lt;&gt;"~"),(COUNTIF($AN$1:$AN2906,$AN2906)=1)),"TRUE","FALSE")</f>
        <v>FALSE</v>
      </c>
      <c r="AI2906" s="661" t="str">
        <f t="shared" si="313"/>
        <v>N/A</v>
      </c>
      <c r="AJ2906" s="662" t="str">
        <f t="shared" si="314"/>
        <v>F35C-038</v>
      </c>
      <c r="AK2906" s="662" t="str">
        <f t="shared" si="315"/>
        <v>LTK</v>
      </c>
      <c r="AL2906" s="662" t="str">
        <f t="shared" si="316"/>
        <v>FRD</v>
      </c>
      <c r="AM2906" s="662" t="str">
        <f t="shared" si="312"/>
        <v>F350 Chassis Cab-Regular Cab XL SRW-4WD-3-~-12700-6.7L Diesel-8-F3F-630A-145-40-Diesel-BioDiesel</v>
      </c>
      <c r="AN2906" s="662" t="str">
        <f t="shared" si="317"/>
        <v>2019-LTK-FRD-F35C-038</v>
      </c>
    </row>
    <row r="2907" spans="1:40" ht="15">
      <c r="A2907" s="570" t="s">
        <v>5031</v>
      </c>
      <c r="B2907" s="573" t="s">
        <v>5025</v>
      </c>
      <c r="C2907" s="573" t="s">
        <v>287</v>
      </c>
      <c r="D2907" s="578">
        <v>26</v>
      </c>
      <c r="E2907" s="573" t="s">
        <v>3374</v>
      </c>
      <c r="F2907" s="573" t="s">
        <v>1684</v>
      </c>
      <c r="G2907" s="573" t="s">
        <v>271</v>
      </c>
      <c r="H2907" s="573">
        <v>2019</v>
      </c>
      <c r="I2907" s="573" t="s">
        <v>4879</v>
      </c>
      <c r="J2907" s="573" t="s">
        <v>5014</v>
      </c>
      <c r="K2907" s="573" t="s">
        <v>752</v>
      </c>
      <c r="L2907" s="573">
        <v>3</v>
      </c>
      <c r="M2907" s="573">
        <v>0</v>
      </c>
      <c r="N2907" s="573" t="s">
        <v>157</v>
      </c>
      <c r="O2907" s="573">
        <v>1</v>
      </c>
      <c r="P2907" s="573" t="s">
        <v>157</v>
      </c>
      <c r="Q2907" s="571">
        <v>12700</v>
      </c>
      <c r="R2907" s="573" t="s">
        <v>4235</v>
      </c>
      <c r="S2907" s="573">
        <v>8</v>
      </c>
      <c r="T2907" s="573" t="s">
        <v>5026</v>
      </c>
      <c r="U2907" s="573" t="s">
        <v>4905</v>
      </c>
      <c r="V2907" s="573">
        <v>145</v>
      </c>
      <c r="W2907" s="573">
        <v>40</v>
      </c>
      <c r="X2907" s="571">
        <v>10900</v>
      </c>
      <c r="Y2907" s="569" t="s">
        <v>164</v>
      </c>
      <c r="Z2907" s="579" t="s">
        <v>450</v>
      </c>
      <c r="AA2907" s="579" t="s">
        <v>178</v>
      </c>
      <c r="AB2907" s="584">
        <v>38330</v>
      </c>
      <c r="AC2907" s="584" t="s">
        <v>164</v>
      </c>
      <c r="AD2907" s="584">
        <v>29494</v>
      </c>
      <c r="AE2907" s="586">
        <v>0.05</v>
      </c>
      <c r="AF2907" s="661" t="str">
        <f t="shared" si="318"/>
        <v>2019-LTK-FRD-F35C-037-26</v>
      </c>
      <c r="AG2907" s="661" t="str">
        <f>IF(AND($Y2907&gt;=32,(AI2907="I"),(Y2907&lt;&gt;"~"),(COUNTIF($AN$1:$AN2907,$AN2907)=1)),"TRUE","FALSE")</f>
        <v>FALSE</v>
      </c>
      <c r="AH2907" s="661" t="str">
        <f>IF(AND($Y2907&gt;=22, (AI2907&lt;&gt;"I"),(Y2907&lt;&gt;"~"),(COUNTIF($AN$1:$AN2907,$AN2907)=1)),"TRUE","FALSE")</f>
        <v>FALSE</v>
      </c>
      <c r="AI2907" s="661" t="str">
        <f t="shared" si="313"/>
        <v>N/A</v>
      </c>
      <c r="AJ2907" s="662" t="str">
        <f t="shared" si="314"/>
        <v>F35C-037</v>
      </c>
      <c r="AK2907" s="662" t="str">
        <f t="shared" si="315"/>
        <v>LTK</v>
      </c>
      <c r="AL2907" s="662" t="str">
        <f t="shared" si="316"/>
        <v>FRD</v>
      </c>
      <c r="AM2907" s="662" t="str">
        <f t="shared" ref="AM2907:AM2970" si="319">CONCATENATE(I2907,"-",J2907,"-",K2907,"-",L2907,"-",P2907,"-",Q2907,"-",R2907,"-",S2907,"-",T2907,"-",U2907,"-",V2907,"-",W2907,"-",Z2907,"-",AA2907)</f>
        <v>F350 Chassis Cab-Regular Cab XL SRW-4WD-3-~-12700-6.2L FFV-8-F3F-630A-145-40-E85-Unleaded</v>
      </c>
      <c r="AN2907" s="662" t="str">
        <f t="shared" si="317"/>
        <v>2019-LTK-FRD-F35C-037</v>
      </c>
    </row>
    <row r="2908" spans="1:40" ht="15">
      <c r="A2908" s="570" t="s">
        <v>5032</v>
      </c>
      <c r="B2908" s="569" t="s">
        <v>5028</v>
      </c>
      <c r="C2908" s="569" t="s">
        <v>287</v>
      </c>
      <c r="D2908" s="580">
        <v>26</v>
      </c>
      <c r="E2908" s="569" t="s">
        <v>3374</v>
      </c>
      <c r="F2908" s="569" t="s">
        <v>1684</v>
      </c>
      <c r="G2908" s="569" t="s">
        <v>271</v>
      </c>
      <c r="H2908" s="569">
        <v>2019</v>
      </c>
      <c r="I2908" s="569" t="s">
        <v>4879</v>
      </c>
      <c r="J2908" s="569" t="s">
        <v>5014</v>
      </c>
      <c r="K2908" s="569" t="s">
        <v>752</v>
      </c>
      <c r="L2908" s="569">
        <v>3</v>
      </c>
      <c r="M2908" s="569">
        <v>0</v>
      </c>
      <c r="N2908" s="569" t="s">
        <v>157</v>
      </c>
      <c r="O2908" s="569">
        <v>1</v>
      </c>
      <c r="P2908" s="569" t="s">
        <v>157</v>
      </c>
      <c r="Q2908" s="568">
        <v>12700</v>
      </c>
      <c r="R2908" s="569" t="s">
        <v>4231</v>
      </c>
      <c r="S2908" s="569">
        <v>8</v>
      </c>
      <c r="T2908" s="569" t="s">
        <v>5026</v>
      </c>
      <c r="U2908" s="569" t="s">
        <v>4905</v>
      </c>
      <c r="V2908" s="569">
        <v>145</v>
      </c>
      <c r="W2908" s="569">
        <v>40</v>
      </c>
      <c r="X2908" s="568">
        <v>11500</v>
      </c>
      <c r="Y2908" s="569" t="s">
        <v>164</v>
      </c>
      <c r="Z2908" s="581" t="s">
        <v>728</v>
      </c>
      <c r="AA2908" s="581" t="s">
        <v>1523</v>
      </c>
      <c r="AB2908" s="585">
        <v>47815</v>
      </c>
      <c r="AC2908" s="585" t="s">
        <v>164</v>
      </c>
      <c r="AD2908" s="585">
        <v>37689</v>
      </c>
      <c r="AE2908" s="587">
        <v>0.05</v>
      </c>
      <c r="AF2908" s="661" t="str">
        <f t="shared" si="318"/>
        <v>2019-LTK-FRD-F35C-038-26</v>
      </c>
      <c r="AG2908" s="661" t="str">
        <f>IF(AND($Y2908&gt;=32,(AI2908="I"),(Y2908&lt;&gt;"~"),(COUNTIF($AN$1:$AN2908,$AN2908)=1)),"TRUE","FALSE")</f>
        <v>FALSE</v>
      </c>
      <c r="AH2908" s="661" t="str">
        <f>IF(AND($Y2908&gt;=22, (AI2908&lt;&gt;"I"),(Y2908&lt;&gt;"~"),(COUNTIF($AN$1:$AN2908,$AN2908)=1)),"TRUE","FALSE")</f>
        <v>FALSE</v>
      </c>
      <c r="AI2908" s="661" t="str">
        <f t="shared" ref="AI2908:AI2971" si="320">IF(OR((LEFT($E2908,2)="01"),AND(LEFT($E2908,2)="06",ISNUMBER(SEARCH("pas",$F2908))),AND(LEFT($E2908,2)="05",ISNUMBER(SEARCH("pas",$F2908)))),"I",IF(AND((LEFT($E2908,2)&lt;&gt;"01"),$X2908&lt;=10000),"II",IF(AND((LEFT($E2908,2)&lt;&gt;"01"),$X2908&gt;10000),"N/A")))</f>
        <v>N/A</v>
      </c>
      <c r="AJ2908" s="662" t="str">
        <f t="shared" si="314"/>
        <v>F35C-038</v>
      </c>
      <c r="AK2908" s="662" t="str">
        <f t="shared" si="315"/>
        <v>LTK</v>
      </c>
      <c r="AL2908" s="662" t="str">
        <f t="shared" si="316"/>
        <v>FRD</v>
      </c>
      <c r="AM2908" s="662" t="str">
        <f t="shared" si="319"/>
        <v>F350 Chassis Cab-Regular Cab XL SRW-4WD-3-~-12700-6.7L Diesel-8-F3F-630A-145-40-Diesel-BioDiesel</v>
      </c>
      <c r="AN2908" s="662" t="str">
        <f t="shared" si="317"/>
        <v>2019-LTK-FRD-F35C-038</v>
      </c>
    </row>
    <row r="2909" spans="1:40" ht="15">
      <c r="A2909" s="570" t="s">
        <v>5033</v>
      </c>
      <c r="B2909" s="573" t="s">
        <v>5025</v>
      </c>
      <c r="C2909" s="573" t="s">
        <v>280</v>
      </c>
      <c r="D2909" s="578">
        <v>27</v>
      </c>
      <c r="E2909" s="573" t="s">
        <v>3374</v>
      </c>
      <c r="F2909" s="573" t="s">
        <v>1684</v>
      </c>
      <c r="G2909" s="573" t="s">
        <v>271</v>
      </c>
      <c r="H2909" s="573">
        <v>2019</v>
      </c>
      <c r="I2909" s="573" t="s">
        <v>4879</v>
      </c>
      <c r="J2909" s="573" t="s">
        <v>5014</v>
      </c>
      <c r="K2909" s="573" t="s">
        <v>752</v>
      </c>
      <c r="L2909" s="573">
        <v>3</v>
      </c>
      <c r="M2909" s="573">
        <v>0</v>
      </c>
      <c r="N2909" s="573" t="s">
        <v>157</v>
      </c>
      <c r="O2909" s="573">
        <v>1</v>
      </c>
      <c r="P2909" s="573" t="s">
        <v>157</v>
      </c>
      <c r="Q2909" s="571">
        <v>12700</v>
      </c>
      <c r="R2909" s="573" t="s">
        <v>4235</v>
      </c>
      <c r="S2909" s="573">
        <v>8</v>
      </c>
      <c r="T2909" s="573" t="s">
        <v>5026</v>
      </c>
      <c r="U2909" s="573" t="s">
        <v>4905</v>
      </c>
      <c r="V2909" s="573">
        <v>145</v>
      </c>
      <c r="W2909" s="573">
        <v>40</v>
      </c>
      <c r="X2909" s="571">
        <v>10900</v>
      </c>
      <c r="Y2909" s="569" t="s">
        <v>164</v>
      </c>
      <c r="Z2909" s="579" t="s">
        <v>450</v>
      </c>
      <c r="AA2909" s="579" t="s">
        <v>178</v>
      </c>
      <c r="AB2909" s="584">
        <v>38695</v>
      </c>
      <c r="AC2909" s="584" t="s">
        <v>164</v>
      </c>
      <c r="AD2909" s="584">
        <v>29227.073684210529</v>
      </c>
      <c r="AE2909" s="586">
        <v>0.03</v>
      </c>
      <c r="AF2909" s="661" t="str">
        <f t="shared" si="318"/>
        <v>2019-LTK-FRD-F35C-037-27</v>
      </c>
      <c r="AG2909" s="661" t="str">
        <f>IF(AND($Y2909&gt;=32,(AI2909="I"),(Y2909&lt;&gt;"~"),(COUNTIF($AN$1:$AN2909,$AN2909)=1)),"TRUE","FALSE")</f>
        <v>FALSE</v>
      </c>
      <c r="AH2909" s="661" t="str">
        <f>IF(AND($Y2909&gt;=22, (AI2909&lt;&gt;"I"),(Y2909&lt;&gt;"~"),(COUNTIF($AN$1:$AN2909,$AN2909)=1)),"TRUE","FALSE")</f>
        <v>FALSE</v>
      </c>
      <c r="AI2909" s="661" t="str">
        <f t="shared" si="320"/>
        <v>N/A</v>
      </c>
      <c r="AJ2909" s="662" t="str">
        <f t="shared" si="314"/>
        <v>F35C-037</v>
      </c>
      <c r="AK2909" s="662" t="str">
        <f t="shared" si="315"/>
        <v>LTK</v>
      </c>
      <c r="AL2909" s="662" t="str">
        <f t="shared" si="316"/>
        <v>FRD</v>
      </c>
      <c r="AM2909" s="662" t="str">
        <f t="shared" si="319"/>
        <v>F350 Chassis Cab-Regular Cab XL SRW-4WD-3-~-12700-6.2L FFV-8-F3F-630A-145-40-E85-Unleaded</v>
      </c>
      <c r="AN2909" s="662" t="str">
        <f t="shared" si="317"/>
        <v>2019-LTK-FRD-F35C-037</v>
      </c>
    </row>
    <row r="2910" spans="1:40" ht="15">
      <c r="A2910" s="570" t="s">
        <v>5034</v>
      </c>
      <c r="B2910" s="569" t="s">
        <v>5028</v>
      </c>
      <c r="C2910" s="569" t="s">
        <v>280</v>
      </c>
      <c r="D2910" s="580">
        <v>27</v>
      </c>
      <c r="E2910" s="569" t="s">
        <v>3374</v>
      </c>
      <c r="F2910" s="569" t="s">
        <v>1684</v>
      </c>
      <c r="G2910" s="569" t="s">
        <v>271</v>
      </c>
      <c r="H2910" s="569">
        <v>2019</v>
      </c>
      <c r="I2910" s="569" t="s">
        <v>4879</v>
      </c>
      <c r="J2910" s="569" t="s">
        <v>5014</v>
      </c>
      <c r="K2910" s="569" t="s">
        <v>752</v>
      </c>
      <c r="L2910" s="569">
        <v>3</v>
      </c>
      <c r="M2910" s="569">
        <v>0</v>
      </c>
      <c r="N2910" s="569" t="s">
        <v>157</v>
      </c>
      <c r="O2910" s="569">
        <v>1</v>
      </c>
      <c r="P2910" s="569" t="s">
        <v>157</v>
      </c>
      <c r="Q2910" s="568">
        <v>12700</v>
      </c>
      <c r="R2910" s="569" t="s">
        <v>4231</v>
      </c>
      <c r="S2910" s="569">
        <v>8</v>
      </c>
      <c r="T2910" s="569" t="s">
        <v>5026</v>
      </c>
      <c r="U2910" s="569" t="s">
        <v>4905</v>
      </c>
      <c r="V2910" s="569">
        <v>145</v>
      </c>
      <c r="W2910" s="569">
        <v>40</v>
      </c>
      <c r="X2910" s="568">
        <v>11500</v>
      </c>
      <c r="Y2910" s="569" t="s">
        <v>164</v>
      </c>
      <c r="Z2910" s="581" t="s">
        <v>728</v>
      </c>
      <c r="AA2910" s="581" t="s">
        <v>1523</v>
      </c>
      <c r="AB2910" s="585">
        <v>47815</v>
      </c>
      <c r="AC2910" s="585" t="s">
        <v>164</v>
      </c>
      <c r="AD2910" s="585">
        <v>37419.26315789474</v>
      </c>
      <c r="AE2910" s="587">
        <v>0.03</v>
      </c>
      <c r="AF2910" s="661" t="str">
        <f t="shared" si="318"/>
        <v>2019-LTK-FRD-F35C-038-27</v>
      </c>
      <c r="AG2910" s="661" t="str">
        <f>IF(AND($Y2910&gt;=32,(AI2910="I"),(Y2910&lt;&gt;"~"),(COUNTIF($AN$1:$AN2910,$AN2910)=1)),"TRUE","FALSE")</f>
        <v>FALSE</v>
      </c>
      <c r="AH2910" s="661" t="str">
        <f>IF(AND($Y2910&gt;=22, (AI2910&lt;&gt;"I"),(Y2910&lt;&gt;"~"),(COUNTIF($AN$1:$AN2910,$AN2910)=1)),"TRUE","FALSE")</f>
        <v>FALSE</v>
      </c>
      <c r="AI2910" s="661" t="str">
        <f t="shared" si="320"/>
        <v>N/A</v>
      </c>
      <c r="AJ2910" s="662" t="str">
        <f t="shared" si="314"/>
        <v>F35C-038</v>
      </c>
      <c r="AK2910" s="662" t="str">
        <f t="shared" si="315"/>
        <v>LTK</v>
      </c>
      <c r="AL2910" s="662" t="str">
        <f t="shared" si="316"/>
        <v>FRD</v>
      </c>
      <c r="AM2910" s="662" t="str">
        <f t="shared" si="319"/>
        <v>F350 Chassis Cab-Regular Cab XL SRW-4WD-3-~-12700-6.7L Diesel-8-F3F-630A-145-40-Diesel-BioDiesel</v>
      </c>
      <c r="AN2910" s="662" t="str">
        <f t="shared" si="317"/>
        <v>2019-LTK-FRD-F35C-038</v>
      </c>
    </row>
    <row r="2911" spans="1:40" ht="15">
      <c r="A2911" s="570" t="s">
        <v>5035</v>
      </c>
      <c r="B2911" s="573" t="s">
        <v>5036</v>
      </c>
      <c r="C2911" s="573" t="s">
        <v>269</v>
      </c>
      <c r="D2911" s="578" t="s">
        <v>270</v>
      </c>
      <c r="E2911" s="573" t="s">
        <v>3374</v>
      </c>
      <c r="F2911" s="573" t="s">
        <v>1684</v>
      </c>
      <c r="G2911" s="573" t="s">
        <v>271</v>
      </c>
      <c r="H2911" s="573">
        <v>2019</v>
      </c>
      <c r="I2911" s="573" t="s">
        <v>4879</v>
      </c>
      <c r="J2911" s="573" t="s">
        <v>4730</v>
      </c>
      <c r="K2911" s="573" t="s">
        <v>3377</v>
      </c>
      <c r="L2911" s="573">
        <v>3</v>
      </c>
      <c r="M2911" s="573">
        <v>0</v>
      </c>
      <c r="N2911" s="573" t="s">
        <v>157</v>
      </c>
      <c r="O2911" s="573">
        <v>1</v>
      </c>
      <c r="P2911" s="573" t="s">
        <v>157</v>
      </c>
      <c r="Q2911" s="571">
        <v>13140</v>
      </c>
      <c r="R2911" s="573" t="s">
        <v>4235</v>
      </c>
      <c r="S2911" s="573">
        <v>8</v>
      </c>
      <c r="T2911" s="573" t="s">
        <v>4972</v>
      </c>
      <c r="U2911" s="573" t="s">
        <v>4928</v>
      </c>
      <c r="V2911" s="573">
        <v>169</v>
      </c>
      <c r="W2911" s="573">
        <v>40</v>
      </c>
      <c r="X2911" s="571">
        <v>14000</v>
      </c>
      <c r="Y2911" s="569" t="s">
        <v>164</v>
      </c>
      <c r="Z2911" s="579" t="s">
        <v>450</v>
      </c>
      <c r="AA2911" s="579" t="s">
        <v>178</v>
      </c>
      <c r="AB2911" s="584">
        <v>39935</v>
      </c>
      <c r="AC2911" s="584" t="s">
        <v>164</v>
      </c>
      <c r="AD2911" s="584">
        <v>29109.178947368422</v>
      </c>
      <c r="AE2911" s="586">
        <v>0.03</v>
      </c>
      <c r="AF2911" s="661" t="str">
        <f t="shared" si="318"/>
        <v>2019-LTK-FRD-F35C-039-05</v>
      </c>
      <c r="AG2911" s="661" t="str">
        <f>IF(AND($Y2911&gt;=32,(AI2911="I"),(Y2911&lt;&gt;"~"),(COUNTIF($AN$1:$AN2911,$AN2911)=1)),"TRUE","FALSE")</f>
        <v>FALSE</v>
      </c>
      <c r="AH2911" s="661" t="str">
        <f>IF(AND($Y2911&gt;=22, (AI2911&lt;&gt;"I"),(Y2911&lt;&gt;"~"),(COUNTIF($AN$1:$AN2911,$AN2911)=1)),"TRUE","FALSE")</f>
        <v>TRUE</v>
      </c>
      <c r="AI2911" s="661" t="str">
        <f t="shared" si="320"/>
        <v>N/A</v>
      </c>
      <c r="AJ2911" s="662" t="str">
        <f t="shared" si="314"/>
        <v>F35C-039</v>
      </c>
      <c r="AK2911" s="662" t="str">
        <f t="shared" si="315"/>
        <v>LTK</v>
      </c>
      <c r="AL2911" s="662" t="str">
        <f t="shared" si="316"/>
        <v>FRD</v>
      </c>
      <c r="AM2911" s="662" t="str">
        <f t="shared" si="319"/>
        <v>F350 Chassis Cab-Regular Cab XLT DRW-2WD-3-~-13140-6.2L FFV-8-F3G-643A-169-40-E85-Unleaded</v>
      </c>
      <c r="AN2911" s="662" t="str">
        <f t="shared" si="317"/>
        <v>2019-LTK-FRD-F35C-039</v>
      </c>
    </row>
    <row r="2912" spans="1:40" ht="15">
      <c r="A2912" s="570" t="s">
        <v>5037</v>
      </c>
      <c r="B2912" s="569" t="s">
        <v>5038</v>
      </c>
      <c r="C2912" s="569" t="s">
        <v>269</v>
      </c>
      <c r="D2912" s="580" t="s">
        <v>270</v>
      </c>
      <c r="E2912" s="569" t="s">
        <v>3374</v>
      </c>
      <c r="F2912" s="569" t="s">
        <v>1684</v>
      </c>
      <c r="G2912" s="569" t="s">
        <v>271</v>
      </c>
      <c r="H2912" s="569">
        <v>2019</v>
      </c>
      <c r="I2912" s="569" t="s">
        <v>4879</v>
      </c>
      <c r="J2912" s="569" t="s">
        <v>4730</v>
      </c>
      <c r="K2912" s="569" t="s">
        <v>3377</v>
      </c>
      <c r="L2912" s="569">
        <v>3</v>
      </c>
      <c r="M2912" s="569">
        <v>0</v>
      </c>
      <c r="N2912" s="569" t="s">
        <v>157</v>
      </c>
      <c r="O2912" s="569">
        <v>1</v>
      </c>
      <c r="P2912" s="569" t="s">
        <v>157</v>
      </c>
      <c r="Q2912" s="568">
        <v>13140</v>
      </c>
      <c r="R2912" s="569" t="s">
        <v>4231</v>
      </c>
      <c r="S2912" s="569">
        <v>8</v>
      </c>
      <c r="T2912" s="569" t="s">
        <v>4972</v>
      </c>
      <c r="U2912" s="569" t="s">
        <v>4928</v>
      </c>
      <c r="V2912" s="569">
        <v>169</v>
      </c>
      <c r="W2912" s="569">
        <v>40</v>
      </c>
      <c r="X2912" s="568">
        <v>14000</v>
      </c>
      <c r="Y2912" s="569" t="s">
        <v>164</v>
      </c>
      <c r="Z2912" s="581" t="s">
        <v>728</v>
      </c>
      <c r="AA2912" s="581" t="s">
        <v>1523</v>
      </c>
      <c r="AB2912" s="585">
        <v>49055</v>
      </c>
      <c r="AC2912" s="585" t="s">
        <v>164</v>
      </c>
      <c r="AD2912" s="585">
        <v>37301.368421052633</v>
      </c>
      <c r="AE2912" s="587">
        <v>0.03</v>
      </c>
      <c r="AF2912" s="661" t="str">
        <f t="shared" si="318"/>
        <v>2019-LTK-FRD-F35C-040-05</v>
      </c>
      <c r="AG2912" s="661" t="str">
        <f>IF(AND($Y2912&gt;=32,(AI2912="I"),(Y2912&lt;&gt;"~"),(COUNTIF($AN$1:$AN2912,$AN2912)=1)),"TRUE","FALSE")</f>
        <v>FALSE</v>
      </c>
      <c r="AH2912" s="661" t="str">
        <f>IF(AND($Y2912&gt;=22, (AI2912&lt;&gt;"I"),(Y2912&lt;&gt;"~"),(COUNTIF($AN$1:$AN2912,$AN2912)=1)),"TRUE","FALSE")</f>
        <v>TRUE</v>
      </c>
      <c r="AI2912" s="661" t="str">
        <f t="shared" si="320"/>
        <v>N/A</v>
      </c>
      <c r="AJ2912" s="662" t="str">
        <f t="shared" si="314"/>
        <v>F35C-040</v>
      </c>
      <c r="AK2912" s="662" t="str">
        <f t="shared" si="315"/>
        <v>LTK</v>
      </c>
      <c r="AL2912" s="662" t="str">
        <f t="shared" si="316"/>
        <v>FRD</v>
      </c>
      <c r="AM2912" s="662" t="str">
        <f t="shared" si="319"/>
        <v>F350 Chassis Cab-Regular Cab XLT DRW-2WD-3-~-13140-6.7L Diesel-8-F3G-643A-169-40-Diesel-BioDiesel</v>
      </c>
      <c r="AN2912" s="662" t="str">
        <f t="shared" si="317"/>
        <v>2019-LTK-FRD-F35C-040</v>
      </c>
    </row>
    <row r="2913" spans="1:40" ht="15">
      <c r="A2913" s="570" t="s">
        <v>5039</v>
      </c>
      <c r="B2913" s="573" t="s">
        <v>5040</v>
      </c>
      <c r="C2913" s="573" t="s">
        <v>269</v>
      </c>
      <c r="D2913" s="578" t="s">
        <v>270</v>
      </c>
      <c r="E2913" s="573" t="s">
        <v>3374</v>
      </c>
      <c r="F2913" s="573" t="s">
        <v>1684</v>
      </c>
      <c r="G2913" s="573" t="s">
        <v>271</v>
      </c>
      <c r="H2913" s="573">
        <v>2019</v>
      </c>
      <c r="I2913" s="573" t="s">
        <v>4879</v>
      </c>
      <c r="J2913" s="573" t="s">
        <v>4730</v>
      </c>
      <c r="K2913" s="573" t="s">
        <v>3377</v>
      </c>
      <c r="L2913" s="573">
        <v>3</v>
      </c>
      <c r="M2913" s="573">
        <v>0</v>
      </c>
      <c r="N2913" s="573" t="s">
        <v>157</v>
      </c>
      <c r="O2913" s="573">
        <v>1</v>
      </c>
      <c r="P2913" s="573" t="s">
        <v>157</v>
      </c>
      <c r="Q2913" s="571">
        <v>13300</v>
      </c>
      <c r="R2913" s="573" t="s">
        <v>4235</v>
      </c>
      <c r="S2913" s="573">
        <v>8</v>
      </c>
      <c r="T2913" s="573" t="s">
        <v>4972</v>
      </c>
      <c r="U2913" s="573" t="s">
        <v>4928</v>
      </c>
      <c r="V2913" s="573">
        <v>145</v>
      </c>
      <c r="W2913" s="573">
        <v>40</v>
      </c>
      <c r="X2913" s="571">
        <v>14000</v>
      </c>
      <c r="Y2913" s="569" t="s">
        <v>164</v>
      </c>
      <c r="Z2913" s="579" t="s">
        <v>450</v>
      </c>
      <c r="AA2913" s="579" t="s">
        <v>178</v>
      </c>
      <c r="AB2913" s="584">
        <v>39755</v>
      </c>
      <c r="AC2913" s="584" t="s">
        <v>164</v>
      </c>
      <c r="AD2913" s="584">
        <v>28942.863157894739</v>
      </c>
      <c r="AE2913" s="586">
        <v>0.03</v>
      </c>
      <c r="AF2913" s="661" t="str">
        <f t="shared" si="318"/>
        <v>2019-LTK-FRD-F35C-041-05</v>
      </c>
      <c r="AG2913" s="661" t="str">
        <f>IF(AND($Y2913&gt;=32,(AI2913="I"),(Y2913&lt;&gt;"~"),(COUNTIF($AN$1:$AN2913,$AN2913)=1)),"TRUE","FALSE")</f>
        <v>FALSE</v>
      </c>
      <c r="AH2913" s="661" t="str">
        <f>IF(AND($Y2913&gt;=22, (AI2913&lt;&gt;"I"),(Y2913&lt;&gt;"~"),(COUNTIF($AN$1:$AN2913,$AN2913)=1)),"TRUE","FALSE")</f>
        <v>TRUE</v>
      </c>
      <c r="AI2913" s="661" t="str">
        <f t="shared" si="320"/>
        <v>N/A</v>
      </c>
      <c r="AJ2913" s="662" t="str">
        <f t="shared" si="314"/>
        <v>F35C-041</v>
      </c>
      <c r="AK2913" s="662" t="str">
        <f t="shared" si="315"/>
        <v>LTK</v>
      </c>
      <c r="AL2913" s="662" t="str">
        <f t="shared" si="316"/>
        <v>FRD</v>
      </c>
      <c r="AM2913" s="662" t="str">
        <f t="shared" si="319"/>
        <v>F350 Chassis Cab-Regular Cab XLT DRW-2WD-3-~-13300-6.2L FFV-8-F3G-643A-145-40-E85-Unleaded</v>
      </c>
      <c r="AN2913" s="662" t="str">
        <f t="shared" si="317"/>
        <v>2019-LTK-FRD-F35C-041</v>
      </c>
    </row>
    <row r="2914" spans="1:40" ht="15">
      <c r="A2914" s="570" t="s">
        <v>5041</v>
      </c>
      <c r="B2914" s="569" t="s">
        <v>5042</v>
      </c>
      <c r="C2914" s="569" t="s">
        <v>269</v>
      </c>
      <c r="D2914" s="580" t="s">
        <v>270</v>
      </c>
      <c r="E2914" s="569" t="s">
        <v>3374</v>
      </c>
      <c r="F2914" s="569" t="s">
        <v>1684</v>
      </c>
      <c r="G2914" s="569" t="s">
        <v>271</v>
      </c>
      <c r="H2914" s="569">
        <v>2019</v>
      </c>
      <c r="I2914" s="569" t="s">
        <v>4879</v>
      </c>
      <c r="J2914" s="569" t="s">
        <v>4730</v>
      </c>
      <c r="K2914" s="569" t="s">
        <v>3377</v>
      </c>
      <c r="L2914" s="569">
        <v>3</v>
      </c>
      <c r="M2914" s="569">
        <v>0</v>
      </c>
      <c r="N2914" s="569" t="s">
        <v>157</v>
      </c>
      <c r="O2914" s="569">
        <v>1</v>
      </c>
      <c r="P2914" s="569" t="s">
        <v>157</v>
      </c>
      <c r="Q2914" s="568">
        <v>13300</v>
      </c>
      <c r="R2914" s="569" t="s">
        <v>4231</v>
      </c>
      <c r="S2914" s="569">
        <v>8</v>
      </c>
      <c r="T2914" s="569" t="s">
        <v>4972</v>
      </c>
      <c r="U2914" s="569" t="s">
        <v>4928</v>
      </c>
      <c r="V2914" s="569">
        <v>145</v>
      </c>
      <c r="W2914" s="569">
        <v>40</v>
      </c>
      <c r="X2914" s="568">
        <v>14000</v>
      </c>
      <c r="Y2914" s="569" t="s">
        <v>164</v>
      </c>
      <c r="Z2914" s="581" t="s">
        <v>728</v>
      </c>
      <c r="AA2914" s="581" t="s">
        <v>1523</v>
      </c>
      <c r="AB2914" s="585">
        <v>48875</v>
      </c>
      <c r="AC2914" s="585" t="s">
        <v>164</v>
      </c>
      <c r="AD2914" s="585">
        <v>37135.052631578954</v>
      </c>
      <c r="AE2914" s="587">
        <v>0.03</v>
      </c>
      <c r="AF2914" s="661" t="str">
        <f t="shared" si="318"/>
        <v>2019-LTK-FRD-F35C-043-05</v>
      </c>
      <c r="AG2914" s="661" t="str">
        <f>IF(AND($Y2914&gt;=32,(AI2914="I"),(Y2914&lt;&gt;"~"),(COUNTIF($AN$1:$AN2914,$AN2914)=1)),"TRUE","FALSE")</f>
        <v>FALSE</v>
      </c>
      <c r="AH2914" s="661" t="str">
        <f>IF(AND($Y2914&gt;=22, (AI2914&lt;&gt;"I"),(Y2914&lt;&gt;"~"),(COUNTIF($AN$1:$AN2914,$AN2914)=1)),"TRUE","FALSE")</f>
        <v>TRUE</v>
      </c>
      <c r="AI2914" s="661" t="str">
        <f t="shared" si="320"/>
        <v>N/A</v>
      </c>
      <c r="AJ2914" s="662" t="str">
        <f t="shared" si="314"/>
        <v>F35C-043</v>
      </c>
      <c r="AK2914" s="662" t="str">
        <f t="shared" si="315"/>
        <v>LTK</v>
      </c>
      <c r="AL2914" s="662" t="str">
        <f t="shared" si="316"/>
        <v>FRD</v>
      </c>
      <c r="AM2914" s="662" t="str">
        <f t="shared" si="319"/>
        <v>F350 Chassis Cab-Regular Cab XLT DRW-2WD-3-~-13300-6.7L Diesel-8-F3G-643A-145-40-Diesel-BioDiesel</v>
      </c>
      <c r="AN2914" s="662" t="str">
        <f t="shared" si="317"/>
        <v>2019-LTK-FRD-F35C-043</v>
      </c>
    </row>
    <row r="2915" spans="1:40" ht="15">
      <c r="A2915" s="570" t="s">
        <v>5043</v>
      </c>
      <c r="B2915" s="573" t="s">
        <v>5036</v>
      </c>
      <c r="C2915" s="573" t="s">
        <v>278</v>
      </c>
      <c r="D2915" s="578">
        <v>15</v>
      </c>
      <c r="E2915" s="573" t="s">
        <v>3374</v>
      </c>
      <c r="F2915" s="573" t="s">
        <v>1684</v>
      </c>
      <c r="G2915" s="573" t="s">
        <v>271</v>
      </c>
      <c r="H2915" s="573">
        <v>2019</v>
      </c>
      <c r="I2915" s="573" t="s">
        <v>4879</v>
      </c>
      <c r="J2915" s="573" t="s">
        <v>4730</v>
      </c>
      <c r="K2915" s="573" t="s">
        <v>3377</v>
      </c>
      <c r="L2915" s="573">
        <v>3</v>
      </c>
      <c r="M2915" s="573">
        <v>0</v>
      </c>
      <c r="N2915" s="573" t="s">
        <v>157</v>
      </c>
      <c r="O2915" s="573">
        <v>1</v>
      </c>
      <c r="P2915" s="573" t="s">
        <v>157</v>
      </c>
      <c r="Q2915" s="571">
        <v>13200</v>
      </c>
      <c r="R2915" s="573" t="s">
        <v>4235</v>
      </c>
      <c r="S2915" s="573">
        <v>8</v>
      </c>
      <c r="T2915" s="573" t="s">
        <v>4972</v>
      </c>
      <c r="U2915" s="573" t="s">
        <v>4928</v>
      </c>
      <c r="V2915" s="573">
        <v>169</v>
      </c>
      <c r="W2915" s="573">
        <v>40</v>
      </c>
      <c r="X2915" s="571">
        <v>14000</v>
      </c>
      <c r="Y2915" s="569" t="s">
        <v>164</v>
      </c>
      <c r="Z2915" s="579" t="s">
        <v>450</v>
      </c>
      <c r="AA2915" s="579" t="s">
        <v>178</v>
      </c>
      <c r="AB2915" s="584">
        <v>39935</v>
      </c>
      <c r="AC2915" s="584" t="s">
        <v>164</v>
      </c>
      <c r="AD2915" s="584">
        <v>29200</v>
      </c>
      <c r="AE2915" s="586">
        <v>0.01</v>
      </c>
      <c r="AF2915" s="661" t="str">
        <f t="shared" si="318"/>
        <v>2019-LTK-FRD-F35C-039-15</v>
      </c>
      <c r="AG2915" s="661" t="str">
        <f>IF(AND($Y2915&gt;=32,(AI2915="I"),(Y2915&lt;&gt;"~"),(COUNTIF($AN$1:$AN2915,$AN2915)=1)),"TRUE","FALSE")</f>
        <v>FALSE</v>
      </c>
      <c r="AH2915" s="661" t="str">
        <f>IF(AND($Y2915&gt;=22, (AI2915&lt;&gt;"I"),(Y2915&lt;&gt;"~"),(COUNTIF($AN$1:$AN2915,$AN2915)=1)),"TRUE","FALSE")</f>
        <v>FALSE</v>
      </c>
      <c r="AI2915" s="661" t="str">
        <f t="shared" si="320"/>
        <v>N/A</v>
      </c>
      <c r="AJ2915" s="662" t="str">
        <f t="shared" si="314"/>
        <v>F35C-039</v>
      </c>
      <c r="AK2915" s="662" t="str">
        <f t="shared" si="315"/>
        <v>LTK</v>
      </c>
      <c r="AL2915" s="662" t="str">
        <f t="shared" si="316"/>
        <v>FRD</v>
      </c>
      <c r="AM2915" s="662" t="str">
        <f t="shared" si="319"/>
        <v>F350 Chassis Cab-Regular Cab XLT DRW-2WD-3-~-13200-6.2L FFV-8-F3G-643A-169-40-E85-Unleaded</v>
      </c>
      <c r="AN2915" s="662" t="str">
        <f t="shared" si="317"/>
        <v>2019-LTK-FRD-F35C-039</v>
      </c>
    </row>
    <row r="2916" spans="1:40" ht="15">
      <c r="A2916" s="570" t="s">
        <v>5044</v>
      </c>
      <c r="B2916" s="569" t="s">
        <v>5038</v>
      </c>
      <c r="C2916" s="569" t="s">
        <v>278</v>
      </c>
      <c r="D2916" s="580">
        <v>15</v>
      </c>
      <c r="E2916" s="569" t="s">
        <v>3374</v>
      </c>
      <c r="F2916" s="569" t="s">
        <v>1684</v>
      </c>
      <c r="G2916" s="569" t="s">
        <v>271</v>
      </c>
      <c r="H2916" s="569">
        <v>2019</v>
      </c>
      <c r="I2916" s="569" t="s">
        <v>4879</v>
      </c>
      <c r="J2916" s="569" t="s">
        <v>4730</v>
      </c>
      <c r="K2916" s="569" t="s">
        <v>3377</v>
      </c>
      <c r="L2916" s="569">
        <v>3</v>
      </c>
      <c r="M2916" s="569">
        <v>0</v>
      </c>
      <c r="N2916" s="569" t="s">
        <v>157</v>
      </c>
      <c r="O2916" s="569">
        <v>1</v>
      </c>
      <c r="P2916" s="569" t="s">
        <v>157</v>
      </c>
      <c r="Q2916" s="568">
        <v>13200</v>
      </c>
      <c r="R2916" s="569" t="s">
        <v>4231</v>
      </c>
      <c r="S2916" s="569">
        <v>8</v>
      </c>
      <c r="T2916" s="569" t="s">
        <v>4972</v>
      </c>
      <c r="U2916" s="569" t="s">
        <v>4928</v>
      </c>
      <c r="V2916" s="569">
        <v>169</v>
      </c>
      <c r="W2916" s="569">
        <v>40</v>
      </c>
      <c r="X2916" s="568">
        <v>14000</v>
      </c>
      <c r="Y2916" s="569" t="s">
        <v>164</v>
      </c>
      <c r="Z2916" s="581" t="s">
        <v>728</v>
      </c>
      <c r="AA2916" s="581" t="s">
        <v>1523</v>
      </c>
      <c r="AB2916" s="585">
        <v>49055</v>
      </c>
      <c r="AC2916" s="585" t="s">
        <v>164</v>
      </c>
      <c r="AD2916" s="585">
        <v>37500</v>
      </c>
      <c r="AE2916" s="587">
        <v>0.01</v>
      </c>
      <c r="AF2916" s="661" t="str">
        <f t="shared" si="318"/>
        <v>2019-LTK-FRD-F35C-040-15</v>
      </c>
      <c r="AG2916" s="661" t="str">
        <f>IF(AND($Y2916&gt;=32,(AI2916="I"),(Y2916&lt;&gt;"~"),(COUNTIF($AN$1:$AN2916,$AN2916)=1)),"TRUE","FALSE")</f>
        <v>FALSE</v>
      </c>
      <c r="AH2916" s="661" t="str">
        <f>IF(AND($Y2916&gt;=22, (AI2916&lt;&gt;"I"),(Y2916&lt;&gt;"~"),(COUNTIF($AN$1:$AN2916,$AN2916)=1)),"TRUE","FALSE")</f>
        <v>FALSE</v>
      </c>
      <c r="AI2916" s="661" t="str">
        <f t="shared" si="320"/>
        <v>N/A</v>
      </c>
      <c r="AJ2916" s="662" t="str">
        <f t="shared" si="314"/>
        <v>F35C-040</v>
      </c>
      <c r="AK2916" s="662" t="str">
        <f t="shared" si="315"/>
        <v>LTK</v>
      </c>
      <c r="AL2916" s="662" t="str">
        <f t="shared" si="316"/>
        <v>FRD</v>
      </c>
      <c r="AM2916" s="662" t="str">
        <f t="shared" si="319"/>
        <v>F350 Chassis Cab-Regular Cab XLT DRW-2WD-3-~-13200-6.7L Diesel-8-F3G-643A-169-40-Diesel-BioDiesel</v>
      </c>
      <c r="AN2916" s="662" t="str">
        <f t="shared" si="317"/>
        <v>2019-LTK-FRD-F35C-040</v>
      </c>
    </row>
    <row r="2917" spans="1:40" ht="15">
      <c r="A2917" s="570" t="s">
        <v>5045</v>
      </c>
      <c r="B2917" s="573" t="s">
        <v>5040</v>
      </c>
      <c r="C2917" s="573" t="s">
        <v>278</v>
      </c>
      <c r="D2917" s="578">
        <v>15</v>
      </c>
      <c r="E2917" s="573" t="s">
        <v>3374</v>
      </c>
      <c r="F2917" s="573" t="s">
        <v>1684</v>
      </c>
      <c r="G2917" s="573" t="s">
        <v>271</v>
      </c>
      <c r="H2917" s="573">
        <v>2019</v>
      </c>
      <c r="I2917" s="573" t="s">
        <v>4879</v>
      </c>
      <c r="J2917" s="573" t="s">
        <v>4730</v>
      </c>
      <c r="K2917" s="573" t="s">
        <v>3377</v>
      </c>
      <c r="L2917" s="573">
        <v>3</v>
      </c>
      <c r="M2917" s="573">
        <v>0</v>
      </c>
      <c r="N2917" s="573" t="s">
        <v>157</v>
      </c>
      <c r="O2917" s="573">
        <v>1</v>
      </c>
      <c r="P2917" s="573" t="s">
        <v>157</v>
      </c>
      <c r="Q2917" s="571">
        <v>13400</v>
      </c>
      <c r="R2917" s="573" t="s">
        <v>4235</v>
      </c>
      <c r="S2917" s="573">
        <v>8</v>
      </c>
      <c r="T2917" s="573" t="s">
        <v>4972</v>
      </c>
      <c r="U2917" s="573" t="s">
        <v>4928</v>
      </c>
      <c r="V2917" s="573">
        <v>145</v>
      </c>
      <c r="W2917" s="573">
        <v>40</v>
      </c>
      <c r="X2917" s="571">
        <v>14000</v>
      </c>
      <c r="Y2917" s="569" t="s">
        <v>164</v>
      </c>
      <c r="Z2917" s="579" t="s">
        <v>450</v>
      </c>
      <c r="AA2917" s="579" t="s">
        <v>178</v>
      </c>
      <c r="AB2917" s="584">
        <v>39755</v>
      </c>
      <c r="AC2917" s="584" t="s">
        <v>164</v>
      </c>
      <c r="AD2917" s="584">
        <v>29050</v>
      </c>
      <c r="AE2917" s="586">
        <v>0.01</v>
      </c>
      <c r="AF2917" s="661" t="str">
        <f t="shared" si="318"/>
        <v>2019-LTK-FRD-F35C-041-15</v>
      </c>
      <c r="AG2917" s="661" t="str">
        <f>IF(AND($Y2917&gt;=32,(AI2917="I"),(Y2917&lt;&gt;"~"),(COUNTIF($AN$1:$AN2917,$AN2917)=1)),"TRUE","FALSE")</f>
        <v>FALSE</v>
      </c>
      <c r="AH2917" s="661" t="str">
        <f>IF(AND($Y2917&gt;=22, (AI2917&lt;&gt;"I"),(Y2917&lt;&gt;"~"),(COUNTIF($AN$1:$AN2917,$AN2917)=1)),"TRUE","FALSE")</f>
        <v>FALSE</v>
      </c>
      <c r="AI2917" s="661" t="str">
        <f t="shared" si="320"/>
        <v>N/A</v>
      </c>
      <c r="AJ2917" s="662" t="str">
        <f t="shared" si="314"/>
        <v>F35C-041</v>
      </c>
      <c r="AK2917" s="662" t="str">
        <f t="shared" si="315"/>
        <v>LTK</v>
      </c>
      <c r="AL2917" s="662" t="str">
        <f t="shared" si="316"/>
        <v>FRD</v>
      </c>
      <c r="AM2917" s="662" t="str">
        <f t="shared" si="319"/>
        <v>F350 Chassis Cab-Regular Cab XLT DRW-2WD-3-~-13400-6.2L FFV-8-F3G-643A-145-40-E85-Unleaded</v>
      </c>
      <c r="AN2917" s="662" t="str">
        <f t="shared" si="317"/>
        <v>2019-LTK-FRD-F35C-041</v>
      </c>
    </row>
    <row r="2918" spans="1:40" ht="15">
      <c r="A2918" s="570" t="s">
        <v>5046</v>
      </c>
      <c r="B2918" s="569" t="s">
        <v>5042</v>
      </c>
      <c r="C2918" s="569" t="s">
        <v>278</v>
      </c>
      <c r="D2918" s="580">
        <v>15</v>
      </c>
      <c r="E2918" s="569" t="s">
        <v>3374</v>
      </c>
      <c r="F2918" s="569" t="s">
        <v>1684</v>
      </c>
      <c r="G2918" s="569" t="s">
        <v>271</v>
      </c>
      <c r="H2918" s="569">
        <v>2019</v>
      </c>
      <c r="I2918" s="569" t="s">
        <v>4879</v>
      </c>
      <c r="J2918" s="569" t="s">
        <v>4730</v>
      </c>
      <c r="K2918" s="569" t="s">
        <v>3377</v>
      </c>
      <c r="L2918" s="569">
        <v>3</v>
      </c>
      <c r="M2918" s="569">
        <v>0</v>
      </c>
      <c r="N2918" s="569" t="s">
        <v>157</v>
      </c>
      <c r="O2918" s="569">
        <v>1</v>
      </c>
      <c r="P2918" s="569" t="s">
        <v>157</v>
      </c>
      <c r="Q2918" s="568">
        <v>13400</v>
      </c>
      <c r="R2918" s="569" t="s">
        <v>4231</v>
      </c>
      <c r="S2918" s="569">
        <v>8</v>
      </c>
      <c r="T2918" s="569" t="s">
        <v>4972</v>
      </c>
      <c r="U2918" s="569" t="s">
        <v>4928</v>
      </c>
      <c r="V2918" s="569">
        <v>145</v>
      </c>
      <c r="W2918" s="569">
        <v>40</v>
      </c>
      <c r="X2918" s="568">
        <v>14000</v>
      </c>
      <c r="Y2918" s="569" t="s">
        <v>164</v>
      </c>
      <c r="Z2918" s="581" t="s">
        <v>728</v>
      </c>
      <c r="AA2918" s="581" t="s">
        <v>1523</v>
      </c>
      <c r="AB2918" s="585">
        <v>48875</v>
      </c>
      <c r="AC2918" s="585" t="s">
        <v>164</v>
      </c>
      <c r="AD2918" s="585">
        <v>37350</v>
      </c>
      <c r="AE2918" s="587">
        <v>0.01</v>
      </c>
      <c r="AF2918" s="661" t="str">
        <f t="shared" si="318"/>
        <v>2019-LTK-FRD-F35C-043-15</v>
      </c>
      <c r="AG2918" s="661" t="str">
        <f>IF(AND($Y2918&gt;=32,(AI2918="I"),(Y2918&lt;&gt;"~"),(COUNTIF($AN$1:$AN2918,$AN2918)=1)),"TRUE","FALSE")</f>
        <v>FALSE</v>
      </c>
      <c r="AH2918" s="661" t="str">
        <f>IF(AND($Y2918&gt;=22, (AI2918&lt;&gt;"I"),(Y2918&lt;&gt;"~"),(COUNTIF($AN$1:$AN2918,$AN2918)=1)),"TRUE","FALSE")</f>
        <v>FALSE</v>
      </c>
      <c r="AI2918" s="661" t="str">
        <f t="shared" si="320"/>
        <v>N/A</v>
      </c>
      <c r="AJ2918" s="662" t="str">
        <f t="shared" si="314"/>
        <v>F35C-043</v>
      </c>
      <c r="AK2918" s="662" t="str">
        <f t="shared" si="315"/>
        <v>LTK</v>
      </c>
      <c r="AL2918" s="662" t="str">
        <f t="shared" si="316"/>
        <v>FRD</v>
      </c>
      <c r="AM2918" s="662" t="str">
        <f t="shared" si="319"/>
        <v>F350 Chassis Cab-Regular Cab XLT DRW-2WD-3-~-13400-6.7L Diesel-8-F3G-643A-145-40-Diesel-BioDiesel</v>
      </c>
      <c r="AN2918" s="662" t="str">
        <f t="shared" si="317"/>
        <v>2019-LTK-FRD-F35C-043</v>
      </c>
    </row>
    <row r="2919" spans="1:40" ht="15">
      <c r="A2919" s="570" t="s">
        <v>5047</v>
      </c>
      <c r="B2919" s="573" t="s">
        <v>5036</v>
      </c>
      <c r="C2919" s="573" t="s">
        <v>287</v>
      </c>
      <c r="D2919" s="578">
        <v>26</v>
      </c>
      <c r="E2919" s="573" t="s">
        <v>3374</v>
      </c>
      <c r="F2919" s="573" t="s">
        <v>1684</v>
      </c>
      <c r="G2919" s="573" t="s">
        <v>271</v>
      </c>
      <c r="H2919" s="573">
        <v>2019</v>
      </c>
      <c r="I2919" s="573" t="s">
        <v>4879</v>
      </c>
      <c r="J2919" s="573" t="s">
        <v>4730</v>
      </c>
      <c r="K2919" s="573" t="s">
        <v>3377</v>
      </c>
      <c r="L2919" s="573">
        <v>3</v>
      </c>
      <c r="M2919" s="573">
        <v>0</v>
      </c>
      <c r="N2919" s="573" t="s">
        <v>157</v>
      </c>
      <c r="O2919" s="573">
        <v>1</v>
      </c>
      <c r="P2919" s="573" t="s">
        <v>157</v>
      </c>
      <c r="Q2919" s="571">
        <v>13200</v>
      </c>
      <c r="R2919" s="573" t="s">
        <v>4235</v>
      </c>
      <c r="S2919" s="573">
        <v>8</v>
      </c>
      <c r="T2919" s="573" t="s">
        <v>4972</v>
      </c>
      <c r="U2919" s="573" t="s">
        <v>4928</v>
      </c>
      <c r="V2919" s="573">
        <v>169</v>
      </c>
      <c r="W2919" s="573">
        <v>40</v>
      </c>
      <c r="X2919" s="571">
        <v>14000</v>
      </c>
      <c r="Y2919" s="569" t="s">
        <v>164</v>
      </c>
      <c r="Z2919" s="579" t="s">
        <v>450</v>
      </c>
      <c r="AA2919" s="579" t="s">
        <v>178</v>
      </c>
      <c r="AB2919" s="584">
        <v>39485</v>
      </c>
      <c r="AC2919" s="584" t="s">
        <v>164</v>
      </c>
      <c r="AD2919" s="584">
        <v>29269</v>
      </c>
      <c r="AE2919" s="586">
        <v>0.05</v>
      </c>
      <c r="AF2919" s="661" t="str">
        <f t="shared" si="318"/>
        <v>2019-LTK-FRD-F35C-039-26</v>
      </c>
      <c r="AG2919" s="661" t="str">
        <f>IF(AND($Y2919&gt;=32,(AI2919="I"),(Y2919&lt;&gt;"~"),(COUNTIF($AN$1:$AN2919,$AN2919)=1)),"TRUE","FALSE")</f>
        <v>FALSE</v>
      </c>
      <c r="AH2919" s="661" t="str">
        <f>IF(AND($Y2919&gt;=22, (AI2919&lt;&gt;"I"),(Y2919&lt;&gt;"~"),(COUNTIF($AN$1:$AN2919,$AN2919)=1)),"TRUE","FALSE")</f>
        <v>FALSE</v>
      </c>
      <c r="AI2919" s="661" t="str">
        <f t="shared" si="320"/>
        <v>N/A</v>
      </c>
      <c r="AJ2919" s="662" t="str">
        <f t="shared" si="314"/>
        <v>F35C-039</v>
      </c>
      <c r="AK2919" s="662" t="str">
        <f t="shared" si="315"/>
        <v>LTK</v>
      </c>
      <c r="AL2919" s="662" t="str">
        <f t="shared" si="316"/>
        <v>FRD</v>
      </c>
      <c r="AM2919" s="662" t="str">
        <f t="shared" si="319"/>
        <v>F350 Chassis Cab-Regular Cab XLT DRW-2WD-3-~-13200-6.2L FFV-8-F3G-643A-169-40-E85-Unleaded</v>
      </c>
      <c r="AN2919" s="662" t="str">
        <f t="shared" si="317"/>
        <v>2019-LTK-FRD-F35C-039</v>
      </c>
    </row>
    <row r="2920" spans="1:40" ht="15">
      <c r="A2920" s="570" t="s">
        <v>5048</v>
      </c>
      <c r="B2920" s="569" t="s">
        <v>5038</v>
      </c>
      <c r="C2920" s="569" t="s">
        <v>287</v>
      </c>
      <c r="D2920" s="580">
        <v>26</v>
      </c>
      <c r="E2920" s="569" t="s">
        <v>3374</v>
      </c>
      <c r="F2920" s="569" t="s">
        <v>1684</v>
      </c>
      <c r="G2920" s="569" t="s">
        <v>271</v>
      </c>
      <c r="H2920" s="569">
        <v>2019</v>
      </c>
      <c r="I2920" s="569" t="s">
        <v>4879</v>
      </c>
      <c r="J2920" s="569" t="s">
        <v>4730</v>
      </c>
      <c r="K2920" s="569" t="s">
        <v>3377</v>
      </c>
      <c r="L2920" s="569">
        <v>3</v>
      </c>
      <c r="M2920" s="569">
        <v>0</v>
      </c>
      <c r="N2920" s="569" t="s">
        <v>157</v>
      </c>
      <c r="O2920" s="569">
        <v>1</v>
      </c>
      <c r="P2920" s="569" t="s">
        <v>157</v>
      </c>
      <c r="Q2920" s="568">
        <v>13200</v>
      </c>
      <c r="R2920" s="569" t="s">
        <v>4231</v>
      </c>
      <c r="S2920" s="569">
        <v>8</v>
      </c>
      <c r="T2920" s="569" t="s">
        <v>4972</v>
      </c>
      <c r="U2920" s="569" t="s">
        <v>4928</v>
      </c>
      <c r="V2920" s="569">
        <v>169</v>
      </c>
      <c r="W2920" s="569">
        <v>40</v>
      </c>
      <c r="X2920" s="568">
        <v>14000</v>
      </c>
      <c r="Y2920" s="569" t="s">
        <v>164</v>
      </c>
      <c r="Z2920" s="581" t="s">
        <v>728</v>
      </c>
      <c r="AA2920" s="581" t="s">
        <v>1523</v>
      </c>
      <c r="AB2920" s="585">
        <v>48480</v>
      </c>
      <c r="AC2920" s="585" t="s">
        <v>164</v>
      </c>
      <c r="AD2920" s="585">
        <v>37463</v>
      </c>
      <c r="AE2920" s="587">
        <v>0.05</v>
      </c>
      <c r="AF2920" s="661" t="str">
        <f t="shared" si="318"/>
        <v>2019-LTK-FRD-F35C-040-26</v>
      </c>
      <c r="AG2920" s="661" t="str">
        <f>IF(AND($Y2920&gt;=32,(AI2920="I"),(Y2920&lt;&gt;"~"),(COUNTIF($AN$1:$AN2920,$AN2920)=1)),"TRUE","FALSE")</f>
        <v>FALSE</v>
      </c>
      <c r="AH2920" s="661" t="str">
        <f>IF(AND($Y2920&gt;=22, (AI2920&lt;&gt;"I"),(Y2920&lt;&gt;"~"),(COUNTIF($AN$1:$AN2920,$AN2920)=1)),"TRUE","FALSE")</f>
        <v>FALSE</v>
      </c>
      <c r="AI2920" s="661" t="str">
        <f t="shared" si="320"/>
        <v>N/A</v>
      </c>
      <c r="AJ2920" s="662" t="str">
        <f t="shared" si="314"/>
        <v>F35C-040</v>
      </c>
      <c r="AK2920" s="662" t="str">
        <f t="shared" si="315"/>
        <v>LTK</v>
      </c>
      <c r="AL2920" s="662" t="str">
        <f t="shared" si="316"/>
        <v>FRD</v>
      </c>
      <c r="AM2920" s="662" t="str">
        <f t="shared" si="319"/>
        <v>F350 Chassis Cab-Regular Cab XLT DRW-2WD-3-~-13200-6.7L Diesel-8-F3G-643A-169-40-Diesel-BioDiesel</v>
      </c>
      <c r="AN2920" s="662" t="str">
        <f t="shared" si="317"/>
        <v>2019-LTK-FRD-F35C-040</v>
      </c>
    </row>
    <row r="2921" spans="1:40" ht="15">
      <c r="A2921" s="570" t="s">
        <v>5049</v>
      </c>
      <c r="B2921" s="573" t="s">
        <v>5040</v>
      </c>
      <c r="C2921" s="573" t="s">
        <v>287</v>
      </c>
      <c r="D2921" s="578">
        <v>26</v>
      </c>
      <c r="E2921" s="573" t="s">
        <v>3374</v>
      </c>
      <c r="F2921" s="573" t="s">
        <v>1684</v>
      </c>
      <c r="G2921" s="573" t="s">
        <v>271</v>
      </c>
      <c r="H2921" s="573">
        <v>2019</v>
      </c>
      <c r="I2921" s="573" t="s">
        <v>4879</v>
      </c>
      <c r="J2921" s="573" t="s">
        <v>4730</v>
      </c>
      <c r="K2921" s="573" t="s">
        <v>3377</v>
      </c>
      <c r="L2921" s="573">
        <v>3</v>
      </c>
      <c r="M2921" s="573">
        <v>0</v>
      </c>
      <c r="N2921" s="573" t="s">
        <v>157</v>
      </c>
      <c r="O2921" s="573">
        <v>1</v>
      </c>
      <c r="P2921" s="573" t="s">
        <v>157</v>
      </c>
      <c r="Q2921" s="571">
        <v>13400</v>
      </c>
      <c r="R2921" s="573" t="s">
        <v>4235</v>
      </c>
      <c r="S2921" s="573">
        <v>8</v>
      </c>
      <c r="T2921" s="573" t="s">
        <v>4972</v>
      </c>
      <c r="U2921" s="573" t="s">
        <v>4928</v>
      </c>
      <c r="V2921" s="573">
        <v>145</v>
      </c>
      <c r="W2921" s="573">
        <v>40</v>
      </c>
      <c r="X2921" s="571">
        <v>14000</v>
      </c>
      <c r="Y2921" s="569" t="s">
        <v>164</v>
      </c>
      <c r="Z2921" s="579" t="s">
        <v>450</v>
      </c>
      <c r="AA2921" s="579" t="s">
        <v>178</v>
      </c>
      <c r="AB2921" s="584">
        <v>39305</v>
      </c>
      <c r="AC2921" s="584" t="s">
        <v>164</v>
      </c>
      <c r="AD2921" s="584">
        <v>29099</v>
      </c>
      <c r="AE2921" s="586">
        <v>0.05</v>
      </c>
      <c r="AF2921" s="661" t="str">
        <f t="shared" si="318"/>
        <v>2019-LTK-FRD-F35C-041-26</v>
      </c>
      <c r="AG2921" s="661" t="str">
        <f>IF(AND($Y2921&gt;=32,(AI2921="I"),(Y2921&lt;&gt;"~"),(COUNTIF($AN$1:$AN2921,$AN2921)=1)),"TRUE","FALSE")</f>
        <v>FALSE</v>
      </c>
      <c r="AH2921" s="661" t="str">
        <f>IF(AND($Y2921&gt;=22, (AI2921&lt;&gt;"I"),(Y2921&lt;&gt;"~"),(COUNTIF($AN$1:$AN2921,$AN2921)=1)),"TRUE","FALSE")</f>
        <v>FALSE</v>
      </c>
      <c r="AI2921" s="661" t="str">
        <f t="shared" si="320"/>
        <v>N/A</v>
      </c>
      <c r="AJ2921" s="662" t="str">
        <f t="shared" si="314"/>
        <v>F35C-041</v>
      </c>
      <c r="AK2921" s="662" t="str">
        <f t="shared" si="315"/>
        <v>LTK</v>
      </c>
      <c r="AL2921" s="662" t="str">
        <f t="shared" si="316"/>
        <v>FRD</v>
      </c>
      <c r="AM2921" s="662" t="str">
        <f t="shared" si="319"/>
        <v>F350 Chassis Cab-Regular Cab XLT DRW-2WD-3-~-13400-6.2L FFV-8-F3G-643A-145-40-E85-Unleaded</v>
      </c>
      <c r="AN2921" s="662" t="str">
        <f t="shared" si="317"/>
        <v>2019-LTK-FRD-F35C-041</v>
      </c>
    </row>
    <row r="2922" spans="1:40" ht="15">
      <c r="A2922" s="570" t="s">
        <v>5050</v>
      </c>
      <c r="B2922" s="569" t="s">
        <v>5042</v>
      </c>
      <c r="C2922" s="569" t="s">
        <v>287</v>
      </c>
      <c r="D2922" s="580">
        <v>26</v>
      </c>
      <c r="E2922" s="569" t="s">
        <v>3374</v>
      </c>
      <c r="F2922" s="569" t="s">
        <v>1684</v>
      </c>
      <c r="G2922" s="569" t="s">
        <v>271</v>
      </c>
      <c r="H2922" s="569">
        <v>2019</v>
      </c>
      <c r="I2922" s="569" t="s">
        <v>4879</v>
      </c>
      <c r="J2922" s="569" t="s">
        <v>4730</v>
      </c>
      <c r="K2922" s="569" t="s">
        <v>3377</v>
      </c>
      <c r="L2922" s="569">
        <v>3</v>
      </c>
      <c r="M2922" s="569">
        <v>0</v>
      </c>
      <c r="N2922" s="569" t="s">
        <v>157</v>
      </c>
      <c r="O2922" s="569">
        <v>1</v>
      </c>
      <c r="P2922" s="569" t="s">
        <v>157</v>
      </c>
      <c r="Q2922" s="568">
        <v>13400</v>
      </c>
      <c r="R2922" s="569" t="s">
        <v>4231</v>
      </c>
      <c r="S2922" s="569">
        <v>8</v>
      </c>
      <c r="T2922" s="569" t="s">
        <v>4972</v>
      </c>
      <c r="U2922" s="569" t="s">
        <v>4928</v>
      </c>
      <c r="V2922" s="569">
        <v>145</v>
      </c>
      <c r="W2922" s="569">
        <v>40</v>
      </c>
      <c r="X2922" s="568">
        <v>14000</v>
      </c>
      <c r="Y2922" s="569" t="s">
        <v>164</v>
      </c>
      <c r="Z2922" s="581" t="s">
        <v>728</v>
      </c>
      <c r="AA2922" s="581" t="s">
        <v>1523</v>
      </c>
      <c r="AB2922" s="585">
        <v>48300</v>
      </c>
      <c r="AC2922" s="585" t="s">
        <v>164</v>
      </c>
      <c r="AD2922" s="585">
        <v>37294</v>
      </c>
      <c r="AE2922" s="587">
        <v>0.05</v>
      </c>
      <c r="AF2922" s="661" t="str">
        <f t="shared" si="318"/>
        <v>2019-LTK-FRD-F35C-043-26</v>
      </c>
      <c r="AG2922" s="661" t="str">
        <f>IF(AND($Y2922&gt;=32,(AI2922="I"),(Y2922&lt;&gt;"~"),(COUNTIF($AN$1:$AN2922,$AN2922)=1)),"TRUE","FALSE")</f>
        <v>FALSE</v>
      </c>
      <c r="AH2922" s="661" t="str">
        <f>IF(AND($Y2922&gt;=22, (AI2922&lt;&gt;"I"),(Y2922&lt;&gt;"~"),(COUNTIF($AN$1:$AN2922,$AN2922)=1)),"TRUE","FALSE")</f>
        <v>FALSE</v>
      </c>
      <c r="AI2922" s="661" t="str">
        <f t="shared" si="320"/>
        <v>N/A</v>
      </c>
      <c r="AJ2922" s="662" t="str">
        <f t="shared" si="314"/>
        <v>F35C-043</v>
      </c>
      <c r="AK2922" s="662" t="str">
        <f t="shared" si="315"/>
        <v>LTK</v>
      </c>
      <c r="AL2922" s="662" t="str">
        <f t="shared" si="316"/>
        <v>FRD</v>
      </c>
      <c r="AM2922" s="662" t="str">
        <f t="shared" si="319"/>
        <v>F350 Chassis Cab-Regular Cab XLT DRW-2WD-3-~-13400-6.7L Diesel-8-F3G-643A-145-40-Diesel-BioDiesel</v>
      </c>
      <c r="AN2922" s="662" t="str">
        <f t="shared" si="317"/>
        <v>2019-LTK-FRD-F35C-043</v>
      </c>
    </row>
    <row r="2923" spans="1:40" ht="15">
      <c r="A2923" s="570" t="s">
        <v>5051</v>
      </c>
      <c r="B2923" s="573" t="s">
        <v>5036</v>
      </c>
      <c r="C2923" s="573" t="s">
        <v>280</v>
      </c>
      <c r="D2923" s="578">
        <v>27</v>
      </c>
      <c r="E2923" s="573" t="s">
        <v>3374</v>
      </c>
      <c r="F2923" s="573" t="s">
        <v>1684</v>
      </c>
      <c r="G2923" s="573" t="s">
        <v>271</v>
      </c>
      <c r="H2923" s="573">
        <v>2019</v>
      </c>
      <c r="I2923" s="573" t="s">
        <v>4879</v>
      </c>
      <c r="J2923" s="573" t="s">
        <v>4730</v>
      </c>
      <c r="K2923" s="573" t="s">
        <v>3377</v>
      </c>
      <c r="L2923" s="573">
        <v>3</v>
      </c>
      <c r="M2923" s="573">
        <v>0</v>
      </c>
      <c r="N2923" s="573" t="s">
        <v>157</v>
      </c>
      <c r="O2923" s="573">
        <v>1</v>
      </c>
      <c r="P2923" s="573" t="s">
        <v>157</v>
      </c>
      <c r="Q2923" s="571">
        <v>13140</v>
      </c>
      <c r="R2923" s="573" t="s">
        <v>4235</v>
      </c>
      <c r="S2923" s="573">
        <v>8</v>
      </c>
      <c r="T2923" s="573" t="s">
        <v>4972</v>
      </c>
      <c r="U2923" s="573" t="s">
        <v>4928</v>
      </c>
      <c r="V2923" s="573">
        <v>169</v>
      </c>
      <c r="W2923" s="573">
        <v>40</v>
      </c>
      <c r="X2923" s="571">
        <v>14000</v>
      </c>
      <c r="Y2923" s="569" t="s">
        <v>164</v>
      </c>
      <c r="Z2923" s="579" t="s">
        <v>450</v>
      </c>
      <c r="AA2923" s="579" t="s">
        <v>178</v>
      </c>
      <c r="AB2923" s="584">
        <v>39935</v>
      </c>
      <c r="AC2923" s="584" t="s">
        <v>164</v>
      </c>
      <c r="AD2923" s="584">
        <v>29109.178947368422</v>
      </c>
      <c r="AE2923" s="586">
        <v>0.03</v>
      </c>
      <c r="AF2923" s="661" t="str">
        <f t="shared" si="318"/>
        <v>2019-LTK-FRD-F35C-039-27</v>
      </c>
      <c r="AG2923" s="661" t="str">
        <f>IF(AND($Y2923&gt;=32,(AI2923="I"),(Y2923&lt;&gt;"~"),(COUNTIF($AN$1:$AN2923,$AN2923)=1)),"TRUE","FALSE")</f>
        <v>FALSE</v>
      </c>
      <c r="AH2923" s="661" t="str">
        <f>IF(AND($Y2923&gt;=22, (AI2923&lt;&gt;"I"),(Y2923&lt;&gt;"~"),(COUNTIF($AN$1:$AN2923,$AN2923)=1)),"TRUE","FALSE")</f>
        <v>FALSE</v>
      </c>
      <c r="AI2923" s="661" t="str">
        <f t="shared" si="320"/>
        <v>N/A</v>
      </c>
      <c r="AJ2923" s="662" t="str">
        <f t="shared" si="314"/>
        <v>F35C-039</v>
      </c>
      <c r="AK2923" s="662" t="str">
        <f t="shared" si="315"/>
        <v>LTK</v>
      </c>
      <c r="AL2923" s="662" t="str">
        <f t="shared" si="316"/>
        <v>FRD</v>
      </c>
      <c r="AM2923" s="662" t="str">
        <f t="shared" si="319"/>
        <v>F350 Chassis Cab-Regular Cab XLT DRW-2WD-3-~-13140-6.2L FFV-8-F3G-643A-169-40-E85-Unleaded</v>
      </c>
      <c r="AN2923" s="662" t="str">
        <f t="shared" si="317"/>
        <v>2019-LTK-FRD-F35C-039</v>
      </c>
    </row>
    <row r="2924" spans="1:40" ht="15">
      <c r="A2924" s="570" t="s">
        <v>5052</v>
      </c>
      <c r="B2924" s="569" t="s">
        <v>5038</v>
      </c>
      <c r="C2924" s="569" t="s">
        <v>280</v>
      </c>
      <c r="D2924" s="580">
        <v>27</v>
      </c>
      <c r="E2924" s="569" t="s">
        <v>3374</v>
      </c>
      <c r="F2924" s="569" t="s">
        <v>1684</v>
      </c>
      <c r="G2924" s="569" t="s">
        <v>271</v>
      </c>
      <c r="H2924" s="569">
        <v>2019</v>
      </c>
      <c r="I2924" s="569" t="s">
        <v>4879</v>
      </c>
      <c r="J2924" s="569" t="s">
        <v>4730</v>
      </c>
      <c r="K2924" s="569" t="s">
        <v>3377</v>
      </c>
      <c r="L2924" s="569">
        <v>3</v>
      </c>
      <c r="M2924" s="569">
        <v>0</v>
      </c>
      <c r="N2924" s="569" t="s">
        <v>157</v>
      </c>
      <c r="O2924" s="569">
        <v>1</v>
      </c>
      <c r="P2924" s="569" t="s">
        <v>157</v>
      </c>
      <c r="Q2924" s="568">
        <v>13140</v>
      </c>
      <c r="R2924" s="569" t="s">
        <v>4231</v>
      </c>
      <c r="S2924" s="569">
        <v>8</v>
      </c>
      <c r="T2924" s="569" t="s">
        <v>4972</v>
      </c>
      <c r="U2924" s="569" t="s">
        <v>4928</v>
      </c>
      <c r="V2924" s="569">
        <v>169</v>
      </c>
      <c r="W2924" s="569">
        <v>40</v>
      </c>
      <c r="X2924" s="568">
        <v>14000</v>
      </c>
      <c r="Y2924" s="569" t="s">
        <v>164</v>
      </c>
      <c r="Z2924" s="581" t="s">
        <v>728</v>
      </c>
      <c r="AA2924" s="581" t="s">
        <v>1523</v>
      </c>
      <c r="AB2924" s="585">
        <v>49055</v>
      </c>
      <c r="AC2924" s="585" t="s">
        <v>164</v>
      </c>
      <c r="AD2924" s="585">
        <v>37301.368421052633</v>
      </c>
      <c r="AE2924" s="587">
        <v>0.03</v>
      </c>
      <c r="AF2924" s="661" t="str">
        <f t="shared" si="318"/>
        <v>2019-LTK-FRD-F35C-040-27</v>
      </c>
      <c r="AG2924" s="661" t="str">
        <f>IF(AND($Y2924&gt;=32,(AI2924="I"),(Y2924&lt;&gt;"~"),(COUNTIF($AN$1:$AN2924,$AN2924)=1)),"TRUE","FALSE")</f>
        <v>FALSE</v>
      </c>
      <c r="AH2924" s="661" t="str">
        <f>IF(AND($Y2924&gt;=22, (AI2924&lt;&gt;"I"),(Y2924&lt;&gt;"~"),(COUNTIF($AN$1:$AN2924,$AN2924)=1)),"TRUE","FALSE")</f>
        <v>FALSE</v>
      </c>
      <c r="AI2924" s="661" t="str">
        <f t="shared" si="320"/>
        <v>N/A</v>
      </c>
      <c r="AJ2924" s="662" t="str">
        <f t="shared" si="314"/>
        <v>F35C-040</v>
      </c>
      <c r="AK2924" s="662" t="str">
        <f t="shared" si="315"/>
        <v>LTK</v>
      </c>
      <c r="AL2924" s="662" t="str">
        <f t="shared" si="316"/>
        <v>FRD</v>
      </c>
      <c r="AM2924" s="662" t="str">
        <f t="shared" si="319"/>
        <v>F350 Chassis Cab-Regular Cab XLT DRW-2WD-3-~-13140-6.7L Diesel-8-F3G-643A-169-40-Diesel-BioDiesel</v>
      </c>
      <c r="AN2924" s="662" t="str">
        <f t="shared" si="317"/>
        <v>2019-LTK-FRD-F35C-040</v>
      </c>
    </row>
    <row r="2925" spans="1:40" ht="15">
      <c r="A2925" s="570" t="s">
        <v>5053</v>
      </c>
      <c r="B2925" s="573" t="s">
        <v>5040</v>
      </c>
      <c r="C2925" s="573" t="s">
        <v>280</v>
      </c>
      <c r="D2925" s="578">
        <v>27</v>
      </c>
      <c r="E2925" s="573" t="s">
        <v>3374</v>
      </c>
      <c r="F2925" s="573" t="s">
        <v>1684</v>
      </c>
      <c r="G2925" s="573" t="s">
        <v>271</v>
      </c>
      <c r="H2925" s="573">
        <v>2019</v>
      </c>
      <c r="I2925" s="573" t="s">
        <v>4879</v>
      </c>
      <c r="J2925" s="573" t="s">
        <v>4730</v>
      </c>
      <c r="K2925" s="573" t="s">
        <v>3377</v>
      </c>
      <c r="L2925" s="573">
        <v>3</v>
      </c>
      <c r="M2925" s="573">
        <v>0</v>
      </c>
      <c r="N2925" s="573" t="s">
        <v>157</v>
      </c>
      <c r="O2925" s="573">
        <v>1</v>
      </c>
      <c r="P2925" s="573" t="s">
        <v>157</v>
      </c>
      <c r="Q2925" s="571">
        <v>13300</v>
      </c>
      <c r="R2925" s="573" t="s">
        <v>4235</v>
      </c>
      <c r="S2925" s="573">
        <v>8</v>
      </c>
      <c r="T2925" s="573" t="s">
        <v>4972</v>
      </c>
      <c r="U2925" s="573" t="s">
        <v>4928</v>
      </c>
      <c r="V2925" s="573">
        <v>145</v>
      </c>
      <c r="W2925" s="573">
        <v>40</v>
      </c>
      <c r="X2925" s="571">
        <v>14000</v>
      </c>
      <c r="Y2925" s="569" t="s">
        <v>164</v>
      </c>
      <c r="Z2925" s="579" t="s">
        <v>450</v>
      </c>
      <c r="AA2925" s="579" t="s">
        <v>178</v>
      </c>
      <c r="AB2925" s="584">
        <v>39755</v>
      </c>
      <c r="AC2925" s="584" t="s">
        <v>164</v>
      </c>
      <c r="AD2925" s="584">
        <v>28942.863157894739</v>
      </c>
      <c r="AE2925" s="586">
        <v>0.03</v>
      </c>
      <c r="AF2925" s="661" t="str">
        <f t="shared" si="318"/>
        <v>2019-LTK-FRD-F35C-041-27</v>
      </c>
      <c r="AG2925" s="661" t="str">
        <f>IF(AND($Y2925&gt;=32,(AI2925="I"),(Y2925&lt;&gt;"~"),(COUNTIF($AN$1:$AN2925,$AN2925)=1)),"TRUE","FALSE")</f>
        <v>FALSE</v>
      </c>
      <c r="AH2925" s="661" t="str">
        <f>IF(AND($Y2925&gt;=22, (AI2925&lt;&gt;"I"),(Y2925&lt;&gt;"~"),(COUNTIF($AN$1:$AN2925,$AN2925)=1)),"TRUE","FALSE")</f>
        <v>FALSE</v>
      </c>
      <c r="AI2925" s="661" t="str">
        <f t="shared" si="320"/>
        <v>N/A</v>
      </c>
      <c r="AJ2925" s="662" t="str">
        <f t="shared" si="314"/>
        <v>F35C-041</v>
      </c>
      <c r="AK2925" s="662" t="str">
        <f t="shared" si="315"/>
        <v>LTK</v>
      </c>
      <c r="AL2925" s="662" t="str">
        <f t="shared" si="316"/>
        <v>FRD</v>
      </c>
      <c r="AM2925" s="662" t="str">
        <f t="shared" si="319"/>
        <v>F350 Chassis Cab-Regular Cab XLT DRW-2WD-3-~-13300-6.2L FFV-8-F3G-643A-145-40-E85-Unleaded</v>
      </c>
      <c r="AN2925" s="662" t="str">
        <f t="shared" si="317"/>
        <v>2019-LTK-FRD-F35C-041</v>
      </c>
    </row>
    <row r="2926" spans="1:40" ht="15">
      <c r="A2926" s="570" t="s">
        <v>5054</v>
      </c>
      <c r="B2926" s="569" t="s">
        <v>5042</v>
      </c>
      <c r="C2926" s="569" t="s">
        <v>280</v>
      </c>
      <c r="D2926" s="580">
        <v>27</v>
      </c>
      <c r="E2926" s="569" t="s">
        <v>3374</v>
      </c>
      <c r="F2926" s="569" t="s">
        <v>1684</v>
      </c>
      <c r="G2926" s="569" t="s">
        <v>271</v>
      </c>
      <c r="H2926" s="569">
        <v>2019</v>
      </c>
      <c r="I2926" s="569" t="s">
        <v>4879</v>
      </c>
      <c r="J2926" s="569" t="s">
        <v>4730</v>
      </c>
      <c r="K2926" s="569" t="s">
        <v>3377</v>
      </c>
      <c r="L2926" s="569">
        <v>3</v>
      </c>
      <c r="M2926" s="569">
        <v>0</v>
      </c>
      <c r="N2926" s="569" t="s">
        <v>157</v>
      </c>
      <c r="O2926" s="569">
        <v>1</v>
      </c>
      <c r="P2926" s="569" t="s">
        <v>157</v>
      </c>
      <c r="Q2926" s="568">
        <v>13300</v>
      </c>
      <c r="R2926" s="569" t="s">
        <v>4231</v>
      </c>
      <c r="S2926" s="569">
        <v>8</v>
      </c>
      <c r="T2926" s="569" t="s">
        <v>4972</v>
      </c>
      <c r="U2926" s="569" t="s">
        <v>4928</v>
      </c>
      <c r="V2926" s="569">
        <v>145</v>
      </c>
      <c r="W2926" s="569">
        <v>40</v>
      </c>
      <c r="X2926" s="568">
        <v>14000</v>
      </c>
      <c r="Y2926" s="569" t="s">
        <v>164</v>
      </c>
      <c r="Z2926" s="581" t="s">
        <v>728</v>
      </c>
      <c r="AA2926" s="581" t="s">
        <v>1523</v>
      </c>
      <c r="AB2926" s="585">
        <v>48875</v>
      </c>
      <c r="AC2926" s="585" t="s">
        <v>164</v>
      </c>
      <c r="AD2926" s="585">
        <v>37135.052631578954</v>
      </c>
      <c r="AE2926" s="587">
        <v>0.03</v>
      </c>
      <c r="AF2926" s="661" t="str">
        <f t="shared" si="318"/>
        <v>2019-LTK-FRD-F35C-043-27</v>
      </c>
      <c r="AG2926" s="661" t="str">
        <f>IF(AND($Y2926&gt;=32,(AI2926="I"),(Y2926&lt;&gt;"~"),(COUNTIF($AN$1:$AN2926,$AN2926)=1)),"TRUE","FALSE")</f>
        <v>FALSE</v>
      </c>
      <c r="AH2926" s="661" t="str">
        <f>IF(AND($Y2926&gt;=22, (AI2926&lt;&gt;"I"),(Y2926&lt;&gt;"~"),(COUNTIF($AN$1:$AN2926,$AN2926)=1)),"TRUE","FALSE")</f>
        <v>FALSE</v>
      </c>
      <c r="AI2926" s="661" t="str">
        <f t="shared" si="320"/>
        <v>N/A</v>
      </c>
      <c r="AJ2926" s="662" t="str">
        <f t="shared" si="314"/>
        <v>F35C-043</v>
      </c>
      <c r="AK2926" s="662" t="str">
        <f t="shared" si="315"/>
        <v>LTK</v>
      </c>
      <c r="AL2926" s="662" t="str">
        <f t="shared" si="316"/>
        <v>FRD</v>
      </c>
      <c r="AM2926" s="662" t="str">
        <f t="shared" si="319"/>
        <v>F350 Chassis Cab-Regular Cab XLT DRW-2WD-3-~-13300-6.7L Diesel-8-F3G-643A-145-40-Diesel-BioDiesel</v>
      </c>
      <c r="AN2926" s="662" t="str">
        <f t="shared" si="317"/>
        <v>2019-LTK-FRD-F35C-043</v>
      </c>
    </row>
    <row r="2927" spans="1:40" ht="15">
      <c r="A2927" s="570" t="s">
        <v>5055</v>
      </c>
      <c r="B2927" s="573" t="s">
        <v>5056</v>
      </c>
      <c r="C2927" s="573" t="s">
        <v>269</v>
      </c>
      <c r="D2927" s="578" t="s">
        <v>270</v>
      </c>
      <c r="E2927" s="573" t="s">
        <v>3374</v>
      </c>
      <c r="F2927" s="573" t="s">
        <v>1684</v>
      </c>
      <c r="G2927" s="573" t="s">
        <v>271</v>
      </c>
      <c r="H2927" s="573">
        <v>2019</v>
      </c>
      <c r="I2927" s="573" t="s">
        <v>4879</v>
      </c>
      <c r="J2927" s="573" t="s">
        <v>4730</v>
      </c>
      <c r="K2927" s="573" t="s">
        <v>752</v>
      </c>
      <c r="L2927" s="573">
        <v>3</v>
      </c>
      <c r="M2927" s="573">
        <v>0</v>
      </c>
      <c r="N2927" s="573" t="s">
        <v>157</v>
      </c>
      <c r="O2927" s="573">
        <v>1</v>
      </c>
      <c r="P2927" s="573" t="s">
        <v>157</v>
      </c>
      <c r="Q2927" s="571">
        <v>12740</v>
      </c>
      <c r="R2927" s="573" t="s">
        <v>4235</v>
      </c>
      <c r="S2927" s="573">
        <v>8</v>
      </c>
      <c r="T2927" s="573" t="s">
        <v>4993</v>
      </c>
      <c r="U2927" s="573" t="s">
        <v>4928</v>
      </c>
      <c r="V2927" s="573">
        <v>169</v>
      </c>
      <c r="W2927" s="573">
        <v>40</v>
      </c>
      <c r="X2927" s="571">
        <v>14000</v>
      </c>
      <c r="Y2927" s="569" t="s">
        <v>164</v>
      </c>
      <c r="Z2927" s="579" t="s">
        <v>450</v>
      </c>
      <c r="AA2927" s="579" t="s">
        <v>178</v>
      </c>
      <c r="AB2927" s="584">
        <v>43410</v>
      </c>
      <c r="AC2927" s="584" t="s">
        <v>164</v>
      </c>
      <c r="AD2927" s="584">
        <v>33160.757894736846</v>
      </c>
      <c r="AE2927" s="586">
        <v>0.03</v>
      </c>
      <c r="AF2927" s="661" t="str">
        <f t="shared" si="318"/>
        <v>2019-LTK-FRD-F35C-046-05</v>
      </c>
      <c r="AG2927" s="661" t="str">
        <f>IF(AND($Y2927&gt;=32,(AI2927="I"),(Y2927&lt;&gt;"~"),(COUNTIF($AN$1:$AN2927,$AN2927)=1)),"TRUE","FALSE")</f>
        <v>FALSE</v>
      </c>
      <c r="AH2927" s="661" t="str">
        <f>IF(AND($Y2927&gt;=22, (AI2927&lt;&gt;"I"),(Y2927&lt;&gt;"~"),(COUNTIF($AN$1:$AN2927,$AN2927)=1)),"TRUE","FALSE")</f>
        <v>TRUE</v>
      </c>
      <c r="AI2927" s="661" t="str">
        <f t="shared" si="320"/>
        <v>N/A</v>
      </c>
      <c r="AJ2927" s="662" t="str">
        <f t="shared" si="314"/>
        <v>F35C-046</v>
      </c>
      <c r="AK2927" s="662" t="str">
        <f t="shared" si="315"/>
        <v>LTK</v>
      </c>
      <c r="AL2927" s="662" t="str">
        <f t="shared" si="316"/>
        <v>FRD</v>
      </c>
      <c r="AM2927" s="662" t="str">
        <f t="shared" si="319"/>
        <v>F350 Chassis Cab-Regular Cab XLT DRW-4WD-3-~-12740-6.2L FFV-8-F3H-643A-169-40-E85-Unleaded</v>
      </c>
      <c r="AN2927" s="662" t="str">
        <f t="shared" si="317"/>
        <v>2019-LTK-FRD-F35C-046</v>
      </c>
    </row>
    <row r="2928" spans="1:40" ht="15">
      <c r="A2928" s="570" t="s">
        <v>5057</v>
      </c>
      <c r="B2928" s="569" t="s">
        <v>5058</v>
      </c>
      <c r="C2928" s="569" t="s">
        <v>269</v>
      </c>
      <c r="D2928" s="580" t="s">
        <v>270</v>
      </c>
      <c r="E2928" s="569" t="s">
        <v>3374</v>
      </c>
      <c r="F2928" s="569" t="s">
        <v>1684</v>
      </c>
      <c r="G2928" s="569" t="s">
        <v>271</v>
      </c>
      <c r="H2928" s="569">
        <v>2019</v>
      </c>
      <c r="I2928" s="569" t="s">
        <v>4879</v>
      </c>
      <c r="J2928" s="569" t="s">
        <v>4730</v>
      </c>
      <c r="K2928" s="569" t="s">
        <v>752</v>
      </c>
      <c r="L2928" s="569">
        <v>3</v>
      </c>
      <c r="M2928" s="569">
        <v>0</v>
      </c>
      <c r="N2928" s="569" t="s">
        <v>157</v>
      </c>
      <c r="O2928" s="569">
        <v>1</v>
      </c>
      <c r="P2928" s="569" t="s">
        <v>157</v>
      </c>
      <c r="Q2928" s="568">
        <v>12740</v>
      </c>
      <c r="R2928" s="569" t="s">
        <v>4231</v>
      </c>
      <c r="S2928" s="569">
        <v>8</v>
      </c>
      <c r="T2928" s="569" t="s">
        <v>4993</v>
      </c>
      <c r="U2928" s="569" t="s">
        <v>4928</v>
      </c>
      <c r="V2928" s="569">
        <v>169</v>
      </c>
      <c r="W2928" s="569">
        <v>40</v>
      </c>
      <c r="X2928" s="568">
        <v>14000</v>
      </c>
      <c r="Y2928" s="569" t="s">
        <v>164</v>
      </c>
      <c r="Z2928" s="581" t="s">
        <v>728</v>
      </c>
      <c r="AA2928" s="581" t="s">
        <v>1523</v>
      </c>
      <c r="AB2928" s="585">
        <v>52530</v>
      </c>
      <c r="AC2928" s="585" t="s">
        <v>164</v>
      </c>
      <c r="AD2928" s="585">
        <v>41352.947368421061</v>
      </c>
      <c r="AE2928" s="587">
        <v>0.03</v>
      </c>
      <c r="AF2928" s="661" t="str">
        <f t="shared" si="318"/>
        <v>2019-LTK-FRD-F35C-048-05</v>
      </c>
      <c r="AG2928" s="661" t="str">
        <f>IF(AND($Y2928&gt;=32,(AI2928="I"),(Y2928&lt;&gt;"~"),(COUNTIF($AN$1:$AN2928,$AN2928)=1)),"TRUE","FALSE")</f>
        <v>FALSE</v>
      </c>
      <c r="AH2928" s="661" t="str">
        <f>IF(AND($Y2928&gt;=22, (AI2928&lt;&gt;"I"),(Y2928&lt;&gt;"~"),(COUNTIF($AN$1:$AN2928,$AN2928)=1)),"TRUE","FALSE")</f>
        <v>TRUE</v>
      </c>
      <c r="AI2928" s="661" t="str">
        <f t="shared" si="320"/>
        <v>N/A</v>
      </c>
      <c r="AJ2928" s="662" t="str">
        <f t="shared" si="314"/>
        <v>F35C-048</v>
      </c>
      <c r="AK2928" s="662" t="str">
        <f t="shared" si="315"/>
        <v>LTK</v>
      </c>
      <c r="AL2928" s="662" t="str">
        <f t="shared" si="316"/>
        <v>FRD</v>
      </c>
      <c r="AM2928" s="662" t="str">
        <f t="shared" si="319"/>
        <v>F350 Chassis Cab-Regular Cab XLT DRW-4WD-3-~-12740-6.7L Diesel-8-F3H-643A-169-40-Diesel-BioDiesel</v>
      </c>
      <c r="AN2928" s="662" t="str">
        <f t="shared" si="317"/>
        <v>2019-LTK-FRD-F35C-048</v>
      </c>
    </row>
    <row r="2929" spans="1:40" ht="15">
      <c r="A2929" s="570" t="s">
        <v>5059</v>
      </c>
      <c r="B2929" s="573" t="s">
        <v>5060</v>
      </c>
      <c r="C2929" s="573" t="s">
        <v>269</v>
      </c>
      <c r="D2929" s="578" t="s">
        <v>270</v>
      </c>
      <c r="E2929" s="573" t="s">
        <v>3374</v>
      </c>
      <c r="F2929" s="573" t="s">
        <v>1684</v>
      </c>
      <c r="G2929" s="573" t="s">
        <v>271</v>
      </c>
      <c r="H2929" s="573">
        <v>2019</v>
      </c>
      <c r="I2929" s="573" t="s">
        <v>4879</v>
      </c>
      <c r="J2929" s="573" t="s">
        <v>4730</v>
      </c>
      <c r="K2929" s="573" t="s">
        <v>752</v>
      </c>
      <c r="L2929" s="573">
        <v>3</v>
      </c>
      <c r="M2929" s="573">
        <v>0</v>
      </c>
      <c r="N2929" s="573" t="s">
        <v>157</v>
      </c>
      <c r="O2929" s="573">
        <v>1</v>
      </c>
      <c r="P2929" s="573" t="s">
        <v>157</v>
      </c>
      <c r="Q2929" s="571">
        <v>12900</v>
      </c>
      <c r="R2929" s="573" t="s">
        <v>4235</v>
      </c>
      <c r="S2929" s="573">
        <v>8</v>
      </c>
      <c r="T2929" s="573" t="s">
        <v>4993</v>
      </c>
      <c r="U2929" s="573" t="s">
        <v>4928</v>
      </c>
      <c r="V2929" s="573">
        <v>145</v>
      </c>
      <c r="W2929" s="573">
        <v>40</v>
      </c>
      <c r="X2929" s="571">
        <v>14000</v>
      </c>
      <c r="Y2929" s="569" t="s">
        <v>164</v>
      </c>
      <c r="Z2929" s="579" t="s">
        <v>450</v>
      </c>
      <c r="AA2929" s="579" t="s">
        <v>178</v>
      </c>
      <c r="AB2929" s="584">
        <v>43240</v>
      </c>
      <c r="AC2929" s="584" t="s">
        <v>164</v>
      </c>
      <c r="AD2929" s="584">
        <v>33003.915789473685</v>
      </c>
      <c r="AE2929" s="586">
        <v>0.03</v>
      </c>
      <c r="AF2929" s="661" t="str">
        <f t="shared" si="318"/>
        <v>2019-LTK-FRD-F35C-049-05</v>
      </c>
      <c r="AG2929" s="661" t="str">
        <f>IF(AND($Y2929&gt;=32,(AI2929="I"),(Y2929&lt;&gt;"~"),(COUNTIF($AN$1:$AN2929,$AN2929)=1)),"TRUE","FALSE")</f>
        <v>FALSE</v>
      </c>
      <c r="AH2929" s="661" t="str">
        <f>IF(AND($Y2929&gt;=22, (AI2929&lt;&gt;"I"),(Y2929&lt;&gt;"~"),(COUNTIF($AN$1:$AN2929,$AN2929)=1)),"TRUE","FALSE")</f>
        <v>TRUE</v>
      </c>
      <c r="AI2929" s="661" t="str">
        <f t="shared" si="320"/>
        <v>N/A</v>
      </c>
      <c r="AJ2929" s="662" t="str">
        <f t="shared" si="314"/>
        <v>F35C-049</v>
      </c>
      <c r="AK2929" s="662" t="str">
        <f t="shared" si="315"/>
        <v>LTK</v>
      </c>
      <c r="AL2929" s="662" t="str">
        <f t="shared" si="316"/>
        <v>FRD</v>
      </c>
      <c r="AM2929" s="662" t="str">
        <f t="shared" si="319"/>
        <v>F350 Chassis Cab-Regular Cab XLT DRW-4WD-3-~-12900-6.2L FFV-8-F3H-643A-145-40-E85-Unleaded</v>
      </c>
      <c r="AN2929" s="662" t="str">
        <f t="shared" si="317"/>
        <v>2019-LTK-FRD-F35C-049</v>
      </c>
    </row>
    <row r="2930" spans="1:40" ht="15">
      <c r="A2930" s="570" t="s">
        <v>5061</v>
      </c>
      <c r="B2930" s="569" t="s">
        <v>5062</v>
      </c>
      <c r="C2930" s="569" t="s">
        <v>269</v>
      </c>
      <c r="D2930" s="580" t="s">
        <v>270</v>
      </c>
      <c r="E2930" s="569" t="s">
        <v>3374</v>
      </c>
      <c r="F2930" s="569" t="s">
        <v>1684</v>
      </c>
      <c r="G2930" s="569" t="s">
        <v>271</v>
      </c>
      <c r="H2930" s="569">
        <v>2019</v>
      </c>
      <c r="I2930" s="569" t="s">
        <v>4879</v>
      </c>
      <c r="J2930" s="569" t="s">
        <v>4730</v>
      </c>
      <c r="K2930" s="569" t="s">
        <v>752</v>
      </c>
      <c r="L2930" s="569">
        <v>3</v>
      </c>
      <c r="M2930" s="569">
        <v>0</v>
      </c>
      <c r="N2930" s="569" t="s">
        <v>157</v>
      </c>
      <c r="O2930" s="569">
        <v>1</v>
      </c>
      <c r="P2930" s="569" t="s">
        <v>157</v>
      </c>
      <c r="Q2930" s="568">
        <v>12900</v>
      </c>
      <c r="R2930" s="569" t="s">
        <v>4231</v>
      </c>
      <c r="S2930" s="569">
        <v>8</v>
      </c>
      <c r="T2930" s="569" t="s">
        <v>4993</v>
      </c>
      <c r="U2930" s="569" t="s">
        <v>4928</v>
      </c>
      <c r="V2930" s="569">
        <v>145</v>
      </c>
      <c r="W2930" s="569">
        <v>40</v>
      </c>
      <c r="X2930" s="568">
        <v>14000</v>
      </c>
      <c r="Y2930" s="569" t="s">
        <v>164</v>
      </c>
      <c r="Z2930" s="581" t="s">
        <v>728</v>
      </c>
      <c r="AA2930" s="581" t="s">
        <v>1523</v>
      </c>
      <c r="AB2930" s="585">
        <v>52360</v>
      </c>
      <c r="AC2930" s="585" t="s">
        <v>164</v>
      </c>
      <c r="AD2930" s="585">
        <v>41196.1052631579</v>
      </c>
      <c r="AE2930" s="587">
        <v>0.03</v>
      </c>
      <c r="AF2930" s="661" t="str">
        <f t="shared" si="318"/>
        <v>2019-LTK-FRD-F35C-051-05</v>
      </c>
      <c r="AG2930" s="661" t="str">
        <f>IF(AND($Y2930&gt;=32,(AI2930="I"),(Y2930&lt;&gt;"~"),(COUNTIF($AN$1:$AN2930,$AN2930)=1)),"TRUE","FALSE")</f>
        <v>FALSE</v>
      </c>
      <c r="AH2930" s="661" t="str">
        <f>IF(AND($Y2930&gt;=22, (AI2930&lt;&gt;"I"),(Y2930&lt;&gt;"~"),(COUNTIF($AN$1:$AN2930,$AN2930)=1)),"TRUE","FALSE")</f>
        <v>TRUE</v>
      </c>
      <c r="AI2930" s="661" t="str">
        <f t="shared" si="320"/>
        <v>N/A</v>
      </c>
      <c r="AJ2930" s="662" t="str">
        <f t="shared" si="314"/>
        <v>F35C-051</v>
      </c>
      <c r="AK2930" s="662" t="str">
        <f t="shared" si="315"/>
        <v>LTK</v>
      </c>
      <c r="AL2930" s="662" t="str">
        <f t="shared" si="316"/>
        <v>FRD</v>
      </c>
      <c r="AM2930" s="662" t="str">
        <f t="shared" si="319"/>
        <v>F350 Chassis Cab-Regular Cab XLT DRW-4WD-3-~-12900-6.7L Diesel-8-F3H-643A-145-40-Diesel-BioDiesel</v>
      </c>
      <c r="AN2930" s="662" t="str">
        <f t="shared" si="317"/>
        <v>2019-LTK-FRD-F35C-051</v>
      </c>
    </row>
    <row r="2931" spans="1:40" ht="15">
      <c r="A2931" s="570" t="s">
        <v>5063</v>
      </c>
      <c r="B2931" s="573" t="s">
        <v>5056</v>
      </c>
      <c r="C2931" s="573" t="s">
        <v>278</v>
      </c>
      <c r="D2931" s="578">
        <v>15</v>
      </c>
      <c r="E2931" s="573" t="s">
        <v>3374</v>
      </c>
      <c r="F2931" s="573" t="s">
        <v>1684</v>
      </c>
      <c r="G2931" s="573" t="s">
        <v>271</v>
      </c>
      <c r="H2931" s="573">
        <v>2019</v>
      </c>
      <c r="I2931" s="573" t="s">
        <v>4879</v>
      </c>
      <c r="J2931" s="573" t="s">
        <v>4730</v>
      </c>
      <c r="K2931" s="573" t="s">
        <v>752</v>
      </c>
      <c r="L2931" s="573">
        <v>3</v>
      </c>
      <c r="M2931" s="573">
        <v>0</v>
      </c>
      <c r="N2931" s="573" t="s">
        <v>157</v>
      </c>
      <c r="O2931" s="573">
        <v>1</v>
      </c>
      <c r="P2931" s="573" t="s">
        <v>157</v>
      </c>
      <c r="Q2931" s="571">
        <v>12800</v>
      </c>
      <c r="R2931" s="573" t="s">
        <v>4235</v>
      </c>
      <c r="S2931" s="573">
        <v>8</v>
      </c>
      <c r="T2931" s="573" t="s">
        <v>4993</v>
      </c>
      <c r="U2931" s="573" t="s">
        <v>4928</v>
      </c>
      <c r="V2931" s="573">
        <v>169</v>
      </c>
      <c r="W2931" s="573">
        <v>40</v>
      </c>
      <c r="X2931" s="571">
        <v>14000</v>
      </c>
      <c r="Y2931" s="569" t="s">
        <v>164</v>
      </c>
      <c r="Z2931" s="579" t="s">
        <v>450</v>
      </c>
      <c r="AA2931" s="579" t="s">
        <v>178</v>
      </c>
      <c r="AB2931" s="584">
        <v>43410</v>
      </c>
      <c r="AC2931" s="584" t="s">
        <v>164</v>
      </c>
      <c r="AD2931" s="584">
        <v>33300</v>
      </c>
      <c r="AE2931" s="586">
        <v>0.01</v>
      </c>
      <c r="AF2931" s="661" t="str">
        <f t="shared" si="318"/>
        <v>2019-LTK-FRD-F35C-046-15</v>
      </c>
      <c r="AG2931" s="661" t="str">
        <f>IF(AND($Y2931&gt;=32,(AI2931="I"),(Y2931&lt;&gt;"~"),(COUNTIF($AN$1:$AN2931,$AN2931)=1)),"TRUE","FALSE")</f>
        <v>FALSE</v>
      </c>
      <c r="AH2931" s="661" t="str">
        <f>IF(AND($Y2931&gt;=22, (AI2931&lt;&gt;"I"),(Y2931&lt;&gt;"~"),(COUNTIF($AN$1:$AN2931,$AN2931)=1)),"TRUE","FALSE")</f>
        <v>FALSE</v>
      </c>
      <c r="AI2931" s="661" t="str">
        <f t="shared" si="320"/>
        <v>N/A</v>
      </c>
      <c r="AJ2931" s="662" t="str">
        <f t="shared" si="314"/>
        <v>F35C-046</v>
      </c>
      <c r="AK2931" s="662" t="str">
        <f t="shared" si="315"/>
        <v>LTK</v>
      </c>
      <c r="AL2931" s="662" t="str">
        <f t="shared" si="316"/>
        <v>FRD</v>
      </c>
      <c r="AM2931" s="662" t="str">
        <f t="shared" si="319"/>
        <v>F350 Chassis Cab-Regular Cab XLT DRW-4WD-3-~-12800-6.2L FFV-8-F3H-643A-169-40-E85-Unleaded</v>
      </c>
      <c r="AN2931" s="662" t="str">
        <f t="shared" si="317"/>
        <v>2019-LTK-FRD-F35C-046</v>
      </c>
    </row>
    <row r="2932" spans="1:40" ht="15">
      <c r="A2932" s="570" t="s">
        <v>5064</v>
      </c>
      <c r="B2932" s="569" t="s">
        <v>5058</v>
      </c>
      <c r="C2932" s="569" t="s">
        <v>278</v>
      </c>
      <c r="D2932" s="580">
        <v>15</v>
      </c>
      <c r="E2932" s="569" t="s">
        <v>3374</v>
      </c>
      <c r="F2932" s="569" t="s">
        <v>1684</v>
      </c>
      <c r="G2932" s="569" t="s">
        <v>271</v>
      </c>
      <c r="H2932" s="569">
        <v>2019</v>
      </c>
      <c r="I2932" s="569" t="s">
        <v>4879</v>
      </c>
      <c r="J2932" s="569" t="s">
        <v>4730</v>
      </c>
      <c r="K2932" s="569" t="s">
        <v>752</v>
      </c>
      <c r="L2932" s="569">
        <v>3</v>
      </c>
      <c r="M2932" s="569">
        <v>0</v>
      </c>
      <c r="N2932" s="569" t="s">
        <v>157</v>
      </c>
      <c r="O2932" s="569">
        <v>1</v>
      </c>
      <c r="P2932" s="569" t="s">
        <v>157</v>
      </c>
      <c r="Q2932" s="568">
        <v>12800</v>
      </c>
      <c r="R2932" s="569" t="s">
        <v>4231</v>
      </c>
      <c r="S2932" s="569">
        <v>8</v>
      </c>
      <c r="T2932" s="569" t="s">
        <v>4993</v>
      </c>
      <c r="U2932" s="569" t="s">
        <v>4928</v>
      </c>
      <c r="V2932" s="569">
        <v>169</v>
      </c>
      <c r="W2932" s="569">
        <v>40</v>
      </c>
      <c r="X2932" s="568">
        <v>14000</v>
      </c>
      <c r="Y2932" s="569" t="s">
        <v>164</v>
      </c>
      <c r="Z2932" s="581" t="s">
        <v>728</v>
      </c>
      <c r="AA2932" s="581" t="s">
        <v>1523</v>
      </c>
      <c r="AB2932" s="585">
        <v>52530</v>
      </c>
      <c r="AC2932" s="585" t="s">
        <v>164</v>
      </c>
      <c r="AD2932" s="585">
        <v>41600</v>
      </c>
      <c r="AE2932" s="587">
        <v>0.01</v>
      </c>
      <c r="AF2932" s="661" t="str">
        <f t="shared" si="318"/>
        <v>2019-LTK-FRD-F35C-048-15</v>
      </c>
      <c r="AG2932" s="661" t="str">
        <f>IF(AND($Y2932&gt;=32,(AI2932="I"),(Y2932&lt;&gt;"~"),(COUNTIF($AN$1:$AN2932,$AN2932)=1)),"TRUE","FALSE")</f>
        <v>FALSE</v>
      </c>
      <c r="AH2932" s="661" t="str">
        <f>IF(AND($Y2932&gt;=22, (AI2932&lt;&gt;"I"),(Y2932&lt;&gt;"~"),(COUNTIF($AN$1:$AN2932,$AN2932)=1)),"TRUE","FALSE")</f>
        <v>FALSE</v>
      </c>
      <c r="AI2932" s="661" t="str">
        <f t="shared" si="320"/>
        <v>N/A</v>
      </c>
      <c r="AJ2932" s="662" t="str">
        <f t="shared" si="314"/>
        <v>F35C-048</v>
      </c>
      <c r="AK2932" s="662" t="str">
        <f t="shared" si="315"/>
        <v>LTK</v>
      </c>
      <c r="AL2932" s="662" t="str">
        <f t="shared" si="316"/>
        <v>FRD</v>
      </c>
      <c r="AM2932" s="662" t="str">
        <f t="shared" si="319"/>
        <v>F350 Chassis Cab-Regular Cab XLT DRW-4WD-3-~-12800-6.7L Diesel-8-F3H-643A-169-40-Diesel-BioDiesel</v>
      </c>
      <c r="AN2932" s="662" t="str">
        <f t="shared" si="317"/>
        <v>2019-LTK-FRD-F35C-048</v>
      </c>
    </row>
    <row r="2933" spans="1:40" ht="15">
      <c r="A2933" s="570" t="s">
        <v>5065</v>
      </c>
      <c r="B2933" s="573" t="s">
        <v>5060</v>
      </c>
      <c r="C2933" s="573" t="s">
        <v>278</v>
      </c>
      <c r="D2933" s="578">
        <v>15</v>
      </c>
      <c r="E2933" s="573" t="s">
        <v>3374</v>
      </c>
      <c r="F2933" s="573" t="s">
        <v>1684</v>
      </c>
      <c r="G2933" s="573" t="s">
        <v>271</v>
      </c>
      <c r="H2933" s="573">
        <v>2019</v>
      </c>
      <c r="I2933" s="573" t="s">
        <v>4879</v>
      </c>
      <c r="J2933" s="573" t="s">
        <v>4730</v>
      </c>
      <c r="K2933" s="573" t="s">
        <v>752</v>
      </c>
      <c r="L2933" s="573">
        <v>3</v>
      </c>
      <c r="M2933" s="573">
        <v>0</v>
      </c>
      <c r="N2933" s="573" t="s">
        <v>157</v>
      </c>
      <c r="O2933" s="573">
        <v>1</v>
      </c>
      <c r="P2933" s="573" t="s">
        <v>157</v>
      </c>
      <c r="Q2933" s="571">
        <v>12900</v>
      </c>
      <c r="R2933" s="573" t="s">
        <v>4235</v>
      </c>
      <c r="S2933" s="573">
        <v>8</v>
      </c>
      <c r="T2933" s="573" t="s">
        <v>4993</v>
      </c>
      <c r="U2933" s="573" t="s">
        <v>4928</v>
      </c>
      <c r="V2933" s="573">
        <v>145</v>
      </c>
      <c r="W2933" s="573">
        <v>40</v>
      </c>
      <c r="X2933" s="571">
        <v>14000</v>
      </c>
      <c r="Y2933" s="569" t="s">
        <v>164</v>
      </c>
      <c r="Z2933" s="579" t="s">
        <v>450</v>
      </c>
      <c r="AA2933" s="579" t="s">
        <v>178</v>
      </c>
      <c r="AB2933" s="584">
        <v>43240</v>
      </c>
      <c r="AC2933" s="584" t="s">
        <v>164</v>
      </c>
      <c r="AD2933" s="584">
        <v>33150</v>
      </c>
      <c r="AE2933" s="586">
        <v>0.01</v>
      </c>
      <c r="AF2933" s="661" t="str">
        <f t="shared" si="318"/>
        <v>2019-LTK-FRD-F35C-049-15</v>
      </c>
      <c r="AG2933" s="661" t="str">
        <f>IF(AND($Y2933&gt;=32,(AI2933="I"),(Y2933&lt;&gt;"~"),(COUNTIF($AN$1:$AN2933,$AN2933)=1)),"TRUE","FALSE")</f>
        <v>FALSE</v>
      </c>
      <c r="AH2933" s="661" t="str">
        <f>IF(AND($Y2933&gt;=22, (AI2933&lt;&gt;"I"),(Y2933&lt;&gt;"~"),(COUNTIF($AN$1:$AN2933,$AN2933)=1)),"TRUE","FALSE")</f>
        <v>FALSE</v>
      </c>
      <c r="AI2933" s="661" t="str">
        <f t="shared" si="320"/>
        <v>N/A</v>
      </c>
      <c r="AJ2933" s="662" t="str">
        <f t="shared" si="314"/>
        <v>F35C-049</v>
      </c>
      <c r="AK2933" s="662" t="str">
        <f t="shared" si="315"/>
        <v>LTK</v>
      </c>
      <c r="AL2933" s="662" t="str">
        <f t="shared" si="316"/>
        <v>FRD</v>
      </c>
      <c r="AM2933" s="662" t="str">
        <f t="shared" si="319"/>
        <v>F350 Chassis Cab-Regular Cab XLT DRW-4WD-3-~-12900-6.2L FFV-8-F3H-643A-145-40-E85-Unleaded</v>
      </c>
      <c r="AN2933" s="662" t="str">
        <f t="shared" si="317"/>
        <v>2019-LTK-FRD-F35C-049</v>
      </c>
    </row>
    <row r="2934" spans="1:40" ht="15">
      <c r="A2934" s="570" t="s">
        <v>5066</v>
      </c>
      <c r="B2934" s="569" t="s">
        <v>5062</v>
      </c>
      <c r="C2934" s="569" t="s">
        <v>278</v>
      </c>
      <c r="D2934" s="580">
        <v>15</v>
      </c>
      <c r="E2934" s="569" t="s">
        <v>3374</v>
      </c>
      <c r="F2934" s="569" t="s">
        <v>1684</v>
      </c>
      <c r="G2934" s="569" t="s">
        <v>271</v>
      </c>
      <c r="H2934" s="569">
        <v>2019</v>
      </c>
      <c r="I2934" s="569" t="s">
        <v>4879</v>
      </c>
      <c r="J2934" s="569" t="s">
        <v>4730</v>
      </c>
      <c r="K2934" s="569" t="s">
        <v>752</v>
      </c>
      <c r="L2934" s="569">
        <v>3</v>
      </c>
      <c r="M2934" s="569">
        <v>0</v>
      </c>
      <c r="N2934" s="569" t="s">
        <v>157</v>
      </c>
      <c r="O2934" s="569">
        <v>1</v>
      </c>
      <c r="P2934" s="569" t="s">
        <v>157</v>
      </c>
      <c r="Q2934" s="568">
        <v>12900</v>
      </c>
      <c r="R2934" s="569" t="s">
        <v>4231</v>
      </c>
      <c r="S2934" s="569">
        <v>8</v>
      </c>
      <c r="T2934" s="569" t="s">
        <v>4993</v>
      </c>
      <c r="U2934" s="569" t="s">
        <v>4928</v>
      </c>
      <c r="V2934" s="569">
        <v>145</v>
      </c>
      <c r="W2934" s="569">
        <v>40</v>
      </c>
      <c r="X2934" s="568">
        <v>14000</v>
      </c>
      <c r="Y2934" s="569" t="s">
        <v>164</v>
      </c>
      <c r="Z2934" s="581" t="s">
        <v>728</v>
      </c>
      <c r="AA2934" s="581" t="s">
        <v>1523</v>
      </c>
      <c r="AB2934" s="585">
        <v>52360</v>
      </c>
      <c r="AC2934" s="585" t="s">
        <v>164</v>
      </c>
      <c r="AD2934" s="585">
        <v>41450</v>
      </c>
      <c r="AE2934" s="587">
        <v>0.01</v>
      </c>
      <c r="AF2934" s="661" t="str">
        <f t="shared" si="318"/>
        <v>2019-LTK-FRD-F35C-051-15</v>
      </c>
      <c r="AG2934" s="661" t="str">
        <f>IF(AND($Y2934&gt;=32,(AI2934="I"),(Y2934&lt;&gt;"~"),(COUNTIF($AN$1:$AN2934,$AN2934)=1)),"TRUE","FALSE")</f>
        <v>FALSE</v>
      </c>
      <c r="AH2934" s="661" t="str">
        <f>IF(AND($Y2934&gt;=22, (AI2934&lt;&gt;"I"),(Y2934&lt;&gt;"~"),(COUNTIF($AN$1:$AN2934,$AN2934)=1)),"TRUE","FALSE")</f>
        <v>FALSE</v>
      </c>
      <c r="AI2934" s="661" t="str">
        <f t="shared" si="320"/>
        <v>N/A</v>
      </c>
      <c r="AJ2934" s="662" t="str">
        <f t="shared" si="314"/>
        <v>F35C-051</v>
      </c>
      <c r="AK2934" s="662" t="str">
        <f t="shared" si="315"/>
        <v>LTK</v>
      </c>
      <c r="AL2934" s="662" t="str">
        <f t="shared" si="316"/>
        <v>FRD</v>
      </c>
      <c r="AM2934" s="662" t="str">
        <f t="shared" si="319"/>
        <v>F350 Chassis Cab-Regular Cab XLT DRW-4WD-3-~-12900-6.7L Diesel-8-F3H-643A-145-40-Diesel-BioDiesel</v>
      </c>
      <c r="AN2934" s="662" t="str">
        <f t="shared" si="317"/>
        <v>2019-LTK-FRD-F35C-051</v>
      </c>
    </row>
    <row r="2935" spans="1:40" ht="15">
      <c r="A2935" s="570" t="s">
        <v>5067</v>
      </c>
      <c r="B2935" s="573" t="s">
        <v>5056</v>
      </c>
      <c r="C2935" s="573" t="s">
        <v>287</v>
      </c>
      <c r="D2935" s="578">
        <v>26</v>
      </c>
      <c r="E2935" s="573" t="s">
        <v>3374</v>
      </c>
      <c r="F2935" s="573" t="s">
        <v>1684</v>
      </c>
      <c r="G2935" s="573" t="s">
        <v>271</v>
      </c>
      <c r="H2935" s="573">
        <v>2019</v>
      </c>
      <c r="I2935" s="573" t="s">
        <v>4879</v>
      </c>
      <c r="J2935" s="573" t="s">
        <v>4730</v>
      </c>
      <c r="K2935" s="573" t="s">
        <v>752</v>
      </c>
      <c r="L2935" s="573">
        <v>3</v>
      </c>
      <c r="M2935" s="573">
        <v>0</v>
      </c>
      <c r="N2935" s="573" t="s">
        <v>157</v>
      </c>
      <c r="O2935" s="573">
        <v>1</v>
      </c>
      <c r="P2935" s="573" t="s">
        <v>157</v>
      </c>
      <c r="Q2935" s="571">
        <v>12800</v>
      </c>
      <c r="R2935" s="573" t="s">
        <v>4235</v>
      </c>
      <c r="S2935" s="573">
        <v>8</v>
      </c>
      <c r="T2935" s="573" t="s">
        <v>4993</v>
      </c>
      <c r="U2935" s="573" t="s">
        <v>4928</v>
      </c>
      <c r="V2935" s="573">
        <v>169</v>
      </c>
      <c r="W2935" s="573">
        <v>40</v>
      </c>
      <c r="X2935" s="571">
        <v>14000</v>
      </c>
      <c r="Y2935" s="569" t="s">
        <v>164</v>
      </c>
      <c r="Z2935" s="579" t="s">
        <v>450</v>
      </c>
      <c r="AA2935" s="579" t="s">
        <v>178</v>
      </c>
      <c r="AB2935" s="584">
        <v>42960</v>
      </c>
      <c r="AC2935" s="584" t="s">
        <v>164</v>
      </c>
      <c r="AD2935" s="584">
        <v>33382</v>
      </c>
      <c r="AE2935" s="586">
        <v>0.05</v>
      </c>
      <c r="AF2935" s="661" t="str">
        <f t="shared" si="318"/>
        <v>2019-LTK-FRD-F35C-046-26</v>
      </c>
      <c r="AG2935" s="661" t="str">
        <f>IF(AND($Y2935&gt;=32,(AI2935="I"),(Y2935&lt;&gt;"~"),(COUNTIF($AN$1:$AN2935,$AN2935)=1)),"TRUE","FALSE")</f>
        <v>FALSE</v>
      </c>
      <c r="AH2935" s="661" t="str">
        <f>IF(AND($Y2935&gt;=22, (AI2935&lt;&gt;"I"),(Y2935&lt;&gt;"~"),(COUNTIF($AN$1:$AN2935,$AN2935)=1)),"TRUE","FALSE")</f>
        <v>FALSE</v>
      </c>
      <c r="AI2935" s="661" t="str">
        <f t="shared" si="320"/>
        <v>N/A</v>
      </c>
      <c r="AJ2935" s="662" t="str">
        <f t="shared" si="314"/>
        <v>F35C-046</v>
      </c>
      <c r="AK2935" s="662" t="str">
        <f t="shared" si="315"/>
        <v>LTK</v>
      </c>
      <c r="AL2935" s="662" t="str">
        <f t="shared" si="316"/>
        <v>FRD</v>
      </c>
      <c r="AM2935" s="662" t="str">
        <f t="shared" si="319"/>
        <v>F350 Chassis Cab-Regular Cab XLT DRW-4WD-3-~-12800-6.2L FFV-8-F3H-643A-169-40-E85-Unleaded</v>
      </c>
      <c r="AN2935" s="662" t="str">
        <f t="shared" si="317"/>
        <v>2019-LTK-FRD-F35C-046</v>
      </c>
    </row>
    <row r="2936" spans="1:40" ht="15">
      <c r="A2936" s="570" t="s">
        <v>5068</v>
      </c>
      <c r="B2936" s="569" t="s">
        <v>5058</v>
      </c>
      <c r="C2936" s="569" t="s">
        <v>287</v>
      </c>
      <c r="D2936" s="580">
        <v>26</v>
      </c>
      <c r="E2936" s="569" t="s">
        <v>3374</v>
      </c>
      <c r="F2936" s="569" t="s">
        <v>1684</v>
      </c>
      <c r="G2936" s="569" t="s">
        <v>271</v>
      </c>
      <c r="H2936" s="569">
        <v>2019</v>
      </c>
      <c r="I2936" s="569" t="s">
        <v>4879</v>
      </c>
      <c r="J2936" s="569" t="s">
        <v>4730</v>
      </c>
      <c r="K2936" s="569" t="s">
        <v>752</v>
      </c>
      <c r="L2936" s="569">
        <v>3</v>
      </c>
      <c r="M2936" s="569">
        <v>0</v>
      </c>
      <c r="N2936" s="569" t="s">
        <v>157</v>
      </c>
      <c r="O2936" s="569">
        <v>1</v>
      </c>
      <c r="P2936" s="569" t="s">
        <v>157</v>
      </c>
      <c r="Q2936" s="568">
        <v>12800</v>
      </c>
      <c r="R2936" s="569" t="s">
        <v>4231</v>
      </c>
      <c r="S2936" s="569">
        <v>8</v>
      </c>
      <c r="T2936" s="569" t="s">
        <v>4993</v>
      </c>
      <c r="U2936" s="569" t="s">
        <v>4928</v>
      </c>
      <c r="V2936" s="569">
        <v>169</v>
      </c>
      <c r="W2936" s="569">
        <v>40</v>
      </c>
      <c r="X2936" s="568">
        <v>14000</v>
      </c>
      <c r="Y2936" s="569" t="s">
        <v>164</v>
      </c>
      <c r="Z2936" s="581" t="s">
        <v>728</v>
      </c>
      <c r="AA2936" s="581" t="s">
        <v>1523</v>
      </c>
      <c r="AB2936" s="585">
        <v>51955</v>
      </c>
      <c r="AC2936" s="585" t="s">
        <v>164</v>
      </c>
      <c r="AD2936" s="585">
        <v>41576</v>
      </c>
      <c r="AE2936" s="587">
        <v>0.05</v>
      </c>
      <c r="AF2936" s="661" t="str">
        <f t="shared" si="318"/>
        <v>2019-LTK-FRD-F35C-048-26</v>
      </c>
      <c r="AG2936" s="661" t="str">
        <f>IF(AND($Y2936&gt;=32,(AI2936="I"),(Y2936&lt;&gt;"~"),(COUNTIF($AN$1:$AN2936,$AN2936)=1)),"TRUE","FALSE")</f>
        <v>FALSE</v>
      </c>
      <c r="AH2936" s="661" t="str">
        <f>IF(AND($Y2936&gt;=22, (AI2936&lt;&gt;"I"),(Y2936&lt;&gt;"~"),(COUNTIF($AN$1:$AN2936,$AN2936)=1)),"TRUE","FALSE")</f>
        <v>FALSE</v>
      </c>
      <c r="AI2936" s="661" t="str">
        <f t="shared" si="320"/>
        <v>N/A</v>
      </c>
      <c r="AJ2936" s="662" t="str">
        <f t="shared" si="314"/>
        <v>F35C-048</v>
      </c>
      <c r="AK2936" s="662" t="str">
        <f t="shared" si="315"/>
        <v>LTK</v>
      </c>
      <c r="AL2936" s="662" t="str">
        <f t="shared" si="316"/>
        <v>FRD</v>
      </c>
      <c r="AM2936" s="662" t="str">
        <f t="shared" si="319"/>
        <v>F350 Chassis Cab-Regular Cab XLT DRW-4WD-3-~-12800-6.7L Diesel-8-F3H-643A-169-40-Diesel-BioDiesel</v>
      </c>
      <c r="AN2936" s="662" t="str">
        <f t="shared" si="317"/>
        <v>2019-LTK-FRD-F35C-048</v>
      </c>
    </row>
    <row r="2937" spans="1:40" ht="15">
      <c r="A2937" s="570" t="s">
        <v>5069</v>
      </c>
      <c r="B2937" s="573" t="s">
        <v>5060</v>
      </c>
      <c r="C2937" s="573" t="s">
        <v>287</v>
      </c>
      <c r="D2937" s="578">
        <v>26</v>
      </c>
      <c r="E2937" s="573" t="s">
        <v>3374</v>
      </c>
      <c r="F2937" s="573" t="s">
        <v>1684</v>
      </c>
      <c r="G2937" s="573" t="s">
        <v>271</v>
      </c>
      <c r="H2937" s="573">
        <v>2019</v>
      </c>
      <c r="I2937" s="573" t="s">
        <v>4879</v>
      </c>
      <c r="J2937" s="573" t="s">
        <v>4730</v>
      </c>
      <c r="K2937" s="573" t="s">
        <v>752</v>
      </c>
      <c r="L2937" s="573">
        <v>3</v>
      </c>
      <c r="M2937" s="573">
        <v>0</v>
      </c>
      <c r="N2937" s="573" t="s">
        <v>157</v>
      </c>
      <c r="O2937" s="573">
        <v>1</v>
      </c>
      <c r="P2937" s="573" t="s">
        <v>157</v>
      </c>
      <c r="Q2937" s="571">
        <v>12900</v>
      </c>
      <c r="R2937" s="573" t="s">
        <v>4235</v>
      </c>
      <c r="S2937" s="573">
        <v>8</v>
      </c>
      <c r="T2937" s="573" t="s">
        <v>4993</v>
      </c>
      <c r="U2937" s="573" t="s">
        <v>4928</v>
      </c>
      <c r="V2937" s="573">
        <v>145</v>
      </c>
      <c r="W2937" s="573">
        <v>40</v>
      </c>
      <c r="X2937" s="571">
        <v>14000</v>
      </c>
      <c r="Y2937" s="569" t="s">
        <v>164</v>
      </c>
      <c r="Z2937" s="579" t="s">
        <v>450</v>
      </c>
      <c r="AA2937" s="579" t="s">
        <v>178</v>
      </c>
      <c r="AB2937" s="584">
        <v>43240</v>
      </c>
      <c r="AC2937" s="584" t="s">
        <v>164</v>
      </c>
      <c r="AD2937" s="584">
        <v>33222</v>
      </c>
      <c r="AE2937" s="586">
        <v>0.05</v>
      </c>
      <c r="AF2937" s="661" t="str">
        <f t="shared" si="318"/>
        <v>2019-LTK-FRD-F35C-049-26</v>
      </c>
      <c r="AG2937" s="661" t="str">
        <f>IF(AND($Y2937&gt;=32,(AI2937="I"),(Y2937&lt;&gt;"~"),(COUNTIF($AN$1:$AN2937,$AN2937)=1)),"TRUE","FALSE")</f>
        <v>FALSE</v>
      </c>
      <c r="AH2937" s="661" t="str">
        <f>IF(AND($Y2937&gt;=22, (AI2937&lt;&gt;"I"),(Y2937&lt;&gt;"~"),(COUNTIF($AN$1:$AN2937,$AN2937)=1)),"TRUE","FALSE")</f>
        <v>FALSE</v>
      </c>
      <c r="AI2937" s="661" t="str">
        <f t="shared" si="320"/>
        <v>N/A</v>
      </c>
      <c r="AJ2937" s="662" t="str">
        <f t="shared" si="314"/>
        <v>F35C-049</v>
      </c>
      <c r="AK2937" s="662" t="str">
        <f t="shared" si="315"/>
        <v>LTK</v>
      </c>
      <c r="AL2937" s="662" t="str">
        <f t="shared" si="316"/>
        <v>FRD</v>
      </c>
      <c r="AM2937" s="662" t="str">
        <f t="shared" si="319"/>
        <v>F350 Chassis Cab-Regular Cab XLT DRW-4WD-3-~-12900-6.2L FFV-8-F3H-643A-145-40-E85-Unleaded</v>
      </c>
      <c r="AN2937" s="662" t="str">
        <f t="shared" si="317"/>
        <v>2019-LTK-FRD-F35C-049</v>
      </c>
    </row>
    <row r="2938" spans="1:40" ht="15">
      <c r="A2938" s="570" t="s">
        <v>5070</v>
      </c>
      <c r="B2938" s="569" t="s">
        <v>5062</v>
      </c>
      <c r="C2938" s="569" t="s">
        <v>287</v>
      </c>
      <c r="D2938" s="580">
        <v>26</v>
      </c>
      <c r="E2938" s="569" t="s">
        <v>3374</v>
      </c>
      <c r="F2938" s="569" t="s">
        <v>1684</v>
      </c>
      <c r="G2938" s="569" t="s">
        <v>271</v>
      </c>
      <c r="H2938" s="569">
        <v>2019</v>
      </c>
      <c r="I2938" s="569" t="s">
        <v>4879</v>
      </c>
      <c r="J2938" s="569" t="s">
        <v>4730</v>
      </c>
      <c r="K2938" s="569" t="s">
        <v>752</v>
      </c>
      <c r="L2938" s="569">
        <v>3</v>
      </c>
      <c r="M2938" s="569">
        <v>0</v>
      </c>
      <c r="N2938" s="569" t="s">
        <v>157</v>
      </c>
      <c r="O2938" s="569">
        <v>1</v>
      </c>
      <c r="P2938" s="569" t="s">
        <v>157</v>
      </c>
      <c r="Q2938" s="568">
        <v>12900</v>
      </c>
      <c r="R2938" s="569" t="s">
        <v>4231</v>
      </c>
      <c r="S2938" s="569">
        <v>8</v>
      </c>
      <c r="T2938" s="569" t="s">
        <v>4993</v>
      </c>
      <c r="U2938" s="569" t="s">
        <v>4928</v>
      </c>
      <c r="V2938" s="569">
        <v>145</v>
      </c>
      <c r="W2938" s="569">
        <v>40</v>
      </c>
      <c r="X2938" s="568">
        <v>14000</v>
      </c>
      <c r="Y2938" s="569" t="s">
        <v>164</v>
      </c>
      <c r="Z2938" s="581" t="s">
        <v>728</v>
      </c>
      <c r="AA2938" s="581" t="s">
        <v>1523</v>
      </c>
      <c r="AB2938" s="585">
        <v>52360</v>
      </c>
      <c r="AC2938" s="585" t="s">
        <v>164</v>
      </c>
      <c r="AD2938" s="585">
        <v>41417</v>
      </c>
      <c r="AE2938" s="587">
        <v>0.05</v>
      </c>
      <c r="AF2938" s="661" t="str">
        <f t="shared" si="318"/>
        <v>2019-LTK-FRD-F35C-051-26</v>
      </c>
      <c r="AG2938" s="661" t="str">
        <f>IF(AND($Y2938&gt;=32,(AI2938="I"),(Y2938&lt;&gt;"~"),(COUNTIF($AN$1:$AN2938,$AN2938)=1)),"TRUE","FALSE")</f>
        <v>FALSE</v>
      </c>
      <c r="AH2938" s="661" t="str">
        <f>IF(AND($Y2938&gt;=22, (AI2938&lt;&gt;"I"),(Y2938&lt;&gt;"~"),(COUNTIF($AN$1:$AN2938,$AN2938)=1)),"TRUE","FALSE")</f>
        <v>FALSE</v>
      </c>
      <c r="AI2938" s="661" t="str">
        <f t="shared" si="320"/>
        <v>N/A</v>
      </c>
      <c r="AJ2938" s="662" t="str">
        <f t="shared" si="314"/>
        <v>F35C-051</v>
      </c>
      <c r="AK2938" s="662" t="str">
        <f t="shared" si="315"/>
        <v>LTK</v>
      </c>
      <c r="AL2938" s="662" t="str">
        <f t="shared" si="316"/>
        <v>FRD</v>
      </c>
      <c r="AM2938" s="662" t="str">
        <f t="shared" si="319"/>
        <v>F350 Chassis Cab-Regular Cab XLT DRW-4WD-3-~-12900-6.7L Diesel-8-F3H-643A-145-40-Diesel-BioDiesel</v>
      </c>
      <c r="AN2938" s="662" t="str">
        <f t="shared" si="317"/>
        <v>2019-LTK-FRD-F35C-051</v>
      </c>
    </row>
    <row r="2939" spans="1:40" ht="15">
      <c r="A2939" s="570" t="s">
        <v>5071</v>
      </c>
      <c r="B2939" s="573" t="s">
        <v>5056</v>
      </c>
      <c r="C2939" s="573" t="s">
        <v>280</v>
      </c>
      <c r="D2939" s="578">
        <v>27</v>
      </c>
      <c r="E2939" s="573" t="s">
        <v>3374</v>
      </c>
      <c r="F2939" s="573" t="s">
        <v>1684</v>
      </c>
      <c r="G2939" s="573" t="s">
        <v>271</v>
      </c>
      <c r="H2939" s="573">
        <v>2019</v>
      </c>
      <c r="I2939" s="573" t="s">
        <v>4879</v>
      </c>
      <c r="J2939" s="573" t="s">
        <v>4730</v>
      </c>
      <c r="K2939" s="573" t="s">
        <v>752</v>
      </c>
      <c r="L2939" s="573">
        <v>3</v>
      </c>
      <c r="M2939" s="573">
        <v>0</v>
      </c>
      <c r="N2939" s="573" t="s">
        <v>157</v>
      </c>
      <c r="O2939" s="573">
        <v>1</v>
      </c>
      <c r="P2939" s="573" t="s">
        <v>157</v>
      </c>
      <c r="Q2939" s="571">
        <v>12740</v>
      </c>
      <c r="R2939" s="573" t="s">
        <v>4235</v>
      </c>
      <c r="S2939" s="573">
        <v>8</v>
      </c>
      <c r="T2939" s="573" t="s">
        <v>4993</v>
      </c>
      <c r="U2939" s="573" t="s">
        <v>4928</v>
      </c>
      <c r="V2939" s="573">
        <v>169</v>
      </c>
      <c r="W2939" s="573">
        <v>40</v>
      </c>
      <c r="X2939" s="571">
        <v>14000</v>
      </c>
      <c r="Y2939" s="569" t="s">
        <v>164</v>
      </c>
      <c r="Z2939" s="579" t="s">
        <v>450</v>
      </c>
      <c r="AA2939" s="579" t="s">
        <v>178</v>
      </c>
      <c r="AB2939" s="584">
        <v>43410</v>
      </c>
      <c r="AC2939" s="584" t="s">
        <v>164</v>
      </c>
      <c r="AD2939" s="584">
        <v>33160.757894736846</v>
      </c>
      <c r="AE2939" s="586">
        <v>0.03</v>
      </c>
      <c r="AF2939" s="661" t="str">
        <f t="shared" si="318"/>
        <v>2019-LTK-FRD-F35C-046-27</v>
      </c>
      <c r="AG2939" s="661" t="str">
        <f>IF(AND($Y2939&gt;=32,(AI2939="I"),(Y2939&lt;&gt;"~"),(COUNTIF($AN$1:$AN2939,$AN2939)=1)),"TRUE","FALSE")</f>
        <v>FALSE</v>
      </c>
      <c r="AH2939" s="661" t="str">
        <f>IF(AND($Y2939&gt;=22, (AI2939&lt;&gt;"I"),(Y2939&lt;&gt;"~"),(COUNTIF($AN$1:$AN2939,$AN2939)=1)),"TRUE","FALSE")</f>
        <v>FALSE</v>
      </c>
      <c r="AI2939" s="661" t="str">
        <f t="shared" si="320"/>
        <v>N/A</v>
      </c>
      <c r="AJ2939" s="662" t="str">
        <f t="shared" si="314"/>
        <v>F35C-046</v>
      </c>
      <c r="AK2939" s="662" t="str">
        <f t="shared" si="315"/>
        <v>LTK</v>
      </c>
      <c r="AL2939" s="662" t="str">
        <f t="shared" si="316"/>
        <v>FRD</v>
      </c>
      <c r="AM2939" s="662" t="str">
        <f t="shared" si="319"/>
        <v>F350 Chassis Cab-Regular Cab XLT DRW-4WD-3-~-12740-6.2L FFV-8-F3H-643A-169-40-E85-Unleaded</v>
      </c>
      <c r="AN2939" s="662" t="str">
        <f t="shared" si="317"/>
        <v>2019-LTK-FRD-F35C-046</v>
      </c>
    </row>
    <row r="2940" spans="1:40" ht="15">
      <c r="A2940" s="570" t="s">
        <v>5072</v>
      </c>
      <c r="B2940" s="569" t="s">
        <v>5058</v>
      </c>
      <c r="C2940" s="569" t="s">
        <v>280</v>
      </c>
      <c r="D2940" s="580">
        <v>27</v>
      </c>
      <c r="E2940" s="569" t="s">
        <v>3374</v>
      </c>
      <c r="F2940" s="569" t="s">
        <v>1684</v>
      </c>
      <c r="G2940" s="569" t="s">
        <v>271</v>
      </c>
      <c r="H2940" s="569">
        <v>2019</v>
      </c>
      <c r="I2940" s="569" t="s">
        <v>4879</v>
      </c>
      <c r="J2940" s="569" t="s">
        <v>4730</v>
      </c>
      <c r="K2940" s="569" t="s">
        <v>752</v>
      </c>
      <c r="L2940" s="569">
        <v>3</v>
      </c>
      <c r="M2940" s="569">
        <v>0</v>
      </c>
      <c r="N2940" s="569" t="s">
        <v>157</v>
      </c>
      <c r="O2940" s="569">
        <v>1</v>
      </c>
      <c r="P2940" s="569" t="s">
        <v>157</v>
      </c>
      <c r="Q2940" s="568">
        <v>12740</v>
      </c>
      <c r="R2940" s="569" t="s">
        <v>4231</v>
      </c>
      <c r="S2940" s="569">
        <v>8</v>
      </c>
      <c r="T2940" s="569" t="s">
        <v>4993</v>
      </c>
      <c r="U2940" s="569" t="s">
        <v>4928</v>
      </c>
      <c r="V2940" s="569">
        <v>169</v>
      </c>
      <c r="W2940" s="569">
        <v>40</v>
      </c>
      <c r="X2940" s="568">
        <v>14000</v>
      </c>
      <c r="Y2940" s="569" t="s">
        <v>164</v>
      </c>
      <c r="Z2940" s="581" t="s">
        <v>728</v>
      </c>
      <c r="AA2940" s="581" t="s">
        <v>1523</v>
      </c>
      <c r="AB2940" s="585">
        <v>52530</v>
      </c>
      <c r="AC2940" s="585" t="s">
        <v>164</v>
      </c>
      <c r="AD2940" s="585">
        <v>41352.947368421061</v>
      </c>
      <c r="AE2940" s="587">
        <v>0.03</v>
      </c>
      <c r="AF2940" s="661" t="str">
        <f t="shared" si="318"/>
        <v>2019-LTK-FRD-F35C-048-27</v>
      </c>
      <c r="AG2940" s="661" t="str">
        <f>IF(AND($Y2940&gt;=32,(AI2940="I"),(Y2940&lt;&gt;"~"),(COUNTIF($AN$1:$AN2940,$AN2940)=1)),"TRUE","FALSE")</f>
        <v>FALSE</v>
      </c>
      <c r="AH2940" s="661" t="str">
        <f>IF(AND($Y2940&gt;=22, (AI2940&lt;&gt;"I"),(Y2940&lt;&gt;"~"),(COUNTIF($AN$1:$AN2940,$AN2940)=1)),"TRUE","FALSE")</f>
        <v>FALSE</v>
      </c>
      <c r="AI2940" s="661" t="str">
        <f t="shared" si="320"/>
        <v>N/A</v>
      </c>
      <c r="AJ2940" s="662" t="str">
        <f t="shared" si="314"/>
        <v>F35C-048</v>
      </c>
      <c r="AK2940" s="662" t="str">
        <f t="shared" si="315"/>
        <v>LTK</v>
      </c>
      <c r="AL2940" s="662" t="str">
        <f t="shared" si="316"/>
        <v>FRD</v>
      </c>
      <c r="AM2940" s="662" t="str">
        <f t="shared" si="319"/>
        <v>F350 Chassis Cab-Regular Cab XLT DRW-4WD-3-~-12740-6.7L Diesel-8-F3H-643A-169-40-Diesel-BioDiesel</v>
      </c>
      <c r="AN2940" s="662" t="str">
        <f t="shared" si="317"/>
        <v>2019-LTK-FRD-F35C-048</v>
      </c>
    </row>
    <row r="2941" spans="1:40" ht="15">
      <c r="A2941" s="570" t="s">
        <v>5073</v>
      </c>
      <c r="B2941" s="573" t="s">
        <v>5060</v>
      </c>
      <c r="C2941" s="573" t="s">
        <v>280</v>
      </c>
      <c r="D2941" s="578">
        <v>27</v>
      </c>
      <c r="E2941" s="573" t="s">
        <v>3374</v>
      </c>
      <c r="F2941" s="573" t="s">
        <v>1684</v>
      </c>
      <c r="G2941" s="573" t="s">
        <v>271</v>
      </c>
      <c r="H2941" s="573">
        <v>2019</v>
      </c>
      <c r="I2941" s="573" t="s">
        <v>4879</v>
      </c>
      <c r="J2941" s="573" t="s">
        <v>4730</v>
      </c>
      <c r="K2941" s="573" t="s">
        <v>752</v>
      </c>
      <c r="L2941" s="573">
        <v>3</v>
      </c>
      <c r="M2941" s="573">
        <v>0</v>
      </c>
      <c r="N2941" s="573" t="s">
        <v>157</v>
      </c>
      <c r="O2941" s="573">
        <v>1</v>
      </c>
      <c r="P2941" s="573" t="s">
        <v>157</v>
      </c>
      <c r="Q2941" s="571">
        <v>12900</v>
      </c>
      <c r="R2941" s="573" t="s">
        <v>4235</v>
      </c>
      <c r="S2941" s="573">
        <v>8</v>
      </c>
      <c r="T2941" s="573" t="s">
        <v>4993</v>
      </c>
      <c r="U2941" s="573" t="s">
        <v>4928</v>
      </c>
      <c r="V2941" s="573">
        <v>145</v>
      </c>
      <c r="W2941" s="573">
        <v>40</v>
      </c>
      <c r="X2941" s="571">
        <v>14000</v>
      </c>
      <c r="Y2941" s="569" t="s">
        <v>164</v>
      </c>
      <c r="Z2941" s="579" t="s">
        <v>450</v>
      </c>
      <c r="AA2941" s="579" t="s">
        <v>178</v>
      </c>
      <c r="AB2941" s="584">
        <v>43240</v>
      </c>
      <c r="AC2941" s="584" t="s">
        <v>164</v>
      </c>
      <c r="AD2941" s="584">
        <v>33003.915789473685</v>
      </c>
      <c r="AE2941" s="586">
        <v>0.03</v>
      </c>
      <c r="AF2941" s="661" t="str">
        <f t="shared" si="318"/>
        <v>2019-LTK-FRD-F35C-049-27</v>
      </c>
      <c r="AG2941" s="661" t="str">
        <f>IF(AND($Y2941&gt;=32,(AI2941="I"),(Y2941&lt;&gt;"~"),(COUNTIF($AN$1:$AN2941,$AN2941)=1)),"TRUE","FALSE")</f>
        <v>FALSE</v>
      </c>
      <c r="AH2941" s="661" t="str">
        <f>IF(AND($Y2941&gt;=22, (AI2941&lt;&gt;"I"),(Y2941&lt;&gt;"~"),(COUNTIF($AN$1:$AN2941,$AN2941)=1)),"TRUE","FALSE")</f>
        <v>FALSE</v>
      </c>
      <c r="AI2941" s="661" t="str">
        <f t="shared" si="320"/>
        <v>N/A</v>
      </c>
      <c r="AJ2941" s="662" t="str">
        <f t="shared" si="314"/>
        <v>F35C-049</v>
      </c>
      <c r="AK2941" s="662" t="str">
        <f t="shared" si="315"/>
        <v>LTK</v>
      </c>
      <c r="AL2941" s="662" t="str">
        <f t="shared" si="316"/>
        <v>FRD</v>
      </c>
      <c r="AM2941" s="662" t="str">
        <f t="shared" si="319"/>
        <v>F350 Chassis Cab-Regular Cab XLT DRW-4WD-3-~-12900-6.2L FFV-8-F3H-643A-145-40-E85-Unleaded</v>
      </c>
      <c r="AN2941" s="662" t="str">
        <f t="shared" si="317"/>
        <v>2019-LTK-FRD-F35C-049</v>
      </c>
    </row>
    <row r="2942" spans="1:40" ht="15">
      <c r="A2942" s="570" t="s">
        <v>5074</v>
      </c>
      <c r="B2942" s="569" t="s">
        <v>5062</v>
      </c>
      <c r="C2942" s="569" t="s">
        <v>280</v>
      </c>
      <c r="D2942" s="580">
        <v>27</v>
      </c>
      <c r="E2942" s="569" t="s">
        <v>3374</v>
      </c>
      <c r="F2942" s="569" t="s">
        <v>1684</v>
      </c>
      <c r="G2942" s="569" t="s">
        <v>271</v>
      </c>
      <c r="H2942" s="569">
        <v>2019</v>
      </c>
      <c r="I2942" s="569" t="s">
        <v>4879</v>
      </c>
      <c r="J2942" s="569" t="s">
        <v>4730</v>
      </c>
      <c r="K2942" s="569" t="s">
        <v>752</v>
      </c>
      <c r="L2942" s="569">
        <v>3</v>
      </c>
      <c r="M2942" s="569">
        <v>0</v>
      </c>
      <c r="N2942" s="569" t="s">
        <v>157</v>
      </c>
      <c r="O2942" s="569">
        <v>1</v>
      </c>
      <c r="P2942" s="569" t="s">
        <v>157</v>
      </c>
      <c r="Q2942" s="568">
        <v>12900</v>
      </c>
      <c r="R2942" s="569" t="s">
        <v>4231</v>
      </c>
      <c r="S2942" s="569">
        <v>8</v>
      </c>
      <c r="T2942" s="569" t="s">
        <v>4993</v>
      </c>
      <c r="U2942" s="569" t="s">
        <v>4928</v>
      </c>
      <c r="V2942" s="569">
        <v>145</v>
      </c>
      <c r="W2942" s="569">
        <v>40</v>
      </c>
      <c r="X2942" s="568">
        <v>14000</v>
      </c>
      <c r="Y2942" s="569" t="s">
        <v>164</v>
      </c>
      <c r="Z2942" s="581" t="s">
        <v>728</v>
      </c>
      <c r="AA2942" s="581" t="s">
        <v>1523</v>
      </c>
      <c r="AB2942" s="585">
        <v>52360</v>
      </c>
      <c r="AC2942" s="585" t="s">
        <v>164</v>
      </c>
      <c r="AD2942" s="585">
        <v>41196.1052631579</v>
      </c>
      <c r="AE2942" s="587">
        <v>0.03</v>
      </c>
      <c r="AF2942" s="661" t="str">
        <f t="shared" si="318"/>
        <v>2019-LTK-FRD-F35C-051-27</v>
      </c>
      <c r="AG2942" s="661" t="str">
        <f>IF(AND($Y2942&gt;=32,(AI2942="I"),(Y2942&lt;&gt;"~"),(COUNTIF($AN$1:$AN2942,$AN2942)=1)),"TRUE","FALSE")</f>
        <v>FALSE</v>
      </c>
      <c r="AH2942" s="661" t="str">
        <f>IF(AND($Y2942&gt;=22, (AI2942&lt;&gt;"I"),(Y2942&lt;&gt;"~"),(COUNTIF($AN$1:$AN2942,$AN2942)=1)),"TRUE","FALSE")</f>
        <v>FALSE</v>
      </c>
      <c r="AI2942" s="661" t="str">
        <f t="shared" si="320"/>
        <v>N/A</v>
      </c>
      <c r="AJ2942" s="662" t="str">
        <f t="shared" si="314"/>
        <v>F35C-051</v>
      </c>
      <c r="AK2942" s="662" t="str">
        <f t="shared" si="315"/>
        <v>LTK</v>
      </c>
      <c r="AL2942" s="662" t="str">
        <f t="shared" si="316"/>
        <v>FRD</v>
      </c>
      <c r="AM2942" s="662" t="str">
        <f t="shared" si="319"/>
        <v>F350 Chassis Cab-Regular Cab XLT DRW-4WD-3-~-12900-6.7L Diesel-8-F3H-643A-145-40-Diesel-BioDiesel</v>
      </c>
      <c r="AN2942" s="662" t="str">
        <f t="shared" si="317"/>
        <v>2019-LTK-FRD-F35C-051</v>
      </c>
    </row>
    <row r="2943" spans="1:40" ht="15">
      <c r="A2943" s="570" t="s">
        <v>5075</v>
      </c>
      <c r="B2943" s="573" t="s">
        <v>5076</v>
      </c>
      <c r="C2943" s="573" t="s">
        <v>269</v>
      </c>
      <c r="D2943" s="578" t="s">
        <v>270</v>
      </c>
      <c r="E2943" s="573" t="s">
        <v>3374</v>
      </c>
      <c r="F2943" s="573" t="s">
        <v>1684</v>
      </c>
      <c r="G2943" s="573" t="s">
        <v>271</v>
      </c>
      <c r="H2943" s="573">
        <v>2019</v>
      </c>
      <c r="I2943" s="573" t="s">
        <v>4879</v>
      </c>
      <c r="J2943" s="573" t="s">
        <v>5077</v>
      </c>
      <c r="K2943" s="573" t="s">
        <v>3377</v>
      </c>
      <c r="L2943" s="573">
        <v>3</v>
      </c>
      <c r="M2943" s="573">
        <v>0</v>
      </c>
      <c r="N2943" s="573" t="s">
        <v>157</v>
      </c>
      <c r="O2943" s="573">
        <v>1</v>
      </c>
      <c r="P2943" s="573" t="s">
        <v>157</v>
      </c>
      <c r="Q2943" s="571">
        <v>13100</v>
      </c>
      <c r="R2943" s="573" t="s">
        <v>4235</v>
      </c>
      <c r="S2943" s="573">
        <v>8</v>
      </c>
      <c r="T2943" s="573" t="s">
        <v>5015</v>
      </c>
      <c r="U2943" s="573" t="s">
        <v>4950</v>
      </c>
      <c r="V2943" s="573">
        <v>145</v>
      </c>
      <c r="W2943" s="573">
        <v>40</v>
      </c>
      <c r="X2943" s="571">
        <v>10500</v>
      </c>
      <c r="Y2943" s="569" t="s">
        <v>164</v>
      </c>
      <c r="Z2943" s="579" t="s">
        <v>450</v>
      </c>
      <c r="AA2943" s="579" t="s">
        <v>178</v>
      </c>
      <c r="AB2943" s="584">
        <v>38670</v>
      </c>
      <c r="AC2943" s="584" t="s">
        <v>164</v>
      </c>
      <c r="AD2943" s="584">
        <v>29835.494736842109</v>
      </c>
      <c r="AE2943" s="586">
        <v>0.03</v>
      </c>
      <c r="AF2943" s="661" t="str">
        <f t="shared" si="318"/>
        <v>2019-LTK-FRD-F35C-052-05</v>
      </c>
      <c r="AG2943" s="661" t="str">
        <f>IF(AND($Y2943&gt;=32,(AI2943="I"),(Y2943&lt;&gt;"~"),(COUNTIF($AN$1:$AN2943,$AN2943)=1)),"TRUE","FALSE")</f>
        <v>FALSE</v>
      </c>
      <c r="AH2943" s="661" t="str">
        <f>IF(AND($Y2943&gt;=22, (AI2943&lt;&gt;"I"),(Y2943&lt;&gt;"~"),(COUNTIF($AN$1:$AN2943,$AN2943)=1)),"TRUE","FALSE")</f>
        <v>TRUE</v>
      </c>
      <c r="AI2943" s="661" t="str">
        <f t="shared" si="320"/>
        <v>N/A</v>
      </c>
      <c r="AJ2943" s="662" t="str">
        <f t="shared" si="314"/>
        <v>F35C-052</v>
      </c>
      <c r="AK2943" s="662" t="str">
        <f t="shared" si="315"/>
        <v>LTK</v>
      </c>
      <c r="AL2943" s="662" t="str">
        <f t="shared" si="316"/>
        <v>FRD</v>
      </c>
      <c r="AM2943" s="662" t="str">
        <f t="shared" si="319"/>
        <v>F350 Chassis Cab-Regular Cab XLT SRW-2WD-3-~-13100-6.2L FFV-8-F3E-633A-145-40-E85-Unleaded</v>
      </c>
      <c r="AN2943" s="662" t="str">
        <f t="shared" si="317"/>
        <v>2019-LTK-FRD-F35C-052</v>
      </c>
    </row>
    <row r="2944" spans="1:40" ht="15">
      <c r="A2944" s="570" t="s">
        <v>5078</v>
      </c>
      <c r="B2944" s="569" t="s">
        <v>5079</v>
      </c>
      <c r="C2944" s="569" t="s">
        <v>269</v>
      </c>
      <c r="D2944" s="580" t="s">
        <v>270</v>
      </c>
      <c r="E2944" s="569" t="s">
        <v>3374</v>
      </c>
      <c r="F2944" s="569" t="s">
        <v>1684</v>
      </c>
      <c r="G2944" s="569" t="s">
        <v>271</v>
      </c>
      <c r="H2944" s="569">
        <v>2019</v>
      </c>
      <c r="I2944" s="569" t="s">
        <v>4879</v>
      </c>
      <c r="J2944" s="569" t="s">
        <v>5077</v>
      </c>
      <c r="K2944" s="569" t="s">
        <v>3377</v>
      </c>
      <c r="L2944" s="569">
        <v>3</v>
      </c>
      <c r="M2944" s="569">
        <v>0</v>
      </c>
      <c r="N2944" s="569" t="s">
        <v>157</v>
      </c>
      <c r="O2944" s="569">
        <v>1</v>
      </c>
      <c r="P2944" s="569" t="s">
        <v>157</v>
      </c>
      <c r="Q2944" s="568">
        <v>13100</v>
      </c>
      <c r="R2944" s="569" t="s">
        <v>4231</v>
      </c>
      <c r="S2944" s="569">
        <v>8</v>
      </c>
      <c r="T2944" s="569" t="s">
        <v>5015</v>
      </c>
      <c r="U2944" s="569" t="s">
        <v>4950</v>
      </c>
      <c r="V2944" s="569">
        <v>145</v>
      </c>
      <c r="W2944" s="569">
        <v>40</v>
      </c>
      <c r="X2944" s="568">
        <v>11100</v>
      </c>
      <c r="Y2944" s="569" t="s">
        <v>164</v>
      </c>
      <c r="Z2944" s="581" t="s">
        <v>728</v>
      </c>
      <c r="AA2944" s="581" t="s">
        <v>1523</v>
      </c>
      <c r="AB2944" s="585">
        <v>47790</v>
      </c>
      <c r="AC2944" s="585" t="s">
        <v>164</v>
      </c>
      <c r="AD2944" s="585">
        <v>38027.68421052632</v>
      </c>
      <c r="AE2944" s="587">
        <v>0.03</v>
      </c>
      <c r="AF2944" s="661" t="str">
        <f t="shared" si="318"/>
        <v>2019-LTK-FRD-F35C-053-05</v>
      </c>
      <c r="AG2944" s="661" t="str">
        <f>IF(AND($Y2944&gt;=32,(AI2944="I"),(Y2944&lt;&gt;"~"),(COUNTIF($AN$1:$AN2944,$AN2944)=1)),"TRUE","FALSE")</f>
        <v>FALSE</v>
      </c>
      <c r="AH2944" s="661" t="str">
        <f>IF(AND($Y2944&gt;=22, (AI2944&lt;&gt;"I"),(Y2944&lt;&gt;"~"),(COUNTIF($AN$1:$AN2944,$AN2944)=1)),"TRUE","FALSE")</f>
        <v>TRUE</v>
      </c>
      <c r="AI2944" s="661" t="str">
        <f t="shared" si="320"/>
        <v>N/A</v>
      </c>
      <c r="AJ2944" s="662" t="str">
        <f t="shared" si="314"/>
        <v>F35C-053</v>
      </c>
      <c r="AK2944" s="662" t="str">
        <f t="shared" si="315"/>
        <v>LTK</v>
      </c>
      <c r="AL2944" s="662" t="str">
        <f t="shared" si="316"/>
        <v>FRD</v>
      </c>
      <c r="AM2944" s="662" t="str">
        <f t="shared" si="319"/>
        <v>F350 Chassis Cab-Regular Cab XLT SRW-2WD-3-~-13100-6.7L Diesel-8-F3E-633A-145-40-Diesel-BioDiesel</v>
      </c>
      <c r="AN2944" s="662" t="str">
        <f t="shared" si="317"/>
        <v>2019-LTK-FRD-F35C-053</v>
      </c>
    </row>
    <row r="2945" spans="1:40" ht="15">
      <c r="A2945" s="570" t="s">
        <v>5080</v>
      </c>
      <c r="B2945" s="573" t="s">
        <v>5076</v>
      </c>
      <c r="C2945" s="573" t="s">
        <v>278</v>
      </c>
      <c r="D2945" s="578">
        <v>15</v>
      </c>
      <c r="E2945" s="573" t="s">
        <v>3374</v>
      </c>
      <c r="F2945" s="573" t="s">
        <v>1684</v>
      </c>
      <c r="G2945" s="573" t="s">
        <v>271</v>
      </c>
      <c r="H2945" s="573">
        <v>2019</v>
      </c>
      <c r="I2945" s="573" t="s">
        <v>4879</v>
      </c>
      <c r="J2945" s="573" t="s">
        <v>5077</v>
      </c>
      <c r="K2945" s="573" t="s">
        <v>3377</v>
      </c>
      <c r="L2945" s="573">
        <v>3</v>
      </c>
      <c r="M2945" s="573">
        <v>0</v>
      </c>
      <c r="N2945" s="573" t="s">
        <v>157</v>
      </c>
      <c r="O2945" s="573">
        <v>1</v>
      </c>
      <c r="P2945" s="573" t="s">
        <v>157</v>
      </c>
      <c r="Q2945" s="571">
        <v>13200</v>
      </c>
      <c r="R2945" s="573" t="s">
        <v>4235</v>
      </c>
      <c r="S2945" s="573">
        <v>8</v>
      </c>
      <c r="T2945" s="573" t="s">
        <v>5015</v>
      </c>
      <c r="U2945" s="573" t="s">
        <v>4950</v>
      </c>
      <c r="V2945" s="573">
        <v>145</v>
      </c>
      <c r="W2945" s="573">
        <v>40</v>
      </c>
      <c r="X2945" s="571">
        <v>10500</v>
      </c>
      <c r="Y2945" s="569" t="s">
        <v>164</v>
      </c>
      <c r="Z2945" s="579" t="s">
        <v>450</v>
      </c>
      <c r="AA2945" s="579" t="s">
        <v>178</v>
      </c>
      <c r="AB2945" s="584">
        <v>38670</v>
      </c>
      <c r="AC2945" s="584" t="s">
        <v>164</v>
      </c>
      <c r="AD2945" s="584">
        <v>29950</v>
      </c>
      <c r="AE2945" s="586">
        <v>0.01</v>
      </c>
      <c r="AF2945" s="661" t="str">
        <f t="shared" si="318"/>
        <v>2019-LTK-FRD-F35C-052-15</v>
      </c>
      <c r="AG2945" s="661" t="str">
        <f>IF(AND($Y2945&gt;=32,(AI2945="I"),(Y2945&lt;&gt;"~"),(COUNTIF($AN$1:$AN2945,$AN2945)=1)),"TRUE","FALSE")</f>
        <v>FALSE</v>
      </c>
      <c r="AH2945" s="661" t="str">
        <f>IF(AND($Y2945&gt;=22, (AI2945&lt;&gt;"I"),(Y2945&lt;&gt;"~"),(COUNTIF($AN$1:$AN2945,$AN2945)=1)),"TRUE","FALSE")</f>
        <v>FALSE</v>
      </c>
      <c r="AI2945" s="661" t="str">
        <f t="shared" si="320"/>
        <v>N/A</v>
      </c>
      <c r="AJ2945" s="662" t="str">
        <f t="shared" si="314"/>
        <v>F35C-052</v>
      </c>
      <c r="AK2945" s="662" t="str">
        <f t="shared" si="315"/>
        <v>LTK</v>
      </c>
      <c r="AL2945" s="662" t="str">
        <f t="shared" si="316"/>
        <v>FRD</v>
      </c>
      <c r="AM2945" s="662" t="str">
        <f t="shared" si="319"/>
        <v>F350 Chassis Cab-Regular Cab XLT SRW-2WD-3-~-13200-6.2L FFV-8-F3E-633A-145-40-E85-Unleaded</v>
      </c>
      <c r="AN2945" s="662" t="str">
        <f t="shared" si="317"/>
        <v>2019-LTK-FRD-F35C-052</v>
      </c>
    </row>
    <row r="2946" spans="1:40" ht="15">
      <c r="A2946" s="570" t="s">
        <v>5081</v>
      </c>
      <c r="B2946" s="569" t="s">
        <v>5079</v>
      </c>
      <c r="C2946" s="569" t="s">
        <v>278</v>
      </c>
      <c r="D2946" s="580">
        <v>15</v>
      </c>
      <c r="E2946" s="569" t="s">
        <v>3374</v>
      </c>
      <c r="F2946" s="569" t="s">
        <v>1684</v>
      </c>
      <c r="G2946" s="569" t="s">
        <v>271</v>
      </c>
      <c r="H2946" s="569">
        <v>2019</v>
      </c>
      <c r="I2946" s="569" t="s">
        <v>4879</v>
      </c>
      <c r="J2946" s="569" t="s">
        <v>5077</v>
      </c>
      <c r="K2946" s="569" t="s">
        <v>3377</v>
      </c>
      <c r="L2946" s="569">
        <v>3</v>
      </c>
      <c r="M2946" s="569">
        <v>0</v>
      </c>
      <c r="N2946" s="569" t="s">
        <v>157</v>
      </c>
      <c r="O2946" s="569">
        <v>1</v>
      </c>
      <c r="P2946" s="569" t="s">
        <v>157</v>
      </c>
      <c r="Q2946" s="568">
        <v>13200</v>
      </c>
      <c r="R2946" s="569" t="s">
        <v>4231</v>
      </c>
      <c r="S2946" s="569">
        <v>8</v>
      </c>
      <c r="T2946" s="569" t="s">
        <v>5015</v>
      </c>
      <c r="U2946" s="569" t="s">
        <v>4950</v>
      </c>
      <c r="V2946" s="569">
        <v>145</v>
      </c>
      <c r="W2946" s="569">
        <v>40</v>
      </c>
      <c r="X2946" s="568">
        <v>11100</v>
      </c>
      <c r="Y2946" s="569" t="s">
        <v>164</v>
      </c>
      <c r="Z2946" s="581" t="s">
        <v>728</v>
      </c>
      <c r="AA2946" s="581" t="s">
        <v>1523</v>
      </c>
      <c r="AB2946" s="585">
        <v>47790</v>
      </c>
      <c r="AC2946" s="585" t="s">
        <v>164</v>
      </c>
      <c r="AD2946" s="585">
        <v>38250</v>
      </c>
      <c r="AE2946" s="587">
        <v>0.01</v>
      </c>
      <c r="AF2946" s="661" t="str">
        <f t="shared" si="318"/>
        <v>2019-LTK-FRD-F35C-053-15</v>
      </c>
      <c r="AG2946" s="661" t="str">
        <f>IF(AND($Y2946&gt;=32,(AI2946="I"),(Y2946&lt;&gt;"~"),(COUNTIF($AN$1:$AN2946,$AN2946)=1)),"TRUE","FALSE")</f>
        <v>FALSE</v>
      </c>
      <c r="AH2946" s="661" t="str">
        <f>IF(AND($Y2946&gt;=22, (AI2946&lt;&gt;"I"),(Y2946&lt;&gt;"~"),(COUNTIF($AN$1:$AN2946,$AN2946)=1)),"TRUE","FALSE")</f>
        <v>FALSE</v>
      </c>
      <c r="AI2946" s="661" t="str">
        <f t="shared" si="320"/>
        <v>N/A</v>
      </c>
      <c r="AJ2946" s="662" t="str">
        <f t="shared" si="314"/>
        <v>F35C-053</v>
      </c>
      <c r="AK2946" s="662" t="str">
        <f t="shared" si="315"/>
        <v>LTK</v>
      </c>
      <c r="AL2946" s="662" t="str">
        <f t="shared" si="316"/>
        <v>FRD</v>
      </c>
      <c r="AM2946" s="662" t="str">
        <f t="shared" si="319"/>
        <v>F350 Chassis Cab-Regular Cab XLT SRW-2WD-3-~-13200-6.7L Diesel-8-F3E-633A-145-40-Diesel-BioDiesel</v>
      </c>
      <c r="AN2946" s="662" t="str">
        <f t="shared" si="317"/>
        <v>2019-LTK-FRD-F35C-053</v>
      </c>
    </row>
    <row r="2947" spans="1:40" ht="15">
      <c r="A2947" s="570" t="s">
        <v>5082</v>
      </c>
      <c r="B2947" s="573" t="s">
        <v>5076</v>
      </c>
      <c r="C2947" s="573" t="s">
        <v>287</v>
      </c>
      <c r="D2947" s="578">
        <v>26</v>
      </c>
      <c r="E2947" s="573" t="s">
        <v>3374</v>
      </c>
      <c r="F2947" s="573" t="s">
        <v>1684</v>
      </c>
      <c r="G2947" s="573" t="s">
        <v>271</v>
      </c>
      <c r="H2947" s="573">
        <v>2019</v>
      </c>
      <c r="I2947" s="573" t="s">
        <v>4879</v>
      </c>
      <c r="J2947" s="573" t="s">
        <v>5077</v>
      </c>
      <c r="K2947" s="573" t="s">
        <v>3377</v>
      </c>
      <c r="L2947" s="573">
        <v>3</v>
      </c>
      <c r="M2947" s="573">
        <v>0</v>
      </c>
      <c r="N2947" s="573" t="s">
        <v>157</v>
      </c>
      <c r="O2947" s="573">
        <v>1</v>
      </c>
      <c r="P2947" s="573" t="s">
        <v>157</v>
      </c>
      <c r="Q2947" s="571">
        <v>13200</v>
      </c>
      <c r="R2947" s="573" t="s">
        <v>4235</v>
      </c>
      <c r="S2947" s="573">
        <v>8</v>
      </c>
      <c r="T2947" s="573" t="s">
        <v>5015</v>
      </c>
      <c r="U2947" s="573" t="s">
        <v>4950</v>
      </c>
      <c r="V2947" s="573">
        <v>145</v>
      </c>
      <c r="W2947" s="573">
        <v>40</v>
      </c>
      <c r="X2947" s="571">
        <v>10500</v>
      </c>
      <c r="Y2947" s="569" t="s">
        <v>164</v>
      </c>
      <c r="Z2947" s="579" t="s">
        <v>450</v>
      </c>
      <c r="AA2947" s="579" t="s">
        <v>178</v>
      </c>
      <c r="AB2947" s="584">
        <v>38220</v>
      </c>
      <c r="AC2947" s="584" t="s">
        <v>164</v>
      </c>
      <c r="AD2947" s="584">
        <v>30032</v>
      </c>
      <c r="AE2947" s="586">
        <v>0.05</v>
      </c>
      <c r="AF2947" s="661" t="str">
        <f t="shared" si="318"/>
        <v>2019-LTK-FRD-F35C-052-26</v>
      </c>
      <c r="AG2947" s="661" t="str">
        <f>IF(AND($Y2947&gt;=32,(AI2947="I"),(Y2947&lt;&gt;"~"),(COUNTIF($AN$1:$AN2947,$AN2947)=1)),"TRUE","FALSE")</f>
        <v>FALSE</v>
      </c>
      <c r="AH2947" s="661" t="str">
        <f>IF(AND($Y2947&gt;=22, (AI2947&lt;&gt;"I"),(Y2947&lt;&gt;"~"),(COUNTIF($AN$1:$AN2947,$AN2947)=1)),"TRUE","FALSE")</f>
        <v>FALSE</v>
      </c>
      <c r="AI2947" s="661" t="str">
        <f t="shared" si="320"/>
        <v>N/A</v>
      </c>
      <c r="AJ2947" s="662" t="str">
        <f t="shared" ref="AJ2947:AJ3010" si="321">MID(A2947,14,8)</f>
        <v>F35C-052</v>
      </c>
      <c r="AK2947" s="662" t="str">
        <f t="shared" ref="AK2947:AK3010" si="322">MID(A2947,6,3)</f>
        <v>LTK</v>
      </c>
      <c r="AL2947" s="662" t="str">
        <f t="shared" ref="AL2947:AL3010" si="323">MID(A2947,10,3)</f>
        <v>FRD</v>
      </c>
      <c r="AM2947" s="662" t="str">
        <f t="shared" si="319"/>
        <v>F350 Chassis Cab-Regular Cab XLT SRW-2WD-3-~-13200-6.2L FFV-8-F3E-633A-145-40-E85-Unleaded</v>
      </c>
      <c r="AN2947" s="662" t="str">
        <f t="shared" ref="AN2947:AN3010" si="324">LEFT(A2947,21)</f>
        <v>2019-LTK-FRD-F35C-052</v>
      </c>
    </row>
    <row r="2948" spans="1:40" ht="15">
      <c r="A2948" s="570" t="s">
        <v>5083</v>
      </c>
      <c r="B2948" s="569" t="s">
        <v>5079</v>
      </c>
      <c r="C2948" s="569" t="s">
        <v>287</v>
      </c>
      <c r="D2948" s="580">
        <v>26</v>
      </c>
      <c r="E2948" s="569" t="s">
        <v>3374</v>
      </c>
      <c r="F2948" s="569" t="s">
        <v>1684</v>
      </c>
      <c r="G2948" s="569" t="s">
        <v>271</v>
      </c>
      <c r="H2948" s="569">
        <v>2019</v>
      </c>
      <c r="I2948" s="569" t="s">
        <v>4879</v>
      </c>
      <c r="J2948" s="569" t="s">
        <v>5077</v>
      </c>
      <c r="K2948" s="569" t="s">
        <v>3377</v>
      </c>
      <c r="L2948" s="569">
        <v>3</v>
      </c>
      <c r="M2948" s="569">
        <v>0</v>
      </c>
      <c r="N2948" s="569" t="s">
        <v>157</v>
      </c>
      <c r="O2948" s="569">
        <v>1</v>
      </c>
      <c r="P2948" s="569" t="s">
        <v>157</v>
      </c>
      <c r="Q2948" s="568">
        <v>13200</v>
      </c>
      <c r="R2948" s="569" t="s">
        <v>4231</v>
      </c>
      <c r="S2948" s="569">
        <v>8</v>
      </c>
      <c r="T2948" s="569" t="s">
        <v>5015</v>
      </c>
      <c r="U2948" s="569" t="s">
        <v>4950</v>
      </c>
      <c r="V2948" s="569">
        <v>145</v>
      </c>
      <c r="W2948" s="569">
        <v>40</v>
      </c>
      <c r="X2948" s="568">
        <v>11100</v>
      </c>
      <c r="Y2948" s="569" t="s">
        <v>164</v>
      </c>
      <c r="Z2948" s="581" t="s">
        <v>728</v>
      </c>
      <c r="AA2948" s="581" t="s">
        <v>1523</v>
      </c>
      <c r="AB2948" s="585">
        <v>47215</v>
      </c>
      <c r="AC2948" s="585" t="s">
        <v>164</v>
      </c>
      <c r="AD2948" s="585">
        <v>38227</v>
      </c>
      <c r="AE2948" s="587">
        <v>0.05</v>
      </c>
      <c r="AF2948" s="661" t="str">
        <f t="shared" si="318"/>
        <v>2019-LTK-FRD-F35C-053-26</v>
      </c>
      <c r="AG2948" s="661" t="str">
        <f>IF(AND($Y2948&gt;=32,(AI2948="I"),(Y2948&lt;&gt;"~"),(COUNTIF($AN$1:$AN2948,$AN2948)=1)),"TRUE","FALSE")</f>
        <v>FALSE</v>
      </c>
      <c r="AH2948" s="661" t="str">
        <f>IF(AND($Y2948&gt;=22, (AI2948&lt;&gt;"I"),(Y2948&lt;&gt;"~"),(COUNTIF($AN$1:$AN2948,$AN2948)=1)),"TRUE","FALSE")</f>
        <v>FALSE</v>
      </c>
      <c r="AI2948" s="661" t="str">
        <f t="shared" si="320"/>
        <v>N/A</v>
      </c>
      <c r="AJ2948" s="662" t="str">
        <f t="shared" si="321"/>
        <v>F35C-053</v>
      </c>
      <c r="AK2948" s="662" t="str">
        <f t="shared" si="322"/>
        <v>LTK</v>
      </c>
      <c r="AL2948" s="662" t="str">
        <f t="shared" si="323"/>
        <v>FRD</v>
      </c>
      <c r="AM2948" s="662" t="str">
        <f t="shared" si="319"/>
        <v>F350 Chassis Cab-Regular Cab XLT SRW-2WD-3-~-13200-6.7L Diesel-8-F3E-633A-145-40-Diesel-BioDiesel</v>
      </c>
      <c r="AN2948" s="662" t="str">
        <f t="shared" si="324"/>
        <v>2019-LTK-FRD-F35C-053</v>
      </c>
    </row>
    <row r="2949" spans="1:40" ht="15">
      <c r="A2949" s="570" t="s">
        <v>5084</v>
      </c>
      <c r="B2949" s="573" t="s">
        <v>5076</v>
      </c>
      <c r="C2949" s="573" t="s">
        <v>280</v>
      </c>
      <c r="D2949" s="578">
        <v>27</v>
      </c>
      <c r="E2949" s="573" t="s">
        <v>3374</v>
      </c>
      <c r="F2949" s="573" t="s">
        <v>1684</v>
      </c>
      <c r="G2949" s="573" t="s">
        <v>271</v>
      </c>
      <c r="H2949" s="573">
        <v>2019</v>
      </c>
      <c r="I2949" s="573" t="s">
        <v>4879</v>
      </c>
      <c r="J2949" s="573" t="s">
        <v>5077</v>
      </c>
      <c r="K2949" s="573" t="s">
        <v>3377</v>
      </c>
      <c r="L2949" s="573">
        <v>3</v>
      </c>
      <c r="M2949" s="573">
        <v>0</v>
      </c>
      <c r="N2949" s="573" t="s">
        <v>157</v>
      </c>
      <c r="O2949" s="573">
        <v>1</v>
      </c>
      <c r="P2949" s="573" t="s">
        <v>157</v>
      </c>
      <c r="Q2949" s="571">
        <v>13100</v>
      </c>
      <c r="R2949" s="573" t="s">
        <v>4235</v>
      </c>
      <c r="S2949" s="573">
        <v>8</v>
      </c>
      <c r="T2949" s="573" t="s">
        <v>5015</v>
      </c>
      <c r="U2949" s="573" t="s">
        <v>4950</v>
      </c>
      <c r="V2949" s="573">
        <v>145</v>
      </c>
      <c r="W2949" s="573">
        <v>40</v>
      </c>
      <c r="X2949" s="571">
        <v>10500</v>
      </c>
      <c r="Y2949" s="569" t="s">
        <v>164</v>
      </c>
      <c r="Z2949" s="579" t="s">
        <v>450</v>
      </c>
      <c r="AA2949" s="579" t="s">
        <v>178</v>
      </c>
      <c r="AB2949" s="584">
        <v>38670</v>
      </c>
      <c r="AC2949" s="584" t="s">
        <v>164</v>
      </c>
      <c r="AD2949" s="584">
        <v>29835.494736842109</v>
      </c>
      <c r="AE2949" s="586">
        <v>0.03</v>
      </c>
      <c r="AF2949" s="661" t="str">
        <f t="shared" si="318"/>
        <v>2019-LTK-FRD-F35C-052-27</v>
      </c>
      <c r="AG2949" s="661" t="str">
        <f>IF(AND($Y2949&gt;=32,(AI2949="I"),(Y2949&lt;&gt;"~"),(COUNTIF($AN$1:$AN2949,$AN2949)=1)),"TRUE","FALSE")</f>
        <v>FALSE</v>
      </c>
      <c r="AH2949" s="661" t="str">
        <f>IF(AND($Y2949&gt;=22, (AI2949&lt;&gt;"I"),(Y2949&lt;&gt;"~"),(COUNTIF($AN$1:$AN2949,$AN2949)=1)),"TRUE","FALSE")</f>
        <v>FALSE</v>
      </c>
      <c r="AI2949" s="661" t="str">
        <f t="shared" si="320"/>
        <v>N/A</v>
      </c>
      <c r="AJ2949" s="662" t="str">
        <f t="shared" si="321"/>
        <v>F35C-052</v>
      </c>
      <c r="AK2949" s="662" t="str">
        <f t="shared" si="322"/>
        <v>LTK</v>
      </c>
      <c r="AL2949" s="662" t="str">
        <f t="shared" si="323"/>
        <v>FRD</v>
      </c>
      <c r="AM2949" s="662" t="str">
        <f t="shared" si="319"/>
        <v>F350 Chassis Cab-Regular Cab XLT SRW-2WD-3-~-13100-6.2L FFV-8-F3E-633A-145-40-E85-Unleaded</v>
      </c>
      <c r="AN2949" s="662" t="str">
        <f t="shared" si="324"/>
        <v>2019-LTK-FRD-F35C-052</v>
      </c>
    </row>
    <row r="2950" spans="1:40" ht="15">
      <c r="A2950" s="570" t="s">
        <v>5085</v>
      </c>
      <c r="B2950" s="569" t="s">
        <v>5079</v>
      </c>
      <c r="C2950" s="569" t="s">
        <v>280</v>
      </c>
      <c r="D2950" s="580">
        <v>27</v>
      </c>
      <c r="E2950" s="569" t="s">
        <v>3374</v>
      </c>
      <c r="F2950" s="569" t="s">
        <v>1684</v>
      </c>
      <c r="G2950" s="569" t="s">
        <v>271</v>
      </c>
      <c r="H2950" s="569">
        <v>2019</v>
      </c>
      <c r="I2950" s="569" t="s">
        <v>4879</v>
      </c>
      <c r="J2950" s="569" t="s">
        <v>5077</v>
      </c>
      <c r="K2950" s="569" t="s">
        <v>3377</v>
      </c>
      <c r="L2950" s="569">
        <v>3</v>
      </c>
      <c r="M2950" s="569">
        <v>0</v>
      </c>
      <c r="N2950" s="569" t="s">
        <v>157</v>
      </c>
      <c r="O2950" s="569">
        <v>1</v>
      </c>
      <c r="P2950" s="569" t="s">
        <v>157</v>
      </c>
      <c r="Q2950" s="568">
        <v>13100</v>
      </c>
      <c r="R2950" s="569" t="s">
        <v>4231</v>
      </c>
      <c r="S2950" s="569">
        <v>8</v>
      </c>
      <c r="T2950" s="569" t="s">
        <v>5015</v>
      </c>
      <c r="U2950" s="569" t="s">
        <v>4950</v>
      </c>
      <c r="V2950" s="569">
        <v>145</v>
      </c>
      <c r="W2950" s="569">
        <v>40</v>
      </c>
      <c r="X2950" s="568">
        <v>11100</v>
      </c>
      <c r="Y2950" s="569" t="s">
        <v>164</v>
      </c>
      <c r="Z2950" s="581" t="s">
        <v>728</v>
      </c>
      <c r="AA2950" s="581" t="s">
        <v>1523</v>
      </c>
      <c r="AB2950" s="585">
        <v>47790</v>
      </c>
      <c r="AC2950" s="585" t="s">
        <v>164</v>
      </c>
      <c r="AD2950" s="585">
        <v>38027.68421052632</v>
      </c>
      <c r="AE2950" s="587">
        <v>0.03</v>
      </c>
      <c r="AF2950" s="661" t="str">
        <f t="shared" si="318"/>
        <v>2019-LTK-FRD-F35C-053-27</v>
      </c>
      <c r="AG2950" s="661" t="str">
        <f>IF(AND($Y2950&gt;=32,(AI2950="I"),(Y2950&lt;&gt;"~"),(COUNTIF($AN$1:$AN2950,$AN2950)=1)),"TRUE","FALSE")</f>
        <v>FALSE</v>
      </c>
      <c r="AH2950" s="661" t="str">
        <f>IF(AND($Y2950&gt;=22, (AI2950&lt;&gt;"I"),(Y2950&lt;&gt;"~"),(COUNTIF($AN$1:$AN2950,$AN2950)=1)),"TRUE","FALSE")</f>
        <v>FALSE</v>
      </c>
      <c r="AI2950" s="661" t="str">
        <f t="shared" si="320"/>
        <v>N/A</v>
      </c>
      <c r="AJ2950" s="662" t="str">
        <f t="shared" si="321"/>
        <v>F35C-053</v>
      </c>
      <c r="AK2950" s="662" t="str">
        <f t="shared" si="322"/>
        <v>LTK</v>
      </c>
      <c r="AL2950" s="662" t="str">
        <f t="shared" si="323"/>
        <v>FRD</v>
      </c>
      <c r="AM2950" s="662" t="str">
        <f t="shared" si="319"/>
        <v>F350 Chassis Cab-Regular Cab XLT SRW-2WD-3-~-13100-6.7L Diesel-8-F3E-633A-145-40-Diesel-BioDiesel</v>
      </c>
      <c r="AN2950" s="662" t="str">
        <f t="shared" si="324"/>
        <v>2019-LTK-FRD-F35C-053</v>
      </c>
    </row>
    <row r="2951" spans="1:40" ht="15">
      <c r="A2951" s="570" t="s">
        <v>5086</v>
      </c>
      <c r="B2951" s="573" t="s">
        <v>5087</v>
      </c>
      <c r="C2951" s="573" t="s">
        <v>269</v>
      </c>
      <c r="D2951" s="578" t="s">
        <v>270</v>
      </c>
      <c r="E2951" s="573" t="s">
        <v>3374</v>
      </c>
      <c r="F2951" s="573" t="s">
        <v>1684</v>
      </c>
      <c r="G2951" s="573" t="s">
        <v>271</v>
      </c>
      <c r="H2951" s="573">
        <v>2019</v>
      </c>
      <c r="I2951" s="573" t="s">
        <v>4879</v>
      </c>
      <c r="J2951" s="573" t="s">
        <v>5077</v>
      </c>
      <c r="K2951" s="573" t="s">
        <v>752</v>
      </c>
      <c r="L2951" s="573">
        <v>3</v>
      </c>
      <c r="M2951" s="573">
        <v>0</v>
      </c>
      <c r="N2951" s="573" t="s">
        <v>157</v>
      </c>
      <c r="O2951" s="573">
        <v>1</v>
      </c>
      <c r="P2951" s="573" t="s">
        <v>157</v>
      </c>
      <c r="Q2951" s="571">
        <v>12700</v>
      </c>
      <c r="R2951" s="573" t="s">
        <v>4235</v>
      </c>
      <c r="S2951" s="573">
        <v>8</v>
      </c>
      <c r="T2951" s="573" t="s">
        <v>5026</v>
      </c>
      <c r="U2951" s="573" t="s">
        <v>4950</v>
      </c>
      <c r="V2951" s="573">
        <v>145</v>
      </c>
      <c r="W2951" s="573">
        <v>40</v>
      </c>
      <c r="X2951" s="571">
        <v>10900</v>
      </c>
      <c r="Y2951" s="569" t="s">
        <v>164</v>
      </c>
      <c r="Z2951" s="579" t="s">
        <v>450</v>
      </c>
      <c r="AA2951" s="579" t="s">
        <v>178</v>
      </c>
      <c r="AB2951" s="584">
        <v>42175</v>
      </c>
      <c r="AC2951" s="584" t="s">
        <v>164</v>
      </c>
      <c r="AD2951" s="584">
        <v>32440.757894736846</v>
      </c>
      <c r="AE2951" s="586">
        <v>0.03</v>
      </c>
      <c r="AF2951" s="661" t="str">
        <f t="shared" si="318"/>
        <v>2019-LTK-FRD-F35C-055-05</v>
      </c>
      <c r="AG2951" s="661" t="str">
        <f>IF(AND($Y2951&gt;=32,(AI2951="I"),(Y2951&lt;&gt;"~"),(COUNTIF($AN$1:$AN2951,$AN2951)=1)),"TRUE","FALSE")</f>
        <v>FALSE</v>
      </c>
      <c r="AH2951" s="661" t="str">
        <f>IF(AND($Y2951&gt;=22, (AI2951&lt;&gt;"I"),(Y2951&lt;&gt;"~"),(COUNTIF($AN$1:$AN2951,$AN2951)=1)),"TRUE","FALSE")</f>
        <v>TRUE</v>
      </c>
      <c r="AI2951" s="661" t="str">
        <f t="shared" si="320"/>
        <v>N/A</v>
      </c>
      <c r="AJ2951" s="662" t="str">
        <f t="shared" si="321"/>
        <v>F35C-055</v>
      </c>
      <c r="AK2951" s="662" t="str">
        <f t="shared" si="322"/>
        <v>LTK</v>
      </c>
      <c r="AL2951" s="662" t="str">
        <f t="shared" si="323"/>
        <v>FRD</v>
      </c>
      <c r="AM2951" s="662" t="str">
        <f t="shared" si="319"/>
        <v>F350 Chassis Cab-Regular Cab XLT SRW-4WD-3-~-12700-6.2L FFV-8-F3F-633A-145-40-E85-Unleaded</v>
      </c>
      <c r="AN2951" s="662" t="str">
        <f t="shared" si="324"/>
        <v>2019-LTK-FRD-F35C-055</v>
      </c>
    </row>
    <row r="2952" spans="1:40" ht="15">
      <c r="A2952" s="570" t="s">
        <v>5088</v>
      </c>
      <c r="B2952" s="569" t="s">
        <v>5089</v>
      </c>
      <c r="C2952" s="569" t="s">
        <v>269</v>
      </c>
      <c r="D2952" s="580" t="s">
        <v>270</v>
      </c>
      <c r="E2952" s="569" t="s">
        <v>3374</v>
      </c>
      <c r="F2952" s="569" t="s">
        <v>1684</v>
      </c>
      <c r="G2952" s="569" t="s">
        <v>271</v>
      </c>
      <c r="H2952" s="569">
        <v>2019</v>
      </c>
      <c r="I2952" s="569" t="s">
        <v>4879</v>
      </c>
      <c r="J2952" s="569" t="s">
        <v>5077</v>
      </c>
      <c r="K2952" s="569" t="s">
        <v>752</v>
      </c>
      <c r="L2952" s="569">
        <v>3</v>
      </c>
      <c r="M2952" s="569">
        <v>0</v>
      </c>
      <c r="N2952" s="569" t="s">
        <v>157</v>
      </c>
      <c r="O2952" s="569">
        <v>1</v>
      </c>
      <c r="P2952" s="569" t="s">
        <v>157</v>
      </c>
      <c r="Q2952" s="568">
        <v>12700</v>
      </c>
      <c r="R2952" s="569" t="s">
        <v>4231</v>
      </c>
      <c r="S2952" s="569">
        <v>8</v>
      </c>
      <c r="T2952" s="569" t="s">
        <v>5026</v>
      </c>
      <c r="U2952" s="569" t="s">
        <v>4950</v>
      </c>
      <c r="V2952" s="569">
        <v>145</v>
      </c>
      <c r="W2952" s="569">
        <v>40</v>
      </c>
      <c r="X2952" s="568">
        <v>11500</v>
      </c>
      <c r="Y2952" s="569" t="s">
        <v>164</v>
      </c>
      <c r="Z2952" s="581" t="s">
        <v>728</v>
      </c>
      <c r="AA2952" s="581" t="s">
        <v>1523</v>
      </c>
      <c r="AB2952" s="585">
        <v>51295</v>
      </c>
      <c r="AC2952" s="585" t="s">
        <v>164</v>
      </c>
      <c r="AD2952" s="585">
        <v>40632.947368421061</v>
      </c>
      <c r="AE2952" s="587">
        <v>0.03</v>
      </c>
      <c r="AF2952" s="661" t="str">
        <f t="shared" si="318"/>
        <v>2019-LTK-FRD-F35C-056-05</v>
      </c>
      <c r="AG2952" s="661" t="str">
        <f>IF(AND($Y2952&gt;=32,(AI2952="I"),(Y2952&lt;&gt;"~"),(COUNTIF($AN$1:$AN2952,$AN2952)=1)),"TRUE","FALSE")</f>
        <v>FALSE</v>
      </c>
      <c r="AH2952" s="661" t="str">
        <f>IF(AND($Y2952&gt;=22, (AI2952&lt;&gt;"I"),(Y2952&lt;&gt;"~"),(COUNTIF($AN$1:$AN2952,$AN2952)=1)),"TRUE","FALSE")</f>
        <v>TRUE</v>
      </c>
      <c r="AI2952" s="661" t="str">
        <f t="shared" si="320"/>
        <v>N/A</v>
      </c>
      <c r="AJ2952" s="662" t="str">
        <f t="shared" si="321"/>
        <v>F35C-056</v>
      </c>
      <c r="AK2952" s="662" t="str">
        <f t="shared" si="322"/>
        <v>LTK</v>
      </c>
      <c r="AL2952" s="662" t="str">
        <f t="shared" si="323"/>
        <v>FRD</v>
      </c>
      <c r="AM2952" s="662" t="str">
        <f t="shared" si="319"/>
        <v>F350 Chassis Cab-Regular Cab XLT SRW-4WD-3-~-12700-6.7L Diesel-8-F3F-633A-145-40-Diesel-BioDiesel</v>
      </c>
      <c r="AN2952" s="662" t="str">
        <f t="shared" si="324"/>
        <v>2019-LTK-FRD-F35C-056</v>
      </c>
    </row>
    <row r="2953" spans="1:40" ht="15">
      <c r="A2953" s="570" t="s">
        <v>5090</v>
      </c>
      <c r="B2953" s="573" t="s">
        <v>5087</v>
      </c>
      <c r="C2953" s="573" t="s">
        <v>278</v>
      </c>
      <c r="D2953" s="578">
        <v>15</v>
      </c>
      <c r="E2953" s="573" t="s">
        <v>3374</v>
      </c>
      <c r="F2953" s="573" t="s">
        <v>1684</v>
      </c>
      <c r="G2953" s="573" t="s">
        <v>271</v>
      </c>
      <c r="H2953" s="573">
        <v>2019</v>
      </c>
      <c r="I2953" s="573" t="s">
        <v>4879</v>
      </c>
      <c r="J2953" s="573" t="s">
        <v>5077</v>
      </c>
      <c r="K2953" s="573" t="s">
        <v>752</v>
      </c>
      <c r="L2953" s="573">
        <v>3</v>
      </c>
      <c r="M2953" s="573">
        <v>0</v>
      </c>
      <c r="N2953" s="573" t="s">
        <v>157</v>
      </c>
      <c r="O2953" s="573">
        <v>1</v>
      </c>
      <c r="P2953" s="573" t="s">
        <v>157</v>
      </c>
      <c r="Q2953" s="571">
        <v>12700</v>
      </c>
      <c r="R2953" s="573" t="s">
        <v>4235</v>
      </c>
      <c r="S2953" s="573">
        <v>8</v>
      </c>
      <c r="T2953" s="573" t="s">
        <v>5026</v>
      </c>
      <c r="U2953" s="573" t="s">
        <v>4950</v>
      </c>
      <c r="V2953" s="573">
        <v>145</v>
      </c>
      <c r="W2953" s="573">
        <v>40</v>
      </c>
      <c r="X2953" s="571">
        <v>10900</v>
      </c>
      <c r="Y2953" s="569" t="s">
        <v>164</v>
      </c>
      <c r="Z2953" s="579" t="s">
        <v>450</v>
      </c>
      <c r="AA2953" s="579" t="s">
        <v>178</v>
      </c>
      <c r="AB2953" s="584">
        <v>42175</v>
      </c>
      <c r="AC2953" s="584" t="s">
        <v>164</v>
      </c>
      <c r="AD2953" s="584">
        <v>32575</v>
      </c>
      <c r="AE2953" s="586">
        <v>0.01</v>
      </c>
      <c r="AF2953" s="661" t="str">
        <f t="shared" si="318"/>
        <v>2019-LTK-FRD-F35C-055-15</v>
      </c>
      <c r="AG2953" s="661" t="str">
        <f>IF(AND($Y2953&gt;=32,(AI2953="I"),(Y2953&lt;&gt;"~"),(COUNTIF($AN$1:$AN2953,$AN2953)=1)),"TRUE","FALSE")</f>
        <v>FALSE</v>
      </c>
      <c r="AH2953" s="661" t="str">
        <f>IF(AND($Y2953&gt;=22, (AI2953&lt;&gt;"I"),(Y2953&lt;&gt;"~"),(COUNTIF($AN$1:$AN2953,$AN2953)=1)),"TRUE","FALSE")</f>
        <v>FALSE</v>
      </c>
      <c r="AI2953" s="661" t="str">
        <f t="shared" si="320"/>
        <v>N/A</v>
      </c>
      <c r="AJ2953" s="662" t="str">
        <f t="shared" si="321"/>
        <v>F35C-055</v>
      </c>
      <c r="AK2953" s="662" t="str">
        <f t="shared" si="322"/>
        <v>LTK</v>
      </c>
      <c r="AL2953" s="662" t="str">
        <f t="shared" si="323"/>
        <v>FRD</v>
      </c>
      <c r="AM2953" s="662" t="str">
        <f t="shared" si="319"/>
        <v>F350 Chassis Cab-Regular Cab XLT SRW-4WD-3-~-12700-6.2L FFV-8-F3F-633A-145-40-E85-Unleaded</v>
      </c>
      <c r="AN2953" s="662" t="str">
        <f t="shared" si="324"/>
        <v>2019-LTK-FRD-F35C-055</v>
      </c>
    </row>
    <row r="2954" spans="1:40" ht="15">
      <c r="A2954" s="570" t="s">
        <v>5091</v>
      </c>
      <c r="B2954" s="569" t="s">
        <v>5089</v>
      </c>
      <c r="C2954" s="569" t="s">
        <v>278</v>
      </c>
      <c r="D2954" s="580">
        <v>15</v>
      </c>
      <c r="E2954" s="569" t="s">
        <v>3374</v>
      </c>
      <c r="F2954" s="569" t="s">
        <v>1684</v>
      </c>
      <c r="G2954" s="569" t="s">
        <v>271</v>
      </c>
      <c r="H2954" s="569">
        <v>2019</v>
      </c>
      <c r="I2954" s="569" t="s">
        <v>4879</v>
      </c>
      <c r="J2954" s="569" t="s">
        <v>5077</v>
      </c>
      <c r="K2954" s="569" t="s">
        <v>752</v>
      </c>
      <c r="L2954" s="569">
        <v>3</v>
      </c>
      <c r="M2954" s="569">
        <v>0</v>
      </c>
      <c r="N2954" s="569" t="s">
        <v>157</v>
      </c>
      <c r="O2954" s="569">
        <v>1</v>
      </c>
      <c r="P2954" s="569" t="s">
        <v>157</v>
      </c>
      <c r="Q2954" s="568">
        <v>12700</v>
      </c>
      <c r="R2954" s="569" t="s">
        <v>4231</v>
      </c>
      <c r="S2954" s="569">
        <v>8</v>
      </c>
      <c r="T2954" s="569" t="s">
        <v>5026</v>
      </c>
      <c r="U2954" s="569" t="s">
        <v>4950</v>
      </c>
      <c r="V2954" s="569">
        <v>145</v>
      </c>
      <c r="W2954" s="569">
        <v>40</v>
      </c>
      <c r="X2954" s="568">
        <v>11500</v>
      </c>
      <c r="Y2954" s="569" t="s">
        <v>164</v>
      </c>
      <c r="Z2954" s="581" t="s">
        <v>728</v>
      </c>
      <c r="AA2954" s="581" t="s">
        <v>1523</v>
      </c>
      <c r="AB2954" s="585">
        <v>51295</v>
      </c>
      <c r="AC2954" s="585" t="s">
        <v>164</v>
      </c>
      <c r="AD2954" s="585">
        <v>40850</v>
      </c>
      <c r="AE2954" s="587">
        <v>0.01</v>
      </c>
      <c r="AF2954" s="661" t="str">
        <f t="shared" si="318"/>
        <v>2019-LTK-FRD-F35C-056-15</v>
      </c>
      <c r="AG2954" s="661" t="str">
        <f>IF(AND($Y2954&gt;=32,(AI2954="I"),(Y2954&lt;&gt;"~"),(COUNTIF($AN$1:$AN2954,$AN2954)=1)),"TRUE","FALSE")</f>
        <v>FALSE</v>
      </c>
      <c r="AH2954" s="661" t="str">
        <f>IF(AND($Y2954&gt;=22, (AI2954&lt;&gt;"I"),(Y2954&lt;&gt;"~"),(COUNTIF($AN$1:$AN2954,$AN2954)=1)),"TRUE","FALSE")</f>
        <v>FALSE</v>
      </c>
      <c r="AI2954" s="661" t="str">
        <f t="shared" si="320"/>
        <v>N/A</v>
      </c>
      <c r="AJ2954" s="662" t="str">
        <f t="shared" si="321"/>
        <v>F35C-056</v>
      </c>
      <c r="AK2954" s="662" t="str">
        <f t="shared" si="322"/>
        <v>LTK</v>
      </c>
      <c r="AL2954" s="662" t="str">
        <f t="shared" si="323"/>
        <v>FRD</v>
      </c>
      <c r="AM2954" s="662" t="str">
        <f t="shared" si="319"/>
        <v>F350 Chassis Cab-Regular Cab XLT SRW-4WD-3-~-12700-6.7L Diesel-8-F3F-633A-145-40-Diesel-BioDiesel</v>
      </c>
      <c r="AN2954" s="662" t="str">
        <f t="shared" si="324"/>
        <v>2019-LTK-FRD-F35C-056</v>
      </c>
    </row>
    <row r="2955" spans="1:40" ht="15">
      <c r="A2955" s="570" t="s">
        <v>5092</v>
      </c>
      <c r="B2955" s="573" t="s">
        <v>5087</v>
      </c>
      <c r="C2955" s="573" t="s">
        <v>287</v>
      </c>
      <c r="D2955" s="578">
        <v>26</v>
      </c>
      <c r="E2955" s="573" t="s">
        <v>3374</v>
      </c>
      <c r="F2955" s="573" t="s">
        <v>1684</v>
      </c>
      <c r="G2955" s="573" t="s">
        <v>271</v>
      </c>
      <c r="H2955" s="573">
        <v>2019</v>
      </c>
      <c r="I2955" s="573" t="s">
        <v>4879</v>
      </c>
      <c r="J2955" s="573" t="s">
        <v>5077</v>
      </c>
      <c r="K2955" s="573" t="s">
        <v>752</v>
      </c>
      <c r="L2955" s="573">
        <v>3</v>
      </c>
      <c r="M2955" s="573">
        <v>0</v>
      </c>
      <c r="N2955" s="573" t="s">
        <v>157</v>
      </c>
      <c r="O2955" s="573">
        <v>1</v>
      </c>
      <c r="P2955" s="573" t="s">
        <v>157</v>
      </c>
      <c r="Q2955" s="571">
        <v>12700</v>
      </c>
      <c r="R2955" s="573" t="s">
        <v>4235</v>
      </c>
      <c r="S2955" s="573">
        <v>8</v>
      </c>
      <c r="T2955" s="573" t="s">
        <v>5026</v>
      </c>
      <c r="U2955" s="573" t="s">
        <v>4950</v>
      </c>
      <c r="V2955" s="573">
        <v>145</v>
      </c>
      <c r="W2955" s="573">
        <v>40</v>
      </c>
      <c r="X2955" s="571">
        <v>10900</v>
      </c>
      <c r="Y2955" s="569" t="s">
        <v>164</v>
      </c>
      <c r="Z2955" s="579" t="s">
        <v>450</v>
      </c>
      <c r="AA2955" s="579" t="s">
        <v>178</v>
      </c>
      <c r="AB2955" s="584">
        <v>42175</v>
      </c>
      <c r="AC2955" s="584" t="s">
        <v>164</v>
      </c>
      <c r="AD2955" s="584">
        <v>32677</v>
      </c>
      <c r="AE2955" s="586">
        <v>0.05</v>
      </c>
      <c r="AF2955" s="661" t="str">
        <f t="shared" si="318"/>
        <v>2019-LTK-FRD-F35C-055-26</v>
      </c>
      <c r="AG2955" s="661" t="str">
        <f>IF(AND($Y2955&gt;=32,(AI2955="I"),(Y2955&lt;&gt;"~"),(COUNTIF($AN$1:$AN2955,$AN2955)=1)),"TRUE","FALSE")</f>
        <v>FALSE</v>
      </c>
      <c r="AH2955" s="661" t="str">
        <f>IF(AND($Y2955&gt;=22, (AI2955&lt;&gt;"I"),(Y2955&lt;&gt;"~"),(COUNTIF($AN$1:$AN2955,$AN2955)=1)),"TRUE","FALSE")</f>
        <v>FALSE</v>
      </c>
      <c r="AI2955" s="661" t="str">
        <f t="shared" si="320"/>
        <v>N/A</v>
      </c>
      <c r="AJ2955" s="662" t="str">
        <f t="shared" si="321"/>
        <v>F35C-055</v>
      </c>
      <c r="AK2955" s="662" t="str">
        <f t="shared" si="322"/>
        <v>LTK</v>
      </c>
      <c r="AL2955" s="662" t="str">
        <f t="shared" si="323"/>
        <v>FRD</v>
      </c>
      <c r="AM2955" s="662" t="str">
        <f t="shared" si="319"/>
        <v>F350 Chassis Cab-Regular Cab XLT SRW-4WD-3-~-12700-6.2L FFV-8-F3F-633A-145-40-E85-Unleaded</v>
      </c>
      <c r="AN2955" s="662" t="str">
        <f t="shared" si="324"/>
        <v>2019-LTK-FRD-F35C-055</v>
      </c>
    </row>
    <row r="2956" spans="1:40" ht="15">
      <c r="A2956" s="570" t="s">
        <v>5093</v>
      </c>
      <c r="B2956" s="569" t="s">
        <v>5089</v>
      </c>
      <c r="C2956" s="569" t="s">
        <v>287</v>
      </c>
      <c r="D2956" s="580">
        <v>26</v>
      </c>
      <c r="E2956" s="569" t="s">
        <v>3374</v>
      </c>
      <c r="F2956" s="569" t="s">
        <v>1684</v>
      </c>
      <c r="G2956" s="569" t="s">
        <v>271</v>
      </c>
      <c r="H2956" s="569">
        <v>2019</v>
      </c>
      <c r="I2956" s="569" t="s">
        <v>4879</v>
      </c>
      <c r="J2956" s="569" t="s">
        <v>5077</v>
      </c>
      <c r="K2956" s="569" t="s">
        <v>752</v>
      </c>
      <c r="L2956" s="569">
        <v>3</v>
      </c>
      <c r="M2956" s="569">
        <v>0</v>
      </c>
      <c r="N2956" s="569" t="s">
        <v>157</v>
      </c>
      <c r="O2956" s="569">
        <v>1</v>
      </c>
      <c r="P2956" s="569" t="s">
        <v>157</v>
      </c>
      <c r="Q2956" s="568">
        <v>12700</v>
      </c>
      <c r="R2956" s="569" t="s">
        <v>4231</v>
      </c>
      <c r="S2956" s="569">
        <v>8</v>
      </c>
      <c r="T2956" s="569" t="s">
        <v>5026</v>
      </c>
      <c r="U2956" s="569" t="s">
        <v>4950</v>
      </c>
      <c r="V2956" s="569">
        <v>145</v>
      </c>
      <c r="W2956" s="569">
        <v>40</v>
      </c>
      <c r="X2956" s="568">
        <v>11500</v>
      </c>
      <c r="Y2956" s="569" t="s">
        <v>164</v>
      </c>
      <c r="Z2956" s="581" t="s">
        <v>728</v>
      </c>
      <c r="AA2956" s="581" t="s">
        <v>1523</v>
      </c>
      <c r="AB2956" s="585">
        <v>51295</v>
      </c>
      <c r="AC2956" s="585" t="s">
        <v>164</v>
      </c>
      <c r="AD2956" s="585">
        <v>40872</v>
      </c>
      <c r="AE2956" s="587">
        <v>0.05</v>
      </c>
      <c r="AF2956" s="661" t="str">
        <f t="shared" ref="AF2956:AF3019" si="325">A2956</f>
        <v>2019-LTK-FRD-F35C-056-26</v>
      </c>
      <c r="AG2956" s="661" t="str">
        <f>IF(AND($Y2956&gt;=32,(AI2956="I"),(Y2956&lt;&gt;"~"),(COUNTIF($AN$1:$AN2956,$AN2956)=1)),"TRUE","FALSE")</f>
        <v>FALSE</v>
      </c>
      <c r="AH2956" s="661" t="str">
        <f>IF(AND($Y2956&gt;=22, (AI2956&lt;&gt;"I"),(Y2956&lt;&gt;"~"),(COUNTIF($AN$1:$AN2956,$AN2956)=1)),"TRUE","FALSE")</f>
        <v>FALSE</v>
      </c>
      <c r="AI2956" s="661" t="str">
        <f t="shared" si="320"/>
        <v>N/A</v>
      </c>
      <c r="AJ2956" s="662" t="str">
        <f t="shared" si="321"/>
        <v>F35C-056</v>
      </c>
      <c r="AK2956" s="662" t="str">
        <f t="shared" si="322"/>
        <v>LTK</v>
      </c>
      <c r="AL2956" s="662" t="str">
        <f t="shared" si="323"/>
        <v>FRD</v>
      </c>
      <c r="AM2956" s="662" t="str">
        <f t="shared" si="319"/>
        <v>F350 Chassis Cab-Regular Cab XLT SRW-4WD-3-~-12700-6.7L Diesel-8-F3F-633A-145-40-Diesel-BioDiesel</v>
      </c>
      <c r="AN2956" s="662" t="str">
        <f t="shared" si="324"/>
        <v>2019-LTK-FRD-F35C-056</v>
      </c>
    </row>
    <row r="2957" spans="1:40" ht="15">
      <c r="A2957" s="570" t="s">
        <v>5094</v>
      </c>
      <c r="B2957" s="573" t="s">
        <v>5087</v>
      </c>
      <c r="C2957" s="573" t="s">
        <v>280</v>
      </c>
      <c r="D2957" s="578">
        <v>27</v>
      </c>
      <c r="E2957" s="573" t="s">
        <v>3374</v>
      </c>
      <c r="F2957" s="573" t="s">
        <v>1684</v>
      </c>
      <c r="G2957" s="573" t="s">
        <v>271</v>
      </c>
      <c r="H2957" s="573">
        <v>2019</v>
      </c>
      <c r="I2957" s="573" t="s">
        <v>4879</v>
      </c>
      <c r="J2957" s="573" t="s">
        <v>5077</v>
      </c>
      <c r="K2957" s="573" t="s">
        <v>752</v>
      </c>
      <c r="L2957" s="573">
        <v>3</v>
      </c>
      <c r="M2957" s="573">
        <v>0</v>
      </c>
      <c r="N2957" s="573" t="s">
        <v>157</v>
      </c>
      <c r="O2957" s="573">
        <v>1</v>
      </c>
      <c r="P2957" s="573" t="s">
        <v>157</v>
      </c>
      <c r="Q2957" s="571">
        <v>12700</v>
      </c>
      <c r="R2957" s="573" t="s">
        <v>4235</v>
      </c>
      <c r="S2957" s="573">
        <v>8</v>
      </c>
      <c r="T2957" s="573" t="s">
        <v>5026</v>
      </c>
      <c r="U2957" s="573" t="s">
        <v>4950</v>
      </c>
      <c r="V2957" s="573">
        <v>145</v>
      </c>
      <c r="W2957" s="573">
        <v>40</v>
      </c>
      <c r="X2957" s="571">
        <v>10900</v>
      </c>
      <c r="Y2957" s="569" t="s">
        <v>164</v>
      </c>
      <c r="Z2957" s="579" t="s">
        <v>450</v>
      </c>
      <c r="AA2957" s="579" t="s">
        <v>178</v>
      </c>
      <c r="AB2957" s="584">
        <v>42175</v>
      </c>
      <c r="AC2957" s="584" t="s">
        <v>164</v>
      </c>
      <c r="AD2957" s="584">
        <v>32440.757894736846</v>
      </c>
      <c r="AE2957" s="586">
        <v>0.03</v>
      </c>
      <c r="AF2957" s="661" t="str">
        <f t="shared" si="325"/>
        <v>2019-LTK-FRD-F35C-055-27</v>
      </c>
      <c r="AG2957" s="661" t="str">
        <f>IF(AND($Y2957&gt;=32,(AI2957="I"),(Y2957&lt;&gt;"~"),(COUNTIF($AN$1:$AN2957,$AN2957)=1)),"TRUE","FALSE")</f>
        <v>FALSE</v>
      </c>
      <c r="AH2957" s="661" t="str">
        <f>IF(AND($Y2957&gt;=22, (AI2957&lt;&gt;"I"),(Y2957&lt;&gt;"~"),(COUNTIF($AN$1:$AN2957,$AN2957)=1)),"TRUE","FALSE")</f>
        <v>FALSE</v>
      </c>
      <c r="AI2957" s="661" t="str">
        <f t="shared" si="320"/>
        <v>N/A</v>
      </c>
      <c r="AJ2957" s="662" t="str">
        <f t="shared" si="321"/>
        <v>F35C-055</v>
      </c>
      <c r="AK2957" s="662" t="str">
        <f t="shared" si="322"/>
        <v>LTK</v>
      </c>
      <c r="AL2957" s="662" t="str">
        <f t="shared" si="323"/>
        <v>FRD</v>
      </c>
      <c r="AM2957" s="662" t="str">
        <f t="shared" si="319"/>
        <v>F350 Chassis Cab-Regular Cab XLT SRW-4WD-3-~-12700-6.2L FFV-8-F3F-633A-145-40-E85-Unleaded</v>
      </c>
      <c r="AN2957" s="662" t="str">
        <f t="shared" si="324"/>
        <v>2019-LTK-FRD-F35C-055</v>
      </c>
    </row>
    <row r="2958" spans="1:40" ht="15">
      <c r="A2958" s="570" t="s">
        <v>5095</v>
      </c>
      <c r="B2958" s="569" t="s">
        <v>5089</v>
      </c>
      <c r="C2958" s="569" t="s">
        <v>280</v>
      </c>
      <c r="D2958" s="580">
        <v>27</v>
      </c>
      <c r="E2958" s="569" t="s">
        <v>3374</v>
      </c>
      <c r="F2958" s="569" t="s">
        <v>1684</v>
      </c>
      <c r="G2958" s="569" t="s">
        <v>271</v>
      </c>
      <c r="H2958" s="569">
        <v>2019</v>
      </c>
      <c r="I2958" s="569" t="s">
        <v>4879</v>
      </c>
      <c r="J2958" s="569" t="s">
        <v>5077</v>
      </c>
      <c r="K2958" s="569" t="s">
        <v>752</v>
      </c>
      <c r="L2958" s="569">
        <v>3</v>
      </c>
      <c r="M2958" s="569">
        <v>0</v>
      </c>
      <c r="N2958" s="569" t="s">
        <v>157</v>
      </c>
      <c r="O2958" s="569">
        <v>1</v>
      </c>
      <c r="P2958" s="569" t="s">
        <v>157</v>
      </c>
      <c r="Q2958" s="568">
        <v>12700</v>
      </c>
      <c r="R2958" s="569" t="s">
        <v>4231</v>
      </c>
      <c r="S2958" s="569">
        <v>8</v>
      </c>
      <c r="T2958" s="569" t="s">
        <v>5026</v>
      </c>
      <c r="U2958" s="569" t="s">
        <v>4950</v>
      </c>
      <c r="V2958" s="569">
        <v>145</v>
      </c>
      <c r="W2958" s="569">
        <v>40</v>
      </c>
      <c r="X2958" s="568">
        <v>11500</v>
      </c>
      <c r="Y2958" s="569" t="s">
        <v>164</v>
      </c>
      <c r="Z2958" s="581" t="s">
        <v>728</v>
      </c>
      <c r="AA2958" s="581" t="s">
        <v>1523</v>
      </c>
      <c r="AB2958" s="585">
        <v>51295</v>
      </c>
      <c r="AC2958" s="585" t="s">
        <v>164</v>
      </c>
      <c r="AD2958" s="585">
        <v>40632.947368421061</v>
      </c>
      <c r="AE2958" s="587">
        <v>0.03</v>
      </c>
      <c r="AF2958" s="661" t="str">
        <f t="shared" si="325"/>
        <v>2019-LTK-FRD-F35C-056-27</v>
      </c>
      <c r="AG2958" s="661" t="str">
        <f>IF(AND($Y2958&gt;=32,(AI2958="I"),(Y2958&lt;&gt;"~"),(COUNTIF($AN$1:$AN2958,$AN2958)=1)),"TRUE","FALSE")</f>
        <v>FALSE</v>
      </c>
      <c r="AH2958" s="661" t="str">
        <f>IF(AND($Y2958&gt;=22, (AI2958&lt;&gt;"I"),(Y2958&lt;&gt;"~"),(COUNTIF($AN$1:$AN2958,$AN2958)=1)),"TRUE","FALSE")</f>
        <v>FALSE</v>
      </c>
      <c r="AI2958" s="661" t="str">
        <f t="shared" si="320"/>
        <v>N/A</v>
      </c>
      <c r="AJ2958" s="662" t="str">
        <f t="shared" si="321"/>
        <v>F35C-056</v>
      </c>
      <c r="AK2958" s="662" t="str">
        <f t="shared" si="322"/>
        <v>LTK</v>
      </c>
      <c r="AL2958" s="662" t="str">
        <f t="shared" si="323"/>
        <v>FRD</v>
      </c>
      <c r="AM2958" s="662" t="str">
        <f t="shared" si="319"/>
        <v>F350 Chassis Cab-Regular Cab XLT SRW-4WD-3-~-12700-6.7L Diesel-8-F3F-633A-145-40-Diesel-BioDiesel</v>
      </c>
      <c r="AN2958" s="662" t="str">
        <f t="shared" si="324"/>
        <v>2019-LTK-FRD-F35C-056</v>
      </c>
    </row>
    <row r="2959" spans="1:40" ht="15">
      <c r="A2959" s="570" t="s">
        <v>5096</v>
      </c>
      <c r="B2959" s="573" t="s">
        <v>5097</v>
      </c>
      <c r="C2959" s="573" t="s">
        <v>269</v>
      </c>
      <c r="D2959" s="578" t="s">
        <v>270</v>
      </c>
      <c r="E2959" s="573" t="s">
        <v>3374</v>
      </c>
      <c r="F2959" s="573" t="s">
        <v>1684</v>
      </c>
      <c r="G2959" s="573" t="s">
        <v>271</v>
      </c>
      <c r="H2959" s="573">
        <v>2019</v>
      </c>
      <c r="I2959" s="573" t="s">
        <v>4879</v>
      </c>
      <c r="J2959" s="573" t="s">
        <v>4795</v>
      </c>
      <c r="K2959" s="573" t="s">
        <v>3377</v>
      </c>
      <c r="L2959" s="573">
        <v>6</v>
      </c>
      <c r="M2959" s="573">
        <v>0</v>
      </c>
      <c r="N2959" s="573" t="s">
        <v>157</v>
      </c>
      <c r="O2959" s="573">
        <v>2</v>
      </c>
      <c r="P2959" s="573" t="s">
        <v>157</v>
      </c>
      <c r="Q2959" s="571">
        <v>12900</v>
      </c>
      <c r="R2959" s="573" t="s">
        <v>4235</v>
      </c>
      <c r="S2959" s="573">
        <v>8</v>
      </c>
      <c r="T2959" s="573" t="s">
        <v>5098</v>
      </c>
      <c r="U2959" s="573" t="s">
        <v>4881</v>
      </c>
      <c r="V2959" s="573">
        <v>168</v>
      </c>
      <c r="W2959" s="573">
        <v>40</v>
      </c>
      <c r="X2959" s="571">
        <v>14000</v>
      </c>
      <c r="Y2959" s="569" t="s">
        <v>164</v>
      </c>
      <c r="Z2959" s="579" t="s">
        <v>450</v>
      </c>
      <c r="AA2959" s="579" t="s">
        <v>178</v>
      </c>
      <c r="AB2959" s="584">
        <v>38685</v>
      </c>
      <c r="AC2959" s="584" t="s">
        <v>164</v>
      </c>
      <c r="AD2959" s="584">
        <v>29427.368421052633</v>
      </c>
      <c r="AE2959" s="586">
        <v>0.03</v>
      </c>
      <c r="AF2959" s="661" t="str">
        <f t="shared" si="325"/>
        <v>2019-LTK-FRD-F35C-057-05</v>
      </c>
      <c r="AG2959" s="661" t="str">
        <f>IF(AND($Y2959&gt;=32,(AI2959="I"),(Y2959&lt;&gt;"~"),(COUNTIF($AN$1:$AN2959,$AN2959)=1)),"TRUE","FALSE")</f>
        <v>FALSE</v>
      </c>
      <c r="AH2959" s="661" t="str">
        <f>IF(AND($Y2959&gt;=22, (AI2959&lt;&gt;"I"),(Y2959&lt;&gt;"~"),(COUNTIF($AN$1:$AN2959,$AN2959)=1)),"TRUE","FALSE")</f>
        <v>TRUE</v>
      </c>
      <c r="AI2959" s="661" t="str">
        <f t="shared" si="320"/>
        <v>N/A</v>
      </c>
      <c r="AJ2959" s="662" t="str">
        <f t="shared" si="321"/>
        <v>F35C-057</v>
      </c>
      <c r="AK2959" s="662" t="str">
        <f t="shared" si="322"/>
        <v>LTK</v>
      </c>
      <c r="AL2959" s="662" t="str">
        <f t="shared" si="323"/>
        <v>FRD</v>
      </c>
      <c r="AM2959" s="662" t="str">
        <f t="shared" si="319"/>
        <v>F350 Chassis Cab-Super Cab XL DRW-2WD-6-~-12900-6.2L FFV-8-X3G-640A-168-40-E85-Unleaded</v>
      </c>
      <c r="AN2959" s="662" t="str">
        <f t="shared" si="324"/>
        <v>2019-LTK-FRD-F35C-057</v>
      </c>
    </row>
    <row r="2960" spans="1:40" ht="15">
      <c r="A2960" s="570" t="s">
        <v>5099</v>
      </c>
      <c r="B2960" s="569" t="s">
        <v>5100</v>
      </c>
      <c r="C2960" s="569" t="s">
        <v>269</v>
      </c>
      <c r="D2960" s="580" t="s">
        <v>270</v>
      </c>
      <c r="E2960" s="569" t="s">
        <v>3374</v>
      </c>
      <c r="F2960" s="569" t="s">
        <v>1684</v>
      </c>
      <c r="G2960" s="569" t="s">
        <v>271</v>
      </c>
      <c r="H2960" s="569">
        <v>2019</v>
      </c>
      <c r="I2960" s="569" t="s">
        <v>4879</v>
      </c>
      <c r="J2960" s="569" t="s">
        <v>4795</v>
      </c>
      <c r="K2960" s="569" t="s">
        <v>3377</v>
      </c>
      <c r="L2960" s="569">
        <v>6</v>
      </c>
      <c r="M2960" s="569">
        <v>0</v>
      </c>
      <c r="N2960" s="569" t="s">
        <v>157</v>
      </c>
      <c r="O2960" s="569">
        <v>2</v>
      </c>
      <c r="P2960" s="569" t="s">
        <v>157</v>
      </c>
      <c r="Q2960" s="568">
        <v>12900</v>
      </c>
      <c r="R2960" s="569" t="s">
        <v>4231</v>
      </c>
      <c r="S2960" s="569">
        <v>8</v>
      </c>
      <c r="T2960" s="569" t="s">
        <v>5098</v>
      </c>
      <c r="U2960" s="569" t="s">
        <v>4881</v>
      </c>
      <c r="V2960" s="569">
        <v>168</v>
      </c>
      <c r="W2960" s="569">
        <v>40</v>
      </c>
      <c r="X2960" s="568">
        <v>14000</v>
      </c>
      <c r="Y2960" s="569" t="s">
        <v>164</v>
      </c>
      <c r="Z2960" s="581" t="s">
        <v>728</v>
      </c>
      <c r="AA2960" s="581" t="s">
        <v>1523</v>
      </c>
      <c r="AB2960" s="585">
        <v>47805</v>
      </c>
      <c r="AC2960" s="585" t="s">
        <v>164</v>
      </c>
      <c r="AD2960" s="585">
        <v>37620.315789473687</v>
      </c>
      <c r="AE2960" s="587">
        <v>0.03</v>
      </c>
      <c r="AF2960" s="661" t="str">
        <f t="shared" si="325"/>
        <v>2019-LTK-FRD-F35C-058-05</v>
      </c>
      <c r="AG2960" s="661" t="str">
        <f>IF(AND($Y2960&gt;=32,(AI2960="I"),(Y2960&lt;&gt;"~"),(COUNTIF($AN$1:$AN2960,$AN2960)=1)),"TRUE","FALSE")</f>
        <v>FALSE</v>
      </c>
      <c r="AH2960" s="661" t="str">
        <f>IF(AND($Y2960&gt;=22, (AI2960&lt;&gt;"I"),(Y2960&lt;&gt;"~"),(COUNTIF($AN$1:$AN2960,$AN2960)=1)),"TRUE","FALSE")</f>
        <v>TRUE</v>
      </c>
      <c r="AI2960" s="661" t="str">
        <f t="shared" si="320"/>
        <v>N/A</v>
      </c>
      <c r="AJ2960" s="662" t="str">
        <f t="shared" si="321"/>
        <v>F35C-058</v>
      </c>
      <c r="AK2960" s="662" t="str">
        <f t="shared" si="322"/>
        <v>LTK</v>
      </c>
      <c r="AL2960" s="662" t="str">
        <f t="shared" si="323"/>
        <v>FRD</v>
      </c>
      <c r="AM2960" s="662" t="str">
        <f t="shared" si="319"/>
        <v>F350 Chassis Cab-Super Cab XL DRW-2WD-6-~-12900-6.7L Diesel-8-X3G-640A-168-40-Diesel-BioDiesel</v>
      </c>
      <c r="AN2960" s="662" t="str">
        <f t="shared" si="324"/>
        <v>2019-LTK-FRD-F35C-058</v>
      </c>
    </row>
    <row r="2961" spans="1:40" ht="15">
      <c r="A2961" s="570" t="s">
        <v>5101</v>
      </c>
      <c r="B2961" s="573" t="s">
        <v>5097</v>
      </c>
      <c r="C2961" s="573" t="s">
        <v>278</v>
      </c>
      <c r="D2961" s="578">
        <v>15</v>
      </c>
      <c r="E2961" s="573" t="s">
        <v>3374</v>
      </c>
      <c r="F2961" s="573" t="s">
        <v>1684</v>
      </c>
      <c r="G2961" s="573" t="s">
        <v>271</v>
      </c>
      <c r="H2961" s="573">
        <v>2019</v>
      </c>
      <c r="I2961" s="573" t="s">
        <v>4879</v>
      </c>
      <c r="J2961" s="573" t="s">
        <v>4795</v>
      </c>
      <c r="K2961" s="573" t="s">
        <v>3377</v>
      </c>
      <c r="L2961" s="573">
        <v>6</v>
      </c>
      <c r="M2961" s="573">
        <v>0</v>
      </c>
      <c r="N2961" s="573" t="s">
        <v>157</v>
      </c>
      <c r="O2961" s="573">
        <v>2</v>
      </c>
      <c r="P2961" s="573" t="s">
        <v>157</v>
      </c>
      <c r="Q2961" s="571">
        <v>13000</v>
      </c>
      <c r="R2961" s="573" t="s">
        <v>4235</v>
      </c>
      <c r="S2961" s="573">
        <v>8</v>
      </c>
      <c r="T2961" s="573" t="s">
        <v>5098</v>
      </c>
      <c r="U2961" s="573" t="s">
        <v>4881</v>
      </c>
      <c r="V2961" s="573">
        <v>168</v>
      </c>
      <c r="W2961" s="573">
        <v>40</v>
      </c>
      <c r="X2961" s="571">
        <v>14000</v>
      </c>
      <c r="Y2961" s="569" t="s">
        <v>164</v>
      </c>
      <c r="Z2961" s="579" t="s">
        <v>450</v>
      </c>
      <c r="AA2961" s="579" t="s">
        <v>178</v>
      </c>
      <c r="AB2961" s="584">
        <v>38685</v>
      </c>
      <c r="AC2961" s="584" t="s">
        <v>164</v>
      </c>
      <c r="AD2961" s="584">
        <v>29550</v>
      </c>
      <c r="AE2961" s="586">
        <v>0.01</v>
      </c>
      <c r="AF2961" s="661" t="str">
        <f t="shared" si="325"/>
        <v>2019-LTK-FRD-F35C-057-15</v>
      </c>
      <c r="AG2961" s="661" t="str">
        <f>IF(AND($Y2961&gt;=32,(AI2961="I"),(Y2961&lt;&gt;"~"),(COUNTIF($AN$1:$AN2961,$AN2961)=1)),"TRUE","FALSE")</f>
        <v>FALSE</v>
      </c>
      <c r="AH2961" s="661" t="str">
        <f>IF(AND($Y2961&gt;=22, (AI2961&lt;&gt;"I"),(Y2961&lt;&gt;"~"),(COUNTIF($AN$1:$AN2961,$AN2961)=1)),"TRUE","FALSE")</f>
        <v>FALSE</v>
      </c>
      <c r="AI2961" s="661" t="str">
        <f t="shared" si="320"/>
        <v>N/A</v>
      </c>
      <c r="AJ2961" s="662" t="str">
        <f t="shared" si="321"/>
        <v>F35C-057</v>
      </c>
      <c r="AK2961" s="662" t="str">
        <f t="shared" si="322"/>
        <v>LTK</v>
      </c>
      <c r="AL2961" s="662" t="str">
        <f t="shared" si="323"/>
        <v>FRD</v>
      </c>
      <c r="AM2961" s="662" t="str">
        <f t="shared" si="319"/>
        <v>F350 Chassis Cab-Super Cab XL DRW-2WD-6-~-13000-6.2L FFV-8-X3G-640A-168-40-E85-Unleaded</v>
      </c>
      <c r="AN2961" s="662" t="str">
        <f t="shared" si="324"/>
        <v>2019-LTK-FRD-F35C-057</v>
      </c>
    </row>
    <row r="2962" spans="1:40" ht="15">
      <c r="A2962" s="570" t="s">
        <v>5102</v>
      </c>
      <c r="B2962" s="569" t="s">
        <v>5100</v>
      </c>
      <c r="C2962" s="569" t="s">
        <v>278</v>
      </c>
      <c r="D2962" s="580">
        <v>15</v>
      </c>
      <c r="E2962" s="569" t="s">
        <v>3374</v>
      </c>
      <c r="F2962" s="569" t="s">
        <v>1684</v>
      </c>
      <c r="G2962" s="569" t="s">
        <v>271</v>
      </c>
      <c r="H2962" s="569">
        <v>2019</v>
      </c>
      <c r="I2962" s="569" t="s">
        <v>4879</v>
      </c>
      <c r="J2962" s="569" t="s">
        <v>4795</v>
      </c>
      <c r="K2962" s="569" t="s">
        <v>3377</v>
      </c>
      <c r="L2962" s="569">
        <v>6</v>
      </c>
      <c r="M2962" s="569">
        <v>0</v>
      </c>
      <c r="N2962" s="569" t="s">
        <v>157</v>
      </c>
      <c r="O2962" s="569">
        <v>2</v>
      </c>
      <c r="P2962" s="569" t="s">
        <v>157</v>
      </c>
      <c r="Q2962" s="568">
        <v>13000</v>
      </c>
      <c r="R2962" s="569" t="s">
        <v>4231</v>
      </c>
      <c r="S2962" s="569">
        <v>8</v>
      </c>
      <c r="T2962" s="569" t="s">
        <v>5098</v>
      </c>
      <c r="U2962" s="569" t="s">
        <v>4881</v>
      </c>
      <c r="V2962" s="569">
        <v>168</v>
      </c>
      <c r="W2962" s="569">
        <v>40</v>
      </c>
      <c r="X2962" s="568">
        <v>14000</v>
      </c>
      <c r="Y2962" s="569" t="s">
        <v>164</v>
      </c>
      <c r="Z2962" s="581" t="s">
        <v>728</v>
      </c>
      <c r="AA2962" s="581" t="s">
        <v>1523</v>
      </c>
      <c r="AB2962" s="585">
        <v>47805</v>
      </c>
      <c r="AC2962" s="585" t="s">
        <v>164</v>
      </c>
      <c r="AD2962" s="585">
        <v>37800</v>
      </c>
      <c r="AE2962" s="587">
        <v>0.01</v>
      </c>
      <c r="AF2962" s="661" t="str">
        <f t="shared" si="325"/>
        <v>2019-LTK-FRD-F35C-058-15</v>
      </c>
      <c r="AG2962" s="661" t="str">
        <f>IF(AND($Y2962&gt;=32,(AI2962="I"),(Y2962&lt;&gt;"~"),(COUNTIF($AN$1:$AN2962,$AN2962)=1)),"TRUE","FALSE")</f>
        <v>FALSE</v>
      </c>
      <c r="AH2962" s="661" t="str">
        <f>IF(AND($Y2962&gt;=22, (AI2962&lt;&gt;"I"),(Y2962&lt;&gt;"~"),(COUNTIF($AN$1:$AN2962,$AN2962)=1)),"TRUE","FALSE")</f>
        <v>FALSE</v>
      </c>
      <c r="AI2962" s="661" t="str">
        <f t="shared" si="320"/>
        <v>N/A</v>
      </c>
      <c r="AJ2962" s="662" t="str">
        <f t="shared" si="321"/>
        <v>F35C-058</v>
      </c>
      <c r="AK2962" s="662" t="str">
        <f t="shared" si="322"/>
        <v>LTK</v>
      </c>
      <c r="AL2962" s="662" t="str">
        <f t="shared" si="323"/>
        <v>FRD</v>
      </c>
      <c r="AM2962" s="662" t="str">
        <f t="shared" si="319"/>
        <v>F350 Chassis Cab-Super Cab XL DRW-2WD-6-~-13000-6.7L Diesel-8-X3G-640A-168-40-Diesel-BioDiesel</v>
      </c>
      <c r="AN2962" s="662" t="str">
        <f t="shared" si="324"/>
        <v>2019-LTK-FRD-F35C-058</v>
      </c>
    </row>
    <row r="2963" spans="1:40" ht="15">
      <c r="A2963" s="570" t="s">
        <v>5103</v>
      </c>
      <c r="B2963" s="573" t="s">
        <v>5097</v>
      </c>
      <c r="C2963" s="573" t="s">
        <v>287</v>
      </c>
      <c r="D2963" s="578">
        <v>26</v>
      </c>
      <c r="E2963" s="573" t="s">
        <v>3374</v>
      </c>
      <c r="F2963" s="573" t="s">
        <v>1684</v>
      </c>
      <c r="G2963" s="573" t="s">
        <v>271</v>
      </c>
      <c r="H2963" s="573">
        <v>2019</v>
      </c>
      <c r="I2963" s="573" t="s">
        <v>4879</v>
      </c>
      <c r="J2963" s="573" t="s">
        <v>4795</v>
      </c>
      <c r="K2963" s="573" t="s">
        <v>3377</v>
      </c>
      <c r="L2963" s="573">
        <v>6</v>
      </c>
      <c r="M2963" s="573">
        <v>0</v>
      </c>
      <c r="N2963" s="573" t="s">
        <v>157</v>
      </c>
      <c r="O2963" s="573">
        <v>2</v>
      </c>
      <c r="P2963" s="573" t="s">
        <v>157</v>
      </c>
      <c r="Q2963" s="571">
        <v>13000</v>
      </c>
      <c r="R2963" s="573" t="s">
        <v>4235</v>
      </c>
      <c r="S2963" s="573">
        <v>8</v>
      </c>
      <c r="T2963" s="573" t="s">
        <v>5098</v>
      </c>
      <c r="U2963" s="573" t="s">
        <v>4881</v>
      </c>
      <c r="V2963" s="573">
        <v>168</v>
      </c>
      <c r="W2963" s="573">
        <v>40</v>
      </c>
      <c r="X2963" s="571">
        <v>14000</v>
      </c>
      <c r="Y2963" s="569" t="s">
        <v>164</v>
      </c>
      <c r="Z2963" s="579" t="s">
        <v>450</v>
      </c>
      <c r="AA2963" s="579" t="s">
        <v>178</v>
      </c>
      <c r="AB2963" s="584">
        <v>38320</v>
      </c>
      <c r="AC2963" s="584" t="s">
        <v>164</v>
      </c>
      <c r="AD2963" s="584">
        <v>29672</v>
      </c>
      <c r="AE2963" s="586">
        <v>0.05</v>
      </c>
      <c r="AF2963" s="661" t="str">
        <f t="shared" si="325"/>
        <v>2019-LTK-FRD-F35C-057-26</v>
      </c>
      <c r="AG2963" s="661" t="str">
        <f>IF(AND($Y2963&gt;=32,(AI2963="I"),(Y2963&lt;&gt;"~"),(COUNTIF($AN$1:$AN2963,$AN2963)=1)),"TRUE","FALSE")</f>
        <v>FALSE</v>
      </c>
      <c r="AH2963" s="661" t="str">
        <f>IF(AND($Y2963&gt;=22, (AI2963&lt;&gt;"I"),(Y2963&lt;&gt;"~"),(COUNTIF($AN$1:$AN2963,$AN2963)=1)),"TRUE","FALSE")</f>
        <v>FALSE</v>
      </c>
      <c r="AI2963" s="661" t="str">
        <f t="shared" si="320"/>
        <v>N/A</v>
      </c>
      <c r="AJ2963" s="662" t="str">
        <f t="shared" si="321"/>
        <v>F35C-057</v>
      </c>
      <c r="AK2963" s="662" t="str">
        <f t="shared" si="322"/>
        <v>LTK</v>
      </c>
      <c r="AL2963" s="662" t="str">
        <f t="shared" si="323"/>
        <v>FRD</v>
      </c>
      <c r="AM2963" s="662" t="str">
        <f t="shared" si="319"/>
        <v>F350 Chassis Cab-Super Cab XL DRW-2WD-6-~-13000-6.2L FFV-8-X3G-640A-168-40-E85-Unleaded</v>
      </c>
      <c r="AN2963" s="662" t="str">
        <f t="shared" si="324"/>
        <v>2019-LTK-FRD-F35C-057</v>
      </c>
    </row>
    <row r="2964" spans="1:40" ht="15">
      <c r="A2964" s="570" t="s">
        <v>5104</v>
      </c>
      <c r="B2964" s="569" t="s">
        <v>5100</v>
      </c>
      <c r="C2964" s="569" t="s">
        <v>287</v>
      </c>
      <c r="D2964" s="580">
        <v>26</v>
      </c>
      <c r="E2964" s="569" t="s">
        <v>3374</v>
      </c>
      <c r="F2964" s="569" t="s">
        <v>1684</v>
      </c>
      <c r="G2964" s="569" t="s">
        <v>271</v>
      </c>
      <c r="H2964" s="569">
        <v>2019</v>
      </c>
      <c r="I2964" s="569" t="s">
        <v>4879</v>
      </c>
      <c r="J2964" s="569" t="s">
        <v>4795</v>
      </c>
      <c r="K2964" s="569" t="s">
        <v>3377</v>
      </c>
      <c r="L2964" s="569">
        <v>6</v>
      </c>
      <c r="M2964" s="569">
        <v>0</v>
      </c>
      <c r="N2964" s="569" t="s">
        <v>157</v>
      </c>
      <c r="O2964" s="569">
        <v>2</v>
      </c>
      <c r="P2964" s="569" t="s">
        <v>157</v>
      </c>
      <c r="Q2964" s="568">
        <v>13000</v>
      </c>
      <c r="R2964" s="569" t="s">
        <v>4231</v>
      </c>
      <c r="S2964" s="569">
        <v>8</v>
      </c>
      <c r="T2964" s="569" t="s">
        <v>5098</v>
      </c>
      <c r="U2964" s="569" t="s">
        <v>4881</v>
      </c>
      <c r="V2964" s="569">
        <v>168</v>
      </c>
      <c r="W2964" s="569">
        <v>40</v>
      </c>
      <c r="X2964" s="568">
        <v>14000</v>
      </c>
      <c r="Y2964" s="569" t="s">
        <v>164</v>
      </c>
      <c r="Z2964" s="581" t="s">
        <v>728</v>
      </c>
      <c r="AA2964" s="581" t="s">
        <v>1523</v>
      </c>
      <c r="AB2964" s="585">
        <v>47315</v>
      </c>
      <c r="AC2964" s="585" t="s">
        <v>164</v>
      </c>
      <c r="AD2964" s="585">
        <v>37867</v>
      </c>
      <c r="AE2964" s="587">
        <v>0.05</v>
      </c>
      <c r="AF2964" s="661" t="str">
        <f t="shared" si="325"/>
        <v>2019-LTK-FRD-F35C-058-26</v>
      </c>
      <c r="AG2964" s="661" t="str">
        <f>IF(AND($Y2964&gt;=32,(AI2964="I"),(Y2964&lt;&gt;"~"),(COUNTIF($AN$1:$AN2964,$AN2964)=1)),"TRUE","FALSE")</f>
        <v>FALSE</v>
      </c>
      <c r="AH2964" s="661" t="str">
        <f>IF(AND($Y2964&gt;=22, (AI2964&lt;&gt;"I"),(Y2964&lt;&gt;"~"),(COUNTIF($AN$1:$AN2964,$AN2964)=1)),"TRUE","FALSE")</f>
        <v>FALSE</v>
      </c>
      <c r="AI2964" s="661" t="str">
        <f t="shared" si="320"/>
        <v>N/A</v>
      </c>
      <c r="AJ2964" s="662" t="str">
        <f t="shared" si="321"/>
        <v>F35C-058</v>
      </c>
      <c r="AK2964" s="662" t="str">
        <f t="shared" si="322"/>
        <v>LTK</v>
      </c>
      <c r="AL2964" s="662" t="str">
        <f t="shared" si="323"/>
        <v>FRD</v>
      </c>
      <c r="AM2964" s="662" t="str">
        <f t="shared" si="319"/>
        <v>F350 Chassis Cab-Super Cab XL DRW-2WD-6-~-13000-6.7L Diesel-8-X3G-640A-168-40-Diesel-BioDiesel</v>
      </c>
      <c r="AN2964" s="662" t="str">
        <f t="shared" si="324"/>
        <v>2019-LTK-FRD-F35C-058</v>
      </c>
    </row>
    <row r="2965" spans="1:40" ht="15">
      <c r="A2965" s="570" t="s">
        <v>5105</v>
      </c>
      <c r="B2965" s="573" t="s">
        <v>5097</v>
      </c>
      <c r="C2965" s="573" t="s">
        <v>280</v>
      </c>
      <c r="D2965" s="578">
        <v>27</v>
      </c>
      <c r="E2965" s="573" t="s">
        <v>3374</v>
      </c>
      <c r="F2965" s="573" t="s">
        <v>1684</v>
      </c>
      <c r="G2965" s="573" t="s">
        <v>271</v>
      </c>
      <c r="H2965" s="573">
        <v>2019</v>
      </c>
      <c r="I2965" s="573" t="s">
        <v>4879</v>
      </c>
      <c r="J2965" s="573" t="s">
        <v>4795</v>
      </c>
      <c r="K2965" s="573" t="s">
        <v>3377</v>
      </c>
      <c r="L2965" s="573">
        <v>6</v>
      </c>
      <c r="M2965" s="573">
        <v>0</v>
      </c>
      <c r="N2965" s="573" t="s">
        <v>157</v>
      </c>
      <c r="O2965" s="573">
        <v>2</v>
      </c>
      <c r="P2965" s="573" t="s">
        <v>157</v>
      </c>
      <c r="Q2965" s="571">
        <v>12900</v>
      </c>
      <c r="R2965" s="573" t="s">
        <v>4235</v>
      </c>
      <c r="S2965" s="573">
        <v>8</v>
      </c>
      <c r="T2965" s="573" t="s">
        <v>5098</v>
      </c>
      <c r="U2965" s="573" t="s">
        <v>4881</v>
      </c>
      <c r="V2965" s="573">
        <v>168</v>
      </c>
      <c r="W2965" s="573">
        <v>40</v>
      </c>
      <c r="X2965" s="571">
        <v>14000</v>
      </c>
      <c r="Y2965" s="569" t="s">
        <v>164</v>
      </c>
      <c r="Z2965" s="579" t="s">
        <v>450</v>
      </c>
      <c r="AA2965" s="579" t="s">
        <v>178</v>
      </c>
      <c r="AB2965" s="584">
        <v>38685</v>
      </c>
      <c r="AC2965" s="584" t="s">
        <v>164</v>
      </c>
      <c r="AD2965" s="584">
        <v>29427.368421052633</v>
      </c>
      <c r="AE2965" s="586">
        <v>0.03</v>
      </c>
      <c r="AF2965" s="661" t="str">
        <f t="shared" si="325"/>
        <v>2019-LTK-FRD-F35C-057-27</v>
      </c>
      <c r="AG2965" s="661" t="str">
        <f>IF(AND($Y2965&gt;=32,(AI2965="I"),(Y2965&lt;&gt;"~"),(COUNTIF($AN$1:$AN2965,$AN2965)=1)),"TRUE","FALSE")</f>
        <v>FALSE</v>
      </c>
      <c r="AH2965" s="661" t="str">
        <f>IF(AND($Y2965&gt;=22, (AI2965&lt;&gt;"I"),(Y2965&lt;&gt;"~"),(COUNTIF($AN$1:$AN2965,$AN2965)=1)),"TRUE","FALSE")</f>
        <v>FALSE</v>
      </c>
      <c r="AI2965" s="661" t="str">
        <f t="shared" si="320"/>
        <v>N/A</v>
      </c>
      <c r="AJ2965" s="662" t="str">
        <f t="shared" si="321"/>
        <v>F35C-057</v>
      </c>
      <c r="AK2965" s="662" t="str">
        <f t="shared" si="322"/>
        <v>LTK</v>
      </c>
      <c r="AL2965" s="662" t="str">
        <f t="shared" si="323"/>
        <v>FRD</v>
      </c>
      <c r="AM2965" s="662" t="str">
        <f t="shared" si="319"/>
        <v>F350 Chassis Cab-Super Cab XL DRW-2WD-6-~-12900-6.2L FFV-8-X3G-640A-168-40-E85-Unleaded</v>
      </c>
      <c r="AN2965" s="662" t="str">
        <f t="shared" si="324"/>
        <v>2019-LTK-FRD-F35C-057</v>
      </c>
    </row>
    <row r="2966" spans="1:40" ht="15">
      <c r="A2966" s="570" t="s">
        <v>5106</v>
      </c>
      <c r="B2966" s="569" t="s">
        <v>5100</v>
      </c>
      <c r="C2966" s="569" t="s">
        <v>280</v>
      </c>
      <c r="D2966" s="580">
        <v>27</v>
      </c>
      <c r="E2966" s="569" t="s">
        <v>3374</v>
      </c>
      <c r="F2966" s="569" t="s">
        <v>1684</v>
      </c>
      <c r="G2966" s="569" t="s">
        <v>271</v>
      </c>
      <c r="H2966" s="569">
        <v>2019</v>
      </c>
      <c r="I2966" s="569" t="s">
        <v>4879</v>
      </c>
      <c r="J2966" s="569" t="s">
        <v>4795</v>
      </c>
      <c r="K2966" s="569" t="s">
        <v>3377</v>
      </c>
      <c r="L2966" s="569">
        <v>6</v>
      </c>
      <c r="M2966" s="569">
        <v>0</v>
      </c>
      <c r="N2966" s="569" t="s">
        <v>157</v>
      </c>
      <c r="O2966" s="569">
        <v>2</v>
      </c>
      <c r="P2966" s="569" t="s">
        <v>157</v>
      </c>
      <c r="Q2966" s="568">
        <v>12900</v>
      </c>
      <c r="R2966" s="569" t="s">
        <v>4231</v>
      </c>
      <c r="S2966" s="569">
        <v>8</v>
      </c>
      <c r="T2966" s="569" t="s">
        <v>5098</v>
      </c>
      <c r="U2966" s="569" t="s">
        <v>4881</v>
      </c>
      <c r="V2966" s="569">
        <v>168</v>
      </c>
      <c r="W2966" s="569">
        <v>40</v>
      </c>
      <c r="X2966" s="568">
        <v>14000</v>
      </c>
      <c r="Y2966" s="569" t="s">
        <v>164</v>
      </c>
      <c r="Z2966" s="581" t="s">
        <v>728</v>
      </c>
      <c r="AA2966" s="581" t="s">
        <v>1523</v>
      </c>
      <c r="AB2966" s="585">
        <v>47805</v>
      </c>
      <c r="AC2966" s="585" t="s">
        <v>164</v>
      </c>
      <c r="AD2966" s="585">
        <v>37620.315789473687</v>
      </c>
      <c r="AE2966" s="587">
        <v>0.03</v>
      </c>
      <c r="AF2966" s="661" t="str">
        <f t="shared" si="325"/>
        <v>2019-LTK-FRD-F35C-058-27</v>
      </c>
      <c r="AG2966" s="661" t="str">
        <f>IF(AND($Y2966&gt;=32,(AI2966="I"),(Y2966&lt;&gt;"~"),(COUNTIF($AN$1:$AN2966,$AN2966)=1)),"TRUE","FALSE")</f>
        <v>FALSE</v>
      </c>
      <c r="AH2966" s="661" t="str">
        <f>IF(AND($Y2966&gt;=22, (AI2966&lt;&gt;"I"),(Y2966&lt;&gt;"~"),(COUNTIF($AN$1:$AN2966,$AN2966)=1)),"TRUE","FALSE")</f>
        <v>FALSE</v>
      </c>
      <c r="AI2966" s="661" t="str">
        <f t="shared" si="320"/>
        <v>N/A</v>
      </c>
      <c r="AJ2966" s="662" t="str">
        <f t="shared" si="321"/>
        <v>F35C-058</v>
      </c>
      <c r="AK2966" s="662" t="str">
        <f t="shared" si="322"/>
        <v>LTK</v>
      </c>
      <c r="AL2966" s="662" t="str">
        <f t="shared" si="323"/>
        <v>FRD</v>
      </c>
      <c r="AM2966" s="662" t="str">
        <f t="shared" si="319"/>
        <v>F350 Chassis Cab-Super Cab XL DRW-2WD-6-~-12900-6.7L Diesel-8-X3G-640A-168-40-Diesel-BioDiesel</v>
      </c>
      <c r="AN2966" s="662" t="str">
        <f t="shared" si="324"/>
        <v>2019-LTK-FRD-F35C-058</v>
      </c>
    </row>
    <row r="2967" spans="1:40" ht="15">
      <c r="A2967" s="570" t="s">
        <v>5107</v>
      </c>
      <c r="B2967" s="573" t="s">
        <v>5108</v>
      </c>
      <c r="C2967" s="573" t="s">
        <v>269</v>
      </c>
      <c r="D2967" s="578" t="s">
        <v>270</v>
      </c>
      <c r="E2967" s="573" t="s">
        <v>3374</v>
      </c>
      <c r="F2967" s="573" t="s">
        <v>1684</v>
      </c>
      <c r="G2967" s="573" t="s">
        <v>271</v>
      </c>
      <c r="H2967" s="573">
        <v>2019</v>
      </c>
      <c r="I2967" s="573" t="s">
        <v>4879</v>
      </c>
      <c r="J2967" s="573" t="s">
        <v>4795</v>
      </c>
      <c r="K2967" s="573" t="s">
        <v>752</v>
      </c>
      <c r="L2967" s="573">
        <v>6</v>
      </c>
      <c r="M2967" s="573">
        <v>0</v>
      </c>
      <c r="N2967" s="573" t="s">
        <v>157</v>
      </c>
      <c r="O2967" s="573">
        <v>2</v>
      </c>
      <c r="P2967" s="573" t="s">
        <v>157</v>
      </c>
      <c r="Q2967" s="571">
        <v>12500</v>
      </c>
      <c r="R2967" s="573" t="s">
        <v>4235</v>
      </c>
      <c r="S2967" s="573">
        <v>8</v>
      </c>
      <c r="T2967" s="573" t="s">
        <v>5109</v>
      </c>
      <c r="U2967" s="573" t="s">
        <v>4881</v>
      </c>
      <c r="V2967" s="573">
        <v>168</v>
      </c>
      <c r="W2967" s="573">
        <v>40</v>
      </c>
      <c r="X2967" s="571">
        <v>14000</v>
      </c>
      <c r="Y2967" s="569" t="s">
        <v>164</v>
      </c>
      <c r="Z2967" s="579" t="s">
        <v>450</v>
      </c>
      <c r="AA2967" s="579" t="s">
        <v>178</v>
      </c>
      <c r="AB2967" s="584">
        <v>42185</v>
      </c>
      <c r="AC2967" s="584" t="s">
        <v>164</v>
      </c>
      <c r="AD2967" s="584">
        <v>32660.757894736846</v>
      </c>
      <c r="AE2967" s="586">
        <v>0.03</v>
      </c>
      <c r="AF2967" s="661" t="str">
        <f t="shared" si="325"/>
        <v>2019-LTK-FRD-F35C-059-05</v>
      </c>
      <c r="AG2967" s="661" t="str">
        <f>IF(AND($Y2967&gt;=32,(AI2967="I"),(Y2967&lt;&gt;"~"),(COUNTIF($AN$1:$AN2967,$AN2967)=1)),"TRUE","FALSE")</f>
        <v>FALSE</v>
      </c>
      <c r="AH2967" s="661" t="str">
        <f>IF(AND($Y2967&gt;=22, (AI2967&lt;&gt;"I"),(Y2967&lt;&gt;"~"),(COUNTIF($AN$1:$AN2967,$AN2967)=1)),"TRUE","FALSE")</f>
        <v>TRUE</v>
      </c>
      <c r="AI2967" s="661" t="str">
        <f t="shared" si="320"/>
        <v>N/A</v>
      </c>
      <c r="AJ2967" s="662" t="str">
        <f t="shared" si="321"/>
        <v>F35C-059</v>
      </c>
      <c r="AK2967" s="662" t="str">
        <f t="shared" si="322"/>
        <v>LTK</v>
      </c>
      <c r="AL2967" s="662" t="str">
        <f t="shared" si="323"/>
        <v>FRD</v>
      </c>
      <c r="AM2967" s="662" t="str">
        <f t="shared" si="319"/>
        <v>F350 Chassis Cab-Super Cab XL DRW-4WD-6-~-12500-6.2L FFV-8-X3H-640A-168-40-E85-Unleaded</v>
      </c>
      <c r="AN2967" s="662" t="str">
        <f t="shared" si="324"/>
        <v>2019-LTK-FRD-F35C-059</v>
      </c>
    </row>
    <row r="2968" spans="1:40" ht="15">
      <c r="A2968" s="570" t="s">
        <v>5110</v>
      </c>
      <c r="B2968" s="569" t="s">
        <v>5111</v>
      </c>
      <c r="C2968" s="569" t="s">
        <v>269</v>
      </c>
      <c r="D2968" s="580" t="s">
        <v>270</v>
      </c>
      <c r="E2968" s="569" t="s">
        <v>3374</v>
      </c>
      <c r="F2968" s="569" t="s">
        <v>1684</v>
      </c>
      <c r="G2968" s="569" t="s">
        <v>271</v>
      </c>
      <c r="H2968" s="569">
        <v>2019</v>
      </c>
      <c r="I2968" s="569" t="s">
        <v>4879</v>
      </c>
      <c r="J2968" s="569" t="s">
        <v>4795</v>
      </c>
      <c r="K2968" s="569" t="s">
        <v>752</v>
      </c>
      <c r="L2968" s="569">
        <v>6</v>
      </c>
      <c r="M2968" s="569">
        <v>0</v>
      </c>
      <c r="N2968" s="569" t="s">
        <v>157</v>
      </c>
      <c r="O2968" s="569">
        <v>2</v>
      </c>
      <c r="P2968" s="569" t="s">
        <v>157</v>
      </c>
      <c r="Q2968" s="568">
        <v>12500</v>
      </c>
      <c r="R2968" s="569" t="s">
        <v>4231</v>
      </c>
      <c r="S2968" s="569">
        <v>8</v>
      </c>
      <c r="T2968" s="569" t="s">
        <v>5109</v>
      </c>
      <c r="U2968" s="569" t="s">
        <v>4881</v>
      </c>
      <c r="V2968" s="569">
        <v>168</v>
      </c>
      <c r="W2968" s="569">
        <v>40</v>
      </c>
      <c r="X2968" s="568">
        <v>14000</v>
      </c>
      <c r="Y2968" s="569" t="s">
        <v>164</v>
      </c>
      <c r="Z2968" s="581" t="s">
        <v>728</v>
      </c>
      <c r="AA2968" s="581" t="s">
        <v>1523</v>
      </c>
      <c r="AB2968" s="585">
        <v>51305</v>
      </c>
      <c r="AC2968" s="585" t="s">
        <v>164</v>
      </c>
      <c r="AD2968" s="585">
        <v>40852.947368421061</v>
      </c>
      <c r="AE2968" s="587">
        <v>0.03</v>
      </c>
      <c r="AF2968" s="661" t="str">
        <f t="shared" si="325"/>
        <v>2019-LTK-FRD-F35C-060-05</v>
      </c>
      <c r="AG2968" s="661" t="str">
        <f>IF(AND($Y2968&gt;=32,(AI2968="I"),(Y2968&lt;&gt;"~"),(COUNTIF($AN$1:$AN2968,$AN2968)=1)),"TRUE","FALSE")</f>
        <v>FALSE</v>
      </c>
      <c r="AH2968" s="661" t="str">
        <f>IF(AND($Y2968&gt;=22, (AI2968&lt;&gt;"I"),(Y2968&lt;&gt;"~"),(COUNTIF($AN$1:$AN2968,$AN2968)=1)),"TRUE","FALSE")</f>
        <v>TRUE</v>
      </c>
      <c r="AI2968" s="661" t="str">
        <f t="shared" si="320"/>
        <v>N/A</v>
      </c>
      <c r="AJ2968" s="662" t="str">
        <f t="shared" si="321"/>
        <v>F35C-060</v>
      </c>
      <c r="AK2968" s="662" t="str">
        <f t="shared" si="322"/>
        <v>LTK</v>
      </c>
      <c r="AL2968" s="662" t="str">
        <f t="shared" si="323"/>
        <v>FRD</v>
      </c>
      <c r="AM2968" s="662" t="str">
        <f t="shared" si="319"/>
        <v>F350 Chassis Cab-Super Cab XL DRW-4WD-6-~-12500-6.7L Diesel-8-X3H-640A-168-40-Diesel-BioDiesel</v>
      </c>
      <c r="AN2968" s="662" t="str">
        <f t="shared" si="324"/>
        <v>2019-LTK-FRD-F35C-060</v>
      </c>
    </row>
    <row r="2969" spans="1:40" ht="15">
      <c r="A2969" s="570" t="s">
        <v>5112</v>
      </c>
      <c r="B2969" s="573" t="s">
        <v>5108</v>
      </c>
      <c r="C2969" s="573" t="s">
        <v>278</v>
      </c>
      <c r="D2969" s="578">
        <v>15</v>
      </c>
      <c r="E2969" s="573" t="s">
        <v>3374</v>
      </c>
      <c r="F2969" s="573" t="s">
        <v>1684</v>
      </c>
      <c r="G2969" s="573" t="s">
        <v>271</v>
      </c>
      <c r="H2969" s="573">
        <v>2019</v>
      </c>
      <c r="I2969" s="573" t="s">
        <v>4879</v>
      </c>
      <c r="J2969" s="573" t="s">
        <v>4795</v>
      </c>
      <c r="K2969" s="573" t="s">
        <v>752</v>
      </c>
      <c r="L2969" s="573">
        <v>6</v>
      </c>
      <c r="M2969" s="573">
        <v>0</v>
      </c>
      <c r="N2969" s="573" t="s">
        <v>157</v>
      </c>
      <c r="O2969" s="573">
        <v>2</v>
      </c>
      <c r="P2969" s="573" t="s">
        <v>157</v>
      </c>
      <c r="Q2969" s="571">
        <v>12600</v>
      </c>
      <c r="R2969" s="573" t="s">
        <v>4235</v>
      </c>
      <c r="S2969" s="573">
        <v>8</v>
      </c>
      <c r="T2969" s="573" t="s">
        <v>5109</v>
      </c>
      <c r="U2969" s="573" t="s">
        <v>4881</v>
      </c>
      <c r="V2969" s="573">
        <v>168</v>
      </c>
      <c r="W2969" s="573">
        <v>40</v>
      </c>
      <c r="X2969" s="571">
        <v>14000</v>
      </c>
      <c r="Y2969" s="569" t="s">
        <v>164</v>
      </c>
      <c r="Z2969" s="579" t="s">
        <v>450</v>
      </c>
      <c r="AA2969" s="579" t="s">
        <v>178</v>
      </c>
      <c r="AB2969" s="584">
        <v>42185</v>
      </c>
      <c r="AC2969" s="584" t="s">
        <v>164</v>
      </c>
      <c r="AD2969" s="584">
        <v>32800</v>
      </c>
      <c r="AE2969" s="586">
        <v>0.01</v>
      </c>
      <c r="AF2969" s="661" t="str">
        <f t="shared" si="325"/>
        <v>2019-LTK-FRD-F35C-059-15</v>
      </c>
      <c r="AG2969" s="661" t="str">
        <f>IF(AND($Y2969&gt;=32,(AI2969="I"),(Y2969&lt;&gt;"~"),(COUNTIF($AN$1:$AN2969,$AN2969)=1)),"TRUE","FALSE")</f>
        <v>FALSE</v>
      </c>
      <c r="AH2969" s="661" t="str">
        <f>IF(AND($Y2969&gt;=22, (AI2969&lt;&gt;"I"),(Y2969&lt;&gt;"~"),(COUNTIF($AN$1:$AN2969,$AN2969)=1)),"TRUE","FALSE")</f>
        <v>FALSE</v>
      </c>
      <c r="AI2969" s="661" t="str">
        <f t="shared" si="320"/>
        <v>N/A</v>
      </c>
      <c r="AJ2969" s="662" t="str">
        <f t="shared" si="321"/>
        <v>F35C-059</v>
      </c>
      <c r="AK2969" s="662" t="str">
        <f t="shared" si="322"/>
        <v>LTK</v>
      </c>
      <c r="AL2969" s="662" t="str">
        <f t="shared" si="323"/>
        <v>FRD</v>
      </c>
      <c r="AM2969" s="662" t="str">
        <f t="shared" si="319"/>
        <v>F350 Chassis Cab-Super Cab XL DRW-4WD-6-~-12600-6.2L FFV-8-X3H-640A-168-40-E85-Unleaded</v>
      </c>
      <c r="AN2969" s="662" t="str">
        <f t="shared" si="324"/>
        <v>2019-LTK-FRD-F35C-059</v>
      </c>
    </row>
    <row r="2970" spans="1:40" ht="15">
      <c r="A2970" s="570" t="s">
        <v>5113</v>
      </c>
      <c r="B2970" s="569" t="s">
        <v>5111</v>
      </c>
      <c r="C2970" s="569" t="s">
        <v>278</v>
      </c>
      <c r="D2970" s="580">
        <v>15</v>
      </c>
      <c r="E2970" s="569" t="s">
        <v>3374</v>
      </c>
      <c r="F2970" s="569" t="s">
        <v>1684</v>
      </c>
      <c r="G2970" s="569" t="s">
        <v>271</v>
      </c>
      <c r="H2970" s="569">
        <v>2019</v>
      </c>
      <c r="I2970" s="569" t="s">
        <v>4879</v>
      </c>
      <c r="J2970" s="569" t="s">
        <v>4795</v>
      </c>
      <c r="K2970" s="569" t="s">
        <v>752</v>
      </c>
      <c r="L2970" s="569">
        <v>6</v>
      </c>
      <c r="M2970" s="569">
        <v>0</v>
      </c>
      <c r="N2970" s="569" t="s">
        <v>157</v>
      </c>
      <c r="O2970" s="569">
        <v>2</v>
      </c>
      <c r="P2970" s="569" t="s">
        <v>157</v>
      </c>
      <c r="Q2970" s="568">
        <v>12600</v>
      </c>
      <c r="R2970" s="569" t="s">
        <v>4231</v>
      </c>
      <c r="S2970" s="569">
        <v>8</v>
      </c>
      <c r="T2970" s="569" t="s">
        <v>5109</v>
      </c>
      <c r="U2970" s="569" t="s">
        <v>4881</v>
      </c>
      <c r="V2970" s="569">
        <v>168</v>
      </c>
      <c r="W2970" s="569">
        <v>40</v>
      </c>
      <c r="X2970" s="568">
        <v>14000</v>
      </c>
      <c r="Y2970" s="569" t="s">
        <v>164</v>
      </c>
      <c r="Z2970" s="581" t="s">
        <v>728</v>
      </c>
      <c r="AA2970" s="581" t="s">
        <v>1523</v>
      </c>
      <c r="AB2970" s="585">
        <v>51305</v>
      </c>
      <c r="AC2970" s="585" t="s">
        <v>164</v>
      </c>
      <c r="AD2970" s="585">
        <v>41100</v>
      </c>
      <c r="AE2970" s="587">
        <v>0.01</v>
      </c>
      <c r="AF2970" s="661" t="str">
        <f t="shared" si="325"/>
        <v>2019-LTK-FRD-F35C-060-15</v>
      </c>
      <c r="AG2970" s="661" t="str">
        <f>IF(AND($Y2970&gt;=32,(AI2970="I"),(Y2970&lt;&gt;"~"),(COUNTIF($AN$1:$AN2970,$AN2970)=1)),"TRUE","FALSE")</f>
        <v>FALSE</v>
      </c>
      <c r="AH2970" s="661" t="str">
        <f>IF(AND($Y2970&gt;=22, (AI2970&lt;&gt;"I"),(Y2970&lt;&gt;"~"),(COUNTIF($AN$1:$AN2970,$AN2970)=1)),"TRUE","FALSE")</f>
        <v>FALSE</v>
      </c>
      <c r="AI2970" s="661" t="str">
        <f t="shared" si="320"/>
        <v>N/A</v>
      </c>
      <c r="AJ2970" s="662" t="str">
        <f t="shared" si="321"/>
        <v>F35C-060</v>
      </c>
      <c r="AK2970" s="662" t="str">
        <f t="shared" si="322"/>
        <v>LTK</v>
      </c>
      <c r="AL2970" s="662" t="str">
        <f t="shared" si="323"/>
        <v>FRD</v>
      </c>
      <c r="AM2970" s="662" t="str">
        <f t="shared" si="319"/>
        <v>F350 Chassis Cab-Super Cab XL DRW-4WD-6-~-12600-6.7L Diesel-8-X3H-640A-168-40-Diesel-BioDiesel</v>
      </c>
      <c r="AN2970" s="662" t="str">
        <f t="shared" si="324"/>
        <v>2019-LTK-FRD-F35C-060</v>
      </c>
    </row>
    <row r="2971" spans="1:40" ht="15">
      <c r="A2971" s="570" t="s">
        <v>5114</v>
      </c>
      <c r="B2971" s="573" t="s">
        <v>5108</v>
      </c>
      <c r="C2971" s="573" t="s">
        <v>287</v>
      </c>
      <c r="D2971" s="578">
        <v>26</v>
      </c>
      <c r="E2971" s="573" t="s">
        <v>3374</v>
      </c>
      <c r="F2971" s="573" t="s">
        <v>1684</v>
      </c>
      <c r="G2971" s="573" t="s">
        <v>271</v>
      </c>
      <c r="H2971" s="573">
        <v>2019</v>
      </c>
      <c r="I2971" s="573" t="s">
        <v>4879</v>
      </c>
      <c r="J2971" s="573" t="s">
        <v>4795</v>
      </c>
      <c r="K2971" s="573" t="s">
        <v>752</v>
      </c>
      <c r="L2971" s="573">
        <v>6</v>
      </c>
      <c r="M2971" s="573">
        <v>0</v>
      </c>
      <c r="N2971" s="573" t="s">
        <v>157</v>
      </c>
      <c r="O2971" s="573">
        <v>2</v>
      </c>
      <c r="P2971" s="573" t="s">
        <v>157</v>
      </c>
      <c r="Q2971" s="571">
        <v>12600</v>
      </c>
      <c r="R2971" s="573" t="s">
        <v>4235</v>
      </c>
      <c r="S2971" s="573">
        <v>8</v>
      </c>
      <c r="T2971" s="573" t="s">
        <v>5109</v>
      </c>
      <c r="U2971" s="573" t="s">
        <v>4881</v>
      </c>
      <c r="V2971" s="573">
        <v>168</v>
      </c>
      <c r="W2971" s="573">
        <v>40</v>
      </c>
      <c r="X2971" s="571">
        <v>14000</v>
      </c>
      <c r="Y2971" s="569" t="s">
        <v>164</v>
      </c>
      <c r="Z2971" s="579" t="s">
        <v>450</v>
      </c>
      <c r="AA2971" s="579" t="s">
        <v>178</v>
      </c>
      <c r="AB2971" s="584">
        <v>41820</v>
      </c>
      <c r="AC2971" s="584" t="s">
        <v>164</v>
      </c>
      <c r="AD2971" s="584">
        <v>32954</v>
      </c>
      <c r="AE2971" s="586">
        <v>0.05</v>
      </c>
      <c r="AF2971" s="661" t="str">
        <f t="shared" si="325"/>
        <v>2019-LTK-FRD-F35C-059-26</v>
      </c>
      <c r="AG2971" s="661" t="str">
        <f>IF(AND($Y2971&gt;=32,(AI2971="I"),(Y2971&lt;&gt;"~"),(COUNTIF($AN$1:$AN2971,$AN2971)=1)),"TRUE","FALSE")</f>
        <v>FALSE</v>
      </c>
      <c r="AH2971" s="661" t="str">
        <f>IF(AND($Y2971&gt;=22, (AI2971&lt;&gt;"I"),(Y2971&lt;&gt;"~"),(COUNTIF($AN$1:$AN2971,$AN2971)=1)),"TRUE","FALSE")</f>
        <v>FALSE</v>
      </c>
      <c r="AI2971" s="661" t="str">
        <f t="shared" si="320"/>
        <v>N/A</v>
      </c>
      <c r="AJ2971" s="662" t="str">
        <f t="shared" si="321"/>
        <v>F35C-059</v>
      </c>
      <c r="AK2971" s="662" t="str">
        <f t="shared" si="322"/>
        <v>LTK</v>
      </c>
      <c r="AL2971" s="662" t="str">
        <f t="shared" si="323"/>
        <v>FRD</v>
      </c>
      <c r="AM2971" s="662" t="str">
        <f t="shared" ref="AM2971:AM3034" si="326">CONCATENATE(I2971,"-",J2971,"-",K2971,"-",L2971,"-",P2971,"-",Q2971,"-",R2971,"-",S2971,"-",T2971,"-",U2971,"-",V2971,"-",W2971,"-",Z2971,"-",AA2971)</f>
        <v>F350 Chassis Cab-Super Cab XL DRW-4WD-6-~-12600-6.2L FFV-8-X3H-640A-168-40-E85-Unleaded</v>
      </c>
      <c r="AN2971" s="662" t="str">
        <f t="shared" si="324"/>
        <v>2019-LTK-FRD-F35C-059</v>
      </c>
    </row>
    <row r="2972" spans="1:40" ht="15">
      <c r="A2972" s="570" t="s">
        <v>5115</v>
      </c>
      <c r="B2972" s="569" t="s">
        <v>5111</v>
      </c>
      <c r="C2972" s="569" t="s">
        <v>287</v>
      </c>
      <c r="D2972" s="580">
        <v>26</v>
      </c>
      <c r="E2972" s="569" t="s">
        <v>3374</v>
      </c>
      <c r="F2972" s="569" t="s">
        <v>1684</v>
      </c>
      <c r="G2972" s="569" t="s">
        <v>271</v>
      </c>
      <c r="H2972" s="569">
        <v>2019</v>
      </c>
      <c r="I2972" s="569" t="s">
        <v>4879</v>
      </c>
      <c r="J2972" s="569" t="s">
        <v>4795</v>
      </c>
      <c r="K2972" s="569" t="s">
        <v>752</v>
      </c>
      <c r="L2972" s="569">
        <v>6</v>
      </c>
      <c r="M2972" s="569">
        <v>0</v>
      </c>
      <c r="N2972" s="569" t="s">
        <v>157</v>
      </c>
      <c r="O2972" s="569">
        <v>2</v>
      </c>
      <c r="P2972" s="569" t="s">
        <v>157</v>
      </c>
      <c r="Q2972" s="568">
        <v>12600</v>
      </c>
      <c r="R2972" s="569" t="s">
        <v>4231</v>
      </c>
      <c r="S2972" s="569">
        <v>8</v>
      </c>
      <c r="T2972" s="569" t="s">
        <v>5109</v>
      </c>
      <c r="U2972" s="569" t="s">
        <v>4881</v>
      </c>
      <c r="V2972" s="569">
        <v>168</v>
      </c>
      <c r="W2972" s="569">
        <v>40</v>
      </c>
      <c r="X2972" s="568">
        <v>14000</v>
      </c>
      <c r="Y2972" s="569" t="s">
        <v>164</v>
      </c>
      <c r="Z2972" s="581" t="s">
        <v>728</v>
      </c>
      <c r="AA2972" s="581" t="s">
        <v>1523</v>
      </c>
      <c r="AB2972" s="585">
        <v>50815</v>
      </c>
      <c r="AC2972" s="585" t="s">
        <v>164</v>
      </c>
      <c r="AD2972" s="585">
        <v>41148</v>
      </c>
      <c r="AE2972" s="587">
        <v>0.05</v>
      </c>
      <c r="AF2972" s="661" t="str">
        <f t="shared" si="325"/>
        <v>2019-LTK-FRD-F35C-060-26</v>
      </c>
      <c r="AG2972" s="661" t="str">
        <f>IF(AND($Y2972&gt;=32,(AI2972="I"),(Y2972&lt;&gt;"~"),(COUNTIF($AN$1:$AN2972,$AN2972)=1)),"TRUE","FALSE")</f>
        <v>FALSE</v>
      </c>
      <c r="AH2972" s="661" t="str">
        <f>IF(AND($Y2972&gt;=22, (AI2972&lt;&gt;"I"),(Y2972&lt;&gt;"~"),(COUNTIF($AN$1:$AN2972,$AN2972)=1)),"TRUE","FALSE")</f>
        <v>FALSE</v>
      </c>
      <c r="AI2972" s="661" t="str">
        <f t="shared" ref="AI2972:AI3035" si="327">IF(OR((LEFT($E2972,2)="01"),AND(LEFT($E2972,2)="06",ISNUMBER(SEARCH("pas",$F2972))),AND(LEFT($E2972,2)="05",ISNUMBER(SEARCH("pas",$F2972)))),"I",IF(AND((LEFT($E2972,2)&lt;&gt;"01"),$X2972&lt;=10000),"II",IF(AND((LEFT($E2972,2)&lt;&gt;"01"),$X2972&gt;10000),"N/A")))</f>
        <v>N/A</v>
      </c>
      <c r="AJ2972" s="662" t="str">
        <f t="shared" si="321"/>
        <v>F35C-060</v>
      </c>
      <c r="AK2972" s="662" t="str">
        <f t="shared" si="322"/>
        <v>LTK</v>
      </c>
      <c r="AL2972" s="662" t="str">
        <f t="shared" si="323"/>
        <v>FRD</v>
      </c>
      <c r="AM2972" s="662" t="str">
        <f t="shared" si="326"/>
        <v>F350 Chassis Cab-Super Cab XL DRW-4WD-6-~-12600-6.7L Diesel-8-X3H-640A-168-40-Diesel-BioDiesel</v>
      </c>
      <c r="AN2972" s="662" t="str">
        <f t="shared" si="324"/>
        <v>2019-LTK-FRD-F35C-060</v>
      </c>
    </row>
    <row r="2973" spans="1:40" ht="15">
      <c r="A2973" s="570" t="s">
        <v>5116</v>
      </c>
      <c r="B2973" s="573" t="s">
        <v>5108</v>
      </c>
      <c r="C2973" s="573" t="s">
        <v>280</v>
      </c>
      <c r="D2973" s="578">
        <v>27</v>
      </c>
      <c r="E2973" s="573" t="s">
        <v>3374</v>
      </c>
      <c r="F2973" s="573" t="s">
        <v>1684</v>
      </c>
      <c r="G2973" s="573" t="s">
        <v>271</v>
      </c>
      <c r="H2973" s="573">
        <v>2019</v>
      </c>
      <c r="I2973" s="573" t="s">
        <v>4879</v>
      </c>
      <c r="J2973" s="573" t="s">
        <v>4795</v>
      </c>
      <c r="K2973" s="573" t="s">
        <v>752</v>
      </c>
      <c r="L2973" s="573">
        <v>6</v>
      </c>
      <c r="M2973" s="573">
        <v>0</v>
      </c>
      <c r="N2973" s="573" t="s">
        <v>157</v>
      </c>
      <c r="O2973" s="573">
        <v>2</v>
      </c>
      <c r="P2973" s="573" t="s">
        <v>157</v>
      </c>
      <c r="Q2973" s="571">
        <v>12500</v>
      </c>
      <c r="R2973" s="573" t="s">
        <v>4235</v>
      </c>
      <c r="S2973" s="573">
        <v>8</v>
      </c>
      <c r="T2973" s="573" t="s">
        <v>5109</v>
      </c>
      <c r="U2973" s="573" t="s">
        <v>4881</v>
      </c>
      <c r="V2973" s="573">
        <v>168</v>
      </c>
      <c r="W2973" s="573">
        <v>40</v>
      </c>
      <c r="X2973" s="571">
        <v>14000</v>
      </c>
      <c r="Y2973" s="569" t="s">
        <v>164</v>
      </c>
      <c r="Z2973" s="579" t="s">
        <v>450</v>
      </c>
      <c r="AA2973" s="579" t="s">
        <v>178</v>
      </c>
      <c r="AB2973" s="584">
        <v>42185</v>
      </c>
      <c r="AC2973" s="584" t="s">
        <v>164</v>
      </c>
      <c r="AD2973" s="584">
        <v>32660.757894736846</v>
      </c>
      <c r="AE2973" s="586">
        <v>0.03</v>
      </c>
      <c r="AF2973" s="661" t="str">
        <f t="shared" si="325"/>
        <v>2019-LTK-FRD-F35C-059-27</v>
      </c>
      <c r="AG2973" s="661" t="str">
        <f>IF(AND($Y2973&gt;=32,(AI2973="I"),(Y2973&lt;&gt;"~"),(COUNTIF($AN$1:$AN2973,$AN2973)=1)),"TRUE","FALSE")</f>
        <v>FALSE</v>
      </c>
      <c r="AH2973" s="661" t="str">
        <f>IF(AND($Y2973&gt;=22, (AI2973&lt;&gt;"I"),(Y2973&lt;&gt;"~"),(COUNTIF($AN$1:$AN2973,$AN2973)=1)),"TRUE","FALSE")</f>
        <v>FALSE</v>
      </c>
      <c r="AI2973" s="661" t="str">
        <f t="shared" si="327"/>
        <v>N/A</v>
      </c>
      <c r="AJ2973" s="662" t="str">
        <f t="shared" si="321"/>
        <v>F35C-059</v>
      </c>
      <c r="AK2973" s="662" t="str">
        <f t="shared" si="322"/>
        <v>LTK</v>
      </c>
      <c r="AL2973" s="662" t="str">
        <f t="shared" si="323"/>
        <v>FRD</v>
      </c>
      <c r="AM2973" s="662" t="str">
        <f t="shared" si="326"/>
        <v>F350 Chassis Cab-Super Cab XL DRW-4WD-6-~-12500-6.2L FFV-8-X3H-640A-168-40-E85-Unleaded</v>
      </c>
      <c r="AN2973" s="662" t="str">
        <f t="shared" si="324"/>
        <v>2019-LTK-FRD-F35C-059</v>
      </c>
    </row>
    <row r="2974" spans="1:40" ht="15">
      <c r="A2974" s="570" t="s">
        <v>5117</v>
      </c>
      <c r="B2974" s="569" t="s">
        <v>5111</v>
      </c>
      <c r="C2974" s="569" t="s">
        <v>280</v>
      </c>
      <c r="D2974" s="580">
        <v>27</v>
      </c>
      <c r="E2974" s="569" t="s">
        <v>3374</v>
      </c>
      <c r="F2974" s="569" t="s">
        <v>1684</v>
      </c>
      <c r="G2974" s="569" t="s">
        <v>271</v>
      </c>
      <c r="H2974" s="569">
        <v>2019</v>
      </c>
      <c r="I2974" s="569" t="s">
        <v>4879</v>
      </c>
      <c r="J2974" s="569" t="s">
        <v>4795</v>
      </c>
      <c r="K2974" s="569" t="s">
        <v>752</v>
      </c>
      <c r="L2974" s="569">
        <v>6</v>
      </c>
      <c r="M2974" s="569">
        <v>0</v>
      </c>
      <c r="N2974" s="569" t="s">
        <v>157</v>
      </c>
      <c r="O2974" s="569">
        <v>2</v>
      </c>
      <c r="P2974" s="569" t="s">
        <v>157</v>
      </c>
      <c r="Q2974" s="568">
        <v>12500</v>
      </c>
      <c r="R2974" s="569" t="s">
        <v>4231</v>
      </c>
      <c r="S2974" s="569">
        <v>8</v>
      </c>
      <c r="T2974" s="569" t="s">
        <v>5109</v>
      </c>
      <c r="U2974" s="569" t="s">
        <v>4881</v>
      </c>
      <c r="V2974" s="569">
        <v>168</v>
      </c>
      <c r="W2974" s="569">
        <v>40</v>
      </c>
      <c r="X2974" s="568">
        <v>14000</v>
      </c>
      <c r="Y2974" s="569" t="s">
        <v>164</v>
      </c>
      <c r="Z2974" s="581" t="s">
        <v>728</v>
      </c>
      <c r="AA2974" s="581" t="s">
        <v>1523</v>
      </c>
      <c r="AB2974" s="585">
        <v>51305</v>
      </c>
      <c r="AC2974" s="585" t="s">
        <v>164</v>
      </c>
      <c r="AD2974" s="585">
        <v>40852.947368421061</v>
      </c>
      <c r="AE2974" s="587">
        <v>0.03</v>
      </c>
      <c r="AF2974" s="661" t="str">
        <f t="shared" si="325"/>
        <v>2019-LTK-FRD-F35C-060-27</v>
      </c>
      <c r="AG2974" s="661" t="str">
        <f>IF(AND($Y2974&gt;=32,(AI2974="I"),(Y2974&lt;&gt;"~"),(COUNTIF($AN$1:$AN2974,$AN2974)=1)),"TRUE","FALSE")</f>
        <v>FALSE</v>
      </c>
      <c r="AH2974" s="661" t="str">
        <f>IF(AND($Y2974&gt;=22, (AI2974&lt;&gt;"I"),(Y2974&lt;&gt;"~"),(COUNTIF($AN$1:$AN2974,$AN2974)=1)),"TRUE","FALSE")</f>
        <v>FALSE</v>
      </c>
      <c r="AI2974" s="661" t="str">
        <f t="shared" si="327"/>
        <v>N/A</v>
      </c>
      <c r="AJ2974" s="662" t="str">
        <f t="shared" si="321"/>
        <v>F35C-060</v>
      </c>
      <c r="AK2974" s="662" t="str">
        <f t="shared" si="322"/>
        <v>LTK</v>
      </c>
      <c r="AL2974" s="662" t="str">
        <f t="shared" si="323"/>
        <v>FRD</v>
      </c>
      <c r="AM2974" s="662" t="str">
        <f t="shared" si="326"/>
        <v>F350 Chassis Cab-Super Cab XL DRW-4WD-6-~-12500-6.7L Diesel-8-X3H-640A-168-40-Diesel-BioDiesel</v>
      </c>
      <c r="AN2974" s="662" t="str">
        <f t="shared" si="324"/>
        <v>2019-LTK-FRD-F35C-060</v>
      </c>
    </row>
    <row r="2975" spans="1:40" ht="15">
      <c r="A2975" s="570" t="s">
        <v>5118</v>
      </c>
      <c r="B2975" s="573" t="s">
        <v>5119</v>
      </c>
      <c r="C2975" s="573" t="s">
        <v>269</v>
      </c>
      <c r="D2975" s="578" t="s">
        <v>270</v>
      </c>
      <c r="E2975" s="573" t="s">
        <v>3374</v>
      </c>
      <c r="F2975" s="573" t="s">
        <v>1684</v>
      </c>
      <c r="G2975" s="573" t="s">
        <v>271</v>
      </c>
      <c r="H2975" s="573">
        <v>2019</v>
      </c>
      <c r="I2975" s="573" t="s">
        <v>4879</v>
      </c>
      <c r="J2975" s="573" t="s">
        <v>5120</v>
      </c>
      <c r="K2975" s="573" t="s">
        <v>3377</v>
      </c>
      <c r="L2975" s="573">
        <v>6</v>
      </c>
      <c r="M2975" s="573">
        <v>0</v>
      </c>
      <c r="N2975" s="573" t="s">
        <v>157</v>
      </c>
      <c r="O2975" s="573">
        <v>2</v>
      </c>
      <c r="P2975" s="573" t="s">
        <v>157</v>
      </c>
      <c r="Q2975" s="571">
        <v>12800</v>
      </c>
      <c r="R2975" s="573" t="s">
        <v>4235</v>
      </c>
      <c r="S2975" s="573">
        <v>8</v>
      </c>
      <c r="T2975" s="573" t="s">
        <v>5121</v>
      </c>
      <c r="U2975" s="573" t="s">
        <v>4905</v>
      </c>
      <c r="V2975" s="573">
        <v>168</v>
      </c>
      <c r="W2975" s="573">
        <v>40</v>
      </c>
      <c r="X2975" s="571">
        <v>10900</v>
      </c>
      <c r="Y2975" s="569" t="s">
        <v>164</v>
      </c>
      <c r="Z2975" s="579" t="s">
        <v>450</v>
      </c>
      <c r="AA2975" s="579" t="s">
        <v>178</v>
      </c>
      <c r="AB2975" s="584">
        <v>37480</v>
      </c>
      <c r="AC2975" s="584" t="s">
        <v>164</v>
      </c>
      <c r="AD2975" s="584">
        <v>28314.442105263159</v>
      </c>
      <c r="AE2975" s="586">
        <v>0.03</v>
      </c>
      <c r="AF2975" s="661" t="str">
        <f t="shared" si="325"/>
        <v>2019-LTK-FRD-F35C-061-05</v>
      </c>
      <c r="AG2975" s="661" t="str">
        <f>IF(AND($Y2975&gt;=32,(AI2975="I"),(Y2975&lt;&gt;"~"),(COUNTIF($AN$1:$AN2975,$AN2975)=1)),"TRUE","FALSE")</f>
        <v>FALSE</v>
      </c>
      <c r="AH2975" s="661" t="str">
        <f>IF(AND($Y2975&gt;=22, (AI2975&lt;&gt;"I"),(Y2975&lt;&gt;"~"),(COUNTIF($AN$1:$AN2975,$AN2975)=1)),"TRUE","FALSE")</f>
        <v>TRUE</v>
      </c>
      <c r="AI2975" s="661" t="str">
        <f t="shared" si="327"/>
        <v>N/A</v>
      </c>
      <c r="AJ2975" s="662" t="str">
        <f t="shared" si="321"/>
        <v>F35C-061</v>
      </c>
      <c r="AK2975" s="662" t="str">
        <f t="shared" si="322"/>
        <v>LTK</v>
      </c>
      <c r="AL2975" s="662" t="str">
        <f t="shared" si="323"/>
        <v>FRD</v>
      </c>
      <c r="AM2975" s="662" t="str">
        <f t="shared" si="326"/>
        <v>F350 Chassis Cab-Super Cab XL SRW-2WD-6-~-12800-6.2L FFV-8-X3E-630A-168-40-E85-Unleaded</v>
      </c>
      <c r="AN2975" s="662" t="str">
        <f t="shared" si="324"/>
        <v>2019-LTK-FRD-F35C-061</v>
      </c>
    </row>
    <row r="2976" spans="1:40" ht="15">
      <c r="A2976" s="570" t="s">
        <v>5122</v>
      </c>
      <c r="B2976" s="569" t="s">
        <v>5123</v>
      </c>
      <c r="C2976" s="569" t="s">
        <v>269</v>
      </c>
      <c r="D2976" s="580" t="s">
        <v>270</v>
      </c>
      <c r="E2976" s="569" t="s">
        <v>3374</v>
      </c>
      <c r="F2976" s="569" t="s">
        <v>1684</v>
      </c>
      <c r="G2976" s="569" t="s">
        <v>271</v>
      </c>
      <c r="H2976" s="569">
        <v>2019</v>
      </c>
      <c r="I2976" s="569" t="s">
        <v>4879</v>
      </c>
      <c r="J2976" s="569" t="s">
        <v>5120</v>
      </c>
      <c r="K2976" s="569" t="s">
        <v>3377</v>
      </c>
      <c r="L2976" s="569">
        <v>6</v>
      </c>
      <c r="M2976" s="569">
        <v>0</v>
      </c>
      <c r="N2976" s="569" t="s">
        <v>157</v>
      </c>
      <c r="O2976" s="569">
        <v>2</v>
      </c>
      <c r="P2976" s="569" t="s">
        <v>157</v>
      </c>
      <c r="Q2976" s="568">
        <v>12800</v>
      </c>
      <c r="R2976" s="569" t="s">
        <v>4231</v>
      </c>
      <c r="S2976" s="569">
        <v>8</v>
      </c>
      <c r="T2976" s="569" t="s">
        <v>5121</v>
      </c>
      <c r="U2976" s="569" t="s">
        <v>4905</v>
      </c>
      <c r="V2976" s="569">
        <v>168</v>
      </c>
      <c r="W2976" s="569">
        <v>40</v>
      </c>
      <c r="X2976" s="568">
        <v>11500</v>
      </c>
      <c r="Y2976" s="569" t="s">
        <v>164</v>
      </c>
      <c r="Z2976" s="581" t="s">
        <v>728</v>
      </c>
      <c r="AA2976" s="581" t="s">
        <v>1523</v>
      </c>
      <c r="AB2976" s="585">
        <v>46600</v>
      </c>
      <c r="AC2976" s="585" t="s">
        <v>164</v>
      </c>
      <c r="AD2976" s="585">
        <v>36506.631578947374</v>
      </c>
      <c r="AE2976" s="587">
        <v>0.03</v>
      </c>
      <c r="AF2976" s="661" t="str">
        <f t="shared" si="325"/>
        <v>2019-LTK-FRD-F35C-062-05</v>
      </c>
      <c r="AG2976" s="661" t="str">
        <f>IF(AND($Y2976&gt;=32,(AI2976="I"),(Y2976&lt;&gt;"~"),(COUNTIF($AN$1:$AN2976,$AN2976)=1)),"TRUE","FALSE")</f>
        <v>FALSE</v>
      </c>
      <c r="AH2976" s="661" t="str">
        <f>IF(AND($Y2976&gt;=22, (AI2976&lt;&gt;"I"),(Y2976&lt;&gt;"~"),(COUNTIF($AN$1:$AN2976,$AN2976)=1)),"TRUE","FALSE")</f>
        <v>TRUE</v>
      </c>
      <c r="AI2976" s="661" t="str">
        <f t="shared" si="327"/>
        <v>N/A</v>
      </c>
      <c r="AJ2976" s="662" t="str">
        <f t="shared" si="321"/>
        <v>F35C-062</v>
      </c>
      <c r="AK2976" s="662" t="str">
        <f t="shared" si="322"/>
        <v>LTK</v>
      </c>
      <c r="AL2976" s="662" t="str">
        <f t="shared" si="323"/>
        <v>FRD</v>
      </c>
      <c r="AM2976" s="662" t="str">
        <f t="shared" si="326"/>
        <v>F350 Chassis Cab-Super Cab XL SRW-2WD-6-~-12800-6.7L Diesel-8-X3E-630A-168-40-Diesel-BioDiesel</v>
      </c>
      <c r="AN2976" s="662" t="str">
        <f t="shared" si="324"/>
        <v>2019-LTK-FRD-F35C-062</v>
      </c>
    </row>
    <row r="2977" spans="1:40" ht="15">
      <c r="A2977" s="570" t="s">
        <v>5124</v>
      </c>
      <c r="B2977" s="573" t="s">
        <v>5119</v>
      </c>
      <c r="C2977" s="573" t="s">
        <v>278</v>
      </c>
      <c r="D2977" s="578">
        <v>15</v>
      </c>
      <c r="E2977" s="573" t="s">
        <v>3374</v>
      </c>
      <c r="F2977" s="573" t="s">
        <v>1684</v>
      </c>
      <c r="G2977" s="573" t="s">
        <v>271</v>
      </c>
      <c r="H2977" s="573">
        <v>2019</v>
      </c>
      <c r="I2977" s="573" t="s">
        <v>4879</v>
      </c>
      <c r="J2977" s="573" t="s">
        <v>5120</v>
      </c>
      <c r="K2977" s="573" t="s">
        <v>3377</v>
      </c>
      <c r="L2977" s="573">
        <v>6</v>
      </c>
      <c r="M2977" s="573">
        <v>0</v>
      </c>
      <c r="N2977" s="573" t="s">
        <v>157</v>
      </c>
      <c r="O2977" s="573">
        <v>2</v>
      </c>
      <c r="P2977" s="573" t="s">
        <v>157</v>
      </c>
      <c r="Q2977" s="571">
        <v>12900</v>
      </c>
      <c r="R2977" s="573" t="s">
        <v>4235</v>
      </c>
      <c r="S2977" s="573">
        <v>8</v>
      </c>
      <c r="T2977" s="573" t="s">
        <v>5121</v>
      </c>
      <c r="U2977" s="573" t="s">
        <v>4905</v>
      </c>
      <c r="V2977" s="573">
        <v>168</v>
      </c>
      <c r="W2977" s="573">
        <v>40</v>
      </c>
      <c r="X2977" s="571">
        <v>10900</v>
      </c>
      <c r="Y2977" s="569" t="s">
        <v>164</v>
      </c>
      <c r="Z2977" s="579" t="s">
        <v>450</v>
      </c>
      <c r="AA2977" s="579" t="s">
        <v>178</v>
      </c>
      <c r="AB2977" s="584">
        <v>37480</v>
      </c>
      <c r="AC2977" s="584" t="s">
        <v>164</v>
      </c>
      <c r="AD2977" s="584">
        <v>28400</v>
      </c>
      <c r="AE2977" s="586">
        <v>0.01</v>
      </c>
      <c r="AF2977" s="661" t="str">
        <f t="shared" si="325"/>
        <v>2019-LTK-FRD-F35C-061-15</v>
      </c>
      <c r="AG2977" s="661" t="str">
        <f>IF(AND($Y2977&gt;=32,(AI2977="I"),(Y2977&lt;&gt;"~"),(COUNTIF($AN$1:$AN2977,$AN2977)=1)),"TRUE","FALSE")</f>
        <v>FALSE</v>
      </c>
      <c r="AH2977" s="661" t="str">
        <f>IF(AND($Y2977&gt;=22, (AI2977&lt;&gt;"I"),(Y2977&lt;&gt;"~"),(COUNTIF($AN$1:$AN2977,$AN2977)=1)),"TRUE","FALSE")</f>
        <v>FALSE</v>
      </c>
      <c r="AI2977" s="661" t="str">
        <f t="shared" si="327"/>
        <v>N/A</v>
      </c>
      <c r="AJ2977" s="662" t="str">
        <f t="shared" si="321"/>
        <v>F35C-061</v>
      </c>
      <c r="AK2977" s="662" t="str">
        <f t="shared" si="322"/>
        <v>LTK</v>
      </c>
      <c r="AL2977" s="662" t="str">
        <f t="shared" si="323"/>
        <v>FRD</v>
      </c>
      <c r="AM2977" s="662" t="str">
        <f t="shared" si="326"/>
        <v>F350 Chassis Cab-Super Cab XL SRW-2WD-6-~-12900-6.2L FFV-8-X3E-630A-168-40-E85-Unleaded</v>
      </c>
      <c r="AN2977" s="662" t="str">
        <f t="shared" si="324"/>
        <v>2019-LTK-FRD-F35C-061</v>
      </c>
    </row>
    <row r="2978" spans="1:40" ht="15">
      <c r="A2978" s="570" t="s">
        <v>5125</v>
      </c>
      <c r="B2978" s="569" t="s">
        <v>5123</v>
      </c>
      <c r="C2978" s="569" t="s">
        <v>278</v>
      </c>
      <c r="D2978" s="580">
        <v>15</v>
      </c>
      <c r="E2978" s="569" t="s">
        <v>3374</v>
      </c>
      <c r="F2978" s="569" t="s">
        <v>1684</v>
      </c>
      <c r="G2978" s="569" t="s">
        <v>271</v>
      </c>
      <c r="H2978" s="569">
        <v>2019</v>
      </c>
      <c r="I2978" s="569" t="s">
        <v>4879</v>
      </c>
      <c r="J2978" s="569" t="s">
        <v>5120</v>
      </c>
      <c r="K2978" s="569" t="s">
        <v>3377</v>
      </c>
      <c r="L2978" s="569">
        <v>6</v>
      </c>
      <c r="M2978" s="569">
        <v>0</v>
      </c>
      <c r="N2978" s="569" t="s">
        <v>157</v>
      </c>
      <c r="O2978" s="569">
        <v>2</v>
      </c>
      <c r="P2978" s="569" t="s">
        <v>157</v>
      </c>
      <c r="Q2978" s="568">
        <v>12900</v>
      </c>
      <c r="R2978" s="569" t="s">
        <v>4231</v>
      </c>
      <c r="S2978" s="569">
        <v>8</v>
      </c>
      <c r="T2978" s="569" t="s">
        <v>5121</v>
      </c>
      <c r="U2978" s="569" t="s">
        <v>4905</v>
      </c>
      <c r="V2978" s="569">
        <v>168</v>
      </c>
      <c r="W2978" s="569">
        <v>40</v>
      </c>
      <c r="X2978" s="568">
        <v>11500</v>
      </c>
      <c r="Y2978" s="569" t="s">
        <v>164</v>
      </c>
      <c r="Z2978" s="581" t="s">
        <v>728</v>
      </c>
      <c r="AA2978" s="581" t="s">
        <v>1523</v>
      </c>
      <c r="AB2978" s="585">
        <v>46600</v>
      </c>
      <c r="AC2978" s="585" t="s">
        <v>164</v>
      </c>
      <c r="AD2978" s="585">
        <v>36700</v>
      </c>
      <c r="AE2978" s="587">
        <v>0.01</v>
      </c>
      <c r="AF2978" s="661" t="str">
        <f t="shared" si="325"/>
        <v>2019-LTK-FRD-F35C-062-15</v>
      </c>
      <c r="AG2978" s="661" t="str">
        <f>IF(AND($Y2978&gt;=32,(AI2978="I"),(Y2978&lt;&gt;"~"),(COUNTIF($AN$1:$AN2978,$AN2978)=1)),"TRUE","FALSE")</f>
        <v>FALSE</v>
      </c>
      <c r="AH2978" s="661" t="str">
        <f>IF(AND($Y2978&gt;=22, (AI2978&lt;&gt;"I"),(Y2978&lt;&gt;"~"),(COUNTIF($AN$1:$AN2978,$AN2978)=1)),"TRUE","FALSE")</f>
        <v>FALSE</v>
      </c>
      <c r="AI2978" s="661" t="str">
        <f t="shared" si="327"/>
        <v>N/A</v>
      </c>
      <c r="AJ2978" s="662" t="str">
        <f t="shared" si="321"/>
        <v>F35C-062</v>
      </c>
      <c r="AK2978" s="662" t="str">
        <f t="shared" si="322"/>
        <v>LTK</v>
      </c>
      <c r="AL2978" s="662" t="str">
        <f t="shared" si="323"/>
        <v>FRD</v>
      </c>
      <c r="AM2978" s="662" t="str">
        <f t="shared" si="326"/>
        <v>F350 Chassis Cab-Super Cab XL SRW-2WD-6-~-12900-6.7L Diesel-8-X3E-630A-168-40-Diesel-BioDiesel</v>
      </c>
      <c r="AN2978" s="662" t="str">
        <f t="shared" si="324"/>
        <v>2019-LTK-FRD-F35C-062</v>
      </c>
    </row>
    <row r="2979" spans="1:40" ht="15">
      <c r="A2979" s="570" t="s">
        <v>5126</v>
      </c>
      <c r="B2979" s="573" t="s">
        <v>5119</v>
      </c>
      <c r="C2979" s="573" t="s">
        <v>287</v>
      </c>
      <c r="D2979" s="578">
        <v>26</v>
      </c>
      <c r="E2979" s="573" t="s">
        <v>3374</v>
      </c>
      <c r="F2979" s="573" t="s">
        <v>1684</v>
      </c>
      <c r="G2979" s="573" t="s">
        <v>271</v>
      </c>
      <c r="H2979" s="573">
        <v>2019</v>
      </c>
      <c r="I2979" s="573" t="s">
        <v>4879</v>
      </c>
      <c r="J2979" s="573" t="s">
        <v>5120</v>
      </c>
      <c r="K2979" s="573" t="s">
        <v>3377</v>
      </c>
      <c r="L2979" s="573">
        <v>6</v>
      </c>
      <c r="M2979" s="573">
        <v>0</v>
      </c>
      <c r="N2979" s="573" t="s">
        <v>157</v>
      </c>
      <c r="O2979" s="573">
        <v>2</v>
      </c>
      <c r="P2979" s="573" t="s">
        <v>157</v>
      </c>
      <c r="Q2979" s="571">
        <v>12900</v>
      </c>
      <c r="R2979" s="573" t="s">
        <v>4235</v>
      </c>
      <c r="S2979" s="573">
        <v>8</v>
      </c>
      <c r="T2979" s="573" t="s">
        <v>5121</v>
      </c>
      <c r="U2979" s="573" t="s">
        <v>4905</v>
      </c>
      <c r="V2979" s="573">
        <v>168</v>
      </c>
      <c r="W2979" s="573">
        <v>40</v>
      </c>
      <c r="X2979" s="571">
        <v>10900</v>
      </c>
      <c r="Y2979" s="569" t="s">
        <v>164</v>
      </c>
      <c r="Z2979" s="579" t="s">
        <v>450</v>
      </c>
      <c r="AA2979" s="579" t="s">
        <v>178</v>
      </c>
      <c r="AB2979" s="584">
        <v>37115</v>
      </c>
      <c r="AC2979" s="584" t="s">
        <v>164</v>
      </c>
      <c r="AD2979" s="584">
        <v>28569</v>
      </c>
      <c r="AE2979" s="586">
        <v>0.05</v>
      </c>
      <c r="AF2979" s="661" t="str">
        <f t="shared" si="325"/>
        <v>2019-LTK-FRD-F35C-061-26</v>
      </c>
      <c r="AG2979" s="661" t="str">
        <f>IF(AND($Y2979&gt;=32,(AI2979="I"),(Y2979&lt;&gt;"~"),(COUNTIF($AN$1:$AN2979,$AN2979)=1)),"TRUE","FALSE")</f>
        <v>FALSE</v>
      </c>
      <c r="AH2979" s="661" t="str">
        <f>IF(AND($Y2979&gt;=22, (AI2979&lt;&gt;"I"),(Y2979&lt;&gt;"~"),(COUNTIF($AN$1:$AN2979,$AN2979)=1)),"TRUE","FALSE")</f>
        <v>FALSE</v>
      </c>
      <c r="AI2979" s="661" t="str">
        <f t="shared" si="327"/>
        <v>N/A</v>
      </c>
      <c r="AJ2979" s="662" t="str">
        <f t="shared" si="321"/>
        <v>F35C-061</v>
      </c>
      <c r="AK2979" s="662" t="str">
        <f t="shared" si="322"/>
        <v>LTK</v>
      </c>
      <c r="AL2979" s="662" t="str">
        <f t="shared" si="323"/>
        <v>FRD</v>
      </c>
      <c r="AM2979" s="662" t="str">
        <f t="shared" si="326"/>
        <v>F350 Chassis Cab-Super Cab XL SRW-2WD-6-~-12900-6.2L FFV-8-X3E-630A-168-40-E85-Unleaded</v>
      </c>
      <c r="AN2979" s="662" t="str">
        <f t="shared" si="324"/>
        <v>2019-LTK-FRD-F35C-061</v>
      </c>
    </row>
    <row r="2980" spans="1:40" ht="15">
      <c r="A2980" s="570" t="s">
        <v>5127</v>
      </c>
      <c r="B2980" s="569" t="s">
        <v>5123</v>
      </c>
      <c r="C2980" s="569" t="s">
        <v>287</v>
      </c>
      <c r="D2980" s="580">
        <v>26</v>
      </c>
      <c r="E2980" s="569" t="s">
        <v>3374</v>
      </c>
      <c r="F2980" s="569" t="s">
        <v>1684</v>
      </c>
      <c r="G2980" s="569" t="s">
        <v>271</v>
      </c>
      <c r="H2980" s="569">
        <v>2019</v>
      </c>
      <c r="I2980" s="569" t="s">
        <v>4879</v>
      </c>
      <c r="J2980" s="569" t="s">
        <v>5120</v>
      </c>
      <c r="K2980" s="569" t="s">
        <v>3377</v>
      </c>
      <c r="L2980" s="569">
        <v>6</v>
      </c>
      <c r="M2980" s="569">
        <v>0</v>
      </c>
      <c r="N2980" s="569" t="s">
        <v>157</v>
      </c>
      <c r="O2980" s="569">
        <v>2</v>
      </c>
      <c r="P2980" s="569" t="s">
        <v>157</v>
      </c>
      <c r="Q2980" s="568">
        <v>12900</v>
      </c>
      <c r="R2980" s="569" t="s">
        <v>4231</v>
      </c>
      <c r="S2980" s="569">
        <v>8</v>
      </c>
      <c r="T2980" s="569" t="s">
        <v>5121</v>
      </c>
      <c r="U2980" s="569" t="s">
        <v>4905</v>
      </c>
      <c r="V2980" s="569">
        <v>168</v>
      </c>
      <c r="W2980" s="569">
        <v>40</v>
      </c>
      <c r="X2980" s="568">
        <v>11500</v>
      </c>
      <c r="Y2980" s="569" t="s">
        <v>164</v>
      </c>
      <c r="Z2980" s="581" t="s">
        <v>728</v>
      </c>
      <c r="AA2980" s="581" t="s">
        <v>1523</v>
      </c>
      <c r="AB2980" s="585">
        <v>46110</v>
      </c>
      <c r="AC2980" s="585" t="s">
        <v>164</v>
      </c>
      <c r="AD2980" s="585">
        <v>36763</v>
      </c>
      <c r="AE2980" s="587">
        <v>0.05</v>
      </c>
      <c r="AF2980" s="661" t="str">
        <f t="shared" si="325"/>
        <v>2019-LTK-FRD-F35C-062-26</v>
      </c>
      <c r="AG2980" s="661" t="str">
        <f>IF(AND($Y2980&gt;=32,(AI2980="I"),(Y2980&lt;&gt;"~"),(COUNTIF($AN$1:$AN2980,$AN2980)=1)),"TRUE","FALSE")</f>
        <v>FALSE</v>
      </c>
      <c r="AH2980" s="661" t="str">
        <f>IF(AND($Y2980&gt;=22, (AI2980&lt;&gt;"I"),(Y2980&lt;&gt;"~"),(COUNTIF($AN$1:$AN2980,$AN2980)=1)),"TRUE","FALSE")</f>
        <v>FALSE</v>
      </c>
      <c r="AI2980" s="661" t="str">
        <f t="shared" si="327"/>
        <v>N/A</v>
      </c>
      <c r="AJ2980" s="662" t="str">
        <f t="shared" si="321"/>
        <v>F35C-062</v>
      </c>
      <c r="AK2980" s="662" t="str">
        <f t="shared" si="322"/>
        <v>LTK</v>
      </c>
      <c r="AL2980" s="662" t="str">
        <f t="shared" si="323"/>
        <v>FRD</v>
      </c>
      <c r="AM2980" s="662" t="str">
        <f t="shared" si="326"/>
        <v>F350 Chassis Cab-Super Cab XL SRW-2WD-6-~-12900-6.7L Diesel-8-X3E-630A-168-40-Diesel-BioDiesel</v>
      </c>
      <c r="AN2980" s="662" t="str">
        <f t="shared" si="324"/>
        <v>2019-LTK-FRD-F35C-062</v>
      </c>
    </row>
    <row r="2981" spans="1:40" ht="15">
      <c r="A2981" s="570" t="s">
        <v>5128</v>
      </c>
      <c r="B2981" s="573" t="s">
        <v>5119</v>
      </c>
      <c r="C2981" s="573" t="s">
        <v>280</v>
      </c>
      <c r="D2981" s="578">
        <v>27</v>
      </c>
      <c r="E2981" s="573" t="s">
        <v>3374</v>
      </c>
      <c r="F2981" s="573" t="s">
        <v>1684</v>
      </c>
      <c r="G2981" s="573" t="s">
        <v>271</v>
      </c>
      <c r="H2981" s="573">
        <v>2019</v>
      </c>
      <c r="I2981" s="573" t="s">
        <v>4879</v>
      </c>
      <c r="J2981" s="573" t="s">
        <v>5120</v>
      </c>
      <c r="K2981" s="573" t="s">
        <v>3377</v>
      </c>
      <c r="L2981" s="573">
        <v>6</v>
      </c>
      <c r="M2981" s="573">
        <v>0</v>
      </c>
      <c r="N2981" s="573" t="s">
        <v>157</v>
      </c>
      <c r="O2981" s="573">
        <v>2</v>
      </c>
      <c r="P2981" s="573" t="s">
        <v>157</v>
      </c>
      <c r="Q2981" s="571">
        <v>12800</v>
      </c>
      <c r="R2981" s="573" t="s">
        <v>4235</v>
      </c>
      <c r="S2981" s="573">
        <v>8</v>
      </c>
      <c r="T2981" s="573" t="s">
        <v>5121</v>
      </c>
      <c r="U2981" s="573" t="s">
        <v>4905</v>
      </c>
      <c r="V2981" s="573">
        <v>168</v>
      </c>
      <c r="W2981" s="573">
        <v>40</v>
      </c>
      <c r="X2981" s="571">
        <v>10900</v>
      </c>
      <c r="Y2981" s="569" t="s">
        <v>164</v>
      </c>
      <c r="Z2981" s="579" t="s">
        <v>450</v>
      </c>
      <c r="AA2981" s="579" t="s">
        <v>178</v>
      </c>
      <c r="AB2981" s="584">
        <v>37480</v>
      </c>
      <c r="AC2981" s="584" t="s">
        <v>164</v>
      </c>
      <c r="AD2981" s="584">
        <v>28314.442105263159</v>
      </c>
      <c r="AE2981" s="586">
        <v>0.03</v>
      </c>
      <c r="AF2981" s="661" t="str">
        <f t="shared" si="325"/>
        <v>2019-LTK-FRD-F35C-061-27</v>
      </c>
      <c r="AG2981" s="661" t="str">
        <f>IF(AND($Y2981&gt;=32,(AI2981="I"),(Y2981&lt;&gt;"~"),(COUNTIF($AN$1:$AN2981,$AN2981)=1)),"TRUE","FALSE")</f>
        <v>FALSE</v>
      </c>
      <c r="AH2981" s="661" t="str">
        <f>IF(AND($Y2981&gt;=22, (AI2981&lt;&gt;"I"),(Y2981&lt;&gt;"~"),(COUNTIF($AN$1:$AN2981,$AN2981)=1)),"TRUE","FALSE")</f>
        <v>FALSE</v>
      </c>
      <c r="AI2981" s="661" t="str">
        <f t="shared" si="327"/>
        <v>N/A</v>
      </c>
      <c r="AJ2981" s="662" t="str">
        <f t="shared" si="321"/>
        <v>F35C-061</v>
      </c>
      <c r="AK2981" s="662" t="str">
        <f t="shared" si="322"/>
        <v>LTK</v>
      </c>
      <c r="AL2981" s="662" t="str">
        <f t="shared" si="323"/>
        <v>FRD</v>
      </c>
      <c r="AM2981" s="662" t="str">
        <f t="shared" si="326"/>
        <v>F350 Chassis Cab-Super Cab XL SRW-2WD-6-~-12800-6.2L FFV-8-X3E-630A-168-40-E85-Unleaded</v>
      </c>
      <c r="AN2981" s="662" t="str">
        <f t="shared" si="324"/>
        <v>2019-LTK-FRD-F35C-061</v>
      </c>
    </row>
    <row r="2982" spans="1:40" ht="15">
      <c r="A2982" s="570" t="s">
        <v>5129</v>
      </c>
      <c r="B2982" s="569" t="s">
        <v>5123</v>
      </c>
      <c r="C2982" s="569" t="s">
        <v>280</v>
      </c>
      <c r="D2982" s="580">
        <v>27</v>
      </c>
      <c r="E2982" s="569" t="s">
        <v>3374</v>
      </c>
      <c r="F2982" s="569" t="s">
        <v>1684</v>
      </c>
      <c r="G2982" s="569" t="s">
        <v>271</v>
      </c>
      <c r="H2982" s="569">
        <v>2019</v>
      </c>
      <c r="I2982" s="569" t="s">
        <v>4879</v>
      </c>
      <c r="J2982" s="569" t="s">
        <v>5120</v>
      </c>
      <c r="K2982" s="569" t="s">
        <v>3377</v>
      </c>
      <c r="L2982" s="569">
        <v>6</v>
      </c>
      <c r="M2982" s="569">
        <v>0</v>
      </c>
      <c r="N2982" s="569" t="s">
        <v>157</v>
      </c>
      <c r="O2982" s="569">
        <v>2</v>
      </c>
      <c r="P2982" s="569" t="s">
        <v>157</v>
      </c>
      <c r="Q2982" s="568">
        <v>12800</v>
      </c>
      <c r="R2982" s="569" t="s">
        <v>4231</v>
      </c>
      <c r="S2982" s="569">
        <v>8</v>
      </c>
      <c r="T2982" s="569" t="s">
        <v>5121</v>
      </c>
      <c r="U2982" s="569" t="s">
        <v>4905</v>
      </c>
      <c r="V2982" s="569">
        <v>168</v>
      </c>
      <c r="W2982" s="569">
        <v>40</v>
      </c>
      <c r="X2982" s="568">
        <v>11500</v>
      </c>
      <c r="Y2982" s="569" t="s">
        <v>164</v>
      </c>
      <c r="Z2982" s="581" t="s">
        <v>728</v>
      </c>
      <c r="AA2982" s="581" t="s">
        <v>1523</v>
      </c>
      <c r="AB2982" s="585">
        <v>46600</v>
      </c>
      <c r="AC2982" s="585" t="s">
        <v>164</v>
      </c>
      <c r="AD2982" s="585">
        <v>36506.631578947374</v>
      </c>
      <c r="AE2982" s="587">
        <v>0.03</v>
      </c>
      <c r="AF2982" s="661" t="str">
        <f t="shared" si="325"/>
        <v>2019-LTK-FRD-F35C-062-27</v>
      </c>
      <c r="AG2982" s="661" t="str">
        <f>IF(AND($Y2982&gt;=32,(AI2982="I"),(Y2982&lt;&gt;"~"),(COUNTIF($AN$1:$AN2982,$AN2982)=1)),"TRUE","FALSE")</f>
        <v>FALSE</v>
      </c>
      <c r="AH2982" s="661" t="str">
        <f>IF(AND($Y2982&gt;=22, (AI2982&lt;&gt;"I"),(Y2982&lt;&gt;"~"),(COUNTIF($AN$1:$AN2982,$AN2982)=1)),"TRUE","FALSE")</f>
        <v>FALSE</v>
      </c>
      <c r="AI2982" s="661" t="str">
        <f t="shared" si="327"/>
        <v>N/A</v>
      </c>
      <c r="AJ2982" s="662" t="str">
        <f t="shared" si="321"/>
        <v>F35C-062</v>
      </c>
      <c r="AK2982" s="662" t="str">
        <f t="shared" si="322"/>
        <v>LTK</v>
      </c>
      <c r="AL2982" s="662" t="str">
        <f t="shared" si="323"/>
        <v>FRD</v>
      </c>
      <c r="AM2982" s="662" t="str">
        <f t="shared" si="326"/>
        <v>F350 Chassis Cab-Super Cab XL SRW-2WD-6-~-12800-6.7L Diesel-8-X3E-630A-168-40-Diesel-BioDiesel</v>
      </c>
      <c r="AN2982" s="662" t="str">
        <f t="shared" si="324"/>
        <v>2019-LTK-FRD-F35C-062</v>
      </c>
    </row>
    <row r="2983" spans="1:40" ht="15">
      <c r="A2983" s="570" t="s">
        <v>5130</v>
      </c>
      <c r="B2983" s="573" t="s">
        <v>5131</v>
      </c>
      <c r="C2983" s="573" t="s">
        <v>269</v>
      </c>
      <c r="D2983" s="578" t="s">
        <v>270</v>
      </c>
      <c r="E2983" s="573" t="s">
        <v>3374</v>
      </c>
      <c r="F2983" s="573" t="s">
        <v>1684</v>
      </c>
      <c r="G2983" s="573" t="s">
        <v>271</v>
      </c>
      <c r="H2983" s="573">
        <v>2019</v>
      </c>
      <c r="I2983" s="573" t="s">
        <v>4879</v>
      </c>
      <c r="J2983" s="573" t="s">
        <v>5120</v>
      </c>
      <c r="K2983" s="573" t="s">
        <v>752</v>
      </c>
      <c r="L2983" s="573">
        <v>6</v>
      </c>
      <c r="M2983" s="573">
        <v>0</v>
      </c>
      <c r="N2983" s="573" t="s">
        <v>157</v>
      </c>
      <c r="O2983" s="573">
        <v>2</v>
      </c>
      <c r="P2983" s="573" t="s">
        <v>157</v>
      </c>
      <c r="Q2983" s="571">
        <v>12200</v>
      </c>
      <c r="R2983" s="573" t="s">
        <v>4235</v>
      </c>
      <c r="S2983" s="573">
        <v>8</v>
      </c>
      <c r="T2983" s="573" t="s">
        <v>5132</v>
      </c>
      <c r="U2983" s="573" t="s">
        <v>4905</v>
      </c>
      <c r="V2983" s="573">
        <v>168</v>
      </c>
      <c r="W2983" s="573">
        <v>40</v>
      </c>
      <c r="X2983" s="571">
        <v>11300</v>
      </c>
      <c r="Y2983" s="569" t="s">
        <v>164</v>
      </c>
      <c r="Z2983" s="579" t="s">
        <v>450</v>
      </c>
      <c r="AA2983" s="579" t="s">
        <v>178</v>
      </c>
      <c r="AB2983" s="584">
        <v>40980</v>
      </c>
      <c r="AC2983" s="584" t="s">
        <v>164</v>
      </c>
      <c r="AD2983" s="584">
        <v>31548.126315789475</v>
      </c>
      <c r="AE2983" s="586">
        <v>0.03</v>
      </c>
      <c r="AF2983" s="661" t="str">
        <f t="shared" si="325"/>
        <v>2019-LTK-FRD-F35C-063-05</v>
      </c>
      <c r="AG2983" s="661" t="str">
        <f>IF(AND($Y2983&gt;=32,(AI2983="I"),(Y2983&lt;&gt;"~"),(COUNTIF($AN$1:$AN2983,$AN2983)=1)),"TRUE","FALSE")</f>
        <v>FALSE</v>
      </c>
      <c r="AH2983" s="661" t="str">
        <f>IF(AND($Y2983&gt;=22, (AI2983&lt;&gt;"I"),(Y2983&lt;&gt;"~"),(COUNTIF($AN$1:$AN2983,$AN2983)=1)),"TRUE","FALSE")</f>
        <v>TRUE</v>
      </c>
      <c r="AI2983" s="661" t="str">
        <f t="shared" si="327"/>
        <v>N/A</v>
      </c>
      <c r="AJ2983" s="662" t="str">
        <f t="shared" si="321"/>
        <v>F35C-063</v>
      </c>
      <c r="AK2983" s="662" t="str">
        <f t="shared" si="322"/>
        <v>LTK</v>
      </c>
      <c r="AL2983" s="662" t="str">
        <f t="shared" si="323"/>
        <v>FRD</v>
      </c>
      <c r="AM2983" s="662" t="str">
        <f t="shared" si="326"/>
        <v>F350 Chassis Cab-Super Cab XL SRW-4WD-6-~-12200-6.2L FFV-8-X3F-630A-168-40-E85-Unleaded</v>
      </c>
      <c r="AN2983" s="662" t="str">
        <f t="shared" si="324"/>
        <v>2019-LTK-FRD-F35C-063</v>
      </c>
    </row>
    <row r="2984" spans="1:40" ht="15">
      <c r="A2984" s="570" t="s">
        <v>5133</v>
      </c>
      <c r="B2984" s="569" t="s">
        <v>5134</v>
      </c>
      <c r="C2984" s="569" t="s">
        <v>269</v>
      </c>
      <c r="D2984" s="580" t="s">
        <v>270</v>
      </c>
      <c r="E2984" s="569" t="s">
        <v>3374</v>
      </c>
      <c r="F2984" s="569" t="s">
        <v>1684</v>
      </c>
      <c r="G2984" s="569" t="s">
        <v>271</v>
      </c>
      <c r="H2984" s="569">
        <v>2019</v>
      </c>
      <c r="I2984" s="569" t="s">
        <v>4879</v>
      </c>
      <c r="J2984" s="569" t="s">
        <v>5120</v>
      </c>
      <c r="K2984" s="569" t="s">
        <v>752</v>
      </c>
      <c r="L2984" s="569">
        <v>6</v>
      </c>
      <c r="M2984" s="569">
        <v>0</v>
      </c>
      <c r="N2984" s="569" t="s">
        <v>157</v>
      </c>
      <c r="O2984" s="569">
        <v>2</v>
      </c>
      <c r="P2984" s="569" t="s">
        <v>157</v>
      </c>
      <c r="Q2984" s="568">
        <v>12400</v>
      </c>
      <c r="R2984" s="569" t="s">
        <v>4235</v>
      </c>
      <c r="S2984" s="569">
        <v>8</v>
      </c>
      <c r="T2984" s="569" t="s">
        <v>5132</v>
      </c>
      <c r="U2984" s="569" t="s">
        <v>4905</v>
      </c>
      <c r="V2984" s="569">
        <v>168</v>
      </c>
      <c r="W2984" s="569">
        <v>40</v>
      </c>
      <c r="X2984" s="568">
        <v>11300</v>
      </c>
      <c r="Y2984" s="569" t="s">
        <v>164</v>
      </c>
      <c r="Z2984" s="581" t="s">
        <v>450</v>
      </c>
      <c r="AA2984" s="581" t="s">
        <v>178</v>
      </c>
      <c r="AB2984" s="585">
        <v>40980</v>
      </c>
      <c r="AC2984" s="585" t="s">
        <v>164</v>
      </c>
      <c r="AD2984" s="585">
        <v>31548.126315789475</v>
      </c>
      <c r="AE2984" s="587">
        <v>0.03</v>
      </c>
      <c r="AF2984" s="661" t="str">
        <f t="shared" si="325"/>
        <v>2019-LTK-FRD-F35C-064-05</v>
      </c>
      <c r="AG2984" s="661" t="str">
        <f>IF(AND($Y2984&gt;=32,(AI2984="I"),(Y2984&lt;&gt;"~"),(COUNTIF($AN$1:$AN2984,$AN2984)=1)),"TRUE","FALSE")</f>
        <v>FALSE</v>
      </c>
      <c r="AH2984" s="661" t="str">
        <f>IF(AND($Y2984&gt;=22, (AI2984&lt;&gt;"I"),(Y2984&lt;&gt;"~"),(COUNTIF($AN$1:$AN2984,$AN2984)=1)),"TRUE","FALSE")</f>
        <v>TRUE</v>
      </c>
      <c r="AI2984" s="661" t="str">
        <f t="shared" si="327"/>
        <v>N/A</v>
      </c>
      <c r="AJ2984" s="662" t="str">
        <f t="shared" si="321"/>
        <v>F35C-064</v>
      </c>
      <c r="AK2984" s="662" t="str">
        <f t="shared" si="322"/>
        <v>LTK</v>
      </c>
      <c r="AL2984" s="662" t="str">
        <f t="shared" si="323"/>
        <v>FRD</v>
      </c>
      <c r="AM2984" s="662" t="str">
        <f t="shared" si="326"/>
        <v>F350 Chassis Cab-Super Cab XL SRW-4WD-6-~-12400-6.2L FFV-8-X3F-630A-168-40-E85-Unleaded</v>
      </c>
      <c r="AN2984" s="662" t="str">
        <f t="shared" si="324"/>
        <v>2019-LTK-FRD-F35C-064</v>
      </c>
    </row>
    <row r="2985" spans="1:40" ht="15">
      <c r="A2985" s="570" t="s">
        <v>5135</v>
      </c>
      <c r="B2985" s="573" t="s">
        <v>5136</v>
      </c>
      <c r="C2985" s="573" t="s">
        <v>269</v>
      </c>
      <c r="D2985" s="578" t="s">
        <v>270</v>
      </c>
      <c r="E2985" s="573" t="s">
        <v>3374</v>
      </c>
      <c r="F2985" s="573" t="s">
        <v>1684</v>
      </c>
      <c r="G2985" s="573" t="s">
        <v>271</v>
      </c>
      <c r="H2985" s="573">
        <v>2019</v>
      </c>
      <c r="I2985" s="573" t="s">
        <v>4879</v>
      </c>
      <c r="J2985" s="573" t="s">
        <v>5120</v>
      </c>
      <c r="K2985" s="573" t="s">
        <v>752</v>
      </c>
      <c r="L2985" s="573">
        <v>6</v>
      </c>
      <c r="M2985" s="573">
        <v>0</v>
      </c>
      <c r="N2985" s="573" t="s">
        <v>157</v>
      </c>
      <c r="O2985" s="573">
        <v>2</v>
      </c>
      <c r="P2985" s="573" t="s">
        <v>157</v>
      </c>
      <c r="Q2985" s="571">
        <v>12400</v>
      </c>
      <c r="R2985" s="573" t="s">
        <v>4231</v>
      </c>
      <c r="S2985" s="573">
        <v>8</v>
      </c>
      <c r="T2985" s="573" t="s">
        <v>5132</v>
      </c>
      <c r="U2985" s="573" t="s">
        <v>4905</v>
      </c>
      <c r="V2985" s="573">
        <v>168</v>
      </c>
      <c r="W2985" s="573">
        <v>40</v>
      </c>
      <c r="X2985" s="571">
        <v>11500</v>
      </c>
      <c r="Y2985" s="569" t="s">
        <v>164</v>
      </c>
      <c r="Z2985" s="579" t="s">
        <v>728</v>
      </c>
      <c r="AA2985" s="579" t="s">
        <v>1523</v>
      </c>
      <c r="AB2985" s="584">
        <v>50100</v>
      </c>
      <c r="AC2985" s="584" t="s">
        <v>164</v>
      </c>
      <c r="AD2985" s="584">
        <v>39740.315789473687</v>
      </c>
      <c r="AE2985" s="586">
        <v>0.03</v>
      </c>
      <c r="AF2985" s="661" t="str">
        <f t="shared" si="325"/>
        <v>2019-LTK-FRD-F35C-065-05</v>
      </c>
      <c r="AG2985" s="661" t="str">
        <f>IF(AND($Y2985&gt;=32,(AI2985="I"),(Y2985&lt;&gt;"~"),(COUNTIF($AN$1:$AN2985,$AN2985)=1)),"TRUE","FALSE")</f>
        <v>FALSE</v>
      </c>
      <c r="AH2985" s="661" t="str">
        <f>IF(AND($Y2985&gt;=22, (AI2985&lt;&gt;"I"),(Y2985&lt;&gt;"~"),(COUNTIF($AN$1:$AN2985,$AN2985)=1)),"TRUE","FALSE")</f>
        <v>TRUE</v>
      </c>
      <c r="AI2985" s="661" t="str">
        <f t="shared" si="327"/>
        <v>N/A</v>
      </c>
      <c r="AJ2985" s="662" t="str">
        <f t="shared" si="321"/>
        <v>F35C-065</v>
      </c>
      <c r="AK2985" s="662" t="str">
        <f t="shared" si="322"/>
        <v>LTK</v>
      </c>
      <c r="AL2985" s="662" t="str">
        <f t="shared" si="323"/>
        <v>FRD</v>
      </c>
      <c r="AM2985" s="662" t="str">
        <f t="shared" si="326"/>
        <v>F350 Chassis Cab-Super Cab XL SRW-4WD-6-~-12400-6.7L Diesel-8-X3F-630A-168-40-Diesel-BioDiesel</v>
      </c>
      <c r="AN2985" s="662" t="str">
        <f t="shared" si="324"/>
        <v>2019-LTK-FRD-F35C-065</v>
      </c>
    </row>
    <row r="2986" spans="1:40" ht="15">
      <c r="A2986" s="570" t="s">
        <v>5137</v>
      </c>
      <c r="B2986" s="569" t="s">
        <v>5134</v>
      </c>
      <c r="C2986" s="569" t="s">
        <v>278</v>
      </c>
      <c r="D2986" s="580">
        <v>15</v>
      </c>
      <c r="E2986" s="569" t="s">
        <v>3374</v>
      </c>
      <c r="F2986" s="569" t="s">
        <v>1684</v>
      </c>
      <c r="G2986" s="569" t="s">
        <v>271</v>
      </c>
      <c r="H2986" s="569">
        <v>2019</v>
      </c>
      <c r="I2986" s="569" t="s">
        <v>4879</v>
      </c>
      <c r="J2986" s="569" t="s">
        <v>5120</v>
      </c>
      <c r="K2986" s="569" t="s">
        <v>752</v>
      </c>
      <c r="L2986" s="569">
        <v>6</v>
      </c>
      <c r="M2986" s="569">
        <v>0</v>
      </c>
      <c r="N2986" s="569" t="s">
        <v>157</v>
      </c>
      <c r="O2986" s="569">
        <v>2</v>
      </c>
      <c r="P2986" s="569" t="s">
        <v>157</v>
      </c>
      <c r="Q2986" s="568">
        <v>12400</v>
      </c>
      <c r="R2986" s="569" t="s">
        <v>4235</v>
      </c>
      <c r="S2986" s="569">
        <v>8</v>
      </c>
      <c r="T2986" s="569" t="s">
        <v>5132</v>
      </c>
      <c r="U2986" s="569" t="s">
        <v>4905</v>
      </c>
      <c r="V2986" s="569">
        <v>168</v>
      </c>
      <c r="W2986" s="569">
        <v>40</v>
      </c>
      <c r="X2986" s="568">
        <v>11300</v>
      </c>
      <c r="Y2986" s="569" t="s">
        <v>164</v>
      </c>
      <c r="Z2986" s="581" t="s">
        <v>450</v>
      </c>
      <c r="AA2986" s="581" t="s">
        <v>178</v>
      </c>
      <c r="AB2986" s="585">
        <v>40980</v>
      </c>
      <c r="AC2986" s="585" t="s">
        <v>164</v>
      </c>
      <c r="AD2986" s="585">
        <v>31700</v>
      </c>
      <c r="AE2986" s="587">
        <v>0.01</v>
      </c>
      <c r="AF2986" s="661" t="str">
        <f t="shared" si="325"/>
        <v>2019-LTK-FRD-F35C-064-15</v>
      </c>
      <c r="AG2986" s="661" t="str">
        <f>IF(AND($Y2986&gt;=32,(AI2986="I"),(Y2986&lt;&gt;"~"),(COUNTIF($AN$1:$AN2986,$AN2986)=1)),"TRUE","FALSE")</f>
        <v>FALSE</v>
      </c>
      <c r="AH2986" s="661" t="str">
        <f>IF(AND($Y2986&gt;=22, (AI2986&lt;&gt;"I"),(Y2986&lt;&gt;"~"),(COUNTIF($AN$1:$AN2986,$AN2986)=1)),"TRUE","FALSE")</f>
        <v>FALSE</v>
      </c>
      <c r="AI2986" s="661" t="str">
        <f t="shared" si="327"/>
        <v>N/A</v>
      </c>
      <c r="AJ2986" s="662" t="str">
        <f t="shared" si="321"/>
        <v>F35C-064</v>
      </c>
      <c r="AK2986" s="662" t="str">
        <f t="shared" si="322"/>
        <v>LTK</v>
      </c>
      <c r="AL2986" s="662" t="str">
        <f t="shared" si="323"/>
        <v>FRD</v>
      </c>
      <c r="AM2986" s="662" t="str">
        <f t="shared" si="326"/>
        <v>F350 Chassis Cab-Super Cab XL SRW-4WD-6-~-12400-6.2L FFV-8-X3F-630A-168-40-E85-Unleaded</v>
      </c>
      <c r="AN2986" s="662" t="str">
        <f t="shared" si="324"/>
        <v>2019-LTK-FRD-F35C-064</v>
      </c>
    </row>
    <row r="2987" spans="1:40" ht="15">
      <c r="A2987" s="570" t="s">
        <v>5138</v>
      </c>
      <c r="B2987" s="573" t="s">
        <v>5136</v>
      </c>
      <c r="C2987" s="573" t="s">
        <v>278</v>
      </c>
      <c r="D2987" s="578">
        <v>15</v>
      </c>
      <c r="E2987" s="573" t="s">
        <v>3374</v>
      </c>
      <c r="F2987" s="573" t="s">
        <v>1684</v>
      </c>
      <c r="G2987" s="573" t="s">
        <v>271</v>
      </c>
      <c r="H2987" s="573">
        <v>2019</v>
      </c>
      <c r="I2987" s="573" t="s">
        <v>4879</v>
      </c>
      <c r="J2987" s="573" t="s">
        <v>5120</v>
      </c>
      <c r="K2987" s="573" t="s">
        <v>752</v>
      </c>
      <c r="L2987" s="573">
        <v>6</v>
      </c>
      <c r="M2987" s="573">
        <v>0</v>
      </c>
      <c r="N2987" s="573" t="s">
        <v>157</v>
      </c>
      <c r="O2987" s="573">
        <v>2</v>
      </c>
      <c r="P2987" s="573" t="s">
        <v>157</v>
      </c>
      <c r="Q2987" s="571">
        <v>12400</v>
      </c>
      <c r="R2987" s="573" t="s">
        <v>4231</v>
      </c>
      <c r="S2987" s="573">
        <v>8</v>
      </c>
      <c r="T2987" s="573" t="s">
        <v>5132</v>
      </c>
      <c r="U2987" s="573" t="s">
        <v>4905</v>
      </c>
      <c r="V2987" s="573">
        <v>168</v>
      </c>
      <c r="W2987" s="573">
        <v>40</v>
      </c>
      <c r="X2987" s="571">
        <v>11500</v>
      </c>
      <c r="Y2987" s="569" t="s">
        <v>164</v>
      </c>
      <c r="Z2987" s="579" t="s">
        <v>728</v>
      </c>
      <c r="AA2987" s="579" t="s">
        <v>1523</v>
      </c>
      <c r="AB2987" s="584">
        <v>50100</v>
      </c>
      <c r="AC2987" s="584" t="s">
        <v>164</v>
      </c>
      <c r="AD2987" s="584">
        <v>39950</v>
      </c>
      <c r="AE2987" s="586">
        <v>0.01</v>
      </c>
      <c r="AF2987" s="661" t="str">
        <f t="shared" si="325"/>
        <v>2019-LTK-FRD-F35C-065-15</v>
      </c>
      <c r="AG2987" s="661" t="str">
        <f>IF(AND($Y2987&gt;=32,(AI2987="I"),(Y2987&lt;&gt;"~"),(COUNTIF($AN$1:$AN2987,$AN2987)=1)),"TRUE","FALSE")</f>
        <v>FALSE</v>
      </c>
      <c r="AH2987" s="661" t="str">
        <f>IF(AND($Y2987&gt;=22, (AI2987&lt;&gt;"I"),(Y2987&lt;&gt;"~"),(COUNTIF($AN$1:$AN2987,$AN2987)=1)),"TRUE","FALSE")</f>
        <v>FALSE</v>
      </c>
      <c r="AI2987" s="661" t="str">
        <f t="shared" si="327"/>
        <v>N/A</v>
      </c>
      <c r="AJ2987" s="662" t="str">
        <f t="shared" si="321"/>
        <v>F35C-065</v>
      </c>
      <c r="AK2987" s="662" t="str">
        <f t="shared" si="322"/>
        <v>LTK</v>
      </c>
      <c r="AL2987" s="662" t="str">
        <f t="shared" si="323"/>
        <v>FRD</v>
      </c>
      <c r="AM2987" s="662" t="str">
        <f t="shared" si="326"/>
        <v>F350 Chassis Cab-Super Cab XL SRW-4WD-6-~-12400-6.7L Diesel-8-X3F-630A-168-40-Diesel-BioDiesel</v>
      </c>
      <c r="AN2987" s="662" t="str">
        <f t="shared" si="324"/>
        <v>2019-LTK-FRD-F35C-065</v>
      </c>
    </row>
    <row r="2988" spans="1:40" ht="15">
      <c r="A2988" s="570" t="s">
        <v>5139</v>
      </c>
      <c r="B2988" s="569" t="s">
        <v>5134</v>
      </c>
      <c r="C2988" s="569" t="s">
        <v>287</v>
      </c>
      <c r="D2988" s="580">
        <v>26</v>
      </c>
      <c r="E2988" s="569" t="s">
        <v>3374</v>
      </c>
      <c r="F2988" s="569" t="s">
        <v>1684</v>
      </c>
      <c r="G2988" s="569" t="s">
        <v>271</v>
      </c>
      <c r="H2988" s="569">
        <v>2019</v>
      </c>
      <c r="I2988" s="569" t="s">
        <v>4879</v>
      </c>
      <c r="J2988" s="569" t="s">
        <v>5120</v>
      </c>
      <c r="K2988" s="569" t="s">
        <v>752</v>
      </c>
      <c r="L2988" s="569">
        <v>6</v>
      </c>
      <c r="M2988" s="569">
        <v>0</v>
      </c>
      <c r="N2988" s="569" t="s">
        <v>157</v>
      </c>
      <c r="O2988" s="569">
        <v>2</v>
      </c>
      <c r="P2988" s="569" t="s">
        <v>157</v>
      </c>
      <c r="Q2988" s="568">
        <v>12400</v>
      </c>
      <c r="R2988" s="569" t="s">
        <v>4235</v>
      </c>
      <c r="S2988" s="569">
        <v>8</v>
      </c>
      <c r="T2988" s="569" t="s">
        <v>5132</v>
      </c>
      <c r="U2988" s="569" t="s">
        <v>4905</v>
      </c>
      <c r="V2988" s="569">
        <v>168</v>
      </c>
      <c r="W2988" s="569">
        <v>40</v>
      </c>
      <c r="X2988" s="568">
        <v>11300</v>
      </c>
      <c r="Y2988" s="569" t="s">
        <v>164</v>
      </c>
      <c r="Z2988" s="581" t="s">
        <v>450</v>
      </c>
      <c r="AA2988" s="581" t="s">
        <v>178</v>
      </c>
      <c r="AB2988" s="585">
        <v>40615</v>
      </c>
      <c r="AC2988" s="585" t="s">
        <v>164</v>
      </c>
      <c r="AD2988" s="585">
        <v>31851</v>
      </c>
      <c r="AE2988" s="587">
        <v>0.05</v>
      </c>
      <c r="AF2988" s="661" t="str">
        <f t="shared" si="325"/>
        <v>2019-LTK-FRD-F35C-064-26</v>
      </c>
      <c r="AG2988" s="661" t="str">
        <f>IF(AND($Y2988&gt;=32,(AI2988="I"),(Y2988&lt;&gt;"~"),(COUNTIF($AN$1:$AN2988,$AN2988)=1)),"TRUE","FALSE")</f>
        <v>FALSE</v>
      </c>
      <c r="AH2988" s="661" t="str">
        <f>IF(AND($Y2988&gt;=22, (AI2988&lt;&gt;"I"),(Y2988&lt;&gt;"~"),(COUNTIF($AN$1:$AN2988,$AN2988)=1)),"TRUE","FALSE")</f>
        <v>FALSE</v>
      </c>
      <c r="AI2988" s="661" t="str">
        <f t="shared" si="327"/>
        <v>N/A</v>
      </c>
      <c r="AJ2988" s="662" t="str">
        <f t="shared" si="321"/>
        <v>F35C-064</v>
      </c>
      <c r="AK2988" s="662" t="str">
        <f t="shared" si="322"/>
        <v>LTK</v>
      </c>
      <c r="AL2988" s="662" t="str">
        <f t="shared" si="323"/>
        <v>FRD</v>
      </c>
      <c r="AM2988" s="662" t="str">
        <f t="shared" si="326"/>
        <v>F350 Chassis Cab-Super Cab XL SRW-4WD-6-~-12400-6.2L FFV-8-X3F-630A-168-40-E85-Unleaded</v>
      </c>
      <c r="AN2988" s="662" t="str">
        <f t="shared" si="324"/>
        <v>2019-LTK-FRD-F35C-064</v>
      </c>
    </row>
    <row r="2989" spans="1:40" ht="15">
      <c r="A2989" s="570" t="s">
        <v>5140</v>
      </c>
      <c r="B2989" s="573" t="s">
        <v>5136</v>
      </c>
      <c r="C2989" s="573" t="s">
        <v>287</v>
      </c>
      <c r="D2989" s="578">
        <v>26</v>
      </c>
      <c r="E2989" s="573" t="s">
        <v>3374</v>
      </c>
      <c r="F2989" s="573" t="s">
        <v>1684</v>
      </c>
      <c r="G2989" s="573" t="s">
        <v>271</v>
      </c>
      <c r="H2989" s="573">
        <v>2019</v>
      </c>
      <c r="I2989" s="573" t="s">
        <v>4879</v>
      </c>
      <c r="J2989" s="573" t="s">
        <v>5120</v>
      </c>
      <c r="K2989" s="573" t="s">
        <v>752</v>
      </c>
      <c r="L2989" s="573">
        <v>6</v>
      </c>
      <c r="M2989" s="573">
        <v>0</v>
      </c>
      <c r="N2989" s="573" t="s">
        <v>157</v>
      </c>
      <c r="O2989" s="573">
        <v>2</v>
      </c>
      <c r="P2989" s="573" t="s">
        <v>157</v>
      </c>
      <c r="Q2989" s="571">
        <v>12400</v>
      </c>
      <c r="R2989" s="573" t="s">
        <v>4231</v>
      </c>
      <c r="S2989" s="573">
        <v>8</v>
      </c>
      <c r="T2989" s="573" t="s">
        <v>5132</v>
      </c>
      <c r="U2989" s="573" t="s">
        <v>4905</v>
      </c>
      <c r="V2989" s="573">
        <v>168</v>
      </c>
      <c r="W2989" s="573">
        <v>40</v>
      </c>
      <c r="X2989" s="571">
        <v>11500</v>
      </c>
      <c r="Y2989" s="569" t="s">
        <v>164</v>
      </c>
      <c r="Z2989" s="579" t="s">
        <v>728</v>
      </c>
      <c r="AA2989" s="579" t="s">
        <v>1523</v>
      </c>
      <c r="AB2989" s="584">
        <v>50100</v>
      </c>
      <c r="AC2989" s="584" t="s">
        <v>164</v>
      </c>
      <c r="AD2989" s="584">
        <v>40046</v>
      </c>
      <c r="AE2989" s="586">
        <v>0.05</v>
      </c>
      <c r="AF2989" s="661" t="str">
        <f t="shared" si="325"/>
        <v>2019-LTK-FRD-F35C-065-26</v>
      </c>
      <c r="AG2989" s="661" t="str">
        <f>IF(AND($Y2989&gt;=32,(AI2989="I"),(Y2989&lt;&gt;"~"),(COUNTIF($AN$1:$AN2989,$AN2989)=1)),"TRUE","FALSE")</f>
        <v>FALSE</v>
      </c>
      <c r="AH2989" s="661" t="str">
        <f>IF(AND($Y2989&gt;=22, (AI2989&lt;&gt;"I"),(Y2989&lt;&gt;"~"),(COUNTIF($AN$1:$AN2989,$AN2989)=1)),"TRUE","FALSE")</f>
        <v>FALSE</v>
      </c>
      <c r="AI2989" s="661" t="str">
        <f t="shared" si="327"/>
        <v>N/A</v>
      </c>
      <c r="AJ2989" s="662" t="str">
        <f t="shared" si="321"/>
        <v>F35C-065</v>
      </c>
      <c r="AK2989" s="662" t="str">
        <f t="shared" si="322"/>
        <v>LTK</v>
      </c>
      <c r="AL2989" s="662" t="str">
        <f t="shared" si="323"/>
        <v>FRD</v>
      </c>
      <c r="AM2989" s="662" t="str">
        <f t="shared" si="326"/>
        <v>F350 Chassis Cab-Super Cab XL SRW-4WD-6-~-12400-6.7L Diesel-8-X3F-630A-168-40-Diesel-BioDiesel</v>
      </c>
      <c r="AN2989" s="662" t="str">
        <f t="shared" si="324"/>
        <v>2019-LTK-FRD-F35C-065</v>
      </c>
    </row>
    <row r="2990" spans="1:40" ht="15">
      <c r="A2990" s="570" t="s">
        <v>5141</v>
      </c>
      <c r="B2990" s="569" t="s">
        <v>5131</v>
      </c>
      <c r="C2990" s="569" t="s">
        <v>280</v>
      </c>
      <c r="D2990" s="580">
        <v>27</v>
      </c>
      <c r="E2990" s="569" t="s">
        <v>3374</v>
      </c>
      <c r="F2990" s="569" t="s">
        <v>1684</v>
      </c>
      <c r="G2990" s="569" t="s">
        <v>271</v>
      </c>
      <c r="H2990" s="569">
        <v>2019</v>
      </c>
      <c r="I2990" s="569" t="s">
        <v>4879</v>
      </c>
      <c r="J2990" s="569" t="s">
        <v>5120</v>
      </c>
      <c r="K2990" s="569" t="s">
        <v>752</v>
      </c>
      <c r="L2990" s="569">
        <v>6</v>
      </c>
      <c r="M2990" s="569">
        <v>0</v>
      </c>
      <c r="N2990" s="569" t="s">
        <v>157</v>
      </c>
      <c r="O2990" s="569">
        <v>2</v>
      </c>
      <c r="P2990" s="569" t="s">
        <v>157</v>
      </c>
      <c r="Q2990" s="568">
        <v>12200</v>
      </c>
      <c r="R2990" s="569" t="s">
        <v>4235</v>
      </c>
      <c r="S2990" s="569">
        <v>8</v>
      </c>
      <c r="T2990" s="569" t="s">
        <v>5132</v>
      </c>
      <c r="U2990" s="569" t="s">
        <v>4905</v>
      </c>
      <c r="V2990" s="569">
        <v>168</v>
      </c>
      <c r="W2990" s="569">
        <v>40</v>
      </c>
      <c r="X2990" s="568">
        <v>11300</v>
      </c>
      <c r="Y2990" s="569" t="s">
        <v>164</v>
      </c>
      <c r="Z2990" s="581" t="s">
        <v>450</v>
      </c>
      <c r="AA2990" s="581" t="s">
        <v>178</v>
      </c>
      <c r="AB2990" s="585">
        <v>40980</v>
      </c>
      <c r="AC2990" s="585" t="s">
        <v>164</v>
      </c>
      <c r="AD2990" s="585">
        <v>31548.126315789475</v>
      </c>
      <c r="AE2990" s="587">
        <v>0.03</v>
      </c>
      <c r="AF2990" s="661" t="str">
        <f t="shared" si="325"/>
        <v>2019-LTK-FRD-F35C-063-27</v>
      </c>
      <c r="AG2990" s="661" t="str">
        <f>IF(AND($Y2990&gt;=32,(AI2990="I"),(Y2990&lt;&gt;"~"),(COUNTIF($AN$1:$AN2990,$AN2990)=1)),"TRUE","FALSE")</f>
        <v>FALSE</v>
      </c>
      <c r="AH2990" s="661" t="str">
        <f>IF(AND($Y2990&gt;=22, (AI2990&lt;&gt;"I"),(Y2990&lt;&gt;"~"),(COUNTIF($AN$1:$AN2990,$AN2990)=1)),"TRUE","FALSE")</f>
        <v>FALSE</v>
      </c>
      <c r="AI2990" s="661" t="str">
        <f t="shared" si="327"/>
        <v>N/A</v>
      </c>
      <c r="AJ2990" s="662" t="str">
        <f t="shared" si="321"/>
        <v>F35C-063</v>
      </c>
      <c r="AK2990" s="662" t="str">
        <f t="shared" si="322"/>
        <v>LTK</v>
      </c>
      <c r="AL2990" s="662" t="str">
        <f t="shared" si="323"/>
        <v>FRD</v>
      </c>
      <c r="AM2990" s="662" t="str">
        <f t="shared" si="326"/>
        <v>F350 Chassis Cab-Super Cab XL SRW-4WD-6-~-12200-6.2L FFV-8-X3F-630A-168-40-E85-Unleaded</v>
      </c>
      <c r="AN2990" s="662" t="str">
        <f t="shared" si="324"/>
        <v>2019-LTK-FRD-F35C-063</v>
      </c>
    </row>
    <row r="2991" spans="1:40" ht="15">
      <c r="A2991" s="570" t="s">
        <v>5142</v>
      </c>
      <c r="B2991" s="573" t="s">
        <v>5134</v>
      </c>
      <c r="C2991" s="573" t="s">
        <v>280</v>
      </c>
      <c r="D2991" s="578">
        <v>27</v>
      </c>
      <c r="E2991" s="573" t="s">
        <v>3374</v>
      </c>
      <c r="F2991" s="573" t="s">
        <v>1684</v>
      </c>
      <c r="G2991" s="573" t="s">
        <v>271</v>
      </c>
      <c r="H2991" s="573">
        <v>2019</v>
      </c>
      <c r="I2991" s="573" t="s">
        <v>4879</v>
      </c>
      <c r="J2991" s="573" t="s">
        <v>5120</v>
      </c>
      <c r="K2991" s="573" t="s">
        <v>752</v>
      </c>
      <c r="L2991" s="573">
        <v>6</v>
      </c>
      <c r="M2991" s="573">
        <v>0</v>
      </c>
      <c r="N2991" s="573" t="s">
        <v>157</v>
      </c>
      <c r="O2991" s="573">
        <v>2</v>
      </c>
      <c r="P2991" s="573" t="s">
        <v>157</v>
      </c>
      <c r="Q2991" s="571">
        <v>12400</v>
      </c>
      <c r="R2991" s="573" t="s">
        <v>4235</v>
      </c>
      <c r="S2991" s="573">
        <v>8</v>
      </c>
      <c r="T2991" s="573" t="s">
        <v>5132</v>
      </c>
      <c r="U2991" s="573" t="s">
        <v>4905</v>
      </c>
      <c r="V2991" s="573">
        <v>168</v>
      </c>
      <c r="W2991" s="573">
        <v>40</v>
      </c>
      <c r="X2991" s="571">
        <v>11300</v>
      </c>
      <c r="Y2991" s="569" t="s">
        <v>164</v>
      </c>
      <c r="Z2991" s="579" t="s">
        <v>450</v>
      </c>
      <c r="AA2991" s="579" t="s">
        <v>178</v>
      </c>
      <c r="AB2991" s="584">
        <v>40980</v>
      </c>
      <c r="AC2991" s="584" t="s">
        <v>164</v>
      </c>
      <c r="AD2991" s="584">
        <v>31548.126315789475</v>
      </c>
      <c r="AE2991" s="586">
        <v>0.03</v>
      </c>
      <c r="AF2991" s="661" t="str">
        <f t="shared" si="325"/>
        <v>2019-LTK-FRD-F35C-064-27</v>
      </c>
      <c r="AG2991" s="661" t="str">
        <f>IF(AND($Y2991&gt;=32,(AI2991="I"),(Y2991&lt;&gt;"~"),(COUNTIF($AN$1:$AN2991,$AN2991)=1)),"TRUE","FALSE")</f>
        <v>FALSE</v>
      </c>
      <c r="AH2991" s="661" t="str">
        <f>IF(AND($Y2991&gt;=22, (AI2991&lt;&gt;"I"),(Y2991&lt;&gt;"~"),(COUNTIF($AN$1:$AN2991,$AN2991)=1)),"TRUE","FALSE")</f>
        <v>FALSE</v>
      </c>
      <c r="AI2991" s="661" t="str">
        <f t="shared" si="327"/>
        <v>N/A</v>
      </c>
      <c r="AJ2991" s="662" t="str">
        <f t="shared" si="321"/>
        <v>F35C-064</v>
      </c>
      <c r="AK2991" s="662" t="str">
        <f t="shared" si="322"/>
        <v>LTK</v>
      </c>
      <c r="AL2991" s="662" t="str">
        <f t="shared" si="323"/>
        <v>FRD</v>
      </c>
      <c r="AM2991" s="662" t="str">
        <f t="shared" si="326"/>
        <v>F350 Chassis Cab-Super Cab XL SRW-4WD-6-~-12400-6.2L FFV-8-X3F-630A-168-40-E85-Unleaded</v>
      </c>
      <c r="AN2991" s="662" t="str">
        <f t="shared" si="324"/>
        <v>2019-LTK-FRD-F35C-064</v>
      </c>
    </row>
    <row r="2992" spans="1:40" ht="15">
      <c r="A2992" s="570" t="s">
        <v>5143</v>
      </c>
      <c r="B2992" s="569" t="s">
        <v>5136</v>
      </c>
      <c r="C2992" s="569" t="s">
        <v>280</v>
      </c>
      <c r="D2992" s="580">
        <v>27</v>
      </c>
      <c r="E2992" s="569" t="s">
        <v>3374</v>
      </c>
      <c r="F2992" s="569" t="s">
        <v>1684</v>
      </c>
      <c r="G2992" s="569" t="s">
        <v>271</v>
      </c>
      <c r="H2992" s="569">
        <v>2019</v>
      </c>
      <c r="I2992" s="569" t="s">
        <v>4879</v>
      </c>
      <c r="J2992" s="569" t="s">
        <v>5120</v>
      </c>
      <c r="K2992" s="569" t="s">
        <v>752</v>
      </c>
      <c r="L2992" s="569">
        <v>6</v>
      </c>
      <c r="M2992" s="569">
        <v>0</v>
      </c>
      <c r="N2992" s="569" t="s">
        <v>157</v>
      </c>
      <c r="O2992" s="569">
        <v>2</v>
      </c>
      <c r="P2992" s="569" t="s">
        <v>157</v>
      </c>
      <c r="Q2992" s="568">
        <v>12400</v>
      </c>
      <c r="R2992" s="569" t="s">
        <v>4231</v>
      </c>
      <c r="S2992" s="569">
        <v>8</v>
      </c>
      <c r="T2992" s="569" t="s">
        <v>5132</v>
      </c>
      <c r="U2992" s="569" t="s">
        <v>4905</v>
      </c>
      <c r="V2992" s="569">
        <v>168</v>
      </c>
      <c r="W2992" s="569">
        <v>40</v>
      </c>
      <c r="X2992" s="568">
        <v>11500</v>
      </c>
      <c r="Y2992" s="569" t="s">
        <v>164</v>
      </c>
      <c r="Z2992" s="581" t="s">
        <v>728</v>
      </c>
      <c r="AA2992" s="581" t="s">
        <v>1523</v>
      </c>
      <c r="AB2992" s="585">
        <v>50100</v>
      </c>
      <c r="AC2992" s="585" t="s">
        <v>164</v>
      </c>
      <c r="AD2992" s="585">
        <v>39740.315789473687</v>
      </c>
      <c r="AE2992" s="587">
        <v>0.03</v>
      </c>
      <c r="AF2992" s="661" t="str">
        <f t="shared" si="325"/>
        <v>2019-LTK-FRD-F35C-065-27</v>
      </c>
      <c r="AG2992" s="661" t="str">
        <f>IF(AND($Y2992&gt;=32,(AI2992="I"),(Y2992&lt;&gt;"~"),(COUNTIF($AN$1:$AN2992,$AN2992)=1)),"TRUE","FALSE")</f>
        <v>FALSE</v>
      </c>
      <c r="AH2992" s="661" t="str">
        <f>IF(AND($Y2992&gt;=22, (AI2992&lt;&gt;"I"),(Y2992&lt;&gt;"~"),(COUNTIF($AN$1:$AN2992,$AN2992)=1)),"TRUE","FALSE")</f>
        <v>FALSE</v>
      </c>
      <c r="AI2992" s="661" t="str">
        <f t="shared" si="327"/>
        <v>N/A</v>
      </c>
      <c r="AJ2992" s="662" t="str">
        <f t="shared" si="321"/>
        <v>F35C-065</v>
      </c>
      <c r="AK2992" s="662" t="str">
        <f t="shared" si="322"/>
        <v>LTK</v>
      </c>
      <c r="AL2992" s="662" t="str">
        <f t="shared" si="323"/>
        <v>FRD</v>
      </c>
      <c r="AM2992" s="662" t="str">
        <f t="shared" si="326"/>
        <v>F350 Chassis Cab-Super Cab XL SRW-4WD-6-~-12400-6.7L Diesel-8-X3F-630A-168-40-Diesel-BioDiesel</v>
      </c>
      <c r="AN2992" s="662" t="str">
        <f t="shared" si="324"/>
        <v>2019-LTK-FRD-F35C-065</v>
      </c>
    </row>
    <row r="2993" spans="1:40" ht="15">
      <c r="A2993" s="570" t="s">
        <v>5144</v>
      </c>
      <c r="B2993" s="573" t="s">
        <v>5145</v>
      </c>
      <c r="C2993" s="573" t="s">
        <v>269</v>
      </c>
      <c r="D2993" s="578" t="s">
        <v>270</v>
      </c>
      <c r="E2993" s="573" t="s">
        <v>3374</v>
      </c>
      <c r="F2993" s="573" t="s">
        <v>1684</v>
      </c>
      <c r="G2993" s="573" t="s">
        <v>271</v>
      </c>
      <c r="H2993" s="573">
        <v>2019</v>
      </c>
      <c r="I2993" s="573" t="s">
        <v>4879</v>
      </c>
      <c r="J2993" s="573" t="s">
        <v>4858</v>
      </c>
      <c r="K2993" s="573" t="s">
        <v>3377</v>
      </c>
      <c r="L2993" s="573">
        <v>6</v>
      </c>
      <c r="M2993" s="573">
        <v>0</v>
      </c>
      <c r="N2993" s="573" t="s">
        <v>157</v>
      </c>
      <c r="O2993" s="573">
        <v>2</v>
      </c>
      <c r="P2993" s="573" t="s">
        <v>157</v>
      </c>
      <c r="Q2993" s="571">
        <v>12900</v>
      </c>
      <c r="R2993" s="573" t="s">
        <v>4235</v>
      </c>
      <c r="S2993" s="573">
        <v>8</v>
      </c>
      <c r="T2993" s="573" t="s">
        <v>5098</v>
      </c>
      <c r="U2993" s="573" t="s">
        <v>4928</v>
      </c>
      <c r="V2993" s="573">
        <v>168</v>
      </c>
      <c r="W2993" s="573">
        <v>40</v>
      </c>
      <c r="X2993" s="571">
        <v>14000</v>
      </c>
      <c r="Y2993" s="569" t="s">
        <v>164</v>
      </c>
      <c r="Z2993" s="579" t="s">
        <v>450</v>
      </c>
      <c r="AA2993" s="579" t="s">
        <v>178</v>
      </c>
      <c r="AB2993" s="584">
        <v>42315</v>
      </c>
      <c r="AC2993" s="584" t="s">
        <v>164</v>
      </c>
      <c r="AD2993" s="584">
        <v>38015.789473684214</v>
      </c>
      <c r="AE2993" s="586">
        <v>0.03</v>
      </c>
      <c r="AF2993" s="661" t="str">
        <f t="shared" si="325"/>
        <v>2019-LTK-FRD-F35C-066-05</v>
      </c>
      <c r="AG2993" s="661" t="str">
        <f>IF(AND($Y2993&gt;=32,(AI2993="I"),(Y2993&lt;&gt;"~"),(COUNTIF($AN$1:$AN2993,$AN2993)=1)),"TRUE","FALSE")</f>
        <v>FALSE</v>
      </c>
      <c r="AH2993" s="661" t="str">
        <f>IF(AND($Y2993&gt;=22, (AI2993&lt;&gt;"I"),(Y2993&lt;&gt;"~"),(COUNTIF($AN$1:$AN2993,$AN2993)=1)),"TRUE","FALSE")</f>
        <v>TRUE</v>
      </c>
      <c r="AI2993" s="661" t="str">
        <f t="shared" si="327"/>
        <v>N/A</v>
      </c>
      <c r="AJ2993" s="662" t="str">
        <f t="shared" si="321"/>
        <v>F35C-066</v>
      </c>
      <c r="AK2993" s="662" t="str">
        <f t="shared" si="322"/>
        <v>LTK</v>
      </c>
      <c r="AL2993" s="662" t="str">
        <f t="shared" si="323"/>
        <v>FRD</v>
      </c>
      <c r="AM2993" s="662" t="str">
        <f t="shared" si="326"/>
        <v>F350 Chassis Cab-Super Cab XLT DRW-2WD-6-~-12900-6.2L FFV-8-X3G-643A-168-40-E85-Unleaded</v>
      </c>
      <c r="AN2993" s="662" t="str">
        <f t="shared" si="324"/>
        <v>2019-LTK-FRD-F35C-066</v>
      </c>
    </row>
    <row r="2994" spans="1:40" ht="15">
      <c r="A2994" s="570" t="s">
        <v>5146</v>
      </c>
      <c r="B2994" s="569" t="s">
        <v>5147</v>
      </c>
      <c r="C2994" s="569" t="s">
        <v>269</v>
      </c>
      <c r="D2994" s="580" t="s">
        <v>270</v>
      </c>
      <c r="E2994" s="569" t="s">
        <v>3374</v>
      </c>
      <c r="F2994" s="569" t="s">
        <v>1684</v>
      </c>
      <c r="G2994" s="569" t="s">
        <v>271</v>
      </c>
      <c r="H2994" s="569">
        <v>2019</v>
      </c>
      <c r="I2994" s="569" t="s">
        <v>4879</v>
      </c>
      <c r="J2994" s="569" t="s">
        <v>4858</v>
      </c>
      <c r="K2994" s="569" t="s">
        <v>3377</v>
      </c>
      <c r="L2994" s="569">
        <v>6</v>
      </c>
      <c r="M2994" s="569">
        <v>0</v>
      </c>
      <c r="N2994" s="569" t="s">
        <v>157</v>
      </c>
      <c r="O2994" s="569">
        <v>2</v>
      </c>
      <c r="P2994" s="569" t="s">
        <v>157</v>
      </c>
      <c r="Q2994" s="568">
        <v>12900</v>
      </c>
      <c r="R2994" s="569" t="s">
        <v>4231</v>
      </c>
      <c r="S2994" s="569">
        <v>8</v>
      </c>
      <c r="T2994" s="569" t="s">
        <v>5098</v>
      </c>
      <c r="U2994" s="569" t="s">
        <v>4928</v>
      </c>
      <c r="V2994" s="569">
        <v>168</v>
      </c>
      <c r="W2994" s="569">
        <v>40</v>
      </c>
      <c r="X2994" s="568">
        <v>14000</v>
      </c>
      <c r="Y2994" s="569" t="s">
        <v>164</v>
      </c>
      <c r="Z2994" s="581" t="s">
        <v>728</v>
      </c>
      <c r="AA2994" s="581" t="s">
        <v>1523</v>
      </c>
      <c r="AB2994" s="585">
        <v>51435</v>
      </c>
      <c r="AC2994" s="585" t="s">
        <v>164</v>
      </c>
      <c r="AD2994" s="585">
        <v>40972.947368421061</v>
      </c>
      <c r="AE2994" s="587">
        <v>0.03</v>
      </c>
      <c r="AF2994" s="661" t="str">
        <f t="shared" si="325"/>
        <v>2019-LTK-FRD-F35C-067-05</v>
      </c>
      <c r="AG2994" s="661" t="str">
        <f>IF(AND($Y2994&gt;=32,(AI2994="I"),(Y2994&lt;&gt;"~"),(COUNTIF($AN$1:$AN2994,$AN2994)=1)),"TRUE","FALSE")</f>
        <v>FALSE</v>
      </c>
      <c r="AH2994" s="661" t="str">
        <f>IF(AND($Y2994&gt;=22, (AI2994&lt;&gt;"I"),(Y2994&lt;&gt;"~"),(COUNTIF($AN$1:$AN2994,$AN2994)=1)),"TRUE","FALSE")</f>
        <v>TRUE</v>
      </c>
      <c r="AI2994" s="661" t="str">
        <f t="shared" si="327"/>
        <v>N/A</v>
      </c>
      <c r="AJ2994" s="662" t="str">
        <f t="shared" si="321"/>
        <v>F35C-067</v>
      </c>
      <c r="AK2994" s="662" t="str">
        <f t="shared" si="322"/>
        <v>LTK</v>
      </c>
      <c r="AL2994" s="662" t="str">
        <f t="shared" si="323"/>
        <v>FRD</v>
      </c>
      <c r="AM2994" s="662" t="str">
        <f t="shared" si="326"/>
        <v>F350 Chassis Cab-Super Cab XLT DRW-2WD-6-~-12900-6.7L Diesel-8-X3G-643A-168-40-Diesel-BioDiesel</v>
      </c>
      <c r="AN2994" s="662" t="str">
        <f t="shared" si="324"/>
        <v>2019-LTK-FRD-F35C-067</v>
      </c>
    </row>
    <row r="2995" spans="1:40" ht="15">
      <c r="A2995" s="570" t="s">
        <v>5148</v>
      </c>
      <c r="B2995" s="573" t="s">
        <v>5145</v>
      </c>
      <c r="C2995" s="573" t="s">
        <v>278</v>
      </c>
      <c r="D2995" s="578">
        <v>15</v>
      </c>
      <c r="E2995" s="573" t="s">
        <v>3374</v>
      </c>
      <c r="F2995" s="573" t="s">
        <v>1684</v>
      </c>
      <c r="G2995" s="573" t="s">
        <v>271</v>
      </c>
      <c r="H2995" s="573">
        <v>2019</v>
      </c>
      <c r="I2995" s="573" t="s">
        <v>4879</v>
      </c>
      <c r="J2995" s="573" t="s">
        <v>4858</v>
      </c>
      <c r="K2995" s="573" t="s">
        <v>3377</v>
      </c>
      <c r="L2995" s="573">
        <v>6</v>
      </c>
      <c r="M2995" s="573">
        <v>0</v>
      </c>
      <c r="N2995" s="573" t="s">
        <v>157</v>
      </c>
      <c r="O2995" s="573">
        <v>2</v>
      </c>
      <c r="P2995" s="573" t="s">
        <v>157</v>
      </c>
      <c r="Q2995" s="571">
        <v>13000</v>
      </c>
      <c r="R2995" s="573" t="s">
        <v>4235</v>
      </c>
      <c r="S2995" s="573">
        <v>8</v>
      </c>
      <c r="T2995" s="573" t="s">
        <v>5098</v>
      </c>
      <c r="U2995" s="573" t="s">
        <v>4928</v>
      </c>
      <c r="V2995" s="573">
        <v>168</v>
      </c>
      <c r="W2995" s="573">
        <v>40</v>
      </c>
      <c r="X2995" s="571">
        <v>14000</v>
      </c>
      <c r="Y2995" s="569" t="s">
        <v>164</v>
      </c>
      <c r="Z2995" s="579" t="s">
        <v>450</v>
      </c>
      <c r="AA2995" s="579" t="s">
        <v>178</v>
      </c>
      <c r="AB2995" s="584">
        <v>42315</v>
      </c>
      <c r="AC2995" s="584" t="s">
        <v>164</v>
      </c>
      <c r="AD2995" s="584">
        <v>32950</v>
      </c>
      <c r="AE2995" s="586">
        <v>0.01</v>
      </c>
      <c r="AF2995" s="661" t="str">
        <f t="shared" si="325"/>
        <v>2019-LTK-FRD-F35C-066-15</v>
      </c>
      <c r="AG2995" s="661" t="str">
        <f>IF(AND($Y2995&gt;=32,(AI2995="I"),(Y2995&lt;&gt;"~"),(COUNTIF($AN$1:$AN2995,$AN2995)=1)),"TRUE","FALSE")</f>
        <v>FALSE</v>
      </c>
      <c r="AH2995" s="661" t="str">
        <f>IF(AND($Y2995&gt;=22, (AI2995&lt;&gt;"I"),(Y2995&lt;&gt;"~"),(COUNTIF($AN$1:$AN2995,$AN2995)=1)),"TRUE","FALSE")</f>
        <v>FALSE</v>
      </c>
      <c r="AI2995" s="661" t="str">
        <f t="shared" si="327"/>
        <v>N/A</v>
      </c>
      <c r="AJ2995" s="662" t="str">
        <f t="shared" si="321"/>
        <v>F35C-066</v>
      </c>
      <c r="AK2995" s="662" t="str">
        <f t="shared" si="322"/>
        <v>LTK</v>
      </c>
      <c r="AL2995" s="662" t="str">
        <f t="shared" si="323"/>
        <v>FRD</v>
      </c>
      <c r="AM2995" s="662" t="str">
        <f t="shared" si="326"/>
        <v>F350 Chassis Cab-Super Cab XLT DRW-2WD-6-~-13000-6.2L FFV-8-X3G-643A-168-40-E85-Unleaded</v>
      </c>
      <c r="AN2995" s="662" t="str">
        <f t="shared" si="324"/>
        <v>2019-LTK-FRD-F35C-066</v>
      </c>
    </row>
    <row r="2996" spans="1:40" ht="15">
      <c r="A2996" s="570" t="s">
        <v>5149</v>
      </c>
      <c r="B2996" s="569" t="s">
        <v>5147</v>
      </c>
      <c r="C2996" s="569" t="s">
        <v>278</v>
      </c>
      <c r="D2996" s="580">
        <v>15</v>
      </c>
      <c r="E2996" s="569" t="s">
        <v>3374</v>
      </c>
      <c r="F2996" s="569" t="s">
        <v>1684</v>
      </c>
      <c r="G2996" s="569" t="s">
        <v>271</v>
      </c>
      <c r="H2996" s="569">
        <v>2019</v>
      </c>
      <c r="I2996" s="569" t="s">
        <v>4879</v>
      </c>
      <c r="J2996" s="569" t="s">
        <v>4858</v>
      </c>
      <c r="K2996" s="569" t="s">
        <v>3377</v>
      </c>
      <c r="L2996" s="569">
        <v>6</v>
      </c>
      <c r="M2996" s="569">
        <v>0</v>
      </c>
      <c r="N2996" s="569" t="s">
        <v>157</v>
      </c>
      <c r="O2996" s="569">
        <v>2</v>
      </c>
      <c r="P2996" s="569" t="s">
        <v>157</v>
      </c>
      <c r="Q2996" s="568">
        <v>13000</v>
      </c>
      <c r="R2996" s="569" t="s">
        <v>4231</v>
      </c>
      <c r="S2996" s="569">
        <v>8</v>
      </c>
      <c r="T2996" s="569" t="s">
        <v>5098</v>
      </c>
      <c r="U2996" s="569" t="s">
        <v>4928</v>
      </c>
      <c r="V2996" s="569">
        <v>168</v>
      </c>
      <c r="W2996" s="569">
        <v>40</v>
      </c>
      <c r="X2996" s="568">
        <v>14000</v>
      </c>
      <c r="Y2996" s="569" t="s">
        <v>164</v>
      </c>
      <c r="Z2996" s="581" t="s">
        <v>728</v>
      </c>
      <c r="AA2996" s="581" t="s">
        <v>1523</v>
      </c>
      <c r="AB2996" s="585">
        <v>51435</v>
      </c>
      <c r="AC2996" s="585" t="s">
        <v>164</v>
      </c>
      <c r="AD2996" s="585">
        <v>41200</v>
      </c>
      <c r="AE2996" s="587">
        <v>0.01</v>
      </c>
      <c r="AF2996" s="661" t="str">
        <f t="shared" si="325"/>
        <v>2019-LTK-FRD-F35C-067-15</v>
      </c>
      <c r="AG2996" s="661" t="str">
        <f>IF(AND($Y2996&gt;=32,(AI2996="I"),(Y2996&lt;&gt;"~"),(COUNTIF($AN$1:$AN2996,$AN2996)=1)),"TRUE","FALSE")</f>
        <v>FALSE</v>
      </c>
      <c r="AH2996" s="661" t="str">
        <f>IF(AND($Y2996&gt;=22, (AI2996&lt;&gt;"I"),(Y2996&lt;&gt;"~"),(COUNTIF($AN$1:$AN2996,$AN2996)=1)),"TRUE","FALSE")</f>
        <v>FALSE</v>
      </c>
      <c r="AI2996" s="661" t="str">
        <f t="shared" si="327"/>
        <v>N/A</v>
      </c>
      <c r="AJ2996" s="662" t="str">
        <f t="shared" si="321"/>
        <v>F35C-067</v>
      </c>
      <c r="AK2996" s="662" t="str">
        <f t="shared" si="322"/>
        <v>LTK</v>
      </c>
      <c r="AL2996" s="662" t="str">
        <f t="shared" si="323"/>
        <v>FRD</v>
      </c>
      <c r="AM2996" s="662" t="str">
        <f t="shared" si="326"/>
        <v>F350 Chassis Cab-Super Cab XLT DRW-2WD-6-~-13000-6.7L Diesel-8-X3G-643A-168-40-Diesel-BioDiesel</v>
      </c>
      <c r="AN2996" s="662" t="str">
        <f t="shared" si="324"/>
        <v>2019-LTK-FRD-F35C-067</v>
      </c>
    </row>
    <row r="2997" spans="1:40" ht="15">
      <c r="A2997" s="570" t="s">
        <v>5150</v>
      </c>
      <c r="B2997" s="573" t="s">
        <v>5145</v>
      </c>
      <c r="C2997" s="573" t="s">
        <v>287</v>
      </c>
      <c r="D2997" s="578">
        <v>26</v>
      </c>
      <c r="E2997" s="573" t="s">
        <v>3374</v>
      </c>
      <c r="F2997" s="573" t="s">
        <v>1684</v>
      </c>
      <c r="G2997" s="573" t="s">
        <v>271</v>
      </c>
      <c r="H2997" s="573">
        <v>2019</v>
      </c>
      <c r="I2997" s="573" t="s">
        <v>4879</v>
      </c>
      <c r="J2997" s="573" t="s">
        <v>4858</v>
      </c>
      <c r="K2997" s="573" t="s">
        <v>3377</v>
      </c>
      <c r="L2997" s="573">
        <v>6</v>
      </c>
      <c r="M2997" s="573">
        <v>0</v>
      </c>
      <c r="N2997" s="573" t="s">
        <v>157</v>
      </c>
      <c r="O2997" s="573">
        <v>2</v>
      </c>
      <c r="P2997" s="573" t="s">
        <v>157</v>
      </c>
      <c r="Q2997" s="571">
        <v>13000</v>
      </c>
      <c r="R2997" s="573" t="s">
        <v>4235</v>
      </c>
      <c r="S2997" s="573">
        <v>8</v>
      </c>
      <c r="T2997" s="573" t="s">
        <v>5098</v>
      </c>
      <c r="U2997" s="573" t="s">
        <v>4928</v>
      </c>
      <c r="V2997" s="573">
        <v>168</v>
      </c>
      <c r="W2997" s="573">
        <v>40</v>
      </c>
      <c r="X2997" s="571">
        <v>14000</v>
      </c>
      <c r="Y2997" s="569" t="s">
        <v>164</v>
      </c>
      <c r="Z2997" s="579" t="s">
        <v>450</v>
      </c>
      <c r="AA2997" s="579" t="s">
        <v>178</v>
      </c>
      <c r="AB2997" s="584">
        <v>41865</v>
      </c>
      <c r="AC2997" s="584" t="s">
        <v>164</v>
      </c>
      <c r="AD2997" s="584">
        <v>32996</v>
      </c>
      <c r="AE2997" s="586">
        <v>0.05</v>
      </c>
      <c r="AF2997" s="661" t="str">
        <f t="shared" si="325"/>
        <v>2019-LTK-FRD-F35C-066-26</v>
      </c>
      <c r="AG2997" s="661" t="str">
        <f>IF(AND($Y2997&gt;=32,(AI2997="I"),(Y2997&lt;&gt;"~"),(COUNTIF($AN$1:$AN2997,$AN2997)=1)),"TRUE","FALSE")</f>
        <v>FALSE</v>
      </c>
      <c r="AH2997" s="661" t="str">
        <f>IF(AND($Y2997&gt;=22, (AI2997&lt;&gt;"I"),(Y2997&lt;&gt;"~"),(COUNTIF($AN$1:$AN2997,$AN2997)=1)),"TRUE","FALSE")</f>
        <v>FALSE</v>
      </c>
      <c r="AI2997" s="661" t="str">
        <f t="shared" si="327"/>
        <v>N/A</v>
      </c>
      <c r="AJ2997" s="662" t="str">
        <f t="shared" si="321"/>
        <v>F35C-066</v>
      </c>
      <c r="AK2997" s="662" t="str">
        <f t="shared" si="322"/>
        <v>LTK</v>
      </c>
      <c r="AL2997" s="662" t="str">
        <f t="shared" si="323"/>
        <v>FRD</v>
      </c>
      <c r="AM2997" s="662" t="str">
        <f t="shared" si="326"/>
        <v>F350 Chassis Cab-Super Cab XLT DRW-2WD-6-~-13000-6.2L FFV-8-X3G-643A-168-40-E85-Unleaded</v>
      </c>
      <c r="AN2997" s="662" t="str">
        <f t="shared" si="324"/>
        <v>2019-LTK-FRD-F35C-066</v>
      </c>
    </row>
    <row r="2998" spans="1:40" ht="15">
      <c r="A2998" s="570" t="s">
        <v>5151</v>
      </c>
      <c r="B2998" s="569" t="s">
        <v>5147</v>
      </c>
      <c r="C2998" s="569" t="s">
        <v>287</v>
      </c>
      <c r="D2998" s="580">
        <v>26</v>
      </c>
      <c r="E2998" s="569" t="s">
        <v>3374</v>
      </c>
      <c r="F2998" s="569" t="s">
        <v>1684</v>
      </c>
      <c r="G2998" s="569" t="s">
        <v>271</v>
      </c>
      <c r="H2998" s="569">
        <v>2019</v>
      </c>
      <c r="I2998" s="569" t="s">
        <v>4879</v>
      </c>
      <c r="J2998" s="569" t="s">
        <v>4858</v>
      </c>
      <c r="K2998" s="569" t="s">
        <v>3377</v>
      </c>
      <c r="L2998" s="569">
        <v>6</v>
      </c>
      <c r="M2998" s="569">
        <v>0</v>
      </c>
      <c r="N2998" s="569" t="s">
        <v>157</v>
      </c>
      <c r="O2998" s="569">
        <v>2</v>
      </c>
      <c r="P2998" s="569" t="s">
        <v>157</v>
      </c>
      <c r="Q2998" s="568">
        <v>13000</v>
      </c>
      <c r="R2998" s="569" t="s">
        <v>4231</v>
      </c>
      <c r="S2998" s="569">
        <v>8</v>
      </c>
      <c r="T2998" s="569" t="s">
        <v>5098</v>
      </c>
      <c r="U2998" s="569" t="s">
        <v>4928</v>
      </c>
      <c r="V2998" s="569">
        <v>168</v>
      </c>
      <c r="W2998" s="569">
        <v>40</v>
      </c>
      <c r="X2998" s="568">
        <v>14000</v>
      </c>
      <c r="Y2998" s="569" t="s">
        <v>164</v>
      </c>
      <c r="Z2998" s="581" t="s">
        <v>728</v>
      </c>
      <c r="AA2998" s="581" t="s">
        <v>1523</v>
      </c>
      <c r="AB2998" s="585">
        <v>50860</v>
      </c>
      <c r="AC2998" s="585" t="s">
        <v>164</v>
      </c>
      <c r="AD2998" s="585">
        <v>41191</v>
      </c>
      <c r="AE2998" s="587">
        <v>0.05</v>
      </c>
      <c r="AF2998" s="661" t="str">
        <f t="shared" si="325"/>
        <v>2019-LTK-FRD-F35C-067-26</v>
      </c>
      <c r="AG2998" s="661" t="str">
        <f>IF(AND($Y2998&gt;=32,(AI2998="I"),(Y2998&lt;&gt;"~"),(COUNTIF($AN$1:$AN2998,$AN2998)=1)),"TRUE","FALSE")</f>
        <v>FALSE</v>
      </c>
      <c r="AH2998" s="661" t="str">
        <f>IF(AND($Y2998&gt;=22, (AI2998&lt;&gt;"I"),(Y2998&lt;&gt;"~"),(COUNTIF($AN$1:$AN2998,$AN2998)=1)),"TRUE","FALSE")</f>
        <v>FALSE</v>
      </c>
      <c r="AI2998" s="661" t="str">
        <f t="shared" si="327"/>
        <v>N/A</v>
      </c>
      <c r="AJ2998" s="662" t="str">
        <f t="shared" si="321"/>
        <v>F35C-067</v>
      </c>
      <c r="AK2998" s="662" t="str">
        <f t="shared" si="322"/>
        <v>LTK</v>
      </c>
      <c r="AL2998" s="662" t="str">
        <f t="shared" si="323"/>
        <v>FRD</v>
      </c>
      <c r="AM2998" s="662" t="str">
        <f t="shared" si="326"/>
        <v>F350 Chassis Cab-Super Cab XLT DRW-2WD-6-~-13000-6.7L Diesel-8-X3G-643A-168-40-Diesel-BioDiesel</v>
      </c>
      <c r="AN2998" s="662" t="str">
        <f t="shared" si="324"/>
        <v>2019-LTK-FRD-F35C-067</v>
      </c>
    </row>
    <row r="2999" spans="1:40" ht="15">
      <c r="A2999" s="570" t="s">
        <v>5152</v>
      </c>
      <c r="B2999" s="573" t="s">
        <v>5145</v>
      </c>
      <c r="C2999" s="573" t="s">
        <v>280</v>
      </c>
      <c r="D2999" s="578">
        <v>27</v>
      </c>
      <c r="E2999" s="573" t="s">
        <v>3374</v>
      </c>
      <c r="F2999" s="573" t="s">
        <v>1684</v>
      </c>
      <c r="G2999" s="573" t="s">
        <v>271</v>
      </c>
      <c r="H2999" s="573">
        <v>2019</v>
      </c>
      <c r="I2999" s="573" t="s">
        <v>4879</v>
      </c>
      <c r="J2999" s="573" t="s">
        <v>4858</v>
      </c>
      <c r="K2999" s="573" t="s">
        <v>3377</v>
      </c>
      <c r="L2999" s="573">
        <v>6</v>
      </c>
      <c r="M2999" s="573">
        <v>0</v>
      </c>
      <c r="N2999" s="573" t="s">
        <v>157</v>
      </c>
      <c r="O2999" s="573">
        <v>2</v>
      </c>
      <c r="P2999" s="573" t="s">
        <v>157</v>
      </c>
      <c r="Q2999" s="571">
        <v>12900</v>
      </c>
      <c r="R2999" s="573" t="s">
        <v>4235</v>
      </c>
      <c r="S2999" s="573">
        <v>8</v>
      </c>
      <c r="T2999" s="573" t="s">
        <v>5098</v>
      </c>
      <c r="U2999" s="573" t="s">
        <v>4928</v>
      </c>
      <c r="V2999" s="573">
        <v>168</v>
      </c>
      <c r="W2999" s="573">
        <v>40</v>
      </c>
      <c r="X2999" s="571">
        <v>14000</v>
      </c>
      <c r="Y2999" s="569" t="s">
        <v>164</v>
      </c>
      <c r="Z2999" s="579" t="s">
        <v>450</v>
      </c>
      <c r="AA2999" s="579" t="s">
        <v>178</v>
      </c>
      <c r="AB2999" s="584">
        <v>42315</v>
      </c>
      <c r="AC2999" s="584" t="s">
        <v>164</v>
      </c>
      <c r="AD2999" s="584">
        <v>38015.789473684214</v>
      </c>
      <c r="AE2999" s="586">
        <v>0.03</v>
      </c>
      <c r="AF2999" s="661" t="str">
        <f t="shared" si="325"/>
        <v>2019-LTK-FRD-F35C-066-27</v>
      </c>
      <c r="AG2999" s="661" t="str">
        <f>IF(AND($Y2999&gt;=32,(AI2999="I"),(Y2999&lt;&gt;"~"),(COUNTIF($AN$1:$AN2999,$AN2999)=1)),"TRUE","FALSE")</f>
        <v>FALSE</v>
      </c>
      <c r="AH2999" s="661" t="str">
        <f>IF(AND($Y2999&gt;=22, (AI2999&lt;&gt;"I"),(Y2999&lt;&gt;"~"),(COUNTIF($AN$1:$AN2999,$AN2999)=1)),"TRUE","FALSE")</f>
        <v>FALSE</v>
      </c>
      <c r="AI2999" s="661" t="str">
        <f t="shared" si="327"/>
        <v>N/A</v>
      </c>
      <c r="AJ2999" s="662" t="str">
        <f t="shared" si="321"/>
        <v>F35C-066</v>
      </c>
      <c r="AK2999" s="662" t="str">
        <f t="shared" si="322"/>
        <v>LTK</v>
      </c>
      <c r="AL2999" s="662" t="str">
        <f t="shared" si="323"/>
        <v>FRD</v>
      </c>
      <c r="AM2999" s="662" t="str">
        <f t="shared" si="326"/>
        <v>F350 Chassis Cab-Super Cab XLT DRW-2WD-6-~-12900-6.2L FFV-8-X3G-643A-168-40-E85-Unleaded</v>
      </c>
      <c r="AN2999" s="662" t="str">
        <f t="shared" si="324"/>
        <v>2019-LTK-FRD-F35C-066</v>
      </c>
    </row>
    <row r="3000" spans="1:40" ht="15">
      <c r="A3000" s="570" t="s">
        <v>5153</v>
      </c>
      <c r="B3000" s="569" t="s">
        <v>5147</v>
      </c>
      <c r="C3000" s="569" t="s">
        <v>280</v>
      </c>
      <c r="D3000" s="580">
        <v>27</v>
      </c>
      <c r="E3000" s="569" t="s">
        <v>3374</v>
      </c>
      <c r="F3000" s="569" t="s">
        <v>1684</v>
      </c>
      <c r="G3000" s="569" t="s">
        <v>271</v>
      </c>
      <c r="H3000" s="569">
        <v>2019</v>
      </c>
      <c r="I3000" s="569" t="s">
        <v>4879</v>
      </c>
      <c r="J3000" s="569" t="s">
        <v>4858</v>
      </c>
      <c r="K3000" s="569" t="s">
        <v>3377</v>
      </c>
      <c r="L3000" s="569">
        <v>6</v>
      </c>
      <c r="M3000" s="569">
        <v>0</v>
      </c>
      <c r="N3000" s="569" t="s">
        <v>157</v>
      </c>
      <c r="O3000" s="569">
        <v>2</v>
      </c>
      <c r="P3000" s="569" t="s">
        <v>157</v>
      </c>
      <c r="Q3000" s="568">
        <v>12900</v>
      </c>
      <c r="R3000" s="569" t="s">
        <v>4231</v>
      </c>
      <c r="S3000" s="569">
        <v>8</v>
      </c>
      <c r="T3000" s="569" t="s">
        <v>5098</v>
      </c>
      <c r="U3000" s="569" t="s">
        <v>4928</v>
      </c>
      <c r="V3000" s="569">
        <v>168</v>
      </c>
      <c r="W3000" s="569">
        <v>40</v>
      </c>
      <c r="X3000" s="568">
        <v>14000</v>
      </c>
      <c r="Y3000" s="569" t="s">
        <v>164</v>
      </c>
      <c r="Z3000" s="581" t="s">
        <v>728</v>
      </c>
      <c r="AA3000" s="581" t="s">
        <v>1523</v>
      </c>
      <c r="AB3000" s="585">
        <v>51435</v>
      </c>
      <c r="AC3000" s="585" t="s">
        <v>164</v>
      </c>
      <c r="AD3000" s="585">
        <v>40972.947368421061</v>
      </c>
      <c r="AE3000" s="587">
        <v>0.03</v>
      </c>
      <c r="AF3000" s="661" t="str">
        <f t="shared" si="325"/>
        <v>2019-LTK-FRD-F35C-067-27</v>
      </c>
      <c r="AG3000" s="661" t="str">
        <f>IF(AND($Y3000&gt;=32,(AI3000="I"),(Y3000&lt;&gt;"~"),(COUNTIF($AN$1:$AN3000,$AN3000)=1)),"TRUE","FALSE")</f>
        <v>FALSE</v>
      </c>
      <c r="AH3000" s="661" t="str">
        <f>IF(AND($Y3000&gt;=22, (AI3000&lt;&gt;"I"),(Y3000&lt;&gt;"~"),(COUNTIF($AN$1:$AN3000,$AN3000)=1)),"TRUE","FALSE")</f>
        <v>FALSE</v>
      </c>
      <c r="AI3000" s="661" t="str">
        <f t="shared" si="327"/>
        <v>N/A</v>
      </c>
      <c r="AJ3000" s="662" t="str">
        <f t="shared" si="321"/>
        <v>F35C-067</v>
      </c>
      <c r="AK3000" s="662" t="str">
        <f t="shared" si="322"/>
        <v>LTK</v>
      </c>
      <c r="AL3000" s="662" t="str">
        <f t="shared" si="323"/>
        <v>FRD</v>
      </c>
      <c r="AM3000" s="662" t="str">
        <f t="shared" si="326"/>
        <v>F350 Chassis Cab-Super Cab XLT DRW-2WD-6-~-12900-6.7L Diesel-8-X3G-643A-168-40-Diesel-BioDiesel</v>
      </c>
      <c r="AN3000" s="662" t="str">
        <f t="shared" si="324"/>
        <v>2019-LTK-FRD-F35C-067</v>
      </c>
    </row>
    <row r="3001" spans="1:40" ht="15">
      <c r="A3001" s="570" t="s">
        <v>5154</v>
      </c>
      <c r="B3001" s="573" t="s">
        <v>5155</v>
      </c>
      <c r="C3001" s="573" t="s">
        <v>269</v>
      </c>
      <c r="D3001" s="578" t="s">
        <v>270</v>
      </c>
      <c r="E3001" s="573" t="s">
        <v>3374</v>
      </c>
      <c r="F3001" s="573" t="s">
        <v>1684</v>
      </c>
      <c r="G3001" s="573" t="s">
        <v>271</v>
      </c>
      <c r="H3001" s="573">
        <v>2019</v>
      </c>
      <c r="I3001" s="573" t="s">
        <v>4879</v>
      </c>
      <c r="J3001" s="573" t="s">
        <v>4858</v>
      </c>
      <c r="K3001" s="573" t="s">
        <v>752</v>
      </c>
      <c r="L3001" s="573">
        <v>6</v>
      </c>
      <c r="M3001" s="573">
        <v>0</v>
      </c>
      <c r="N3001" s="573" t="s">
        <v>157</v>
      </c>
      <c r="O3001" s="573">
        <v>2</v>
      </c>
      <c r="P3001" s="573" t="s">
        <v>157</v>
      </c>
      <c r="Q3001" s="571">
        <v>12500</v>
      </c>
      <c r="R3001" s="573" t="s">
        <v>4235</v>
      </c>
      <c r="S3001" s="573">
        <v>8</v>
      </c>
      <c r="T3001" s="573" t="s">
        <v>5109</v>
      </c>
      <c r="U3001" s="573" t="s">
        <v>4928</v>
      </c>
      <c r="V3001" s="573">
        <v>168</v>
      </c>
      <c r="W3001" s="573">
        <v>40</v>
      </c>
      <c r="X3001" s="571">
        <v>14000</v>
      </c>
      <c r="Y3001" s="569" t="s">
        <v>164</v>
      </c>
      <c r="Z3001" s="579" t="s">
        <v>450</v>
      </c>
      <c r="AA3001" s="579" t="s">
        <v>178</v>
      </c>
      <c r="AB3001" s="584">
        <v>45820</v>
      </c>
      <c r="AC3001" s="584" t="s">
        <v>164</v>
      </c>
      <c r="AD3001" s="584">
        <v>36018.652631578952</v>
      </c>
      <c r="AE3001" s="586">
        <v>0.03</v>
      </c>
      <c r="AF3001" s="661" t="str">
        <f t="shared" si="325"/>
        <v>2019-LTK-FRD-F35C-068-05</v>
      </c>
      <c r="AG3001" s="661" t="str">
        <f>IF(AND($Y3001&gt;=32,(AI3001="I"),(Y3001&lt;&gt;"~"),(COUNTIF($AN$1:$AN3001,$AN3001)=1)),"TRUE","FALSE")</f>
        <v>FALSE</v>
      </c>
      <c r="AH3001" s="661" t="str">
        <f>IF(AND($Y3001&gt;=22, (AI3001&lt;&gt;"I"),(Y3001&lt;&gt;"~"),(COUNTIF($AN$1:$AN3001,$AN3001)=1)),"TRUE","FALSE")</f>
        <v>TRUE</v>
      </c>
      <c r="AI3001" s="661" t="str">
        <f t="shared" si="327"/>
        <v>N/A</v>
      </c>
      <c r="AJ3001" s="662" t="str">
        <f t="shared" si="321"/>
        <v>F35C-068</v>
      </c>
      <c r="AK3001" s="662" t="str">
        <f t="shared" si="322"/>
        <v>LTK</v>
      </c>
      <c r="AL3001" s="662" t="str">
        <f t="shared" si="323"/>
        <v>FRD</v>
      </c>
      <c r="AM3001" s="662" t="str">
        <f t="shared" si="326"/>
        <v>F350 Chassis Cab-Super Cab XLT DRW-4WD-6-~-12500-6.2L FFV-8-X3H-643A-168-40-E85-Unleaded</v>
      </c>
      <c r="AN3001" s="662" t="str">
        <f t="shared" si="324"/>
        <v>2019-LTK-FRD-F35C-068</v>
      </c>
    </row>
    <row r="3002" spans="1:40" ht="15">
      <c r="A3002" s="570" t="s">
        <v>5156</v>
      </c>
      <c r="B3002" s="569" t="s">
        <v>5157</v>
      </c>
      <c r="C3002" s="569" t="s">
        <v>269</v>
      </c>
      <c r="D3002" s="580" t="s">
        <v>270</v>
      </c>
      <c r="E3002" s="569" t="s">
        <v>3374</v>
      </c>
      <c r="F3002" s="569" t="s">
        <v>1684</v>
      </c>
      <c r="G3002" s="569" t="s">
        <v>271</v>
      </c>
      <c r="H3002" s="569">
        <v>2019</v>
      </c>
      <c r="I3002" s="569" t="s">
        <v>4879</v>
      </c>
      <c r="J3002" s="569" t="s">
        <v>4858</v>
      </c>
      <c r="K3002" s="569" t="s">
        <v>752</v>
      </c>
      <c r="L3002" s="569">
        <v>6</v>
      </c>
      <c r="M3002" s="569">
        <v>0</v>
      </c>
      <c r="N3002" s="569" t="s">
        <v>157</v>
      </c>
      <c r="O3002" s="569">
        <v>2</v>
      </c>
      <c r="P3002" s="569" t="s">
        <v>157</v>
      </c>
      <c r="Q3002" s="568">
        <v>12500</v>
      </c>
      <c r="R3002" s="569" t="s">
        <v>4231</v>
      </c>
      <c r="S3002" s="569">
        <v>8</v>
      </c>
      <c r="T3002" s="569" t="s">
        <v>5109</v>
      </c>
      <c r="U3002" s="569" t="s">
        <v>4928</v>
      </c>
      <c r="V3002" s="569">
        <v>168</v>
      </c>
      <c r="W3002" s="569">
        <v>40</v>
      </c>
      <c r="X3002" s="568">
        <v>14000</v>
      </c>
      <c r="Y3002" s="569" t="s">
        <v>164</v>
      </c>
      <c r="Z3002" s="581" t="s">
        <v>728</v>
      </c>
      <c r="AA3002" s="581" t="s">
        <v>1523</v>
      </c>
      <c r="AB3002" s="585">
        <v>54940</v>
      </c>
      <c r="AC3002" s="585" t="s">
        <v>164</v>
      </c>
      <c r="AD3002" s="585">
        <v>44210.84210526316</v>
      </c>
      <c r="AE3002" s="587">
        <v>0.03</v>
      </c>
      <c r="AF3002" s="661" t="str">
        <f t="shared" si="325"/>
        <v>2019-LTK-FRD-F35C-069-05</v>
      </c>
      <c r="AG3002" s="661" t="str">
        <f>IF(AND($Y3002&gt;=32,(AI3002="I"),(Y3002&lt;&gt;"~"),(COUNTIF($AN$1:$AN3002,$AN3002)=1)),"TRUE","FALSE")</f>
        <v>FALSE</v>
      </c>
      <c r="AH3002" s="661" t="str">
        <f>IF(AND($Y3002&gt;=22, (AI3002&lt;&gt;"I"),(Y3002&lt;&gt;"~"),(COUNTIF($AN$1:$AN3002,$AN3002)=1)),"TRUE","FALSE")</f>
        <v>TRUE</v>
      </c>
      <c r="AI3002" s="661" t="str">
        <f t="shared" si="327"/>
        <v>N/A</v>
      </c>
      <c r="AJ3002" s="662" t="str">
        <f t="shared" si="321"/>
        <v>F35C-069</v>
      </c>
      <c r="AK3002" s="662" t="str">
        <f t="shared" si="322"/>
        <v>LTK</v>
      </c>
      <c r="AL3002" s="662" t="str">
        <f t="shared" si="323"/>
        <v>FRD</v>
      </c>
      <c r="AM3002" s="662" t="str">
        <f t="shared" si="326"/>
        <v>F350 Chassis Cab-Super Cab XLT DRW-4WD-6-~-12500-6.7L Diesel-8-X3H-643A-168-40-Diesel-BioDiesel</v>
      </c>
      <c r="AN3002" s="662" t="str">
        <f t="shared" si="324"/>
        <v>2019-LTK-FRD-F35C-069</v>
      </c>
    </row>
    <row r="3003" spans="1:40" ht="15">
      <c r="A3003" s="570" t="s">
        <v>5158</v>
      </c>
      <c r="B3003" s="573" t="s">
        <v>5155</v>
      </c>
      <c r="C3003" s="573" t="s">
        <v>278</v>
      </c>
      <c r="D3003" s="578">
        <v>15</v>
      </c>
      <c r="E3003" s="573" t="s">
        <v>3374</v>
      </c>
      <c r="F3003" s="573" t="s">
        <v>1684</v>
      </c>
      <c r="G3003" s="573" t="s">
        <v>271</v>
      </c>
      <c r="H3003" s="573">
        <v>2019</v>
      </c>
      <c r="I3003" s="573" t="s">
        <v>4879</v>
      </c>
      <c r="J3003" s="573" t="s">
        <v>4858</v>
      </c>
      <c r="K3003" s="573" t="s">
        <v>752</v>
      </c>
      <c r="L3003" s="573">
        <v>6</v>
      </c>
      <c r="M3003" s="573">
        <v>0</v>
      </c>
      <c r="N3003" s="573" t="s">
        <v>157</v>
      </c>
      <c r="O3003" s="573">
        <v>2</v>
      </c>
      <c r="P3003" s="573" t="s">
        <v>157</v>
      </c>
      <c r="Q3003" s="571">
        <v>12600</v>
      </c>
      <c r="R3003" s="573" t="s">
        <v>4235</v>
      </c>
      <c r="S3003" s="573">
        <v>8</v>
      </c>
      <c r="T3003" s="573" t="s">
        <v>5109</v>
      </c>
      <c r="U3003" s="573" t="s">
        <v>4928</v>
      </c>
      <c r="V3003" s="573">
        <v>168</v>
      </c>
      <c r="W3003" s="573">
        <v>40</v>
      </c>
      <c r="X3003" s="571">
        <v>14000</v>
      </c>
      <c r="Y3003" s="569" t="s">
        <v>164</v>
      </c>
      <c r="Z3003" s="579" t="s">
        <v>450</v>
      </c>
      <c r="AA3003" s="579" t="s">
        <v>178</v>
      </c>
      <c r="AB3003" s="584">
        <v>45820</v>
      </c>
      <c r="AC3003" s="584" t="s">
        <v>164</v>
      </c>
      <c r="AD3003" s="584">
        <v>36200</v>
      </c>
      <c r="AE3003" s="586">
        <v>0.01</v>
      </c>
      <c r="AF3003" s="661" t="str">
        <f t="shared" si="325"/>
        <v>2019-LTK-FRD-F35C-068-15</v>
      </c>
      <c r="AG3003" s="661" t="str">
        <f>IF(AND($Y3003&gt;=32,(AI3003="I"),(Y3003&lt;&gt;"~"),(COUNTIF($AN$1:$AN3003,$AN3003)=1)),"TRUE","FALSE")</f>
        <v>FALSE</v>
      </c>
      <c r="AH3003" s="661" t="str">
        <f>IF(AND($Y3003&gt;=22, (AI3003&lt;&gt;"I"),(Y3003&lt;&gt;"~"),(COUNTIF($AN$1:$AN3003,$AN3003)=1)),"TRUE","FALSE")</f>
        <v>FALSE</v>
      </c>
      <c r="AI3003" s="661" t="str">
        <f t="shared" si="327"/>
        <v>N/A</v>
      </c>
      <c r="AJ3003" s="662" t="str">
        <f t="shared" si="321"/>
        <v>F35C-068</v>
      </c>
      <c r="AK3003" s="662" t="str">
        <f t="shared" si="322"/>
        <v>LTK</v>
      </c>
      <c r="AL3003" s="662" t="str">
        <f t="shared" si="323"/>
        <v>FRD</v>
      </c>
      <c r="AM3003" s="662" t="str">
        <f t="shared" si="326"/>
        <v>F350 Chassis Cab-Super Cab XLT DRW-4WD-6-~-12600-6.2L FFV-8-X3H-643A-168-40-E85-Unleaded</v>
      </c>
      <c r="AN3003" s="662" t="str">
        <f t="shared" si="324"/>
        <v>2019-LTK-FRD-F35C-068</v>
      </c>
    </row>
    <row r="3004" spans="1:40" ht="15">
      <c r="A3004" s="570" t="s">
        <v>5159</v>
      </c>
      <c r="B3004" s="569" t="s">
        <v>5157</v>
      </c>
      <c r="C3004" s="569" t="s">
        <v>278</v>
      </c>
      <c r="D3004" s="580">
        <v>15</v>
      </c>
      <c r="E3004" s="569" t="s">
        <v>3374</v>
      </c>
      <c r="F3004" s="569" t="s">
        <v>1684</v>
      </c>
      <c r="G3004" s="569" t="s">
        <v>271</v>
      </c>
      <c r="H3004" s="569">
        <v>2019</v>
      </c>
      <c r="I3004" s="569" t="s">
        <v>4879</v>
      </c>
      <c r="J3004" s="569" t="s">
        <v>4858</v>
      </c>
      <c r="K3004" s="569" t="s">
        <v>752</v>
      </c>
      <c r="L3004" s="569">
        <v>6</v>
      </c>
      <c r="M3004" s="569">
        <v>0</v>
      </c>
      <c r="N3004" s="569" t="s">
        <v>157</v>
      </c>
      <c r="O3004" s="569">
        <v>2</v>
      </c>
      <c r="P3004" s="569" t="s">
        <v>157</v>
      </c>
      <c r="Q3004" s="568">
        <v>12600</v>
      </c>
      <c r="R3004" s="569" t="s">
        <v>4231</v>
      </c>
      <c r="S3004" s="569">
        <v>8</v>
      </c>
      <c r="T3004" s="569" t="s">
        <v>5109</v>
      </c>
      <c r="U3004" s="569" t="s">
        <v>4928</v>
      </c>
      <c r="V3004" s="569">
        <v>168</v>
      </c>
      <c r="W3004" s="569">
        <v>40</v>
      </c>
      <c r="X3004" s="568">
        <v>14000</v>
      </c>
      <c r="Y3004" s="569" t="s">
        <v>164</v>
      </c>
      <c r="Z3004" s="581" t="s">
        <v>728</v>
      </c>
      <c r="AA3004" s="581" t="s">
        <v>1523</v>
      </c>
      <c r="AB3004" s="585">
        <v>54940</v>
      </c>
      <c r="AC3004" s="585" t="s">
        <v>164</v>
      </c>
      <c r="AD3004" s="585">
        <v>44500</v>
      </c>
      <c r="AE3004" s="587">
        <v>0.01</v>
      </c>
      <c r="AF3004" s="661" t="str">
        <f t="shared" si="325"/>
        <v>2019-LTK-FRD-F35C-069-15</v>
      </c>
      <c r="AG3004" s="661" t="str">
        <f>IF(AND($Y3004&gt;=32,(AI3004="I"),(Y3004&lt;&gt;"~"),(COUNTIF($AN$1:$AN3004,$AN3004)=1)),"TRUE","FALSE")</f>
        <v>FALSE</v>
      </c>
      <c r="AH3004" s="661" t="str">
        <f>IF(AND($Y3004&gt;=22, (AI3004&lt;&gt;"I"),(Y3004&lt;&gt;"~"),(COUNTIF($AN$1:$AN3004,$AN3004)=1)),"TRUE","FALSE")</f>
        <v>FALSE</v>
      </c>
      <c r="AI3004" s="661" t="str">
        <f t="shared" si="327"/>
        <v>N/A</v>
      </c>
      <c r="AJ3004" s="662" t="str">
        <f t="shared" si="321"/>
        <v>F35C-069</v>
      </c>
      <c r="AK3004" s="662" t="str">
        <f t="shared" si="322"/>
        <v>LTK</v>
      </c>
      <c r="AL3004" s="662" t="str">
        <f t="shared" si="323"/>
        <v>FRD</v>
      </c>
      <c r="AM3004" s="662" t="str">
        <f t="shared" si="326"/>
        <v>F350 Chassis Cab-Super Cab XLT DRW-4WD-6-~-12600-6.7L Diesel-8-X3H-643A-168-40-Diesel-BioDiesel</v>
      </c>
      <c r="AN3004" s="662" t="str">
        <f t="shared" si="324"/>
        <v>2019-LTK-FRD-F35C-069</v>
      </c>
    </row>
    <row r="3005" spans="1:40" ht="15">
      <c r="A3005" s="570" t="s">
        <v>5160</v>
      </c>
      <c r="B3005" s="573" t="s">
        <v>5155</v>
      </c>
      <c r="C3005" s="573" t="s">
        <v>287</v>
      </c>
      <c r="D3005" s="578">
        <v>26</v>
      </c>
      <c r="E3005" s="573" t="s">
        <v>3374</v>
      </c>
      <c r="F3005" s="573" t="s">
        <v>1684</v>
      </c>
      <c r="G3005" s="573" t="s">
        <v>271</v>
      </c>
      <c r="H3005" s="573">
        <v>2019</v>
      </c>
      <c r="I3005" s="573" t="s">
        <v>4879</v>
      </c>
      <c r="J3005" s="573" t="s">
        <v>4858</v>
      </c>
      <c r="K3005" s="573" t="s">
        <v>752</v>
      </c>
      <c r="L3005" s="573">
        <v>6</v>
      </c>
      <c r="M3005" s="573">
        <v>0</v>
      </c>
      <c r="N3005" s="573" t="s">
        <v>157</v>
      </c>
      <c r="O3005" s="573">
        <v>2</v>
      </c>
      <c r="P3005" s="573" t="s">
        <v>157</v>
      </c>
      <c r="Q3005" s="571">
        <v>12600</v>
      </c>
      <c r="R3005" s="573" t="s">
        <v>4235</v>
      </c>
      <c r="S3005" s="573">
        <v>8</v>
      </c>
      <c r="T3005" s="573" t="s">
        <v>5109</v>
      </c>
      <c r="U3005" s="573" t="s">
        <v>4928</v>
      </c>
      <c r="V3005" s="573">
        <v>168</v>
      </c>
      <c r="W3005" s="573">
        <v>40</v>
      </c>
      <c r="X3005" s="571">
        <v>14000</v>
      </c>
      <c r="Y3005" s="569" t="s">
        <v>164</v>
      </c>
      <c r="Z3005" s="579" t="s">
        <v>450</v>
      </c>
      <c r="AA3005" s="579" t="s">
        <v>178</v>
      </c>
      <c r="AB3005" s="584">
        <v>45370</v>
      </c>
      <c r="AC3005" s="584" t="s">
        <v>164</v>
      </c>
      <c r="AD3005" s="584">
        <v>36282</v>
      </c>
      <c r="AE3005" s="586">
        <v>0.05</v>
      </c>
      <c r="AF3005" s="661" t="str">
        <f t="shared" si="325"/>
        <v>2019-LTK-FRD-F35C-068-26</v>
      </c>
      <c r="AG3005" s="661" t="str">
        <f>IF(AND($Y3005&gt;=32,(AI3005="I"),(Y3005&lt;&gt;"~"),(COUNTIF($AN$1:$AN3005,$AN3005)=1)),"TRUE","FALSE")</f>
        <v>FALSE</v>
      </c>
      <c r="AH3005" s="661" t="str">
        <f>IF(AND($Y3005&gt;=22, (AI3005&lt;&gt;"I"),(Y3005&lt;&gt;"~"),(COUNTIF($AN$1:$AN3005,$AN3005)=1)),"TRUE","FALSE")</f>
        <v>FALSE</v>
      </c>
      <c r="AI3005" s="661" t="str">
        <f t="shared" si="327"/>
        <v>N/A</v>
      </c>
      <c r="AJ3005" s="662" t="str">
        <f t="shared" si="321"/>
        <v>F35C-068</v>
      </c>
      <c r="AK3005" s="662" t="str">
        <f t="shared" si="322"/>
        <v>LTK</v>
      </c>
      <c r="AL3005" s="662" t="str">
        <f t="shared" si="323"/>
        <v>FRD</v>
      </c>
      <c r="AM3005" s="662" t="str">
        <f t="shared" si="326"/>
        <v>F350 Chassis Cab-Super Cab XLT DRW-4WD-6-~-12600-6.2L FFV-8-X3H-643A-168-40-E85-Unleaded</v>
      </c>
      <c r="AN3005" s="662" t="str">
        <f t="shared" si="324"/>
        <v>2019-LTK-FRD-F35C-068</v>
      </c>
    </row>
    <row r="3006" spans="1:40" ht="15">
      <c r="A3006" s="570" t="s">
        <v>5161</v>
      </c>
      <c r="B3006" s="569" t="s">
        <v>5157</v>
      </c>
      <c r="C3006" s="569" t="s">
        <v>287</v>
      </c>
      <c r="D3006" s="580">
        <v>26</v>
      </c>
      <c r="E3006" s="569" t="s">
        <v>3374</v>
      </c>
      <c r="F3006" s="569" t="s">
        <v>1684</v>
      </c>
      <c r="G3006" s="569" t="s">
        <v>271</v>
      </c>
      <c r="H3006" s="569">
        <v>2019</v>
      </c>
      <c r="I3006" s="569" t="s">
        <v>4879</v>
      </c>
      <c r="J3006" s="569" t="s">
        <v>4858</v>
      </c>
      <c r="K3006" s="569" t="s">
        <v>752</v>
      </c>
      <c r="L3006" s="569">
        <v>6</v>
      </c>
      <c r="M3006" s="569">
        <v>0</v>
      </c>
      <c r="N3006" s="569" t="s">
        <v>157</v>
      </c>
      <c r="O3006" s="569">
        <v>2</v>
      </c>
      <c r="P3006" s="569" t="s">
        <v>157</v>
      </c>
      <c r="Q3006" s="568">
        <v>12600</v>
      </c>
      <c r="R3006" s="569" t="s">
        <v>4231</v>
      </c>
      <c r="S3006" s="569">
        <v>8</v>
      </c>
      <c r="T3006" s="569" t="s">
        <v>5109</v>
      </c>
      <c r="U3006" s="569" t="s">
        <v>4928</v>
      </c>
      <c r="V3006" s="569">
        <v>168</v>
      </c>
      <c r="W3006" s="569">
        <v>40</v>
      </c>
      <c r="X3006" s="568">
        <v>14000</v>
      </c>
      <c r="Y3006" s="569" t="s">
        <v>164</v>
      </c>
      <c r="Z3006" s="581" t="s">
        <v>728</v>
      </c>
      <c r="AA3006" s="581" t="s">
        <v>1523</v>
      </c>
      <c r="AB3006" s="585">
        <v>54365</v>
      </c>
      <c r="AC3006" s="585" t="s">
        <v>164</v>
      </c>
      <c r="AD3006" s="585">
        <v>44477</v>
      </c>
      <c r="AE3006" s="587">
        <v>0.05</v>
      </c>
      <c r="AF3006" s="661" t="str">
        <f t="shared" si="325"/>
        <v>2019-LTK-FRD-F35C-069-26</v>
      </c>
      <c r="AG3006" s="661" t="str">
        <f>IF(AND($Y3006&gt;=32,(AI3006="I"),(Y3006&lt;&gt;"~"),(COUNTIF($AN$1:$AN3006,$AN3006)=1)),"TRUE","FALSE")</f>
        <v>FALSE</v>
      </c>
      <c r="AH3006" s="661" t="str">
        <f>IF(AND($Y3006&gt;=22, (AI3006&lt;&gt;"I"),(Y3006&lt;&gt;"~"),(COUNTIF($AN$1:$AN3006,$AN3006)=1)),"TRUE","FALSE")</f>
        <v>FALSE</v>
      </c>
      <c r="AI3006" s="661" t="str">
        <f t="shared" si="327"/>
        <v>N/A</v>
      </c>
      <c r="AJ3006" s="662" t="str">
        <f t="shared" si="321"/>
        <v>F35C-069</v>
      </c>
      <c r="AK3006" s="662" t="str">
        <f t="shared" si="322"/>
        <v>LTK</v>
      </c>
      <c r="AL3006" s="662" t="str">
        <f t="shared" si="323"/>
        <v>FRD</v>
      </c>
      <c r="AM3006" s="662" t="str">
        <f t="shared" si="326"/>
        <v>F350 Chassis Cab-Super Cab XLT DRW-4WD-6-~-12600-6.7L Diesel-8-X3H-643A-168-40-Diesel-BioDiesel</v>
      </c>
      <c r="AN3006" s="662" t="str">
        <f t="shared" si="324"/>
        <v>2019-LTK-FRD-F35C-069</v>
      </c>
    </row>
    <row r="3007" spans="1:40" ht="15">
      <c r="A3007" s="570" t="s">
        <v>5162</v>
      </c>
      <c r="B3007" s="573" t="s">
        <v>5155</v>
      </c>
      <c r="C3007" s="573" t="s">
        <v>280</v>
      </c>
      <c r="D3007" s="578">
        <v>27</v>
      </c>
      <c r="E3007" s="573" t="s">
        <v>3374</v>
      </c>
      <c r="F3007" s="573" t="s">
        <v>1684</v>
      </c>
      <c r="G3007" s="573" t="s">
        <v>271</v>
      </c>
      <c r="H3007" s="573">
        <v>2019</v>
      </c>
      <c r="I3007" s="573" t="s">
        <v>4879</v>
      </c>
      <c r="J3007" s="573" t="s">
        <v>4858</v>
      </c>
      <c r="K3007" s="573" t="s">
        <v>752</v>
      </c>
      <c r="L3007" s="573">
        <v>6</v>
      </c>
      <c r="M3007" s="573">
        <v>0</v>
      </c>
      <c r="N3007" s="573" t="s">
        <v>157</v>
      </c>
      <c r="O3007" s="573">
        <v>2</v>
      </c>
      <c r="P3007" s="573" t="s">
        <v>157</v>
      </c>
      <c r="Q3007" s="571">
        <v>12500</v>
      </c>
      <c r="R3007" s="573" t="s">
        <v>4235</v>
      </c>
      <c r="S3007" s="573">
        <v>8</v>
      </c>
      <c r="T3007" s="573" t="s">
        <v>5109</v>
      </c>
      <c r="U3007" s="573" t="s">
        <v>4928</v>
      </c>
      <c r="V3007" s="573">
        <v>168</v>
      </c>
      <c r="W3007" s="573">
        <v>40</v>
      </c>
      <c r="X3007" s="571">
        <v>14000</v>
      </c>
      <c r="Y3007" s="569" t="s">
        <v>164</v>
      </c>
      <c r="Z3007" s="579" t="s">
        <v>450</v>
      </c>
      <c r="AA3007" s="579" t="s">
        <v>178</v>
      </c>
      <c r="AB3007" s="584">
        <v>45820</v>
      </c>
      <c r="AC3007" s="584" t="s">
        <v>164</v>
      </c>
      <c r="AD3007" s="584">
        <v>36018.652631578952</v>
      </c>
      <c r="AE3007" s="586">
        <v>0.03</v>
      </c>
      <c r="AF3007" s="661" t="str">
        <f t="shared" si="325"/>
        <v>2019-LTK-FRD-F35C-068-27</v>
      </c>
      <c r="AG3007" s="661" t="str">
        <f>IF(AND($Y3007&gt;=32,(AI3007="I"),(Y3007&lt;&gt;"~"),(COUNTIF($AN$1:$AN3007,$AN3007)=1)),"TRUE","FALSE")</f>
        <v>FALSE</v>
      </c>
      <c r="AH3007" s="661" t="str">
        <f>IF(AND($Y3007&gt;=22, (AI3007&lt;&gt;"I"),(Y3007&lt;&gt;"~"),(COUNTIF($AN$1:$AN3007,$AN3007)=1)),"TRUE","FALSE")</f>
        <v>FALSE</v>
      </c>
      <c r="AI3007" s="661" t="str">
        <f t="shared" si="327"/>
        <v>N/A</v>
      </c>
      <c r="AJ3007" s="662" t="str">
        <f t="shared" si="321"/>
        <v>F35C-068</v>
      </c>
      <c r="AK3007" s="662" t="str">
        <f t="shared" si="322"/>
        <v>LTK</v>
      </c>
      <c r="AL3007" s="662" t="str">
        <f t="shared" si="323"/>
        <v>FRD</v>
      </c>
      <c r="AM3007" s="662" t="str">
        <f t="shared" si="326"/>
        <v>F350 Chassis Cab-Super Cab XLT DRW-4WD-6-~-12500-6.2L FFV-8-X3H-643A-168-40-E85-Unleaded</v>
      </c>
      <c r="AN3007" s="662" t="str">
        <f t="shared" si="324"/>
        <v>2019-LTK-FRD-F35C-068</v>
      </c>
    </row>
    <row r="3008" spans="1:40" ht="15">
      <c r="A3008" s="570" t="s">
        <v>5163</v>
      </c>
      <c r="B3008" s="569" t="s">
        <v>5157</v>
      </c>
      <c r="C3008" s="569" t="s">
        <v>280</v>
      </c>
      <c r="D3008" s="580">
        <v>27</v>
      </c>
      <c r="E3008" s="569" t="s">
        <v>3374</v>
      </c>
      <c r="F3008" s="569" t="s">
        <v>1684</v>
      </c>
      <c r="G3008" s="569" t="s">
        <v>271</v>
      </c>
      <c r="H3008" s="569">
        <v>2019</v>
      </c>
      <c r="I3008" s="569" t="s">
        <v>4879</v>
      </c>
      <c r="J3008" s="569" t="s">
        <v>4858</v>
      </c>
      <c r="K3008" s="569" t="s">
        <v>752</v>
      </c>
      <c r="L3008" s="569">
        <v>6</v>
      </c>
      <c r="M3008" s="569">
        <v>0</v>
      </c>
      <c r="N3008" s="569" t="s">
        <v>157</v>
      </c>
      <c r="O3008" s="569">
        <v>2</v>
      </c>
      <c r="P3008" s="569" t="s">
        <v>157</v>
      </c>
      <c r="Q3008" s="568">
        <v>12500</v>
      </c>
      <c r="R3008" s="569" t="s">
        <v>4231</v>
      </c>
      <c r="S3008" s="569">
        <v>8</v>
      </c>
      <c r="T3008" s="569" t="s">
        <v>5109</v>
      </c>
      <c r="U3008" s="569" t="s">
        <v>4928</v>
      </c>
      <c r="V3008" s="569">
        <v>168</v>
      </c>
      <c r="W3008" s="569">
        <v>40</v>
      </c>
      <c r="X3008" s="568">
        <v>14000</v>
      </c>
      <c r="Y3008" s="569" t="s">
        <v>164</v>
      </c>
      <c r="Z3008" s="581" t="s">
        <v>728</v>
      </c>
      <c r="AA3008" s="581" t="s">
        <v>1523</v>
      </c>
      <c r="AB3008" s="585">
        <v>54940</v>
      </c>
      <c r="AC3008" s="585" t="s">
        <v>164</v>
      </c>
      <c r="AD3008" s="585">
        <v>44210.84210526316</v>
      </c>
      <c r="AE3008" s="587">
        <v>0.03</v>
      </c>
      <c r="AF3008" s="661" t="str">
        <f t="shared" si="325"/>
        <v>2019-LTK-FRD-F35C-069-27</v>
      </c>
      <c r="AG3008" s="661" t="str">
        <f>IF(AND($Y3008&gt;=32,(AI3008="I"),(Y3008&lt;&gt;"~"),(COUNTIF($AN$1:$AN3008,$AN3008)=1)),"TRUE","FALSE")</f>
        <v>FALSE</v>
      </c>
      <c r="AH3008" s="661" t="str">
        <f>IF(AND($Y3008&gt;=22, (AI3008&lt;&gt;"I"),(Y3008&lt;&gt;"~"),(COUNTIF($AN$1:$AN3008,$AN3008)=1)),"TRUE","FALSE")</f>
        <v>FALSE</v>
      </c>
      <c r="AI3008" s="661" t="str">
        <f t="shared" si="327"/>
        <v>N/A</v>
      </c>
      <c r="AJ3008" s="662" t="str">
        <f t="shared" si="321"/>
        <v>F35C-069</v>
      </c>
      <c r="AK3008" s="662" t="str">
        <f t="shared" si="322"/>
        <v>LTK</v>
      </c>
      <c r="AL3008" s="662" t="str">
        <f t="shared" si="323"/>
        <v>FRD</v>
      </c>
      <c r="AM3008" s="662" t="str">
        <f t="shared" si="326"/>
        <v>F350 Chassis Cab-Super Cab XLT DRW-4WD-6-~-12500-6.7L Diesel-8-X3H-643A-168-40-Diesel-BioDiesel</v>
      </c>
      <c r="AN3008" s="662" t="str">
        <f t="shared" si="324"/>
        <v>2019-LTK-FRD-F35C-069</v>
      </c>
    </row>
    <row r="3009" spans="1:40" ht="15">
      <c r="A3009" s="570" t="s">
        <v>5164</v>
      </c>
      <c r="B3009" s="573" t="s">
        <v>5165</v>
      </c>
      <c r="C3009" s="573" t="s">
        <v>269</v>
      </c>
      <c r="D3009" s="578" t="s">
        <v>270</v>
      </c>
      <c r="E3009" s="573" t="s">
        <v>3374</v>
      </c>
      <c r="F3009" s="573" t="s">
        <v>1684</v>
      </c>
      <c r="G3009" s="573" t="s">
        <v>271</v>
      </c>
      <c r="H3009" s="573">
        <v>2019</v>
      </c>
      <c r="I3009" s="573" t="s">
        <v>4879</v>
      </c>
      <c r="J3009" s="573" t="s">
        <v>5166</v>
      </c>
      <c r="K3009" s="573" t="s">
        <v>3377</v>
      </c>
      <c r="L3009" s="573">
        <v>6</v>
      </c>
      <c r="M3009" s="573">
        <v>0</v>
      </c>
      <c r="N3009" s="573" t="s">
        <v>157</v>
      </c>
      <c r="O3009" s="573">
        <v>2</v>
      </c>
      <c r="P3009" s="573" t="s">
        <v>157</v>
      </c>
      <c r="Q3009" s="571">
        <v>12800</v>
      </c>
      <c r="R3009" s="573" t="s">
        <v>4235</v>
      </c>
      <c r="S3009" s="573">
        <v>8</v>
      </c>
      <c r="T3009" s="573" t="s">
        <v>5121</v>
      </c>
      <c r="U3009" s="573" t="s">
        <v>4950</v>
      </c>
      <c r="V3009" s="573">
        <v>168</v>
      </c>
      <c r="W3009" s="573">
        <v>40</v>
      </c>
      <c r="X3009" s="571">
        <v>10900</v>
      </c>
      <c r="Y3009" s="569" t="s">
        <v>164</v>
      </c>
      <c r="Z3009" s="579" t="s">
        <v>450</v>
      </c>
      <c r="AA3009" s="579" t="s">
        <v>178</v>
      </c>
      <c r="AB3009" s="584">
        <v>41230</v>
      </c>
      <c r="AC3009" s="584" t="s">
        <v>164</v>
      </c>
      <c r="AD3009" s="584">
        <v>31778.652631578949</v>
      </c>
      <c r="AE3009" s="586">
        <v>0.03</v>
      </c>
      <c r="AF3009" s="661" t="str">
        <f t="shared" si="325"/>
        <v>2019-LTK-FRD-F35C-070-05</v>
      </c>
      <c r="AG3009" s="661" t="str">
        <f>IF(AND($Y3009&gt;=32,(AI3009="I"),(Y3009&lt;&gt;"~"),(COUNTIF($AN$1:$AN3009,$AN3009)=1)),"TRUE","FALSE")</f>
        <v>FALSE</v>
      </c>
      <c r="AH3009" s="661" t="str">
        <f>IF(AND($Y3009&gt;=22, (AI3009&lt;&gt;"I"),(Y3009&lt;&gt;"~"),(COUNTIF($AN$1:$AN3009,$AN3009)=1)),"TRUE","FALSE")</f>
        <v>TRUE</v>
      </c>
      <c r="AI3009" s="661" t="str">
        <f t="shared" si="327"/>
        <v>N/A</v>
      </c>
      <c r="AJ3009" s="662" t="str">
        <f t="shared" si="321"/>
        <v>F35C-070</v>
      </c>
      <c r="AK3009" s="662" t="str">
        <f t="shared" si="322"/>
        <v>LTK</v>
      </c>
      <c r="AL3009" s="662" t="str">
        <f t="shared" si="323"/>
        <v>FRD</v>
      </c>
      <c r="AM3009" s="662" t="str">
        <f t="shared" si="326"/>
        <v>F350 Chassis Cab-Super Cab XLT SRW-2WD-6-~-12800-6.2L FFV-8-X3E-633A-168-40-E85-Unleaded</v>
      </c>
      <c r="AN3009" s="662" t="str">
        <f t="shared" si="324"/>
        <v>2019-LTK-FRD-F35C-070</v>
      </c>
    </row>
    <row r="3010" spans="1:40" ht="15">
      <c r="A3010" s="570" t="s">
        <v>5167</v>
      </c>
      <c r="B3010" s="569" t="s">
        <v>5168</v>
      </c>
      <c r="C3010" s="569" t="s">
        <v>269</v>
      </c>
      <c r="D3010" s="580" t="s">
        <v>270</v>
      </c>
      <c r="E3010" s="569" t="s">
        <v>3374</v>
      </c>
      <c r="F3010" s="569" t="s">
        <v>1684</v>
      </c>
      <c r="G3010" s="569" t="s">
        <v>271</v>
      </c>
      <c r="H3010" s="569">
        <v>2019</v>
      </c>
      <c r="I3010" s="569" t="s">
        <v>4879</v>
      </c>
      <c r="J3010" s="569" t="s">
        <v>5166</v>
      </c>
      <c r="K3010" s="569" t="s">
        <v>3377</v>
      </c>
      <c r="L3010" s="569">
        <v>6</v>
      </c>
      <c r="M3010" s="569">
        <v>0</v>
      </c>
      <c r="N3010" s="569" t="s">
        <v>157</v>
      </c>
      <c r="O3010" s="569">
        <v>2</v>
      </c>
      <c r="P3010" s="569" t="s">
        <v>157</v>
      </c>
      <c r="Q3010" s="568">
        <v>12800</v>
      </c>
      <c r="R3010" s="569" t="s">
        <v>4231</v>
      </c>
      <c r="S3010" s="569">
        <v>8</v>
      </c>
      <c r="T3010" s="569" t="s">
        <v>5121</v>
      </c>
      <c r="U3010" s="569" t="s">
        <v>4950</v>
      </c>
      <c r="V3010" s="569">
        <v>168</v>
      </c>
      <c r="W3010" s="569">
        <v>40</v>
      </c>
      <c r="X3010" s="568">
        <v>11500</v>
      </c>
      <c r="Y3010" s="569" t="s">
        <v>164</v>
      </c>
      <c r="Z3010" s="581" t="s">
        <v>728</v>
      </c>
      <c r="AA3010" s="581" t="s">
        <v>1523</v>
      </c>
      <c r="AB3010" s="585">
        <v>50350</v>
      </c>
      <c r="AC3010" s="585" t="s">
        <v>164</v>
      </c>
      <c r="AD3010" s="585">
        <v>39970.84210526316</v>
      </c>
      <c r="AE3010" s="587">
        <v>0.03</v>
      </c>
      <c r="AF3010" s="661" t="str">
        <f t="shared" si="325"/>
        <v>2019-LTK-FRD-F35C-071-05</v>
      </c>
      <c r="AG3010" s="661" t="str">
        <f>IF(AND($Y3010&gt;=32,(AI3010="I"),(Y3010&lt;&gt;"~"),(COUNTIF($AN$1:$AN3010,$AN3010)=1)),"TRUE","FALSE")</f>
        <v>FALSE</v>
      </c>
      <c r="AH3010" s="661" t="str">
        <f>IF(AND($Y3010&gt;=22, (AI3010&lt;&gt;"I"),(Y3010&lt;&gt;"~"),(COUNTIF($AN$1:$AN3010,$AN3010)=1)),"TRUE","FALSE")</f>
        <v>TRUE</v>
      </c>
      <c r="AI3010" s="661" t="str">
        <f t="shared" si="327"/>
        <v>N/A</v>
      </c>
      <c r="AJ3010" s="662" t="str">
        <f t="shared" si="321"/>
        <v>F35C-071</v>
      </c>
      <c r="AK3010" s="662" t="str">
        <f t="shared" si="322"/>
        <v>LTK</v>
      </c>
      <c r="AL3010" s="662" t="str">
        <f t="shared" si="323"/>
        <v>FRD</v>
      </c>
      <c r="AM3010" s="662" t="str">
        <f t="shared" si="326"/>
        <v>F350 Chassis Cab-Super Cab XLT SRW-2WD-6-~-12800-6.7L Diesel-8-X3E-633A-168-40-Diesel-BioDiesel</v>
      </c>
      <c r="AN3010" s="662" t="str">
        <f t="shared" si="324"/>
        <v>2019-LTK-FRD-F35C-071</v>
      </c>
    </row>
    <row r="3011" spans="1:40" ht="15">
      <c r="A3011" s="570" t="s">
        <v>5169</v>
      </c>
      <c r="B3011" s="573" t="s">
        <v>5165</v>
      </c>
      <c r="C3011" s="573" t="s">
        <v>278</v>
      </c>
      <c r="D3011" s="578">
        <v>15</v>
      </c>
      <c r="E3011" s="573" t="s">
        <v>3374</v>
      </c>
      <c r="F3011" s="573" t="s">
        <v>1684</v>
      </c>
      <c r="G3011" s="573" t="s">
        <v>271</v>
      </c>
      <c r="H3011" s="573">
        <v>2019</v>
      </c>
      <c r="I3011" s="573" t="s">
        <v>4879</v>
      </c>
      <c r="J3011" s="573" t="s">
        <v>5166</v>
      </c>
      <c r="K3011" s="573" t="s">
        <v>3377</v>
      </c>
      <c r="L3011" s="573">
        <v>6</v>
      </c>
      <c r="M3011" s="573">
        <v>0</v>
      </c>
      <c r="N3011" s="573" t="s">
        <v>157</v>
      </c>
      <c r="O3011" s="573">
        <v>2</v>
      </c>
      <c r="P3011" s="573" t="s">
        <v>157</v>
      </c>
      <c r="Q3011" s="571">
        <v>12900</v>
      </c>
      <c r="R3011" s="573" t="s">
        <v>4235</v>
      </c>
      <c r="S3011" s="573">
        <v>8</v>
      </c>
      <c r="T3011" s="573" t="s">
        <v>5121</v>
      </c>
      <c r="U3011" s="573" t="s">
        <v>4950</v>
      </c>
      <c r="V3011" s="573">
        <v>168</v>
      </c>
      <c r="W3011" s="573">
        <v>40</v>
      </c>
      <c r="X3011" s="571">
        <v>10900</v>
      </c>
      <c r="Y3011" s="569" t="s">
        <v>164</v>
      </c>
      <c r="Z3011" s="579" t="s">
        <v>450</v>
      </c>
      <c r="AA3011" s="579" t="s">
        <v>178</v>
      </c>
      <c r="AB3011" s="584">
        <v>41230</v>
      </c>
      <c r="AC3011" s="584" t="s">
        <v>164</v>
      </c>
      <c r="AD3011" s="584">
        <v>31900</v>
      </c>
      <c r="AE3011" s="586">
        <v>0.01</v>
      </c>
      <c r="AF3011" s="661" t="str">
        <f t="shared" si="325"/>
        <v>2019-LTK-FRD-F35C-070-15</v>
      </c>
      <c r="AG3011" s="661" t="str">
        <f>IF(AND($Y3011&gt;=32,(AI3011="I"),(Y3011&lt;&gt;"~"),(COUNTIF($AN$1:$AN3011,$AN3011)=1)),"TRUE","FALSE")</f>
        <v>FALSE</v>
      </c>
      <c r="AH3011" s="661" t="str">
        <f>IF(AND($Y3011&gt;=22, (AI3011&lt;&gt;"I"),(Y3011&lt;&gt;"~"),(COUNTIF($AN$1:$AN3011,$AN3011)=1)),"TRUE","FALSE")</f>
        <v>FALSE</v>
      </c>
      <c r="AI3011" s="661" t="str">
        <f t="shared" si="327"/>
        <v>N/A</v>
      </c>
      <c r="AJ3011" s="662" t="str">
        <f t="shared" ref="AJ3011:AJ3074" si="328">MID(A3011,14,8)</f>
        <v>F35C-070</v>
      </c>
      <c r="AK3011" s="662" t="str">
        <f t="shared" ref="AK3011:AK3074" si="329">MID(A3011,6,3)</f>
        <v>LTK</v>
      </c>
      <c r="AL3011" s="662" t="str">
        <f t="shared" ref="AL3011:AL3074" si="330">MID(A3011,10,3)</f>
        <v>FRD</v>
      </c>
      <c r="AM3011" s="662" t="str">
        <f t="shared" si="326"/>
        <v>F350 Chassis Cab-Super Cab XLT SRW-2WD-6-~-12900-6.2L FFV-8-X3E-633A-168-40-E85-Unleaded</v>
      </c>
      <c r="AN3011" s="662" t="str">
        <f t="shared" ref="AN3011:AN3074" si="331">LEFT(A3011,21)</f>
        <v>2019-LTK-FRD-F35C-070</v>
      </c>
    </row>
    <row r="3012" spans="1:40" ht="15">
      <c r="A3012" s="570" t="s">
        <v>5170</v>
      </c>
      <c r="B3012" s="569" t="s">
        <v>5168</v>
      </c>
      <c r="C3012" s="569" t="s">
        <v>278</v>
      </c>
      <c r="D3012" s="580">
        <v>15</v>
      </c>
      <c r="E3012" s="569" t="s">
        <v>3374</v>
      </c>
      <c r="F3012" s="569" t="s">
        <v>1684</v>
      </c>
      <c r="G3012" s="569" t="s">
        <v>271</v>
      </c>
      <c r="H3012" s="569">
        <v>2019</v>
      </c>
      <c r="I3012" s="569" t="s">
        <v>4879</v>
      </c>
      <c r="J3012" s="569" t="s">
        <v>5166</v>
      </c>
      <c r="K3012" s="569" t="s">
        <v>3377</v>
      </c>
      <c r="L3012" s="569">
        <v>6</v>
      </c>
      <c r="M3012" s="569">
        <v>0</v>
      </c>
      <c r="N3012" s="569" t="s">
        <v>157</v>
      </c>
      <c r="O3012" s="569">
        <v>2</v>
      </c>
      <c r="P3012" s="569" t="s">
        <v>157</v>
      </c>
      <c r="Q3012" s="568">
        <v>12900</v>
      </c>
      <c r="R3012" s="569" t="s">
        <v>4231</v>
      </c>
      <c r="S3012" s="569">
        <v>8</v>
      </c>
      <c r="T3012" s="569" t="s">
        <v>5121</v>
      </c>
      <c r="U3012" s="569" t="s">
        <v>4950</v>
      </c>
      <c r="V3012" s="569">
        <v>168</v>
      </c>
      <c r="W3012" s="569">
        <v>40</v>
      </c>
      <c r="X3012" s="568">
        <v>11500</v>
      </c>
      <c r="Y3012" s="569" t="s">
        <v>164</v>
      </c>
      <c r="Z3012" s="581" t="s">
        <v>728</v>
      </c>
      <c r="AA3012" s="581" t="s">
        <v>1523</v>
      </c>
      <c r="AB3012" s="585">
        <v>50350</v>
      </c>
      <c r="AC3012" s="585" t="s">
        <v>164</v>
      </c>
      <c r="AD3012" s="585">
        <v>40200</v>
      </c>
      <c r="AE3012" s="587">
        <v>0.01</v>
      </c>
      <c r="AF3012" s="661" t="str">
        <f t="shared" si="325"/>
        <v>2019-LTK-FRD-F35C-071-15</v>
      </c>
      <c r="AG3012" s="661" t="str">
        <f>IF(AND($Y3012&gt;=32,(AI3012="I"),(Y3012&lt;&gt;"~"),(COUNTIF($AN$1:$AN3012,$AN3012)=1)),"TRUE","FALSE")</f>
        <v>FALSE</v>
      </c>
      <c r="AH3012" s="661" t="str">
        <f>IF(AND($Y3012&gt;=22, (AI3012&lt;&gt;"I"),(Y3012&lt;&gt;"~"),(COUNTIF($AN$1:$AN3012,$AN3012)=1)),"TRUE","FALSE")</f>
        <v>FALSE</v>
      </c>
      <c r="AI3012" s="661" t="str">
        <f t="shared" si="327"/>
        <v>N/A</v>
      </c>
      <c r="AJ3012" s="662" t="str">
        <f t="shared" si="328"/>
        <v>F35C-071</v>
      </c>
      <c r="AK3012" s="662" t="str">
        <f t="shared" si="329"/>
        <v>LTK</v>
      </c>
      <c r="AL3012" s="662" t="str">
        <f t="shared" si="330"/>
        <v>FRD</v>
      </c>
      <c r="AM3012" s="662" t="str">
        <f t="shared" si="326"/>
        <v>F350 Chassis Cab-Super Cab XLT SRW-2WD-6-~-12900-6.7L Diesel-8-X3E-633A-168-40-Diesel-BioDiesel</v>
      </c>
      <c r="AN3012" s="662" t="str">
        <f t="shared" si="331"/>
        <v>2019-LTK-FRD-F35C-071</v>
      </c>
    </row>
    <row r="3013" spans="1:40" ht="15">
      <c r="A3013" s="570" t="s">
        <v>5171</v>
      </c>
      <c r="B3013" s="573" t="s">
        <v>5165</v>
      </c>
      <c r="C3013" s="573" t="s">
        <v>287</v>
      </c>
      <c r="D3013" s="578">
        <v>26</v>
      </c>
      <c r="E3013" s="573" t="s">
        <v>3374</v>
      </c>
      <c r="F3013" s="573" t="s">
        <v>1684</v>
      </c>
      <c r="G3013" s="573" t="s">
        <v>271</v>
      </c>
      <c r="H3013" s="573">
        <v>2019</v>
      </c>
      <c r="I3013" s="573" t="s">
        <v>4879</v>
      </c>
      <c r="J3013" s="573" t="s">
        <v>5166</v>
      </c>
      <c r="K3013" s="573" t="s">
        <v>3377</v>
      </c>
      <c r="L3013" s="573">
        <v>6</v>
      </c>
      <c r="M3013" s="573">
        <v>0</v>
      </c>
      <c r="N3013" s="573" t="s">
        <v>157</v>
      </c>
      <c r="O3013" s="573">
        <v>2</v>
      </c>
      <c r="P3013" s="573" t="s">
        <v>157</v>
      </c>
      <c r="Q3013" s="571">
        <v>12900</v>
      </c>
      <c r="R3013" s="573" t="s">
        <v>4235</v>
      </c>
      <c r="S3013" s="573">
        <v>8</v>
      </c>
      <c r="T3013" s="573" t="s">
        <v>5121</v>
      </c>
      <c r="U3013" s="573" t="s">
        <v>4950</v>
      </c>
      <c r="V3013" s="573">
        <v>168</v>
      </c>
      <c r="W3013" s="573">
        <v>40</v>
      </c>
      <c r="X3013" s="571">
        <v>10900</v>
      </c>
      <c r="Y3013" s="569" t="s">
        <v>164</v>
      </c>
      <c r="Z3013" s="579" t="s">
        <v>450</v>
      </c>
      <c r="AA3013" s="579" t="s">
        <v>178</v>
      </c>
      <c r="AB3013" s="584">
        <v>40780</v>
      </c>
      <c r="AC3013" s="584" t="s">
        <v>164</v>
      </c>
      <c r="AD3013" s="584">
        <v>32006</v>
      </c>
      <c r="AE3013" s="586">
        <v>0.05</v>
      </c>
      <c r="AF3013" s="661" t="str">
        <f t="shared" si="325"/>
        <v>2019-LTK-FRD-F35C-070-26</v>
      </c>
      <c r="AG3013" s="661" t="str">
        <f>IF(AND($Y3013&gt;=32,(AI3013="I"),(Y3013&lt;&gt;"~"),(COUNTIF($AN$1:$AN3013,$AN3013)=1)),"TRUE","FALSE")</f>
        <v>FALSE</v>
      </c>
      <c r="AH3013" s="661" t="str">
        <f>IF(AND($Y3013&gt;=22, (AI3013&lt;&gt;"I"),(Y3013&lt;&gt;"~"),(COUNTIF($AN$1:$AN3013,$AN3013)=1)),"TRUE","FALSE")</f>
        <v>FALSE</v>
      </c>
      <c r="AI3013" s="661" t="str">
        <f t="shared" si="327"/>
        <v>N/A</v>
      </c>
      <c r="AJ3013" s="662" t="str">
        <f t="shared" si="328"/>
        <v>F35C-070</v>
      </c>
      <c r="AK3013" s="662" t="str">
        <f t="shared" si="329"/>
        <v>LTK</v>
      </c>
      <c r="AL3013" s="662" t="str">
        <f t="shared" si="330"/>
        <v>FRD</v>
      </c>
      <c r="AM3013" s="662" t="str">
        <f t="shared" si="326"/>
        <v>F350 Chassis Cab-Super Cab XLT SRW-2WD-6-~-12900-6.2L FFV-8-X3E-633A-168-40-E85-Unleaded</v>
      </c>
      <c r="AN3013" s="662" t="str">
        <f t="shared" si="331"/>
        <v>2019-LTK-FRD-F35C-070</v>
      </c>
    </row>
    <row r="3014" spans="1:40" ht="15">
      <c r="A3014" s="570" t="s">
        <v>5172</v>
      </c>
      <c r="B3014" s="569" t="s">
        <v>5168</v>
      </c>
      <c r="C3014" s="569" t="s">
        <v>287</v>
      </c>
      <c r="D3014" s="580">
        <v>26</v>
      </c>
      <c r="E3014" s="569" t="s">
        <v>3374</v>
      </c>
      <c r="F3014" s="569" t="s">
        <v>1684</v>
      </c>
      <c r="G3014" s="569" t="s">
        <v>271</v>
      </c>
      <c r="H3014" s="569">
        <v>2019</v>
      </c>
      <c r="I3014" s="569" t="s">
        <v>4879</v>
      </c>
      <c r="J3014" s="569" t="s">
        <v>5166</v>
      </c>
      <c r="K3014" s="569" t="s">
        <v>3377</v>
      </c>
      <c r="L3014" s="569">
        <v>6</v>
      </c>
      <c r="M3014" s="569">
        <v>0</v>
      </c>
      <c r="N3014" s="569" t="s">
        <v>157</v>
      </c>
      <c r="O3014" s="569">
        <v>2</v>
      </c>
      <c r="P3014" s="569" t="s">
        <v>157</v>
      </c>
      <c r="Q3014" s="568">
        <v>12900</v>
      </c>
      <c r="R3014" s="569" t="s">
        <v>4231</v>
      </c>
      <c r="S3014" s="569">
        <v>8</v>
      </c>
      <c r="T3014" s="569" t="s">
        <v>5121</v>
      </c>
      <c r="U3014" s="569" t="s">
        <v>4950</v>
      </c>
      <c r="V3014" s="569">
        <v>168</v>
      </c>
      <c r="W3014" s="569">
        <v>40</v>
      </c>
      <c r="X3014" s="568">
        <v>11500</v>
      </c>
      <c r="Y3014" s="569" t="s">
        <v>164</v>
      </c>
      <c r="Z3014" s="581" t="s">
        <v>728</v>
      </c>
      <c r="AA3014" s="581" t="s">
        <v>1523</v>
      </c>
      <c r="AB3014" s="585">
        <v>49775</v>
      </c>
      <c r="AC3014" s="585" t="s">
        <v>164</v>
      </c>
      <c r="AD3014" s="585">
        <v>40200</v>
      </c>
      <c r="AE3014" s="587">
        <v>0.05</v>
      </c>
      <c r="AF3014" s="661" t="str">
        <f t="shared" si="325"/>
        <v>2019-LTK-FRD-F35C-071-26</v>
      </c>
      <c r="AG3014" s="661" t="str">
        <f>IF(AND($Y3014&gt;=32,(AI3014="I"),(Y3014&lt;&gt;"~"),(COUNTIF($AN$1:$AN3014,$AN3014)=1)),"TRUE","FALSE")</f>
        <v>FALSE</v>
      </c>
      <c r="AH3014" s="661" t="str">
        <f>IF(AND($Y3014&gt;=22, (AI3014&lt;&gt;"I"),(Y3014&lt;&gt;"~"),(COUNTIF($AN$1:$AN3014,$AN3014)=1)),"TRUE","FALSE")</f>
        <v>FALSE</v>
      </c>
      <c r="AI3014" s="661" t="str">
        <f t="shared" si="327"/>
        <v>N/A</v>
      </c>
      <c r="AJ3014" s="662" t="str">
        <f t="shared" si="328"/>
        <v>F35C-071</v>
      </c>
      <c r="AK3014" s="662" t="str">
        <f t="shared" si="329"/>
        <v>LTK</v>
      </c>
      <c r="AL3014" s="662" t="str">
        <f t="shared" si="330"/>
        <v>FRD</v>
      </c>
      <c r="AM3014" s="662" t="str">
        <f t="shared" si="326"/>
        <v>F350 Chassis Cab-Super Cab XLT SRW-2WD-6-~-12900-6.7L Diesel-8-X3E-633A-168-40-Diesel-BioDiesel</v>
      </c>
      <c r="AN3014" s="662" t="str">
        <f t="shared" si="331"/>
        <v>2019-LTK-FRD-F35C-071</v>
      </c>
    </row>
    <row r="3015" spans="1:40" ht="15">
      <c r="A3015" s="570" t="s">
        <v>5173</v>
      </c>
      <c r="B3015" s="573" t="s">
        <v>5165</v>
      </c>
      <c r="C3015" s="573" t="s">
        <v>280</v>
      </c>
      <c r="D3015" s="578">
        <v>27</v>
      </c>
      <c r="E3015" s="573" t="s">
        <v>3374</v>
      </c>
      <c r="F3015" s="573" t="s">
        <v>1684</v>
      </c>
      <c r="G3015" s="573" t="s">
        <v>271</v>
      </c>
      <c r="H3015" s="573">
        <v>2019</v>
      </c>
      <c r="I3015" s="573" t="s">
        <v>4879</v>
      </c>
      <c r="J3015" s="573" t="s">
        <v>5166</v>
      </c>
      <c r="K3015" s="573" t="s">
        <v>3377</v>
      </c>
      <c r="L3015" s="573">
        <v>6</v>
      </c>
      <c r="M3015" s="573">
        <v>0</v>
      </c>
      <c r="N3015" s="573" t="s">
        <v>157</v>
      </c>
      <c r="O3015" s="573">
        <v>2</v>
      </c>
      <c r="P3015" s="573" t="s">
        <v>157</v>
      </c>
      <c r="Q3015" s="571">
        <v>12800</v>
      </c>
      <c r="R3015" s="573" t="s">
        <v>4235</v>
      </c>
      <c r="S3015" s="573">
        <v>8</v>
      </c>
      <c r="T3015" s="573" t="s">
        <v>5121</v>
      </c>
      <c r="U3015" s="573" t="s">
        <v>4950</v>
      </c>
      <c r="V3015" s="573">
        <v>168</v>
      </c>
      <c r="W3015" s="573">
        <v>40</v>
      </c>
      <c r="X3015" s="571">
        <v>10900</v>
      </c>
      <c r="Y3015" s="569" t="s">
        <v>164</v>
      </c>
      <c r="Z3015" s="579" t="s">
        <v>450</v>
      </c>
      <c r="AA3015" s="579" t="s">
        <v>178</v>
      </c>
      <c r="AB3015" s="584">
        <v>41230</v>
      </c>
      <c r="AC3015" s="584" t="s">
        <v>164</v>
      </c>
      <c r="AD3015" s="584">
        <v>31778.652631578949</v>
      </c>
      <c r="AE3015" s="586">
        <v>0.03</v>
      </c>
      <c r="AF3015" s="661" t="str">
        <f t="shared" si="325"/>
        <v>2019-LTK-FRD-F35C-070-27</v>
      </c>
      <c r="AG3015" s="661" t="str">
        <f>IF(AND($Y3015&gt;=32,(AI3015="I"),(Y3015&lt;&gt;"~"),(COUNTIF($AN$1:$AN3015,$AN3015)=1)),"TRUE","FALSE")</f>
        <v>FALSE</v>
      </c>
      <c r="AH3015" s="661" t="str">
        <f>IF(AND($Y3015&gt;=22, (AI3015&lt;&gt;"I"),(Y3015&lt;&gt;"~"),(COUNTIF($AN$1:$AN3015,$AN3015)=1)),"TRUE","FALSE")</f>
        <v>FALSE</v>
      </c>
      <c r="AI3015" s="661" t="str">
        <f t="shared" si="327"/>
        <v>N/A</v>
      </c>
      <c r="AJ3015" s="662" t="str">
        <f t="shared" si="328"/>
        <v>F35C-070</v>
      </c>
      <c r="AK3015" s="662" t="str">
        <f t="shared" si="329"/>
        <v>LTK</v>
      </c>
      <c r="AL3015" s="662" t="str">
        <f t="shared" si="330"/>
        <v>FRD</v>
      </c>
      <c r="AM3015" s="662" t="str">
        <f t="shared" si="326"/>
        <v>F350 Chassis Cab-Super Cab XLT SRW-2WD-6-~-12800-6.2L FFV-8-X3E-633A-168-40-E85-Unleaded</v>
      </c>
      <c r="AN3015" s="662" t="str">
        <f t="shared" si="331"/>
        <v>2019-LTK-FRD-F35C-070</v>
      </c>
    </row>
    <row r="3016" spans="1:40" ht="15">
      <c r="A3016" s="570" t="s">
        <v>5174</v>
      </c>
      <c r="B3016" s="569" t="s">
        <v>5168</v>
      </c>
      <c r="C3016" s="569" t="s">
        <v>280</v>
      </c>
      <c r="D3016" s="580">
        <v>27</v>
      </c>
      <c r="E3016" s="569" t="s">
        <v>3374</v>
      </c>
      <c r="F3016" s="569" t="s">
        <v>1684</v>
      </c>
      <c r="G3016" s="569" t="s">
        <v>271</v>
      </c>
      <c r="H3016" s="569">
        <v>2019</v>
      </c>
      <c r="I3016" s="569" t="s">
        <v>4879</v>
      </c>
      <c r="J3016" s="569" t="s">
        <v>5166</v>
      </c>
      <c r="K3016" s="569" t="s">
        <v>3377</v>
      </c>
      <c r="L3016" s="569">
        <v>6</v>
      </c>
      <c r="M3016" s="569">
        <v>0</v>
      </c>
      <c r="N3016" s="569" t="s">
        <v>157</v>
      </c>
      <c r="O3016" s="569">
        <v>2</v>
      </c>
      <c r="P3016" s="569" t="s">
        <v>157</v>
      </c>
      <c r="Q3016" s="568">
        <v>12800</v>
      </c>
      <c r="R3016" s="569" t="s">
        <v>4231</v>
      </c>
      <c r="S3016" s="569">
        <v>8</v>
      </c>
      <c r="T3016" s="569" t="s">
        <v>5121</v>
      </c>
      <c r="U3016" s="569" t="s">
        <v>4950</v>
      </c>
      <c r="V3016" s="569">
        <v>168</v>
      </c>
      <c r="W3016" s="569">
        <v>40</v>
      </c>
      <c r="X3016" s="568">
        <v>11500</v>
      </c>
      <c r="Y3016" s="569" t="s">
        <v>164</v>
      </c>
      <c r="Z3016" s="581" t="s">
        <v>728</v>
      </c>
      <c r="AA3016" s="581" t="s">
        <v>1523</v>
      </c>
      <c r="AB3016" s="585">
        <v>50350</v>
      </c>
      <c r="AC3016" s="585" t="s">
        <v>164</v>
      </c>
      <c r="AD3016" s="585">
        <v>39970.84210526316</v>
      </c>
      <c r="AE3016" s="587">
        <v>0.03</v>
      </c>
      <c r="AF3016" s="661" t="str">
        <f t="shared" si="325"/>
        <v>2019-LTK-FRD-F35C-071-27</v>
      </c>
      <c r="AG3016" s="661" t="str">
        <f>IF(AND($Y3016&gt;=32,(AI3016="I"),(Y3016&lt;&gt;"~"),(COUNTIF($AN$1:$AN3016,$AN3016)=1)),"TRUE","FALSE")</f>
        <v>FALSE</v>
      </c>
      <c r="AH3016" s="661" t="str">
        <f>IF(AND($Y3016&gt;=22, (AI3016&lt;&gt;"I"),(Y3016&lt;&gt;"~"),(COUNTIF($AN$1:$AN3016,$AN3016)=1)),"TRUE","FALSE")</f>
        <v>FALSE</v>
      </c>
      <c r="AI3016" s="661" t="str">
        <f t="shared" si="327"/>
        <v>N/A</v>
      </c>
      <c r="AJ3016" s="662" t="str">
        <f t="shared" si="328"/>
        <v>F35C-071</v>
      </c>
      <c r="AK3016" s="662" t="str">
        <f t="shared" si="329"/>
        <v>LTK</v>
      </c>
      <c r="AL3016" s="662" t="str">
        <f t="shared" si="330"/>
        <v>FRD</v>
      </c>
      <c r="AM3016" s="662" t="str">
        <f t="shared" si="326"/>
        <v>F350 Chassis Cab-Super Cab XLT SRW-2WD-6-~-12800-6.7L Diesel-8-X3E-633A-168-40-Diesel-BioDiesel</v>
      </c>
      <c r="AN3016" s="662" t="str">
        <f t="shared" si="331"/>
        <v>2019-LTK-FRD-F35C-071</v>
      </c>
    </row>
    <row r="3017" spans="1:40" ht="15">
      <c r="A3017" s="570" t="s">
        <v>5175</v>
      </c>
      <c r="B3017" s="573" t="s">
        <v>5176</v>
      </c>
      <c r="C3017" s="573" t="s">
        <v>269</v>
      </c>
      <c r="D3017" s="578" t="s">
        <v>270</v>
      </c>
      <c r="E3017" s="573" t="s">
        <v>3374</v>
      </c>
      <c r="F3017" s="573" t="s">
        <v>1684</v>
      </c>
      <c r="G3017" s="573" t="s">
        <v>271</v>
      </c>
      <c r="H3017" s="573">
        <v>2019</v>
      </c>
      <c r="I3017" s="573" t="s">
        <v>4879</v>
      </c>
      <c r="J3017" s="573" t="s">
        <v>5166</v>
      </c>
      <c r="K3017" s="573" t="s">
        <v>752</v>
      </c>
      <c r="L3017" s="573">
        <v>6</v>
      </c>
      <c r="M3017" s="573">
        <v>0</v>
      </c>
      <c r="N3017" s="573" t="s">
        <v>157</v>
      </c>
      <c r="O3017" s="573">
        <v>2</v>
      </c>
      <c r="P3017" s="573" t="s">
        <v>157</v>
      </c>
      <c r="Q3017" s="571">
        <v>12200</v>
      </c>
      <c r="R3017" s="573" t="s">
        <v>4235</v>
      </c>
      <c r="S3017" s="573">
        <v>8</v>
      </c>
      <c r="T3017" s="573" t="s">
        <v>5132</v>
      </c>
      <c r="U3017" s="573" t="s">
        <v>4950</v>
      </c>
      <c r="V3017" s="573">
        <v>168</v>
      </c>
      <c r="W3017" s="573">
        <v>40</v>
      </c>
      <c r="X3017" s="571">
        <v>11300</v>
      </c>
      <c r="Y3017" s="569" t="s">
        <v>164</v>
      </c>
      <c r="Z3017" s="579" t="s">
        <v>450</v>
      </c>
      <c r="AA3017" s="579" t="s">
        <v>178</v>
      </c>
      <c r="AB3017" s="584">
        <v>44725</v>
      </c>
      <c r="AC3017" s="584" t="s">
        <v>164</v>
      </c>
      <c r="AD3017" s="584">
        <v>35007.073684210533</v>
      </c>
      <c r="AE3017" s="586">
        <v>0.03</v>
      </c>
      <c r="AF3017" s="661" t="str">
        <f t="shared" si="325"/>
        <v>2019-LTK-FRD-F35C-072-05</v>
      </c>
      <c r="AG3017" s="661" t="str">
        <f>IF(AND($Y3017&gt;=32,(AI3017="I"),(Y3017&lt;&gt;"~"),(COUNTIF($AN$1:$AN3017,$AN3017)=1)),"TRUE","FALSE")</f>
        <v>FALSE</v>
      </c>
      <c r="AH3017" s="661" t="str">
        <f>IF(AND($Y3017&gt;=22, (AI3017&lt;&gt;"I"),(Y3017&lt;&gt;"~"),(COUNTIF($AN$1:$AN3017,$AN3017)=1)),"TRUE","FALSE")</f>
        <v>TRUE</v>
      </c>
      <c r="AI3017" s="661" t="str">
        <f t="shared" si="327"/>
        <v>N/A</v>
      </c>
      <c r="AJ3017" s="662" t="str">
        <f t="shared" si="328"/>
        <v>F35C-072</v>
      </c>
      <c r="AK3017" s="662" t="str">
        <f t="shared" si="329"/>
        <v>LTK</v>
      </c>
      <c r="AL3017" s="662" t="str">
        <f t="shared" si="330"/>
        <v>FRD</v>
      </c>
      <c r="AM3017" s="662" t="str">
        <f t="shared" si="326"/>
        <v>F350 Chassis Cab-Super Cab XLT SRW-4WD-6-~-12200-6.2L FFV-8-X3F-633A-168-40-E85-Unleaded</v>
      </c>
      <c r="AN3017" s="662" t="str">
        <f t="shared" si="331"/>
        <v>2019-LTK-FRD-F35C-072</v>
      </c>
    </row>
    <row r="3018" spans="1:40" ht="15">
      <c r="A3018" s="570" t="s">
        <v>5177</v>
      </c>
      <c r="B3018" s="569" t="s">
        <v>5178</v>
      </c>
      <c r="C3018" s="569" t="s">
        <v>269</v>
      </c>
      <c r="D3018" s="580" t="s">
        <v>270</v>
      </c>
      <c r="E3018" s="569" t="s">
        <v>3374</v>
      </c>
      <c r="F3018" s="569" t="s">
        <v>1684</v>
      </c>
      <c r="G3018" s="569" t="s">
        <v>271</v>
      </c>
      <c r="H3018" s="569">
        <v>2019</v>
      </c>
      <c r="I3018" s="569" t="s">
        <v>4879</v>
      </c>
      <c r="J3018" s="569" t="s">
        <v>5166</v>
      </c>
      <c r="K3018" s="569" t="s">
        <v>752</v>
      </c>
      <c r="L3018" s="569">
        <v>6</v>
      </c>
      <c r="M3018" s="569">
        <v>0</v>
      </c>
      <c r="N3018" s="569" t="s">
        <v>157</v>
      </c>
      <c r="O3018" s="569">
        <v>2</v>
      </c>
      <c r="P3018" s="569" t="s">
        <v>157</v>
      </c>
      <c r="Q3018" s="568">
        <v>12400</v>
      </c>
      <c r="R3018" s="569" t="s">
        <v>4235</v>
      </c>
      <c r="S3018" s="569">
        <v>8</v>
      </c>
      <c r="T3018" s="569" t="s">
        <v>5132</v>
      </c>
      <c r="U3018" s="569" t="s">
        <v>4950</v>
      </c>
      <c r="V3018" s="569">
        <v>168</v>
      </c>
      <c r="W3018" s="569">
        <v>40</v>
      </c>
      <c r="X3018" s="568">
        <v>11300</v>
      </c>
      <c r="Y3018" s="569" t="s">
        <v>164</v>
      </c>
      <c r="Z3018" s="581" t="s">
        <v>450</v>
      </c>
      <c r="AA3018" s="581" t="s">
        <v>178</v>
      </c>
      <c r="AB3018" s="585">
        <v>44725</v>
      </c>
      <c r="AC3018" s="585" t="s">
        <v>164</v>
      </c>
      <c r="AD3018" s="585">
        <v>35007.073684210533</v>
      </c>
      <c r="AE3018" s="587">
        <v>0.03</v>
      </c>
      <c r="AF3018" s="661" t="str">
        <f t="shared" si="325"/>
        <v>2019-LTK-FRD-F35C-073-05</v>
      </c>
      <c r="AG3018" s="661" t="str">
        <f>IF(AND($Y3018&gt;=32,(AI3018="I"),(Y3018&lt;&gt;"~"),(COUNTIF($AN$1:$AN3018,$AN3018)=1)),"TRUE","FALSE")</f>
        <v>FALSE</v>
      </c>
      <c r="AH3018" s="661" t="str">
        <f>IF(AND($Y3018&gt;=22, (AI3018&lt;&gt;"I"),(Y3018&lt;&gt;"~"),(COUNTIF($AN$1:$AN3018,$AN3018)=1)),"TRUE","FALSE")</f>
        <v>TRUE</v>
      </c>
      <c r="AI3018" s="661" t="str">
        <f t="shared" si="327"/>
        <v>N/A</v>
      </c>
      <c r="AJ3018" s="662" t="str">
        <f t="shared" si="328"/>
        <v>F35C-073</v>
      </c>
      <c r="AK3018" s="662" t="str">
        <f t="shared" si="329"/>
        <v>LTK</v>
      </c>
      <c r="AL3018" s="662" t="str">
        <f t="shared" si="330"/>
        <v>FRD</v>
      </c>
      <c r="AM3018" s="662" t="str">
        <f t="shared" si="326"/>
        <v>F350 Chassis Cab-Super Cab XLT SRW-4WD-6-~-12400-6.2L FFV-8-X3F-633A-168-40-E85-Unleaded</v>
      </c>
      <c r="AN3018" s="662" t="str">
        <f t="shared" si="331"/>
        <v>2019-LTK-FRD-F35C-073</v>
      </c>
    </row>
    <row r="3019" spans="1:40" ht="15">
      <c r="A3019" s="570" t="s">
        <v>5179</v>
      </c>
      <c r="B3019" s="573" t="s">
        <v>5180</v>
      </c>
      <c r="C3019" s="573" t="s">
        <v>269</v>
      </c>
      <c r="D3019" s="578" t="s">
        <v>270</v>
      </c>
      <c r="E3019" s="573" t="s">
        <v>3374</v>
      </c>
      <c r="F3019" s="573" t="s">
        <v>1684</v>
      </c>
      <c r="G3019" s="573" t="s">
        <v>271</v>
      </c>
      <c r="H3019" s="573">
        <v>2019</v>
      </c>
      <c r="I3019" s="573" t="s">
        <v>4879</v>
      </c>
      <c r="J3019" s="573" t="s">
        <v>5166</v>
      </c>
      <c r="K3019" s="573" t="s">
        <v>752</v>
      </c>
      <c r="L3019" s="573">
        <v>6</v>
      </c>
      <c r="M3019" s="573">
        <v>0</v>
      </c>
      <c r="N3019" s="573" t="s">
        <v>157</v>
      </c>
      <c r="O3019" s="573">
        <v>2</v>
      </c>
      <c r="P3019" s="573" t="s">
        <v>157</v>
      </c>
      <c r="Q3019" s="571">
        <v>12400</v>
      </c>
      <c r="R3019" s="573" t="s">
        <v>4231</v>
      </c>
      <c r="S3019" s="573">
        <v>8</v>
      </c>
      <c r="T3019" s="573" t="s">
        <v>5132</v>
      </c>
      <c r="U3019" s="573" t="s">
        <v>4950</v>
      </c>
      <c r="V3019" s="573">
        <v>168</v>
      </c>
      <c r="W3019" s="573">
        <v>40</v>
      </c>
      <c r="X3019" s="571">
        <v>11500</v>
      </c>
      <c r="Y3019" s="569" t="s">
        <v>164</v>
      </c>
      <c r="Z3019" s="579" t="s">
        <v>728</v>
      </c>
      <c r="AA3019" s="579" t="s">
        <v>1523</v>
      </c>
      <c r="AB3019" s="584">
        <v>53845</v>
      </c>
      <c r="AC3019" s="584" t="s">
        <v>164</v>
      </c>
      <c r="AD3019" s="584">
        <v>43199.26315789474</v>
      </c>
      <c r="AE3019" s="586">
        <v>0.03</v>
      </c>
      <c r="AF3019" s="661" t="str">
        <f t="shared" si="325"/>
        <v>2019-LTK-FRD-F35C-074-05</v>
      </c>
      <c r="AG3019" s="661" t="str">
        <f>IF(AND($Y3019&gt;=32,(AI3019="I"),(Y3019&lt;&gt;"~"),(COUNTIF($AN$1:$AN3019,$AN3019)=1)),"TRUE","FALSE")</f>
        <v>FALSE</v>
      </c>
      <c r="AH3019" s="661" t="str">
        <f>IF(AND($Y3019&gt;=22, (AI3019&lt;&gt;"I"),(Y3019&lt;&gt;"~"),(COUNTIF($AN$1:$AN3019,$AN3019)=1)),"TRUE","FALSE")</f>
        <v>TRUE</v>
      </c>
      <c r="AI3019" s="661" t="str">
        <f t="shared" si="327"/>
        <v>N/A</v>
      </c>
      <c r="AJ3019" s="662" t="str">
        <f t="shared" si="328"/>
        <v>F35C-074</v>
      </c>
      <c r="AK3019" s="662" t="str">
        <f t="shared" si="329"/>
        <v>LTK</v>
      </c>
      <c r="AL3019" s="662" t="str">
        <f t="shared" si="330"/>
        <v>FRD</v>
      </c>
      <c r="AM3019" s="662" t="str">
        <f t="shared" si="326"/>
        <v>F350 Chassis Cab-Super Cab XLT SRW-4WD-6-~-12400-6.7L Diesel-8-X3F-633A-168-40-Diesel-BioDiesel</v>
      </c>
      <c r="AN3019" s="662" t="str">
        <f t="shared" si="331"/>
        <v>2019-LTK-FRD-F35C-074</v>
      </c>
    </row>
    <row r="3020" spans="1:40" ht="15">
      <c r="A3020" s="570" t="s">
        <v>5181</v>
      </c>
      <c r="B3020" s="569" t="s">
        <v>5178</v>
      </c>
      <c r="C3020" s="569" t="s">
        <v>278</v>
      </c>
      <c r="D3020" s="580">
        <v>15</v>
      </c>
      <c r="E3020" s="569" t="s">
        <v>3374</v>
      </c>
      <c r="F3020" s="569" t="s">
        <v>1684</v>
      </c>
      <c r="G3020" s="569" t="s">
        <v>271</v>
      </c>
      <c r="H3020" s="569">
        <v>2019</v>
      </c>
      <c r="I3020" s="569" t="s">
        <v>4879</v>
      </c>
      <c r="J3020" s="569" t="s">
        <v>5166</v>
      </c>
      <c r="K3020" s="569" t="s">
        <v>752</v>
      </c>
      <c r="L3020" s="569">
        <v>6</v>
      </c>
      <c r="M3020" s="569">
        <v>0</v>
      </c>
      <c r="N3020" s="569" t="s">
        <v>157</v>
      </c>
      <c r="O3020" s="569">
        <v>2</v>
      </c>
      <c r="P3020" s="569" t="s">
        <v>157</v>
      </c>
      <c r="Q3020" s="568">
        <v>12400</v>
      </c>
      <c r="R3020" s="569" t="s">
        <v>4235</v>
      </c>
      <c r="S3020" s="569">
        <v>8</v>
      </c>
      <c r="T3020" s="569" t="s">
        <v>5132</v>
      </c>
      <c r="U3020" s="569" t="s">
        <v>4950</v>
      </c>
      <c r="V3020" s="569">
        <v>168</v>
      </c>
      <c r="W3020" s="569">
        <v>40</v>
      </c>
      <c r="X3020" s="568">
        <v>11300</v>
      </c>
      <c r="Y3020" s="569" t="s">
        <v>164</v>
      </c>
      <c r="Z3020" s="581" t="s">
        <v>450</v>
      </c>
      <c r="AA3020" s="581" t="s">
        <v>178</v>
      </c>
      <c r="AB3020" s="585">
        <v>44725</v>
      </c>
      <c r="AC3020" s="585" t="s">
        <v>164</v>
      </c>
      <c r="AD3020" s="585">
        <v>35200</v>
      </c>
      <c r="AE3020" s="587">
        <v>0.01</v>
      </c>
      <c r="AF3020" s="661" t="str">
        <f t="shared" ref="AF3020:AF3083" si="332">A3020</f>
        <v>2019-LTK-FRD-F35C-073-15</v>
      </c>
      <c r="AG3020" s="661" t="str">
        <f>IF(AND($Y3020&gt;=32,(AI3020="I"),(Y3020&lt;&gt;"~"),(COUNTIF($AN$1:$AN3020,$AN3020)=1)),"TRUE","FALSE")</f>
        <v>FALSE</v>
      </c>
      <c r="AH3020" s="661" t="str">
        <f>IF(AND($Y3020&gt;=22, (AI3020&lt;&gt;"I"),(Y3020&lt;&gt;"~"),(COUNTIF($AN$1:$AN3020,$AN3020)=1)),"TRUE","FALSE")</f>
        <v>FALSE</v>
      </c>
      <c r="AI3020" s="661" t="str">
        <f t="shared" si="327"/>
        <v>N/A</v>
      </c>
      <c r="AJ3020" s="662" t="str">
        <f t="shared" si="328"/>
        <v>F35C-073</v>
      </c>
      <c r="AK3020" s="662" t="str">
        <f t="shared" si="329"/>
        <v>LTK</v>
      </c>
      <c r="AL3020" s="662" t="str">
        <f t="shared" si="330"/>
        <v>FRD</v>
      </c>
      <c r="AM3020" s="662" t="str">
        <f t="shared" si="326"/>
        <v>F350 Chassis Cab-Super Cab XLT SRW-4WD-6-~-12400-6.2L FFV-8-X3F-633A-168-40-E85-Unleaded</v>
      </c>
      <c r="AN3020" s="662" t="str">
        <f t="shared" si="331"/>
        <v>2019-LTK-FRD-F35C-073</v>
      </c>
    </row>
    <row r="3021" spans="1:40" ht="15">
      <c r="A3021" s="570" t="s">
        <v>5182</v>
      </c>
      <c r="B3021" s="573" t="s">
        <v>5180</v>
      </c>
      <c r="C3021" s="573" t="s">
        <v>278</v>
      </c>
      <c r="D3021" s="578">
        <v>15</v>
      </c>
      <c r="E3021" s="573" t="s">
        <v>3374</v>
      </c>
      <c r="F3021" s="573" t="s">
        <v>1684</v>
      </c>
      <c r="G3021" s="573" t="s">
        <v>271</v>
      </c>
      <c r="H3021" s="573">
        <v>2019</v>
      </c>
      <c r="I3021" s="573" t="s">
        <v>4879</v>
      </c>
      <c r="J3021" s="573" t="s">
        <v>5166</v>
      </c>
      <c r="K3021" s="573" t="s">
        <v>752</v>
      </c>
      <c r="L3021" s="573">
        <v>6</v>
      </c>
      <c r="M3021" s="573">
        <v>0</v>
      </c>
      <c r="N3021" s="573" t="s">
        <v>157</v>
      </c>
      <c r="O3021" s="573">
        <v>2</v>
      </c>
      <c r="P3021" s="573" t="s">
        <v>157</v>
      </c>
      <c r="Q3021" s="571">
        <v>12400</v>
      </c>
      <c r="R3021" s="573" t="s">
        <v>4231</v>
      </c>
      <c r="S3021" s="573">
        <v>8</v>
      </c>
      <c r="T3021" s="573" t="s">
        <v>5132</v>
      </c>
      <c r="U3021" s="573" t="s">
        <v>4950</v>
      </c>
      <c r="V3021" s="573">
        <v>168</v>
      </c>
      <c r="W3021" s="573">
        <v>40</v>
      </c>
      <c r="X3021" s="571">
        <v>11500</v>
      </c>
      <c r="Y3021" s="569" t="s">
        <v>164</v>
      </c>
      <c r="Z3021" s="579" t="s">
        <v>728</v>
      </c>
      <c r="AA3021" s="579" t="s">
        <v>1523</v>
      </c>
      <c r="AB3021" s="584">
        <v>53845</v>
      </c>
      <c r="AC3021" s="584" t="s">
        <v>164</v>
      </c>
      <c r="AD3021" s="584">
        <v>43500</v>
      </c>
      <c r="AE3021" s="586">
        <v>0.01</v>
      </c>
      <c r="AF3021" s="661" t="str">
        <f t="shared" si="332"/>
        <v>2019-LTK-FRD-F35C-074-15</v>
      </c>
      <c r="AG3021" s="661" t="str">
        <f>IF(AND($Y3021&gt;=32,(AI3021="I"),(Y3021&lt;&gt;"~"),(COUNTIF($AN$1:$AN3021,$AN3021)=1)),"TRUE","FALSE")</f>
        <v>FALSE</v>
      </c>
      <c r="AH3021" s="661" t="str">
        <f>IF(AND($Y3021&gt;=22, (AI3021&lt;&gt;"I"),(Y3021&lt;&gt;"~"),(COUNTIF($AN$1:$AN3021,$AN3021)=1)),"TRUE","FALSE")</f>
        <v>FALSE</v>
      </c>
      <c r="AI3021" s="661" t="str">
        <f t="shared" si="327"/>
        <v>N/A</v>
      </c>
      <c r="AJ3021" s="662" t="str">
        <f t="shared" si="328"/>
        <v>F35C-074</v>
      </c>
      <c r="AK3021" s="662" t="str">
        <f t="shared" si="329"/>
        <v>LTK</v>
      </c>
      <c r="AL3021" s="662" t="str">
        <f t="shared" si="330"/>
        <v>FRD</v>
      </c>
      <c r="AM3021" s="662" t="str">
        <f t="shared" si="326"/>
        <v>F350 Chassis Cab-Super Cab XLT SRW-4WD-6-~-12400-6.7L Diesel-8-X3F-633A-168-40-Diesel-BioDiesel</v>
      </c>
      <c r="AN3021" s="662" t="str">
        <f t="shared" si="331"/>
        <v>2019-LTK-FRD-F35C-074</v>
      </c>
    </row>
    <row r="3022" spans="1:40" ht="15">
      <c r="A3022" s="570" t="s">
        <v>5183</v>
      </c>
      <c r="B3022" s="569" t="s">
        <v>5178</v>
      </c>
      <c r="C3022" s="569" t="s">
        <v>287</v>
      </c>
      <c r="D3022" s="580">
        <v>26</v>
      </c>
      <c r="E3022" s="569" t="s">
        <v>3374</v>
      </c>
      <c r="F3022" s="569" t="s">
        <v>1684</v>
      </c>
      <c r="G3022" s="569" t="s">
        <v>271</v>
      </c>
      <c r="H3022" s="569">
        <v>2019</v>
      </c>
      <c r="I3022" s="569" t="s">
        <v>4879</v>
      </c>
      <c r="J3022" s="569" t="s">
        <v>5166</v>
      </c>
      <c r="K3022" s="569" t="s">
        <v>752</v>
      </c>
      <c r="L3022" s="569">
        <v>6</v>
      </c>
      <c r="M3022" s="569">
        <v>0</v>
      </c>
      <c r="N3022" s="569" t="s">
        <v>157</v>
      </c>
      <c r="O3022" s="569">
        <v>2</v>
      </c>
      <c r="P3022" s="569" t="s">
        <v>157</v>
      </c>
      <c r="Q3022" s="568">
        <v>12400</v>
      </c>
      <c r="R3022" s="569" t="s">
        <v>4235</v>
      </c>
      <c r="S3022" s="569">
        <v>8</v>
      </c>
      <c r="T3022" s="569" t="s">
        <v>5132</v>
      </c>
      <c r="U3022" s="569" t="s">
        <v>4950</v>
      </c>
      <c r="V3022" s="569">
        <v>168</v>
      </c>
      <c r="W3022" s="569">
        <v>40</v>
      </c>
      <c r="X3022" s="568">
        <v>11300</v>
      </c>
      <c r="Y3022" s="569" t="s">
        <v>164</v>
      </c>
      <c r="Z3022" s="581" t="s">
        <v>450</v>
      </c>
      <c r="AA3022" s="581" t="s">
        <v>178</v>
      </c>
      <c r="AB3022" s="585">
        <v>44275</v>
      </c>
      <c r="AC3022" s="585" t="s">
        <v>164</v>
      </c>
      <c r="AD3022" s="585">
        <v>35282</v>
      </c>
      <c r="AE3022" s="587">
        <v>0.05</v>
      </c>
      <c r="AF3022" s="661" t="str">
        <f t="shared" si="332"/>
        <v>2019-LTK-FRD-F35C-073-26</v>
      </c>
      <c r="AG3022" s="661" t="str">
        <f>IF(AND($Y3022&gt;=32,(AI3022="I"),(Y3022&lt;&gt;"~"),(COUNTIF($AN$1:$AN3022,$AN3022)=1)),"TRUE","FALSE")</f>
        <v>FALSE</v>
      </c>
      <c r="AH3022" s="661" t="str">
        <f>IF(AND($Y3022&gt;=22, (AI3022&lt;&gt;"I"),(Y3022&lt;&gt;"~"),(COUNTIF($AN$1:$AN3022,$AN3022)=1)),"TRUE","FALSE")</f>
        <v>FALSE</v>
      </c>
      <c r="AI3022" s="661" t="str">
        <f t="shared" si="327"/>
        <v>N/A</v>
      </c>
      <c r="AJ3022" s="662" t="str">
        <f t="shared" si="328"/>
        <v>F35C-073</v>
      </c>
      <c r="AK3022" s="662" t="str">
        <f t="shared" si="329"/>
        <v>LTK</v>
      </c>
      <c r="AL3022" s="662" t="str">
        <f t="shared" si="330"/>
        <v>FRD</v>
      </c>
      <c r="AM3022" s="662" t="str">
        <f t="shared" si="326"/>
        <v>F350 Chassis Cab-Super Cab XLT SRW-4WD-6-~-12400-6.2L FFV-8-X3F-633A-168-40-E85-Unleaded</v>
      </c>
      <c r="AN3022" s="662" t="str">
        <f t="shared" si="331"/>
        <v>2019-LTK-FRD-F35C-073</v>
      </c>
    </row>
    <row r="3023" spans="1:40" ht="15">
      <c r="A3023" s="570" t="s">
        <v>5184</v>
      </c>
      <c r="B3023" s="573" t="s">
        <v>5180</v>
      </c>
      <c r="C3023" s="573" t="s">
        <v>287</v>
      </c>
      <c r="D3023" s="578">
        <v>26</v>
      </c>
      <c r="E3023" s="573" t="s">
        <v>3374</v>
      </c>
      <c r="F3023" s="573" t="s">
        <v>1684</v>
      </c>
      <c r="G3023" s="573" t="s">
        <v>271</v>
      </c>
      <c r="H3023" s="573">
        <v>2019</v>
      </c>
      <c r="I3023" s="573" t="s">
        <v>4879</v>
      </c>
      <c r="J3023" s="573" t="s">
        <v>5166</v>
      </c>
      <c r="K3023" s="573" t="s">
        <v>752</v>
      </c>
      <c r="L3023" s="573">
        <v>6</v>
      </c>
      <c r="M3023" s="573">
        <v>0</v>
      </c>
      <c r="N3023" s="573" t="s">
        <v>157</v>
      </c>
      <c r="O3023" s="573">
        <v>2</v>
      </c>
      <c r="P3023" s="573" t="s">
        <v>157</v>
      </c>
      <c r="Q3023" s="571">
        <v>12400</v>
      </c>
      <c r="R3023" s="573" t="s">
        <v>4231</v>
      </c>
      <c r="S3023" s="573">
        <v>8</v>
      </c>
      <c r="T3023" s="573" t="s">
        <v>5132</v>
      </c>
      <c r="U3023" s="573" t="s">
        <v>4950</v>
      </c>
      <c r="V3023" s="573">
        <v>168</v>
      </c>
      <c r="W3023" s="573">
        <v>40</v>
      </c>
      <c r="X3023" s="571">
        <v>11500</v>
      </c>
      <c r="Y3023" s="569" t="s">
        <v>164</v>
      </c>
      <c r="Z3023" s="579" t="s">
        <v>728</v>
      </c>
      <c r="AA3023" s="579" t="s">
        <v>1523</v>
      </c>
      <c r="AB3023" s="584">
        <v>53845</v>
      </c>
      <c r="AC3023" s="584" t="s">
        <v>164</v>
      </c>
      <c r="AD3023" s="584">
        <v>43476</v>
      </c>
      <c r="AE3023" s="586">
        <v>0.05</v>
      </c>
      <c r="AF3023" s="661" t="str">
        <f t="shared" si="332"/>
        <v>2019-LTK-FRD-F35C-074-26</v>
      </c>
      <c r="AG3023" s="661" t="str">
        <f>IF(AND($Y3023&gt;=32,(AI3023="I"),(Y3023&lt;&gt;"~"),(COUNTIF($AN$1:$AN3023,$AN3023)=1)),"TRUE","FALSE")</f>
        <v>FALSE</v>
      </c>
      <c r="AH3023" s="661" t="str">
        <f>IF(AND($Y3023&gt;=22, (AI3023&lt;&gt;"I"),(Y3023&lt;&gt;"~"),(COUNTIF($AN$1:$AN3023,$AN3023)=1)),"TRUE","FALSE")</f>
        <v>FALSE</v>
      </c>
      <c r="AI3023" s="661" t="str">
        <f t="shared" si="327"/>
        <v>N/A</v>
      </c>
      <c r="AJ3023" s="662" t="str">
        <f t="shared" si="328"/>
        <v>F35C-074</v>
      </c>
      <c r="AK3023" s="662" t="str">
        <f t="shared" si="329"/>
        <v>LTK</v>
      </c>
      <c r="AL3023" s="662" t="str">
        <f t="shared" si="330"/>
        <v>FRD</v>
      </c>
      <c r="AM3023" s="662" t="str">
        <f t="shared" si="326"/>
        <v>F350 Chassis Cab-Super Cab XLT SRW-4WD-6-~-12400-6.7L Diesel-8-X3F-633A-168-40-Diesel-BioDiesel</v>
      </c>
      <c r="AN3023" s="662" t="str">
        <f t="shared" si="331"/>
        <v>2019-LTK-FRD-F35C-074</v>
      </c>
    </row>
    <row r="3024" spans="1:40" ht="15">
      <c r="A3024" s="570" t="s">
        <v>5185</v>
      </c>
      <c r="B3024" s="569" t="s">
        <v>5176</v>
      </c>
      <c r="C3024" s="569" t="s">
        <v>280</v>
      </c>
      <c r="D3024" s="580">
        <v>27</v>
      </c>
      <c r="E3024" s="569" t="s">
        <v>3374</v>
      </c>
      <c r="F3024" s="569" t="s">
        <v>1684</v>
      </c>
      <c r="G3024" s="569" t="s">
        <v>271</v>
      </c>
      <c r="H3024" s="569">
        <v>2019</v>
      </c>
      <c r="I3024" s="569" t="s">
        <v>4879</v>
      </c>
      <c r="J3024" s="569" t="s">
        <v>5166</v>
      </c>
      <c r="K3024" s="569" t="s">
        <v>752</v>
      </c>
      <c r="L3024" s="569">
        <v>6</v>
      </c>
      <c r="M3024" s="569">
        <v>0</v>
      </c>
      <c r="N3024" s="569" t="s">
        <v>157</v>
      </c>
      <c r="O3024" s="569">
        <v>2</v>
      </c>
      <c r="P3024" s="569" t="s">
        <v>157</v>
      </c>
      <c r="Q3024" s="568">
        <v>12200</v>
      </c>
      <c r="R3024" s="569" t="s">
        <v>4235</v>
      </c>
      <c r="S3024" s="569">
        <v>8</v>
      </c>
      <c r="T3024" s="569" t="s">
        <v>5132</v>
      </c>
      <c r="U3024" s="569" t="s">
        <v>4950</v>
      </c>
      <c r="V3024" s="569">
        <v>168</v>
      </c>
      <c r="W3024" s="569">
        <v>40</v>
      </c>
      <c r="X3024" s="568">
        <v>11300</v>
      </c>
      <c r="Y3024" s="569" t="s">
        <v>164</v>
      </c>
      <c r="Z3024" s="581" t="s">
        <v>450</v>
      </c>
      <c r="AA3024" s="581" t="s">
        <v>178</v>
      </c>
      <c r="AB3024" s="585">
        <v>44725</v>
      </c>
      <c r="AC3024" s="585" t="s">
        <v>164</v>
      </c>
      <c r="AD3024" s="585">
        <v>35007.073684210533</v>
      </c>
      <c r="AE3024" s="587">
        <v>0.03</v>
      </c>
      <c r="AF3024" s="661" t="str">
        <f t="shared" si="332"/>
        <v>2019-LTK-FRD-F35C-072-27</v>
      </c>
      <c r="AG3024" s="661" t="str">
        <f>IF(AND($Y3024&gt;=32,(AI3024="I"),(Y3024&lt;&gt;"~"),(COUNTIF($AN$1:$AN3024,$AN3024)=1)),"TRUE","FALSE")</f>
        <v>FALSE</v>
      </c>
      <c r="AH3024" s="661" t="str">
        <f>IF(AND($Y3024&gt;=22, (AI3024&lt;&gt;"I"),(Y3024&lt;&gt;"~"),(COUNTIF($AN$1:$AN3024,$AN3024)=1)),"TRUE","FALSE")</f>
        <v>FALSE</v>
      </c>
      <c r="AI3024" s="661" t="str">
        <f t="shared" si="327"/>
        <v>N/A</v>
      </c>
      <c r="AJ3024" s="662" t="str">
        <f t="shared" si="328"/>
        <v>F35C-072</v>
      </c>
      <c r="AK3024" s="662" t="str">
        <f t="shared" si="329"/>
        <v>LTK</v>
      </c>
      <c r="AL3024" s="662" t="str">
        <f t="shared" si="330"/>
        <v>FRD</v>
      </c>
      <c r="AM3024" s="662" t="str">
        <f t="shared" si="326"/>
        <v>F350 Chassis Cab-Super Cab XLT SRW-4WD-6-~-12200-6.2L FFV-8-X3F-633A-168-40-E85-Unleaded</v>
      </c>
      <c r="AN3024" s="662" t="str">
        <f t="shared" si="331"/>
        <v>2019-LTK-FRD-F35C-072</v>
      </c>
    </row>
    <row r="3025" spans="1:40" ht="15">
      <c r="A3025" s="570" t="s">
        <v>5186</v>
      </c>
      <c r="B3025" s="573" t="s">
        <v>5178</v>
      </c>
      <c r="C3025" s="573" t="s">
        <v>280</v>
      </c>
      <c r="D3025" s="578">
        <v>27</v>
      </c>
      <c r="E3025" s="573" t="s">
        <v>3374</v>
      </c>
      <c r="F3025" s="573" t="s">
        <v>1684</v>
      </c>
      <c r="G3025" s="573" t="s">
        <v>271</v>
      </c>
      <c r="H3025" s="573">
        <v>2019</v>
      </c>
      <c r="I3025" s="573" t="s">
        <v>4879</v>
      </c>
      <c r="J3025" s="573" t="s">
        <v>5166</v>
      </c>
      <c r="K3025" s="573" t="s">
        <v>752</v>
      </c>
      <c r="L3025" s="573">
        <v>6</v>
      </c>
      <c r="M3025" s="573">
        <v>0</v>
      </c>
      <c r="N3025" s="573" t="s">
        <v>157</v>
      </c>
      <c r="O3025" s="573">
        <v>2</v>
      </c>
      <c r="P3025" s="573" t="s">
        <v>157</v>
      </c>
      <c r="Q3025" s="571">
        <v>12400</v>
      </c>
      <c r="R3025" s="573" t="s">
        <v>4235</v>
      </c>
      <c r="S3025" s="573">
        <v>8</v>
      </c>
      <c r="T3025" s="573" t="s">
        <v>5132</v>
      </c>
      <c r="U3025" s="573" t="s">
        <v>4950</v>
      </c>
      <c r="V3025" s="573">
        <v>168</v>
      </c>
      <c r="W3025" s="573">
        <v>40</v>
      </c>
      <c r="X3025" s="571">
        <v>11300</v>
      </c>
      <c r="Y3025" s="569" t="s">
        <v>164</v>
      </c>
      <c r="Z3025" s="579" t="s">
        <v>450</v>
      </c>
      <c r="AA3025" s="579" t="s">
        <v>178</v>
      </c>
      <c r="AB3025" s="584">
        <v>44725</v>
      </c>
      <c r="AC3025" s="584" t="s">
        <v>164</v>
      </c>
      <c r="AD3025" s="584">
        <v>35007.073684210533</v>
      </c>
      <c r="AE3025" s="586">
        <v>0.03</v>
      </c>
      <c r="AF3025" s="661" t="str">
        <f t="shared" si="332"/>
        <v>2019-LTK-FRD-F35C-073-27</v>
      </c>
      <c r="AG3025" s="661" t="str">
        <f>IF(AND($Y3025&gt;=32,(AI3025="I"),(Y3025&lt;&gt;"~"),(COUNTIF($AN$1:$AN3025,$AN3025)=1)),"TRUE","FALSE")</f>
        <v>FALSE</v>
      </c>
      <c r="AH3025" s="661" t="str">
        <f>IF(AND($Y3025&gt;=22, (AI3025&lt;&gt;"I"),(Y3025&lt;&gt;"~"),(COUNTIF($AN$1:$AN3025,$AN3025)=1)),"TRUE","FALSE")</f>
        <v>FALSE</v>
      </c>
      <c r="AI3025" s="661" t="str">
        <f t="shared" si="327"/>
        <v>N/A</v>
      </c>
      <c r="AJ3025" s="662" t="str">
        <f t="shared" si="328"/>
        <v>F35C-073</v>
      </c>
      <c r="AK3025" s="662" t="str">
        <f t="shared" si="329"/>
        <v>LTK</v>
      </c>
      <c r="AL3025" s="662" t="str">
        <f t="shared" si="330"/>
        <v>FRD</v>
      </c>
      <c r="AM3025" s="662" t="str">
        <f t="shared" si="326"/>
        <v>F350 Chassis Cab-Super Cab XLT SRW-4WD-6-~-12400-6.2L FFV-8-X3F-633A-168-40-E85-Unleaded</v>
      </c>
      <c r="AN3025" s="662" t="str">
        <f t="shared" si="331"/>
        <v>2019-LTK-FRD-F35C-073</v>
      </c>
    </row>
    <row r="3026" spans="1:40" ht="15">
      <c r="A3026" s="570" t="s">
        <v>5187</v>
      </c>
      <c r="B3026" s="569" t="s">
        <v>5180</v>
      </c>
      <c r="C3026" s="569" t="s">
        <v>280</v>
      </c>
      <c r="D3026" s="580">
        <v>27</v>
      </c>
      <c r="E3026" s="569" t="s">
        <v>3374</v>
      </c>
      <c r="F3026" s="569" t="s">
        <v>1684</v>
      </c>
      <c r="G3026" s="569" t="s">
        <v>271</v>
      </c>
      <c r="H3026" s="569">
        <v>2019</v>
      </c>
      <c r="I3026" s="569" t="s">
        <v>4879</v>
      </c>
      <c r="J3026" s="569" t="s">
        <v>5166</v>
      </c>
      <c r="K3026" s="569" t="s">
        <v>752</v>
      </c>
      <c r="L3026" s="569">
        <v>6</v>
      </c>
      <c r="M3026" s="569">
        <v>0</v>
      </c>
      <c r="N3026" s="569" t="s">
        <v>157</v>
      </c>
      <c r="O3026" s="569">
        <v>2</v>
      </c>
      <c r="P3026" s="569" t="s">
        <v>157</v>
      </c>
      <c r="Q3026" s="568">
        <v>12400</v>
      </c>
      <c r="R3026" s="569" t="s">
        <v>4231</v>
      </c>
      <c r="S3026" s="569">
        <v>8</v>
      </c>
      <c r="T3026" s="569" t="s">
        <v>5132</v>
      </c>
      <c r="U3026" s="569" t="s">
        <v>4950</v>
      </c>
      <c r="V3026" s="569">
        <v>168</v>
      </c>
      <c r="W3026" s="569">
        <v>40</v>
      </c>
      <c r="X3026" s="568">
        <v>11500</v>
      </c>
      <c r="Y3026" s="569" t="s">
        <v>164</v>
      </c>
      <c r="Z3026" s="581" t="s">
        <v>728</v>
      </c>
      <c r="AA3026" s="581" t="s">
        <v>1523</v>
      </c>
      <c r="AB3026" s="585">
        <v>53845</v>
      </c>
      <c r="AC3026" s="585" t="s">
        <v>164</v>
      </c>
      <c r="AD3026" s="585">
        <v>43199.26315789474</v>
      </c>
      <c r="AE3026" s="587">
        <v>0.03</v>
      </c>
      <c r="AF3026" s="661" t="str">
        <f t="shared" si="332"/>
        <v>2019-LTK-FRD-F35C-074-27</v>
      </c>
      <c r="AG3026" s="661" t="str">
        <f>IF(AND($Y3026&gt;=32,(AI3026="I"),(Y3026&lt;&gt;"~"),(COUNTIF($AN$1:$AN3026,$AN3026)=1)),"TRUE","FALSE")</f>
        <v>FALSE</v>
      </c>
      <c r="AH3026" s="661" t="str">
        <f>IF(AND($Y3026&gt;=22, (AI3026&lt;&gt;"I"),(Y3026&lt;&gt;"~"),(COUNTIF($AN$1:$AN3026,$AN3026)=1)),"TRUE","FALSE")</f>
        <v>FALSE</v>
      </c>
      <c r="AI3026" s="661" t="str">
        <f t="shared" si="327"/>
        <v>N/A</v>
      </c>
      <c r="AJ3026" s="662" t="str">
        <f t="shared" si="328"/>
        <v>F35C-074</v>
      </c>
      <c r="AK3026" s="662" t="str">
        <f t="shared" si="329"/>
        <v>LTK</v>
      </c>
      <c r="AL3026" s="662" t="str">
        <f t="shared" si="330"/>
        <v>FRD</v>
      </c>
      <c r="AM3026" s="662" t="str">
        <f t="shared" si="326"/>
        <v>F350 Chassis Cab-Super Cab XLT SRW-4WD-6-~-12400-6.7L Diesel-8-X3F-633A-168-40-Diesel-BioDiesel</v>
      </c>
      <c r="AN3026" s="662" t="str">
        <f t="shared" si="331"/>
        <v>2019-LTK-FRD-F35C-074</v>
      </c>
    </row>
    <row r="3027" spans="1:40" ht="15">
      <c r="A3027" s="570" t="s">
        <v>5188</v>
      </c>
      <c r="B3027" s="573" t="s">
        <v>5189</v>
      </c>
      <c r="C3027" s="573" t="s">
        <v>269</v>
      </c>
      <c r="D3027" s="578" t="s">
        <v>270</v>
      </c>
      <c r="E3027" s="573" t="s">
        <v>3374</v>
      </c>
      <c r="F3027" s="573" t="s">
        <v>796</v>
      </c>
      <c r="G3027" s="573" t="s">
        <v>271</v>
      </c>
      <c r="H3027" s="573">
        <v>2019</v>
      </c>
      <c r="I3027" s="573" t="s">
        <v>5190</v>
      </c>
      <c r="J3027" s="573" t="s">
        <v>5191</v>
      </c>
      <c r="K3027" s="573" t="s">
        <v>3377</v>
      </c>
      <c r="L3027" s="573">
        <v>6</v>
      </c>
      <c r="M3027" s="573">
        <v>0</v>
      </c>
      <c r="N3027" s="573" t="s">
        <v>157</v>
      </c>
      <c r="O3027" s="573">
        <v>2</v>
      </c>
      <c r="P3027" s="573" t="s">
        <v>3846</v>
      </c>
      <c r="Q3027" s="571">
        <v>21000</v>
      </c>
      <c r="R3027" s="573" t="s">
        <v>4231</v>
      </c>
      <c r="S3027" s="573">
        <v>8</v>
      </c>
      <c r="T3027" s="573" t="s">
        <v>5192</v>
      </c>
      <c r="U3027" s="573" t="s">
        <v>5193</v>
      </c>
      <c r="V3027" s="573">
        <v>176</v>
      </c>
      <c r="W3027" s="573">
        <v>48</v>
      </c>
      <c r="X3027" s="571">
        <v>14000</v>
      </c>
      <c r="Y3027" s="569" t="s">
        <v>164</v>
      </c>
      <c r="Z3027" s="579" t="s">
        <v>728</v>
      </c>
      <c r="AA3027" s="579" t="s">
        <v>728</v>
      </c>
      <c r="AB3027" s="584">
        <v>56055</v>
      </c>
      <c r="AC3027" s="584" t="s">
        <v>164</v>
      </c>
      <c r="AD3027" s="584">
        <v>48428.42105263158</v>
      </c>
      <c r="AE3027" s="586">
        <v>0.03</v>
      </c>
      <c r="AF3027" s="661" t="str">
        <f t="shared" si="332"/>
        <v>2019-LTK-FRD-F450-001-05</v>
      </c>
      <c r="AG3027" s="661" t="str">
        <f>IF(AND($Y3027&gt;=32,(AI3027="I"),(Y3027&lt;&gt;"~"),(COUNTIF($AN$1:$AN3027,$AN3027)=1)),"TRUE","FALSE")</f>
        <v>FALSE</v>
      </c>
      <c r="AH3027" s="661" t="str">
        <f>IF(AND($Y3027&gt;=22, (AI3027&lt;&gt;"I"),(Y3027&lt;&gt;"~"),(COUNTIF($AN$1:$AN3027,$AN3027)=1)),"TRUE","FALSE")</f>
        <v>TRUE</v>
      </c>
      <c r="AI3027" s="661" t="str">
        <f t="shared" si="327"/>
        <v>N/A</v>
      </c>
      <c r="AJ3027" s="662" t="str">
        <f t="shared" si="328"/>
        <v>F450-001</v>
      </c>
      <c r="AK3027" s="662" t="str">
        <f t="shared" si="329"/>
        <v>LTK</v>
      </c>
      <c r="AL3027" s="662" t="str">
        <f t="shared" si="330"/>
        <v>FRD</v>
      </c>
      <c r="AM3027" s="662" t="str">
        <f t="shared" si="326"/>
        <v>F450-DRW XL-2WD-6-8'-21000-6.7L Diesel-8-W4D-670A-176-48-Diesel-Diesel</v>
      </c>
      <c r="AN3027" s="662" t="str">
        <f t="shared" si="331"/>
        <v>2019-LTK-FRD-F450-001</v>
      </c>
    </row>
    <row r="3028" spans="1:40" ht="15">
      <c r="A3028" s="570" t="s">
        <v>5194</v>
      </c>
      <c r="B3028" s="569" t="s">
        <v>5189</v>
      </c>
      <c r="C3028" s="569" t="s">
        <v>287</v>
      </c>
      <c r="D3028" s="580">
        <v>26</v>
      </c>
      <c r="E3028" s="569" t="s">
        <v>3374</v>
      </c>
      <c r="F3028" s="569" t="s">
        <v>796</v>
      </c>
      <c r="G3028" s="569" t="s">
        <v>271</v>
      </c>
      <c r="H3028" s="569">
        <v>2019</v>
      </c>
      <c r="I3028" s="569" t="s">
        <v>5190</v>
      </c>
      <c r="J3028" s="569" t="s">
        <v>5191</v>
      </c>
      <c r="K3028" s="569" t="s">
        <v>3377</v>
      </c>
      <c r="L3028" s="569">
        <v>6</v>
      </c>
      <c r="M3028" s="569">
        <v>0</v>
      </c>
      <c r="N3028" s="569" t="s">
        <v>157</v>
      </c>
      <c r="O3028" s="569">
        <v>2</v>
      </c>
      <c r="P3028" s="569" t="s">
        <v>3846</v>
      </c>
      <c r="Q3028" s="568">
        <v>21000</v>
      </c>
      <c r="R3028" s="569" t="s">
        <v>4231</v>
      </c>
      <c r="S3028" s="569">
        <v>8</v>
      </c>
      <c r="T3028" s="569" t="s">
        <v>5192</v>
      </c>
      <c r="U3028" s="569" t="s">
        <v>5193</v>
      </c>
      <c r="V3028" s="569">
        <v>176</v>
      </c>
      <c r="W3028" s="569">
        <v>48</v>
      </c>
      <c r="X3028" s="568">
        <v>14000</v>
      </c>
      <c r="Y3028" s="569" t="s">
        <v>164</v>
      </c>
      <c r="Z3028" s="581" t="s">
        <v>728</v>
      </c>
      <c r="AA3028" s="581" t="s">
        <v>728</v>
      </c>
      <c r="AB3028" s="585">
        <v>56055</v>
      </c>
      <c r="AC3028" s="585" t="s">
        <v>164</v>
      </c>
      <c r="AD3028" s="585">
        <v>48950</v>
      </c>
      <c r="AE3028" s="587">
        <v>0.05</v>
      </c>
      <c r="AF3028" s="661" t="str">
        <f t="shared" si="332"/>
        <v>2019-LTK-FRD-F450-001-26</v>
      </c>
      <c r="AG3028" s="661" t="str">
        <f>IF(AND($Y3028&gt;=32,(AI3028="I"),(Y3028&lt;&gt;"~"),(COUNTIF($AN$1:$AN3028,$AN3028)=1)),"TRUE","FALSE")</f>
        <v>FALSE</v>
      </c>
      <c r="AH3028" s="661" t="str">
        <f>IF(AND($Y3028&gt;=22, (AI3028&lt;&gt;"I"),(Y3028&lt;&gt;"~"),(COUNTIF($AN$1:$AN3028,$AN3028)=1)),"TRUE","FALSE")</f>
        <v>FALSE</v>
      </c>
      <c r="AI3028" s="661" t="str">
        <f t="shared" si="327"/>
        <v>N/A</v>
      </c>
      <c r="AJ3028" s="662" t="str">
        <f t="shared" si="328"/>
        <v>F450-001</v>
      </c>
      <c r="AK3028" s="662" t="str">
        <f t="shared" si="329"/>
        <v>LTK</v>
      </c>
      <c r="AL3028" s="662" t="str">
        <f t="shared" si="330"/>
        <v>FRD</v>
      </c>
      <c r="AM3028" s="662" t="str">
        <f t="shared" si="326"/>
        <v>F450-DRW XL-2WD-6-8'-21000-6.7L Diesel-8-W4D-670A-176-48-Diesel-Diesel</v>
      </c>
      <c r="AN3028" s="662" t="str">
        <f t="shared" si="331"/>
        <v>2019-LTK-FRD-F450-001</v>
      </c>
    </row>
    <row r="3029" spans="1:40" ht="15">
      <c r="A3029" s="570" t="s">
        <v>5195</v>
      </c>
      <c r="B3029" s="573" t="s">
        <v>5189</v>
      </c>
      <c r="C3029" s="573" t="s">
        <v>280</v>
      </c>
      <c r="D3029" s="578">
        <v>27</v>
      </c>
      <c r="E3029" s="573" t="s">
        <v>3374</v>
      </c>
      <c r="F3029" s="573" t="s">
        <v>796</v>
      </c>
      <c r="G3029" s="573" t="s">
        <v>271</v>
      </c>
      <c r="H3029" s="573">
        <v>2019</v>
      </c>
      <c r="I3029" s="573" t="s">
        <v>5190</v>
      </c>
      <c r="J3029" s="573" t="s">
        <v>5191</v>
      </c>
      <c r="K3029" s="573" t="s">
        <v>3377</v>
      </c>
      <c r="L3029" s="573">
        <v>6</v>
      </c>
      <c r="M3029" s="573">
        <v>0</v>
      </c>
      <c r="N3029" s="573" t="s">
        <v>157</v>
      </c>
      <c r="O3029" s="573">
        <v>2</v>
      </c>
      <c r="P3029" s="573" t="s">
        <v>3846</v>
      </c>
      <c r="Q3029" s="571">
        <v>21000</v>
      </c>
      <c r="R3029" s="573" t="s">
        <v>4231</v>
      </c>
      <c r="S3029" s="573">
        <v>8</v>
      </c>
      <c r="T3029" s="573" t="s">
        <v>5192</v>
      </c>
      <c r="U3029" s="573" t="s">
        <v>5193</v>
      </c>
      <c r="V3029" s="573">
        <v>176</v>
      </c>
      <c r="W3029" s="573">
        <v>48</v>
      </c>
      <c r="X3029" s="571">
        <v>14000</v>
      </c>
      <c r="Y3029" s="569" t="s">
        <v>164</v>
      </c>
      <c r="Z3029" s="579" t="s">
        <v>728</v>
      </c>
      <c r="AA3029" s="579" t="s">
        <v>728</v>
      </c>
      <c r="AB3029" s="584">
        <v>56055</v>
      </c>
      <c r="AC3029" s="584" t="s">
        <v>164</v>
      </c>
      <c r="AD3029" s="584">
        <v>48428.42105263158</v>
      </c>
      <c r="AE3029" s="586">
        <v>0.03</v>
      </c>
      <c r="AF3029" s="661" t="str">
        <f t="shared" si="332"/>
        <v>2019-LTK-FRD-F450-001-27</v>
      </c>
      <c r="AG3029" s="661" t="str">
        <f>IF(AND($Y3029&gt;=32,(AI3029="I"),(Y3029&lt;&gt;"~"),(COUNTIF($AN$1:$AN3029,$AN3029)=1)),"TRUE","FALSE")</f>
        <v>FALSE</v>
      </c>
      <c r="AH3029" s="661" t="str">
        <f>IF(AND($Y3029&gt;=22, (AI3029&lt;&gt;"I"),(Y3029&lt;&gt;"~"),(COUNTIF($AN$1:$AN3029,$AN3029)=1)),"TRUE","FALSE")</f>
        <v>FALSE</v>
      </c>
      <c r="AI3029" s="661" t="str">
        <f t="shared" si="327"/>
        <v>N/A</v>
      </c>
      <c r="AJ3029" s="662" t="str">
        <f t="shared" si="328"/>
        <v>F450-001</v>
      </c>
      <c r="AK3029" s="662" t="str">
        <f t="shared" si="329"/>
        <v>LTK</v>
      </c>
      <c r="AL3029" s="662" t="str">
        <f t="shared" si="330"/>
        <v>FRD</v>
      </c>
      <c r="AM3029" s="662" t="str">
        <f t="shared" si="326"/>
        <v>F450-DRW XL-2WD-6-8'-21000-6.7L Diesel-8-W4D-670A-176-48-Diesel-Diesel</v>
      </c>
      <c r="AN3029" s="662" t="str">
        <f t="shared" si="331"/>
        <v>2019-LTK-FRD-F450-001</v>
      </c>
    </row>
    <row r="3030" spans="1:40" ht="15">
      <c r="A3030" s="570" t="s">
        <v>5196</v>
      </c>
      <c r="B3030" s="569" t="s">
        <v>5197</v>
      </c>
      <c r="C3030" s="569" t="s">
        <v>269</v>
      </c>
      <c r="D3030" s="580" t="s">
        <v>270</v>
      </c>
      <c r="E3030" s="569" t="s">
        <v>3374</v>
      </c>
      <c r="F3030" s="569" t="s">
        <v>796</v>
      </c>
      <c r="G3030" s="569" t="s">
        <v>271</v>
      </c>
      <c r="H3030" s="569">
        <v>2019</v>
      </c>
      <c r="I3030" s="569" t="s">
        <v>5190</v>
      </c>
      <c r="J3030" s="569" t="s">
        <v>5191</v>
      </c>
      <c r="K3030" s="569" t="s">
        <v>752</v>
      </c>
      <c r="L3030" s="569">
        <v>6</v>
      </c>
      <c r="M3030" s="569">
        <v>0</v>
      </c>
      <c r="N3030" s="569" t="s">
        <v>157</v>
      </c>
      <c r="O3030" s="569">
        <v>2</v>
      </c>
      <c r="P3030" s="569" t="s">
        <v>3846</v>
      </c>
      <c r="Q3030" s="568">
        <v>21000</v>
      </c>
      <c r="R3030" s="569" t="s">
        <v>4231</v>
      </c>
      <c r="S3030" s="569">
        <v>8</v>
      </c>
      <c r="T3030" s="569" t="s">
        <v>5198</v>
      </c>
      <c r="U3030" s="569" t="s">
        <v>5193</v>
      </c>
      <c r="V3030" s="569">
        <v>176</v>
      </c>
      <c r="W3030" s="569">
        <v>48</v>
      </c>
      <c r="X3030" s="568">
        <v>14000</v>
      </c>
      <c r="Y3030" s="569" t="s">
        <v>164</v>
      </c>
      <c r="Z3030" s="581" t="s">
        <v>728</v>
      </c>
      <c r="AA3030" s="581" t="s">
        <v>728</v>
      </c>
      <c r="AB3030" s="585">
        <v>53290</v>
      </c>
      <c r="AC3030" s="585" t="s">
        <v>164</v>
      </c>
      <c r="AD3030" s="585">
        <v>45874.000000000007</v>
      </c>
      <c r="AE3030" s="587">
        <v>0.03</v>
      </c>
      <c r="AF3030" s="661" t="str">
        <f t="shared" si="332"/>
        <v>2019-LTK-FRD-F450-002-05</v>
      </c>
      <c r="AG3030" s="661" t="str">
        <f>IF(AND($Y3030&gt;=32,(AI3030="I"),(Y3030&lt;&gt;"~"),(COUNTIF($AN$1:$AN3030,$AN3030)=1)),"TRUE","FALSE")</f>
        <v>FALSE</v>
      </c>
      <c r="AH3030" s="661" t="str">
        <f>IF(AND($Y3030&gt;=22, (AI3030&lt;&gt;"I"),(Y3030&lt;&gt;"~"),(COUNTIF($AN$1:$AN3030,$AN3030)=1)),"TRUE","FALSE")</f>
        <v>TRUE</v>
      </c>
      <c r="AI3030" s="661" t="str">
        <f t="shared" si="327"/>
        <v>N/A</v>
      </c>
      <c r="AJ3030" s="662" t="str">
        <f t="shared" si="328"/>
        <v>F450-002</v>
      </c>
      <c r="AK3030" s="662" t="str">
        <f t="shared" si="329"/>
        <v>LTK</v>
      </c>
      <c r="AL3030" s="662" t="str">
        <f t="shared" si="330"/>
        <v>FRD</v>
      </c>
      <c r="AM3030" s="662" t="str">
        <f t="shared" si="326"/>
        <v>F450-DRW XL-4WD-6-8'-21000-6.7L Diesel-8-W4C-670A-176-48-Diesel-Diesel</v>
      </c>
      <c r="AN3030" s="662" t="str">
        <f t="shared" si="331"/>
        <v>2019-LTK-FRD-F450-002</v>
      </c>
    </row>
    <row r="3031" spans="1:40" ht="15">
      <c r="A3031" s="570" t="s">
        <v>5199</v>
      </c>
      <c r="B3031" s="573" t="s">
        <v>5197</v>
      </c>
      <c r="C3031" s="573" t="s">
        <v>287</v>
      </c>
      <c r="D3031" s="578">
        <v>26</v>
      </c>
      <c r="E3031" s="573" t="s">
        <v>3374</v>
      </c>
      <c r="F3031" s="573" t="s">
        <v>796</v>
      </c>
      <c r="G3031" s="573" t="s">
        <v>271</v>
      </c>
      <c r="H3031" s="573">
        <v>2019</v>
      </c>
      <c r="I3031" s="573" t="s">
        <v>5190</v>
      </c>
      <c r="J3031" s="573" t="s">
        <v>5191</v>
      </c>
      <c r="K3031" s="573" t="s">
        <v>752</v>
      </c>
      <c r="L3031" s="573">
        <v>6</v>
      </c>
      <c r="M3031" s="573">
        <v>0</v>
      </c>
      <c r="N3031" s="573" t="s">
        <v>157</v>
      </c>
      <c r="O3031" s="573">
        <v>2</v>
      </c>
      <c r="P3031" s="573" t="s">
        <v>3846</v>
      </c>
      <c r="Q3031" s="571">
        <v>21000</v>
      </c>
      <c r="R3031" s="573" t="s">
        <v>4231</v>
      </c>
      <c r="S3031" s="573">
        <v>8</v>
      </c>
      <c r="T3031" s="573" t="s">
        <v>5198</v>
      </c>
      <c r="U3031" s="573" t="s">
        <v>5193</v>
      </c>
      <c r="V3031" s="573">
        <v>176</v>
      </c>
      <c r="W3031" s="573">
        <v>48</v>
      </c>
      <c r="X3031" s="571">
        <v>14000</v>
      </c>
      <c r="Y3031" s="569" t="s">
        <v>164</v>
      </c>
      <c r="Z3031" s="579" t="s">
        <v>728</v>
      </c>
      <c r="AA3031" s="579" t="s">
        <v>728</v>
      </c>
      <c r="AB3031" s="584">
        <v>53290</v>
      </c>
      <c r="AC3031" s="584" t="s">
        <v>164</v>
      </c>
      <c r="AD3031" s="584">
        <v>46358</v>
      </c>
      <c r="AE3031" s="586">
        <v>0.05</v>
      </c>
      <c r="AF3031" s="661" t="str">
        <f t="shared" si="332"/>
        <v>2019-LTK-FRD-F450-002-26</v>
      </c>
      <c r="AG3031" s="661" t="str">
        <f>IF(AND($Y3031&gt;=32,(AI3031="I"),(Y3031&lt;&gt;"~"),(COUNTIF($AN$1:$AN3031,$AN3031)=1)),"TRUE","FALSE")</f>
        <v>FALSE</v>
      </c>
      <c r="AH3031" s="661" t="str">
        <f>IF(AND($Y3031&gt;=22, (AI3031&lt;&gt;"I"),(Y3031&lt;&gt;"~"),(COUNTIF($AN$1:$AN3031,$AN3031)=1)),"TRUE","FALSE")</f>
        <v>FALSE</v>
      </c>
      <c r="AI3031" s="661" t="str">
        <f t="shared" si="327"/>
        <v>N/A</v>
      </c>
      <c r="AJ3031" s="662" t="str">
        <f t="shared" si="328"/>
        <v>F450-002</v>
      </c>
      <c r="AK3031" s="662" t="str">
        <f t="shared" si="329"/>
        <v>LTK</v>
      </c>
      <c r="AL3031" s="662" t="str">
        <f t="shared" si="330"/>
        <v>FRD</v>
      </c>
      <c r="AM3031" s="662" t="str">
        <f t="shared" si="326"/>
        <v>F450-DRW XL-4WD-6-8'-21000-6.7L Diesel-8-W4C-670A-176-48-Diesel-Diesel</v>
      </c>
      <c r="AN3031" s="662" t="str">
        <f t="shared" si="331"/>
        <v>2019-LTK-FRD-F450-002</v>
      </c>
    </row>
    <row r="3032" spans="1:40" ht="15">
      <c r="A3032" s="570" t="s">
        <v>5200</v>
      </c>
      <c r="B3032" s="569" t="s">
        <v>5197</v>
      </c>
      <c r="C3032" s="569" t="s">
        <v>280</v>
      </c>
      <c r="D3032" s="580">
        <v>27</v>
      </c>
      <c r="E3032" s="569" t="s">
        <v>3374</v>
      </c>
      <c r="F3032" s="569" t="s">
        <v>796</v>
      </c>
      <c r="G3032" s="569" t="s">
        <v>271</v>
      </c>
      <c r="H3032" s="569">
        <v>2019</v>
      </c>
      <c r="I3032" s="569" t="s">
        <v>5190</v>
      </c>
      <c r="J3032" s="569" t="s">
        <v>5191</v>
      </c>
      <c r="K3032" s="569" t="s">
        <v>752</v>
      </c>
      <c r="L3032" s="569">
        <v>6</v>
      </c>
      <c r="M3032" s="569">
        <v>0</v>
      </c>
      <c r="N3032" s="569" t="s">
        <v>157</v>
      </c>
      <c r="O3032" s="569">
        <v>2</v>
      </c>
      <c r="P3032" s="569" t="s">
        <v>3846</v>
      </c>
      <c r="Q3032" s="568">
        <v>21000</v>
      </c>
      <c r="R3032" s="569" t="s">
        <v>4231</v>
      </c>
      <c r="S3032" s="569">
        <v>8</v>
      </c>
      <c r="T3032" s="569" t="s">
        <v>5198</v>
      </c>
      <c r="U3032" s="569" t="s">
        <v>5193</v>
      </c>
      <c r="V3032" s="569">
        <v>176</v>
      </c>
      <c r="W3032" s="569">
        <v>48</v>
      </c>
      <c r="X3032" s="568">
        <v>14000</v>
      </c>
      <c r="Y3032" s="569" t="s">
        <v>164</v>
      </c>
      <c r="Z3032" s="581" t="s">
        <v>728</v>
      </c>
      <c r="AA3032" s="581" t="s">
        <v>728</v>
      </c>
      <c r="AB3032" s="585">
        <v>53290</v>
      </c>
      <c r="AC3032" s="585" t="s">
        <v>164</v>
      </c>
      <c r="AD3032" s="585">
        <v>45874.000000000007</v>
      </c>
      <c r="AE3032" s="587">
        <v>0.03</v>
      </c>
      <c r="AF3032" s="661" t="str">
        <f t="shared" si="332"/>
        <v>2019-LTK-FRD-F450-002-27</v>
      </c>
      <c r="AG3032" s="661" t="str">
        <f>IF(AND($Y3032&gt;=32,(AI3032="I"),(Y3032&lt;&gt;"~"),(COUNTIF($AN$1:$AN3032,$AN3032)=1)),"TRUE","FALSE")</f>
        <v>FALSE</v>
      </c>
      <c r="AH3032" s="661" t="str">
        <f>IF(AND($Y3032&gt;=22, (AI3032&lt;&gt;"I"),(Y3032&lt;&gt;"~"),(COUNTIF($AN$1:$AN3032,$AN3032)=1)),"TRUE","FALSE")</f>
        <v>FALSE</v>
      </c>
      <c r="AI3032" s="661" t="str">
        <f t="shared" si="327"/>
        <v>N/A</v>
      </c>
      <c r="AJ3032" s="662" t="str">
        <f t="shared" si="328"/>
        <v>F450-002</v>
      </c>
      <c r="AK3032" s="662" t="str">
        <f t="shared" si="329"/>
        <v>LTK</v>
      </c>
      <c r="AL3032" s="662" t="str">
        <f t="shared" si="330"/>
        <v>FRD</v>
      </c>
      <c r="AM3032" s="662" t="str">
        <f t="shared" si="326"/>
        <v>F450-DRW XL-4WD-6-8'-21000-6.7L Diesel-8-W4C-670A-176-48-Diesel-Diesel</v>
      </c>
      <c r="AN3032" s="662" t="str">
        <f t="shared" si="331"/>
        <v>2019-LTK-FRD-F450-002</v>
      </c>
    </row>
    <row r="3033" spans="1:40" ht="15">
      <c r="A3033" s="570" t="s">
        <v>5201</v>
      </c>
      <c r="B3033" s="573" t="s">
        <v>5202</v>
      </c>
      <c r="C3033" s="573" t="s">
        <v>269</v>
      </c>
      <c r="D3033" s="578" t="s">
        <v>270</v>
      </c>
      <c r="E3033" s="573" t="s">
        <v>3374</v>
      </c>
      <c r="F3033" s="573" t="s">
        <v>796</v>
      </c>
      <c r="G3033" s="573" t="s">
        <v>271</v>
      </c>
      <c r="H3033" s="573">
        <v>2019</v>
      </c>
      <c r="I3033" s="573" t="s">
        <v>5190</v>
      </c>
      <c r="J3033" s="573" t="s">
        <v>5203</v>
      </c>
      <c r="K3033" s="573" t="s">
        <v>3377</v>
      </c>
      <c r="L3033" s="573">
        <v>6</v>
      </c>
      <c r="M3033" s="573">
        <v>0</v>
      </c>
      <c r="N3033" s="573" t="s">
        <v>157</v>
      </c>
      <c r="O3033" s="573">
        <v>2</v>
      </c>
      <c r="P3033" s="573" t="s">
        <v>3846</v>
      </c>
      <c r="Q3033" s="571">
        <v>21000</v>
      </c>
      <c r="R3033" s="573" t="s">
        <v>4231</v>
      </c>
      <c r="S3033" s="573">
        <v>8</v>
      </c>
      <c r="T3033" s="573" t="s">
        <v>5192</v>
      </c>
      <c r="U3033" s="573" t="s">
        <v>5204</v>
      </c>
      <c r="V3033" s="573">
        <v>176</v>
      </c>
      <c r="W3033" s="573">
        <v>48</v>
      </c>
      <c r="X3033" s="571">
        <v>14000</v>
      </c>
      <c r="Y3033" s="569" t="s">
        <v>164</v>
      </c>
      <c r="Z3033" s="579" t="s">
        <v>728</v>
      </c>
      <c r="AA3033" s="579" t="s">
        <v>728</v>
      </c>
      <c r="AB3033" s="584">
        <v>60935</v>
      </c>
      <c r="AC3033" s="584" t="s">
        <v>164</v>
      </c>
      <c r="AD3033" s="584">
        <v>52935.052631578954</v>
      </c>
      <c r="AE3033" s="586">
        <v>0.03</v>
      </c>
      <c r="AF3033" s="661" t="str">
        <f t="shared" si="332"/>
        <v>2019-LTK-FRD-F450-003-05</v>
      </c>
      <c r="AG3033" s="661" t="str">
        <f>IF(AND($Y3033&gt;=32,(AI3033="I"),(Y3033&lt;&gt;"~"),(COUNTIF($AN$1:$AN3033,$AN3033)=1)),"TRUE","FALSE")</f>
        <v>FALSE</v>
      </c>
      <c r="AH3033" s="661" t="str">
        <f>IF(AND($Y3033&gt;=22, (AI3033&lt;&gt;"I"),(Y3033&lt;&gt;"~"),(COUNTIF($AN$1:$AN3033,$AN3033)=1)),"TRUE","FALSE")</f>
        <v>TRUE</v>
      </c>
      <c r="AI3033" s="661" t="str">
        <f t="shared" si="327"/>
        <v>N/A</v>
      </c>
      <c r="AJ3033" s="662" t="str">
        <f t="shared" si="328"/>
        <v>F450-003</v>
      </c>
      <c r="AK3033" s="662" t="str">
        <f t="shared" si="329"/>
        <v>LTK</v>
      </c>
      <c r="AL3033" s="662" t="str">
        <f t="shared" si="330"/>
        <v>FRD</v>
      </c>
      <c r="AM3033" s="662" t="str">
        <f t="shared" si="326"/>
        <v>F450-DRW XLT-2WD-6-8'-21000-6.7L Diesel-8-W4D-673A-176-48-Diesel-Diesel</v>
      </c>
      <c r="AN3033" s="662" t="str">
        <f t="shared" si="331"/>
        <v>2019-LTK-FRD-F450-003</v>
      </c>
    </row>
    <row r="3034" spans="1:40" ht="15">
      <c r="A3034" s="570" t="s">
        <v>5205</v>
      </c>
      <c r="B3034" s="569" t="s">
        <v>5202</v>
      </c>
      <c r="C3034" s="569" t="s">
        <v>287</v>
      </c>
      <c r="D3034" s="580">
        <v>26</v>
      </c>
      <c r="E3034" s="569" t="s">
        <v>3374</v>
      </c>
      <c r="F3034" s="569" t="s">
        <v>796</v>
      </c>
      <c r="G3034" s="569" t="s">
        <v>271</v>
      </c>
      <c r="H3034" s="569">
        <v>2019</v>
      </c>
      <c r="I3034" s="569" t="s">
        <v>5190</v>
      </c>
      <c r="J3034" s="569" t="s">
        <v>5203</v>
      </c>
      <c r="K3034" s="569" t="s">
        <v>3377</v>
      </c>
      <c r="L3034" s="569">
        <v>6</v>
      </c>
      <c r="M3034" s="569">
        <v>0</v>
      </c>
      <c r="N3034" s="569" t="s">
        <v>157</v>
      </c>
      <c r="O3034" s="569">
        <v>2</v>
      </c>
      <c r="P3034" s="569" t="s">
        <v>3846</v>
      </c>
      <c r="Q3034" s="568">
        <v>21000</v>
      </c>
      <c r="R3034" s="569" t="s">
        <v>4231</v>
      </c>
      <c r="S3034" s="569">
        <v>8</v>
      </c>
      <c r="T3034" s="569" t="s">
        <v>5192</v>
      </c>
      <c r="U3034" s="569" t="s">
        <v>5204</v>
      </c>
      <c r="V3034" s="569">
        <v>176</v>
      </c>
      <c r="W3034" s="569">
        <v>48</v>
      </c>
      <c r="X3034" s="568">
        <v>14000</v>
      </c>
      <c r="Y3034" s="569" t="s">
        <v>164</v>
      </c>
      <c r="Z3034" s="581" t="s">
        <v>728</v>
      </c>
      <c r="AA3034" s="581" t="s">
        <v>728</v>
      </c>
      <c r="AB3034" s="585">
        <v>60935</v>
      </c>
      <c r="AC3034" s="585" t="s">
        <v>164</v>
      </c>
      <c r="AD3034" s="585">
        <v>53447</v>
      </c>
      <c r="AE3034" s="587">
        <v>0.05</v>
      </c>
      <c r="AF3034" s="661" t="str">
        <f t="shared" si="332"/>
        <v>2019-LTK-FRD-F450-003-26</v>
      </c>
      <c r="AG3034" s="661" t="str">
        <f>IF(AND($Y3034&gt;=32,(AI3034="I"),(Y3034&lt;&gt;"~"),(COUNTIF($AN$1:$AN3034,$AN3034)=1)),"TRUE","FALSE")</f>
        <v>FALSE</v>
      </c>
      <c r="AH3034" s="661" t="str">
        <f>IF(AND($Y3034&gt;=22, (AI3034&lt;&gt;"I"),(Y3034&lt;&gt;"~"),(COUNTIF($AN$1:$AN3034,$AN3034)=1)),"TRUE","FALSE")</f>
        <v>FALSE</v>
      </c>
      <c r="AI3034" s="661" t="str">
        <f t="shared" si="327"/>
        <v>N/A</v>
      </c>
      <c r="AJ3034" s="662" t="str">
        <f t="shared" si="328"/>
        <v>F450-003</v>
      </c>
      <c r="AK3034" s="662" t="str">
        <f t="shared" si="329"/>
        <v>LTK</v>
      </c>
      <c r="AL3034" s="662" t="str">
        <f t="shared" si="330"/>
        <v>FRD</v>
      </c>
      <c r="AM3034" s="662" t="str">
        <f t="shared" si="326"/>
        <v>F450-DRW XLT-2WD-6-8'-21000-6.7L Diesel-8-W4D-673A-176-48-Diesel-Diesel</v>
      </c>
      <c r="AN3034" s="662" t="str">
        <f t="shared" si="331"/>
        <v>2019-LTK-FRD-F450-003</v>
      </c>
    </row>
    <row r="3035" spans="1:40" ht="15">
      <c r="A3035" s="570" t="s">
        <v>5206</v>
      </c>
      <c r="B3035" s="573" t="s">
        <v>5202</v>
      </c>
      <c r="C3035" s="573" t="s">
        <v>280</v>
      </c>
      <c r="D3035" s="578">
        <v>27</v>
      </c>
      <c r="E3035" s="573" t="s">
        <v>3374</v>
      </c>
      <c r="F3035" s="573" t="s">
        <v>796</v>
      </c>
      <c r="G3035" s="573" t="s">
        <v>271</v>
      </c>
      <c r="H3035" s="573">
        <v>2019</v>
      </c>
      <c r="I3035" s="573" t="s">
        <v>5190</v>
      </c>
      <c r="J3035" s="573" t="s">
        <v>5203</v>
      </c>
      <c r="K3035" s="573" t="s">
        <v>3377</v>
      </c>
      <c r="L3035" s="573">
        <v>6</v>
      </c>
      <c r="M3035" s="573">
        <v>0</v>
      </c>
      <c r="N3035" s="573" t="s">
        <v>157</v>
      </c>
      <c r="O3035" s="573">
        <v>2</v>
      </c>
      <c r="P3035" s="573" t="s">
        <v>3846</v>
      </c>
      <c r="Q3035" s="571">
        <v>21000</v>
      </c>
      <c r="R3035" s="573" t="s">
        <v>4231</v>
      </c>
      <c r="S3035" s="573">
        <v>8</v>
      </c>
      <c r="T3035" s="573" t="s">
        <v>5192</v>
      </c>
      <c r="U3035" s="573" t="s">
        <v>5204</v>
      </c>
      <c r="V3035" s="573">
        <v>176</v>
      </c>
      <c r="W3035" s="573">
        <v>48</v>
      </c>
      <c r="X3035" s="571">
        <v>14000</v>
      </c>
      <c r="Y3035" s="569" t="s">
        <v>164</v>
      </c>
      <c r="Z3035" s="579" t="s">
        <v>728</v>
      </c>
      <c r="AA3035" s="579" t="s">
        <v>728</v>
      </c>
      <c r="AB3035" s="584">
        <v>60935</v>
      </c>
      <c r="AC3035" s="584" t="s">
        <v>164</v>
      </c>
      <c r="AD3035" s="584">
        <v>52935.052631578954</v>
      </c>
      <c r="AE3035" s="586">
        <v>0.03</v>
      </c>
      <c r="AF3035" s="661" t="str">
        <f t="shared" si="332"/>
        <v>2019-LTK-FRD-F450-003-27</v>
      </c>
      <c r="AG3035" s="661" t="str">
        <f>IF(AND($Y3035&gt;=32,(AI3035="I"),(Y3035&lt;&gt;"~"),(COUNTIF($AN$1:$AN3035,$AN3035)=1)),"TRUE","FALSE")</f>
        <v>FALSE</v>
      </c>
      <c r="AH3035" s="661" t="str">
        <f>IF(AND($Y3035&gt;=22, (AI3035&lt;&gt;"I"),(Y3035&lt;&gt;"~"),(COUNTIF($AN$1:$AN3035,$AN3035)=1)),"TRUE","FALSE")</f>
        <v>FALSE</v>
      </c>
      <c r="AI3035" s="661" t="str">
        <f t="shared" si="327"/>
        <v>N/A</v>
      </c>
      <c r="AJ3035" s="662" t="str">
        <f t="shared" si="328"/>
        <v>F450-003</v>
      </c>
      <c r="AK3035" s="662" t="str">
        <f t="shared" si="329"/>
        <v>LTK</v>
      </c>
      <c r="AL3035" s="662" t="str">
        <f t="shared" si="330"/>
        <v>FRD</v>
      </c>
      <c r="AM3035" s="662" t="str">
        <f t="shared" ref="AM3035:AM3098" si="333">CONCATENATE(I3035,"-",J3035,"-",K3035,"-",L3035,"-",P3035,"-",Q3035,"-",R3035,"-",S3035,"-",T3035,"-",U3035,"-",V3035,"-",W3035,"-",Z3035,"-",AA3035)</f>
        <v>F450-DRW XLT-2WD-6-8'-21000-6.7L Diesel-8-W4D-673A-176-48-Diesel-Diesel</v>
      </c>
      <c r="AN3035" s="662" t="str">
        <f t="shared" si="331"/>
        <v>2019-LTK-FRD-F450-003</v>
      </c>
    </row>
    <row r="3036" spans="1:40" ht="15">
      <c r="A3036" s="570" t="s">
        <v>5207</v>
      </c>
      <c r="B3036" s="569" t="s">
        <v>5208</v>
      </c>
      <c r="C3036" s="569" t="s">
        <v>269</v>
      </c>
      <c r="D3036" s="580" t="s">
        <v>270</v>
      </c>
      <c r="E3036" s="569" t="s">
        <v>3374</v>
      </c>
      <c r="F3036" s="569" t="s">
        <v>796</v>
      </c>
      <c r="G3036" s="569" t="s">
        <v>271</v>
      </c>
      <c r="H3036" s="569">
        <v>2019</v>
      </c>
      <c r="I3036" s="569" t="s">
        <v>5190</v>
      </c>
      <c r="J3036" s="569" t="s">
        <v>5203</v>
      </c>
      <c r="K3036" s="569" t="s">
        <v>752</v>
      </c>
      <c r="L3036" s="569">
        <v>6</v>
      </c>
      <c r="M3036" s="569">
        <v>0</v>
      </c>
      <c r="N3036" s="569" t="s">
        <v>157</v>
      </c>
      <c r="O3036" s="569">
        <v>2</v>
      </c>
      <c r="P3036" s="569" t="s">
        <v>3846</v>
      </c>
      <c r="Q3036" s="568">
        <v>21000</v>
      </c>
      <c r="R3036" s="569" t="s">
        <v>4231</v>
      </c>
      <c r="S3036" s="569">
        <v>8</v>
      </c>
      <c r="T3036" s="569" t="s">
        <v>5198</v>
      </c>
      <c r="U3036" s="569" t="s">
        <v>5204</v>
      </c>
      <c r="V3036" s="569">
        <v>176</v>
      </c>
      <c r="W3036" s="569">
        <v>48</v>
      </c>
      <c r="X3036" s="568">
        <v>14000</v>
      </c>
      <c r="Y3036" s="569" t="s">
        <v>164</v>
      </c>
      <c r="Z3036" s="581" t="s">
        <v>728</v>
      </c>
      <c r="AA3036" s="581" t="s">
        <v>728</v>
      </c>
      <c r="AB3036" s="585">
        <v>58175</v>
      </c>
      <c r="AC3036" s="585" t="s">
        <v>164</v>
      </c>
      <c r="AD3036" s="585">
        <v>50385.578947368427</v>
      </c>
      <c r="AE3036" s="587">
        <v>0.03</v>
      </c>
      <c r="AF3036" s="661" t="str">
        <f t="shared" si="332"/>
        <v>2019-LTK-FRD-F450-004-05</v>
      </c>
      <c r="AG3036" s="661" t="str">
        <f>IF(AND($Y3036&gt;=32,(AI3036="I"),(Y3036&lt;&gt;"~"),(COUNTIF($AN$1:$AN3036,$AN3036)=1)),"TRUE","FALSE")</f>
        <v>FALSE</v>
      </c>
      <c r="AH3036" s="661" t="str">
        <f>IF(AND($Y3036&gt;=22, (AI3036&lt;&gt;"I"),(Y3036&lt;&gt;"~"),(COUNTIF($AN$1:$AN3036,$AN3036)=1)),"TRUE","FALSE")</f>
        <v>TRUE</v>
      </c>
      <c r="AI3036" s="661" t="str">
        <f t="shared" ref="AI3036:AI3099" si="334">IF(OR((LEFT($E3036,2)="01"),AND(LEFT($E3036,2)="06",ISNUMBER(SEARCH("pas",$F3036))),AND(LEFT($E3036,2)="05",ISNUMBER(SEARCH("pas",$F3036)))),"I",IF(AND((LEFT($E3036,2)&lt;&gt;"01"),$X3036&lt;=10000),"II",IF(AND((LEFT($E3036,2)&lt;&gt;"01"),$X3036&gt;10000),"N/A")))</f>
        <v>N/A</v>
      </c>
      <c r="AJ3036" s="662" t="str">
        <f t="shared" si="328"/>
        <v>F450-004</v>
      </c>
      <c r="AK3036" s="662" t="str">
        <f t="shared" si="329"/>
        <v>LTK</v>
      </c>
      <c r="AL3036" s="662" t="str">
        <f t="shared" si="330"/>
        <v>FRD</v>
      </c>
      <c r="AM3036" s="662" t="str">
        <f t="shared" si="333"/>
        <v>F450-DRW XLT-4WD-6-8'-21000-6.7L Diesel-8-W4C-673A-176-48-Diesel-Diesel</v>
      </c>
      <c r="AN3036" s="662" t="str">
        <f t="shared" si="331"/>
        <v>2019-LTK-FRD-F450-004</v>
      </c>
    </row>
    <row r="3037" spans="1:40" ht="15">
      <c r="A3037" s="570" t="s">
        <v>5209</v>
      </c>
      <c r="B3037" s="573" t="s">
        <v>5208</v>
      </c>
      <c r="C3037" s="573" t="s">
        <v>287</v>
      </c>
      <c r="D3037" s="578">
        <v>26</v>
      </c>
      <c r="E3037" s="573" t="s">
        <v>3374</v>
      </c>
      <c r="F3037" s="573" t="s">
        <v>796</v>
      </c>
      <c r="G3037" s="573" t="s">
        <v>271</v>
      </c>
      <c r="H3037" s="573">
        <v>2019</v>
      </c>
      <c r="I3037" s="573" t="s">
        <v>5190</v>
      </c>
      <c r="J3037" s="573" t="s">
        <v>5203</v>
      </c>
      <c r="K3037" s="573" t="s">
        <v>752</v>
      </c>
      <c r="L3037" s="573">
        <v>6</v>
      </c>
      <c r="M3037" s="573">
        <v>0</v>
      </c>
      <c r="N3037" s="573" t="s">
        <v>157</v>
      </c>
      <c r="O3037" s="573">
        <v>2</v>
      </c>
      <c r="P3037" s="573" t="s">
        <v>3846</v>
      </c>
      <c r="Q3037" s="571">
        <v>21000</v>
      </c>
      <c r="R3037" s="573" t="s">
        <v>4231</v>
      </c>
      <c r="S3037" s="573">
        <v>8</v>
      </c>
      <c r="T3037" s="573" t="s">
        <v>5198</v>
      </c>
      <c r="U3037" s="573" t="s">
        <v>5204</v>
      </c>
      <c r="V3037" s="573">
        <v>176</v>
      </c>
      <c r="W3037" s="573">
        <v>48</v>
      </c>
      <c r="X3037" s="571">
        <v>14000</v>
      </c>
      <c r="Y3037" s="569" t="s">
        <v>164</v>
      </c>
      <c r="Z3037" s="579" t="s">
        <v>728</v>
      </c>
      <c r="AA3037" s="579" t="s">
        <v>728</v>
      </c>
      <c r="AB3037" s="584">
        <v>58175</v>
      </c>
      <c r="AC3037" s="584" t="s">
        <v>164</v>
      </c>
      <c r="AD3037" s="584">
        <v>50858</v>
      </c>
      <c r="AE3037" s="586">
        <v>0.05</v>
      </c>
      <c r="AF3037" s="661" t="str">
        <f t="shared" si="332"/>
        <v>2019-LTK-FRD-F450-004-26</v>
      </c>
      <c r="AG3037" s="661" t="str">
        <f>IF(AND($Y3037&gt;=32,(AI3037="I"),(Y3037&lt;&gt;"~"),(COUNTIF($AN$1:$AN3037,$AN3037)=1)),"TRUE","FALSE")</f>
        <v>FALSE</v>
      </c>
      <c r="AH3037" s="661" t="str">
        <f>IF(AND($Y3037&gt;=22, (AI3037&lt;&gt;"I"),(Y3037&lt;&gt;"~"),(COUNTIF($AN$1:$AN3037,$AN3037)=1)),"TRUE","FALSE")</f>
        <v>FALSE</v>
      </c>
      <c r="AI3037" s="661" t="str">
        <f t="shared" si="334"/>
        <v>N/A</v>
      </c>
      <c r="AJ3037" s="662" t="str">
        <f t="shared" si="328"/>
        <v>F450-004</v>
      </c>
      <c r="AK3037" s="662" t="str">
        <f t="shared" si="329"/>
        <v>LTK</v>
      </c>
      <c r="AL3037" s="662" t="str">
        <f t="shared" si="330"/>
        <v>FRD</v>
      </c>
      <c r="AM3037" s="662" t="str">
        <f t="shared" si="333"/>
        <v>F450-DRW XLT-4WD-6-8'-21000-6.7L Diesel-8-W4C-673A-176-48-Diesel-Diesel</v>
      </c>
      <c r="AN3037" s="662" t="str">
        <f t="shared" si="331"/>
        <v>2019-LTK-FRD-F450-004</v>
      </c>
    </row>
    <row r="3038" spans="1:40" ht="15">
      <c r="A3038" s="570" t="s">
        <v>5210</v>
      </c>
      <c r="B3038" s="569" t="s">
        <v>5208</v>
      </c>
      <c r="C3038" s="569" t="s">
        <v>280</v>
      </c>
      <c r="D3038" s="580">
        <v>27</v>
      </c>
      <c r="E3038" s="569" t="s">
        <v>3374</v>
      </c>
      <c r="F3038" s="569" t="s">
        <v>796</v>
      </c>
      <c r="G3038" s="569" t="s">
        <v>271</v>
      </c>
      <c r="H3038" s="569">
        <v>2019</v>
      </c>
      <c r="I3038" s="569" t="s">
        <v>5190</v>
      </c>
      <c r="J3038" s="569" t="s">
        <v>5203</v>
      </c>
      <c r="K3038" s="569" t="s">
        <v>752</v>
      </c>
      <c r="L3038" s="569">
        <v>6</v>
      </c>
      <c r="M3038" s="569">
        <v>0</v>
      </c>
      <c r="N3038" s="569" t="s">
        <v>157</v>
      </c>
      <c r="O3038" s="569">
        <v>2</v>
      </c>
      <c r="P3038" s="569" t="s">
        <v>3846</v>
      </c>
      <c r="Q3038" s="568">
        <v>21000</v>
      </c>
      <c r="R3038" s="569" t="s">
        <v>4231</v>
      </c>
      <c r="S3038" s="569">
        <v>8</v>
      </c>
      <c r="T3038" s="569" t="s">
        <v>5198</v>
      </c>
      <c r="U3038" s="569" t="s">
        <v>5204</v>
      </c>
      <c r="V3038" s="569">
        <v>176</v>
      </c>
      <c r="W3038" s="569">
        <v>48</v>
      </c>
      <c r="X3038" s="568">
        <v>14000</v>
      </c>
      <c r="Y3038" s="569" t="s">
        <v>164</v>
      </c>
      <c r="Z3038" s="581" t="s">
        <v>728</v>
      </c>
      <c r="AA3038" s="581" t="s">
        <v>728</v>
      </c>
      <c r="AB3038" s="585">
        <v>58175</v>
      </c>
      <c r="AC3038" s="585" t="s">
        <v>164</v>
      </c>
      <c r="AD3038" s="585">
        <v>50385.578947368427</v>
      </c>
      <c r="AE3038" s="587">
        <v>0.03</v>
      </c>
      <c r="AF3038" s="661" t="str">
        <f t="shared" si="332"/>
        <v>2019-LTK-FRD-F450-004-27</v>
      </c>
      <c r="AG3038" s="661" t="str">
        <f>IF(AND($Y3038&gt;=32,(AI3038="I"),(Y3038&lt;&gt;"~"),(COUNTIF($AN$1:$AN3038,$AN3038)=1)),"TRUE","FALSE")</f>
        <v>FALSE</v>
      </c>
      <c r="AH3038" s="661" t="str">
        <f>IF(AND($Y3038&gt;=22, (AI3038&lt;&gt;"I"),(Y3038&lt;&gt;"~"),(COUNTIF($AN$1:$AN3038,$AN3038)=1)),"TRUE","FALSE")</f>
        <v>FALSE</v>
      </c>
      <c r="AI3038" s="661" t="str">
        <f t="shared" si="334"/>
        <v>N/A</v>
      </c>
      <c r="AJ3038" s="662" t="str">
        <f t="shared" si="328"/>
        <v>F450-004</v>
      </c>
      <c r="AK3038" s="662" t="str">
        <f t="shared" si="329"/>
        <v>LTK</v>
      </c>
      <c r="AL3038" s="662" t="str">
        <f t="shared" si="330"/>
        <v>FRD</v>
      </c>
      <c r="AM3038" s="662" t="str">
        <f t="shared" si="333"/>
        <v>F450-DRW XLT-4WD-6-8'-21000-6.7L Diesel-8-W4C-673A-176-48-Diesel-Diesel</v>
      </c>
      <c r="AN3038" s="662" t="str">
        <f t="shared" si="331"/>
        <v>2019-LTK-FRD-F450-004</v>
      </c>
    </row>
    <row r="3039" spans="1:40" ht="30">
      <c r="A3039" s="570" t="s">
        <v>5211</v>
      </c>
      <c r="B3039" s="573" t="s">
        <v>5212</v>
      </c>
      <c r="C3039" s="573" t="s">
        <v>269</v>
      </c>
      <c r="D3039" s="578" t="s">
        <v>270</v>
      </c>
      <c r="E3039" s="573" t="s">
        <v>3374</v>
      </c>
      <c r="F3039" s="573" t="s">
        <v>796</v>
      </c>
      <c r="G3039" s="573" t="s">
        <v>271</v>
      </c>
      <c r="H3039" s="573">
        <v>2019</v>
      </c>
      <c r="I3039" s="573" t="s">
        <v>5190</v>
      </c>
      <c r="J3039" s="573" t="s">
        <v>5213</v>
      </c>
      <c r="K3039" s="573" t="s">
        <v>3377</v>
      </c>
      <c r="L3039" s="573">
        <v>6</v>
      </c>
      <c r="M3039" s="573">
        <v>0</v>
      </c>
      <c r="N3039" s="573" t="s">
        <v>157</v>
      </c>
      <c r="O3039" s="573">
        <v>2</v>
      </c>
      <c r="P3039" s="573" t="s">
        <v>3846</v>
      </c>
      <c r="Q3039" s="571">
        <v>21000</v>
      </c>
      <c r="R3039" s="573" t="s">
        <v>4231</v>
      </c>
      <c r="S3039" s="573">
        <v>8</v>
      </c>
      <c r="T3039" s="573" t="s">
        <v>5192</v>
      </c>
      <c r="U3039" s="573" t="s">
        <v>5193</v>
      </c>
      <c r="V3039" s="573">
        <v>176</v>
      </c>
      <c r="W3039" s="573">
        <v>48</v>
      </c>
      <c r="X3039" s="571">
        <v>14000</v>
      </c>
      <c r="Y3039" s="569" t="s">
        <v>164</v>
      </c>
      <c r="Z3039" s="579" t="s">
        <v>728</v>
      </c>
      <c r="AA3039" s="579" t="s">
        <v>1523</v>
      </c>
      <c r="AB3039" s="584">
        <v>56055</v>
      </c>
      <c r="AC3039" s="584" t="s">
        <v>164</v>
      </c>
      <c r="AD3039" s="584">
        <v>48428.42105263158</v>
      </c>
      <c r="AE3039" s="586">
        <v>0.03</v>
      </c>
      <c r="AF3039" s="661" t="str">
        <f t="shared" si="332"/>
        <v>2019-LTK-FRD-F450-005-05</v>
      </c>
      <c r="AG3039" s="661" t="str">
        <f>IF(AND($Y3039&gt;=32,(AI3039="I"),(Y3039&lt;&gt;"~"),(COUNTIF($AN$1:$AN3039,$AN3039)=1)),"TRUE","FALSE")</f>
        <v>FALSE</v>
      </c>
      <c r="AH3039" s="661" t="str">
        <f>IF(AND($Y3039&gt;=22, (AI3039&lt;&gt;"I"),(Y3039&lt;&gt;"~"),(COUNTIF($AN$1:$AN3039,$AN3039)=1)),"TRUE","FALSE")</f>
        <v>TRUE</v>
      </c>
      <c r="AI3039" s="661" t="str">
        <f t="shared" si="334"/>
        <v>N/A</v>
      </c>
      <c r="AJ3039" s="662" t="str">
        <f t="shared" si="328"/>
        <v>F450-005</v>
      </c>
      <c r="AK3039" s="662" t="str">
        <f t="shared" si="329"/>
        <v>LTK</v>
      </c>
      <c r="AL3039" s="662" t="str">
        <f t="shared" si="330"/>
        <v>FRD</v>
      </c>
      <c r="AM3039" s="662" t="str">
        <f t="shared" si="333"/>
        <v>F450-Super Duty Crew Cab XL DRW-2WD-6-8'-21000-6.7L Diesel-8-W4D-670A-176-48-Diesel-BioDiesel</v>
      </c>
      <c r="AN3039" s="662" t="str">
        <f t="shared" si="331"/>
        <v>2019-LTK-FRD-F450-005</v>
      </c>
    </row>
    <row r="3040" spans="1:40" ht="30">
      <c r="A3040" s="570" t="s">
        <v>5214</v>
      </c>
      <c r="B3040" s="569" t="s">
        <v>5212</v>
      </c>
      <c r="C3040" s="569" t="s">
        <v>278</v>
      </c>
      <c r="D3040" s="580">
        <v>15</v>
      </c>
      <c r="E3040" s="569" t="s">
        <v>3374</v>
      </c>
      <c r="F3040" s="569" t="s">
        <v>796</v>
      </c>
      <c r="G3040" s="569" t="s">
        <v>271</v>
      </c>
      <c r="H3040" s="569">
        <v>2019</v>
      </c>
      <c r="I3040" s="569" t="s">
        <v>5190</v>
      </c>
      <c r="J3040" s="569" t="s">
        <v>5213</v>
      </c>
      <c r="K3040" s="569" t="s">
        <v>3377</v>
      </c>
      <c r="L3040" s="569">
        <v>6</v>
      </c>
      <c r="M3040" s="569">
        <v>0</v>
      </c>
      <c r="N3040" s="569" t="s">
        <v>157</v>
      </c>
      <c r="O3040" s="569">
        <v>2</v>
      </c>
      <c r="P3040" s="569" t="s">
        <v>3846</v>
      </c>
      <c r="Q3040" s="568">
        <v>21000</v>
      </c>
      <c r="R3040" s="569" t="s">
        <v>4231</v>
      </c>
      <c r="S3040" s="569">
        <v>8</v>
      </c>
      <c r="T3040" s="569" t="s">
        <v>5192</v>
      </c>
      <c r="U3040" s="569" t="s">
        <v>5193</v>
      </c>
      <c r="V3040" s="569">
        <v>176</v>
      </c>
      <c r="W3040" s="569">
        <v>48</v>
      </c>
      <c r="X3040" s="568">
        <v>14000</v>
      </c>
      <c r="Y3040" s="569" t="s">
        <v>164</v>
      </c>
      <c r="Z3040" s="581" t="s">
        <v>728</v>
      </c>
      <c r="AA3040" s="581" t="s">
        <v>1523</v>
      </c>
      <c r="AB3040" s="585">
        <v>56055</v>
      </c>
      <c r="AC3040" s="585" t="s">
        <v>164</v>
      </c>
      <c r="AD3040" s="585">
        <v>48750</v>
      </c>
      <c r="AE3040" s="587">
        <v>0.01</v>
      </c>
      <c r="AF3040" s="661" t="str">
        <f t="shared" si="332"/>
        <v>2019-LTK-FRD-F450-005-15</v>
      </c>
      <c r="AG3040" s="661" t="str">
        <f>IF(AND($Y3040&gt;=32,(AI3040="I"),(Y3040&lt;&gt;"~"),(COUNTIF($AN$1:$AN3040,$AN3040)=1)),"TRUE","FALSE")</f>
        <v>FALSE</v>
      </c>
      <c r="AH3040" s="661" t="str">
        <f>IF(AND($Y3040&gt;=22, (AI3040&lt;&gt;"I"),(Y3040&lt;&gt;"~"),(COUNTIF($AN$1:$AN3040,$AN3040)=1)),"TRUE","FALSE")</f>
        <v>FALSE</v>
      </c>
      <c r="AI3040" s="661" t="str">
        <f t="shared" si="334"/>
        <v>N/A</v>
      </c>
      <c r="AJ3040" s="662" t="str">
        <f t="shared" si="328"/>
        <v>F450-005</v>
      </c>
      <c r="AK3040" s="662" t="str">
        <f t="shared" si="329"/>
        <v>LTK</v>
      </c>
      <c r="AL3040" s="662" t="str">
        <f t="shared" si="330"/>
        <v>FRD</v>
      </c>
      <c r="AM3040" s="662" t="str">
        <f t="shared" si="333"/>
        <v>F450-Super Duty Crew Cab XL DRW-2WD-6-8'-21000-6.7L Diesel-8-W4D-670A-176-48-Diesel-BioDiesel</v>
      </c>
      <c r="AN3040" s="662" t="str">
        <f t="shared" si="331"/>
        <v>2019-LTK-FRD-F450-005</v>
      </c>
    </row>
    <row r="3041" spans="1:40" ht="30">
      <c r="A3041" s="570" t="s">
        <v>5215</v>
      </c>
      <c r="B3041" s="573" t="s">
        <v>5216</v>
      </c>
      <c r="C3041" s="573" t="s">
        <v>278</v>
      </c>
      <c r="D3041" s="578">
        <v>15</v>
      </c>
      <c r="E3041" s="573" t="s">
        <v>3374</v>
      </c>
      <c r="F3041" s="573" t="s">
        <v>796</v>
      </c>
      <c r="G3041" s="573" t="s">
        <v>271</v>
      </c>
      <c r="H3041" s="573">
        <v>2019</v>
      </c>
      <c r="I3041" s="573" t="s">
        <v>5190</v>
      </c>
      <c r="J3041" s="573" t="s">
        <v>5213</v>
      </c>
      <c r="K3041" s="573" t="s">
        <v>3377</v>
      </c>
      <c r="L3041" s="573">
        <v>6</v>
      </c>
      <c r="M3041" s="573">
        <v>0</v>
      </c>
      <c r="N3041" s="573" t="s">
        <v>157</v>
      </c>
      <c r="O3041" s="573">
        <v>2</v>
      </c>
      <c r="P3041" s="573" t="s">
        <v>3846</v>
      </c>
      <c r="Q3041" s="571">
        <v>21000</v>
      </c>
      <c r="R3041" s="573" t="s">
        <v>4231</v>
      </c>
      <c r="S3041" s="573">
        <v>8</v>
      </c>
      <c r="T3041" s="573" t="s">
        <v>5198</v>
      </c>
      <c r="U3041" s="573" t="s">
        <v>5193</v>
      </c>
      <c r="V3041" s="573">
        <v>176</v>
      </c>
      <c r="W3041" s="573">
        <v>48</v>
      </c>
      <c r="X3041" s="571">
        <v>14000</v>
      </c>
      <c r="Y3041" s="569" t="s">
        <v>164</v>
      </c>
      <c r="Z3041" s="579" t="s">
        <v>728</v>
      </c>
      <c r="AA3041" s="579" t="s">
        <v>1523</v>
      </c>
      <c r="AB3041" s="584">
        <v>53290</v>
      </c>
      <c r="AC3041" s="584" t="s">
        <v>164</v>
      </c>
      <c r="AD3041" s="584">
        <v>46150</v>
      </c>
      <c r="AE3041" s="586">
        <v>0.01</v>
      </c>
      <c r="AF3041" s="661" t="str">
        <f t="shared" si="332"/>
        <v>2019-LTK-FRD-F450-007-15</v>
      </c>
      <c r="AG3041" s="661" t="str">
        <f>IF(AND($Y3041&gt;=32,(AI3041="I"),(Y3041&lt;&gt;"~"),(COUNTIF($AN$1:$AN3041,$AN3041)=1)),"TRUE","FALSE")</f>
        <v>FALSE</v>
      </c>
      <c r="AH3041" s="661" t="str">
        <f>IF(AND($Y3041&gt;=22, (AI3041&lt;&gt;"I"),(Y3041&lt;&gt;"~"),(COUNTIF($AN$1:$AN3041,$AN3041)=1)),"TRUE","FALSE")</f>
        <v>TRUE</v>
      </c>
      <c r="AI3041" s="661" t="str">
        <f t="shared" si="334"/>
        <v>N/A</v>
      </c>
      <c r="AJ3041" s="662" t="str">
        <f t="shared" si="328"/>
        <v>F450-007</v>
      </c>
      <c r="AK3041" s="662" t="str">
        <f t="shared" si="329"/>
        <v>LTK</v>
      </c>
      <c r="AL3041" s="662" t="str">
        <f t="shared" si="330"/>
        <v>FRD</v>
      </c>
      <c r="AM3041" s="662" t="str">
        <f t="shared" si="333"/>
        <v>F450-Super Duty Crew Cab XL DRW-2WD-6-8'-21000-6.7L Diesel-8-W4C-670A-176-48-Diesel-BioDiesel</v>
      </c>
      <c r="AN3041" s="662" t="str">
        <f t="shared" si="331"/>
        <v>2019-LTK-FRD-F450-007</v>
      </c>
    </row>
    <row r="3042" spans="1:40" ht="30">
      <c r="A3042" s="570" t="s">
        <v>5217</v>
      </c>
      <c r="B3042" s="569" t="s">
        <v>5212</v>
      </c>
      <c r="C3042" s="569" t="s">
        <v>280</v>
      </c>
      <c r="D3042" s="580">
        <v>27</v>
      </c>
      <c r="E3042" s="569" t="s">
        <v>3374</v>
      </c>
      <c r="F3042" s="569" t="s">
        <v>796</v>
      </c>
      <c r="G3042" s="569" t="s">
        <v>271</v>
      </c>
      <c r="H3042" s="569">
        <v>2019</v>
      </c>
      <c r="I3042" s="569" t="s">
        <v>5190</v>
      </c>
      <c r="J3042" s="569" t="s">
        <v>5213</v>
      </c>
      <c r="K3042" s="569" t="s">
        <v>3377</v>
      </c>
      <c r="L3042" s="569">
        <v>6</v>
      </c>
      <c r="M3042" s="569">
        <v>0</v>
      </c>
      <c r="N3042" s="569" t="s">
        <v>157</v>
      </c>
      <c r="O3042" s="569">
        <v>2</v>
      </c>
      <c r="P3042" s="569" t="s">
        <v>3846</v>
      </c>
      <c r="Q3042" s="568">
        <v>21000</v>
      </c>
      <c r="R3042" s="569" t="s">
        <v>4231</v>
      </c>
      <c r="S3042" s="569">
        <v>8</v>
      </c>
      <c r="T3042" s="569" t="s">
        <v>5192</v>
      </c>
      <c r="U3042" s="569" t="s">
        <v>5193</v>
      </c>
      <c r="V3042" s="569">
        <v>176</v>
      </c>
      <c r="W3042" s="569">
        <v>48</v>
      </c>
      <c r="X3042" s="568">
        <v>14000</v>
      </c>
      <c r="Y3042" s="569" t="s">
        <v>164</v>
      </c>
      <c r="Z3042" s="581" t="s">
        <v>728</v>
      </c>
      <c r="AA3042" s="581" t="s">
        <v>1523</v>
      </c>
      <c r="AB3042" s="585">
        <v>56055</v>
      </c>
      <c r="AC3042" s="585" t="s">
        <v>164</v>
      </c>
      <c r="AD3042" s="585">
        <v>48428.42105263158</v>
      </c>
      <c r="AE3042" s="587">
        <v>0.03</v>
      </c>
      <c r="AF3042" s="661" t="str">
        <f t="shared" si="332"/>
        <v>2019-LTK-FRD-F450-005-27</v>
      </c>
      <c r="AG3042" s="661" t="str">
        <f>IF(AND($Y3042&gt;=32,(AI3042="I"),(Y3042&lt;&gt;"~"),(COUNTIF($AN$1:$AN3042,$AN3042)=1)),"TRUE","FALSE")</f>
        <v>FALSE</v>
      </c>
      <c r="AH3042" s="661" t="str">
        <f>IF(AND($Y3042&gt;=22, (AI3042&lt;&gt;"I"),(Y3042&lt;&gt;"~"),(COUNTIF($AN$1:$AN3042,$AN3042)=1)),"TRUE","FALSE")</f>
        <v>FALSE</v>
      </c>
      <c r="AI3042" s="661" t="str">
        <f t="shared" si="334"/>
        <v>N/A</v>
      </c>
      <c r="AJ3042" s="662" t="str">
        <f t="shared" si="328"/>
        <v>F450-005</v>
      </c>
      <c r="AK3042" s="662" t="str">
        <f t="shared" si="329"/>
        <v>LTK</v>
      </c>
      <c r="AL3042" s="662" t="str">
        <f t="shared" si="330"/>
        <v>FRD</v>
      </c>
      <c r="AM3042" s="662" t="str">
        <f t="shared" si="333"/>
        <v>F450-Super Duty Crew Cab XL DRW-2WD-6-8'-21000-6.7L Diesel-8-W4D-670A-176-48-Diesel-BioDiesel</v>
      </c>
      <c r="AN3042" s="662" t="str">
        <f t="shared" si="331"/>
        <v>2019-LTK-FRD-F450-005</v>
      </c>
    </row>
    <row r="3043" spans="1:40" ht="30">
      <c r="A3043" s="570" t="s">
        <v>5218</v>
      </c>
      <c r="B3043" s="573" t="s">
        <v>5219</v>
      </c>
      <c r="C3043" s="573" t="s">
        <v>269</v>
      </c>
      <c r="D3043" s="578" t="s">
        <v>270</v>
      </c>
      <c r="E3043" s="573" t="s">
        <v>3374</v>
      </c>
      <c r="F3043" s="573" t="s">
        <v>796</v>
      </c>
      <c r="G3043" s="573" t="s">
        <v>271</v>
      </c>
      <c r="H3043" s="573">
        <v>2019</v>
      </c>
      <c r="I3043" s="573" t="s">
        <v>5190</v>
      </c>
      <c r="J3043" s="573" t="s">
        <v>5213</v>
      </c>
      <c r="K3043" s="573" t="s">
        <v>752</v>
      </c>
      <c r="L3043" s="573">
        <v>6</v>
      </c>
      <c r="M3043" s="573">
        <v>0</v>
      </c>
      <c r="N3043" s="573" t="s">
        <v>157</v>
      </c>
      <c r="O3043" s="573">
        <v>2</v>
      </c>
      <c r="P3043" s="573" t="s">
        <v>3846</v>
      </c>
      <c r="Q3043" s="571">
        <v>21000</v>
      </c>
      <c r="R3043" s="573" t="s">
        <v>4231</v>
      </c>
      <c r="S3043" s="573">
        <v>8</v>
      </c>
      <c r="T3043" s="573" t="s">
        <v>5198</v>
      </c>
      <c r="U3043" s="573" t="s">
        <v>5193</v>
      </c>
      <c r="V3043" s="573">
        <v>176</v>
      </c>
      <c r="W3043" s="573">
        <v>48</v>
      </c>
      <c r="X3043" s="571">
        <v>14000</v>
      </c>
      <c r="Y3043" s="569" t="s">
        <v>164</v>
      </c>
      <c r="Z3043" s="579" t="s">
        <v>728</v>
      </c>
      <c r="AA3043" s="579" t="s">
        <v>1523</v>
      </c>
      <c r="AB3043" s="584">
        <v>56055</v>
      </c>
      <c r="AC3043" s="584" t="s">
        <v>164</v>
      </c>
      <c r="AD3043" s="584">
        <v>48428.736842105267</v>
      </c>
      <c r="AE3043" s="586">
        <v>0.03</v>
      </c>
      <c r="AF3043" s="661" t="str">
        <f t="shared" si="332"/>
        <v>2019-LTK-FRD-F450-006-05</v>
      </c>
      <c r="AG3043" s="661" t="str">
        <f>IF(AND($Y3043&gt;=32,(AI3043="I"),(Y3043&lt;&gt;"~"),(COUNTIF($AN$1:$AN3043,$AN3043)=1)),"TRUE","FALSE")</f>
        <v>FALSE</v>
      </c>
      <c r="AH3043" s="661" t="str">
        <f>IF(AND($Y3043&gt;=22, (AI3043&lt;&gt;"I"),(Y3043&lt;&gt;"~"),(COUNTIF($AN$1:$AN3043,$AN3043)=1)),"TRUE","FALSE")</f>
        <v>TRUE</v>
      </c>
      <c r="AI3043" s="661" t="str">
        <f t="shared" si="334"/>
        <v>N/A</v>
      </c>
      <c r="AJ3043" s="662" t="str">
        <f t="shared" si="328"/>
        <v>F450-006</v>
      </c>
      <c r="AK3043" s="662" t="str">
        <f t="shared" si="329"/>
        <v>LTK</v>
      </c>
      <c r="AL3043" s="662" t="str">
        <f t="shared" si="330"/>
        <v>FRD</v>
      </c>
      <c r="AM3043" s="662" t="str">
        <f t="shared" si="333"/>
        <v>F450-Super Duty Crew Cab XL DRW-4WD-6-8'-21000-6.7L Diesel-8-W4C-670A-176-48-Diesel-BioDiesel</v>
      </c>
      <c r="AN3043" s="662" t="str">
        <f t="shared" si="331"/>
        <v>2019-LTK-FRD-F450-006</v>
      </c>
    </row>
    <row r="3044" spans="1:40" ht="30">
      <c r="A3044" s="570" t="s">
        <v>5220</v>
      </c>
      <c r="B3044" s="569" t="s">
        <v>5219</v>
      </c>
      <c r="C3044" s="569" t="s">
        <v>280</v>
      </c>
      <c r="D3044" s="580">
        <v>27</v>
      </c>
      <c r="E3044" s="569" t="s">
        <v>3374</v>
      </c>
      <c r="F3044" s="569" t="s">
        <v>796</v>
      </c>
      <c r="G3044" s="569" t="s">
        <v>271</v>
      </c>
      <c r="H3044" s="569">
        <v>2019</v>
      </c>
      <c r="I3044" s="569" t="s">
        <v>5190</v>
      </c>
      <c r="J3044" s="569" t="s">
        <v>5213</v>
      </c>
      <c r="K3044" s="569" t="s">
        <v>752</v>
      </c>
      <c r="L3044" s="569">
        <v>6</v>
      </c>
      <c r="M3044" s="569">
        <v>0</v>
      </c>
      <c r="N3044" s="569" t="s">
        <v>157</v>
      </c>
      <c r="O3044" s="569">
        <v>2</v>
      </c>
      <c r="P3044" s="569" t="s">
        <v>3846</v>
      </c>
      <c r="Q3044" s="568">
        <v>21000</v>
      </c>
      <c r="R3044" s="569" t="s">
        <v>4231</v>
      </c>
      <c r="S3044" s="569">
        <v>8</v>
      </c>
      <c r="T3044" s="569" t="s">
        <v>5198</v>
      </c>
      <c r="U3044" s="569" t="s">
        <v>5193</v>
      </c>
      <c r="V3044" s="569">
        <v>176</v>
      </c>
      <c r="W3044" s="569">
        <v>48</v>
      </c>
      <c r="X3044" s="568">
        <v>14000</v>
      </c>
      <c r="Y3044" s="569" t="s">
        <v>164</v>
      </c>
      <c r="Z3044" s="581" t="s">
        <v>728</v>
      </c>
      <c r="AA3044" s="581" t="s">
        <v>1523</v>
      </c>
      <c r="AB3044" s="585">
        <v>56055</v>
      </c>
      <c r="AC3044" s="585" t="s">
        <v>164</v>
      </c>
      <c r="AD3044" s="585">
        <v>48428.736842105267</v>
      </c>
      <c r="AE3044" s="587">
        <v>0.03</v>
      </c>
      <c r="AF3044" s="661" t="str">
        <f t="shared" si="332"/>
        <v>2019-LTK-FRD-F450-006-27</v>
      </c>
      <c r="AG3044" s="661" t="str">
        <f>IF(AND($Y3044&gt;=32,(AI3044="I"),(Y3044&lt;&gt;"~"),(COUNTIF($AN$1:$AN3044,$AN3044)=1)),"TRUE","FALSE")</f>
        <v>FALSE</v>
      </c>
      <c r="AH3044" s="661" t="str">
        <f>IF(AND($Y3044&gt;=22, (AI3044&lt;&gt;"I"),(Y3044&lt;&gt;"~"),(COUNTIF($AN$1:$AN3044,$AN3044)=1)),"TRUE","FALSE")</f>
        <v>FALSE</v>
      </c>
      <c r="AI3044" s="661" t="str">
        <f t="shared" si="334"/>
        <v>N/A</v>
      </c>
      <c r="AJ3044" s="662" t="str">
        <f t="shared" si="328"/>
        <v>F450-006</v>
      </c>
      <c r="AK3044" s="662" t="str">
        <f t="shared" si="329"/>
        <v>LTK</v>
      </c>
      <c r="AL3044" s="662" t="str">
        <f t="shared" si="330"/>
        <v>FRD</v>
      </c>
      <c r="AM3044" s="662" t="str">
        <f t="shared" si="333"/>
        <v>F450-Super Duty Crew Cab XL DRW-4WD-6-8'-21000-6.7L Diesel-8-W4C-670A-176-48-Diesel-BioDiesel</v>
      </c>
      <c r="AN3044" s="662" t="str">
        <f t="shared" si="331"/>
        <v>2019-LTK-FRD-F450-006</v>
      </c>
    </row>
    <row r="3045" spans="1:40" ht="30">
      <c r="A3045" s="570" t="s">
        <v>5221</v>
      </c>
      <c r="B3045" s="573" t="s">
        <v>5222</v>
      </c>
      <c r="C3045" s="573" t="s">
        <v>269</v>
      </c>
      <c r="D3045" s="578" t="s">
        <v>270</v>
      </c>
      <c r="E3045" s="573" t="s">
        <v>3374</v>
      </c>
      <c r="F3045" s="573" t="s">
        <v>796</v>
      </c>
      <c r="G3045" s="573" t="s">
        <v>271</v>
      </c>
      <c r="H3045" s="573">
        <v>2019</v>
      </c>
      <c r="I3045" s="573" t="s">
        <v>5190</v>
      </c>
      <c r="J3045" s="573" t="s">
        <v>5223</v>
      </c>
      <c r="K3045" s="573" t="s">
        <v>3377</v>
      </c>
      <c r="L3045" s="573">
        <v>6</v>
      </c>
      <c r="M3045" s="573">
        <v>0</v>
      </c>
      <c r="N3045" s="573" t="s">
        <v>157</v>
      </c>
      <c r="O3045" s="573">
        <v>2</v>
      </c>
      <c r="P3045" s="573" t="s">
        <v>3846</v>
      </c>
      <c r="Q3045" s="571">
        <v>21000</v>
      </c>
      <c r="R3045" s="573" t="s">
        <v>4231</v>
      </c>
      <c r="S3045" s="573">
        <v>8</v>
      </c>
      <c r="T3045" s="573" t="s">
        <v>5192</v>
      </c>
      <c r="U3045" s="573" t="s">
        <v>5204</v>
      </c>
      <c r="V3045" s="573">
        <v>176</v>
      </c>
      <c r="W3045" s="573">
        <v>48</v>
      </c>
      <c r="X3045" s="571">
        <v>14000</v>
      </c>
      <c r="Y3045" s="569" t="s">
        <v>164</v>
      </c>
      <c r="Z3045" s="579" t="s">
        <v>728</v>
      </c>
      <c r="AA3045" s="579" t="s">
        <v>1523</v>
      </c>
      <c r="AB3045" s="584">
        <v>60935</v>
      </c>
      <c r="AC3045" s="584" t="s">
        <v>164</v>
      </c>
      <c r="AD3045" s="584">
        <v>52935.052631578954</v>
      </c>
      <c r="AE3045" s="586">
        <v>0.03</v>
      </c>
      <c r="AF3045" s="661" t="str">
        <f t="shared" si="332"/>
        <v>2019-LTK-FRD-F450-008-05</v>
      </c>
      <c r="AG3045" s="661" t="str">
        <f>IF(AND($Y3045&gt;=32,(AI3045="I"),(Y3045&lt;&gt;"~"),(COUNTIF($AN$1:$AN3045,$AN3045)=1)),"TRUE","FALSE")</f>
        <v>FALSE</v>
      </c>
      <c r="AH3045" s="661" t="str">
        <f>IF(AND($Y3045&gt;=22, (AI3045&lt;&gt;"I"),(Y3045&lt;&gt;"~"),(COUNTIF($AN$1:$AN3045,$AN3045)=1)),"TRUE","FALSE")</f>
        <v>TRUE</v>
      </c>
      <c r="AI3045" s="661" t="str">
        <f t="shared" si="334"/>
        <v>N/A</v>
      </c>
      <c r="AJ3045" s="662" t="str">
        <f t="shared" si="328"/>
        <v>F450-008</v>
      </c>
      <c r="AK3045" s="662" t="str">
        <f t="shared" si="329"/>
        <v>LTK</v>
      </c>
      <c r="AL3045" s="662" t="str">
        <f t="shared" si="330"/>
        <v>FRD</v>
      </c>
      <c r="AM3045" s="662" t="str">
        <f t="shared" si="333"/>
        <v>F450-Super Duty Crew Cab XLT DRW-2WD-6-8'-21000-6.7L Diesel-8-W4D-673A-176-48-Diesel-BioDiesel</v>
      </c>
      <c r="AN3045" s="662" t="str">
        <f t="shared" si="331"/>
        <v>2019-LTK-FRD-F450-008</v>
      </c>
    </row>
    <row r="3046" spans="1:40" ht="30">
      <c r="A3046" s="570" t="s">
        <v>5224</v>
      </c>
      <c r="B3046" s="569" t="s">
        <v>5225</v>
      </c>
      <c r="C3046" s="569" t="s">
        <v>278</v>
      </c>
      <c r="D3046" s="580">
        <v>15</v>
      </c>
      <c r="E3046" s="569" t="s">
        <v>3374</v>
      </c>
      <c r="F3046" s="569" t="s">
        <v>796</v>
      </c>
      <c r="G3046" s="569" t="s">
        <v>271</v>
      </c>
      <c r="H3046" s="569">
        <v>2019</v>
      </c>
      <c r="I3046" s="569" t="s">
        <v>5190</v>
      </c>
      <c r="J3046" s="569" t="s">
        <v>5223</v>
      </c>
      <c r="K3046" s="569" t="s">
        <v>3377</v>
      </c>
      <c r="L3046" s="569">
        <v>6</v>
      </c>
      <c r="M3046" s="569">
        <v>0</v>
      </c>
      <c r="N3046" s="569" t="s">
        <v>157</v>
      </c>
      <c r="O3046" s="569">
        <v>2</v>
      </c>
      <c r="P3046" s="569" t="s">
        <v>3846</v>
      </c>
      <c r="Q3046" s="568">
        <v>21000</v>
      </c>
      <c r="R3046" s="569" t="s">
        <v>4231</v>
      </c>
      <c r="S3046" s="569">
        <v>8</v>
      </c>
      <c r="T3046" s="569" t="s">
        <v>5198</v>
      </c>
      <c r="U3046" s="569" t="s">
        <v>5204</v>
      </c>
      <c r="V3046" s="569">
        <v>176</v>
      </c>
      <c r="W3046" s="569">
        <v>48</v>
      </c>
      <c r="X3046" s="568">
        <v>14000</v>
      </c>
      <c r="Y3046" s="569" t="s">
        <v>164</v>
      </c>
      <c r="Z3046" s="581" t="s">
        <v>728</v>
      </c>
      <c r="AA3046" s="581" t="s">
        <v>1523</v>
      </c>
      <c r="AB3046" s="585">
        <v>56055</v>
      </c>
      <c r="AC3046" s="585" t="s">
        <v>164</v>
      </c>
      <c r="AD3046" s="585">
        <v>50700</v>
      </c>
      <c r="AE3046" s="587">
        <v>0.01</v>
      </c>
      <c r="AF3046" s="661" t="str">
        <f t="shared" si="332"/>
        <v>2019-LTK-FRD-F450-011-15</v>
      </c>
      <c r="AG3046" s="661" t="str">
        <f>IF(AND($Y3046&gt;=32,(AI3046="I"),(Y3046&lt;&gt;"~"),(COUNTIF($AN$1:$AN3046,$AN3046)=1)),"TRUE","FALSE")</f>
        <v>FALSE</v>
      </c>
      <c r="AH3046" s="661" t="str">
        <f>IF(AND($Y3046&gt;=22, (AI3046&lt;&gt;"I"),(Y3046&lt;&gt;"~"),(COUNTIF($AN$1:$AN3046,$AN3046)=1)),"TRUE","FALSE")</f>
        <v>TRUE</v>
      </c>
      <c r="AI3046" s="661" t="str">
        <f t="shared" si="334"/>
        <v>N/A</v>
      </c>
      <c r="AJ3046" s="662" t="str">
        <f t="shared" si="328"/>
        <v>F450-011</v>
      </c>
      <c r="AK3046" s="662" t="str">
        <f t="shared" si="329"/>
        <v>LTK</v>
      </c>
      <c r="AL3046" s="662" t="str">
        <f t="shared" si="330"/>
        <v>FRD</v>
      </c>
      <c r="AM3046" s="662" t="str">
        <f t="shared" si="333"/>
        <v>F450-Super Duty Crew Cab XLT DRW-2WD-6-8'-21000-6.7L Diesel-8-W4C-673A-176-48-Diesel-BioDiesel</v>
      </c>
      <c r="AN3046" s="662" t="str">
        <f t="shared" si="331"/>
        <v>2019-LTK-FRD-F450-011</v>
      </c>
    </row>
    <row r="3047" spans="1:40" ht="30">
      <c r="A3047" s="570" t="s">
        <v>5226</v>
      </c>
      <c r="B3047" s="573" t="s">
        <v>5222</v>
      </c>
      <c r="C3047" s="573" t="s">
        <v>280</v>
      </c>
      <c r="D3047" s="578">
        <v>27</v>
      </c>
      <c r="E3047" s="573" t="s">
        <v>3374</v>
      </c>
      <c r="F3047" s="573" t="s">
        <v>796</v>
      </c>
      <c r="G3047" s="573" t="s">
        <v>271</v>
      </c>
      <c r="H3047" s="573">
        <v>2019</v>
      </c>
      <c r="I3047" s="573" t="s">
        <v>5190</v>
      </c>
      <c r="J3047" s="573" t="s">
        <v>5223</v>
      </c>
      <c r="K3047" s="573" t="s">
        <v>3377</v>
      </c>
      <c r="L3047" s="573">
        <v>6</v>
      </c>
      <c r="M3047" s="573">
        <v>0</v>
      </c>
      <c r="N3047" s="573" t="s">
        <v>157</v>
      </c>
      <c r="O3047" s="573">
        <v>2</v>
      </c>
      <c r="P3047" s="573" t="s">
        <v>3846</v>
      </c>
      <c r="Q3047" s="571">
        <v>21000</v>
      </c>
      <c r="R3047" s="573" t="s">
        <v>4231</v>
      </c>
      <c r="S3047" s="573">
        <v>8</v>
      </c>
      <c r="T3047" s="573" t="s">
        <v>5192</v>
      </c>
      <c r="U3047" s="573" t="s">
        <v>5204</v>
      </c>
      <c r="V3047" s="573">
        <v>176</v>
      </c>
      <c r="W3047" s="573">
        <v>48</v>
      </c>
      <c r="X3047" s="571">
        <v>14000</v>
      </c>
      <c r="Y3047" s="569" t="s">
        <v>164</v>
      </c>
      <c r="Z3047" s="579" t="s">
        <v>728</v>
      </c>
      <c r="AA3047" s="579" t="s">
        <v>1523</v>
      </c>
      <c r="AB3047" s="584">
        <v>60935</v>
      </c>
      <c r="AC3047" s="584" t="s">
        <v>164</v>
      </c>
      <c r="AD3047" s="584">
        <v>52935.052631578954</v>
      </c>
      <c r="AE3047" s="586">
        <v>0.03</v>
      </c>
      <c r="AF3047" s="661" t="str">
        <f t="shared" si="332"/>
        <v>2019-LTK-FRD-F450-008-27</v>
      </c>
      <c r="AG3047" s="661" t="str">
        <f>IF(AND($Y3047&gt;=32,(AI3047="I"),(Y3047&lt;&gt;"~"),(COUNTIF($AN$1:$AN3047,$AN3047)=1)),"TRUE","FALSE")</f>
        <v>FALSE</v>
      </c>
      <c r="AH3047" s="661" t="str">
        <f>IF(AND($Y3047&gt;=22, (AI3047&lt;&gt;"I"),(Y3047&lt;&gt;"~"),(COUNTIF($AN$1:$AN3047,$AN3047)=1)),"TRUE","FALSE")</f>
        <v>FALSE</v>
      </c>
      <c r="AI3047" s="661" t="str">
        <f t="shared" si="334"/>
        <v>N/A</v>
      </c>
      <c r="AJ3047" s="662" t="str">
        <f t="shared" si="328"/>
        <v>F450-008</v>
      </c>
      <c r="AK3047" s="662" t="str">
        <f t="shared" si="329"/>
        <v>LTK</v>
      </c>
      <c r="AL3047" s="662" t="str">
        <f t="shared" si="330"/>
        <v>FRD</v>
      </c>
      <c r="AM3047" s="662" t="str">
        <f t="shared" si="333"/>
        <v>F450-Super Duty Crew Cab XLT DRW-2WD-6-8'-21000-6.7L Diesel-8-W4D-673A-176-48-Diesel-BioDiesel</v>
      </c>
      <c r="AN3047" s="662" t="str">
        <f t="shared" si="331"/>
        <v>2019-LTK-FRD-F450-008</v>
      </c>
    </row>
    <row r="3048" spans="1:40" ht="30">
      <c r="A3048" s="570" t="s">
        <v>5227</v>
      </c>
      <c r="B3048" s="569" t="s">
        <v>5228</v>
      </c>
      <c r="C3048" s="569" t="s">
        <v>269</v>
      </c>
      <c r="D3048" s="580" t="s">
        <v>270</v>
      </c>
      <c r="E3048" s="569" t="s">
        <v>3374</v>
      </c>
      <c r="F3048" s="569" t="s">
        <v>796</v>
      </c>
      <c r="G3048" s="569" t="s">
        <v>271</v>
      </c>
      <c r="H3048" s="569">
        <v>2019</v>
      </c>
      <c r="I3048" s="569" t="s">
        <v>5190</v>
      </c>
      <c r="J3048" s="569" t="s">
        <v>5223</v>
      </c>
      <c r="K3048" s="569" t="s">
        <v>752</v>
      </c>
      <c r="L3048" s="569">
        <v>6</v>
      </c>
      <c r="M3048" s="569">
        <v>0</v>
      </c>
      <c r="N3048" s="569" t="s">
        <v>157</v>
      </c>
      <c r="O3048" s="569">
        <v>2</v>
      </c>
      <c r="P3048" s="569" t="s">
        <v>3846</v>
      </c>
      <c r="Q3048" s="568">
        <v>21000</v>
      </c>
      <c r="R3048" s="569" t="s">
        <v>4231</v>
      </c>
      <c r="S3048" s="569">
        <v>8</v>
      </c>
      <c r="T3048" s="569" t="s">
        <v>5198</v>
      </c>
      <c r="U3048" s="569" t="s">
        <v>5204</v>
      </c>
      <c r="V3048" s="569">
        <v>176</v>
      </c>
      <c r="W3048" s="569">
        <v>48</v>
      </c>
      <c r="X3048" s="568">
        <v>14000</v>
      </c>
      <c r="Y3048" s="569" t="s">
        <v>164</v>
      </c>
      <c r="Z3048" s="581" t="s">
        <v>728</v>
      </c>
      <c r="AA3048" s="581" t="s">
        <v>1523</v>
      </c>
      <c r="AB3048" s="585">
        <v>60935</v>
      </c>
      <c r="AC3048" s="585" t="s">
        <v>164</v>
      </c>
      <c r="AD3048" s="585">
        <v>52935.052631578954</v>
      </c>
      <c r="AE3048" s="587">
        <v>0.03</v>
      </c>
      <c r="AF3048" s="661" t="str">
        <f t="shared" si="332"/>
        <v>2019-LTK-FRD-F450-009-05</v>
      </c>
      <c r="AG3048" s="661" t="str">
        <f>IF(AND($Y3048&gt;=32,(AI3048="I"),(Y3048&lt;&gt;"~"),(COUNTIF($AN$1:$AN3048,$AN3048)=1)),"TRUE","FALSE")</f>
        <v>FALSE</v>
      </c>
      <c r="AH3048" s="661" t="str">
        <f>IF(AND($Y3048&gt;=22, (AI3048&lt;&gt;"I"),(Y3048&lt;&gt;"~"),(COUNTIF($AN$1:$AN3048,$AN3048)=1)),"TRUE","FALSE")</f>
        <v>TRUE</v>
      </c>
      <c r="AI3048" s="661" t="str">
        <f t="shared" si="334"/>
        <v>N/A</v>
      </c>
      <c r="AJ3048" s="662" t="str">
        <f t="shared" si="328"/>
        <v>F450-009</v>
      </c>
      <c r="AK3048" s="662" t="str">
        <f t="shared" si="329"/>
        <v>LTK</v>
      </c>
      <c r="AL3048" s="662" t="str">
        <f t="shared" si="330"/>
        <v>FRD</v>
      </c>
      <c r="AM3048" s="662" t="str">
        <f t="shared" si="333"/>
        <v>F450-Super Duty Crew Cab XLT DRW-4WD-6-8'-21000-6.7L Diesel-8-W4C-673A-176-48-Diesel-BioDiesel</v>
      </c>
      <c r="AN3048" s="662" t="str">
        <f t="shared" si="331"/>
        <v>2019-LTK-FRD-F450-009</v>
      </c>
    </row>
    <row r="3049" spans="1:40" ht="30">
      <c r="A3049" s="570" t="s">
        <v>5229</v>
      </c>
      <c r="B3049" s="573" t="s">
        <v>5230</v>
      </c>
      <c r="C3049" s="573" t="s">
        <v>278</v>
      </c>
      <c r="D3049" s="578">
        <v>15</v>
      </c>
      <c r="E3049" s="573" t="s">
        <v>3374</v>
      </c>
      <c r="F3049" s="573" t="s">
        <v>796</v>
      </c>
      <c r="G3049" s="573" t="s">
        <v>271</v>
      </c>
      <c r="H3049" s="573">
        <v>2019</v>
      </c>
      <c r="I3049" s="573" t="s">
        <v>5190</v>
      </c>
      <c r="J3049" s="573" t="s">
        <v>5223</v>
      </c>
      <c r="K3049" s="573" t="s">
        <v>752</v>
      </c>
      <c r="L3049" s="573">
        <v>6</v>
      </c>
      <c r="M3049" s="573">
        <v>0</v>
      </c>
      <c r="N3049" s="573" t="s">
        <v>157</v>
      </c>
      <c r="O3049" s="573">
        <v>2</v>
      </c>
      <c r="P3049" s="573" t="s">
        <v>3846</v>
      </c>
      <c r="Q3049" s="571">
        <v>21000</v>
      </c>
      <c r="R3049" s="573" t="s">
        <v>4231</v>
      </c>
      <c r="S3049" s="573">
        <v>8</v>
      </c>
      <c r="T3049" s="573" t="s">
        <v>5192</v>
      </c>
      <c r="U3049" s="573" t="s">
        <v>5204</v>
      </c>
      <c r="V3049" s="573">
        <v>176</v>
      </c>
      <c r="W3049" s="573">
        <v>48</v>
      </c>
      <c r="X3049" s="571">
        <v>14000</v>
      </c>
      <c r="Y3049" s="569" t="s">
        <v>164</v>
      </c>
      <c r="Z3049" s="579" t="s">
        <v>728</v>
      </c>
      <c r="AA3049" s="579" t="s">
        <v>1523</v>
      </c>
      <c r="AB3049" s="584">
        <v>60935</v>
      </c>
      <c r="AC3049" s="584" t="s">
        <v>164</v>
      </c>
      <c r="AD3049" s="584">
        <v>53300</v>
      </c>
      <c r="AE3049" s="586">
        <v>0.01</v>
      </c>
      <c r="AF3049" s="661" t="str">
        <f t="shared" si="332"/>
        <v>2019-LTK-FRD-F450-010-15</v>
      </c>
      <c r="AG3049" s="661" t="str">
        <f>IF(AND($Y3049&gt;=32,(AI3049="I"),(Y3049&lt;&gt;"~"),(COUNTIF($AN$1:$AN3049,$AN3049)=1)),"TRUE","FALSE")</f>
        <v>FALSE</v>
      </c>
      <c r="AH3049" s="661" t="str">
        <f>IF(AND($Y3049&gt;=22, (AI3049&lt;&gt;"I"),(Y3049&lt;&gt;"~"),(COUNTIF($AN$1:$AN3049,$AN3049)=1)),"TRUE","FALSE")</f>
        <v>TRUE</v>
      </c>
      <c r="AI3049" s="661" t="str">
        <f t="shared" si="334"/>
        <v>N/A</v>
      </c>
      <c r="AJ3049" s="662" t="str">
        <f t="shared" si="328"/>
        <v>F450-010</v>
      </c>
      <c r="AK3049" s="662" t="str">
        <f t="shared" si="329"/>
        <v>LTK</v>
      </c>
      <c r="AL3049" s="662" t="str">
        <f t="shared" si="330"/>
        <v>FRD</v>
      </c>
      <c r="AM3049" s="662" t="str">
        <f t="shared" si="333"/>
        <v>F450-Super Duty Crew Cab XLT DRW-4WD-6-8'-21000-6.7L Diesel-8-W4D-673A-176-48-Diesel-BioDiesel</v>
      </c>
      <c r="AN3049" s="662" t="str">
        <f t="shared" si="331"/>
        <v>2019-LTK-FRD-F450-010</v>
      </c>
    </row>
    <row r="3050" spans="1:40" ht="30">
      <c r="A3050" s="570" t="s">
        <v>5231</v>
      </c>
      <c r="B3050" s="569" t="s">
        <v>5228</v>
      </c>
      <c r="C3050" s="569" t="s">
        <v>280</v>
      </c>
      <c r="D3050" s="580">
        <v>27</v>
      </c>
      <c r="E3050" s="569" t="s">
        <v>3374</v>
      </c>
      <c r="F3050" s="569" t="s">
        <v>796</v>
      </c>
      <c r="G3050" s="569" t="s">
        <v>271</v>
      </c>
      <c r="H3050" s="569">
        <v>2019</v>
      </c>
      <c r="I3050" s="569" t="s">
        <v>5190</v>
      </c>
      <c r="J3050" s="569" t="s">
        <v>5223</v>
      </c>
      <c r="K3050" s="569" t="s">
        <v>752</v>
      </c>
      <c r="L3050" s="569">
        <v>6</v>
      </c>
      <c r="M3050" s="569">
        <v>0</v>
      </c>
      <c r="N3050" s="569" t="s">
        <v>157</v>
      </c>
      <c r="O3050" s="569">
        <v>2</v>
      </c>
      <c r="P3050" s="569" t="s">
        <v>3846</v>
      </c>
      <c r="Q3050" s="568">
        <v>21000</v>
      </c>
      <c r="R3050" s="569" t="s">
        <v>4231</v>
      </c>
      <c r="S3050" s="569">
        <v>8</v>
      </c>
      <c r="T3050" s="569" t="s">
        <v>5198</v>
      </c>
      <c r="U3050" s="569" t="s">
        <v>5204</v>
      </c>
      <c r="V3050" s="569">
        <v>176</v>
      </c>
      <c r="W3050" s="569">
        <v>48</v>
      </c>
      <c r="X3050" s="568">
        <v>14000</v>
      </c>
      <c r="Y3050" s="569" t="s">
        <v>164</v>
      </c>
      <c r="Z3050" s="581" t="s">
        <v>728</v>
      </c>
      <c r="AA3050" s="581" t="s">
        <v>1523</v>
      </c>
      <c r="AB3050" s="585">
        <v>60935</v>
      </c>
      <c r="AC3050" s="585" t="s">
        <v>164</v>
      </c>
      <c r="AD3050" s="585">
        <v>52935.052631578954</v>
      </c>
      <c r="AE3050" s="587">
        <v>0.03</v>
      </c>
      <c r="AF3050" s="661" t="str">
        <f t="shared" si="332"/>
        <v>2019-LTK-FRD-F450-009-27</v>
      </c>
      <c r="AG3050" s="661" t="str">
        <f>IF(AND($Y3050&gt;=32,(AI3050="I"),(Y3050&lt;&gt;"~"),(COUNTIF($AN$1:$AN3050,$AN3050)=1)),"TRUE","FALSE")</f>
        <v>FALSE</v>
      </c>
      <c r="AH3050" s="661" t="str">
        <f>IF(AND($Y3050&gt;=22, (AI3050&lt;&gt;"I"),(Y3050&lt;&gt;"~"),(COUNTIF($AN$1:$AN3050,$AN3050)=1)),"TRUE","FALSE")</f>
        <v>FALSE</v>
      </c>
      <c r="AI3050" s="661" t="str">
        <f t="shared" si="334"/>
        <v>N/A</v>
      </c>
      <c r="AJ3050" s="662" t="str">
        <f t="shared" si="328"/>
        <v>F450-009</v>
      </c>
      <c r="AK3050" s="662" t="str">
        <f t="shared" si="329"/>
        <v>LTK</v>
      </c>
      <c r="AL3050" s="662" t="str">
        <f t="shared" si="330"/>
        <v>FRD</v>
      </c>
      <c r="AM3050" s="662" t="str">
        <f t="shared" si="333"/>
        <v>F450-Super Duty Crew Cab XLT DRW-4WD-6-8'-21000-6.7L Diesel-8-W4C-673A-176-48-Diesel-BioDiesel</v>
      </c>
      <c r="AN3050" s="662" t="str">
        <f t="shared" si="331"/>
        <v>2019-LTK-FRD-F450-009</v>
      </c>
    </row>
    <row r="3051" spans="1:40" ht="30">
      <c r="A3051" s="570" t="s">
        <v>5232</v>
      </c>
      <c r="B3051" s="573" t="s">
        <v>5233</v>
      </c>
      <c r="C3051" s="573" t="s">
        <v>269</v>
      </c>
      <c r="D3051" s="578" t="s">
        <v>270</v>
      </c>
      <c r="E3051" s="573" t="s">
        <v>3374</v>
      </c>
      <c r="F3051" s="573" t="s">
        <v>211</v>
      </c>
      <c r="G3051" s="573" t="s">
        <v>271</v>
      </c>
      <c r="H3051" s="573">
        <v>2019</v>
      </c>
      <c r="I3051" s="573" t="s">
        <v>5234</v>
      </c>
      <c r="J3051" s="573" t="s">
        <v>5235</v>
      </c>
      <c r="K3051" s="573" t="s">
        <v>3377</v>
      </c>
      <c r="L3051" s="573">
        <v>4</v>
      </c>
      <c r="M3051" s="573">
        <v>0</v>
      </c>
      <c r="N3051" s="573" t="s">
        <v>157</v>
      </c>
      <c r="O3051" s="573">
        <v>2</v>
      </c>
      <c r="P3051" s="573" t="s">
        <v>157</v>
      </c>
      <c r="Q3051" s="571">
        <v>7500</v>
      </c>
      <c r="R3051" s="573" t="s">
        <v>1235</v>
      </c>
      <c r="S3051" s="573">
        <v>4</v>
      </c>
      <c r="T3051" s="573" t="s">
        <v>5236</v>
      </c>
      <c r="U3051" s="573" t="s">
        <v>276</v>
      </c>
      <c r="V3051" s="573">
        <v>127</v>
      </c>
      <c r="W3051" s="573">
        <v>18</v>
      </c>
      <c r="X3051" s="571">
        <v>6050</v>
      </c>
      <c r="Y3051" s="573">
        <v>23</v>
      </c>
      <c r="Z3051" s="579" t="s">
        <v>178</v>
      </c>
      <c r="AA3051" s="579" t="s">
        <v>178</v>
      </c>
      <c r="AB3051" s="584">
        <v>25095</v>
      </c>
      <c r="AC3051" s="584" t="s">
        <v>164</v>
      </c>
      <c r="AD3051" s="584">
        <v>22454.375</v>
      </c>
      <c r="AE3051" s="586">
        <v>0.03</v>
      </c>
      <c r="AF3051" s="661" t="str">
        <f t="shared" si="332"/>
        <v>2019-LTK-FRD-RNGR-001-05</v>
      </c>
      <c r="AG3051" s="661" t="str">
        <f>IF(AND($Y3051&gt;=32,(AI3051="I"),(Y3051&lt;&gt;"~"),(COUNTIF($AN$1:$AN3051,$AN3051)=1)),"TRUE","FALSE")</f>
        <v>FALSE</v>
      </c>
      <c r="AH3051" s="661" t="str">
        <f>IF(AND($Y3051&gt;=22, (AI3051&lt;&gt;"I"),(Y3051&lt;&gt;"~"),(COUNTIF($AN$1:$AN3051,$AN3051)=1)),"TRUE","FALSE")</f>
        <v>TRUE</v>
      </c>
      <c r="AI3051" s="661" t="str">
        <f t="shared" si="334"/>
        <v>II</v>
      </c>
      <c r="AJ3051" s="662" t="str">
        <f t="shared" si="328"/>
        <v>RNGR-001</v>
      </c>
      <c r="AK3051" s="662" t="str">
        <f t="shared" si="329"/>
        <v>LTK</v>
      </c>
      <c r="AL3051" s="662" t="str">
        <f t="shared" si="330"/>
        <v>FRD</v>
      </c>
      <c r="AM3051" s="662" t="str">
        <f t="shared" si="333"/>
        <v>Ranger-SuperCab Pickup Box Delete XL-2WD-4-~-7500-2.3L-4-R1A-100A-127-18-Unleaded-Unleaded</v>
      </c>
      <c r="AN3051" s="662" t="str">
        <f t="shared" si="331"/>
        <v>2019-LTK-FRD-RNGR-001</v>
      </c>
    </row>
    <row r="3052" spans="1:40" ht="30">
      <c r="A3052" s="570" t="s">
        <v>5237</v>
      </c>
      <c r="B3052" s="569" t="s">
        <v>5233</v>
      </c>
      <c r="C3052" s="569" t="s">
        <v>280</v>
      </c>
      <c r="D3052" s="580">
        <v>27</v>
      </c>
      <c r="E3052" s="569" t="s">
        <v>3374</v>
      </c>
      <c r="F3052" s="569" t="s">
        <v>211</v>
      </c>
      <c r="G3052" s="569" t="s">
        <v>271</v>
      </c>
      <c r="H3052" s="569">
        <v>2019</v>
      </c>
      <c r="I3052" s="569" t="s">
        <v>5234</v>
      </c>
      <c r="J3052" s="569" t="s">
        <v>5235</v>
      </c>
      <c r="K3052" s="569" t="s">
        <v>3377</v>
      </c>
      <c r="L3052" s="569">
        <v>4</v>
      </c>
      <c r="M3052" s="569">
        <v>0</v>
      </c>
      <c r="N3052" s="569" t="s">
        <v>157</v>
      </c>
      <c r="O3052" s="569">
        <v>2</v>
      </c>
      <c r="P3052" s="569" t="s">
        <v>157</v>
      </c>
      <c r="Q3052" s="568">
        <v>7500</v>
      </c>
      <c r="R3052" s="569" t="s">
        <v>1235</v>
      </c>
      <c r="S3052" s="569">
        <v>4</v>
      </c>
      <c r="T3052" s="569" t="s">
        <v>5236</v>
      </c>
      <c r="U3052" s="569" t="s">
        <v>276</v>
      </c>
      <c r="V3052" s="569">
        <v>127</v>
      </c>
      <c r="W3052" s="569">
        <v>18</v>
      </c>
      <c r="X3052" s="568">
        <v>6050</v>
      </c>
      <c r="Y3052" s="569">
        <v>23</v>
      </c>
      <c r="Z3052" s="581" t="s">
        <v>178</v>
      </c>
      <c r="AA3052" s="581" t="s">
        <v>178</v>
      </c>
      <c r="AB3052" s="585">
        <v>25095</v>
      </c>
      <c r="AC3052" s="585" t="s">
        <v>164</v>
      </c>
      <c r="AD3052" s="585">
        <v>22454.375</v>
      </c>
      <c r="AE3052" s="587">
        <v>0.03</v>
      </c>
      <c r="AF3052" s="661" t="str">
        <f t="shared" si="332"/>
        <v>2019-LTK-FRD-RNGR-001-27</v>
      </c>
      <c r="AG3052" s="661" t="str">
        <f>IF(AND($Y3052&gt;=32,(AI3052="I"),(Y3052&lt;&gt;"~"),(COUNTIF($AN$1:$AN3052,$AN3052)=1)),"TRUE","FALSE")</f>
        <v>FALSE</v>
      </c>
      <c r="AH3052" s="661" t="str">
        <f>IF(AND($Y3052&gt;=22, (AI3052&lt;&gt;"I"),(Y3052&lt;&gt;"~"),(COUNTIF($AN$1:$AN3052,$AN3052)=1)),"TRUE","FALSE")</f>
        <v>FALSE</v>
      </c>
      <c r="AI3052" s="661" t="str">
        <f t="shared" si="334"/>
        <v>II</v>
      </c>
      <c r="AJ3052" s="662" t="str">
        <f t="shared" si="328"/>
        <v>RNGR-001</v>
      </c>
      <c r="AK3052" s="662" t="str">
        <f t="shared" si="329"/>
        <v>LTK</v>
      </c>
      <c r="AL3052" s="662" t="str">
        <f t="shared" si="330"/>
        <v>FRD</v>
      </c>
      <c r="AM3052" s="662" t="str">
        <f t="shared" si="333"/>
        <v>Ranger-SuperCab Pickup Box Delete XL-2WD-4-~-7500-2.3L-4-R1A-100A-127-18-Unleaded-Unleaded</v>
      </c>
      <c r="AN3052" s="662" t="str">
        <f t="shared" si="331"/>
        <v>2019-LTK-FRD-RNGR-001</v>
      </c>
    </row>
    <row r="3053" spans="1:40" ht="15">
      <c r="A3053" s="570" t="s">
        <v>5238</v>
      </c>
      <c r="B3053" s="573" t="s">
        <v>5239</v>
      </c>
      <c r="C3053" s="573" t="s">
        <v>269</v>
      </c>
      <c r="D3053" s="578" t="s">
        <v>270</v>
      </c>
      <c r="E3053" s="573" t="s">
        <v>3374</v>
      </c>
      <c r="F3053" s="573" t="s">
        <v>211</v>
      </c>
      <c r="G3053" s="573" t="s">
        <v>271</v>
      </c>
      <c r="H3053" s="573">
        <v>2019</v>
      </c>
      <c r="I3053" s="573" t="s">
        <v>5234</v>
      </c>
      <c r="J3053" s="573" t="s">
        <v>4207</v>
      </c>
      <c r="K3053" s="573" t="s">
        <v>3377</v>
      </c>
      <c r="L3053" s="573">
        <v>4</v>
      </c>
      <c r="M3053" s="573">
        <v>0</v>
      </c>
      <c r="N3053" s="573" t="s">
        <v>157</v>
      </c>
      <c r="O3053" s="573">
        <v>2</v>
      </c>
      <c r="P3053" s="573" t="s">
        <v>5240</v>
      </c>
      <c r="Q3053" s="571">
        <v>7500</v>
      </c>
      <c r="R3053" s="573" t="s">
        <v>1235</v>
      </c>
      <c r="S3053" s="573">
        <v>4</v>
      </c>
      <c r="T3053" s="573" t="s">
        <v>5241</v>
      </c>
      <c r="U3053" s="573" t="s">
        <v>276</v>
      </c>
      <c r="V3053" s="573">
        <v>127</v>
      </c>
      <c r="W3053" s="573">
        <v>18</v>
      </c>
      <c r="X3053" s="571">
        <v>6050</v>
      </c>
      <c r="Y3053" s="573">
        <v>23</v>
      </c>
      <c r="Z3053" s="579" t="s">
        <v>178</v>
      </c>
      <c r="AA3053" s="579" t="s">
        <v>178</v>
      </c>
      <c r="AB3053" s="584">
        <v>25395</v>
      </c>
      <c r="AC3053" s="584" t="s">
        <v>164</v>
      </c>
      <c r="AD3053" s="584">
        <v>22735.729166666668</v>
      </c>
      <c r="AE3053" s="586">
        <v>0.03</v>
      </c>
      <c r="AF3053" s="661" t="str">
        <f t="shared" si="332"/>
        <v>2019-LTK-FRD-RNGR-002-05</v>
      </c>
      <c r="AG3053" s="661" t="str">
        <f>IF(AND($Y3053&gt;=32,(AI3053="I"),(Y3053&lt;&gt;"~"),(COUNTIF($AN$1:$AN3053,$AN3053)=1)),"TRUE","FALSE")</f>
        <v>FALSE</v>
      </c>
      <c r="AH3053" s="661" t="str">
        <f>IF(AND($Y3053&gt;=22, (AI3053&lt;&gt;"I"),(Y3053&lt;&gt;"~"),(COUNTIF($AN$1:$AN3053,$AN3053)=1)),"TRUE","FALSE")</f>
        <v>TRUE</v>
      </c>
      <c r="AI3053" s="661" t="str">
        <f t="shared" si="334"/>
        <v>II</v>
      </c>
      <c r="AJ3053" s="662" t="str">
        <f t="shared" si="328"/>
        <v>RNGR-002</v>
      </c>
      <c r="AK3053" s="662" t="str">
        <f t="shared" si="329"/>
        <v>LTK</v>
      </c>
      <c r="AL3053" s="662" t="str">
        <f t="shared" si="330"/>
        <v>FRD</v>
      </c>
      <c r="AM3053" s="662" t="str">
        <f t="shared" si="333"/>
        <v>Ranger-SuperCab XL-2WD-4-6'-7500-2.3L-4-R1E-100A-127-18-Unleaded-Unleaded</v>
      </c>
      <c r="AN3053" s="662" t="str">
        <f t="shared" si="331"/>
        <v>2019-LTK-FRD-RNGR-002</v>
      </c>
    </row>
    <row r="3054" spans="1:40" ht="15">
      <c r="A3054" s="570" t="s">
        <v>5242</v>
      </c>
      <c r="B3054" s="569" t="s">
        <v>5239</v>
      </c>
      <c r="C3054" s="569" t="s">
        <v>280</v>
      </c>
      <c r="D3054" s="580">
        <v>27</v>
      </c>
      <c r="E3054" s="569" t="s">
        <v>3374</v>
      </c>
      <c r="F3054" s="569" t="s">
        <v>211</v>
      </c>
      <c r="G3054" s="569" t="s">
        <v>271</v>
      </c>
      <c r="H3054" s="569">
        <v>2019</v>
      </c>
      <c r="I3054" s="569" t="s">
        <v>5234</v>
      </c>
      <c r="J3054" s="569" t="s">
        <v>4207</v>
      </c>
      <c r="K3054" s="569" t="s">
        <v>3377</v>
      </c>
      <c r="L3054" s="569">
        <v>4</v>
      </c>
      <c r="M3054" s="569">
        <v>0</v>
      </c>
      <c r="N3054" s="569" t="s">
        <v>157</v>
      </c>
      <c r="O3054" s="569">
        <v>2</v>
      </c>
      <c r="P3054" s="569" t="s">
        <v>5240</v>
      </c>
      <c r="Q3054" s="568">
        <v>7500</v>
      </c>
      <c r="R3054" s="569" t="s">
        <v>1235</v>
      </c>
      <c r="S3054" s="569">
        <v>4</v>
      </c>
      <c r="T3054" s="569" t="s">
        <v>5241</v>
      </c>
      <c r="U3054" s="569" t="s">
        <v>276</v>
      </c>
      <c r="V3054" s="569">
        <v>127</v>
      </c>
      <c r="W3054" s="569">
        <v>18</v>
      </c>
      <c r="X3054" s="568">
        <v>6050</v>
      </c>
      <c r="Y3054" s="569">
        <v>23</v>
      </c>
      <c r="Z3054" s="581" t="s">
        <v>178</v>
      </c>
      <c r="AA3054" s="581" t="s">
        <v>178</v>
      </c>
      <c r="AB3054" s="585">
        <v>25395</v>
      </c>
      <c r="AC3054" s="585" t="s">
        <v>164</v>
      </c>
      <c r="AD3054" s="585">
        <v>22735.729166666668</v>
      </c>
      <c r="AE3054" s="587">
        <v>0.03</v>
      </c>
      <c r="AF3054" s="661" t="str">
        <f t="shared" si="332"/>
        <v>2019-LTK-FRD-RNGR-002-27</v>
      </c>
      <c r="AG3054" s="661" t="str">
        <f>IF(AND($Y3054&gt;=32,(AI3054="I"),(Y3054&lt;&gt;"~"),(COUNTIF($AN$1:$AN3054,$AN3054)=1)),"TRUE","FALSE")</f>
        <v>FALSE</v>
      </c>
      <c r="AH3054" s="661" t="str">
        <f>IF(AND($Y3054&gt;=22, (AI3054&lt;&gt;"I"),(Y3054&lt;&gt;"~"),(COUNTIF($AN$1:$AN3054,$AN3054)=1)),"TRUE","FALSE")</f>
        <v>FALSE</v>
      </c>
      <c r="AI3054" s="661" t="str">
        <f t="shared" si="334"/>
        <v>II</v>
      </c>
      <c r="AJ3054" s="662" t="str">
        <f t="shared" si="328"/>
        <v>RNGR-002</v>
      </c>
      <c r="AK3054" s="662" t="str">
        <f t="shared" si="329"/>
        <v>LTK</v>
      </c>
      <c r="AL3054" s="662" t="str">
        <f t="shared" si="330"/>
        <v>FRD</v>
      </c>
      <c r="AM3054" s="662" t="str">
        <f t="shared" si="333"/>
        <v>Ranger-SuperCab XL-2WD-4-6'-7500-2.3L-4-R1E-100A-127-18-Unleaded-Unleaded</v>
      </c>
      <c r="AN3054" s="662" t="str">
        <f t="shared" si="331"/>
        <v>2019-LTK-FRD-RNGR-002</v>
      </c>
    </row>
    <row r="3055" spans="1:40" ht="15">
      <c r="A3055" s="570" t="s">
        <v>5243</v>
      </c>
      <c r="B3055" s="573" t="s">
        <v>5244</v>
      </c>
      <c r="C3055" s="573" t="s">
        <v>269</v>
      </c>
      <c r="D3055" s="578" t="s">
        <v>270</v>
      </c>
      <c r="E3055" s="573" t="s">
        <v>3374</v>
      </c>
      <c r="F3055" s="573" t="s">
        <v>211</v>
      </c>
      <c r="G3055" s="573" t="s">
        <v>271</v>
      </c>
      <c r="H3055" s="573">
        <v>2019</v>
      </c>
      <c r="I3055" s="573" t="s">
        <v>5234</v>
      </c>
      <c r="J3055" s="573" t="s">
        <v>4207</v>
      </c>
      <c r="K3055" s="573" t="s">
        <v>752</v>
      </c>
      <c r="L3055" s="573">
        <v>4</v>
      </c>
      <c r="M3055" s="573">
        <v>0</v>
      </c>
      <c r="N3055" s="573"/>
      <c r="O3055" s="573">
        <v>2</v>
      </c>
      <c r="P3055" s="573" t="s">
        <v>5240</v>
      </c>
      <c r="Q3055" s="571">
        <v>7500</v>
      </c>
      <c r="R3055" s="573" t="s">
        <v>1235</v>
      </c>
      <c r="S3055" s="573">
        <v>4</v>
      </c>
      <c r="T3055" s="573" t="s">
        <v>5245</v>
      </c>
      <c r="U3055" s="573" t="s">
        <v>276</v>
      </c>
      <c r="V3055" s="573">
        <v>127</v>
      </c>
      <c r="W3055" s="573">
        <v>18</v>
      </c>
      <c r="X3055" s="571">
        <v>6050</v>
      </c>
      <c r="Y3055" s="573">
        <v>23</v>
      </c>
      <c r="Z3055" s="579" t="s">
        <v>178</v>
      </c>
      <c r="AA3055" s="579" t="s">
        <v>178</v>
      </c>
      <c r="AB3055" s="584">
        <v>29555</v>
      </c>
      <c r="AC3055" s="584" t="s">
        <v>164</v>
      </c>
      <c r="AD3055" s="584">
        <v>24436.666666666668</v>
      </c>
      <c r="AE3055" s="586">
        <v>0.03</v>
      </c>
      <c r="AF3055" s="661" t="str">
        <f t="shared" si="332"/>
        <v>2019-LTK-FRD-RNGR-003-05</v>
      </c>
      <c r="AG3055" s="661" t="str">
        <f>IF(AND($Y3055&gt;=32,(AI3055="I"),(Y3055&lt;&gt;"~"),(COUNTIF($AN$1:$AN3055,$AN3055)=1)),"TRUE","FALSE")</f>
        <v>FALSE</v>
      </c>
      <c r="AH3055" s="661" t="str">
        <f>IF(AND($Y3055&gt;=22, (AI3055&lt;&gt;"I"),(Y3055&lt;&gt;"~"),(COUNTIF($AN$1:$AN3055,$AN3055)=1)),"TRUE","FALSE")</f>
        <v>TRUE</v>
      </c>
      <c r="AI3055" s="661" t="str">
        <f t="shared" si="334"/>
        <v>II</v>
      </c>
      <c r="AJ3055" s="662" t="str">
        <f t="shared" si="328"/>
        <v>RNGR-003</v>
      </c>
      <c r="AK3055" s="662" t="str">
        <f t="shared" si="329"/>
        <v>LTK</v>
      </c>
      <c r="AL3055" s="662" t="str">
        <f t="shared" si="330"/>
        <v>FRD</v>
      </c>
      <c r="AM3055" s="662" t="str">
        <f t="shared" si="333"/>
        <v>Ranger-SuperCab XL-4WD-4-6'-7500-2.3L-4-R1F-100A-127-18-Unleaded-Unleaded</v>
      </c>
      <c r="AN3055" s="662" t="str">
        <f t="shared" si="331"/>
        <v>2019-LTK-FRD-RNGR-003</v>
      </c>
    </row>
    <row r="3056" spans="1:40" ht="15">
      <c r="A3056" s="570" t="s">
        <v>5246</v>
      </c>
      <c r="B3056" s="569" t="s">
        <v>5244</v>
      </c>
      <c r="C3056" s="569" t="s">
        <v>280</v>
      </c>
      <c r="D3056" s="580">
        <v>27</v>
      </c>
      <c r="E3056" s="569" t="s">
        <v>3374</v>
      </c>
      <c r="F3056" s="569" t="s">
        <v>211</v>
      </c>
      <c r="G3056" s="569" t="s">
        <v>271</v>
      </c>
      <c r="H3056" s="569">
        <v>2019</v>
      </c>
      <c r="I3056" s="569" t="s">
        <v>5234</v>
      </c>
      <c r="J3056" s="569" t="s">
        <v>4207</v>
      </c>
      <c r="K3056" s="569" t="s">
        <v>752</v>
      </c>
      <c r="L3056" s="569">
        <v>4</v>
      </c>
      <c r="M3056" s="569">
        <v>0</v>
      </c>
      <c r="N3056" s="569" t="s">
        <v>157</v>
      </c>
      <c r="O3056" s="569">
        <v>2</v>
      </c>
      <c r="P3056" s="569" t="s">
        <v>5240</v>
      </c>
      <c r="Q3056" s="568">
        <v>7500</v>
      </c>
      <c r="R3056" s="569" t="s">
        <v>1235</v>
      </c>
      <c r="S3056" s="569">
        <v>4</v>
      </c>
      <c r="T3056" s="569" t="s">
        <v>5245</v>
      </c>
      <c r="U3056" s="569" t="s">
        <v>276</v>
      </c>
      <c r="V3056" s="569">
        <v>127</v>
      </c>
      <c r="W3056" s="569">
        <v>18</v>
      </c>
      <c r="X3056" s="568">
        <v>6050</v>
      </c>
      <c r="Y3056" s="569">
        <v>23</v>
      </c>
      <c r="Z3056" s="581" t="s">
        <v>178</v>
      </c>
      <c r="AA3056" s="581" t="s">
        <v>178</v>
      </c>
      <c r="AB3056" s="585">
        <v>29555</v>
      </c>
      <c r="AC3056" s="585" t="s">
        <v>164</v>
      </c>
      <c r="AD3056" s="585">
        <v>24436.666666666668</v>
      </c>
      <c r="AE3056" s="587">
        <v>0.03</v>
      </c>
      <c r="AF3056" s="661" t="str">
        <f t="shared" si="332"/>
        <v>2019-LTK-FRD-RNGR-003-27</v>
      </c>
      <c r="AG3056" s="661" t="str">
        <f>IF(AND($Y3056&gt;=32,(AI3056="I"),(Y3056&lt;&gt;"~"),(COUNTIF($AN$1:$AN3056,$AN3056)=1)),"TRUE","FALSE")</f>
        <v>FALSE</v>
      </c>
      <c r="AH3056" s="661" t="str">
        <f>IF(AND($Y3056&gt;=22, (AI3056&lt;&gt;"I"),(Y3056&lt;&gt;"~"),(COUNTIF($AN$1:$AN3056,$AN3056)=1)),"TRUE","FALSE")</f>
        <v>FALSE</v>
      </c>
      <c r="AI3056" s="661" t="str">
        <f t="shared" si="334"/>
        <v>II</v>
      </c>
      <c r="AJ3056" s="662" t="str">
        <f t="shared" si="328"/>
        <v>RNGR-003</v>
      </c>
      <c r="AK3056" s="662" t="str">
        <f t="shared" si="329"/>
        <v>LTK</v>
      </c>
      <c r="AL3056" s="662" t="str">
        <f t="shared" si="330"/>
        <v>FRD</v>
      </c>
      <c r="AM3056" s="662" t="str">
        <f t="shared" si="333"/>
        <v>Ranger-SuperCab XL-4WD-4-6'-7500-2.3L-4-R1F-100A-127-18-Unleaded-Unleaded</v>
      </c>
      <c r="AN3056" s="662" t="str">
        <f t="shared" si="331"/>
        <v>2019-LTK-FRD-RNGR-003</v>
      </c>
    </row>
    <row r="3057" spans="1:40" ht="15">
      <c r="A3057" s="570" t="s">
        <v>5247</v>
      </c>
      <c r="B3057" s="573" t="s">
        <v>5248</v>
      </c>
      <c r="C3057" s="573" t="s">
        <v>269</v>
      </c>
      <c r="D3057" s="578" t="s">
        <v>270</v>
      </c>
      <c r="E3057" s="573" t="s">
        <v>3374</v>
      </c>
      <c r="F3057" s="573" t="s">
        <v>211</v>
      </c>
      <c r="G3057" s="573" t="s">
        <v>271</v>
      </c>
      <c r="H3057" s="573">
        <v>2019</v>
      </c>
      <c r="I3057" s="573" t="s">
        <v>5234</v>
      </c>
      <c r="J3057" s="573" t="s">
        <v>5249</v>
      </c>
      <c r="K3057" s="573" t="s">
        <v>3377</v>
      </c>
      <c r="L3057" s="573">
        <v>4</v>
      </c>
      <c r="M3057" s="573">
        <v>0</v>
      </c>
      <c r="N3057" s="573"/>
      <c r="O3057" s="573">
        <v>2</v>
      </c>
      <c r="P3057" s="573" t="s">
        <v>5240</v>
      </c>
      <c r="Q3057" s="571">
        <v>7500</v>
      </c>
      <c r="R3057" s="573" t="s">
        <v>1235</v>
      </c>
      <c r="S3057" s="573">
        <v>4</v>
      </c>
      <c r="T3057" s="573" t="s">
        <v>5241</v>
      </c>
      <c r="U3057" s="573" t="s">
        <v>318</v>
      </c>
      <c r="V3057" s="573">
        <v>127</v>
      </c>
      <c r="W3057" s="573">
        <v>18</v>
      </c>
      <c r="X3057" s="571">
        <v>6050</v>
      </c>
      <c r="Y3057" s="573">
        <v>23</v>
      </c>
      <c r="Z3057" s="579" t="s">
        <v>178</v>
      </c>
      <c r="AA3057" s="579" t="s">
        <v>178</v>
      </c>
      <c r="AB3057" s="584">
        <v>29035</v>
      </c>
      <c r="AC3057" s="584" t="s">
        <v>164</v>
      </c>
      <c r="AD3057" s="584">
        <v>25846.197916666668</v>
      </c>
      <c r="AE3057" s="586">
        <v>0.03</v>
      </c>
      <c r="AF3057" s="661" t="str">
        <f t="shared" si="332"/>
        <v>2019-LTK-FRD-RNGR-004-05</v>
      </c>
      <c r="AG3057" s="661" t="str">
        <f>IF(AND($Y3057&gt;=32,(AI3057="I"),(Y3057&lt;&gt;"~"),(COUNTIF($AN$1:$AN3057,$AN3057)=1)),"TRUE","FALSE")</f>
        <v>FALSE</v>
      </c>
      <c r="AH3057" s="661" t="str">
        <f>IF(AND($Y3057&gt;=22, (AI3057&lt;&gt;"I"),(Y3057&lt;&gt;"~"),(COUNTIF($AN$1:$AN3057,$AN3057)=1)),"TRUE","FALSE")</f>
        <v>TRUE</v>
      </c>
      <c r="AI3057" s="661" t="str">
        <f t="shared" si="334"/>
        <v>II</v>
      </c>
      <c r="AJ3057" s="662" t="str">
        <f t="shared" si="328"/>
        <v>RNGR-004</v>
      </c>
      <c r="AK3057" s="662" t="str">
        <f t="shared" si="329"/>
        <v>LTK</v>
      </c>
      <c r="AL3057" s="662" t="str">
        <f t="shared" si="330"/>
        <v>FRD</v>
      </c>
      <c r="AM3057" s="662" t="str">
        <f t="shared" si="333"/>
        <v>Ranger-SuperCab XLT-2WD-4-6'-7500-2.3L-4-R1E-300A-127-18-Unleaded-Unleaded</v>
      </c>
      <c r="AN3057" s="662" t="str">
        <f t="shared" si="331"/>
        <v>2019-LTK-FRD-RNGR-004</v>
      </c>
    </row>
    <row r="3058" spans="1:40" ht="15">
      <c r="A3058" s="570" t="s">
        <v>5250</v>
      </c>
      <c r="B3058" s="569" t="s">
        <v>5248</v>
      </c>
      <c r="C3058" s="569" t="s">
        <v>280</v>
      </c>
      <c r="D3058" s="580">
        <v>27</v>
      </c>
      <c r="E3058" s="569" t="s">
        <v>3374</v>
      </c>
      <c r="F3058" s="569" t="s">
        <v>211</v>
      </c>
      <c r="G3058" s="569" t="s">
        <v>271</v>
      </c>
      <c r="H3058" s="569">
        <v>2019</v>
      </c>
      <c r="I3058" s="569" t="s">
        <v>5234</v>
      </c>
      <c r="J3058" s="569" t="s">
        <v>5249</v>
      </c>
      <c r="K3058" s="569" t="s">
        <v>3377</v>
      </c>
      <c r="L3058" s="569">
        <v>4</v>
      </c>
      <c r="M3058" s="569">
        <v>0</v>
      </c>
      <c r="N3058" s="569" t="s">
        <v>157</v>
      </c>
      <c r="O3058" s="569">
        <v>2</v>
      </c>
      <c r="P3058" s="569" t="s">
        <v>5240</v>
      </c>
      <c r="Q3058" s="568">
        <v>7500</v>
      </c>
      <c r="R3058" s="569" t="s">
        <v>1235</v>
      </c>
      <c r="S3058" s="569">
        <v>4</v>
      </c>
      <c r="T3058" s="569" t="s">
        <v>5241</v>
      </c>
      <c r="U3058" s="569" t="s">
        <v>318</v>
      </c>
      <c r="V3058" s="569">
        <v>127</v>
      </c>
      <c r="W3058" s="569">
        <v>18</v>
      </c>
      <c r="X3058" s="568">
        <v>6050</v>
      </c>
      <c r="Y3058" s="569">
        <v>23</v>
      </c>
      <c r="Z3058" s="581" t="s">
        <v>178</v>
      </c>
      <c r="AA3058" s="581" t="s">
        <v>178</v>
      </c>
      <c r="AB3058" s="585">
        <v>29035</v>
      </c>
      <c r="AC3058" s="585" t="s">
        <v>164</v>
      </c>
      <c r="AD3058" s="585">
        <v>25846.197916666668</v>
      </c>
      <c r="AE3058" s="587">
        <v>0.03</v>
      </c>
      <c r="AF3058" s="661" t="str">
        <f t="shared" si="332"/>
        <v>2019-LTK-FRD-RNGR-004-27</v>
      </c>
      <c r="AG3058" s="661" t="str">
        <f>IF(AND($Y3058&gt;=32,(AI3058="I"),(Y3058&lt;&gt;"~"),(COUNTIF($AN$1:$AN3058,$AN3058)=1)),"TRUE","FALSE")</f>
        <v>FALSE</v>
      </c>
      <c r="AH3058" s="661" t="str">
        <f>IF(AND($Y3058&gt;=22, (AI3058&lt;&gt;"I"),(Y3058&lt;&gt;"~"),(COUNTIF($AN$1:$AN3058,$AN3058)=1)),"TRUE","FALSE")</f>
        <v>FALSE</v>
      </c>
      <c r="AI3058" s="661" t="str">
        <f t="shared" si="334"/>
        <v>II</v>
      </c>
      <c r="AJ3058" s="662" t="str">
        <f t="shared" si="328"/>
        <v>RNGR-004</v>
      </c>
      <c r="AK3058" s="662" t="str">
        <f t="shared" si="329"/>
        <v>LTK</v>
      </c>
      <c r="AL3058" s="662" t="str">
        <f t="shared" si="330"/>
        <v>FRD</v>
      </c>
      <c r="AM3058" s="662" t="str">
        <f t="shared" si="333"/>
        <v>Ranger-SuperCab XLT-2WD-4-6'-7500-2.3L-4-R1E-300A-127-18-Unleaded-Unleaded</v>
      </c>
      <c r="AN3058" s="662" t="str">
        <f t="shared" si="331"/>
        <v>2019-LTK-FRD-RNGR-004</v>
      </c>
    </row>
    <row r="3059" spans="1:40" ht="15">
      <c r="A3059" s="570" t="s">
        <v>5251</v>
      </c>
      <c r="B3059" s="573" t="s">
        <v>5252</v>
      </c>
      <c r="C3059" s="573" t="s">
        <v>269</v>
      </c>
      <c r="D3059" s="578" t="s">
        <v>270</v>
      </c>
      <c r="E3059" s="573" t="s">
        <v>3374</v>
      </c>
      <c r="F3059" s="573" t="s">
        <v>211</v>
      </c>
      <c r="G3059" s="573" t="s">
        <v>271</v>
      </c>
      <c r="H3059" s="573">
        <v>2019</v>
      </c>
      <c r="I3059" s="573" t="s">
        <v>5234</v>
      </c>
      <c r="J3059" s="573" t="s">
        <v>5249</v>
      </c>
      <c r="K3059" s="573" t="s">
        <v>752</v>
      </c>
      <c r="L3059" s="573">
        <v>4</v>
      </c>
      <c r="M3059" s="573">
        <v>0</v>
      </c>
      <c r="N3059" s="573"/>
      <c r="O3059" s="573">
        <v>2</v>
      </c>
      <c r="P3059" s="573" t="s">
        <v>5240</v>
      </c>
      <c r="Q3059" s="571">
        <v>7500</v>
      </c>
      <c r="R3059" s="573" t="s">
        <v>1235</v>
      </c>
      <c r="S3059" s="573">
        <v>4</v>
      </c>
      <c r="T3059" s="573" t="s">
        <v>5245</v>
      </c>
      <c r="U3059" s="573" t="s">
        <v>318</v>
      </c>
      <c r="V3059" s="573">
        <v>127</v>
      </c>
      <c r="W3059" s="573">
        <v>18</v>
      </c>
      <c r="X3059" s="571">
        <v>6050</v>
      </c>
      <c r="Y3059" s="573">
        <v>23</v>
      </c>
      <c r="Z3059" s="579" t="s">
        <v>178</v>
      </c>
      <c r="AA3059" s="579" t="s">
        <v>178</v>
      </c>
      <c r="AB3059" s="584">
        <v>33035</v>
      </c>
      <c r="AC3059" s="584" t="s">
        <v>164</v>
      </c>
      <c r="AD3059" s="584">
        <v>27356.614583333332</v>
      </c>
      <c r="AE3059" s="586">
        <v>0.03</v>
      </c>
      <c r="AF3059" s="661" t="str">
        <f t="shared" si="332"/>
        <v>2019-LTK-FRD-RNGR-005-05</v>
      </c>
      <c r="AG3059" s="661" t="str">
        <f>IF(AND($Y3059&gt;=32,(AI3059="I"),(Y3059&lt;&gt;"~"),(COUNTIF($AN$1:$AN3059,$AN3059)=1)),"TRUE","FALSE")</f>
        <v>FALSE</v>
      </c>
      <c r="AH3059" s="661" t="str">
        <f>IF(AND($Y3059&gt;=22, (AI3059&lt;&gt;"I"),(Y3059&lt;&gt;"~"),(COUNTIF($AN$1:$AN3059,$AN3059)=1)),"TRUE","FALSE")</f>
        <v>TRUE</v>
      </c>
      <c r="AI3059" s="661" t="str">
        <f t="shared" si="334"/>
        <v>II</v>
      </c>
      <c r="AJ3059" s="662" t="str">
        <f t="shared" si="328"/>
        <v>RNGR-005</v>
      </c>
      <c r="AK3059" s="662" t="str">
        <f t="shared" si="329"/>
        <v>LTK</v>
      </c>
      <c r="AL3059" s="662" t="str">
        <f t="shared" si="330"/>
        <v>FRD</v>
      </c>
      <c r="AM3059" s="662" t="str">
        <f t="shared" si="333"/>
        <v>Ranger-SuperCab XLT-4WD-4-6'-7500-2.3L-4-R1F-300A-127-18-Unleaded-Unleaded</v>
      </c>
      <c r="AN3059" s="662" t="str">
        <f t="shared" si="331"/>
        <v>2019-LTK-FRD-RNGR-005</v>
      </c>
    </row>
    <row r="3060" spans="1:40" ht="15">
      <c r="A3060" s="570" t="s">
        <v>5253</v>
      </c>
      <c r="B3060" s="569" t="s">
        <v>5252</v>
      </c>
      <c r="C3060" s="569" t="s">
        <v>280</v>
      </c>
      <c r="D3060" s="580">
        <v>27</v>
      </c>
      <c r="E3060" s="569" t="s">
        <v>3374</v>
      </c>
      <c r="F3060" s="569" t="s">
        <v>211</v>
      </c>
      <c r="G3060" s="569" t="s">
        <v>271</v>
      </c>
      <c r="H3060" s="569">
        <v>2019</v>
      </c>
      <c r="I3060" s="569" t="s">
        <v>5234</v>
      </c>
      <c r="J3060" s="569" t="s">
        <v>5249</v>
      </c>
      <c r="K3060" s="569" t="s">
        <v>752</v>
      </c>
      <c r="L3060" s="569">
        <v>4</v>
      </c>
      <c r="M3060" s="569">
        <v>0</v>
      </c>
      <c r="N3060" s="569" t="s">
        <v>157</v>
      </c>
      <c r="O3060" s="569">
        <v>2</v>
      </c>
      <c r="P3060" s="569" t="s">
        <v>5240</v>
      </c>
      <c r="Q3060" s="568">
        <v>7500</v>
      </c>
      <c r="R3060" s="569" t="s">
        <v>1235</v>
      </c>
      <c r="S3060" s="569">
        <v>4</v>
      </c>
      <c r="T3060" s="569" t="s">
        <v>5245</v>
      </c>
      <c r="U3060" s="569" t="s">
        <v>318</v>
      </c>
      <c r="V3060" s="569">
        <v>127</v>
      </c>
      <c r="W3060" s="569">
        <v>18</v>
      </c>
      <c r="X3060" s="568">
        <v>6050</v>
      </c>
      <c r="Y3060" s="569">
        <v>23</v>
      </c>
      <c r="Z3060" s="581" t="s">
        <v>178</v>
      </c>
      <c r="AA3060" s="581" t="s">
        <v>178</v>
      </c>
      <c r="AB3060" s="585">
        <v>33035</v>
      </c>
      <c r="AC3060" s="585" t="s">
        <v>164</v>
      </c>
      <c r="AD3060" s="585">
        <v>27356.614583333332</v>
      </c>
      <c r="AE3060" s="587">
        <v>0.03</v>
      </c>
      <c r="AF3060" s="661" t="str">
        <f t="shared" si="332"/>
        <v>2019-LTK-FRD-RNGR-005-27</v>
      </c>
      <c r="AG3060" s="661" t="str">
        <f>IF(AND($Y3060&gt;=32,(AI3060="I"),(Y3060&lt;&gt;"~"),(COUNTIF($AN$1:$AN3060,$AN3060)=1)),"TRUE","FALSE")</f>
        <v>FALSE</v>
      </c>
      <c r="AH3060" s="661" t="str">
        <f>IF(AND($Y3060&gt;=22, (AI3060&lt;&gt;"I"),(Y3060&lt;&gt;"~"),(COUNTIF($AN$1:$AN3060,$AN3060)=1)),"TRUE","FALSE")</f>
        <v>FALSE</v>
      </c>
      <c r="AI3060" s="661" t="str">
        <f t="shared" si="334"/>
        <v>II</v>
      </c>
      <c r="AJ3060" s="662" t="str">
        <f t="shared" si="328"/>
        <v>RNGR-005</v>
      </c>
      <c r="AK3060" s="662" t="str">
        <f t="shared" si="329"/>
        <v>LTK</v>
      </c>
      <c r="AL3060" s="662" t="str">
        <f t="shared" si="330"/>
        <v>FRD</v>
      </c>
      <c r="AM3060" s="662" t="str">
        <f t="shared" si="333"/>
        <v>Ranger-SuperCab XLT-4WD-4-6'-7500-2.3L-4-R1F-300A-127-18-Unleaded-Unleaded</v>
      </c>
      <c r="AN3060" s="662" t="str">
        <f t="shared" si="331"/>
        <v>2019-LTK-FRD-RNGR-005</v>
      </c>
    </row>
    <row r="3061" spans="1:40" ht="15">
      <c r="A3061" s="570" t="s">
        <v>5254</v>
      </c>
      <c r="B3061" s="573" t="s">
        <v>5255</v>
      </c>
      <c r="C3061" s="573" t="s">
        <v>269</v>
      </c>
      <c r="D3061" s="578" t="s">
        <v>270</v>
      </c>
      <c r="E3061" s="573" t="s">
        <v>3374</v>
      </c>
      <c r="F3061" s="573" t="s">
        <v>211</v>
      </c>
      <c r="G3061" s="573" t="s">
        <v>271</v>
      </c>
      <c r="H3061" s="573">
        <v>2019</v>
      </c>
      <c r="I3061" s="573" t="s">
        <v>5234</v>
      </c>
      <c r="J3061" s="573" t="s">
        <v>5256</v>
      </c>
      <c r="K3061" s="573" t="s">
        <v>3377</v>
      </c>
      <c r="L3061" s="573">
        <v>5</v>
      </c>
      <c r="M3061" s="573">
        <v>0</v>
      </c>
      <c r="N3061" s="573"/>
      <c r="O3061" s="573">
        <v>2</v>
      </c>
      <c r="P3061" s="573" t="s">
        <v>5257</v>
      </c>
      <c r="Q3061" s="571">
        <v>7500</v>
      </c>
      <c r="R3061" s="573" t="s">
        <v>1235</v>
      </c>
      <c r="S3061" s="573">
        <v>4</v>
      </c>
      <c r="T3061" s="573" t="s">
        <v>5258</v>
      </c>
      <c r="U3061" s="573" t="s">
        <v>276</v>
      </c>
      <c r="V3061" s="573">
        <v>127</v>
      </c>
      <c r="W3061" s="573">
        <v>18</v>
      </c>
      <c r="X3061" s="571">
        <v>6050</v>
      </c>
      <c r="Y3061" s="573">
        <v>23</v>
      </c>
      <c r="Z3061" s="579" t="s">
        <v>178</v>
      </c>
      <c r="AA3061" s="579" t="s">
        <v>178</v>
      </c>
      <c r="AB3061" s="584">
        <v>27615</v>
      </c>
      <c r="AC3061" s="584" t="s">
        <v>164</v>
      </c>
      <c r="AD3061" s="584">
        <v>23768.958333333336</v>
      </c>
      <c r="AE3061" s="586">
        <v>0.03</v>
      </c>
      <c r="AF3061" s="661" t="str">
        <f t="shared" si="332"/>
        <v>2019-LTK-FRD-RNGR-006-05</v>
      </c>
      <c r="AG3061" s="661" t="str">
        <f>IF(AND($Y3061&gt;=32,(AI3061="I"),(Y3061&lt;&gt;"~"),(COUNTIF($AN$1:$AN3061,$AN3061)=1)),"TRUE","FALSE")</f>
        <v>FALSE</v>
      </c>
      <c r="AH3061" s="661" t="str">
        <f>IF(AND($Y3061&gt;=22, (AI3061&lt;&gt;"I"),(Y3061&lt;&gt;"~"),(COUNTIF($AN$1:$AN3061,$AN3061)=1)),"TRUE","FALSE")</f>
        <v>TRUE</v>
      </c>
      <c r="AI3061" s="661" t="str">
        <f t="shared" si="334"/>
        <v>II</v>
      </c>
      <c r="AJ3061" s="662" t="str">
        <f t="shared" si="328"/>
        <v>RNGR-006</v>
      </c>
      <c r="AK3061" s="662" t="str">
        <f t="shared" si="329"/>
        <v>LTK</v>
      </c>
      <c r="AL3061" s="662" t="str">
        <f t="shared" si="330"/>
        <v>FRD</v>
      </c>
      <c r="AM3061" s="662" t="str">
        <f t="shared" si="333"/>
        <v>Ranger-SuperCrew XL-2WD-5-5'-7500-2.3L-4-R4E-100A-127-18-Unleaded-Unleaded</v>
      </c>
      <c r="AN3061" s="662" t="str">
        <f t="shared" si="331"/>
        <v>2019-LTK-FRD-RNGR-006</v>
      </c>
    </row>
    <row r="3062" spans="1:40" ht="15">
      <c r="A3062" s="570" t="s">
        <v>5259</v>
      </c>
      <c r="B3062" s="569" t="s">
        <v>5255</v>
      </c>
      <c r="C3062" s="569" t="s">
        <v>280</v>
      </c>
      <c r="D3062" s="580">
        <v>27</v>
      </c>
      <c r="E3062" s="569" t="s">
        <v>3374</v>
      </c>
      <c r="F3062" s="569" t="s">
        <v>211</v>
      </c>
      <c r="G3062" s="569" t="s">
        <v>271</v>
      </c>
      <c r="H3062" s="569">
        <v>2019</v>
      </c>
      <c r="I3062" s="569" t="s">
        <v>5234</v>
      </c>
      <c r="J3062" s="569" t="s">
        <v>5256</v>
      </c>
      <c r="K3062" s="569" t="s">
        <v>3377</v>
      </c>
      <c r="L3062" s="569">
        <v>5</v>
      </c>
      <c r="M3062" s="569">
        <v>0</v>
      </c>
      <c r="N3062" s="569" t="s">
        <v>157</v>
      </c>
      <c r="O3062" s="569">
        <v>2</v>
      </c>
      <c r="P3062" s="569" t="s">
        <v>5257</v>
      </c>
      <c r="Q3062" s="568">
        <v>7500</v>
      </c>
      <c r="R3062" s="569" t="s">
        <v>1235</v>
      </c>
      <c r="S3062" s="569">
        <v>4</v>
      </c>
      <c r="T3062" s="569" t="s">
        <v>5258</v>
      </c>
      <c r="U3062" s="569" t="s">
        <v>276</v>
      </c>
      <c r="V3062" s="569">
        <v>127</v>
      </c>
      <c r="W3062" s="569">
        <v>18</v>
      </c>
      <c r="X3062" s="568">
        <v>6050</v>
      </c>
      <c r="Y3062" s="569">
        <v>23</v>
      </c>
      <c r="Z3062" s="581" t="s">
        <v>178</v>
      </c>
      <c r="AA3062" s="581" t="s">
        <v>178</v>
      </c>
      <c r="AB3062" s="585">
        <v>27615</v>
      </c>
      <c r="AC3062" s="585" t="s">
        <v>164</v>
      </c>
      <c r="AD3062" s="585">
        <v>23768.958333333336</v>
      </c>
      <c r="AE3062" s="587">
        <v>0.03</v>
      </c>
      <c r="AF3062" s="661" t="str">
        <f t="shared" si="332"/>
        <v>2019-LTK-FRD-RNGR-006-27</v>
      </c>
      <c r="AG3062" s="661" t="str">
        <f>IF(AND($Y3062&gt;=32,(AI3062="I"),(Y3062&lt;&gt;"~"),(COUNTIF($AN$1:$AN3062,$AN3062)=1)),"TRUE","FALSE")</f>
        <v>FALSE</v>
      </c>
      <c r="AH3062" s="661" t="str">
        <f>IF(AND($Y3062&gt;=22, (AI3062&lt;&gt;"I"),(Y3062&lt;&gt;"~"),(COUNTIF($AN$1:$AN3062,$AN3062)=1)),"TRUE","FALSE")</f>
        <v>FALSE</v>
      </c>
      <c r="AI3062" s="661" t="str">
        <f t="shared" si="334"/>
        <v>II</v>
      </c>
      <c r="AJ3062" s="662" t="str">
        <f t="shared" si="328"/>
        <v>RNGR-006</v>
      </c>
      <c r="AK3062" s="662" t="str">
        <f t="shared" si="329"/>
        <v>LTK</v>
      </c>
      <c r="AL3062" s="662" t="str">
        <f t="shared" si="330"/>
        <v>FRD</v>
      </c>
      <c r="AM3062" s="662" t="str">
        <f t="shared" si="333"/>
        <v>Ranger-SuperCrew XL-2WD-5-5'-7500-2.3L-4-R4E-100A-127-18-Unleaded-Unleaded</v>
      </c>
      <c r="AN3062" s="662" t="str">
        <f t="shared" si="331"/>
        <v>2019-LTK-FRD-RNGR-006</v>
      </c>
    </row>
    <row r="3063" spans="1:40" ht="15">
      <c r="A3063" s="570" t="s">
        <v>5260</v>
      </c>
      <c r="B3063" s="573" t="s">
        <v>5261</v>
      </c>
      <c r="C3063" s="573" t="s">
        <v>269</v>
      </c>
      <c r="D3063" s="578" t="s">
        <v>270</v>
      </c>
      <c r="E3063" s="573" t="s">
        <v>3374</v>
      </c>
      <c r="F3063" s="573" t="s">
        <v>211</v>
      </c>
      <c r="G3063" s="573" t="s">
        <v>271</v>
      </c>
      <c r="H3063" s="573">
        <v>2019</v>
      </c>
      <c r="I3063" s="573" t="s">
        <v>5234</v>
      </c>
      <c r="J3063" s="573" t="s">
        <v>5256</v>
      </c>
      <c r="K3063" s="573" t="s">
        <v>752</v>
      </c>
      <c r="L3063" s="573">
        <v>5</v>
      </c>
      <c r="M3063" s="573">
        <v>0</v>
      </c>
      <c r="N3063" s="573"/>
      <c r="O3063" s="573">
        <v>2</v>
      </c>
      <c r="P3063" s="573" t="s">
        <v>5257</v>
      </c>
      <c r="Q3063" s="571">
        <v>7500</v>
      </c>
      <c r="R3063" s="573" t="s">
        <v>1235</v>
      </c>
      <c r="S3063" s="573">
        <v>4</v>
      </c>
      <c r="T3063" s="573" t="s">
        <v>5262</v>
      </c>
      <c r="U3063" s="573" t="s">
        <v>276</v>
      </c>
      <c r="V3063" s="573">
        <v>127</v>
      </c>
      <c r="W3063" s="573">
        <v>18</v>
      </c>
      <c r="X3063" s="571">
        <v>6050</v>
      </c>
      <c r="Y3063" s="573">
        <v>23</v>
      </c>
      <c r="Z3063" s="579" t="s">
        <v>178</v>
      </c>
      <c r="AA3063" s="579" t="s">
        <v>178</v>
      </c>
      <c r="AB3063" s="584">
        <v>31775</v>
      </c>
      <c r="AC3063" s="584" t="s">
        <v>164</v>
      </c>
      <c r="AD3063" s="584">
        <v>26511.666666666668</v>
      </c>
      <c r="AE3063" s="586">
        <v>0.03</v>
      </c>
      <c r="AF3063" s="661" t="str">
        <f t="shared" si="332"/>
        <v>2019-LTK-FRD-RNGR-007-05</v>
      </c>
      <c r="AG3063" s="661" t="str">
        <f>IF(AND($Y3063&gt;=32,(AI3063="I"),(Y3063&lt;&gt;"~"),(COUNTIF($AN$1:$AN3063,$AN3063)=1)),"TRUE","FALSE")</f>
        <v>FALSE</v>
      </c>
      <c r="AH3063" s="661" t="str">
        <f>IF(AND($Y3063&gt;=22, (AI3063&lt;&gt;"I"),(Y3063&lt;&gt;"~"),(COUNTIF($AN$1:$AN3063,$AN3063)=1)),"TRUE","FALSE")</f>
        <v>TRUE</v>
      </c>
      <c r="AI3063" s="661" t="str">
        <f t="shared" si="334"/>
        <v>II</v>
      </c>
      <c r="AJ3063" s="662" t="str">
        <f t="shared" si="328"/>
        <v>RNGR-007</v>
      </c>
      <c r="AK3063" s="662" t="str">
        <f t="shared" si="329"/>
        <v>LTK</v>
      </c>
      <c r="AL3063" s="662" t="str">
        <f t="shared" si="330"/>
        <v>FRD</v>
      </c>
      <c r="AM3063" s="662" t="str">
        <f t="shared" si="333"/>
        <v>Ranger-SuperCrew XL-4WD-5-5'-7500-2.3L-4-R4F-100A-127-18-Unleaded-Unleaded</v>
      </c>
      <c r="AN3063" s="662" t="str">
        <f t="shared" si="331"/>
        <v>2019-LTK-FRD-RNGR-007</v>
      </c>
    </row>
    <row r="3064" spans="1:40" ht="15">
      <c r="A3064" s="570" t="s">
        <v>5263</v>
      </c>
      <c r="B3064" s="569" t="s">
        <v>5261</v>
      </c>
      <c r="C3064" s="569" t="s">
        <v>280</v>
      </c>
      <c r="D3064" s="580">
        <v>27</v>
      </c>
      <c r="E3064" s="569" t="s">
        <v>3374</v>
      </c>
      <c r="F3064" s="569" t="s">
        <v>211</v>
      </c>
      <c r="G3064" s="569" t="s">
        <v>271</v>
      </c>
      <c r="H3064" s="569">
        <v>2019</v>
      </c>
      <c r="I3064" s="569" t="s">
        <v>5234</v>
      </c>
      <c r="J3064" s="569" t="s">
        <v>5256</v>
      </c>
      <c r="K3064" s="569" t="s">
        <v>752</v>
      </c>
      <c r="L3064" s="569">
        <v>5</v>
      </c>
      <c r="M3064" s="569">
        <v>0</v>
      </c>
      <c r="N3064" s="569" t="s">
        <v>157</v>
      </c>
      <c r="O3064" s="569">
        <v>2</v>
      </c>
      <c r="P3064" s="569" t="s">
        <v>5257</v>
      </c>
      <c r="Q3064" s="568">
        <v>7500</v>
      </c>
      <c r="R3064" s="569" t="s">
        <v>1235</v>
      </c>
      <c r="S3064" s="569">
        <v>4</v>
      </c>
      <c r="T3064" s="569" t="s">
        <v>5262</v>
      </c>
      <c r="U3064" s="569" t="s">
        <v>276</v>
      </c>
      <c r="V3064" s="569">
        <v>127</v>
      </c>
      <c r="W3064" s="569">
        <v>18</v>
      </c>
      <c r="X3064" s="568">
        <v>6050</v>
      </c>
      <c r="Y3064" s="569">
        <v>23</v>
      </c>
      <c r="Z3064" s="581" t="s">
        <v>178</v>
      </c>
      <c r="AA3064" s="581" t="s">
        <v>178</v>
      </c>
      <c r="AB3064" s="585">
        <v>31775</v>
      </c>
      <c r="AC3064" s="585" t="s">
        <v>164</v>
      </c>
      <c r="AD3064" s="585">
        <v>26511.666666666668</v>
      </c>
      <c r="AE3064" s="587">
        <v>0.03</v>
      </c>
      <c r="AF3064" s="661" t="str">
        <f t="shared" si="332"/>
        <v>2019-LTK-FRD-RNGR-007-27</v>
      </c>
      <c r="AG3064" s="661" t="str">
        <f>IF(AND($Y3064&gt;=32,(AI3064="I"),(Y3064&lt;&gt;"~"),(COUNTIF($AN$1:$AN3064,$AN3064)=1)),"TRUE","FALSE")</f>
        <v>FALSE</v>
      </c>
      <c r="AH3064" s="661" t="str">
        <f>IF(AND($Y3064&gt;=22, (AI3064&lt;&gt;"I"),(Y3064&lt;&gt;"~"),(COUNTIF($AN$1:$AN3064,$AN3064)=1)),"TRUE","FALSE")</f>
        <v>FALSE</v>
      </c>
      <c r="AI3064" s="661" t="str">
        <f t="shared" si="334"/>
        <v>II</v>
      </c>
      <c r="AJ3064" s="662" t="str">
        <f t="shared" si="328"/>
        <v>RNGR-007</v>
      </c>
      <c r="AK3064" s="662" t="str">
        <f t="shared" si="329"/>
        <v>LTK</v>
      </c>
      <c r="AL3064" s="662" t="str">
        <f t="shared" si="330"/>
        <v>FRD</v>
      </c>
      <c r="AM3064" s="662" t="str">
        <f t="shared" si="333"/>
        <v>Ranger-SuperCrew XL-4WD-5-5'-7500-2.3L-4-R4F-100A-127-18-Unleaded-Unleaded</v>
      </c>
      <c r="AN3064" s="662" t="str">
        <f t="shared" si="331"/>
        <v>2019-LTK-FRD-RNGR-007</v>
      </c>
    </row>
    <row r="3065" spans="1:40" ht="15">
      <c r="A3065" s="570" t="s">
        <v>5264</v>
      </c>
      <c r="B3065" s="573" t="s">
        <v>5265</v>
      </c>
      <c r="C3065" s="573" t="s">
        <v>269</v>
      </c>
      <c r="D3065" s="578" t="s">
        <v>270</v>
      </c>
      <c r="E3065" s="573" t="s">
        <v>3374</v>
      </c>
      <c r="F3065" s="573" t="s">
        <v>211</v>
      </c>
      <c r="G3065" s="573" t="s">
        <v>271</v>
      </c>
      <c r="H3065" s="573">
        <v>2019</v>
      </c>
      <c r="I3065" s="573" t="s">
        <v>5234</v>
      </c>
      <c r="J3065" s="573" t="s">
        <v>5266</v>
      </c>
      <c r="K3065" s="573" t="s">
        <v>3377</v>
      </c>
      <c r="L3065" s="573">
        <v>5</v>
      </c>
      <c r="M3065" s="573">
        <v>0</v>
      </c>
      <c r="N3065" s="573"/>
      <c r="O3065" s="573">
        <v>2</v>
      </c>
      <c r="P3065" s="573" t="s">
        <v>5257</v>
      </c>
      <c r="Q3065" s="571">
        <v>7500</v>
      </c>
      <c r="R3065" s="573" t="s">
        <v>1235</v>
      </c>
      <c r="S3065" s="573">
        <v>4</v>
      </c>
      <c r="T3065" s="573" t="s">
        <v>5258</v>
      </c>
      <c r="U3065" s="573" t="s">
        <v>318</v>
      </c>
      <c r="V3065" s="573">
        <v>127</v>
      </c>
      <c r="W3065" s="573">
        <v>18</v>
      </c>
      <c r="X3065" s="571">
        <v>6050</v>
      </c>
      <c r="Y3065" s="573">
        <v>23</v>
      </c>
      <c r="Z3065" s="579" t="s">
        <v>178</v>
      </c>
      <c r="AA3065" s="579" t="s">
        <v>178</v>
      </c>
      <c r="AB3065" s="584">
        <v>31210</v>
      </c>
      <c r="AC3065" s="584" t="s">
        <v>164</v>
      </c>
      <c r="AD3065" s="584">
        <v>26814.947916666668</v>
      </c>
      <c r="AE3065" s="586">
        <v>0.03</v>
      </c>
      <c r="AF3065" s="661" t="str">
        <f t="shared" si="332"/>
        <v>2019-LTK-FRD-RNGR-008-05</v>
      </c>
      <c r="AG3065" s="661" t="str">
        <f>IF(AND($Y3065&gt;=32,(AI3065="I"),(Y3065&lt;&gt;"~"),(COUNTIF($AN$1:$AN3065,$AN3065)=1)),"TRUE","FALSE")</f>
        <v>FALSE</v>
      </c>
      <c r="AH3065" s="661" t="str">
        <f>IF(AND($Y3065&gt;=22, (AI3065&lt;&gt;"I"),(Y3065&lt;&gt;"~"),(COUNTIF($AN$1:$AN3065,$AN3065)=1)),"TRUE","FALSE")</f>
        <v>TRUE</v>
      </c>
      <c r="AI3065" s="661" t="str">
        <f t="shared" si="334"/>
        <v>II</v>
      </c>
      <c r="AJ3065" s="662" t="str">
        <f t="shared" si="328"/>
        <v>RNGR-008</v>
      </c>
      <c r="AK3065" s="662" t="str">
        <f t="shared" si="329"/>
        <v>LTK</v>
      </c>
      <c r="AL3065" s="662" t="str">
        <f t="shared" si="330"/>
        <v>FRD</v>
      </c>
      <c r="AM3065" s="662" t="str">
        <f t="shared" si="333"/>
        <v>Ranger-SuperCrew XLT-2WD-5-5'-7500-2.3L-4-R4E-300A-127-18-Unleaded-Unleaded</v>
      </c>
      <c r="AN3065" s="662" t="str">
        <f t="shared" si="331"/>
        <v>2019-LTK-FRD-RNGR-008</v>
      </c>
    </row>
    <row r="3066" spans="1:40" ht="15">
      <c r="A3066" s="570" t="s">
        <v>5267</v>
      </c>
      <c r="B3066" s="569" t="s">
        <v>5265</v>
      </c>
      <c r="C3066" s="569" t="s">
        <v>280</v>
      </c>
      <c r="D3066" s="580">
        <v>27</v>
      </c>
      <c r="E3066" s="569" t="s">
        <v>3374</v>
      </c>
      <c r="F3066" s="569" t="s">
        <v>211</v>
      </c>
      <c r="G3066" s="569" t="s">
        <v>271</v>
      </c>
      <c r="H3066" s="569">
        <v>2019</v>
      </c>
      <c r="I3066" s="569" t="s">
        <v>5234</v>
      </c>
      <c r="J3066" s="569" t="s">
        <v>5266</v>
      </c>
      <c r="K3066" s="569" t="s">
        <v>3377</v>
      </c>
      <c r="L3066" s="569">
        <v>5</v>
      </c>
      <c r="M3066" s="569">
        <v>0</v>
      </c>
      <c r="N3066" s="569" t="s">
        <v>157</v>
      </c>
      <c r="O3066" s="569">
        <v>2</v>
      </c>
      <c r="P3066" s="569" t="s">
        <v>5257</v>
      </c>
      <c r="Q3066" s="568">
        <v>7500</v>
      </c>
      <c r="R3066" s="569" t="s">
        <v>1235</v>
      </c>
      <c r="S3066" s="569">
        <v>4</v>
      </c>
      <c r="T3066" s="569" t="s">
        <v>5258</v>
      </c>
      <c r="U3066" s="569" t="s">
        <v>318</v>
      </c>
      <c r="V3066" s="569">
        <v>127</v>
      </c>
      <c r="W3066" s="569">
        <v>18</v>
      </c>
      <c r="X3066" s="568">
        <v>6050</v>
      </c>
      <c r="Y3066" s="569">
        <v>23</v>
      </c>
      <c r="Z3066" s="581" t="s">
        <v>178</v>
      </c>
      <c r="AA3066" s="581" t="s">
        <v>178</v>
      </c>
      <c r="AB3066" s="585">
        <v>31210</v>
      </c>
      <c r="AC3066" s="585" t="s">
        <v>164</v>
      </c>
      <c r="AD3066" s="585">
        <v>26814.947916666668</v>
      </c>
      <c r="AE3066" s="587">
        <v>0.03</v>
      </c>
      <c r="AF3066" s="661" t="str">
        <f t="shared" si="332"/>
        <v>2019-LTK-FRD-RNGR-008-27</v>
      </c>
      <c r="AG3066" s="661" t="str">
        <f>IF(AND($Y3066&gt;=32,(AI3066="I"),(Y3066&lt;&gt;"~"),(COUNTIF($AN$1:$AN3066,$AN3066)=1)),"TRUE","FALSE")</f>
        <v>FALSE</v>
      </c>
      <c r="AH3066" s="661" t="str">
        <f>IF(AND($Y3066&gt;=22, (AI3066&lt;&gt;"I"),(Y3066&lt;&gt;"~"),(COUNTIF($AN$1:$AN3066,$AN3066)=1)),"TRUE","FALSE")</f>
        <v>FALSE</v>
      </c>
      <c r="AI3066" s="661" t="str">
        <f t="shared" si="334"/>
        <v>II</v>
      </c>
      <c r="AJ3066" s="662" t="str">
        <f t="shared" si="328"/>
        <v>RNGR-008</v>
      </c>
      <c r="AK3066" s="662" t="str">
        <f t="shared" si="329"/>
        <v>LTK</v>
      </c>
      <c r="AL3066" s="662" t="str">
        <f t="shared" si="330"/>
        <v>FRD</v>
      </c>
      <c r="AM3066" s="662" t="str">
        <f t="shared" si="333"/>
        <v>Ranger-SuperCrew XLT-2WD-5-5'-7500-2.3L-4-R4E-300A-127-18-Unleaded-Unleaded</v>
      </c>
      <c r="AN3066" s="662" t="str">
        <f t="shared" si="331"/>
        <v>2019-LTK-FRD-RNGR-008</v>
      </c>
    </row>
    <row r="3067" spans="1:40" ht="15">
      <c r="A3067" s="570" t="s">
        <v>5268</v>
      </c>
      <c r="B3067" s="573" t="s">
        <v>5269</v>
      </c>
      <c r="C3067" s="573" t="s">
        <v>269</v>
      </c>
      <c r="D3067" s="578" t="s">
        <v>270</v>
      </c>
      <c r="E3067" s="573" t="s">
        <v>3374</v>
      </c>
      <c r="F3067" s="573" t="s">
        <v>211</v>
      </c>
      <c r="G3067" s="573" t="s">
        <v>271</v>
      </c>
      <c r="H3067" s="573">
        <v>2019</v>
      </c>
      <c r="I3067" s="573" t="s">
        <v>5234</v>
      </c>
      <c r="J3067" s="573" t="s">
        <v>5266</v>
      </c>
      <c r="K3067" s="573" t="s">
        <v>752</v>
      </c>
      <c r="L3067" s="573">
        <v>5</v>
      </c>
      <c r="M3067" s="573">
        <v>0</v>
      </c>
      <c r="N3067" s="573"/>
      <c r="O3067" s="573">
        <v>2</v>
      </c>
      <c r="P3067" s="573" t="s">
        <v>5257</v>
      </c>
      <c r="Q3067" s="571">
        <v>7500</v>
      </c>
      <c r="R3067" s="573" t="s">
        <v>1235</v>
      </c>
      <c r="S3067" s="573">
        <v>4</v>
      </c>
      <c r="T3067" s="573" t="s">
        <v>5262</v>
      </c>
      <c r="U3067" s="573" t="s">
        <v>318</v>
      </c>
      <c r="V3067" s="573">
        <v>127</v>
      </c>
      <c r="W3067" s="573">
        <v>18</v>
      </c>
      <c r="X3067" s="571">
        <v>6050</v>
      </c>
      <c r="Y3067" s="573">
        <v>23</v>
      </c>
      <c r="Z3067" s="579" t="s">
        <v>178</v>
      </c>
      <c r="AA3067" s="579" t="s">
        <v>178</v>
      </c>
      <c r="AB3067" s="584">
        <v>35210</v>
      </c>
      <c r="AC3067" s="584" t="s">
        <v>164</v>
      </c>
      <c r="AD3067" s="584">
        <v>29367.03125</v>
      </c>
      <c r="AE3067" s="586">
        <v>0.03</v>
      </c>
      <c r="AF3067" s="661" t="str">
        <f t="shared" si="332"/>
        <v>2019-LTK-FRD-RNGR-009-05</v>
      </c>
      <c r="AG3067" s="661" t="str">
        <f>IF(AND($Y3067&gt;=32,(AI3067="I"),(Y3067&lt;&gt;"~"),(COUNTIF($AN$1:$AN3067,$AN3067)=1)),"TRUE","FALSE")</f>
        <v>FALSE</v>
      </c>
      <c r="AH3067" s="661" t="str">
        <f>IF(AND($Y3067&gt;=22, (AI3067&lt;&gt;"I"),(Y3067&lt;&gt;"~"),(COUNTIF($AN$1:$AN3067,$AN3067)=1)),"TRUE","FALSE")</f>
        <v>TRUE</v>
      </c>
      <c r="AI3067" s="661" t="str">
        <f t="shared" si="334"/>
        <v>II</v>
      </c>
      <c r="AJ3067" s="662" t="str">
        <f t="shared" si="328"/>
        <v>RNGR-009</v>
      </c>
      <c r="AK3067" s="662" t="str">
        <f t="shared" si="329"/>
        <v>LTK</v>
      </c>
      <c r="AL3067" s="662" t="str">
        <f t="shared" si="330"/>
        <v>FRD</v>
      </c>
      <c r="AM3067" s="662" t="str">
        <f t="shared" si="333"/>
        <v>Ranger-SuperCrew XLT-4WD-5-5'-7500-2.3L-4-R4F-300A-127-18-Unleaded-Unleaded</v>
      </c>
      <c r="AN3067" s="662" t="str">
        <f t="shared" si="331"/>
        <v>2019-LTK-FRD-RNGR-009</v>
      </c>
    </row>
    <row r="3068" spans="1:40" ht="15">
      <c r="A3068" s="570" t="s">
        <v>5270</v>
      </c>
      <c r="B3068" s="569" t="s">
        <v>5269</v>
      </c>
      <c r="C3068" s="569" t="s">
        <v>280</v>
      </c>
      <c r="D3068" s="580">
        <v>27</v>
      </c>
      <c r="E3068" s="569" t="s">
        <v>3374</v>
      </c>
      <c r="F3068" s="569" t="s">
        <v>211</v>
      </c>
      <c r="G3068" s="569" t="s">
        <v>271</v>
      </c>
      <c r="H3068" s="569">
        <v>2019</v>
      </c>
      <c r="I3068" s="569" t="s">
        <v>5234</v>
      </c>
      <c r="J3068" s="569" t="s">
        <v>5266</v>
      </c>
      <c r="K3068" s="569" t="s">
        <v>752</v>
      </c>
      <c r="L3068" s="569">
        <v>5</v>
      </c>
      <c r="M3068" s="569">
        <v>0</v>
      </c>
      <c r="N3068" s="569" t="s">
        <v>157</v>
      </c>
      <c r="O3068" s="569">
        <v>2</v>
      </c>
      <c r="P3068" s="569" t="s">
        <v>5257</v>
      </c>
      <c r="Q3068" s="568">
        <v>7500</v>
      </c>
      <c r="R3068" s="569" t="s">
        <v>1235</v>
      </c>
      <c r="S3068" s="569">
        <v>4</v>
      </c>
      <c r="T3068" s="569" t="s">
        <v>5262</v>
      </c>
      <c r="U3068" s="569" t="s">
        <v>318</v>
      </c>
      <c r="V3068" s="569">
        <v>127</v>
      </c>
      <c r="W3068" s="569">
        <v>18</v>
      </c>
      <c r="X3068" s="568">
        <v>6050</v>
      </c>
      <c r="Y3068" s="569">
        <v>23</v>
      </c>
      <c r="Z3068" s="581" t="s">
        <v>178</v>
      </c>
      <c r="AA3068" s="581" t="s">
        <v>178</v>
      </c>
      <c r="AB3068" s="585">
        <v>35210</v>
      </c>
      <c r="AC3068" s="585" t="s">
        <v>164</v>
      </c>
      <c r="AD3068" s="585">
        <v>29367.03125</v>
      </c>
      <c r="AE3068" s="587">
        <v>0.03</v>
      </c>
      <c r="AF3068" s="661" t="str">
        <f t="shared" si="332"/>
        <v>2019-LTK-FRD-RNGR-009-27</v>
      </c>
      <c r="AG3068" s="661" t="str">
        <f>IF(AND($Y3068&gt;=32,(AI3068="I"),(Y3068&lt;&gt;"~"),(COUNTIF($AN$1:$AN3068,$AN3068)=1)),"TRUE","FALSE")</f>
        <v>FALSE</v>
      </c>
      <c r="AH3068" s="661" t="str">
        <f>IF(AND($Y3068&gt;=22, (AI3068&lt;&gt;"I"),(Y3068&lt;&gt;"~"),(COUNTIF($AN$1:$AN3068,$AN3068)=1)),"TRUE","FALSE")</f>
        <v>FALSE</v>
      </c>
      <c r="AI3068" s="661" t="str">
        <f t="shared" si="334"/>
        <v>II</v>
      </c>
      <c r="AJ3068" s="662" t="str">
        <f t="shared" si="328"/>
        <v>RNGR-009</v>
      </c>
      <c r="AK3068" s="662" t="str">
        <f t="shared" si="329"/>
        <v>LTK</v>
      </c>
      <c r="AL3068" s="662" t="str">
        <f t="shared" si="330"/>
        <v>FRD</v>
      </c>
      <c r="AM3068" s="662" t="str">
        <f t="shared" si="333"/>
        <v>Ranger-SuperCrew XLT-4WD-5-5'-7500-2.3L-4-R4F-300A-127-18-Unleaded-Unleaded</v>
      </c>
      <c r="AN3068" s="662" t="str">
        <f t="shared" si="331"/>
        <v>2019-LTK-FRD-RNGR-009</v>
      </c>
    </row>
    <row r="3069" spans="1:40" ht="15">
      <c r="A3069" s="570" t="s">
        <v>5271</v>
      </c>
      <c r="B3069" s="573" t="s">
        <v>5272</v>
      </c>
      <c r="C3069" s="573" t="s">
        <v>287</v>
      </c>
      <c r="D3069" s="578">
        <v>26</v>
      </c>
      <c r="E3069" s="573" t="s">
        <v>3374</v>
      </c>
      <c r="F3069" s="573" t="s">
        <v>211</v>
      </c>
      <c r="G3069" s="573" t="s">
        <v>271</v>
      </c>
      <c r="H3069" s="573">
        <v>2019</v>
      </c>
      <c r="I3069" s="573" t="s">
        <v>5234</v>
      </c>
      <c r="J3069" s="573" t="s">
        <v>5273</v>
      </c>
      <c r="K3069" s="573" t="s">
        <v>3377</v>
      </c>
      <c r="L3069" s="573">
        <v>5</v>
      </c>
      <c r="M3069" s="573">
        <v>0</v>
      </c>
      <c r="N3069" s="573" t="s">
        <v>157</v>
      </c>
      <c r="O3069" s="573">
        <v>2</v>
      </c>
      <c r="P3069" s="573" t="s">
        <v>5257</v>
      </c>
      <c r="Q3069" s="571">
        <v>7500</v>
      </c>
      <c r="R3069" s="573" t="s">
        <v>1245</v>
      </c>
      <c r="S3069" s="573">
        <v>4</v>
      </c>
      <c r="T3069" s="573" t="s">
        <v>5258</v>
      </c>
      <c r="U3069" s="573" t="s">
        <v>276</v>
      </c>
      <c r="V3069" s="573">
        <v>127</v>
      </c>
      <c r="W3069" s="573">
        <v>15.8</v>
      </c>
      <c r="X3069" s="571">
        <v>4232</v>
      </c>
      <c r="Y3069" s="573">
        <v>24</v>
      </c>
      <c r="Z3069" s="579" t="s">
        <v>178</v>
      </c>
      <c r="AA3069" s="579" t="s">
        <v>178</v>
      </c>
      <c r="AB3069" s="584">
        <v>27615</v>
      </c>
      <c r="AC3069" s="584" t="s">
        <v>164</v>
      </c>
      <c r="AD3069" s="584">
        <v>24581</v>
      </c>
      <c r="AE3069" s="586">
        <v>0.05</v>
      </c>
      <c r="AF3069" s="661" t="str">
        <f t="shared" si="332"/>
        <v>2019-LTK-FRD-RNGR-010-26</v>
      </c>
      <c r="AG3069" s="661" t="str">
        <f>IF(AND($Y3069&gt;=32,(AI3069="I"),(Y3069&lt;&gt;"~"),(COUNTIF($AN$1:$AN3069,$AN3069)=1)),"TRUE","FALSE")</f>
        <v>FALSE</v>
      </c>
      <c r="AH3069" s="661" t="str">
        <f>IF(AND($Y3069&gt;=22, (AI3069&lt;&gt;"I"),(Y3069&lt;&gt;"~"),(COUNTIF($AN$1:$AN3069,$AN3069)=1)),"TRUE","FALSE")</f>
        <v>TRUE</v>
      </c>
      <c r="AI3069" s="661" t="str">
        <f t="shared" si="334"/>
        <v>II</v>
      </c>
      <c r="AJ3069" s="662" t="str">
        <f t="shared" si="328"/>
        <v>RNGR-010</v>
      </c>
      <c r="AK3069" s="662" t="str">
        <f t="shared" si="329"/>
        <v>LTK</v>
      </c>
      <c r="AL3069" s="662" t="str">
        <f t="shared" si="330"/>
        <v>FRD</v>
      </c>
      <c r="AM3069" s="662" t="str">
        <f t="shared" si="333"/>
        <v>Ranger-XL CC 4X2 5' Box-2WD-5-5'-7500-2.3L Ecoboost-4-R4E-100A-127-15.8-Unleaded-Unleaded</v>
      </c>
      <c r="AN3069" s="662" t="str">
        <f t="shared" si="331"/>
        <v>2019-LTK-FRD-RNGR-010</v>
      </c>
    </row>
    <row r="3070" spans="1:40" ht="15">
      <c r="A3070" s="570" t="s">
        <v>5274</v>
      </c>
      <c r="B3070" s="569" t="s">
        <v>5275</v>
      </c>
      <c r="C3070" s="569" t="s">
        <v>287</v>
      </c>
      <c r="D3070" s="580">
        <v>26</v>
      </c>
      <c r="E3070" s="569" t="s">
        <v>3374</v>
      </c>
      <c r="F3070" s="569" t="s">
        <v>211</v>
      </c>
      <c r="G3070" s="569" t="s">
        <v>271</v>
      </c>
      <c r="H3070" s="569">
        <v>2019</v>
      </c>
      <c r="I3070" s="569" t="s">
        <v>5234</v>
      </c>
      <c r="J3070" s="569" t="s">
        <v>5276</v>
      </c>
      <c r="K3070" s="569" t="s">
        <v>752</v>
      </c>
      <c r="L3070" s="569">
        <v>5</v>
      </c>
      <c r="M3070" s="569">
        <v>0</v>
      </c>
      <c r="N3070" s="569" t="s">
        <v>157</v>
      </c>
      <c r="O3070" s="569">
        <v>2</v>
      </c>
      <c r="P3070" s="569" t="s">
        <v>5257</v>
      </c>
      <c r="Q3070" s="568">
        <v>7500</v>
      </c>
      <c r="R3070" s="569" t="s">
        <v>1245</v>
      </c>
      <c r="S3070" s="569">
        <v>4</v>
      </c>
      <c r="T3070" s="569" t="s">
        <v>5262</v>
      </c>
      <c r="U3070" s="569" t="s">
        <v>276</v>
      </c>
      <c r="V3070" s="569">
        <v>127</v>
      </c>
      <c r="W3070" s="569">
        <v>15.8</v>
      </c>
      <c r="X3070" s="568">
        <v>4232</v>
      </c>
      <c r="Y3070" s="569">
        <v>24</v>
      </c>
      <c r="Z3070" s="581" t="s">
        <v>178</v>
      </c>
      <c r="AA3070" s="581" t="s">
        <v>178</v>
      </c>
      <c r="AB3070" s="585">
        <v>31775</v>
      </c>
      <c r="AC3070" s="585" t="s">
        <v>164</v>
      </c>
      <c r="AD3070" s="585">
        <v>27408</v>
      </c>
      <c r="AE3070" s="587">
        <v>0.05</v>
      </c>
      <c r="AF3070" s="661" t="str">
        <f t="shared" si="332"/>
        <v>2019-LTK-FRD-RNGR-011-26</v>
      </c>
      <c r="AG3070" s="661" t="str">
        <f>IF(AND($Y3070&gt;=32,(AI3070="I"),(Y3070&lt;&gt;"~"),(COUNTIF($AN$1:$AN3070,$AN3070)=1)),"TRUE","FALSE")</f>
        <v>FALSE</v>
      </c>
      <c r="AH3070" s="661" t="str">
        <f>IF(AND($Y3070&gt;=22, (AI3070&lt;&gt;"I"),(Y3070&lt;&gt;"~"),(COUNTIF($AN$1:$AN3070,$AN3070)=1)),"TRUE","FALSE")</f>
        <v>TRUE</v>
      </c>
      <c r="AI3070" s="661" t="str">
        <f t="shared" si="334"/>
        <v>II</v>
      </c>
      <c r="AJ3070" s="662" t="str">
        <f t="shared" si="328"/>
        <v>RNGR-011</v>
      </c>
      <c r="AK3070" s="662" t="str">
        <f t="shared" si="329"/>
        <v>LTK</v>
      </c>
      <c r="AL3070" s="662" t="str">
        <f t="shared" si="330"/>
        <v>FRD</v>
      </c>
      <c r="AM3070" s="662" t="str">
        <f t="shared" si="333"/>
        <v>Ranger-XL CC 4X4 5' Box-4WD-5-5'-7500-2.3L Ecoboost-4-R4F-100A-127-15.8-Unleaded-Unleaded</v>
      </c>
      <c r="AN3070" s="662" t="str">
        <f t="shared" si="331"/>
        <v>2019-LTK-FRD-RNGR-011</v>
      </c>
    </row>
    <row r="3071" spans="1:40" ht="30">
      <c r="A3071" s="570" t="s">
        <v>5277</v>
      </c>
      <c r="B3071" s="573" t="s">
        <v>5278</v>
      </c>
      <c r="C3071" s="573" t="s">
        <v>287</v>
      </c>
      <c r="D3071" s="578">
        <v>26</v>
      </c>
      <c r="E3071" s="573" t="s">
        <v>3374</v>
      </c>
      <c r="F3071" s="573" t="s">
        <v>211</v>
      </c>
      <c r="G3071" s="573" t="s">
        <v>271</v>
      </c>
      <c r="H3071" s="573">
        <v>2019</v>
      </c>
      <c r="I3071" s="573" t="s">
        <v>5234</v>
      </c>
      <c r="J3071" s="573" t="s">
        <v>5279</v>
      </c>
      <c r="K3071" s="573" t="s">
        <v>3377</v>
      </c>
      <c r="L3071" s="573">
        <v>4</v>
      </c>
      <c r="M3071" s="573">
        <v>0</v>
      </c>
      <c r="N3071" s="573" t="s">
        <v>157</v>
      </c>
      <c r="O3071" s="573">
        <v>2</v>
      </c>
      <c r="P3071" s="573" t="s">
        <v>157</v>
      </c>
      <c r="Q3071" s="571">
        <v>7500</v>
      </c>
      <c r="R3071" s="573" t="s">
        <v>1245</v>
      </c>
      <c r="S3071" s="573">
        <v>4</v>
      </c>
      <c r="T3071" s="573" t="s">
        <v>5236</v>
      </c>
      <c r="U3071" s="573" t="s">
        <v>276</v>
      </c>
      <c r="V3071" s="573">
        <v>127</v>
      </c>
      <c r="W3071" s="573">
        <v>15.8</v>
      </c>
      <c r="X3071" s="571">
        <v>3922</v>
      </c>
      <c r="Y3071" s="573">
        <v>24</v>
      </c>
      <c r="Z3071" s="579" t="s">
        <v>178</v>
      </c>
      <c r="AA3071" s="579" t="s">
        <v>178</v>
      </c>
      <c r="AB3071" s="584">
        <v>25095</v>
      </c>
      <c r="AC3071" s="584" t="s">
        <v>164</v>
      </c>
      <c r="AD3071" s="584">
        <v>23227</v>
      </c>
      <c r="AE3071" s="586">
        <v>0.05</v>
      </c>
      <c r="AF3071" s="661" t="str">
        <f t="shared" si="332"/>
        <v>2019-LTK-FRD-RNGR-012-26</v>
      </c>
      <c r="AG3071" s="661" t="str">
        <f>IF(AND($Y3071&gt;=32,(AI3071="I"),(Y3071&lt;&gt;"~"),(COUNTIF($AN$1:$AN3071,$AN3071)=1)),"TRUE","FALSE")</f>
        <v>FALSE</v>
      </c>
      <c r="AH3071" s="661" t="str">
        <f>IF(AND($Y3071&gt;=22, (AI3071&lt;&gt;"I"),(Y3071&lt;&gt;"~"),(COUNTIF($AN$1:$AN3071,$AN3071)=1)),"TRUE","FALSE")</f>
        <v>TRUE</v>
      </c>
      <c r="AI3071" s="661" t="str">
        <f t="shared" si="334"/>
        <v>II</v>
      </c>
      <c r="AJ3071" s="662" t="str">
        <f t="shared" si="328"/>
        <v>RNGR-012</v>
      </c>
      <c r="AK3071" s="662" t="str">
        <f t="shared" si="329"/>
        <v>LTK</v>
      </c>
      <c r="AL3071" s="662" t="str">
        <f t="shared" si="330"/>
        <v>FRD</v>
      </c>
      <c r="AM3071" s="662" t="str">
        <f t="shared" si="333"/>
        <v>Ranger-XL SC 4x2 (Pickup Box Delete)-2WD-4-~-7500-2.3L Ecoboost-4-R1A-100A-127-15.8-Unleaded-Unleaded</v>
      </c>
      <c r="AN3071" s="662" t="str">
        <f t="shared" si="331"/>
        <v>2019-LTK-FRD-RNGR-012</v>
      </c>
    </row>
    <row r="3072" spans="1:40" ht="15">
      <c r="A3072" s="570" t="s">
        <v>5280</v>
      </c>
      <c r="B3072" s="569" t="s">
        <v>5281</v>
      </c>
      <c r="C3072" s="569" t="s">
        <v>287</v>
      </c>
      <c r="D3072" s="580">
        <v>26</v>
      </c>
      <c r="E3072" s="569" t="s">
        <v>3374</v>
      </c>
      <c r="F3072" s="569" t="s">
        <v>211</v>
      </c>
      <c r="G3072" s="569" t="s">
        <v>271</v>
      </c>
      <c r="H3072" s="569">
        <v>2019</v>
      </c>
      <c r="I3072" s="569" t="s">
        <v>5234</v>
      </c>
      <c r="J3072" s="569" t="s">
        <v>5282</v>
      </c>
      <c r="K3072" s="569" t="s">
        <v>3377</v>
      </c>
      <c r="L3072" s="569">
        <v>4</v>
      </c>
      <c r="M3072" s="569">
        <v>0</v>
      </c>
      <c r="N3072" s="569" t="s">
        <v>157</v>
      </c>
      <c r="O3072" s="569">
        <v>2</v>
      </c>
      <c r="P3072" s="569" t="s">
        <v>5240</v>
      </c>
      <c r="Q3072" s="568">
        <v>7500</v>
      </c>
      <c r="R3072" s="569" t="s">
        <v>1245</v>
      </c>
      <c r="S3072" s="569">
        <v>4</v>
      </c>
      <c r="T3072" s="569" t="s">
        <v>5241</v>
      </c>
      <c r="U3072" s="569" t="s">
        <v>276</v>
      </c>
      <c r="V3072" s="569">
        <v>127</v>
      </c>
      <c r="W3072" s="569">
        <v>15.8</v>
      </c>
      <c r="X3072" s="568">
        <v>4145</v>
      </c>
      <c r="Y3072" s="569">
        <v>24</v>
      </c>
      <c r="Z3072" s="581" t="s">
        <v>178</v>
      </c>
      <c r="AA3072" s="581" t="s">
        <v>178</v>
      </c>
      <c r="AB3072" s="585">
        <v>25395</v>
      </c>
      <c r="AC3072" s="585" t="s">
        <v>164</v>
      </c>
      <c r="AD3072" s="585">
        <v>23516</v>
      </c>
      <c r="AE3072" s="587">
        <v>0.05</v>
      </c>
      <c r="AF3072" s="661" t="str">
        <f t="shared" si="332"/>
        <v>2019-LTK-FRD-RNGR-013-26</v>
      </c>
      <c r="AG3072" s="661" t="str">
        <f>IF(AND($Y3072&gt;=32,(AI3072="I"),(Y3072&lt;&gt;"~"),(COUNTIF($AN$1:$AN3072,$AN3072)=1)),"TRUE","FALSE")</f>
        <v>FALSE</v>
      </c>
      <c r="AH3072" s="661" t="str">
        <f>IF(AND($Y3072&gt;=22, (AI3072&lt;&gt;"I"),(Y3072&lt;&gt;"~"),(COUNTIF($AN$1:$AN3072,$AN3072)=1)),"TRUE","FALSE")</f>
        <v>TRUE</v>
      </c>
      <c r="AI3072" s="661" t="str">
        <f t="shared" si="334"/>
        <v>II</v>
      </c>
      <c r="AJ3072" s="662" t="str">
        <f t="shared" si="328"/>
        <v>RNGR-013</v>
      </c>
      <c r="AK3072" s="662" t="str">
        <f t="shared" si="329"/>
        <v>LTK</v>
      </c>
      <c r="AL3072" s="662" t="str">
        <f t="shared" si="330"/>
        <v>FRD</v>
      </c>
      <c r="AM3072" s="662" t="str">
        <f t="shared" si="333"/>
        <v>Ranger-XL SC 4X2 6' Box-2WD-4-6'-7500-2.3L Ecoboost-4-R1E-100A-127-15.8-Unleaded-Unleaded</v>
      </c>
      <c r="AN3072" s="662" t="str">
        <f t="shared" si="331"/>
        <v>2019-LTK-FRD-RNGR-013</v>
      </c>
    </row>
    <row r="3073" spans="1:40" ht="15">
      <c r="A3073" s="570" t="s">
        <v>5283</v>
      </c>
      <c r="B3073" s="573" t="s">
        <v>5284</v>
      </c>
      <c r="C3073" s="573" t="s">
        <v>287</v>
      </c>
      <c r="D3073" s="578">
        <v>26</v>
      </c>
      <c r="E3073" s="573" t="s">
        <v>3374</v>
      </c>
      <c r="F3073" s="573" t="s">
        <v>211</v>
      </c>
      <c r="G3073" s="573" t="s">
        <v>271</v>
      </c>
      <c r="H3073" s="573">
        <v>2019</v>
      </c>
      <c r="I3073" s="573" t="s">
        <v>5234</v>
      </c>
      <c r="J3073" s="573" t="s">
        <v>5285</v>
      </c>
      <c r="K3073" s="573" t="s">
        <v>752</v>
      </c>
      <c r="L3073" s="573">
        <v>4</v>
      </c>
      <c r="M3073" s="573">
        <v>0</v>
      </c>
      <c r="N3073" s="573" t="s">
        <v>157</v>
      </c>
      <c r="O3073" s="573">
        <v>2</v>
      </c>
      <c r="P3073" s="573" t="s">
        <v>5240</v>
      </c>
      <c r="Q3073" s="571">
        <v>7500</v>
      </c>
      <c r="R3073" s="573" t="s">
        <v>1245</v>
      </c>
      <c r="S3073" s="573">
        <v>4</v>
      </c>
      <c r="T3073" s="573" t="s">
        <v>5245</v>
      </c>
      <c r="U3073" s="573" t="s">
        <v>276</v>
      </c>
      <c r="V3073" s="573">
        <v>127</v>
      </c>
      <c r="W3073" s="573">
        <v>15.8</v>
      </c>
      <c r="X3073" s="571">
        <v>4145</v>
      </c>
      <c r="Y3073" s="573">
        <v>24</v>
      </c>
      <c r="Z3073" s="579" t="s">
        <v>178</v>
      </c>
      <c r="AA3073" s="579" t="s">
        <v>178</v>
      </c>
      <c r="AB3073" s="584">
        <v>29555</v>
      </c>
      <c r="AC3073" s="584" t="s">
        <v>164</v>
      </c>
      <c r="AD3073" s="584">
        <v>25271</v>
      </c>
      <c r="AE3073" s="586">
        <v>0.05</v>
      </c>
      <c r="AF3073" s="661" t="str">
        <f t="shared" si="332"/>
        <v>2019-LTK-FRD-RNGR-014-26</v>
      </c>
      <c r="AG3073" s="661" t="str">
        <f>IF(AND($Y3073&gt;=32,(AI3073="I"),(Y3073&lt;&gt;"~"),(COUNTIF($AN$1:$AN3073,$AN3073)=1)),"TRUE","FALSE")</f>
        <v>FALSE</v>
      </c>
      <c r="AH3073" s="661" t="str">
        <f>IF(AND($Y3073&gt;=22, (AI3073&lt;&gt;"I"),(Y3073&lt;&gt;"~"),(COUNTIF($AN$1:$AN3073,$AN3073)=1)),"TRUE","FALSE")</f>
        <v>TRUE</v>
      </c>
      <c r="AI3073" s="661" t="str">
        <f t="shared" si="334"/>
        <v>II</v>
      </c>
      <c r="AJ3073" s="662" t="str">
        <f t="shared" si="328"/>
        <v>RNGR-014</v>
      </c>
      <c r="AK3073" s="662" t="str">
        <f t="shared" si="329"/>
        <v>LTK</v>
      </c>
      <c r="AL3073" s="662" t="str">
        <f t="shared" si="330"/>
        <v>FRD</v>
      </c>
      <c r="AM3073" s="662" t="str">
        <f t="shared" si="333"/>
        <v>Ranger-XL SC 4X4 6' Box-4WD-4-6'-7500-2.3L Ecoboost-4-R1F-100A-127-15.8-Unleaded-Unleaded</v>
      </c>
      <c r="AN3073" s="662" t="str">
        <f t="shared" si="331"/>
        <v>2019-LTK-FRD-RNGR-014</v>
      </c>
    </row>
    <row r="3074" spans="1:40" ht="15">
      <c r="A3074" s="570" t="s">
        <v>5286</v>
      </c>
      <c r="B3074" s="569" t="s">
        <v>5287</v>
      </c>
      <c r="C3074" s="569" t="s">
        <v>287</v>
      </c>
      <c r="D3074" s="580">
        <v>26</v>
      </c>
      <c r="E3074" s="569" t="s">
        <v>3374</v>
      </c>
      <c r="F3074" s="569" t="s">
        <v>211</v>
      </c>
      <c r="G3074" s="569" t="s">
        <v>271</v>
      </c>
      <c r="H3074" s="569">
        <v>2019</v>
      </c>
      <c r="I3074" s="569" t="s">
        <v>5234</v>
      </c>
      <c r="J3074" s="569" t="s">
        <v>5288</v>
      </c>
      <c r="K3074" s="569" t="s">
        <v>3377</v>
      </c>
      <c r="L3074" s="569">
        <v>5</v>
      </c>
      <c r="M3074" s="569">
        <v>0</v>
      </c>
      <c r="N3074" s="569" t="s">
        <v>157</v>
      </c>
      <c r="O3074" s="569">
        <v>2</v>
      </c>
      <c r="P3074" s="569" t="s">
        <v>5257</v>
      </c>
      <c r="Q3074" s="568">
        <v>7500</v>
      </c>
      <c r="R3074" s="569" t="s">
        <v>1245</v>
      </c>
      <c r="S3074" s="569">
        <v>4</v>
      </c>
      <c r="T3074" s="569" t="s">
        <v>5258</v>
      </c>
      <c r="U3074" s="569" t="s">
        <v>318</v>
      </c>
      <c r="V3074" s="569">
        <v>127</v>
      </c>
      <c r="W3074" s="569">
        <v>15.8</v>
      </c>
      <c r="X3074" s="568">
        <v>4232</v>
      </c>
      <c r="Y3074" s="569">
        <v>22</v>
      </c>
      <c r="Z3074" s="581" t="s">
        <v>178</v>
      </c>
      <c r="AA3074" s="581" t="s">
        <v>178</v>
      </c>
      <c r="AB3074" s="585">
        <v>31210</v>
      </c>
      <c r="AC3074" s="585" t="s">
        <v>164</v>
      </c>
      <c r="AD3074" s="585">
        <v>27721</v>
      </c>
      <c r="AE3074" s="587">
        <v>0.05</v>
      </c>
      <c r="AF3074" s="661" t="str">
        <f t="shared" si="332"/>
        <v>2019-LTK-FRD-RNGR-015-26</v>
      </c>
      <c r="AG3074" s="661" t="str">
        <f>IF(AND($Y3074&gt;=32,(AI3074="I"),(Y3074&lt;&gt;"~"),(COUNTIF($AN$1:$AN3074,$AN3074)=1)),"TRUE","FALSE")</f>
        <v>FALSE</v>
      </c>
      <c r="AH3074" s="661" t="str">
        <f>IF(AND($Y3074&gt;=22, (AI3074&lt;&gt;"I"),(Y3074&lt;&gt;"~"),(COUNTIF($AN$1:$AN3074,$AN3074)=1)),"TRUE","FALSE")</f>
        <v>TRUE</v>
      </c>
      <c r="AI3074" s="661" t="str">
        <f t="shared" si="334"/>
        <v>II</v>
      </c>
      <c r="AJ3074" s="662" t="str">
        <f t="shared" si="328"/>
        <v>RNGR-015</v>
      </c>
      <c r="AK3074" s="662" t="str">
        <f t="shared" si="329"/>
        <v>LTK</v>
      </c>
      <c r="AL3074" s="662" t="str">
        <f t="shared" si="330"/>
        <v>FRD</v>
      </c>
      <c r="AM3074" s="662" t="str">
        <f t="shared" si="333"/>
        <v>Ranger-XLT CC 4X2 5' Box-2WD-5-5'-7500-2.3L Ecoboost-4-R4E-300A-127-15.8-Unleaded-Unleaded</v>
      </c>
      <c r="AN3074" s="662" t="str">
        <f t="shared" si="331"/>
        <v>2019-LTK-FRD-RNGR-015</v>
      </c>
    </row>
    <row r="3075" spans="1:40" ht="15">
      <c r="A3075" s="570" t="s">
        <v>5289</v>
      </c>
      <c r="B3075" s="573" t="s">
        <v>5290</v>
      </c>
      <c r="C3075" s="573" t="s">
        <v>287</v>
      </c>
      <c r="D3075" s="578">
        <v>26</v>
      </c>
      <c r="E3075" s="573" t="s">
        <v>3374</v>
      </c>
      <c r="F3075" s="573" t="s">
        <v>211</v>
      </c>
      <c r="G3075" s="573" t="s">
        <v>271</v>
      </c>
      <c r="H3075" s="573">
        <v>2019</v>
      </c>
      <c r="I3075" s="573" t="s">
        <v>5234</v>
      </c>
      <c r="J3075" s="573" t="s">
        <v>5291</v>
      </c>
      <c r="K3075" s="573" t="s">
        <v>752</v>
      </c>
      <c r="L3075" s="573">
        <v>5</v>
      </c>
      <c r="M3075" s="573">
        <v>0</v>
      </c>
      <c r="N3075" s="573" t="s">
        <v>157</v>
      </c>
      <c r="O3075" s="573">
        <v>2</v>
      </c>
      <c r="P3075" s="573" t="s">
        <v>5257</v>
      </c>
      <c r="Q3075" s="571">
        <v>7500</v>
      </c>
      <c r="R3075" s="573" t="s">
        <v>1245</v>
      </c>
      <c r="S3075" s="573">
        <v>4</v>
      </c>
      <c r="T3075" s="573" t="s">
        <v>5262</v>
      </c>
      <c r="U3075" s="573" t="s">
        <v>318</v>
      </c>
      <c r="V3075" s="573">
        <v>127</v>
      </c>
      <c r="W3075" s="573">
        <v>15.8</v>
      </c>
      <c r="X3075" s="571">
        <v>4232</v>
      </c>
      <c r="Y3075" s="573">
        <v>22</v>
      </c>
      <c r="Z3075" s="579" t="s">
        <v>178</v>
      </c>
      <c r="AA3075" s="579" t="s">
        <v>178</v>
      </c>
      <c r="AB3075" s="584">
        <v>35210</v>
      </c>
      <c r="AC3075" s="584" t="s">
        <v>164</v>
      </c>
      <c r="AD3075" s="584">
        <v>30351</v>
      </c>
      <c r="AE3075" s="586">
        <v>0.05</v>
      </c>
      <c r="AF3075" s="661" t="str">
        <f t="shared" si="332"/>
        <v>2019-LTK-FRD-RNGR-016-26</v>
      </c>
      <c r="AG3075" s="661" t="str">
        <f>IF(AND($Y3075&gt;=32,(AI3075="I"),(Y3075&lt;&gt;"~"),(COUNTIF($AN$1:$AN3075,$AN3075)=1)),"TRUE","FALSE")</f>
        <v>FALSE</v>
      </c>
      <c r="AH3075" s="661" t="str">
        <f>IF(AND($Y3075&gt;=22, (AI3075&lt;&gt;"I"),(Y3075&lt;&gt;"~"),(COUNTIF($AN$1:$AN3075,$AN3075)=1)),"TRUE","FALSE")</f>
        <v>TRUE</v>
      </c>
      <c r="AI3075" s="661" t="str">
        <f t="shared" si="334"/>
        <v>II</v>
      </c>
      <c r="AJ3075" s="662" t="str">
        <f t="shared" ref="AJ3075:AJ3138" si="335">MID(A3075,14,8)</f>
        <v>RNGR-016</v>
      </c>
      <c r="AK3075" s="662" t="str">
        <f t="shared" ref="AK3075:AK3138" si="336">MID(A3075,6,3)</f>
        <v>LTK</v>
      </c>
      <c r="AL3075" s="662" t="str">
        <f t="shared" ref="AL3075:AL3138" si="337">MID(A3075,10,3)</f>
        <v>FRD</v>
      </c>
      <c r="AM3075" s="662" t="str">
        <f t="shared" si="333"/>
        <v>Ranger-XLT CC 4X4 5' Box-4WD-5-5'-7500-2.3L Ecoboost-4-R4F-300A-127-15.8-Unleaded-Unleaded</v>
      </c>
      <c r="AN3075" s="662" t="str">
        <f t="shared" ref="AN3075:AN3138" si="338">LEFT(A3075,21)</f>
        <v>2019-LTK-FRD-RNGR-016</v>
      </c>
    </row>
    <row r="3076" spans="1:40" ht="15">
      <c r="A3076" s="570" t="s">
        <v>5292</v>
      </c>
      <c r="B3076" s="569" t="s">
        <v>5293</v>
      </c>
      <c r="C3076" s="569" t="s">
        <v>287</v>
      </c>
      <c r="D3076" s="580">
        <v>26</v>
      </c>
      <c r="E3076" s="569" t="s">
        <v>3374</v>
      </c>
      <c r="F3076" s="569" t="s">
        <v>211</v>
      </c>
      <c r="G3076" s="569" t="s">
        <v>271</v>
      </c>
      <c r="H3076" s="569">
        <v>2019</v>
      </c>
      <c r="I3076" s="569" t="s">
        <v>5234</v>
      </c>
      <c r="J3076" s="569" t="s">
        <v>5294</v>
      </c>
      <c r="K3076" s="569" t="s">
        <v>3377</v>
      </c>
      <c r="L3076" s="569">
        <v>4</v>
      </c>
      <c r="M3076" s="569">
        <v>0</v>
      </c>
      <c r="N3076" s="569" t="s">
        <v>157</v>
      </c>
      <c r="O3076" s="569">
        <v>2</v>
      </c>
      <c r="P3076" s="569" t="s">
        <v>5240</v>
      </c>
      <c r="Q3076" s="568">
        <v>7500</v>
      </c>
      <c r="R3076" s="569" t="s">
        <v>1245</v>
      </c>
      <c r="S3076" s="569">
        <v>4</v>
      </c>
      <c r="T3076" s="569" t="s">
        <v>5241</v>
      </c>
      <c r="U3076" s="569" t="s">
        <v>318</v>
      </c>
      <c r="V3076" s="569">
        <v>127</v>
      </c>
      <c r="W3076" s="569">
        <v>15.8</v>
      </c>
      <c r="X3076" s="568">
        <v>4145</v>
      </c>
      <c r="Y3076" s="569">
        <v>24</v>
      </c>
      <c r="Z3076" s="581" t="s">
        <v>178</v>
      </c>
      <c r="AA3076" s="581" t="s">
        <v>178</v>
      </c>
      <c r="AB3076" s="585">
        <v>29035</v>
      </c>
      <c r="AC3076" s="585" t="s">
        <v>164</v>
      </c>
      <c r="AD3076" s="585">
        <v>26722</v>
      </c>
      <c r="AE3076" s="587">
        <v>0.05</v>
      </c>
      <c r="AF3076" s="661" t="str">
        <f t="shared" si="332"/>
        <v>2019-LTK-FRD-RNGR-017-26</v>
      </c>
      <c r="AG3076" s="661" t="str">
        <f>IF(AND($Y3076&gt;=32,(AI3076="I"),(Y3076&lt;&gt;"~"),(COUNTIF($AN$1:$AN3076,$AN3076)=1)),"TRUE","FALSE")</f>
        <v>FALSE</v>
      </c>
      <c r="AH3076" s="661" t="str">
        <f>IF(AND($Y3076&gt;=22, (AI3076&lt;&gt;"I"),(Y3076&lt;&gt;"~"),(COUNTIF($AN$1:$AN3076,$AN3076)=1)),"TRUE","FALSE")</f>
        <v>TRUE</v>
      </c>
      <c r="AI3076" s="661" t="str">
        <f t="shared" si="334"/>
        <v>II</v>
      </c>
      <c r="AJ3076" s="662" t="str">
        <f t="shared" si="335"/>
        <v>RNGR-017</v>
      </c>
      <c r="AK3076" s="662" t="str">
        <f t="shared" si="336"/>
        <v>LTK</v>
      </c>
      <c r="AL3076" s="662" t="str">
        <f t="shared" si="337"/>
        <v>FRD</v>
      </c>
      <c r="AM3076" s="662" t="str">
        <f t="shared" si="333"/>
        <v>Ranger-XLT SC 4X2 6' Box-2WD-4-6'-7500-2.3L Ecoboost-4-R1E-300A-127-15.8-Unleaded-Unleaded</v>
      </c>
      <c r="AN3076" s="662" t="str">
        <f t="shared" si="338"/>
        <v>2019-LTK-FRD-RNGR-017</v>
      </c>
    </row>
    <row r="3077" spans="1:40" ht="15">
      <c r="A3077" s="570" t="s">
        <v>5295</v>
      </c>
      <c r="B3077" s="573" t="s">
        <v>5296</v>
      </c>
      <c r="C3077" s="573" t="s">
        <v>287</v>
      </c>
      <c r="D3077" s="578">
        <v>26</v>
      </c>
      <c r="E3077" s="573" t="s">
        <v>3374</v>
      </c>
      <c r="F3077" s="573" t="s">
        <v>211</v>
      </c>
      <c r="G3077" s="573" t="s">
        <v>271</v>
      </c>
      <c r="H3077" s="573">
        <v>2019</v>
      </c>
      <c r="I3077" s="573" t="s">
        <v>5234</v>
      </c>
      <c r="J3077" s="573" t="s">
        <v>5297</v>
      </c>
      <c r="K3077" s="573" t="s">
        <v>752</v>
      </c>
      <c r="L3077" s="573">
        <v>4</v>
      </c>
      <c r="M3077" s="573">
        <v>0</v>
      </c>
      <c r="N3077" s="573" t="s">
        <v>157</v>
      </c>
      <c r="O3077" s="573">
        <v>2</v>
      </c>
      <c r="P3077" s="573" t="s">
        <v>5240</v>
      </c>
      <c r="Q3077" s="571">
        <v>7500</v>
      </c>
      <c r="R3077" s="573" t="s">
        <v>1245</v>
      </c>
      <c r="S3077" s="573">
        <v>4</v>
      </c>
      <c r="T3077" s="573" t="s">
        <v>5245</v>
      </c>
      <c r="U3077" s="573" t="s">
        <v>318</v>
      </c>
      <c r="V3077" s="573">
        <v>127</v>
      </c>
      <c r="W3077" s="573">
        <v>15.8</v>
      </c>
      <c r="X3077" s="571">
        <v>4145</v>
      </c>
      <c r="Y3077" s="573">
        <v>22</v>
      </c>
      <c r="Z3077" s="579" t="s">
        <v>178</v>
      </c>
      <c r="AA3077" s="579" t="s">
        <v>178</v>
      </c>
      <c r="AB3077" s="584">
        <v>33035</v>
      </c>
      <c r="AC3077" s="584" t="s">
        <v>164</v>
      </c>
      <c r="AD3077" s="584">
        <v>28279</v>
      </c>
      <c r="AE3077" s="586">
        <v>0.05</v>
      </c>
      <c r="AF3077" s="661" t="str">
        <f t="shared" si="332"/>
        <v>2019-LTK-FRD-RNGR-018-26</v>
      </c>
      <c r="AG3077" s="661" t="str">
        <f>IF(AND($Y3077&gt;=32,(AI3077="I"),(Y3077&lt;&gt;"~"),(COUNTIF($AN$1:$AN3077,$AN3077)=1)),"TRUE","FALSE")</f>
        <v>FALSE</v>
      </c>
      <c r="AH3077" s="661" t="str">
        <f>IF(AND($Y3077&gt;=22, (AI3077&lt;&gt;"I"),(Y3077&lt;&gt;"~"),(COUNTIF($AN$1:$AN3077,$AN3077)=1)),"TRUE","FALSE")</f>
        <v>TRUE</v>
      </c>
      <c r="AI3077" s="661" t="str">
        <f t="shared" si="334"/>
        <v>II</v>
      </c>
      <c r="AJ3077" s="662" t="str">
        <f t="shared" si="335"/>
        <v>RNGR-018</v>
      </c>
      <c r="AK3077" s="662" t="str">
        <f t="shared" si="336"/>
        <v>LTK</v>
      </c>
      <c r="AL3077" s="662" t="str">
        <f t="shared" si="337"/>
        <v>FRD</v>
      </c>
      <c r="AM3077" s="662" t="str">
        <f t="shared" si="333"/>
        <v>Ranger-XLT SC 4X4 6' Box-4WD-4-6'-7500-2.3L Ecoboost-4-R1F-300A-127-15.8-Unleaded-Unleaded</v>
      </c>
      <c r="AN3077" s="662" t="str">
        <f t="shared" si="338"/>
        <v>2019-LTK-FRD-RNGR-018</v>
      </c>
    </row>
    <row r="3078" spans="1:40" ht="15">
      <c r="A3078" s="570" t="s">
        <v>5298</v>
      </c>
      <c r="B3078" s="569" t="s">
        <v>5299</v>
      </c>
      <c r="C3078" s="569" t="s">
        <v>467</v>
      </c>
      <c r="D3078" s="580" t="s">
        <v>468</v>
      </c>
      <c r="E3078" s="569" t="s">
        <v>3374</v>
      </c>
      <c r="F3078" s="569" t="s">
        <v>211</v>
      </c>
      <c r="G3078" s="569" t="s">
        <v>469</v>
      </c>
      <c r="H3078" s="569">
        <v>2019</v>
      </c>
      <c r="I3078" s="569" t="s">
        <v>5300</v>
      </c>
      <c r="J3078" s="569" t="s">
        <v>5301</v>
      </c>
      <c r="K3078" s="569" t="s">
        <v>3377</v>
      </c>
      <c r="L3078" s="569">
        <v>5</v>
      </c>
      <c r="M3078" s="569">
        <v>0</v>
      </c>
      <c r="N3078" s="569" t="s">
        <v>157</v>
      </c>
      <c r="O3078" s="569">
        <v>2</v>
      </c>
      <c r="P3078" s="569" t="s">
        <v>5302</v>
      </c>
      <c r="Q3078" s="568">
        <v>3500</v>
      </c>
      <c r="R3078" s="569" t="s">
        <v>316</v>
      </c>
      <c r="S3078" s="569">
        <v>6</v>
      </c>
      <c r="T3078" s="569" t="s">
        <v>5303</v>
      </c>
      <c r="U3078" s="569" t="s">
        <v>157</v>
      </c>
      <c r="V3078" s="569">
        <v>125.2</v>
      </c>
      <c r="W3078" s="569">
        <v>19.5</v>
      </c>
      <c r="X3078" s="568">
        <v>5710</v>
      </c>
      <c r="Y3078" s="569">
        <v>22</v>
      </c>
      <c r="Z3078" s="581" t="s">
        <v>178</v>
      </c>
      <c r="AA3078" s="581" t="s">
        <v>178</v>
      </c>
      <c r="AB3078" s="585">
        <v>30985</v>
      </c>
      <c r="AC3078" s="585" t="s">
        <v>164</v>
      </c>
      <c r="AD3078" s="585">
        <v>30139</v>
      </c>
      <c r="AE3078" s="587">
        <v>0.03</v>
      </c>
      <c r="AF3078" s="661" t="str">
        <f t="shared" si="332"/>
        <v>2019-LTK-HND-RDGL-001-06</v>
      </c>
      <c r="AG3078" s="661" t="str">
        <f>IF(AND($Y3078&gt;=32,(AI3078="I"),(Y3078&lt;&gt;"~"),(COUNTIF($AN$1:$AN3078,$AN3078)=1)),"TRUE","FALSE")</f>
        <v>FALSE</v>
      </c>
      <c r="AH3078" s="661" t="str">
        <f>IF(AND($Y3078&gt;=22, (AI3078&lt;&gt;"I"),(Y3078&lt;&gt;"~"),(COUNTIF($AN$1:$AN3078,$AN3078)=1)),"TRUE","FALSE")</f>
        <v>TRUE</v>
      </c>
      <c r="AI3078" s="661" t="str">
        <f t="shared" si="334"/>
        <v>II</v>
      </c>
      <c r="AJ3078" s="662" t="str">
        <f t="shared" si="335"/>
        <v>RDGL-001</v>
      </c>
      <c r="AK3078" s="662" t="str">
        <f t="shared" si="336"/>
        <v>LTK</v>
      </c>
      <c r="AL3078" s="662" t="str">
        <f t="shared" si="337"/>
        <v>HND</v>
      </c>
      <c r="AM3078" s="662" t="str">
        <f t="shared" si="333"/>
        <v>Ridgeline-RT-2WD-5-5'4"-3500-3.5L-6-YK2F2KEW-~-125.2-19.5-Unleaded-Unleaded</v>
      </c>
      <c r="AN3078" s="662" t="str">
        <f t="shared" si="338"/>
        <v>2019-LTK-HND-RDGL-001</v>
      </c>
    </row>
    <row r="3079" spans="1:40" ht="15">
      <c r="A3079" s="570" t="s">
        <v>5304</v>
      </c>
      <c r="B3079" s="573" t="s">
        <v>5305</v>
      </c>
      <c r="C3079" s="573" t="s">
        <v>467</v>
      </c>
      <c r="D3079" s="578" t="s">
        <v>468</v>
      </c>
      <c r="E3079" s="573" t="s">
        <v>3374</v>
      </c>
      <c r="F3079" s="573" t="s">
        <v>211</v>
      </c>
      <c r="G3079" s="573" t="s">
        <v>469</v>
      </c>
      <c r="H3079" s="573">
        <v>2019</v>
      </c>
      <c r="I3079" s="573" t="s">
        <v>5300</v>
      </c>
      <c r="J3079" s="573" t="s">
        <v>5306</v>
      </c>
      <c r="K3079" s="573" t="s">
        <v>752</v>
      </c>
      <c r="L3079" s="573">
        <v>5</v>
      </c>
      <c r="M3079" s="573">
        <v>0</v>
      </c>
      <c r="N3079" s="573" t="s">
        <v>157</v>
      </c>
      <c r="O3079" s="573">
        <v>2</v>
      </c>
      <c r="P3079" s="573" t="s">
        <v>5302</v>
      </c>
      <c r="Q3079" s="571">
        <v>3500</v>
      </c>
      <c r="R3079" s="573" t="s">
        <v>316</v>
      </c>
      <c r="S3079" s="573">
        <v>6</v>
      </c>
      <c r="T3079" s="573" t="s">
        <v>5307</v>
      </c>
      <c r="U3079" s="573" t="s">
        <v>157</v>
      </c>
      <c r="V3079" s="573">
        <v>125.2</v>
      </c>
      <c r="W3079" s="573">
        <v>19.5</v>
      </c>
      <c r="X3079" s="571">
        <v>6019</v>
      </c>
      <c r="Y3079" s="573">
        <v>21</v>
      </c>
      <c r="Z3079" s="579" t="s">
        <v>178</v>
      </c>
      <c r="AA3079" s="579" t="s">
        <v>178</v>
      </c>
      <c r="AB3079" s="584">
        <v>37765</v>
      </c>
      <c r="AC3079" s="584" t="s">
        <v>164</v>
      </c>
      <c r="AD3079" s="584">
        <v>36379</v>
      </c>
      <c r="AE3079" s="586">
        <v>0.03</v>
      </c>
      <c r="AF3079" s="661" t="str">
        <f t="shared" si="332"/>
        <v>2019-LTK-HND-RDGL-004-06</v>
      </c>
      <c r="AG3079" s="661" t="str">
        <f>IF(AND($Y3079&gt;=32,(AI3079="I"),(Y3079&lt;&gt;"~"),(COUNTIF($AN$1:$AN3079,$AN3079)=1)),"TRUE","FALSE")</f>
        <v>FALSE</v>
      </c>
      <c r="AH3079" s="661" t="str">
        <f>IF(AND($Y3079&gt;=22, (AI3079&lt;&gt;"I"),(Y3079&lt;&gt;"~"),(COUNTIF($AN$1:$AN3079,$AN3079)=1)),"TRUE","FALSE")</f>
        <v>FALSE</v>
      </c>
      <c r="AI3079" s="661" t="str">
        <f t="shared" si="334"/>
        <v>II</v>
      </c>
      <c r="AJ3079" s="662" t="str">
        <f t="shared" si="335"/>
        <v>RDGL-004</v>
      </c>
      <c r="AK3079" s="662" t="str">
        <f t="shared" si="336"/>
        <v>LTK</v>
      </c>
      <c r="AL3079" s="662" t="str">
        <f t="shared" si="337"/>
        <v>HND</v>
      </c>
      <c r="AM3079" s="662" t="str">
        <f t="shared" si="333"/>
        <v>Ridgeline-RTL-4WD-5-5'4"-3500-3.5L-6-YK3F5KJNW-~-125.2-19.5-Unleaded-Unleaded</v>
      </c>
      <c r="AN3079" s="662" t="str">
        <f t="shared" si="338"/>
        <v>2019-LTK-HND-RDGL-004</v>
      </c>
    </row>
    <row r="3080" spans="1:40" ht="15">
      <c r="A3080" s="570" t="s">
        <v>5308</v>
      </c>
      <c r="B3080" s="569" t="s">
        <v>5305</v>
      </c>
      <c r="C3080" s="569" t="s">
        <v>473</v>
      </c>
      <c r="D3080" s="580">
        <v>14</v>
      </c>
      <c r="E3080" s="569" t="s">
        <v>3374</v>
      </c>
      <c r="F3080" s="569" t="s">
        <v>211</v>
      </c>
      <c r="G3080" s="569" t="s">
        <v>469</v>
      </c>
      <c r="H3080" s="569">
        <v>2019</v>
      </c>
      <c r="I3080" s="569" t="s">
        <v>5300</v>
      </c>
      <c r="J3080" s="569" t="s">
        <v>5306</v>
      </c>
      <c r="K3080" s="569" t="s">
        <v>752</v>
      </c>
      <c r="L3080" s="569">
        <v>5</v>
      </c>
      <c r="M3080" s="569">
        <v>0</v>
      </c>
      <c r="N3080" s="569" t="s">
        <v>157</v>
      </c>
      <c r="O3080" s="569">
        <v>2</v>
      </c>
      <c r="P3080" s="569" t="s">
        <v>5302</v>
      </c>
      <c r="Q3080" s="568">
        <v>5000</v>
      </c>
      <c r="R3080" s="569" t="s">
        <v>316</v>
      </c>
      <c r="S3080" s="569">
        <v>6</v>
      </c>
      <c r="T3080" s="569" t="s">
        <v>5307</v>
      </c>
      <c r="U3080" s="569" t="s">
        <v>157</v>
      </c>
      <c r="V3080" s="569">
        <v>125.2</v>
      </c>
      <c r="W3080" s="569">
        <v>19.5</v>
      </c>
      <c r="X3080" s="568">
        <v>6019</v>
      </c>
      <c r="Y3080" s="569">
        <v>21</v>
      </c>
      <c r="Z3080" s="581" t="s">
        <v>178</v>
      </c>
      <c r="AA3080" s="581" t="s">
        <v>178</v>
      </c>
      <c r="AB3080" s="585">
        <v>37765</v>
      </c>
      <c r="AC3080" s="585" t="s">
        <v>164</v>
      </c>
      <c r="AD3080" s="585">
        <v>35300</v>
      </c>
      <c r="AE3080" s="587">
        <v>0.1</v>
      </c>
      <c r="AF3080" s="661" t="str">
        <f t="shared" si="332"/>
        <v>2019-LTK-HND-RDGL-004-14</v>
      </c>
      <c r="AG3080" s="661" t="str">
        <f>IF(AND($Y3080&gt;=32,(AI3080="I"),(Y3080&lt;&gt;"~"),(COUNTIF($AN$1:$AN3080,$AN3080)=1)),"TRUE","FALSE")</f>
        <v>FALSE</v>
      </c>
      <c r="AH3080" s="661" t="str">
        <f>IF(AND($Y3080&gt;=22, (AI3080&lt;&gt;"I"),(Y3080&lt;&gt;"~"),(COUNTIF($AN$1:$AN3080,$AN3080)=1)),"TRUE","FALSE")</f>
        <v>FALSE</v>
      </c>
      <c r="AI3080" s="661" t="str">
        <f t="shared" si="334"/>
        <v>II</v>
      </c>
      <c r="AJ3080" s="662" t="str">
        <f t="shared" si="335"/>
        <v>RDGL-004</v>
      </c>
      <c r="AK3080" s="662" t="str">
        <f t="shared" si="336"/>
        <v>LTK</v>
      </c>
      <c r="AL3080" s="662" t="str">
        <f t="shared" si="337"/>
        <v>HND</v>
      </c>
      <c r="AM3080" s="662" t="str">
        <f t="shared" si="333"/>
        <v>Ridgeline-RTL-4WD-5-5'4"-5000-3.5L-6-YK3F5KJNW-~-125.2-19.5-Unleaded-Unleaded</v>
      </c>
      <c r="AN3080" s="662" t="str">
        <f t="shared" si="338"/>
        <v>2019-LTK-HND-RDGL-004</v>
      </c>
    </row>
    <row r="3081" spans="1:40" ht="15">
      <c r="A3081" s="570" t="s">
        <v>5309</v>
      </c>
      <c r="B3081" s="573" t="s">
        <v>5310</v>
      </c>
      <c r="C3081" s="573" t="s">
        <v>467</v>
      </c>
      <c r="D3081" s="578" t="s">
        <v>468</v>
      </c>
      <c r="E3081" s="573" t="s">
        <v>3374</v>
      </c>
      <c r="F3081" s="573" t="s">
        <v>211</v>
      </c>
      <c r="G3081" s="573" t="s">
        <v>469</v>
      </c>
      <c r="H3081" s="573">
        <v>2019</v>
      </c>
      <c r="I3081" s="573" t="s">
        <v>5300</v>
      </c>
      <c r="J3081" s="573" t="s">
        <v>409</v>
      </c>
      <c r="K3081" s="573" t="s">
        <v>752</v>
      </c>
      <c r="L3081" s="573">
        <v>5</v>
      </c>
      <c r="M3081" s="573">
        <v>0</v>
      </c>
      <c r="N3081" s="573" t="s">
        <v>157</v>
      </c>
      <c r="O3081" s="573">
        <v>2</v>
      </c>
      <c r="P3081" s="573" t="s">
        <v>5302</v>
      </c>
      <c r="Q3081" s="571">
        <v>5000</v>
      </c>
      <c r="R3081" s="573" t="s">
        <v>316</v>
      </c>
      <c r="S3081" s="573">
        <v>6</v>
      </c>
      <c r="T3081" s="573" t="s">
        <v>5311</v>
      </c>
      <c r="U3081" s="573" t="s">
        <v>157</v>
      </c>
      <c r="V3081" s="573">
        <v>125.2</v>
      </c>
      <c r="W3081" s="573">
        <v>19.5</v>
      </c>
      <c r="X3081" s="571">
        <v>6019</v>
      </c>
      <c r="Y3081" s="573">
        <v>21</v>
      </c>
      <c r="Z3081" s="579" t="s">
        <v>178</v>
      </c>
      <c r="AA3081" s="579" t="s">
        <v>178</v>
      </c>
      <c r="AB3081" s="584">
        <v>36285</v>
      </c>
      <c r="AC3081" s="584" t="s">
        <v>164</v>
      </c>
      <c r="AD3081" s="584">
        <v>35009</v>
      </c>
      <c r="AE3081" s="586">
        <v>0.03</v>
      </c>
      <c r="AF3081" s="661" t="str">
        <f t="shared" si="332"/>
        <v>2019-LTK-HND-RDGL-003-06</v>
      </c>
      <c r="AG3081" s="661" t="str">
        <f>IF(AND($Y3081&gt;=32,(AI3081="I"),(Y3081&lt;&gt;"~"),(COUNTIF($AN$1:$AN3081,$AN3081)=1)),"TRUE","FALSE")</f>
        <v>FALSE</v>
      </c>
      <c r="AH3081" s="661" t="str">
        <f>IF(AND($Y3081&gt;=22, (AI3081&lt;&gt;"I"),(Y3081&lt;&gt;"~"),(COUNTIF($AN$1:$AN3081,$AN3081)=1)),"TRUE","FALSE")</f>
        <v>FALSE</v>
      </c>
      <c r="AI3081" s="661" t="str">
        <f t="shared" si="334"/>
        <v>II</v>
      </c>
      <c r="AJ3081" s="662" t="str">
        <f t="shared" si="335"/>
        <v>RDGL-003</v>
      </c>
      <c r="AK3081" s="662" t="str">
        <f t="shared" si="336"/>
        <v>LTK</v>
      </c>
      <c r="AL3081" s="662" t="str">
        <f t="shared" si="337"/>
        <v>HND</v>
      </c>
      <c r="AM3081" s="662" t="str">
        <f t="shared" si="333"/>
        <v>Ridgeline-Sport-4WD-5-5'4"-5000-3.5L-6-YK3F1KEW-~-125.2-19.5-Unleaded-Unleaded</v>
      </c>
      <c r="AN3081" s="662" t="str">
        <f t="shared" si="338"/>
        <v>2019-LTK-HND-RDGL-003</v>
      </c>
    </row>
    <row r="3082" spans="1:40" ht="15">
      <c r="A3082" s="570" t="s">
        <v>5312</v>
      </c>
      <c r="B3082" s="569" t="s">
        <v>5310</v>
      </c>
      <c r="C3082" s="569" t="s">
        <v>473</v>
      </c>
      <c r="D3082" s="580">
        <v>14</v>
      </c>
      <c r="E3082" s="569" t="s">
        <v>3374</v>
      </c>
      <c r="F3082" s="569" t="s">
        <v>211</v>
      </c>
      <c r="G3082" s="569" t="s">
        <v>469</v>
      </c>
      <c r="H3082" s="569">
        <v>2019</v>
      </c>
      <c r="I3082" s="569" t="s">
        <v>5300</v>
      </c>
      <c r="J3082" s="569" t="s">
        <v>409</v>
      </c>
      <c r="K3082" s="569" t="s">
        <v>752</v>
      </c>
      <c r="L3082" s="569">
        <v>5</v>
      </c>
      <c r="M3082" s="569">
        <v>0</v>
      </c>
      <c r="N3082" s="569" t="s">
        <v>157</v>
      </c>
      <c r="O3082" s="569">
        <v>2</v>
      </c>
      <c r="P3082" s="569" t="s">
        <v>5313</v>
      </c>
      <c r="Q3082" s="568">
        <v>5000</v>
      </c>
      <c r="R3082" s="569" t="s">
        <v>316</v>
      </c>
      <c r="S3082" s="569">
        <v>6</v>
      </c>
      <c r="T3082" s="569" t="s">
        <v>5311</v>
      </c>
      <c r="U3082" s="569" t="s">
        <v>157</v>
      </c>
      <c r="V3082" s="569">
        <v>125.2</v>
      </c>
      <c r="W3082" s="569">
        <v>19.5</v>
      </c>
      <c r="X3082" s="568">
        <v>6019</v>
      </c>
      <c r="Y3082" s="569">
        <v>21</v>
      </c>
      <c r="Z3082" s="581" t="s">
        <v>178</v>
      </c>
      <c r="AA3082" s="581" t="s">
        <v>178</v>
      </c>
      <c r="AB3082" s="585">
        <v>36285</v>
      </c>
      <c r="AC3082" s="585" t="s">
        <v>164</v>
      </c>
      <c r="AD3082" s="585">
        <v>34100</v>
      </c>
      <c r="AE3082" s="587">
        <v>0.1</v>
      </c>
      <c r="AF3082" s="661" t="str">
        <f t="shared" si="332"/>
        <v>2019-LTK-HND-RDGL-003-14</v>
      </c>
      <c r="AG3082" s="661" t="str">
        <f>IF(AND($Y3082&gt;=32,(AI3082="I"),(Y3082&lt;&gt;"~"),(COUNTIF($AN$1:$AN3082,$AN3082)=1)),"TRUE","FALSE")</f>
        <v>FALSE</v>
      </c>
      <c r="AH3082" s="661" t="str">
        <f>IF(AND($Y3082&gt;=22, (AI3082&lt;&gt;"I"),(Y3082&lt;&gt;"~"),(COUNTIF($AN$1:$AN3082,$AN3082)=1)),"TRUE","FALSE")</f>
        <v>FALSE</v>
      </c>
      <c r="AI3082" s="661" t="str">
        <f t="shared" si="334"/>
        <v>II</v>
      </c>
      <c r="AJ3082" s="662" t="str">
        <f t="shared" si="335"/>
        <v>RDGL-003</v>
      </c>
      <c r="AK3082" s="662" t="str">
        <f t="shared" si="336"/>
        <v>LTK</v>
      </c>
      <c r="AL3082" s="662" t="str">
        <f t="shared" si="337"/>
        <v>HND</v>
      </c>
      <c r="AM3082" s="662" t="str">
        <f t="shared" si="333"/>
        <v>Ridgeline-Sport-4WD-5-5'4-5000-3.5L-6-YK3F1KEW-~-125.2-19.5-Unleaded-Unleaded</v>
      </c>
      <c r="AN3082" s="662" t="str">
        <f t="shared" si="338"/>
        <v>2019-LTK-HND-RDGL-003</v>
      </c>
    </row>
    <row r="3083" spans="1:40" ht="30">
      <c r="A3083" s="570" t="s">
        <v>5314</v>
      </c>
      <c r="B3083" s="573" t="s">
        <v>5315</v>
      </c>
      <c r="C3083" s="573" t="s">
        <v>543</v>
      </c>
      <c r="D3083" s="578" t="s">
        <v>544</v>
      </c>
      <c r="E3083" s="573" t="s">
        <v>3374</v>
      </c>
      <c r="F3083" s="573" t="s">
        <v>211</v>
      </c>
      <c r="G3083" s="573" t="s">
        <v>545</v>
      </c>
      <c r="H3083" s="573">
        <v>2019</v>
      </c>
      <c r="I3083" s="573" t="s">
        <v>5316</v>
      </c>
      <c r="J3083" s="573" t="s">
        <v>5317</v>
      </c>
      <c r="K3083" s="573" t="s">
        <v>3377</v>
      </c>
      <c r="L3083" s="573">
        <v>5</v>
      </c>
      <c r="M3083" s="573">
        <v>0</v>
      </c>
      <c r="N3083" s="573" t="s">
        <v>157</v>
      </c>
      <c r="O3083" s="573">
        <v>2</v>
      </c>
      <c r="P3083" s="573" t="s">
        <v>5318</v>
      </c>
      <c r="Q3083" s="571">
        <v>6300</v>
      </c>
      <c r="R3083" s="573" t="s">
        <v>3193</v>
      </c>
      <c r="S3083" s="573">
        <v>6</v>
      </c>
      <c r="T3083" s="573">
        <v>32519</v>
      </c>
      <c r="U3083" s="573" t="s">
        <v>157</v>
      </c>
      <c r="V3083" s="573">
        <v>125.9</v>
      </c>
      <c r="W3083" s="573">
        <v>21.1</v>
      </c>
      <c r="X3083" s="571">
        <v>5600</v>
      </c>
      <c r="Y3083" s="573">
        <v>19</v>
      </c>
      <c r="Z3083" s="579" t="s">
        <v>178</v>
      </c>
      <c r="AA3083" s="579" t="s">
        <v>178</v>
      </c>
      <c r="AB3083" s="584">
        <v>28775</v>
      </c>
      <c r="AC3083" s="584" t="s">
        <v>164</v>
      </c>
      <c r="AD3083" s="584">
        <v>23897.7</v>
      </c>
      <c r="AE3083" s="586">
        <v>0.03</v>
      </c>
      <c r="AF3083" s="661" t="str">
        <f t="shared" si="332"/>
        <v>2019-LTK-NIS-FRNT-001-07</v>
      </c>
      <c r="AG3083" s="661" t="str">
        <f>IF(AND($Y3083&gt;=32,(AI3083="I"),(Y3083&lt;&gt;"~"),(COUNTIF($AN$1:$AN3083,$AN3083)=1)),"TRUE","FALSE")</f>
        <v>FALSE</v>
      </c>
      <c r="AH3083" s="661" t="str">
        <f>IF(AND($Y3083&gt;=22, (AI3083&lt;&gt;"I"),(Y3083&lt;&gt;"~"),(COUNTIF($AN$1:$AN3083,$AN3083)=1)),"TRUE","FALSE")</f>
        <v>FALSE</v>
      </c>
      <c r="AI3083" s="661" t="str">
        <f t="shared" si="334"/>
        <v>II</v>
      </c>
      <c r="AJ3083" s="662" t="str">
        <f t="shared" si="335"/>
        <v>FRNT-001</v>
      </c>
      <c r="AK3083" s="662" t="str">
        <f t="shared" si="336"/>
        <v>LTK</v>
      </c>
      <c r="AL3083" s="662" t="str">
        <f t="shared" si="337"/>
        <v>NIS</v>
      </c>
      <c r="AM3083" s="662" t="str">
        <f t="shared" si="333"/>
        <v>Frontier-Crew Cab Desert Runner-2WD-5-4'11"-6300-4.0L-6-32519-~-125.9-21.1-Unleaded-Unleaded</v>
      </c>
      <c r="AN3083" s="662" t="str">
        <f t="shared" si="338"/>
        <v>2019-LTK-NIS-FRNT-001</v>
      </c>
    </row>
    <row r="3084" spans="1:40" ht="15">
      <c r="A3084" s="570" t="s">
        <v>5319</v>
      </c>
      <c r="B3084" s="569" t="s">
        <v>5320</v>
      </c>
      <c r="C3084" s="569" t="s">
        <v>543</v>
      </c>
      <c r="D3084" s="580" t="s">
        <v>544</v>
      </c>
      <c r="E3084" s="569" t="s">
        <v>3374</v>
      </c>
      <c r="F3084" s="569" t="s">
        <v>211</v>
      </c>
      <c r="G3084" s="569" t="s">
        <v>545</v>
      </c>
      <c r="H3084" s="569">
        <v>2019</v>
      </c>
      <c r="I3084" s="569" t="s">
        <v>5316</v>
      </c>
      <c r="J3084" s="569" t="s">
        <v>5321</v>
      </c>
      <c r="K3084" s="569" t="s">
        <v>3377</v>
      </c>
      <c r="L3084" s="569">
        <v>5</v>
      </c>
      <c r="M3084" s="569">
        <v>0</v>
      </c>
      <c r="N3084" s="569" t="s">
        <v>157</v>
      </c>
      <c r="O3084" s="569">
        <v>2</v>
      </c>
      <c r="P3084" s="569" t="s">
        <v>5318</v>
      </c>
      <c r="Q3084" s="568">
        <v>6300</v>
      </c>
      <c r="R3084" s="569" t="s">
        <v>3193</v>
      </c>
      <c r="S3084" s="569">
        <v>6</v>
      </c>
      <c r="T3084" s="569">
        <v>32119</v>
      </c>
      <c r="U3084" s="569" t="s">
        <v>157</v>
      </c>
      <c r="V3084" s="569">
        <v>125.9</v>
      </c>
      <c r="W3084" s="569">
        <v>21.1</v>
      </c>
      <c r="X3084" s="568">
        <v>5730</v>
      </c>
      <c r="Y3084" s="569">
        <v>18</v>
      </c>
      <c r="Z3084" s="581" t="s">
        <v>178</v>
      </c>
      <c r="AA3084" s="581" t="s">
        <v>178</v>
      </c>
      <c r="AB3084" s="585">
        <v>27045</v>
      </c>
      <c r="AC3084" s="585" t="s">
        <v>164</v>
      </c>
      <c r="AD3084" s="585">
        <v>22185</v>
      </c>
      <c r="AE3084" s="587">
        <v>0.03</v>
      </c>
      <c r="AF3084" s="661" t="str">
        <f t="shared" ref="AF3084:AF3147" si="339">A3084</f>
        <v>2019-LTK-NIS-FRNT-002-07</v>
      </c>
      <c r="AG3084" s="661" t="str">
        <f>IF(AND($Y3084&gt;=32,(AI3084="I"),(Y3084&lt;&gt;"~"),(COUNTIF($AN$1:$AN3084,$AN3084)=1)),"TRUE","FALSE")</f>
        <v>FALSE</v>
      </c>
      <c r="AH3084" s="661" t="str">
        <f>IF(AND($Y3084&gt;=22, (AI3084&lt;&gt;"I"),(Y3084&lt;&gt;"~"),(COUNTIF($AN$1:$AN3084,$AN3084)=1)),"TRUE","FALSE")</f>
        <v>FALSE</v>
      </c>
      <c r="AI3084" s="661" t="str">
        <f t="shared" si="334"/>
        <v>II</v>
      </c>
      <c r="AJ3084" s="662" t="str">
        <f t="shared" si="335"/>
        <v>FRNT-002</v>
      </c>
      <c r="AK3084" s="662" t="str">
        <f t="shared" si="336"/>
        <v>LTK</v>
      </c>
      <c r="AL3084" s="662" t="str">
        <f t="shared" si="337"/>
        <v>NIS</v>
      </c>
      <c r="AM3084" s="662" t="str">
        <f t="shared" si="333"/>
        <v>Frontier-Crew Cab S-2WD-5-4'11"-6300-4.0L-6-32119-~-125.9-21.1-Unleaded-Unleaded</v>
      </c>
      <c r="AN3084" s="662" t="str">
        <f t="shared" si="338"/>
        <v>2019-LTK-NIS-FRNT-002</v>
      </c>
    </row>
    <row r="3085" spans="1:40" ht="15">
      <c r="A3085" s="570" t="s">
        <v>5322</v>
      </c>
      <c r="B3085" s="573" t="s">
        <v>5323</v>
      </c>
      <c r="C3085" s="573" t="s">
        <v>543</v>
      </c>
      <c r="D3085" s="578" t="s">
        <v>544</v>
      </c>
      <c r="E3085" s="573" t="s">
        <v>3374</v>
      </c>
      <c r="F3085" s="573" t="s">
        <v>211</v>
      </c>
      <c r="G3085" s="573" t="s">
        <v>545</v>
      </c>
      <c r="H3085" s="573">
        <v>2019</v>
      </c>
      <c r="I3085" s="573" t="s">
        <v>5316</v>
      </c>
      <c r="J3085" s="573" t="s">
        <v>5321</v>
      </c>
      <c r="K3085" s="573" t="s">
        <v>752</v>
      </c>
      <c r="L3085" s="573">
        <v>5</v>
      </c>
      <c r="M3085" s="573">
        <v>0</v>
      </c>
      <c r="N3085" s="573" t="s">
        <v>157</v>
      </c>
      <c r="O3085" s="573">
        <v>2</v>
      </c>
      <c r="P3085" s="573" t="s">
        <v>5318</v>
      </c>
      <c r="Q3085" s="571">
        <v>6100</v>
      </c>
      <c r="R3085" s="573" t="s">
        <v>3193</v>
      </c>
      <c r="S3085" s="573">
        <v>6</v>
      </c>
      <c r="T3085" s="573">
        <v>32019</v>
      </c>
      <c r="U3085" s="573" t="s">
        <v>157</v>
      </c>
      <c r="V3085" s="573">
        <v>125.9</v>
      </c>
      <c r="W3085" s="573">
        <v>21.1</v>
      </c>
      <c r="X3085" s="571">
        <v>5816</v>
      </c>
      <c r="Y3085" s="573">
        <v>17</v>
      </c>
      <c r="Z3085" s="579" t="s">
        <v>178</v>
      </c>
      <c r="AA3085" s="579" t="s">
        <v>178</v>
      </c>
      <c r="AB3085" s="584">
        <v>30435</v>
      </c>
      <c r="AC3085" s="584" t="s">
        <v>164</v>
      </c>
      <c r="AD3085" s="584">
        <v>25541.1</v>
      </c>
      <c r="AE3085" s="586">
        <v>0.03</v>
      </c>
      <c r="AF3085" s="661" t="str">
        <f t="shared" si="339"/>
        <v>2019-LTK-NIS-FRNT-003-07</v>
      </c>
      <c r="AG3085" s="661" t="str">
        <f>IF(AND($Y3085&gt;=32,(AI3085="I"),(Y3085&lt;&gt;"~"),(COUNTIF($AN$1:$AN3085,$AN3085)=1)),"TRUE","FALSE")</f>
        <v>FALSE</v>
      </c>
      <c r="AH3085" s="661" t="str">
        <f>IF(AND($Y3085&gt;=22, (AI3085&lt;&gt;"I"),(Y3085&lt;&gt;"~"),(COUNTIF($AN$1:$AN3085,$AN3085)=1)),"TRUE","FALSE")</f>
        <v>FALSE</v>
      </c>
      <c r="AI3085" s="661" t="str">
        <f t="shared" si="334"/>
        <v>II</v>
      </c>
      <c r="AJ3085" s="662" t="str">
        <f t="shared" si="335"/>
        <v>FRNT-003</v>
      </c>
      <c r="AK3085" s="662" t="str">
        <f t="shared" si="336"/>
        <v>LTK</v>
      </c>
      <c r="AL3085" s="662" t="str">
        <f t="shared" si="337"/>
        <v>NIS</v>
      </c>
      <c r="AM3085" s="662" t="str">
        <f t="shared" si="333"/>
        <v>Frontier-Crew Cab S-4WD-5-4'11"-6100-4.0L-6-32019-~-125.9-21.1-Unleaded-Unleaded</v>
      </c>
      <c r="AN3085" s="662" t="str">
        <f t="shared" si="338"/>
        <v>2019-LTK-NIS-FRNT-003</v>
      </c>
    </row>
    <row r="3086" spans="1:40" ht="15">
      <c r="A3086" s="570" t="s">
        <v>5324</v>
      </c>
      <c r="B3086" s="569" t="s">
        <v>5323</v>
      </c>
      <c r="C3086" s="569" t="s">
        <v>549</v>
      </c>
      <c r="D3086" s="580">
        <v>16</v>
      </c>
      <c r="E3086" s="569" t="s">
        <v>3374</v>
      </c>
      <c r="F3086" s="569" t="s">
        <v>211</v>
      </c>
      <c r="G3086" s="569" t="s">
        <v>545</v>
      </c>
      <c r="H3086" s="569">
        <v>2019</v>
      </c>
      <c r="I3086" s="569" t="s">
        <v>5316</v>
      </c>
      <c r="J3086" s="569" t="s">
        <v>5321</v>
      </c>
      <c r="K3086" s="569" t="s">
        <v>752</v>
      </c>
      <c r="L3086" s="569">
        <v>5</v>
      </c>
      <c r="M3086" s="569">
        <v>0</v>
      </c>
      <c r="N3086" s="569" t="s">
        <v>157</v>
      </c>
      <c r="O3086" s="569">
        <v>2</v>
      </c>
      <c r="P3086" s="569" t="s">
        <v>5318</v>
      </c>
      <c r="Q3086" s="568">
        <v>6100</v>
      </c>
      <c r="R3086" s="569" t="s">
        <v>3193</v>
      </c>
      <c r="S3086" s="569">
        <v>6</v>
      </c>
      <c r="T3086" s="569">
        <v>32019</v>
      </c>
      <c r="U3086" s="569" t="s">
        <v>157</v>
      </c>
      <c r="V3086" s="569">
        <v>125.9</v>
      </c>
      <c r="W3086" s="569">
        <v>21.1</v>
      </c>
      <c r="X3086" s="568">
        <v>5816</v>
      </c>
      <c r="Y3086" s="569">
        <v>17</v>
      </c>
      <c r="Z3086" s="581" t="s">
        <v>178</v>
      </c>
      <c r="AA3086" s="581" t="s">
        <v>178</v>
      </c>
      <c r="AB3086" s="585">
        <v>30385</v>
      </c>
      <c r="AC3086" s="585" t="s">
        <v>164</v>
      </c>
      <c r="AD3086" s="585">
        <v>24990</v>
      </c>
      <c r="AE3086" s="587">
        <v>0.05</v>
      </c>
      <c r="AF3086" s="661" t="str">
        <f t="shared" si="339"/>
        <v>2019-LTK-NIS-FRNT-003-16</v>
      </c>
      <c r="AG3086" s="661" t="str">
        <f>IF(AND($Y3086&gt;=32,(AI3086="I"),(Y3086&lt;&gt;"~"),(COUNTIF($AN$1:$AN3086,$AN3086)=1)),"TRUE","FALSE")</f>
        <v>FALSE</v>
      </c>
      <c r="AH3086" s="661" t="str">
        <f>IF(AND($Y3086&gt;=22, (AI3086&lt;&gt;"I"),(Y3086&lt;&gt;"~"),(COUNTIF($AN$1:$AN3086,$AN3086)=1)),"TRUE","FALSE")</f>
        <v>FALSE</v>
      </c>
      <c r="AI3086" s="661" t="str">
        <f t="shared" si="334"/>
        <v>II</v>
      </c>
      <c r="AJ3086" s="662" t="str">
        <f t="shared" si="335"/>
        <v>FRNT-003</v>
      </c>
      <c r="AK3086" s="662" t="str">
        <f t="shared" si="336"/>
        <v>LTK</v>
      </c>
      <c r="AL3086" s="662" t="str">
        <f t="shared" si="337"/>
        <v>NIS</v>
      </c>
      <c r="AM3086" s="662" t="str">
        <f t="shared" si="333"/>
        <v>Frontier-Crew Cab S-4WD-5-4'11"-6100-4.0L-6-32019-~-125.9-21.1-Unleaded-Unleaded</v>
      </c>
      <c r="AN3086" s="662" t="str">
        <f t="shared" si="338"/>
        <v>2019-LTK-NIS-FRNT-003</v>
      </c>
    </row>
    <row r="3087" spans="1:40" ht="15">
      <c r="A3087" s="570" t="s">
        <v>5325</v>
      </c>
      <c r="B3087" s="573" t="s">
        <v>5326</v>
      </c>
      <c r="C3087" s="573" t="s">
        <v>543</v>
      </c>
      <c r="D3087" s="578" t="s">
        <v>544</v>
      </c>
      <c r="E3087" s="573" t="s">
        <v>3374</v>
      </c>
      <c r="F3087" s="573" t="s">
        <v>211</v>
      </c>
      <c r="G3087" s="573" t="s">
        <v>545</v>
      </c>
      <c r="H3087" s="573">
        <v>2019</v>
      </c>
      <c r="I3087" s="573" t="s">
        <v>5316</v>
      </c>
      <c r="J3087" s="573" t="s">
        <v>5327</v>
      </c>
      <c r="K3087" s="573" t="s">
        <v>3377</v>
      </c>
      <c r="L3087" s="573">
        <v>5</v>
      </c>
      <c r="M3087" s="573">
        <v>0</v>
      </c>
      <c r="N3087" s="573" t="s">
        <v>157</v>
      </c>
      <c r="O3087" s="573">
        <v>2</v>
      </c>
      <c r="P3087" s="573" t="s">
        <v>5318</v>
      </c>
      <c r="Q3087" s="571">
        <v>6300</v>
      </c>
      <c r="R3087" s="573" t="s">
        <v>3193</v>
      </c>
      <c r="S3087" s="573">
        <v>6</v>
      </c>
      <c r="T3087" s="573">
        <v>32319</v>
      </c>
      <c r="U3087" s="573" t="s">
        <v>157</v>
      </c>
      <c r="V3087" s="573">
        <v>125.9</v>
      </c>
      <c r="W3087" s="573">
        <v>21.1</v>
      </c>
      <c r="X3087" s="571">
        <v>5730</v>
      </c>
      <c r="Y3087" s="573">
        <v>18</v>
      </c>
      <c r="Z3087" s="579" t="s">
        <v>178</v>
      </c>
      <c r="AA3087" s="579" t="s">
        <v>178</v>
      </c>
      <c r="AB3087" s="584">
        <v>27795</v>
      </c>
      <c r="AC3087" s="584" t="s">
        <v>164</v>
      </c>
      <c r="AD3087" s="584">
        <v>22927.5</v>
      </c>
      <c r="AE3087" s="586">
        <v>0.03</v>
      </c>
      <c r="AF3087" s="661" t="str">
        <f t="shared" si="339"/>
        <v>2019-LTK-NIS-FRNT-004-07</v>
      </c>
      <c r="AG3087" s="661" t="str">
        <f>IF(AND($Y3087&gt;=32,(AI3087="I"),(Y3087&lt;&gt;"~"),(COUNTIF($AN$1:$AN3087,$AN3087)=1)),"TRUE","FALSE")</f>
        <v>FALSE</v>
      </c>
      <c r="AH3087" s="661" t="str">
        <f>IF(AND($Y3087&gt;=22, (AI3087&lt;&gt;"I"),(Y3087&lt;&gt;"~"),(COUNTIF($AN$1:$AN3087,$AN3087)=1)),"TRUE","FALSE")</f>
        <v>FALSE</v>
      </c>
      <c r="AI3087" s="661" t="str">
        <f t="shared" si="334"/>
        <v>II</v>
      </c>
      <c r="AJ3087" s="662" t="str">
        <f t="shared" si="335"/>
        <v>FRNT-004</v>
      </c>
      <c r="AK3087" s="662" t="str">
        <f t="shared" si="336"/>
        <v>LTK</v>
      </c>
      <c r="AL3087" s="662" t="str">
        <f t="shared" si="337"/>
        <v>NIS</v>
      </c>
      <c r="AM3087" s="662" t="str">
        <f t="shared" si="333"/>
        <v>Frontier-Crew Cab SV-2WD-5-4'11"-6300-4.0L-6-32319-~-125.9-21.1-Unleaded-Unleaded</v>
      </c>
      <c r="AN3087" s="662" t="str">
        <f t="shared" si="338"/>
        <v>2019-LTK-NIS-FRNT-004</v>
      </c>
    </row>
    <row r="3088" spans="1:40" ht="15">
      <c r="A3088" s="570" t="s">
        <v>5328</v>
      </c>
      <c r="B3088" s="569" t="s">
        <v>5329</v>
      </c>
      <c r="C3088" s="569" t="s">
        <v>543</v>
      </c>
      <c r="D3088" s="580" t="s">
        <v>544</v>
      </c>
      <c r="E3088" s="569" t="s">
        <v>3374</v>
      </c>
      <c r="F3088" s="569" t="s">
        <v>211</v>
      </c>
      <c r="G3088" s="569" t="s">
        <v>545</v>
      </c>
      <c r="H3088" s="569">
        <v>2019</v>
      </c>
      <c r="I3088" s="569" t="s">
        <v>5316</v>
      </c>
      <c r="J3088" s="569" t="s">
        <v>5327</v>
      </c>
      <c r="K3088" s="569" t="s">
        <v>752</v>
      </c>
      <c r="L3088" s="569">
        <v>5</v>
      </c>
      <c r="M3088" s="569">
        <v>0</v>
      </c>
      <c r="N3088" s="569" t="s">
        <v>157</v>
      </c>
      <c r="O3088" s="569">
        <v>2</v>
      </c>
      <c r="P3088" s="569" t="s">
        <v>5318</v>
      </c>
      <c r="Q3088" s="568">
        <v>6100</v>
      </c>
      <c r="R3088" s="569" t="s">
        <v>3193</v>
      </c>
      <c r="S3088" s="569">
        <v>6</v>
      </c>
      <c r="T3088" s="569">
        <v>32219</v>
      </c>
      <c r="U3088" s="569" t="s">
        <v>157</v>
      </c>
      <c r="V3088" s="569">
        <v>125.9</v>
      </c>
      <c r="W3088" s="569">
        <v>21.1</v>
      </c>
      <c r="X3088" s="568">
        <v>5816</v>
      </c>
      <c r="Y3088" s="569">
        <v>17</v>
      </c>
      <c r="Z3088" s="581" t="s">
        <v>178</v>
      </c>
      <c r="AA3088" s="581" t="s">
        <v>178</v>
      </c>
      <c r="AB3088" s="585">
        <v>30985</v>
      </c>
      <c r="AC3088" s="585" t="s">
        <v>164</v>
      </c>
      <c r="AD3088" s="585">
        <v>26085.599999999999</v>
      </c>
      <c r="AE3088" s="587">
        <v>0.03</v>
      </c>
      <c r="AF3088" s="661" t="str">
        <f t="shared" si="339"/>
        <v>2019-LTK-NIS-FRNT-005-07</v>
      </c>
      <c r="AG3088" s="661" t="str">
        <f>IF(AND($Y3088&gt;=32,(AI3088="I"),(Y3088&lt;&gt;"~"),(COUNTIF($AN$1:$AN3088,$AN3088)=1)),"TRUE","FALSE")</f>
        <v>FALSE</v>
      </c>
      <c r="AH3088" s="661" t="str">
        <f>IF(AND($Y3088&gt;=22, (AI3088&lt;&gt;"I"),(Y3088&lt;&gt;"~"),(COUNTIF($AN$1:$AN3088,$AN3088)=1)),"TRUE","FALSE")</f>
        <v>FALSE</v>
      </c>
      <c r="AI3088" s="661" t="str">
        <f t="shared" si="334"/>
        <v>II</v>
      </c>
      <c r="AJ3088" s="662" t="str">
        <f t="shared" si="335"/>
        <v>FRNT-005</v>
      </c>
      <c r="AK3088" s="662" t="str">
        <f t="shared" si="336"/>
        <v>LTK</v>
      </c>
      <c r="AL3088" s="662" t="str">
        <f t="shared" si="337"/>
        <v>NIS</v>
      </c>
      <c r="AM3088" s="662" t="str">
        <f t="shared" si="333"/>
        <v>Frontier-Crew Cab SV-4WD-5-4'11"-6100-4.0L-6-32219-~-125.9-21.1-Unleaded-Unleaded</v>
      </c>
      <c r="AN3088" s="662" t="str">
        <f t="shared" si="338"/>
        <v>2019-LTK-NIS-FRNT-005</v>
      </c>
    </row>
    <row r="3089" spans="1:40" ht="15">
      <c r="A3089" s="570" t="s">
        <v>5330</v>
      </c>
      <c r="B3089" s="573" t="s">
        <v>5329</v>
      </c>
      <c r="C3089" s="573" t="s">
        <v>549</v>
      </c>
      <c r="D3089" s="578">
        <v>16</v>
      </c>
      <c r="E3089" s="573" t="s">
        <v>3374</v>
      </c>
      <c r="F3089" s="573" t="s">
        <v>211</v>
      </c>
      <c r="G3089" s="573" t="s">
        <v>545</v>
      </c>
      <c r="H3089" s="573">
        <v>2019</v>
      </c>
      <c r="I3089" s="573" t="s">
        <v>5316</v>
      </c>
      <c r="J3089" s="573" t="s">
        <v>5327</v>
      </c>
      <c r="K3089" s="573" t="s">
        <v>752</v>
      </c>
      <c r="L3089" s="573">
        <v>5</v>
      </c>
      <c r="M3089" s="573">
        <v>0</v>
      </c>
      <c r="N3089" s="573" t="s">
        <v>157</v>
      </c>
      <c r="O3089" s="573">
        <v>2</v>
      </c>
      <c r="P3089" s="573" t="s">
        <v>5318</v>
      </c>
      <c r="Q3089" s="571">
        <v>6100</v>
      </c>
      <c r="R3089" s="573" t="s">
        <v>3193</v>
      </c>
      <c r="S3089" s="573">
        <v>6</v>
      </c>
      <c r="T3089" s="573">
        <v>32219</v>
      </c>
      <c r="U3089" s="573" t="s">
        <v>157</v>
      </c>
      <c r="V3089" s="573">
        <v>125.9</v>
      </c>
      <c r="W3089" s="573">
        <v>21.1</v>
      </c>
      <c r="X3089" s="571">
        <v>5816</v>
      </c>
      <c r="Y3089" s="573">
        <v>17</v>
      </c>
      <c r="Z3089" s="579" t="s">
        <v>178</v>
      </c>
      <c r="AA3089" s="579" t="s">
        <v>178</v>
      </c>
      <c r="AB3089" s="584">
        <v>30935</v>
      </c>
      <c r="AC3089" s="584" t="s">
        <v>164</v>
      </c>
      <c r="AD3089" s="584">
        <v>25490</v>
      </c>
      <c r="AE3089" s="586">
        <v>0.05</v>
      </c>
      <c r="AF3089" s="661" t="str">
        <f t="shared" si="339"/>
        <v>2019-LTK-NIS-FRNT-005-16</v>
      </c>
      <c r="AG3089" s="661" t="str">
        <f>IF(AND($Y3089&gt;=32,(AI3089="I"),(Y3089&lt;&gt;"~"),(COUNTIF($AN$1:$AN3089,$AN3089)=1)),"TRUE","FALSE")</f>
        <v>FALSE</v>
      </c>
      <c r="AH3089" s="661" t="str">
        <f>IF(AND($Y3089&gt;=22, (AI3089&lt;&gt;"I"),(Y3089&lt;&gt;"~"),(COUNTIF($AN$1:$AN3089,$AN3089)=1)),"TRUE","FALSE")</f>
        <v>FALSE</v>
      </c>
      <c r="AI3089" s="661" t="str">
        <f t="shared" si="334"/>
        <v>II</v>
      </c>
      <c r="AJ3089" s="662" t="str">
        <f t="shared" si="335"/>
        <v>FRNT-005</v>
      </c>
      <c r="AK3089" s="662" t="str">
        <f t="shared" si="336"/>
        <v>LTK</v>
      </c>
      <c r="AL3089" s="662" t="str">
        <f t="shared" si="337"/>
        <v>NIS</v>
      </c>
      <c r="AM3089" s="662" t="str">
        <f t="shared" si="333"/>
        <v>Frontier-Crew Cab SV-4WD-5-4'11"-6100-4.0L-6-32219-~-125.9-21.1-Unleaded-Unleaded</v>
      </c>
      <c r="AN3089" s="662" t="str">
        <f t="shared" si="338"/>
        <v>2019-LTK-NIS-FRNT-005</v>
      </c>
    </row>
    <row r="3090" spans="1:40" ht="30">
      <c r="A3090" s="570" t="s">
        <v>5331</v>
      </c>
      <c r="B3090" s="569" t="s">
        <v>5332</v>
      </c>
      <c r="C3090" s="569" t="s">
        <v>543</v>
      </c>
      <c r="D3090" s="580" t="s">
        <v>544</v>
      </c>
      <c r="E3090" s="569" t="s">
        <v>3374</v>
      </c>
      <c r="F3090" s="569" t="s">
        <v>211</v>
      </c>
      <c r="G3090" s="569" t="s">
        <v>545</v>
      </c>
      <c r="H3090" s="569">
        <v>2019</v>
      </c>
      <c r="I3090" s="569" t="s">
        <v>5316</v>
      </c>
      <c r="J3090" s="569" t="s">
        <v>5333</v>
      </c>
      <c r="K3090" s="569" t="s">
        <v>3377</v>
      </c>
      <c r="L3090" s="569">
        <v>4</v>
      </c>
      <c r="M3090" s="569">
        <v>0</v>
      </c>
      <c r="N3090" s="569" t="s">
        <v>157</v>
      </c>
      <c r="O3090" s="569">
        <v>2</v>
      </c>
      <c r="P3090" s="569" t="s">
        <v>5334</v>
      </c>
      <c r="Q3090" s="568">
        <v>6500</v>
      </c>
      <c r="R3090" s="569" t="s">
        <v>3193</v>
      </c>
      <c r="S3090" s="569">
        <v>6</v>
      </c>
      <c r="T3090" s="569">
        <v>31719</v>
      </c>
      <c r="U3090" s="569" t="s">
        <v>157</v>
      </c>
      <c r="V3090" s="569">
        <v>125.9</v>
      </c>
      <c r="W3090" s="569">
        <v>21.1</v>
      </c>
      <c r="X3090" s="568">
        <v>5600</v>
      </c>
      <c r="Y3090" s="569">
        <v>19</v>
      </c>
      <c r="Z3090" s="581" t="s">
        <v>178</v>
      </c>
      <c r="AA3090" s="581" t="s">
        <v>178</v>
      </c>
      <c r="AB3090" s="585">
        <v>27345</v>
      </c>
      <c r="AC3090" s="585" t="s">
        <v>164</v>
      </c>
      <c r="AD3090" s="585">
        <v>22569</v>
      </c>
      <c r="AE3090" s="587">
        <v>0.03</v>
      </c>
      <c r="AF3090" s="661" t="str">
        <f t="shared" si="339"/>
        <v>2019-LTK-NIS-FRNT-006-07</v>
      </c>
      <c r="AG3090" s="661" t="str">
        <f>IF(AND($Y3090&gt;=32,(AI3090="I"),(Y3090&lt;&gt;"~"),(COUNTIF($AN$1:$AN3090,$AN3090)=1)),"TRUE","FALSE")</f>
        <v>FALSE</v>
      </c>
      <c r="AH3090" s="661" t="str">
        <f>IF(AND($Y3090&gt;=22, (AI3090&lt;&gt;"I"),(Y3090&lt;&gt;"~"),(COUNTIF($AN$1:$AN3090,$AN3090)=1)),"TRUE","FALSE")</f>
        <v>FALSE</v>
      </c>
      <c r="AI3090" s="661" t="str">
        <f t="shared" si="334"/>
        <v>II</v>
      </c>
      <c r="AJ3090" s="662" t="str">
        <f t="shared" si="335"/>
        <v>FRNT-006</v>
      </c>
      <c r="AK3090" s="662" t="str">
        <f t="shared" si="336"/>
        <v>LTK</v>
      </c>
      <c r="AL3090" s="662" t="str">
        <f t="shared" si="337"/>
        <v>NIS</v>
      </c>
      <c r="AM3090" s="662" t="str">
        <f t="shared" si="333"/>
        <v>Frontier-King Cab Desert Runner-2WD-4-6'1"-6500-4.0L-6-31719-~-125.9-21.1-Unleaded-Unleaded</v>
      </c>
      <c r="AN3090" s="662" t="str">
        <f t="shared" si="338"/>
        <v>2019-LTK-NIS-FRNT-006</v>
      </c>
    </row>
    <row r="3091" spans="1:40" ht="15">
      <c r="A3091" s="570" t="s">
        <v>5335</v>
      </c>
      <c r="B3091" s="573" t="s">
        <v>5336</v>
      </c>
      <c r="C3091" s="573" t="s">
        <v>543</v>
      </c>
      <c r="D3091" s="578" t="s">
        <v>544</v>
      </c>
      <c r="E3091" s="573" t="s">
        <v>3374</v>
      </c>
      <c r="F3091" s="573" t="s">
        <v>211</v>
      </c>
      <c r="G3091" s="573" t="s">
        <v>545</v>
      </c>
      <c r="H3091" s="573">
        <v>2019</v>
      </c>
      <c r="I3091" s="573" t="s">
        <v>5316</v>
      </c>
      <c r="J3091" s="573" t="s">
        <v>5337</v>
      </c>
      <c r="K3091" s="573" t="s">
        <v>3377</v>
      </c>
      <c r="L3091" s="573">
        <v>4</v>
      </c>
      <c r="M3091" s="573">
        <v>0</v>
      </c>
      <c r="N3091" s="573" t="s">
        <v>157</v>
      </c>
      <c r="O3091" s="573">
        <v>2</v>
      </c>
      <c r="P3091" s="573" t="s">
        <v>5334</v>
      </c>
      <c r="Q3091" s="571">
        <v>3500</v>
      </c>
      <c r="R3091" s="573" t="s">
        <v>189</v>
      </c>
      <c r="S3091" s="573">
        <v>4</v>
      </c>
      <c r="T3091" s="573">
        <v>31119</v>
      </c>
      <c r="U3091" s="573" t="s">
        <v>157</v>
      </c>
      <c r="V3091" s="573">
        <v>125.9</v>
      </c>
      <c r="W3091" s="573">
        <v>21.1</v>
      </c>
      <c r="X3091" s="571">
        <v>4700</v>
      </c>
      <c r="Y3091" s="573">
        <v>19</v>
      </c>
      <c r="Z3091" s="579" t="s">
        <v>178</v>
      </c>
      <c r="AA3091" s="579" t="s">
        <v>178</v>
      </c>
      <c r="AB3091" s="584">
        <v>24105</v>
      </c>
      <c r="AC3091" s="584" t="s">
        <v>164</v>
      </c>
      <c r="AD3091" s="584">
        <v>19559</v>
      </c>
      <c r="AE3091" s="586">
        <v>0.03</v>
      </c>
      <c r="AF3091" s="661" t="str">
        <f t="shared" si="339"/>
        <v>2019-LTK-NIS-FRNT-007-07</v>
      </c>
      <c r="AG3091" s="661" t="str">
        <f>IF(AND($Y3091&gt;=32,(AI3091="I"),(Y3091&lt;&gt;"~"),(COUNTIF($AN$1:$AN3091,$AN3091)=1)),"TRUE","FALSE")</f>
        <v>FALSE</v>
      </c>
      <c r="AH3091" s="661" t="str">
        <f>IF(AND($Y3091&gt;=22, (AI3091&lt;&gt;"I"),(Y3091&lt;&gt;"~"),(COUNTIF($AN$1:$AN3091,$AN3091)=1)),"TRUE","FALSE")</f>
        <v>FALSE</v>
      </c>
      <c r="AI3091" s="661" t="str">
        <f t="shared" si="334"/>
        <v>II</v>
      </c>
      <c r="AJ3091" s="662" t="str">
        <f t="shared" si="335"/>
        <v>FRNT-007</v>
      </c>
      <c r="AK3091" s="662" t="str">
        <f t="shared" si="336"/>
        <v>LTK</v>
      </c>
      <c r="AL3091" s="662" t="str">
        <f t="shared" si="337"/>
        <v>NIS</v>
      </c>
      <c r="AM3091" s="662" t="str">
        <f t="shared" si="333"/>
        <v>Frontier-King Cab S-2WD-4-6'1"-3500-2.5L-4-31119-~-125.9-21.1-Unleaded-Unleaded</v>
      </c>
      <c r="AN3091" s="662" t="str">
        <f t="shared" si="338"/>
        <v>2019-LTK-NIS-FRNT-007</v>
      </c>
    </row>
    <row r="3092" spans="1:40" ht="15">
      <c r="A3092" s="570" t="s">
        <v>5338</v>
      </c>
      <c r="B3092" s="569" t="s">
        <v>5336</v>
      </c>
      <c r="C3092" s="569" t="s">
        <v>549</v>
      </c>
      <c r="D3092" s="580">
        <v>16</v>
      </c>
      <c r="E3092" s="569" t="s">
        <v>3374</v>
      </c>
      <c r="F3092" s="569" t="s">
        <v>211</v>
      </c>
      <c r="G3092" s="569" t="s">
        <v>545</v>
      </c>
      <c r="H3092" s="569">
        <v>2019</v>
      </c>
      <c r="I3092" s="569" t="s">
        <v>5316</v>
      </c>
      <c r="J3092" s="569" t="s">
        <v>5337</v>
      </c>
      <c r="K3092" s="569" t="s">
        <v>3377</v>
      </c>
      <c r="L3092" s="569">
        <v>4</v>
      </c>
      <c r="M3092" s="569">
        <v>0</v>
      </c>
      <c r="N3092" s="569" t="s">
        <v>157</v>
      </c>
      <c r="O3092" s="569">
        <v>2</v>
      </c>
      <c r="P3092" s="569" t="s">
        <v>5334</v>
      </c>
      <c r="Q3092" s="568">
        <v>3500</v>
      </c>
      <c r="R3092" s="569" t="s">
        <v>189</v>
      </c>
      <c r="S3092" s="569">
        <v>4</v>
      </c>
      <c r="T3092" s="569">
        <v>31119</v>
      </c>
      <c r="U3092" s="569" t="s">
        <v>157</v>
      </c>
      <c r="V3092" s="569">
        <v>125.9</v>
      </c>
      <c r="W3092" s="569">
        <v>21.1</v>
      </c>
      <c r="X3092" s="568">
        <v>4690</v>
      </c>
      <c r="Y3092" s="569">
        <v>19</v>
      </c>
      <c r="Z3092" s="581" t="s">
        <v>178</v>
      </c>
      <c r="AA3092" s="581" t="s">
        <v>178</v>
      </c>
      <c r="AB3092" s="585">
        <v>24055</v>
      </c>
      <c r="AC3092" s="585" t="s">
        <v>164</v>
      </c>
      <c r="AD3092" s="585">
        <v>18990</v>
      </c>
      <c r="AE3092" s="587">
        <v>0.05</v>
      </c>
      <c r="AF3092" s="661" t="str">
        <f t="shared" si="339"/>
        <v>2019-LTK-NIS-FRNT-007-16</v>
      </c>
      <c r="AG3092" s="661" t="str">
        <f>IF(AND($Y3092&gt;=32,(AI3092="I"),(Y3092&lt;&gt;"~"),(COUNTIF($AN$1:$AN3092,$AN3092)=1)),"TRUE","FALSE")</f>
        <v>FALSE</v>
      </c>
      <c r="AH3092" s="661" t="str">
        <f>IF(AND($Y3092&gt;=22, (AI3092&lt;&gt;"I"),(Y3092&lt;&gt;"~"),(COUNTIF($AN$1:$AN3092,$AN3092)=1)),"TRUE","FALSE")</f>
        <v>FALSE</v>
      </c>
      <c r="AI3092" s="661" t="str">
        <f t="shared" si="334"/>
        <v>II</v>
      </c>
      <c r="AJ3092" s="662" t="str">
        <f t="shared" si="335"/>
        <v>FRNT-007</v>
      </c>
      <c r="AK3092" s="662" t="str">
        <f t="shared" si="336"/>
        <v>LTK</v>
      </c>
      <c r="AL3092" s="662" t="str">
        <f t="shared" si="337"/>
        <v>NIS</v>
      </c>
      <c r="AM3092" s="662" t="str">
        <f t="shared" si="333"/>
        <v>Frontier-King Cab S-2WD-4-6'1"-3500-2.5L-4-31119-~-125.9-21.1-Unleaded-Unleaded</v>
      </c>
      <c r="AN3092" s="662" t="str">
        <f t="shared" si="338"/>
        <v>2019-LTK-NIS-FRNT-007</v>
      </c>
    </row>
    <row r="3093" spans="1:40" ht="15">
      <c r="A3093" s="570" t="s">
        <v>5339</v>
      </c>
      <c r="B3093" s="573" t="s">
        <v>5340</v>
      </c>
      <c r="C3093" s="573" t="s">
        <v>543</v>
      </c>
      <c r="D3093" s="578" t="s">
        <v>544</v>
      </c>
      <c r="E3093" s="573" t="s">
        <v>3374</v>
      </c>
      <c r="F3093" s="573" t="s">
        <v>211</v>
      </c>
      <c r="G3093" s="573" t="s">
        <v>545</v>
      </c>
      <c r="H3093" s="573">
        <v>2019</v>
      </c>
      <c r="I3093" s="573" t="s">
        <v>5316</v>
      </c>
      <c r="J3093" s="573" t="s">
        <v>5341</v>
      </c>
      <c r="K3093" s="573" t="s">
        <v>3377</v>
      </c>
      <c r="L3093" s="573">
        <v>4</v>
      </c>
      <c r="M3093" s="573">
        <v>0</v>
      </c>
      <c r="N3093" s="573" t="s">
        <v>157</v>
      </c>
      <c r="O3093" s="573">
        <v>2</v>
      </c>
      <c r="P3093" s="573" t="s">
        <v>5334</v>
      </c>
      <c r="Q3093" s="571">
        <v>6500</v>
      </c>
      <c r="R3093" s="573" t="s">
        <v>3193</v>
      </c>
      <c r="S3093" s="573">
        <v>6</v>
      </c>
      <c r="T3093" s="573">
        <v>31519</v>
      </c>
      <c r="U3093" s="573" t="s">
        <v>157</v>
      </c>
      <c r="V3093" s="573">
        <v>125.9</v>
      </c>
      <c r="W3093" s="573">
        <v>21.1</v>
      </c>
      <c r="X3093" s="571">
        <v>5589</v>
      </c>
      <c r="Y3093" s="573">
        <v>18</v>
      </c>
      <c r="Z3093" s="579" t="s">
        <v>178</v>
      </c>
      <c r="AA3093" s="579" t="s">
        <v>178</v>
      </c>
      <c r="AB3093" s="584">
        <v>26665</v>
      </c>
      <c r="AC3093" s="584" t="s">
        <v>164</v>
      </c>
      <c r="AD3093" s="584">
        <v>21999</v>
      </c>
      <c r="AE3093" s="586">
        <v>0.03</v>
      </c>
      <c r="AF3093" s="661" t="str">
        <f t="shared" si="339"/>
        <v>2019-LTK-NIS-FRNT-009-07</v>
      </c>
      <c r="AG3093" s="661" t="str">
        <f>IF(AND($Y3093&gt;=32,(AI3093="I"),(Y3093&lt;&gt;"~"),(COUNTIF($AN$1:$AN3093,$AN3093)=1)),"TRUE","FALSE")</f>
        <v>FALSE</v>
      </c>
      <c r="AH3093" s="661" t="str">
        <f>IF(AND($Y3093&gt;=22, (AI3093&lt;&gt;"I"),(Y3093&lt;&gt;"~"),(COUNTIF($AN$1:$AN3093,$AN3093)=1)),"TRUE","FALSE")</f>
        <v>FALSE</v>
      </c>
      <c r="AI3093" s="661" t="str">
        <f t="shared" si="334"/>
        <v>II</v>
      </c>
      <c r="AJ3093" s="662" t="str">
        <f t="shared" si="335"/>
        <v>FRNT-009</v>
      </c>
      <c r="AK3093" s="662" t="str">
        <f t="shared" si="336"/>
        <v>LTK</v>
      </c>
      <c r="AL3093" s="662" t="str">
        <f t="shared" si="337"/>
        <v>NIS</v>
      </c>
      <c r="AM3093" s="662" t="str">
        <f t="shared" si="333"/>
        <v>Frontier-King Cab SV-2WD-4-6'1"-6500-4.0L-6-31519-~-125.9-21.1-Unleaded-Unleaded</v>
      </c>
      <c r="AN3093" s="662" t="str">
        <f t="shared" si="338"/>
        <v>2019-LTK-NIS-FRNT-009</v>
      </c>
    </row>
    <row r="3094" spans="1:40" ht="15">
      <c r="A3094" s="570" t="s">
        <v>5342</v>
      </c>
      <c r="B3094" s="569" t="s">
        <v>5343</v>
      </c>
      <c r="C3094" s="569" t="s">
        <v>543</v>
      </c>
      <c r="D3094" s="580" t="s">
        <v>544</v>
      </c>
      <c r="E3094" s="569" t="s">
        <v>3374</v>
      </c>
      <c r="F3094" s="569" t="s">
        <v>211</v>
      </c>
      <c r="G3094" s="569" t="s">
        <v>545</v>
      </c>
      <c r="H3094" s="569">
        <v>2019</v>
      </c>
      <c r="I3094" s="569" t="s">
        <v>5316</v>
      </c>
      <c r="J3094" s="569" t="s">
        <v>5341</v>
      </c>
      <c r="K3094" s="569" t="s">
        <v>752</v>
      </c>
      <c r="L3094" s="569">
        <v>4</v>
      </c>
      <c r="M3094" s="569">
        <v>0</v>
      </c>
      <c r="N3094" s="569" t="s">
        <v>157</v>
      </c>
      <c r="O3094" s="569">
        <v>2</v>
      </c>
      <c r="P3094" s="569" t="s">
        <v>5334</v>
      </c>
      <c r="Q3094" s="568">
        <v>6300</v>
      </c>
      <c r="R3094" s="569" t="s">
        <v>3193</v>
      </c>
      <c r="S3094" s="569">
        <v>6</v>
      </c>
      <c r="T3094" s="569">
        <v>31219</v>
      </c>
      <c r="U3094" s="569" t="s">
        <v>157</v>
      </c>
      <c r="V3094" s="569">
        <v>125.9</v>
      </c>
      <c r="W3094" s="569">
        <v>21.1</v>
      </c>
      <c r="X3094" s="568">
        <v>5690</v>
      </c>
      <c r="Y3094" s="569">
        <v>17</v>
      </c>
      <c r="Z3094" s="581" t="s">
        <v>178</v>
      </c>
      <c r="AA3094" s="581" t="s">
        <v>178</v>
      </c>
      <c r="AB3094" s="585">
        <v>29555</v>
      </c>
      <c r="AC3094" s="585" t="s">
        <v>164</v>
      </c>
      <c r="AD3094" s="585">
        <v>24669.9</v>
      </c>
      <c r="AE3094" s="587">
        <v>0.03</v>
      </c>
      <c r="AF3094" s="661" t="str">
        <f t="shared" si="339"/>
        <v>2019-LTK-NIS-FRNT-010-07</v>
      </c>
      <c r="AG3094" s="661" t="str">
        <f>IF(AND($Y3094&gt;=32,(AI3094="I"),(Y3094&lt;&gt;"~"),(COUNTIF($AN$1:$AN3094,$AN3094)=1)),"TRUE","FALSE")</f>
        <v>FALSE</v>
      </c>
      <c r="AH3094" s="661" t="str">
        <f>IF(AND($Y3094&gt;=22, (AI3094&lt;&gt;"I"),(Y3094&lt;&gt;"~"),(COUNTIF($AN$1:$AN3094,$AN3094)=1)),"TRUE","FALSE")</f>
        <v>FALSE</v>
      </c>
      <c r="AI3094" s="661" t="str">
        <f t="shared" si="334"/>
        <v>II</v>
      </c>
      <c r="AJ3094" s="662" t="str">
        <f t="shared" si="335"/>
        <v>FRNT-010</v>
      </c>
      <c r="AK3094" s="662" t="str">
        <f t="shared" si="336"/>
        <v>LTK</v>
      </c>
      <c r="AL3094" s="662" t="str">
        <f t="shared" si="337"/>
        <v>NIS</v>
      </c>
      <c r="AM3094" s="662" t="str">
        <f t="shared" si="333"/>
        <v>Frontier-King Cab SV-4WD-4-6'1"-6300-4.0L-6-31219-~-125.9-21.1-Unleaded-Unleaded</v>
      </c>
      <c r="AN3094" s="662" t="str">
        <f t="shared" si="338"/>
        <v>2019-LTK-NIS-FRNT-010</v>
      </c>
    </row>
    <row r="3095" spans="1:40" ht="15">
      <c r="A3095" s="570" t="s">
        <v>5344</v>
      </c>
      <c r="B3095" s="573" t="s">
        <v>5343</v>
      </c>
      <c r="C3095" s="573" t="s">
        <v>549</v>
      </c>
      <c r="D3095" s="578">
        <v>16</v>
      </c>
      <c r="E3095" s="573" t="s">
        <v>3374</v>
      </c>
      <c r="F3095" s="573" t="s">
        <v>211</v>
      </c>
      <c r="G3095" s="573" t="s">
        <v>545</v>
      </c>
      <c r="H3095" s="573">
        <v>2019</v>
      </c>
      <c r="I3095" s="573" t="s">
        <v>5316</v>
      </c>
      <c r="J3095" s="573" t="s">
        <v>5341</v>
      </c>
      <c r="K3095" s="573" t="s">
        <v>752</v>
      </c>
      <c r="L3095" s="573">
        <v>4</v>
      </c>
      <c r="M3095" s="573">
        <v>0</v>
      </c>
      <c r="N3095" s="573" t="s">
        <v>157</v>
      </c>
      <c r="O3095" s="573">
        <v>2</v>
      </c>
      <c r="P3095" s="573" t="s">
        <v>5334</v>
      </c>
      <c r="Q3095" s="571">
        <v>6300</v>
      </c>
      <c r="R3095" s="573" t="s">
        <v>3193</v>
      </c>
      <c r="S3095" s="573">
        <v>6</v>
      </c>
      <c r="T3095" s="573">
        <v>31219</v>
      </c>
      <c r="U3095" s="573" t="s">
        <v>157</v>
      </c>
      <c r="V3095" s="573">
        <v>125.9</v>
      </c>
      <c r="W3095" s="573">
        <v>21.1</v>
      </c>
      <c r="X3095" s="571">
        <v>5690</v>
      </c>
      <c r="Y3095" s="573">
        <v>17</v>
      </c>
      <c r="Z3095" s="579" t="s">
        <v>178</v>
      </c>
      <c r="AA3095" s="579" t="s">
        <v>178</v>
      </c>
      <c r="AB3095" s="584">
        <v>29505</v>
      </c>
      <c r="AC3095" s="584" t="s">
        <v>164</v>
      </c>
      <c r="AD3095" s="584">
        <v>24490</v>
      </c>
      <c r="AE3095" s="586">
        <v>0.05</v>
      </c>
      <c r="AF3095" s="661" t="str">
        <f t="shared" si="339"/>
        <v>2019-LTK-NIS-FRNT-010-16</v>
      </c>
      <c r="AG3095" s="661" t="str">
        <f>IF(AND($Y3095&gt;=32,(AI3095="I"),(Y3095&lt;&gt;"~"),(COUNTIF($AN$1:$AN3095,$AN3095)=1)),"TRUE","FALSE")</f>
        <v>FALSE</v>
      </c>
      <c r="AH3095" s="661" t="str">
        <f>IF(AND($Y3095&gt;=22, (AI3095&lt;&gt;"I"),(Y3095&lt;&gt;"~"),(COUNTIF($AN$1:$AN3095,$AN3095)=1)),"TRUE","FALSE")</f>
        <v>FALSE</v>
      </c>
      <c r="AI3095" s="661" t="str">
        <f t="shared" si="334"/>
        <v>II</v>
      </c>
      <c r="AJ3095" s="662" t="str">
        <f t="shared" si="335"/>
        <v>FRNT-010</v>
      </c>
      <c r="AK3095" s="662" t="str">
        <f t="shared" si="336"/>
        <v>LTK</v>
      </c>
      <c r="AL3095" s="662" t="str">
        <f t="shared" si="337"/>
        <v>NIS</v>
      </c>
      <c r="AM3095" s="662" t="str">
        <f t="shared" si="333"/>
        <v>Frontier-King Cab SV-4WD-4-6'1"-6300-4.0L-6-31219-~-125.9-21.1-Unleaded-Unleaded</v>
      </c>
      <c r="AN3095" s="662" t="str">
        <f t="shared" si="338"/>
        <v>2019-LTK-NIS-FRNT-010</v>
      </c>
    </row>
    <row r="3096" spans="1:40" ht="15">
      <c r="A3096" s="570" t="s">
        <v>5345</v>
      </c>
      <c r="B3096" s="569" t="s">
        <v>5346</v>
      </c>
      <c r="C3096" s="569" t="s">
        <v>543</v>
      </c>
      <c r="D3096" s="580" t="s">
        <v>544</v>
      </c>
      <c r="E3096" s="569" t="s">
        <v>3374</v>
      </c>
      <c r="F3096" s="569" t="s">
        <v>211</v>
      </c>
      <c r="G3096" s="569" t="s">
        <v>545</v>
      </c>
      <c r="H3096" s="569">
        <v>2019</v>
      </c>
      <c r="I3096" s="569" t="s">
        <v>5316</v>
      </c>
      <c r="J3096" s="569" t="s">
        <v>5347</v>
      </c>
      <c r="K3096" s="569" t="s">
        <v>3377</v>
      </c>
      <c r="L3096" s="569">
        <v>4</v>
      </c>
      <c r="M3096" s="569">
        <v>0</v>
      </c>
      <c r="N3096" s="569" t="s">
        <v>157</v>
      </c>
      <c r="O3096" s="569">
        <v>2</v>
      </c>
      <c r="P3096" s="569" t="s">
        <v>5334</v>
      </c>
      <c r="Q3096" s="568">
        <v>3500</v>
      </c>
      <c r="R3096" s="569" t="s">
        <v>189</v>
      </c>
      <c r="S3096" s="569">
        <v>4</v>
      </c>
      <c r="T3096" s="569">
        <v>31319</v>
      </c>
      <c r="U3096" s="569" t="s">
        <v>157</v>
      </c>
      <c r="V3096" s="569">
        <v>125.9</v>
      </c>
      <c r="W3096" s="569">
        <v>21.1</v>
      </c>
      <c r="X3096" s="568">
        <v>4700</v>
      </c>
      <c r="Y3096" s="569">
        <v>19</v>
      </c>
      <c r="Z3096" s="581" t="s">
        <v>178</v>
      </c>
      <c r="AA3096" s="581" t="s">
        <v>178</v>
      </c>
      <c r="AB3096" s="585">
        <v>25955</v>
      </c>
      <c r="AC3096" s="585" t="s">
        <v>164</v>
      </c>
      <c r="AD3096" s="585">
        <v>21399</v>
      </c>
      <c r="AE3096" s="587">
        <v>0.03</v>
      </c>
      <c r="AF3096" s="661" t="str">
        <f t="shared" si="339"/>
        <v>2019-LTK-NIS-FRNT-011-07</v>
      </c>
      <c r="AG3096" s="661" t="str">
        <f>IF(AND($Y3096&gt;=32,(AI3096="I"),(Y3096&lt;&gt;"~"),(COUNTIF($AN$1:$AN3096,$AN3096)=1)),"TRUE","FALSE")</f>
        <v>FALSE</v>
      </c>
      <c r="AH3096" s="661" t="str">
        <f>IF(AND($Y3096&gt;=22, (AI3096&lt;&gt;"I"),(Y3096&lt;&gt;"~"),(COUNTIF($AN$1:$AN3096,$AN3096)=1)),"TRUE","FALSE")</f>
        <v>FALSE</v>
      </c>
      <c r="AI3096" s="661" t="str">
        <f t="shared" si="334"/>
        <v>II</v>
      </c>
      <c r="AJ3096" s="662" t="str">
        <f t="shared" si="335"/>
        <v>FRNT-011</v>
      </c>
      <c r="AK3096" s="662" t="str">
        <f t="shared" si="336"/>
        <v>LTK</v>
      </c>
      <c r="AL3096" s="662" t="str">
        <f t="shared" si="337"/>
        <v>NIS</v>
      </c>
      <c r="AM3096" s="662" t="str">
        <f t="shared" si="333"/>
        <v>Frontier-King Cab SV-I4-2WD-4-6'1"-3500-2.5L-4-31319-~-125.9-21.1-Unleaded-Unleaded</v>
      </c>
      <c r="AN3096" s="662" t="str">
        <f t="shared" si="338"/>
        <v>2019-LTK-NIS-FRNT-011</v>
      </c>
    </row>
    <row r="3097" spans="1:40" ht="15">
      <c r="A3097" s="570" t="s">
        <v>5348</v>
      </c>
      <c r="B3097" s="573" t="s">
        <v>5349</v>
      </c>
      <c r="C3097" s="573" t="s">
        <v>543</v>
      </c>
      <c r="D3097" s="578" t="s">
        <v>544</v>
      </c>
      <c r="E3097" s="573" t="s">
        <v>3374</v>
      </c>
      <c r="F3097" s="573" t="s">
        <v>152</v>
      </c>
      <c r="G3097" s="573" t="s">
        <v>545</v>
      </c>
      <c r="H3097" s="573">
        <v>2019</v>
      </c>
      <c r="I3097" s="573" t="s">
        <v>5350</v>
      </c>
      <c r="J3097" s="573" t="s">
        <v>5321</v>
      </c>
      <c r="K3097" s="573" t="s">
        <v>3377</v>
      </c>
      <c r="L3097" s="573">
        <v>6</v>
      </c>
      <c r="M3097" s="573">
        <v>0</v>
      </c>
      <c r="N3097" s="573" t="s">
        <v>157</v>
      </c>
      <c r="O3097" s="573">
        <v>2</v>
      </c>
      <c r="P3097" s="573" t="s">
        <v>5351</v>
      </c>
      <c r="Q3097" s="571">
        <v>9380</v>
      </c>
      <c r="R3097" s="573" t="s">
        <v>3203</v>
      </c>
      <c r="S3097" s="573">
        <v>8</v>
      </c>
      <c r="T3097" s="573">
        <v>38119</v>
      </c>
      <c r="U3097" s="573" t="s">
        <v>157</v>
      </c>
      <c r="V3097" s="573">
        <v>139.80000000000001</v>
      </c>
      <c r="W3097" s="573">
        <v>26</v>
      </c>
      <c r="X3097" s="571">
        <v>7100</v>
      </c>
      <c r="Y3097" s="573">
        <v>18</v>
      </c>
      <c r="Z3097" s="579" t="s">
        <v>178</v>
      </c>
      <c r="AA3097" s="579" t="s">
        <v>178</v>
      </c>
      <c r="AB3097" s="584">
        <v>37745</v>
      </c>
      <c r="AC3097" s="584" t="s">
        <v>164</v>
      </c>
      <c r="AD3097" s="584">
        <v>29881.5</v>
      </c>
      <c r="AE3097" s="586">
        <v>0.03</v>
      </c>
      <c r="AF3097" s="661" t="str">
        <f t="shared" si="339"/>
        <v>2019-LTK-NIS-TITN-001-07</v>
      </c>
      <c r="AG3097" s="661" t="str">
        <f>IF(AND($Y3097&gt;=32,(AI3097="I"),(Y3097&lt;&gt;"~"),(COUNTIF($AN$1:$AN3097,$AN3097)=1)),"TRUE","FALSE")</f>
        <v>FALSE</v>
      </c>
      <c r="AH3097" s="661" t="str">
        <f>IF(AND($Y3097&gt;=22, (AI3097&lt;&gt;"I"),(Y3097&lt;&gt;"~"),(COUNTIF($AN$1:$AN3097,$AN3097)=1)),"TRUE","FALSE")</f>
        <v>FALSE</v>
      </c>
      <c r="AI3097" s="661" t="str">
        <f t="shared" si="334"/>
        <v>II</v>
      </c>
      <c r="AJ3097" s="662" t="str">
        <f t="shared" si="335"/>
        <v>TITN-001</v>
      </c>
      <c r="AK3097" s="662" t="str">
        <f t="shared" si="336"/>
        <v>LTK</v>
      </c>
      <c r="AL3097" s="662" t="str">
        <f t="shared" si="337"/>
        <v>NIS</v>
      </c>
      <c r="AM3097" s="662" t="str">
        <f t="shared" si="333"/>
        <v>Titan-Crew Cab S-2WD-6-5'7"-9380-5.6L-8-38119-~-139.8-26-Unleaded-Unleaded</v>
      </c>
      <c r="AN3097" s="662" t="str">
        <f t="shared" si="338"/>
        <v>2019-LTK-NIS-TITN-001</v>
      </c>
    </row>
    <row r="3098" spans="1:40" ht="15">
      <c r="A3098" s="570" t="s">
        <v>5352</v>
      </c>
      <c r="B3098" s="569" t="s">
        <v>5353</v>
      </c>
      <c r="C3098" s="569" t="s">
        <v>543</v>
      </c>
      <c r="D3098" s="580" t="s">
        <v>544</v>
      </c>
      <c r="E3098" s="569" t="s">
        <v>3374</v>
      </c>
      <c r="F3098" s="569" t="s">
        <v>152</v>
      </c>
      <c r="G3098" s="569" t="s">
        <v>545</v>
      </c>
      <c r="H3098" s="569">
        <v>2019</v>
      </c>
      <c r="I3098" s="569" t="s">
        <v>5350</v>
      </c>
      <c r="J3098" s="569" t="s">
        <v>5321</v>
      </c>
      <c r="K3098" s="569" t="s">
        <v>752</v>
      </c>
      <c r="L3098" s="569">
        <v>6</v>
      </c>
      <c r="M3098" s="569">
        <v>0</v>
      </c>
      <c r="N3098" s="569" t="s">
        <v>157</v>
      </c>
      <c r="O3098" s="569">
        <v>2</v>
      </c>
      <c r="P3098" s="569" t="s">
        <v>5351</v>
      </c>
      <c r="Q3098" s="568">
        <v>9240</v>
      </c>
      <c r="R3098" s="569" t="s">
        <v>3203</v>
      </c>
      <c r="S3098" s="569">
        <v>8</v>
      </c>
      <c r="T3098" s="569">
        <v>38019</v>
      </c>
      <c r="U3098" s="569" t="s">
        <v>157</v>
      </c>
      <c r="V3098" s="569">
        <v>139.80000000000001</v>
      </c>
      <c r="W3098" s="569">
        <v>26</v>
      </c>
      <c r="X3098" s="568">
        <v>7300</v>
      </c>
      <c r="Y3098" s="569">
        <v>18</v>
      </c>
      <c r="Z3098" s="581" t="s">
        <v>178</v>
      </c>
      <c r="AA3098" s="581" t="s">
        <v>178</v>
      </c>
      <c r="AB3098" s="585">
        <v>40875</v>
      </c>
      <c r="AC3098" s="585" t="s">
        <v>164</v>
      </c>
      <c r="AD3098" s="585">
        <v>32980.199999999997</v>
      </c>
      <c r="AE3098" s="587">
        <v>0.03</v>
      </c>
      <c r="AF3098" s="661" t="str">
        <f t="shared" si="339"/>
        <v>2019-LTK-NIS-TITN-002-07</v>
      </c>
      <c r="AG3098" s="661" t="str">
        <f>IF(AND($Y3098&gt;=32,(AI3098="I"),(Y3098&lt;&gt;"~"),(COUNTIF($AN$1:$AN3098,$AN3098)=1)),"TRUE","FALSE")</f>
        <v>FALSE</v>
      </c>
      <c r="AH3098" s="661" t="str">
        <f>IF(AND($Y3098&gt;=22, (AI3098&lt;&gt;"I"),(Y3098&lt;&gt;"~"),(COUNTIF($AN$1:$AN3098,$AN3098)=1)),"TRUE","FALSE")</f>
        <v>FALSE</v>
      </c>
      <c r="AI3098" s="661" t="str">
        <f t="shared" si="334"/>
        <v>II</v>
      </c>
      <c r="AJ3098" s="662" t="str">
        <f t="shared" si="335"/>
        <v>TITN-002</v>
      </c>
      <c r="AK3098" s="662" t="str">
        <f t="shared" si="336"/>
        <v>LTK</v>
      </c>
      <c r="AL3098" s="662" t="str">
        <f t="shared" si="337"/>
        <v>NIS</v>
      </c>
      <c r="AM3098" s="662" t="str">
        <f t="shared" si="333"/>
        <v>Titan-Crew Cab S-4WD-6-5'7"-9240-5.6L-8-38019-~-139.8-26-Unleaded-Unleaded</v>
      </c>
      <c r="AN3098" s="662" t="str">
        <f t="shared" si="338"/>
        <v>2019-LTK-NIS-TITN-002</v>
      </c>
    </row>
    <row r="3099" spans="1:40" ht="15">
      <c r="A3099" s="570" t="s">
        <v>5354</v>
      </c>
      <c r="B3099" s="573" t="s">
        <v>5353</v>
      </c>
      <c r="C3099" s="573" t="s">
        <v>549</v>
      </c>
      <c r="D3099" s="578">
        <v>16</v>
      </c>
      <c r="E3099" s="573" t="s">
        <v>3374</v>
      </c>
      <c r="F3099" s="573" t="s">
        <v>152</v>
      </c>
      <c r="G3099" s="573" t="s">
        <v>545</v>
      </c>
      <c r="H3099" s="573">
        <v>2019</v>
      </c>
      <c r="I3099" s="573" t="s">
        <v>5350</v>
      </c>
      <c r="J3099" s="573" t="s">
        <v>5321</v>
      </c>
      <c r="K3099" s="573" t="s">
        <v>752</v>
      </c>
      <c r="L3099" s="573">
        <v>6</v>
      </c>
      <c r="M3099" s="573">
        <v>0</v>
      </c>
      <c r="N3099" s="573" t="s">
        <v>157</v>
      </c>
      <c r="O3099" s="573">
        <v>2</v>
      </c>
      <c r="P3099" s="573" t="s">
        <v>5351</v>
      </c>
      <c r="Q3099" s="571">
        <v>7300</v>
      </c>
      <c r="R3099" s="573" t="s">
        <v>3203</v>
      </c>
      <c r="S3099" s="573">
        <v>8</v>
      </c>
      <c r="T3099" s="573">
        <v>38019</v>
      </c>
      <c r="U3099" s="573" t="s">
        <v>157</v>
      </c>
      <c r="V3099" s="573">
        <v>139.80000000000001</v>
      </c>
      <c r="W3099" s="573">
        <v>26</v>
      </c>
      <c r="X3099" s="571">
        <v>7200</v>
      </c>
      <c r="Y3099" s="573">
        <v>18</v>
      </c>
      <c r="Z3099" s="579" t="s">
        <v>178</v>
      </c>
      <c r="AA3099" s="579" t="s">
        <v>178</v>
      </c>
      <c r="AB3099" s="584">
        <v>40875</v>
      </c>
      <c r="AC3099" s="584" t="s">
        <v>164</v>
      </c>
      <c r="AD3099" s="584">
        <v>32490</v>
      </c>
      <c r="AE3099" s="586">
        <v>0.05</v>
      </c>
      <c r="AF3099" s="661" t="str">
        <f t="shared" si="339"/>
        <v>2019-LTK-NIS-TITN-002-16</v>
      </c>
      <c r="AG3099" s="661" t="str">
        <f>IF(AND($Y3099&gt;=32,(AI3099="I"),(Y3099&lt;&gt;"~"),(COUNTIF($AN$1:$AN3099,$AN3099)=1)),"TRUE","FALSE")</f>
        <v>FALSE</v>
      </c>
      <c r="AH3099" s="661" t="str">
        <f>IF(AND($Y3099&gt;=22, (AI3099&lt;&gt;"I"),(Y3099&lt;&gt;"~"),(COUNTIF($AN$1:$AN3099,$AN3099)=1)),"TRUE","FALSE")</f>
        <v>FALSE</v>
      </c>
      <c r="AI3099" s="661" t="str">
        <f t="shared" si="334"/>
        <v>II</v>
      </c>
      <c r="AJ3099" s="662" t="str">
        <f t="shared" si="335"/>
        <v>TITN-002</v>
      </c>
      <c r="AK3099" s="662" t="str">
        <f t="shared" si="336"/>
        <v>LTK</v>
      </c>
      <c r="AL3099" s="662" t="str">
        <f t="shared" si="337"/>
        <v>NIS</v>
      </c>
      <c r="AM3099" s="662" t="str">
        <f t="shared" ref="AM3099:AM3162" si="340">CONCATENATE(I3099,"-",J3099,"-",K3099,"-",L3099,"-",P3099,"-",Q3099,"-",R3099,"-",S3099,"-",T3099,"-",U3099,"-",V3099,"-",W3099,"-",Z3099,"-",AA3099)</f>
        <v>Titan-Crew Cab S-4WD-6-5'7"-7300-5.6L-8-38019-~-139.8-26-Unleaded-Unleaded</v>
      </c>
      <c r="AN3099" s="662" t="str">
        <f t="shared" si="338"/>
        <v>2019-LTK-NIS-TITN-002</v>
      </c>
    </row>
    <row r="3100" spans="1:40" ht="15">
      <c r="A3100" s="570" t="s">
        <v>5355</v>
      </c>
      <c r="B3100" s="569" t="s">
        <v>5356</v>
      </c>
      <c r="C3100" s="569" t="s">
        <v>543</v>
      </c>
      <c r="D3100" s="580" t="s">
        <v>544</v>
      </c>
      <c r="E3100" s="569" t="s">
        <v>3374</v>
      </c>
      <c r="F3100" s="569" t="s">
        <v>152</v>
      </c>
      <c r="G3100" s="569" t="s">
        <v>545</v>
      </c>
      <c r="H3100" s="569">
        <v>2019</v>
      </c>
      <c r="I3100" s="569" t="s">
        <v>5350</v>
      </c>
      <c r="J3100" s="569" t="s">
        <v>5357</v>
      </c>
      <c r="K3100" s="569" t="s">
        <v>3377</v>
      </c>
      <c r="L3100" s="569">
        <v>6</v>
      </c>
      <c r="M3100" s="569">
        <v>0</v>
      </c>
      <c r="N3100" s="569" t="s">
        <v>157</v>
      </c>
      <c r="O3100" s="569">
        <v>2</v>
      </c>
      <c r="P3100" s="569" t="s">
        <v>5351</v>
      </c>
      <c r="Q3100" s="568">
        <v>9380</v>
      </c>
      <c r="R3100" s="569" t="s">
        <v>3203</v>
      </c>
      <c r="S3100" s="569">
        <v>8</v>
      </c>
      <c r="T3100" s="569">
        <v>38519</v>
      </c>
      <c r="U3100" s="569" t="s">
        <v>157</v>
      </c>
      <c r="V3100" s="569">
        <v>139.80000000000001</v>
      </c>
      <c r="W3100" s="569">
        <v>26</v>
      </c>
      <c r="X3100" s="568">
        <v>7100</v>
      </c>
      <c r="Y3100" s="569">
        <v>18</v>
      </c>
      <c r="Z3100" s="581" t="s">
        <v>178</v>
      </c>
      <c r="AA3100" s="581" t="s">
        <v>178</v>
      </c>
      <c r="AB3100" s="585">
        <v>49735</v>
      </c>
      <c r="AC3100" s="585" t="s">
        <v>164</v>
      </c>
      <c r="AD3100" s="585">
        <v>40989</v>
      </c>
      <c r="AE3100" s="587">
        <v>0.03</v>
      </c>
      <c r="AF3100" s="661" t="str">
        <f t="shared" si="339"/>
        <v>2019-LTK-NIS-TITN-003-07</v>
      </c>
      <c r="AG3100" s="661" t="str">
        <f>IF(AND($Y3100&gt;=32,(AI3100="I"),(Y3100&lt;&gt;"~"),(COUNTIF($AN$1:$AN3100,$AN3100)=1)),"TRUE","FALSE")</f>
        <v>FALSE</v>
      </c>
      <c r="AH3100" s="661" t="str">
        <f>IF(AND($Y3100&gt;=22, (AI3100&lt;&gt;"I"),(Y3100&lt;&gt;"~"),(COUNTIF($AN$1:$AN3100,$AN3100)=1)),"TRUE","FALSE")</f>
        <v>FALSE</v>
      </c>
      <c r="AI3100" s="661" t="str">
        <f t="shared" ref="AI3100:AI3163" si="341">IF(OR((LEFT($E3100,2)="01"),AND(LEFT($E3100,2)="06",ISNUMBER(SEARCH("pas",$F3100))),AND(LEFT($E3100,2)="05",ISNUMBER(SEARCH("pas",$F3100)))),"I",IF(AND((LEFT($E3100,2)&lt;&gt;"01"),$X3100&lt;=10000),"II",IF(AND((LEFT($E3100,2)&lt;&gt;"01"),$X3100&gt;10000),"N/A")))</f>
        <v>II</v>
      </c>
      <c r="AJ3100" s="662" t="str">
        <f t="shared" si="335"/>
        <v>TITN-003</v>
      </c>
      <c r="AK3100" s="662" t="str">
        <f t="shared" si="336"/>
        <v>LTK</v>
      </c>
      <c r="AL3100" s="662" t="str">
        <f t="shared" si="337"/>
        <v>NIS</v>
      </c>
      <c r="AM3100" s="662" t="str">
        <f t="shared" si="340"/>
        <v>Titan-Crew Cab SL-2WD-6-5'7"-9380-5.6L-8-38519-~-139.8-26-Unleaded-Unleaded</v>
      </c>
      <c r="AN3100" s="662" t="str">
        <f t="shared" si="338"/>
        <v>2019-LTK-NIS-TITN-003</v>
      </c>
    </row>
    <row r="3101" spans="1:40" ht="15">
      <c r="A3101" s="570" t="s">
        <v>5358</v>
      </c>
      <c r="B3101" s="573" t="s">
        <v>5359</v>
      </c>
      <c r="C3101" s="573" t="s">
        <v>543</v>
      </c>
      <c r="D3101" s="578" t="s">
        <v>544</v>
      </c>
      <c r="E3101" s="573" t="s">
        <v>3374</v>
      </c>
      <c r="F3101" s="573" t="s">
        <v>152</v>
      </c>
      <c r="G3101" s="573" t="s">
        <v>545</v>
      </c>
      <c r="H3101" s="573">
        <v>2019</v>
      </c>
      <c r="I3101" s="573" t="s">
        <v>5350</v>
      </c>
      <c r="J3101" s="573" t="s">
        <v>5357</v>
      </c>
      <c r="K3101" s="573" t="s">
        <v>752</v>
      </c>
      <c r="L3101" s="573">
        <v>6</v>
      </c>
      <c r="M3101" s="573">
        <v>0</v>
      </c>
      <c r="N3101" s="573" t="s">
        <v>157</v>
      </c>
      <c r="O3101" s="573">
        <v>2</v>
      </c>
      <c r="P3101" s="573" t="s">
        <v>5351</v>
      </c>
      <c r="Q3101" s="571">
        <v>9240</v>
      </c>
      <c r="R3101" s="573" t="s">
        <v>3203</v>
      </c>
      <c r="S3101" s="573">
        <v>8</v>
      </c>
      <c r="T3101" s="573">
        <v>38619</v>
      </c>
      <c r="U3101" s="573" t="s">
        <v>157</v>
      </c>
      <c r="V3101" s="573">
        <v>139.80000000000001</v>
      </c>
      <c r="W3101" s="573">
        <v>26</v>
      </c>
      <c r="X3101" s="571">
        <v>7300</v>
      </c>
      <c r="Y3101" s="573">
        <v>18</v>
      </c>
      <c r="Z3101" s="579" t="s">
        <v>178</v>
      </c>
      <c r="AA3101" s="579" t="s">
        <v>178</v>
      </c>
      <c r="AB3101" s="584">
        <v>52915</v>
      </c>
      <c r="AC3101" s="584" t="s">
        <v>164</v>
      </c>
      <c r="AD3101" s="584">
        <v>43999</v>
      </c>
      <c r="AE3101" s="586">
        <v>0.03</v>
      </c>
      <c r="AF3101" s="661" t="str">
        <f t="shared" si="339"/>
        <v>2019-LTK-NIS-TITN-004-07</v>
      </c>
      <c r="AG3101" s="661" t="str">
        <f>IF(AND($Y3101&gt;=32,(AI3101="I"),(Y3101&lt;&gt;"~"),(COUNTIF($AN$1:$AN3101,$AN3101)=1)),"TRUE","FALSE")</f>
        <v>FALSE</v>
      </c>
      <c r="AH3101" s="661" t="str">
        <f>IF(AND($Y3101&gt;=22, (AI3101&lt;&gt;"I"),(Y3101&lt;&gt;"~"),(COUNTIF($AN$1:$AN3101,$AN3101)=1)),"TRUE","FALSE")</f>
        <v>FALSE</v>
      </c>
      <c r="AI3101" s="661" t="str">
        <f t="shared" si="341"/>
        <v>II</v>
      </c>
      <c r="AJ3101" s="662" t="str">
        <f t="shared" si="335"/>
        <v>TITN-004</v>
      </c>
      <c r="AK3101" s="662" t="str">
        <f t="shared" si="336"/>
        <v>LTK</v>
      </c>
      <c r="AL3101" s="662" t="str">
        <f t="shared" si="337"/>
        <v>NIS</v>
      </c>
      <c r="AM3101" s="662" t="str">
        <f t="shared" si="340"/>
        <v>Titan-Crew Cab SL-4WD-6-5'7"-9240-5.6L-8-38619-~-139.8-26-Unleaded-Unleaded</v>
      </c>
      <c r="AN3101" s="662" t="str">
        <f t="shared" si="338"/>
        <v>2019-LTK-NIS-TITN-004</v>
      </c>
    </row>
    <row r="3102" spans="1:40" ht="15">
      <c r="A3102" s="570" t="s">
        <v>5360</v>
      </c>
      <c r="B3102" s="569" t="s">
        <v>5361</v>
      </c>
      <c r="C3102" s="569" t="s">
        <v>543</v>
      </c>
      <c r="D3102" s="580" t="s">
        <v>544</v>
      </c>
      <c r="E3102" s="569" t="s">
        <v>3374</v>
      </c>
      <c r="F3102" s="569" t="s">
        <v>152</v>
      </c>
      <c r="G3102" s="569" t="s">
        <v>545</v>
      </c>
      <c r="H3102" s="569">
        <v>2019</v>
      </c>
      <c r="I3102" s="569" t="s">
        <v>5350</v>
      </c>
      <c r="J3102" s="569" t="s">
        <v>5327</v>
      </c>
      <c r="K3102" s="569" t="s">
        <v>3377</v>
      </c>
      <c r="L3102" s="569">
        <v>6</v>
      </c>
      <c r="M3102" s="569">
        <v>0</v>
      </c>
      <c r="N3102" s="569" t="s">
        <v>157</v>
      </c>
      <c r="O3102" s="569">
        <v>2</v>
      </c>
      <c r="P3102" s="569" t="s">
        <v>5351</v>
      </c>
      <c r="Q3102" s="568">
        <v>9380</v>
      </c>
      <c r="R3102" s="569" t="s">
        <v>3203</v>
      </c>
      <c r="S3102" s="569">
        <v>8</v>
      </c>
      <c r="T3102" s="569">
        <v>38319</v>
      </c>
      <c r="U3102" s="569" t="s">
        <v>157</v>
      </c>
      <c r="V3102" s="569">
        <v>139.80000000000001</v>
      </c>
      <c r="W3102" s="569">
        <v>26</v>
      </c>
      <c r="X3102" s="568">
        <v>7100</v>
      </c>
      <c r="Y3102" s="569">
        <v>18</v>
      </c>
      <c r="Z3102" s="581" t="s">
        <v>178</v>
      </c>
      <c r="AA3102" s="581" t="s">
        <v>178</v>
      </c>
      <c r="AB3102" s="585">
        <v>40915</v>
      </c>
      <c r="AC3102" s="585" t="s">
        <v>164</v>
      </c>
      <c r="AD3102" s="585">
        <v>32624.6</v>
      </c>
      <c r="AE3102" s="587">
        <v>0.03</v>
      </c>
      <c r="AF3102" s="661" t="str">
        <f t="shared" si="339"/>
        <v>2019-LTK-NIS-TITN-005-07</v>
      </c>
      <c r="AG3102" s="661" t="str">
        <f>IF(AND($Y3102&gt;=32,(AI3102="I"),(Y3102&lt;&gt;"~"),(COUNTIF($AN$1:$AN3102,$AN3102)=1)),"TRUE","FALSE")</f>
        <v>FALSE</v>
      </c>
      <c r="AH3102" s="661" t="str">
        <f>IF(AND($Y3102&gt;=22, (AI3102&lt;&gt;"I"),(Y3102&lt;&gt;"~"),(COUNTIF($AN$1:$AN3102,$AN3102)=1)),"TRUE","FALSE")</f>
        <v>FALSE</v>
      </c>
      <c r="AI3102" s="661" t="str">
        <f t="shared" si="341"/>
        <v>II</v>
      </c>
      <c r="AJ3102" s="662" t="str">
        <f t="shared" si="335"/>
        <v>TITN-005</v>
      </c>
      <c r="AK3102" s="662" t="str">
        <f t="shared" si="336"/>
        <v>LTK</v>
      </c>
      <c r="AL3102" s="662" t="str">
        <f t="shared" si="337"/>
        <v>NIS</v>
      </c>
      <c r="AM3102" s="662" t="str">
        <f t="shared" si="340"/>
        <v>Titan-Crew Cab SV-2WD-6-5'7"-9380-5.6L-8-38319-~-139.8-26-Unleaded-Unleaded</v>
      </c>
      <c r="AN3102" s="662" t="str">
        <f t="shared" si="338"/>
        <v>2019-LTK-NIS-TITN-005</v>
      </c>
    </row>
    <row r="3103" spans="1:40" ht="15">
      <c r="A3103" s="570" t="s">
        <v>5362</v>
      </c>
      <c r="B3103" s="573" t="s">
        <v>5363</v>
      </c>
      <c r="C3103" s="573" t="s">
        <v>543</v>
      </c>
      <c r="D3103" s="578" t="s">
        <v>544</v>
      </c>
      <c r="E3103" s="573" t="s">
        <v>3374</v>
      </c>
      <c r="F3103" s="573" t="s">
        <v>152</v>
      </c>
      <c r="G3103" s="573" t="s">
        <v>545</v>
      </c>
      <c r="H3103" s="573">
        <v>2019</v>
      </c>
      <c r="I3103" s="573" t="s">
        <v>5350</v>
      </c>
      <c r="J3103" s="573" t="s">
        <v>5327</v>
      </c>
      <c r="K3103" s="573" t="s">
        <v>752</v>
      </c>
      <c r="L3103" s="573">
        <v>6</v>
      </c>
      <c r="M3103" s="573">
        <v>0</v>
      </c>
      <c r="N3103" s="573" t="s">
        <v>157</v>
      </c>
      <c r="O3103" s="573">
        <v>2</v>
      </c>
      <c r="P3103" s="573" t="s">
        <v>5351</v>
      </c>
      <c r="Q3103" s="571">
        <v>9240</v>
      </c>
      <c r="R3103" s="573" t="s">
        <v>3203</v>
      </c>
      <c r="S3103" s="573">
        <v>8</v>
      </c>
      <c r="T3103" s="573">
        <v>38219</v>
      </c>
      <c r="U3103" s="573" t="s">
        <v>157</v>
      </c>
      <c r="V3103" s="573">
        <v>139.80000000000001</v>
      </c>
      <c r="W3103" s="573">
        <v>26</v>
      </c>
      <c r="X3103" s="571">
        <v>7300</v>
      </c>
      <c r="Y3103" s="573">
        <v>18</v>
      </c>
      <c r="Z3103" s="579" t="s">
        <v>178</v>
      </c>
      <c r="AA3103" s="579" t="s">
        <v>178</v>
      </c>
      <c r="AB3103" s="584">
        <v>44045</v>
      </c>
      <c r="AC3103" s="584" t="s">
        <v>164</v>
      </c>
      <c r="AD3103" s="584">
        <v>35692</v>
      </c>
      <c r="AE3103" s="586">
        <v>0.03</v>
      </c>
      <c r="AF3103" s="661" t="str">
        <f t="shared" si="339"/>
        <v>2019-LTK-NIS-TITN-006-07</v>
      </c>
      <c r="AG3103" s="661" t="str">
        <f>IF(AND($Y3103&gt;=32,(AI3103="I"),(Y3103&lt;&gt;"~"),(COUNTIF($AN$1:$AN3103,$AN3103)=1)),"TRUE","FALSE")</f>
        <v>FALSE</v>
      </c>
      <c r="AH3103" s="661" t="str">
        <f>IF(AND($Y3103&gt;=22, (AI3103&lt;&gt;"I"),(Y3103&lt;&gt;"~"),(COUNTIF($AN$1:$AN3103,$AN3103)=1)),"TRUE","FALSE")</f>
        <v>FALSE</v>
      </c>
      <c r="AI3103" s="661" t="str">
        <f t="shared" si="341"/>
        <v>II</v>
      </c>
      <c r="AJ3103" s="662" t="str">
        <f t="shared" si="335"/>
        <v>TITN-006</v>
      </c>
      <c r="AK3103" s="662" t="str">
        <f t="shared" si="336"/>
        <v>LTK</v>
      </c>
      <c r="AL3103" s="662" t="str">
        <f t="shared" si="337"/>
        <v>NIS</v>
      </c>
      <c r="AM3103" s="662" t="str">
        <f t="shared" si="340"/>
        <v>Titan-Crew Cab SV-4WD-6-5'7"-9240-5.6L-8-38219-~-139.8-26-Unleaded-Unleaded</v>
      </c>
      <c r="AN3103" s="662" t="str">
        <f t="shared" si="338"/>
        <v>2019-LTK-NIS-TITN-006</v>
      </c>
    </row>
    <row r="3104" spans="1:40" ht="15">
      <c r="A3104" s="570" t="s">
        <v>5364</v>
      </c>
      <c r="B3104" s="569" t="s">
        <v>5363</v>
      </c>
      <c r="C3104" s="569" t="s">
        <v>549</v>
      </c>
      <c r="D3104" s="580">
        <v>16</v>
      </c>
      <c r="E3104" s="569" t="s">
        <v>3374</v>
      </c>
      <c r="F3104" s="569" t="s">
        <v>152</v>
      </c>
      <c r="G3104" s="569" t="s">
        <v>545</v>
      </c>
      <c r="H3104" s="569">
        <v>2019</v>
      </c>
      <c r="I3104" s="569" t="s">
        <v>5350</v>
      </c>
      <c r="J3104" s="569" t="s">
        <v>5327</v>
      </c>
      <c r="K3104" s="569" t="s">
        <v>752</v>
      </c>
      <c r="L3104" s="569">
        <v>6</v>
      </c>
      <c r="M3104" s="569">
        <v>0</v>
      </c>
      <c r="N3104" s="569" t="s">
        <v>157</v>
      </c>
      <c r="O3104" s="569">
        <v>2</v>
      </c>
      <c r="P3104" s="569" t="s">
        <v>5351</v>
      </c>
      <c r="Q3104" s="568">
        <v>7300</v>
      </c>
      <c r="R3104" s="569" t="s">
        <v>3203</v>
      </c>
      <c r="S3104" s="569">
        <v>8</v>
      </c>
      <c r="T3104" s="569">
        <v>38219</v>
      </c>
      <c r="U3104" s="569" t="s">
        <v>157</v>
      </c>
      <c r="V3104" s="569">
        <v>139.80000000000001</v>
      </c>
      <c r="W3104" s="569">
        <v>26</v>
      </c>
      <c r="X3104" s="568">
        <v>7200</v>
      </c>
      <c r="Y3104" s="569">
        <v>18</v>
      </c>
      <c r="Z3104" s="581" t="s">
        <v>178</v>
      </c>
      <c r="AA3104" s="581" t="s">
        <v>178</v>
      </c>
      <c r="AB3104" s="585">
        <v>44045</v>
      </c>
      <c r="AC3104" s="585" t="s">
        <v>164</v>
      </c>
      <c r="AD3104" s="585">
        <v>35790</v>
      </c>
      <c r="AE3104" s="587">
        <v>0.05</v>
      </c>
      <c r="AF3104" s="661" t="str">
        <f t="shared" si="339"/>
        <v>2019-LTK-NIS-TITN-006-16</v>
      </c>
      <c r="AG3104" s="661" t="str">
        <f>IF(AND($Y3104&gt;=32,(AI3104="I"),(Y3104&lt;&gt;"~"),(COUNTIF($AN$1:$AN3104,$AN3104)=1)),"TRUE","FALSE")</f>
        <v>FALSE</v>
      </c>
      <c r="AH3104" s="661" t="str">
        <f>IF(AND($Y3104&gt;=22, (AI3104&lt;&gt;"I"),(Y3104&lt;&gt;"~"),(COUNTIF($AN$1:$AN3104,$AN3104)=1)),"TRUE","FALSE")</f>
        <v>FALSE</v>
      </c>
      <c r="AI3104" s="661" t="str">
        <f t="shared" si="341"/>
        <v>II</v>
      </c>
      <c r="AJ3104" s="662" t="str">
        <f t="shared" si="335"/>
        <v>TITN-006</v>
      </c>
      <c r="AK3104" s="662" t="str">
        <f t="shared" si="336"/>
        <v>LTK</v>
      </c>
      <c r="AL3104" s="662" t="str">
        <f t="shared" si="337"/>
        <v>NIS</v>
      </c>
      <c r="AM3104" s="662" t="str">
        <f t="shared" si="340"/>
        <v>Titan-Crew Cab SV-4WD-6-5'7"-7300-5.6L-8-38219-~-139.8-26-Unleaded-Unleaded</v>
      </c>
      <c r="AN3104" s="662" t="str">
        <f t="shared" si="338"/>
        <v>2019-LTK-NIS-TITN-006</v>
      </c>
    </row>
    <row r="3105" spans="1:40" ht="15">
      <c r="A3105" s="570" t="s">
        <v>5365</v>
      </c>
      <c r="B3105" s="573" t="s">
        <v>5366</v>
      </c>
      <c r="C3105" s="573" t="s">
        <v>543</v>
      </c>
      <c r="D3105" s="578" t="s">
        <v>544</v>
      </c>
      <c r="E3105" s="573" t="s">
        <v>3374</v>
      </c>
      <c r="F3105" s="573" t="s">
        <v>152</v>
      </c>
      <c r="G3105" s="573" t="s">
        <v>545</v>
      </c>
      <c r="H3105" s="573">
        <v>2019</v>
      </c>
      <c r="I3105" s="573" t="s">
        <v>5350</v>
      </c>
      <c r="J3105" s="573" t="s">
        <v>5337</v>
      </c>
      <c r="K3105" s="573" t="s">
        <v>3377</v>
      </c>
      <c r="L3105" s="573">
        <v>6</v>
      </c>
      <c r="M3105" s="573">
        <v>0</v>
      </c>
      <c r="N3105" s="573" t="s">
        <v>157</v>
      </c>
      <c r="O3105" s="573">
        <v>2</v>
      </c>
      <c r="P3105" s="573" t="s">
        <v>5367</v>
      </c>
      <c r="Q3105" s="571">
        <v>9450</v>
      </c>
      <c r="R3105" s="573" t="s">
        <v>3203</v>
      </c>
      <c r="S3105" s="573">
        <v>8</v>
      </c>
      <c r="T3105" s="573">
        <v>37119</v>
      </c>
      <c r="U3105" s="573" t="s">
        <v>157</v>
      </c>
      <c r="V3105" s="573">
        <v>139.80000000000001</v>
      </c>
      <c r="W3105" s="573">
        <v>26</v>
      </c>
      <c r="X3105" s="571">
        <v>7100</v>
      </c>
      <c r="Y3105" s="573">
        <v>18</v>
      </c>
      <c r="Z3105" s="579" t="s">
        <v>178</v>
      </c>
      <c r="AA3105" s="579" t="s">
        <v>178</v>
      </c>
      <c r="AB3105" s="584">
        <v>35035</v>
      </c>
      <c r="AC3105" s="584" t="s">
        <v>164</v>
      </c>
      <c r="AD3105" s="584">
        <v>27599</v>
      </c>
      <c r="AE3105" s="586">
        <v>0.03</v>
      </c>
      <c r="AF3105" s="661" t="str">
        <f t="shared" si="339"/>
        <v>2019-LTK-NIS-TITN-007-07</v>
      </c>
      <c r="AG3105" s="661" t="str">
        <f>IF(AND($Y3105&gt;=32,(AI3105="I"),(Y3105&lt;&gt;"~"),(COUNTIF($AN$1:$AN3105,$AN3105)=1)),"TRUE","FALSE")</f>
        <v>FALSE</v>
      </c>
      <c r="AH3105" s="661" t="str">
        <f>IF(AND($Y3105&gt;=22, (AI3105&lt;&gt;"I"),(Y3105&lt;&gt;"~"),(COUNTIF($AN$1:$AN3105,$AN3105)=1)),"TRUE","FALSE")</f>
        <v>FALSE</v>
      </c>
      <c r="AI3105" s="661" t="str">
        <f t="shared" si="341"/>
        <v>II</v>
      </c>
      <c r="AJ3105" s="662" t="str">
        <f t="shared" si="335"/>
        <v>TITN-007</v>
      </c>
      <c r="AK3105" s="662" t="str">
        <f t="shared" si="336"/>
        <v>LTK</v>
      </c>
      <c r="AL3105" s="662" t="str">
        <f t="shared" si="337"/>
        <v>NIS</v>
      </c>
      <c r="AM3105" s="662" t="str">
        <f t="shared" si="340"/>
        <v>Titan-King Cab S-2WD-6-6'7"-9450-5.6L-8-37119-~-139.8-26-Unleaded-Unleaded</v>
      </c>
      <c r="AN3105" s="662" t="str">
        <f t="shared" si="338"/>
        <v>2019-LTK-NIS-TITN-007</v>
      </c>
    </row>
    <row r="3106" spans="1:40" ht="15">
      <c r="A3106" s="570" t="s">
        <v>5368</v>
      </c>
      <c r="B3106" s="569" t="s">
        <v>5369</v>
      </c>
      <c r="C3106" s="569" t="s">
        <v>543</v>
      </c>
      <c r="D3106" s="580" t="s">
        <v>544</v>
      </c>
      <c r="E3106" s="569" t="s">
        <v>3374</v>
      </c>
      <c r="F3106" s="569" t="s">
        <v>152</v>
      </c>
      <c r="G3106" s="569" t="s">
        <v>545</v>
      </c>
      <c r="H3106" s="569">
        <v>2019</v>
      </c>
      <c r="I3106" s="569" t="s">
        <v>5350</v>
      </c>
      <c r="J3106" s="569" t="s">
        <v>5337</v>
      </c>
      <c r="K3106" s="569" t="s">
        <v>752</v>
      </c>
      <c r="L3106" s="569">
        <v>6</v>
      </c>
      <c r="M3106" s="569">
        <v>0</v>
      </c>
      <c r="N3106" s="569" t="s">
        <v>157</v>
      </c>
      <c r="O3106" s="569">
        <v>2</v>
      </c>
      <c r="P3106" s="569" t="s">
        <v>5367</v>
      </c>
      <c r="Q3106" s="568">
        <v>9250</v>
      </c>
      <c r="R3106" s="569" t="s">
        <v>3203</v>
      </c>
      <c r="S3106" s="569">
        <v>8</v>
      </c>
      <c r="T3106" s="569">
        <v>37019</v>
      </c>
      <c r="U3106" s="569" t="s">
        <v>157</v>
      </c>
      <c r="V3106" s="569">
        <v>139.80000000000001</v>
      </c>
      <c r="W3106" s="569">
        <v>26</v>
      </c>
      <c r="X3106" s="568">
        <v>7300</v>
      </c>
      <c r="Y3106" s="569">
        <v>18</v>
      </c>
      <c r="Z3106" s="581" t="s">
        <v>178</v>
      </c>
      <c r="AA3106" s="581" t="s">
        <v>178</v>
      </c>
      <c r="AB3106" s="585">
        <v>38165</v>
      </c>
      <c r="AC3106" s="585" t="s">
        <v>164</v>
      </c>
      <c r="AD3106" s="585">
        <v>30297.300000000003</v>
      </c>
      <c r="AE3106" s="587">
        <v>0.03</v>
      </c>
      <c r="AF3106" s="661" t="str">
        <f t="shared" si="339"/>
        <v>2019-LTK-NIS-TITN-008-07</v>
      </c>
      <c r="AG3106" s="661" t="str">
        <f>IF(AND($Y3106&gt;=32,(AI3106="I"),(Y3106&lt;&gt;"~"),(COUNTIF($AN$1:$AN3106,$AN3106)=1)),"TRUE","FALSE")</f>
        <v>FALSE</v>
      </c>
      <c r="AH3106" s="661" t="str">
        <f>IF(AND($Y3106&gt;=22, (AI3106&lt;&gt;"I"),(Y3106&lt;&gt;"~"),(COUNTIF($AN$1:$AN3106,$AN3106)=1)),"TRUE","FALSE")</f>
        <v>FALSE</v>
      </c>
      <c r="AI3106" s="661" t="str">
        <f t="shared" si="341"/>
        <v>II</v>
      </c>
      <c r="AJ3106" s="662" t="str">
        <f t="shared" si="335"/>
        <v>TITN-008</v>
      </c>
      <c r="AK3106" s="662" t="str">
        <f t="shared" si="336"/>
        <v>LTK</v>
      </c>
      <c r="AL3106" s="662" t="str">
        <f t="shared" si="337"/>
        <v>NIS</v>
      </c>
      <c r="AM3106" s="662" t="str">
        <f t="shared" si="340"/>
        <v>Titan-King Cab S-4WD-6-6'7"-9250-5.6L-8-37019-~-139.8-26-Unleaded-Unleaded</v>
      </c>
      <c r="AN3106" s="662" t="str">
        <f t="shared" si="338"/>
        <v>2019-LTK-NIS-TITN-008</v>
      </c>
    </row>
    <row r="3107" spans="1:40" ht="15">
      <c r="A3107" s="570" t="s">
        <v>5370</v>
      </c>
      <c r="B3107" s="573" t="s">
        <v>5369</v>
      </c>
      <c r="C3107" s="573" t="s">
        <v>549</v>
      </c>
      <c r="D3107" s="578">
        <v>16</v>
      </c>
      <c r="E3107" s="573" t="s">
        <v>3374</v>
      </c>
      <c r="F3107" s="573" t="s">
        <v>152</v>
      </c>
      <c r="G3107" s="573" t="s">
        <v>545</v>
      </c>
      <c r="H3107" s="573">
        <v>2019</v>
      </c>
      <c r="I3107" s="573" t="s">
        <v>5350</v>
      </c>
      <c r="J3107" s="573" t="s">
        <v>5337</v>
      </c>
      <c r="K3107" s="573" t="s">
        <v>752</v>
      </c>
      <c r="L3107" s="573">
        <v>6</v>
      </c>
      <c r="M3107" s="573">
        <v>0</v>
      </c>
      <c r="N3107" s="573" t="s">
        <v>157</v>
      </c>
      <c r="O3107" s="573">
        <v>2</v>
      </c>
      <c r="P3107" s="573" t="s">
        <v>5367</v>
      </c>
      <c r="Q3107" s="571">
        <v>7400</v>
      </c>
      <c r="R3107" s="573" t="s">
        <v>3203</v>
      </c>
      <c r="S3107" s="573">
        <v>8</v>
      </c>
      <c r="T3107" s="573">
        <v>37019</v>
      </c>
      <c r="U3107" s="573" t="s">
        <v>157</v>
      </c>
      <c r="V3107" s="573">
        <v>139.80000000000001</v>
      </c>
      <c r="W3107" s="573">
        <v>26</v>
      </c>
      <c r="X3107" s="571">
        <v>7300</v>
      </c>
      <c r="Y3107" s="573">
        <v>18</v>
      </c>
      <c r="Z3107" s="579" t="s">
        <v>178</v>
      </c>
      <c r="AA3107" s="579" t="s">
        <v>178</v>
      </c>
      <c r="AB3107" s="584">
        <v>38165</v>
      </c>
      <c r="AC3107" s="584" t="s">
        <v>164</v>
      </c>
      <c r="AD3107" s="584">
        <v>29990</v>
      </c>
      <c r="AE3107" s="586">
        <v>0.05</v>
      </c>
      <c r="AF3107" s="661" t="str">
        <f t="shared" si="339"/>
        <v>2019-LTK-NIS-TITN-008-16</v>
      </c>
      <c r="AG3107" s="661" t="str">
        <f>IF(AND($Y3107&gt;=32,(AI3107="I"),(Y3107&lt;&gt;"~"),(COUNTIF($AN$1:$AN3107,$AN3107)=1)),"TRUE","FALSE")</f>
        <v>FALSE</v>
      </c>
      <c r="AH3107" s="661" t="str">
        <f>IF(AND($Y3107&gt;=22, (AI3107&lt;&gt;"I"),(Y3107&lt;&gt;"~"),(COUNTIF($AN$1:$AN3107,$AN3107)=1)),"TRUE","FALSE")</f>
        <v>FALSE</v>
      </c>
      <c r="AI3107" s="661" t="str">
        <f t="shared" si="341"/>
        <v>II</v>
      </c>
      <c r="AJ3107" s="662" t="str">
        <f t="shared" si="335"/>
        <v>TITN-008</v>
      </c>
      <c r="AK3107" s="662" t="str">
        <f t="shared" si="336"/>
        <v>LTK</v>
      </c>
      <c r="AL3107" s="662" t="str">
        <f t="shared" si="337"/>
        <v>NIS</v>
      </c>
      <c r="AM3107" s="662" t="str">
        <f t="shared" si="340"/>
        <v>Titan-King Cab S-4WD-6-6'7"-7400-5.6L-8-37019-~-139.8-26-Unleaded-Unleaded</v>
      </c>
      <c r="AN3107" s="662" t="str">
        <f t="shared" si="338"/>
        <v>2019-LTK-NIS-TITN-008</v>
      </c>
    </row>
    <row r="3108" spans="1:40" ht="15">
      <c r="A3108" s="570" t="s">
        <v>5371</v>
      </c>
      <c r="B3108" s="569" t="s">
        <v>5372</v>
      </c>
      <c r="C3108" s="569" t="s">
        <v>543</v>
      </c>
      <c r="D3108" s="580" t="s">
        <v>544</v>
      </c>
      <c r="E3108" s="569" t="s">
        <v>3374</v>
      </c>
      <c r="F3108" s="569" t="s">
        <v>152</v>
      </c>
      <c r="G3108" s="569" t="s">
        <v>545</v>
      </c>
      <c r="H3108" s="569">
        <v>2019</v>
      </c>
      <c r="I3108" s="569" t="s">
        <v>5350</v>
      </c>
      <c r="J3108" s="569" t="s">
        <v>5341</v>
      </c>
      <c r="K3108" s="569" t="s">
        <v>3377</v>
      </c>
      <c r="L3108" s="569">
        <v>6</v>
      </c>
      <c r="M3108" s="569">
        <v>0</v>
      </c>
      <c r="N3108" s="569" t="s">
        <v>157</v>
      </c>
      <c r="O3108" s="569">
        <v>2</v>
      </c>
      <c r="P3108" s="569" t="s">
        <v>5367</v>
      </c>
      <c r="Q3108" s="568">
        <v>9450</v>
      </c>
      <c r="R3108" s="569" t="s">
        <v>3203</v>
      </c>
      <c r="S3108" s="569">
        <v>8</v>
      </c>
      <c r="T3108" s="569">
        <v>37319</v>
      </c>
      <c r="U3108" s="569" t="s">
        <v>157</v>
      </c>
      <c r="V3108" s="569">
        <v>139.80000000000001</v>
      </c>
      <c r="W3108" s="569">
        <v>26</v>
      </c>
      <c r="X3108" s="568">
        <v>7100</v>
      </c>
      <c r="Y3108" s="569">
        <v>18</v>
      </c>
      <c r="Z3108" s="581" t="s">
        <v>178</v>
      </c>
      <c r="AA3108" s="581" t="s">
        <v>178</v>
      </c>
      <c r="AB3108" s="585">
        <v>38445</v>
      </c>
      <c r="AC3108" s="585" t="s">
        <v>164</v>
      </c>
      <c r="AD3108" s="585">
        <v>30574.5</v>
      </c>
      <c r="AE3108" s="587">
        <v>0.03</v>
      </c>
      <c r="AF3108" s="661" t="str">
        <f t="shared" si="339"/>
        <v>2019-LTK-NIS-TITN-009-07</v>
      </c>
      <c r="AG3108" s="661" t="str">
        <f>IF(AND($Y3108&gt;=32,(AI3108="I"),(Y3108&lt;&gt;"~"),(COUNTIF($AN$1:$AN3108,$AN3108)=1)),"TRUE","FALSE")</f>
        <v>FALSE</v>
      </c>
      <c r="AH3108" s="661" t="str">
        <f>IF(AND($Y3108&gt;=22, (AI3108&lt;&gt;"I"),(Y3108&lt;&gt;"~"),(COUNTIF($AN$1:$AN3108,$AN3108)=1)),"TRUE","FALSE")</f>
        <v>FALSE</v>
      </c>
      <c r="AI3108" s="661" t="str">
        <f t="shared" si="341"/>
        <v>II</v>
      </c>
      <c r="AJ3108" s="662" t="str">
        <f t="shared" si="335"/>
        <v>TITN-009</v>
      </c>
      <c r="AK3108" s="662" t="str">
        <f t="shared" si="336"/>
        <v>LTK</v>
      </c>
      <c r="AL3108" s="662" t="str">
        <f t="shared" si="337"/>
        <v>NIS</v>
      </c>
      <c r="AM3108" s="662" t="str">
        <f t="shared" si="340"/>
        <v>Titan-King Cab SV-2WD-6-6'7"-9450-5.6L-8-37319-~-139.8-26-Unleaded-Unleaded</v>
      </c>
      <c r="AN3108" s="662" t="str">
        <f t="shared" si="338"/>
        <v>2019-LTK-NIS-TITN-009</v>
      </c>
    </row>
    <row r="3109" spans="1:40" ht="15">
      <c r="A3109" s="570" t="s">
        <v>5373</v>
      </c>
      <c r="B3109" s="573" t="s">
        <v>5374</v>
      </c>
      <c r="C3109" s="573" t="s">
        <v>543</v>
      </c>
      <c r="D3109" s="578" t="s">
        <v>544</v>
      </c>
      <c r="E3109" s="573" t="s">
        <v>3374</v>
      </c>
      <c r="F3109" s="573" t="s">
        <v>152</v>
      </c>
      <c r="G3109" s="573" t="s">
        <v>545</v>
      </c>
      <c r="H3109" s="573">
        <v>2019</v>
      </c>
      <c r="I3109" s="573" t="s">
        <v>5350</v>
      </c>
      <c r="J3109" s="573" t="s">
        <v>5341</v>
      </c>
      <c r="K3109" s="573" t="s">
        <v>752</v>
      </c>
      <c r="L3109" s="573">
        <v>6</v>
      </c>
      <c r="M3109" s="573">
        <v>0</v>
      </c>
      <c r="N3109" s="573" t="s">
        <v>157</v>
      </c>
      <c r="O3109" s="573">
        <v>2</v>
      </c>
      <c r="P3109" s="573" t="s">
        <v>5367</v>
      </c>
      <c r="Q3109" s="571">
        <v>9250</v>
      </c>
      <c r="R3109" s="573" t="s">
        <v>3203</v>
      </c>
      <c r="S3109" s="573">
        <v>8</v>
      </c>
      <c r="T3109" s="573">
        <v>37219</v>
      </c>
      <c r="U3109" s="573" t="s">
        <v>157</v>
      </c>
      <c r="V3109" s="573">
        <v>139.80000000000001</v>
      </c>
      <c r="W3109" s="573">
        <v>26</v>
      </c>
      <c r="X3109" s="571">
        <v>7300</v>
      </c>
      <c r="Y3109" s="573">
        <v>18</v>
      </c>
      <c r="Z3109" s="579" t="s">
        <v>178</v>
      </c>
      <c r="AA3109" s="579" t="s">
        <v>178</v>
      </c>
      <c r="AB3109" s="584">
        <v>41575</v>
      </c>
      <c r="AC3109" s="584" t="s">
        <v>164</v>
      </c>
      <c r="AD3109" s="584">
        <v>33673.199999999997</v>
      </c>
      <c r="AE3109" s="586">
        <v>0.03</v>
      </c>
      <c r="AF3109" s="661" t="str">
        <f t="shared" si="339"/>
        <v>2019-LTK-NIS-TITN-010-07</v>
      </c>
      <c r="AG3109" s="661" t="str">
        <f>IF(AND($Y3109&gt;=32,(AI3109="I"),(Y3109&lt;&gt;"~"),(COUNTIF($AN$1:$AN3109,$AN3109)=1)),"TRUE","FALSE")</f>
        <v>FALSE</v>
      </c>
      <c r="AH3109" s="661" t="str">
        <f>IF(AND($Y3109&gt;=22, (AI3109&lt;&gt;"I"),(Y3109&lt;&gt;"~"),(COUNTIF($AN$1:$AN3109,$AN3109)=1)),"TRUE","FALSE")</f>
        <v>FALSE</v>
      </c>
      <c r="AI3109" s="661" t="str">
        <f t="shared" si="341"/>
        <v>II</v>
      </c>
      <c r="AJ3109" s="662" t="str">
        <f t="shared" si="335"/>
        <v>TITN-010</v>
      </c>
      <c r="AK3109" s="662" t="str">
        <f t="shared" si="336"/>
        <v>LTK</v>
      </c>
      <c r="AL3109" s="662" t="str">
        <f t="shared" si="337"/>
        <v>NIS</v>
      </c>
      <c r="AM3109" s="662" t="str">
        <f t="shared" si="340"/>
        <v>Titan-King Cab SV-4WD-6-6'7"-9250-5.6L-8-37219-~-139.8-26-Unleaded-Unleaded</v>
      </c>
      <c r="AN3109" s="662" t="str">
        <f t="shared" si="338"/>
        <v>2019-LTK-NIS-TITN-010</v>
      </c>
    </row>
    <row r="3110" spans="1:40" ht="15">
      <c r="A3110" s="570" t="s">
        <v>5375</v>
      </c>
      <c r="B3110" s="569" t="s">
        <v>5374</v>
      </c>
      <c r="C3110" s="569" t="s">
        <v>549</v>
      </c>
      <c r="D3110" s="580">
        <v>16</v>
      </c>
      <c r="E3110" s="569" t="s">
        <v>3374</v>
      </c>
      <c r="F3110" s="569" t="s">
        <v>152</v>
      </c>
      <c r="G3110" s="569" t="s">
        <v>545</v>
      </c>
      <c r="H3110" s="569">
        <v>2019</v>
      </c>
      <c r="I3110" s="569" t="s">
        <v>5350</v>
      </c>
      <c r="J3110" s="569" t="s">
        <v>5341</v>
      </c>
      <c r="K3110" s="569" t="s">
        <v>752</v>
      </c>
      <c r="L3110" s="569">
        <v>6</v>
      </c>
      <c r="M3110" s="569">
        <v>0</v>
      </c>
      <c r="N3110" s="569" t="s">
        <v>157</v>
      </c>
      <c r="O3110" s="569">
        <v>2</v>
      </c>
      <c r="P3110" s="569" t="s">
        <v>5367</v>
      </c>
      <c r="Q3110" s="568">
        <v>7400</v>
      </c>
      <c r="R3110" s="569" t="s">
        <v>3203</v>
      </c>
      <c r="S3110" s="569">
        <v>8</v>
      </c>
      <c r="T3110" s="569">
        <v>37219</v>
      </c>
      <c r="U3110" s="569" t="s">
        <v>157</v>
      </c>
      <c r="V3110" s="569">
        <v>139.80000000000001</v>
      </c>
      <c r="W3110" s="569">
        <v>26</v>
      </c>
      <c r="X3110" s="568">
        <v>7101</v>
      </c>
      <c r="Y3110" s="569">
        <v>18</v>
      </c>
      <c r="Z3110" s="581" t="s">
        <v>178</v>
      </c>
      <c r="AA3110" s="581" t="s">
        <v>178</v>
      </c>
      <c r="AB3110" s="585">
        <v>41575</v>
      </c>
      <c r="AC3110" s="585" t="s">
        <v>164</v>
      </c>
      <c r="AD3110" s="585">
        <v>32990</v>
      </c>
      <c r="AE3110" s="587">
        <v>0.05</v>
      </c>
      <c r="AF3110" s="661" t="str">
        <f t="shared" si="339"/>
        <v>2019-LTK-NIS-TITN-010-16</v>
      </c>
      <c r="AG3110" s="661" t="str">
        <f>IF(AND($Y3110&gt;=32,(AI3110="I"),(Y3110&lt;&gt;"~"),(COUNTIF($AN$1:$AN3110,$AN3110)=1)),"TRUE","FALSE")</f>
        <v>FALSE</v>
      </c>
      <c r="AH3110" s="661" t="str">
        <f>IF(AND($Y3110&gt;=22, (AI3110&lt;&gt;"I"),(Y3110&lt;&gt;"~"),(COUNTIF($AN$1:$AN3110,$AN3110)=1)),"TRUE","FALSE")</f>
        <v>FALSE</v>
      </c>
      <c r="AI3110" s="661" t="str">
        <f t="shared" si="341"/>
        <v>II</v>
      </c>
      <c r="AJ3110" s="662" t="str">
        <f t="shared" si="335"/>
        <v>TITN-010</v>
      </c>
      <c r="AK3110" s="662" t="str">
        <f t="shared" si="336"/>
        <v>LTK</v>
      </c>
      <c r="AL3110" s="662" t="str">
        <f t="shared" si="337"/>
        <v>NIS</v>
      </c>
      <c r="AM3110" s="662" t="str">
        <f t="shared" si="340"/>
        <v>Titan-King Cab SV-4WD-6-6'7"-7400-5.6L-8-37219-~-139.8-26-Unleaded-Unleaded</v>
      </c>
      <c r="AN3110" s="662" t="str">
        <f t="shared" si="338"/>
        <v>2019-LTK-NIS-TITN-010</v>
      </c>
    </row>
    <row r="3111" spans="1:40" ht="15">
      <c r="A3111" s="570" t="s">
        <v>5376</v>
      </c>
      <c r="B3111" s="573" t="s">
        <v>5377</v>
      </c>
      <c r="C3111" s="573" t="s">
        <v>543</v>
      </c>
      <c r="D3111" s="578" t="s">
        <v>544</v>
      </c>
      <c r="E3111" s="573" t="s">
        <v>3374</v>
      </c>
      <c r="F3111" s="573" t="s">
        <v>152</v>
      </c>
      <c r="G3111" s="573" t="s">
        <v>545</v>
      </c>
      <c r="H3111" s="573">
        <v>2019</v>
      </c>
      <c r="I3111" s="573" t="s">
        <v>5350</v>
      </c>
      <c r="J3111" s="573" t="s">
        <v>5378</v>
      </c>
      <c r="K3111" s="573" t="s">
        <v>752</v>
      </c>
      <c r="L3111" s="573">
        <v>3</v>
      </c>
      <c r="M3111" s="573">
        <v>0</v>
      </c>
      <c r="N3111" s="573" t="s">
        <v>157</v>
      </c>
      <c r="O3111" s="573">
        <v>1</v>
      </c>
      <c r="P3111" s="573" t="s">
        <v>5367</v>
      </c>
      <c r="Q3111" s="571">
        <v>9540</v>
      </c>
      <c r="R3111" s="573" t="s">
        <v>3203</v>
      </c>
      <c r="S3111" s="573">
        <v>6</v>
      </c>
      <c r="T3111" s="573">
        <v>36019</v>
      </c>
      <c r="U3111" s="573" t="s">
        <v>157</v>
      </c>
      <c r="V3111" s="573">
        <v>139.80000000000001</v>
      </c>
      <c r="W3111" s="573">
        <v>26</v>
      </c>
      <c r="X3111" s="571">
        <v>7300</v>
      </c>
      <c r="Y3111" s="573">
        <v>18</v>
      </c>
      <c r="Z3111" s="579" t="s">
        <v>178</v>
      </c>
      <c r="AA3111" s="579" t="s">
        <v>178</v>
      </c>
      <c r="AB3111" s="584">
        <v>35165</v>
      </c>
      <c r="AC3111" s="584" t="s">
        <v>164</v>
      </c>
      <c r="AD3111" s="584">
        <v>27909</v>
      </c>
      <c r="AE3111" s="586">
        <v>0.03</v>
      </c>
      <c r="AF3111" s="661" t="str">
        <f t="shared" si="339"/>
        <v>2019-LTK-NIS-TITN-011-07</v>
      </c>
      <c r="AG3111" s="661" t="str">
        <f>IF(AND($Y3111&gt;=32,(AI3111="I"),(Y3111&lt;&gt;"~"),(COUNTIF($AN$1:$AN3111,$AN3111)=1)),"TRUE","FALSE")</f>
        <v>FALSE</v>
      </c>
      <c r="AH3111" s="661" t="str">
        <f>IF(AND($Y3111&gt;=22, (AI3111&lt;&gt;"I"),(Y3111&lt;&gt;"~"),(COUNTIF($AN$1:$AN3111,$AN3111)=1)),"TRUE","FALSE")</f>
        <v>FALSE</v>
      </c>
      <c r="AI3111" s="661" t="str">
        <f t="shared" si="341"/>
        <v>II</v>
      </c>
      <c r="AJ3111" s="662" t="str">
        <f t="shared" si="335"/>
        <v>TITN-011</v>
      </c>
      <c r="AK3111" s="662" t="str">
        <f t="shared" si="336"/>
        <v>LTK</v>
      </c>
      <c r="AL3111" s="662" t="str">
        <f t="shared" si="337"/>
        <v>NIS</v>
      </c>
      <c r="AM3111" s="662" t="str">
        <f t="shared" si="340"/>
        <v>Titan-Single Cab S-4WD-3-6'7"-9540-5.6L-6-36019-~-139.8-26-Unleaded-Unleaded</v>
      </c>
      <c r="AN3111" s="662" t="str">
        <f t="shared" si="338"/>
        <v>2019-LTK-NIS-TITN-011</v>
      </c>
    </row>
    <row r="3112" spans="1:40" ht="15">
      <c r="A3112" s="570" t="s">
        <v>5379</v>
      </c>
      <c r="B3112" s="569" t="s">
        <v>5380</v>
      </c>
      <c r="C3112" s="569" t="s">
        <v>543</v>
      </c>
      <c r="D3112" s="580" t="s">
        <v>544</v>
      </c>
      <c r="E3112" s="569" t="s">
        <v>3374</v>
      </c>
      <c r="F3112" s="569" t="s">
        <v>152</v>
      </c>
      <c r="G3112" s="569" t="s">
        <v>545</v>
      </c>
      <c r="H3112" s="569">
        <v>2019</v>
      </c>
      <c r="I3112" s="569" t="s">
        <v>5350</v>
      </c>
      <c r="J3112" s="569" t="s">
        <v>5381</v>
      </c>
      <c r="K3112" s="569" t="s">
        <v>752</v>
      </c>
      <c r="L3112" s="569">
        <v>3</v>
      </c>
      <c r="M3112" s="569">
        <v>0</v>
      </c>
      <c r="N3112" s="569" t="s">
        <v>157</v>
      </c>
      <c r="O3112" s="569">
        <v>1</v>
      </c>
      <c r="P3112" s="569" t="s">
        <v>5367</v>
      </c>
      <c r="Q3112" s="568">
        <v>9540</v>
      </c>
      <c r="R3112" s="569" t="s">
        <v>3203</v>
      </c>
      <c r="S3112" s="569">
        <v>6</v>
      </c>
      <c r="T3112" s="569">
        <v>36219</v>
      </c>
      <c r="U3112" s="569" t="s">
        <v>157</v>
      </c>
      <c r="V3112" s="569">
        <v>139.80000000000001</v>
      </c>
      <c r="W3112" s="569">
        <v>26</v>
      </c>
      <c r="X3112" s="568">
        <v>7300</v>
      </c>
      <c r="Y3112" s="569">
        <v>18</v>
      </c>
      <c r="Z3112" s="581" t="s">
        <v>178</v>
      </c>
      <c r="AA3112" s="581" t="s">
        <v>178</v>
      </c>
      <c r="AB3112" s="585">
        <v>38525</v>
      </c>
      <c r="AC3112" s="585" t="s">
        <v>164</v>
      </c>
      <c r="AD3112" s="585">
        <v>30369</v>
      </c>
      <c r="AE3112" s="587">
        <v>0.03</v>
      </c>
      <c r="AF3112" s="661" t="str">
        <f t="shared" si="339"/>
        <v>2019-LTK-NIS-TITN-012-07</v>
      </c>
      <c r="AG3112" s="661" t="str">
        <f>IF(AND($Y3112&gt;=32,(AI3112="I"),(Y3112&lt;&gt;"~"),(COUNTIF($AN$1:$AN3112,$AN3112)=1)),"TRUE","FALSE")</f>
        <v>FALSE</v>
      </c>
      <c r="AH3112" s="661" t="str">
        <f>IF(AND($Y3112&gt;=22, (AI3112&lt;&gt;"I"),(Y3112&lt;&gt;"~"),(COUNTIF($AN$1:$AN3112,$AN3112)=1)),"TRUE","FALSE")</f>
        <v>FALSE</v>
      </c>
      <c r="AI3112" s="661" t="str">
        <f t="shared" si="341"/>
        <v>II</v>
      </c>
      <c r="AJ3112" s="662" t="str">
        <f t="shared" si="335"/>
        <v>TITN-012</v>
      </c>
      <c r="AK3112" s="662" t="str">
        <f t="shared" si="336"/>
        <v>LTK</v>
      </c>
      <c r="AL3112" s="662" t="str">
        <f t="shared" si="337"/>
        <v>NIS</v>
      </c>
      <c r="AM3112" s="662" t="str">
        <f t="shared" si="340"/>
        <v>Titan-Single Cab SV-4WD-3-6'7"-9540-5.6L-6-36219-~-139.8-26-Unleaded-Unleaded</v>
      </c>
      <c r="AN3112" s="662" t="str">
        <f t="shared" si="338"/>
        <v>2019-LTK-NIS-TITN-012</v>
      </c>
    </row>
    <row r="3113" spans="1:40" ht="15">
      <c r="A3113" s="570" t="s">
        <v>5382</v>
      </c>
      <c r="B3113" s="573" t="s">
        <v>5383</v>
      </c>
      <c r="C3113" s="573" t="s">
        <v>543</v>
      </c>
      <c r="D3113" s="578" t="s">
        <v>544</v>
      </c>
      <c r="E3113" s="573" t="s">
        <v>3374</v>
      </c>
      <c r="F3113" s="573" t="s">
        <v>152</v>
      </c>
      <c r="G3113" s="573" t="s">
        <v>545</v>
      </c>
      <c r="H3113" s="573">
        <v>2019</v>
      </c>
      <c r="I3113" s="573" t="s">
        <v>5384</v>
      </c>
      <c r="J3113" s="573" t="s">
        <v>5321</v>
      </c>
      <c r="K3113" s="573" t="s">
        <v>752</v>
      </c>
      <c r="L3113" s="573">
        <v>6</v>
      </c>
      <c r="M3113" s="573">
        <v>0</v>
      </c>
      <c r="N3113" s="573" t="s">
        <v>157</v>
      </c>
      <c r="O3113" s="573">
        <v>2</v>
      </c>
      <c r="P3113" s="573" t="s">
        <v>5367</v>
      </c>
      <c r="Q3113" s="571">
        <v>12310</v>
      </c>
      <c r="R3113" s="573" t="s">
        <v>3203</v>
      </c>
      <c r="S3113" s="573">
        <v>8</v>
      </c>
      <c r="T3113" s="573">
        <v>53019</v>
      </c>
      <c r="U3113" s="573" t="s">
        <v>5385</v>
      </c>
      <c r="V3113" s="573">
        <v>151.6</v>
      </c>
      <c r="W3113" s="573">
        <v>26</v>
      </c>
      <c r="X3113" s="571">
        <v>8800</v>
      </c>
      <c r="Y3113" s="573">
        <v>18</v>
      </c>
      <c r="Z3113" s="579" t="s">
        <v>178</v>
      </c>
      <c r="AA3113" s="579" t="s">
        <v>178</v>
      </c>
      <c r="AB3113" s="584">
        <v>42455</v>
      </c>
      <c r="AC3113" s="584" t="s">
        <v>164</v>
      </c>
      <c r="AD3113" s="584">
        <v>34544.400000000001</v>
      </c>
      <c r="AE3113" s="586">
        <v>0.03</v>
      </c>
      <c r="AF3113" s="661" t="str">
        <f t="shared" si="339"/>
        <v>2019-LTK-NIS-TTNX-001-07</v>
      </c>
      <c r="AG3113" s="661" t="str">
        <f>IF(AND($Y3113&gt;=32,(AI3113="I"),(Y3113&lt;&gt;"~"),(COUNTIF($AN$1:$AN3113,$AN3113)=1)),"TRUE","FALSE")</f>
        <v>FALSE</v>
      </c>
      <c r="AH3113" s="661" t="str">
        <f>IF(AND($Y3113&gt;=22, (AI3113&lt;&gt;"I"),(Y3113&lt;&gt;"~"),(COUNTIF($AN$1:$AN3113,$AN3113)=1)),"TRUE","FALSE")</f>
        <v>FALSE</v>
      </c>
      <c r="AI3113" s="661" t="str">
        <f t="shared" si="341"/>
        <v>II</v>
      </c>
      <c r="AJ3113" s="662" t="str">
        <f t="shared" si="335"/>
        <v>TTNX-001</v>
      </c>
      <c r="AK3113" s="662" t="str">
        <f t="shared" si="336"/>
        <v>LTK</v>
      </c>
      <c r="AL3113" s="662" t="str">
        <f t="shared" si="337"/>
        <v>NIS</v>
      </c>
      <c r="AM3113" s="662" t="str">
        <f t="shared" si="340"/>
        <v>Titan XD-Crew Cab S-4WD-6-6'7"-12310-5.6L-8-53019-Plow Rated-151.6-26-Unleaded-Unleaded</v>
      </c>
      <c r="AN3113" s="662" t="str">
        <f t="shared" si="338"/>
        <v>2019-LTK-NIS-TTNX-001</v>
      </c>
    </row>
    <row r="3114" spans="1:40" ht="15">
      <c r="A3114" s="570" t="s">
        <v>5386</v>
      </c>
      <c r="B3114" s="569" t="s">
        <v>5383</v>
      </c>
      <c r="C3114" s="569" t="s">
        <v>549</v>
      </c>
      <c r="D3114" s="580">
        <v>16</v>
      </c>
      <c r="E3114" s="569" t="s">
        <v>3374</v>
      </c>
      <c r="F3114" s="569" t="s">
        <v>152</v>
      </c>
      <c r="G3114" s="569" t="s">
        <v>545</v>
      </c>
      <c r="H3114" s="569">
        <v>2019</v>
      </c>
      <c r="I3114" s="569" t="s">
        <v>5384</v>
      </c>
      <c r="J3114" s="569" t="s">
        <v>5387</v>
      </c>
      <c r="K3114" s="569" t="s">
        <v>752</v>
      </c>
      <c r="L3114" s="569">
        <v>6</v>
      </c>
      <c r="M3114" s="569">
        <v>0</v>
      </c>
      <c r="N3114" s="569" t="s">
        <v>157</v>
      </c>
      <c r="O3114" s="569">
        <v>2</v>
      </c>
      <c r="P3114" s="569" t="s">
        <v>5367</v>
      </c>
      <c r="Q3114" s="568">
        <v>12310</v>
      </c>
      <c r="R3114" s="569" t="s">
        <v>3203</v>
      </c>
      <c r="S3114" s="569">
        <v>8</v>
      </c>
      <c r="T3114" s="569">
        <v>53019</v>
      </c>
      <c r="U3114" s="569" t="s">
        <v>5385</v>
      </c>
      <c r="V3114" s="569">
        <v>151.6</v>
      </c>
      <c r="W3114" s="569">
        <v>26</v>
      </c>
      <c r="X3114" s="568">
        <v>8800</v>
      </c>
      <c r="Y3114" s="569">
        <v>18</v>
      </c>
      <c r="Z3114" s="581" t="s">
        <v>178</v>
      </c>
      <c r="AA3114" s="581" t="s">
        <v>178</v>
      </c>
      <c r="AB3114" s="585">
        <v>42455</v>
      </c>
      <c r="AC3114" s="585" t="s">
        <v>164</v>
      </c>
      <c r="AD3114" s="585">
        <v>33990</v>
      </c>
      <c r="AE3114" s="587">
        <v>0.05</v>
      </c>
      <c r="AF3114" s="661" t="str">
        <f t="shared" si="339"/>
        <v>2019-LTK-NIS-TTNX-001-16</v>
      </c>
      <c r="AG3114" s="661" t="str">
        <f>IF(AND($Y3114&gt;=32,(AI3114="I"),(Y3114&lt;&gt;"~"),(COUNTIF($AN$1:$AN3114,$AN3114)=1)),"TRUE","FALSE")</f>
        <v>FALSE</v>
      </c>
      <c r="AH3114" s="661" t="str">
        <f>IF(AND($Y3114&gt;=22, (AI3114&lt;&gt;"I"),(Y3114&lt;&gt;"~"),(COUNTIF($AN$1:$AN3114,$AN3114)=1)),"TRUE","FALSE")</f>
        <v>FALSE</v>
      </c>
      <c r="AI3114" s="661" t="str">
        <f t="shared" si="341"/>
        <v>II</v>
      </c>
      <c r="AJ3114" s="662" t="str">
        <f t="shared" si="335"/>
        <v>TTNX-001</v>
      </c>
      <c r="AK3114" s="662" t="str">
        <f t="shared" si="336"/>
        <v>LTK</v>
      </c>
      <c r="AL3114" s="662" t="str">
        <f t="shared" si="337"/>
        <v>NIS</v>
      </c>
      <c r="AM3114" s="662" t="str">
        <f t="shared" si="340"/>
        <v>Titan XD-Crew Cab S Gas-4WD-6-6'7"-12310-5.6L-8-53019-Plow Rated-151.6-26-Unleaded-Unleaded</v>
      </c>
      <c r="AN3114" s="662" t="str">
        <f t="shared" si="338"/>
        <v>2019-LTK-NIS-TTNX-001</v>
      </c>
    </row>
    <row r="3115" spans="1:40" ht="15">
      <c r="A3115" s="570" t="s">
        <v>5388</v>
      </c>
      <c r="B3115" s="573" t="s">
        <v>5389</v>
      </c>
      <c r="C3115" s="573" t="s">
        <v>543</v>
      </c>
      <c r="D3115" s="578" t="s">
        <v>544</v>
      </c>
      <c r="E3115" s="573" t="s">
        <v>3374</v>
      </c>
      <c r="F3115" s="573" t="s">
        <v>152</v>
      </c>
      <c r="G3115" s="573" t="s">
        <v>545</v>
      </c>
      <c r="H3115" s="573">
        <v>2019</v>
      </c>
      <c r="I3115" s="573" t="s">
        <v>5384</v>
      </c>
      <c r="J3115" s="573" t="s">
        <v>5390</v>
      </c>
      <c r="K3115" s="573" t="s">
        <v>752</v>
      </c>
      <c r="L3115" s="573">
        <v>6</v>
      </c>
      <c r="M3115" s="573">
        <v>0</v>
      </c>
      <c r="N3115" s="573" t="s">
        <v>157</v>
      </c>
      <c r="O3115" s="573">
        <v>2</v>
      </c>
      <c r="P3115" s="573" t="s">
        <v>5367</v>
      </c>
      <c r="Q3115" s="571">
        <v>12310</v>
      </c>
      <c r="R3115" s="573" t="s">
        <v>3203</v>
      </c>
      <c r="S3115" s="573">
        <v>8</v>
      </c>
      <c r="T3115" s="573">
        <v>52019</v>
      </c>
      <c r="U3115" s="573" t="s">
        <v>5385</v>
      </c>
      <c r="V3115" s="573">
        <v>151.6</v>
      </c>
      <c r="W3115" s="573">
        <v>26</v>
      </c>
      <c r="X3115" s="571">
        <v>8800</v>
      </c>
      <c r="Y3115" s="573">
        <v>18</v>
      </c>
      <c r="Z3115" s="579" t="s">
        <v>178</v>
      </c>
      <c r="AA3115" s="579" t="s">
        <v>178</v>
      </c>
      <c r="AB3115" s="584">
        <v>39185</v>
      </c>
      <c r="AC3115" s="584" t="s">
        <v>164</v>
      </c>
      <c r="AD3115" s="584">
        <v>31307.1</v>
      </c>
      <c r="AE3115" s="586">
        <v>0.03</v>
      </c>
      <c r="AF3115" s="661" t="str">
        <f t="shared" si="339"/>
        <v>2019-LTK-NIS-TTNX-002-07</v>
      </c>
      <c r="AG3115" s="661" t="str">
        <f>IF(AND($Y3115&gt;=32,(AI3115="I"),(Y3115&lt;&gt;"~"),(COUNTIF($AN$1:$AN3115,$AN3115)=1)),"TRUE","FALSE")</f>
        <v>FALSE</v>
      </c>
      <c r="AH3115" s="661" t="str">
        <f>IF(AND($Y3115&gt;=22, (AI3115&lt;&gt;"I"),(Y3115&lt;&gt;"~"),(COUNTIF($AN$1:$AN3115,$AN3115)=1)),"TRUE","FALSE")</f>
        <v>FALSE</v>
      </c>
      <c r="AI3115" s="661" t="str">
        <f t="shared" si="341"/>
        <v>II</v>
      </c>
      <c r="AJ3115" s="662" t="str">
        <f t="shared" si="335"/>
        <v>TTNX-002</v>
      </c>
      <c r="AK3115" s="662" t="str">
        <f t="shared" si="336"/>
        <v>LTK</v>
      </c>
      <c r="AL3115" s="662" t="str">
        <f t="shared" si="337"/>
        <v>NIS</v>
      </c>
      <c r="AM3115" s="662" t="str">
        <f t="shared" si="340"/>
        <v>Titan XD-King Cab S Gas-4WD-6-6'7"-12310-5.6L-8-52019-Plow Rated-151.6-26-Unleaded-Unleaded</v>
      </c>
      <c r="AN3115" s="662" t="str">
        <f t="shared" si="338"/>
        <v>2019-LTK-NIS-TTNX-002</v>
      </c>
    </row>
    <row r="3116" spans="1:40" ht="15">
      <c r="A3116" s="570" t="s">
        <v>5391</v>
      </c>
      <c r="B3116" s="569" t="s">
        <v>5392</v>
      </c>
      <c r="C3116" s="569" t="s">
        <v>543</v>
      </c>
      <c r="D3116" s="580" t="s">
        <v>544</v>
      </c>
      <c r="E3116" s="569" t="s">
        <v>3374</v>
      </c>
      <c r="F3116" s="569" t="s">
        <v>152</v>
      </c>
      <c r="G3116" s="569" t="s">
        <v>545</v>
      </c>
      <c r="H3116" s="569">
        <v>2019</v>
      </c>
      <c r="I3116" s="569" t="s">
        <v>5384</v>
      </c>
      <c r="J3116" s="569" t="s">
        <v>5378</v>
      </c>
      <c r="K3116" s="569" t="s">
        <v>752</v>
      </c>
      <c r="L3116" s="569">
        <v>3</v>
      </c>
      <c r="M3116" s="569">
        <v>0</v>
      </c>
      <c r="N3116" s="569" t="s">
        <v>157</v>
      </c>
      <c r="O3116" s="569">
        <v>1</v>
      </c>
      <c r="P3116" s="569" t="s">
        <v>5367</v>
      </c>
      <c r="Q3116" s="568">
        <v>12310</v>
      </c>
      <c r="R3116" s="569" t="s">
        <v>3203</v>
      </c>
      <c r="S3116" s="569">
        <v>8</v>
      </c>
      <c r="T3116" s="569">
        <v>51019</v>
      </c>
      <c r="U3116" s="569" t="s">
        <v>5385</v>
      </c>
      <c r="V3116" s="569">
        <v>151.6</v>
      </c>
      <c r="W3116" s="569">
        <v>26</v>
      </c>
      <c r="X3116" s="568">
        <v>8800</v>
      </c>
      <c r="Y3116" s="569">
        <v>18</v>
      </c>
      <c r="Z3116" s="581" t="s">
        <v>178</v>
      </c>
      <c r="AA3116" s="581" t="s">
        <v>178</v>
      </c>
      <c r="AB3116" s="585">
        <v>37195</v>
      </c>
      <c r="AC3116" s="585" t="s">
        <v>164</v>
      </c>
      <c r="AD3116" s="585">
        <v>29337</v>
      </c>
      <c r="AE3116" s="587">
        <v>0.03</v>
      </c>
      <c r="AF3116" s="661" t="str">
        <f t="shared" si="339"/>
        <v>2019-LTK-NIS-TTNX-003-07</v>
      </c>
      <c r="AG3116" s="661" t="str">
        <f>IF(AND($Y3116&gt;=32,(AI3116="I"),(Y3116&lt;&gt;"~"),(COUNTIF($AN$1:$AN3116,$AN3116)=1)),"TRUE","FALSE")</f>
        <v>FALSE</v>
      </c>
      <c r="AH3116" s="661" t="str">
        <f>IF(AND($Y3116&gt;=22, (AI3116&lt;&gt;"I"),(Y3116&lt;&gt;"~"),(COUNTIF($AN$1:$AN3116,$AN3116)=1)),"TRUE","FALSE")</f>
        <v>FALSE</v>
      </c>
      <c r="AI3116" s="661" t="str">
        <f t="shared" si="341"/>
        <v>II</v>
      </c>
      <c r="AJ3116" s="662" t="str">
        <f t="shared" si="335"/>
        <v>TTNX-003</v>
      </c>
      <c r="AK3116" s="662" t="str">
        <f t="shared" si="336"/>
        <v>LTK</v>
      </c>
      <c r="AL3116" s="662" t="str">
        <f t="shared" si="337"/>
        <v>NIS</v>
      </c>
      <c r="AM3116" s="662" t="str">
        <f t="shared" si="340"/>
        <v>Titan XD-Single Cab S-4WD-3-6'7"-12310-5.6L-8-51019-Plow Rated-151.6-26-Unleaded-Unleaded</v>
      </c>
      <c r="AN3116" s="662" t="str">
        <f t="shared" si="338"/>
        <v>2019-LTK-NIS-TTNX-003</v>
      </c>
    </row>
    <row r="3117" spans="1:40" ht="15">
      <c r="A3117" s="570" t="s">
        <v>5393</v>
      </c>
      <c r="B3117" s="573" t="s">
        <v>5394</v>
      </c>
      <c r="C3117" s="573" t="s">
        <v>240</v>
      </c>
      <c r="D3117" s="578" t="s">
        <v>241</v>
      </c>
      <c r="E3117" s="573" t="s">
        <v>3374</v>
      </c>
      <c r="F3117" s="573" t="s">
        <v>152</v>
      </c>
      <c r="G3117" s="573" t="s">
        <v>3265</v>
      </c>
      <c r="H3117" s="573">
        <v>2019</v>
      </c>
      <c r="I3117" s="573" t="s">
        <v>5395</v>
      </c>
      <c r="J3117" s="573" t="s">
        <v>5396</v>
      </c>
      <c r="K3117" s="573" t="s">
        <v>3377</v>
      </c>
      <c r="L3117" s="573">
        <v>6</v>
      </c>
      <c r="M3117" s="573">
        <v>0</v>
      </c>
      <c r="N3117" s="573" t="s">
        <v>157</v>
      </c>
      <c r="O3117" s="573">
        <v>2</v>
      </c>
      <c r="P3117" s="573" t="s">
        <v>5351</v>
      </c>
      <c r="Q3117" s="571">
        <v>4510</v>
      </c>
      <c r="R3117" s="573" t="s">
        <v>231</v>
      </c>
      <c r="S3117" s="573">
        <v>6</v>
      </c>
      <c r="T3117" s="573" t="s">
        <v>5397</v>
      </c>
      <c r="U3117" s="573" t="s">
        <v>5398</v>
      </c>
      <c r="V3117" s="573">
        <v>140</v>
      </c>
      <c r="W3117" s="573">
        <v>26</v>
      </c>
      <c r="X3117" s="571">
        <v>6800</v>
      </c>
      <c r="Y3117" s="573">
        <v>20</v>
      </c>
      <c r="Z3117" s="579" t="s">
        <v>178</v>
      </c>
      <c r="AA3117" s="579" t="s">
        <v>178</v>
      </c>
      <c r="AB3117" s="584">
        <v>39490</v>
      </c>
      <c r="AC3117" s="584" t="s">
        <v>164</v>
      </c>
      <c r="AD3117" s="584">
        <v>24815.78947368421</v>
      </c>
      <c r="AE3117" s="586">
        <v>0.05</v>
      </c>
      <c r="AF3117" s="661" t="str">
        <f t="shared" si="339"/>
        <v>2019-LTK-RAM-RM15-171-08</v>
      </c>
      <c r="AG3117" s="661" t="str">
        <f>IF(AND($Y3117&gt;=32,(AI3117="I"),(Y3117&lt;&gt;"~"),(COUNTIF($AN$1:$AN3117,$AN3117)=1)),"TRUE","FALSE")</f>
        <v>FALSE</v>
      </c>
      <c r="AH3117" s="661" t="str">
        <f>IF(AND($Y3117&gt;=22, (AI3117&lt;&gt;"I"),(Y3117&lt;&gt;"~"),(COUNTIF($AN$1:$AN3117,$AN3117)=1)),"TRUE","FALSE")</f>
        <v>FALSE</v>
      </c>
      <c r="AI3117" s="661" t="str">
        <f t="shared" si="341"/>
        <v>II</v>
      </c>
      <c r="AJ3117" s="662" t="str">
        <f t="shared" si="335"/>
        <v>RM15-171</v>
      </c>
      <c r="AK3117" s="662" t="str">
        <f t="shared" si="336"/>
        <v>LTK</v>
      </c>
      <c r="AL3117" s="662" t="str">
        <f t="shared" si="337"/>
        <v>RAM</v>
      </c>
      <c r="AM3117" s="662" t="str">
        <f t="shared" si="340"/>
        <v>Ram 1500-SLT Crew-2WD-6-5'7"-4510-3.6L-6-DS1H98-22G-140-26-Unleaded-Unleaded</v>
      </c>
      <c r="AN3117" s="662" t="str">
        <f t="shared" si="338"/>
        <v>2019-LTK-RAM-RM15-171</v>
      </c>
    </row>
    <row r="3118" spans="1:40" ht="15">
      <c r="A3118" s="570" t="s">
        <v>5399</v>
      </c>
      <c r="B3118" s="569" t="s">
        <v>5400</v>
      </c>
      <c r="C3118" s="569" t="s">
        <v>240</v>
      </c>
      <c r="D3118" s="580" t="s">
        <v>241</v>
      </c>
      <c r="E3118" s="569" t="s">
        <v>3374</v>
      </c>
      <c r="F3118" s="569" t="s">
        <v>152</v>
      </c>
      <c r="G3118" s="569" t="s">
        <v>3265</v>
      </c>
      <c r="H3118" s="569">
        <v>2019</v>
      </c>
      <c r="I3118" s="569" t="s">
        <v>5395</v>
      </c>
      <c r="J3118" s="569" t="s">
        <v>5396</v>
      </c>
      <c r="K3118" s="569" t="s">
        <v>3377</v>
      </c>
      <c r="L3118" s="569">
        <v>6</v>
      </c>
      <c r="M3118" s="569">
        <v>0</v>
      </c>
      <c r="N3118" s="569" t="s">
        <v>157</v>
      </c>
      <c r="O3118" s="569">
        <v>2</v>
      </c>
      <c r="P3118" s="569" t="s">
        <v>5351</v>
      </c>
      <c r="Q3118" s="568">
        <v>8220</v>
      </c>
      <c r="R3118" s="569" t="s">
        <v>5401</v>
      </c>
      <c r="S3118" s="569">
        <v>8</v>
      </c>
      <c r="T3118" s="569" t="s">
        <v>5397</v>
      </c>
      <c r="U3118" s="569" t="s">
        <v>5402</v>
      </c>
      <c r="V3118" s="569">
        <v>140</v>
      </c>
      <c r="W3118" s="569">
        <v>26</v>
      </c>
      <c r="X3118" s="568">
        <v>6800</v>
      </c>
      <c r="Y3118" s="569">
        <v>17</v>
      </c>
      <c r="Z3118" s="581" t="s">
        <v>178</v>
      </c>
      <c r="AA3118" s="581" t="s">
        <v>178</v>
      </c>
      <c r="AB3118" s="585">
        <v>41440</v>
      </c>
      <c r="AC3118" s="585" t="s">
        <v>164</v>
      </c>
      <c r="AD3118" s="585">
        <v>26623.157894736843</v>
      </c>
      <c r="AE3118" s="587">
        <v>0.05</v>
      </c>
      <c r="AF3118" s="661" t="str">
        <f t="shared" si="339"/>
        <v>2019-LTK-RAM-RM15-172-08</v>
      </c>
      <c r="AG3118" s="661" t="str">
        <f>IF(AND($Y3118&gt;=32,(AI3118="I"),(Y3118&lt;&gt;"~"),(COUNTIF($AN$1:$AN3118,$AN3118)=1)),"TRUE","FALSE")</f>
        <v>FALSE</v>
      </c>
      <c r="AH3118" s="661" t="str">
        <f>IF(AND($Y3118&gt;=22, (AI3118&lt;&gt;"I"),(Y3118&lt;&gt;"~"),(COUNTIF($AN$1:$AN3118,$AN3118)=1)),"TRUE","FALSE")</f>
        <v>FALSE</v>
      </c>
      <c r="AI3118" s="661" t="str">
        <f t="shared" si="341"/>
        <v>II</v>
      </c>
      <c r="AJ3118" s="662" t="str">
        <f t="shared" si="335"/>
        <v>RM15-172</v>
      </c>
      <c r="AK3118" s="662" t="str">
        <f t="shared" si="336"/>
        <v>LTK</v>
      </c>
      <c r="AL3118" s="662" t="str">
        <f t="shared" si="337"/>
        <v>RAM</v>
      </c>
      <c r="AM3118" s="662" t="str">
        <f t="shared" si="340"/>
        <v>Ram 1500-SLT Crew-2WD-6-5'7"-8220-5.7L Hemi-8-DS1H98-27G-140-26-Unleaded-Unleaded</v>
      </c>
      <c r="AN3118" s="662" t="str">
        <f t="shared" si="338"/>
        <v>2019-LTK-RAM-RM15-172</v>
      </c>
    </row>
    <row r="3119" spans="1:40" ht="15">
      <c r="A3119" s="570" t="s">
        <v>5403</v>
      </c>
      <c r="B3119" s="573" t="s">
        <v>5404</v>
      </c>
      <c r="C3119" s="573" t="s">
        <v>240</v>
      </c>
      <c r="D3119" s="578" t="s">
        <v>241</v>
      </c>
      <c r="E3119" s="573" t="s">
        <v>3374</v>
      </c>
      <c r="F3119" s="573" t="s">
        <v>152</v>
      </c>
      <c r="G3119" s="573" t="s">
        <v>3265</v>
      </c>
      <c r="H3119" s="573">
        <v>2019</v>
      </c>
      <c r="I3119" s="573" t="s">
        <v>5395</v>
      </c>
      <c r="J3119" s="573" t="s">
        <v>5396</v>
      </c>
      <c r="K3119" s="573" t="s">
        <v>3377</v>
      </c>
      <c r="L3119" s="573">
        <v>6</v>
      </c>
      <c r="M3119" s="573">
        <v>0</v>
      </c>
      <c r="N3119" s="573" t="s">
        <v>157</v>
      </c>
      <c r="O3119" s="573">
        <v>2</v>
      </c>
      <c r="P3119" s="573" t="s">
        <v>5405</v>
      </c>
      <c r="Q3119" s="571">
        <v>8010</v>
      </c>
      <c r="R3119" s="573" t="s">
        <v>5401</v>
      </c>
      <c r="S3119" s="573">
        <v>8</v>
      </c>
      <c r="T3119" s="573" t="s">
        <v>5406</v>
      </c>
      <c r="U3119" s="573" t="s">
        <v>5402</v>
      </c>
      <c r="V3119" s="573">
        <v>149</v>
      </c>
      <c r="W3119" s="573">
        <v>26</v>
      </c>
      <c r="X3119" s="571">
        <v>6900</v>
      </c>
      <c r="Y3119" s="573">
        <v>17</v>
      </c>
      <c r="Z3119" s="579" t="s">
        <v>178</v>
      </c>
      <c r="AA3119" s="579" t="s">
        <v>178</v>
      </c>
      <c r="AB3119" s="584">
        <v>41490</v>
      </c>
      <c r="AC3119" s="584" t="s">
        <v>164</v>
      </c>
      <c r="AD3119" s="584">
        <v>26626.315789473687</v>
      </c>
      <c r="AE3119" s="586">
        <v>0.05</v>
      </c>
      <c r="AF3119" s="661" t="str">
        <f t="shared" si="339"/>
        <v>2019-LTK-RAM-RM15-173-08</v>
      </c>
      <c r="AG3119" s="661" t="str">
        <f>IF(AND($Y3119&gt;=32,(AI3119="I"),(Y3119&lt;&gt;"~"),(COUNTIF($AN$1:$AN3119,$AN3119)=1)),"TRUE","FALSE")</f>
        <v>FALSE</v>
      </c>
      <c r="AH3119" s="661" t="str">
        <f>IF(AND($Y3119&gt;=22, (AI3119&lt;&gt;"I"),(Y3119&lt;&gt;"~"),(COUNTIF($AN$1:$AN3119,$AN3119)=1)),"TRUE","FALSE")</f>
        <v>FALSE</v>
      </c>
      <c r="AI3119" s="661" t="str">
        <f t="shared" si="341"/>
        <v>II</v>
      </c>
      <c r="AJ3119" s="662" t="str">
        <f t="shared" si="335"/>
        <v>RM15-173</v>
      </c>
      <c r="AK3119" s="662" t="str">
        <f t="shared" si="336"/>
        <v>LTK</v>
      </c>
      <c r="AL3119" s="662" t="str">
        <f t="shared" si="337"/>
        <v>RAM</v>
      </c>
      <c r="AM3119" s="662" t="str">
        <f t="shared" si="340"/>
        <v>Ram 1500-SLT Crew-2WD-6-6'4"-8010-5.7L Hemi-8-DS1H91-27G-149-26-Unleaded-Unleaded</v>
      </c>
      <c r="AN3119" s="662" t="str">
        <f t="shared" si="338"/>
        <v>2019-LTK-RAM-RM15-173</v>
      </c>
    </row>
    <row r="3120" spans="1:40" ht="15">
      <c r="A3120" s="570" t="s">
        <v>5407</v>
      </c>
      <c r="B3120" s="569" t="s">
        <v>5408</v>
      </c>
      <c r="C3120" s="569" t="s">
        <v>240</v>
      </c>
      <c r="D3120" s="580" t="s">
        <v>241</v>
      </c>
      <c r="E3120" s="569" t="s">
        <v>3374</v>
      </c>
      <c r="F3120" s="569" t="s">
        <v>152</v>
      </c>
      <c r="G3120" s="569" t="s">
        <v>3265</v>
      </c>
      <c r="H3120" s="569">
        <v>2019</v>
      </c>
      <c r="I3120" s="569" t="s">
        <v>5395</v>
      </c>
      <c r="J3120" s="569" t="s">
        <v>5396</v>
      </c>
      <c r="K3120" s="569" t="s">
        <v>752</v>
      </c>
      <c r="L3120" s="569">
        <v>6</v>
      </c>
      <c r="M3120" s="569">
        <v>0</v>
      </c>
      <c r="N3120" s="569" t="s">
        <v>157</v>
      </c>
      <c r="O3120" s="569">
        <v>2</v>
      </c>
      <c r="P3120" s="569" t="s">
        <v>5405</v>
      </c>
      <c r="Q3120" s="568">
        <v>7760</v>
      </c>
      <c r="R3120" s="569" t="s">
        <v>5401</v>
      </c>
      <c r="S3120" s="569">
        <v>8</v>
      </c>
      <c r="T3120" s="569" t="s">
        <v>5409</v>
      </c>
      <c r="U3120" s="569" t="s">
        <v>5402</v>
      </c>
      <c r="V3120" s="569">
        <v>149</v>
      </c>
      <c r="W3120" s="569">
        <v>26</v>
      </c>
      <c r="X3120" s="568">
        <v>6900</v>
      </c>
      <c r="Y3120" s="569">
        <v>17</v>
      </c>
      <c r="Z3120" s="581" t="s">
        <v>178</v>
      </c>
      <c r="AA3120" s="581" t="s">
        <v>178</v>
      </c>
      <c r="AB3120" s="585">
        <v>45090</v>
      </c>
      <c r="AC3120" s="585" t="s">
        <v>164</v>
      </c>
      <c r="AD3120" s="585">
        <v>29464.21052631579</v>
      </c>
      <c r="AE3120" s="587">
        <v>0.05</v>
      </c>
      <c r="AF3120" s="661" t="str">
        <f t="shared" si="339"/>
        <v>2019-LTK-RAM-RM15-174-08</v>
      </c>
      <c r="AG3120" s="661" t="str">
        <f>IF(AND($Y3120&gt;=32,(AI3120="I"),(Y3120&lt;&gt;"~"),(COUNTIF($AN$1:$AN3120,$AN3120)=1)),"TRUE","FALSE")</f>
        <v>FALSE</v>
      </c>
      <c r="AH3120" s="661" t="str">
        <f>IF(AND($Y3120&gt;=22, (AI3120&lt;&gt;"I"),(Y3120&lt;&gt;"~"),(COUNTIF($AN$1:$AN3120,$AN3120)=1)),"TRUE","FALSE")</f>
        <v>FALSE</v>
      </c>
      <c r="AI3120" s="661" t="str">
        <f t="shared" si="341"/>
        <v>II</v>
      </c>
      <c r="AJ3120" s="662" t="str">
        <f t="shared" si="335"/>
        <v>RM15-174</v>
      </c>
      <c r="AK3120" s="662" t="str">
        <f t="shared" si="336"/>
        <v>LTK</v>
      </c>
      <c r="AL3120" s="662" t="str">
        <f t="shared" si="337"/>
        <v>RAM</v>
      </c>
      <c r="AM3120" s="662" t="str">
        <f t="shared" si="340"/>
        <v>Ram 1500-SLT Crew-4WD-6-6'4"-7760-5.7L Hemi-8-DS6H91-27G-149-26-Unleaded-Unleaded</v>
      </c>
      <c r="AN3120" s="662" t="str">
        <f t="shared" si="338"/>
        <v>2019-LTK-RAM-RM15-174</v>
      </c>
    </row>
    <row r="3121" spans="1:40" ht="15">
      <c r="A3121" s="570" t="s">
        <v>5410</v>
      </c>
      <c r="B3121" s="573" t="s">
        <v>5411</v>
      </c>
      <c r="C3121" s="573" t="s">
        <v>240</v>
      </c>
      <c r="D3121" s="578" t="s">
        <v>241</v>
      </c>
      <c r="E3121" s="573" t="s">
        <v>3374</v>
      </c>
      <c r="F3121" s="573" t="s">
        <v>152</v>
      </c>
      <c r="G3121" s="573" t="s">
        <v>3265</v>
      </c>
      <c r="H3121" s="573">
        <v>2019</v>
      </c>
      <c r="I3121" s="573" t="s">
        <v>5395</v>
      </c>
      <c r="J3121" s="573" t="s">
        <v>5412</v>
      </c>
      <c r="K3121" s="573" t="s">
        <v>752</v>
      </c>
      <c r="L3121" s="573">
        <v>6</v>
      </c>
      <c r="M3121" s="573">
        <v>0</v>
      </c>
      <c r="N3121" s="573" t="s">
        <v>157</v>
      </c>
      <c r="O3121" s="573">
        <v>2</v>
      </c>
      <c r="P3121" s="573" t="s">
        <v>5351</v>
      </c>
      <c r="Q3121" s="571">
        <v>4250</v>
      </c>
      <c r="R3121" s="573" t="s">
        <v>231</v>
      </c>
      <c r="S3121" s="573">
        <v>6</v>
      </c>
      <c r="T3121" s="573" t="s">
        <v>5413</v>
      </c>
      <c r="U3121" s="573" t="s">
        <v>5398</v>
      </c>
      <c r="V3121" s="573">
        <v>140</v>
      </c>
      <c r="W3121" s="573">
        <v>26</v>
      </c>
      <c r="X3121" s="571">
        <v>6800</v>
      </c>
      <c r="Y3121" s="573">
        <v>19</v>
      </c>
      <c r="Z3121" s="579" t="s">
        <v>178</v>
      </c>
      <c r="AA3121" s="579" t="s">
        <v>178</v>
      </c>
      <c r="AB3121" s="584">
        <v>43090</v>
      </c>
      <c r="AC3121" s="584" t="s">
        <v>164</v>
      </c>
      <c r="AD3121" s="584">
        <v>27653.684210526317</v>
      </c>
      <c r="AE3121" s="586">
        <v>0.05</v>
      </c>
      <c r="AF3121" s="661" t="str">
        <f t="shared" si="339"/>
        <v>2019-LTK-RAM-RM15-169-08</v>
      </c>
      <c r="AG3121" s="661" t="str">
        <f>IF(AND($Y3121&gt;=32,(AI3121="I"),(Y3121&lt;&gt;"~"),(COUNTIF($AN$1:$AN3121,$AN3121)=1)),"TRUE","FALSE")</f>
        <v>FALSE</v>
      </c>
      <c r="AH3121" s="661" t="str">
        <f>IF(AND($Y3121&gt;=22, (AI3121&lt;&gt;"I"),(Y3121&lt;&gt;"~"),(COUNTIF($AN$1:$AN3121,$AN3121)=1)),"TRUE","FALSE")</f>
        <v>FALSE</v>
      </c>
      <c r="AI3121" s="661" t="str">
        <f t="shared" si="341"/>
        <v>II</v>
      </c>
      <c r="AJ3121" s="662" t="str">
        <f t="shared" si="335"/>
        <v>RM15-169</v>
      </c>
      <c r="AK3121" s="662" t="str">
        <f t="shared" si="336"/>
        <v>LTK</v>
      </c>
      <c r="AL3121" s="662" t="str">
        <f t="shared" si="337"/>
        <v>RAM</v>
      </c>
      <c r="AM3121" s="662" t="str">
        <f t="shared" si="340"/>
        <v>Ram 1500-SLT Crew Cab-4WD-6-5'7"-4250-3.6L-6-DS6H98-22G-140-26-Unleaded-Unleaded</v>
      </c>
      <c r="AN3121" s="662" t="str">
        <f t="shared" si="338"/>
        <v>2019-LTK-RAM-RM15-169</v>
      </c>
    </row>
    <row r="3122" spans="1:40" ht="15">
      <c r="A3122" s="570" t="s">
        <v>5414</v>
      </c>
      <c r="B3122" s="569" t="s">
        <v>5415</v>
      </c>
      <c r="C3122" s="569" t="s">
        <v>240</v>
      </c>
      <c r="D3122" s="580" t="s">
        <v>241</v>
      </c>
      <c r="E3122" s="569" t="s">
        <v>3374</v>
      </c>
      <c r="F3122" s="569" t="s">
        <v>152</v>
      </c>
      <c r="G3122" s="569" t="s">
        <v>3265</v>
      </c>
      <c r="H3122" s="569">
        <v>2019</v>
      </c>
      <c r="I3122" s="569" t="s">
        <v>5395</v>
      </c>
      <c r="J3122" s="569" t="s">
        <v>5412</v>
      </c>
      <c r="K3122" s="569" t="s">
        <v>752</v>
      </c>
      <c r="L3122" s="569">
        <v>6</v>
      </c>
      <c r="M3122" s="569">
        <v>0</v>
      </c>
      <c r="N3122" s="569" t="s">
        <v>157</v>
      </c>
      <c r="O3122" s="569">
        <v>2</v>
      </c>
      <c r="P3122" s="569" t="s">
        <v>5351</v>
      </c>
      <c r="Q3122" s="568">
        <v>8060</v>
      </c>
      <c r="R3122" s="569" t="s">
        <v>5401</v>
      </c>
      <c r="S3122" s="569">
        <v>8</v>
      </c>
      <c r="T3122" s="569" t="s">
        <v>5413</v>
      </c>
      <c r="U3122" s="569" t="s">
        <v>5402</v>
      </c>
      <c r="V3122" s="569">
        <v>140</v>
      </c>
      <c r="W3122" s="569">
        <v>26</v>
      </c>
      <c r="X3122" s="568">
        <v>6800</v>
      </c>
      <c r="Y3122" s="569">
        <v>17</v>
      </c>
      <c r="Z3122" s="581" t="s">
        <v>178</v>
      </c>
      <c r="AA3122" s="581" t="s">
        <v>178</v>
      </c>
      <c r="AB3122" s="585">
        <v>45040</v>
      </c>
      <c r="AC3122" s="585" t="s">
        <v>164</v>
      </c>
      <c r="AD3122" s="585">
        <v>29461.05263157895</v>
      </c>
      <c r="AE3122" s="587">
        <v>0.05</v>
      </c>
      <c r="AF3122" s="661" t="str">
        <f t="shared" si="339"/>
        <v>2019-LTK-RAM-RM15-170-08</v>
      </c>
      <c r="AG3122" s="661" t="str">
        <f>IF(AND($Y3122&gt;=32,(AI3122="I"),(Y3122&lt;&gt;"~"),(COUNTIF($AN$1:$AN3122,$AN3122)=1)),"TRUE","FALSE")</f>
        <v>FALSE</v>
      </c>
      <c r="AH3122" s="661" t="str">
        <f>IF(AND($Y3122&gt;=22, (AI3122&lt;&gt;"I"),(Y3122&lt;&gt;"~"),(COUNTIF($AN$1:$AN3122,$AN3122)=1)),"TRUE","FALSE")</f>
        <v>FALSE</v>
      </c>
      <c r="AI3122" s="661" t="str">
        <f t="shared" si="341"/>
        <v>II</v>
      </c>
      <c r="AJ3122" s="662" t="str">
        <f t="shared" si="335"/>
        <v>RM15-170</v>
      </c>
      <c r="AK3122" s="662" t="str">
        <f t="shared" si="336"/>
        <v>LTK</v>
      </c>
      <c r="AL3122" s="662" t="str">
        <f t="shared" si="337"/>
        <v>RAM</v>
      </c>
      <c r="AM3122" s="662" t="str">
        <f t="shared" si="340"/>
        <v>Ram 1500-SLT Crew Cab-4WD-6-5'7"-8060-5.7L Hemi-8-DS6H98-27G-140-26-Unleaded-Unleaded</v>
      </c>
      <c r="AN3122" s="662" t="str">
        <f t="shared" si="338"/>
        <v>2019-LTK-RAM-RM15-170</v>
      </c>
    </row>
    <row r="3123" spans="1:40" ht="15">
      <c r="A3123" s="570" t="s">
        <v>5416</v>
      </c>
      <c r="B3123" s="573" t="s">
        <v>5417</v>
      </c>
      <c r="C3123" s="573" t="s">
        <v>240</v>
      </c>
      <c r="D3123" s="578" t="s">
        <v>241</v>
      </c>
      <c r="E3123" s="573" t="s">
        <v>3374</v>
      </c>
      <c r="F3123" s="573" t="s">
        <v>152</v>
      </c>
      <c r="G3123" s="573" t="s">
        <v>3265</v>
      </c>
      <c r="H3123" s="573">
        <v>2019</v>
      </c>
      <c r="I3123" s="573" t="s">
        <v>5395</v>
      </c>
      <c r="J3123" s="573" t="s">
        <v>5418</v>
      </c>
      <c r="K3123" s="573" t="s">
        <v>3377</v>
      </c>
      <c r="L3123" s="573">
        <v>6</v>
      </c>
      <c r="M3123" s="573">
        <v>0</v>
      </c>
      <c r="N3123" s="573" t="s">
        <v>157</v>
      </c>
      <c r="O3123" s="573">
        <v>2</v>
      </c>
      <c r="P3123" s="573" t="s">
        <v>5405</v>
      </c>
      <c r="Q3123" s="571">
        <v>4610</v>
      </c>
      <c r="R3123" s="573" t="s">
        <v>231</v>
      </c>
      <c r="S3123" s="573">
        <v>6</v>
      </c>
      <c r="T3123" s="573" t="s">
        <v>5419</v>
      </c>
      <c r="U3123" s="573" t="s">
        <v>5398</v>
      </c>
      <c r="V3123" s="573">
        <v>140</v>
      </c>
      <c r="W3123" s="573">
        <v>26</v>
      </c>
      <c r="X3123" s="571">
        <v>6800</v>
      </c>
      <c r="Y3123" s="573">
        <v>20</v>
      </c>
      <c r="Z3123" s="579" t="s">
        <v>178</v>
      </c>
      <c r="AA3123" s="579" t="s">
        <v>178</v>
      </c>
      <c r="AB3123" s="584">
        <v>36840</v>
      </c>
      <c r="AC3123" s="584" t="s">
        <v>164</v>
      </c>
      <c r="AD3123" s="584">
        <v>23611.702127659577</v>
      </c>
      <c r="AE3123" s="586">
        <v>0.05</v>
      </c>
      <c r="AF3123" s="661" t="str">
        <f t="shared" si="339"/>
        <v>2019-LTK-RAM-RM15-175-08</v>
      </c>
      <c r="AG3123" s="661" t="str">
        <f>IF(AND($Y3123&gt;=32,(AI3123="I"),(Y3123&lt;&gt;"~"),(COUNTIF($AN$1:$AN3123,$AN3123)=1)),"TRUE","FALSE")</f>
        <v>FALSE</v>
      </c>
      <c r="AH3123" s="661" t="str">
        <f>IF(AND($Y3123&gt;=22, (AI3123&lt;&gt;"I"),(Y3123&lt;&gt;"~"),(COUNTIF($AN$1:$AN3123,$AN3123)=1)),"TRUE","FALSE")</f>
        <v>FALSE</v>
      </c>
      <c r="AI3123" s="661" t="str">
        <f t="shared" si="341"/>
        <v>II</v>
      </c>
      <c r="AJ3123" s="662" t="str">
        <f t="shared" si="335"/>
        <v>RM15-175</v>
      </c>
      <c r="AK3123" s="662" t="str">
        <f t="shared" si="336"/>
        <v>LTK</v>
      </c>
      <c r="AL3123" s="662" t="str">
        <f t="shared" si="337"/>
        <v>RAM</v>
      </c>
      <c r="AM3123" s="662" t="str">
        <f t="shared" si="340"/>
        <v>Ram 1500-SLT Quad Cab-2WD-6-6'4"-4610-3.6L-6-DS1H41-22G-140-26-Unleaded-Unleaded</v>
      </c>
      <c r="AN3123" s="662" t="str">
        <f t="shared" si="338"/>
        <v>2019-LTK-RAM-RM15-175</v>
      </c>
    </row>
    <row r="3124" spans="1:40" ht="15">
      <c r="A3124" s="570" t="s">
        <v>5420</v>
      </c>
      <c r="B3124" s="569" t="s">
        <v>5421</v>
      </c>
      <c r="C3124" s="569" t="s">
        <v>240</v>
      </c>
      <c r="D3124" s="580" t="s">
        <v>241</v>
      </c>
      <c r="E3124" s="569" t="s">
        <v>3374</v>
      </c>
      <c r="F3124" s="569" t="s">
        <v>152</v>
      </c>
      <c r="G3124" s="569" t="s">
        <v>3265</v>
      </c>
      <c r="H3124" s="569">
        <v>2019</v>
      </c>
      <c r="I3124" s="569" t="s">
        <v>5395</v>
      </c>
      <c r="J3124" s="569" t="s">
        <v>5418</v>
      </c>
      <c r="K3124" s="569" t="s">
        <v>3377</v>
      </c>
      <c r="L3124" s="569">
        <v>6</v>
      </c>
      <c r="M3124" s="569">
        <v>0</v>
      </c>
      <c r="N3124" s="569" t="s">
        <v>157</v>
      </c>
      <c r="O3124" s="569">
        <v>2</v>
      </c>
      <c r="P3124" s="569" t="s">
        <v>5405</v>
      </c>
      <c r="Q3124" s="568">
        <v>8290</v>
      </c>
      <c r="R3124" s="569" t="s">
        <v>5401</v>
      </c>
      <c r="S3124" s="569">
        <v>8</v>
      </c>
      <c r="T3124" s="569" t="s">
        <v>5419</v>
      </c>
      <c r="U3124" s="569" t="s">
        <v>5402</v>
      </c>
      <c r="V3124" s="569">
        <v>140</v>
      </c>
      <c r="W3124" s="569">
        <v>26</v>
      </c>
      <c r="X3124" s="568">
        <v>6800</v>
      </c>
      <c r="Y3124" s="569">
        <v>17</v>
      </c>
      <c r="Z3124" s="581" t="s">
        <v>178</v>
      </c>
      <c r="AA3124" s="581" t="s">
        <v>178</v>
      </c>
      <c r="AB3124" s="585">
        <v>38790</v>
      </c>
      <c r="AC3124" s="585" t="s">
        <v>164</v>
      </c>
      <c r="AD3124" s="585">
        <v>25437.234042553195</v>
      </c>
      <c r="AE3124" s="587">
        <v>0.05</v>
      </c>
      <c r="AF3124" s="661" t="str">
        <f t="shared" si="339"/>
        <v>2019-LTK-RAM-RM15-176-08</v>
      </c>
      <c r="AG3124" s="661" t="str">
        <f>IF(AND($Y3124&gt;=32,(AI3124="I"),(Y3124&lt;&gt;"~"),(COUNTIF($AN$1:$AN3124,$AN3124)=1)),"TRUE","FALSE")</f>
        <v>FALSE</v>
      </c>
      <c r="AH3124" s="661" t="str">
        <f>IF(AND($Y3124&gt;=22, (AI3124&lt;&gt;"I"),(Y3124&lt;&gt;"~"),(COUNTIF($AN$1:$AN3124,$AN3124)=1)),"TRUE","FALSE")</f>
        <v>FALSE</v>
      </c>
      <c r="AI3124" s="661" t="str">
        <f t="shared" si="341"/>
        <v>II</v>
      </c>
      <c r="AJ3124" s="662" t="str">
        <f t="shared" si="335"/>
        <v>RM15-176</v>
      </c>
      <c r="AK3124" s="662" t="str">
        <f t="shared" si="336"/>
        <v>LTK</v>
      </c>
      <c r="AL3124" s="662" t="str">
        <f t="shared" si="337"/>
        <v>RAM</v>
      </c>
      <c r="AM3124" s="662" t="str">
        <f t="shared" si="340"/>
        <v>Ram 1500-SLT Quad Cab-2WD-6-6'4"-8290-5.7L Hemi-8-DS1H41-27G-140-26-Unleaded-Unleaded</v>
      </c>
      <c r="AN3124" s="662" t="str">
        <f t="shared" si="338"/>
        <v>2019-LTK-RAM-RM15-176</v>
      </c>
    </row>
    <row r="3125" spans="1:40" ht="15">
      <c r="A3125" s="570" t="s">
        <v>5422</v>
      </c>
      <c r="B3125" s="573" t="s">
        <v>5423</v>
      </c>
      <c r="C3125" s="573" t="s">
        <v>240</v>
      </c>
      <c r="D3125" s="578" t="s">
        <v>241</v>
      </c>
      <c r="E3125" s="573" t="s">
        <v>3374</v>
      </c>
      <c r="F3125" s="573" t="s">
        <v>152</v>
      </c>
      <c r="G3125" s="573" t="s">
        <v>3265</v>
      </c>
      <c r="H3125" s="573">
        <v>2019</v>
      </c>
      <c r="I3125" s="573" t="s">
        <v>5395</v>
      </c>
      <c r="J3125" s="573" t="s">
        <v>5418</v>
      </c>
      <c r="K3125" s="573" t="s">
        <v>752</v>
      </c>
      <c r="L3125" s="573">
        <v>6</v>
      </c>
      <c r="M3125" s="573">
        <v>0</v>
      </c>
      <c r="N3125" s="573" t="s">
        <v>157</v>
      </c>
      <c r="O3125" s="573">
        <v>2</v>
      </c>
      <c r="P3125" s="573" t="s">
        <v>5405</v>
      </c>
      <c r="Q3125" s="571">
        <v>4430</v>
      </c>
      <c r="R3125" s="573" t="s">
        <v>231</v>
      </c>
      <c r="S3125" s="573">
        <v>6</v>
      </c>
      <c r="T3125" s="573" t="s">
        <v>5424</v>
      </c>
      <c r="U3125" s="573" t="s">
        <v>5398</v>
      </c>
      <c r="V3125" s="573">
        <v>140</v>
      </c>
      <c r="W3125" s="573">
        <v>26</v>
      </c>
      <c r="X3125" s="571">
        <v>6800</v>
      </c>
      <c r="Y3125" s="573">
        <v>19</v>
      </c>
      <c r="Z3125" s="579" t="s">
        <v>178</v>
      </c>
      <c r="AA3125" s="579" t="s">
        <v>178</v>
      </c>
      <c r="AB3125" s="584">
        <v>40540</v>
      </c>
      <c r="AC3125" s="584" t="s">
        <v>164</v>
      </c>
      <c r="AD3125" s="584">
        <v>26396.84210526316</v>
      </c>
      <c r="AE3125" s="586">
        <v>0.05</v>
      </c>
      <c r="AF3125" s="661" t="str">
        <f t="shared" si="339"/>
        <v>2019-LTK-RAM-RM15-177-08</v>
      </c>
      <c r="AG3125" s="661" t="str">
        <f>IF(AND($Y3125&gt;=32,(AI3125="I"),(Y3125&lt;&gt;"~"),(COUNTIF($AN$1:$AN3125,$AN3125)=1)),"TRUE","FALSE")</f>
        <v>FALSE</v>
      </c>
      <c r="AH3125" s="661" t="str">
        <f>IF(AND($Y3125&gt;=22, (AI3125&lt;&gt;"I"),(Y3125&lt;&gt;"~"),(COUNTIF($AN$1:$AN3125,$AN3125)=1)),"TRUE","FALSE")</f>
        <v>FALSE</v>
      </c>
      <c r="AI3125" s="661" t="str">
        <f t="shared" si="341"/>
        <v>II</v>
      </c>
      <c r="AJ3125" s="662" t="str">
        <f t="shared" si="335"/>
        <v>RM15-177</v>
      </c>
      <c r="AK3125" s="662" t="str">
        <f t="shared" si="336"/>
        <v>LTK</v>
      </c>
      <c r="AL3125" s="662" t="str">
        <f t="shared" si="337"/>
        <v>RAM</v>
      </c>
      <c r="AM3125" s="662" t="str">
        <f t="shared" si="340"/>
        <v>Ram 1500-SLT Quad Cab-4WD-6-6'4"-4430-3.6L-6-DS6H41-22G-140-26-Unleaded-Unleaded</v>
      </c>
      <c r="AN3125" s="662" t="str">
        <f t="shared" si="338"/>
        <v>2019-LTK-RAM-RM15-177</v>
      </c>
    </row>
    <row r="3126" spans="1:40" ht="15">
      <c r="A3126" s="570" t="s">
        <v>5425</v>
      </c>
      <c r="B3126" s="569" t="s">
        <v>5426</v>
      </c>
      <c r="C3126" s="569" t="s">
        <v>240</v>
      </c>
      <c r="D3126" s="580" t="s">
        <v>241</v>
      </c>
      <c r="E3126" s="569" t="s">
        <v>3374</v>
      </c>
      <c r="F3126" s="569" t="s">
        <v>152</v>
      </c>
      <c r="G3126" s="569" t="s">
        <v>3265</v>
      </c>
      <c r="H3126" s="569">
        <v>2019</v>
      </c>
      <c r="I3126" s="569" t="s">
        <v>5395</v>
      </c>
      <c r="J3126" s="569" t="s">
        <v>5418</v>
      </c>
      <c r="K3126" s="569" t="s">
        <v>752</v>
      </c>
      <c r="L3126" s="569">
        <v>6</v>
      </c>
      <c r="M3126" s="569">
        <v>0</v>
      </c>
      <c r="N3126" s="569" t="s">
        <v>157</v>
      </c>
      <c r="O3126" s="569">
        <v>2</v>
      </c>
      <c r="P3126" s="569" t="s">
        <v>5405</v>
      </c>
      <c r="Q3126" s="568">
        <v>8110</v>
      </c>
      <c r="R3126" s="569" t="s">
        <v>5401</v>
      </c>
      <c r="S3126" s="569">
        <v>8</v>
      </c>
      <c r="T3126" s="569" t="s">
        <v>5424</v>
      </c>
      <c r="U3126" s="569" t="s">
        <v>5402</v>
      </c>
      <c r="V3126" s="569">
        <v>140</v>
      </c>
      <c r="W3126" s="569">
        <v>26</v>
      </c>
      <c r="X3126" s="568">
        <v>6800</v>
      </c>
      <c r="Y3126" s="569">
        <v>17</v>
      </c>
      <c r="Z3126" s="581" t="s">
        <v>178</v>
      </c>
      <c r="AA3126" s="581" t="s">
        <v>178</v>
      </c>
      <c r="AB3126" s="585">
        <v>42490</v>
      </c>
      <c r="AC3126" s="585" t="s">
        <v>164</v>
      </c>
      <c r="AD3126" s="585">
        <v>28203.157894736843</v>
      </c>
      <c r="AE3126" s="587">
        <v>0.05</v>
      </c>
      <c r="AF3126" s="661" t="str">
        <f t="shared" si="339"/>
        <v>2019-LTK-RAM-RM15-178-08</v>
      </c>
      <c r="AG3126" s="661" t="str">
        <f>IF(AND($Y3126&gt;=32,(AI3126="I"),(Y3126&lt;&gt;"~"),(COUNTIF($AN$1:$AN3126,$AN3126)=1)),"TRUE","FALSE")</f>
        <v>FALSE</v>
      </c>
      <c r="AH3126" s="661" t="str">
        <f>IF(AND($Y3126&gt;=22, (AI3126&lt;&gt;"I"),(Y3126&lt;&gt;"~"),(COUNTIF($AN$1:$AN3126,$AN3126)=1)),"TRUE","FALSE")</f>
        <v>FALSE</v>
      </c>
      <c r="AI3126" s="661" t="str">
        <f t="shared" si="341"/>
        <v>II</v>
      </c>
      <c r="AJ3126" s="662" t="str">
        <f t="shared" si="335"/>
        <v>RM15-178</v>
      </c>
      <c r="AK3126" s="662" t="str">
        <f t="shared" si="336"/>
        <v>LTK</v>
      </c>
      <c r="AL3126" s="662" t="str">
        <f t="shared" si="337"/>
        <v>RAM</v>
      </c>
      <c r="AM3126" s="662" t="str">
        <f t="shared" si="340"/>
        <v>Ram 1500-SLT Quad Cab-4WD-6-6'4"-8110-5.7L Hemi-8-DS6H41-27G-140-26-Unleaded-Unleaded</v>
      </c>
      <c r="AN3126" s="662" t="str">
        <f t="shared" si="338"/>
        <v>2019-LTK-RAM-RM15-178</v>
      </c>
    </row>
    <row r="3127" spans="1:40" ht="15">
      <c r="A3127" s="570" t="s">
        <v>5427</v>
      </c>
      <c r="B3127" s="573" t="s">
        <v>5428</v>
      </c>
      <c r="C3127" s="573" t="s">
        <v>240</v>
      </c>
      <c r="D3127" s="578" t="s">
        <v>241</v>
      </c>
      <c r="E3127" s="573" t="s">
        <v>3374</v>
      </c>
      <c r="F3127" s="573" t="s">
        <v>152</v>
      </c>
      <c r="G3127" s="573" t="s">
        <v>3265</v>
      </c>
      <c r="H3127" s="573">
        <v>2019</v>
      </c>
      <c r="I3127" s="573" t="s">
        <v>5395</v>
      </c>
      <c r="J3127" s="573" t="s">
        <v>5429</v>
      </c>
      <c r="K3127" s="573" t="s">
        <v>3377</v>
      </c>
      <c r="L3127" s="573">
        <v>3</v>
      </c>
      <c r="M3127" s="573">
        <v>0</v>
      </c>
      <c r="N3127" s="573" t="s">
        <v>157</v>
      </c>
      <c r="O3127" s="573">
        <v>1</v>
      </c>
      <c r="P3127" s="573" t="s">
        <v>5405</v>
      </c>
      <c r="Q3127" s="571">
        <v>4940</v>
      </c>
      <c r="R3127" s="573" t="s">
        <v>231</v>
      </c>
      <c r="S3127" s="573">
        <v>6</v>
      </c>
      <c r="T3127" s="573" t="s">
        <v>5430</v>
      </c>
      <c r="U3127" s="573" t="s">
        <v>5398</v>
      </c>
      <c r="V3127" s="573">
        <v>120</v>
      </c>
      <c r="W3127" s="573">
        <v>26</v>
      </c>
      <c r="X3127" s="571">
        <v>6025</v>
      </c>
      <c r="Y3127" s="573">
        <v>20</v>
      </c>
      <c r="Z3127" s="579" t="s">
        <v>178</v>
      </c>
      <c r="AA3127" s="579" t="s">
        <v>178</v>
      </c>
      <c r="AB3127" s="584">
        <v>33090</v>
      </c>
      <c r="AC3127" s="584" t="s">
        <v>164</v>
      </c>
      <c r="AD3127" s="584">
        <v>21990.425531914894</v>
      </c>
      <c r="AE3127" s="586">
        <v>0.05</v>
      </c>
      <c r="AF3127" s="661" t="str">
        <f t="shared" si="339"/>
        <v>2019-LTK-RAM-RM15-179-08</v>
      </c>
      <c r="AG3127" s="661" t="str">
        <f>IF(AND($Y3127&gt;=32,(AI3127="I"),(Y3127&lt;&gt;"~"),(COUNTIF($AN$1:$AN3127,$AN3127)=1)),"TRUE","FALSE")</f>
        <v>FALSE</v>
      </c>
      <c r="AH3127" s="661" t="str">
        <f>IF(AND($Y3127&gt;=22, (AI3127&lt;&gt;"I"),(Y3127&lt;&gt;"~"),(COUNTIF($AN$1:$AN3127,$AN3127)=1)),"TRUE","FALSE")</f>
        <v>FALSE</v>
      </c>
      <c r="AI3127" s="661" t="str">
        <f t="shared" si="341"/>
        <v>II</v>
      </c>
      <c r="AJ3127" s="662" t="str">
        <f t="shared" si="335"/>
        <v>RM15-179</v>
      </c>
      <c r="AK3127" s="662" t="str">
        <f t="shared" si="336"/>
        <v>LTK</v>
      </c>
      <c r="AL3127" s="662" t="str">
        <f t="shared" si="337"/>
        <v>RAM</v>
      </c>
      <c r="AM3127" s="662" t="str">
        <f t="shared" si="340"/>
        <v>Ram 1500-SLT Regular Cab-2WD-3-6'4"-4940-3.6L-6-DS1H61-22G-120-26-Unleaded-Unleaded</v>
      </c>
      <c r="AN3127" s="662" t="str">
        <f t="shared" si="338"/>
        <v>2019-LTK-RAM-RM15-179</v>
      </c>
    </row>
    <row r="3128" spans="1:40" ht="15">
      <c r="A3128" s="570" t="s">
        <v>5431</v>
      </c>
      <c r="B3128" s="569" t="s">
        <v>5432</v>
      </c>
      <c r="C3128" s="569" t="s">
        <v>240</v>
      </c>
      <c r="D3128" s="580" t="s">
        <v>241</v>
      </c>
      <c r="E3128" s="569" t="s">
        <v>3374</v>
      </c>
      <c r="F3128" s="569" t="s">
        <v>152</v>
      </c>
      <c r="G3128" s="569" t="s">
        <v>3265</v>
      </c>
      <c r="H3128" s="569">
        <v>2019</v>
      </c>
      <c r="I3128" s="569" t="s">
        <v>5395</v>
      </c>
      <c r="J3128" s="569" t="s">
        <v>5429</v>
      </c>
      <c r="K3128" s="569" t="s">
        <v>3377</v>
      </c>
      <c r="L3128" s="569">
        <v>3</v>
      </c>
      <c r="M3128" s="569">
        <v>0</v>
      </c>
      <c r="N3128" s="569" t="s">
        <v>157</v>
      </c>
      <c r="O3128" s="569">
        <v>1</v>
      </c>
      <c r="P3128" s="569" t="s">
        <v>5405</v>
      </c>
      <c r="Q3128" s="568">
        <v>8660</v>
      </c>
      <c r="R3128" s="569" t="s">
        <v>5401</v>
      </c>
      <c r="S3128" s="569">
        <v>8</v>
      </c>
      <c r="T3128" s="569" t="s">
        <v>5430</v>
      </c>
      <c r="U3128" s="569" t="s">
        <v>5402</v>
      </c>
      <c r="V3128" s="569">
        <v>120</v>
      </c>
      <c r="W3128" s="569">
        <v>26</v>
      </c>
      <c r="X3128" s="568">
        <v>6025</v>
      </c>
      <c r="Y3128" s="569">
        <v>17</v>
      </c>
      <c r="Z3128" s="581" t="s">
        <v>178</v>
      </c>
      <c r="AA3128" s="581" t="s">
        <v>178</v>
      </c>
      <c r="AB3128" s="585">
        <v>35040</v>
      </c>
      <c r="AC3128" s="585" t="s">
        <v>164</v>
      </c>
      <c r="AD3128" s="585">
        <v>23817.021276595748</v>
      </c>
      <c r="AE3128" s="587">
        <v>0.05</v>
      </c>
      <c r="AF3128" s="661" t="str">
        <f t="shared" si="339"/>
        <v>2019-LTK-RAM-RM15-180-08</v>
      </c>
      <c r="AG3128" s="661" t="str">
        <f>IF(AND($Y3128&gt;=32,(AI3128="I"),(Y3128&lt;&gt;"~"),(COUNTIF($AN$1:$AN3128,$AN3128)=1)),"TRUE","FALSE")</f>
        <v>FALSE</v>
      </c>
      <c r="AH3128" s="661" t="str">
        <f>IF(AND($Y3128&gt;=22, (AI3128&lt;&gt;"I"),(Y3128&lt;&gt;"~"),(COUNTIF($AN$1:$AN3128,$AN3128)=1)),"TRUE","FALSE")</f>
        <v>FALSE</v>
      </c>
      <c r="AI3128" s="661" t="str">
        <f t="shared" si="341"/>
        <v>II</v>
      </c>
      <c r="AJ3128" s="662" t="str">
        <f t="shared" si="335"/>
        <v>RM15-180</v>
      </c>
      <c r="AK3128" s="662" t="str">
        <f t="shared" si="336"/>
        <v>LTK</v>
      </c>
      <c r="AL3128" s="662" t="str">
        <f t="shared" si="337"/>
        <v>RAM</v>
      </c>
      <c r="AM3128" s="662" t="str">
        <f t="shared" si="340"/>
        <v>Ram 1500-SLT Regular Cab-2WD-3-6'4"-8660-5.7L Hemi-8-DS1H61-27G-120-26-Unleaded-Unleaded</v>
      </c>
      <c r="AN3128" s="662" t="str">
        <f t="shared" si="338"/>
        <v>2019-LTK-RAM-RM15-180</v>
      </c>
    </row>
    <row r="3129" spans="1:40" ht="15">
      <c r="A3129" s="570" t="s">
        <v>5433</v>
      </c>
      <c r="B3129" s="573" t="s">
        <v>5434</v>
      </c>
      <c r="C3129" s="573" t="s">
        <v>240</v>
      </c>
      <c r="D3129" s="578" t="s">
        <v>241</v>
      </c>
      <c r="E3129" s="573" t="s">
        <v>3374</v>
      </c>
      <c r="F3129" s="573" t="s">
        <v>152</v>
      </c>
      <c r="G3129" s="573" t="s">
        <v>3265</v>
      </c>
      <c r="H3129" s="573">
        <v>2019</v>
      </c>
      <c r="I3129" s="573" t="s">
        <v>5395</v>
      </c>
      <c r="J3129" s="573" t="s">
        <v>5429</v>
      </c>
      <c r="K3129" s="573" t="s">
        <v>3377</v>
      </c>
      <c r="L3129" s="573">
        <v>3</v>
      </c>
      <c r="M3129" s="573">
        <v>0</v>
      </c>
      <c r="N3129" s="573" t="s">
        <v>157</v>
      </c>
      <c r="O3129" s="573">
        <v>1</v>
      </c>
      <c r="P3129" s="573" t="s">
        <v>3846</v>
      </c>
      <c r="Q3129" s="571">
        <v>4770</v>
      </c>
      <c r="R3129" s="573" t="s">
        <v>231</v>
      </c>
      <c r="S3129" s="573">
        <v>6</v>
      </c>
      <c r="T3129" s="573" t="s">
        <v>5435</v>
      </c>
      <c r="U3129" s="573" t="s">
        <v>5398</v>
      </c>
      <c r="V3129" s="573">
        <v>140</v>
      </c>
      <c r="W3129" s="573">
        <v>32</v>
      </c>
      <c r="X3129" s="571">
        <v>6600</v>
      </c>
      <c r="Y3129" s="573">
        <v>20</v>
      </c>
      <c r="Z3129" s="579" t="s">
        <v>178</v>
      </c>
      <c r="AA3129" s="579" t="s">
        <v>178</v>
      </c>
      <c r="AB3129" s="584">
        <v>33390</v>
      </c>
      <c r="AC3129" s="584" t="s">
        <v>164</v>
      </c>
      <c r="AD3129" s="584">
        <v>22264.893617021276</v>
      </c>
      <c r="AE3129" s="586">
        <v>0.05</v>
      </c>
      <c r="AF3129" s="661" t="str">
        <f t="shared" si="339"/>
        <v>2019-LTK-RAM-RM15-181-08</v>
      </c>
      <c r="AG3129" s="661" t="str">
        <f>IF(AND($Y3129&gt;=32,(AI3129="I"),(Y3129&lt;&gt;"~"),(COUNTIF($AN$1:$AN3129,$AN3129)=1)),"TRUE","FALSE")</f>
        <v>FALSE</v>
      </c>
      <c r="AH3129" s="661" t="str">
        <f>IF(AND($Y3129&gt;=22, (AI3129&lt;&gt;"I"),(Y3129&lt;&gt;"~"),(COUNTIF($AN$1:$AN3129,$AN3129)=1)),"TRUE","FALSE")</f>
        <v>FALSE</v>
      </c>
      <c r="AI3129" s="661" t="str">
        <f t="shared" si="341"/>
        <v>II</v>
      </c>
      <c r="AJ3129" s="662" t="str">
        <f t="shared" si="335"/>
        <v>RM15-181</v>
      </c>
      <c r="AK3129" s="662" t="str">
        <f t="shared" si="336"/>
        <v>LTK</v>
      </c>
      <c r="AL3129" s="662" t="str">
        <f t="shared" si="337"/>
        <v>RAM</v>
      </c>
      <c r="AM3129" s="662" t="str">
        <f t="shared" si="340"/>
        <v>Ram 1500-SLT Regular Cab-2WD-3-8'-4770-3.6L-6-DS1H62-22G-140-32-Unleaded-Unleaded</v>
      </c>
      <c r="AN3129" s="662" t="str">
        <f t="shared" si="338"/>
        <v>2019-LTK-RAM-RM15-181</v>
      </c>
    </row>
    <row r="3130" spans="1:40" ht="15">
      <c r="A3130" s="570" t="s">
        <v>5436</v>
      </c>
      <c r="B3130" s="569" t="s">
        <v>5437</v>
      </c>
      <c r="C3130" s="569" t="s">
        <v>240</v>
      </c>
      <c r="D3130" s="580" t="s">
        <v>241</v>
      </c>
      <c r="E3130" s="569" t="s">
        <v>3374</v>
      </c>
      <c r="F3130" s="569" t="s">
        <v>152</v>
      </c>
      <c r="G3130" s="569" t="s">
        <v>3265</v>
      </c>
      <c r="H3130" s="569">
        <v>2019</v>
      </c>
      <c r="I3130" s="569" t="s">
        <v>5395</v>
      </c>
      <c r="J3130" s="569" t="s">
        <v>5429</v>
      </c>
      <c r="K3130" s="569" t="s">
        <v>3377</v>
      </c>
      <c r="L3130" s="569">
        <v>3</v>
      </c>
      <c r="M3130" s="569">
        <v>0</v>
      </c>
      <c r="N3130" s="569" t="s">
        <v>157</v>
      </c>
      <c r="O3130" s="569">
        <v>1</v>
      </c>
      <c r="P3130" s="569" t="s">
        <v>3846</v>
      </c>
      <c r="Q3130" s="568">
        <v>8450</v>
      </c>
      <c r="R3130" s="569" t="s">
        <v>5401</v>
      </c>
      <c r="S3130" s="569">
        <v>8</v>
      </c>
      <c r="T3130" s="569" t="s">
        <v>5435</v>
      </c>
      <c r="U3130" s="569" t="s">
        <v>5402</v>
      </c>
      <c r="V3130" s="569">
        <v>140</v>
      </c>
      <c r="W3130" s="569">
        <v>32</v>
      </c>
      <c r="X3130" s="568">
        <v>6600</v>
      </c>
      <c r="Y3130" s="569">
        <v>17</v>
      </c>
      <c r="Z3130" s="581" t="s">
        <v>178</v>
      </c>
      <c r="AA3130" s="581" t="s">
        <v>178</v>
      </c>
      <c r="AB3130" s="585">
        <v>35340</v>
      </c>
      <c r="AC3130" s="585" t="s">
        <v>164</v>
      </c>
      <c r="AD3130" s="585">
        <v>24091.48936170213</v>
      </c>
      <c r="AE3130" s="587">
        <v>0.05</v>
      </c>
      <c r="AF3130" s="661" t="str">
        <f t="shared" si="339"/>
        <v>2019-LTK-RAM-RM15-182-08</v>
      </c>
      <c r="AG3130" s="661" t="str">
        <f>IF(AND($Y3130&gt;=32,(AI3130="I"),(Y3130&lt;&gt;"~"),(COUNTIF($AN$1:$AN3130,$AN3130)=1)),"TRUE","FALSE")</f>
        <v>FALSE</v>
      </c>
      <c r="AH3130" s="661" t="str">
        <f>IF(AND($Y3130&gt;=22, (AI3130&lt;&gt;"I"),(Y3130&lt;&gt;"~"),(COUNTIF($AN$1:$AN3130,$AN3130)=1)),"TRUE","FALSE")</f>
        <v>FALSE</v>
      </c>
      <c r="AI3130" s="661" t="str">
        <f t="shared" si="341"/>
        <v>II</v>
      </c>
      <c r="AJ3130" s="662" t="str">
        <f t="shared" si="335"/>
        <v>RM15-182</v>
      </c>
      <c r="AK3130" s="662" t="str">
        <f t="shared" si="336"/>
        <v>LTK</v>
      </c>
      <c r="AL3130" s="662" t="str">
        <f t="shared" si="337"/>
        <v>RAM</v>
      </c>
      <c r="AM3130" s="662" t="str">
        <f t="shared" si="340"/>
        <v>Ram 1500-SLT Regular Cab-2WD-3-8'-8450-5.7L Hemi-8-DS1H62-27G-140-32-Unleaded-Unleaded</v>
      </c>
      <c r="AN3130" s="662" t="str">
        <f t="shared" si="338"/>
        <v>2019-LTK-RAM-RM15-182</v>
      </c>
    </row>
    <row r="3131" spans="1:40" ht="15">
      <c r="A3131" s="570" t="s">
        <v>5438</v>
      </c>
      <c r="B3131" s="573" t="s">
        <v>5439</v>
      </c>
      <c r="C3131" s="573" t="s">
        <v>240</v>
      </c>
      <c r="D3131" s="578" t="s">
        <v>241</v>
      </c>
      <c r="E3131" s="573" t="s">
        <v>3374</v>
      </c>
      <c r="F3131" s="573" t="s">
        <v>152</v>
      </c>
      <c r="G3131" s="573" t="s">
        <v>3265</v>
      </c>
      <c r="H3131" s="573">
        <v>2019</v>
      </c>
      <c r="I3131" s="573" t="s">
        <v>5395</v>
      </c>
      <c r="J3131" s="573" t="s">
        <v>5429</v>
      </c>
      <c r="K3131" s="573" t="s">
        <v>752</v>
      </c>
      <c r="L3131" s="573">
        <v>3</v>
      </c>
      <c r="M3131" s="573">
        <v>0</v>
      </c>
      <c r="N3131" s="573" t="s">
        <v>157</v>
      </c>
      <c r="O3131" s="573">
        <v>1</v>
      </c>
      <c r="P3131" s="573" t="s">
        <v>5405</v>
      </c>
      <c r="Q3131" s="571">
        <v>4740</v>
      </c>
      <c r="R3131" s="573" t="s">
        <v>231</v>
      </c>
      <c r="S3131" s="573">
        <v>6</v>
      </c>
      <c r="T3131" s="573" t="s">
        <v>5440</v>
      </c>
      <c r="U3131" s="573" t="s">
        <v>5398</v>
      </c>
      <c r="V3131" s="573">
        <v>120</v>
      </c>
      <c r="W3131" s="573">
        <v>26</v>
      </c>
      <c r="X3131" s="571">
        <v>6300</v>
      </c>
      <c r="Y3131" s="573">
        <v>19</v>
      </c>
      <c r="Z3131" s="579" t="s">
        <v>178</v>
      </c>
      <c r="AA3131" s="579" t="s">
        <v>178</v>
      </c>
      <c r="AB3131" s="584">
        <v>37590</v>
      </c>
      <c r="AC3131" s="584" t="s">
        <v>164</v>
      </c>
      <c r="AD3131" s="584">
        <v>24464.21052631579</v>
      </c>
      <c r="AE3131" s="586">
        <v>0.05</v>
      </c>
      <c r="AF3131" s="661" t="str">
        <f t="shared" si="339"/>
        <v>2019-LTK-RAM-RM15-183-08</v>
      </c>
      <c r="AG3131" s="661" t="str">
        <f>IF(AND($Y3131&gt;=32,(AI3131="I"),(Y3131&lt;&gt;"~"),(COUNTIF($AN$1:$AN3131,$AN3131)=1)),"TRUE","FALSE")</f>
        <v>FALSE</v>
      </c>
      <c r="AH3131" s="661" t="str">
        <f>IF(AND($Y3131&gt;=22, (AI3131&lt;&gt;"I"),(Y3131&lt;&gt;"~"),(COUNTIF($AN$1:$AN3131,$AN3131)=1)),"TRUE","FALSE")</f>
        <v>FALSE</v>
      </c>
      <c r="AI3131" s="661" t="str">
        <f t="shared" si="341"/>
        <v>II</v>
      </c>
      <c r="AJ3131" s="662" t="str">
        <f t="shared" si="335"/>
        <v>RM15-183</v>
      </c>
      <c r="AK3131" s="662" t="str">
        <f t="shared" si="336"/>
        <v>LTK</v>
      </c>
      <c r="AL3131" s="662" t="str">
        <f t="shared" si="337"/>
        <v>RAM</v>
      </c>
      <c r="AM3131" s="662" t="str">
        <f t="shared" si="340"/>
        <v>Ram 1500-SLT Regular Cab-4WD-3-6'4"-4740-3.6L-6-DS6H61-22G-120-26-Unleaded-Unleaded</v>
      </c>
      <c r="AN3131" s="662" t="str">
        <f t="shared" si="338"/>
        <v>2019-LTK-RAM-RM15-183</v>
      </c>
    </row>
    <row r="3132" spans="1:40" ht="15">
      <c r="A3132" s="570" t="s">
        <v>5441</v>
      </c>
      <c r="B3132" s="569" t="s">
        <v>5442</v>
      </c>
      <c r="C3132" s="569" t="s">
        <v>240</v>
      </c>
      <c r="D3132" s="580" t="s">
        <v>241</v>
      </c>
      <c r="E3132" s="569" t="s">
        <v>3374</v>
      </c>
      <c r="F3132" s="569" t="s">
        <v>152</v>
      </c>
      <c r="G3132" s="569" t="s">
        <v>3265</v>
      </c>
      <c r="H3132" s="569">
        <v>2019</v>
      </c>
      <c r="I3132" s="569" t="s">
        <v>5395</v>
      </c>
      <c r="J3132" s="569" t="s">
        <v>5429</v>
      </c>
      <c r="K3132" s="569" t="s">
        <v>752</v>
      </c>
      <c r="L3132" s="569">
        <v>3</v>
      </c>
      <c r="M3132" s="569">
        <v>0</v>
      </c>
      <c r="N3132" s="569" t="s">
        <v>157</v>
      </c>
      <c r="O3132" s="569">
        <v>1</v>
      </c>
      <c r="P3132" s="569" t="s">
        <v>5405</v>
      </c>
      <c r="Q3132" s="568">
        <v>8380</v>
      </c>
      <c r="R3132" s="569" t="s">
        <v>5401</v>
      </c>
      <c r="S3132" s="569">
        <v>8</v>
      </c>
      <c r="T3132" s="569" t="s">
        <v>5440</v>
      </c>
      <c r="U3132" s="569" t="s">
        <v>5402</v>
      </c>
      <c r="V3132" s="569">
        <v>120</v>
      </c>
      <c r="W3132" s="569">
        <v>26</v>
      </c>
      <c r="X3132" s="568">
        <v>6300</v>
      </c>
      <c r="Y3132" s="569">
        <v>17</v>
      </c>
      <c r="Z3132" s="581" t="s">
        <v>178</v>
      </c>
      <c r="AA3132" s="581" t="s">
        <v>178</v>
      </c>
      <c r="AB3132" s="585">
        <v>39540</v>
      </c>
      <c r="AC3132" s="585" t="s">
        <v>164</v>
      </c>
      <c r="AD3132" s="585">
        <v>26229.473684210527</v>
      </c>
      <c r="AE3132" s="587">
        <v>0.05</v>
      </c>
      <c r="AF3132" s="661" t="str">
        <f t="shared" si="339"/>
        <v>2019-LTK-RAM-RM15-184-08</v>
      </c>
      <c r="AG3132" s="661" t="str">
        <f>IF(AND($Y3132&gt;=32,(AI3132="I"),(Y3132&lt;&gt;"~"),(COUNTIF($AN$1:$AN3132,$AN3132)=1)),"TRUE","FALSE")</f>
        <v>FALSE</v>
      </c>
      <c r="AH3132" s="661" t="str">
        <f>IF(AND($Y3132&gt;=22, (AI3132&lt;&gt;"I"),(Y3132&lt;&gt;"~"),(COUNTIF($AN$1:$AN3132,$AN3132)=1)),"TRUE","FALSE")</f>
        <v>FALSE</v>
      </c>
      <c r="AI3132" s="661" t="str">
        <f t="shared" si="341"/>
        <v>II</v>
      </c>
      <c r="AJ3132" s="662" t="str">
        <f t="shared" si="335"/>
        <v>RM15-184</v>
      </c>
      <c r="AK3132" s="662" t="str">
        <f t="shared" si="336"/>
        <v>LTK</v>
      </c>
      <c r="AL3132" s="662" t="str">
        <f t="shared" si="337"/>
        <v>RAM</v>
      </c>
      <c r="AM3132" s="662" t="str">
        <f t="shared" si="340"/>
        <v>Ram 1500-SLT Regular Cab-4WD-3-6'4"-8380-5.7L Hemi-8-DS6H61-27G-120-26-Unleaded-Unleaded</v>
      </c>
      <c r="AN3132" s="662" t="str">
        <f t="shared" si="338"/>
        <v>2019-LTK-RAM-RM15-184</v>
      </c>
    </row>
    <row r="3133" spans="1:40" ht="15">
      <c r="A3133" s="570" t="s">
        <v>5443</v>
      </c>
      <c r="B3133" s="573" t="s">
        <v>5444</v>
      </c>
      <c r="C3133" s="573" t="s">
        <v>240</v>
      </c>
      <c r="D3133" s="578" t="s">
        <v>241</v>
      </c>
      <c r="E3133" s="573" t="s">
        <v>3374</v>
      </c>
      <c r="F3133" s="573" t="s">
        <v>152</v>
      </c>
      <c r="G3133" s="573" t="s">
        <v>3265</v>
      </c>
      <c r="H3133" s="573">
        <v>2019</v>
      </c>
      <c r="I3133" s="573" t="s">
        <v>5395</v>
      </c>
      <c r="J3133" s="573" t="s">
        <v>5429</v>
      </c>
      <c r="K3133" s="573" t="s">
        <v>752</v>
      </c>
      <c r="L3133" s="573">
        <v>3</v>
      </c>
      <c r="M3133" s="573">
        <v>0</v>
      </c>
      <c r="N3133" s="573" t="s">
        <v>157</v>
      </c>
      <c r="O3133" s="573">
        <v>1</v>
      </c>
      <c r="P3133" s="573" t="s">
        <v>3846</v>
      </c>
      <c r="Q3133" s="571">
        <v>4570</v>
      </c>
      <c r="R3133" s="573" t="s">
        <v>231</v>
      </c>
      <c r="S3133" s="573">
        <v>6</v>
      </c>
      <c r="T3133" s="573" t="s">
        <v>5445</v>
      </c>
      <c r="U3133" s="573" t="s">
        <v>5398</v>
      </c>
      <c r="V3133" s="573">
        <v>140</v>
      </c>
      <c r="W3133" s="573">
        <v>32</v>
      </c>
      <c r="X3133" s="571">
        <v>6600</v>
      </c>
      <c r="Y3133" s="573">
        <v>19</v>
      </c>
      <c r="Z3133" s="579" t="s">
        <v>178</v>
      </c>
      <c r="AA3133" s="579" t="s">
        <v>178</v>
      </c>
      <c r="AB3133" s="584">
        <v>37890</v>
      </c>
      <c r="AC3133" s="584" t="s">
        <v>164</v>
      </c>
      <c r="AD3133" s="584">
        <v>24735.78947368421</v>
      </c>
      <c r="AE3133" s="586">
        <v>0.05</v>
      </c>
      <c r="AF3133" s="661" t="str">
        <f t="shared" si="339"/>
        <v>2019-LTK-RAM-RM15-185-08</v>
      </c>
      <c r="AG3133" s="661" t="str">
        <f>IF(AND($Y3133&gt;=32,(AI3133="I"),(Y3133&lt;&gt;"~"),(COUNTIF($AN$1:$AN3133,$AN3133)=1)),"TRUE","FALSE")</f>
        <v>FALSE</v>
      </c>
      <c r="AH3133" s="661" t="str">
        <f>IF(AND($Y3133&gt;=22, (AI3133&lt;&gt;"I"),(Y3133&lt;&gt;"~"),(COUNTIF($AN$1:$AN3133,$AN3133)=1)),"TRUE","FALSE")</f>
        <v>FALSE</v>
      </c>
      <c r="AI3133" s="661" t="str">
        <f t="shared" si="341"/>
        <v>II</v>
      </c>
      <c r="AJ3133" s="662" t="str">
        <f t="shared" si="335"/>
        <v>RM15-185</v>
      </c>
      <c r="AK3133" s="662" t="str">
        <f t="shared" si="336"/>
        <v>LTK</v>
      </c>
      <c r="AL3133" s="662" t="str">
        <f t="shared" si="337"/>
        <v>RAM</v>
      </c>
      <c r="AM3133" s="662" t="str">
        <f t="shared" si="340"/>
        <v>Ram 1500-SLT Regular Cab-4WD-3-8'-4570-3.6L-6-DS6H62-22G-140-32-Unleaded-Unleaded</v>
      </c>
      <c r="AN3133" s="662" t="str">
        <f t="shared" si="338"/>
        <v>2019-LTK-RAM-RM15-185</v>
      </c>
    </row>
    <row r="3134" spans="1:40" ht="15">
      <c r="A3134" s="570" t="s">
        <v>5446</v>
      </c>
      <c r="B3134" s="569" t="s">
        <v>5447</v>
      </c>
      <c r="C3134" s="569" t="s">
        <v>240</v>
      </c>
      <c r="D3134" s="580" t="s">
        <v>241</v>
      </c>
      <c r="E3134" s="569" t="s">
        <v>3374</v>
      </c>
      <c r="F3134" s="569" t="s">
        <v>152</v>
      </c>
      <c r="G3134" s="569" t="s">
        <v>3265</v>
      </c>
      <c r="H3134" s="569">
        <v>2019</v>
      </c>
      <c r="I3134" s="569" t="s">
        <v>5395</v>
      </c>
      <c r="J3134" s="569" t="s">
        <v>5429</v>
      </c>
      <c r="K3134" s="569" t="s">
        <v>752</v>
      </c>
      <c r="L3134" s="569">
        <v>3</v>
      </c>
      <c r="M3134" s="569">
        <v>0</v>
      </c>
      <c r="N3134" s="569" t="s">
        <v>157</v>
      </c>
      <c r="O3134" s="569">
        <v>1</v>
      </c>
      <c r="P3134" s="569" t="s">
        <v>3846</v>
      </c>
      <c r="Q3134" s="568">
        <v>8250</v>
      </c>
      <c r="R3134" s="569" t="s">
        <v>5401</v>
      </c>
      <c r="S3134" s="569">
        <v>8</v>
      </c>
      <c r="T3134" s="569" t="s">
        <v>5445</v>
      </c>
      <c r="U3134" s="569" t="s">
        <v>5402</v>
      </c>
      <c r="V3134" s="569">
        <v>140</v>
      </c>
      <c r="W3134" s="569">
        <v>32</v>
      </c>
      <c r="X3134" s="568">
        <v>6600</v>
      </c>
      <c r="Y3134" s="569">
        <v>17</v>
      </c>
      <c r="Z3134" s="581" t="s">
        <v>178</v>
      </c>
      <c r="AA3134" s="581" t="s">
        <v>178</v>
      </c>
      <c r="AB3134" s="585">
        <v>39840</v>
      </c>
      <c r="AC3134" s="585" t="s">
        <v>164</v>
      </c>
      <c r="AD3134" s="585">
        <v>26501.05263157895</v>
      </c>
      <c r="AE3134" s="587">
        <v>0.05</v>
      </c>
      <c r="AF3134" s="661" t="str">
        <f t="shared" si="339"/>
        <v>2019-LTK-RAM-RM15-186-08</v>
      </c>
      <c r="AG3134" s="661" t="str">
        <f>IF(AND($Y3134&gt;=32,(AI3134="I"),(Y3134&lt;&gt;"~"),(COUNTIF($AN$1:$AN3134,$AN3134)=1)),"TRUE","FALSE")</f>
        <v>FALSE</v>
      </c>
      <c r="AH3134" s="661" t="str">
        <f>IF(AND($Y3134&gt;=22, (AI3134&lt;&gt;"I"),(Y3134&lt;&gt;"~"),(COUNTIF($AN$1:$AN3134,$AN3134)=1)),"TRUE","FALSE")</f>
        <v>FALSE</v>
      </c>
      <c r="AI3134" s="661" t="str">
        <f t="shared" si="341"/>
        <v>II</v>
      </c>
      <c r="AJ3134" s="662" t="str">
        <f t="shared" si="335"/>
        <v>RM15-186</v>
      </c>
      <c r="AK3134" s="662" t="str">
        <f t="shared" si="336"/>
        <v>LTK</v>
      </c>
      <c r="AL3134" s="662" t="str">
        <f t="shared" si="337"/>
        <v>RAM</v>
      </c>
      <c r="AM3134" s="662" t="str">
        <f t="shared" si="340"/>
        <v>Ram 1500-SLT Regular Cab-4WD-3-8'-8250-5.7L Hemi-8-DS6H62-27G-140-32-Unleaded-Unleaded</v>
      </c>
      <c r="AN3134" s="662" t="str">
        <f t="shared" si="338"/>
        <v>2019-LTK-RAM-RM15-186</v>
      </c>
    </row>
    <row r="3135" spans="1:40" ht="15">
      <c r="A3135" s="570" t="s">
        <v>5448</v>
      </c>
      <c r="B3135" s="573" t="s">
        <v>5449</v>
      </c>
      <c r="C3135" s="573" t="s">
        <v>240</v>
      </c>
      <c r="D3135" s="578" t="s">
        <v>241</v>
      </c>
      <c r="E3135" s="573" t="s">
        <v>3374</v>
      </c>
      <c r="F3135" s="573" t="s">
        <v>152</v>
      </c>
      <c r="G3135" s="573" t="s">
        <v>3265</v>
      </c>
      <c r="H3135" s="573">
        <v>2019</v>
      </c>
      <c r="I3135" s="573" t="s">
        <v>5395</v>
      </c>
      <c r="J3135" s="573" t="s">
        <v>5450</v>
      </c>
      <c r="K3135" s="573" t="s">
        <v>3377</v>
      </c>
      <c r="L3135" s="573">
        <v>6</v>
      </c>
      <c r="M3135" s="573">
        <v>0</v>
      </c>
      <c r="N3135" s="573" t="s">
        <v>157</v>
      </c>
      <c r="O3135" s="573">
        <v>2</v>
      </c>
      <c r="P3135" s="573" t="s">
        <v>5351</v>
      </c>
      <c r="Q3135" s="571">
        <v>4600</v>
      </c>
      <c r="R3135" s="573" t="s">
        <v>231</v>
      </c>
      <c r="S3135" s="573">
        <v>6</v>
      </c>
      <c r="T3135" s="573" t="s">
        <v>5451</v>
      </c>
      <c r="U3135" s="573" t="s">
        <v>5452</v>
      </c>
      <c r="V3135" s="573">
        <v>140</v>
      </c>
      <c r="W3135" s="573">
        <v>26</v>
      </c>
      <c r="X3135" s="571">
        <v>6800</v>
      </c>
      <c r="Y3135" s="573">
        <v>20</v>
      </c>
      <c r="Z3135" s="579" t="s">
        <v>178</v>
      </c>
      <c r="AA3135" s="579" t="s">
        <v>178</v>
      </c>
      <c r="AB3135" s="584">
        <v>35190</v>
      </c>
      <c r="AC3135" s="584" t="s">
        <v>164</v>
      </c>
      <c r="AD3135" s="584">
        <v>21559</v>
      </c>
      <c r="AE3135" s="586">
        <v>0.05</v>
      </c>
      <c r="AF3135" s="661" t="str">
        <f t="shared" si="339"/>
        <v>2019-LTK-RAM-RM15-187-08</v>
      </c>
      <c r="AG3135" s="661" t="str">
        <f>IF(AND($Y3135&gt;=32,(AI3135="I"),(Y3135&lt;&gt;"~"),(COUNTIF($AN$1:$AN3135,$AN3135)=1)),"TRUE","FALSE")</f>
        <v>FALSE</v>
      </c>
      <c r="AH3135" s="661" t="str">
        <f>IF(AND($Y3135&gt;=22, (AI3135&lt;&gt;"I"),(Y3135&lt;&gt;"~"),(COUNTIF($AN$1:$AN3135,$AN3135)=1)),"TRUE","FALSE")</f>
        <v>FALSE</v>
      </c>
      <c r="AI3135" s="661" t="str">
        <f t="shared" si="341"/>
        <v>II</v>
      </c>
      <c r="AJ3135" s="662" t="str">
        <f t="shared" si="335"/>
        <v>RM15-187</v>
      </c>
      <c r="AK3135" s="662" t="str">
        <f t="shared" si="336"/>
        <v>LTK</v>
      </c>
      <c r="AL3135" s="662" t="str">
        <f t="shared" si="337"/>
        <v>RAM</v>
      </c>
      <c r="AM3135" s="662" t="str">
        <f t="shared" si="340"/>
        <v>Ram 1500-Tradesman Crew Cab-2WD-6-5'7"-4600-3.6L-6-DS1L98-22B-140-26-Unleaded-Unleaded</v>
      </c>
      <c r="AN3135" s="662" t="str">
        <f t="shared" si="338"/>
        <v>2019-LTK-RAM-RM15-187</v>
      </c>
    </row>
    <row r="3136" spans="1:40" ht="15">
      <c r="A3136" s="570" t="s">
        <v>5453</v>
      </c>
      <c r="B3136" s="569" t="s">
        <v>5454</v>
      </c>
      <c r="C3136" s="569" t="s">
        <v>240</v>
      </c>
      <c r="D3136" s="580" t="s">
        <v>241</v>
      </c>
      <c r="E3136" s="569" t="s">
        <v>3374</v>
      </c>
      <c r="F3136" s="569" t="s">
        <v>152</v>
      </c>
      <c r="G3136" s="569" t="s">
        <v>3265</v>
      </c>
      <c r="H3136" s="569">
        <v>2019</v>
      </c>
      <c r="I3136" s="569" t="s">
        <v>5395</v>
      </c>
      <c r="J3136" s="569" t="s">
        <v>5450</v>
      </c>
      <c r="K3136" s="569" t="s">
        <v>3377</v>
      </c>
      <c r="L3136" s="569">
        <v>6</v>
      </c>
      <c r="M3136" s="569">
        <v>0</v>
      </c>
      <c r="N3136" s="569" t="s">
        <v>157</v>
      </c>
      <c r="O3136" s="569">
        <v>2</v>
      </c>
      <c r="P3136" s="569" t="s">
        <v>5351</v>
      </c>
      <c r="Q3136" s="568">
        <v>8250</v>
      </c>
      <c r="R3136" s="569" t="s">
        <v>5401</v>
      </c>
      <c r="S3136" s="569">
        <v>8</v>
      </c>
      <c r="T3136" s="569" t="s">
        <v>5451</v>
      </c>
      <c r="U3136" s="569" t="s">
        <v>5455</v>
      </c>
      <c r="V3136" s="569">
        <v>140</v>
      </c>
      <c r="W3136" s="569">
        <v>26</v>
      </c>
      <c r="X3136" s="568">
        <v>6800</v>
      </c>
      <c r="Y3136" s="569">
        <v>17</v>
      </c>
      <c r="Z3136" s="581" t="s">
        <v>178</v>
      </c>
      <c r="AA3136" s="581" t="s">
        <v>178</v>
      </c>
      <c r="AB3136" s="585">
        <v>37140</v>
      </c>
      <c r="AC3136" s="585" t="s">
        <v>164</v>
      </c>
      <c r="AD3136" s="585">
        <v>23259</v>
      </c>
      <c r="AE3136" s="587">
        <v>0.05</v>
      </c>
      <c r="AF3136" s="661" t="str">
        <f t="shared" si="339"/>
        <v>2019-LTK-RAM-RM15-188-08</v>
      </c>
      <c r="AG3136" s="661" t="str">
        <f>IF(AND($Y3136&gt;=32,(AI3136="I"),(Y3136&lt;&gt;"~"),(COUNTIF($AN$1:$AN3136,$AN3136)=1)),"TRUE","FALSE")</f>
        <v>FALSE</v>
      </c>
      <c r="AH3136" s="661" t="str">
        <f>IF(AND($Y3136&gt;=22, (AI3136&lt;&gt;"I"),(Y3136&lt;&gt;"~"),(COUNTIF($AN$1:$AN3136,$AN3136)=1)),"TRUE","FALSE")</f>
        <v>FALSE</v>
      </c>
      <c r="AI3136" s="661" t="str">
        <f t="shared" si="341"/>
        <v>II</v>
      </c>
      <c r="AJ3136" s="662" t="str">
        <f t="shared" si="335"/>
        <v>RM15-188</v>
      </c>
      <c r="AK3136" s="662" t="str">
        <f t="shared" si="336"/>
        <v>LTK</v>
      </c>
      <c r="AL3136" s="662" t="str">
        <f t="shared" si="337"/>
        <v>RAM</v>
      </c>
      <c r="AM3136" s="662" t="str">
        <f t="shared" si="340"/>
        <v>Ram 1500-Tradesman Crew Cab-2WD-6-5'7"-8250-5.7L Hemi-8-DS1L98-27B-140-26-Unleaded-Unleaded</v>
      </c>
      <c r="AN3136" s="662" t="str">
        <f t="shared" si="338"/>
        <v>2019-LTK-RAM-RM15-188</v>
      </c>
    </row>
    <row r="3137" spans="1:40" ht="15">
      <c r="A3137" s="570" t="s">
        <v>5456</v>
      </c>
      <c r="B3137" s="573" t="s">
        <v>5457</v>
      </c>
      <c r="C3137" s="573" t="s">
        <v>240</v>
      </c>
      <c r="D3137" s="578" t="s">
        <v>241</v>
      </c>
      <c r="E3137" s="573" t="s">
        <v>3374</v>
      </c>
      <c r="F3137" s="573" t="s">
        <v>152</v>
      </c>
      <c r="G3137" s="573" t="s">
        <v>3265</v>
      </c>
      <c r="H3137" s="573">
        <v>2019</v>
      </c>
      <c r="I3137" s="573" t="s">
        <v>5395</v>
      </c>
      <c r="J3137" s="573" t="s">
        <v>5450</v>
      </c>
      <c r="K3137" s="573" t="s">
        <v>3377</v>
      </c>
      <c r="L3137" s="573">
        <v>6</v>
      </c>
      <c r="M3137" s="573">
        <v>0</v>
      </c>
      <c r="N3137" s="573" t="s">
        <v>157</v>
      </c>
      <c r="O3137" s="573">
        <v>2</v>
      </c>
      <c r="P3137" s="573" t="s">
        <v>5458</v>
      </c>
      <c r="Q3137" s="571">
        <v>8230</v>
      </c>
      <c r="R3137" s="573" t="s">
        <v>5401</v>
      </c>
      <c r="S3137" s="573">
        <v>8</v>
      </c>
      <c r="T3137" s="573" t="s">
        <v>5459</v>
      </c>
      <c r="U3137" s="573" t="s">
        <v>5455</v>
      </c>
      <c r="V3137" s="573">
        <v>149</v>
      </c>
      <c r="W3137" s="573">
        <v>26</v>
      </c>
      <c r="X3137" s="571">
        <v>6800</v>
      </c>
      <c r="Y3137" s="573">
        <v>17</v>
      </c>
      <c r="Z3137" s="579" t="s">
        <v>178</v>
      </c>
      <c r="AA3137" s="579" t="s">
        <v>178</v>
      </c>
      <c r="AB3137" s="584">
        <v>35890</v>
      </c>
      <c r="AC3137" s="584" t="s">
        <v>164</v>
      </c>
      <c r="AD3137" s="584">
        <v>21916.84210526316</v>
      </c>
      <c r="AE3137" s="586">
        <v>0.05</v>
      </c>
      <c r="AF3137" s="661" t="str">
        <f t="shared" si="339"/>
        <v>2019-LTK-RAM-RM15-189-08</v>
      </c>
      <c r="AG3137" s="661" t="str">
        <f>IF(AND($Y3137&gt;=32,(AI3137="I"),(Y3137&lt;&gt;"~"),(COUNTIF($AN$1:$AN3137,$AN3137)=1)),"TRUE","FALSE")</f>
        <v>FALSE</v>
      </c>
      <c r="AH3137" s="661" t="str">
        <f>IF(AND($Y3137&gt;=22, (AI3137&lt;&gt;"I"),(Y3137&lt;&gt;"~"),(COUNTIF($AN$1:$AN3137,$AN3137)=1)),"TRUE","FALSE")</f>
        <v>FALSE</v>
      </c>
      <c r="AI3137" s="661" t="str">
        <f t="shared" si="341"/>
        <v>II</v>
      </c>
      <c r="AJ3137" s="662" t="str">
        <f t="shared" si="335"/>
        <v>RM15-189</v>
      </c>
      <c r="AK3137" s="662" t="str">
        <f t="shared" si="336"/>
        <v>LTK</v>
      </c>
      <c r="AL3137" s="662" t="str">
        <f t="shared" si="337"/>
        <v>RAM</v>
      </c>
      <c r="AM3137" s="662" t="str">
        <f t="shared" si="340"/>
        <v>Ram 1500-Tradesman Crew Cab-2WD-6-6'4'-8230-5.7L Hemi-8-DS1L91-27B-149-26-Unleaded-Unleaded</v>
      </c>
      <c r="AN3137" s="662" t="str">
        <f t="shared" si="338"/>
        <v>2019-LTK-RAM-RM15-189</v>
      </c>
    </row>
    <row r="3138" spans="1:40" ht="15">
      <c r="A3138" s="570" t="s">
        <v>5460</v>
      </c>
      <c r="B3138" s="569" t="s">
        <v>5461</v>
      </c>
      <c r="C3138" s="569" t="s">
        <v>240</v>
      </c>
      <c r="D3138" s="580" t="s">
        <v>241</v>
      </c>
      <c r="E3138" s="569" t="s">
        <v>3374</v>
      </c>
      <c r="F3138" s="569" t="s">
        <v>152</v>
      </c>
      <c r="G3138" s="569" t="s">
        <v>3265</v>
      </c>
      <c r="H3138" s="569">
        <v>2019</v>
      </c>
      <c r="I3138" s="569" t="s">
        <v>5395</v>
      </c>
      <c r="J3138" s="569" t="s">
        <v>5450</v>
      </c>
      <c r="K3138" s="569" t="s">
        <v>752</v>
      </c>
      <c r="L3138" s="569">
        <v>6</v>
      </c>
      <c r="M3138" s="569">
        <v>0</v>
      </c>
      <c r="N3138" s="569" t="s">
        <v>157</v>
      </c>
      <c r="O3138" s="569">
        <v>2</v>
      </c>
      <c r="P3138" s="569" t="s">
        <v>5351</v>
      </c>
      <c r="Q3138" s="568">
        <v>4410</v>
      </c>
      <c r="R3138" s="569" t="s">
        <v>231</v>
      </c>
      <c r="S3138" s="569">
        <v>6</v>
      </c>
      <c r="T3138" s="569" t="s">
        <v>5462</v>
      </c>
      <c r="U3138" s="569" t="s">
        <v>5452</v>
      </c>
      <c r="V3138" s="569">
        <v>140</v>
      </c>
      <c r="W3138" s="569">
        <v>26</v>
      </c>
      <c r="X3138" s="568">
        <v>6800</v>
      </c>
      <c r="Y3138" s="569">
        <v>19</v>
      </c>
      <c r="Z3138" s="581" t="s">
        <v>178</v>
      </c>
      <c r="AA3138" s="581" t="s">
        <v>178</v>
      </c>
      <c r="AB3138" s="585">
        <v>38890</v>
      </c>
      <c r="AC3138" s="585" t="s">
        <v>164</v>
      </c>
      <c r="AD3138" s="585">
        <v>24243.157894736843</v>
      </c>
      <c r="AE3138" s="587">
        <v>0.05</v>
      </c>
      <c r="AF3138" s="661" t="str">
        <f t="shared" si="339"/>
        <v>2019-LTK-RAM-RM15-190-08</v>
      </c>
      <c r="AG3138" s="661" t="str">
        <f>IF(AND($Y3138&gt;=32,(AI3138="I"),(Y3138&lt;&gt;"~"),(COUNTIF($AN$1:$AN3138,$AN3138)=1)),"TRUE","FALSE")</f>
        <v>FALSE</v>
      </c>
      <c r="AH3138" s="661" t="str">
        <f>IF(AND($Y3138&gt;=22, (AI3138&lt;&gt;"I"),(Y3138&lt;&gt;"~"),(COUNTIF($AN$1:$AN3138,$AN3138)=1)),"TRUE","FALSE")</f>
        <v>FALSE</v>
      </c>
      <c r="AI3138" s="661" t="str">
        <f t="shared" si="341"/>
        <v>II</v>
      </c>
      <c r="AJ3138" s="662" t="str">
        <f t="shared" si="335"/>
        <v>RM15-190</v>
      </c>
      <c r="AK3138" s="662" t="str">
        <f t="shared" si="336"/>
        <v>LTK</v>
      </c>
      <c r="AL3138" s="662" t="str">
        <f t="shared" si="337"/>
        <v>RAM</v>
      </c>
      <c r="AM3138" s="662" t="str">
        <f t="shared" si="340"/>
        <v>Ram 1500-Tradesman Crew Cab-4WD-6-5'7"-4410-3.6L-6-DS6L98-22B-140-26-Unleaded-Unleaded</v>
      </c>
      <c r="AN3138" s="662" t="str">
        <f t="shared" si="338"/>
        <v>2019-LTK-RAM-RM15-190</v>
      </c>
    </row>
    <row r="3139" spans="1:40" ht="15">
      <c r="A3139" s="570" t="s">
        <v>5463</v>
      </c>
      <c r="B3139" s="573" t="s">
        <v>5464</v>
      </c>
      <c r="C3139" s="573" t="s">
        <v>240</v>
      </c>
      <c r="D3139" s="578" t="s">
        <v>241</v>
      </c>
      <c r="E3139" s="573" t="s">
        <v>3374</v>
      </c>
      <c r="F3139" s="573" t="s">
        <v>152</v>
      </c>
      <c r="G3139" s="573" t="s">
        <v>3265</v>
      </c>
      <c r="H3139" s="573">
        <v>2019</v>
      </c>
      <c r="I3139" s="573" t="s">
        <v>5395</v>
      </c>
      <c r="J3139" s="573" t="s">
        <v>5450</v>
      </c>
      <c r="K3139" s="573" t="s">
        <v>752</v>
      </c>
      <c r="L3139" s="573">
        <v>6</v>
      </c>
      <c r="M3139" s="573">
        <v>0</v>
      </c>
      <c r="N3139" s="573" t="s">
        <v>157</v>
      </c>
      <c r="O3139" s="573">
        <v>2</v>
      </c>
      <c r="P3139" s="573" t="s">
        <v>5351</v>
      </c>
      <c r="Q3139" s="571">
        <v>8070</v>
      </c>
      <c r="R3139" s="573" t="s">
        <v>5401</v>
      </c>
      <c r="S3139" s="573">
        <v>8</v>
      </c>
      <c r="T3139" s="573" t="s">
        <v>5462</v>
      </c>
      <c r="U3139" s="573" t="s">
        <v>5455</v>
      </c>
      <c r="V3139" s="573">
        <v>140</v>
      </c>
      <c r="W3139" s="573">
        <v>26</v>
      </c>
      <c r="X3139" s="571">
        <v>6800</v>
      </c>
      <c r="Y3139" s="573">
        <v>17</v>
      </c>
      <c r="Z3139" s="579" t="s">
        <v>178</v>
      </c>
      <c r="AA3139" s="579" t="s">
        <v>178</v>
      </c>
      <c r="AB3139" s="584">
        <v>40840</v>
      </c>
      <c r="AC3139" s="584" t="s">
        <v>164</v>
      </c>
      <c r="AD3139" s="584">
        <v>26050.526315789473</v>
      </c>
      <c r="AE3139" s="586">
        <v>0.05</v>
      </c>
      <c r="AF3139" s="661" t="str">
        <f t="shared" si="339"/>
        <v>2019-LTK-RAM-RM15-191-08</v>
      </c>
      <c r="AG3139" s="661" t="str">
        <f>IF(AND($Y3139&gt;=32,(AI3139="I"),(Y3139&lt;&gt;"~"),(COUNTIF($AN$1:$AN3139,$AN3139)=1)),"TRUE","FALSE")</f>
        <v>FALSE</v>
      </c>
      <c r="AH3139" s="661" t="str">
        <f>IF(AND($Y3139&gt;=22, (AI3139&lt;&gt;"I"),(Y3139&lt;&gt;"~"),(COUNTIF($AN$1:$AN3139,$AN3139)=1)),"TRUE","FALSE")</f>
        <v>FALSE</v>
      </c>
      <c r="AI3139" s="661" t="str">
        <f t="shared" si="341"/>
        <v>II</v>
      </c>
      <c r="AJ3139" s="662" t="str">
        <f t="shared" ref="AJ3139:AJ3202" si="342">MID(A3139,14,8)</f>
        <v>RM15-191</v>
      </c>
      <c r="AK3139" s="662" t="str">
        <f t="shared" ref="AK3139:AK3202" si="343">MID(A3139,6,3)</f>
        <v>LTK</v>
      </c>
      <c r="AL3139" s="662" t="str">
        <f t="shared" ref="AL3139:AL3202" si="344">MID(A3139,10,3)</f>
        <v>RAM</v>
      </c>
      <c r="AM3139" s="662" t="str">
        <f t="shared" si="340"/>
        <v>Ram 1500-Tradesman Crew Cab-4WD-6-5'7"-8070-5.7L Hemi-8-DS6L98-27B-140-26-Unleaded-Unleaded</v>
      </c>
      <c r="AN3139" s="662" t="str">
        <f t="shared" ref="AN3139:AN3202" si="345">LEFT(A3139,21)</f>
        <v>2019-LTK-RAM-RM15-191</v>
      </c>
    </row>
    <row r="3140" spans="1:40" ht="15">
      <c r="A3140" s="570" t="s">
        <v>5465</v>
      </c>
      <c r="B3140" s="569" t="s">
        <v>5466</v>
      </c>
      <c r="C3140" s="569" t="s">
        <v>240</v>
      </c>
      <c r="D3140" s="580" t="s">
        <v>241</v>
      </c>
      <c r="E3140" s="569" t="s">
        <v>3374</v>
      </c>
      <c r="F3140" s="569" t="s">
        <v>152</v>
      </c>
      <c r="G3140" s="569" t="s">
        <v>3265</v>
      </c>
      <c r="H3140" s="569">
        <v>2019</v>
      </c>
      <c r="I3140" s="569" t="s">
        <v>5395</v>
      </c>
      <c r="J3140" s="569" t="s">
        <v>5450</v>
      </c>
      <c r="K3140" s="569" t="s">
        <v>752</v>
      </c>
      <c r="L3140" s="569">
        <v>6</v>
      </c>
      <c r="M3140" s="569">
        <v>0</v>
      </c>
      <c r="N3140" s="569" t="s">
        <v>157</v>
      </c>
      <c r="O3140" s="569">
        <v>2</v>
      </c>
      <c r="P3140" s="569" t="s">
        <v>5405</v>
      </c>
      <c r="Q3140" s="568">
        <v>8040</v>
      </c>
      <c r="R3140" s="569" t="s">
        <v>5401</v>
      </c>
      <c r="S3140" s="569">
        <v>8</v>
      </c>
      <c r="T3140" s="569" t="s">
        <v>5467</v>
      </c>
      <c r="U3140" s="569" t="s">
        <v>5455</v>
      </c>
      <c r="V3140" s="569">
        <v>149</v>
      </c>
      <c r="W3140" s="569">
        <v>26</v>
      </c>
      <c r="X3140" s="568">
        <v>6800</v>
      </c>
      <c r="Y3140" s="569">
        <v>17</v>
      </c>
      <c r="Z3140" s="581" t="s">
        <v>178</v>
      </c>
      <c r="AA3140" s="581" t="s">
        <v>178</v>
      </c>
      <c r="AB3140" s="585">
        <v>39490</v>
      </c>
      <c r="AC3140" s="585" t="s">
        <v>164</v>
      </c>
      <c r="AD3140" s="585">
        <v>24792.63157894737</v>
      </c>
      <c r="AE3140" s="587">
        <v>0.05</v>
      </c>
      <c r="AF3140" s="661" t="str">
        <f t="shared" si="339"/>
        <v>2019-LTK-RAM-RM15-192-08</v>
      </c>
      <c r="AG3140" s="661" t="str">
        <f>IF(AND($Y3140&gt;=32,(AI3140="I"),(Y3140&lt;&gt;"~"),(COUNTIF($AN$1:$AN3140,$AN3140)=1)),"TRUE","FALSE")</f>
        <v>FALSE</v>
      </c>
      <c r="AH3140" s="661" t="str">
        <f>IF(AND($Y3140&gt;=22, (AI3140&lt;&gt;"I"),(Y3140&lt;&gt;"~"),(COUNTIF($AN$1:$AN3140,$AN3140)=1)),"TRUE","FALSE")</f>
        <v>FALSE</v>
      </c>
      <c r="AI3140" s="661" t="str">
        <f t="shared" si="341"/>
        <v>II</v>
      </c>
      <c r="AJ3140" s="662" t="str">
        <f t="shared" si="342"/>
        <v>RM15-192</v>
      </c>
      <c r="AK3140" s="662" t="str">
        <f t="shared" si="343"/>
        <v>LTK</v>
      </c>
      <c r="AL3140" s="662" t="str">
        <f t="shared" si="344"/>
        <v>RAM</v>
      </c>
      <c r="AM3140" s="662" t="str">
        <f t="shared" si="340"/>
        <v>Ram 1500-Tradesman Crew Cab-4WD-6-6'4"-8040-5.7L Hemi-8-DS6L91-27B-149-26-Unleaded-Unleaded</v>
      </c>
      <c r="AN3140" s="662" t="str">
        <f t="shared" si="345"/>
        <v>2019-LTK-RAM-RM15-192</v>
      </c>
    </row>
    <row r="3141" spans="1:40" ht="15">
      <c r="A3141" s="570" t="s">
        <v>5468</v>
      </c>
      <c r="B3141" s="573" t="s">
        <v>5469</v>
      </c>
      <c r="C3141" s="573" t="s">
        <v>240</v>
      </c>
      <c r="D3141" s="578" t="s">
        <v>241</v>
      </c>
      <c r="E3141" s="573" t="s">
        <v>3374</v>
      </c>
      <c r="F3141" s="573" t="s">
        <v>152</v>
      </c>
      <c r="G3141" s="573" t="s">
        <v>3265</v>
      </c>
      <c r="H3141" s="573">
        <v>2019</v>
      </c>
      <c r="I3141" s="573" t="s">
        <v>5395</v>
      </c>
      <c r="J3141" s="573" t="s">
        <v>5470</v>
      </c>
      <c r="K3141" s="573" t="s">
        <v>3377</v>
      </c>
      <c r="L3141" s="573">
        <v>6</v>
      </c>
      <c r="M3141" s="573">
        <v>0</v>
      </c>
      <c r="N3141" s="573" t="s">
        <v>157</v>
      </c>
      <c r="O3141" s="573">
        <v>2</v>
      </c>
      <c r="P3141" s="573" t="s">
        <v>5405</v>
      </c>
      <c r="Q3141" s="571">
        <v>4660</v>
      </c>
      <c r="R3141" s="573" t="s">
        <v>3267</v>
      </c>
      <c r="S3141" s="573">
        <v>6</v>
      </c>
      <c r="T3141" s="573" t="s">
        <v>5471</v>
      </c>
      <c r="U3141" s="573" t="s">
        <v>5452</v>
      </c>
      <c r="V3141" s="573">
        <v>140</v>
      </c>
      <c r="W3141" s="573">
        <v>26</v>
      </c>
      <c r="X3141" s="571">
        <v>6800</v>
      </c>
      <c r="Y3141" s="573">
        <v>17</v>
      </c>
      <c r="Z3141" s="579" t="s">
        <v>178</v>
      </c>
      <c r="AA3141" s="579" t="s">
        <v>178</v>
      </c>
      <c r="AB3141" s="584">
        <v>32790</v>
      </c>
      <c r="AC3141" s="584" t="s">
        <v>164</v>
      </c>
      <c r="AD3141" s="584">
        <v>20279</v>
      </c>
      <c r="AE3141" s="586">
        <v>0.05</v>
      </c>
      <c r="AF3141" s="661" t="str">
        <f t="shared" si="339"/>
        <v>2019-LTK-RAM-RM15-193-08</v>
      </c>
      <c r="AG3141" s="661" t="str">
        <f>IF(AND($Y3141&gt;=32,(AI3141="I"),(Y3141&lt;&gt;"~"),(COUNTIF($AN$1:$AN3141,$AN3141)=1)),"TRUE","FALSE")</f>
        <v>FALSE</v>
      </c>
      <c r="AH3141" s="661" t="str">
        <f>IF(AND($Y3141&gt;=22, (AI3141&lt;&gt;"I"),(Y3141&lt;&gt;"~"),(COUNTIF($AN$1:$AN3141,$AN3141)=1)),"TRUE","FALSE")</f>
        <v>FALSE</v>
      </c>
      <c r="AI3141" s="661" t="str">
        <f t="shared" si="341"/>
        <v>II</v>
      </c>
      <c r="AJ3141" s="662" t="str">
        <f t="shared" si="342"/>
        <v>RM15-193</v>
      </c>
      <c r="AK3141" s="662" t="str">
        <f t="shared" si="343"/>
        <v>LTK</v>
      </c>
      <c r="AL3141" s="662" t="str">
        <f t="shared" si="344"/>
        <v>RAM</v>
      </c>
      <c r="AM3141" s="662" t="str">
        <f t="shared" si="340"/>
        <v>Ram 1500-Tradesman Quad Cab-2WD-6-6'4"-4660-3.6L -6-DS1L41-22B-140-26-Unleaded-Unleaded</v>
      </c>
      <c r="AN3141" s="662" t="str">
        <f t="shared" si="345"/>
        <v>2019-LTK-RAM-RM15-193</v>
      </c>
    </row>
    <row r="3142" spans="1:40" ht="15">
      <c r="A3142" s="570" t="s">
        <v>5472</v>
      </c>
      <c r="B3142" s="569" t="s">
        <v>5473</v>
      </c>
      <c r="C3142" s="569" t="s">
        <v>240</v>
      </c>
      <c r="D3142" s="580" t="s">
        <v>241</v>
      </c>
      <c r="E3142" s="569" t="s">
        <v>3374</v>
      </c>
      <c r="F3142" s="569" t="s">
        <v>152</v>
      </c>
      <c r="G3142" s="569" t="s">
        <v>3265</v>
      </c>
      <c r="H3142" s="569">
        <v>2019</v>
      </c>
      <c r="I3142" s="569" t="s">
        <v>5395</v>
      </c>
      <c r="J3142" s="569" t="s">
        <v>5470</v>
      </c>
      <c r="K3142" s="569" t="s">
        <v>3377</v>
      </c>
      <c r="L3142" s="569">
        <v>6</v>
      </c>
      <c r="M3142" s="569">
        <v>0</v>
      </c>
      <c r="N3142" s="569" t="s">
        <v>157</v>
      </c>
      <c r="O3142" s="569">
        <v>2</v>
      </c>
      <c r="P3142" s="569" t="s">
        <v>5458</v>
      </c>
      <c r="Q3142" s="568">
        <v>8340</v>
      </c>
      <c r="R3142" s="569" t="s">
        <v>5401</v>
      </c>
      <c r="S3142" s="569">
        <v>8</v>
      </c>
      <c r="T3142" s="569" t="s">
        <v>5471</v>
      </c>
      <c r="U3142" s="569" t="s">
        <v>5455</v>
      </c>
      <c r="V3142" s="569">
        <v>140</v>
      </c>
      <c r="W3142" s="569">
        <v>26</v>
      </c>
      <c r="X3142" s="568">
        <v>6800</v>
      </c>
      <c r="Y3142" s="569">
        <v>17</v>
      </c>
      <c r="Z3142" s="581" t="s">
        <v>178</v>
      </c>
      <c r="AA3142" s="581" t="s">
        <v>178</v>
      </c>
      <c r="AB3142" s="585">
        <v>34740</v>
      </c>
      <c r="AC3142" s="585" t="s">
        <v>164</v>
      </c>
      <c r="AD3142" s="585">
        <v>21909</v>
      </c>
      <c r="AE3142" s="587">
        <v>0.05</v>
      </c>
      <c r="AF3142" s="661" t="str">
        <f t="shared" si="339"/>
        <v>2019-LTK-RAM-RM15-194-08</v>
      </c>
      <c r="AG3142" s="661" t="str">
        <f>IF(AND($Y3142&gt;=32,(AI3142="I"),(Y3142&lt;&gt;"~"),(COUNTIF($AN$1:$AN3142,$AN3142)=1)),"TRUE","FALSE")</f>
        <v>FALSE</v>
      </c>
      <c r="AH3142" s="661" t="str">
        <f>IF(AND($Y3142&gt;=22, (AI3142&lt;&gt;"I"),(Y3142&lt;&gt;"~"),(COUNTIF($AN$1:$AN3142,$AN3142)=1)),"TRUE","FALSE")</f>
        <v>FALSE</v>
      </c>
      <c r="AI3142" s="661" t="str">
        <f t="shared" si="341"/>
        <v>II</v>
      </c>
      <c r="AJ3142" s="662" t="str">
        <f t="shared" si="342"/>
        <v>RM15-194</v>
      </c>
      <c r="AK3142" s="662" t="str">
        <f t="shared" si="343"/>
        <v>LTK</v>
      </c>
      <c r="AL3142" s="662" t="str">
        <f t="shared" si="344"/>
        <v>RAM</v>
      </c>
      <c r="AM3142" s="662" t="str">
        <f t="shared" si="340"/>
        <v>Ram 1500-Tradesman Quad Cab-2WD-6-6'4'-8340-5.7L Hemi-8-DS1L41-27B-140-26-Unleaded-Unleaded</v>
      </c>
      <c r="AN3142" s="662" t="str">
        <f t="shared" si="345"/>
        <v>2019-LTK-RAM-RM15-194</v>
      </c>
    </row>
    <row r="3143" spans="1:40" ht="15">
      <c r="A3143" s="570" t="s">
        <v>5474</v>
      </c>
      <c r="B3143" s="573" t="s">
        <v>5475</v>
      </c>
      <c r="C3143" s="573" t="s">
        <v>240</v>
      </c>
      <c r="D3143" s="578" t="s">
        <v>241</v>
      </c>
      <c r="E3143" s="573" t="s">
        <v>3374</v>
      </c>
      <c r="F3143" s="573" t="s">
        <v>152</v>
      </c>
      <c r="G3143" s="573" t="s">
        <v>3265</v>
      </c>
      <c r="H3143" s="573">
        <v>2019</v>
      </c>
      <c r="I3143" s="573" t="s">
        <v>5395</v>
      </c>
      <c r="J3143" s="573" t="s">
        <v>5470</v>
      </c>
      <c r="K3143" s="573" t="s">
        <v>752</v>
      </c>
      <c r="L3143" s="573">
        <v>6</v>
      </c>
      <c r="M3143" s="573">
        <v>0</v>
      </c>
      <c r="N3143" s="573" t="s">
        <v>157</v>
      </c>
      <c r="O3143" s="573">
        <v>2</v>
      </c>
      <c r="P3143" s="573" t="s">
        <v>5405</v>
      </c>
      <c r="Q3143" s="571">
        <v>4480</v>
      </c>
      <c r="R3143" s="573" t="s">
        <v>231</v>
      </c>
      <c r="S3143" s="573">
        <v>6</v>
      </c>
      <c r="T3143" s="573" t="s">
        <v>5476</v>
      </c>
      <c r="U3143" s="573" t="s">
        <v>5452</v>
      </c>
      <c r="V3143" s="573">
        <v>140</v>
      </c>
      <c r="W3143" s="573">
        <v>26</v>
      </c>
      <c r="X3143" s="571">
        <v>6800</v>
      </c>
      <c r="Y3143" s="573">
        <v>19</v>
      </c>
      <c r="Z3143" s="579" t="s">
        <v>178</v>
      </c>
      <c r="AA3143" s="579" t="s">
        <v>178</v>
      </c>
      <c r="AB3143" s="584">
        <v>36390</v>
      </c>
      <c r="AC3143" s="584" t="s">
        <v>164</v>
      </c>
      <c r="AD3143" s="584">
        <v>23006.315789473687</v>
      </c>
      <c r="AE3143" s="586">
        <v>0.05</v>
      </c>
      <c r="AF3143" s="661" t="str">
        <f t="shared" si="339"/>
        <v>2019-LTK-RAM-RM15-195-08</v>
      </c>
      <c r="AG3143" s="661" t="str">
        <f>IF(AND($Y3143&gt;=32,(AI3143="I"),(Y3143&lt;&gt;"~"),(COUNTIF($AN$1:$AN3143,$AN3143)=1)),"TRUE","FALSE")</f>
        <v>FALSE</v>
      </c>
      <c r="AH3143" s="661" t="str">
        <f>IF(AND($Y3143&gt;=22, (AI3143&lt;&gt;"I"),(Y3143&lt;&gt;"~"),(COUNTIF($AN$1:$AN3143,$AN3143)=1)),"TRUE","FALSE")</f>
        <v>FALSE</v>
      </c>
      <c r="AI3143" s="661" t="str">
        <f t="shared" si="341"/>
        <v>II</v>
      </c>
      <c r="AJ3143" s="662" t="str">
        <f t="shared" si="342"/>
        <v>RM15-195</v>
      </c>
      <c r="AK3143" s="662" t="str">
        <f t="shared" si="343"/>
        <v>LTK</v>
      </c>
      <c r="AL3143" s="662" t="str">
        <f t="shared" si="344"/>
        <v>RAM</v>
      </c>
      <c r="AM3143" s="662" t="str">
        <f t="shared" si="340"/>
        <v>Ram 1500-Tradesman Quad Cab-4WD-6-6'4"-4480-3.6L-6-DS6L41-22B-140-26-Unleaded-Unleaded</v>
      </c>
      <c r="AN3143" s="662" t="str">
        <f t="shared" si="345"/>
        <v>2019-LTK-RAM-RM15-195</v>
      </c>
    </row>
    <row r="3144" spans="1:40" ht="15">
      <c r="A3144" s="570" t="s">
        <v>5477</v>
      </c>
      <c r="B3144" s="569" t="s">
        <v>5478</v>
      </c>
      <c r="C3144" s="569" t="s">
        <v>240</v>
      </c>
      <c r="D3144" s="580" t="s">
        <v>241</v>
      </c>
      <c r="E3144" s="569" t="s">
        <v>3374</v>
      </c>
      <c r="F3144" s="569" t="s">
        <v>152</v>
      </c>
      <c r="G3144" s="569" t="s">
        <v>3265</v>
      </c>
      <c r="H3144" s="569">
        <v>2019</v>
      </c>
      <c r="I3144" s="569" t="s">
        <v>5395</v>
      </c>
      <c r="J3144" s="569" t="s">
        <v>5470</v>
      </c>
      <c r="K3144" s="569" t="s">
        <v>752</v>
      </c>
      <c r="L3144" s="569">
        <v>6</v>
      </c>
      <c r="M3144" s="569">
        <v>0</v>
      </c>
      <c r="N3144" s="569" t="s">
        <v>157</v>
      </c>
      <c r="O3144" s="569">
        <v>2</v>
      </c>
      <c r="P3144" s="569" t="s">
        <v>5458</v>
      </c>
      <c r="Q3144" s="568">
        <v>8120</v>
      </c>
      <c r="R3144" s="569" t="s">
        <v>5401</v>
      </c>
      <c r="S3144" s="569">
        <v>8</v>
      </c>
      <c r="T3144" s="569" t="s">
        <v>5476</v>
      </c>
      <c r="U3144" s="569" t="s">
        <v>5455</v>
      </c>
      <c r="V3144" s="569">
        <v>140</v>
      </c>
      <c r="W3144" s="569">
        <v>26</v>
      </c>
      <c r="X3144" s="568">
        <v>6800</v>
      </c>
      <c r="Y3144" s="569">
        <v>17</v>
      </c>
      <c r="Z3144" s="581" t="s">
        <v>178</v>
      </c>
      <c r="AA3144" s="581" t="s">
        <v>178</v>
      </c>
      <c r="AB3144" s="585">
        <v>38340</v>
      </c>
      <c r="AC3144" s="585" t="s">
        <v>164</v>
      </c>
      <c r="AD3144" s="585">
        <v>24813.684210526317</v>
      </c>
      <c r="AE3144" s="587">
        <v>0.05</v>
      </c>
      <c r="AF3144" s="661" t="str">
        <f t="shared" si="339"/>
        <v>2019-LTK-RAM-RM15-196-08</v>
      </c>
      <c r="AG3144" s="661" t="str">
        <f>IF(AND($Y3144&gt;=32,(AI3144="I"),(Y3144&lt;&gt;"~"),(COUNTIF($AN$1:$AN3144,$AN3144)=1)),"TRUE","FALSE")</f>
        <v>FALSE</v>
      </c>
      <c r="AH3144" s="661" t="str">
        <f>IF(AND($Y3144&gt;=22, (AI3144&lt;&gt;"I"),(Y3144&lt;&gt;"~"),(COUNTIF($AN$1:$AN3144,$AN3144)=1)),"TRUE","FALSE")</f>
        <v>FALSE</v>
      </c>
      <c r="AI3144" s="661" t="str">
        <f t="shared" si="341"/>
        <v>II</v>
      </c>
      <c r="AJ3144" s="662" t="str">
        <f t="shared" si="342"/>
        <v>RM15-196</v>
      </c>
      <c r="AK3144" s="662" t="str">
        <f t="shared" si="343"/>
        <v>LTK</v>
      </c>
      <c r="AL3144" s="662" t="str">
        <f t="shared" si="344"/>
        <v>RAM</v>
      </c>
      <c r="AM3144" s="662" t="str">
        <f t="shared" si="340"/>
        <v>Ram 1500-Tradesman Quad Cab-4WD-6-6'4'-8120-5.7L Hemi-8-DS6L41-27B-140-26-Unleaded-Unleaded</v>
      </c>
      <c r="AN3144" s="662" t="str">
        <f t="shared" si="345"/>
        <v>2019-LTK-RAM-RM15-196</v>
      </c>
    </row>
    <row r="3145" spans="1:40" ht="30">
      <c r="A3145" s="570" t="s">
        <v>5479</v>
      </c>
      <c r="B3145" s="573" t="s">
        <v>5480</v>
      </c>
      <c r="C3145" s="573" t="s">
        <v>240</v>
      </c>
      <c r="D3145" s="578" t="s">
        <v>241</v>
      </c>
      <c r="E3145" s="573" t="s">
        <v>3374</v>
      </c>
      <c r="F3145" s="573" t="s">
        <v>152</v>
      </c>
      <c r="G3145" s="573" t="s">
        <v>3265</v>
      </c>
      <c r="H3145" s="573">
        <v>2019</v>
      </c>
      <c r="I3145" s="573" t="s">
        <v>5395</v>
      </c>
      <c r="J3145" s="573" t="s">
        <v>5481</v>
      </c>
      <c r="K3145" s="573" t="s">
        <v>3377</v>
      </c>
      <c r="L3145" s="573">
        <v>3</v>
      </c>
      <c r="M3145" s="573">
        <v>0</v>
      </c>
      <c r="N3145" s="573" t="s">
        <v>157</v>
      </c>
      <c r="O3145" s="573">
        <v>1</v>
      </c>
      <c r="P3145" s="573" t="s">
        <v>5405</v>
      </c>
      <c r="Q3145" s="571">
        <v>5025</v>
      </c>
      <c r="R3145" s="573" t="s">
        <v>231</v>
      </c>
      <c r="S3145" s="573">
        <v>6</v>
      </c>
      <c r="T3145" s="573" t="s">
        <v>5482</v>
      </c>
      <c r="U3145" s="573" t="s">
        <v>5452</v>
      </c>
      <c r="V3145" s="573">
        <v>120</v>
      </c>
      <c r="W3145" s="573">
        <v>26</v>
      </c>
      <c r="X3145" s="571">
        <v>6025</v>
      </c>
      <c r="Y3145" s="573">
        <v>20</v>
      </c>
      <c r="Z3145" s="579" t="s">
        <v>178</v>
      </c>
      <c r="AA3145" s="579" t="s">
        <v>178</v>
      </c>
      <c r="AB3145" s="584">
        <v>28990</v>
      </c>
      <c r="AC3145" s="584" t="s">
        <v>164</v>
      </c>
      <c r="AD3145" s="584">
        <v>18649</v>
      </c>
      <c r="AE3145" s="586">
        <v>0.05</v>
      </c>
      <c r="AF3145" s="661" t="str">
        <f t="shared" si="339"/>
        <v>2019-LTK-RAM-RM15-197-08</v>
      </c>
      <c r="AG3145" s="661" t="str">
        <f>IF(AND($Y3145&gt;=32,(AI3145="I"),(Y3145&lt;&gt;"~"),(COUNTIF($AN$1:$AN3145,$AN3145)=1)),"TRUE","FALSE")</f>
        <v>FALSE</v>
      </c>
      <c r="AH3145" s="661" t="str">
        <f>IF(AND($Y3145&gt;=22, (AI3145&lt;&gt;"I"),(Y3145&lt;&gt;"~"),(COUNTIF($AN$1:$AN3145,$AN3145)=1)),"TRUE","FALSE")</f>
        <v>FALSE</v>
      </c>
      <c r="AI3145" s="661" t="str">
        <f t="shared" si="341"/>
        <v>II</v>
      </c>
      <c r="AJ3145" s="662" t="str">
        <f t="shared" si="342"/>
        <v>RM15-197</v>
      </c>
      <c r="AK3145" s="662" t="str">
        <f t="shared" si="343"/>
        <v>LTK</v>
      </c>
      <c r="AL3145" s="662" t="str">
        <f t="shared" si="344"/>
        <v>RAM</v>
      </c>
      <c r="AM3145" s="662" t="str">
        <f t="shared" si="340"/>
        <v>Ram 1500-Tradesman Regular Cab-2WD-3-6'4"-5025-3.6L-6-DS1L61-22B-120-26-Unleaded-Unleaded</v>
      </c>
      <c r="AN3145" s="662" t="str">
        <f t="shared" si="345"/>
        <v>2019-LTK-RAM-RM15-197</v>
      </c>
    </row>
    <row r="3146" spans="1:40" ht="30">
      <c r="A3146" s="570" t="s">
        <v>5483</v>
      </c>
      <c r="B3146" s="569" t="s">
        <v>5484</v>
      </c>
      <c r="C3146" s="569" t="s">
        <v>240</v>
      </c>
      <c r="D3146" s="580" t="s">
        <v>241</v>
      </c>
      <c r="E3146" s="569" t="s">
        <v>3374</v>
      </c>
      <c r="F3146" s="569" t="s">
        <v>152</v>
      </c>
      <c r="G3146" s="569" t="s">
        <v>3265</v>
      </c>
      <c r="H3146" s="569">
        <v>2019</v>
      </c>
      <c r="I3146" s="569" t="s">
        <v>5395</v>
      </c>
      <c r="J3146" s="569" t="s">
        <v>5481</v>
      </c>
      <c r="K3146" s="569" t="s">
        <v>3377</v>
      </c>
      <c r="L3146" s="569">
        <v>3</v>
      </c>
      <c r="M3146" s="569">
        <v>0</v>
      </c>
      <c r="N3146" s="569" t="s">
        <v>157</v>
      </c>
      <c r="O3146" s="569">
        <v>1</v>
      </c>
      <c r="P3146" s="569" t="s">
        <v>5458</v>
      </c>
      <c r="Q3146" s="568">
        <v>8700</v>
      </c>
      <c r="R3146" s="569" t="s">
        <v>5401</v>
      </c>
      <c r="S3146" s="569">
        <v>8</v>
      </c>
      <c r="T3146" s="569" t="s">
        <v>5482</v>
      </c>
      <c r="U3146" s="569" t="s">
        <v>5455</v>
      </c>
      <c r="V3146" s="569">
        <v>120</v>
      </c>
      <c r="W3146" s="569">
        <v>26</v>
      </c>
      <c r="X3146" s="568">
        <v>6025</v>
      </c>
      <c r="Y3146" s="569">
        <v>17</v>
      </c>
      <c r="Z3146" s="581" t="s">
        <v>178</v>
      </c>
      <c r="AA3146" s="581" t="s">
        <v>178</v>
      </c>
      <c r="AB3146" s="585">
        <v>30940</v>
      </c>
      <c r="AC3146" s="585" t="s">
        <v>164</v>
      </c>
      <c r="AD3146" s="585">
        <v>20349</v>
      </c>
      <c r="AE3146" s="587">
        <v>0.05</v>
      </c>
      <c r="AF3146" s="661" t="str">
        <f t="shared" si="339"/>
        <v>2019-LTK-RAM-RM15-198-08</v>
      </c>
      <c r="AG3146" s="661" t="str">
        <f>IF(AND($Y3146&gt;=32,(AI3146="I"),(Y3146&lt;&gt;"~"),(COUNTIF($AN$1:$AN3146,$AN3146)=1)),"TRUE","FALSE")</f>
        <v>FALSE</v>
      </c>
      <c r="AH3146" s="661" t="str">
        <f>IF(AND($Y3146&gt;=22, (AI3146&lt;&gt;"I"),(Y3146&lt;&gt;"~"),(COUNTIF($AN$1:$AN3146,$AN3146)=1)),"TRUE","FALSE")</f>
        <v>FALSE</v>
      </c>
      <c r="AI3146" s="661" t="str">
        <f t="shared" si="341"/>
        <v>II</v>
      </c>
      <c r="AJ3146" s="662" t="str">
        <f t="shared" si="342"/>
        <v>RM15-198</v>
      </c>
      <c r="AK3146" s="662" t="str">
        <f t="shared" si="343"/>
        <v>LTK</v>
      </c>
      <c r="AL3146" s="662" t="str">
        <f t="shared" si="344"/>
        <v>RAM</v>
      </c>
      <c r="AM3146" s="662" t="str">
        <f t="shared" si="340"/>
        <v>Ram 1500-Tradesman Regular Cab-2WD-3-6'4'-8700-5.7L Hemi-8-DS1L61-27B-120-26-Unleaded-Unleaded</v>
      </c>
      <c r="AN3146" s="662" t="str">
        <f t="shared" si="345"/>
        <v>2019-LTK-RAM-RM15-198</v>
      </c>
    </row>
    <row r="3147" spans="1:40" ht="30">
      <c r="A3147" s="570" t="s">
        <v>5485</v>
      </c>
      <c r="B3147" s="573" t="s">
        <v>5486</v>
      </c>
      <c r="C3147" s="573" t="s">
        <v>240</v>
      </c>
      <c r="D3147" s="578" t="s">
        <v>241</v>
      </c>
      <c r="E3147" s="573" t="s">
        <v>3374</v>
      </c>
      <c r="F3147" s="573" t="s">
        <v>152</v>
      </c>
      <c r="G3147" s="573" t="s">
        <v>3265</v>
      </c>
      <c r="H3147" s="573">
        <v>2019</v>
      </c>
      <c r="I3147" s="573" t="s">
        <v>5395</v>
      </c>
      <c r="J3147" s="573" t="s">
        <v>5481</v>
      </c>
      <c r="K3147" s="573" t="s">
        <v>3377</v>
      </c>
      <c r="L3147" s="573">
        <v>3</v>
      </c>
      <c r="M3147" s="573">
        <v>0</v>
      </c>
      <c r="N3147" s="573" t="s">
        <v>157</v>
      </c>
      <c r="O3147" s="573">
        <v>1</v>
      </c>
      <c r="P3147" s="573" t="s">
        <v>3846</v>
      </c>
      <c r="Q3147" s="571">
        <v>4830</v>
      </c>
      <c r="R3147" s="573" t="s">
        <v>231</v>
      </c>
      <c r="S3147" s="573">
        <v>6</v>
      </c>
      <c r="T3147" s="573" t="s">
        <v>5487</v>
      </c>
      <c r="U3147" s="573" t="s">
        <v>5452</v>
      </c>
      <c r="V3147" s="573">
        <v>140</v>
      </c>
      <c r="W3147" s="573">
        <v>32</v>
      </c>
      <c r="X3147" s="571">
        <v>6600</v>
      </c>
      <c r="Y3147" s="573">
        <v>20</v>
      </c>
      <c r="Z3147" s="579" t="s">
        <v>178</v>
      </c>
      <c r="AA3147" s="579" t="s">
        <v>178</v>
      </c>
      <c r="AB3147" s="584">
        <v>28990</v>
      </c>
      <c r="AC3147" s="584" t="s">
        <v>164</v>
      </c>
      <c r="AD3147" s="584">
        <v>18529.787234042553</v>
      </c>
      <c r="AE3147" s="586">
        <v>0.05</v>
      </c>
      <c r="AF3147" s="661" t="str">
        <f t="shared" si="339"/>
        <v>2019-LTK-RAM-RM15-199-08</v>
      </c>
      <c r="AG3147" s="661" t="str">
        <f>IF(AND($Y3147&gt;=32,(AI3147="I"),(Y3147&lt;&gt;"~"),(COUNTIF($AN$1:$AN3147,$AN3147)=1)),"TRUE","FALSE")</f>
        <v>FALSE</v>
      </c>
      <c r="AH3147" s="661" t="str">
        <f>IF(AND($Y3147&gt;=22, (AI3147&lt;&gt;"I"),(Y3147&lt;&gt;"~"),(COUNTIF($AN$1:$AN3147,$AN3147)=1)),"TRUE","FALSE")</f>
        <v>FALSE</v>
      </c>
      <c r="AI3147" s="661" t="str">
        <f t="shared" si="341"/>
        <v>II</v>
      </c>
      <c r="AJ3147" s="662" t="str">
        <f t="shared" si="342"/>
        <v>RM15-199</v>
      </c>
      <c r="AK3147" s="662" t="str">
        <f t="shared" si="343"/>
        <v>LTK</v>
      </c>
      <c r="AL3147" s="662" t="str">
        <f t="shared" si="344"/>
        <v>RAM</v>
      </c>
      <c r="AM3147" s="662" t="str">
        <f t="shared" si="340"/>
        <v>Ram 1500-Tradesman Regular Cab-2WD-3-8'-4830-3.6L-6-DS1L62-22B-140-32-Unleaded-Unleaded</v>
      </c>
      <c r="AN3147" s="662" t="str">
        <f t="shared" si="345"/>
        <v>2019-LTK-RAM-RM15-199</v>
      </c>
    </row>
    <row r="3148" spans="1:40" ht="30">
      <c r="A3148" s="570" t="s">
        <v>5488</v>
      </c>
      <c r="B3148" s="569" t="s">
        <v>5489</v>
      </c>
      <c r="C3148" s="569" t="s">
        <v>240</v>
      </c>
      <c r="D3148" s="580" t="s">
        <v>241</v>
      </c>
      <c r="E3148" s="569" t="s">
        <v>3374</v>
      </c>
      <c r="F3148" s="569" t="s">
        <v>152</v>
      </c>
      <c r="G3148" s="569" t="s">
        <v>3265</v>
      </c>
      <c r="H3148" s="569">
        <v>2019</v>
      </c>
      <c r="I3148" s="569" t="s">
        <v>5395</v>
      </c>
      <c r="J3148" s="569" t="s">
        <v>5481</v>
      </c>
      <c r="K3148" s="569" t="s">
        <v>3377</v>
      </c>
      <c r="L3148" s="569">
        <v>3</v>
      </c>
      <c r="M3148" s="569">
        <v>0</v>
      </c>
      <c r="N3148" s="569" t="s">
        <v>157</v>
      </c>
      <c r="O3148" s="569">
        <v>1</v>
      </c>
      <c r="P3148" s="569" t="s">
        <v>3846</v>
      </c>
      <c r="Q3148" s="568">
        <v>8540</v>
      </c>
      <c r="R3148" s="569" t="s">
        <v>5401</v>
      </c>
      <c r="S3148" s="569">
        <v>8</v>
      </c>
      <c r="T3148" s="569" t="s">
        <v>5487</v>
      </c>
      <c r="U3148" s="569" t="s">
        <v>5455</v>
      </c>
      <c r="V3148" s="569">
        <v>140</v>
      </c>
      <c r="W3148" s="569">
        <v>32</v>
      </c>
      <c r="X3148" s="568">
        <v>6600</v>
      </c>
      <c r="Y3148" s="569">
        <v>17</v>
      </c>
      <c r="Z3148" s="581" t="s">
        <v>178</v>
      </c>
      <c r="AA3148" s="581" t="s">
        <v>178</v>
      </c>
      <c r="AB3148" s="585">
        <v>30940</v>
      </c>
      <c r="AC3148" s="585" t="s">
        <v>164</v>
      </c>
      <c r="AD3148" s="585">
        <v>20356.382978723406</v>
      </c>
      <c r="AE3148" s="587">
        <v>0.05</v>
      </c>
      <c r="AF3148" s="661" t="str">
        <f t="shared" ref="AF3148:AF3211" si="346">A3148</f>
        <v>2019-LTK-RAM-RM15-200-08</v>
      </c>
      <c r="AG3148" s="661" t="str">
        <f>IF(AND($Y3148&gt;=32,(AI3148="I"),(Y3148&lt;&gt;"~"),(COUNTIF($AN$1:$AN3148,$AN3148)=1)),"TRUE","FALSE")</f>
        <v>FALSE</v>
      </c>
      <c r="AH3148" s="661" t="str">
        <f>IF(AND($Y3148&gt;=22, (AI3148&lt;&gt;"I"),(Y3148&lt;&gt;"~"),(COUNTIF($AN$1:$AN3148,$AN3148)=1)),"TRUE","FALSE")</f>
        <v>FALSE</v>
      </c>
      <c r="AI3148" s="661" t="str">
        <f t="shared" si="341"/>
        <v>II</v>
      </c>
      <c r="AJ3148" s="662" t="str">
        <f t="shared" si="342"/>
        <v>RM15-200</v>
      </c>
      <c r="AK3148" s="662" t="str">
        <f t="shared" si="343"/>
        <v>LTK</v>
      </c>
      <c r="AL3148" s="662" t="str">
        <f t="shared" si="344"/>
        <v>RAM</v>
      </c>
      <c r="AM3148" s="662" t="str">
        <f t="shared" si="340"/>
        <v>Ram 1500-Tradesman Regular Cab-2WD-3-8'-8540-5.7L Hemi-8-DS1L62-27B-140-32-Unleaded-Unleaded</v>
      </c>
      <c r="AN3148" s="662" t="str">
        <f t="shared" si="345"/>
        <v>2019-LTK-RAM-RM15-200</v>
      </c>
    </row>
    <row r="3149" spans="1:40" ht="30">
      <c r="A3149" s="570" t="s">
        <v>5490</v>
      </c>
      <c r="B3149" s="573" t="s">
        <v>5491</v>
      </c>
      <c r="C3149" s="573" t="s">
        <v>240</v>
      </c>
      <c r="D3149" s="578" t="s">
        <v>241</v>
      </c>
      <c r="E3149" s="573" t="s">
        <v>3374</v>
      </c>
      <c r="F3149" s="573" t="s">
        <v>152</v>
      </c>
      <c r="G3149" s="573" t="s">
        <v>3265</v>
      </c>
      <c r="H3149" s="573">
        <v>2019</v>
      </c>
      <c r="I3149" s="573" t="s">
        <v>5395</v>
      </c>
      <c r="J3149" s="573" t="s">
        <v>5481</v>
      </c>
      <c r="K3149" s="573" t="s">
        <v>752</v>
      </c>
      <c r="L3149" s="573">
        <v>3</v>
      </c>
      <c r="M3149" s="573">
        <v>0</v>
      </c>
      <c r="N3149" s="573" t="s">
        <v>157</v>
      </c>
      <c r="O3149" s="573">
        <v>1</v>
      </c>
      <c r="P3149" s="573" t="s">
        <v>5405</v>
      </c>
      <c r="Q3149" s="571">
        <v>4820</v>
      </c>
      <c r="R3149" s="573" t="s">
        <v>231</v>
      </c>
      <c r="S3149" s="573">
        <v>6</v>
      </c>
      <c r="T3149" s="573" t="s">
        <v>5492</v>
      </c>
      <c r="U3149" s="573" t="s">
        <v>5452</v>
      </c>
      <c r="V3149" s="573">
        <v>120</v>
      </c>
      <c r="W3149" s="573">
        <v>26</v>
      </c>
      <c r="X3149" s="571">
        <v>6300</v>
      </c>
      <c r="Y3149" s="573">
        <v>19</v>
      </c>
      <c r="Z3149" s="579" t="s">
        <v>178</v>
      </c>
      <c r="AA3149" s="579" t="s">
        <v>178</v>
      </c>
      <c r="AB3149" s="584">
        <v>33590</v>
      </c>
      <c r="AC3149" s="584" t="s">
        <v>164</v>
      </c>
      <c r="AD3149" s="584">
        <v>21404.255319148939</v>
      </c>
      <c r="AE3149" s="586">
        <v>0.05</v>
      </c>
      <c r="AF3149" s="661" t="str">
        <f t="shared" si="346"/>
        <v>2019-LTK-RAM-RM15-201-08</v>
      </c>
      <c r="AG3149" s="661" t="str">
        <f>IF(AND($Y3149&gt;=32,(AI3149="I"),(Y3149&lt;&gt;"~"),(COUNTIF($AN$1:$AN3149,$AN3149)=1)),"TRUE","FALSE")</f>
        <v>FALSE</v>
      </c>
      <c r="AH3149" s="661" t="str">
        <f>IF(AND($Y3149&gt;=22, (AI3149&lt;&gt;"I"),(Y3149&lt;&gt;"~"),(COUNTIF($AN$1:$AN3149,$AN3149)=1)),"TRUE","FALSE")</f>
        <v>FALSE</v>
      </c>
      <c r="AI3149" s="661" t="str">
        <f t="shared" si="341"/>
        <v>II</v>
      </c>
      <c r="AJ3149" s="662" t="str">
        <f t="shared" si="342"/>
        <v>RM15-201</v>
      </c>
      <c r="AK3149" s="662" t="str">
        <f t="shared" si="343"/>
        <v>LTK</v>
      </c>
      <c r="AL3149" s="662" t="str">
        <f t="shared" si="344"/>
        <v>RAM</v>
      </c>
      <c r="AM3149" s="662" t="str">
        <f t="shared" si="340"/>
        <v>Ram 1500-Tradesman Regular Cab-4WD-3-6'4"-4820-3.6L-6-DS6L61-22B-120-26-Unleaded-Unleaded</v>
      </c>
      <c r="AN3149" s="662" t="str">
        <f t="shared" si="345"/>
        <v>2019-LTK-RAM-RM15-201</v>
      </c>
    </row>
    <row r="3150" spans="1:40" ht="30">
      <c r="A3150" s="570" t="s">
        <v>5493</v>
      </c>
      <c r="B3150" s="569" t="s">
        <v>5494</v>
      </c>
      <c r="C3150" s="569" t="s">
        <v>240</v>
      </c>
      <c r="D3150" s="580" t="s">
        <v>241</v>
      </c>
      <c r="E3150" s="569" t="s">
        <v>3374</v>
      </c>
      <c r="F3150" s="569" t="s">
        <v>152</v>
      </c>
      <c r="G3150" s="569" t="s">
        <v>3265</v>
      </c>
      <c r="H3150" s="569">
        <v>2019</v>
      </c>
      <c r="I3150" s="569" t="s">
        <v>5395</v>
      </c>
      <c r="J3150" s="569" t="s">
        <v>5481</v>
      </c>
      <c r="K3150" s="569" t="s">
        <v>752</v>
      </c>
      <c r="L3150" s="569">
        <v>3</v>
      </c>
      <c r="M3150" s="569">
        <v>0</v>
      </c>
      <c r="N3150" s="569" t="s">
        <v>157</v>
      </c>
      <c r="O3150" s="569">
        <v>1</v>
      </c>
      <c r="P3150" s="569" t="s">
        <v>5458</v>
      </c>
      <c r="Q3150" s="568">
        <v>8490</v>
      </c>
      <c r="R3150" s="569" t="s">
        <v>5401</v>
      </c>
      <c r="S3150" s="569">
        <v>8</v>
      </c>
      <c r="T3150" s="569" t="s">
        <v>5492</v>
      </c>
      <c r="U3150" s="569" t="s">
        <v>5455</v>
      </c>
      <c r="V3150" s="569">
        <v>120</v>
      </c>
      <c r="W3150" s="569">
        <v>26</v>
      </c>
      <c r="X3150" s="568">
        <v>6300</v>
      </c>
      <c r="Y3150" s="569">
        <v>19</v>
      </c>
      <c r="Z3150" s="581" t="s">
        <v>178</v>
      </c>
      <c r="AA3150" s="581" t="s">
        <v>178</v>
      </c>
      <c r="AB3150" s="585">
        <v>35540</v>
      </c>
      <c r="AC3150" s="585" t="s">
        <v>164</v>
      </c>
      <c r="AD3150" s="585">
        <v>23230.851063829788</v>
      </c>
      <c r="AE3150" s="587">
        <v>0.05</v>
      </c>
      <c r="AF3150" s="661" t="str">
        <f t="shared" si="346"/>
        <v>2019-LTK-RAM-RM15-202-08</v>
      </c>
      <c r="AG3150" s="661" t="str">
        <f>IF(AND($Y3150&gt;=32,(AI3150="I"),(Y3150&lt;&gt;"~"),(COUNTIF($AN$1:$AN3150,$AN3150)=1)),"TRUE","FALSE")</f>
        <v>FALSE</v>
      </c>
      <c r="AH3150" s="661" t="str">
        <f>IF(AND($Y3150&gt;=22, (AI3150&lt;&gt;"I"),(Y3150&lt;&gt;"~"),(COUNTIF($AN$1:$AN3150,$AN3150)=1)),"TRUE","FALSE")</f>
        <v>FALSE</v>
      </c>
      <c r="AI3150" s="661" t="str">
        <f t="shared" si="341"/>
        <v>II</v>
      </c>
      <c r="AJ3150" s="662" t="str">
        <f t="shared" si="342"/>
        <v>RM15-202</v>
      </c>
      <c r="AK3150" s="662" t="str">
        <f t="shared" si="343"/>
        <v>LTK</v>
      </c>
      <c r="AL3150" s="662" t="str">
        <f t="shared" si="344"/>
        <v>RAM</v>
      </c>
      <c r="AM3150" s="662" t="str">
        <f t="shared" si="340"/>
        <v>Ram 1500-Tradesman Regular Cab-4WD-3-6'4'-8490-5.7L Hemi-8-DS6L61-27B-120-26-Unleaded-Unleaded</v>
      </c>
      <c r="AN3150" s="662" t="str">
        <f t="shared" si="345"/>
        <v>2019-LTK-RAM-RM15-202</v>
      </c>
    </row>
    <row r="3151" spans="1:40" ht="30">
      <c r="A3151" s="570" t="s">
        <v>5495</v>
      </c>
      <c r="B3151" s="573" t="s">
        <v>5496</v>
      </c>
      <c r="C3151" s="573" t="s">
        <v>240</v>
      </c>
      <c r="D3151" s="578" t="s">
        <v>241</v>
      </c>
      <c r="E3151" s="573" t="s">
        <v>3374</v>
      </c>
      <c r="F3151" s="573" t="s">
        <v>152</v>
      </c>
      <c r="G3151" s="573" t="s">
        <v>3265</v>
      </c>
      <c r="H3151" s="573">
        <v>2019</v>
      </c>
      <c r="I3151" s="573" t="s">
        <v>5395</v>
      </c>
      <c r="J3151" s="573" t="s">
        <v>5481</v>
      </c>
      <c r="K3151" s="573" t="s">
        <v>752</v>
      </c>
      <c r="L3151" s="573">
        <v>3</v>
      </c>
      <c r="M3151" s="573">
        <v>0</v>
      </c>
      <c r="N3151" s="573" t="s">
        <v>157</v>
      </c>
      <c r="O3151" s="573">
        <v>1</v>
      </c>
      <c r="P3151" s="573" t="s">
        <v>3846</v>
      </c>
      <c r="Q3151" s="571">
        <v>4650</v>
      </c>
      <c r="R3151" s="573" t="s">
        <v>231</v>
      </c>
      <c r="S3151" s="573">
        <v>6</v>
      </c>
      <c r="T3151" s="573" t="s">
        <v>5497</v>
      </c>
      <c r="U3151" s="573" t="s">
        <v>5452</v>
      </c>
      <c r="V3151" s="573">
        <v>140</v>
      </c>
      <c r="W3151" s="573">
        <v>32</v>
      </c>
      <c r="X3151" s="571">
        <v>6600</v>
      </c>
      <c r="Y3151" s="573">
        <v>19</v>
      </c>
      <c r="Z3151" s="579" t="s">
        <v>178</v>
      </c>
      <c r="AA3151" s="579" t="s">
        <v>178</v>
      </c>
      <c r="AB3151" s="584">
        <v>33590</v>
      </c>
      <c r="AC3151" s="584" t="s">
        <v>164</v>
      </c>
      <c r="AD3151" s="584">
        <v>21309</v>
      </c>
      <c r="AE3151" s="586">
        <v>0.05</v>
      </c>
      <c r="AF3151" s="661" t="str">
        <f t="shared" si="346"/>
        <v>2019-LTK-RAM-RM15-203-08</v>
      </c>
      <c r="AG3151" s="661" t="str">
        <f>IF(AND($Y3151&gt;=32,(AI3151="I"),(Y3151&lt;&gt;"~"),(COUNTIF($AN$1:$AN3151,$AN3151)=1)),"TRUE","FALSE")</f>
        <v>FALSE</v>
      </c>
      <c r="AH3151" s="661" t="str">
        <f>IF(AND($Y3151&gt;=22, (AI3151&lt;&gt;"I"),(Y3151&lt;&gt;"~"),(COUNTIF($AN$1:$AN3151,$AN3151)=1)),"TRUE","FALSE")</f>
        <v>FALSE</v>
      </c>
      <c r="AI3151" s="661" t="str">
        <f t="shared" si="341"/>
        <v>II</v>
      </c>
      <c r="AJ3151" s="662" t="str">
        <f t="shared" si="342"/>
        <v>RM15-203</v>
      </c>
      <c r="AK3151" s="662" t="str">
        <f t="shared" si="343"/>
        <v>LTK</v>
      </c>
      <c r="AL3151" s="662" t="str">
        <f t="shared" si="344"/>
        <v>RAM</v>
      </c>
      <c r="AM3151" s="662" t="str">
        <f t="shared" si="340"/>
        <v>Ram 1500-Tradesman Regular Cab-4WD-3-8'-4650-3.6L-6-DS6L62-22B-140-32-Unleaded-Unleaded</v>
      </c>
      <c r="AN3151" s="662" t="str">
        <f t="shared" si="345"/>
        <v>2019-LTK-RAM-RM15-203</v>
      </c>
    </row>
    <row r="3152" spans="1:40" ht="30">
      <c r="A3152" s="570" t="s">
        <v>5498</v>
      </c>
      <c r="B3152" s="569" t="s">
        <v>5499</v>
      </c>
      <c r="C3152" s="569" t="s">
        <v>240</v>
      </c>
      <c r="D3152" s="580" t="s">
        <v>241</v>
      </c>
      <c r="E3152" s="569" t="s">
        <v>3374</v>
      </c>
      <c r="F3152" s="569" t="s">
        <v>152</v>
      </c>
      <c r="G3152" s="569" t="s">
        <v>3265</v>
      </c>
      <c r="H3152" s="569">
        <v>2019</v>
      </c>
      <c r="I3152" s="569" t="s">
        <v>5395</v>
      </c>
      <c r="J3152" s="569" t="s">
        <v>5481</v>
      </c>
      <c r="K3152" s="569" t="s">
        <v>752</v>
      </c>
      <c r="L3152" s="569">
        <v>3</v>
      </c>
      <c r="M3152" s="569">
        <v>0</v>
      </c>
      <c r="N3152" s="569" t="s">
        <v>157</v>
      </c>
      <c r="O3152" s="569">
        <v>1</v>
      </c>
      <c r="P3152" s="569" t="s">
        <v>3846</v>
      </c>
      <c r="Q3152" s="568">
        <v>8320</v>
      </c>
      <c r="R3152" s="569" t="s">
        <v>5401</v>
      </c>
      <c r="S3152" s="569">
        <v>8</v>
      </c>
      <c r="T3152" s="569" t="s">
        <v>5497</v>
      </c>
      <c r="U3152" s="569" t="s">
        <v>5455</v>
      </c>
      <c r="V3152" s="569">
        <v>140</v>
      </c>
      <c r="W3152" s="569">
        <v>32</v>
      </c>
      <c r="X3152" s="568">
        <v>6600</v>
      </c>
      <c r="Y3152" s="569">
        <v>17</v>
      </c>
      <c r="Z3152" s="581" t="s">
        <v>178</v>
      </c>
      <c r="AA3152" s="581" t="s">
        <v>178</v>
      </c>
      <c r="AB3152" s="585">
        <v>35540</v>
      </c>
      <c r="AC3152" s="585" t="s">
        <v>164</v>
      </c>
      <c r="AD3152" s="585">
        <v>23109</v>
      </c>
      <c r="AE3152" s="587">
        <v>0.05</v>
      </c>
      <c r="AF3152" s="661" t="str">
        <f t="shared" si="346"/>
        <v>2019-LTK-RAM-RM15-204-08</v>
      </c>
      <c r="AG3152" s="661" t="str">
        <f>IF(AND($Y3152&gt;=32,(AI3152="I"),(Y3152&lt;&gt;"~"),(COUNTIF($AN$1:$AN3152,$AN3152)=1)),"TRUE","FALSE")</f>
        <v>FALSE</v>
      </c>
      <c r="AH3152" s="661" t="str">
        <f>IF(AND($Y3152&gt;=22, (AI3152&lt;&gt;"I"),(Y3152&lt;&gt;"~"),(COUNTIF($AN$1:$AN3152,$AN3152)=1)),"TRUE","FALSE")</f>
        <v>FALSE</v>
      </c>
      <c r="AI3152" s="661" t="str">
        <f t="shared" si="341"/>
        <v>II</v>
      </c>
      <c r="AJ3152" s="662" t="str">
        <f t="shared" si="342"/>
        <v>RM15-204</v>
      </c>
      <c r="AK3152" s="662" t="str">
        <f t="shared" si="343"/>
        <v>LTK</v>
      </c>
      <c r="AL3152" s="662" t="str">
        <f t="shared" si="344"/>
        <v>RAM</v>
      </c>
      <c r="AM3152" s="662" t="str">
        <f t="shared" si="340"/>
        <v>Ram 1500-Tradesman Regular Cab-4WD-3-8'-8320-5.7L Hemi-8-DS6L62-27B-140-32-Unleaded-Unleaded</v>
      </c>
      <c r="AN3152" s="662" t="str">
        <f t="shared" si="345"/>
        <v>2019-LTK-RAM-RM15-204</v>
      </c>
    </row>
    <row r="3153" spans="1:40" ht="15">
      <c r="A3153" s="570" t="s">
        <v>5500</v>
      </c>
      <c r="B3153" s="573" t="s">
        <v>5501</v>
      </c>
      <c r="C3153" s="573" t="s">
        <v>226</v>
      </c>
      <c r="D3153" s="578" t="s">
        <v>227</v>
      </c>
      <c r="E3153" s="573" t="s">
        <v>3374</v>
      </c>
      <c r="F3153" s="573" t="s">
        <v>152</v>
      </c>
      <c r="G3153" s="573" t="s">
        <v>3265</v>
      </c>
      <c r="H3153" s="573">
        <v>2019</v>
      </c>
      <c r="I3153" s="573" t="s">
        <v>5502</v>
      </c>
      <c r="J3153" s="573" t="s">
        <v>5396</v>
      </c>
      <c r="K3153" s="573" t="s">
        <v>3377</v>
      </c>
      <c r="L3153" s="573">
        <v>6</v>
      </c>
      <c r="M3153" s="573">
        <v>0</v>
      </c>
      <c r="N3153" s="573" t="s">
        <v>157</v>
      </c>
      <c r="O3153" s="573">
        <v>2</v>
      </c>
      <c r="P3153" s="573" t="s">
        <v>5351</v>
      </c>
      <c r="Q3153" s="571">
        <v>4510</v>
      </c>
      <c r="R3153" s="573" t="s">
        <v>5503</v>
      </c>
      <c r="S3153" s="573">
        <v>6</v>
      </c>
      <c r="T3153" s="573" t="s">
        <v>5397</v>
      </c>
      <c r="U3153" s="573" t="s">
        <v>5398</v>
      </c>
      <c r="V3153" s="573">
        <v>140</v>
      </c>
      <c r="W3153" s="573">
        <v>26</v>
      </c>
      <c r="X3153" s="571">
        <v>6800</v>
      </c>
      <c r="Y3153" s="573">
        <v>20</v>
      </c>
      <c r="Z3153" s="579" t="s">
        <v>450</v>
      </c>
      <c r="AA3153" s="579" t="s">
        <v>178</v>
      </c>
      <c r="AB3153" s="584">
        <v>39490</v>
      </c>
      <c r="AC3153" s="584" t="s">
        <v>164</v>
      </c>
      <c r="AD3153" s="584">
        <v>24765</v>
      </c>
      <c r="AE3153" s="586">
        <v>6.25E-2</v>
      </c>
      <c r="AF3153" s="661" t="str">
        <f t="shared" si="346"/>
        <v>2019-LTK-RAM-RM15-108-04</v>
      </c>
      <c r="AG3153" s="661" t="str">
        <f>IF(AND($Y3153&gt;=32,(AI3153="I"),(Y3153&lt;&gt;"~"),(COUNTIF($AN$1:$AN3153,$AN3153)=1)),"TRUE","FALSE")</f>
        <v>FALSE</v>
      </c>
      <c r="AH3153" s="661" t="str">
        <f>IF(AND($Y3153&gt;=22, (AI3153&lt;&gt;"I"),(Y3153&lt;&gt;"~"),(COUNTIF($AN$1:$AN3153,$AN3153)=1)),"TRUE","FALSE")</f>
        <v>FALSE</v>
      </c>
      <c r="AI3153" s="661" t="str">
        <f t="shared" si="341"/>
        <v>II</v>
      </c>
      <c r="AJ3153" s="662" t="str">
        <f t="shared" si="342"/>
        <v>RM15-108</v>
      </c>
      <c r="AK3153" s="662" t="str">
        <f t="shared" si="343"/>
        <v>LTK</v>
      </c>
      <c r="AL3153" s="662" t="str">
        <f t="shared" si="344"/>
        <v>RAM</v>
      </c>
      <c r="AM3153" s="662" t="str">
        <f t="shared" si="340"/>
        <v>Ram 1500 Classic-SLT Crew-2WD-6-5'7"-4510-3.6L V6/3.21 axle-6-DS1H98-22G-140-26-E85-Unleaded</v>
      </c>
      <c r="AN3153" s="662" t="str">
        <f t="shared" si="345"/>
        <v>2019-LTK-RAM-RM15-108</v>
      </c>
    </row>
    <row r="3154" spans="1:40" ht="15">
      <c r="A3154" s="570" t="s">
        <v>5504</v>
      </c>
      <c r="B3154" s="569" t="s">
        <v>5505</v>
      </c>
      <c r="C3154" s="569" t="s">
        <v>226</v>
      </c>
      <c r="D3154" s="580" t="s">
        <v>227</v>
      </c>
      <c r="E3154" s="569" t="s">
        <v>3374</v>
      </c>
      <c r="F3154" s="569" t="s">
        <v>152</v>
      </c>
      <c r="G3154" s="569" t="s">
        <v>3265</v>
      </c>
      <c r="H3154" s="569">
        <v>2019</v>
      </c>
      <c r="I3154" s="569" t="s">
        <v>5502</v>
      </c>
      <c r="J3154" s="569" t="s">
        <v>5396</v>
      </c>
      <c r="K3154" s="569" t="s">
        <v>3377</v>
      </c>
      <c r="L3154" s="569">
        <v>6</v>
      </c>
      <c r="M3154" s="569">
        <v>0</v>
      </c>
      <c r="N3154" s="569" t="s">
        <v>157</v>
      </c>
      <c r="O3154" s="569">
        <v>2</v>
      </c>
      <c r="P3154" s="569" t="s">
        <v>5351</v>
      </c>
      <c r="Q3154" s="568">
        <v>8070</v>
      </c>
      <c r="R3154" s="569" t="s">
        <v>5506</v>
      </c>
      <c r="S3154" s="569">
        <v>8</v>
      </c>
      <c r="T3154" s="569" t="s">
        <v>5397</v>
      </c>
      <c r="U3154" s="569" t="s">
        <v>5402</v>
      </c>
      <c r="V3154" s="569">
        <v>140</v>
      </c>
      <c r="W3154" s="569">
        <v>26</v>
      </c>
      <c r="X3154" s="568">
        <v>6800</v>
      </c>
      <c r="Y3154" s="569">
        <v>16</v>
      </c>
      <c r="Z3154" s="581" t="s">
        <v>178</v>
      </c>
      <c r="AA3154" s="581" t="s">
        <v>178</v>
      </c>
      <c r="AB3154" s="585">
        <v>41440</v>
      </c>
      <c r="AC3154" s="585" t="s">
        <v>164</v>
      </c>
      <c r="AD3154" s="585">
        <v>26499</v>
      </c>
      <c r="AE3154" s="587">
        <v>6.25E-2</v>
      </c>
      <c r="AF3154" s="661" t="str">
        <f t="shared" si="346"/>
        <v>2019-LTK-RAM-RM15-110-04</v>
      </c>
      <c r="AG3154" s="661" t="str">
        <f>IF(AND($Y3154&gt;=32,(AI3154="I"),(Y3154&lt;&gt;"~"),(COUNTIF($AN$1:$AN3154,$AN3154)=1)),"TRUE","FALSE")</f>
        <v>FALSE</v>
      </c>
      <c r="AH3154" s="661" t="str">
        <f>IF(AND($Y3154&gt;=22, (AI3154&lt;&gt;"I"),(Y3154&lt;&gt;"~"),(COUNTIF($AN$1:$AN3154,$AN3154)=1)),"TRUE","FALSE")</f>
        <v>FALSE</v>
      </c>
      <c r="AI3154" s="661" t="str">
        <f t="shared" si="341"/>
        <v>II</v>
      </c>
      <c r="AJ3154" s="662" t="str">
        <f t="shared" si="342"/>
        <v>RM15-110</v>
      </c>
      <c r="AK3154" s="662" t="str">
        <f t="shared" si="343"/>
        <v>LTK</v>
      </c>
      <c r="AL3154" s="662" t="str">
        <f t="shared" si="344"/>
        <v>RAM</v>
      </c>
      <c r="AM3154" s="662" t="str">
        <f t="shared" si="340"/>
        <v>Ram 1500 Classic-SLT Crew-2WD-6-5'7"-8070-5.7Hemi/ 3.21 axle-8-DS1H98-27G-140-26-Unleaded-Unleaded</v>
      </c>
      <c r="AN3154" s="662" t="str">
        <f t="shared" si="345"/>
        <v>2019-LTK-RAM-RM15-110</v>
      </c>
    </row>
    <row r="3155" spans="1:40" ht="15">
      <c r="A3155" s="570" t="s">
        <v>5507</v>
      </c>
      <c r="B3155" s="573" t="s">
        <v>5508</v>
      </c>
      <c r="C3155" s="573" t="s">
        <v>226</v>
      </c>
      <c r="D3155" s="578" t="s">
        <v>227</v>
      </c>
      <c r="E3155" s="573" t="s">
        <v>3374</v>
      </c>
      <c r="F3155" s="573" t="s">
        <v>152</v>
      </c>
      <c r="G3155" s="573" t="s">
        <v>3265</v>
      </c>
      <c r="H3155" s="573">
        <v>2019</v>
      </c>
      <c r="I3155" s="573" t="s">
        <v>5502</v>
      </c>
      <c r="J3155" s="573" t="s">
        <v>5396</v>
      </c>
      <c r="K3155" s="573" t="s">
        <v>3377</v>
      </c>
      <c r="L3155" s="573">
        <v>6</v>
      </c>
      <c r="M3155" s="573">
        <v>0</v>
      </c>
      <c r="N3155" s="573" t="s">
        <v>157</v>
      </c>
      <c r="O3155" s="573">
        <v>2</v>
      </c>
      <c r="P3155" s="573" t="s">
        <v>5405</v>
      </c>
      <c r="Q3155" s="571">
        <v>8010</v>
      </c>
      <c r="R3155" s="573" t="s">
        <v>5509</v>
      </c>
      <c r="S3155" s="573">
        <v>8</v>
      </c>
      <c r="T3155" s="573" t="s">
        <v>5406</v>
      </c>
      <c r="U3155" s="573" t="s">
        <v>5402</v>
      </c>
      <c r="V3155" s="573">
        <v>149</v>
      </c>
      <c r="W3155" s="573">
        <v>26</v>
      </c>
      <c r="X3155" s="571">
        <v>6350</v>
      </c>
      <c r="Y3155" s="573">
        <v>17</v>
      </c>
      <c r="Z3155" s="579" t="s">
        <v>178</v>
      </c>
      <c r="AA3155" s="579" t="s">
        <v>178</v>
      </c>
      <c r="AB3155" s="584">
        <v>41490</v>
      </c>
      <c r="AC3155" s="584" t="s">
        <v>164</v>
      </c>
      <c r="AD3155" s="584">
        <v>26502</v>
      </c>
      <c r="AE3155" s="586">
        <v>6.25E-2</v>
      </c>
      <c r="AF3155" s="661" t="str">
        <f t="shared" si="346"/>
        <v>2019-LTK-RAM-RM15-112-04</v>
      </c>
      <c r="AG3155" s="661" t="str">
        <f>IF(AND($Y3155&gt;=32,(AI3155="I"),(Y3155&lt;&gt;"~"),(COUNTIF($AN$1:$AN3155,$AN3155)=1)),"TRUE","FALSE")</f>
        <v>FALSE</v>
      </c>
      <c r="AH3155" s="661" t="str">
        <f>IF(AND($Y3155&gt;=22, (AI3155&lt;&gt;"I"),(Y3155&lt;&gt;"~"),(COUNTIF($AN$1:$AN3155,$AN3155)=1)),"TRUE","FALSE")</f>
        <v>FALSE</v>
      </c>
      <c r="AI3155" s="661" t="str">
        <f t="shared" si="341"/>
        <v>II</v>
      </c>
      <c r="AJ3155" s="662" t="str">
        <f t="shared" si="342"/>
        <v>RM15-112</v>
      </c>
      <c r="AK3155" s="662" t="str">
        <f t="shared" si="343"/>
        <v>LTK</v>
      </c>
      <c r="AL3155" s="662" t="str">
        <f t="shared" si="344"/>
        <v>RAM</v>
      </c>
      <c r="AM3155" s="662" t="str">
        <f t="shared" si="340"/>
        <v>Ram 1500 Classic-SLT Crew-2WD-6-6'4"-8010-5.7L Hemi/3.21 axle-8-DS1H91-27G-149-26-Unleaded-Unleaded</v>
      </c>
      <c r="AN3155" s="662" t="str">
        <f t="shared" si="345"/>
        <v>2019-LTK-RAM-RM15-112</v>
      </c>
    </row>
    <row r="3156" spans="1:40" ht="15">
      <c r="A3156" s="570" t="s">
        <v>5510</v>
      </c>
      <c r="B3156" s="569" t="s">
        <v>5511</v>
      </c>
      <c r="C3156" s="569" t="s">
        <v>3315</v>
      </c>
      <c r="D3156" s="580" t="s">
        <v>227</v>
      </c>
      <c r="E3156" s="569" t="s">
        <v>3374</v>
      </c>
      <c r="F3156" s="569" t="s">
        <v>152</v>
      </c>
      <c r="G3156" s="569" t="s">
        <v>3265</v>
      </c>
      <c r="H3156" s="569">
        <v>2019</v>
      </c>
      <c r="I3156" s="569" t="s">
        <v>5502</v>
      </c>
      <c r="J3156" s="569" t="s">
        <v>5396</v>
      </c>
      <c r="K3156" s="569" t="s">
        <v>3377</v>
      </c>
      <c r="L3156" s="569">
        <v>6</v>
      </c>
      <c r="M3156" s="569">
        <v>0</v>
      </c>
      <c r="N3156" s="569" t="s">
        <v>157</v>
      </c>
      <c r="O3156" s="569">
        <v>2</v>
      </c>
      <c r="P3156" s="569" t="s">
        <v>5351</v>
      </c>
      <c r="Q3156" s="568">
        <v>7500</v>
      </c>
      <c r="R3156" s="569" t="s">
        <v>5512</v>
      </c>
      <c r="S3156" s="569">
        <v>6</v>
      </c>
      <c r="T3156" s="569" t="s">
        <v>5397</v>
      </c>
      <c r="U3156" s="569" t="s">
        <v>5398</v>
      </c>
      <c r="V3156" s="569">
        <v>140</v>
      </c>
      <c r="W3156" s="569">
        <v>26</v>
      </c>
      <c r="X3156" s="568">
        <v>6800</v>
      </c>
      <c r="Y3156" s="569">
        <v>20</v>
      </c>
      <c r="Z3156" s="581" t="s">
        <v>450</v>
      </c>
      <c r="AA3156" s="581" t="s">
        <v>178</v>
      </c>
      <c r="AB3156" s="585">
        <v>39585</v>
      </c>
      <c r="AC3156" s="585" t="s">
        <v>164</v>
      </c>
      <c r="AD3156" s="585">
        <v>24860</v>
      </c>
      <c r="AE3156" s="587">
        <v>6.25E-2</v>
      </c>
      <c r="AF3156" s="661" t="str">
        <f t="shared" si="346"/>
        <v>2019-LTK-RAM-RM15-109-04</v>
      </c>
      <c r="AG3156" s="661" t="str">
        <f>IF(AND($Y3156&gt;=32,(AI3156="I"),(Y3156&lt;&gt;"~"),(COUNTIF($AN$1:$AN3156,$AN3156)=1)),"TRUE","FALSE")</f>
        <v>FALSE</v>
      </c>
      <c r="AH3156" s="661" t="str">
        <f>IF(AND($Y3156&gt;=22, (AI3156&lt;&gt;"I"),(Y3156&lt;&gt;"~"),(COUNTIF($AN$1:$AN3156,$AN3156)=1)),"TRUE","FALSE")</f>
        <v>FALSE</v>
      </c>
      <c r="AI3156" s="661" t="str">
        <f t="shared" si="341"/>
        <v>II</v>
      </c>
      <c r="AJ3156" s="662" t="str">
        <f t="shared" si="342"/>
        <v>RM15-109</v>
      </c>
      <c r="AK3156" s="662" t="str">
        <f t="shared" si="343"/>
        <v>LTK</v>
      </c>
      <c r="AL3156" s="662" t="str">
        <f t="shared" si="344"/>
        <v>RAM</v>
      </c>
      <c r="AM3156" s="662" t="str">
        <f t="shared" si="340"/>
        <v>Ram 1500 Classic-SLT Crew-2WD-6-5'7"-7500-3.6L V6/ 3.55 axle-6-DS1H98-22G-140-26-E85-Unleaded</v>
      </c>
      <c r="AN3156" s="662" t="str">
        <f t="shared" si="345"/>
        <v>2019-LTK-RAM-RM15-109</v>
      </c>
    </row>
    <row r="3157" spans="1:40" ht="15">
      <c r="A3157" s="570" t="s">
        <v>5513</v>
      </c>
      <c r="B3157" s="573" t="s">
        <v>5514</v>
      </c>
      <c r="C3157" s="573" t="s">
        <v>3315</v>
      </c>
      <c r="D3157" s="578" t="s">
        <v>227</v>
      </c>
      <c r="E3157" s="573" t="s">
        <v>3374</v>
      </c>
      <c r="F3157" s="573" t="s">
        <v>152</v>
      </c>
      <c r="G3157" s="573" t="s">
        <v>3265</v>
      </c>
      <c r="H3157" s="573">
        <v>2019</v>
      </c>
      <c r="I3157" s="573" t="s">
        <v>5502</v>
      </c>
      <c r="J3157" s="573" t="s">
        <v>5396</v>
      </c>
      <c r="K3157" s="573" t="s">
        <v>3377</v>
      </c>
      <c r="L3157" s="573">
        <v>6</v>
      </c>
      <c r="M3157" s="573">
        <v>0</v>
      </c>
      <c r="N3157" s="573" t="s">
        <v>157</v>
      </c>
      <c r="O3157" s="573">
        <v>2</v>
      </c>
      <c r="P3157" s="573" t="s">
        <v>5405</v>
      </c>
      <c r="Q3157" s="571">
        <v>10190</v>
      </c>
      <c r="R3157" s="573" t="s">
        <v>5515</v>
      </c>
      <c r="S3157" s="573">
        <v>8</v>
      </c>
      <c r="T3157" s="573" t="s">
        <v>5406</v>
      </c>
      <c r="U3157" s="573" t="s">
        <v>5516</v>
      </c>
      <c r="V3157" s="573">
        <v>149</v>
      </c>
      <c r="W3157" s="573">
        <v>26</v>
      </c>
      <c r="X3157" s="571">
        <v>6350</v>
      </c>
      <c r="Y3157" s="573">
        <v>16</v>
      </c>
      <c r="Z3157" s="579" t="s">
        <v>178</v>
      </c>
      <c r="AA3157" s="579" t="s">
        <v>178</v>
      </c>
      <c r="AB3157" s="584">
        <v>41585</v>
      </c>
      <c r="AC3157" s="584" t="s">
        <v>164</v>
      </c>
      <c r="AD3157" s="584">
        <v>26597</v>
      </c>
      <c r="AE3157" s="586">
        <v>6.25E-2</v>
      </c>
      <c r="AF3157" s="661" t="str">
        <f t="shared" si="346"/>
        <v>2019-LTK-RAM-RM15-111-04</v>
      </c>
      <c r="AG3157" s="661" t="str">
        <f>IF(AND($Y3157&gt;=32,(AI3157="I"),(Y3157&lt;&gt;"~"),(COUNTIF($AN$1:$AN3157,$AN3157)=1)),"TRUE","FALSE")</f>
        <v>FALSE</v>
      </c>
      <c r="AH3157" s="661" t="str">
        <f>IF(AND($Y3157&gt;=22, (AI3157&lt;&gt;"I"),(Y3157&lt;&gt;"~"),(COUNTIF($AN$1:$AN3157,$AN3157)=1)),"TRUE","FALSE")</f>
        <v>FALSE</v>
      </c>
      <c r="AI3157" s="661" t="str">
        <f t="shared" si="341"/>
        <v>II</v>
      </c>
      <c r="AJ3157" s="662" t="str">
        <f t="shared" si="342"/>
        <v>RM15-111</v>
      </c>
      <c r="AK3157" s="662" t="str">
        <f t="shared" si="343"/>
        <v>LTK</v>
      </c>
      <c r="AL3157" s="662" t="str">
        <f t="shared" si="344"/>
        <v>RAM</v>
      </c>
      <c r="AM3157" s="662" t="str">
        <f t="shared" si="340"/>
        <v>Ram 1500 Classic-SLT Crew-2WD-6-6'4"-10190-5.7L Hemi/3.92axle-8-DS1H91-26G-149-26-Unleaded-Unleaded</v>
      </c>
      <c r="AN3157" s="662" t="str">
        <f t="shared" si="345"/>
        <v>2019-LTK-RAM-RM15-111</v>
      </c>
    </row>
    <row r="3158" spans="1:40" ht="15">
      <c r="A3158" s="570" t="s">
        <v>5517</v>
      </c>
      <c r="B3158" s="569" t="s">
        <v>5518</v>
      </c>
      <c r="C3158" s="569" t="s">
        <v>226</v>
      </c>
      <c r="D3158" s="580" t="s">
        <v>227</v>
      </c>
      <c r="E3158" s="569" t="s">
        <v>3374</v>
      </c>
      <c r="F3158" s="569" t="s">
        <v>152</v>
      </c>
      <c r="G3158" s="569" t="s">
        <v>3265</v>
      </c>
      <c r="H3158" s="569">
        <v>2019</v>
      </c>
      <c r="I3158" s="569" t="s">
        <v>5502</v>
      </c>
      <c r="J3158" s="569" t="s">
        <v>5396</v>
      </c>
      <c r="K3158" s="569" t="s">
        <v>752</v>
      </c>
      <c r="L3158" s="569">
        <v>6</v>
      </c>
      <c r="M3158" s="569">
        <v>0</v>
      </c>
      <c r="N3158" s="569" t="s">
        <v>157</v>
      </c>
      <c r="O3158" s="569">
        <v>2</v>
      </c>
      <c r="P3158" s="569" t="s">
        <v>5405</v>
      </c>
      <c r="Q3158" s="568">
        <v>7760</v>
      </c>
      <c r="R3158" s="569" t="s">
        <v>5519</v>
      </c>
      <c r="S3158" s="569">
        <v>8</v>
      </c>
      <c r="T3158" s="569" t="s">
        <v>5409</v>
      </c>
      <c r="U3158" s="569" t="s">
        <v>5402</v>
      </c>
      <c r="V3158" s="569">
        <v>149</v>
      </c>
      <c r="W3158" s="569">
        <v>26</v>
      </c>
      <c r="X3158" s="568">
        <v>6900</v>
      </c>
      <c r="Y3158" s="569">
        <v>17</v>
      </c>
      <c r="Z3158" s="581" t="s">
        <v>178</v>
      </c>
      <c r="AA3158" s="581" t="s">
        <v>178</v>
      </c>
      <c r="AB3158" s="585">
        <v>45090</v>
      </c>
      <c r="AC3158" s="585" t="s">
        <v>164</v>
      </c>
      <c r="AD3158" s="585">
        <v>29525</v>
      </c>
      <c r="AE3158" s="587">
        <v>6.25E-2</v>
      </c>
      <c r="AF3158" s="661" t="str">
        <f t="shared" si="346"/>
        <v>2019-LTK-RAM-RM15-113-04</v>
      </c>
      <c r="AG3158" s="661" t="str">
        <f>IF(AND($Y3158&gt;=32,(AI3158="I"),(Y3158&lt;&gt;"~"),(COUNTIF($AN$1:$AN3158,$AN3158)=1)),"TRUE","FALSE")</f>
        <v>FALSE</v>
      </c>
      <c r="AH3158" s="661" t="str">
        <f>IF(AND($Y3158&gt;=22, (AI3158&lt;&gt;"I"),(Y3158&lt;&gt;"~"),(COUNTIF($AN$1:$AN3158,$AN3158)=1)),"TRUE","FALSE")</f>
        <v>FALSE</v>
      </c>
      <c r="AI3158" s="661" t="str">
        <f t="shared" si="341"/>
        <v>II</v>
      </c>
      <c r="AJ3158" s="662" t="str">
        <f t="shared" si="342"/>
        <v>RM15-113</v>
      </c>
      <c r="AK3158" s="662" t="str">
        <f t="shared" si="343"/>
        <v>LTK</v>
      </c>
      <c r="AL3158" s="662" t="str">
        <f t="shared" si="344"/>
        <v>RAM</v>
      </c>
      <c r="AM3158" s="662" t="str">
        <f t="shared" si="340"/>
        <v>Ram 1500 Classic-SLT Crew-4WD-6-6'4"-7760-5.7 Hemi/3.21 axle-8-DS6H91-27G-149-26-Unleaded-Unleaded</v>
      </c>
      <c r="AN3158" s="662" t="str">
        <f t="shared" si="345"/>
        <v>2019-LTK-RAM-RM15-113</v>
      </c>
    </row>
    <row r="3159" spans="1:40" ht="15">
      <c r="A3159" s="570" t="s">
        <v>5520</v>
      </c>
      <c r="B3159" s="573" t="s">
        <v>5521</v>
      </c>
      <c r="C3159" s="573" t="s">
        <v>3315</v>
      </c>
      <c r="D3159" s="578" t="s">
        <v>227</v>
      </c>
      <c r="E3159" s="573" t="s">
        <v>3374</v>
      </c>
      <c r="F3159" s="573" t="s">
        <v>152</v>
      </c>
      <c r="G3159" s="573" t="s">
        <v>3265</v>
      </c>
      <c r="H3159" s="573">
        <v>2019</v>
      </c>
      <c r="I3159" s="573" t="s">
        <v>5502</v>
      </c>
      <c r="J3159" s="573" t="s">
        <v>5396</v>
      </c>
      <c r="K3159" s="573" t="s">
        <v>752</v>
      </c>
      <c r="L3159" s="573">
        <v>6</v>
      </c>
      <c r="M3159" s="573">
        <v>0</v>
      </c>
      <c r="N3159" s="573" t="s">
        <v>157</v>
      </c>
      <c r="O3159" s="573">
        <v>2</v>
      </c>
      <c r="P3159" s="573" t="s">
        <v>5405</v>
      </c>
      <c r="Q3159" s="571">
        <v>9810</v>
      </c>
      <c r="R3159" s="573" t="s">
        <v>5522</v>
      </c>
      <c r="S3159" s="573">
        <v>8</v>
      </c>
      <c r="T3159" s="573" t="s">
        <v>5409</v>
      </c>
      <c r="U3159" s="573" t="s">
        <v>5402</v>
      </c>
      <c r="V3159" s="573">
        <v>149</v>
      </c>
      <c r="W3159" s="573">
        <v>26</v>
      </c>
      <c r="X3159" s="571">
        <v>6900</v>
      </c>
      <c r="Y3159" s="573">
        <v>19</v>
      </c>
      <c r="Z3159" s="579" t="s">
        <v>178</v>
      </c>
      <c r="AA3159" s="579" t="s">
        <v>178</v>
      </c>
      <c r="AB3159" s="584">
        <v>45185</v>
      </c>
      <c r="AC3159" s="584" t="s">
        <v>164</v>
      </c>
      <c r="AD3159" s="584">
        <v>29620</v>
      </c>
      <c r="AE3159" s="586">
        <v>6.25E-2</v>
      </c>
      <c r="AF3159" s="661" t="str">
        <f t="shared" si="346"/>
        <v>2019-LTK-RAM-RM15-114-04</v>
      </c>
      <c r="AG3159" s="661" t="str">
        <f>IF(AND($Y3159&gt;=32,(AI3159="I"),(Y3159&lt;&gt;"~"),(COUNTIF($AN$1:$AN3159,$AN3159)=1)),"TRUE","FALSE")</f>
        <v>FALSE</v>
      </c>
      <c r="AH3159" s="661" t="str">
        <f>IF(AND($Y3159&gt;=22, (AI3159&lt;&gt;"I"),(Y3159&lt;&gt;"~"),(COUNTIF($AN$1:$AN3159,$AN3159)=1)),"TRUE","FALSE")</f>
        <v>FALSE</v>
      </c>
      <c r="AI3159" s="661" t="str">
        <f t="shared" si="341"/>
        <v>II</v>
      </c>
      <c r="AJ3159" s="662" t="str">
        <f t="shared" si="342"/>
        <v>RM15-114</v>
      </c>
      <c r="AK3159" s="662" t="str">
        <f t="shared" si="343"/>
        <v>LTK</v>
      </c>
      <c r="AL3159" s="662" t="str">
        <f t="shared" si="344"/>
        <v>RAM</v>
      </c>
      <c r="AM3159" s="662" t="str">
        <f t="shared" si="340"/>
        <v>Ram 1500 Classic-SLT Crew-4WD-6-6'4"-9810-5.7 Hemi/3.92 axle-8-DS6H91-27G-149-26-Unleaded-Unleaded</v>
      </c>
      <c r="AN3159" s="662" t="str">
        <f t="shared" si="345"/>
        <v>2019-LTK-RAM-RM15-114</v>
      </c>
    </row>
    <row r="3160" spans="1:40" ht="15">
      <c r="A3160" s="570" t="s">
        <v>5523</v>
      </c>
      <c r="B3160" s="569" t="s">
        <v>5524</v>
      </c>
      <c r="C3160" s="569" t="s">
        <v>226</v>
      </c>
      <c r="D3160" s="580" t="s">
        <v>227</v>
      </c>
      <c r="E3160" s="569" t="s">
        <v>3374</v>
      </c>
      <c r="F3160" s="569" t="s">
        <v>152</v>
      </c>
      <c r="G3160" s="569" t="s">
        <v>3265</v>
      </c>
      <c r="H3160" s="569">
        <v>2019</v>
      </c>
      <c r="I3160" s="569" t="s">
        <v>5502</v>
      </c>
      <c r="J3160" s="569" t="s">
        <v>5412</v>
      </c>
      <c r="K3160" s="569" t="s">
        <v>752</v>
      </c>
      <c r="L3160" s="569">
        <v>6</v>
      </c>
      <c r="M3160" s="569">
        <v>0</v>
      </c>
      <c r="N3160" s="569" t="s">
        <v>157</v>
      </c>
      <c r="O3160" s="569">
        <v>2</v>
      </c>
      <c r="P3160" s="569" t="s">
        <v>5351</v>
      </c>
      <c r="Q3160" s="568">
        <v>4250</v>
      </c>
      <c r="R3160" s="569" t="s">
        <v>5503</v>
      </c>
      <c r="S3160" s="569">
        <v>6</v>
      </c>
      <c r="T3160" s="569" t="s">
        <v>5413</v>
      </c>
      <c r="U3160" s="569" t="s">
        <v>5398</v>
      </c>
      <c r="V3160" s="569">
        <v>140</v>
      </c>
      <c r="W3160" s="569">
        <v>26</v>
      </c>
      <c r="X3160" s="568">
        <v>6800</v>
      </c>
      <c r="Y3160" s="569">
        <v>19</v>
      </c>
      <c r="Z3160" s="581" t="s">
        <v>450</v>
      </c>
      <c r="AA3160" s="581" t="s">
        <v>178</v>
      </c>
      <c r="AB3160" s="585">
        <v>43090</v>
      </c>
      <c r="AC3160" s="585" t="s">
        <v>164</v>
      </c>
      <c r="AD3160" s="585">
        <v>27788</v>
      </c>
      <c r="AE3160" s="587">
        <v>6.25E-2</v>
      </c>
      <c r="AF3160" s="661" t="str">
        <f t="shared" si="346"/>
        <v>2019-LTK-RAM-RM15-105-04</v>
      </c>
      <c r="AG3160" s="661" t="str">
        <f>IF(AND($Y3160&gt;=32,(AI3160="I"),(Y3160&lt;&gt;"~"),(COUNTIF($AN$1:$AN3160,$AN3160)=1)),"TRUE","FALSE")</f>
        <v>FALSE</v>
      </c>
      <c r="AH3160" s="661" t="str">
        <f>IF(AND($Y3160&gt;=22, (AI3160&lt;&gt;"I"),(Y3160&lt;&gt;"~"),(COUNTIF($AN$1:$AN3160,$AN3160)=1)),"TRUE","FALSE")</f>
        <v>FALSE</v>
      </c>
      <c r="AI3160" s="661" t="str">
        <f t="shared" si="341"/>
        <v>II</v>
      </c>
      <c r="AJ3160" s="662" t="str">
        <f t="shared" si="342"/>
        <v>RM15-105</v>
      </c>
      <c r="AK3160" s="662" t="str">
        <f t="shared" si="343"/>
        <v>LTK</v>
      </c>
      <c r="AL3160" s="662" t="str">
        <f t="shared" si="344"/>
        <v>RAM</v>
      </c>
      <c r="AM3160" s="662" t="str">
        <f t="shared" si="340"/>
        <v>Ram 1500 Classic-SLT Crew Cab-4WD-6-5'7"-4250-3.6L V6/3.21 axle-6-DS6H98-22G-140-26-E85-Unleaded</v>
      </c>
      <c r="AN3160" s="662" t="str">
        <f t="shared" si="345"/>
        <v>2019-LTK-RAM-RM15-105</v>
      </c>
    </row>
    <row r="3161" spans="1:40" ht="15">
      <c r="A3161" s="570" t="s">
        <v>5525</v>
      </c>
      <c r="B3161" s="573" t="s">
        <v>5526</v>
      </c>
      <c r="C3161" s="573" t="s">
        <v>226</v>
      </c>
      <c r="D3161" s="578" t="s">
        <v>227</v>
      </c>
      <c r="E3161" s="573" t="s">
        <v>3374</v>
      </c>
      <c r="F3161" s="573" t="s">
        <v>152</v>
      </c>
      <c r="G3161" s="573" t="s">
        <v>3265</v>
      </c>
      <c r="H3161" s="573">
        <v>2019</v>
      </c>
      <c r="I3161" s="573" t="s">
        <v>5502</v>
      </c>
      <c r="J3161" s="573" t="s">
        <v>5412</v>
      </c>
      <c r="K3161" s="573" t="s">
        <v>752</v>
      </c>
      <c r="L3161" s="573">
        <v>6</v>
      </c>
      <c r="M3161" s="573">
        <v>0</v>
      </c>
      <c r="N3161" s="573" t="s">
        <v>157</v>
      </c>
      <c r="O3161" s="573">
        <v>2</v>
      </c>
      <c r="P3161" s="573" t="s">
        <v>5351</v>
      </c>
      <c r="Q3161" s="571">
        <v>7990</v>
      </c>
      <c r="R3161" s="573" t="s">
        <v>5509</v>
      </c>
      <c r="S3161" s="573">
        <v>8</v>
      </c>
      <c r="T3161" s="573" t="s">
        <v>5413</v>
      </c>
      <c r="U3161" s="573" t="s">
        <v>5402</v>
      </c>
      <c r="V3161" s="573">
        <v>140</v>
      </c>
      <c r="W3161" s="573">
        <v>26</v>
      </c>
      <c r="X3161" s="571">
        <v>6800</v>
      </c>
      <c r="Y3161" s="573">
        <v>17</v>
      </c>
      <c r="Z3161" s="579" t="s">
        <v>178</v>
      </c>
      <c r="AA3161" s="579" t="s">
        <v>178</v>
      </c>
      <c r="AB3161" s="584">
        <v>45040</v>
      </c>
      <c r="AC3161" s="584" t="s">
        <v>164</v>
      </c>
      <c r="AD3161" s="584">
        <v>29522</v>
      </c>
      <c r="AE3161" s="586">
        <v>6.25E-2</v>
      </c>
      <c r="AF3161" s="661" t="str">
        <f t="shared" si="346"/>
        <v>2019-LTK-RAM-RM15-107-04</v>
      </c>
      <c r="AG3161" s="661" t="str">
        <f>IF(AND($Y3161&gt;=32,(AI3161="I"),(Y3161&lt;&gt;"~"),(COUNTIF($AN$1:$AN3161,$AN3161)=1)),"TRUE","FALSE")</f>
        <v>FALSE</v>
      </c>
      <c r="AH3161" s="661" t="str">
        <f>IF(AND($Y3161&gt;=22, (AI3161&lt;&gt;"I"),(Y3161&lt;&gt;"~"),(COUNTIF($AN$1:$AN3161,$AN3161)=1)),"TRUE","FALSE")</f>
        <v>FALSE</v>
      </c>
      <c r="AI3161" s="661" t="str">
        <f t="shared" si="341"/>
        <v>II</v>
      </c>
      <c r="AJ3161" s="662" t="str">
        <f t="shared" si="342"/>
        <v>RM15-107</v>
      </c>
      <c r="AK3161" s="662" t="str">
        <f t="shared" si="343"/>
        <v>LTK</v>
      </c>
      <c r="AL3161" s="662" t="str">
        <f t="shared" si="344"/>
        <v>RAM</v>
      </c>
      <c r="AM3161" s="662" t="str">
        <f t="shared" si="340"/>
        <v>Ram 1500 Classic-SLT Crew Cab-4WD-6-5'7"-7990-5.7L Hemi/3.21 axle-8-DS6H98-27G-140-26-Unleaded-Unleaded</v>
      </c>
      <c r="AN3161" s="662" t="str">
        <f t="shared" si="345"/>
        <v>2019-LTK-RAM-RM15-107</v>
      </c>
    </row>
    <row r="3162" spans="1:40" ht="15">
      <c r="A3162" s="570" t="s">
        <v>5527</v>
      </c>
      <c r="B3162" s="569" t="s">
        <v>5528</v>
      </c>
      <c r="C3162" s="569" t="s">
        <v>3315</v>
      </c>
      <c r="D3162" s="580" t="s">
        <v>227</v>
      </c>
      <c r="E3162" s="569" t="s">
        <v>3374</v>
      </c>
      <c r="F3162" s="569" t="s">
        <v>152</v>
      </c>
      <c r="G3162" s="569" t="s">
        <v>3265</v>
      </c>
      <c r="H3162" s="569">
        <v>2019</v>
      </c>
      <c r="I3162" s="569" t="s">
        <v>5502</v>
      </c>
      <c r="J3162" s="569" t="s">
        <v>5412</v>
      </c>
      <c r="K3162" s="569" t="s">
        <v>752</v>
      </c>
      <c r="L3162" s="569">
        <v>6</v>
      </c>
      <c r="M3162" s="569">
        <v>0</v>
      </c>
      <c r="N3162" s="569" t="s">
        <v>157</v>
      </c>
      <c r="O3162" s="569">
        <v>2</v>
      </c>
      <c r="P3162" s="569" t="s">
        <v>5351</v>
      </c>
      <c r="Q3162" s="568">
        <v>10170</v>
      </c>
      <c r="R3162" s="569" t="s">
        <v>5515</v>
      </c>
      <c r="S3162" s="569">
        <v>8</v>
      </c>
      <c r="T3162" s="569" t="s">
        <v>5413</v>
      </c>
      <c r="U3162" s="569" t="s">
        <v>5516</v>
      </c>
      <c r="V3162" s="569">
        <v>140</v>
      </c>
      <c r="W3162" s="569">
        <v>26</v>
      </c>
      <c r="X3162" s="568">
        <v>6800</v>
      </c>
      <c r="Y3162" s="569">
        <v>19</v>
      </c>
      <c r="Z3162" s="581" t="s">
        <v>178</v>
      </c>
      <c r="AA3162" s="581" t="s">
        <v>178</v>
      </c>
      <c r="AB3162" s="585">
        <v>45135</v>
      </c>
      <c r="AC3162" s="585" t="s">
        <v>164</v>
      </c>
      <c r="AD3162" s="585">
        <v>29617</v>
      </c>
      <c r="AE3162" s="587">
        <v>6.25E-2</v>
      </c>
      <c r="AF3162" s="661" t="str">
        <f t="shared" si="346"/>
        <v>2019-LTK-RAM-RM15-104-04</v>
      </c>
      <c r="AG3162" s="661" t="str">
        <f>IF(AND($Y3162&gt;=32,(AI3162="I"),(Y3162&lt;&gt;"~"),(COUNTIF($AN$1:$AN3162,$AN3162)=1)),"TRUE","FALSE")</f>
        <v>FALSE</v>
      </c>
      <c r="AH3162" s="661" t="str">
        <f>IF(AND($Y3162&gt;=22, (AI3162&lt;&gt;"I"),(Y3162&lt;&gt;"~"),(COUNTIF($AN$1:$AN3162,$AN3162)=1)),"TRUE","FALSE")</f>
        <v>FALSE</v>
      </c>
      <c r="AI3162" s="661" t="str">
        <f t="shared" si="341"/>
        <v>II</v>
      </c>
      <c r="AJ3162" s="662" t="str">
        <f t="shared" si="342"/>
        <v>RM15-104</v>
      </c>
      <c r="AK3162" s="662" t="str">
        <f t="shared" si="343"/>
        <v>LTK</v>
      </c>
      <c r="AL3162" s="662" t="str">
        <f t="shared" si="344"/>
        <v>RAM</v>
      </c>
      <c r="AM3162" s="662" t="str">
        <f t="shared" si="340"/>
        <v>Ram 1500 Classic-SLT Crew Cab-4WD-6-5'7"-10170-5.7L Hemi/3.92axle-8-DS6H98-26G-140-26-Unleaded-Unleaded</v>
      </c>
      <c r="AN3162" s="662" t="str">
        <f t="shared" si="345"/>
        <v>2019-LTK-RAM-RM15-104</v>
      </c>
    </row>
    <row r="3163" spans="1:40" ht="15">
      <c r="A3163" s="570" t="s">
        <v>5529</v>
      </c>
      <c r="B3163" s="573" t="s">
        <v>5530</v>
      </c>
      <c r="C3163" s="573" t="s">
        <v>3315</v>
      </c>
      <c r="D3163" s="578" t="s">
        <v>227</v>
      </c>
      <c r="E3163" s="573" t="s">
        <v>3374</v>
      </c>
      <c r="F3163" s="573" t="s">
        <v>152</v>
      </c>
      <c r="G3163" s="573" t="s">
        <v>3265</v>
      </c>
      <c r="H3163" s="573">
        <v>2019</v>
      </c>
      <c r="I3163" s="573" t="s">
        <v>5502</v>
      </c>
      <c r="J3163" s="573" t="s">
        <v>5412</v>
      </c>
      <c r="K3163" s="573" t="s">
        <v>752</v>
      </c>
      <c r="L3163" s="573">
        <v>6</v>
      </c>
      <c r="M3163" s="573">
        <v>0</v>
      </c>
      <c r="N3163" s="573" t="s">
        <v>157</v>
      </c>
      <c r="O3163" s="573">
        <v>2</v>
      </c>
      <c r="P3163" s="573" t="s">
        <v>5351</v>
      </c>
      <c r="Q3163" s="571">
        <v>7250</v>
      </c>
      <c r="R3163" s="573" t="s">
        <v>5531</v>
      </c>
      <c r="S3163" s="573">
        <v>6</v>
      </c>
      <c r="T3163" s="573" t="s">
        <v>5413</v>
      </c>
      <c r="U3163" s="573" t="s">
        <v>5398</v>
      </c>
      <c r="V3163" s="573">
        <v>140</v>
      </c>
      <c r="W3163" s="573">
        <v>26</v>
      </c>
      <c r="X3163" s="571">
        <v>6800</v>
      </c>
      <c r="Y3163" s="573">
        <v>19</v>
      </c>
      <c r="Z3163" s="579" t="s">
        <v>450</v>
      </c>
      <c r="AA3163" s="579" t="s">
        <v>178</v>
      </c>
      <c r="AB3163" s="584">
        <v>43185</v>
      </c>
      <c r="AC3163" s="584" t="s">
        <v>164</v>
      </c>
      <c r="AD3163" s="584">
        <v>27883</v>
      </c>
      <c r="AE3163" s="586">
        <v>6.25E-2</v>
      </c>
      <c r="AF3163" s="661" t="str">
        <f t="shared" si="346"/>
        <v>2019-LTK-RAM-RM15-106-04</v>
      </c>
      <c r="AG3163" s="661" t="str">
        <f>IF(AND($Y3163&gt;=32,(AI3163="I"),(Y3163&lt;&gt;"~"),(COUNTIF($AN$1:$AN3163,$AN3163)=1)),"TRUE","FALSE")</f>
        <v>FALSE</v>
      </c>
      <c r="AH3163" s="661" t="str">
        <f>IF(AND($Y3163&gt;=22, (AI3163&lt;&gt;"I"),(Y3163&lt;&gt;"~"),(COUNTIF($AN$1:$AN3163,$AN3163)=1)),"TRUE","FALSE")</f>
        <v>FALSE</v>
      </c>
      <c r="AI3163" s="661" t="str">
        <f t="shared" si="341"/>
        <v>II</v>
      </c>
      <c r="AJ3163" s="662" t="str">
        <f t="shared" si="342"/>
        <v>RM15-106</v>
      </c>
      <c r="AK3163" s="662" t="str">
        <f t="shared" si="343"/>
        <v>LTK</v>
      </c>
      <c r="AL3163" s="662" t="str">
        <f t="shared" si="344"/>
        <v>RAM</v>
      </c>
      <c r="AM3163" s="662" t="str">
        <f t="shared" ref="AM3163:AM3226" si="347">CONCATENATE(I3163,"-",J3163,"-",K3163,"-",L3163,"-",P3163,"-",Q3163,"-",R3163,"-",S3163,"-",T3163,"-",U3163,"-",V3163,"-",W3163,"-",Z3163,"-",AA3163)</f>
        <v>Ram 1500 Classic-SLT Crew Cab-4WD-6-5'7"-7250-3.6L V6/3.55 axle-6-DS6H98-22G-140-26-E85-Unleaded</v>
      </c>
      <c r="AN3163" s="662" t="str">
        <f t="shared" si="345"/>
        <v>2019-LTK-RAM-RM15-106</v>
      </c>
    </row>
    <row r="3164" spans="1:40" ht="15">
      <c r="A3164" s="570" t="s">
        <v>5532</v>
      </c>
      <c r="B3164" s="569" t="s">
        <v>5533</v>
      </c>
      <c r="C3164" s="569" t="s">
        <v>226</v>
      </c>
      <c r="D3164" s="580" t="s">
        <v>227</v>
      </c>
      <c r="E3164" s="569" t="s">
        <v>3374</v>
      </c>
      <c r="F3164" s="569" t="s">
        <v>152</v>
      </c>
      <c r="G3164" s="569" t="s">
        <v>3265</v>
      </c>
      <c r="H3164" s="569">
        <v>2019</v>
      </c>
      <c r="I3164" s="569" t="s">
        <v>5502</v>
      </c>
      <c r="J3164" s="569" t="s">
        <v>5418</v>
      </c>
      <c r="K3164" s="569" t="s">
        <v>3377</v>
      </c>
      <c r="L3164" s="569">
        <v>6</v>
      </c>
      <c r="M3164" s="569">
        <v>0</v>
      </c>
      <c r="N3164" s="569" t="s">
        <v>157</v>
      </c>
      <c r="O3164" s="569">
        <v>2</v>
      </c>
      <c r="P3164" s="569" t="s">
        <v>5405</v>
      </c>
      <c r="Q3164" s="568">
        <v>4610</v>
      </c>
      <c r="R3164" s="569" t="s">
        <v>5503</v>
      </c>
      <c r="S3164" s="569">
        <v>6</v>
      </c>
      <c r="T3164" s="569" t="s">
        <v>5419</v>
      </c>
      <c r="U3164" s="569" t="s">
        <v>5398</v>
      </c>
      <c r="V3164" s="569">
        <v>140</v>
      </c>
      <c r="W3164" s="569">
        <v>26</v>
      </c>
      <c r="X3164" s="568">
        <v>6700</v>
      </c>
      <c r="Y3164" s="569">
        <v>20</v>
      </c>
      <c r="Z3164" s="581" t="s">
        <v>450</v>
      </c>
      <c r="AA3164" s="581" t="s">
        <v>178</v>
      </c>
      <c r="AB3164" s="585">
        <v>36840</v>
      </c>
      <c r="AC3164" s="585" t="s">
        <v>164</v>
      </c>
      <c r="AD3164" s="585">
        <v>23371</v>
      </c>
      <c r="AE3164" s="587">
        <v>6.25E-2</v>
      </c>
      <c r="AF3164" s="661" t="str">
        <f t="shared" si="346"/>
        <v>2019-LTK-RAM-RM15-115-04</v>
      </c>
      <c r="AG3164" s="661" t="str">
        <f>IF(AND($Y3164&gt;=32,(AI3164="I"),(Y3164&lt;&gt;"~"),(COUNTIF($AN$1:$AN3164,$AN3164)=1)),"TRUE","FALSE")</f>
        <v>FALSE</v>
      </c>
      <c r="AH3164" s="661" t="str">
        <f>IF(AND($Y3164&gt;=22, (AI3164&lt;&gt;"I"),(Y3164&lt;&gt;"~"),(COUNTIF($AN$1:$AN3164,$AN3164)=1)),"TRUE","FALSE")</f>
        <v>FALSE</v>
      </c>
      <c r="AI3164" s="661" t="str">
        <f t="shared" ref="AI3164:AI3227" si="348">IF(OR((LEFT($E3164,2)="01"),AND(LEFT($E3164,2)="06",ISNUMBER(SEARCH("pas",$F3164))),AND(LEFT($E3164,2)="05",ISNUMBER(SEARCH("pas",$F3164)))),"I",IF(AND((LEFT($E3164,2)&lt;&gt;"01"),$X3164&lt;=10000),"II",IF(AND((LEFT($E3164,2)&lt;&gt;"01"),$X3164&gt;10000),"N/A")))</f>
        <v>II</v>
      </c>
      <c r="AJ3164" s="662" t="str">
        <f t="shared" si="342"/>
        <v>RM15-115</v>
      </c>
      <c r="AK3164" s="662" t="str">
        <f t="shared" si="343"/>
        <v>LTK</v>
      </c>
      <c r="AL3164" s="662" t="str">
        <f t="shared" si="344"/>
        <v>RAM</v>
      </c>
      <c r="AM3164" s="662" t="str">
        <f t="shared" si="347"/>
        <v>Ram 1500 Classic-SLT Quad Cab-2WD-6-6'4"-4610-3.6L V6/3.21 axle-6-DS1H41-22G-140-26-E85-Unleaded</v>
      </c>
      <c r="AN3164" s="662" t="str">
        <f t="shared" si="345"/>
        <v>2019-LTK-RAM-RM15-115</v>
      </c>
    </row>
    <row r="3165" spans="1:40" ht="15">
      <c r="A3165" s="570" t="s">
        <v>5534</v>
      </c>
      <c r="B3165" s="573" t="s">
        <v>5535</v>
      </c>
      <c r="C3165" s="573" t="s">
        <v>226</v>
      </c>
      <c r="D3165" s="578" t="s">
        <v>227</v>
      </c>
      <c r="E3165" s="573" t="s">
        <v>3374</v>
      </c>
      <c r="F3165" s="573" t="s">
        <v>152</v>
      </c>
      <c r="G3165" s="573" t="s">
        <v>3265</v>
      </c>
      <c r="H3165" s="573">
        <v>2019</v>
      </c>
      <c r="I3165" s="573" t="s">
        <v>5502</v>
      </c>
      <c r="J3165" s="573" t="s">
        <v>5418</v>
      </c>
      <c r="K3165" s="573" t="s">
        <v>3377</v>
      </c>
      <c r="L3165" s="573">
        <v>6</v>
      </c>
      <c r="M3165" s="573">
        <v>0</v>
      </c>
      <c r="N3165" s="573" t="s">
        <v>157</v>
      </c>
      <c r="O3165" s="573">
        <v>2</v>
      </c>
      <c r="P3165" s="573" t="s">
        <v>5405</v>
      </c>
      <c r="Q3165" s="571">
        <v>8160</v>
      </c>
      <c r="R3165" s="573" t="s">
        <v>5509</v>
      </c>
      <c r="S3165" s="573">
        <v>8</v>
      </c>
      <c r="T3165" s="573" t="s">
        <v>5419</v>
      </c>
      <c r="U3165" s="573" t="s">
        <v>5402</v>
      </c>
      <c r="V3165" s="573">
        <v>140</v>
      </c>
      <c r="W3165" s="573">
        <v>26</v>
      </c>
      <c r="X3165" s="571">
        <v>6700</v>
      </c>
      <c r="Y3165" s="573">
        <v>16</v>
      </c>
      <c r="Z3165" s="579" t="s">
        <v>178</v>
      </c>
      <c r="AA3165" s="579" t="s">
        <v>178</v>
      </c>
      <c r="AB3165" s="584">
        <v>38790</v>
      </c>
      <c r="AC3165" s="584" t="s">
        <v>164</v>
      </c>
      <c r="AD3165" s="584">
        <v>25105</v>
      </c>
      <c r="AE3165" s="586">
        <v>6.25E-2</v>
      </c>
      <c r="AF3165" s="661" t="str">
        <f t="shared" si="346"/>
        <v>2019-LTK-RAM-RM15-117-04</v>
      </c>
      <c r="AG3165" s="661" t="str">
        <f>IF(AND($Y3165&gt;=32,(AI3165="I"),(Y3165&lt;&gt;"~"),(COUNTIF($AN$1:$AN3165,$AN3165)=1)),"TRUE","FALSE")</f>
        <v>FALSE</v>
      </c>
      <c r="AH3165" s="661" t="str">
        <f>IF(AND($Y3165&gt;=22, (AI3165&lt;&gt;"I"),(Y3165&lt;&gt;"~"),(COUNTIF($AN$1:$AN3165,$AN3165)=1)),"TRUE","FALSE")</f>
        <v>FALSE</v>
      </c>
      <c r="AI3165" s="661" t="str">
        <f t="shared" si="348"/>
        <v>II</v>
      </c>
      <c r="AJ3165" s="662" t="str">
        <f t="shared" si="342"/>
        <v>RM15-117</v>
      </c>
      <c r="AK3165" s="662" t="str">
        <f t="shared" si="343"/>
        <v>LTK</v>
      </c>
      <c r="AL3165" s="662" t="str">
        <f t="shared" si="344"/>
        <v>RAM</v>
      </c>
      <c r="AM3165" s="662" t="str">
        <f t="shared" si="347"/>
        <v>Ram 1500 Classic-SLT Quad Cab-2WD-6-6'4"-8160-5.7L Hemi/3.21 axle-8-DS1H41-27G-140-26-Unleaded-Unleaded</v>
      </c>
      <c r="AN3165" s="662" t="str">
        <f t="shared" si="345"/>
        <v>2019-LTK-RAM-RM15-117</v>
      </c>
    </row>
    <row r="3166" spans="1:40" ht="15">
      <c r="A3166" s="570" t="s">
        <v>5536</v>
      </c>
      <c r="B3166" s="569" t="s">
        <v>5537</v>
      </c>
      <c r="C3166" s="569" t="s">
        <v>3315</v>
      </c>
      <c r="D3166" s="580" t="s">
        <v>227</v>
      </c>
      <c r="E3166" s="569" t="s">
        <v>3374</v>
      </c>
      <c r="F3166" s="569" t="s">
        <v>152</v>
      </c>
      <c r="G3166" s="569" t="s">
        <v>3265</v>
      </c>
      <c r="H3166" s="569">
        <v>2019</v>
      </c>
      <c r="I3166" s="569" t="s">
        <v>5502</v>
      </c>
      <c r="J3166" s="569" t="s">
        <v>5418</v>
      </c>
      <c r="K3166" s="569" t="s">
        <v>3377</v>
      </c>
      <c r="L3166" s="569">
        <v>6</v>
      </c>
      <c r="M3166" s="569">
        <v>0</v>
      </c>
      <c r="N3166" s="569" t="s">
        <v>157</v>
      </c>
      <c r="O3166" s="569">
        <v>2</v>
      </c>
      <c r="P3166" s="569" t="s">
        <v>5405</v>
      </c>
      <c r="Q3166" s="568">
        <v>7600</v>
      </c>
      <c r="R3166" s="569" t="s">
        <v>5531</v>
      </c>
      <c r="S3166" s="569">
        <v>6</v>
      </c>
      <c r="T3166" s="569" t="s">
        <v>5419</v>
      </c>
      <c r="U3166" s="569" t="s">
        <v>5398</v>
      </c>
      <c r="V3166" s="569">
        <v>140</v>
      </c>
      <c r="W3166" s="569">
        <v>26</v>
      </c>
      <c r="X3166" s="568">
        <v>6700</v>
      </c>
      <c r="Y3166" s="569">
        <v>20</v>
      </c>
      <c r="Z3166" s="581" t="s">
        <v>450</v>
      </c>
      <c r="AA3166" s="581" t="s">
        <v>178</v>
      </c>
      <c r="AB3166" s="585">
        <v>36935</v>
      </c>
      <c r="AC3166" s="585" t="s">
        <v>164</v>
      </c>
      <c r="AD3166" s="585">
        <v>23466</v>
      </c>
      <c r="AE3166" s="587">
        <v>6.25E-2</v>
      </c>
      <c r="AF3166" s="661" t="str">
        <f t="shared" si="346"/>
        <v>2019-LTK-RAM-RM15-116-04</v>
      </c>
      <c r="AG3166" s="661" t="str">
        <f>IF(AND($Y3166&gt;=32,(AI3166="I"),(Y3166&lt;&gt;"~"),(COUNTIF($AN$1:$AN3166,$AN3166)=1)),"TRUE","FALSE")</f>
        <v>FALSE</v>
      </c>
      <c r="AH3166" s="661" t="str">
        <f>IF(AND($Y3166&gt;=22, (AI3166&lt;&gt;"I"),(Y3166&lt;&gt;"~"),(COUNTIF($AN$1:$AN3166,$AN3166)=1)),"TRUE","FALSE")</f>
        <v>FALSE</v>
      </c>
      <c r="AI3166" s="661" t="str">
        <f t="shared" si="348"/>
        <v>II</v>
      </c>
      <c r="AJ3166" s="662" t="str">
        <f t="shared" si="342"/>
        <v>RM15-116</v>
      </c>
      <c r="AK3166" s="662" t="str">
        <f t="shared" si="343"/>
        <v>LTK</v>
      </c>
      <c r="AL3166" s="662" t="str">
        <f t="shared" si="344"/>
        <v>RAM</v>
      </c>
      <c r="AM3166" s="662" t="str">
        <f t="shared" si="347"/>
        <v>Ram 1500 Classic-SLT Quad Cab-2WD-6-6'4"-7600-3.6L V6/3.55 axle-6-DS1H41-22G-140-26-E85-Unleaded</v>
      </c>
      <c r="AN3166" s="662" t="str">
        <f t="shared" si="345"/>
        <v>2019-LTK-RAM-RM15-116</v>
      </c>
    </row>
    <row r="3167" spans="1:40" ht="15">
      <c r="A3167" s="570" t="s">
        <v>5538</v>
      </c>
      <c r="B3167" s="573" t="s">
        <v>5539</v>
      </c>
      <c r="C3167" s="573" t="s">
        <v>226</v>
      </c>
      <c r="D3167" s="578" t="s">
        <v>227</v>
      </c>
      <c r="E3167" s="573" t="s">
        <v>3374</v>
      </c>
      <c r="F3167" s="573" t="s">
        <v>152</v>
      </c>
      <c r="G3167" s="573" t="s">
        <v>3265</v>
      </c>
      <c r="H3167" s="573">
        <v>2019</v>
      </c>
      <c r="I3167" s="573" t="s">
        <v>5502</v>
      </c>
      <c r="J3167" s="573" t="s">
        <v>5418</v>
      </c>
      <c r="K3167" s="573" t="s">
        <v>752</v>
      </c>
      <c r="L3167" s="573">
        <v>6</v>
      </c>
      <c r="M3167" s="573">
        <v>0</v>
      </c>
      <c r="N3167" s="573" t="s">
        <v>157</v>
      </c>
      <c r="O3167" s="573">
        <v>2</v>
      </c>
      <c r="P3167" s="573" t="s">
        <v>5405</v>
      </c>
      <c r="Q3167" s="571">
        <v>4430</v>
      </c>
      <c r="R3167" s="573" t="s">
        <v>5503</v>
      </c>
      <c r="S3167" s="573">
        <v>6</v>
      </c>
      <c r="T3167" s="573" t="s">
        <v>5424</v>
      </c>
      <c r="U3167" s="573" t="s">
        <v>5398</v>
      </c>
      <c r="V3167" s="573">
        <v>140</v>
      </c>
      <c r="W3167" s="573">
        <v>26</v>
      </c>
      <c r="X3167" s="571">
        <v>6800</v>
      </c>
      <c r="Y3167" s="573">
        <v>19</v>
      </c>
      <c r="Z3167" s="579" t="s">
        <v>450</v>
      </c>
      <c r="AA3167" s="579" t="s">
        <v>178</v>
      </c>
      <c r="AB3167" s="584">
        <v>40540</v>
      </c>
      <c r="AC3167" s="584" t="s">
        <v>164</v>
      </c>
      <c r="AD3167" s="584">
        <v>26582</v>
      </c>
      <c r="AE3167" s="586">
        <v>6.25E-2</v>
      </c>
      <c r="AF3167" s="661" t="str">
        <f t="shared" si="346"/>
        <v>2019-LTK-RAM-RM15-119-04</v>
      </c>
      <c r="AG3167" s="661" t="str">
        <f>IF(AND($Y3167&gt;=32,(AI3167="I"),(Y3167&lt;&gt;"~"),(COUNTIF($AN$1:$AN3167,$AN3167)=1)),"TRUE","FALSE")</f>
        <v>FALSE</v>
      </c>
      <c r="AH3167" s="661" t="str">
        <f>IF(AND($Y3167&gt;=22, (AI3167&lt;&gt;"I"),(Y3167&lt;&gt;"~"),(COUNTIF($AN$1:$AN3167,$AN3167)=1)),"TRUE","FALSE")</f>
        <v>FALSE</v>
      </c>
      <c r="AI3167" s="661" t="str">
        <f t="shared" si="348"/>
        <v>II</v>
      </c>
      <c r="AJ3167" s="662" t="str">
        <f t="shared" si="342"/>
        <v>RM15-119</v>
      </c>
      <c r="AK3167" s="662" t="str">
        <f t="shared" si="343"/>
        <v>LTK</v>
      </c>
      <c r="AL3167" s="662" t="str">
        <f t="shared" si="344"/>
        <v>RAM</v>
      </c>
      <c r="AM3167" s="662" t="str">
        <f t="shared" si="347"/>
        <v>Ram 1500 Classic-SLT Quad Cab-4WD-6-6'4"-4430-3.6L V6/3.21 axle-6-DS6H41-22G-140-26-E85-Unleaded</v>
      </c>
      <c r="AN3167" s="662" t="str">
        <f t="shared" si="345"/>
        <v>2019-LTK-RAM-RM15-119</v>
      </c>
    </row>
    <row r="3168" spans="1:40" ht="15">
      <c r="A3168" s="570" t="s">
        <v>5540</v>
      </c>
      <c r="B3168" s="569" t="s">
        <v>5541</v>
      </c>
      <c r="C3168" s="569" t="s">
        <v>226</v>
      </c>
      <c r="D3168" s="580" t="s">
        <v>227</v>
      </c>
      <c r="E3168" s="569" t="s">
        <v>3374</v>
      </c>
      <c r="F3168" s="569" t="s">
        <v>152</v>
      </c>
      <c r="G3168" s="569" t="s">
        <v>3265</v>
      </c>
      <c r="H3168" s="569">
        <v>2019</v>
      </c>
      <c r="I3168" s="569" t="s">
        <v>5502</v>
      </c>
      <c r="J3168" s="569" t="s">
        <v>5418</v>
      </c>
      <c r="K3168" s="569" t="s">
        <v>752</v>
      </c>
      <c r="L3168" s="569">
        <v>6</v>
      </c>
      <c r="M3168" s="569">
        <v>0</v>
      </c>
      <c r="N3168" s="569" t="s">
        <v>157</v>
      </c>
      <c r="O3168" s="569">
        <v>2</v>
      </c>
      <c r="P3168" s="569" t="s">
        <v>5405</v>
      </c>
      <c r="Q3168" s="568">
        <v>8040</v>
      </c>
      <c r="R3168" s="569" t="s">
        <v>5542</v>
      </c>
      <c r="S3168" s="569">
        <v>8</v>
      </c>
      <c r="T3168" s="569" t="s">
        <v>5424</v>
      </c>
      <c r="U3168" s="569" t="s">
        <v>5402</v>
      </c>
      <c r="V3168" s="569">
        <v>140</v>
      </c>
      <c r="W3168" s="569">
        <v>26</v>
      </c>
      <c r="X3168" s="568">
        <v>6800</v>
      </c>
      <c r="Y3168" s="569">
        <v>17</v>
      </c>
      <c r="Z3168" s="581" t="s">
        <v>178</v>
      </c>
      <c r="AA3168" s="581" t="s">
        <v>178</v>
      </c>
      <c r="AB3168" s="585">
        <v>42490</v>
      </c>
      <c r="AC3168" s="585" t="s">
        <v>164</v>
      </c>
      <c r="AD3168" s="585">
        <v>28315</v>
      </c>
      <c r="AE3168" s="587">
        <v>6.25E-2</v>
      </c>
      <c r="AF3168" s="661" t="str">
        <f t="shared" si="346"/>
        <v>2019-LTK-RAM-RM15-121-04</v>
      </c>
      <c r="AG3168" s="661" t="str">
        <f>IF(AND($Y3168&gt;=32,(AI3168="I"),(Y3168&lt;&gt;"~"),(COUNTIF($AN$1:$AN3168,$AN3168)=1)),"TRUE","FALSE")</f>
        <v>FALSE</v>
      </c>
      <c r="AH3168" s="661" t="str">
        <f>IF(AND($Y3168&gt;=22, (AI3168&lt;&gt;"I"),(Y3168&lt;&gt;"~"),(COUNTIF($AN$1:$AN3168,$AN3168)=1)),"TRUE","FALSE")</f>
        <v>FALSE</v>
      </c>
      <c r="AI3168" s="661" t="str">
        <f t="shared" si="348"/>
        <v>II</v>
      </c>
      <c r="AJ3168" s="662" t="str">
        <f t="shared" si="342"/>
        <v>RM15-121</v>
      </c>
      <c r="AK3168" s="662" t="str">
        <f t="shared" si="343"/>
        <v>LTK</v>
      </c>
      <c r="AL3168" s="662" t="str">
        <f t="shared" si="344"/>
        <v>RAM</v>
      </c>
      <c r="AM3168" s="662" t="str">
        <f t="shared" si="347"/>
        <v>Ram 1500 Classic-SLT Quad Cab-4WD-6-6'4"-8040-5.7L V8/3.21 axle-8-DS6H41-27G-140-26-Unleaded-Unleaded</v>
      </c>
      <c r="AN3168" s="662" t="str">
        <f t="shared" si="345"/>
        <v>2019-LTK-RAM-RM15-121</v>
      </c>
    </row>
    <row r="3169" spans="1:40" ht="15">
      <c r="A3169" s="570" t="s">
        <v>5543</v>
      </c>
      <c r="B3169" s="573" t="s">
        <v>5544</v>
      </c>
      <c r="C3169" s="573" t="s">
        <v>3315</v>
      </c>
      <c r="D3169" s="578" t="s">
        <v>227</v>
      </c>
      <c r="E3169" s="573" t="s">
        <v>3374</v>
      </c>
      <c r="F3169" s="573" t="s">
        <v>152</v>
      </c>
      <c r="G3169" s="573" t="s">
        <v>3265</v>
      </c>
      <c r="H3169" s="573">
        <v>2019</v>
      </c>
      <c r="I3169" s="573" t="s">
        <v>5502</v>
      </c>
      <c r="J3169" s="573" t="s">
        <v>5418</v>
      </c>
      <c r="K3169" s="573" t="s">
        <v>752</v>
      </c>
      <c r="L3169" s="573">
        <v>6</v>
      </c>
      <c r="M3169" s="573">
        <v>0</v>
      </c>
      <c r="N3169" s="573" t="s">
        <v>157</v>
      </c>
      <c r="O3169" s="573">
        <v>2</v>
      </c>
      <c r="P3169" s="573" t="s">
        <v>5405</v>
      </c>
      <c r="Q3169" s="571">
        <v>10150</v>
      </c>
      <c r="R3169" s="573" t="s">
        <v>5545</v>
      </c>
      <c r="S3169" s="573">
        <v>8</v>
      </c>
      <c r="T3169" s="573" t="s">
        <v>5424</v>
      </c>
      <c r="U3169" s="573" t="s">
        <v>5402</v>
      </c>
      <c r="V3169" s="573">
        <v>140</v>
      </c>
      <c r="W3169" s="573">
        <v>26</v>
      </c>
      <c r="X3169" s="571">
        <v>6800</v>
      </c>
      <c r="Y3169" s="573">
        <v>19</v>
      </c>
      <c r="Z3169" s="579" t="s">
        <v>178</v>
      </c>
      <c r="AA3169" s="579" t="s">
        <v>178</v>
      </c>
      <c r="AB3169" s="584">
        <v>42585</v>
      </c>
      <c r="AC3169" s="584" t="s">
        <v>164</v>
      </c>
      <c r="AD3169" s="584">
        <v>28410</v>
      </c>
      <c r="AE3169" s="586">
        <v>6.25E-2</v>
      </c>
      <c r="AF3169" s="661" t="str">
        <f t="shared" si="346"/>
        <v>2019-LTK-RAM-RM15-118-04</v>
      </c>
      <c r="AG3169" s="661" t="str">
        <f>IF(AND($Y3169&gt;=32,(AI3169="I"),(Y3169&lt;&gt;"~"),(COUNTIF($AN$1:$AN3169,$AN3169)=1)),"TRUE","FALSE")</f>
        <v>FALSE</v>
      </c>
      <c r="AH3169" s="661" t="str">
        <f>IF(AND($Y3169&gt;=22, (AI3169&lt;&gt;"I"),(Y3169&lt;&gt;"~"),(COUNTIF($AN$1:$AN3169,$AN3169)=1)),"TRUE","FALSE")</f>
        <v>FALSE</v>
      </c>
      <c r="AI3169" s="661" t="str">
        <f t="shared" si="348"/>
        <v>II</v>
      </c>
      <c r="AJ3169" s="662" t="str">
        <f t="shared" si="342"/>
        <v>RM15-118</v>
      </c>
      <c r="AK3169" s="662" t="str">
        <f t="shared" si="343"/>
        <v>LTK</v>
      </c>
      <c r="AL3169" s="662" t="str">
        <f t="shared" si="344"/>
        <v>RAM</v>
      </c>
      <c r="AM3169" s="662" t="str">
        <f t="shared" si="347"/>
        <v>Ram 1500 Classic-SLT Quad Cab-4WD-6-6'4"-10150-5.7L V8/3.92 axle-8-DS6H41-27G-140-26-Unleaded-Unleaded</v>
      </c>
      <c r="AN3169" s="662" t="str">
        <f t="shared" si="345"/>
        <v>2019-LTK-RAM-RM15-118</v>
      </c>
    </row>
    <row r="3170" spans="1:40" ht="15">
      <c r="A3170" s="570" t="s">
        <v>5546</v>
      </c>
      <c r="B3170" s="569" t="s">
        <v>5547</v>
      </c>
      <c r="C3170" s="569" t="s">
        <v>3315</v>
      </c>
      <c r="D3170" s="580" t="s">
        <v>227</v>
      </c>
      <c r="E3170" s="569" t="s">
        <v>3374</v>
      </c>
      <c r="F3170" s="569" t="s">
        <v>152</v>
      </c>
      <c r="G3170" s="569" t="s">
        <v>3265</v>
      </c>
      <c r="H3170" s="569">
        <v>2019</v>
      </c>
      <c r="I3170" s="569" t="s">
        <v>5502</v>
      </c>
      <c r="J3170" s="569" t="s">
        <v>5418</v>
      </c>
      <c r="K3170" s="569" t="s">
        <v>752</v>
      </c>
      <c r="L3170" s="569">
        <v>6</v>
      </c>
      <c r="M3170" s="569">
        <v>0</v>
      </c>
      <c r="N3170" s="569" t="s">
        <v>157</v>
      </c>
      <c r="O3170" s="569">
        <v>2</v>
      </c>
      <c r="P3170" s="569" t="s">
        <v>5405</v>
      </c>
      <c r="Q3170" s="568">
        <v>7430</v>
      </c>
      <c r="R3170" s="569" t="s">
        <v>5531</v>
      </c>
      <c r="S3170" s="569">
        <v>6</v>
      </c>
      <c r="T3170" s="569" t="s">
        <v>5424</v>
      </c>
      <c r="U3170" s="569" t="s">
        <v>5398</v>
      </c>
      <c r="V3170" s="569">
        <v>140</v>
      </c>
      <c r="W3170" s="569">
        <v>26</v>
      </c>
      <c r="X3170" s="568">
        <v>6800</v>
      </c>
      <c r="Y3170" s="569">
        <v>19</v>
      </c>
      <c r="Z3170" s="581" t="s">
        <v>450</v>
      </c>
      <c r="AA3170" s="581" t="s">
        <v>178</v>
      </c>
      <c r="AB3170" s="585">
        <v>40635</v>
      </c>
      <c r="AC3170" s="585" t="s">
        <v>164</v>
      </c>
      <c r="AD3170" s="585">
        <v>26677</v>
      </c>
      <c r="AE3170" s="587">
        <v>6.25E-2</v>
      </c>
      <c r="AF3170" s="661" t="str">
        <f t="shared" si="346"/>
        <v>2019-LTK-RAM-RM15-120-04</v>
      </c>
      <c r="AG3170" s="661" t="str">
        <f>IF(AND($Y3170&gt;=32,(AI3170="I"),(Y3170&lt;&gt;"~"),(COUNTIF($AN$1:$AN3170,$AN3170)=1)),"TRUE","FALSE")</f>
        <v>FALSE</v>
      </c>
      <c r="AH3170" s="661" t="str">
        <f>IF(AND($Y3170&gt;=22, (AI3170&lt;&gt;"I"),(Y3170&lt;&gt;"~"),(COUNTIF($AN$1:$AN3170,$AN3170)=1)),"TRUE","FALSE")</f>
        <v>FALSE</v>
      </c>
      <c r="AI3170" s="661" t="str">
        <f t="shared" si="348"/>
        <v>II</v>
      </c>
      <c r="AJ3170" s="662" t="str">
        <f t="shared" si="342"/>
        <v>RM15-120</v>
      </c>
      <c r="AK3170" s="662" t="str">
        <f t="shared" si="343"/>
        <v>LTK</v>
      </c>
      <c r="AL3170" s="662" t="str">
        <f t="shared" si="344"/>
        <v>RAM</v>
      </c>
      <c r="AM3170" s="662" t="str">
        <f t="shared" si="347"/>
        <v>Ram 1500 Classic-SLT Quad Cab-4WD-6-6'4"-7430-3.6L V6/3.55 axle-6-DS6H41-22G-140-26-E85-Unleaded</v>
      </c>
      <c r="AN3170" s="662" t="str">
        <f t="shared" si="345"/>
        <v>2019-LTK-RAM-RM15-120</v>
      </c>
    </row>
    <row r="3171" spans="1:40" ht="15">
      <c r="A3171" s="570" t="s">
        <v>5548</v>
      </c>
      <c r="B3171" s="573" t="s">
        <v>5549</v>
      </c>
      <c r="C3171" s="573" t="s">
        <v>226</v>
      </c>
      <c r="D3171" s="578" t="s">
        <v>227</v>
      </c>
      <c r="E3171" s="573" t="s">
        <v>3374</v>
      </c>
      <c r="F3171" s="573" t="s">
        <v>152</v>
      </c>
      <c r="G3171" s="573" t="s">
        <v>3265</v>
      </c>
      <c r="H3171" s="573">
        <v>2019</v>
      </c>
      <c r="I3171" s="573" t="s">
        <v>5502</v>
      </c>
      <c r="J3171" s="573" t="s">
        <v>5429</v>
      </c>
      <c r="K3171" s="573" t="s">
        <v>3377</v>
      </c>
      <c r="L3171" s="573">
        <v>3</v>
      </c>
      <c r="M3171" s="573">
        <v>0</v>
      </c>
      <c r="N3171" s="573" t="s">
        <v>157</v>
      </c>
      <c r="O3171" s="573">
        <v>1</v>
      </c>
      <c r="P3171" s="573" t="s">
        <v>5405</v>
      </c>
      <c r="Q3171" s="571">
        <v>4940</v>
      </c>
      <c r="R3171" s="573" t="s">
        <v>5503</v>
      </c>
      <c r="S3171" s="573">
        <v>6</v>
      </c>
      <c r="T3171" s="573" t="s">
        <v>5430</v>
      </c>
      <c r="U3171" s="573" t="s">
        <v>5398</v>
      </c>
      <c r="V3171" s="573">
        <v>120</v>
      </c>
      <c r="W3171" s="573">
        <v>26</v>
      </c>
      <c r="X3171" s="571">
        <v>6025</v>
      </c>
      <c r="Y3171" s="573">
        <v>20</v>
      </c>
      <c r="Z3171" s="579" t="s">
        <v>450</v>
      </c>
      <c r="AA3171" s="579" t="s">
        <v>178</v>
      </c>
      <c r="AB3171" s="584">
        <v>33090</v>
      </c>
      <c r="AC3171" s="584" t="s">
        <v>164</v>
      </c>
      <c r="AD3171" s="584">
        <v>23549</v>
      </c>
      <c r="AE3171" s="586">
        <v>6.25E-2</v>
      </c>
      <c r="AF3171" s="661" t="str">
        <f t="shared" si="346"/>
        <v>2019-LTK-RAM-RM15-122-04</v>
      </c>
      <c r="AG3171" s="661" t="str">
        <f>IF(AND($Y3171&gt;=32,(AI3171="I"),(Y3171&lt;&gt;"~"),(COUNTIF($AN$1:$AN3171,$AN3171)=1)),"TRUE","FALSE")</f>
        <v>FALSE</v>
      </c>
      <c r="AH3171" s="661" t="str">
        <f>IF(AND($Y3171&gt;=22, (AI3171&lt;&gt;"I"),(Y3171&lt;&gt;"~"),(COUNTIF($AN$1:$AN3171,$AN3171)=1)),"TRUE","FALSE")</f>
        <v>FALSE</v>
      </c>
      <c r="AI3171" s="661" t="str">
        <f t="shared" si="348"/>
        <v>II</v>
      </c>
      <c r="AJ3171" s="662" t="str">
        <f t="shared" si="342"/>
        <v>RM15-122</v>
      </c>
      <c r="AK3171" s="662" t="str">
        <f t="shared" si="343"/>
        <v>LTK</v>
      </c>
      <c r="AL3171" s="662" t="str">
        <f t="shared" si="344"/>
        <v>RAM</v>
      </c>
      <c r="AM3171" s="662" t="str">
        <f t="shared" si="347"/>
        <v>Ram 1500 Classic-SLT Regular Cab-2WD-3-6'4"-4940-3.6L V6/3.21 axle-6-DS1H61-22G-120-26-E85-Unleaded</v>
      </c>
      <c r="AN3171" s="662" t="str">
        <f t="shared" si="345"/>
        <v>2019-LTK-RAM-RM15-122</v>
      </c>
    </row>
    <row r="3172" spans="1:40" ht="15">
      <c r="A3172" s="570" t="s">
        <v>5550</v>
      </c>
      <c r="B3172" s="569" t="s">
        <v>5551</v>
      </c>
      <c r="C3172" s="569" t="s">
        <v>226</v>
      </c>
      <c r="D3172" s="580" t="s">
        <v>227</v>
      </c>
      <c r="E3172" s="569" t="s">
        <v>3374</v>
      </c>
      <c r="F3172" s="569" t="s">
        <v>152</v>
      </c>
      <c r="G3172" s="569" t="s">
        <v>3265</v>
      </c>
      <c r="H3172" s="569">
        <v>2019</v>
      </c>
      <c r="I3172" s="569" t="s">
        <v>5502</v>
      </c>
      <c r="J3172" s="569" t="s">
        <v>5429</v>
      </c>
      <c r="K3172" s="569" t="s">
        <v>3377</v>
      </c>
      <c r="L3172" s="569">
        <v>3</v>
      </c>
      <c r="M3172" s="569">
        <v>0</v>
      </c>
      <c r="N3172" s="569" t="s">
        <v>157</v>
      </c>
      <c r="O3172" s="569">
        <v>1</v>
      </c>
      <c r="P3172" s="569" t="s">
        <v>5405</v>
      </c>
      <c r="Q3172" s="568">
        <v>8660</v>
      </c>
      <c r="R3172" s="569" t="s">
        <v>5509</v>
      </c>
      <c r="S3172" s="569">
        <v>8</v>
      </c>
      <c r="T3172" s="569" t="s">
        <v>5430</v>
      </c>
      <c r="U3172" s="569" t="s">
        <v>5402</v>
      </c>
      <c r="V3172" s="569">
        <v>120</v>
      </c>
      <c r="W3172" s="569">
        <v>26</v>
      </c>
      <c r="X3172" s="568">
        <v>6350</v>
      </c>
      <c r="Y3172" s="569">
        <v>16</v>
      </c>
      <c r="Z3172" s="581" t="s">
        <v>178</v>
      </c>
      <c r="AA3172" s="581" t="s">
        <v>178</v>
      </c>
      <c r="AB3172" s="585">
        <v>35040</v>
      </c>
      <c r="AC3172" s="585" t="s">
        <v>164</v>
      </c>
      <c r="AD3172" s="585">
        <v>24273</v>
      </c>
      <c r="AE3172" s="587">
        <v>6.25E-2</v>
      </c>
      <c r="AF3172" s="661" t="str">
        <f t="shared" si="346"/>
        <v>2019-LTK-RAM-RM15-124-04</v>
      </c>
      <c r="AG3172" s="661" t="str">
        <f>IF(AND($Y3172&gt;=32,(AI3172="I"),(Y3172&lt;&gt;"~"),(COUNTIF($AN$1:$AN3172,$AN3172)=1)),"TRUE","FALSE")</f>
        <v>FALSE</v>
      </c>
      <c r="AH3172" s="661" t="str">
        <f>IF(AND($Y3172&gt;=22, (AI3172&lt;&gt;"I"),(Y3172&lt;&gt;"~"),(COUNTIF($AN$1:$AN3172,$AN3172)=1)),"TRUE","FALSE")</f>
        <v>FALSE</v>
      </c>
      <c r="AI3172" s="661" t="str">
        <f t="shared" si="348"/>
        <v>II</v>
      </c>
      <c r="AJ3172" s="662" t="str">
        <f t="shared" si="342"/>
        <v>RM15-124</v>
      </c>
      <c r="AK3172" s="662" t="str">
        <f t="shared" si="343"/>
        <v>LTK</v>
      </c>
      <c r="AL3172" s="662" t="str">
        <f t="shared" si="344"/>
        <v>RAM</v>
      </c>
      <c r="AM3172" s="662" t="str">
        <f t="shared" si="347"/>
        <v>Ram 1500 Classic-SLT Regular Cab-2WD-3-6'4"-8660-5.7L Hemi/3.21 axle-8-DS1H61-27G-120-26-Unleaded-Unleaded</v>
      </c>
      <c r="AN3172" s="662" t="str">
        <f t="shared" si="345"/>
        <v>2019-LTK-RAM-RM15-124</v>
      </c>
    </row>
    <row r="3173" spans="1:40" ht="15">
      <c r="A3173" s="570" t="s">
        <v>5552</v>
      </c>
      <c r="B3173" s="573" t="s">
        <v>5553</v>
      </c>
      <c r="C3173" s="573" t="s">
        <v>226</v>
      </c>
      <c r="D3173" s="578" t="s">
        <v>227</v>
      </c>
      <c r="E3173" s="573" t="s">
        <v>3374</v>
      </c>
      <c r="F3173" s="573" t="s">
        <v>152</v>
      </c>
      <c r="G3173" s="573" t="s">
        <v>3265</v>
      </c>
      <c r="H3173" s="573">
        <v>2019</v>
      </c>
      <c r="I3173" s="573" t="s">
        <v>5502</v>
      </c>
      <c r="J3173" s="573" t="s">
        <v>5429</v>
      </c>
      <c r="K3173" s="573" t="s">
        <v>3377</v>
      </c>
      <c r="L3173" s="573">
        <v>3</v>
      </c>
      <c r="M3173" s="573">
        <v>0</v>
      </c>
      <c r="N3173" s="573" t="s">
        <v>157</v>
      </c>
      <c r="O3173" s="573">
        <v>1</v>
      </c>
      <c r="P3173" s="573" t="s">
        <v>3846</v>
      </c>
      <c r="Q3173" s="571">
        <v>4770</v>
      </c>
      <c r="R3173" s="573" t="s">
        <v>5503</v>
      </c>
      <c r="S3173" s="573">
        <v>6</v>
      </c>
      <c r="T3173" s="573" t="s">
        <v>5435</v>
      </c>
      <c r="U3173" s="573" t="s">
        <v>5398</v>
      </c>
      <c r="V3173" s="573">
        <v>140</v>
      </c>
      <c r="W3173" s="573">
        <v>32</v>
      </c>
      <c r="X3173" s="571">
        <v>6600</v>
      </c>
      <c r="Y3173" s="573">
        <v>20</v>
      </c>
      <c r="Z3173" s="579" t="s">
        <v>450</v>
      </c>
      <c r="AA3173" s="579" t="s">
        <v>178</v>
      </c>
      <c r="AB3173" s="584">
        <v>33390</v>
      </c>
      <c r="AC3173" s="584" t="s">
        <v>164</v>
      </c>
      <c r="AD3173" s="584">
        <v>23810</v>
      </c>
      <c r="AE3173" s="586">
        <v>6.25E-2</v>
      </c>
      <c r="AF3173" s="661" t="str">
        <f t="shared" si="346"/>
        <v>2019-LTK-RAM-RM15-126-04</v>
      </c>
      <c r="AG3173" s="661" t="str">
        <f>IF(AND($Y3173&gt;=32,(AI3173="I"),(Y3173&lt;&gt;"~"),(COUNTIF($AN$1:$AN3173,$AN3173)=1)),"TRUE","FALSE")</f>
        <v>FALSE</v>
      </c>
      <c r="AH3173" s="661" t="str">
        <f>IF(AND($Y3173&gt;=22, (AI3173&lt;&gt;"I"),(Y3173&lt;&gt;"~"),(COUNTIF($AN$1:$AN3173,$AN3173)=1)),"TRUE","FALSE")</f>
        <v>FALSE</v>
      </c>
      <c r="AI3173" s="661" t="str">
        <f t="shared" si="348"/>
        <v>II</v>
      </c>
      <c r="AJ3173" s="662" t="str">
        <f t="shared" si="342"/>
        <v>RM15-126</v>
      </c>
      <c r="AK3173" s="662" t="str">
        <f t="shared" si="343"/>
        <v>LTK</v>
      </c>
      <c r="AL3173" s="662" t="str">
        <f t="shared" si="344"/>
        <v>RAM</v>
      </c>
      <c r="AM3173" s="662" t="str">
        <f t="shared" si="347"/>
        <v>Ram 1500 Classic-SLT Regular Cab-2WD-3-8'-4770-3.6L V6/3.21 axle-6-DS1H62-22G-140-32-E85-Unleaded</v>
      </c>
      <c r="AN3173" s="662" t="str">
        <f t="shared" si="345"/>
        <v>2019-LTK-RAM-RM15-126</v>
      </c>
    </row>
    <row r="3174" spans="1:40" ht="15">
      <c r="A3174" s="570" t="s">
        <v>5554</v>
      </c>
      <c r="B3174" s="569" t="s">
        <v>5555</v>
      </c>
      <c r="C3174" s="569" t="s">
        <v>226</v>
      </c>
      <c r="D3174" s="580" t="s">
        <v>227</v>
      </c>
      <c r="E3174" s="569" t="s">
        <v>3374</v>
      </c>
      <c r="F3174" s="569" t="s">
        <v>152</v>
      </c>
      <c r="G3174" s="569" t="s">
        <v>3265</v>
      </c>
      <c r="H3174" s="569">
        <v>2019</v>
      </c>
      <c r="I3174" s="569" t="s">
        <v>5502</v>
      </c>
      <c r="J3174" s="569" t="s">
        <v>5429</v>
      </c>
      <c r="K3174" s="569" t="s">
        <v>3377</v>
      </c>
      <c r="L3174" s="569">
        <v>3</v>
      </c>
      <c r="M3174" s="569">
        <v>0</v>
      </c>
      <c r="N3174" s="569" t="s">
        <v>157</v>
      </c>
      <c r="O3174" s="569">
        <v>1</v>
      </c>
      <c r="P3174" s="569" t="s">
        <v>3846</v>
      </c>
      <c r="Q3174" s="568">
        <v>8450</v>
      </c>
      <c r="R3174" s="569" t="s">
        <v>5509</v>
      </c>
      <c r="S3174" s="569">
        <v>8</v>
      </c>
      <c r="T3174" s="569" t="s">
        <v>5435</v>
      </c>
      <c r="U3174" s="569" t="s">
        <v>5402</v>
      </c>
      <c r="V3174" s="569">
        <v>140</v>
      </c>
      <c r="W3174" s="569">
        <v>32</v>
      </c>
      <c r="X3174" s="568">
        <v>6600</v>
      </c>
      <c r="Y3174" s="569">
        <v>17</v>
      </c>
      <c r="Z3174" s="581" t="s">
        <v>178</v>
      </c>
      <c r="AA3174" s="581" t="s">
        <v>178</v>
      </c>
      <c r="AB3174" s="585">
        <v>35340</v>
      </c>
      <c r="AC3174" s="585" t="s">
        <v>164</v>
      </c>
      <c r="AD3174" s="585">
        <v>24534</v>
      </c>
      <c r="AE3174" s="587">
        <v>6.25E-2</v>
      </c>
      <c r="AF3174" s="661" t="str">
        <f t="shared" si="346"/>
        <v>2019-LTK-RAM-RM15-128-04</v>
      </c>
      <c r="AG3174" s="661" t="str">
        <f>IF(AND($Y3174&gt;=32,(AI3174="I"),(Y3174&lt;&gt;"~"),(COUNTIF($AN$1:$AN3174,$AN3174)=1)),"TRUE","FALSE")</f>
        <v>FALSE</v>
      </c>
      <c r="AH3174" s="661" t="str">
        <f>IF(AND($Y3174&gt;=22, (AI3174&lt;&gt;"I"),(Y3174&lt;&gt;"~"),(COUNTIF($AN$1:$AN3174,$AN3174)=1)),"TRUE","FALSE")</f>
        <v>FALSE</v>
      </c>
      <c r="AI3174" s="661" t="str">
        <f t="shared" si="348"/>
        <v>II</v>
      </c>
      <c r="AJ3174" s="662" t="str">
        <f t="shared" si="342"/>
        <v>RM15-128</v>
      </c>
      <c r="AK3174" s="662" t="str">
        <f t="shared" si="343"/>
        <v>LTK</v>
      </c>
      <c r="AL3174" s="662" t="str">
        <f t="shared" si="344"/>
        <v>RAM</v>
      </c>
      <c r="AM3174" s="662" t="str">
        <f t="shared" si="347"/>
        <v>Ram 1500 Classic-SLT Regular Cab-2WD-3-8'-8450-5.7L Hemi/3.21 axle-8-DS1H62-27G-140-32-Unleaded-Unleaded</v>
      </c>
      <c r="AN3174" s="662" t="str">
        <f t="shared" si="345"/>
        <v>2019-LTK-RAM-RM15-128</v>
      </c>
    </row>
    <row r="3175" spans="1:40" ht="15">
      <c r="A3175" s="570" t="s">
        <v>5556</v>
      </c>
      <c r="B3175" s="573" t="s">
        <v>5557</v>
      </c>
      <c r="C3175" s="573" t="s">
        <v>3315</v>
      </c>
      <c r="D3175" s="578" t="s">
        <v>227</v>
      </c>
      <c r="E3175" s="573" t="s">
        <v>3374</v>
      </c>
      <c r="F3175" s="573" t="s">
        <v>152</v>
      </c>
      <c r="G3175" s="573" t="s">
        <v>3265</v>
      </c>
      <c r="H3175" s="573">
        <v>2019</v>
      </c>
      <c r="I3175" s="573" t="s">
        <v>5502</v>
      </c>
      <c r="J3175" s="573" t="s">
        <v>5429</v>
      </c>
      <c r="K3175" s="573" t="s">
        <v>3377</v>
      </c>
      <c r="L3175" s="573">
        <v>3</v>
      </c>
      <c r="M3175" s="573">
        <v>0</v>
      </c>
      <c r="N3175" s="573" t="s">
        <v>157</v>
      </c>
      <c r="O3175" s="573">
        <v>1</v>
      </c>
      <c r="P3175" s="573" t="s">
        <v>5405</v>
      </c>
      <c r="Q3175" s="571">
        <v>7240</v>
      </c>
      <c r="R3175" s="573" t="s">
        <v>5531</v>
      </c>
      <c r="S3175" s="573">
        <v>6</v>
      </c>
      <c r="T3175" s="573" t="s">
        <v>5430</v>
      </c>
      <c r="U3175" s="573" t="s">
        <v>5398</v>
      </c>
      <c r="V3175" s="573">
        <v>120</v>
      </c>
      <c r="W3175" s="573">
        <v>26</v>
      </c>
      <c r="X3175" s="571">
        <v>6025</v>
      </c>
      <c r="Y3175" s="573">
        <v>20</v>
      </c>
      <c r="Z3175" s="579" t="s">
        <v>450</v>
      </c>
      <c r="AA3175" s="579" t="s">
        <v>178</v>
      </c>
      <c r="AB3175" s="584">
        <v>33185</v>
      </c>
      <c r="AC3175" s="584" t="s">
        <v>164</v>
      </c>
      <c r="AD3175" s="584">
        <v>23644</v>
      </c>
      <c r="AE3175" s="586">
        <v>6.25E-2</v>
      </c>
      <c r="AF3175" s="661" t="str">
        <f t="shared" si="346"/>
        <v>2019-LTK-RAM-RM15-123-04</v>
      </c>
      <c r="AG3175" s="661" t="str">
        <f>IF(AND($Y3175&gt;=32,(AI3175="I"),(Y3175&lt;&gt;"~"),(COUNTIF($AN$1:$AN3175,$AN3175)=1)),"TRUE","FALSE")</f>
        <v>FALSE</v>
      </c>
      <c r="AH3175" s="661" t="str">
        <f>IF(AND($Y3175&gt;=22, (AI3175&lt;&gt;"I"),(Y3175&lt;&gt;"~"),(COUNTIF($AN$1:$AN3175,$AN3175)=1)),"TRUE","FALSE")</f>
        <v>FALSE</v>
      </c>
      <c r="AI3175" s="661" t="str">
        <f t="shared" si="348"/>
        <v>II</v>
      </c>
      <c r="AJ3175" s="662" t="str">
        <f t="shared" si="342"/>
        <v>RM15-123</v>
      </c>
      <c r="AK3175" s="662" t="str">
        <f t="shared" si="343"/>
        <v>LTK</v>
      </c>
      <c r="AL3175" s="662" t="str">
        <f t="shared" si="344"/>
        <v>RAM</v>
      </c>
      <c r="AM3175" s="662" t="str">
        <f t="shared" si="347"/>
        <v>Ram 1500 Classic-SLT Regular Cab-2WD-3-6'4"-7240-3.6L V6/3.55 axle-6-DS1H61-22G-120-26-E85-Unleaded</v>
      </c>
      <c r="AN3175" s="662" t="str">
        <f t="shared" si="345"/>
        <v>2019-LTK-RAM-RM15-123</v>
      </c>
    </row>
    <row r="3176" spans="1:40" ht="15">
      <c r="A3176" s="570" t="s">
        <v>5558</v>
      </c>
      <c r="B3176" s="569" t="s">
        <v>5559</v>
      </c>
      <c r="C3176" s="569" t="s">
        <v>3315</v>
      </c>
      <c r="D3176" s="580" t="s">
        <v>227</v>
      </c>
      <c r="E3176" s="569" t="s">
        <v>3374</v>
      </c>
      <c r="F3176" s="569" t="s">
        <v>152</v>
      </c>
      <c r="G3176" s="569" t="s">
        <v>3265</v>
      </c>
      <c r="H3176" s="569">
        <v>2019</v>
      </c>
      <c r="I3176" s="569" t="s">
        <v>5502</v>
      </c>
      <c r="J3176" s="569" t="s">
        <v>5429</v>
      </c>
      <c r="K3176" s="569" t="s">
        <v>3377</v>
      </c>
      <c r="L3176" s="569">
        <v>3</v>
      </c>
      <c r="M3176" s="569">
        <v>0</v>
      </c>
      <c r="N3176" s="569" t="s">
        <v>157</v>
      </c>
      <c r="O3176" s="569">
        <v>1</v>
      </c>
      <c r="P3176" s="569" t="s">
        <v>3846</v>
      </c>
      <c r="Q3176" s="568">
        <v>10620</v>
      </c>
      <c r="R3176" s="569" t="s">
        <v>5515</v>
      </c>
      <c r="S3176" s="569">
        <v>8</v>
      </c>
      <c r="T3176" s="569" t="s">
        <v>5435</v>
      </c>
      <c r="U3176" s="569" t="s">
        <v>5516</v>
      </c>
      <c r="V3176" s="569">
        <v>140</v>
      </c>
      <c r="W3176" s="569">
        <v>26</v>
      </c>
      <c r="X3176" s="568">
        <v>6600</v>
      </c>
      <c r="Y3176" s="569">
        <v>16</v>
      </c>
      <c r="Z3176" s="581" t="s">
        <v>178</v>
      </c>
      <c r="AA3176" s="581" t="s">
        <v>178</v>
      </c>
      <c r="AB3176" s="585">
        <v>35435</v>
      </c>
      <c r="AC3176" s="585" t="s">
        <v>164</v>
      </c>
      <c r="AD3176" s="585">
        <v>24629</v>
      </c>
      <c r="AE3176" s="587">
        <v>6.25E-2</v>
      </c>
      <c r="AF3176" s="661" t="str">
        <f t="shared" si="346"/>
        <v>2019-LTK-RAM-RM15-125-04</v>
      </c>
      <c r="AG3176" s="661" t="str">
        <f>IF(AND($Y3176&gt;=32,(AI3176="I"),(Y3176&lt;&gt;"~"),(COUNTIF($AN$1:$AN3176,$AN3176)=1)),"TRUE","FALSE")</f>
        <v>FALSE</v>
      </c>
      <c r="AH3176" s="661" t="str">
        <f>IF(AND($Y3176&gt;=22, (AI3176&lt;&gt;"I"),(Y3176&lt;&gt;"~"),(COUNTIF($AN$1:$AN3176,$AN3176)=1)),"TRUE","FALSE")</f>
        <v>FALSE</v>
      </c>
      <c r="AI3176" s="661" t="str">
        <f t="shared" si="348"/>
        <v>II</v>
      </c>
      <c r="AJ3176" s="662" t="str">
        <f t="shared" si="342"/>
        <v>RM15-125</v>
      </c>
      <c r="AK3176" s="662" t="str">
        <f t="shared" si="343"/>
        <v>LTK</v>
      </c>
      <c r="AL3176" s="662" t="str">
        <f t="shared" si="344"/>
        <v>RAM</v>
      </c>
      <c r="AM3176" s="662" t="str">
        <f t="shared" si="347"/>
        <v>Ram 1500 Classic-SLT Regular Cab-2WD-3-8'-10620-5.7L Hemi/3.92axle-8-DS1H62-26G-140-26-Unleaded-Unleaded</v>
      </c>
      <c r="AN3176" s="662" t="str">
        <f t="shared" si="345"/>
        <v>2019-LTK-RAM-RM15-125</v>
      </c>
    </row>
    <row r="3177" spans="1:40" ht="15">
      <c r="A3177" s="570" t="s">
        <v>5560</v>
      </c>
      <c r="B3177" s="573" t="s">
        <v>5561</v>
      </c>
      <c r="C3177" s="573" t="s">
        <v>3315</v>
      </c>
      <c r="D3177" s="578" t="s">
        <v>227</v>
      </c>
      <c r="E3177" s="573" t="s">
        <v>3374</v>
      </c>
      <c r="F3177" s="573" t="s">
        <v>152</v>
      </c>
      <c r="G3177" s="573" t="s">
        <v>3265</v>
      </c>
      <c r="H3177" s="573">
        <v>2019</v>
      </c>
      <c r="I3177" s="573" t="s">
        <v>5502</v>
      </c>
      <c r="J3177" s="573" t="s">
        <v>5429</v>
      </c>
      <c r="K3177" s="573" t="s">
        <v>3377</v>
      </c>
      <c r="L3177" s="573">
        <v>3</v>
      </c>
      <c r="M3177" s="573">
        <v>0</v>
      </c>
      <c r="N3177" s="573" t="s">
        <v>157</v>
      </c>
      <c r="O3177" s="573">
        <v>1</v>
      </c>
      <c r="P3177" s="573" t="s">
        <v>3846</v>
      </c>
      <c r="Q3177" s="571">
        <v>7260</v>
      </c>
      <c r="R3177" s="573" t="s">
        <v>5531</v>
      </c>
      <c r="S3177" s="573">
        <v>6</v>
      </c>
      <c r="T3177" s="573" t="s">
        <v>5435</v>
      </c>
      <c r="U3177" s="573" t="s">
        <v>5398</v>
      </c>
      <c r="V3177" s="573">
        <v>140</v>
      </c>
      <c r="W3177" s="573">
        <v>26</v>
      </c>
      <c r="X3177" s="571">
        <v>6600</v>
      </c>
      <c r="Y3177" s="573">
        <v>20</v>
      </c>
      <c r="Z3177" s="579" t="s">
        <v>450</v>
      </c>
      <c r="AA3177" s="579" t="s">
        <v>178</v>
      </c>
      <c r="AB3177" s="584">
        <v>33485</v>
      </c>
      <c r="AC3177" s="584" t="s">
        <v>164</v>
      </c>
      <c r="AD3177" s="584">
        <v>23905</v>
      </c>
      <c r="AE3177" s="586">
        <v>6.25E-2</v>
      </c>
      <c r="AF3177" s="661" t="str">
        <f t="shared" si="346"/>
        <v>2019-LTK-RAM-RM15-127-04</v>
      </c>
      <c r="AG3177" s="661" t="str">
        <f>IF(AND($Y3177&gt;=32,(AI3177="I"),(Y3177&lt;&gt;"~"),(COUNTIF($AN$1:$AN3177,$AN3177)=1)),"TRUE","FALSE")</f>
        <v>FALSE</v>
      </c>
      <c r="AH3177" s="661" t="str">
        <f>IF(AND($Y3177&gt;=22, (AI3177&lt;&gt;"I"),(Y3177&lt;&gt;"~"),(COUNTIF($AN$1:$AN3177,$AN3177)=1)),"TRUE","FALSE")</f>
        <v>FALSE</v>
      </c>
      <c r="AI3177" s="661" t="str">
        <f t="shared" si="348"/>
        <v>II</v>
      </c>
      <c r="AJ3177" s="662" t="str">
        <f t="shared" si="342"/>
        <v>RM15-127</v>
      </c>
      <c r="AK3177" s="662" t="str">
        <f t="shared" si="343"/>
        <v>LTK</v>
      </c>
      <c r="AL3177" s="662" t="str">
        <f t="shared" si="344"/>
        <v>RAM</v>
      </c>
      <c r="AM3177" s="662" t="str">
        <f t="shared" si="347"/>
        <v>Ram 1500 Classic-SLT Regular Cab-2WD-3-8'-7260-3.6L V6/3.55 axle-6-DS1H62-22G-140-26-E85-Unleaded</v>
      </c>
      <c r="AN3177" s="662" t="str">
        <f t="shared" si="345"/>
        <v>2019-LTK-RAM-RM15-127</v>
      </c>
    </row>
    <row r="3178" spans="1:40" ht="15">
      <c r="A3178" s="570" t="s">
        <v>5562</v>
      </c>
      <c r="B3178" s="569" t="s">
        <v>5563</v>
      </c>
      <c r="C3178" s="569" t="s">
        <v>226</v>
      </c>
      <c r="D3178" s="580" t="s">
        <v>227</v>
      </c>
      <c r="E3178" s="569" t="s">
        <v>3374</v>
      </c>
      <c r="F3178" s="569" t="s">
        <v>152</v>
      </c>
      <c r="G3178" s="569" t="s">
        <v>3265</v>
      </c>
      <c r="H3178" s="569">
        <v>2019</v>
      </c>
      <c r="I3178" s="569" t="s">
        <v>5502</v>
      </c>
      <c r="J3178" s="569" t="s">
        <v>5429</v>
      </c>
      <c r="K3178" s="569" t="s">
        <v>752</v>
      </c>
      <c r="L3178" s="569">
        <v>3</v>
      </c>
      <c r="M3178" s="569">
        <v>0</v>
      </c>
      <c r="N3178" s="569" t="s">
        <v>157</v>
      </c>
      <c r="O3178" s="569">
        <v>1</v>
      </c>
      <c r="P3178" s="569" t="s">
        <v>5405</v>
      </c>
      <c r="Q3178" s="568">
        <v>4740</v>
      </c>
      <c r="R3178" s="569" t="s">
        <v>5503</v>
      </c>
      <c r="S3178" s="569">
        <v>6</v>
      </c>
      <c r="T3178" s="569" t="s">
        <v>5440</v>
      </c>
      <c r="U3178" s="569" t="s">
        <v>5398</v>
      </c>
      <c r="V3178" s="569">
        <v>120</v>
      </c>
      <c r="W3178" s="569">
        <v>26</v>
      </c>
      <c r="X3178" s="568">
        <v>6300</v>
      </c>
      <c r="Y3178" s="569">
        <v>19</v>
      </c>
      <c r="Z3178" s="581" t="s">
        <v>450</v>
      </c>
      <c r="AA3178" s="581" t="s">
        <v>178</v>
      </c>
      <c r="AB3178" s="585">
        <v>37590</v>
      </c>
      <c r="AC3178" s="585" t="s">
        <v>164</v>
      </c>
      <c r="AD3178" s="585">
        <v>25536</v>
      </c>
      <c r="AE3178" s="587">
        <v>6.25E-2</v>
      </c>
      <c r="AF3178" s="661" t="str">
        <f t="shared" si="346"/>
        <v>2019-LTK-RAM-RM15-129-04</v>
      </c>
      <c r="AG3178" s="661" t="str">
        <f>IF(AND($Y3178&gt;=32,(AI3178="I"),(Y3178&lt;&gt;"~"),(COUNTIF($AN$1:$AN3178,$AN3178)=1)),"TRUE","FALSE")</f>
        <v>FALSE</v>
      </c>
      <c r="AH3178" s="661" t="str">
        <f>IF(AND($Y3178&gt;=22, (AI3178&lt;&gt;"I"),(Y3178&lt;&gt;"~"),(COUNTIF($AN$1:$AN3178,$AN3178)=1)),"TRUE","FALSE")</f>
        <v>FALSE</v>
      </c>
      <c r="AI3178" s="661" t="str">
        <f t="shared" si="348"/>
        <v>II</v>
      </c>
      <c r="AJ3178" s="662" t="str">
        <f t="shared" si="342"/>
        <v>RM15-129</v>
      </c>
      <c r="AK3178" s="662" t="str">
        <f t="shared" si="343"/>
        <v>LTK</v>
      </c>
      <c r="AL3178" s="662" t="str">
        <f t="shared" si="344"/>
        <v>RAM</v>
      </c>
      <c r="AM3178" s="662" t="str">
        <f t="shared" si="347"/>
        <v>Ram 1500 Classic-SLT Regular Cab-4WD-3-6'4"-4740-3.6L V6/3.21 axle-6-DS6H61-22G-120-26-E85-Unleaded</v>
      </c>
      <c r="AN3178" s="662" t="str">
        <f t="shared" si="345"/>
        <v>2019-LTK-RAM-RM15-129</v>
      </c>
    </row>
    <row r="3179" spans="1:40" ht="15">
      <c r="A3179" s="570" t="s">
        <v>5564</v>
      </c>
      <c r="B3179" s="573" t="s">
        <v>5565</v>
      </c>
      <c r="C3179" s="573" t="s">
        <v>226</v>
      </c>
      <c r="D3179" s="578" t="s">
        <v>227</v>
      </c>
      <c r="E3179" s="573" t="s">
        <v>3374</v>
      </c>
      <c r="F3179" s="573" t="s">
        <v>152</v>
      </c>
      <c r="G3179" s="573" t="s">
        <v>3265</v>
      </c>
      <c r="H3179" s="573">
        <v>2019</v>
      </c>
      <c r="I3179" s="573" t="s">
        <v>5502</v>
      </c>
      <c r="J3179" s="573" t="s">
        <v>5429</v>
      </c>
      <c r="K3179" s="573" t="s">
        <v>752</v>
      </c>
      <c r="L3179" s="573">
        <v>3</v>
      </c>
      <c r="M3179" s="573">
        <v>0</v>
      </c>
      <c r="N3179" s="573" t="s">
        <v>157</v>
      </c>
      <c r="O3179" s="573">
        <v>1</v>
      </c>
      <c r="P3179" s="573" t="s">
        <v>5405</v>
      </c>
      <c r="Q3179" s="571">
        <v>8380</v>
      </c>
      <c r="R3179" s="573" t="s">
        <v>5509</v>
      </c>
      <c r="S3179" s="573">
        <v>8</v>
      </c>
      <c r="T3179" s="573" t="s">
        <v>5440</v>
      </c>
      <c r="U3179" s="573" t="s">
        <v>5402</v>
      </c>
      <c r="V3179" s="573">
        <v>120</v>
      </c>
      <c r="W3179" s="573">
        <v>26</v>
      </c>
      <c r="X3179" s="571">
        <v>6350</v>
      </c>
      <c r="Y3179" s="573">
        <v>19</v>
      </c>
      <c r="Z3179" s="579" t="s">
        <v>178</v>
      </c>
      <c r="AA3179" s="579" t="s">
        <v>178</v>
      </c>
      <c r="AB3179" s="584">
        <v>39540</v>
      </c>
      <c r="AC3179" s="584" t="s">
        <v>164</v>
      </c>
      <c r="AD3179" s="584">
        <v>26422</v>
      </c>
      <c r="AE3179" s="586">
        <v>6.25E-2</v>
      </c>
      <c r="AF3179" s="661" t="str">
        <f t="shared" si="346"/>
        <v>2019-LTK-RAM-RM15-131-04</v>
      </c>
      <c r="AG3179" s="661" t="str">
        <f>IF(AND($Y3179&gt;=32,(AI3179="I"),(Y3179&lt;&gt;"~"),(COUNTIF($AN$1:$AN3179,$AN3179)=1)),"TRUE","FALSE")</f>
        <v>FALSE</v>
      </c>
      <c r="AH3179" s="661" t="str">
        <f>IF(AND($Y3179&gt;=22, (AI3179&lt;&gt;"I"),(Y3179&lt;&gt;"~"),(COUNTIF($AN$1:$AN3179,$AN3179)=1)),"TRUE","FALSE")</f>
        <v>FALSE</v>
      </c>
      <c r="AI3179" s="661" t="str">
        <f t="shared" si="348"/>
        <v>II</v>
      </c>
      <c r="AJ3179" s="662" t="str">
        <f t="shared" si="342"/>
        <v>RM15-131</v>
      </c>
      <c r="AK3179" s="662" t="str">
        <f t="shared" si="343"/>
        <v>LTK</v>
      </c>
      <c r="AL3179" s="662" t="str">
        <f t="shared" si="344"/>
        <v>RAM</v>
      </c>
      <c r="AM3179" s="662" t="str">
        <f t="shared" si="347"/>
        <v>Ram 1500 Classic-SLT Regular Cab-4WD-3-6'4"-8380-5.7L Hemi/3.21 axle-8-DS6H61-27G-120-26-Unleaded-Unleaded</v>
      </c>
      <c r="AN3179" s="662" t="str">
        <f t="shared" si="345"/>
        <v>2019-LTK-RAM-RM15-131</v>
      </c>
    </row>
    <row r="3180" spans="1:40" ht="15">
      <c r="A3180" s="570" t="s">
        <v>5566</v>
      </c>
      <c r="B3180" s="569" t="s">
        <v>5567</v>
      </c>
      <c r="C3180" s="569" t="s">
        <v>226</v>
      </c>
      <c r="D3180" s="580" t="s">
        <v>227</v>
      </c>
      <c r="E3180" s="569" t="s">
        <v>3374</v>
      </c>
      <c r="F3180" s="569" t="s">
        <v>152</v>
      </c>
      <c r="G3180" s="569" t="s">
        <v>3265</v>
      </c>
      <c r="H3180" s="569">
        <v>2019</v>
      </c>
      <c r="I3180" s="569" t="s">
        <v>5502</v>
      </c>
      <c r="J3180" s="569" t="s">
        <v>5429</v>
      </c>
      <c r="K3180" s="569" t="s">
        <v>752</v>
      </c>
      <c r="L3180" s="569">
        <v>3</v>
      </c>
      <c r="M3180" s="569">
        <v>0</v>
      </c>
      <c r="N3180" s="569" t="s">
        <v>157</v>
      </c>
      <c r="O3180" s="569">
        <v>1</v>
      </c>
      <c r="P3180" s="569" t="s">
        <v>3846</v>
      </c>
      <c r="Q3180" s="568">
        <v>4570</v>
      </c>
      <c r="R3180" s="569" t="s">
        <v>5503</v>
      </c>
      <c r="S3180" s="569">
        <v>6</v>
      </c>
      <c r="T3180" s="569" t="s">
        <v>5445</v>
      </c>
      <c r="U3180" s="569" t="s">
        <v>5398</v>
      </c>
      <c r="V3180" s="569">
        <v>140</v>
      </c>
      <c r="W3180" s="569">
        <v>26</v>
      </c>
      <c r="X3180" s="568">
        <v>6600</v>
      </c>
      <c r="Y3180" s="569">
        <v>19</v>
      </c>
      <c r="Z3180" s="581" t="s">
        <v>450</v>
      </c>
      <c r="AA3180" s="581" t="s">
        <v>178</v>
      </c>
      <c r="AB3180" s="585">
        <v>37890</v>
      </c>
      <c r="AC3180" s="585" t="s">
        <v>164</v>
      </c>
      <c r="AD3180" s="585">
        <v>25796</v>
      </c>
      <c r="AE3180" s="587">
        <v>6.25E-2</v>
      </c>
      <c r="AF3180" s="661" t="str">
        <f t="shared" si="346"/>
        <v>2019-LTK-RAM-RM15-133-04</v>
      </c>
      <c r="AG3180" s="661" t="str">
        <f>IF(AND($Y3180&gt;=32,(AI3180="I"),(Y3180&lt;&gt;"~"),(COUNTIF($AN$1:$AN3180,$AN3180)=1)),"TRUE","FALSE")</f>
        <v>FALSE</v>
      </c>
      <c r="AH3180" s="661" t="str">
        <f>IF(AND($Y3180&gt;=22, (AI3180&lt;&gt;"I"),(Y3180&lt;&gt;"~"),(COUNTIF($AN$1:$AN3180,$AN3180)=1)),"TRUE","FALSE")</f>
        <v>FALSE</v>
      </c>
      <c r="AI3180" s="661" t="str">
        <f t="shared" si="348"/>
        <v>II</v>
      </c>
      <c r="AJ3180" s="662" t="str">
        <f t="shared" si="342"/>
        <v>RM15-133</v>
      </c>
      <c r="AK3180" s="662" t="str">
        <f t="shared" si="343"/>
        <v>LTK</v>
      </c>
      <c r="AL3180" s="662" t="str">
        <f t="shared" si="344"/>
        <v>RAM</v>
      </c>
      <c r="AM3180" s="662" t="str">
        <f t="shared" si="347"/>
        <v>Ram 1500 Classic-SLT Regular Cab-4WD-3-8'-4570-3.6L V6/3.21 axle-6-DS6H62-22G-140-26-E85-Unleaded</v>
      </c>
      <c r="AN3180" s="662" t="str">
        <f t="shared" si="345"/>
        <v>2019-LTK-RAM-RM15-133</v>
      </c>
    </row>
    <row r="3181" spans="1:40" ht="15">
      <c r="A3181" s="570" t="s">
        <v>5568</v>
      </c>
      <c r="B3181" s="573" t="s">
        <v>5569</v>
      </c>
      <c r="C3181" s="573" t="s">
        <v>226</v>
      </c>
      <c r="D3181" s="578" t="s">
        <v>227</v>
      </c>
      <c r="E3181" s="573" t="s">
        <v>3374</v>
      </c>
      <c r="F3181" s="573" t="s">
        <v>152</v>
      </c>
      <c r="G3181" s="573" t="s">
        <v>3265</v>
      </c>
      <c r="H3181" s="573">
        <v>2019</v>
      </c>
      <c r="I3181" s="573" t="s">
        <v>5502</v>
      </c>
      <c r="J3181" s="573" t="s">
        <v>5429</v>
      </c>
      <c r="K3181" s="573" t="s">
        <v>752</v>
      </c>
      <c r="L3181" s="573">
        <v>3</v>
      </c>
      <c r="M3181" s="573">
        <v>0</v>
      </c>
      <c r="N3181" s="573" t="s">
        <v>157</v>
      </c>
      <c r="O3181" s="573">
        <v>1</v>
      </c>
      <c r="P3181" s="573" t="s">
        <v>3846</v>
      </c>
      <c r="Q3181" s="571">
        <v>8250</v>
      </c>
      <c r="R3181" s="573" t="s">
        <v>5509</v>
      </c>
      <c r="S3181" s="573">
        <v>8</v>
      </c>
      <c r="T3181" s="573" t="s">
        <v>5445</v>
      </c>
      <c r="U3181" s="573" t="s">
        <v>5402</v>
      </c>
      <c r="V3181" s="573">
        <v>140</v>
      </c>
      <c r="W3181" s="573">
        <v>26</v>
      </c>
      <c r="X3181" s="571">
        <v>6600</v>
      </c>
      <c r="Y3181" s="573">
        <v>17</v>
      </c>
      <c r="Z3181" s="579" t="s">
        <v>178</v>
      </c>
      <c r="AA3181" s="579" t="s">
        <v>178</v>
      </c>
      <c r="AB3181" s="584">
        <v>39840</v>
      </c>
      <c r="AC3181" s="584" t="s">
        <v>164</v>
      </c>
      <c r="AD3181" s="584">
        <v>26682</v>
      </c>
      <c r="AE3181" s="586">
        <v>6.25E-2</v>
      </c>
      <c r="AF3181" s="661" t="str">
        <f t="shared" si="346"/>
        <v>2019-LTK-RAM-RM15-135-04</v>
      </c>
      <c r="AG3181" s="661" t="str">
        <f>IF(AND($Y3181&gt;=32,(AI3181="I"),(Y3181&lt;&gt;"~"),(COUNTIF($AN$1:$AN3181,$AN3181)=1)),"TRUE","FALSE")</f>
        <v>FALSE</v>
      </c>
      <c r="AH3181" s="661" t="str">
        <f>IF(AND($Y3181&gt;=22, (AI3181&lt;&gt;"I"),(Y3181&lt;&gt;"~"),(COUNTIF($AN$1:$AN3181,$AN3181)=1)),"TRUE","FALSE")</f>
        <v>FALSE</v>
      </c>
      <c r="AI3181" s="661" t="str">
        <f t="shared" si="348"/>
        <v>II</v>
      </c>
      <c r="AJ3181" s="662" t="str">
        <f t="shared" si="342"/>
        <v>RM15-135</v>
      </c>
      <c r="AK3181" s="662" t="str">
        <f t="shared" si="343"/>
        <v>LTK</v>
      </c>
      <c r="AL3181" s="662" t="str">
        <f t="shared" si="344"/>
        <v>RAM</v>
      </c>
      <c r="AM3181" s="662" t="str">
        <f t="shared" si="347"/>
        <v>Ram 1500 Classic-SLT Regular Cab-4WD-3-8'-8250-5.7L Hemi/3.21 axle-8-DS6H62-27G-140-26-Unleaded-Unleaded</v>
      </c>
      <c r="AN3181" s="662" t="str">
        <f t="shared" si="345"/>
        <v>2019-LTK-RAM-RM15-135</v>
      </c>
    </row>
    <row r="3182" spans="1:40" ht="15">
      <c r="A3182" s="570" t="s">
        <v>5570</v>
      </c>
      <c r="B3182" s="569" t="s">
        <v>5571</v>
      </c>
      <c r="C3182" s="569" t="s">
        <v>3315</v>
      </c>
      <c r="D3182" s="580" t="s">
        <v>227</v>
      </c>
      <c r="E3182" s="569" t="s">
        <v>3374</v>
      </c>
      <c r="F3182" s="569" t="s">
        <v>152</v>
      </c>
      <c r="G3182" s="569" t="s">
        <v>3265</v>
      </c>
      <c r="H3182" s="569">
        <v>2019</v>
      </c>
      <c r="I3182" s="569" t="s">
        <v>5502</v>
      </c>
      <c r="J3182" s="569" t="s">
        <v>5429</v>
      </c>
      <c r="K3182" s="569" t="s">
        <v>752</v>
      </c>
      <c r="L3182" s="569">
        <v>3</v>
      </c>
      <c r="M3182" s="569">
        <v>0</v>
      </c>
      <c r="N3182" s="569" t="s">
        <v>157</v>
      </c>
      <c r="O3182" s="569">
        <v>1</v>
      </c>
      <c r="P3182" s="569" t="s">
        <v>5405</v>
      </c>
      <c r="Q3182" s="568">
        <v>7030</v>
      </c>
      <c r="R3182" s="569" t="s">
        <v>5531</v>
      </c>
      <c r="S3182" s="569">
        <v>6</v>
      </c>
      <c r="T3182" s="569" t="s">
        <v>5440</v>
      </c>
      <c r="U3182" s="569" t="s">
        <v>5398</v>
      </c>
      <c r="V3182" s="569">
        <v>120</v>
      </c>
      <c r="W3182" s="569">
        <v>26</v>
      </c>
      <c r="X3182" s="568">
        <v>6300</v>
      </c>
      <c r="Y3182" s="569">
        <v>19</v>
      </c>
      <c r="Z3182" s="581" t="s">
        <v>450</v>
      </c>
      <c r="AA3182" s="581" t="s">
        <v>178</v>
      </c>
      <c r="AB3182" s="585">
        <v>37685</v>
      </c>
      <c r="AC3182" s="585" t="s">
        <v>164</v>
      </c>
      <c r="AD3182" s="585">
        <v>25631</v>
      </c>
      <c r="AE3182" s="587">
        <v>6.25E-2</v>
      </c>
      <c r="AF3182" s="661" t="str">
        <f t="shared" si="346"/>
        <v>2019-LTK-RAM-RM15-130-04</v>
      </c>
      <c r="AG3182" s="661" t="str">
        <f>IF(AND($Y3182&gt;=32,(AI3182="I"),(Y3182&lt;&gt;"~"),(COUNTIF($AN$1:$AN3182,$AN3182)=1)),"TRUE","FALSE")</f>
        <v>FALSE</v>
      </c>
      <c r="AH3182" s="661" t="str">
        <f>IF(AND($Y3182&gt;=22, (AI3182&lt;&gt;"I"),(Y3182&lt;&gt;"~"),(COUNTIF($AN$1:$AN3182,$AN3182)=1)),"TRUE","FALSE")</f>
        <v>FALSE</v>
      </c>
      <c r="AI3182" s="661" t="str">
        <f t="shared" si="348"/>
        <v>II</v>
      </c>
      <c r="AJ3182" s="662" t="str">
        <f t="shared" si="342"/>
        <v>RM15-130</v>
      </c>
      <c r="AK3182" s="662" t="str">
        <f t="shared" si="343"/>
        <v>LTK</v>
      </c>
      <c r="AL3182" s="662" t="str">
        <f t="shared" si="344"/>
        <v>RAM</v>
      </c>
      <c r="AM3182" s="662" t="str">
        <f t="shared" si="347"/>
        <v>Ram 1500 Classic-SLT Regular Cab-4WD-3-6'4"-7030-3.6L V6/3.55 axle-6-DS6H61-22G-120-26-E85-Unleaded</v>
      </c>
      <c r="AN3182" s="662" t="str">
        <f t="shared" si="345"/>
        <v>2019-LTK-RAM-RM15-130</v>
      </c>
    </row>
    <row r="3183" spans="1:40" ht="15">
      <c r="A3183" s="570" t="s">
        <v>5572</v>
      </c>
      <c r="B3183" s="573" t="s">
        <v>5573</v>
      </c>
      <c r="C3183" s="573" t="s">
        <v>3315</v>
      </c>
      <c r="D3183" s="578" t="s">
        <v>227</v>
      </c>
      <c r="E3183" s="573" t="s">
        <v>3374</v>
      </c>
      <c r="F3183" s="573" t="s">
        <v>152</v>
      </c>
      <c r="G3183" s="573" t="s">
        <v>3265</v>
      </c>
      <c r="H3183" s="573">
        <v>2019</v>
      </c>
      <c r="I3183" s="573" t="s">
        <v>5502</v>
      </c>
      <c r="J3183" s="573" t="s">
        <v>5429</v>
      </c>
      <c r="K3183" s="573" t="s">
        <v>752</v>
      </c>
      <c r="L3183" s="573">
        <v>3</v>
      </c>
      <c r="M3183" s="573">
        <v>0</v>
      </c>
      <c r="N3183" s="573" t="s">
        <v>157</v>
      </c>
      <c r="O3183" s="573">
        <v>1</v>
      </c>
      <c r="P3183" s="573" t="s">
        <v>3846</v>
      </c>
      <c r="Q3183" s="571">
        <v>10430</v>
      </c>
      <c r="R3183" s="573" t="s">
        <v>5515</v>
      </c>
      <c r="S3183" s="573">
        <v>8</v>
      </c>
      <c r="T3183" s="573" t="s">
        <v>5445</v>
      </c>
      <c r="U3183" s="573" t="s">
        <v>5516</v>
      </c>
      <c r="V3183" s="573">
        <v>140</v>
      </c>
      <c r="W3183" s="573">
        <v>32</v>
      </c>
      <c r="X3183" s="571">
        <v>6600</v>
      </c>
      <c r="Y3183" s="573">
        <v>19</v>
      </c>
      <c r="Z3183" s="579" t="s">
        <v>178</v>
      </c>
      <c r="AA3183" s="579" t="s">
        <v>178</v>
      </c>
      <c r="AB3183" s="584">
        <v>39935</v>
      </c>
      <c r="AC3183" s="584" t="s">
        <v>164</v>
      </c>
      <c r="AD3183" s="584">
        <v>26777</v>
      </c>
      <c r="AE3183" s="586">
        <v>6.25E-2</v>
      </c>
      <c r="AF3183" s="661" t="str">
        <f t="shared" si="346"/>
        <v>2019-LTK-RAM-RM15-132-04</v>
      </c>
      <c r="AG3183" s="661" t="str">
        <f>IF(AND($Y3183&gt;=32,(AI3183="I"),(Y3183&lt;&gt;"~"),(COUNTIF($AN$1:$AN3183,$AN3183)=1)),"TRUE","FALSE")</f>
        <v>FALSE</v>
      </c>
      <c r="AH3183" s="661" t="str">
        <f>IF(AND($Y3183&gt;=22, (AI3183&lt;&gt;"I"),(Y3183&lt;&gt;"~"),(COUNTIF($AN$1:$AN3183,$AN3183)=1)),"TRUE","FALSE")</f>
        <v>FALSE</v>
      </c>
      <c r="AI3183" s="661" t="str">
        <f t="shared" si="348"/>
        <v>II</v>
      </c>
      <c r="AJ3183" s="662" t="str">
        <f t="shared" si="342"/>
        <v>RM15-132</v>
      </c>
      <c r="AK3183" s="662" t="str">
        <f t="shared" si="343"/>
        <v>LTK</v>
      </c>
      <c r="AL3183" s="662" t="str">
        <f t="shared" si="344"/>
        <v>RAM</v>
      </c>
      <c r="AM3183" s="662" t="str">
        <f t="shared" si="347"/>
        <v>Ram 1500 Classic-SLT Regular Cab-4WD-3-8'-10430-5.7L Hemi/3.92axle-8-DS6H62-26G-140-32-Unleaded-Unleaded</v>
      </c>
      <c r="AN3183" s="662" t="str">
        <f t="shared" si="345"/>
        <v>2019-LTK-RAM-RM15-132</v>
      </c>
    </row>
    <row r="3184" spans="1:40" ht="15">
      <c r="A3184" s="570" t="s">
        <v>5574</v>
      </c>
      <c r="B3184" s="569" t="s">
        <v>5575</v>
      </c>
      <c r="C3184" s="569" t="s">
        <v>3315</v>
      </c>
      <c r="D3184" s="580" t="s">
        <v>227</v>
      </c>
      <c r="E3184" s="569" t="s">
        <v>3374</v>
      </c>
      <c r="F3184" s="569" t="s">
        <v>152</v>
      </c>
      <c r="G3184" s="569" t="s">
        <v>3265</v>
      </c>
      <c r="H3184" s="569">
        <v>2019</v>
      </c>
      <c r="I3184" s="569" t="s">
        <v>5502</v>
      </c>
      <c r="J3184" s="569" t="s">
        <v>5429</v>
      </c>
      <c r="K3184" s="569" t="s">
        <v>752</v>
      </c>
      <c r="L3184" s="569">
        <v>3</v>
      </c>
      <c r="M3184" s="569">
        <v>0</v>
      </c>
      <c r="N3184" s="569" t="s">
        <v>157</v>
      </c>
      <c r="O3184" s="569">
        <v>1</v>
      </c>
      <c r="P3184" s="569" t="s">
        <v>3846</v>
      </c>
      <c r="Q3184" s="568">
        <v>7070</v>
      </c>
      <c r="R3184" s="569" t="s">
        <v>5531</v>
      </c>
      <c r="S3184" s="569">
        <v>6</v>
      </c>
      <c r="T3184" s="569" t="s">
        <v>5445</v>
      </c>
      <c r="U3184" s="569" t="s">
        <v>5398</v>
      </c>
      <c r="V3184" s="569">
        <v>140</v>
      </c>
      <c r="W3184" s="569">
        <v>32</v>
      </c>
      <c r="X3184" s="568">
        <v>6600</v>
      </c>
      <c r="Y3184" s="569">
        <v>19</v>
      </c>
      <c r="Z3184" s="581" t="s">
        <v>450</v>
      </c>
      <c r="AA3184" s="581" t="s">
        <v>178</v>
      </c>
      <c r="AB3184" s="585">
        <v>37985</v>
      </c>
      <c r="AC3184" s="585" t="s">
        <v>164</v>
      </c>
      <c r="AD3184" s="585">
        <v>25891</v>
      </c>
      <c r="AE3184" s="587">
        <v>6.25E-2</v>
      </c>
      <c r="AF3184" s="661" t="str">
        <f t="shared" si="346"/>
        <v>2019-LTK-RAM-RM15-134-04</v>
      </c>
      <c r="AG3184" s="661" t="str">
        <f>IF(AND($Y3184&gt;=32,(AI3184="I"),(Y3184&lt;&gt;"~"),(COUNTIF($AN$1:$AN3184,$AN3184)=1)),"TRUE","FALSE")</f>
        <v>FALSE</v>
      </c>
      <c r="AH3184" s="661" t="str">
        <f>IF(AND($Y3184&gt;=22, (AI3184&lt;&gt;"I"),(Y3184&lt;&gt;"~"),(COUNTIF($AN$1:$AN3184,$AN3184)=1)),"TRUE","FALSE")</f>
        <v>FALSE</v>
      </c>
      <c r="AI3184" s="661" t="str">
        <f t="shared" si="348"/>
        <v>II</v>
      </c>
      <c r="AJ3184" s="662" t="str">
        <f t="shared" si="342"/>
        <v>RM15-134</v>
      </c>
      <c r="AK3184" s="662" t="str">
        <f t="shared" si="343"/>
        <v>LTK</v>
      </c>
      <c r="AL3184" s="662" t="str">
        <f t="shared" si="344"/>
        <v>RAM</v>
      </c>
      <c r="AM3184" s="662" t="str">
        <f t="shared" si="347"/>
        <v>Ram 1500 Classic-SLT Regular Cab-4WD-3-8'-7070-3.6L V6/3.55 axle-6-DS6H62-22G-140-32-E85-Unleaded</v>
      </c>
      <c r="AN3184" s="662" t="str">
        <f t="shared" si="345"/>
        <v>2019-LTK-RAM-RM15-134</v>
      </c>
    </row>
    <row r="3185" spans="1:40" ht="15">
      <c r="A3185" s="570" t="s">
        <v>5576</v>
      </c>
      <c r="B3185" s="573" t="s">
        <v>5577</v>
      </c>
      <c r="C3185" s="573" t="s">
        <v>226</v>
      </c>
      <c r="D3185" s="578" t="s">
        <v>227</v>
      </c>
      <c r="E3185" s="573" t="s">
        <v>3374</v>
      </c>
      <c r="F3185" s="573" t="s">
        <v>152</v>
      </c>
      <c r="G3185" s="573" t="s">
        <v>3265</v>
      </c>
      <c r="H3185" s="573">
        <v>2019</v>
      </c>
      <c r="I3185" s="573" t="s">
        <v>5502</v>
      </c>
      <c r="J3185" s="573" t="s">
        <v>5450</v>
      </c>
      <c r="K3185" s="573" t="s">
        <v>3377</v>
      </c>
      <c r="L3185" s="573">
        <v>6</v>
      </c>
      <c r="M3185" s="573">
        <v>0</v>
      </c>
      <c r="N3185" s="573" t="s">
        <v>157</v>
      </c>
      <c r="O3185" s="573">
        <v>2</v>
      </c>
      <c r="P3185" s="573" t="s">
        <v>5351</v>
      </c>
      <c r="Q3185" s="571">
        <v>4510</v>
      </c>
      <c r="R3185" s="573" t="s">
        <v>5503</v>
      </c>
      <c r="S3185" s="573">
        <v>6</v>
      </c>
      <c r="T3185" s="573" t="s">
        <v>5451</v>
      </c>
      <c r="U3185" s="573" t="s">
        <v>5452</v>
      </c>
      <c r="V3185" s="573">
        <v>140</v>
      </c>
      <c r="W3185" s="573">
        <v>26</v>
      </c>
      <c r="X3185" s="571">
        <v>6800</v>
      </c>
      <c r="Y3185" s="573">
        <v>20</v>
      </c>
      <c r="Z3185" s="579" t="s">
        <v>450</v>
      </c>
      <c r="AA3185" s="579" t="s">
        <v>178</v>
      </c>
      <c r="AB3185" s="584">
        <v>35190</v>
      </c>
      <c r="AC3185" s="584" t="s">
        <v>164</v>
      </c>
      <c r="AD3185" s="584">
        <v>21369</v>
      </c>
      <c r="AE3185" s="586">
        <v>6.25E-2</v>
      </c>
      <c r="AF3185" s="661" t="str">
        <f t="shared" si="346"/>
        <v>2019-LTK-RAM-RM15-136-04</v>
      </c>
      <c r="AG3185" s="661" t="str">
        <f>IF(AND($Y3185&gt;=32,(AI3185="I"),(Y3185&lt;&gt;"~"),(COUNTIF($AN$1:$AN3185,$AN3185)=1)),"TRUE","FALSE")</f>
        <v>FALSE</v>
      </c>
      <c r="AH3185" s="661" t="str">
        <f>IF(AND($Y3185&gt;=22, (AI3185&lt;&gt;"I"),(Y3185&lt;&gt;"~"),(COUNTIF($AN$1:$AN3185,$AN3185)=1)),"TRUE","FALSE")</f>
        <v>FALSE</v>
      </c>
      <c r="AI3185" s="661" t="str">
        <f t="shared" si="348"/>
        <v>II</v>
      </c>
      <c r="AJ3185" s="662" t="str">
        <f t="shared" si="342"/>
        <v>RM15-136</v>
      </c>
      <c r="AK3185" s="662" t="str">
        <f t="shared" si="343"/>
        <v>LTK</v>
      </c>
      <c r="AL3185" s="662" t="str">
        <f t="shared" si="344"/>
        <v>RAM</v>
      </c>
      <c r="AM3185" s="662" t="str">
        <f t="shared" si="347"/>
        <v>Ram 1500 Classic-Tradesman Crew Cab-2WD-6-5'7"-4510-3.6L V6/3.21 axle-6-DS1L98-22B-140-26-E85-Unleaded</v>
      </c>
      <c r="AN3185" s="662" t="str">
        <f t="shared" si="345"/>
        <v>2019-LTK-RAM-RM15-136</v>
      </c>
    </row>
    <row r="3186" spans="1:40" ht="15">
      <c r="A3186" s="570" t="s">
        <v>5578</v>
      </c>
      <c r="B3186" s="569" t="s">
        <v>5579</v>
      </c>
      <c r="C3186" s="569" t="s">
        <v>226</v>
      </c>
      <c r="D3186" s="580" t="s">
        <v>227</v>
      </c>
      <c r="E3186" s="569" t="s">
        <v>3374</v>
      </c>
      <c r="F3186" s="569" t="s">
        <v>152</v>
      </c>
      <c r="G3186" s="569" t="s">
        <v>3265</v>
      </c>
      <c r="H3186" s="569">
        <v>2019</v>
      </c>
      <c r="I3186" s="569" t="s">
        <v>5502</v>
      </c>
      <c r="J3186" s="569" t="s">
        <v>5450</v>
      </c>
      <c r="K3186" s="569" t="s">
        <v>3377</v>
      </c>
      <c r="L3186" s="569">
        <v>6</v>
      </c>
      <c r="M3186" s="569">
        <v>0</v>
      </c>
      <c r="N3186" s="569" t="s">
        <v>157</v>
      </c>
      <c r="O3186" s="569">
        <v>2</v>
      </c>
      <c r="P3186" s="569" t="s">
        <v>5351</v>
      </c>
      <c r="Q3186" s="568">
        <v>8070</v>
      </c>
      <c r="R3186" s="569" t="s">
        <v>5509</v>
      </c>
      <c r="S3186" s="569">
        <v>8</v>
      </c>
      <c r="T3186" s="569" t="s">
        <v>5451</v>
      </c>
      <c r="U3186" s="569" t="s">
        <v>5455</v>
      </c>
      <c r="V3186" s="569">
        <v>140</v>
      </c>
      <c r="W3186" s="569">
        <v>26</v>
      </c>
      <c r="X3186" s="568">
        <v>6700</v>
      </c>
      <c r="Y3186" s="569">
        <v>17</v>
      </c>
      <c r="Z3186" s="581" t="s">
        <v>178</v>
      </c>
      <c r="AA3186" s="581" t="s">
        <v>178</v>
      </c>
      <c r="AB3186" s="585">
        <v>37140</v>
      </c>
      <c r="AC3186" s="585" t="s">
        <v>164</v>
      </c>
      <c r="AD3186" s="585">
        <v>23103</v>
      </c>
      <c r="AE3186" s="587">
        <v>6.25E-2</v>
      </c>
      <c r="AF3186" s="661" t="str">
        <f t="shared" si="346"/>
        <v>2019-LTK-RAM-RM15-138-04</v>
      </c>
      <c r="AG3186" s="661" t="str">
        <f>IF(AND($Y3186&gt;=32,(AI3186="I"),(Y3186&lt;&gt;"~"),(COUNTIF($AN$1:$AN3186,$AN3186)=1)),"TRUE","FALSE")</f>
        <v>FALSE</v>
      </c>
      <c r="AH3186" s="661" t="str">
        <f>IF(AND($Y3186&gt;=22, (AI3186&lt;&gt;"I"),(Y3186&lt;&gt;"~"),(COUNTIF($AN$1:$AN3186,$AN3186)=1)),"TRUE","FALSE")</f>
        <v>FALSE</v>
      </c>
      <c r="AI3186" s="661" t="str">
        <f t="shared" si="348"/>
        <v>II</v>
      </c>
      <c r="AJ3186" s="662" t="str">
        <f t="shared" si="342"/>
        <v>RM15-138</v>
      </c>
      <c r="AK3186" s="662" t="str">
        <f t="shared" si="343"/>
        <v>LTK</v>
      </c>
      <c r="AL3186" s="662" t="str">
        <f t="shared" si="344"/>
        <v>RAM</v>
      </c>
      <c r="AM3186" s="662" t="str">
        <f t="shared" si="347"/>
        <v>Ram 1500 Classic-Tradesman Crew Cab-2WD-6-5'7"-8070-5.7L Hemi/3.21 axle-8-DS1L98-27B-140-26-Unleaded-Unleaded</v>
      </c>
      <c r="AN3186" s="662" t="str">
        <f t="shared" si="345"/>
        <v>2019-LTK-RAM-RM15-138</v>
      </c>
    </row>
    <row r="3187" spans="1:40" ht="15">
      <c r="A3187" s="570" t="s">
        <v>5580</v>
      </c>
      <c r="B3187" s="573" t="s">
        <v>5581</v>
      </c>
      <c r="C3187" s="573" t="s">
        <v>226</v>
      </c>
      <c r="D3187" s="578" t="s">
        <v>227</v>
      </c>
      <c r="E3187" s="573" t="s">
        <v>3374</v>
      </c>
      <c r="F3187" s="573" t="s">
        <v>152</v>
      </c>
      <c r="G3187" s="573" t="s">
        <v>3265</v>
      </c>
      <c r="H3187" s="573">
        <v>2019</v>
      </c>
      <c r="I3187" s="573" t="s">
        <v>5502</v>
      </c>
      <c r="J3187" s="573" t="s">
        <v>5450</v>
      </c>
      <c r="K3187" s="573" t="s">
        <v>3377</v>
      </c>
      <c r="L3187" s="573">
        <v>6</v>
      </c>
      <c r="M3187" s="573">
        <v>0</v>
      </c>
      <c r="N3187" s="573" t="s">
        <v>157</v>
      </c>
      <c r="O3187" s="573">
        <v>2</v>
      </c>
      <c r="P3187" s="573" t="s">
        <v>5458</v>
      </c>
      <c r="Q3187" s="571">
        <v>8010</v>
      </c>
      <c r="R3187" s="573" t="s">
        <v>5509</v>
      </c>
      <c r="S3187" s="573">
        <v>8</v>
      </c>
      <c r="T3187" s="573" t="s">
        <v>5459</v>
      </c>
      <c r="U3187" s="573" t="s">
        <v>5455</v>
      </c>
      <c r="V3187" s="573">
        <v>149</v>
      </c>
      <c r="W3187" s="573">
        <v>32</v>
      </c>
      <c r="X3187" s="571">
        <v>6800</v>
      </c>
      <c r="Y3187" s="573">
        <v>17</v>
      </c>
      <c r="Z3187" s="579" t="s">
        <v>178</v>
      </c>
      <c r="AA3187" s="579" t="s">
        <v>178</v>
      </c>
      <c r="AB3187" s="584">
        <v>35890</v>
      </c>
      <c r="AC3187" s="584" t="s">
        <v>164</v>
      </c>
      <c r="AD3187" s="584">
        <v>21984</v>
      </c>
      <c r="AE3187" s="586">
        <v>6.25E-2</v>
      </c>
      <c r="AF3187" s="661" t="str">
        <f t="shared" si="346"/>
        <v>2019-LTK-RAM-RM15-140-04</v>
      </c>
      <c r="AG3187" s="661" t="str">
        <f>IF(AND($Y3187&gt;=32,(AI3187="I"),(Y3187&lt;&gt;"~"),(COUNTIF($AN$1:$AN3187,$AN3187)=1)),"TRUE","FALSE")</f>
        <v>FALSE</v>
      </c>
      <c r="AH3187" s="661" t="str">
        <f>IF(AND($Y3187&gt;=22, (AI3187&lt;&gt;"I"),(Y3187&lt;&gt;"~"),(COUNTIF($AN$1:$AN3187,$AN3187)=1)),"TRUE","FALSE")</f>
        <v>FALSE</v>
      </c>
      <c r="AI3187" s="661" t="str">
        <f t="shared" si="348"/>
        <v>II</v>
      </c>
      <c r="AJ3187" s="662" t="str">
        <f t="shared" si="342"/>
        <v>RM15-140</v>
      </c>
      <c r="AK3187" s="662" t="str">
        <f t="shared" si="343"/>
        <v>LTK</v>
      </c>
      <c r="AL3187" s="662" t="str">
        <f t="shared" si="344"/>
        <v>RAM</v>
      </c>
      <c r="AM3187" s="662" t="str">
        <f t="shared" si="347"/>
        <v>Ram 1500 Classic-Tradesman Crew Cab-2WD-6-6'4'-8010-5.7L Hemi/3.21 axle-8-DS1L91-27B-149-32-Unleaded-Unleaded</v>
      </c>
      <c r="AN3187" s="662" t="str">
        <f t="shared" si="345"/>
        <v>2019-LTK-RAM-RM15-140</v>
      </c>
    </row>
    <row r="3188" spans="1:40" ht="15">
      <c r="A3188" s="570" t="s">
        <v>5582</v>
      </c>
      <c r="B3188" s="569" t="s">
        <v>5583</v>
      </c>
      <c r="C3188" s="569" t="s">
        <v>3315</v>
      </c>
      <c r="D3188" s="580" t="s">
        <v>227</v>
      </c>
      <c r="E3188" s="569" t="s">
        <v>3374</v>
      </c>
      <c r="F3188" s="569" t="s">
        <v>152</v>
      </c>
      <c r="G3188" s="569" t="s">
        <v>3265</v>
      </c>
      <c r="H3188" s="569">
        <v>2019</v>
      </c>
      <c r="I3188" s="569" t="s">
        <v>5502</v>
      </c>
      <c r="J3188" s="569" t="s">
        <v>5450</v>
      </c>
      <c r="K3188" s="569" t="s">
        <v>3377</v>
      </c>
      <c r="L3188" s="569">
        <v>6</v>
      </c>
      <c r="M3188" s="569">
        <v>0</v>
      </c>
      <c r="N3188" s="569" t="s">
        <v>157</v>
      </c>
      <c r="O3188" s="569">
        <v>2</v>
      </c>
      <c r="P3188" s="569" t="s">
        <v>5351</v>
      </c>
      <c r="Q3188" s="568">
        <v>7500</v>
      </c>
      <c r="R3188" s="569" t="s">
        <v>5531</v>
      </c>
      <c r="S3188" s="569">
        <v>6</v>
      </c>
      <c r="T3188" s="569" t="s">
        <v>5451</v>
      </c>
      <c r="U3188" s="569" t="s">
        <v>5452</v>
      </c>
      <c r="V3188" s="569">
        <v>140</v>
      </c>
      <c r="W3188" s="569">
        <v>26</v>
      </c>
      <c r="X3188" s="568">
        <v>6700</v>
      </c>
      <c r="Y3188" s="569">
        <v>20</v>
      </c>
      <c r="Z3188" s="581" t="s">
        <v>450</v>
      </c>
      <c r="AA3188" s="581" t="s">
        <v>178</v>
      </c>
      <c r="AB3188" s="585">
        <v>35285</v>
      </c>
      <c r="AC3188" s="585" t="s">
        <v>164</v>
      </c>
      <c r="AD3188" s="585">
        <v>21464</v>
      </c>
      <c r="AE3188" s="587">
        <v>6.25E-2</v>
      </c>
      <c r="AF3188" s="661" t="str">
        <f t="shared" si="346"/>
        <v>2019-LTK-RAM-RM15-137-04</v>
      </c>
      <c r="AG3188" s="661" t="str">
        <f>IF(AND($Y3188&gt;=32,(AI3188="I"),(Y3188&lt;&gt;"~"),(COUNTIF($AN$1:$AN3188,$AN3188)=1)),"TRUE","FALSE")</f>
        <v>FALSE</v>
      </c>
      <c r="AH3188" s="661" t="str">
        <f>IF(AND($Y3188&gt;=22, (AI3188&lt;&gt;"I"),(Y3188&lt;&gt;"~"),(COUNTIF($AN$1:$AN3188,$AN3188)=1)),"TRUE","FALSE")</f>
        <v>FALSE</v>
      </c>
      <c r="AI3188" s="661" t="str">
        <f t="shared" si="348"/>
        <v>II</v>
      </c>
      <c r="AJ3188" s="662" t="str">
        <f t="shared" si="342"/>
        <v>RM15-137</v>
      </c>
      <c r="AK3188" s="662" t="str">
        <f t="shared" si="343"/>
        <v>LTK</v>
      </c>
      <c r="AL3188" s="662" t="str">
        <f t="shared" si="344"/>
        <v>RAM</v>
      </c>
      <c r="AM3188" s="662" t="str">
        <f t="shared" si="347"/>
        <v>Ram 1500 Classic-Tradesman Crew Cab-2WD-6-5'7"-7500-3.6L V6/3.55 axle-6-DS1L98-22B-140-26-E85-Unleaded</v>
      </c>
      <c r="AN3188" s="662" t="str">
        <f t="shared" si="345"/>
        <v>2019-LTK-RAM-RM15-137</v>
      </c>
    </row>
    <row r="3189" spans="1:40" ht="15">
      <c r="A3189" s="570" t="s">
        <v>5584</v>
      </c>
      <c r="B3189" s="573" t="s">
        <v>5585</v>
      </c>
      <c r="C3189" s="573" t="s">
        <v>3315</v>
      </c>
      <c r="D3189" s="578" t="s">
        <v>227</v>
      </c>
      <c r="E3189" s="573" t="s">
        <v>3374</v>
      </c>
      <c r="F3189" s="573" t="s">
        <v>152</v>
      </c>
      <c r="G3189" s="573" t="s">
        <v>3265</v>
      </c>
      <c r="H3189" s="573">
        <v>2019</v>
      </c>
      <c r="I3189" s="573" t="s">
        <v>5502</v>
      </c>
      <c r="J3189" s="573" t="s">
        <v>5450</v>
      </c>
      <c r="K3189" s="573" t="s">
        <v>3377</v>
      </c>
      <c r="L3189" s="573">
        <v>6</v>
      </c>
      <c r="M3189" s="573">
        <v>0</v>
      </c>
      <c r="N3189" s="573" t="s">
        <v>157</v>
      </c>
      <c r="O3189" s="573">
        <v>2</v>
      </c>
      <c r="P3189" s="573" t="s">
        <v>5458</v>
      </c>
      <c r="Q3189" s="571">
        <v>10190</v>
      </c>
      <c r="R3189" s="573" t="s">
        <v>5515</v>
      </c>
      <c r="S3189" s="573">
        <v>8</v>
      </c>
      <c r="T3189" s="573" t="s">
        <v>5459</v>
      </c>
      <c r="U3189" s="573" t="s">
        <v>5586</v>
      </c>
      <c r="V3189" s="573">
        <v>149</v>
      </c>
      <c r="W3189" s="573">
        <v>26</v>
      </c>
      <c r="X3189" s="571">
        <v>6700</v>
      </c>
      <c r="Y3189" s="573">
        <v>17</v>
      </c>
      <c r="Z3189" s="579" t="s">
        <v>178</v>
      </c>
      <c r="AA3189" s="579" t="s">
        <v>178</v>
      </c>
      <c r="AB3189" s="584">
        <v>35985</v>
      </c>
      <c r="AC3189" s="584" t="s">
        <v>164</v>
      </c>
      <c r="AD3189" s="584">
        <v>22079</v>
      </c>
      <c r="AE3189" s="586">
        <v>6.25E-2</v>
      </c>
      <c r="AF3189" s="661" t="str">
        <f t="shared" si="346"/>
        <v>2019-LTK-RAM-RM15-139-04</v>
      </c>
      <c r="AG3189" s="661" t="str">
        <f>IF(AND($Y3189&gt;=32,(AI3189="I"),(Y3189&lt;&gt;"~"),(COUNTIF($AN$1:$AN3189,$AN3189)=1)),"TRUE","FALSE")</f>
        <v>FALSE</v>
      </c>
      <c r="AH3189" s="661" t="str">
        <f>IF(AND($Y3189&gt;=22, (AI3189&lt;&gt;"I"),(Y3189&lt;&gt;"~"),(COUNTIF($AN$1:$AN3189,$AN3189)=1)),"TRUE","FALSE")</f>
        <v>FALSE</v>
      </c>
      <c r="AI3189" s="661" t="str">
        <f t="shared" si="348"/>
        <v>II</v>
      </c>
      <c r="AJ3189" s="662" t="str">
        <f t="shared" si="342"/>
        <v>RM15-139</v>
      </c>
      <c r="AK3189" s="662" t="str">
        <f t="shared" si="343"/>
        <v>LTK</v>
      </c>
      <c r="AL3189" s="662" t="str">
        <f t="shared" si="344"/>
        <v>RAM</v>
      </c>
      <c r="AM3189" s="662" t="str">
        <f t="shared" si="347"/>
        <v>Ram 1500 Classic-Tradesman Crew Cab-2WD-6-6'4'-10190-5.7L Hemi/3.92axle-8-DS1L91-26B-149-26-Unleaded-Unleaded</v>
      </c>
      <c r="AN3189" s="662" t="str">
        <f t="shared" si="345"/>
        <v>2019-LTK-RAM-RM15-139</v>
      </c>
    </row>
    <row r="3190" spans="1:40" ht="15">
      <c r="A3190" s="570" t="s">
        <v>5587</v>
      </c>
      <c r="B3190" s="569" t="s">
        <v>5588</v>
      </c>
      <c r="C3190" s="569" t="s">
        <v>226</v>
      </c>
      <c r="D3190" s="580" t="s">
        <v>227</v>
      </c>
      <c r="E3190" s="569" t="s">
        <v>3374</v>
      </c>
      <c r="F3190" s="569" t="s">
        <v>152</v>
      </c>
      <c r="G3190" s="569" t="s">
        <v>3265</v>
      </c>
      <c r="H3190" s="569">
        <v>2019</v>
      </c>
      <c r="I3190" s="569" t="s">
        <v>5502</v>
      </c>
      <c r="J3190" s="569" t="s">
        <v>5450</v>
      </c>
      <c r="K3190" s="569" t="s">
        <v>752</v>
      </c>
      <c r="L3190" s="569">
        <v>6</v>
      </c>
      <c r="M3190" s="569">
        <v>0</v>
      </c>
      <c r="N3190" s="569" t="s">
        <v>157</v>
      </c>
      <c r="O3190" s="569">
        <v>2</v>
      </c>
      <c r="P3190" s="569" t="s">
        <v>5351</v>
      </c>
      <c r="Q3190" s="568">
        <v>4250</v>
      </c>
      <c r="R3190" s="569" t="s">
        <v>5503</v>
      </c>
      <c r="S3190" s="569">
        <v>6</v>
      </c>
      <c r="T3190" s="569" t="s">
        <v>5462</v>
      </c>
      <c r="U3190" s="569" t="s">
        <v>5452</v>
      </c>
      <c r="V3190" s="569">
        <v>140</v>
      </c>
      <c r="W3190" s="569">
        <v>26</v>
      </c>
      <c r="X3190" s="568">
        <v>6800</v>
      </c>
      <c r="Y3190" s="569">
        <v>19</v>
      </c>
      <c r="Z3190" s="581" t="s">
        <v>450</v>
      </c>
      <c r="AA3190" s="581" t="s">
        <v>178</v>
      </c>
      <c r="AB3190" s="585">
        <v>38890</v>
      </c>
      <c r="AC3190" s="585" t="s">
        <v>164</v>
      </c>
      <c r="AD3190" s="585">
        <v>24516</v>
      </c>
      <c r="AE3190" s="587">
        <v>6.25E-2</v>
      </c>
      <c r="AF3190" s="661" t="str">
        <f t="shared" si="346"/>
        <v>2019-LTK-RAM-RM15-142-04</v>
      </c>
      <c r="AG3190" s="661" t="str">
        <f>IF(AND($Y3190&gt;=32,(AI3190="I"),(Y3190&lt;&gt;"~"),(COUNTIF($AN$1:$AN3190,$AN3190)=1)),"TRUE","FALSE")</f>
        <v>FALSE</v>
      </c>
      <c r="AH3190" s="661" t="str">
        <f>IF(AND($Y3190&gt;=22, (AI3190&lt;&gt;"I"),(Y3190&lt;&gt;"~"),(COUNTIF($AN$1:$AN3190,$AN3190)=1)),"TRUE","FALSE")</f>
        <v>FALSE</v>
      </c>
      <c r="AI3190" s="661" t="str">
        <f t="shared" si="348"/>
        <v>II</v>
      </c>
      <c r="AJ3190" s="662" t="str">
        <f t="shared" si="342"/>
        <v>RM15-142</v>
      </c>
      <c r="AK3190" s="662" t="str">
        <f t="shared" si="343"/>
        <v>LTK</v>
      </c>
      <c r="AL3190" s="662" t="str">
        <f t="shared" si="344"/>
        <v>RAM</v>
      </c>
      <c r="AM3190" s="662" t="str">
        <f t="shared" si="347"/>
        <v>Ram 1500 Classic-Tradesman Crew Cab-4WD-6-5'7"-4250-3.6L V6/3.21 axle-6-DS6L98-22B-140-26-E85-Unleaded</v>
      </c>
      <c r="AN3190" s="662" t="str">
        <f t="shared" si="345"/>
        <v>2019-LTK-RAM-RM15-142</v>
      </c>
    </row>
    <row r="3191" spans="1:40" ht="15">
      <c r="A3191" s="570" t="s">
        <v>5589</v>
      </c>
      <c r="B3191" s="573" t="s">
        <v>5590</v>
      </c>
      <c r="C3191" s="573" t="s">
        <v>226</v>
      </c>
      <c r="D3191" s="578" t="s">
        <v>227</v>
      </c>
      <c r="E3191" s="573" t="s">
        <v>3374</v>
      </c>
      <c r="F3191" s="573" t="s">
        <v>152</v>
      </c>
      <c r="G3191" s="573" t="s">
        <v>3265</v>
      </c>
      <c r="H3191" s="573">
        <v>2019</v>
      </c>
      <c r="I3191" s="573" t="s">
        <v>5502</v>
      </c>
      <c r="J3191" s="573" t="s">
        <v>5450</v>
      </c>
      <c r="K3191" s="573" t="s">
        <v>752</v>
      </c>
      <c r="L3191" s="573">
        <v>6</v>
      </c>
      <c r="M3191" s="573">
        <v>0</v>
      </c>
      <c r="N3191" s="573" t="s">
        <v>157</v>
      </c>
      <c r="O3191" s="573">
        <v>2</v>
      </c>
      <c r="P3191" s="573" t="s">
        <v>5351</v>
      </c>
      <c r="Q3191" s="571">
        <v>7990</v>
      </c>
      <c r="R3191" s="573" t="s">
        <v>5509</v>
      </c>
      <c r="S3191" s="573">
        <v>8</v>
      </c>
      <c r="T3191" s="573" t="s">
        <v>5462</v>
      </c>
      <c r="U3191" s="573" t="s">
        <v>5455</v>
      </c>
      <c r="V3191" s="573">
        <v>140</v>
      </c>
      <c r="W3191" s="573">
        <v>26</v>
      </c>
      <c r="X3191" s="571">
        <v>6800</v>
      </c>
      <c r="Y3191" s="573">
        <v>17</v>
      </c>
      <c r="Z3191" s="579" t="s">
        <v>178</v>
      </c>
      <c r="AA3191" s="579" t="s">
        <v>178</v>
      </c>
      <c r="AB3191" s="584">
        <v>40840</v>
      </c>
      <c r="AC3191" s="584" t="s">
        <v>164</v>
      </c>
      <c r="AD3191" s="584">
        <v>26250</v>
      </c>
      <c r="AE3191" s="586">
        <v>6.25E-2</v>
      </c>
      <c r="AF3191" s="661" t="str">
        <f t="shared" si="346"/>
        <v>2019-LTK-RAM-RM15-144-04</v>
      </c>
      <c r="AG3191" s="661" t="str">
        <f>IF(AND($Y3191&gt;=32,(AI3191="I"),(Y3191&lt;&gt;"~"),(COUNTIF($AN$1:$AN3191,$AN3191)=1)),"TRUE","FALSE")</f>
        <v>FALSE</v>
      </c>
      <c r="AH3191" s="661" t="str">
        <f>IF(AND($Y3191&gt;=22, (AI3191&lt;&gt;"I"),(Y3191&lt;&gt;"~"),(COUNTIF($AN$1:$AN3191,$AN3191)=1)),"TRUE","FALSE")</f>
        <v>FALSE</v>
      </c>
      <c r="AI3191" s="661" t="str">
        <f t="shared" si="348"/>
        <v>II</v>
      </c>
      <c r="AJ3191" s="662" t="str">
        <f t="shared" si="342"/>
        <v>RM15-144</v>
      </c>
      <c r="AK3191" s="662" t="str">
        <f t="shared" si="343"/>
        <v>LTK</v>
      </c>
      <c r="AL3191" s="662" t="str">
        <f t="shared" si="344"/>
        <v>RAM</v>
      </c>
      <c r="AM3191" s="662" t="str">
        <f t="shared" si="347"/>
        <v>Ram 1500 Classic-Tradesman Crew Cab-4WD-6-5'7"-7990-5.7L Hemi/3.21 axle-8-DS6L98-27B-140-26-Unleaded-Unleaded</v>
      </c>
      <c r="AN3191" s="662" t="str">
        <f t="shared" si="345"/>
        <v>2019-LTK-RAM-RM15-144</v>
      </c>
    </row>
    <row r="3192" spans="1:40" ht="15">
      <c r="A3192" s="570" t="s">
        <v>5591</v>
      </c>
      <c r="B3192" s="569" t="s">
        <v>5592</v>
      </c>
      <c r="C3192" s="569" t="s">
        <v>226</v>
      </c>
      <c r="D3192" s="580" t="s">
        <v>227</v>
      </c>
      <c r="E3192" s="569" t="s">
        <v>3374</v>
      </c>
      <c r="F3192" s="569" t="s">
        <v>152</v>
      </c>
      <c r="G3192" s="569" t="s">
        <v>3265</v>
      </c>
      <c r="H3192" s="569">
        <v>2019</v>
      </c>
      <c r="I3192" s="569" t="s">
        <v>5502</v>
      </c>
      <c r="J3192" s="569" t="s">
        <v>5450</v>
      </c>
      <c r="K3192" s="569" t="s">
        <v>752</v>
      </c>
      <c r="L3192" s="569">
        <v>6</v>
      </c>
      <c r="M3192" s="569">
        <v>0</v>
      </c>
      <c r="N3192" s="569" t="s">
        <v>157</v>
      </c>
      <c r="O3192" s="569">
        <v>2</v>
      </c>
      <c r="P3192" s="569" t="s">
        <v>5405</v>
      </c>
      <c r="Q3192" s="568">
        <v>7760</v>
      </c>
      <c r="R3192" s="569" t="s">
        <v>5509</v>
      </c>
      <c r="S3192" s="569">
        <v>8</v>
      </c>
      <c r="T3192" s="569" t="s">
        <v>5467</v>
      </c>
      <c r="U3192" s="569" t="s">
        <v>5455</v>
      </c>
      <c r="V3192" s="569">
        <v>149</v>
      </c>
      <c r="W3192" s="569">
        <v>26</v>
      </c>
      <c r="X3192" s="568">
        <v>6900</v>
      </c>
      <c r="Y3192" s="569">
        <v>17</v>
      </c>
      <c r="Z3192" s="581" t="s">
        <v>178</v>
      </c>
      <c r="AA3192" s="581" t="s">
        <v>178</v>
      </c>
      <c r="AB3192" s="585">
        <v>39490</v>
      </c>
      <c r="AC3192" s="585" t="s">
        <v>164</v>
      </c>
      <c r="AD3192" s="585">
        <v>25043</v>
      </c>
      <c r="AE3192" s="587">
        <v>6.25E-2</v>
      </c>
      <c r="AF3192" s="661" t="str">
        <f t="shared" si="346"/>
        <v>2019-LTK-RAM-RM15-145-04</v>
      </c>
      <c r="AG3192" s="661" t="str">
        <f>IF(AND($Y3192&gt;=32,(AI3192="I"),(Y3192&lt;&gt;"~"),(COUNTIF($AN$1:$AN3192,$AN3192)=1)),"TRUE","FALSE")</f>
        <v>FALSE</v>
      </c>
      <c r="AH3192" s="661" t="str">
        <f>IF(AND($Y3192&gt;=22, (AI3192&lt;&gt;"I"),(Y3192&lt;&gt;"~"),(COUNTIF($AN$1:$AN3192,$AN3192)=1)),"TRUE","FALSE")</f>
        <v>FALSE</v>
      </c>
      <c r="AI3192" s="661" t="str">
        <f t="shared" si="348"/>
        <v>II</v>
      </c>
      <c r="AJ3192" s="662" t="str">
        <f t="shared" si="342"/>
        <v>RM15-145</v>
      </c>
      <c r="AK3192" s="662" t="str">
        <f t="shared" si="343"/>
        <v>LTK</v>
      </c>
      <c r="AL3192" s="662" t="str">
        <f t="shared" si="344"/>
        <v>RAM</v>
      </c>
      <c r="AM3192" s="662" t="str">
        <f t="shared" si="347"/>
        <v>Ram 1500 Classic-Tradesman Crew Cab-4WD-6-6'4"-7760-5.7L Hemi/3.21 axle-8-DS6L91-27B-149-26-Unleaded-Unleaded</v>
      </c>
      <c r="AN3192" s="662" t="str">
        <f t="shared" si="345"/>
        <v>2019-LTK-RAM-RM15-145</v>
      </c>
    </row>
    <row r="3193" spans="1:40" ht="15">
      <c r="A3193" s="570" t="s">
        <v>5593</v>
      </c>
      <c r="B3193" s="573" t="s">
        <v>5594</v>
      </c>
      <c r="C3193" s="573" t="s">
        <v>3315</v>
      </c>
      <c r="D3193" s="578" t="s">
        <v>227</v>
      </c>
      <c r="E3193" s="573" t="s">
        <v>3374</v>
      </c>
      <c r="F3193" s="573" t="s">
        <v>152</v>
      </c>
      <c r="G3193" s="573" t="s">
        <v>3265</v>
      </c>
      <c r="H3193" s="573">
        <v>2019</v>
      </c>
      <c r="I3193" s="573" t="s">
        <v>5502</v>
      </c>
      <c r="J3193" s="573" t="s">
        <v>5450</v>
      </c>
      <c r="K3193" s="573" t="s">
        <v>752</v>
      </c>
      <c r="L3193" s="573">
        <v>6</v>
      </c>
      <c r="M3193" s="573">
        <v>0</v>
      </c>
      <c r="N3193" s="573" t="s">
        <v>157</v>
      </c>
      <c r="O3193" s="573">
        <v>2</v>
      </c>
      <c r="P3193" s="573" t="s">
        <v>5351</v>
      </c>
      <c r="Q3193" s="571">
        <v>10170</v>
      </c>
      <c r="R3193" s="573" t="s">
        <v>5522</v>
      </c>
      <c r="S3193" s="573">
        <v>8</v>
      </c>
      <c r="T3193" s="573" t="s">
        <v>5462</v>
      </c>
      <c r="U3193" s="573" t="s">
        <v>5586</v>
      </c>
      <c r="V3193" s="573">
        <v>140</v>
      </c>
      <c r="W3193" s="573">
        <v>26</v>
      </c>
      <c r="X3193" s="571">
        <v>6800</v>
      </c>
      <c r="Y3193" s="573">
        <v>19</v>
      </c>
      <c r="Z3193" s="579" t="s">
        <v>178</v>
      </c>
      <c r="AA3193" s="579" t="s">
        <v>178</v>
      </c>
      <c r="AB3193" s="584">
        <v>40935</v>
      </c>
      <c r="AC3193" s="584" t="s">
        <v>164</v>
      </c>
      <c r="AD3193" s="584">
        <v>26345</v>
      </c>
      <c r="AE3193" s="586">
        <v>6.25E-2</v>
      </c>
      <c r="AF3193" s="661" t="str">
        <f t="shared" si="346"/>
        <v>2019-LTK-RAM-RM15-141-04</v>
      </c>
      <c r="AG3193" s="661" t="str">
        <f>IF(AND($Y3193&gt;=32,(AI3193="I"),(Y3193&lt;&gt;"~"),(COUNTIF($AN$1:$AN3193,$AN3193)=1)),"TRUE","FALSE")</f>
        <v>FALSE</v>
      </c>
      <c r="AH3193" s="661" t="str">
        <f>IF(AND($Y3193&gt;=22, (AI3193&lt;&gt;"I"),(Y3193&lt;&gt;"~"),(COUNTIF($AN$1:$AN3193,$AN3193)=1)),"TRUE","FALSE")</f>
        <v>FALSE</v>
      </c>
      <c r="AI3193" s="661" t="str">
        <f t="shared" si="348"/>
        <v>II</v>
      </c>
      <c r="AJ3193" s="662" t="str">
        <f t="shared" si="342"/>
        <v>RM15-141</v>
      </c>
      <c r="AK3193" s="662" t="str">
        <f t="shared" si="343"/>
        <v>LTK</v>
      </c>
      <c r="AL3193" s="662" t="str">
        <f t="shared" si="344"/>
        <v>RAM</v>
      </c>
      <c r="AM3193" s="662" t="str">
        <f t="shared" si="347"/>
        <v>Ram 1500 Classic-Tradesman Crew Cab-4WD-6-5'7"-10170-5.7 Hemi/3.92 axle-8-DS6L98-26B-140-26-Unleaded-Unleaded</v>
      </c>
      <c r="AN3193" s="662" t="str">
        <f t="shared" si="345"/>
        <v>2019-LTK-RAM-RM15-141</v>
      </c>
    </row>
    <row r="3194" spans="1:40" ht="15">
      <c r="A3194" s="570" t="s">
        <v>5595</v>
      </c>
      <c r="B3194" s="569" t="s">
        <v>5596</v>
      </c>
      <c r="C3194" s="569" t="s">
        <v>3315</v>
      </c>
      <c r="D3194" s="580" t="s">
        <v>227</v>
      </c>
      <c r="E3194" s="569" t="s">
        <v>3374</v>
      </c>
      <c r="F3194" s="569" t="s">
        <v>152</v>
      </c>
      <c r="G3194" s="569" t="s">
        <v>3265</v>
      </c>
      <c r="H3194" s="569">
        <v>2019</v>
      </c>
      <c r="I3194" s="569" t="s">
        <v>5502</v>
      </c>
      <c r="J3194" s="569" t="s">
        <v>5450</v>
      </c>
      <c r="K3194" s="569" t="s">
        <v>752</v>
      </c>
      <c r="L3194" s="569">
        <v>6</v>
      </c>
      <c r="M3194" s="569">
        <v>0</v>
      </c>
      <c r="N3194" s="569" t="s">
        <v>157</v>
      </c>
      <c r="O3194" s="569">
        <v>2</v>
      </c>
      <c r="P3194" s="569" t="s">
        <v>5351</v>
      </c>
      <c r="Q3194" s="568">
        <v>7250</v>
      </c>
      <c r="R3194" s="569" t="s">
        <v>5531</v>
      </c>
      <c r="S3194" s="569">
        <v>6</v>
      </c>
      <c r="T3194" s="569" t="s">
        <v>5462</v>
      </c>
      <c r="U3194" s="569" t="s">
        <v>5452</v>
      </c>
      <c r="V3194" s="569">
        <v>140</v>
      </c>
      <c r="W3194" s="569">
        <v>26</v>
      </c>
      <c r="X3194" s="568">
        <v>6800</v>
      </c>
      <c r="Y3194" s="569">
        <v>19</v>
      </c>
      <c r="Z3194" s="581" t="s">
        <v>450</v>
      </c>
      <c r="AA3194" s="581" t="s">
        <v>178</v>
      </c>
      <c r="AB3194" s="585">
        <v>38985</v>
      </c>
      <c r="AC3194" s="585" t="s">
        <v>164</v>
      </c>
      <c r="AD3194" s="585">
        <v>24611</v>
      </c>
      <c r="AE3194" s="587">
        <v>6.25E-2</v>
      </c>
      <c r="AF3194" s="661" t="str">
        <f t="shared" si="346"/>
        <v>2019-LTK-RAM-RM15-143-04</v>
      </c>
      <c r="AG3194" s="661" t="str">
        <f>IF(AND($Y3194&gt;=32,(AI3194="I"),(Y3194&lt;&gt;"~"),(COUNTIF($AN$1:$AN3194,$AN3194)=1)),"TRUE","FALSE")</f>
        <v>FALSE</v>
      </c>
      <c r="AH3194" s="661" t="str">
        <f>IF(AND($Y3194&gt;=22, (AI3194&lt;&gt;"I"),(Y3194&lt;&gt;"~"),(COUNTIF($AN$1:$AN3194,$AN3194)=1)),"TRUE","FALSE")</f>
        <v>FALSE</v>
      </c>
      <c r="AI3194" s="661" t="str">
        <f t="shared" si="348"/>
        <v>II</v>
      </c>
      <c r="AJ3194" s="662" t="str">
        <f t="shared" si="342"/>
        <v>RM15-143</v>
      </c>
      <c r="AK3194" s="662" t="str">
        <f t="shared" si="343"/>
        <v>LTK</v>
      </c>
      <c r="AL3194" s="662" t="str">
        <f t="shared" si="344"/>
        <v>RAM</v>
      </c>
      <c r="AM3194" s="662" t="str">
        <f t="shared" si="347"/>
        <v>Ram 1500 Classic-Tradesman Crew Cab-4WD-6-5'7"-7250-3.6L V6/3.55 axle-6-DS6L98-22B-140-26-E85-Unleaded</v>
      </c>
      <c r="AN3194" s="662" t="str">
        <f t="shared" si="345"/>
        <v>2019-LTK-RAM-RM15-143</v>
      </c>
    </row>
    <row r="3195" spans="1:40" ht="15">
      <c r="A3195" s="570" t="s">
        <v>5597</v>
      </c>
      <c r="B3195" s="573" t="s">
        <v>5598</v>
      </c>
      <c r="C3195" s="573" t="s">
        <v>3315</v>
      </c>
      <c r="D3195" s="578" t="s">
        <v>227</v>
      </c>
      <c r="E3195" s="573" t="s">
        <v>3374</v>
      </c>
      <c r="F3195" s="573" t="s">
        <v>152</v>
      </c>
      <c r="G3195" s="573" t="s">
        <v>3265</v>
      </c>
      <c r="H3195" s="573">
        <v>2019</v>
      </c>
      <c r="I3195" s="573" t="s">
        <v>5502</v>
      </c>
      <c r="J3195" s="573" t="s">
        <v>5450</v>
      </c>
      <c r="K3195" s="573" t="s">
        <v>752</v>
      </c>
      <c r="L3195" s="573">
        <v>6</v>
      </c>
      <c r="M3195" s="573">
        <v>0</v>
      </c>
      <c r="N3195" s="573" t="s">
        <v>157</v>
      </c>
      <c r="O3195" s="573">
        <v>2</v>
      </c>
      <c r="P3195" s="573" t="s">
        <v>5405</v>
      </c>
      <c r="Q3195" s="571">
        <v>9810</v>
      </c>
      <c r="R3195" s="573" t="s">
        <v>5515</v>
      </c>
      <c r="S3195" s="573">
        <v>8</v>
      </c>
      <c r="T3195" s="573" t="s">
        <v>5467</v>
      </c>
      <c r="U3195" s="573" t="s">
        <v>5586</v>
      </c>
      <c r="V3195" s="573">
        <v>149</v>
      </c>
      <c r="W3195" s="573">
        <v>26</v>
      </c>
      <c r="X3195" s="571">
        <v>6800</v>
      </c>
      <c r="Y3195" s="573">
        <v>19</v>
      </c>
      <c r="Z3195" s="579" t="s">
        <v>178</v>
      </c>
      <c r="AA3195" s="579" t="s">
        <v>178</v>
      </c>
      <c r="AB3195" s="584">
        <v>39585</v>
      </c>
      <c r="AC3195" s="584" t="s">
        <v>164</v>
      </c>
      <c r="AD3195" s="584">
        <v>25138</v>
      </c>
      <c r="AE3195" s="586">
        <v>6.25E-2</v>
      </c>
      <c r="AF3195" s="661" t="str">
        <f t="shared" si="346"/>
        <v>2019-LTK-RAM-RM15-146-04</v>
      </c>
      <c r="AG3195" s="661" t="str">
        <f>IF(AND($Y3195&gt;=32,(AI3195="I"),(Y3195&lt;&gt;"~"),(COUNTIF($AN$1:$AN3195,$AN3195)=1)),"TRUE","FALSE")</f>
        <v>FALSE</v>
      </c>
      <c r="AH3195" s="661" t="str">
        <f>IF(AND($Y3195&gt;=22, (AI3195&lt;&gt;"I"),(Y3195&lt;&gt;"~"),(COUNTIF($AN$1:$AN3195,$AN3195)=1)),"TRUE","FALSE")</f>
        <v>FALSE</v>
      </c>
      <c r="AI3195" s="661" t="str">
        <f t="shared" si="348"/>
        <v>II</v>
      </c>
      <c r="AJ3195" s="662" t="str">
        <f t="shared" si="342"/>
        <v>RM15-146</v>
      </c>
      <c r="AK3195" s="662" t="str">
        <f t="shared" si="343"/>
        <v>LTK</v>
      </c>
      <c r="AL3195" s="662" t="str">
        <f t="shared" si="344"/>
        <v>RAM</v>
      </c>
      <c r="AM3195" s="662" t="str">
        <f t="shared" si="347"/>
        <v>Ram 1500 Classic-Tradesman Crew Cab-4WD-6-6'4"-9810-5.7L Hemi/3.92axle-8-DS6L91-26B-149-26-Unleaded-Unleaded</v>
      </c>
      <c r="AN3195" s="662" t="str">
        <f t="shared" si="345"/>
        <v>2019-LTK-RAM-RM15-146</v>
      </c>
    </row>
    <row r="3196" spans="1:40" ht="15">
      <c r="A3196" s="570" t="s">
        <v>5599</v>
      </c>
      <c r="B3196" s="569" t="s">
        <v>5600</v>
      </c>
      <c r="C3196" s="569" t="s">
        <v>226</v>
      </c>
      <c r="D3196" s="580" t="s">
        <v>227</v>
      </c>
      <c r="E3196" s="569" t="s">
        <v>3374</v>
      </c>
      <c r="F3196" s="569" t="s">
        <v>152</v>
      </c>
      <c r="G3196" s="569" t="s">
        <v>3265</v>
      </c>
      <c r="H3196" s="569">
        <v>2019</v>
      </c>
      <c r="I3196" s="569" t="s">
        <v>5502</v>
      </c>
      <c r="J3196" s="569" t="s">
        <v>5470</v>
      </c>
      <c r="K3196" s="569" t="s">
        <v>3377</v>
      </c>
      <c r="L3196" s="569">
        <v>6</v>
      </c>
      <c r="M3196" s="569">
        <v>0</v>
      </c>
      <c r="N3196" s="569" t="s">
        <v>157</v>
      </c>
      <c r="O3196" s="569">
        <v>2</v>
      </c>
      <c r="P3196" s="569" t="s">
        <v>5405</v>
      </c>
      <c r="Q3196" s="568">
        <v>4610</v>
      </c>
      <c r="R3196" s="569" t="s">
        <v>5503</v>
      </c>
      <c r="S3196" s="569">
        <v>6</v>
      </c>
      <c r="T3196" s="569" t="s">
        <v>5471</v>
      </c>
      <c r="U3196" s="569" t="s">
        <v>5452</v>
      </c>
      <c r="V3196" s="569">
        <v>140</v>
      </c>
      <c r="W3196" s="569">
        <v>32</v>
      </c>
      <c r="X3196" s="568">
        <v>6800</v>
      </c>
      <c r="Y3196" s="569">
        <v>20</v>
      </c>
      <c r="Z3196" s="581" t="s">
        <v>450</v>
      </c>
      <c r="AA3196" s="581" t="s">
        <v>178</v>
      </c>
      <c r="AB3196" s="585">
        <v>32790</v>
      </c>
      <c r="AC3196" s="585" t="s">
        <v>164</v>
      </c>
      <c r="AD3196" s="585">
        <v>20169</v>
      </c>
      <c r="AE3196" s="587">
        <v>6.25E-2</v>
      </c>
      <c r="AF3196" s="661" t="str">
        <f t="shared" si="346"/>
        <v>2019-LTK-RAM-RM15-147-04</v>
      </c>
      <c r="AG3196" s="661" t="str">
        <f>IF(AND($Y3196&gt;=32,(AI3196="I"),(Y3196&lt;&gt;"~"),(COUNTIF($AN$1:$AN3196,$AN3196)=1)),"TRUE","FALSE")</f>
        <v>FALSE</v>
      </c>
      <c r="AH3196" s="661" t="str">
        <f>IF(AND($Y3196&gt;=22, (AI3196&lt;&gt;"I"),(Y3196&lt;&gt;"~"),(COUNTIF($AN$1:$AN3196,$AN3196)=1)),"TRUE","FALSE")</f>
        <v>FALSE</v>
      </c>
      <c r="AI3196" s="661" t="str">
        <f t="shared" si="348"/>
        <v>II</v>
      </c>
      <c r="AJ3196" s="662" t="str">
        <f t="shared" si="342"/>
        <v>RM15-147</v>
      </c>
      <c r="AK3196" s="662" t="str">
        <f t="shared" si="343"/>
        <v>LTK</v>
      </c>
      <c r="AL3196" s="662" t="str">
        <f t="shared" si="344"/>
        <v>RAM</v>
      </c>
      <c r="AM3196" s="662" t="str">
        <f t="shared" si="347"/>
        <v>Ram 1500 Classic-Tradesman Quad Cab-2WD-6-6'4"-4610-3.6L V6/3.21 axle-6-DS1L41-22B-140-32-E85-Unleaded</v>
      </c>
      <c r="AN3196" s="662" t="str">
        <f t="shared" si="345"/>
        <v>2019-LTK-RAM-RM15-147</v>
      </c>
    </row>
    <row r="3197" spans="1:40" ht="15">
      <c r="A3197" s="570" t="s">
        <v>5601</v>
      </c>
      <c r="B3197" s="573" t="s">
        <v>5602</v>
      </c>
      <c r="C3197" s="573" t="s">
        <v>226</v>
      </c>
      <c r="D3197" s="578" t="s">
        <v>227</v>
      </c>
      <c r="E3197" s="573" t="s">
        <v>3374</v>
      </c>
      <c r="F3197" s="573" t="s">
        <v>152</v>
      </c>
      <c r="G3197" s="573" t="s">
        <v>3265</v>
      </c>
      <c r="H3197" s="573">
        <v>2019</v>
      </c>
      <c r="I3197" s="573" t="s">
        <v>5502</v>
      </c>
      <c r="J3197" s="573" t="s">
        <v>5470</v>
      </c>
      <c r="K3197" s="573" t="s">
        <v>3377</v>
      </c>
      <c r="L3197" s="573">
        <v>6</v>
      </c>
      <c r="M3197" s="573">
        <v>0</v>
      </c>
      <c r="N3197" s="573" t="s">
        <v>157</v>
      </c>
      <c r="O3197" s="573">
        <v>2</v>
      </c>
      <c r="P3197" s="573" t="s">
        <v>5458</v>
      </c>
      <c r="Q3197" s="571">
        <v>8160</v>
      </c>
      <c r="R3197" s="573" t="s">
        <v>5509</v>
      </c>
      <c r="S3197" s="573">
        <v>8</v>
      </c>
      <c r="T3197" s="573" t="s">
        <v>5471</v>
      </c>
      <c r="U3197" s="573" t="s">
        <v>5455</v>
      </c>
      <c r="V3197" s="573">
        <v>140</v>
      </c>
      <c r="W3197" s="573">
        <v>32</v>
      </c>
      <c r="X3197" s="571">
        <v>6800</v>
      </c>
      <c r="Y3197" s="573">
        <v>17</v>
      </c>
      <c r="Z3197" s="579" t="s">
        <v>178</v>
      </c>
      <c r="AA3197" s="579" t="s">
        <v>178</v>
      </c>
      <c r="AB3197" s="584">
        <v>34740</v>
      </c>
      <c r="AC3197" s="584" t="s">
        <v>164</v>
      </c>
      <c r="AD3197" s="584">
        <v>21903</v>
      </c>
      <c r="AE3197" s="586">
        <v>6.25E-2</v>
      </c>
      <c r="AF3197" s="661" t="str">
        <f t="shared" si="346"/>
        <v>2019-LTK-RAM-RM15-150-04</v>
      </c>
      <c r="AG3197" s="661" t="str">
        <f>IF(AND($Y3197&gt;=32,(AI3197="I"),(Y3197&lt;&gt;"~"),(COUNTIF($AN$1:$AN3197,$AN3197)=1)),"TRUE","FALSE")</f>
        <v>FALSE</v>
      </c>
      <c r="AH3197" s="661" t="str">
        <f>IF(AND($Y3197&gt;=22, (AI3197&lt;&gt;"I"),(Y3197&lt;&gt;"~"),(COUNTIF($AN$1:$AN3197,$AN3197)=1)),"TRUE","FALSE")</f>
        <v>FALSE</v>
      </c>
      <c r="AI3197" s="661" t="str">
        <f t="shared" si="348"/>
        <v>II</v>
      </c>
      <c r="AJ3197" s="662" t="str">
        <f t="shared" si="342"/>
        <v>RM15-150</v>
      </c>
      <c r="AK3197" s="662" t="str">
        <f t="shared" si="343"/>
        <v>LTK</v>
      </c>
      <c r="AL3197" s="662" t="str">
        <f t="shared" si="344"/>
        <v>RAM</v>
      </c>
      <c r="AM3197" s="662" t="str">
        <f t="shared" si="347"/>
        <v>Ram 1500 Classic-Tradesman Quad Cab-2WD-6-6'4'-8160-5.7L Hemi/3.21 axle-8-DS1L41-27B-140-32-Unleaded-Unleaded</v>
      </c>
      <c r="AN3197" s="662" t="str">
        <f t="shared" si="345"/>
        <v>2019-LTK-RAM-RM15-150</v>
      </c>
    </row>
    <row r="3198" spans="1:40" ht="15">
      <c r="A3198" s="570" t="s">
        <v>5603</v>
      </c>
      <c r="B3198" s="569" t="s">
        <v>5604</v>
      </c>
      <c r="C3198" s="569" t="s">
        <v>3315</v>
      </c>
      <c r="D3198" s="580" t="s">
        <v>227</v>
      </c>
      <c r="E3198" s="569" t="s">
        <v>3374</v>
      </c>
      <c r="F3198" s="569" t="s">
        <v>152</v>
      </c>
      <c r="G3198" s="569" t="s">
        <v>3265</v>
      </c>
      <c r="H3198" s="569">
        <v>2019</v>
      </c>
      <c r="I3198" s="569" t="s">
        <v>5502</v>
      </c>
      <c r="J3198" s="569" t="s">
        <v>5470</v>
      </c>
      <c r="K3198" s="569" t="s">
        <v>3377</v>
      </c>
      <c r="L3198" s="569">
        <v>6</v>
      </c>
      <c r="M3198" s="569">
        <v>0</v>
      </c>
      <c r="N3198" s="569" t="s">
        <v>157</v>
      </c>
      <c r="O3198" s="569">
        <v>2</v>
      </c>
      <c r="P3198" s="569" t="s">
        <v>5405</v>
      </c>
      <c r="Q3198" s="568">
        <v>7600</v>
      </c>
      <c r="R3198" s="569" t="s">
        <v>5531</v>
      </c>
      <c r="S3198" s="569">
        <v>6</v>
      </c>
      <c r="T3198" s="569" t="s">
        <v>5471</v>
      </c>
      <c r="U3198" s="569" t="s">
        <v>5452</v>
      </c>
      <c r="V3198" s="569">
        <v>140</v>
      </c>
      <c r="W3198" s="569">
        <v>26</v>
      </c>
      <c r="X3198" s="568">
        <v>6700</v>
      </c>
      <c r="Y3198" s="569">
        <v>20</v>
      </c>
      <c r="Z3198" s="581" t="s">
        <v>450</v>
      </c>
      <c r="AA3198" s="581" t="s">
        <v>178</v>
      </c>
      <c r="AB3198" s="585">
        <v>32885</v>
      </c>
      <c r="AC3198" s="585" t="s">
        <v>164</v>
      </c>
      <c r="AD3198" s="585">
        <v>20264</v>
      </c>
      <c r="AE3198" s="587">
        <v>6.25E-2</v>
      </c>
      <c r="AF3198" s="661" t="str">
        <f t="shared" si="346"/>
        <v>2019-LTK-RAM-RM15-148-04</v>
      </c>
      <c r="AG3198" s="661" t="str">
        <f>IF(AND($Y3198&gt;=32,(AI3198="I"),(Y3198&lt;&gt;"~"),(COUNTIF($AN$1:$AN3198,$AN3198)=1)),"TRUE","FALSE")</f>
        <v>FALSE</v>
      </c>
      <c r="AH3198" s="661" t="str">
        <f>IF(AND($Y3198&gt;=22, (AI3198&lt;&gt;"I"),(Y3198&lt;&gt;"~"),(COUNTIF($AN$1:$AN3198,$AN3198)=1)),"TRUE","FALSE")</f>
        <v>FALSE</v>
      </c>
      <c r="AI3198" s="661" t="str">
        <f t="shared" si="348"/>
        <v>II</v>
      </c>
      <c r="AJ3198" s="662" t="str">
        <f t="shared" si="342"/>
        <v>RM15-148</v>
      </c>
      <c r="AK3198" s="662" t="str">
        <f t="shared" si="343"/>
        <v>LTK</v>
      </c>
      <c r="AL3198" s="662" t="str">
        <f t="shared" si="344"/>
        <v>RAM</v>
      </c>
      <c r="AM3198" s="662" t="str">
        <f t="shared" si="347"/>
        <v>Ram 1500 Classic-Tradesman Quad Cab-2WD-6-6'4"-7600-3.6L V6/3.55 axle-6-DS1L41-22B-140-26-E85-Unleaded</v>
      </c>
      <c r="AN3198" s="662" t="str">
        <f t="shared" si="345"/>
        <v>2019-LTK-RAM-RM15-148</v>
      </c>
    </row>
    <row r="3199" spans="1:40" ht="15">
      <c r="A3199" s="570" t="s">
        <v>5605</v>
      </c>
      <c r="B3199" s="573" t="s">
        <v>5606</v>
      </c>
      <c r="C3199" s="573" t="s">
        <v>3315</v>
      </c>
      <c r="D3199" s="578" t="s">
        <v>227</v>
      </c>
      <c r="E3199" s="573" t="s">
        <v>3374</v>
      </c>
      <c r="F3199" s="573" t="s">
        <v>152</v>
      </c>
      <c r="G3199" s="573" t="s">
        <v>3265</v>
      </c>
      <c r="H3199" s="573">
        <v>2019</v>
      </c>
      <c r="I3199" s="573" t="s">
        <v>5502</v>
      </c>
      <c r="J3199" s="573" t="s">
        <v>5470</v>
      </c>
      <c r="K3199" s="573" t="s">
        <v>3377</v>
      </c>
      <c r="L3199" s="573">
        <v>6</v>
      </c>
      <c r="M3199" s="573">
        <v>0</v>
      </c>
      <c r="N3199" s="573" t="s">
        <v>157</v>
      </c>
      <c r="O3199" s="573">
        <v>2</v>
      </c>
      <c r="P3199" s="573" t="s">
        <v>5458</v>
      </c>
      <c r="Q3199" s="571">
        <v>10340</v>
      </c>
      <c r="R3199" s="573" t="s">
        <v>5515</v>
      </c>
      <c r="S3199" s="573">
        <v>8</v>
      </c>
      <c r="T3199" s="573" t="s">
        <v>5471</v>
      </c>
      <c r="U3199" s="573" t="s">
        <v>5455</v>
      </c>
      <c r="V3199" s="573">
        <v>140</v>
      </c>
      <c r="W3199" s="573">
        <v>26</v>
      </c>
      <c r="X3199" s="571">
        <v>6700</v>
      </c>
      <c r="Y3199" s="573">
        <v>17</v>
      </c>
      <c r="Z3199" s="579" t="s">
        <v>178</v>
      </c>
      <c r="AA3199" s="579" t="s">
        <v>178</v>
      </c>
      <c r="AB3199" s="584">
        <v>34835</v>
      </c>
      <c r="AC3199" s="584" t="s">
        <v>164</v>
      </c>
      <c r="AD3199" s="584">
        <v>21998</v>
      </c>
      <c r="AE3199" s="586">
        <v>6.25E-2</v>
      </c>
      <c r="AF3199" s="661" t="str">
        <f t="shared" si="346"/>
        <v>2019-LTK-RAM-RM15-149-04</v>
      </c>
      <c r="AG3199" s="661" t="str">
        <f>IF(AND($Y3199&gt;=32,(AI3199="I"),(Y3199&lt;&gt;"~"),(COUNTIF($AN$1:$AN3199,$AN3199)=1)),"TRUE","FALSE")</f>
        <v>FALSE</v>
      </c>
      <c r="AH3199" s="661" t="str">
        <f>IF(AND($Y3199&gt;=22, (AI3199&lt;&gt;"I"),(Y3199&lt;&gt;"~"),(COUNTIF($AN$1:$AN3199,$AN3199)=1)),"TRUE","FALSE")</f>
        <v>FALSE</v>
      </c>
      <c r="AI3199" s="661" t="str">
        <f t="shared" si="348"/>
        <v>II</v>
      </c>
      <c r="AJ3199" s="662" t="str">
        <f t="shared" si="342"/>
        <v>RM15-149</v>
      </c>
      <c r="AK3199" s="662" t="str">
        <f t="shared" si="343"/>
        <v>LTK</v>
      </c>
      <c r="AL3199" s="662" t="str">
        <f t="shared" si="344"/>
        <v>RAM</v>
      </c>
      <c r="AM3199" s="662" t="str">
        <f t="shared" si="347"/>
        <v>Ram 1500 Classic-Tradesman Quad Cab-2WD-6-6'4'-10340-5.7L Hemi/3.92axle-8-DS1L41-27B-140-26-Unleaded-Unleaded</v>
      </c>
      <c r="AN3199" s="662" t="str">
        <f t="shared" si="345"/>
        <v>2019-LTK-RAM-RM15-149</v>
      </c>
    </row>
    <row r="3200" spans="1:40" ht="15">
      <c r="A3200" s="570" t="s">
        <v>5607</v>
      </c>
      <c r="B3200" s="569" t="s">
        <v>5608</v>
      </c>
      <c r="C3200" s="569" t="s">
        <v>3315</v>
      </c>
      <c r="D3200" s="580" t="s">
        <v>227</v>
      </c>
      <c r="E3200" s="569" t="s">
        <v>3374</v>
      </c>
      <c r="F3200" s="569" t="s">
        <v>152</v>
      </c>
      <c r="G3200" s="569" t="s">
        <v>3265</v>
      </c>
      <c r="H3200" s="569">
        <v>2019</v>
      </c>
      <c r="I3200" s="569" t="s">
        <v>5502</v>
      </c>
      <c r="J3200" s="569" t="s">
        <v>5470</v>
      </c>
      <c r="K3200" s="569" t="s">
        <v>752</v>
      </c>
      <c r="L3200" s="569">
        <v>6</v>
      </c>
      <c r="M3200" s="569">
        <v>0</v>
      </c>
      <c r="N3200" s="569" t="s">
        <v>157</v>
      </c>
      <c r="O3200" s="569">
        <v>2</v>
      </c>
      <c r="P3200" s="569" t="s">
        <v>5405</v>
      </c>
      <c r="Q3200" s="568">
        <v>4430</v>
      </c>
      <c r="R3200" s="569" t="s">
        <v>5503</v>
      </c>
      <c r="S3200" s="569">
        <v>6</v>
      </c>
      <c r="T3200" s="569" t="s">
        <v>5476</v>
      </c>
      <c r="U3200" s="569" t="s">
        <v>5452</v>
      </c>
      <c r="V3200" s="569">
        <v>140.5</v>
      </c>
      <c r="W3200" s="569">
        <v>26</v>
      </c>
      <c r="X3200" s="568">
        <v>6800</v>
      </c>
      <c r="Y3200" s="569">
        <v>19</v>
      </c>
      <c r="Z3200" s="581" t="s">
        <v>450</v>
      </c>
      <c r="AA3200" s="581" t="s">
        <v>178</v>
      </c>
      <c r="AB3200" s="585">
        <v>36390</v>
      </c>
      <c r="AC3200" s="585" t="s">
        <v>164</v>
      </c>
      <c r="AD3200" s="585">
        <v>23329</v>
      </c>
      <c r="AE3200" s="587">
        <v>6.25E-2</v>
      </c>
      <c r="AF3200" s="661" t="str">
        <f t="shared" si="346"/>
        <v>2019-LTK-RAM-RM15-151-04</v>
      </c>
      <c r="AG3200" s="661" t="str">
        <f>IF(AND($Y3200&gt;=32,(AI3200="I"),(Y3200&lt;&gt;"~"),(COUNTIF($AN$1:$AN3200,$AN3200)=1)),"TRUE","FALSE")</f>
        <v>FALSE</v>
      </c>
      <c r="AH3200" s="661" t="str">
        <f>IF(AND($Y3200&gt;=22, (AI3200&lt;&gt;"I"),(Y3200&lt;&gt;"~"),(COUNTIF($AN$1:$AN3200,$AN3200)=1)),"TRUE","FALSE")</f>
        <v>FALSE</v>
      </c>
      <c r="AI3200" s="661" t="str">
        <f t="shared" si="348"/>
        <v>II</v>
      </c>
      <c r="AJ3200" s="662" t="str">
        <f t="shared" si="342"/>
        <v>RM15-151</v>
      </c>
      <c r="AK3200" s="662" t="str">
        <f t="shared" si="343"/>
        <v>LTK</v>
      </c>
      <c r="AL3200" s="662" t="str">
        <f t="shared" si="344"/>
        <v>RAM</v>
      </c>
      <c r="AM3200" s="662" t="str">
        <f t="shared" si="347"/>
        <v>Ram 1500 Classic-Tradesman Quad Cab-4WD-6-6'4"-4430-3.6L V6/3.21 axle-6-DS6L41-22B-140.5-26-E85-Unleaded</v>
      </c>
      <c r="AN3200" s="662" t="str">
        <f t="shared" si="345"/>
        <v>2019-LTK-RAM-RM15-151</v>
      </c>
    </row>
    <row r="3201" spans="1:40" ht="15">
      <c r="A3201" s="570" t="s">
        <v>5609</v>
      </c>
      <c r="B3201" s="573" t="s">
        <v>5610</v>
      </c>
      <c r="C3201" s="573" t="s">
        <v>3315</v>
      </c>
      <c r="D3201" s="578" t="s">
        <v>227</v>
      </c>
      <c r="E3201" s="573" t="s">
        <v>3374</v>
      </c>
      <c r="F3201" s="573" t="s">
        <v>152</v>
      </c>
      <c r="G3201" s="573" t="s">
        <v>3265</v>
      </c>
      <c r="H3201" s="573">
        <v>2019</v>
      </c>
      <c r="I3201" s="573" t="s">
        <v>5502</v>
      </c>
      <c r="J3201" s="573" t="s">
        <v>5470</v>
      </c>
      <c r="K3201" s="573" t="s">
        <v>752</v>
      </c>
      <c r="L3201" s="573">
        <v>6</v>
      </c>
      <c r="M3201" s="573">
        <v>0</v>
      </c>
      <c r="N3201" s="573" t="s">
        <v>157</v>
      </c>
      <c r="O3201" s="573">
        <v>2</v>
      </c>
      <c r="P3201" s="573" t="s">
        <v>5405</v>
      </c>
      <c r="Q3201" s="571">
        <v>7430</v>
      </c>
      <c r="R3201" s="573" t="s">
        <v>5531</v>
      </c>
      <c r="S3201" s="573">
        <v>6</v>
      </c>
      <c r="T3201" s="573" t="s">
        <v>5476</v>
      </c>
      <c r="U3201" s="573" t="s">
        <v>5452</v>
      </c>
      <c r="V3201" s="573">
        <v>140.5</v>
      </c>
      <c r="W3201" s="573">
        <v>26</v>
      </c>
      <c r="X3201" s="571">
        <v>6600</v>
      </c>
      <c r="Y3201" s="573">
        <v>19</v>
      </c>
      <c r="Z3201" s="579" t="s">
        <v>450</v>
      </c>
      <c r="AA3201" s="579" t="s">
        <v>178</v>
      </c>
      <c r="AB3201" s="584">
        <v>39485</v>
      </c>
      <c r="AC3201" s="584" t="s">
        <v>164</v>
      </c>
      <c r="AD3201" s="584">
        <v>23424</v>
      </c>
      <c r="AE3201" s="586">
        <v>6.25E-2</v>
      </c>
      <c r="AF3201" s="661" t="str">
        <f t="shared" si="346"/>
        <v>2019-LTK-RAM-RM15-152-04</v>
      </c>
      <c r="AG3201" s="661" t="str">
        <f>IF(AND($Y3201&gt;=32,(AI3201="I"),(Y3201&lt;&gt;"~"),(COUNTIF($AN$1:$AN3201,$AN3201)=1)),"TRUE","FALSE")</f>
        <v>FALSE</v>
      </c>
      <c r="AH3201" s="661" t="str">
        <f>IF(AND($Y3201&gt;=22, (AI3201&lt;&gt;"I"),(Y3201&lt;&gt;"~"),(COUNTIF($AN$1:$AN3201,$AN3201)=1)),"TRUE","FALSE")</f>
        <v>FALSE</v>
      </c>
      <c r="AI3201" s="661" t="str">
        <f t="shared" si="348"/>
        <v>II</v>
      </c>
      <c r="AJ3201" s="662" t="str">
        <f t="shared" si="342"/>
        <v>RM15-152</v>
      </c>
      <c r="AK3201" s="662" t="str">
        <f t="shared" si="343"/>
        <v>LTK</v>
      </c>
      <c r="AL3201" s="662" t="str">
        <f t="shared" si="344"/>
        <v>RAM</v>
      </c>
      <c r="AM3201" s="662" t="str">
        <f t="shared" si="347"/>
        <v>Ram 1500 Classic-Tradesman Quad Cab-4WD-6-6'4"-7430-3.6L V6/3.55 axle-6-DS6L41-22B-140.5-26-E85-Unleaded</v>
      </c>
      <c r="AN3201" s="662" t="str">
        <f t="shared" si="345"/>
        <v>2019-LTK-RAM-RM15-152</v>
      </c>
    </row>
    <row r="3202" spans="1:40" ht="15">
      <c r="A3202" s="570" t="s">
        <v>5611</v>
      </c>
      <c r="B3202" s="569" t="s">
        <v>5612</v>
      </c>
      <c r="C3202" s="569" t="s">
        <v>3315</v>
      </c>
      <c r="D3202" s="580" t="s">
        <v>227</v>
      </c>
      <c r="E3202" s="569" t="s">
        <v>3374</v>
      </c>
      <c r="F3202" s="569" t="s">
        <v>152</v>
      </c>
      <c r="G3202" s="569" t="s">
        <v>3265</v>
      </c>
      <c r="H3202" s="569">
        <v>2019</v>
      </c>
      <c r="I3202" s="569" t="s">
        <v>5502</v>
      </c>
      <c r="J3202" s="569" t="s">
        <v>5470</v>
      </c>
      <c r="K3202" s="569" t="s">
        <v>752</v>
      </c>
      <c r="L3202" s="569">
        <v>6</v>
      </c>
      <c r="M3202" s="569">
        <v>0</v>
      </c>
      <c r="N3202" s="569" t="s">
        <v>157</v>
      </c>
      <c r="O3202" s="569">
        <v>2</v>
      </c>
      <c r="P3202" s="569" t="s">
        <v>5458</v>
      </c>
      <c r="Q3202" s="568">
        <v>10210</v>
      </c>
      <c r="R3202" s="569" t="s">
        <v>5515</v>
      </c>
      <c r="S3202" s="569">
        <v>8</v>
      </c>
      <c r="T3202" s="569" t="s">
        <v>5476</v>
      </c>
      <c r="U3202" s="569" t="s">
        <v>5586</v>
      </c>
      <c r="V3202" s="569">
        <v>140.5</v>
      </c>
      <c r="W3202" s="569">
        <v>26</v>
      </c>
      <c r="X3202" s="568">
        <v>6600</v>
      </c>
      <c r="Y3202" s="569">
        <v>19</v>
      </c>
      <c r="Z3202" s="581" t="s">
        <v>178</v>
      </c>
      <c r="AA3202" s="581" t="s">
        <v>178</v>
      </c>
      <c r="AB3202" s="585">
        <v>38435</v>
      </c>
      <c r="AC3202" s="585" t="s">
        <v>164</v>
      </c>
      <c r="AD3202" s="585">
        <v>25358</v>
      </c>
      <c r="AE3202" s="587">
        <v>6.25E-2</v>
      </c>
      <c r="AF3202" s="661" t="str">
        <f t="shared" si="346"/>
        <v>2019-LTK-RAM-RM15-153-04</v>
      </c>
      <c r="AG3202" s="661" t="str">
        <f>IF(AND($Y3202&gt;=32,(AI3202="I"),(Y3202&lt;&gt;"~"),(COUNTIF($AN$1:$AN3202,$AN3202)=1)),"TRUE","FALSE")</f>
        <v>FALSE</v>
      </c>
      <c r="AH3202" s="661" t="str">
        <f>IF(AND($Y3202&gt;=22, (AI3202&lt;&gt;"I"),(Y3202&lt;&gt;"~"),(COUNTIF($AN$1:$AN3202,$AN3202)=1)),"TRUE","FALSE")</f>
        <v>FALSE</v>
      </c>
      <c r="AI3202" s="661" t="str">
        <f t="shared" si="348"/>
        <v>II</v>
      </c>
      <c r="AJ3202" s="662" t="str">
        <f t="shared" si="342"/>
        <v>RM15-153</v>
      </c>
      <c r="AK3202" s="662" t="str">
        <f t="shared" si="343"/>
        <v>LTK</v>
      </c>
      <c r="AL3202" s="662" t="str">
        <f t="shared" si="344"/>
        <v>RAM</v>
      </c>
      <c r="AM3202" s="662" t="str">
        <f t="shared" si="347"/>
        <v>Ram 1500 Classic-Tradesman Quad Cab-4WD-6-6'4'-10210-5.7L Hemi/3.92axle-8-DS6L41-26B-140.5-26-Unleaded-Unleaded</v>
      </c>
      <c r="AN3202" s="662" t="str">
        <f t="shared" si="345"/>
        <v>2019-LTK-RAM-RM15-153</v>
      </c>
    </row>
    <row r="3203" spans="1:40" ht="15">
      <c r="A3203" s="570" t="s">
        <v>5613</v>
      </c>
      <c r="B3203" s="573" t="s">
        <v>5614</v>
      </c>
      <c r="C3203" s="573" t="s">
        <v>3315</v>
      </c>
      <c r="D3203" s="578" t="s">
        <v>227</v>
      </c>
      <c r="E3203" s="573" t="s">
        <v>3374</v>
      </c>
      <c r="F3203" s="573" t="s">
        <v>152</v>
      </c>
      <c r="G3203" s="573" t="s">
        <v>3265</v>
      </c>
      <c r="H3203" s="573">
        <v>2019</v>
      </c>
      <c r="I3203" s="573" t="s">
        <v>5502</v>
      </c>
      <c r="J3203" s="573" t="s">
        <v>5470</v>
      </c>
      <c r="K3203" s="573" t="s">
        <v>752</v>
      </c>
      <c r="L3203" s="573">
        <v>6</v>
      </c>
      <c r="M3203" s="573">
        <v>0</v>
      </c>
      <c r="N3203" s="573" t="s">
        <v>157</v>
      </c>
      <c r="O3203" s="573">
        <v>2</v>
      </c>
      <c r="P3203" s="573" t="s">
        <v>5458</v>
      </c>
      <c r="Q3203" s="571">
        <v>8040</v>
      </c>
      <c r="R3203" s="573" t="s">
        <v>5509</v>
      </c>
      <c r="S3203" s="573">
        <v>8</v>
      </c>
      <c r="T3203" s="573" t="s">
        <v>5476</v>
      </c>
      <c r="U3203" s="573" t="s">
        <v>5586</v>
      </c>
      <c r="V3203" s="573">
        <v>140</v>
      </c>
      <c r="W3203" s="573">
        <v>26</v>
      </c>
      <c r="X3203" s="571">
        <v>6800</v>
      </c>
      <c r="Y3203" s="573">
        <v>17</v>
      </c>
      <c r="Z3203" s="579" t="s">
        <v>178</v>
      </c>
      <c r="AA3203" s="579" t="s">
        <v>178</v>
      </c>
      <c r="AB3203" s="584">
        <v>38340</v>
      </c>
      <c r="AC3203" s="584" t="s">
        <v>164</v>
      </c>
      <c r="AD3203" s="584">
        <v>25063</v>
      </c>
      <c r="AE3203" s="586">
        <v>6.25E-2</v>
      </c>
      <c r="AF3203" s="661" t="str">
        <f t="shared" si="346"/>
        <v>2019-LTK-RAM-RM15-154-04</v>
      </c>
      <c r="AG3203" s="661" t="str">
        <f>IF(AND($Y3203&gt;=32,(AI3203="I"),(Y3203&lt;&gt;"~"),(COUNTIF($AN$1:$AN3203,$AN3203)=1)),"TRUE","FALSE")</f>
        <v>FALSE</v>
      </c>
      <c r="AH3203" s="661" t="str">
        <f>IF(AND($Y3203&gt;=22, (AI3203&lt;&gt;"I"),(Y3203&lt;&gt;"~"),(COUNTIF($AN$1:$AN3203,$AN3203)=1)),"TRUE","FALSE")</f>
        <v>FALSE</v>
      </c>
      <c r="AI3203" s="661" t="str">
        <f t="shared" si="348"/>
        <v>II</v>
      </c>
      <c r="AJ3203" s="662" t="str">
        <f t="shared" ref="AJ3203:AJ3266" si="349">MID(A3203,14,8)</f>
        <v>RM15-154</v>
      </c>
      <c r="AK3203" s="662" t="str">
        <f t="shared" ref="AK3203:AK3266" si="350">MID(A3203,6,3)</f>
        <v>LTK</v>
      </c>
      <c r="AL3203" s="662" t="str">
        <f t="shared" ref="AL3203:AL3266" si="351">MID(A3203,10,3)</f>
        <v>RAM</v>
      </c>
      <c r="AM3203" s="662" t="str">
        <f t="shared" si="347"/>
        <v>Ram 1500 Classic-Tradesman Quad Cab-4WD-6-6'4'-8040-5.7L Hemi/3.21 axle-8-DS6L41-26B-140-26-Unleaded-Unleaded</v>
      </c>
      <c r="AN3203" s="662" t="str">
        <f t="shared" ref="AN3203:AN3266" si="352">LEFT(A3203,21)</f>
        <v>2019-LTK-RAM-RM15-154</v>
      </c>
    </row>
    <row r="3204" spans="1:40" ht="30">
      <c r="A3204" s="570" t="s">
        <v>5615</v>
      </c>
      <c r="B3204" s="569" t="s">
        <v>5616</v>
      </c>
      <c r="C3204" s="569" t="s">
        <v>226</v>
      </c>
      <c r="D3204" s="580" t="s">
        <v>227</v>
      </c>
      <c r="E3204" s="569" t="s">
        <v>3374</v>
      </c>
      <c r="F3204" s="569" t="s">
        <v>152</v>
      </c>
      <c r="G3204" s="569" t="s">
        <v>3265</v>
      </c>
      <c r="H3204" s="569">
        <v>2019</v>
      </c>
      <c r="I3204" s="569" t="s">
        <v>5502</v>
      </c>
      <c r="J3204" s="569" t="s">
        <v>5481</v>
      </c>
      <c r="K3204" s="569" t="s">
        <v>3377</v>
      </c>
      <c r="L3204" s="569">
        <v>3</v>
      </c>
      <c r="M3204" s="569">
        <v>0</v>
      </c>
      <c r="N3204" s="569" t="s">
        <v>157</v>
      </c>
      <c r="O3204" s="569">
        <v>1</v>
      </c>
      <c r="P3204" s="569" t="s">
        <v>5405</v>
      </c>
      <c r="Q3204" s="568">
        <v>4940</v>
      </c>
      <c r="R3204" s="569" t="s">
        <v>5503</v>
      </c>
      <c r="S3204" s="569">
        <v>6</v>
      </c>
      <c r="T3204" s="569" t="s">
        <v>5482</v>
      </c>
      <c r="U3204" s="569" t="s">
        <v>5452</v>
      </c>
      <c r="V3204" s="569">
        <v>120</v>
      </c>
      <c r="W3204" s="569">
        <v>26</v>
      </c>
      <c r="X3204" s="568">
        <v>6025</v>
      </c>
      <c r="Y3204" s="569">
        <v>20</v>
      </c>
      <c r="Z3204" s="581" t="s">
        <v>450</v>
      </c>
      <c r="AA3204" s="581" t="s">
        <v>178</v>
      </c>
      <c r="AB3204" s="585">
        <v>28990</v>
      </c>
      <c r="AC3204" s="585" t="s">
        <v>164</v>
      </c>
      <c r="AD3204" s="585">
        <v>18547</v>
      </c>
      <c r="AE3204" s="587">
        <v>6.25E-2</v>
      </c>
      <c r="AF3204" s="661" t="str">
        <f t="shared" si="346"/>
        <v>2019-LTK-RAM-RM15-155-04</v>
      </c>
      <c r="AG3204" s="661" t="str">
        <f>IF(AND($Y3204&gt;=32,(AI3204="I"),(Y3204&lt;&gt;"~"),(COUNTIF($AN$1:$AN3204,$AN3204)=1)),"TRUE","FALSE")</f>
        <v>FALSE</v>
      </c>
      <c r="AH3204" s="661" t="str">
        <f>IF(AND($Y3204&gt;=22, (AI3204&lt;&gt;"I"),(Y3204&lt;&gt;"~"),(COUNTIF($AN$1:$AN3204,$AN3204)=1)),"TRUE","FALSE")</f>
        <v>FALSE</v>
      </c>
      <c r="AI3204" s="661" t="str">
        <f t="shared" si="348"/>
        <v>II</v>
      </c>
      <c r="AJ3204" s="662" t="str">
        <f t="shared" si="349"/>
        <v>RM15-155</v>
      </c>
      <c r="AK3204" s="662" t="str">
        <f t="shared" si="350"/>
        <v>LTK</v>
      </c>
      <c r="AL3204" s="662" t="str">
        <f t="shared" si="351"/>
        <v>RAM</v>
      </c>
      <c r="AM3204" s="662" t="str">
        <f t="shared" si="347"/>
        <v>Ram 1500 Classic-Tradesman Regular Cab-2WD-3-6'4"-4940-3.6L V6/3.21 axle-6-DS1L61-22B-120-26-E85-Unleaded</v>
      </c>
      <c r="AN3204" s="662" t="str">
        <f t="shared" si="352"/>
        <v>2019-LTK-RAM-RM15-155</v>
      </c>
    </row>
    <row r="3205" spans="1:40" ht="30">
      <c r="A3205" s="570" t="s">
        <v>5617</v>
      </c>
      <c r="B3205" s="573" t="s">
        <v>5618</v>
      </c>
      <c r="C3205" s="573" t="s">
        <v>226</v>
      </c>
      <c r="D3205" s="578" t="s">
        <v>227</v>
      </c>
      <c r="E3205" s="573" t="s">
        <v>3374</v>
      </c>
      <c r="F3205" s="573" t="s">
        <v>152</v>
      </c>
      <c r="G3205" s="573" t="s">
        <v>3265</v>
      </c>
      <c r="H3205" s="573">
        <v>2019</v>
      </c>
      <c r="I3205" s="573" t="s">
        <v>5502</v>
      </c>
      <c r="J3205" s="573" t="s">
        <v>5481</v>
      </c>
      <c r="K3205" s="573" t="s">
        <v>3377</v>
      </c>
      <c r="L3205" s="573">
        <v>3</v>
      </c>
      <c r="M3205" s="573">
        <v>0</v>
      </c>
      <c r="N3205" s="573" t="s">
        <v>157</v>
      </c>
      <c r="O3205" s="573">
        <v>1</v>
      </c>
      <c r="P3205" s="573" t="s">
        <v>5458</v>
      </c>
      <c r="Q3205" s="571">
        <v>9210</v>
      </c>
      <c r="R3205" s="573" t="s">
        <v>5515</v>
      </c>
      <c r="S3205" s="573">
        <v>8</v>
      </c>
      <c r="T3205" s="573" t="s">
        <v>5482</v>
      </c>
      <c r="U3205" s="573" t="s">
        <v>5455</v>
      </c>
      <c r="V3205" s="573">
        <v>120</v>
      </c>
      <c r="W3205" s="573">
        <v>26</v>
      </c>
      <c r="X3205" s="571">
        <v>6350</v>
      </c>
      <c r="Y3205" s="573">
        <v>17</v>
      </c>
      <c r="Z3205" s="579" t="s">
        <v>178</v>
      </c>
      <c r="AA3205" s="579" t="s">
        <v>178</v>
      </c>
      <c r="AB3205" s="584">
        <v>31035</v>
      </c>
      <c r="AC3205" s="584" t="s">
        <v>164</v>
      </c>
      <c r="AD3205" s="584">
        <v>20376</v>
      </c>
      <c r="AE3205" s="586">
        <v>6.25E-2</v>
      </c>
      <c r="AF3205" s="661" t="str">
        <f t="shared" si="346"/>
        <v>2019-LTK-RAM-RM15-157-04</v>
      </c>
      <c r="AG3205" s="661" t="str">
        <f>IF(AND($Y3205&gt;=32,(AI3205="I"),(Y3205&lt;&gt;"~"),(COUNTIF($AN$1:$AN3205,$AN3205)=1)),"TRUE","FALSE")</f>
        <v>FALSE</v>
      </c>
      <c r="AH3205" s="661" t="str">
        <f>IF(AND($Y3205&gt;=22, (AI3205&lt;&gt;"I"),(Y3205&lt;&gt;"~"),(COUNTIF($AN$1:$AN3205,$AN3205)=1)),"TRUE","FALSE")</f>
        <v>FALSE</v>
      </c>
      <c r="AI3205" s="661" t="str">
        <f t="shared" si="348"/>
        <v>II</v>
      </c>
      <c r="AJ3205" s="662" t="str">
        <f t="shared" si="349"/>
        <v>RM15-157</v>
      </c>
      <c r="AK3205" s="662" t="str">
        <f t="shared" si="350"/>
        <v>LTK</v>
      </c>
      <c r="AL3205" s="662" t="str">
        <f t="shared" si="351"/>
        <v>RAM</v>
      </c>
      <c r="AM3205" s="662" t="str">
        <f t="shared" si="347"/>
        <v>Ram 1500 Classic-Tradesman Regular Cab-2WD-3-6'4'-9210-5.7L Hemi/3.92axle-8-DS1L61-27B-120-26-Unleaded-Unleaded</v>
      </c>
      <c r="AN3205" s="662" t="str">
        <f t="shared" si="352"/>
        <v>2019-LTK-RAM-RM15-157</v>
      </c>
    </row>
    <row r="3206" spans="1:40" ht="30">
      <c r="A3206" s="570" t="s">
        <v>5619</v>
      </c>
      <c r="B3206" s="569" t="s">
        <v>5620</v>
      </c>
      <c r="C3206" s="569" t="s">
        <v>226</v>
      </c>
      <c r="D3206" s="580" t="s">
        <v>227</v>
      </c>
      <c r="E3206" s="569" t="s">
        <v>3374</v>
      </c>
      <c r="F3206" s="569" t="s">
        <v>152</v>
      </c>
      <c r="G3206" s="569" t="s">
        <v>3265</v>
      </c>
      <c r="H3206" s="569">
        <v>2019</v>
      </c>
      <c r="I3206" s="569" t="s">
        <v>5502</v>
      </c>
      <c r="J3206" s="569" t="s">
        <v>5481</v>
      </c>
      <c r="K3206" s="569" t="s">
        <v>3377</v>
      </c>
      <c r="L3206" s="569">
        <v>3</v>
      </c>
      <c r="M3206" s="569">
        <v>0</v>
      </c>
      <c r="N3206" s="569" t="s">
        <v>157</v>
      </c>
      <c r="O3206" s="569">
        <v>1</v>
      </c>
      <c r="P3206" s="569" t="s">
        <v>3846</v>
      </c>
      <c r="Q3206" s="568">
        <v>4770</v>
      </c>
      <c r="R3206" s="569" t="s">
        <v>5503</v>
      </c>
      <c r="S3206" s="569">
        <v>6</v>
      </c>
      <c r="T3206" s="569" t="s">
        <v>5487</v>
      </c>
      <c r="U3206" s="569" t="s">
        <v>5452</v>
      </c>
      <c r="V3206" s="569">
        <v>140</v>
      </c>
      <c r="W3206" s="569">
        <v>32</v>
      </c>
      <c r="X3206" s="568">
        <v>6600</v>
      </c>
      <c r="Y3206" s="569">
        <v>20</v>
      </c>
      <c r="Z3206" s="581" t="s">
        <v>450</v>
      </c>
      <c r="AA3206" s="581" t="s">
        <v>178</v>
      </c>
      <c r="AB3206" s="585">
        <v>28990</v>
      </c>
      <c r="AC3206" s="585" t="s">
        <v>164</v>
      </c>
      <c r="AD3206" s="585">
        <v>18547</v>
      </c>
      <c r="AE3206" s="587">
        <v>6.25E-2</v>
      </c>
      <c r="AF3206" s="661" t="str">
        <f t="shared" si="346"/>
        <v>2019-LTK-RAM-RM15-159-04</v>
      </c>
      <c r="AG3206" s="661" t="str">
        <f>IF(AND($Y3206&gt;=32,(AI3206="I"),(Y3206&lt;&gt;"~"),(COUNTIF($AN$1:$AN3206,$AN3206)=1)),"TRUE","FALSE")</f>
        <v>FALSE</v>
      </c>
      <c r="AH3206" s="661" t="str">
        <f>IF(AND($Y3206&gt;=22, (AI3206&lt;&gt;"I"),(Y3206&lt;&gt;"~"),(COUNTIF($AN$1:$AN3206,$AN3206)=1)),"TRUE","FALSE")</f>
        <v>FALSE</v>
      </c>
      <c r="AI3206" s="661" t="str">
        <f t="shared" si="348"/>
        <v>II</v>
      </c>
      <c r="AJ3206" s="662" t="str">
        <f t="shared" si="349"/>
        <v>RM15-159</v>
      </c>
      <c r="AK3206" s="662" t="str">
        <f t="shared" si="350"/>
        <v>LTK</v>
      </c>
      <c r="AL3206" s="662" t="str">
        <f t="shared" si="351"/>
        <v>RAM</v>
      </c>
      <c r="AM3206" s="662" t="str">
        <f t="shared" si="347"/>
        <v>Ram 1500 Classic-Tradesman Regular Cab-2WD-3-8'-4770-3.6L V6/3.21 axle-6-DS1L62-22B-140-32-E85-Unleaded</v>
      </c>
      <c r="AN3206" s="662" t="str">
        <f t="shared" si="352"/>
        <v>2019-LTK-RAM-RM15-159</v>
      </c>
    </row>
    <row r="3207" spans="1:40" ht="30">
      <c r="A3207" s="570" t="s">
        <v>5621</v>
      </c>
      <c r="B3207" s="573" t="s">
        <v>5622</v>
      </c>
      <c r="C3207" s="573" t="s">
        <v>226</v>
      </c>
      <c r="D3207" s="578" t="s">
        <v>227</v>
      </c>
      <c r="E3207" s="573" t="s">
        <v>3374</v>
      </c>
      <c r="F3207" s="573" t="s">
        <v>152</v>
      </c>
      <c r="G3207" s="573" t="s">
        <v>3265</v>
      </c>
      <c r="H3207" s="573">
        <v>2019</v>
      </c>
      <c r="I3207" s="573" t="s">
        <v>5502</v>
      </c>
      <c r="J3207" s="573" t="s">
        <v>5481</v>
      </c>
      <c r="K3207" s="573" t="s">
        <v>3377</v>
      </c>
      <c r="L3207" s="573">
        <v>3</v>
      </c>
      <c r="M3207" s="573">
        <v>0</v>
      </c>
      <c r="N3207" s="573" t="s">
        <v>157</v>
      </c>
      <c r="O3207" s="573">
        <v>1</v>
      </c>
      <c r="P3207" s="573" t="s">
        <v>3846</v>
      </c>
      <c r="Q3207" s="571">
        <v>8450</v>
      </c>
      <c r="R3207" s="573" t="s">
        <v>5509</v>
      </c>
      <c r="S3207" s="573">
        <v>8</v>
      </c>
      <c r="T3207" s="573" t="s">
        <v>5487</v>
      </c>
      <c r="U3207" s="573" t="s">
        <v>5455</v>
      </c>
      <c r="V3207" s="573">
        <v>140</v>
      </c>
      <c r="W3207" s="573">
        <v>32</v>
      </c>
      <c r="X3207" s="571">
        <v>6600</v>
      </c>
      <c r="Y3207" s="573">
        <v>20</v>
      </c>
      <c r="Z3207" s="579" t="s">
        <v>178</v>
      </c>
      <c r="AA3207" s="579" t="s">
        <v>178</v>
      </c>
      <c r="AB3207" s="584">
        <v>30940</v>
      </c>
      <c r="AC3207" s="584" t="s">
        <v>164</v>
      </c>
      <c r="AD3207" s="584">
        <v>20287</v>
      </c>
      <c r="AE3207" s="586">
        <v>6.25E-2</v>
      </c>
      <c r="AF3207" s="661" t="str">
        <f t="shared" si="346"/>
        <v>2019-LTK-RAM-RM15-161-04</v>
      </c>
      <c r="AG3207" s="661" t="str">
        <f>IF(AND($Y3207&gt;=32,(AI3207="I"),(Y3207&lt;&gt;"~"),(COUNTIF($AN$1:$AN3207,$AN3207)=1)),"TRUE","FALSE")</f>
        <v>FALSE</v>
      </c>
      <c r="AH3207" s="661" t="str">
        <f>IF(AND($Y3207&gt;=22, (AI3207&lt;&gt;"I"),(Y3207&lt;&gt;"~"),(COUNTIF($AN$1:$AN3207,$AN3207)=1)),"TRUE","FALSE")</f>
        <v>FALSE</v>
      </c>
      <c r="AI3207" s="661" t="str">
        <f t="shared" si="348"/>
        <v>II</v>
      </c>
      <c r="AJ3207" s="662" t="str">
        <f t="shared" si="349"/>
        <v>RM15-161</v>
      </c>
      <c r="AK3207" s="662" t="str">
        <f t="shared" si="350"/>
        <v>LTK</v>
      </c>
      <c r="AL3207" s="662" t="str">
        <f t="shared" si="351"/>
        <v>RAM</v>
      </c>
      <c r="AM3207" s="662" t="str">
        <f t="shared" si="347"/>
        <v>Ram 1500 Classic-Tradesman Regular Cab-2WD-3-8'-8450-5.7L Hemi/3.21 axle-8-DS1L62-27B-140-32-Unleaded-Unleaded</v>
      </c>
      <c r="AN3207" s="662" t="str">
        <f t="shared" si="352"/>
        <v>2019-LTK-RAM-RM15-161</v>
      </c>
    </row>
    <row r="3208" spans="1:40" ht="30">
      <c r="A3208" s="570" t="s">
        <v>5623</v>
      </c>
      <c r="B3208" s="569" t="s">
        <v>5624</v>
      </c>
      <c r="C3208" s="569" t="s">
        <v>3315</v>
      </c>
      <c r="D3208" s="580" t="s">
        <v>227</v>
      </c>
      <c r="E3208" s="569" t="s">
        <v>3374</v>
      </c>
      <c r="F3208" s="569" t="s">
        <v>152</v>
      </c>
      <c r="G3208" s="569" t="s">
        <v>3265</v>
      </c>
      <c r="H3208" s="569">
        <v>2019</v>
      </c>
      <c r="I3208" s="569" t="s">
        <v>5502</v>
      </c>
      <c r="J3208" s="569" t="s">
        <v>5481</v>
      </c>
      <c r="K3208" s="569" t="s">
        <v>3377</v>
      </c>
      <c r="L3208" s="569">
        <v>3</v>
      </c>
      <c r="M3208" s="569">
        <v>0</v>
      </c>
      <c r="N3208" s="569" t="s">
        <v>157</v>
      </c>
      <c r="O3208" s="569">
        <v>1</v>
      </c>
      <c r="P3208" s="569" t="s">
        <v>5458</v>
      </c>
      <c r="Q3208" s="568">
        <v>8660</v>
      </c>
      <c r="R3208" s="569" t="s">
        <v>5509</v>
      </c>
      <c r="S3208" s="569">
        <v>8</v>
      </c>
      <c r="T3208" s="569" t="s">
        <v>5482</v>
      </c>
      <c r="U3208" s="569" t="s">
        <v>5455</v>
      </c>
      <c r="V3208" s="569">
        <v>140.5</v>
      </c>
      <c r="W3208" s="569">
        <v>26</v>
      </c>
      <c r="X3208" s="568">
        <v>6025</v>
      </c>
      <c r="Y3208" s="569">
        <v>17</v>
      </c>
      <c r="Z3208" s="581" t="s">
        <v>178</v>
      </c>
      <c r="AA3208" s="581" t="s">
        <v>178</v>
      </c>
      <c r="AB3208" s="585">
        <v>30940</v>
      </c>
      <c r="AC3208" s="585" t="s">
        <v>164</v>
      </c>
      <c r="AD3208" s="585">
        <v>20281</v>
      </c>
      <c r="AE3208" s="587">
        <v>6.25E-2</v>
      </c>
      <c r="AF3208" s="661" t="str">
        <f t="shared" si="346"/>
        <v>2019-LTK-RAM-RM15-156-04</v>
      </c>
      <c r="AG3208" s="661" t="str">
        <f>IF(AND($Y3208&gt;=32,(AI3208="I"),(Y3208&lt;&gt;"~"),(COUNTIF($AN$1:$AN3208,$AN3208)=1)),"TRUE","FALSE")</f>
        <v>FALSE</v>
      </c>
      <c r="AH3208" s="661" t="str">
        <f>IF(AND($Y3208&gt;=22, (AI3208&lt;&gt;"I"),(Y3208&lt;&gt;"~"),(COUNTIF($AN$1:$AN3208,$AN3208)=1)),"TRUE","FALSE")</f>
        <v>FALSE</v>
      </c>
      <c r="AI3208" s="661" t="str">
        <f t="shared" si="348"/>
        <v>II</v>
      </c>
      <c r="AJ3208" s="662" t="str">
        <f t="shared" si="349"/>
        <v>RM15-156</v>
      </c>
      <c r="AK3208" s="662" t="str">
        <f t="shared" si="350"/>
        <v>LTK</v>
      </c>
      <c r="AL3208" s="662" t="str">
        <f t="shared" si="351"/>
        <v>RAM</v>
      </c>
      <c r="AM3208" s="662" t="str">
        <f t="shared" si="347"/>
        <v>Ram 1500 Classic-Tradesman Regular Cab-2WD-3-6'4'-8660-5.7L Hemi/3.21 axle-8-DS1L61-27B-140.5-26-Unleaded-Unleaded</v>
      </c>
      <c r="AN3208" s="662" t="str">
        <f t="shared" si="352"/>
        <v>2019-LTK-RAM-RM15-156</v>
      </c>
    </row>
    <row r="3209" spans="1:40" ht="30">
      <c r="A3209" s="570" t="s">
        <v>5625</v>
      </c>
      <c r="B3209" s="573" t="s">
        <v>5626</v>
      </c>
      <c r="C3209" s="573" t="s">
        <v>3315</v>
      </c>
      <c r="D3209" s="578" t="s">
        <v>227</v>
      </c>
      <c r="E3209" s="573" t="s">
        <v>3374</v>
      </c>
      <c r="F3209" s="573" t="s">
        <v>152</v>
      </c>
      <c r="G3209" s="573" t="s">
        <v>3265</v>
      </c>
      <c r="H3209" s="573">
        <v>2019</v>
      </c>
      <c r="I3209" s="573" t="s">
        <v>5502</v>
      </c>
      <c r="J3209" s="573" t="s">
        <v>5481</v>
      </c>
      <c r="K3209" s="573" t="s">
        <v>3377</v>
      </c>
      <c r="L3209" s="573">
        <v>3</v>
      </c>
      <c r="M3209" s="573">
        <v>0</v>
      </c>
      <c r="N3209" s="573" t="s">
        <v>157</v>
      </c>
      <c r="O3209" s="573">
        <v>1</v>
      </c>
      <c r="P3209" s="573" t="s">
        <v>3846</v>
      </c>
      <c r="Q3209" s="571">
        <v>10620</v>
      </c>
      <c r="R3209" s="573" t="s">
        <v>5515</v>
      </c>
      <c r="S3209" s="573">
        <v>8</v>
      </c>
      <c r="T3209" s="573" t="s">
        <v>5487</v>
      </c>
      <c r="U3209" s="573" t="s">
        <v>5586</v>
      </c>
      <c r="V3209" s="573">
        <v>140</v>
      </c>
      <c r="W3209" s="573">
        <v>32</v>
      </c>
      <c r="X3209" s="571">
        <v>6600</v>
      </c>
      <c r="Y3209" s="573">
        <v>17</v>
      </c>
      <c r="Z3209" s="579" t="s">
        <v>178</v>
      </c>
      <c r="AA3209" s="579" t="s">
        <v>178</v>
      </c>
      <c r="AB3209" s="584">
        <v>31035</v>
      </c>
      <c r="AC3209" s="584" t="s">
        <v>164</v>
      </c>
      <c r="AD3209" s="584">
        <v>20382</v>
      </c>
      <c r="AE3209" s="586">
        <v>6.25E-2</v>
      </c>
      <c r="AF3209" s="661" t="str">
        <f t="shared" si="346"/>
        <v>2019-LTK-RAM-RM15-158-04</v>
      </c>
      <c r="AG3209" s="661" t="str">
        <f>IF(AND($Y3209&gt;=32,(AI3209="I"),(Y3209&lt;&gt;"~"),(COUNTIF($AN$1:$AN3209,$AN3209)=1)),"TRUE","FALSE")</f>
        <v>FALSE</v>
      </c>
      <c r="AH3209" s="661" t="str">
        <f>IF(AND($Y3209&gt;=22, (AI3209&lt;&gt;"I"),(Y3209&lt;&gt;"~"),(COUNTIF($AN$1:$AN3209,$AN3209)=1)),"TRUE","FALSE")</f>
        <v>FALSE</v>
      </c>
      <c r="AI3209" s="661" t="str">
        <f t="shared" si="348"/>
        <v>II</v>
      </c>
      <c r="AJ3209" s="662" t="str">
        <f t="shared" si="349"/>
        <v>RM15-158</v>
      </c>
      <c r="AK3209" s="662" t="str">
        <f t="shared" si="350"/>
        <v>LTK</v>
      </c>
      <c r="AL3209" s="662" t="str">
        <f t="shared" si="351"/>
        <v>RAM</v>
      </c>
      <c r="AM3209" s="662" t="str">
        <f t="shared" si="347"/>
        <v>Ram 1500 Classic-Tradesman Regular Cab-2WD-3-8'-10620-5.7L Hemi/3.92axle-8-DS1L62-26B-140-32-Unleaded-Unleaded</v>
      </c>
      <c r="AN3209" s="662" t="str">
        <f t="shared" si="352"/>
        <v>2019-LTK-RAM-RM15-158</v>
      </c>
    </row>
    <row r="3210" spans="1:40" ht="30">
      <c r="A3210" s="570" t="s">
        <v>5627</v>
      </c>
      <c r="B3210" s="569" t="s">
        <v>5628</v>
      </c>
      <c r="C3210" s="569" t="s">
        <v>3315</v>
      </c>
      <c r="D3210" s="580" t="s">
        <v>227</v>
      </c>
      <c r="E3210" s="569" t="s">
        <v>3374</v>
      </c>
      <c r="F3210" s="569" t="s">
        <v>152</v>
      </c>
      <c r="G3210" s="569" t="s">
        <v>3265</v>
      </c>
      <c r="H3210" s="569">
        <v>2019</v>
      </c>
      <c r="I3210" s="569" t="s">
        <v>5502</v>
      </c>
      <c r="J3210" s="569" t="s">
        <v>5481</v>
      </c>
      <c r="K3210" s="569" t="s">
        <v>3377</v>
      </c>
      <c r="L3210" s="569">
        <v>3</v>
      </c>
      <c r="M3210" s="569">
        <v>0</v>
      </c>
      <c r="N3210" s="569" t="s">
        <v>157</v>
      </c>
      <c r="O3210" s="569">
        <v>1</v>
      </c>
      <c r="P3210" s="569" t="s">
        <v>3846</v>
      </c>
      <c r="Q3210" s="568">
        <v>7260</v>
      </c>
      <c r="R3210" s="569" t="s">
        <v>5531</v>
      </c>
      <c r="S3210" s="569">
        <v>6</v>
      </c>
      <c r="T3210" s="569" t="s">
        <v>5487</v>
      </c>
      <c r="U3210" s="569" t="s">
        <v>5452</v>
      </c>
      <c r="V3210" s="569">
        <v>140</v>
      </c>
      <c r="W3210" s="569">
        <v>32</v>
      </c>
      <c r="X3210" s="568">
        <v>6600</v>
      </c>
      <c r="Y3210" s="569">
        <v>20</v>
      </c>
      <c r="Z3210" s="581" t="s">
        <v>450</v>
      </c>
      <c r="AA3210" s="581" t="s">
        <v>178</v>
      </c>
      <c r="AB3210" s="585">
        <v>29085</v>
      </c>
      <c r="AC3210" s="585" t="s">
        <v>164</v>
      </c>
      <c r="AD3210" s="585">
        <v>18642</v>
      </c>
      <c r="AE3210" s="587">
        <v>6.25E-2</v>
      </c>
      <c r="AF3210" s="661" t="str">
        <f t="shared" si="346"/>
        <v>2019-LTK-RAM-RM15-160-04</v>
      </c>
      <c r="AG3210" s="661" t="str">
        <f>IF(AND($Y3210&gt;=32,(AI3210="I"),(Y3210&lt;&gt;"~"),(COUNTIF($AN$1:$AN3210,$AN3210)=1)),"TRUE","FALSE")</f>
        <v>FALSE</v>
      </c>
      <c r="AH3210" s="661" t="str">
        <f>IF(AND($Y3210&gt;=22, (AI3210&lt;&gt;"I"),(Y3210&lt;&gt;"~"),(COUNTIF($AN$1:$AN3210,$AN3210)=1)),"TRUE","FALSE")</f>
        <v>FALSE</v>
      </c>
      <c r="AI3210" s="661" t="str">
        <f t="shared" si="348"/>
        <v>II</v>
      </c>
      <c r="AJ3210" s="662" t="str">
        <f t="shared" si="349"/>
        <v>RM15-160</v>
      </c>
      <c r="AK3210" s="662" t="str">
        <f t="shared" si="350"/>
        <v>LTK</v>
      </c>
      <c r="AL3210" s="662" t="str">
        <f t="shared" si="351"/>
        <v>RAM</v>
      </c>
      <c r="AM3210" s="662" t="str">
        <f t="shared" si="347"/>
        <v>Ram 1500 Classic-Tradesman Regular Cab-2WD-3-8'-7260-3.6L V6/3.55 axle-6-DS1L62-22B-140-32-E85-Unleaded</v>
      </c>
      <c r="AN3210" s="662" t="str">
        <f t="shared" si="352"/>
        <v>2019-LTK-RAM-RM15-160</v>
      </c>
    </row>
    <row r="3211" spans="1:40" ht="30">
      <c r="A3211" s="570" t="s">
        <v>5629</v>
      </c>
      <c r="B3211" s="573" t="s">
        <v>5630</v>
      </c>
      <c r="C3211" s="573" t="s">
        <v>226</v>
      </c>
      <c r="D3211" s="578" t="s">
        <v>227</v>
      </c>
      <c r="E3211" s="573" t="s">
        <v>3374</v>
      </c>
      <c r="F3211" s="573" t="s">
        <v>152</v>
      </c>
      <c r="G3211" s="573" t="s">
        <v>3265</v>
      </c>
      <c r="H3211" s="573">
        <v>2019</v>
      </c>
      <c r="I3211" s="573" t="s">
        <v>5502</v>
      </c>
      <c r="J3211" s="573" t="s">
        <v>5481</v>
      </c>
      <c r="K3211" s="573" t="s">
        <v>752</v>
      </c>
      <c r="L3211" s="573">
        <v>3</v>
      </c>
      <c r="M3211" s="573">
        <v>0</v>
      </c>
      <c r="N3211" s="573" t="s">
        <v>157</v>
      </c>
      <c r="O3211" s="573">
        <v>1</v>
      </c>
      <c r="P3211" s="573" t="s">
        <v>5405</v>
      </c>
      <c r="Q3211" s="571">
        <v>4740</v>
      </c>
      <c r="R3211" s="573" t="s">
        <v>5503</v>
      </c>
      <c r="S3211" s="573">
        <v>6</v>
      </c>
      <c r="T3211" s="573" t="s">
        <v>5492</v>
      </c>
      <c r="U3211" s="573" t="s">
        <v>5452</v>
      </c>
      <c r="V3211" s="573">
        <v>120</v>
      </c>
      <c r="W3211" s="573">
        <v>26</v>
      </c>
      <c r="X3211" s="571">
        <v>6300</v>
      </c>
      <c r="Y3211" s="573">
        <v>19</v>
      </c>
      <c r="Z3211" s="579" t="s">
        <v>450</v>
      </c>
      <c r="AA3211" s="579" t="s">
        <v>178</v>
      </c>
      <c r="AB3211" s="584">
        <v>35590</v>
      </c>
      <c r="AC3211" s="584" t="s">
        <v>164</v>
      </c>
      <c r="AD3211" s="584">
        <v>21576</v>
      </c>
      <c r="AE3211" s="586">
        <v>6.25E-2</v>
      </c>
      <c r="AF3211" s="661" t="str">
        <f t="shared" si="346"/>
        <v>2019-LTK-RAM-RM15-162-04</v>
      </c>
      <c r="AG3211" s="661" t="str">
        <f>IF(AND($Y3211&gt;=32,(AI3211="I"),(Y3211&lt;&gt;"~"),(COUNTIF($AN$1:$AN3211,$AN3211)=1)),"TRUE","FALSE")</f>
        <v>FALSE</v>
      </c>
      <c r="AH3211" s="661" t="str">
        <f>IF(AND($Y3211&gt;=22, (AI3211&lt;&gt;"I"),(Y3211&lt;&gt;"~"),(COUNTIF($AN$1:$AN3211,$AN3211)=1)),"TRUE","FALSE")</f>
        <v>FALSE</v>
      </c>
      <c r="AI3211" s="661" t="str">
        <f t="shared" si="348"/>
        <v>II</v>
      </c>
      <c r="AJ3211" s="662" t="str">
        <f t="shared" si="349"/>
        <v>RM15-162</v>
      </c>
      <c r="AK3211" s="662" t="str">
        <f t="shared" si="350"/>
        <v>LTK</v>
      </c>
      <c r="AL3211" s="662" t="str">
        <f t="shared" si="351"/>
        <v>RAM</v>
      </c>
      <c r="AM3211" s="662" t="str">
        <f t="shared" si="347"/>
        <v>Ram 1500 Classic-Tradesman Regular Cab-4WD-3-6'4"-4740-3.6L V6/3.21 axle-6-DS6L61-22B-120-26-E85-Unleaded</v>
      </c>
      <c r="AN3211" s="662" t="str">
        <f t="shared" si="352"/>
        <v>2019-LTK-RAM-RM15-162</v>
      </c>
    </row>
    <row r="3212" spans="1:40" ht="30">
      <c r="A3212" s="570" t="s">
        <v>5631</v>
      </c>
      <c r="B3212" s="569" t="s">
        <v>5632</v>
      </c>
      <c r="C3212" s="569" t="s">
        <v>226</v>
      </c>
      <c r="D3212" s="580" t="s">
        <v>227</v>
      </c>
      <c r="E3212" s="569" t="s">
        <v>3374</v>
      </c>
      <c r="F3212" s="569" t="s">
        <v>152</v>
      </c>
      <c r="G3212" s="569" t="s">
        <v>3265</v>
      </c>
      <c r="H3212" s="569">
        <v>2019</v>
      </c>
      <c r="I3212" s="569" t="s">
        <v>5502</v>
      </c>
      <c r="J3212" s="569" t="s">
        <v>5481</v>
      </c>
      <c r="K3212" s="569" t="s">
        <v>752</v>
      </c>
      <c r="L3212" s="569">
        <v>3</v>
      </c>
      <c r="M3212" s="569">
        <v>0</v>
      </c>
      <c r="N3212" s="569" t="s">
        <v>157</v>
      </c>
      <c r="O3212" s="569">
        <v>1</v>
      </c>
      <c r="P3212" s="569" t="s">
        <v>5458</v>
      </c>
      <c r="Q3212" s="568">
        <v>8380</v>
      </c>
      <c r="R3212" s="569" t="s">
        <v>5509</v>
      </c>
      <c r="S3212" s="569">
        <v>8</v>
      </c>
      <c r="T3212" s="569" t="s">
        <v>5492</v>
      </c>
      <c r="U3212" s="569" t="s">
        <v>5455</v>
      </c>
      <c r="V3212" s="569">
        <v>120</v>
      </c>
      <c r="W3212" s="569">
        <v>26</v>
      </c>
      <c r="X3212" s="568">
        <v>6300</v>
      </c>
      <c r="Y3212" s="569">
        <v>17</v>
      </c>
      <c r="Z3212" s="581" t="s">
        <v>178</v>
      </c>
      <c r="AA3212" s="581" t="s">
        <v>178</v>
      </c>
      <c r="AB3212" s="585">
        <v>35540</v>
      </c>
      <c r="AC3212" s="585" t="s">
        <v>164</v>
      </c>
      <c r="AD3212" s="585">
        <v>23310</v>
      </c>
      <c r="AE3212" s="587">
        <v>6.25E-2</v>
      </c>
      <c r="AF3212" s="661" t="str">
        <f t="shared" ref="AF3212:AF3275" si="353">A3212</f>
        <v>2019-LTK-RAM-RM15-163-04</v>
      </c>
      <c r="AG3212" s="661" t="str">
        <f>IF(AND($Y3212&gt;=32,(AI3212="I"),(Y3212&lt;&gt;"~"),(COUNTIF($AN$1:$AN3212,$AN3212)=1)),"TRUE","FALSE")</f>
        <v>FALSE</v>
      </c>
      <c r="AH3212" s="661" t="str">
        <f>IF(AND($Y3212&gt;=22, (AI3212&lt;&gt;"I"),(Y3212&lt;&gt;"~"),(COUNTIF($AN$1:$AN3212,$AN3212)=1)),"TRUE","FALSE")</f>
        <v>FALSE</v>
      </c>
      <c r="AI3212" s="661" t="str">
        <f t="shared" si="348"/>
        <v>II</v>
      </c>
      <c r="AJ3212" s="662" t="str">
        <f t="shared" si="349"/>
        <v>RM15-163</v>
      </c>
      <c r="AK3212" s="662" t="str">
        <f t="shared" si="350"/>
        <v>LTK</v>
      </c>
      <c r="AL3212" s="662" t="str">
        <f t="shared" si="351"/>
        <v>RAM</v>
      </c>
      <c r="AM3212" s="662" t="str">
        <f t="shared" si="347"/>
        <v>Ram 1500 Classic-Tradesman Regular Cab-4WD-3-6'4'-8380-5.7L Hemi/3.21 axle-8-DS6L61-27B-120-26-Unleaded-Unleaded</v>
      </c>
      <c r="AN3212" s="662" t="str">
        <f t="shared" si="352"/>
        <v>2019-LTK-RAM-RM15-163</v>
      </c>
    </row>
    <row r="3213" spans="1:40" ht="30">
      <c r="A3213" s="570" t="s">
        <v>5633</v>
      </c>
      <c r="B3213" s="573" t="s">
        <v>5634</v>
      </c>
      <c r="C3213" s="573" t="s">
        <v>226</v>
      </c>
      <c r="D3213" s="578" t="s">
        <v>227</v>
      </c>
      <c r="E3213" s="573" t="s">
        <v>3374</v>
      </c>
      <c r="F3213" s="573" t="s">
        <v>152</v>
      </c>
      <c r="G3213" s="573" t="s">
        <v>3265</v>
      </c>
      <c r="H3213" s="573">
        <v>2019</v>
      </c>
      <c r="I3213" s="573" t="s">
        <v>5502</v>
      </c>
      <c r="J3213" s="573" t="s">
        <v>5481</v>
      </c>
      <c r="K3213" s="573" t="s">
        <v>752</v>
      </c>
      <c r="L3213" s="573">
        <v>3</v>
      </c>
      <c r="M3213" s="573">
        <v>0</v>
      </c>
      <c r="N3213" s="573" t="s">
        <v>157</v>
      </c>
      <c r="O3213" s="573">
        <v>1</v>
      </c>
      <c r="P3213" s="573" t="s">
        <v>3846</v>
      </c>
      <c r="Q3213" s="571">
        <v>4570</v>
      </c>
      <c r="R3213" s="573" t="s">
        <v>5503</v>
      </c>
      <c r="S3213" s="573">
        <v>6</v>
      </c>
      <c r="T3213" s="573" t="s">
        <v>5497</v>
      </c>
      <c r="U3213" s="573" t="s">
        <v>5452</v>
      </c>
      <c r="V3213" s="573">
        <v>140</v>
      </c>
      <c r="W3213" s="573">
        <v>32</v>
      </c>
      <c r="X3213" s="571">
        <v>6600</v>
      </c>
      <c r="Y3213" s="573">
        <v>19</v>
      </c>
      <c r="Z3213" s="579" t="s">
        <v>450</v>
      </c>
      <c r="AA3213" s="579" t="s">
        <v>178</v>
      </c>
      <c r="AB3213" s="584">
        <v>33590</v>
      </c>
      <c r="AC3213" s="584" t="s">
        <v>164</v>
      </c>
      <c r="AD3213" s="584">
        <v>21576</v>
      </c>
      <c r="AE3213" s="586">
        <v>6.25E-2</v>
      </c>
      <c r="AF3213" s="661" t="str">
        <f t="shared" si="353"/>
        <v>2019-LTK-RAM-RM15-166-04</v>
      </c>
      <c r="AG3213" s="661" t="str">
        <f>IF(AND($Y3213&gt;=32,(AI3213="I"),(Y3213&lt;&gt;"~"),(COUNTIF($AN$1:$AN3213,$AN3213)=1)),"TRUE","FALSE")</f>
        <v>FALSE</v>
      </c>
      <c r="AH3213" s="661" t="str">
        <f>IF(AND($Y3213&gt;=22, (AI3213&lt;&gt;"I"),(Y3213&lt;&gt;"~"),(COUNTIF($AN$1:$AN3213,$AN3213)=1)),"TRUE","FALSE")</f>
        <v>FALSE</v>
      </c>
      <c r="AI3213" s="661" t="str">
        <f t="shared" si="348"/>
        <v>II</v>
      </c>
      <c r="AJ3213" s="662" t="str">
        <f t="shared" si="349"/>
        <v>RM15-166</v>
      </c>
      <c r="AK3213" s="662" t="str">
        <f t="shared" si="350"/>
        <v>LTK</v>
      </c>
      <c r="AL3213" s="662" t="str">
        <f t="shared" si="351"/>
        <v>RAM</v>
      </c>
      <c r="AM3213" s="662" t="str">
        <f t="shared" si="347"/>
        <v>Ram 1500 Classic-Tradesman Regular Cab-4WD-3-8'-4570-3.6L V6/3.21 axle-6-DS6L62-22B-140-32-E85-Unleaded</v>
      </c>
      <c r="AN3213" s="662" t="str">
        <f t="shared" si="352"/>
        <v>2019-LTK-RAM-RM15-166</v>
      </c>
    </row>
    <row r="3214" spans="1:40" ht="30">
      <c r="A3214" s="570" t="s">
        <v>5635</v>
      </c>
      <c r="B3214" s="569" t="s">
        <v>5636</v>
      </c>
      <c r="C3214" s="569" t="s">
        <v>226</v>
      </c>
      <c r="D3214" s="580" t="s">
        <v>227</v>
      </c>
      <c r="E3214" s="569" t="s">
        <v>3374</v>
      </c>
      <c r="F3214" s="569" t="s">
        <v>152</v>
      </c>
      <c r="G3214" s="569" t="s">
        <v>3265</v>
      </c>
      <c r="H3214" s="569">
        <v>2019</v>
      </c>
      <c r="I3214" s="569" t="s">
        <v>5502</v>
      </c>
      <c r="J3214" s="569" t="s">
        <v>5481</v>
      </c>
      <c r="K3214" s="569" t="s">
        <v>752</v>
      </c>
      <c r="L3214" s="569">
        <v>3</v>
      </c>
      <c r="M3214" s="569">
        <v>0</v>
      </c>
      <c r="N3214" s="569" t="s">
        <v>157</v>
      </c>
      <c r="O3214" s="569">
        <v>1</v>
      </c>
      <c r="P3214" s="569" t="s">
        <v>3846</v>
      </c>
      <c r="Q3214" s="568">
        <v>8250</v>
      </c>
      <c r="R3214" s="569" t="s">
        <v>5509</v>
      </c>
      <c r="S3214" s="569">
        <v>8</v>
      </c>
      <c r="T3214" s="569" t="s">
        <v>5497</v>
      </c>
      <c r="U3214" s="569" t="s">
        <v>5455</v>
      </c>
      <c r="V3214" s="569">
        <v>140</v>
      </c>
      <c r="W3214" s="569">
        <v>32</v>
      </c>
      <c r="X3214" s="568">
        <v>6600</v>
      </c>
      <c r="Y3214" s="569">
        <v>17</v>
      </c>
      <c r="Z3214" s="581" t="s">
        <v>178</v>
      </c>
      <c r="AA3214" s="581" t="s">
        <v>178</v>
      </c>
      <c r="AB3214" s="585">
        <v>35540</v>
      </c>
      <c r="AC3214" s="585" t="s">
        <v>164</v>
      </c>
      <c r="AD3214" s="585">
        <v>23310</v>
      </c>
      <c r="AE3214" s="587">
        <v>6.25E-2</v>
      </c>
      <c r="AF3214" s="661" t="str">
        <f t="shared" si="353"/>
        <v>2019-LTK-RAM-RM15-168-04</v>
      </c>
      <c r="AG3214" s="661" t="str">
        <f>IF(AND($Y3214&gt;=32,(AI3214="I"),(Y3214&lt;&gt;"~"),(COUNTIF($AN$1:$AN3214,$AN3214)=1)),"TRUE","FALSE")</f>
        <v>FALSE</v>
      </c>
      <c r="AH3214" s="661" t="str">
        <f>IF(AND($Y3214&gt;=22, (AI3214&lt;&gt;"I"),(Y3214&lt;&gt;"~"),(COUNTIF($AN$1:$AN3214,$AN3214)=1)),"TRUE","FALSE")</f>
        <v>FALSE</v>
      </c>
      <c r="AI3214" s="661" t="str">
        <f t="shared" si="348"/>
        <v>II</v>
      </c>
      <c r="AJ3214" s="662" t="str">
        <f t="shared" si="349"/>
        <v>RM15-168</v>
      </c>
      <c r="AK3214" s="662" t="str">
        <f t="shared" si="350"/>
        <v>LTK</v>
      </c>
      <c r="AL3214" s="662" t="str">
        <f t="shared" si="351"/>
        <v>RAM</v>
      </c>
      <c r="AM3214" s="662" t="str">
        <f t="shared" si="347"/>
        <v>Ram 1500 Classic-Tradesman Regular Cab-4WD-3-8'-8250-5.7L Hemi/3.21 axle-8-DS6L62-27B-140-32-Unleaded-Unleaded</v>
      </c>
      <c r="AN3214" s="662" t="str">
        <f t="shared" si="352"/>
        <v>2019-LTK-RAM-RM15-168</v>
      </c>
    </row>
    <row r="3215" spans="1:40" ht="30">
      <c r="A3215" s="570" t="s">
        <v>5637</v>
      </c>
      <c r="B3215" s="573" t="s">
        <v>5638</v>
      </c>
      <c r="C3215" s="573" t="s">
        <v>3315</v>
      </c>
      <c r="D3215" s="578" t="s">
        <v>227</v>
      </c>
      <c r="E3215" s="573" t="s">
        <v>3374</v>
      </c>
      <c r="F3215" s="573" t="s">
        <v>152</v>
      </c>
      <c r="G3215" s="573" t="s">
        <v>3265</v>
      </c>
      <c r="H3215" s="573">
        <v>2019</v>
      </c>
      <c r="I3215" s="573" t="s">
        <v>5502</v>
      </c>
      <c r="J3215" s="573" t="s">
        <v>5481</v>
      </c>
      <c r="K3215" s="573" t="s">
        <v>752</v>
      </c>
      <c r="L3215" s="573">
        <v>3</v>
      </c>
      <c r="M3215" s="573">
        <v>0</v>
      </c>
      <c r="N3215" s="573" t="s">
        <v>157</v>
      </c>
      <c r="O3215" s="573">
        <v>1</v>
      </c>
      <c r="P3215" s="573" t="s">
        <v>5458</v>
      </c>
      <c r="Q3215" s="571">
        <v>8930</v>
      </c>
      <c r="R3215" s="573" t="s">
        <v>5515</v>
      </c>
      <c r="S3215" s="573">
        <v>8</v>
      </c>
      <c r="T3215" s="573" t="s">
        <v>5492</v>
      </c>
      <c r="U3215" s="573" t="s">
        <v>5586</v>
      </c>
      <c r="V3215" s="573">
        <v>120</v>
      </c>
      <c r="W3215" s="573">
        <v>26</v>
      </c>
      <c r="X3215" s="571">
        <v>6350</v>
      </c>
      <c r="Y3215" s="573">
        <v>19</v>
      </c>
      <c r="Z3215" s="579" t="s">
        <v>178</v>
      </c>
      <c r="AA3215" s="579" t="s">
        <v>178</v>
      </c>
      <c r="AB3215" s="584">
        <v>35635</v>
      </c>
      <c r="AC3215" s="584" t="s">
        <v>164</v>
      </c>
      <c r="AD3215" s="584">
        <v>23405</v>
      </c>
      <c r="AE3215" s="586">
        <v>6.25E-2</v>
      </c>
      <c r="AF3215" s="661" t="str">
        <f t="shared" si="353"/>
        <v>2019-LTK-RAM-RM15-164-04</v>
      </c>
      <c r="AG3215" s="661" t="str">
        <f>IF(AND($Y3215&gt;=32,(AI3215="I"),(Y3215&lt;&gt;"~"),(COUNTIF($AN$1:$AN3215,$AN3215)=1)),"TRUE","FALSE")</f>
        <v>FALSE</v>
      </c>
      <c r="AH3215" s="661" t="str">
        <f>IF(AND($Y3215&gt;=22, (AI3215&lt;&gt;"I"),(Y3215&lt;&gt;"~"),(COUNTIF($AN$1:$AN3215,$AN3215)=1)),"TRUE","FALSE")</f>
        <v>FALSE</v>
      </c>
      <c r="AI3215" s="661" t="str">
        <f t="shared" si="348"/>
        <v>II</v>
      </c>
      <c r="AJ3215" s="662" t="str">
        <f t="shared" si="349"/>
        <v>RM15-164</v>
      </c>
      <c r="AK3215" s="662" t="str">
        <f t="shared" si="350"/>
        <v>LTK</v>
      </c>
      <c r="AL3215" s="662" t="str">
        <f t="shared" si="351"/>
        <v>RAM</v>
      </c>
      <c r="AM3215" s="662" t="str">
        <f t="shared" si="347"/>
        <v>Ram 1500 Classic-Tradesman Regular Cab-4WD-3-6'4'-8930-5.7L Hemi/3.92axle-8-DS6L61-26B-120-26-Unleaded-Unleaded</v>
      </c>
      <c r="AN3215" s="662" t="str">
        <f t="shared" si="352"/>
        <v>2019-LTK-RAM-RM15-164</v>
      </c>
    </row>
    <row r="3216" spans="1:40" ht="30">
      <c r="A3216" s="570" t="s">
        <v>5639</v>
      </c>
      <c r="B3216" s="569" t="s">
        <v>5640</v>
      </c>
      <c r="C3216" s="569" t="s">
        <v>3315</v>
      </c>
      <c r="D3216" s="580" t="s">
        <v>227</v>
      </c>
      <c r="E3216" s="569" t="s">
        <v>3374</v>
      </c>
      <c r="F3216" s="569" t="s">
        <v>152</v>
      </c>
      <c r="G3216" s="569" t="s">
        <v>3265</v>
      </c>
      <c r="H3216" s="569">
        <v>2019</v>
      </c>
      <c r="I3216" s="569" t="s">
        <v>5502</v>
      </c>
      <c r="J3216" s="569" t="s">
        <v>5481</v>
      </c>
      <c r="K3216" s="569" t="s">
        <v>752</v>
      </c>
      <c r="L3216" s="569">
        <v>3</v>
      </c>
      <c r="M3216" s="569">
        <v>0</v>
      </c>
      <c r="N3216" s="569" t="s">
        <v>157</v>
      </c>
      <c r="O3216" s="569">
        <v>1</v>
      </c>
      <c r="P3216" s="569" t="s">
        <v>3846</v>
      </c>
      <c r="Q3216" s="568">
        <v>10430</v>
      </c>
      <c r="R3216" s="569" t="s">
        <v>5515</v>
      </c>
      <c r="S3216" s="569">
        <v>8</v>
      </c>
      <c r="T3216" s="569" t="s">
        <v>5497</v>
      </c>
      <c r="U3216" s="569" t="s">
        <v>5586</v>
      </c>
      <c r="V3216" s="569">
        <v>140.5</v>
      </c>
      <c r="W3216" s="569">
        <v>32</v>
      </c>
      <c r="X3216" s="568">
        <v>6800</v>
      </c>
      <c r="Y3216" s="569">
        <v>19</v>
      </c>
      <c r="Z3216" s="581" t="s">
        <v>178</v>
      </c>
      <c r="AA3216" s="581" t="s">
        <v>178</v>
      </c>
      <c r="AB3216" s="585">
        <v>35635</v>
      </c>
      <c r="AC3216" s="585" t="s">
        <v>164</v>
      </c>
      <c r="AD3216" s="585">
        <v>23405</v>
      </c>
      <c r="AE3216" s="587">
        <v>6.25E-2</v>
      </c>
      <c r="AF3216" s="661" t="str">
        <f t="shared" si="353"/>
        <v>2019-LTK-RAM-RM15-165-04</v>
      </c>
      <c r="AG3216" s="661" t="str">
        <f>IF(AND($Y3216&gt;=32,(AI3216="I"),(Y3216&lt;&gt;"~"),(COUNTIF($AN$1:$AN3216,$AN3216)=1)),"TRUE","FALSE")</f>
        <v>FALSE</v>
      </c>
      <c r="AH3216" s="661" t="str">
        <f>IF(AND($Y3216&gt;=22, (AI3216&lt;&gt;"I"),(Y3216&lt;&gt;"~"),(COUNTIF($AN$1:$AN3216,$AN3216)=1)),"TRUE","FALSE")</f>
        <v>FALSE</v>
      </c>
      <c r="AI3216" s="661" t="str">
        <f t="shared" si="348"/>
        <v>II</v>
      </c>
      <c r="AJ3216" s="662" t="str">
        <f t="shared" si="349"/>
        <v>RM15-165</v>
      </c>
      <c r="AK3216" s="662" t="str">
        <f t="shared" si="350"/>
        <v>LTK</v>
      </c>
      <c r="AL3216" s="662" t="str">
        <f t="shared" si="351"/>
        <v>RAM</v>
      </c>
      <c r="AM3216" s="662" t="str">
        <f t="shared" si="347"/>
        <v>Ram 1500 Classic-Tradesman Regular Cab-4WD-3-8'-10430-5.7L Hemi/3.92axle-8-DS6L62-26B-140.5-32-Unleaded-Unleaded</v>
      </c>
      <c r="AN3216" s="662" t="str">
        <f t="shared" si="352"/>
        <v>2019-LTK-RAM-RM15-165</v>
      </c>
    </row>
    <row r="3217" spans="1:40" ht="30">
      <c r="A3217" s="570" t="s">
        <v>5641</v>
      </c>
      <c r="B3217" s="573" t="s">
        <v>5642</v>
      </c>
      <c r="C3217" s="573" t="s">
        <v>3315</v>
      </c>
      <c r="D3217" s="578" t="s">
        <v>227</v>
      </c>
      <c r="E3217" s="573" t="s">
        <v>3374</v>
      </c>
      <c r="F3217" s="573" t="s">
        <v>152</v>
      </c>
      <c r="G3217" s="573" t="s">
        <v>3265</v>
      </c>
      <c r="H3217" s="573">
        <v>2019</v>
      </c>
      <c r="I3217" s="573" t="s">
        <v>5502</v>
      </c>
      <c r="J3217" s="573" t="s">
        <v>5481</v>
      </c>
      <c r="K3217" s="573" t="s">
        <v>752</v>
      </c>
      <c r="L3217" s="573">
        <v>3</v>
      </c>
      <c r="M3217" s="573">
        <v>0</v>
      </c>
      <c r="N3217" s="573" t="s">
        <v>157</v>
      </c>
      <c r="O3217" s="573">
        <v>1</v>
      </c>
      <c r="P3217" s="573" t="s">
        <v>3846</v>
      </c>
      <c r="Q3217" s="571">
        <v>7070</v>
      </c>
      <c r="R3217" s="573" t="s">
        <v>5512</v>
      </c>
      <c r="S3217" s="573">
        <v>6</v>
      </c>
      <c r="T3217" s="573" t="s">
        <v>5497</v>
      </c>
      <c r="U3217" s="573" t="s">
        <v>5452</v>
      </c>
      <c r="V3217" s="573">
        <v>140.5</v>
      </c>
      <c r="W3217" s="573">
        <v>32</v>
      </c>
      <c r="X3217" s="571">
        <v>6800</v>
      </c>
      <c r="Y3217" s="573">
        <v>19</v>
      </c>
      <c r="Z3217" s="579" t="s">
        <v>450</v>
      </c>
      <c r="AA3217" s="579" t="s">
        <v>178</v>
      </c>
      <c r="AB3217" s="584">
        <v>33685</v>
      </c>
      <c r="AC3217" s="584" t="s">
        <v>164</v>
      </c>
      <c r="AD3217" s="584">
        <v>21671</v>
      </c>
      <c r="AE3217" s="586">
        <v>6.25E-2</v>
      </c>
      <c r="AF3217" s="661" t="str">
        <f t="shared" si="353"/>
        <v>2019-LTK-RAM-RM15-167-04</v>
      </c>
      <c r="AG3217" s="661" t="str">
        <f>IF(AND($Y3217&gt;=32,(AI3217="I"),(Y3217&lt;&gt;"~"),(COUNTIF($AN$1:$AN3217,$AN3217)=1)),"TRUE","FALSE")</f>
        <v>FALSE</v>
      </c>
      <c r="AH3217" s="661" t="str">
        <f>IF(AND($Y3217&gt;=22, (AI3217&lt;&gt;"I"),(Y3217&lt;&gt;"~"),(COUNTIF($AN$1:$AN3217,$AN3217)=1)),"TRUE","FALSE")</f>
        <v>FALSE</v>
      </c>
      <c r="AI3217" s="661" t="str">
        <f t="shared" si="348"/>
        <v>II</v>
      </c>
      <c r="AJ3217" s="662" t="str">
        <f t="shared" si="349"/>
        <v>RM15-167</v>
      </c>
      <c r="AK3217" s="662" t="str">
        <f t="shared" si="350"/>
        <v>LTK</v>
      </c>
      <c r="AL3217" s="662" t="str">
        <f t="shared" si="351"/>
        <v>RAM</v>
      </c>
      <c r="AM3217" s="662" t="str">
        <f t="shared" si="347"/>
        <v>Ram 1500 Classic-Tradesman Regular Cab-4WD-3-8'-7070-3.6L V6/ 3.55 axle-6-DS6L62-22B-140.5-32-E85-Unleaded</v>
      </c>
      <c r="AN3217" s="662" t="str">
        <f t="shared" si="352"/>
        <v>2019-LTK-RAM-RM15-167</v>
      </c>
    </row>
    <row r="3218" spans="1:40" ht="15">
      <c r="A3218" s="570" t="s">
        <v>5643</v>
      </c>
      <c r="B3218" s="569" t="s">
        <v>5644</v>
      </c>
      <c r="C3218" s="569" t="s">
        <v>226</v>
      </c>
      <c r="D3218" s="580" t="s">
        <v>227</v>
      </c>
      <c r="E3218" s="569" t="s">
        <v>3374</v>
      </c>
      <c r="F3218" s="569" t="s">
        <v>196</v>
      </c>
      <c r="G3218" s="569" t="s">
        <v>3265</v>
      </c>
      <c r="H3218" s="569">
        <v>2019</v>
      </c>
      <c r="I3218" s="569" t="s">
        <v>5645</v>
      </c>
      <c r="J3218" s="569" t="s">
        <v>5412</v>
      </c>
      <c r="K3218" s="569" t="s">
        <v>3377</v>
      </c>
      <c r="L3218" s="569">
        <v>6</v>
      </c>
      <c r="M3218" s="569">
        <v>0</v>
      </c>
      <c r="N3218" s="569" t="s">
        <v>157</v>
      </c>
      <c r="O3218" s="569">
        <v>2</v>
      </c>
      <c r="P3218" s="569" t="s">
        <v>5405</v>
      </c>
      <c r="Q3218" s="568">
        <v>17450</v>
      </c>
      <c r="R3218" s="569" t="s">
        <v>5646</v>
      </c>
      <c r="S3218" s="569">
        <v>8</v>
      </c>
      <c r="T3218" s="569" t="s">
        <v>5647</v>
      </c>
      <c r="U3218" s="569" t="s">
        <v>5398</v>
      </c>
      <c r="V3218" s="569">
        <v>149.4</v>
      </c>
      <c r="W3218" s="569">
        <v>31</v>
      </c>
      <c r="X3218" s="568">
        <v>9000</v>
      </c>
      <c r="Y3218" s="569">
        <v>15</v>
      </c>
      <c r="Z3218" s="581" t="s">
        <v>178</v>
      </c>
      <c r="AA3218" s="581" t="s">
        <v>178</v>
      </c>
      <c r="AB3218" s="585">
        <v>43140</v>
      </c>
      <c r="AC3218" s="585" t="s">
        <v>164</v>
      </c>
      <c r="AD3218" s="585">
        <v>35842</v>
      </c>
      <c r="AE3218" s="587">
        <v>6.25E-2</v>
      </c>
      <c r="AF3218" s="661" t="str">
        <f t="shared" si="353"/>
        <v>2019-LTK-RAM-RM25-003-04</v>
      </c>
      <c r="AG3218" s="661" t="str">
        <f>IF(AND($Y3218&gt;=32,(AI3218="I"),(Y3218&lt;&gt;"~"),(COUNTIF($AN$1:$AN3218,$AN3218)=1)),"TRUE","FALSE")</f>
        <v>FALSE</v>
      </c>
      <c r="AH3218" s="661" t="str">
        <f>IF(AND($Y3218&gt;=22, (AI3218&lt;&gt;"I"),(Y3218&lt;&gt;"~"),(COUNTIF($AN$1:$AN3218,$AN3218)=1)),"TRUE","FALSE")</f>
        <v>FALSE</v>
      </c>
      <c r="AI3218" s="661" t="str">
        <f t="shared" si="348"/>
        <v>II</v>
      </c>
      <c r="AJ3218" s="662" t="str">
        <f t="shared" si="349"/>
        <v>RM25-003</v>
      </c>
      <c r="AK3218" s="662" t="str">
        <f t="shared" si="350"/>
        <v>LTK</v>
      </c>
      <c r="AL3218" s="662" t="str">
        <f t="shared" si="351"/>
        <v>RAM</v>
      </c>
      <c r="AM3218" s="662" t="str">
        <f t="shared" si="347"/>
        <v>Ram 2500-SLT Crew Cab-2WD-6-6'4"-17450-6.4L Mid Duty Hemi-8-DJ2H91-22G-149.4-31-Unleaded-Unleaded</v>
      </c>
      <c r="AN3218" s="662" t="str">
        <f t="shared" si="352"/>
        <v>2019-LTK-RAM-RM25-003</v>
      </c>
    </row>
    <row r="3219" spans="1:40" ht="15">
      <c r="A3219" s="570" t="s">
        <v>5648</v>
      </c>
      <c r="B3219" s="573" t="s">
        <v>5649</v>
      </c>
      <c r="C3219" s="573" t="s">
        <v>226</v>
      </c>
      <c r="D3219" s="578" t="s">
        <v>227</v>
      </c>
      <c r="E3219" s="573" t="s">
        <v>3374</v>
      </c>
      <c r="F3219" s="573" t="s">
        <v>196</v>
      </c>
      <c r="G3219" s="573" t="s">
        <v>3265</v>
      </c>
      <c r="H3219" s="573">
        <v>2019</v>
      </c>
      <c r="I3219" s="573" t="s">
        <v>5645</v>
      </c>
      <c r="J3219" s="573" t="s">
        <v>5412</v>
      </c>
      <c r="K3219" s="573" t="s">
        <v>3377</v>
      </c>
      <c r="L3219" s="573">
        <v>6</v>
      </c>
      <c r="M3219" s="573">
        <v>0</v>
      </c>
      <c r="N3219" s="573" t="s">
        <v>157</v>
      </c>
      <c r="O3219" s="573">
        <v>2</v>
      </c>
      <c r="P3219" s="573" t="s">
        <v>5405</v>
      </c>
      <c r="Q3219" s="571">
        <v>17450</v>
      </c>
      <c r="R3219" s="573" t="s">
        <v>4231</v>
      </c>
      <c r="S3219" s="573">
        <v>8</v>
      </c>
      <c r="T3219" s="573" t="s">
        <v>5647</v>
      </c>
      <c r="U3219" s="573" t="s">
        <v>5650</v>
      </c>
      <c r="V3219" s="573">
        <v>149.4</v>
      </c>
      <c r="W3219" s="573">
        <v>31</v>
      </c>
      <c r="X3219" s="571">
        <v>9000</v>
      </c>
      <c r="Y3219" s="573">
        <v>15</v>
      </c>
      <c r="Z3219" s="579" t="s">
        <v>728</v>
      </c>
      <c r="AA3219" s="579" t="s">
        <v>1523</v>
      </c>
      <c r="AB3219" s="584">
        <v>51840</v>
      </c>
      <c r="AC3219" s="584" t="s">
        <v>164</v>
      </c>
      <c r="AD3219" s="584">
        <v>43217</v>
      </c>
      <c r="AE3219" s="586">
        <v>6.25E-2</v>
      </c>
      <c r="AF3219" s="661" t="str">
        <f t="shared" si="353"/>
        <v>2019-LTK-RAM-RM25-005-04</v>
      </c>
      <c r="AG3219" s="661" t="str">
        <f>IF(AND($Y3219&gt;=32,(AI3219="I"),(Y3219&lt;&gt;"~"),(COUNTIF($AN$1:$AN3219,$AN3219)=1)),"TRUE","FALSE")</f>
        <v>FALSE</v>
      </c>
      <c r="AH3219" s="661" t="str">
        <f>IF(AND($Y3219&gt;=22, (AI3219&lt;&gt;"I"),(Y3219&lt;&gt;"~"),(COUNTIF($AN$1:$AN3219,$AN3219)=1)),"TRUE","FALSE")</f>
        <v>FALSE</v>
      </c>
      <c r="AI3219" s="661" t="str">
        <f t="shared" si="348"/>
        <v>II</v>
      </c>
      <c r="AJ3219" s="662" t="str">
        <f t="shared" si="349"/>
        <v>RM25-005</v>
      </c>
      <c r="AK3219" s="662" t="str">
        <f t="shared" si="350"/>
        <v>LTK</v>
      </c>
      <c r="AL3219" s="662" t="str">
        <f t="shared" si="351"/>
        <v>RAM</v>
      </c>
      <c r="AM3219" s="662" t="str">
        <f t="shared" si="347"/>
        <v>Ram 2500-SLT Crew Cab-2WD-6-6'4"-17450-6.7L Diesel-8-DJ2H91-2FG-149.4-31-Diesel-BioDiesel</v>
      </c>
      <c r="AN3219" s="662" t="str">
        <f t="shared" si="352"/>
        <v>2019-LTK-RAM-RM25-005</v>
      </c>
    </row>
    <row r="3220" spans="1:40" ht="15">
      <c r="A3220" s="570" t="s">
        <v>5651</v>
      </c>
      <c r="B3220" s="569" t="s">
        <v>5652</v>
      </c>
      <c r="C3220" s="569" t="s">
        <v>226</v>
      </c>
      <c r="D3220" s="580" t="s">
        <v>227</v>
      </c>
      <c r="E3220" s="569" t="s">
        <v>3374</v>
      </c>
      <c r="F3220" s="569" t="s">
        <v>196</v>
      </c>
      <c r="G3220" s="569" t="s">
        <v>3265</v>
      </c>
      <c r="H3220" s="569">
        <v>2019</v>
      </c>
      <c r="I3220" s="569" t="s">
        <v>5645</v>
      </c>
      <c r="J3220" s="569" t="s">
        <v>5412</v>
      </c>
      <c r="K3220" s="569" t="s">
        <v>3377</v>
      </c>
      <c r="L3220" s="569">
        <v>6</v>
      </c>
      <c r="M3220" s="569">
        <v>0</v>
      </c>
      <c r="N3220" s="569" t="s">
        <v>157</v>
      </c>
      <c r="O3220" s="569">
        <v>2</v>
      </c>
      <c r="P3220" s="569" t="s">
        <v>3846</v>
      </c>
      <c r="Q3220" s="568">
        <v>17320</v>
      </c>
      <c r="R3220" s="569" t="s">
        <v>5646</v>
      </c>
      <c r="S3220" s="569">
        <v>8</v>
      </c>
      <c r="T3220" s="569" t="s">
        <v>5653</v>
      </c>
      <c r="U3220" s="569" t="s">
        <v>5398</v>
      </c>
      <c r="V3220" s="569">
        <v>169</v>
      </c>
      <c r="W3220" s="569">
        <v>32</v>
      </c>
      <c r="X3220" s="568">
        <v>9000</v>
      </c>
      <c r="Y3220" s="569">
        <v>15</v>
      </c>
      <c r="Z3220" s="581" t="s">
        <v>178</v>
      </c>
      <c r="AA3220" s="581" t="s">
        <v>178</v>
      </c>
      <c r="AB3220" s="585">
        <v>43340</v>
      </c>
      <c r="AC3220" s="585" t="s">
        <v>164</v>
      </c>
      <c r="AD3220" s="585">
        <v>36019</v>
      </c>
      <c r="AE3220" s="587">
        <v>6.25E-2</v>
      </c>
      <c r="AF3220" s="661" t="str">
        <f t="shared" si="353"/>
        <v>2019-LTK-RAM-RM25-008-04</v>
      </c>
      <c r="AG3220" s="661" t="str">
        <f>IF(AND($Y3220&gt;=32,(AI3220="I"),(Y3220&lt;&gt;"~"),(COUNTIF($AN$1:$AN3220,$AN3220)=1)),"TRUE","FALSE")</f>
        <v>FALSE</v>
      </c>
      <c r="AH3220" s="661" t="str">
        <f>IF(AND($Y3220&gt;=22, (AI3220&lt;&gt;"I"),(Y3220&lt;&gt;"~"),(COUNTIF($AN$1:$AN3220,$AN3220)=1)),"TRUE","FALSE")</f>
        <v>FALSE</v>
      </c>
      <c r="AI3220" s="661" t="str">
        <f t="shared" si="348"/>
        <v>II</v>
      </c>
      <c r="AJ3220" s="662" t="str">
        <f t="shared" si="349"/>
        <v>RM25-008</v>
      </c>
      <c r="AK3220" s="662" t="str">
        <f t="shared" si="350"/>
        <v>LTK</v>
      </c>
      <c r="AL3220" s="662" t="str">
        <f t="shared" si="351"/>
        <v>RAM</v>
      </c>
      <c r="AM3220" s="662" t="str">
        <f t="shared" si="347"/>
        <v>Ram 2500-SLT Crew Cab-2WD-6-8'-17320-6.4L Mid Duty Hemi-8-DJ2H92-22G-169-32-Unleaded-Unleaded</v>
      </c>
      <c r="AN3220" s="662" t="str">
        <f t="shared" si="352"/>
        <v>2019-LTK-RAM-RM25-008</v>
      </c>
    </row>
    <row r="3221" spans="1:40" ht="15">
      <c r="A3221" s="570" t="s">
        <v>5654</v>
      </c>
      <c r="B3221" s="573" t="s">
        <v>5655</v>
      </c>
      <c r="C3221" s="573" t="s">
        <v>226</v>
      </c>
      <c r="D3221" s="578" t="s">
        <v>227</v>
      </c>
      <c r="E3221" s="573" t="s">
        <v>3374</v>
      </c>
      <c r="F3221" s="573" t="s">
        <v>196</v>
      </c>
      <c r="G3221" s="573" t="s">
        <v>3265</v>
      </c>
      <c r="H3221" s="573">
        <v>2019</v>
      </c>
      <c r="I3221" s="573" t="s">
        <v>5645</v>
      </c>
      <c r="J3221" s="573" t="s">
        <v>5412</v>
      </c>
      <c r="K3221" s="573" t="s">
        <v>3377</v>
      </c>
      <c r="L3221" s="573">
        <v>6</v>
      </c>
      <c r="M3221" s="573">
        <v>0</v>
      </c>
      <c r="N3221" s="573" t="s">
        <v>157</v>
      </c>
      <c r="O3221" s="573">
        <v>2</v>
      </c>
      <c r="P3221" s="573" t="s">
        <v>3846</v>
      </c>
      <c r="Q3221" s="571">
        <v>17320</v>
      </c>
      <c r="R3221" s="573" t="s">
        <v>4231</v>
      </c>
      <c r="S3221" s="573">
        <v>8</v>
      </c>
      <c r="T3221" s="573" t="s">
        <v>5653</v>
      </c>
      <c r="U3221" s="573" t="s">
        <v>5650</v>
      </c>
      <c r="V3221" s="573">
        <v>169</v>
      </c>
      <c r="W3221" s="573">
        <v>32</v>
      </c>
      <c r="X3221" s="571">
        <v>9000</v>
      </c>
      <c r="Y3221" s="573">
        <v>15</v>
      </c>
      <c r="Z3221" s="579" t="s">
        <v>728</v>
      </c>
      <c r="AA3221" s="579" t="s">
        <v>1523</v>
      </c>
      <c r="AB3221" s="584">
        <v>52040</v>
      </c>
      <c r="AC3221" s="584" t="s">
        <v>164</v>
      </c>
      <c r="AD3221" s="584">
        <v>43832</v>
      </c>
      <c r="AE3221" s="586">
        <v>6.25E-2</v>
      </c>
      <c r="AF3221" s="661" t="str">
        <f t="shared" si="353"/>
        <v>2019-LTK-RAM-RM25-009-04</v>
      </c>
      <c r="AG3221" s="661" t="str">
        <f>IF(AND($Y3221&gt;=32,(AI3221="I"),(Y3221&lt;&gt;"~"),(COUNTIF($AN$1:$AN3221,$AN3221)=1)),"TRUE","FALSE")</f>
        <v>FALSE</v>
      </c>
      <c r="AH3221" s="661" t="str">
        <f>IF(AND($Y3221&gt;=22, (AI3221&lt;&gt;"I"),(Y3221&lt;&gt;"~"),(COUNTIF($AN$1:$AN3221,$AN3221)=1)),"TRUE","FALSE")</f>
        <v>FALSE</v>
      </c>
      <c r="AI3221" s="661" t="str">
        <f t="shared" si="348"/>
        <v>II</v>
      </c>
      <c r="AJ3221" s="662" t="str">
        <f t="shared" si="349"/>
        <v>RM25-009</v>
      </c>
      <c r="AK3221" s="662" t="str">
        <f t="shared" si="350"/>
        <v>LTK</v>
      </c>
      <c r="AL3221" s="662" t="str">
        <f t="shared" si="351"/>
        <v>RAM</v>
      </c>
      <c r="AM3221" s="662" t="str">
        <f t="shared" si="347"/>
        <v>Ram 2500-SLT Crew Cab-2WD-6-8'-17320-6.7L Diesel-8-DJ2H92-2FG-169-32-Diesel-BioDiesel</v>
      </c>
      <c r="AN3221" s="662" t="str">
        <f t="shared" si="352"/>
        <v>2019-LTK-RAM-RM25-009</v>
      </c>
    </row>
    <row r="3222" spans="1:40" ht="15">
      <c r="A3222" s="570" t="s">
        <v>5656</v>
      </c>
      <c r="B3222" s="569" t="s">
        <v>5657</v>
      </c>
      <c r="C3222" s="569" t="s">
        <v>240</v>
      </c>
      <c r="D3222" s="580" t="s">
        <v>241</v>
      </c>
      <c r="E3222" s="569" t="s">
        <v>3374</v>
      </c>
      <c r="F3222" s="569" t="s">
        <v>196</v>
      </c>
      <c r="G3222" s="569" t="s">
        <v>3265</v>
      </c>
      <c r="H3222" s="569">
        <v>2018</v>
      </c>
      <c r="I3222" s="569" t="s">
        <v>5645</v>
      </c>
      <c r="J3222" s="569" t="s">
        <v>5412</v>
      </c>
      <c r="K3222" s="569" t="s">
        <v>3377</v>
      </c>
      <c r="L3222" s="569">
        <v>6</v>
      </c>
      <c r="M3222" s="569">
        <v>0</v>
      </c>
      <c r="N3222" s="569" t="s">
        <v>157</v>
      </c>
      <c r="O3222" s="569">
        <v>2</v>
      </c>
      <c r="P3222" s="569" t="s">
        <v>5405</v>
      </c>
      <c r="Q3222" s="568">
        <v>17450</v>
      </c>
      <c r="R3222" s="569" t="s">
        <v>5401</v>
      </c>
      <c r="S3222" s="569">
        <v>8</v>
      </c>
      <c r="T3222" s="569" t="s">
        <v>5647</v>
      </c>
      <c r="U3222" s="569" t="s">
        <v>5516</v>
      </c>
      <c r="V3222" s="569">
        <v>149.4</v>
      </c>
      <c r="W3222" s="569">
        <v>31</v>
      </c>
      <c r="X3222" s="568">
        <v>9000</v>
      </c>
      <c r="Y3222" s="569">
        <v>15</v>
      </c>
      <c r="Z3222" s="581" t="s">
        <v>178</v>
      </c>
      <c r="AA3222" s="581" t="s">
        <v>178</v>
      </c>
      <c r="AB3222" s="585">
        <v>42640</v>
      </c>
      <c r="AC3222" s="585" t="s">
        <v>164</v>
      </c>
      <c r="AD3222" s="585">
        <v>28882</v>
      </c>
      <c r="AE3222" s="587">
        <v>0.05</v>
      </c>
      <c r="AF3222" s="661" t="str">
        <f t="shared" si="353"/>
        <v>2018-LTK-RAM-RM25-001-08</v>
      </c>
      <c r="AG3222" s="661" t="str">
        <f>IF(AND($Y3222&gt;=32,(AI3222="I"),(Y3222&lt;&gt;"~"),(COUNTIF($AN$1:$AN3222,$AN3222)=1)),"TRUE","FALSE")</f>
        <v>FALSE</v>
      </c>
      <c r="AH3222" s="661" t="str">
        <f>IF(AND($Y3222&gt;=22, (AI3222&lt;&gt;"I"),(Y3222&lt;&gt;"~"),(COUNTIF($AN$1:$AN3222,$AN3222)=1)),"TRUE","FALSE")</f>
        <v>FALSE</v>
      </c>
      <c r="AI3222" s="661" t="str">
        <f t="shared" si="348"/>
        <v>II</v>
      </c>
      <c r="AJ3222" s="662" t="str">
        <f t="shared" si="349"/>
        <v>RM25-001</v>
      </c>
      <c r="AK3222" s="662" t="str">
        <f t="shared" si="350"/>
        <v>LTK</v>
      </c>
      <c r="AL3222" s="662" t="str">
        <f t="shared" si="351"/>
        <v>RAM</v>
      </c>
      <c r="AM3222" s="662" t="str">
        <f t="shared" si="347"/>
        <v>Ram 2500-SLT Crew Cab-2WD-6-6'4"-17450-5.7L Hemi-8-DJ2H91-26G-149.4-31-Unleaded-Unleaded</v>
      </c>
      <c r="AN3222" s="662" t="str">
        <f t="shared" si="352"/>
        <v>2018-LTK-RAM-RM25-001</v>
      </c>
    </row>
    <row r="3223" spans="1:40" ht="15">
      <c r="A3223" s="570" t="s">
        <v>5658</v>
      </c>
      <c r="B3223" s="573" t="s">
        <v>5644</v>
      </c>
      <c r="C3223" s="573" t="s">
        <v>240</v>
      </c>
      <c r="D3223" s="578" t="s">
        <v>241</v>
      </c>
      <c r="E3223" s="573" t="s">
        <v>3374</v>
      </c>
      <c r="F3223" s="573" t="s">
        <v>196</v>
      </c>
      <c r="G3223" s="573" t="s">
        <v>3265</v>
      </c>
      <c r="H3223" s="573">
        <v>2018</v>
      </c>
      <c r="I3223" s="573" t="s">
        <v>5645</v>
      </c>
      <c r="J3223" s="573" t="s">
        <v>5412</v>
      </c>
      <c r="K3223" s="573" t="s">
        <v>3377</v>
      </c>
      <c r="L3223" s="573">
        <v>6</v>
      </c>
      <c r="M3223" s="573">
        <v>0</v>
      </c>
      <c r="N3223" s="573" t="s">
        <v>157</v>
      </c>
      <c r="O3223" s="573">
        <v>2</v>
      </c>
      <c r="P3223" s="573" t="s">
        <v>5405</v>
      </c>
      <c r="Q3223" s="571">
        <v>17450</v>
      </c>
      <c r="R3223" s="573" t="s">
        <v>5646</v>
      </c>
      <c r="S3223" s="573">
        <v>8</v>
      </c>
      <c r="T3223" s="573" t="s">
        <v>5647</v>
      </c>
      <c r="U3223" s="573" t="s">
        <v>5398</v>
      </c>
      <c r="V3223" s="573">
        <v>149.4</v>
      </c>
      <c r="W3223" s="573">
        <v>31</v>
      </c>
      <c r="X3223" s="571">
        <v>10000</v>
      </c>
      <c r="Y3223" s="573">
        <v>15</v>
      </c>
      <c r="Z3223" s="579" t="s">
        <v>178</v>
      </c>
      <c r="AA3223" s="579" t="s">
        <v>178</v>
      </c>
      <c r="AB3223" s="584">
        <v>43140</v>
      </c>
      <c r="AC3223" s="584" t="s">
        <v>164</v>
      </c>
      <c r="AD3223" s="584">
        <v>29341</v>
      </c>
      <c r="AE3223" s="586">
        <v>0.05</v>
      </c>
      <c r="AF3223" s="661" t="str">
        <f t="shared" si="353"/>
        <v>2018-LTK-RAM-RM25-003-08</v>
      </c>
      <c r="AG3223" s="661" t="str">
        <f>IF(AND($Y3223&gt;=32,(AI3223="I"),(Y3223&lt;&gt;"~"),(COUNTIF($AN$1:$AN3223,$AN3223)=1)),"TRUE","FALSE")</f>
        <v>FALSE</v>
      </c>
      <c r="AH3223" s="661" t="str">
        <f>IF(AND($Y3223&gt;=22, (AI3223&lt;&gt;"I"),(Y3223&lt;&gt;"~"),(COUNTIF($AN$1:$AN3223,$AN3223)=1)),"TRUE","FALSE")</f>
        <v>FALSE</v>
      </c>
      <c r="AI3223" s="661" t="str">
        <f t="shared" si="348"/>
        <v>II</v>
      </c>
      <c r="AJ3223" s="662" t="str">
        <f t="shared" si="349"/>
        <v>RM25-003</v>
      </c>
      <c r="AK3223" s="662" t="str">
        <f t="shared" si="350"/>
        <v>LTK</v>
      </c>
      <c r="AL3223" s="662" t="str">
        <f t="shared" si="351"/>
        <v>RAM</v>
      </c>
      <c r="AM3223" s="662" t="str">
        <f t="shared" si="347"/>
        <v>Ram 2500-SLT Crew Cab-2WD-6-6'4"-17450-6.4L Mid Duty Hemi-8-DJ2H91-22G-149.4-31-Unleaded-Unleaded</v>
      </c>
      <c r="AN3223" s="662" t="str">
        <f t="shared" si="352"/>
        <v>2018-LTK-RAM-RM25-003</v>
      </c>
    </row>
    <row r="3224" spans="1:40" ht="15">
      <c r="A3224" s="570" t="s">
        <v>5659</v>
      </c>
      <c r="B3224" s="569" t="s">
        <v>5649</v>
      </c>
      <c r="C3224" s="569" t="s">
        <v>240</v>
      </c>
      <c r="D3224" s="580" t="s">
        <v>241</v>
      </c>
      <c r="E3224" s="569" t="s">
        <v>3374</v>
      </c>
      <c r="F3224" s="569" t="s">
        <v>196</v>
      </c>
      <c r="G3224" s="569" t="s">
        <v>3265</v>
      </c>
      <c r="H3224" s="569">
        <v>2018</v>
      </c>
      <c r="I3224" s="569" t="s">
        <v>5645</v>
      </c>
      <c r="J3224" s="569" t="s">
        <v>5412</v>
      </c>
      <c r="K3224" s="569" t="s">
        <v>3377</v>
      </c>
      <c r="L3224" s="569">
        <v>6</v>
      </c>
      <c r="M3224" s="569">
        <v>0</v>
      </c>
      <c r="N3224" s="569" t="s">
        <v>157</v>
      </c>
      <c r="O3224" s="569">
        <v>2</v>
      </c>
      <c r="P3224" s="569" t="s">
        <v>5405</v>
      </c>
      <c r="Q3224" s="568">
        <v>17450</v>
      </c>
      <c r="R3224" s="569" t="s">
        <v>4231</v>
      </c>
      <c r="S3224" s="569">
        <v>8</v>
      </c>
      <c r="T3224" s="569" t="s">
        <v>5647</v>
      </c>
      <c r="U3224" s="569" t="s">
        <v>5650</v>
      </c>
      <c r="V3224" s="569">
        <v>149.4</v>
      </c>
      <c r="W3224" s="569">
        <v>31</v>
      </c>
      <c r="X3224" s="568">
        <v>10000</v>
      </c>
      <c r="Y3224" s="569">
        <v>15</v>
      </c>
      <c r="Z3224" s="581" t="s">
        <v>728</v>
      </c>
      <c r="AA3224" s="581" t="s">
        <v>1523</v>
      </c>
      <c r="AB3224" s="585">
        <v>51840</v>
      </c>
      <c r="AC3224" s="585" t="s">
        <v>164</v>
      </c>
      <c r="AD3224" s="585">
        <v>37188</v>
      </c>
      <c r="AE3224" s="587">
        <v>0.05</v>
      </c>
      <c r="AF3224" s="661" t="str">
        <f t="shared" si="353"/>
        <v>2018-LTK-RAM-RM25-005-08</v>
      </c>
      <c r="AG3224" s="661" t="str">
        <f>IF(AND($Y3224&gt;=32,(AI3224="I"),(Y3224&lt;&gt;"~"),(COUNTIF($AN$1:$AN3224,$AN3224)=1)),"TRUE","FALSE")</f>
        <v>FALSE</v>
      </c>
      <c r="AH3224" s="661" t="str">
        <f>IF(AND($Y3224&gt;=22, (AI3224&lt;&gt;"I"),(Y3224&lt;&gt;"~"),(COUNTIF($AN$1:$AN3224,$AN3224)=1)),"TRUE","FALSE")</f>
        <v>FALSE</v>
      </c>
      <c r="AI3224" s="661" t="str">
        <f t="shared" si="348"/>
        <v>II</v>
      </c>
      <c r="AJ3224" s="662" t="str">
        <f t="shared" si="349"/>
        <v>RM25-005</v>
      </c>
      <c r="AK3224" s="662" t="str">
        <f t="shared" si="350"/>
        <v>LTK</v>
      </c>
      <c r="AL3224" s="662" t="str">
        <f t="shared" si="351"/>
        <v>RAM</v>
      </c>
      <c r="AM3224" s="662" t="str">
        <f t="shared" si="347"/>
        <v>Ram 2500-SLT Crew Cab-2WD-6-6'4"-17450-6.7L Diesel-8-DJ2H91-2FG-149.4-31-Diesel-BioDiesel</v>
      </c>
      <c r="AN3224" s="662" t="str">
        <f t="shared" si="352"/>
        <v>2018-LTK-RAM-RM25-005</v>
      </c>
    </row>
    <row r="3225" spans="1:40" ht="15">
      <c r="A3225" s="570" t="s">
        <v>5660</v>
      </c>
      <c r="B3225" s="573" t="s">
        <v>5661</v>
      </c>
      <c r="C3225" s="573" t="s">
        <v>240</v>
      </c>
      <c r="D3225" s="578" t="s">
        <v>241</v>
      </c>
      <c r="E3225" s="573" t="s">
        <v>3374</v>
      </c>
      <c r="F3225" s="573" t="s">
        <v>196</v>
      </c>
      <c r="G3225" s="573" t="s">
        <v>3265</v>
      </c>
      <c r="H3225" s="573">
        <v>2018</v>
      </c>
      <c r="I3225" s="573" t="s">
        <v>5645</v>
      </c>
      <c r="J3225" s="573" t="s">
        <v>5412</v>
      </c>
      <c r="K3225" s="573" t="s">
        <v>3377</v>
      </c>
      <c r="L3225" s="573">
        <v>6</v>
      </c>
      <c r="M3225" s="573">
        <v>0</v>
      </c>
      <c r="N3225" s="573" t="s">
        <v>157</v>
      </c>
      <c r="O3225" s="573">
        <v>2</v>
      </c>
      <c r="P3225" s="573" t="s">
        <v>3846</v>
      </c>
      <c r="Q3225" s="571">
        <v>17320</v>
      </c>
      <c r="R3225" s="573" t="s">
        <v>5401</v>
      </c>
      <c r="S3225" s="573">
        <v>8</v>
      </c>
      <c r="T3225" s="573" t="s">
        <v>5653</v>
      </c>
      <c r="U3225" s="573" t="s">
        <v>5516</v>
      </c>
      <c r="V3225" s="573">
        <v>169</v>
      </c>
      <c r="W3225" s="573">
        <v>32</v>
      </c>
      <c r="X3225" s="571">
        <v>9000</v>
      </c>
      <c r="Y3225" s="573">
        <v>15</v>
      </c>
      <c r="Z3225" s="579" t="s">
        <v>178</v>
      </c>
      <c r="AA3225" s="579" t="s">
        <v>178</v>
      </c>
      <c r="AB3225" s="584">
        <v>42840</v>
      </c>
      <c r="AC3225" s="584" t="s">
        <v>164</v>
      </c>
      <c r="AD3225" s="584">
        <v>29060</v>
      </c>
      <c r="AE3225" s="586">
        <v>0.05</v>
      </c>
      <c r="AF3225" s="661" t="str">
        <f t="shared" si="353"/>
        <v>2018-LTK-RAM-RM25-007-08</v>
      </c>
      <c r="AG3225" s="661" t="str">
        <f>IF(AND($Y3225&gt;=32,(AI3225="I"),(Y3225&lt;&gt;"~"),(COUNTIF($AN$1:$AN3225,$AN3225)=1)),"TRUE","FALSE")</f>
        <v>FALSE</v>
      </c>
      <c r="AH3225" s="661" t="str">
        <f>IF(AND($Y3225&gt;=22, (AI3225&lt;&gt;"I"),(Y3225&lt;&gt;"~"),(COUNTIF($AN$1:$AN3225,$AN3225)=1)),"TRUE","FALSE")</f>
        <v>FALSE</v>
      </c>
      <c r="AI3225" s="661" t="str">
        <f t="shared" si="348"/>
        <v>II</v>
      </c>
      <c r="AJ3225" s="662" t="str">
        <f t="shared" si="349"/>
        <v>RM25-007</v>
      </c>
      <c r="AK3225" s="662" t="str">
        <f t="shared" si="350"/>
        <v>LTK</v>
      </c>
      <c r="AL3225" s="662" t="str">
        <f t="shared" si="351"/>
        <v>RAM</v>
      </c>
      <c r="AM3225" s="662" t="str">
        <f t="shared" si="347"/>
        <v>Ram 2500-SLT Crew Cab-2WD-6-8'-17320-5.7L Hemi-8-DJ2H92-26G-169-32-Unleaded-Unleaded</v>
      </c>
      <c r="AN3225" s="662" t="str">
        <f t="shared" si="352"/>
        <v>2018-LTK-RAM-RM25-007</v>
      </c>
    </row>
    <row r="3226" spans="1:40" ht="15">
      <c r="A3226" s="570" t="s">
        <v>5662</v>
      </c>
      <c r="B3226" s="569" t="s">
        <v>5652</v>
      </c>
      <c r="C3226" s="569" t="s">
        <v>240</v>
      </c>
      <c r="D3226" s="580" t="s">
        <v>241</v>
      </c>
      <c r="E3226" s="569" t="s">
        <v>3374</v>
      </c>
      <c r="F3226" s="569" t="s">
        <v>196</v>
      </c>
      <c r="G3226" s="569" t="s">
        <v>3265</v>
      </c>
      <c r="H3226" s="569">
        <v>2018</v>
      </c>
      <c r="I3226" s="569" t="s">
        <v>5645</v>
      </c>
      <c r="J3226" s="569" t="s">
        <v>5412</v>
      </c>
      <c r="K3226" s="569" t="s">
        <v>3377</v>
      </c>
      <c r="L3226" s="569">
        <v>6</v>
      </c>
      <c r="M3226" s="569">
        <v>0</v>
      </c>
      <c r="N3226" s="569" t="s">
        <v>157</v>
      </c>
      <c r="O3226" s="569">
        <v>2</v>
      </c>
      <c r="P3226" s="569" t="s">
        <v>3846</v>
      </c>
      <c r="Q3226" s="568">
        <v>17320</v>
      </c>
      <c r="R3226" s="569" t="s">
        <v>5646</v>
      </c>
      <c r="S3226" s="569">
        <v>8</v>
      </c>
      <c r="T3226" s="569" t="s">
        <v>5653</v>
      </c>
      <c r="U3226" s="569" t="s">
        <v>5398</v>
      </c>
      <c r="V3226" s="569">
        <v>169</v>
      </c>
      <c r="W3226" s="569">
        <v>32</v>
      </c>
      <c r="X3226" s="568">
        <v>10000</v>
      </c>
      <c r="Y3226" s="569">
        <v>15</v>
      </c>
      <c r="Z3226" s="581" t="s">
        <v>178</v>
      </c>
      <c r="AA3226" s="581" t="s">
        <v>178</v>
      </c>
      <c r="AB3226" s="585">
        <v>43340</v>
      </c>
      <c r="AC3226" s="585" t="s">
        <v>164</v>
      </c>
      <c r="AD3226" s="585">
        <v>29519</v>
      </c>
      <c r="AE3226" s="587">
        <v>0.05</v>
      </c>
      <c r="AF3226" s="661" t="str">
        <f t="shared" si="353"/>
        <v>2018-LTK-RAM-RM25-008-08</v>
      </c>
      <c r="AG3226" s="661" t="str">
        <f>IF(AND($Y3226&gt;=32,(AI3226="I"),(Y3226&lt;&gt;"~"),(COUNTIF($AN$1:$AN3226,$AN3226)=1)),"TRUE","FALSE")</f>
        <v>FALSE</v>
      </c>
      <c r="AH3226" s="661" t="str">
        <f>IF(AND($Y3226&gt;=22, (AI3226&lt;&gt;"I"),(Y3226&lt;&gt;"~"),(COUNTIF($AN$1:$AN3226,$AN3226)=1)),"TRUE","FALSE")</f>
        <v>FALSE</v>
      </c>
      <c r="AI3226" s="661" t="str">
        <f t="shared" si="348"/>
        <v>II</v>
      </c>
      <c r="AJ3226" s="662" t="str">
        <f t="shared" si="349"/>
        <v>RM25-008</v>
      </c>
      <c r="AK3226" s="662" t="str">
        <f t="shared" si="350"/>
        <v>LTK</v>
      </c>
      <c r="AL3226" s="662" t="str">
        <f t="shared" si="351"/>
        <v>RAM</v>
      </c>
      <c r="AM3226" s="662" t="str">
        <f t="shared" si="347"/>
        <v>Ram 2500-SLT Crew Cab-2WD-6-8'-17320-6.4L Mid Duty Hemi-8-DJ2H92-22G-169-32-Unleaded-Unleaded</v>
      </c>
      <c r="AN3226" s="662" t="str">
        <f t="shared" si="352"/>
        <v>2018-LTK-RAM-RM25-008</v>
      </c>
    </row>
    <row r="3227" spans="1:40" ht="15">
      <c r="A3227" s="570" t="s">
        <v>5663</v>
      </c>
      <c r="B3227" s="573" t="s">
        <v>5655</v>
      </c>
      <c r="C3227" s="573" t="s">
        <v>240</v>
      </c>
      <c r="D3227" s="578" t="s">
        <v>241</v>
      </c>
      <c r="E3227" s="573" t="s">
        <v>3374</v>
      </c>
      <c r="F3227" s="573" t="s">
        <v>196</v>
      </c>
      <c r="G3227" s="573" t="s">
        <v>3265</v>
      </c>
      <c r="H3227" s="573">
        <v>2018</v>
      </c>
      <c r="I3227" s="573" t="s">
        <v>5645</v>
      </c>
      <c r="J3227" s="573" t="s">
        <v>5412</v>
      </c>
      <c r="K3227" s="573" t="s">
        <v>3377</v>
      </c>
      <c r="L3227" s="573">
        <v>6</v>
      </c>
      <c r="M3227" s="573">
        <v>0</v>
      </c>
      <c r="N3227" s="573" t="s">
        <v>157</v>
      </c>
      <c r="O3227" s="573">
        <v>2</v>
      </c>
      <c r="P3227" s="573" t="s">
        <v>3846</v>
      </c>
      <c r="Q3227" s="571">
        <v>17320</v>
      </c>
      <c r="R3227" s="573" t="s">
        <v>4231</v>
      </c>
      <c r="S3227" s="573">
        <v>8</v>
      </c>
      <c r="T3227" s="573" t="s">
        <v>5653</v>
      </c>
      <c r="U3227" s="573" t="s">
        <v>5650</v>
      </c>
      <c r="V3227" s="573">
        <v>169</v>
      </c>
      <c r="W3227" s="573">
        <v>32</v>
      </c>
      <c r="X3227" s="571">
        <v>10000</v>
      </c>
      <c r="Y3227" s="573">
        <v>15</v>
      </c>
      <c r="Z3227" s="579" t="s">
        <v>728</v>
      </c>
      <c r="AA3227" s="579" t="s">
        <v>1523</v>
      </c>
      <c r="AB3227" s="584">
        <v>52040</v>
      </c>
      <c r="AC3227" s="584" t="s">
        <v>164</v>
      </c>
      <c r="AD3227" s="584">
        <v>37368</v>
      </c>
      <c r="AE3227" s="586">
        <v>0.05</v>
      </c>
      <c r="AF3227" s="661" t="str">
        <f t="shared" si="353"/>
        <v>2018-LTK-RAM-RM25-009-08</v>
      </c>
      <c r="AG3227" s="661" t="str">
        <f>IF(AND($Y3227&gt;=32,(AI3227="I"),(Y3227&lt;&gt;"~"),(COUNTIF($AN$1:$AN3227,$AN3227)=1)),"TRUE","FALSE")</f>
        <v>FALSE</v>
      </c>
      <c r="AH3227" s="661" t="str">
        <f>IF(AND($Y3227&gt;=22, (AI3227&lt;&gt;"I"),(Y3227&lt;&gt;"~"),(COUNTIF($AN$1:$AN3227,$AN3227)=1)),"TRUE","FALSE")</f>
        <v>FALSE</v>
      </c>
      <c r="AI3227" s="661" t="str">
        <f t="shared" si="348"/>
        <v>II</v>
      </c>
      <c r="AJ3227" s="662" t="str">
        <f t="shared" si="349"/>
        <v>RM25-009</v>
      </c>
      <c r="AK3227" s="662" t="str">
        <f t="shared" si="350"/>
        <v>LTK</v>
      </c>
      <c r="AL3227" s="662" t="str">
        <f t="shared" si="351"/>
        <v>RAM</v>
      </c>
      <c r="AM3227" s="662" t="str">
        <f t="shared" ref="AM3227:AM3290" si="354">CONCATENATE(I3227,"-",J3227,"-",K3227,"-",L3227,"-",P3227,"-",Q3227,"-",R3227,"-",S3227,"-",T3227,"-",U3227,"-",V3227,"-",W3227,"-",Z3227,"-",AA3227)</f>
        <v>Ram 2500-SLT Crew Cab-2WD-6-8'-17320-6.7L Diesel-8-DJ2H92-2FG-169-32-Diesel-BioDiesel</v>
      </c>
      <c r="AN3227" s="662" t="str">
        <f t="shared" si="352"/>
        <v>2018-LTK-RAM-RM25-009</v>
      </c>
    </row>
    <row r="3228" spans="1:40" ht="15">
      <c r="A3228" s="570" t="s">
        <v>5664</v>
      </c>
      <c r="B3228" s="569" t="s">
        <v>5665</v>
      </c>
      <c r="C3228" s="569" t="s">
        <v>226</v>
      </c>
      <c r="D3228" s="580" t="s">
        <v>227</v>
      </c>
      <c r="E3228" s="569" t="s">
        <v>3374</v>
      </c>
      <c r="F3228" s="569" t="s">
        <v>196</v>
      </c>
      <c r="G3228" s="569" t="s">
        <v>3265</v>
      </c>
      <c r="H3228" s="569">
        <v>2019</v>
      </c>
      <c r="I3228" s="569" t="s">
        <v>5645</v>
      </c>
      <c r="J3228" s="569" t="s">
        <v>5412</v>
      </c>
      <c r="K3228" s="569" t="s">
        <v>752</v>
      </c>
      <c r="L3228" s="569">
        <v>6</v>
      </c>
      <c r="M3228" s="569">
        <v>0</v>
      </c>
      <c r="N3228" s="569" t="s">
        <v>157</v>
      </c>
      <c r="O3228" s="569">
        <v>2</v>
      </c>
      <c r="P3228" s="569" t="s">
        <v>5405</v>
      </c>
      <c r="Q3228" s="568">
        <v>11880</v>
      </c>
      <c r="R3228" s="569" t="s">
        <v>5646</v>
      </c>
      <c r="S3228" s="569">
        <v>8</v>
      </c>
      <c r="T3228" s="569" t="s">
        <v>5666</v>
      </c>
      <c r="U3228" s="569" t="s">
        <v>5398</v>
      </c>
      <c r="V3228" s="569">
        <v>149.4</v>
      </c>
      <c r="W3228" s="569">
        <v>31</v>
      </c>
      <c r="X3228" s="568">
        <v>9000</v>
      </c>
      <c r="Y3228" s="569">
        <v>14</v>
      </c>
      <c r="Z3228" s="581" t="s">
        <v>178</v>
      </c>
      <c r="AA3228" s="581" t="s">
        <v>178</v>
      </c>
      <c r="AB3228" s="585">
        <v>45940</v>
      </c>
      <c r="AC3228" s="585" t="s">
        <v>164</v>
      </c>
      <c r="AD3228" s="585">
        <v>38000</v>
      </c>
      <c r="AE3228" s="587">
        <v>6.25E-2</v>
      </c>
      <c r="AF3228" s="661" t="str">
        <f t="shared" si="353"/>
        <v>2019-LTK-RAM-RM25-083-04</v>
      </c>
      <c r="AG3228" s="661" t="str">
        <f>IF(AND($Y3228&gt;=32,(AI3228="I"),(Y3228&lt;&gt;"~"),(COUNTIF($AN$1:$AN3228,$AN3228)=1)),"TRUE","FALSE")</f>
        <v>FALSE</v>
      </c>
      <c r="AH3228" s="661" t="str">
        <f>IF(AND($Y3228&gt;=22, (AI3228&lt;&gt;"I"),(Y3228&lt;&gt;"~"),(COUNTIF($AN$1:$AN3228,$AN3228)=1)),"TRUE","FALSE")</f>
        <v>FALSE</v>
      </c>
      <c r="AI3228" s="661" t="str">
        <f t="shared" ref="AI3228:AI3291" si="355">IF(OR((LEFT($E3228,2)="01"),AND(LEFT($E3228,2)="06",ISNUMBER(SEARCH("pas",$F3228))),AND(LEFT($E3228,2)="05",ISNUMBER(SEARCH("pas",$F3228)))),"I",IF(AND((LEFT($E3228,2)&lt;&gt;"01"),$X3228&lt;=10000),"II",IF(AND((LEFT($E3228,2)&lt;&gt;"01"),$X3228&gt;10000),"N/A")))</f>
        <v>II</v>
      </c>
      <c r="AJ3228" s="662" t="str">
        <f t="shared" si="349"/>
        <v>RM25-083</v>
      </c>
      <c r="AK3228" s="662" t="str">
        <f t="shared" si="350"/>
        <v>LTK</v>
      </c>
      <c r="AL3228" s="662" t="str">
        <f t="shared" si="351"/>
        <v>RAM</v>
      </c>
      <c r="AM3228" s="662" t="str">
        <f t="shared" si="354"/>
        <v>Ram 2500-SLT Crew Cab-4WD-6-6'4"-11880-6.4L Mid Duty Hemi-8-DJ7H91-22G-149.4-31-Unleaded-Unleaded</v>
      </c>
      <c r="AN3228" s="662" t="str">
        <f t="shared" si="352"/>
        <v>2019-LTK-RAM-RM25-083</v>
      </c>
    </row>
    <row r="3229" spans="1:40" ht="15">
      <c r="A3229" s="570" t="s">
        <v>5667</v>
      </c>
      <c r="B3229" s="573" t="s">
        <v>5668</v>
      </c>
      <c r="C3229" s="573" t="s">
        <v>226</v>
      </c>
      <c r="D3229" s="578" t="s">
        <v>227</v>
      </c>
      <c r="E3229" s="573" t="s">
        <v>3374</v>
      </c>
      <c r="F3229" s="573" t="s">
        <v>196</v>
      </c>
      <c r="G3229" s="573" t="s">
        <v>3265</v>
      </c>
      <c r="H3229" s="573">
        <v>2019</v>
      </c>
      <c r="I3229" s="573" t="s">
        <v>5645</v>
      </c>
      <c r="J3229" s="573" t="s">
        <v>5412</v>
      </c>
      <c r="K3229" s="573" t="s">
        <v>752</v>
      </c>
      <c r="L3229" s="573">
        <v>6</v>
      </c>
      <c r="M3229" s="573">
        <v>0</v>
      </c>
      <c r="N3229" s="573" t="s">
        <v>157</v>
      </c>
      <c r="O3229" s="573">
        <v>2</v>
      </c>
      <c r="P3229" s="573" t="s">
        <v>5405</v>
      </c>
      <c r="Q3229" s="571">
        <v>16110</v>
      </c>
      <c r="R3229" s="573" t="s">
        <v>4231</v>
      </c>
      <c r="S3229" s="573">
        <v>8</v>
      </c>
      <c r="T3229" s="573" t="s">
        <v>5666</v>
      </c>
      <c r="U3229" s="573" t="s">
        <v>5650</v>
      </c>
      <c r="V3229" s="573">
        <v>149.4</v>
      </c>
      <c r="W3229" s="573">
        <v>31</v>
      </c>
      <c r="X3229" s="571">
        <v>10000</v>
      </c>
      <c r="Y3229" s="573">
        <v>14</v>
      </c>
      <c r="Z3229" s="579" t="s">
        <v>728</v>
      </c>
      <c r="AA3229" s="579" t="s">
        <v>1523</v>
      </c>
      <c r="AB3229" s="584">
        <v>54640</v>
      </c>
      <c r="AC3229" s="584" t="s">
        <v>164</v>
      </c>
      <c r="AD3229" s="584">
        <v>45373</v>
      </c>
      <c r="AE3229" s="586">
        <v>6.25E-2</v>
      </c>
      <c r="AF3229" s="661" t="str">
        <f t="shared" si="353"/>
        <v>2019-LTK-RAM-RM25-084-04</v>
      </c>
      <c r="AG3229" s="661" t="str">
        <f>IF(AND($Y3229&gt;=32,(AI3229="I"),(Y3229&lt;&gt;"~"),(COUNTIF($AN$1:$AN3229,$AN3229)=1)),"TRUE","FALSE")</f>
        <v>FALSE</v>
      </c>
      <c r="AH3229" s="661" t="str">
        <f>IF(AND($Y3229&gt;=22, (AI3229&lt;&gt;"I"),(Y3229&lt;&gt;"~"),(COUNTIF($AN$1:$AN3229,$AN3229)=1)),"TRUE","FALSE")</f>
        <v>FALSE</v>
      </c>
      <c r="AI3229" s="661" t="str">
        <f t="shared" si="355"/>
        <v>II</v>
      </c>
      <c r="AJ3229" s="662" t="str">
        <f t="shared" si="349"/>
        <v>RM25-084</v>
      </c>
      <c r="AK3229" s="662" t="str">
        <f t="shared" si="350"/>
        <v>LTK</v>
      </c>
      <c r="AL3229" s="662" t="str">
        <f t="shared" si="351"/>
        <v>RAM</v>
      </c>
      <c r="AM3229" s="662" t="str">
        <f t="shared" si="354"/>
        <v>Ram 2500-SLT Crew Cab-4WD-6-6'4"-16110-6.7L Diesel-8-DJ7H91-2FG-149.4-31-Diesel-BioDiesel</v>
      </c>
      <c r="AN3229" s="662" t="str">
        <f t="shared" si="352"/>
        <v>2019-LTK-RAM-RM25-084</v>
      </c>
    </row>
    <row r="3230" spans="1:40" ht="15">
      <c r="A3230" s="570" t="s">
        <v>5669</v>
      </c>
      <c r="B3230" s="569" t="s">
        <v>5670</v>
      </c>
      <c r="C3230" s="569" t="s">
        <v>226</v>
      </c>
      <c r="D3230" s="580" t="s">
        <v>227</v>
      </c>
      <c r="E3230" s="569" t="s">
        <v>3374</v>
      </c>
      <c r="F3230" s="569" t="s">
        <v>196</v>
      </c>
      <c r="G3230" s="569" t="s">
        <v>3265</v>
      </c>
      <c r="H3230" s="569">
        <v>2019</v>
      </c>
      <c r="I3230" s="569" t="s">
        <v>5645</v>
      </c>
      <c r="J3230" s="569" t="s">
        <v>5412</v>
      </c>
      <c r="K3230" s="569" t="s">
        <v>752</v>
      </c>
      <c r="L3230" s="569">
        <v>6</v>
      </c>
      <c r="M3230" s="569">
        <v>0</v>
      </c>
      <c r="N3230" s="569" t="s">
        <v>157</v>
      </c>
      <c r="O3230" s="569">
        <v>2</v>
      </c>
      <c r="P3230" s="569" t="s">
        <v>5405</v>
      </c>
      <c r="Q3230" s="568">
        <v>17120</v>
      </c>
      <c r="R3230" s="569" t="s">
        <v>5401</v>
      </c>
      <c r="S3230" s="569">
        <v>8</v>
      </c>
      <c r="T3230" s="569" t="s">
        <v>5666</v>
      </c>
      <c r="U3230" s="569" t="s">
        <v>5516</v>
      </c>
      <c r="V3230" s="569">
        <v>149.4</v>
      </c>
      <c r="W3230" s="569">
        <v>31</v>
      </c>
      <c r="X3230" s="568">
        <v>9000</v>
      </c>
      <c r="Y3230" s="569">
        <v>14</v>
      </c>
      <c r="Z3230" s="581" t="s">
        <v>178</v>
      </c>
      <c r="AA3230" s="581" t="s">
        <v>178</v>
      </c>
      <c r="AB3230" s="585">
        <v>45440</v>
      </c>
      <c r="AC3230" s="585" t="s">
        <v>164</v>
      </c>
      <c r="AD3230" s="585">
        <v>37546</v>
      </c>
      <c r="AE3230" s="587">
        <v>6.25E-2</v>
      </c>
      <c r="AF3230" s="661" t="str">
        <f t="shared" si="353"/>
        <v>2019-LTK-RAM-RM25-011-04</v>
      </c>
      <c r="AG3230" s="661" t="str">
        <f>IF(AND($Y3230&gt;=32,(AI3230="I"),(Y3230&lt;&gt;"~"),(COUNTIF($AN$1:$AN3230,$AN3230)=1)),"TRUE","FALSE")</f>
        <v>FALSE</v>
      </c>
      <c r="AH3230" s="661" t="str">
        <f>IF(AND($Y3230&gt;=22, (AI3230&lt;&gt;"I"),(Y3230&lt;&gt;"~"),(COUNTIF($AN$1:$AN3230,$AN3230)=1)),"TRUE","FALSE")</f>
        <v>FALSE</v>
      </c>
      <c r="AI3230" s="661" t="str">
        <f t="shared" si="355"/>
        <v>II</v>
      </c>
      <c r="AJ3230" s="662" t="str">
        <f t="shared" si="349"/>
        <v>RM25-011</v>
      </c>
      <c r="AK3230" s="662" t="str">
        <f t="shared" si="350"/>
        <v>LTK</v>
      </c>
      <c r="AL3230" s="662" t="str">
        <f t="shared" si="351"/>
        <v>RAM</v>
      </c>
      <c r="AM3230" s="662" t="str">
        <f t="shared" si="354"/>
        <v>Ram 2500-SLT Crew Cab-4WD-6-6'4"-17120-5.7L Hemi-8-DJ7H91-26G-149.4-31-Unleaded-Unleaded</v>
      </c>
      <c r="AN3230" s="662" t="str">
        <f t="shared" si="352"/>
        <v>2019-LTK-RAM-RM25-011</v>
      </c>
    </row>
    <row r="3231" spans="1:40" ht="15">
      <c r="A3231" s="570" t="s">
        <v>5671</v>
      </c>
      <c r="B3231" s="573" t="s">
        <v>5672</v>
      </c>
      <c r="C3231" s="573" t="s">
        <v>226</v>
      </c>
      <c r="D3231" s="578" t="s">
        <v>227</v>
      </c>
      <c r="E3231" s="573" t="s">
        <v>3374</v>
      </c>
      <c r="F3231" s="573" t="s">
        <v>196</v>
      </c>
      <c r="G3231" s="573" t="s">
        <v>3265</v>
      </c>
      <c r="H3231" s="573">
        <v>2019</v>
      </c>
      <c r="I3231" s="573" t="s">
        <v>5645</v>
      </c>
      <c r="J3231" s="573" t="s">
        <v>5412</v>
      </c>
      <c r="K3231" s="573" t="s">
        <v>752</v>
      </c>
      <c r="L3231" s="573">
        <v>6</v>
      </c>
      <c r="M3231" s="573">
        <v>0</v>
      </c>
      <c r="N3231" s="573" t="s">
        <v>157</v>
      </c>
      <c r="O3231" s="573">
        <v>2</v>
      </c>
      <c r="P3231" s="573" t="s">
        <v>3846</v>
      </c>
      <c r="Q3231" s="571">
        <v>11010</v>
      </c>
      <c r="R3231" s="573" t="s">
        <v>5401</v>
      </c>
      <c r="S3231" s="573">
        <v>8</v>
      </c>
      <c r="T3231" s="573" t="s">
        <v>5673</v>
      </c>
      <c r="U3231" s="573" t="s">
        <v>5516</v>
      </c>
      <c r="V3231" s="573">
        <v>169</v>
      </c>
      <c r="W3231" s="573">
        <v>32</v>
      </c>
      <c r="X3231" s="571">
        <v>9000</v>
      </c>
      <c r="Y3231" s="573">
        <v>14</v>
      </c>
      <c r="Z3231" s="579" t="s">
        <v>178</v>
      </c>
      <c r="AA3231" s="579" t="s">
        <v>178</v>
      </c>
      <c r="AB3231" s="584">
        <v>45640</v>
      </c>
      <c r="AC3231" s="584" t="s">
        <v>164</v>
      </c>
      <c r="AD3231" s="584">
        <v>37728</v>
      </c>
      <c r="AE3231" s="586">
        <v>6.25E-2</v>
      </c>
      <c r="AF3231" s="661" t="str">
        <f t="shared" si="353"/>
        <v>2019-LTK-RAM-RM25-085-04</v>
      </c>
      <c r="AG3231" s="661" t="str">
        <f>IF(AND($Y3231&gt;=32,(AI3231="I"),(Y3231&lt;&gt;"~"),(COUNTIF($AN$1:$AN3231,$AN3231)=1)),"TRUE","FALSE")</f>
        <v>FALSE</v>
      </c>
      <c r="AH3231" s="661" t="str">
        <f>IF(AND($Y3231&gt;=22, (AI3231&lt;&gt;"I"),(Y3231&lt;&gt;"~"),(COUNTIF($AN$1:$AN3231,$AN3231)=1)),"TRUE","FALSE")</f>
        <v>FALSE</v>
      </c>
      <c r="AI3231" s="661" t="str">
        <f t="shared" si="355"/>
        <v>II</v>
      </c>
      <c r="AJ3231" s="662" t="str">
        <f t="shared" si="349"/>
        <v>RM25-085</v>
      </c>
      <c r="AK3231" s="662" t="str">
        <f t="shared" si="350"/>
        <v>LTK</v>
      </c>
      <c r="AL3231" s="662" t="str">
        <f t="shared" si="351"/>
        <v>RAM</v>
      </c>
      <c r="AM3231" s="662" t="str">
        <f t="shared" si="354"/>
        <v>Ram 2500-SLT Crew Cab-4WD-6-8'-11010-5.7L Hemi-8-DJ7H92-26G-169-32-Unleaded-Unleaded</v>
      </c>
      <c r="AN3231" s="662" t="str">
        <f t="shared" si="352"/>
        <v>2019-LTK-RAM-RM25-085</v>
      </c>
    </row>
    <row r="3232" spans="1:40" ht="15">
      <c r="A3232" s="570" t="s">
        <v>5674</v>
      </c>
      <c r="B3232" s="569" t="s">
        <v>5675</v>
      </c>
      <c r="C3232" s="569" t="s">
        <v>226</v>
      </c>
      <c r="D3232" s="580" t="s">
        <v>227</v>
      </c>
      <c r="E3232" s="569" t="s">
        <v>3374</v>
      </c>
      <c r="F3232" s="569" t="s">
        <v>196</v>
      </c>
      <c r="G3232" s="569" t="s">
        <v>3265</v>
      </c>
      <c r="H3232" s="569">
        <v>2019</v>
      </c>
      <c r="I3232" s="569" t="s">
        <v>5645</v>
      </c>
      <c r="J3232" s="569" t="s">
        <v>5412</v>
      </c>
      <c r="K3232" s="569" t="s">
        <v>752</v>
      </c>
      <c r="L3232" s="569">
        <v>6</v>
      </c>
      <c r="M3232" s="569">
        <v>0</v>
      </c>
      <c r="N3232" s="569" t="s">
        <v>157</v>
      </c>
      <c r="O3232" s="569">
        <v>2</v>
      </c>
      <c r="P3232" s="569" t="s">
        <v>3846</v>
      </c>
      <c r="Q3232" s="568">
        <v>12470</v>
      </c>
      <c r="R3232" s="569" t="s">
        <v>5676</v>
      </c>
      <c r="S3232" s="569">
        <v>8</v>
      </c>
      <c r="T3232" s="569" t="s">
        <v>5673</v>
      </c>
      <c r="U3232" s="569" t="s">
        <v>5398</v>
      </c>
      <c r="V3232" s="569">
        <v>169</v>
      </c>
      <c r="W3232" s="569">
        <v>32</v>
      </c>
      <c r="X3232" s="568">
        <v>10000</v>
      </c>
      <c r="Y3232" s="569">
        <v>14</v>
      </c>
      <c r="Z3232" s="581" t="s">
        <v>178</v>
      </c>
      <c r="AA3232" s="581" t="s">
        <v>178</v>
      </c>
      <c r="AB3232" s="585">
        <v>46140</v>
      </c>
      <c r="AC3232" s="585" t="s">
        <v>164</v>
      </c>
      <c r="AD3232" s="585">
        <v>38176</v>
      </c>
      <c r="AE3232" s="587">
        <v>6.25E-2</v>
      </c>
      <c r="AF3232" s="661" t="str">
        <f t="shared" si="353"/>
        <v>2019-LTK-RAM-RM25-086-04</v>
      </c>
      <c r="AG3232" s="661" t="str">
        <f>IF(AND($Y3232&gt;=32,(AI3232="I"),(Y3232&lt;&gt;"~"),(COUNTIF($AN$1:$AN3232,$AN3232)=1)),"TRUE","FALSE")</f>
        <v>FALSE</v>
      </c>
      <c r="AH3232" s="661" t="str">
        <f>IF(AND($Y3232&gt;=22, (AI3232&lt;&gt;"I"),(Y3232&lt;&gt;"~"),(COUNTIF($AN$1:$AN3232,$AN3232)=1)),"TRUE","FALSE")</f>
        <v>FALSE</v>
      </c>
      <c r="AI3232" s="661" t="str">
        <f t="shared" si="355"/>
        <v>II</v>
      </c>
      <c r="AJ3232" s="662" t="str">
        <f t="shared" si="349"/>
        <v>RM25-086</v>
      </c>
      <c r="AK3232" s="662" t="str">
        <f t="shared" si="350"/>
        <v>LTK</v>
      </c>
      <c r="AL3232" s="662" t="str">
        <f t="shared" si="351"/>
        <v>RAM</v>
      </c>
      <c r="AM3232" s="662" t="str">
        <f t="shared" si="354"/>
        <v>Ram 2500-SLT Crew Cab-4WD-6-8'-12470-6.4L Hemi/3.73 axle ratio-8-DJ7H92-22G-169-32-Unleaded-Unleaded</v>
      </c>
      <c r="AN3232" s="662" t="str">
        <f t="shared" si="352"/>
        <v>2019-LTK-RAM-RM25-086</v>
      </c>
    </row>
    <row r="3233" spans="1:40" ht="15">
      <c r="A3233" s="570" t="s">
        <v>5677</v>
      </c>
      <c r="B3233" s="573" t="s">
        <v>5678</v>
      </c>
      <c r="C3233" s="573" t="s">
        <v>226</v>
      </c>
      <c r="D3233" s="578" t="s">
        <v>227</v>
      </c>
      <c r="E3233" s="573" t="s">
        <v>3374</v>
      </c>
      <c r="F3233" s="573" t="s">
        <v>196</v>
      </c>
      <c r="G3233" s="573" t="s">
        <v>3265</v>
      </c>
      <c r="H3233" s="573">
        <v>2019</v>
      </c>
      <c r="I3233" s="573" t="s">
        <v>5645</v>
      </c>
      <c r="J3233" s="573" t="s">
        <v>5412</v>
      </c>
      <c r="K3233" s="573" t="s">
        <v>752</v>
      </c>
      <c r="L3233" s="573">
        <v>6</v>
      </c>
      <c r="M3233" s="573">
        <v>0</v>
      </c>
      <c r="N3233" s="573" t="s">
        <v>157</v>
      </c>
      <c r="O3233" s="573">
        <v>2</v>
      </c>
      <c r="P3233" s="573" t="s">
        <v>3846</v>
      </c>
      <c r="Q3233" s="571">
        <v>15470</v>
      </c>
      <c r="R3233" s="573" t="s">
        <v>5676</v>
      </c>
      <c r="S3233" s="573">
        <v>8</v>
      </c>
      <c r="T3233" s="573" t="s">
        <v>5673</v>
      </c>
      <c r="U3233" s="573" t="s">
        <v>5398</v>
      </c>
      <c r="V3233" s="573">
        <v>169</v>
      </c>
      <c r="W3233" s="573">
        <v>32</v>
      </c>
      <c r="X3233" s="571">
        <v>9000</v>
      </c>
      <c r="Y3233" s="573">
        <v>14</v>
      </c>
      <c r="Z3233" s="579" t="s">
        <v>178</v>
      </c>
      <c r="AA3233" s="579" t="s">
        <v>178</v>
      </c>
      <c r="AB3233" s="584">
        <v>46285</v>
      </c>
      <c r="AC3233" s="584" t="s">
        <v>164</v>
      </c>
      <c r="AD3233" s="584">
        <v>38321</v>
      </c>
      <c r="AE3233" s="586">
        <v>6.25E-2</v>
      </c>
      <c r="AF3233" s="661" t="str">
        <f t="shared" si="353"/>
        <v>2019-LTK-RAM-RM25-087-04</v>
      </c>
      <c r="AG3233" s="661" t="str">
        <f>IF(AND($Y3233&gt;=32,(AI3233="I"),(Y3233&lt;&gt;"~"),(COUNTIF($AN$1:$AN3233,$AN3233)=1)),"TRUE","FALSE")</f>
        <v>FALSE</v>
      </c>
      <c r="AH3233" s="661" t="str">
        <f>IF(AND($Y3233&gt;=22, (AI3233&lt;&gt;"I"),(Y3233&lt;&gt;"~"),(COUNTIF($AN$1:$AN3233,$AN3233)=1)),"TRUE","FALSE")</f>
        <v>FALSE</v>
      </c>
      <c r="AI3233" s="661" t="str">
        <f t="shared" si="355"/>
        <v>II</v>
      </c>
      <c r="AJ3233" s="662" t="str">
        <f t="shared" si="349"/>
        <v>RM25-087</v>
      </c>
      <c r="AK3233" s="662" t="str">
        <f t="shared" si="350"/>
        <v>LTK</v>
      </c>
      <c r="AL3233" s="662" t="str">
        <f t="shared" si="351"/>
        <v>RAM</v>
      </c>
      <c r="AM3233" s="662" t="str">
        <f t="shared" si="354"/>
        <v>Ram 2500-SLT Crew Cab-4WD-6-8'-15470-6.4L Hemi/3.73 axle ratio-8-DJ7H92-22G-169-32-Unleaded-Unleaded</v>
      </c>
      <c r="AN3233" s="662" t="str">
        <f t="shared" si="352"/>
        <v>2019-LTK-RAM-RM25-087</v>
      </c>
    </row>
    <row r="3234" spans="1:40" ht="15">
      <c r="A3234" s="570" t="s">
        <v>5679</v>
      </c>
      <c r="B3234" s="569" t="s">
        <v>5680</v>
      </c>
      <c r="C3234" s="569" t="s">
        <v>226</v>
      </c>
      <c r="D3234" s="580" t="s">
        <v>227</v>
      </c>
      <c r="E3234" s="569" t="s">
        <v>3374</v>
      </c>
      <c r="F3234" s="569" t="s">
        <v>196</v>
      </c>
      <c r="G3234" s="569" t="s">
        <v>3265</v>
      </c>
      <c r="H3234" s="569">
        <v>2019</v>
      </c>
      <c r="I3234" s="569" t="s">
        <v>5645</v>
      </c>
      <c r="J3234" s="569" t="s">
        <v>5412</v>
      </c>
      <c r="K3234" s="569" t="s">
        <v>752</v>
      </c>
      <c r="L3234" s="569">
        <v>6</v>
      </c>
      <c r="M3234" s="569">
        <v>0</v>
      </c>
      <c r="N3234" s="569" t="s">
        <v>157</v>
      </c>
      <c r="O3234" s="569">
        <v>2</v>
      </c>
      <c r="P3234" s="569" t="s">
        <v>3846</v>
      </c>
      <c r="Q3234" s="568">
        <v>6820</v>
      </c>
      <c r="R3234" s="569" t="s">
        <v>5681</v>
      </c>
      <c r="S3234" s="569">
        <v>8</v>
      </c>
      <c r="T3234" s="569" t="s">
        <v>5673</v>
      </c>
      <c r="U3234" s="569" t="s">
        <v>5402</v>
      </c>
      <c r="V3234" s="569">
        <v>169</v>
      </c>
      <c r="W3234" s="569">
        <v>32</v>
      </c>
      <c r="X3234" s="568">
        <v>9000</v>
      </c>
      <c r="Y3234" s="569">
        <v>14</v>
      </c>
      <c r="Z3234" s="581" t="s">
        <v>1529</v>
      </c>
      <c r="AA3234" s="581" t="s">
        <v>1529</v>
      </c>
      <c r="AB3234" s="585">
        <v>56540</v>
      </c>
      <c r="AC3234" s="585" t="s">
        <v>164</v>
      </c>
      <c r="AD3234" s="585">
        <v>49961</v>
      </c>
      <c r="AE3234" s="587">
        <v>6.25E-2</v>
      </c>
      <c r="AF3234" s="661" t="str">
        <f t="shared" si="353"/>
        <v>2019-LTK-RAM-RM25-088-04</v>
      </c>
      <c r="AG3234" s="661" t="str">
        <f>IF(AND($Y3234&gt;=32,(AI3234="I"),(Y3234&lt;&gt;"~"),(COUNTIF($AN$1:$AN3234,$AN3234)=1)),"TRUE","FALSE")</f>
        <v>FALSE</v>
      </c>
      <c r="AH3234" s="661" t="str">
        <f>IF(AND($Y3234&gt;=22, (AI3234&lt;&gt;"I"),(Y3234&lt;&gt;"~"),(COUNTIF($AN$1:$AN3234,$AN3234)=1)),"TRUE","FALSE")</f>
        <v>FALSE</v>
      </c>
      <c r="AI3234" s="661" t="str">
        <f t="shared" si="355"/>
        <v>II</v>
      </c>
      <c r="AJ3234" s="662" t="str">
        <f t="shared" si="349"/>
        <v>RM25-088</v>
      </c>
      <c r="AK3234" s="662" t="str">
        <f t="shared" si="350"/>
        <v>LTK</v>
      </c>
      <c r="AL3234" s="662" t="str">
        <f t="shared" si="351"/>
        <v>RAM</v>
      </c>
      <c r="AM3234" s="662" t="str">
        <f t="shared" si="354"/>
        <v>Ram 2500-SLT Crew Cab-4WD-6-8'-6820-5.7L Hemi CNG/3.73 axle-8-DJ7H92-27G-169-32-CNG-CNG</v>
      </c>
      <c r="AN3234" s="662" t="str">
        <f t="shared" si="352"/>
        <v>2019-LTK-RAM-RM25-088</v>
      </c>
    </row>
    <row r="3235" spans="1:40" ht="15">
      <c r="A3235" s="570" t="s">
        <v>5682</v>
      </c>
      <c r="B3235" s="573" t="s">
        <v>5670</v>
      </c>
      <c r="C3235" s="573" t="s">
        <v>240</v>
      </c>
      <c r="D3235" s="578" t="s">
        <v>241</v>
      </c>
      <c r="E3235" s="573" t="s">
        <v>3374</v>
      </c>
      <c r="F3235" s="573" t="s">
        <v>196</v>
      </c>
      <c r="G3235" s="573" t="s">
        <v>3265</v>
      </c>
      <c r="H3235" s="573">
        <v>2018</v>
      </c>
      <c r="I3235" s="573" t="s">
        <v>5645</v>
      </c>
      <c r="J3235" s="573" t="s">
        <v>5412</v>
      </c>
      <c r="K3235" s="573" t="s">
        <v>752</v>
      </c>
      <c r="L3235" s="573">
        <v>6</v>
      </c>
      <c r="M3235" s="573">
        <v>0</v>
      </c>
      <c r="N3235" s="573" t="s">
        <v>157</v>
      </c>
      <c r="O3235" s="573">
        <v>2</v>
      </c>
      <c r="P3235" s="573" t="s">
        <v>5405</v>
      </c>
      <c r="Q3235" s="571">
        <v>17120</v>
      </c>
      <c r="R3235" s="573" t="s">
        <v>5401</v>
      </c>
      <c r="S3235" s="573">
        <v>8</v>
      </c>
      <c r="T3235" s="573" t="s">
        <v>5666</v>
      </c>
      <c r="U3235" s="573" t="s">
        <v>5516</v>
      </c>
      <c r="V3235" s="573">
        <v>149.4</v>
      </c>
      <c r="W3235" s="573">
        <v>31</v>
      </c>
      <c r="X3235" s="571">
        <v>9000</v>
      </c>
      <c r="Y3235" s="573">
        <v>14</v>
      </c>
      <c r="Z3235" s="579" t="s">
        <v>178</v>
      </c>
      <c r="AA3235" s="579" t="s">
        <v>178</v>
      </c>
      <c r="AB3235" s="584">
        <v>45440</v>
      </c>
      <c r="AC3235" s="584" t="s">
        <v>164</v>
      </c>
      <c r="AD3235" s="584">
        <v>31376</v>
      </c>
      <c r="AE3235" s="586">
        <v>0.05</v>
      </c>
      <c r="AF3235" s="661" t="str">
        <f t="shared" si="353"/>
        <v>2018-LTK-RAM-RM25-011-08</v>
      </c>
      <c r="AG3235" s="661" t="str">
        <f>IF(AND($Y3235&gt;=32,(AI3235="I"),(Y3235&lt;&gt;"~"),(COUNTIF($AN$1:$AN3235,$AN3235)=1)),"TRUE","FALSE")</f>
        <v>FALSE</v>
      </c>
      <c r="AH3235" s="661" t="str">
        <f>IF(AND($Y3235&gt;=22, (AI3235&lt;&gt;"I"),(Y3235&lt;&gt;"~"),(COUNTIF($AN$1:$AN3235,$AN3235)=1)),"TRUE","FALSE")</f>
        <v>FALSE</v>
      </c>
      <c r="AI3235" s="661" t="str">
        <f t="shared" si="355"/>
        <v>II</v>
      </c>
      <c r="AJ3235" s="662" t="str">
        <f t="shared" si="349"/>
        <v>RM25-011</v>
      </c>
      <c r="AK3235" s="662" t="str">
        <f t="shared" si="350"/>
        <v>LTK</v>
      </c>
      <c r="AL3235" s="662" t="str">
        <f t="shared" si="351"/>
        <v>RAM</v>
      </c>
      <c r="AM3235" s="662" t="str">
        <f t="shared" si="354"/>
        <v>Ram 2500-SLT Crew Cab-4WD-6-6'4"-17120-5.7L Hemi-8-DJ7H91-26G-149.4-31-Unleaded-Unleaded</v>
      </c>
      <c r="AN3235" s="662" t="str">
        <f t="shared" si="352"/>
        <v>2018-LTK-RAM-RM25-011</v>
      </c>
    </row>
    <row r="3236" spans="1:40" ht="15">
      <c r="A3236" s="570" t="s">
        <v>5683</v>
      </c>
      <c r="B3236" s="569" t="s">
        <v>5684</v>
      </c>
      <c r="C3236" s="569" t="s">
        <v>240</v>
      </c>
      <c r="D3236" s="580" t="s">
        <v>241</v>
      </c>
      <c r="E3236" s="569" t="s">
        <v>3374</v>
      </c>
      <c r="F3236" s="569" t="s">
        <v>196</v>
      </c>
      <c r="G3236" s="569" t="s">
        <v>3265</v>
      </c>
      <c r="H3236" s="569">
        <v>2018</v>
      </c>
      <c r="I3236" s="569" t="s">
        <v>5645</v>
      </c>
      <c r="J3236" s="569" t="s">
        <v>5412</v>
      </c>
      <c r="K3236" s="569" t="s">
        <v>752</v>
      </c>
      <c r="L3236" s="569">
        <v>6</v>
      </c>
      <c r="M3236" s="569">
        <v>0</v>
      </c>
      <c r="N3236" s="569" t="s">
        <v>157</v>
      </c>
      <c r="O3236" s="569">
        <v>2</v>
      </c>
      <c r="P3236" s="569" t="s">
        <v>5405</v>
      </c>
      <c r="Q3236" s="568">
        <v>17120</v>
      </c>
      <c r="R3236" s="569" t="s">
        <v>5646</v>
      </c>
      <c r="S3236" s="569">
        <v>8</v>
      </c>
      <c r="T3236" s="569" t="s">
        <v>5666</v>
      </c>
      <c r="U3236" s="569" t="s">
        <v>5398</v>
      </c>
      <c r="V3236" s="569">
        <v>149.4</v>
      </c>
      <c r="W3236" s="569">
        <v>31</v>
      </c>
      <c r="X3236" s="568">
        <v>10000</v>
      </c>
      <c r="Y3236" s="569">
        <v>14</v>
      </c>
      <c r="Z3236" s="581" t="s">
        <v>178</v>
      </c>
      <c r="AA3236" s="581" t="s">
        <v>178</v>
      </c>
      <c r="AB3236" s="585">
        <v>45940</v>
      </c>
      <c r="AC3236" s="585" t="s">
        <v>164</v>
      </c>
      <c r="AD3236" s="585">
        <v>31834</v>
      </c>
      <c r="AE3236" s="587">
        <v>0.05</v>
      </c>
      <c r="AF3236" s="661" t="str">
        <f t="shared" si="353"/>
        <v>2018-LTK-RAM-RM25-012-08</v>
      </c>
      <c r="AG3236" s="661" t="str">
        <f>IF(AND($Y3236&gt;=32,(AI3236="I"),(Y3236&lt;&gt;"~"),(COUNTIF($AN$1:$AN3236,$AN3236)=1)),"TRUE","FALSE")</f>
        <v>FALSE</v>
      </c>
      <c r="AH3236" s="661" t="str">
        <f>IF(AND($Y3236&gt;=22, (AI3236&lt;&gt;"I"),(Y3236&lt;&gt;"~"),(COUNTIF($AN$1:$AN3236,$AN3236)=1)),"TRUE","FALSE")</f>
        <v>FALSE</v>
      </c>
      <c r="AI3236" s="661" t="str">
        <f t="shared" si="355"/>
        <v>II</v>
      </c>
      <c r="AJ3236" s="662" t="str">
        <f t="shared" si="349"/>
        <v>RM25-012</v>
      </c>
      <c r="AK3236" s="662" t="str">
        <f t="shared" si="350"/>
        <v>LTK</v>
      </c>
      <c r="AL3236" s="662" t="str">
        <f t="shared" si="351"/>
        <v>RAM</v>
      </c>
      <c r="AM3236" s="662" t="str">
        <f t="shared" si="354"/>
        <v>Ram 2500-SLT Crew Cab-4WD-6-6'4"-17120-6.4L Mid Duty Hemi-8-DJ7H91-22G-149.4-31-Unleaded-Unleaded</v>
      </c>
      <c r="AN3236" s="662" t="str">
        <f t="shared" si="352"/>
        <v>2018-LTK-RAM-RM25-012</v>
      </c>
    </row>
    <row r="3237" spans="1:40" ht="15">
      <c r="A3237" s="570" t="s">
        <v>5685</v>
      </c>
      <c r="B3237" s="573" t="s">
        <v>5686</v>
      </c>
      <c r="C3237" s="573" t="s">
        <v>240</v>
      </c>
      <c r="D3237" s="578" t="s">
        <v>241</v>
      </c>
      <c r="E3237" s="573" t="s">
        <v>3374</v>
      </c>
      <c r="F3237" s="573" t="s">
        <v>196</v>
      </c>
      <c r="G3237" s="573" t="s">
        <v>3265</v>
      </c>
      <c r="H3237" s="573">
        <v>2018</v>
      </c>
      <c r="I3237" s="573" t="s">
        <v>5645</v>
      </c>
      <c r="J3237" s="573" t="s">
        <v>5412</v>
      </c>
      <c r="K3237" s="573" t="s">
        <v>752</v>
      </c>
      <c r="L3237" s="573">
        <v>6</v>
      </c>
      <c r="M3237" s="573">
        <v>0</v>
      </c>
      <c r="N3237" s="573" t="s">
        <v>157</v>
      </c>
      <c r="O3237" s="573">
        <v>2</v>
      </c>
      <c r="P3237" s="573" t="s">
        <v>5405</v>
      </c>
      <c r="Q3237" s="571">
        <v>17120</v>
      </c>
      <c r="R3237" s="573" t="s">
        <v>4231</v>
      </c>
      <c r="S3237" s="573">
        <v>8</v>
      </c>
      <c r="T3237" s="573" t="s">
        <v>5666</v>
      </c>
      <c r="U3237" s="573" t="s">
        <v>5650</v>
      </c>
      <c r="V3237" s="573">
        <v>149.4</v>
      </c>
      <c r="W3237" s="573">
        <v>31</v>
      </c>
      <c r="X3237" s="571">
        <v>10000</v>
      </c>
      <c r="Y3237" s="573">
        <v>14</v>
      </c>
      <c r="Z3237" s="579" t="s">
        <v>728</v>
      </c>
      <c r="AA3237" s="579" t="s">
        <v>1523</v>
      </c>
      <c r="AB3237" s="584">
        <v>54640</v>
      </c>
      <c r="AC3237" s="584" t="s">
        <v>164</v>
      </c>
      <c r="AD3237" s="584">
        <v>39608</v>
      </c>
      <c r="AE3237" s="586">
        <v>0.05</v>
      </c>
      <c r="AF3237" s="661" t="str">
        <f t="shared" si="353"/>
        <v>2018-LTK-RAM-RM25-014-08</v>
      </c>
      <c r="AG3237" s="661" t="str">
        <f>IF(AND($Y3237&gt;=32,(AI3237="I"),(Y3237&lt;&gt;"~"),(COUNTIF($AN$1:$AN3237,$AN3237)=1)),"TRUE","FALSE")</f>
        <v>FALSE</v>
      </c>
      <c r="AH3237" s="661" t="str">
        <f>IF(AND($Y3237&gt;=22, (AI3237&lt;&gt;"I"),(Y3237&lt;&gt;"~"),(COUNTIF($AN$1:$AN3237,$AN3237)=1)),"TRUE","FALSE")</f>
        <v>FALSE</v>
      </c>
      <c r="AI3237" s="661" t="str">
        <f t="shared" si="355"/>
        <v>II</v>
      </c>
      <c r="AJ3237" s="662" t="str">
        <f t="shared" si="349"/>
        <v>RM25-014</v>
      </c>
      <c r="AK3237" s="662" t="str">
        <f t="shared" si="350"/>
        <v>LTK</v>
      </c>
      <c r="AL3237" s="662" t="str">
        <f t="shared" si="351"/>
        <v>RAM</v>
      </c>
      <c r="AM3237" s="662" t="str">
        <f t="shared" si="354"/>
        <v>Ram 2500-SLT Crew Cab-4WD-6-6'4"-17120-6.7L Diesel-8-DJ7H91-2FG-149.4-31-Diesel-BioDiesel</v>
      </c>
      <c r="AN3237" s="662" t="str">
        <f t="shared" si="352"/>
        <v>2018-LTK-RAM-RM25-014</v>
      </c>
    </row>
    <row r="3238" spans="1:40" ht="15">
      <c r="A3238" s="570" t="s">
        <v>5687</v>
      </c>
      <c r="B3238" s="569" t="s">
        <v>5688</v>
      </c>
      <c r="C3238" s="569" t="s">
        <v>240</v>
      </c>
      <c r="D3238" s="580" t="s">
        <v>241</v>
      </c>
      <c r="E3238" s="569" t="s">
        <v>3374</v>
      </c>
      <c r="F3238" s="569" t="s">
        <v>196</v>
      </c>
      <c r="G3238" s="569" t="s">
        <v>3265</v>
      </c>
      <c r="H3238" s="569">
        <v>2018</v>
      </c>
      <c r="I3238" s="569" t="s">
        <v>5645</v>
      </c>
      <c r="J3238" s="569" t="s">
        <v>5412</v>
      </c>
      <c r="K3238" s="569" t="s">
        <v>752</v>
      </c>
      <c r="L3238" s="569">
        <v>6</v>
      </c>
      <c r="M3238" s="569">
        <v>0</v>
      </c>
      <c r="N3238" s="569" t="s">
        <v>157</v>
      </c>
      <c r="O3238" s="569">
        <v>2</v>
      </c>
      <c r="P3238" s="569" t="s">
        <v>3846</v>
      </c>
      <c r="Q3238" s="568">
        <v>17120</v>
      </c>
      <c r="R3238" s="569" t="s">
        <v>5689</v>
      </c>
      <c r="S3238" s="569">
        <v>8</v>
      </c>
      <c r="T3238" s="569" t="s">
        <v>5673</v>
      </c>
      <c r="U3238" s="569" t="s">
        <v>5402</v>
      </c>
      <c r="V3238" s="569">
        <v>169</v>
      </c>
      <c r="W3238" s="569">
        <v>32</v>
      </c>
      <c r="X3238" s="568">
        <v>9000</v>
      </c>
      <c r="Y3238" s="569">
        <v>14</v>
      </c>
      <c r="Z3238" s="581" t="s">
        <v>1529</v>
      </c>
      <c r="AA3238" s="581" t="s">
        <v>1529</v>
      </c>
      <c r="AB3238" s="585">
        <v>56640</v>
      </c>
      <c r="AC3238" s="585" t="s">
        <v>164</v>
      </c>
      <c r="AD3238" s="585">
        <v>40878</v>
      </c>
      <c r="AE3238" s="587">
        <v>0.05</v>
      </c>
      <c r="AF3238" s="661" t="str">
        <f t="shared" si="353"/>
        <v>2018-LTK-RAM-RM25-019-08</v>
      </c>
      <c r="AG3238" s="661" t="str">
        <f>IF(AND($Y3238&gt;=32,(AI3238="I"),(Y3238&lt;&gt;"~"),(COUNTIF($AN$1:$AN3238,$AN3238)=1)),"TRUE","FALSE")</f>
        <v>FALSE</v>
      </c>
      <c r="AH3238" s="661" t="str">
        <f>IF(AND($Y3238&gt;=22, (AI3238&lt;&gt;"I"),(Y3238&lt;&gt;"~"),(COUNTIF($AN$1:$AN3238,$AN3238)=1)),"TRUE","FALSE")</f>
        <v>FALSE</v>
      </c>
      <c r="AI3238" s="661" t="str">
        <f t="shared" si="355"/>
        <v>II</v>
      </c>
      <c r="AJ3238" s="662" t="str">
        <f t="shared" si="349"/>
        <v>RM25-019</v>
      </c>
      <c r="AK3238" s="662" t="str">
        <f t="shared" si="350"/>
        <v>LTK</v>
      </c>
      <c r="AL3238" s="662" t="str">
        <f t="shared" si="351"/>
        <v>RAM</v>
      </c>
      <c r="AM3238" s="662" t="str">
        <f t="shared" si="354"/>
        <v>Ram 2500-SLT Crew Cab-4WD-6-8'-17120-5.7L Hemi CNG-8-DJ7H92-27G-169-32-CNG-CNG</v>
      </c>
      <c r="AN3238" s="662" t="str">
        <f t="shared" si="352"/>
        <v>2018-LTK-RAM-RM25-019</v>
      </c>
    </row>
    <row r="3239" spans="1:40" ht="15">
      <c r="A3239" s="570" t="s">
        <v>5690</v>
      </c>
      <c r="B3239" s="573" t="s">
        <v>5691</v>
      </c>
      <c r="C3239" s="573" t="s">
        <v>240</v>
      </c>
      <c r="D3239" s="578" t="s">
        <v>241</v>
      </c>
      <c r="E3239" s="573" t="s">
        <v>3374</v>
      </c>
      <c r="F3239" s="573" t="s">
        <v>196</v>
      </c>
      <c r="G3239" s="573" t="s">
        <v>3265</v>
      </c>
      <c r="H3239" s="573">
        <v>2018</v>
      </c>
      <c r="I3239" s="573" t="s">
        <v>5645</v>
      </c>
      <c r="J3239" s="573" t="s">
        <v>5412</v>
      </c>
      <c r="K3239" s="573" t="s">
        <v>752</v>
      </c>
      <c r="L3239" s="573">
        <v>6</v>
      </c>
      <c r="M3239" s="573">
        <v>0</v>
      </c>
      <c r="N3239" s="573" t="s">
        <v>157</v>
      </c>
      <c r="O3239" s="573">
        <v>2</v>
      </c>
      <c r="P3239" s="573" t="s">
        <v>3846</v>
      </c>
      <c r="Q3239" s="571">
        <v>17120</v>
      </c>
      <c r="R3239" s="573" t="s">
        <v>5401</v>
      </c>
      <c r="S3239" s="573">
        <v>8</v>
      </c>
      <c r="T3239" s="573" t="s">
        <v>5673</v>
      </c>
      <c r="U3239" s="573" t="s">
        <v>5516</v>
      </c>
      <c r="V3239" s="573">
        <v>169</v>
      </c>
      <c r="W3239" s="573">
        <v>32</v>
      </c>
      <c r="X3239" s="571">
        <v>9000</v>
      </c>
      <c r="Y3239" s="573">
        <v>14</v>
      </c>
      <c r="Z3239" s="579" t="s">
        <v>178</v>
      </c>
      <c r="AA3239" s="579" t="s">
        <v>178</v>
      </c>
      <c r="AB3239" s="584">
        <v>45640</v>
      </c>
      <c r="AC3239" s="584" t="s">
        <v>164</v>
      </c>
      <c r="AD3239" s="584">
        <v>31554</v>
      </c>
      <c r="AE3239" s="586">
        <v>0.05</v>
      </c>
      <c r="AF3239" s="661" t="str">
        <f t="shared" si="353"/>
        <v>2018-LTK-RAM-RM25-020-08</v>
      </c>
      <c r="AG3239" s="661" t="str">
        <f>IF(AND($Y3239&gt;=32,(AI3239="I"),(Y3239&lt;&gt;"~"),(COUNTIF($AN$1:$AN3239,$AN3239)=1)),"TRUE","FALSE")</f>
        <v>FALSE</v>
      </c>
      <c r="AH3239" s="661" t="str">
        <f>IF(AND($Y3239&gt;=22, (AI3239&lt;&gt;"I"),(Y3239&lt;&gt;"~"),(COUNTIF($AN$1:$AN3239,$AN3239)=1)),"TRUE","FALSE")</f>
        <v>FALSE</v>
      </c>
      <c r="AI3239" s="661" t="str">
        <f t="shared" si="355"/>
        <v>II</v>
      </c>
      <c r="AJ3239" s="662" t="str">
        <f t="shared" si="349"/>
        <v>RM25-020</v>
      </c>
      <c r="AK3239" s="662" t="str">
        <f t="shared" si="350"/>
        <v>LTK</v>
      </c>
      <c r="AL3239" s="662" t="str">
        <f t="shared" si="351"/>
        <v>RAM</v>
      </c>
      <c r="AM3239" s="662" t="str">
        <f t="shared" si="354"/>
        <v>Ram 2500-SLT Crew Cab-4WD-6-8'-17120-5.7L Hemi-8-DJ7H92-26G-169-32-Unleaded-Unleaded</v>
      </c>
      <c r="AN3239" s="662" t="str">
        <f t="shared" si="352"/>
        <v>2018-LTK-RAM-RM25-020</v>
      </c>
    </row>
    <row r="3240" spans="1:40" ht="15">
      <c r="A3240" s="570" t="s">
        <v>5692</v>
      </c>
      <c r="B3240" s="569" t="s">
        <v>5693</v>
      </c>
      <c r="C3240" s="569" t="s">
        <v>240</v>
      </c>
      <c r="D3240" s="580" t="s">
        <v>241</v>
      </c>
      <c r="E3240" s="569" t="s">
        <v>3374</v>
      </c>
      <c r="F3240" s="569" t="s">
        <v>196</v>
      </c>
      <c r="G3240" s="569" t="s">
        <v>3265</v>
      </c>
      <c r="H3240" s="569">
        <v>2018</v>
      </c>
      <c r="I3240" s="569" t="s">
        <v>5645</v>
      </c>
      <c r="J3240" s="569" t="s">
        <v>5412</v>
      </c>
      <c r="K3240" s="569" t="s">
        <v>752</v>
      </c>
      <c r="L3240" s="569">
        <v>6</v>
      </c>
      <c r="M3240" s="569">
        <v>0</v>
      </c>
      <c r="N3240" s="569" t="s">
        <v>157</v>
      </c>
      <c r="O3240" s="569">
        <v>2</v>
      </c>
      <c r="P3240" s="569" t="s">
        <v>3846</v>
      </c>
      <c r="Q3240" s="568">
        <v>17120</v>
      </c>
      <c r="R3240" s="569" t="s">
        <v>5646</v>
      </c>
      <c r="S3240" s="569">
        <v>8</v>
      </c>
      <c r="T3240" s="569" t="s">
        <v>5673</v>
      </c>
      <c r="U3240" s="569" t="s">
        <v>5398</v>
      </c>
      <c r="V3240" s="569">
        <v>169</v>
      </c>
      <c r="W3240" s="569">
        <v>32</v>
      </c>
      <c r="X3240" s="568">
        <v>10000</v>
      </c>
      <c r="Y3240" s="569">
        <v>14</v>
      </c>
      <c r="Z3240" s="581" t="s">
        <v>178</v>
      </c>
      <c r="AA3240" s="581" t="s">
        <v>178</v>
      </c>
      <c r="AB3240" s="585">
        <v>46140</v>
      </c>
      <c r="AC3240" s="585" t="s">
        <v>164</v>
      </c>
      <c r="AD3240" s="585">
        <v>32013</v>
      </c>
      <c r="AE3240" s="587">
        <v>0.05</v>
      </c>
      <c r="AF3240" s="661" t="str">
        <f t="shared" si="353"/>
        <v>2018-LTK-RAM-RM25-021-08</v>
      </c>
      <c r="AG3240" s="661" t="str">
        <f>IF(AND($Y3240&gt;=32,(AI3240="I"),(Y3240&lt;&gt;"~"),(COUNTIF($AN$1:$AN3240,$AN3240)=1)),"TRUE","FALSE")</f>
        <v>FALSE</v>
      </c>
      <c r="AH3240" s="661" t="str">
        <f>IF(AND($Y3240&gt;=22, (AI3240&lt;&gt;"I"),(Y3240&lt;&gt;"~"),(COUNTIF($AN$1:$AN3240,$AN3240)=1)),"TRUE","FALSE")</f>
        <v>FALSE</v>
      </c>
      <c r="AI3240" s="661" t="str">
        <f t="shared" si="355"/>
        <v>II</v>
      </c>
      <c r="AJ3240" s="662" t="str">
        <f t="shared" si="349"/>
        <v>RM25-021</v>
      </c>
      <c r="AK3240" s="662" t="str">
        <f t="shared" si="350"/>
        <v>LTK</v>
      </c>
      <c r="AL3240" s="662" t="str">
        <f t="shared" si="351"/>
        <v>RAM</v>
      </c>
      <c r="AM3240" s="662" t="str">
        <f t="shared" si="354"/>
        <v>Ram 2500-SLT Crew Cab-4WD-6-8'-17120-6.4L Mid Duty Hemi-8-DJ7H92-22G-169-32-Unleaded-Unleaded</v>
      </c>
      <c r="AN3240" s="662" t="str">
        <f t="shared" si="352"/>
        <v>2018-LTK-RAM-RM25-021</v>
      </c>
    </row>
    <row r="3241" spans="1:40" ht="15">
      <c r="A3241" s="570" t="s">
        <v>5694</v>
      </c>
      <c r="B3241" s="573" t="s">
        <v>5695</v>
      </c>
      <c r="C3241" s="573" t="s">
        <v>240</v>
      </c>
      <c r="D3241" s="578" t="s">
        <v>241</v>
      </c>
      <c r="E3241" s="573" t="s">
        <v>3374</v>
      </c>
      <c r="F3241" s="573" t="s">
        <v>196</v>
      </c>
      <c r="G3241" s="573" t="s">
        <v>3265</v>
      </c>
      <c r="H3241" s="573">
        <v>2018</v>
      </c>
      <c r="I3241" s="573" t="s">
        <v>5645</v>
      </c>
      <c r="J3241" s="573" t="s">
        <v>5412</v>
      </c>
      <c r="K3241" s="573" t="s">
        <v>752</v>
      </c>
      <c r="L3241" s="573">
        <v>6</v>
      </c>
      <c r="M3241" s="573">
        <v>0</v>
      </c>
      <c r="N3241" s="573" t="s">
        <v>157</v>
      </c>
      <c r="O3241" s="573">
        <v>2</v>
      </c>
      <c r="P3241" s="573" t="s">
        <v>3846</v>
      </c>
      <c r="Q3241" s="571">
        <v>17120</v>
      </c>
      <c r="R3241" s="573" t="s">
        <v>4231</v>
      </c>
      <c r="S3241" s="573">
        <v>8</v>
      </c>
      <c r="T3241" s="573" t="s">
        <v>5673</v>
      </c>
      <c r="U3241" s="573" t="s">
        <v>5650</v>
      </c>
      <c r="V3241" s="573">
        <v>169</v>
      </c>
      <c r="W3241" s="573">
        <v>32</v>
      </c>
      <c r="X3241" s="571">
        <v>10000</v>
      </c>
      <c r="Y3241" s="573">
        <v>14</v>
      </c>
      <c r="Z3241" s="579" t="s">
        <v>728</v>
      </c>
      <c r="AA3241" s="579" t="s">
        <v>1523</v>
      </c>
      <c r="AB3241" s="584">
        <v>54840</v>
      </c>
      <c r="AC3241" s="584" t="s">
        <v>164</v>
      </c>
      <c r="AD3241" s="584">
        <v>39778</v>
      </c>
      <c r="AE3241" s="586">
        <v>0.05</v>
      </c>
      <c r="AF3241" s="661" t="str">
        <f t="shared" si="353"/>
        <v>2018-LTK-RAM-RM25-022-08</v>
      </c>
      <c r="AG3241" s="661" t="str">
        <f>IF(AND($Y3241&gt;=32,(AI3241="I"),(Y3241&lt;&gt;"~"),(COUNTIF($AN$1:$AN3241,$AN3241)=1)),"TRUE","FALSE")</f>
        <v>FALSE</v>
      </c>
      <c r="AH3241" s="661" t="str">
        <f>IF(AND($Y3241&gt;=22, (AI3241&lt;&gt;"I"),(Y3241&lt;&gt;"~"),(COUNTIF($AN$1:$AN3241,$AN3241)=1)),"TRUE","FALSE")</f>
        <v>FALSE</v>
      </c>
      <c r="AI3241" s="661" t="str">
        <f t="shared" si="355"/>
        <v>II</v>
      </c>
      <c r="AJ3241" s="662" t="str">
        <f t="shared" si="349"/>
        <v>RM25-022</v>
      </c>
      <c r="AK3241" s="662" t="str">
        <f t="shared" si="350"/>
        <v>LTK</v>
      </c>
      <c r="AL3241" s="662" t="str">
        <f t="shared" si="351"/>
        <v>RAM</v>
      </c>
      <c r="AM3241" s="662" t="str">
        <f t="shared" si="354"/>
        <v>Ram 2500-SLT Crew Cab-4WD-6-8'-17120-6.7L Diesel-8-DJ7H92-2FG-169-32-Diesel-BioDiesel</v>
      </c>
      <c r="AN3241" s="662" t="str">
        <f t="shared" si="352"/>
        <v>2018-LTK-RAM-RM25-022</v>
      </c>
    </row>
    <row r="3242" spans="1:40" ht="15">
      <c r="A3242" s="570" t="s">
        <v>5696</v>
      </c>
      <c r="B3242" s="569" t="s">
        <v>5697</v>
      </c>
      <c r="C3242" s="569" t="s">
        <v>226</v>
      </c>
      <c r="D3242" s="580" t="s">
        <v>227</v>
      </c>
      <c r="E3242" s="569" t="s">
        <v>3374</v>
      </c>
      <c r="F3242" s="569" t="s">
        <v>196</v>
      </c>
      <c r="G3242" s="569" t="s">
        <v>3265</v>
      </c>
      <c r="H3242" s="569">
        <v>2019</v>
      </c>
      <c r="I3242" s="569" t="s">
        <v>5645</v>
      </c>
      <c r="J3242" s="569" t="s">
        <v>5698</v>
      </c>
      <c r="K3242" s="569" t="s">
        <v>3377</v>
      </c>
      <c r="L3242" s="569">
        <v>6</v>
      </c>
      <c r="M3242" s="569">
        <v>0</v>
      </c>
      <c r="N3242" s="569" t="s">
        <v>157</v>
      </c>
      <c r="O3242" s="569">
        <v>2</v>
      </c>
      <c r="P3242" s="569" t="s">
        <v>5405</v>
      </c>
      <c r="Q3242" s="568">
        <v>11040</v>
      </c>
      <c r="R3242" s="569" t="s">
        <v>5699</v>
      </c>
      <c r="S3242" s="569">
        <v>8</v>
      </c>
      <c r="T3242" s="569" t="s">
        <v>5700</v>
      </c>
      <c r="U3242" s="569" t="s">
        <v>5516</v>
      </c>
      <c r="V3242" s="569">
        <v>160</v>
      </c>
      <c r="W3242" s="569">
        <v>31</v>
      </c>
      <c r="X3242" s="568">
        <v>9000</v>
      </c>
      <c r="Y3242" s="569">
        <v>15</v>
      </c>
      <c r="Z3242" s="581" t="s">
        <v>178</v>
      </c>
      <c r="AA3242" s="581" t="s">
        <v>178</v>
      </c>
      <c r="AB3242" s="585">
        <v>44140</v>
      </c>
      <c r="AC3242" s="585" t="s">
        <v>164</v>
      </c>
      <c r="AD3242" s="585">
        <v>39698</v>
      </c>
      <c r="AE3242" s="587">
        <v>6.25E-2</v>
      </c>
      <c r="AF3242" s="661" t="str">
        <f t="shared" si="353"/>
        <v>2019-LTK-RAM-RM25-089-04</v>
      </c>
      <c r="AG3242" s="661" t="str">
        <f>IF(AND($Y3242&gt;=32,(AI3242="I"),(Y3242&lt;&gt;"~"),(COUNTIF($AN$1:$AN3242,$AN3242)=1)),"TRUE","FALSE")</f>
        <v>FALSE</v>
      </c>
      <c r="AH3242" s="661" t="str">
        <f>IF(AND($Y3242&gt;=22, (AI3242&lt;&gt;"I"),(Y3242&lt;&gt;"~"),(COUNTIF($AN$1:$AN3242,$AN3242)=1)),"TRUE","FALSE")</f>
        <v>FALSE</v>
      </c>
      <c r="AI3242" s="661" t="str">
        <f t="shared" si="355"/>
        <v>II</v>
      </c>
      <c r="AJ3242" s="662" t="str">
        <f t="shared" si="349"/>
        <v>RM25-089</v>
      </c>
      <c r="AK3242" s="662" t="str">
        <f t="shared" si="350"/>
        <v>LTK</v>
      </c>
      <c r="AL3242" s="662" t="str">
        <f t="shared" si="351"/>
        <v>RAM</v>
      </c>
      <c r="AM3242" s="662" t="str">
        <f t="shared" si="354"/>
        <v>Ram 2500-SLT Mega Cab-2WD-6-6'4"-11040-5.7L Hemi/3.73 axle ratio-8-DJ2H81-26G-160-31-Unleaded-Unleaded</v>
      </c>
      <c r="AN3242" s="662" t="str">
        <f t="shared" si="352"/>
        <v>2019-LTK-RAM-RM25-089</v>
      </c>
    </row>
    <row r="3243" spans="1:40" ht="15">
      <c r="A3243" s="570" t="s">
        <v>5701</v>
      </c>
      <c r="B3243" s="573" t="s">
        <v>5702</v>
      </c>
      <c r="C3243" s="573" t="s">
        <v>226</v>
      </c>
      <c r="D3243" s="578" t="s">
        <v>227</v>
      </c>
      <c r="E3243" s="573" t="s">
        <v>3374</v>
      </c>
      <c r="F3243" s="573" t="s">
        <v>196</v>
      </c>
      <c r="G3243" s="573" t="s">
        <v>3265</v>
      </c>
      <c r="H3243" s="573">
        <v>2019</v>
      </c>
      <c r="I3243" s="573" t="s">
        <v>5645</v>
      </c>
      <c r="J3243" s="573" t="s">
        <v>5698</v>
      </c>
      <c r="K3243" s="573" t="s">
        <v>3377</v>
      </c>
      <c r="L3243" s="573">
        <v>6</v>
      </c>
      <c r="M3243" s="573">
        <v>0</v>
      </c>
      <c r="N3243" s="573" t="s">
        <v>157</v>
      </c>
      <c r="O3243" s="573">
        <v>2</v>
      </c>
      <c r="P3243" s="573" t="s">
        <v>5405</v>
      </c>
      <c r="Q3243" s="571">
        <v>12510</v>
      </c>
      <c r="R3243" s="573" t="s">
        <v>5676</v>
      </c>
      <c r="S3243" s="573">
        <v>8</v>
      </c>
      <c r="T3243" s="573" t="s">
        <v>5700</v>
      </c>
      <c r="U3243" s="573" t="s">
        <v>5398</v>
      </c>
      <c r="V3243" s="573">
        <v>160</v>
      </c>
      <c r="W3243" s="573">
        <v>31</v>
      </c>
      <c r="X3243" s="571">
        <v>9000</v>
      </c>
      <c r="Y3243" s="573">
        <v>15</v>
      </c>
      <c r="Z3243" s="579" t="s">
        <v>178</v>
      </c>
      <c r="AA3243" s="579" t="s">
        <v>178</v>
      </c>
      <c r="AB3243" s="584">
        <v>44640</v>
      </c>
      <c r="AC3243" s="584" t="s">
        <v>164</v>
      </c>
      <c r="AD3243" s="584">
        <v>40152</v>
      </c>
      <c r="AE3243" s="586">
        <v>6.25E-2</v>
      </c>
      <c r="AF3243" s="661" t="str">
        <f t="shared" si="353"/>
        <v>2019-LTK-RAM-RM25-090-04</v>
      </c>
      <c r="AG3243" s="661" t="str">
        <f>IF(AND($Y3243&gt;=32,(AI3243="I"),(Y3243&lt;&gt;"~"),(COUNTIF($AN$1:$AN3243,$AN3243)=1)),"TRUE","FALSE")</f>
        <v>FALSE</v>
      </c>
      <c r="AH3243" s="661" t="str">
        <f>IF(AND($Y3243&gt;=22, (AI3243&lt;&gt;"I"),(Y3243&lt;&gt;"~"),(COUNTIF($AN$1:$AN3243,$AN3243)=1)),"TRUE","FALSE")</f>
        <v>FALSE</v>
      </c>
      <c r="AI3243" s="661" t="str">
        <f t="shared" si="355"/>
        <v>II</v>
      </c>
      <c r="AJ3243" s="662" t="str">
        <f t="shared" si="349"/>
        <v>RM25-090</v>
      </c>
      <c r="AK3243" s="662" t="str">
        <f t="shared" si="350"/>
        <v>LTK</v>
      </c>
      <c r="AL3243" s="662" t="str">
        <f t="shared" si="351"/>
        <v>RAM</v>
      </c>
      <c r="AM3243" s="662" t="str">
        <f t="shared" si="354"/>
        <v>Ram 2500-SLT Mega Cab-2WD-6-6'4"-12510-6.4L Hemi/3.73 axle ratio-8-DJ2H81-22G-160-31-Unleaded-Unleaded</v>
      </c>
      <c r="AN3243" s="662" t="str">
        <f t="shared" si="352"/>
        <v>2019-LTK-RAM-RM25-090</v>
      </c>
    </row>
    <row r="3244" spans="1:40" ht="15">
      <c r="A3244" s="570" t="s">
        <v>5703</v>
      </c>
      <c r="B3244" s="569" t="s">
        <v>5704</v>
      </c>
      <c r="C3244" s="569" t="s">
        <v>226</v>
      </c>
      <c r="D3244" s="580" t="s">
        <v>227</v>
      </c>
      <c r="E3244" s="569" t="s">
        <v>3374</v>
      </c>
      <c r="F3244" s="569" t="s">
        <v>196</v>
      </c>
      <c r="G3244" s="569" t="s">
        <v>3265</v>
      </c>
      <c r="H3244" s="569">
        <v>2019</v>
      </c>
      <c r="I3244" s="569" t="s">
        <v>5645</v>
      </c>
      <c r="J3244" s="569" t="s">
        <v>5698</v>
      </c>
      <c r="K3244" s="569" t="s">
        <v>3377</v>
      </c>
      <c r="L3244" s="569">
        <v>6</v>
      </c>
      <c r="M3244" s="569">
        <v>0</v>
      </c>
      <c r="N3244" s="569" t="s">
        <v>157</v>
      </c>
      <c r="O3244" s="569">
        <v>2</v>
      </c>
      <c r="P3244" s="569" t="s">
        <v>5405</v>
      </c>
      <c r="Q3244" s="568">
        <v>16100</v>
      </c>
      <c r="R3244" s="569" t="s">
        <v>5705</v>
      </c>
      <c r="S3244" s="569">
        <v>8</v>
      </c>
      <c r="T3244" s="569" t="s">
        <v>5700</v>
      </c>
      <c r="U3244" s="569" t="s">
        <v>5650</v>
      </c>
      <c r="V3244" s="569">
        <v>160</v>
      </c>
      <c r="W3244" s="569">
        <v>31</v>
      </c>
      <c r="X3244" s="568">
        <v>9000</v>
      </c>
      <c r="Y3244" s="569">
        <v>15</v>
      </c>
      <c r="Z3244" s="581" t="s">
        <v>728</v>
      </c>
      <c r="AA3244" s="581" t="s">
        <v>1523</v>
      </c>
      <c r="AB3244" s="585">
        <v>53340</v>
      </c>
      <c r="AC3244" s="585" t="s">
        <v>164</v>
      </c>
      <c r="AD3244" s="585">
        <v>49380</v>
      </c>
      <c r="AE3244" s="587">
        <v>6.25E-2</v>
      </c>
      <c r="AF3244" s="661" t="str">
        <f t="shared" si="353"/>
        <v>2019-LTK-RAM-RM25-091-04</v>
      </c>
      <c r="AG3244" s="661" t="str">
        <f>IF(AND($Y3244&gt;=32,(AI3244="I"),(Y3244&lt;&gt;"~"),(COUNTIF($AN$1:$AN3244,$AN3244)=1)),"TRUE","FALSE")</f>
        <v>FALSE</v>
      </c>
      <c r="AH3244" s="661" t="str">
        <f>IF(AND($Y3244&gt;=22, (AI3244&lt;&gt;"I"),(Y3244&lt;&gt;"~"),(COUNTIF($AN$1:$AN3244,$AN3244)=1)),"TRUE","FALSE")</f>
        <v>FALSE</v>
      </c>
      <c r="AI3244" s="661" t="str">
        <f t="shared" si="355"/>
        <v>II</v>
      </c>
      <c r="AJ3244" s="662" t="str">
        <f t="shared" si="349"/>
        <v>RM25-091</v>
      </c>
      <c r="AK3244" s="662" t="str">
        <f t="shared" si="350"/>
        <v>LTK</v>
      </c>
      <c r="AL3244" s="662" t="str">
        <f t="shared" si="351"/>
        <v>RAM</v>
      </c>
      <c r="AM3244" s="662" t="str">
        <f t="shared" si="354"/>
        <v>Ram 2500-SLT Mega Cab-2WD-6-6'4"-16100-6.7L Diesel/3.42 axle ratio-8-DJ2H81-2FG-160-31-Diesel-BioDiesel</v>
      </c>
      <c r="AN3244" s="662" t="str">
        <f t="shared" si="352"/>
        <v>2019-LTK-RAM-RM25-091</v>
      </c>
    </row>
    <row r="3245" spans="1:40" ht="15">
      <c r="A3245" s="570" t="s">
        <v>5706</v>
      </c>
      <c r="B3245" s="573" t="s">
        <v>5707</v>
      </c>
      <c r="C3245" s="573" t="s">
        <v>240</v>
      </c>
      <c r="D3245" s="578" t="s">
        <v>241</v>
      </c>
      <c r="E3245" s="573" t="s">
        <v>3374</v>
      </c>
      <c r="F3245" s="573" t="s">
        <v>196</v>
      </c>
      <c r="G3245" s="573" t="s">
        <v>3265</v>
      </c>
      <c r="H3245" s="573">
        <v>2018</v>
      </c>
      <c r="I3245" s="573" t="s">
        <v>5645</v>
      </c>
      <c r="J3245" s="573" t="s">
        <v>5698</v>
      </c>
      <c r="K3245" s="573" t="s">
        <v>3377</v>
      </c>
      <c r="L3245" s="573">
        <v>6</v>
      </c>
      <c r="M3245" s="573">
        <v>0</v>
      </c>
      <c r="N3245" s="573" t="s">
        <v>157</v>
      </c>
      <c r="O3245" s="573">
        <v>2</v>
      </c>
      <c r="P3245" s="573" t="s">
        <v>5405</v>
      </c>
      <c r="Q3245" s="571">
        <v>17150</v>
      </c>
      <c r="R3245" s="573" t="s">
        <v>5401</v>
      </c>
      <c r="S3245" s="573">
        <v>8</v>
      </c>
      <c r="T3245" s="573" t="s">
        <v>5700</v>
      </c>
      <c r="U3245" s="573" t="s">
        <v>5516</v>
      </c>
      <c r="V3245" s="573">
        <v>160</v>
      </c>
      <c r="W3245" s="573">
        <v>31</v>
      </c>
      <c r="X3245" s="571">
        <v>9000</v>
      </c>
      <c r="Y3245" s="573">
        <v>15</v>
      </c>
      <c r="Z3245" s="579" t="s">
        <v>178</v>
      </c>
      <c r="AA3245" s="579" t="s">
        <v>178</v>
      </c>
      <c r="AB3245" s="584">
        <v>44140</v>
      </c>
      <c r="AC3245" s="584" t="s">
        <v>164</v>
      </c>
      <c r="AD3245" s="584">
        <v>34348</v>
      </c>
      <c r="AE3245" s="586">
        <v>0.05</v>
      </c>
      <c r="AF3245" s="661" t="str">
        <f t="shared" si="353"/>
        <v>2018-LTK-RAM-RM25-024-08</v>
      </c>
      <c r="AG3245" s="661" t="str">
        <f>IF(AND($Y3245&gt;=32,(AI3245="I"),(Y3245&lt;&gt;"~"),(COUNTIF($AN$1:$AN3245,$AN3245)=1)),"TRUE","FALSE")</f>
        <v>FALSE</v>
      </c>
      <c r="AH3245" s="661" t="str">
        <f>IF(AND($Y3245&gt;=22, (AI3245&lt;&gt;"I"),(Y3245&lt;&gt;"~"),(COUNTIF($AN$1:$AN3245,$AN3245)=1)),"TRUE","FALSE")</f>
        <v>FALSE</v>
      </c>
      <c r="AI3245" s="661" t="str">
        <f t="shared" si="355"/>
        <v>II</v>
      </c>
      <c r="AJ3245" s="662" t="str">
        <f t="shared" si="349"/>
        <v>RM25-024</v>
      </c>
      <c r="AK3245" s="662" t="str">
        <f t="shared" si="350"/>
        <v>LTK</v>
      </c>
      <c r="AL3245" s="662" t="str">
        <f t="shared" si="351"/>
        <v>RAM</v>
      </c>
      <c r="AM3245" s="662" t="str">
        <f t="shared" si="354"/>
        <v>Ram 2500-SLT Mega Cab-2WD-6-6'4"-17150-5.7L Hemi-8-DJ2H81-26G-160-31-Unleaded-Unleaded</v>
      </c>
      <c r="AN3245" s="662" t="str">
        <f t="shared" si="352"/>
        <v>2018-LTK-RAM-RM25-024</v>
      </c>
    </row>
    <row r="3246" spans="1:40" ht="15">
      <c r="A3246" s="570" t="s">
        <v>5708</v>
      </c>
      <c r="B3246" s="569" t="s">
        <v>5709</v>
      </c>
      <c r="C3246" s="569" t="s">
        <v>240</v>
      </c>
      <c r="D3246" s="580" t="s">
        <v>241</v>
      </c>
      <c r="E3246" s="569" t="s">
        <v>3374</v>
      </c>
      <c r="F3246" s="569" t="s">
        <v>196</v>
      </c>
      <c r="G3246" s="569" t="s">
        <v>3265</v>
      </c>
      <c r="H3246" s="569">
        <v>2018</v>
      </c>
      <c r="I3246" s="569" t="s">
        <v>5645</v>
      </c>
      <c r="J3246" s="569" t="s">
        <v>5698</v>
      </c>
      <c r="K3246" s="569" t="s">
        <v>3377</v>
      </c>
      <c r="L3246" s="569">
        <v>6</v>
      </c>
      <c r="M3246" s="569">
        <v>0</v>
      </c>
      <c r="N3246" s="569" t="s">
        <v>157</v>
      </c>
      <c r="O3246" s="569">
        <v>2</v>
      </c>
      <c r="P3246" s="569" t="s">
        <v>5405</v>
      </c>
      <c r="Q3246" s="568">
        <v>17150</v>
      </c>
      <c r="R3246" s="569" t="s">
        <v>5646</v>
      </c>
      <c r="S3246" s="569">
        <v>8</v>
      </c>
      <c r="T3246" s="569" t="s">
        <v>5700</v>
      </c>
      <c r="U3246" s="569" t="s">
        <v>5398</v>
      </c>
      <c r="V3246" s="569">
        <v>160</v>
      </c>
      <c r="W3246" s="569">
        <v>31</v>
      </c>
      <c r="X3246" s="568">
        <v>10000</v>
      </c>
      <c r="Y3246" s="569">
        <v>15</v>
      </c>
      <c r="Z3246" s="581" t="s">
        <v>178</v>
      </c>
      <c r="AA3246" s="581" t="s">
        <v>178</v>
      </c>
      <c r="AB3246" s="585">
        <v>44640</v>
      </c>
      <c r="AC3246" s="585" t="s">
        <v>164</v>
      </c>
      <c r="AD3246" s="585">
        <v>34788</v>
      </c>
      <c r="AE3246" s="587">
        <v>0.05</v>
      </c>
      <c r="AF3246" s="661" t="str">
        <f t="shared" si="353"/>
        <v>2018-LTK-RAM-RM25-025-08</v>
      </c>
      <c r="AG3246" s="661" t="str">
        <f>IF(AND($Y3246&gt;=32,(AI3246="I"),(Y3246&lt;&gt;"~"),(COUNTIF($AN$1:$AN3246,$AN3246)=1)),"TRUE","FALSE")</f>
        <v>FALSE</v>
      </c>
      <c r="AH3246" s="661" t="str">
        <f>IF(AND($Y3246&gt;=22, (AI3246&lt;&gt;"I"),(Y3246&lt;&gt;"~"),(COUNTIF($AN$1:$AN3246,$AN3246)=1)),"TRUE","FALSE")</f>
        <v>FALSE</v>
      </c>
      <c r="AI3246" s="661" t="str">
        <f t="shared" si="355"/>
        <v>II</v>
      </c>
      <c r="AJ3246" s="662" t="str">
        <f t="shared" si="349"/>
        <v>RM25-025</v>
      </c>
      <c r="AK3246" s="662" t="str">
        <f t="shared" si="350"/>
        <v>LTK</v>
      </c>
      <c r="AL3246" s="662" t="str">
        <f t="shared" si="351"/>
        <v>RAM</v>
      </c>
      <c r="AM3246" s="662" t="str">
        <f t="shared" si="354"/>
        <v>Ram 2500-SLT Mega Cab-2WD-6-6'4"-17150-6.4L Mid Duty Hemi-8-DJ2H81-22G-160-31-Unleaded-Unleaded</v>
      </c>
      <c r="AN3246" s="662" t="str">
        <f t="shared" si="352"/>
        <v>2018-LTK-RAM-RM25-025</v>
      </c>
    </row>
    <row r="3247" spans="1:40" ht="15">
      <c r="A3247" s="570" t="s">
        <v>5710</v>
      </c>
      <c r="B3247" s="573" t="s">
        <v>5711</v>
      </c>
      <c r="C3247" s="573" t="s">
        <v>240</v>
      </c>
      <c r="D3247" s="578" t="s">
        <v>241</v>
      </c>
      <c r="E3247" s="573" t="s">
        <v>3374</v>
      </c>
      <c r="F3247" s="573" t="s">
        <v>196</v>
      </c>
      <c r="G3247" s="573" t="s">
        <v>3265</v>
      </c>
      <c r="H3247" s="573">
        <v>2018</v>
      </c>
      <c r="I3247" s="573" t="s">
        <v>5645</v>
      </c>
      <c r="J3247" s="573" t="s">
        <v>5698</v>
      </c>
      <c r="K3247" s="573" t="s">
        <v>3377</v>
      </c>
      <c r="L3247" s="573">
        <v>6</v>
      </c>
      <c r="M3247" s="573">
        <v>0</v>
      </c>
      <c r="N3247" s="573" t="s">
        <v>157</v>
      </c>
      <c r="O3247" s="573">
        <v>2</v>
      </c>
      <c r="P3247" s="573" t="s">
        <v>5405</v>
      </c>
      <c r="Q3247" s="571">
        <v>17150</v>
      </c>
      <c r="R3247" s="573" t="s">
        <v>4231</v>
      </c>
      <c r="S3247" s="573">
        <v>8</v>
      </c>
      <c r="T3247" s="573" t="s">
        <v>5700</v>
      </c>
      <c r="U3247" s="573" t="s">
        <v>5650</v>
      </c>
      <c r="V3247" s="573">
        <v>160</v>
      </c>
      <c r="W3247" s="573">
        <v>31</v>
      </c>
      <c r="X3247" s="571">
        <v>10000</v>
      </c>
      <c r="Y3247" s="573">
        <v>15</v>
      </c>
      <c r="Z3247" s="579" t="s">
        <v>728</v>
      </c>
      <c r="AA3247" s="579" t="s">
        <v>1523</v>
      </c>
      <c r="AB3247" s="584">
        <v>53340</v>
      </c>
      <c r="AC3247" s="584" t="s">
        <v>164</v>
      </c>
      <c r="AD3247" s="584">
        <v>43838</v>
      </c>
      <c r="AE3247" s="586">
        <v>0.05</v>
      </c>
      <c r="AF3247" s="661" t="str">
        <f t="shared" si="353"/>
        <v>2018-LTK-RAM-RM25-026-08</v>
      </c>
      <c r="AG3247" s="661" t="str">
        <f>IF(AND($Y3247&gt;=32,(AI3247="I"),(Y3247&lt;&gt;"~"),(COUNTIF($AN$1:$AN3247,$AN3247)=1)),"TRUE","FALSE")</f>
        <v>FALSE</v>
      </c>
      <c r="AH3247" s="661" t="str">
        <f>IF(AND($Y3247&gt;=22, (AI3247&lt;&gt;"I"),(Y3247&lt;&gt;"~"),(COUNTIF($AN$1:$AN3247,$AN3247)=1)),"TRUE","FALSE")</f>
        <v>FALSE</v>
      </c>
      <c r="AI3247" s="661" t="str">
        <f t="shared" si="355"/>
        <v>II</v>
      </c>
      <c r="AJ3247" s="662" t="str">
        <f t="shared" si="349"/>
        <v>RM25-026</v>
      </c>
      <c r="AK3247" s="662" t="str">
        <f t="shared" si="350"/>
        <v>LTK</v>
      </c>
      <c r="AL3247" s="662" t="str">
        <f t="shared" si="351"/>
        <v>RAM</v>
      </c>
      <c r="AM3247" s="662" t="str">
        <f t="shared" si="354"/>
        <v>Ram 2500-SLT Mega Cab-2WD-6-6'4"-17150-6.7L Diesel-8-DJ2H81-2FG-160-31-Diesel-BioDiesel</v>
      </c>
      <c r="AN3247" s="662" t="str">
        <f t="shared" si="352"/>
        <v>2018-LTK-RAM-RM25-026</v>
      </c>
    </row>
    <row r="3248" spans="1:40" ht="15">
      <c r="A3248" s="570" t="s">
        <v>5712</v>
      </c>
      <c r="B3248" s="569" t="s">
        <v>5713</v>
      </c>
      <c r="C3248" s="569" t="s">
        <v>226</v>
      </c>
      <c r="D3248" s="580" t="s">
        <v>227</v>
      </c>
      <c r="E3248" s="569" t="s">
        <v>3374</v>
      </c>
      <c r="F3248" s="569" t="s">
        <v>196</v>
      </c>
      <c r="G3248" s="569" t="s">
        <v>3265</v>
      </c>
      <c r="H3248" s="569">
        <v>2019</v>
      </c>
      <c r="I3248" s="569" t="s">
        <v>5645</v>
      </c>
      <c r="J3248" s="569" t="s">
        <v>5698</v>
      </c>
      <c r="K3248" s="569" t="s">
        <v>752</v>
      </c>
      <c r="L3248" s="569">
        <v>6</v>
      </c>
      <c r="M3248" s="569">
        <v>0</v>
      </c>
      <c r="N3248" s="569" t="s">
        <v>157</v>
      </c>
      <c r="O3248" s="569">
        <v>2</v>
      </c>
      <c r="P3248" s="569" t="s">
        <v>5405</v>
      </c>
      <c r="Q3248" s="568">
        <v>10780</v>
      </c>
      <c r="R3248" s="569" t="s">
        <v>5699</v>
      </c>
      <c r="S3248" s="569">
        <v>8</v>
      </c>
      <c r="T3248" s="569" t="s">
        <v>5714</v>
      </c>
      <c r="U3248" s="569" t="s">
        <v>5516</v>
      </c>
      <c r="V3248" s="569">
        <v>160</v>
      </c>
      <c r="W3248" s="569">
        <v>31</v>
      </c>
      <c r="X3248" s="568">
        <v>9000</v>
      </c>
      <c r="Y3248" s="569">
        <v>14</v>
      </c>
      <c r="Z3248" s="581" t="s">
        <v>178</v>
      </c>
      <c r="AA3248" s="581" t="s">
        <v>178</v>
      </c>
      <c r="AB3248" s="585">
        <v>46940</v>
      </c>
      <c r="AC3248" s="585" t="s">
        <v>164</v>
      </c>
      <c r="AD3248" s="585">
        <v>39383</v>
      </c>
      <c r="AE3248" s="587">
        <v>6.25E-2</v>
      </c>
      <c r="AF3248" s="661" t="str">
        <f t="shared" si="353"/>
        <v>2019-LTK-RAM-RM25-092-04</v>
      </c>
      <c r="AG3248" s="661" t="str">
        <f>IF(AND($Y3248&gt;=32,(AI3248="I"),(Y3248&lt;&gt;"~"),(COUNTIF($AN$1:$AN3248,$AN3248)=1)),"TRUE","FALSE")</f>
        <v>FALSE</v>
      </c>
      <c r="AH3248" s="661" t="str">
        <f>IF(AND($Y3248&gt;=22, (AI3248&lt;&gt;"I"),(Y3248&lt;&gt;"~"),(COUNTIF($AN$1:$AN3248,$AN3248)=1)),"TRUE","FALSE")</f>
        <v>FALSE</v>
      </c>
      <c r="AI3248" s="661" t="str">
        <f t="shared" si="355"/>
        <v>II</v>
      </c>
      <c r="AJ3248" s="662" t="str">
        <f t="shared" si="349"/>
        <v>RM25-092</v>
      </c>
      <c r="AK3248" s="662" t="str">
        <f t="shared" si="350"/>
        <v>LTK</v>
      </c>
      <c r="AL3248" s="662" t="str">
        <f t="shared" si="351"/>
        <v>RAM</v>
      </c>
      <c r="AM3248" s="662" t="str">
        <f t="shared" si="354"/>
        <v>Ram 2500-SLT Mega Cab-4WD-6-6'4"-10780-5.7L Hemi/3.73 axle ratio-8-DJ7H81-26G-160-31-Unleaded-Unleaded</v>
      </c>
      <c r="AN3248" s="662" t="str">
        <f t="shared" si="352"/>
        <v>2019-LTK-RAM-RM25-092</v>
      </c>
    </row>
    <row r="3249" spans="1:40" ht="15">
      <c r="A3249" s="570" t="s">
        <v>5715</v>
      </c>
      <c r="B3249" s="573" t="s">
        <v>5716</v>
      </c>
      <c r="C3249" s="573" t="s">
        <v>226</v>
      </c>
      <c r="D3249" s="578" t="s">
        <v>227</v>
      </c>
      <c r="E3249" s="573" t="s">
        <v>3374</v>
      </c>
      <c r="F3249" s="573" t="s">
        <v>196</v>
      </c>
      <c r="G3249" s="573" t="s">
        <v>3265</v>
      </c>
      <c r="H3249" s="573">
        <v>2019</v>
      </c>
      <c r="I3249" s="573" t="s">
        <v>5645</v>
      </c>
      <c r="J3249" s="573" t="s">
        <v>5698</v>
      </c>
      <c r="K3249" s="573" t="s">
        <v>752</v>
      </c>
      <c r="L3249" s="573">
        <v>6</v>
      </c>
      <c r="M3249" s="573">
        <v>0</v>
      </c>
      <c r="N3249" s="573" t="s">
        <v>157</v>
      </c>
      <c r="O3249" s="573">
        <v>2</v>
      </c>
      <c r="P3249" s="573" t="s">
        <v>5405</v>
      </c>
      <c r="Q3249" s="571">
        <v>12240</v>
      </c>
      <c r="R3249" s="573" t="s">
        <v>5676</v>
      </c>
      <c r="S3249" s="573">
        <v>8</v>
      </c>
      <c r="T3249" s="573" t="s">
        <v>5714</v>
      </c>
      <c r="U3249" s="573" t="s">
        <v>5398</v>
      </c>
      <c r="V3249" s="573">
        <v>160</v>
      </c>
      <c r="W3249" s="573">
        <v>31</v>
      </c>
      <c r="X3249" s="571">
        <v>10000</v>
      </c>
      <c r="Y3249" s="573">
        <v>14</v>
      </c>
      <c r="Z3249" s="579" t="s">
        <v>178</v>
      </c>
      <c r="AA3249" s="579" t="s">
        <v>178</v>
      </c>
      <c r="AB3249" s="584">
        <v>47440</v>
      </c>
      <c r="AC3249" s="584" t="s">
        <v>164</v>
      </c>
      <c r="AD3249" s="584">
        <v>39836</v>
      </c>
      <c r="AE3249" s="586">
        <v>6.25E-2</v>
      </c>
      <c r="AF3249" s="661" t="str">
        <f t="shared" si="353"/>
        <v>2019-LTK-RAM-RM25-093-04</v>
      </c>
      <c r="AG3249" s="661" t="str">
        <f>IF(AND($Y3249&gt;=32,(AI3249="I"),(Y3249&lt;&gt;"~"),(COUNTIF($AN$1:$AN3249,$AN3249)=1)),"TRUE","FALSE")</f>
        <v>FALSE</v>
      </c>
      <c r="AH3249" s="661" t="str">
        <f>IF(AND($Y3249&gt;=22, (AI3249&lt;&gt;"I"),(Y3249&lt;&gt;"~"),(COUNTIF($AN$1:$AN3249,$AN3249)=1)),"TRUE","FALSE")</f>
        <v>FALSE</v>
      </c>
      <c r="AI3249" s="661" t="str">
        <f t="shared" si="355"/>
        <v>II</v>
      </c>
      <c r="AJ3249" s="662" t="str">
        <f t="shared" si="349"/>
        <v>RM25-093</v>
      </c>
      <c r="AK3249" s="662" t="str">
        <f t="shared" si="350"/>
        <v>LTK</v>
      </c>
      <c r="AL3249" s="662" t="str">
        <f t="shared" si="351"/>
        <v>RAM</v>
      </c>
      <c r="AM3249" s="662" t="str">
        <f t="shared" si="354"/>
        <v>Ram 2500-SLT Mega Cab-4WD-6-6'4"-12240-6.4L Hemi/3.73 axle ratio-8-DJ7H81-22G-160-31-Unleaded-Unleaded</v>
      </c>
      <c r="AN3249" s="662" t="str">
        <f t="shared" si="352"/>
        <v>2019-LTK-RAM-RM25-093</v>
      </c>
    </row>
    <row r="3250" spans="1:40" ht="15">
      <c r="A3250" s="570" t="s">
        <v>5717</v>
      </c>
      <c r="B3250" s="569" t="s">
        <v>5718</v>
      </c>
      <c r="C3250" s="569" t="s">
        <v>226</v>
      </c>
      <c r="D3250" s="580" t="s">
        <v>227</v>
      </c>
      <c r="E3250" s="569" t="s">
        <v>3374</v>
      </c>
      <c r="F3250" s="569" t="s">
        <v>196</v>
      </c>
      <c r="G3250" s="569" t="s">
        <v>3265</v>
      </c>
      <c r="H3250" s="569">
        <v>2019</v>
      </c>
      <c r="I3250" s="569" t="s">
        <v>5645</v>
      </c>
      <c r="J3250" s="569" t="s">
        <v>5698</v>
      </c>
      <c r="K3250" s="569" t="s">
        <v>752</v>
      </c>
      <c r="L3250" s="569">
        <v>6</v>
      </c>
      <c r="M3250" s="569">
        <v>0</v>
      </c>
      <c r="N3250" s="569" t="s">
        <v>157</v>
      </c>
      <c r="O3250" s="569">
        <v>2</v>
      </c>
      <c r="P3250" s="569" t="s">
        <v>5405</v>
      </c>
      <c r="Q3250" s="568">
        <v>14750</v>
      </c>
      <c r="R3250" s="569" t="s">
        <v>5705</v>
      </c>
      <c r="S3250" s="569">
        <v>8</v>
      </c>
      <c r="T3250" s="569" t="s">
        <v>5714</v>
      </c>
      <c r="U3250" s="569" t="s">
        <v>5650</v>
      </c>
      <c r="V3250" s="569">
        <v>160</v>
      </c>
      <c r="W3250" s="569">
        <v>31</v>
      </c>
      <c r="X3250" s="568">
        <v>10000</v>
      </c>
      <c r="Y3250" s="569">
        <v>14</v>
      </c>
      <c r="Z3250" s="581" t="s">
        <v>728</v>
      </c>
      <c r="AA3250" s="581" t="s">
        <v>1523</v>
      </c>
      <c r="AB3250" s="585">
        <v>56140</v>
      </c>
      <c r="AC3250" s="585" t="s">
        <v>164</v>
      </c>
      <c r="AD3250" s="585">
        <v>46592</v>
      </c>
      <c r="AE3250" s="587">
        <v>6.25E-2</v>
      </c>
      <c r="AF3250" s="661" t="str">
        <f t="shared" si="353"/>
        <v>2019-LTK-RAM-RM25-094-04</v>
      </c>
      <c r="AG3250" s="661" t="str">
        <f>IF(AND($Y3250&gt;=32,(AI3250="I"),(Y3250&lt;&gt;"~"),(COUNTIF($AN$1:$AN3250,$AN3250)=1)),"TRUE","FALSE")</f>
        <v>FALSE</v>
      </c>
      <c r="AH3250" s="661" t="str">
        <f>IF(AND($Y3250&gt;=22, (AI3250&lt;&gt;"I"),(Y3250&lt;&gt;"~"),(COUNTIF($AN$1:$AN3250,$AN3250)=1)),"TRUE","FALSE")</f>
        <v>FALSE</v>
      </c>
      <c r="AI3250" s="661" t="str">
        <f t="shared" si="355"/>
        <v>II</v>
      </c>
      <c r="AJ3250" s="662" t="str">
        <f t="shared" si="349"/>
        <v>RM25-094</v>
      </c>
      <c r="AK3250" s="662" t="str">
        <f t="shared" si="350"/>
        <v>LTK</v>
      </c>
      <c r="AL3250" s="662" t="str">
        <f t="shared" si="351"/>
        <v>RAM</v>
      </c>
      <c r="AM3250" s="662" t="str">
        <f t="shared" si="354"/>
        <v>Ram 2500-SLT Mega Cab-4WD-6-6'4"-14750-6.7L Diesel/3.42 axle ratio-8-DJ7H81-2FG-160-31-Diesel-BioDiesel</v>
      </c>
      <c r="AN3250" s="662" t="str">
        <f t="shared" si="352"/>
        <v>2019-LTK-RAM-RM25-094</v>
      </c>
    </row>
    <row r="3251" spans="1:40" ht="15">
      <c r="A3251" s="570" t="s">
        <v>5719</v>
      </c>
      <c r="B3251" s="573" t="s">
        <v>5720</v>
      </c>
      <c r="C3251" s="573" t="s">
        <v>226</v>
      </c>
      <c r="D3251" s="578" t="s">
        <v>227</v>
      </c>
      <c r="E3251" s="573" t="s">
        <v>3374</v>
      </c>
      <c r="F3251" s="573" t="s">
        <v>196</v>
      </c>
      <c r="G3251" s="573" t="s">
        <v>3265</v>
      </c>
      <c r="H3251" s="573">
        <v>2019</v>
      </c>
      <c r="I3251" s="573" t="s">
        <v>5645</v>
      </c>
      <c r="J3251" s="573" t="s">
        <v>5698</v>
      </c>
      <c r="K3251" s="573" t="s">
        <v>752</v>
      </c>
      <c r="L3251" s="573">
        <v>6</v>
      </c>
      <c r="M3251" s="573">
        <v>0</v>
      </c>
      <c r="N3251" s="573" t="s">
        <v>157</v>
      </c>
      <c r="O3251" s="573">
        <v>2</v>
      </c>
      <c r="P3251" s="573" t="s">
        <v>5405</v>
      </c>
      <c r="Q3251" s="571">
        <v>15240</v>
      </c>
      <c r="R3251" s="573" t="s">
        <v>5721</v>
      </c>
      <c r="S3251" s="573">
        <v>8</v>
      </c>
      <c r="T3251" s="573" t="s">
        <v>5714</v>
      </c>
      <c r="U3251" s="573" t="s">
        <v>5398</v>
      </c>
      <c r="V3251" s="573">
        <v>160</v>
      </c>
      <c r="W3251" s="573">
        <v>31</v>
      </c>
      <c r="X3251" s="571">
        <v>9000</v>
      </c>
      <c r="Y3251" s="573">
        <v>14</v>
      </c>
      <c r="Z3251" s="579" t="s">
        <v>178</v>
      </c>
      <c r="AA3251" s="579" t="s">
        <v>178</v>
      </c>
      <c r="AB3251" s="584">
        <v>47585</v>
      </c>
      <c r="AC3251" s="584" t="s">
        <v>164</v>
      </c>
      <c r="AD3251" s="584">
        <v>39531</v>
      </c>
      <c r="AE3251" s="586">
        <v>6.25E-2</v>
      </c>
      <c r="AF3251" s="661" t="str">
        <f t="shared" si="353"/>
        <v>2019-LTK-RAM-RM25-095-04</v>
      </c>
      <c r="AG3251" s="661" t="str">
        <f>IF(AND($Y3251&gt;=32,(AI3251="I"),(Y3251&lt;&gt;"~"),(COUNTIF($AN$1:$AN3251,$AN3251)=1)),"TRUE","FALSE")</f>
        <v>FALSE</v>
      </c>
      <c r="AH3251" s="661" t="str">
        <f>IF(AND($Y3251&gt;=22, (AI3251&lt;&gt;"I"),(Y3251&lt;&gt;"~"),(COUNTIF($AN$1:$AN3251,$AN3251)=1)),"TRUE","FALSE")</f>
        <v>FALSE</v>
      </c>
      <c r="AI3251" s="661" t="str">
        <f t="shared" si="355"/>
        <v>II</v>
      </c>
      <c r="AJ3251" s="662" t="str">
        <f t="shared" si="349"/>
        <v>RM25-095</v>
      </c>
      <c r="AK3251" s="662" t="str">
        <f t="shared" si="350"/>
        <v>LTK</v>
      </c>
      <c r="AL3251" s="662" t="str">
        <f t="shared" si="351"/>
        <v>RAM</v>
      </c>
      <c r="AM3251" s="662" t="str">
        <f t="shared" si="354"/>
        <v>Ram 2500-SLT Mega Cab-4WD-6-6'4"-15240-6.4L Hemi/4.10 axle ratio-8-DJ7H81-22G-160-31-Unleaded-Unleaded</v>
      </c>
      <c r="AN3251" s="662" t="str">
        <f t="shared" si="352"/>
        <v>2019-LTK-RAM-RM25-095</v>
      </c>
    </row>
    <row r="3252" spans="1:40" ht="15">
      <c r="A3252" s="570" t="s">
        <v>5722</v>
      </c>
      <c r="B3252" s="569" t="s">
        <v>5723</v>
      </c>
      <c r="C3252" s="569" t="s">
        <v>240</v>
      </c>
      <c r="D3252" s="580" t="s">
        <v>241</v>
      </c>
      <c r="E3252" s="569" t="s">
        <v>3374</v>
      </c>
      <c r="F3252" s="569" t="s">
        <v>196</v>
      </c>
      <c r="G3252" s="569" t="s">
        <v>3265</v>
      </c>
      <c r="H3252" s="569">
        <v>2018</v>
      </c>
      <c r="I3252" s="569" t="s">
        <v>5645</v>
      </c>
      <c r="J3252" s="569" t="s">
        <v>5698</v>
      </c>
      <c r="K3252" s="569" t="s">
        <v>752</v>
      </c>
      <c r="L3252" s="569">
        <v>6</v>
      </c>
      <c r="M3252" s="569">
        <v>0</v>
      </c>
      <c r="N3252" s="569" t="s">
        <v>157</v>
      </c>
      <c r="O3252" s="569">
        <v>2</v>
      </c>
      <c r="P3252" s="569" t="s">
        <v>5405</v>
      </c>
      <c r="Q3252" s="568">
        <v>16790</v>
      </c>
      <c r="R3252" s="569" t="s">
        <v>5401</v>
      </c>
      <c r="S3252" s="569">
        <v>8</v>
      </c>
      <c r="T3252" s="569" t="s">
        <v>5714</v>
      </c>
      <c r="U3252" s="569" t="s">
        <v>5516</v>
      </c>
      <c r="V3252" s="569">
        <v>160</v>
      </c>
      <c r="W3252" s="569">
        <v>31</v>
      </c>
      <c r="X3252" s="568">
        <v>9000</v>
      </c>
      <c r="Y3252" s="569">
        <v>14</v>
      </c>
      <c r="Z3252" s="581" t="s">
        <v>178</v>
      </c>
      <c r="AA3252" s="581" t="s">
        <v>178</v>
      </c>
      <c r="AB3252" s="585">
        <v>46940</v>
      </c>
      <c r="AC3252" s="585" t="s">
        <v>164</v>
      </c>
      <c r="AD3252" s="585">
        <v>33738</v>
      </c>
      <c r="AE3252" s="587">
        <v>0.05</v>
      </c>
      <c r="AF3252" s="661" t="str">
        <f t="shared" si="353"/>
        <v>2018-LTK-RAM-RM25-030-08</v>
      </c>
      <c r="AG3252" s="661" t="str">
        <f>IF(AND($Y3252&gt;=32,(AI3252="I"),(Y3252&lt;&gt;"~"),(COUNTIF($AN$1:$AN3252,$AN3252)=1)),"TRUE","FALSE")</f>
        <v>FALSE</v>
      </c>
      <c r="AH3252" s="661" t="str">
        <f>IF(AND($Y3252&gt;=22, (AI3252&lt;&gt;"I"),(Y3252&lt;&gt;"~"),(COUNTIF($AN$1:$AN3252,$AN3252)=1)),"TRUE","FALSE")</f>
        <v>FALSE</v>
      </c>
      <c r="AI3252" s="661" t="str">
        <f t="shared" si="355"/>
        <v>II</v>
      </c>
      <c r="AJ3252" s="662" t="str">
        <f t="shared" si="349"/>
        <v>RM25-030</v>
      </c>
      <c r="AK3252" s="662" t="str">
        <f t="shared" si="350"/>
        <v>LTK</v>
      </c>
      <c r="AL3252" s="662" t="str">
        <f t="shared" si="351"/>
        <v>RAM</v>
      </c>
      <c r="AM3252" s="662" t="str">
        <f t="shared" si="354"/>
        <v>Ram 2500-SLT Mega Cab-4WD-6-6'4"-16790-5.7L Hemi-8-DJ7H81-26G-160-31-Unleaded-Unleaded</v>
      </c>
      <c r="AN3252" s="662" t="str">
        <f t="shared" si="352"/>
        <v>2018-LTK-RAM-RM25-030</v>
      </c>
    </row>
    <row r="3253" spans="1:40" ht="15">
      <c r="A3253" s="570" t="s">
        <v>5724</v>
      </c>
      <c r="B3253" s="573" t="s">
        <v>5725</v>
      </c>
      <c r="C3253" s="573" t="s">
        <v>240</v>
      </c>
      <c r="D3253" s="578" t="s">
        <v>241</v>
      </c>
      <c r="E3253" s="573" t="s">
        <v>3374</v>
      </c>
      <c r="F3253" s="573" t="s">
        <v>196</v>
      </c>
      <c r="G3253" s="573" t="s">
        <v>3265</v>
      </c>
      <c r="H3253" s="573">
        <v>2018</v>
      </c>
      <c r="I3253" s="573" t="s">
        <v>5645</v>
      </c>
      <c r="J3253" s="573" t="s">
        <v>5698</v>
      </c>
      <c r="K3253" s="573" t="s">
        <v>752</v>
      </c>
      <c r="L3253" s="573">
        <v>6</v>
      </c>
      <c r="M3253" s="573">
        <v>0</v>
      </c>
      <c r="N3253" s="573" t="s">
        <v>157</v>
      </c>
      <c r="O3253" s="573">
        <v>2</v>
      </c>
      <c r="P3253" s="573" t="s">
        <v>5405</v>
      </c>
      <c r="Q3253" s="571">
        <v>16790</v>
      </c>
      <c r="R3253" s="573" t="s">
        <v>5646</v>
      </c>
      <c r="S3253" s="573">
        <v>8</v>
      </c>
      <c r="T3253" s="573" t="s">
        <v>5714</v>
      </c>
      <c r="U3253" s="573" t="s">
        <v>5398</v>
      </c>
      <c r="V3253" s="573">
        <v>160</v>
      </c>
      <c r="W3253" s="573">
        <v>31</v>
      </c>
      <c r="X3253" s="571">
        <v>10000</v>
      </c>
      <c r="Y3253" s="573">
        <v>14</v>
      </c>
      <c r="Z3253" s="579" t="s">
        <v>178</v>
      </c>
      <c r="AA3253" s="579" t="s">
        <v>178</v>
      </c>
      <c r="AB3253" s="584">
        <v>47440</v>
      </c>
      <c r="AC3253" s="584" t="s">
        <v>164</v>
      </c>
      <c r="AD3253" s="584">
        <v>34178</v>
      </c>
      <c r="AE3253" s="586">
        <v>0.05</v>
      </c>
      <c r="AF3253" s="661" t="str">
        <f t="shared" si="353"/>
        <v>2018-LTK-RAM-RM25-031-08</v>
      </c>
      <c r="AG3253" s="661" t="str">
        <f>IF(AND($Y3253&gt;=32,(AI3253="I"),(Y3253&lt;&gt;"~"),(COUNTIF($AN$1:$AN3253,$AN3253)=1)),"TRUE","FALSE")</f>
        <v>FALSE</v>
      </c>
      <c r="AH3253" s="661" t="str">
        <f>IF(AND($Y3253&gt;=22, (AI3253&lt;&gt;"I"),(Y3253&lt;&gt;"~"),(COUNTIF($AN$1:$AN3253,$AN3253)=1)),"TRUE","FALSE")</f>
        <v>FALSE</v>
      </c>
      <c r="AI3253" s="661" t="str">
        <f t="shared" si="355"/>
        <v>II</v>
      </c>
      <c r="AJ3253" s="662" t="str">
        <f t="shared" si="349"/>
        <v>RM25-031</v>
      </c>
      <c r="AK3253" s="662" t="str">
        <f t="shared" si="350"/>
        <v>LTK</v>
      </c>
      <c r="AL3253" s="662" t="str">
        <f t="shared" si="351"/>
        <v>RAM</v>
      </c>
      <c r="AM3253" s="662" t="str">
        <f t="shared" si="354"/>
        <v>Ram 2500-SLT Mega Cab-4WD-6-6'4"-16790-6.4L Mid Duty Hemi-8-DJ7H81-22G-160-31-Unleaded-Unleaded</v>
      </c>
      <c r="AN3253" s="662" t="str">
        <f t="shared" si="352"/>
        <v>2018-LTK-RAM-RM25-031</v>
      </c>
    </row>
    <row r="3254" spans="1:40" ht="15">
      <c r="A3254" s="570" t="s">
        <v>5726</v>
      </c>
      <c r="B3254" s="569" t="s">
        <v>5727</v>
      </c>
      <c r="C3254" s="569" t="s">
        <v>240</v>
      </c>
      <c r="D3254" s="580" t="s">
        <v>241</v>
      </c>
      <c r="E3254" s="569" t="s">
        <v>3374</v>
      </c>
      <c r="F3254" s="569" t="s">
        <v>196</v>
      </c>
      <c r="G3254" s="569" t="s">
        <v>3265</v>
      </c>
      <c r="H3254" s="569">
        <v>2018</v>
      </c>
      <c r="I3254" s="569" t="s">
        <v>5645</v>
      </c>
      <c r="J3254" s="569" t="s">
        <v>5698</v>
      </c>
      <c r="K3254" s="569" t="s">
        <v>752</v>
      </c>
      <c r="L3254" s="569">
        <v>6</v>
      </c>
      <c r="M3254" s="569">
        <v>0</v>
      </c>
      <c r="N3254" s="569" t="s">
        <v>157</v>
      </c>
      <c r="O3254" s="569">
        <v>2</v>
      </c>
      <c r="P3254" s="569" t="s">
        <v>5405</v>
      </c>
      <c r="Q3254" s="568">
        <v>16790</v>
      </c>
      <c r="R3254" s="569" t="s">
        <v>4231</v>
      </c>
      <c r="S3254" s="569">
        <v>8</v>
      </c>
      <c r="T3254" s="569" t="s">
        <v>5714</v>
      </c>
      <c r="U3254" s="569" t="s">
        <v>5650</v>
      </c>
      <c r="V3254" s="569">
        <v>160</v>
      </c>
      <c r="W3254" s="569">
        <v>31</v>
      </c>
      <c r="X3254" s="568">
        <v>10000</v>
      </c>
      <c r="Y3254" s="569">
        <v>14</v>
      </c>
      <c r="Z3254" s="581" t="s">
        <v>728</v>
      </c>
      <c r="AA3254" s="581" t="s">
        <v>1523</v>
      </c>
      <c r="AB3254" s="585">
        <v>56140</v>
      </c>
      <c r="AC3254" s="585" t="s">
        <v>164</v>
      </c>
      <c r="AD3254" s="585">
        <v>40408</v>
      </c>
      <c r="AE3254" s="587">
        <v>0.05</v>
      </c>
      <c r="AF3254" s="661" t="str">
        <f t="shared" si="353"/>
        <v>2018-LTK-RAM-RM25-032-08</v>
      </c>
      <c r="AG3254" s="661" t="str">
        <f>IF(AND($Y3254&gt;=32,(AI3254="I"),(Y3254&lt;&gt;"~"),(COUNTIF($AN$1:$AN3254,$AN3254)=1)),"TRUE","FALSE")</f>
        <v>FALSE</v>
      </c>
      <c r="AH3254" s="661" t="str">
        <f>IF(AND($Y3254&gt;=22, (AI3254&lt;&gt;"I"),(Y3254&lt;&gt;"~"),(COUNTIF($AN$1:$AN3254,$AN3254)=1)),"TRUE","FALSE")</f>
        <v>FALSE</v>
      </c>
      <c r="AI3254" s="661" t="str">
        <f t="shared" si="355"/>
        <v>II</v>
      </c>
      <c r="AJ3254" s="662" t="str">
        <f t="shared" si="349"/>
        <v>RM25-032</v>
      </c>
      <c r="AK3254" s="662" t="str">
        <f t="shared" si="350"/>
        <v>LTK</v>
      </c>
      <c r="AL3254" s="662" t="str">
        <f t="shared" si="351"/>
        <v>RAM</v>
      </c>
      <c r="AM3254" s="662" t="str">
        <f t="shared" si="354"/>
        <v>Ram 2500-SLT Mega Cab-4WD-6-6'4"-16790-6.7L Diesel-8-DJ7H81-2FG-160-31-Diesel-BioDiesel</v>
      </c>
      <c r="AN3254" s="662" t="str">
        <f t="shared" si="352"/>
        <v>2018-LTK-RAM-RM25-032</v>
      </c>
    </row>
    <row r="3255" spans="1:40" ht="15">
      <c r="A3255" s="570" t="s">
        <v>5728</v>
      </c>
      <c r="B3255" s="573" t="s">
        <v>5729</v>
      </c>
      <c r="C3255" s="573" t="s">
        <v>226</v>
      </c>
      <c r="D3255" s="578" t="s">
        <v>227</v>
      </c>
      <c r="E3255" s="573" t="s">
        <v>3374</v>
      </c>
      <c r="F3255" s="573" t="s">
        <v>196</v>
      </c>
      <c r="G3255" s="573" t="s">
        <v>3265</v>
      </c>
      <c r="H3255" s="573">
        <v>2019</v>
      </c>
      <c r="I3255" s="573" t="s">
        <v>5645</v>
      </c>
      <c r="J3255" s="573" t="s">
        <v>5429</v>
      </c>
      <c r="K3255" s="573" t="s">
        <v>3377</v>
      </c>
      <c r="L3255" s="573">
        <v>3</v>
      </c>
      <c r="M3255" s="573">
        <v>0</v>
      </c>
      <c r="N3255" s="573" t="s">
        <v>157</v>
      </c>
      <c r="O3255" s="573">
        <v>1</v>
      </c>
      <c r="P3255" s="573" t="s">
        <v>3846</v>
      </c>
      <c r="Q3255" s="571">
        <v>11880</v>
      </c>
      <c r="R3255" s="573" t="s">
        <v>5699</v>
      </c>
      <c r="S3255" s="573">
        <v>8</v>
      </c>
      <c r="T3255" s="573" t="s">
        <v>5730</v>
      </c>
      <c r="U3255" s="573" t="s">
        <v>5516</v>
      </c>
      <c r="V3255" s="573">
        <v>140</v>
      </c>
      <c r="W3255" s="573">
        <v>32</v>
      </c>
      <c r="X3255" s="571">
        <v>9000</v>
      </c>
      <c r="Y3255" s="573">
        <v>15</v>
      </c>
      <c r="Z3255" s="579" t="s">
        <v>178</v>
      </c>
      <c r="AA3255" s="579" t="s">
        <v>178</v>
      </c>
      <c r="AB3255" s="584">
        <v>38140</v>
      </c>
      <c r="AC3255" s="584" t="s">
        <v>164</v>
      </c>
      <c r="AD3255" s="584">
        <v>32765</v>
      </c>
      <c r="AE3255" s="586">
        <v>6.25E-2</v>
      </c>
      <c r="AF3255" s="661" t="str">
        <f t="shared" si="353"/>
        <v>2019-LTK-RAM-RM25-096-04</v>
      </c>
      <c r="AG3255" s="661" t="str">
        <f>IF(AND($Y3255&gt;=32,(AI3255="I"),(Y3255&lt;&gt;"~"),(COUNTIF($AN$1:$AN3255,$AN3255)=1)),"TRUE","FALSE")</f>
        <v>FALSE</v>
      </c>
      <c r="AH3255" s="661" t="str">
        <f>IF(AND($Y3255&gt;=22, (AI3255&lt;&gt;"I"),(Y3255&lt;&gt;"~"),(COUNTIF($AN$1:$AN3255,$AN3255)=1)),"TRUE","FALSE")</f>
        <v>FALSE</v>
      </c>
      <c r="AI3255" s="661" t="str">
        <f t="shared" si="355"/>
        <v>II</v>
      </c>
      <c r="AJ3255" s="662" t="str">
        <f t="shared" si="349"/>
        <v>RM25-096</v>
      </c>
      <c r="AK3255" s="662" t="str">
        <f t="shared" si="350"/>
        <v>LTK</v>
      </c>
      <c r="AL3255" s="662" t="str">
        <f t="shared" si="351"/>
        <v>RAM</v>
      </c>
      <c r="AM3255" s="662" t="str">
        <f t="shared" si="354"/>
        <v>Ram 2500-SLT Regular Cab-2WD-3-8'-11880-5.7L Hemi/3.73 axle ratio-8-DJ2H62-26G-140-32-Unleaded-Unleaded</v>
      </c>
      <c r="AN3255" s="662" t="str">
        <f t="shared" si="352"/>
        <v>2019-LTK-RAM-RM25-096</v>
      </c>
    </row>
    <row r="3256" spans="1:40" ht="15">
      <c r="A3256" s="570" t="s">
        <v>5731</v>
      </c>
      <c r="B3256" s="569" t="s">
        <v>5732</v>
      </c>
      <c r="C3256" s="569" t="s">
        <v>226</v>
      </c>
      <c r="D3256" s="580" t="s">
        <v>227</v>
      </c>
      <c r="E3256" s="569" t="s">
        <v>3374</v>
      </c>
      <c r="F3256" s="569" t="s">
        <v>196</v>
      </c>
      <c r="G3256" s="569" t="s">
        <v>3265</v>
      </c>
      <c r="H3256" s="569">
        <v>2019</v>
      </c>
      <c r="I3256" s="569" t="s">
        <v>5645</v>
      </c>
      <c r="J3256" s="569" t="s">
        <v>5429</v>
      </c>
      <c r="K3256" s="569" t="s">
        <v>3377</v>
      </c>
      <c r="L3256" s="569">
        <v>3</v>
      </c>
      <c r="M3256" s="569">
        <v>0</v>
      </c>
      <c r="N3256" s="569" t="s">
        <v>157</v>
      </c>
      <c r="O3256" s="569">
        <v>1</v>
      </c>
      <c r="P3256" s="569" t="s">
        <v>3846</v>
      </c>
      <c r="Q3256" s="568">
        <v>13320</v>
      </c>
      <c r="R3256" s="569" t="s">
        <v>5676</v>
      </c>
      <c r="S3256" s="569">
        <v>8</v>
      </c>
      <c r="T3256" s="569" t="s">
        <v>5730</v>
      </c>
      <c r="U3256" s="569" t="s">
        <v>5398</v>
      </c>
      <c r="V3256" s="569">
        <v>140</v>
      </c>
      <c r="W3256" s="569">
        <v>32</v>
      </c>
      <c r="X3256" s="568">
        <v>9000</v>
      </c>
      <c r="Y3256" s="569">
        <v>15</v>
      </c>
      <c r="Z3256" s="581" t="s">
        <v>178</v>
      </c>
      <c r="AA3256" s="581" t="s">
        <v>178</v>
      </c>
      <c r="AB3256" s="585">
        <v>38640</v>
      </c>
      <c r="AC3256" s="585" t="s">
        <v>164</v>
      </c>
      <c r="AD3256" s="585">
        <v>33218</v>
      </c>
      <c r="AE3256" s="587">
        <v>6.25E-2</v>
      </c>
      <c r="AF3256" s="661" t="str">
        <f t="shared" si="353"/>
        <v>2019-LTK-RAM-RM25-097-04</v>
      </c>
      <c r="AG3256" s="661" t="str">
        <f>IF(AND($Y3256&gt;=32,(AI3256="I"),(Y3256&lt;&gt;"~"),(COUNTIF($AN$1:$AN3256,$AN3256)=1)),"TRUE","FALSE")</f>
        <v>FALSE</v>
      </c>
      <c r="AH3256" s="661" t="str">
        <f>IF(AND($Y3256&gt;=22, (AI3256&lt;&gt;"I"),(Y3256&lt;&gt;"~"),(COUNTIF($AN$1:$AN3256,$AN3256)=1)),"TRUE","FALSE")</f>
        <v>FALSE</v>
      </c>
      <c r="AI3256" s="661" t="str">
        <f t="shared" si="355"/>
        <v>II</v>
      </c>
      <c r="AJ3256" s="662" t="str">
        <f t="shared" si="349"/>
        <v>RM25-097</v>
      </c>
      <c r="AK3256" s="662" t="str">
        <f t="shared" si="350"/>
        <v>LTK</v>
      </c>
      <c r="AL3256" s="662" t="str">
        <f t="shared" si="351"/>
        <v>RAM</v>
      </c>
      <c r="AM3256" s="662" t="str">
        <f t="shared" si="354"/>
        <v>Ram 2500-SLT Regular Cab-2WD-3-8'-13320-6.4L Hemi/3.73 axle ratio-8-DJ2H62-22G-140-32-Unleaded-Unleaded</v>
      </c>
      <c r="AN3256" s="662" t="str">
        <f t="shared" si="352"/>
        <v>2019-LTK-RAM-RM25-097</v>
      </c>
    </row>
    <row r="3257" spans="1:40" ht="15">
      <c r="A3257" s="570" t="s">
        <v>5733</v>
      </c>
      <c r="B3257" s="573" t="s">
        <v>5734</v>
      </c>
      <c r="C3257" s="573" t="s">
        <v>226</v>
      </c>
      <c r="D3257" s="578" t="s">
        <v>227</v>
      </c>
      <c r="E3257" s="573" t="s">
        <v>3374</v>
      </c>
      <c r="F3257" s="573" t="s">
        <v>196</v>
      </c>
      <c r="G3257" s="573" t="s">
        <v>3265</v>
      </c>
      <c r="H3257" s="573">
        <v>2019</v>
      </c>
      <c r="I3257" s="573" t="s">
        <v>5645</v>
      </c>
      <c r="J3257" s="573" t="s">
        <v>5429</v>
      </c>
      <c r="K3257" s="573" t="s">
        <v>3377</v>
      </c>
      <c r="L3257" s="573">
        <v>3</v>
      </c>
      <c r="M3257" s="573">
        <v>0</v>
      </c>
      <c r="N3257" s="573" t="s">
        <v>157</v>
      </c>
      <c r="O3257" s="573">
        <v>1</v>
      </c>
      <c r="P3257" s="573" t="s">
        <v>3846</v>
      </c>
      <c r="Q3257" s="571">
        <v>16890</v>
      </c>
      <c r="R3257" s="573" t="s">
        <v>5705</v>
      </c>
      <c r="S3257" s="573">
        <v>8</v>
      </c>
      <c r="T3257" s="573" t="s">
        <v>5730</v>
      </c>
      <c r="U3257" s="573" t="s">
        <v>5650</v>
      </c>
      <c r="V3257" s="573">
        <v>140</v>
      </c>
      <c r="W3257" s="573">
        <v>32</v>
      </c>
      <c r="X3257" s="571">
        <v>10000</v>
      </c>
      <c r="Y3257" s="573">
        <v>15</v>
      </c>
      <c r="Z3257" s="579" t="s">
        <v>728</v>
      </c>
      <c r="AA3257" s="579" t="s">
        <v>1523</v>
      </c>
      <c r="AB3257" s="584">
        <v>47340</v>
      </c>
      <c r="AC3257" s="584" t="s">
        <v>164</v>
      </c>
      <c r="AD3257" s="584">
        <v>44302</v>
      </c>
      <c r="AE3257" s="586">
        <v>6.25E-2</v>
      </c>
      <c r="AF3257" s="661" t="str">
        <f t="shared" si="353"/>
        <v>2019-LTK-RAM-RM25-098-04</v>
      </c>
      <c r="AG3257" s="661" t="str">
        <f>IF(AND($Y3257&gt;=32,(AI3257="I"),(Y3257&lt;&gt;"~"),(COUNTIF($AN$1:$AN3257,$AN3257)=1)),"TRUE","FALSE")</f>
        <v>FALSE</v>
      </c>
      <c r="AH3257" s="661" t="str">
        <f>IF(AND($Y3257&gt;=22, (AI3257&lt;&gt;"I"),(Y3257&lt;&gt;"~"),(COUNTIF($AN$1:$AN3257,$AN3257)=1)),"TRUE","FALSE")</f>
        <v>FALSE</v>
      </c>
      <c r="AI3257" s="661" t="str">
        <f t="shared" si="355"/>
        <v>II</v>
      </c>
      <c r="AJ3257" s="662" t="str">
        <f t="shared" si="349"/>
        <v>RM25-098</v>
      </c>
      <c r="AK3257" s="662" t="str">
        <f t="shared" si="350"/>
        <v>LTK</v>
      </c>
      <c r="AL3257" s="662" t="str">
        <f t="shared" si="351"/>
        <v>RAM</v>
      </c>
      <c r="AM3257" s="662" t="str">
        <f t="shared" si="354"/>
        <v>Ram 2500-SLT Regular Cab-2WD-3-8'-16890-6.7L Diesel/3.42 axle ratio-8-DJ2H62-2FG-140-32-Diesel-BioDiesel</v>
      </c>
      <c r="AN3257" s="662" t="str">
        <f t="shared" si="352"/>
        <v>2019-LTK-RAM-RM25-098</v>
      </c>
    </row>
    <row r="3258" spans="1:40" ht="15">
      <c r="A3258" s="570" t="s">
        <v>5735</v>
      </c>
      <c r="B3258" s="569" t="s">
        <v>5736</v>
      </c>
      <c r="C3258" s="569" t="s">
        <v>240</v>
      </c>
      <c r="D3258" s="580" t="s">
        <v>241</v>
      </c>
      <c r="E3258" s="569" t="s">
        <v>3374</v>
      </c>
      <c r="F3258" s="569" t="s">
        <v>196</v>
      </c>
      <c r="G3258" s="569" t="s">
        <v>3265</v>
      </c>
      <c r="H3258" s="569">
        <v>2018</v>
      </c>
      <c r="I3258" s="569" t="s">
        <v>5645</v>
      </c>
      <c r="J3258" s="569" t="s">
        <v>5429</v>
      </c>
      <c r="K3258" s="569" t="s">
        <v>3377</v>
      </c>
      <c r="L3258" s="569">
        <v>3</v>
      </c>
      <c r="M3258" s="569">
        <v>0</v>
      </c>
      <c r="N3258" s="569" t="s">
        <v>157</v>
      </c>
      <c r="O3258" s="569">
        <v>1</v>
      </c>
      <c r="P3258" s="569" t="s">
        <v>3846</v>
      </c>
      <c r="Q3258" s="568">
        <v>17810</v>
      </c>
      <c r="R3258" s="569" t="s">
        <v>5401</v>
      </c>
      <c r="S3258" s="569">
        <v>8</v>
      </c>
      <c r="T3258" s="569" t="s">
        <v>5730</v>
      </c>
      <c r="U3258" s="569" t="s">
        <v>5516</v>
      </c>
      <c r="V3258" s="569">
        <v>140.5</v>
      </c>
      <c r="W3258" s="569">
        <v>32</v>
      </c>
      <c r="X3258" s="568">
        <v>9000</v>
      </c>
      <c r="Y3258" s="569">
        <v>15</v>
      </c>
      <c r="Z3258" s="581" t="s">
        <v>178</v>
      </c>
      <c r="AA3258" s="581" t="s">
        <v>178</v>
      </c>
      <c r="AB3258" s="585">
        <v>38435</v>
      </c>
      <c r="AC3258" s="585" t="s">
        <v>164</v>
      </c>
      <c r="AD3258" s="585">
        <v>27124</v>
      </c>
      <c r="AE3258" s="587">
        <v>0.05</v>
      </c>
      <c r="AF3258" s="661" t="str">
        <f t="shared" si="353"/>
        <v>2018-LTK-RAM-RM25-034-08</v>
      </c>
      <c r="AG3258" s="661" t="str">
        <f>IF(AND($Y3258&gt;=32,(AI3258="I"),(Y3258&lt;&gt;"~"),(COUNTIF($AN$1:$AN3258,$AN3258)=1)),"TRUE","FALSE")</f>
        <v>FALSE</v>
      </c>
      <c r="AH3258" s="661" t="str">
        <f>IF(AND($Y3258&gt;=22, (AI3258&lt;&gt;"I"),(Y3258&lt;&gt;"~"),(COUNTIF($AN$1:$AN3258,$AN3258)=1)),"TRUE","FALSE")</f>
        <v>FALSE</v>
      </c>
      <c r="AI3258" s="661" t="str">
        <f t="shared" si="355"/>
        <v>II</v>
      </c>
      <c r="AJ3258" s="662" t="str">
        <f t="shared" si="349"/>
        <v>RM25-034</v>
      </c>
      <c r="AK3258" s="662" t="str">
        <f t="shared" si="350"/>
        <v>LTK</v>
      </c>
      <c r="AL3258" s="662" t="str">
        <f t="shared" si="351"/>
        <v>RAM</v>
      </c>
      <c r="AM3258" s="662" t="str">
        <f t="shared" si="354"/>
        <v>Ram 2500-SLT Regular Cab-2WD-3-8'-17810-5.7L Hemi-8-DJ2H62-26G-140.5-32-Unleaded-Unleaded</v>
      </c>
      <c r="AN3258" s="662" t="str">
        <f t="shared" si="352"/>
        <v>2018-LTK-RAM-RM25-034</v>
      </c>
    </row>
    <row r="3259" spans="1:40" ht="15">
      <c r="A3259" s="570" t="s">
        <v>5737</v>
      </c>
      <c r="B3259" s="573" t="s">
        <v>5738</v>
      </c>
      <c r="C3259" s="573" t="s">
        <v>240</v>
      </c>
      <c r="D3259" s="578" t="s">
        <v>241</v>
      </c>
      <c r="E3259" s="573" t="s">
        <v>3374</v>
      </c>
      <c r="F3259" s="573" t="s">
        <v>196</v>
      </c>
      <c r="G3259" s="573" t="s">
        <v>3265</v>
      </c>
      <c r="H3259" s="573">
        <v>2018</v>
      </c>
      <c r="I3259" s="573" t="s">
        <v>5645</v>
      </c>
      <c r="J3259" s="573" t="s">
        <v>5429</v>
      </c>
      <c r="K3259" s="573" t="s">
        <v>3377</v>
      </c>
      <c r="L3259" s="573">
        <v>3</v>
      </c>
      <c r="M3259" s="573">
        <v>0</v>
      </c>
      <c r="N3259" s="573" t="s">
        <v>157</v>
      </c>
      <c r="O3259" s="573">
        <v>1</v>
      </c>
      <c r="P3259" s="573" t="s">
        <v>3846</v>
      </c>
      <c r="Q3259" s="571">
        <v>17810</v>
      </c>
      <c r="R3259" s="573" t="s">
        <v>5646</v>
      </c>
      <c r="S3259" s="573">
        <v>8</v>
      </c>
      <c r="T3259" s="573" t="s">
        <v>5730</v>
      </c>
      <c r="U3259" s="573" t="s">
        <v>5398</v>
      </c>
      <c r="V3259" s="573">
        <v>140.5</v>
      </c>
      <c r="W3259" s="573">
        <v>32</v>
      </c>
      <c r="X3259" s="571">
        <v>10000</v>
      </c>
      <c r="Y3259" s="573">
        <v>15</v>
      </c>
      <c r="Z3259" s="579" t="s">
        <v>178</v>
      </c>
      <c r="AA3259" s="579" t="s">
        <v>178</v>
      </c>
      <c r="AB3259" s="584">
        <v>38935</v>
      </c>
      <c r="AC3259" s="584" t="s">
        <v>164</v>
      </c>
      <c r="AD3259" s="584">
        <v>27582</v>
      </c>
      <c r="AE3259" s="586">
        <v>0.05</v>
      </c>
      <c r="AF3259" s="661" t="str">
        <f t="shared" si="353"/>
        <v>2018-LTK-RAM-RM25-035-08</v>
      </c>
      <c r="AG3259" s="661" t="str">
        <f>IF(AND($Y3259&gt;=32,(AI3259="I"),(Y3259&lt;&gt;"~"),(COUNTIF($AN$1:$AN3259,$AN3259)=1)),"TRUE","FALSE")</f>
        <v>FALSE</v>
      </c>
      <c r="AH3259" s="661" t="str">
        <f>IF(AND($Y3259&gt;=22, (AI3259&lt;&gt;"I"),(Y3259&lt;&gt;"~"),(COUNTIF($AN$1:$AN3259,$AN3259)=1)),"TRUE","FALSE")</f>
        <v>FALSE</v>
      </c>
      <c r="AI3259" s="661" t="str">
        <f t="shared" si="355"/>
        <v>II</v>
      </c>
      <c r="AJ3259" s="662" t="str">
        <f t="shared" si="349"/>
        <v>RM25-035</v>
      </c>
      <c r="AK3259" s="662" t="str">
        <f t="shared" si="350"/>
        <v>LTK</v>
      </c>
      <c r="AL3259" s="662" t="str">
        <f t="shared" si="351"/>
        <v>RAM</v>
      </c>
      <c r="AM3259" s="662" t="str">
        <f t="shared" si="354"/>
        <v>Ram 2500-SLT Regular Cab-2WD-3-8'-17810-6.4L Mid Duty Hemi-8-DJ2H62-22G-140.5-32-Unleaded-Unleaded</v>
      </c>
      <c r="AN3259" s="662" t="str">
        <f t="shared" si="352"/>
        <v>2018-LTK-RAM-RM25-035</v>
      </c>
    </row>
    <row r="3260" spans="1:40" ht="15">
      <c r="A3260" s="570" t="s">
        <v>5739</v>
      </c>
      <c r="B3260" s="569" t="s">
        <v>5740</v>
      </c>
      <c r="C3260" s="569" t="s">
        <v>240</v>
      </c>
      <c r="D3260" s="580" t="s">
        <v>241</v>
      </c>
      <c r="E3260" s="569" t="s">
        <v>3374</v>
      </c>
      <c r="F3260" s="569" t="s">
        <v>196</v>
      </c>
      <c r="G3260" s="569" t="s">
        <v>3265</v>
      </c>
      <c r="H3260" s="569">
        <v>2018</v>
      </c>
      <c r="I3260" s="569" t="s">
        <v>5645</v>
      </c>
      <c r="J3260" s="569" t="s">
        <v>5429</v>
      </c>
      <c r="K3260" s="569" t="s">
        <v>3377</v>
      </c>
      <c r="L3260" s="569">
        <v>3</v>
      </c>
      <c r="M3260" s="569">
        <v>0</v>
      </c>
      <c r="N3260" s="569" t="s">
        <v>157</v>
      </c>
      <c r="O3260" s="569">
        <v>1</v>
      </c>
      <c r="P3260" s="569" t="s">
        <v>3846</v>
      </c>
      <c r="Q3260" s="568">
        <v>17810</v>
      </c>
      <c r="R3260" s="569" t="s">
        <v>4231</v>
      </c>
      <c r="S3260" s="569">
        <v>8</v>
      </c>
      <c r="T3260" s="569" t="s">
        <v>5730</v>
      </c>
      <c r="U3260" s="569" t="s">
        <v>5650</v>
      </c>
      <c r="V3260" s="569">
        <v>140.5</v>
      </c>
      <c r="W3260" s="569">
        <v>32</v>
      </c>
      <c r="X3260" s="568">
        <v>10000</v>
      </c>
      <c r="Y3260" s="569">
        <v>15</v>
      </c>
      <c r="Z3260" s="581" t="s">
        <v>728</v>
      </c>
      <c r="AA3260" s="581" t="s">
        <v>1523</v>
      </c>
      <c r="AB3260" s="585">
        <v>47635</v>
      </c>
      <c r="AC3260" s="585" t="s">
        <v>164</v>
      </c>
      <c r="AD3260" s="585">
        <v>39128</v>
      </c>
      <c r="AE3260" s="587">
        <v>0.05</v>
      </c>
      <c r="AF3260" s="661" t="str">
        <f t="shared" si="353"/>
        <v>2018-LTK-RAM-RM25-037-08</v>
      </c>
      <c r="AG3260" s="661" t="str">
        <f>IF(AND($Y3260&gt;=32,(AI3260="I"),(Y3260&lt;&gt;"~"),(COUNTIF($AN$1:$AN3260,$AN3260)=1)),"TRUE","FALSE")</f>
        <v>FALSE</v>
      </c>
      <c r="AH3260" s="661" t="str">
        <f>IF(AND($Y3260&gt;=22, (AI3260&lt;&gt;"I"),(Y3260&lt;&gt;"~"),(COUNTIF($AN$1:$AN3260,$AN3260)=1)),"TRUE","FALSE")</f>
        <v>FALSE</v>
      </c>
      <c r="AI3260" s="661" t="str">
        <f t="shared" si="355"/>
        <v>II</v>
      </c>
      <c r="AJ3260" s="662" t="str">
        <f t="shared" si="349"/>
        <v>RM25-037</v>
      </c>
      <c r="AK3260" s="662" t="str">
        <f t="shared" si="350"/>
        <v>LTK</v>
      </c>
      <c r="AL3260" s="662" t="str">
        <f t="shared" si="351"/>
        <v>RAM</v>
      </c>
      <c r="AM3260" s="662" t="str">
        <f t="shared" si="354"/>
        <v>Ram 2500-SLT Regular Cab-2WD-3-8'-17810-6.7L Diesel-8-DJ2H62-2FG-140.5-32-Diesel-BioDiesel</v>
      </c>
      <c r="AN3260" s="662" t="str">
        <f t="shared" si="352"/>
        <v>2018-LTK-RAM-RM25-037</v>
      </c>
    </row>
    <row r="3261" spans="1:40" ht="15">
      <c r="A3261" s="570" t="s">
        <v>5741</v>
      </c>
      <c r="B3261" s="573" t="s">
        <v>5742</v>
      </c>
      <c r="C3261" s="573" t="s">
        <v>226</v>
      </c>
      <c r="D3261" s="578" t="s">
        <v>227</v>
      </c>
      <c r="E3261" s="573" t="s">
        <v>3374</v>
      </c>
      <c r="F3261" s="573" t="s">
        <v>196</v>
      </c>
      <c r="G3261" s="573" t="s">
        <v>3265</v>
      </c>
      <c r="H3261" s="573">
        <v>2019</v>
      </c>
      <c r="I3261" s="573" t="s">
        <v>5645</v>
      </c>
      <c r="J3261" s="573" t="s">
        <v>5429</v>
      </c>
      <c r="K3261" s="573" t="s">
        <v>752</v>
      </c>
      <c r="L3261" s="573">
        <v>3</v>
      </c>
      <c r="M3261" s="573">
        <v>0</v>
      </c>
      <c r="N3261" s="573" t="s">
        <v>157</v>
      </c>
      <c r="O3261" s="573">
        <v>1</v>
      </c>
      <c r="P3261" s="573" t="s">
        <v>3846</v>
      </c>
      <c r="Q3261" s="571">
        <v>11520</v>
      </c>
      <c r="R3261" s="573" t="s">
        <v>5699</v>
      </c>
      <c r="S3261" s="573">
        <v>8</v>
      </c>
      <c r="T3261" s="573" t="s">
        <v>5743</v>
      </c>
      <c r="U3261" s="573" t="s">
        <v>5516</v>
      </c>
      <c r="V3261" s="573">
        <v>140</v>
      </c>
      <c r="W3261" s="573">
        <v>32</v>
      </c>
      <c r="X3261" s="571">
        <v>9000</v>
      </c>
      <c r="Y3261" s="573">
        <v>14</v>
      </c>
      <c r="Z3261" s="579" t="s">
        <v>178</v>
      </c>
      <c r="AA3261" s="579" t="s">
        <v>178</v>
      </c>
      <c r="AB3261" s="584">
        <v>40940</v>
      </c>
      <c r="AC3261" s="584" t="s">
        <v>164</v>
      </c>
      <c r="AD3261" s="584">
        <v>33990</v>
      </c>
      <c r="AE3261" s="586">
        <v>6.25E-2</v>
      </c>
      <c r="AF3261" s="661" t="str">
        <f t="shared" si="353"/>
        <v>2019-LTK-RAM-RM25-099-04</v>
      </c>
      <c r="AG3261" s="661" t="str">
        <f>IF(AND($Y3261&gt;=32,(AI3261="I"),(Y3261&lt;&gt;"~"),(COUNTIF($AN$1:$AN3261,$AN3261)=1)),"TRUE","FALSE")</f>
        <v>FALSE</v>
      </c>
      <c r="AH3261" s="661" t="str">
        <f>IF(AND($Y3261&gt;=22, (AI3261&lt;&gt;"I"),(Y3261&lt;&gt;"~"),(COUNTIF($AN$1:$AN3261,$AN3261)=1)),"TRUE","FALSE")</f>
        <v>FALSE</v>
      </c>
      <c r="AI3261" s="661" t="str">
        <f t="shared" si="355"/>
        <v>II</v>
      </c>
      <c r="AJ3261" s="662" t="str">
        <f t="shared" si="349"/>
        <v>RM25-099</v>
      </c>
      <c r="AK3261" s="662" t="str">
        <f t="shared" si="350"/>
        <v>LTK</v>
      </c>
      <c r="AL3261" s="662" t="str">
        <f t="shared" si="351"/>
        <v>RAM</v>
      </c>
      <c r="AM3261" s="662" t="str">
        <f t="shared" si="354"/>
        <v>Ram 2500-SLT Regular Cab-4WD-3-8'-11520-5.7L Hemi/3.73 axle ratio-8-DJ7H62-26G-140-32-Unleaded-Unleaded</v>
      </c>
      <c r="AN3261" s="662" t="str">
        <f t="shared" si="352"/>
        <v>2019-LTK-RAM-RM25-099</v>
      </c>
    </row>
    <row r="3262" spans="1:40" ht="15">
      <c r="A3262" s="570" t="s">
        <v>5744</v>
      </c>
      <c r="B3262" s="569" t="s">
        <v>5745</v>
      </c>
      <c r="C3262" s="569" t="s">
        <v>226</v>
      </c>
      <c r="D3262" s="580" t="s">
        <v>227</v>
      </c>
      <c r="E3262" s="569" t="s">
        <v>3374</v>
      </c>
      <c r="F3262" s="569" t="s">
        <v>196</v>
      </c>
      <c r="G3262" s="569" t="s">
        <v>3265</v>
      </c>
      <c r="H3262" s="569">
        <v>2019</v>
      </c>
      <c r="I3262" s="569" t="s">
        <v>5645</v>
      </c>
      <c r="J3262" s="569" t="s">
        <v>5429</v>
      </c>
      <c r="K3262" s="569" t="s">
        <v>752</v>
      </c>
      <c r="L3262" s="569">
        <v>3</v>
      </c>
      <c r="M3262" s="569">
        <v>0</v>
      </c>
      <c r="N3262" s="569" t="s">
        <v>157</v>
      </c>
      <c r="O3262" s="569">
        <v>1</v>
      </c>
      <c r="P3262" s="569" t="s">
        <v>3846</v>
      </c>
      <c r="Q3262" s="568">
        <v>11520</v>
      </c>
      <c r="R3262" s="569" t="s">
        <v>5676</v>
      </c>
      <c r="S3262" s="569">
        <v>8</v>
      </c>
      <c r="T3262" s="569" t="s">
        <v>5743</v>
      </c>
      <c r="U3262" s="569" t="s">
        <v>5398</v>
      </c>
      <c r="V3262" s="569">
        <v>140</v>
      </c>
      <c r="W3262" s="569">
        <v>32</v>
      </c>
      <c r="X3262" s="568">
        <v>10000</v>
      </c>
      <c r="Y3262" s="569">
        <v>14</v>
      </c>
      <c r="Z3262" s="581" t="s">
        <v>178</v>
      </c>
      <c r="AA3262" s="581" t="s">
        <v>178</v>
      </c>
      <c r="AB3262" s="585">
        <v>41440</v>
      </c>
      <c r="AC3262" s="585" t="s">
        <v>164</v>
      </c>
      <c r="AD3262" s="585">
        <v>34443</v>
      </c>
      <c r="AE3262" s="587">
        <v>6.25E-2</v>
      </c>
      <c r="AF3262" s="661" t="str">
        <f t="shared" si="353"/>
        <v>2019-LTK-RAM-RM25-100-04</v>
      </c>
      <c r="AG3262" s="661" t="str">
        <f>IF(AND($Y3262&gt;=32,(AI3262="I"),(Y3262&lt;&gt;"~"),(COUNTIF($AN$1:$AN3262,$AN3262)=1)),"TRUE","FALSE")</f>
        <v>FALSE</v>
      </c>
      <c r="AH3262" s="661" t="str">
        <f>IF(AND($Y3262&gt;=22, (AI3262&lt;&gt;"I"),(Y3262&lt;&gt;"~"),(COUNTIF($AN$1:$AN3262,$AN3262)=1)),"TRUE","FALSE")</f>
        <v>FALSE</v>
      </c>
      <c r="AI3262" s="661" t="str">
        <f t="shared" si="355"/>
        <v>II</v>
      </c>
      <c r="AJ3262" s="662" t="str">
        <f t="shared" si="349"/>
        <v>RM25-100</v>
      </c>
      <c r="AK3262" s="662" t="str">
        <f t="shared" si="350"/>
        <v>LTK</v>
      </c>
      <c r="AL3262" s="662" t="str">
        <f t="shared" si="351"/>
        <v>RAM</v>
      </c>
      <c r="AM3262" s="662" t="str">
        <f t="shared" si="354"/>
        <v>Ram 2500-SLT Regular Cab-4WD-3-8'-11520-6.4L Hemi/3.73 axle ratio-8-DJ7H62-22G-140-32-Unleaded-Unleaded</v>
      </c>
      <c r="AN3262" s="662" t="str">
        <f t="shared" si="352"/>
        <v>2019-LTK-RAM-RM25-100</v>
      </c>
    </row>
    <row r="3263" spans="1:40" ht="15">
      <c r="A3263" s="570" t="s">
        <v>5746</v>
      </c>
      <c r="B3263" s="573" t="s">
        <v>5747</v>
      </c>
      <c r="C3263" s="573" t="s">
        <v>226</v>
      </c>
      <c r="D3263" s="578" t="s">
        <v>227</v>
      </c>
      <c r="E3263" s="573" t="s">
        <v>3374</v>
      </c>
      <c r="F3263" s="573" t="s">
        <v>196</v>
      </c>
      <c r="G3263" s="573" t="s">
        <v>3265</v>
      </c>
      <c r="H3263" s="573">
        <v>2019</v>
      </c>
      <c r="I3263" s="573" t="s">
        <v>5645</v>
      </c>
      <c r="J3263" s="573" t="s">
        <v>5429</v>
      </c>
      <c r="K3263" s="573" t="s">
        <v>752</v>
      </c>
      <c r="L3263" s="573">
        <v>3</v>
      </c>
      <c r="M3263" s="573">
        <v>0</v>
      </c>
      <c r="N3263" s="573" t="s">
        <v>157</v>
      </c>
      <c r="O3263" s="573">
        <v>1</v>
      </c>
      <c r="P3263" s="573" t="s">
        <v>3846</v>
      </c>
      <c r="Q3263" s="571">
        <v>13520</v>
      </c>
      <c r="R3263" s="573" t="s">
        <v>5721</v>
      </c>
      <c r="S3263" s="573">
        <v>8</v>
      </c>
      <c r="T3263" s="573" t="s">
        <v>5743</v>
      </c>
      <c r="U3263" s="573" t="s">
        <v>5398</v>
      </c>
      <c r="V3263" s="573">
        <v>140</v>
      </c>
      <c r="W3263" s="573">
        <v>32</v>
      </c>
      <c r="X3263" s="571">
        <v>9000</v>
      </c>
      <c r="Y3263" s="573">
        <v>14</v>
      </c>
      <c r="Z3263" s="579" t="s">
        <v>178</v>
      </c>
      <c r="AA3263" s="579" t="s">
        <v>178</v>
      </c>
      <c r="AB3263" s="584">
        <v>41585</v>
      </c>
      <c r="AC3263" s="584" t="s">
        <v>164</v>
      </c>
      <c r="AD3263" s="584">
        <v>34588</v>
      </c>
      <c r="AE3263" s="586">
        <v>6.25E-2</v>
      </c>
      <c r="AF3263" s="661" t="str">
        <f t="shared" si="353"/>
        <v>2019-LTK-RAM-RM25-101-04</v>
      </c>
      <c r="AG3263" s="661" t="str">
        <f>IF(AND($Y3263&gt;=32,(AI3263="I"),(Y3263&lt;&gt;"~"),(COUNTIF($AN$1:$AN3263,$AN3263)=1)),"TRUE","FALSE")</f>
        <v>FALSE</v>
      </c>
      <c r="AH3263" s="661" t="str">
        <f>IF(AND($Y3263&gt;=22, (AI3263&lt;&gt;"I"),(Y3263&lt;&gt;"~"),(COUNTIF($AN$1:$AN3263,$AN3263)=1)),"TRUE","FALSE")</f>
        <v>FALSE</v>
      </c>
      <c r="AI3263" s="661" t="str">
        <f t="shared" si="355"/>
        <v>II</v>
      </c>
      <c r="AJ3263" s="662" t="str">
        <f t="shared" si="349"/>
        <v>RM25-101</v>
      </c>
      <c r="AK3263" s="662" t="str">
        <f t="shared" si="350"/>
        <v>LTK</v>
      </c>
      <c r="AL3263" s="662" t="str">
        <f t="shared" si="351"/>
        <v>RAM</v>
      </c>
      <c r="AM3263" s="662" t="str">
        <f t="shared" si="354"/>
        <v>Ram 2500-SLT Regular Cab-4WD-3-8'-13520-6.4L Hemi/4.10 axle ratio-8-DJ7H62-22G-140-32-Unleaded-Unleaded</v>
      </c>
      <c r="AN3263" s="662" t="str">
        <f t="shared" si="352"/>
        <v>2019-LTK-RAM-RM25-101</v>
      </c>
    </row>
    <row r="3264" spans="1:40" ht="15">
      <c r="A3264" s="570" t="s">
        <v>5748</v>
      </c>
      <c r="B3264" s="569" t="s">
        <v>5749</v>
      </c>
      <c r="C3264" s="569" t="s">
        <v>226</v>
      </c>
      <c r="D3264" s="580" t="s">
        <v>227</v>
      </c>
      <c r="E3264" s="569" t="s">
        <v>3374</v>
      </c>
      <c r="F3264" s="569" t="s">
        <v>196</v>
      </c>
      <c r="G3264" s="569" t="s">
        <v>3265</v>
      </c>
      <c r="H3264" s="569">
        <v>2019</v>
      </c>
      <c r="I3264" s="569" t="s">
        <v>5645</v>
      </c>
      <c r="J3264" s="569" t="s">
        <v>5429</v>
      </c>
      <c r="K3264" s="569" t="s">
        <v>752</v>
      </c>
      <c r="L3264" s="569">
        <v>3</v>
      </c>
      <c r="M3264" s="569">
        <v>0</v>
      </c>
      <c r="N3264" s="569" t="s">
        <v>157</v>
      </c>
      <c r="O3264" s="569">
        <v>1</v>
      </c>
      <c r="P3264" s="569" t="s">
        <v>3846</v>
      </c>
      <c r="Q3264" s="568">
        <v>17500</v>
      </c>
      <c r="R3264" s="569" t="s">
        <v>5705</v>
      </c>
      <c r="S3264" s="569">
        <v>8</v>
      </c>
      <c r="T3264" s="569" t="s">
        <v>5743</v>
      </c>
      <c r="U3264" s="569" t="s">
        <v>5650</v>
      </c>
      <c r="V3264" s="569">
        <v>140</v>
      </c>
      <c r="W3264" s="569">
        <v>32</v>
      </c>
      <c r="X3264" s="568">
        <v>10000</v>
      </c>
      <c r="Y3264" s="569">
        <v>14</v>
      </c>
      <c r="Z3264" s="581" t="s">
        <v>728</v>
      </c>
      <c r="AA3264" s="581" t="s">
        <v>1523</v>
      </c>
      <c r="AB3264" s="585">
        <v>50140</v>
      </c>
      <c r="AC3264" s="585" t="s">
        <v>164</v>
      </c>
      <c r="AD3264" s="585">
        <v>45222</v>
      </c>
      <c r="AE3264" s="587">
        <v>6.25E-2</v>
      </c>
      <c r="AF3264" s="661" t="str">
        <f t="shared" si="353"/>
        <v>2019-LTK-RAM-RM25-102-04</v>
      </c>
      <c r="AG3264" s="661" t="str">
        <f>IF(AND($Y3264&gt;=32,(AI3264="I"),(Y3264&lt;&gt;"~"),(COUNTIF($AN$1:$AN3264,$AN3264)=1)),"TRUE","FALSE")</f>
        <v>FALSE</v>
      </c>
      <c r="AH3264" s="661" t="str">
        <f>IF(AND($Y3264&gt;=22, (AI3264&lt;&gt;"I"),(Y3264&lt;&gt;"~"),(COUNTIF($AN$1:$AN3264,$AN3264)=1)),"TRUE","FALSE")</f>
        <v>FALSE</v>
      </c>
      <c r="AI3264" s="661" t="str">
        <f t="shared" si="355"/>
        <v>II</v>
      </c>
      <c r="AJ3264" s="662" t="str">
        <f t="shared" si="349"/>
        <v>RM25-102</v>
      </c>
      <c r="AK3264" s="662" t="str">
        <f t="shared" si="350"/>
        <v>LTK</v>
      </c>
      <c r="AL3264" s="662" t="str">
        <f t="shared" si="351"/>
        <v>RAM</v>
      </c>
      <c r="AM3264" s="662" t="str">
        <f t="shared" si="354"/>
        <v>Ram 2500-SLT Regular Cab-4WD-3-8'-17500-6.7L Diesel/3.42 axle ratio-8-DJ7H62-2FG-140-32-Diesel-BioDiesel</v>
      </c>
      <c r="AN3264" s="662" t="str">
        <f t="shared" si="352"/>
        <v>2019-LTK-RAM-RM25-102</v>
      </c>
    </row>
    <row r="3265" spans="1:40" ht="15">
      <c r="A3265" s="570" t="s">
        <v>5750</v>
      </c>
      <c r="B3265" s="573" t="s">
        <v>5751</v>
      </c>
      <c r="C3265" s="573" t="s">
        <v>240</v>
      </c>
      <c r="D3265" s="578" t="s">
        <v>241</v>
      </c>
      <c r="E3265" s="573" t="s">
        <v>3374</v>
      </c>
      <c r="F3265" s="573" t="s">
        <v>196</v>
      </c>
      <c r="G3265" s="573" t="s">
        <v>3265</v>
      </c>
      <c r="H3265" s="573">
        <v>2018</v>
      </c>
      <c r="I3265" s="573" t="s">
        <v>5645</v>
      </c>
      <c r="J3265" s="573" t="s">
        <v>5429</v>
      </c>
      <c r="K3265" s="573" t="s">
        <v>752</v>
      </c>
      <c r="L3265" s="573">
        <v>3</v>
      </c>
      <c r="M3265" s="573">
        <v>0</v>
      </c>
      <c r="N3265" s="573" t="s">
        <v>157</v>
      </c>
      <c r="O3265" s="573">
        <v>1</v>
      </c>
      <c r="P3265" s="573" t="s">
        <v>3846</v>
      </c>
      <c r="Q3265" s="571">
        <v>17440</v>
      </c>
      <c r="R3265" s="573" t="s">
        <v>5401</v>
      </c>
      <c r="S3265" s="573">
        <v>8</v>
      </c>
      <c r="T3265" s="573" t="s">
        <v>5743</v>
      </c>
      <c r="U3265" s="573" t="s">
        <v>5516</v>
      </c>
      <c r="V3265" s="573">
        <v>140.5</v>
      </c>
      <c r="W3265" s="573">
        <v>32</v>
      </c>
      <c r="X3265" s="571">
        <v>9000</v>
      </c>
      <c r="Y3265" s="573">
        <v>14</v>
      </c>
      <c r="Z3265" s="579" t="s">
        <v>178</v>
      </c>
      <c r="AA3265" s="579" t="s">
        <v>178</v>
      </c>
      <c r="AB3265" s="584">
        <v>40940</v>
      </c>
      <c r="AC3265" s="584" t="s">
        <v>164</v>
      </c>
      <c r="AD3265" s="584">
        <v>28301</v>
      </c>
      <c r="AE3265" s="586">
        <v>0.05</v>
      </c>
      <c r="AF3265" s="661" t="str">
        <f t="shared" si="353"/>
        <v>2018-LTK-RAM-RM25-042-08</v>
      </c>
      <c r="AG3265" s="661" t="str">
        <f>IF(AND($Y3265&gt;=32,(AI3265="I"),(Y3265&lt;&gt;"~"),(COUNTIF($AN$1:$AN3265,$AN3265)=1)),"TRUE","FALSE")</f>
        <v>FALSE</v>
      </c>
      <c r="AH3265" s="661" t="str">
        <f>IF(AND($Y3265&gt;=22, (AI3265&lt;&gt;"I"),(Y3265&lt;&gt;"~"),(COUNTIF($AN$1:$AN3265,$AN3265)=1)),"TRUE","FALSE")</f>
        <v>FALSE</v>
      </c>
      <c r="AI3265" s="661" t="str">
        <f t="shared" si="355"/>
        <v>II</v>
      </c>
      <c r="AJ3265" s="662" t="str">
        <f t="shared" si="349"/>
        <v>RM25-042</v>
      </c>
      <c r="AK3265" s="662" t="str">
        <f t="shared" si="350"/>
        <v>LTK</v>
      </c>
      <c r="AL3265" s="662" t="str">
        <f t="shared" si="351"/>
        <v>RAM</v>
      </c>
      <c r="AM3265" s="662" t="str">
        <f t="shared" si="354"/>
        <v>Ram 2500-SLT Regular Cab-4WD-3-8'-17440-5.7L Hemi-8-DJ7H62-26G-140.5-32-Unleaded-Unleaded</v>
      </c>
      <c r="AN3265" s="662" t="str">
        <f t="shared" si="352"/>
        <v>2018-LTK-RAM-RM25-042</v>
      </c>
    </row>
    <row r="3266" spans="1:40" ht="15">
      <c r="A3266" s="570" t="s">
        <v>5752</v>
      </c>
      <c r="B3266" s="569" t="s">
        <v>5753</v>
      </c>
      <c r="C3266" s="569" t="s">
        <v>240</v>
      </c>
      <c r="D3266" s="580" t="s">
        <v>241</v>
      </c>
      <c r="E3266" s="569" t="s">
        <v>3374</v>
      </c>
      <c r="F3266" s="569" t="s">
        <v>196</v>
      </c>
      <c r="G3266" s="569" t="s">
        <v>3265</v>
      </c>
      <c r="H3266" s="569">
        <v>2018</v>
      </c>
      <c r="I3266" s="569" t="s">
        <v>5645</v>
      </c>
      <c r="J3266" s="569" t="s">
        <v>5429</v>
      </c>
      <c r="K3266" s="569" t="s">
        <v>752</v>
      </c>
      <c r="L3266" s="569">
        <v>3</v>
      </c>
      <c r="M3266" s="569">
        <v>0</v>
      </c>
      <c r="N3266" s="569" t="s">
        <v>157</v>
      </c>
      <c r="O3266" s="569">
        <v>1</v>
      </c>
      <c r="P3266" s="569" t="s">
        <v>3846</v>
      </c>
      <c r="Q3266" s="568">
        <v>17440</v>
      </c>
      <c r="R3266" s="569" t="s">
        <v>5646</v>
      </c>
      <c r="S3266" s="569">
        <v>8</v>
      </c>
      <c r="T3266" s="569" t="s">
        <v>5743</v>
      </c>
      <c r="U3266" s="569" t="s">
        <v>5398</v>
      </c>
      <c r="V3266" s="569">
        <v>140.5</v>
      </c>
      <c r="W3266" s="569">
        <v>32</v>
      </c>
      <c r="X3266" s="568">
        <v>10000</v>
      </c>
      <c r="Y3266" s="569">
        <v>14</v>
      </c>
      <c r="Z3266" s="581" t="s">
        <v>178</v>
      </c>
      <c r="AA3266" s="581" t="s">
        <v>178</v>
      </c>
      <c r="AB3266" s="585">
        <v>41440</v>
      </c>
      <c r="AC3266" s="585" t="s">
        <v>164</v>
      </c>
      <c r="AD3266" s="585">
        <v>28759</v>
      </c>
      <c r="AE3266" s="587">
        <v>0.05</v>
      </c>
      <c r="AF3266" s="661" t="str">
        <f t="shared" si="353"/>
        <v>2018-LTK-RAM-RM25-043-08</v>
      </c>
      <c r="AG3266" s="661" t="str">
        <f>IF(AND($Y3266&gt;=32,(AI3266="I"),(Y3266&lt;&gt;"~"),(COUNTIF($AN$1:$AN3266,$AN3266)=1)),"TRUE","FALSE")</f>
        <v>FALSE</v>
      </c>
      <c r="AH3266" s="661" t="str">
        <f>IF(AND($Y3266&gt;=22, (AI3266&lt;&gt;"I"),(Y3266&lt;&gt;"~"),(COUNTIF($AN$1:$AN3266,$AN3266)=1)),"TRUE","FALSE")</f>
        <v>FALSE</v>
      </c>
      <c r="AI3266" s="661" t="str">
        <f t="shared" si="355"/>
        <v>II</v>
      </c>
      <c r="AJ3266" s="662" t="str">
        <f t="shared" si="349"/>
        <v>RM25-043</v>
      </c>
      <c r="AK3266" s="662" t="str">
        <f t="shared" si="350"/>
        <v>LTK</v>
      </c>
      <c r="AL3266" s="662" t="str">
        <f t="shared" si="351"/>
        <v>RAM</v>
      </c>
      <c r="AM3266" s="662" t="str">
        <f t="shared" si="354"/>
        <v>Ram 2500-SLT Regular Cab-4WD-3-8'-17440-6.4L Mid Duty Hemi-8-DJ7H62-22G-140.5-32-Unleaded-Unleaded</v>
      </c>
      <c r="AN3266" s="662" t="str">
        <f t="shared" si="352"/>
        <v>2018-LTK-RAM-RM25-043</v>
      </c>
    </row>
    <row r="3267" spans="1:40" ht="15">
      <c r="A3267" s="570" t="s">
        <v>5754</v>
      </c>
      <c r="B3267" s="573" t="s">
        <v>5755</v>
      </c>
      <c r="C3267" s="573" t="s">
        <v>240</v>
      </c>
      <c r="D3267" s="578" t="s">
        <v>241</v>
      </c>
      <c r="E3267" s="573" t="s">
        <v>3374</v>
      </c>
      <c r="F3267" s="573" t="s">
        <v>196</v>
      </c>
      <c r="G3267" s="573" t="s">
        <v>3265</v>
      </c>
      <c r="H3267" s="573">
        <v>2018</v>
      </c>
      <c r="I3267" s="573" t="s">
        <v>5645</v>
      </c>
      <c r="J3267" s="573" t="s">
        <v>5429</v>
      </c>
      <c r="K3267" s="573" t="s">
        <v>752</v>
      </c>
      <c r="L3267" s="573">
        <v>3</v>
      </c>
      <c r="M3267" s="573">
        <v>0</v>
      </c>
      <c r="N3267" s="573" t="s">
        <v>157</v>
      </c>
      <c r="O3267" s="573">
        <v>1</v>
      </c>
      <c r="P3267" s="573" t="s">
        <v>3846</v>
      </c>
      <c r="Q3267" s="571">
        <v>17440</v>
      </c>
      <c r="R3267" s="573" t="s">
        <v>4231</v>
      </c>
      <c r="S3267" s="573">
        <v>8</v>
      </c>
      <c r="T3267" s="573" t="s">
        <v>5743</v>
      </c>
      <c r="U3267" s="573" t="s">
        <v>5650</v>
      </c>
      <c r="V3267" s="573">
        <v>140.5</v>
      </c>
      <c r="W3267" s="573">
        <v>32</v>
      </c>
      <c r="X3267" s="571">
        <v>10000</v>
      </c>
      <c r="Y3267" s="573">
        <v>14</v>
      </c>
      <c r="Z3267" s="579" t="s">
        <v>728</v>
      </c>
      <c r="AA3267" s="579" t="s">
        <v>1523</v>
      </c>
      <c r="AB3267" s="584">
        <v>50140</v>
      </c>
      <c r="AC3267" s="584" t="s">
        <v>164</v>
      </c>
      <c r="AD3267" s="584">
        <v>37238</v>
      </c>
      <c r="AE3267" s="586">
        <v>0.05</v>
      </c>
      <c r="AF3267" s="661" t="str">
        <f t="shared" si="353"/>
        <v>2018-LTK-RAM-RM25-044-08</v>
      </c>
      <c r="AG3267" s="661" t="str">
        <f>IF(AND($Y3267&gt;=32,(AI3267="I"),(Y3267&lt;&gt;"~"),(COUNTIF($AN$1:$AN3267,$AN3267)=1)),"TRUE","FALSE")</f>
        <v>FALSE</v>
      </c>
      <c r="AH3267" s="661" t="str">
        <f>IF(AND($Y3267&gt;=22, (AI3267&lt;&gt;"I"),(Y3267&lt;&gt;"~"),(COUNTIF($AN$1:$AN3267,$AN3267)=1)),"TRUE","FALSE")</f>
        <v>FALSE</v>
      </c>
      <c r="AI3267" s="661" t="str">
        <f t="shared" si="355"/>
        <v>II</v>
      </c>
      <c r="AJ3267" s="662" t="str">
        <f t="shared" ref="AJ3267:AJ3330" si="356">MID(A3267,14,8)</f>
        <v>RM25-044</v>
      </c>
      <c r="AK3267" s="662" t="str">
        <f t="shared" ref="AK3267:AK3330" si="357">MID(A3267,6,3)</f>
        <v>LTK</v>
      </c>
      <c r="AL3267" s="662" t="str">
        <f t="shared" ref="AL3267:AL3330" si="358">MID(A3267,10,3)</f>
        <v>RAM</v>
      </c>
      <c r="AM3267" s="662" t="str">
        <f t="shared" si="354"/>
        <v>Ram 2500-SLT Regular Cab-4WD-3-8'-17440-6.7L Diesel-8-DJ7H62-2FG-140.5-32-Diesel-BioDiesel</v>
      </c>
      <c r="AN3267" s="662" t="str">
        <f t="shared" ref="AN3267:AN3330" si="359">LEFT(A3267,21)</f>
        <v>2018-LTK-RAM-RM25-044</v>
      </c>
    </row>
    <row r="3268" spans="1:40" ht="30">
      <c r="A3268" s="570" t="s">
        <v>5756</v>
      </c>
      <c r="B3268" s="569" t="s">
        <v>5757</v>
      </c>
      <c r="C3268" s="569" t="s">
        <v>226</v>
      </c>
      <c r="D3268" s="580" t="s">
        <v>227</v>
      </c>
      <c r="E3268" s="569" t="s">
        <v>3374</v>
      </c>
      <c r="F3268" s="569" t="s">
        <v>196</v>
      </c>
      <c r="G3268" s="569" t="s">
        <v>3265</v>
      </c>
      <c r="H3268" s="569">
        <v>2019</v>
      </c>
      <c r="I3268" s="569" t="s">
        <v>5645</v>
      </c>
      <c r="J3268" s="569" t="s">
        <v>5758</v>
      </c>
      <c r="K3268" s="569" t="s">
        <v>3377</v>
      </c>
      <c r="L3268" s="569">
        <v>3</v>
      </c>
      <c r="M3268" s="569">
        <v>0</v>
      </c>
      <c r="N3268" s="569" t="s">
        <v>157</v>
      </c>
      <c r="O3268" s="569">
        <v>1</v>
      </c>
      <c r="P3268" s="569" t="s">
        <v>3846</v>
      </c>
      <c r="Q3268" s="568">
        <v>11880</v>
      </c>
      <c r="R3268" s="569" t="s">
        <v>5699</v>
      </c>
      <c r="S3268" s="569">
        <v>8</v>
      </c>
      <c r="T3268" s="569" t="s">
        <v>5759</v>
      </c>
      <c r="U3268" s="569" t="s">
        <v>5760</v>
      </c>
      <c r="V3268" s="569">
        <v>140</v>
      </c>
      <c r="W3268" s="569">
        <v>26</v>
      </c>
      <c r="X3268" s="568">
        <v>9000</v>
      </c>
      <c r="Y3268" s="569">
        <v>15</v>
      </c>
      <c r="Z3268" s="581" t="s">
        <v>178</v>
      </c>
      <c r="AA3268" s="581" t="s">
        <v>178</v>
      </c>
      <c r="AB3268" s="585">
        <v>33940</v>
      </c>
      <c r="AC3268" s="585" t="s">
        <v>164</v>
      </c>
      <c r="AD3268" s="585">
        <v>27836</v>
      </c>
      <c r="AE3268" s="587">
        <v>6.25E-2</v>
      </c>
      <c r="AF3268" s="661" t="str">
        <f t="shared" si="353"/>
        <v>2019-LTK-RAM-RM25-103-04</v>
      </c>
      <c r="AG3268" s="661" t="str">
        <f>IF(AND($Y3268&gt;=32,(AI3268="I"),(Y3268&lt;&gt;"~"),(COUNTIF($AN$1:$AN3268,$AN3268)=1)),"TRUE","FALSE")</f>
        <v>FALSE</v>
      </c>
      <c r="AH3268" s="661" t="str">
        <f>IF(AND($Y3268&gt;=22, (AI3268&lt;&gt;"I"),(Y3268&lt;&gt;"~"),(COUNTIF($AN$1:$AN3268,$AN3268)=1)),"TRUE","FALSE")</f>
        <v>FALSE</v>
      </c>
      <c r="AI3268" s="661" t="str">
        <f t="shared" si="355"/>
        <v>II</v>
      </c>
      <c r="AJ3268" s="662" t="str">
        <f t="shared" si="356"/>
        <v>RM25-103</v>
      </c>
      <c r="AK3268" s="662" t="str">
        <f t="shared" si="357"/>
        <v>LTK</v>
      </c>
      <c r="AL3268" s="662" t="str">
        <f t="shared" si="358"/>
        <v>RAM</v>
      </c>
      <c r="AM3268" s="662" t="str">
        <f t="shared" si="354"/>
        <v>Ram 2500-Trademan Regular Cab-2WD-3-8'-11880-5.7L Hemi/3.73 axle ratio-8-DJ2L62-26A-140-26-Unleaded-Unleaded</v>
      </c>
      <c r="AN3268" s="662" t="str">
        <f t="shared" si="359"/>
        <v>2019-LTK-RAM-RM25-103</v>
      </c>
    </row>
    <row r="3269" spans="1:40" ht="30">
      <c r="A3269" s="570" t="s">
        <v>5761</v>
      </c>
      <c r="B3269" s="573" t="s">
        <v>5762</v>
      </c>
      <c r="C3269" s="573" t="s">
        <v>226</v>
      </c>
      <c r="D3269" s="578" t="s">
        <v>227</v>
      </c>
      <c r="E3269" s="573" t="s">
        <v>3374</v>
      </c>
      <c r="F3269" s="573" t="s">
        <v>196</v>
      </c>
      <c r="G3269" s="573" t="s">
        <v>3265</v>
      </c>
      <c r="H3269" s="573">
        <v>2019</v>
      </c>
      <c r="I3269" s="573" t="s">
        <v>5645</v>
      </c>
      <c r="J3269" s="573" t="s">
        <v>5758</v>
      </c>
      <c r="K3269" s="573" t="s">
        <v>3377</v>
      </c>
      <c r="L3269" s="573">
        <v>3</v>
      </c>
      <c r="M3269" s="573">
        <v>0</v>
      </c>
      <c r="N3269" s="573" t="s">
        <v>157</v>
      </c>
      <c r="O3269" s="573">
        <v>1</v>
      </c>
      <c r="P3269" s="573" t="s">
        <v>3846</v>
      </c>
      <c r="Q3269" s="571">
        <v>13320</v>
      </c>
      <c r="R3269" s="573" t="s">
        <v>5676</v>
      </c>
      <c r="S3269" s="573">
        <v>8</v>
      </c>
      <c r="T3269" s="573" t="s">
        <v>5759</v>
      </c>
      <c r="U3269" s="573" t="s">
        <v>931</v>
      </c>
      <c r="V3269" s="573">
        <v>140</v>
      </c>
      <c r="W3269" s="573">
        <v>32</v>
      </c>
      <c r="X3269" s="571">
        <v>9000</v>
      </c>
      <c r="Y3269" s="573">
        <v>15</v>
      </c>
      <c r="Z3269" s="579" t="s">
        <v>178</v>
      </c>
      <c r="AA3269" s="579" t="s">
        <v>178</v>
      </c>
      <c r="AB3269" s="584">
        <v>34440</v>
      </c>
      <c r="AC3269" s="584" t="s">
        <v>164</v>
      </c>
      <c r="AD3269" s="584">
        <v>28289</v>
      </c>
      <c r="AE3269" s="586">
        <v>6.25E-2</v>
      </c>
      <c r="AF3269" s="661" t="str">
        <f t="shared" si="353"/>
        <v>2019-LTK-RAM-RM25-104-04</v>
      </c>
      <c r="AG3269" s="661" t="str">
        <f>IF(AND($Y3269&gt;=32,(AI3269="I"),(Y3269&lt;&gt;"~"),(COUNTIF($AN$1:$AN3269,$AN3269)=1)),"TRUE","FALSE")</f>
        <v>FALSE</v>
      </c>
      <c r="AH3269" s="661" t="str">
        <f>IF(AND($Y3269&gt;=22, (AI3269&lt;&gt;"I"),(Y3269&lt;&gt;"~"),(COUNTIF($AN$1:$AN3269,$AN3269)=1)),"TRUE","FALSE")</f>
        <v>FALSE</v>
      </c>
      <c r="AI3269" s="661" t="str">
        <f t="shared" si="355"/>
        <v>II</v>
      </c>
      <c r="AJ3269" s="662" t="str">
        <f t="shared" si="356"/>
        <v>RM25-104</v>
      </c>
      <c r="AK3269" s="662" t="str">
        <f t="shared" si="357"/>
        <v>LTK</v>
      </c>
      <c r="AL3269" s="662" t="str">
        <f t="shared" si="358"/>
        <v>RAM</v>
      </c>
      <c r="AM3269" s="662" t="str">
        <f t="shared" si="354"/>
        <v>Ram 2500-Trademan Regular Cab-2WD-3-8'-13320-6.4L Hemi/3.73 axle ratio-8-DJ2L62-22A-140-32-Unleaded-Unleaded</v>
      </c>
      <c r="AN3269" s="662" t="str">
        <f t="shared" si="359"/>
        <v>2019-LTK-RAM-RM25-104</v>
      </c>
    </row>
    <row r="3270" spans="1:40" ht="30">
      <c r="A3270" s="570" t="s">
        <v>5763</v>
      </c>
      <c r="B3270" s="569" t="s">
        <v>5764</v>
      </c>
      <c r="C3270" s="569" t="s">
        <v>226</v>
      </c>
      <c r="D3270" s="580" t="s">
        <v>227</v>
      </c>
      <c r="E3270" s="569" t="s">
        <v>3374</v>
      </c>
      <c r="F3270" s="569" t="s">
        <v>196</v>
      </c>
      <c r="G3270" s="569" t="s">
        <v>3265</v>
      </c>
      <c r="H3270" s="569">
        <v>2019</v>
      </c>
      <c r="I3270" s="569" t="s">
        <v>5645</v>
      </c>
      <c r="J3270" s="569" t="s">
        <v>5758</v>
      </c>
      <c r="K3270" s="569" t="s">
        <v>3377</v>
      </c>
      <c r="L3270" s="569">
        <v>3</v>
      </c>
      <c r="M3270" s="569">
        <v>0</v>
      </c>
      <c r="N3270" s="569" t="s">
        <v>157</v>
      </c>
      <c r="O3270" s="569">
        <v>1</v>
      </c>
      <c r="P3270" s="569" t="s">
        <v>3846</v>
      </c>
      <c r="Q3270" s="568">
        <v>16320</v>
      </c>
      <c r="R3270" s="569" t="s">
        <v>5721</v>
      </c>
      <c r="S3270" s="569">
        <v>8</v>
      </c>
      <c r="T3270" s="569" t="s">
        <v>5759</v>
      </c>
      <c r="U3270" s="569" t="s">
        <v>931</v>
      </c>
      <c r="V3270" s="569">
        <v>140</v>
      </c>
      <c r="W3270" s="569">
        <v>26</v>
      </c>
      <c r="X3270" s="568">
        <v>10000</v>
      </c>
      <c r="Y3270" s="569">
        <v>15</v>
      </c>
      <c r="Z3270" s="581" t="s">
        <v>178</v>
      </c>
      <c r="AA3270" s="581" t="s">
        <v>178</v>
      </c>
      <c r="AB3270" s="585">
        <v>34585</v>
      </c>
      <c r="AC3270" s="585" t="s">
        <v>164</v>
      </c>
      <c r="AD3270" s="585">
        <v>28434</v>
      </c>
      <c r="AE3270" s="587">
        <v>6.25E-2</v>
      </c>
      <c r="AF3270" s="661" t="str">
        <f t="shared" si="353"/>
        <v>2019-LTK-RAM-RM25-105-04</v>
      </c>
      <c r="AG3270" s="661" t="str">
        <f>IF(AND($Y3270&gt;=32,(AI3270="I"),(Y3270&lt;&gt;"~"),(COUNTIF($AN$1:$AN3270,$AN3270)=1)),"TRUE","FALSE")</f>
        <v>FALSE</v>
      </c>
      <c r="AH3270" s="661" t="str">
        <f>IF(AND($Y3270&gt;=22, (AI3270&lt;&gt;"I"),(Y3270&lt;&gt;"~"),(COUNTIF($AN$1:$AN3270,$AN3270)=1)),"TRUE","FALSE")</f>
        <v>FALSE</v>
      </c>
      <c r="AI3270" s="661" t="str">
        <f t="shared" si="355"/>
        <v>II</v>
      </c>
      <c r="AJ3270" s="662" t="str">
        <f t="shared" si="356"/>
        <v>RM25-105</v>
      </c>
      <c r="AK3270" s="662" t="str">
        <f t="shared" si="357"/>
        <v>LTK</v>
      </c>
      <c r="AL3270" s="662" t="str">
        <f t="shared" si="358"/>
        <v>RAM</v>
      </c>
      <c r="AM3270" s="662" t="str">
        <f t="shared" si="354"/>
        <v>Ram 2500-Trademan Regular Cab-2WD-3-8'-16320-6.4L Hemi/4.10 axle ratio-8-DJ2L62-22A-140-26-Unleaded-Unleaded</v>
      </c>
      <c r="AN3270" s="662" t="str">
        <f t="shared" si="359"/>
        <v>2019-LTK-RAM-RM25-105</v>
      </c>
    </row>
    <row r="3271" spans="1:40" ht="30">
      <c r="A3271" s="570" t="s">
        <v>5765</v>
      </c>
      <c r="B3271" s="573" t="s">
        <v>5766</v>
      </c>
      <c r="C3271" s="573" t="s">
        <v>226</v>
      </c>
      <c r="D3271" s="578" t="s">
        <v>227</v>
      </c>
      <c r="E3271" s="573" t="s">
        <v>3374</v>
      </c>
      <c r="F3271" s="573" t="s">
        <v>196</v>
      </c>
      <c r="G3271" s="573" t="s">
        <v>3265</v>
      </c>
      <c r="H3271" s="573">
        <v>2019</v>
      </c>
      <c r="I3271" s="573" t="s">
        <v>5645</v>
      </c>
      <c r="J3271" s="573" t="s">
        <v>5758</v>
      </c>
      <c r="K3271" s="573" t="s">
        <v>3377</v>
      </c>
      <c r="L3271" s="573">
        <v>3</v>
      </c>
      <c r="M3271" s="573">
        <v>0</v>
      </c>
      <c r="N3271" s="573" t="s">
        <v>157</v>
      </c>
      <c r="O3271" s="573">
        <v>1</v>
      </c>
      <c r="P3271" s="573" t="s">
        <v>3846</v>
      </c>
      <c r="Q3271" s="571">
        <v>17980</v>
      </c>
      <c r="R3271" s="573" t="s">
        <v>5705</v>
      </c>
      <c r="S3271" s="573">
        <v>8</v>
      </c>
      <c r="T3271" s="573" t="s">
        <v>5759</v>
      </c>
      <c r="U3271" s="573" t="s">
        <v>5767</v>
      </c>
      <c r="V3271" s="573">
        <v>140</v>
      </c>
      <c r="W3271" s="573">
        <v>32</v>
      </c>
      <c r="X3271" s="571">
        <v>9000</v>
      </c>
      <c r="Y3271" s="573">
        <v>15</v>
      </c>
      <c r="Z3271" s="579" t="s">
        <v>728</v>
      </c>
      <c r="AA3271" s="579" t="s">
        <v>1523</v>
      </c>
      <c r="AB3271" s="584">
        <v>43140</v>
      </c>
      <c r="AC3271" s="584" t="s">
        <v>164</v>
      </c>
      <c r="AD3271" s="584">
        <v>36178</v>
      </c>
      <c r="AE3271" s="586">
        <v>6.25E-2</v>
      </c>
      <c r="AF3271" s="661" t="str">
        <f t="shared" si="353"/>
        <v>2019-LTK-RAM-RM25-106-04</v>
      </c>
      <c r="AG3271" s="661" t="str">
        <f>IF(AND($Y3271&gt;=32,(AI3271="I"),(Y3271&lt;&gt;"~"),(COUNTIF($AN$1:$AN3271,$AN3271)=1)),"TRUE","FALSE")</f>
        <v>FALSE</v>
      </c>
      <c r="AH3271" s="661" t="str">
        <f>IF(AND($Y3271&gt;=22, (AI3271&lt;&gt;"I"),(Y3271&lt;&gt;"~"),(COUNTIF($AN$1:$AN3271,$AN3271)=1)),"TRUE","FALSE")</f>
        <v>FALSE</v>
      </c>
      <c r="AI3271" s="661" t="str">
        <f t="shared" si="355"/>
        <v>II</v>
      </c>
      <c r="AJ3271" s="662" t="str">
        <f t="shared" si="356"/>
        <v>RM25-106</v>
      </c>
      <c r="AK3271" s="662" t="str">
        <f t="shared" si="357"/>
        <v>LTK</v>
      </c>
      <c r="AL3271" s="662" t="str">
        <f t="shared" si="358"/>
        <v>RAM</v>
      </c>
      <c r="AM3271" s="662" t="str">
        <f t="shared" si="354"/>
        <v>Ram 2500-Trademan Regular Cab-2WD-3-8'-17980-6.7L Diesel/3.42 axle ratio-8-DJ2L62-2FA-140-32-Diesel-BioDiesel</v>
      </c>
      <c r="AN3271" s="662" t="str">
        <f t="shared" si="359"/>
        <v>2019-LTK-RAM-RM25-106</v>
      </c>
    </row>
    <row r="3272" spans="1:40" ht="30">
      <c r="A3272" s="570" t="s">
        <v>5768</v>
      </c>
      <c r="B3272" s="569" t="s">
        <v>5769</v>
      </c>
      <c r="C3272" s="569" t="s">
        <v>240</v>
      </c>
      <c r="D3272" s="580" t="s">
        <v>241</v>
      </c>
      <c r="E3272" s="569" t="s">
        <v>3374</v>
      </c>
      <c r="F3272" s="569" t="s">
        <v>196</v>
      </c>
      <c r="G3272" s="569" t="s">
        <v>3265</v>
      </c>
      <c r="H3272" s="569">
        <v>2018</v>
      </c>
      <c r="I3272" s="569" t="s">
        <v>5645</v>
      </c>
      <c r="J3272" s="569" t="s">
        <v>5758</v>
      </c>
      <c r="K3272" s="569" t="s">
        <v>3377</v>
      </c>
      <c r="L3272" s="569">
        <v>3</v>
      </c>
      <c r="M3272" s="569">
        <v>0</v>
      </c>
      <c r="N3272" s="569" t="s">
        <v>157</v>
      </c>
      <c r="O3272" s="569">
        <v>1</v>
      </c>
      <c r="P3272" s="569" t="s">
        <v>3846</v>
      </c>
      <c r="Q3272" s="568">
        <v>17970</v>
      </c>
      <c r="R3272" s="569" t="s">
        <v>5401</v>
      </c>
      <c r="S3272" s="569">
        <v>8</v>
      </c>
      <c r="T3272" s="569" t="s">
        <v>5759</v>
      </c>
      <c r="U3272" s="569" t="s">
        <v>5760</v>
      </c>
      <c r="V3272" s="569">
        <v>140.5</v>
      </c>
      <c r="W3272" s="569">
        <v>26</v>
      </c>
      <c r="X3272" s="568">
        <v>9000</v>
      </c>
      <c r="Y3272" s="569">
        <v>15</v>
      </c>
      <c r="Z3272" s="581" t="s">
        <v>178</v>
      </c>
      <c r="AA3272" s="581" t="s">
        <v>178</v>
      </c>
      <c r="AB3272" s="585">
        <v>34035</v>
      </c>
      <c r="AC3272" s="585" t="s">
        <v>164</v>
      </c>
      <c r="AD3272" s="585">
        <v>22367</v>
      </c>
      <c r="AE3272" s="587">
        <v>0.05</v>
      </c>
      <c r="AF3272" s="661" t="str">
        <f t="shared" si="353"/>
        <v>2018-LTK-RAM-RM25-047-08</v>
      </c>
      <c r="AG3272" s="661" t="str">
        <f>IF(AND($Y3272&gt;=32,(AI3272="I"),(Y3272&lt;&gt;"~"),(COUNTIF($AN$1:$AN3272,$AN3272)=1)),"TRUE","FALSE")</f>
        <v>FALSE</v>
      </c>
      <c r="AH3272" s="661" t="str">
        <f>IF(AND($Y3272&gt;=22, (AI3272&lt;&gt;"I"),(Y3272&lt;&gt;"~"),(COUNTIF($AN$1:$AN3272,$AN3272)=1)),"TRUE","FALSE")</f>
        <v>FALSE</v>
      </c>
      <c r="AI3272" s="661" t="str">
        <f t="shared" si="355"/>
        <v>II</v>
      </c>
      <c r="AJ3272" s="662" t="str">
        <f t="shared" si="356"/>
        <v>RM25-047</v>
      </c>
      <c r="AK3272" s="662" t="str">
        <f t="shared" si="357"/>
        <v>LTK</v>
      </c>
      <c r="AL3272" s="662" t="str">
        <f t="shared" si="358"/>
        <v>RAM</v>
      </c>
      <c r="AM3272" s="662" t="str">
        <f t="shared" si="354"/>
        <v>Ram 2500-Trademan Regular Cab-2WD-3-8'-17970-5.7L Hemi-8-DJ2L62-26A-140.5-26-Unleaded-Unleaded</v>
      </c>
      <c r="AN3272" s="662" t="str">
        <f t="shared" si="359"/>
        <v>2018-LTK-RAM-RM25-047</v>
      </c>
    </row>
    <row r="3273" spans="1:40" ht="30">
      <c r="A3273" s="570" t="s">
        <v>5770</v>
      </c>
      <c r="B3273" s="573" t="s">
        <v>5771</v>
      </c>
      <c r="C3273" s="573" t="s">
        <v>240</v>
      </c>
      <c r="D3273" s="578" t="s">
        <v>241</v>
      </c>
      <c r="E3273" s="573" t="s">
        <v>3374</v>
      </c>
      <c r="F3273" s="573" t="s">
        <v>196</v>
      </c>
      <c r="G3273" s="573" t="s">
        <v>3265</v>
      </c>
      <c r="H3273" s="573">
        <v>2018</v>
      </c>
      <c r="I3273" s="573" t="s">
        <v>5645</v>
      </c>
      <c r="J3273" s="573" t="s">
        <v>5758</v>
      </c>
      <c r="K3273" s="573" t="s">
        <v>3377</v>
      </c>
      <c r="L3273" s="573">
        <v>3</v>
      </c>
      <c r="M3273" s="573">
        <v>0</v>
      </c>
      <c r="N3273" s="573" t="s">
        <v>157</v>
      </c>
      <c r="O3273" s="573">
        <v>1</v>
      </c>
      <c r="P3273" s="573" t="s">
        <v>3846</v>
      </c>
      <c r="Q3273" s="571">
        <v>17970</v>
      </c>
      <c r="R3273" s="573" t="s">
        <v>5646</v>
      </c>
      <c r="S3273" s="573">
        <v>8</v>
      </c>
      <c r="T3273" s="573" t="s">
        <v>5759</v>
      </c>
      <c r="U3273" s="573" t="s">
        <v>931</v>
      </c>
      <c r="V3273" s="573">
        <v>140.5</v>
      </c>
      <c r="W3273" s="573">
        <v>26</v>
      </c>
      <c r="X3273" s="571">
        <v>10000</v>
      </c>
      <c r="Y3273" s="573">
        <v>15</v>
      </c>
      <c r="Z3273" s="579" t="s">
        <v>178</v>
      </c>
      <c r="AA3273" s="579" t="s">
        <v>178</v>
      </c>
      <c r="AB3273" s="584">
        <v>34535</v>
      </c>
      <c r="AC3273" s="584" t="s">
        <v>164</v>
      </c>
      <c r="AD3273" s="584">
        <v>22825</v>
      </c>
      <c r="AE3273" s="586">
        <v>0.05</v>
      </c>
      <c r="AF3273" s="661" t="str">
        <f t="shared" si="353"/>
        <v>2018-LTK-RAM-RM25-048-08</v>
      </c>
      <c r="AG3273" s="661" t="str">
        <f>IF(AND($Y3273&gt;=32,(AI3273="I"),(Y3273&lt;&gt;"~"),(COUNTIF($AN$1:$AN3273,$AN3273)=1)),"TRUE","FALSE")</f>
        <v>FALSE</v>
      </c>
      <c r="AH3273" s="661" t="str">
        <f>IF(AND($Y3273&gt;=22, (AI3273&lt;&gt;"I"),(Y3273&lt;&gt;"~"),(COUNTIF($AN$1:$AN3273,$AN3273)=1)),"TRUE","FALSE")</f>
        <v>FALSE</v>
      </c>
      <c r="AI3273" s="661" t="str">
        <f t="shared" si="355"/>
        <v>II</v>
      </c>
      <c r="AJ3273" s="662" t="str">
        <f t="shared" si="356"/>
        <v>RM25-048</v>
      </c>
      <c r="AK3273" s="662" t="str">
        <f t="shared" si="357"/>
        <v>LTK</v>
      </c>
      <c r="AL3273" s="662" t="str">
        <f t="shared" si="358"/>
        <v>RAM</v>
      </c>
      <c r="AM3273" s="662" t="str">
        <f t="shared" si="354"/>
        <v>Ram 2500-Trademan Regular Cab-2WD-3-8'-17970-6.4L Mid Duty Hemi-8-DJ2L62-22A-140.5-26-Unleaded-Unleaded</v>
      </c>
      <c r="AN3273" s="662" t="str">
        <f t="shared" si="359"/>
        <v>2018-LTK-RAM-RM25-048</v>
      </c>
    </row>
    <row r="3274" spans="1:40" ht="30">
      <c r="A3274" s="570" t="s">
        <v>5772</v>
      </c>
      <c r="B3274" s="569" t="s">
        <v>5773</v>
      </c>
      <c r="C3274" s="569" t="s">
        <v>240</v>
      </c>
      <c r="D3274" s="580" t="s">
        <v>241</v>
      </c>
      <c r="E3274" s="569" t="s">
        <v>3374</v>
      </c>
      <c r="F3274" s="569" t="s">
        <v>196</v>
      </c>
      <c r="G3274" s="569" t="s">
        <v>3265</v>
      </c>
      <c r="H3274" s="569">
        <v>2018</v>
      </c>
      <c r="I3274" s="569" t="s">
        <v>5645</v>
      </c>
      <c r="J3274" s="569" t="s">
        <v>5758</v>
      </c>
      <c r="K3274" s="569" t="s">
        <v>3377</v>
      </c>
      <c r="L3274" s="569">
        <v>3</v>
      </c>
      <c r="M3274" s="569">
        <v>0</v>
      </c>
      <c r="N3274" s="569" t="s">
        <v>157</v>
      </c>
      <c r="O3274" s="569">
        <v>1</v>
      </c>
      <c r="P3274" s="569" t="s">
        <v>3846</v>
      </c>
      <c r="Q3274" s="568">
        <v>17970</v>
      </c>
      <c r="R3274" s="569" t="s">
        <v>4231</v>
      </c>
      <c r="S3274" s="569">
        <v>8</v>
      </c>
      <c r="T3274" s="569" t="s">
        <v>5759</v>
      </c>
      <c r="U3274" s="569" t="s">
        <v>5767</v>
      </c>
      <c r="V3274" s="569">
        <v>140.5</v>
      </c>
      <c r="W3274" s="569">
        <v>26</v>
      </c>
      <c r="X3274" s="568">
        <v>10000</v>
      </c>
      <c r="Y3274" s="569">
        <v>15</v>
      </c>
      <c r="Z3274" s="581" t="s">
        <v>728</v>
      </c>
      <c r="AA3274" s="581" t="s">
        <v>1523</v>
      </c>
      <c r="AB3274" s="585">
        <v>43235</v>
      </c>
      <c r="AC3274" s="585" t="s">
        <v>164</v>
      </c>
      <c r="AD3274" s="585">
        <v>30802</v>
      </c>
      <c r="AE3274" s="587">
        <v>0.05</v>
      </c>
      <c r="AF3274" s="661" t="str">
        <f t="shared" si="353"/>
        <v>2018-LTK-RAM-RM25-049-08</v>
      </c>
      <c r="AG3274" s="661" t="str">
        <f>IF(AND($Y3274&gt;=32,(AI3274="I"),(Y3274&lt;&gt;"~"),(COUNTIF($AN$1:$AN3274,$AN3274)=1)),"TRUE","FALSE")</f>
        <v>FALSE</v>
      </c>
      <c r="AH3274" s="661" t="str">
        <f>IF(AND($Y3274&gt;=22, (AI3274&lt;&gt;"I"),(Y3274&lt;&gt;"~"),(COUNTIF($AN$1:$AN3274,$AN3274)=1)),"TRUE","FALSE")</f>
        <v>FALSE</v>
      </c>
      <c r="AI3274" s="661" t="str">
        <f t="shared" si="355"/>
        <v>II</v>
      </c>
      <c r="AJ3274" s="662" t="str">
        <f t="shared" si="356"/>
        <v>RM25-049</v>
      </c>
      <c r="AK3274" s="662" t="str">
        <f t="shared" si="357"/>
        <v>LTK</v>
      </c>
      <c r="AL3274" s="662" t="str">
        <f t="shared" si="358"/>
        <v>RAM</v>
      </c>
      <c r="AM3274" s="662" t="str">
        <f t="shared" si="354"/>
        <v>Ram 2500-Trademan Regular Cab-2WD-3-8'-17970-6.7L Diesel-8-DJ2L62-2FA-140.5-26-Diesel-BioDiesel</v>
      </c>
      <c r="AN3274" s="662" t="str">
        <f t="shared" si="359"/>
        <v>2018-LTK-RAM-RM25-049</v>
      </c>
    </row>
    <row r="3275" spans="1:40" ht="30">
      <c r="A3275" s="570" t="s">
        <v>5774</v>
      </c>
      <c r="B3275" s="573" t="s">
        <v>5775</v>
      </c>
      <c r="C3275" s="573" t="s">
        <v>226</v>
      </c>
      <c r="D3275" s="578" t="s">
        <v>227</v>
      </c>
      <c r="E3275" s="573" t="s">
        <v>3374</v>
      </c>
      <c r="F3275" s="573" t="s">
        <v>196</v>
      </c>
      <c r="G3275" s="573" t="s">
        <v>3265</v>
      </c>
      <c r="H3275" s="573">
        <v>2019</v>
      </c>
      <c r="I3275" s="573" t="s">
        <v>5645</v>
      </c>
      <c r="J3275" s="573" t="s">
        <v>5758</v>
      </c>
      <c r="K3275" s="573" t="s">
        <v>752</v>
      </c>
      <c r="L3275" s="573">
        <v>3</v>
      </c>
      <c r="M3275" s="573">
        <v>0</v>
      </c>
      <c r="N3275" s="573" t="s">
        <v>157</v>
      </c>
      <c r="O3275" s="573">
        <v>1</v>
      </c>
      <c r="P3275" s="573" t="s">
        <v>3846</v>
      </c>
      <c r="Q3275" s="571">
        <v>11520</v>
      </c>
      <c r="R3275" s="573" t="s">
        <v>5699</v>
      </c>
      <c r="S3275" s="573">
        <v>8</v>
      </c>
      <c r="T3275" s="573" t="s">
        <v>5776</v>
      </c>
      <c r="U3275" s="573" t="s">
        <v>5760</v>
      </c>
      <c r="V3275" s="573">
        <v>140</v>
      </c>
      <c r="W3275" s="573">
        <v>32</v>
      </c>
      <c r="X3275" s="571">
        <v>9000</v>
      </c>
      <c r="Y3275" s="573">
        <v>14</v>
      </c>
      <c r="Z3275" s="579" t="s">
        <v>178</v>
      </c>
      <c r="AA3275" s="579" t="s">
        <v>178</v>
      </c>
      <c r="AB3275" s="584">
        <v>36740</v>
      </c>
      <c r="AC3275" s="584" t="s">
        <v>164</v>
      </c>
      <c r="AD3275" s="584">
        <v>30496</v>
      </c>
      <c r="AE3275" s="586">
        <v>6.25E-2</v>
      </c>
      <c r="AF3275" s="661" t="str">
        <f t="shared" si="353"/>
        <v>2019-LTK-RAM-RM25-107-04</v>
      </c>
      <c r="AG3275" s="661" t="str">
        <f>IF(AND($Y3275&gt;=32,(AI3275="I"),(Y3275&lt;&gt;"~"),(COUNTIF($AN$1:$AN3275,$AN3275)=1)),"TRUE","FALSE")</f>
        <v>FALSE</v>
      </c>
      <c r="AH3275" s="661" t="str">
        <f>IF(AND($Y3275&gt;=22, (AI3275&lt;&gt;"I"),(Y3275&lt;&gt;"~"),(COUNTIF($AN$1:$AN3275,$AN3275)=1)),"TRUE","FALSE")</f>
        <v>FALSE</v>
      </c>
      <c r="AI3275" s="661" t="str">
        <f t="shared" si="355"/>
        <v>II</v>
      </c>
      <c r="AJ3275" s="662" t="str">
        <f t="shared" si="356"/>
        <v>RM25-107</v>
      </c>
      <c r="AK3275" s="662" t="str">
        <f t="shared" si="357"/>
        <v>LTK</v>
      </c>
      <c r="AL3275" s="662" t="str">
        <f t="shared" si="358"/>
        <v>RAM</v>
      </c>
      <c r="AM3275" s="662" t="str">
        <f t="shared" si="354"/>
        <v>Ram 2500-Trademan Regular Cab-4WD-3-8'-11520-5.7L Hemi/3.73 axle ratio-8-DJ7L62-26A-140-32-Unleaded-Unleaded</v>
      </c>
      <c r="AN3275" s="662" t="str">
        <f t="shared" si="359"/>
        <v>2019-LTK-RAM-RM25-107</v>
      </c>
    </row>
    <row r="3276" spans="1:40" ht="30">
      <c r="A3276" s="570" t="s">
        <v>5777</v>
      </c>
      <c r="B3276" s="569" t="s">
        <v>5778</v>
      </c>
      <c r="C3276" s="569" t="s">
        <v>226</v>
      </c>
      <c r="D3276" s="580" t="s">
        <v>227</v>
      </c>
      <c r="E3276" s="569" t="s">
        <v>3374</v>
      </c>
      <c r="F3276" s="569" t="s">
        <v>196</v>
      </c>
      <c r="G3276" s="569" t="s">
        <v>3265</v>
      </c>
      <c r="H3276" s="569">
        <v>2019</v>
      </c>
      <c r="I3276" s="569" t="s">
        <v>5645</v>
      </c>
      <c r="J3276" s="569" t="s">
        <v>5758</v>
      </c>
      <c r="K3276" s="569" t="s">
        <v>752</v>
      </c>
      <c r="L3276" s="569">
        <v>3</v>
      </c>
      <c r="M3276" s="569">
        <v>0</v>
      </c>
      <c r="N3276" s="569" t="s">
        <v>157</v>
      </c>
      <c r="O3276" s="569">
        <v>1</v>
      </c>
      <c r="P3276" s="569" t="s">
        <v>3846</v>
      </c>
      <c r="Q3276" s="568">
        <v>12940</v>
      </c>
      <c r="R3276" s="569" t="s">
        <v>5676</v>
      </c>
      <c r="S3276" s="569">
        <v>8</v>
      </c>
      <c r="T3276" s="569" t="s">
        <v>5776</v>
      </c>
      <c r="U3276" s="569" t="s">
        <v>931</v>
      </c>
      <c r="V3276" s="569">
        <v>140</v>
      </c>
      <c r="W3276" s="569">
        <v>32</v>
      </c>
      <c r="X3276" s="568">
        <v>10000</v>
      </c>
      <c r="Y3276" s="569">
        <v>14</v>
      </c>
      <c r="Z3276" s="581" t="s">
        <v>178</v>
      </c>
      <c r="AA3276" s="581" t="s">
        <v>178</v>
      </c>
      <c r="AB3276" s="585">
        <v>37240</v>
      </c>
      <c r="AC3276" s="585" t="s">
        <v>164</v>
      </c>
      <c r="AD3276" s="585">
        <v>30949</v>
      </c>
      <c r="AE3276" s="587">
        <v>6.25E-2</v>
      </c>
      <c r="AF3276" s="661" t="str">
        <f t="shared" ref="AF3276:AF3339" si="360">A3276</f>
        <v>2019-LTK-RAM-RM25-108-04</v>
      </c>
      <c r="AG3276" s="661" t="str">
        <f>IF(AND($Y3276&gt;=32,(AI3276="I"),(Y3276&lt;&gt;"~"),(COUNTIF($AN$1:$AN3276,$AN3276)=1)),"TRUE","FALSE")</f>
        <v>FALSE</v>
      </c>
      <c r="AH3276" s="661" t="str">
        <f>IF(AND($Y3276&gt;=22, (AI3276&lt;&gt;"I"),(Y3276&lt;&gt;"~"),(COUNTIF($AN$1:$AN3276,$AN3276)=1)),"TRUE","FALSE")</f>
        <v>FALSE</v>
      </c>
      <c r="AI3276" s="661" t="str">
        <f t="shared" si="355"/>
        <v>II</v>
      </c>
      <c r="AJ3276" s="662" t="str">
        <f t="shared" si="356"/>
        <v>RM25-108</v>
      </c>
      <c r="AK3276" s="662" t="str">
        <f t="shared" si="357"/>
        <v>LTK</v>
      </c>
      <c r="AL3276" s="662" t="str">
        <f t="shared" si="358"/>
        <v>RAM</v>
      </c>
      <c r="AM3276" s="662" t="str">
        <f t="shared" si="354"/>
        <v>Ram 2500-Trademan Regular Cab-4WD-3-8'-12940-6.4L Hemi/3.73 axle ratio-8-DJ7L62-22A-140-32-Unleaded-Unleaded</v>
      </c>
      <c r="AN3276" s="662" t="str">
        <f t="shared" si="359"/>
        <v>2019-LTK-RAM-RM25-108</v>
      </c>
    </row>
    <row r="3277" spans="1:40" ht="30">
      <c r="A3277" s="570" t="s">
        <v>5779</v>
      </c>
      <c r="B3277" s="573" t="s">
        <v>5780</v>
      </c>
      <c r="C3277" s="573" t="s">
        <v>226</v>
      </c>
      <c r="D3277" s="578" t="s">
        <v>227</v>
      </c>
      <c r="E3277" s="573" t="s">
        <v>3374</v>
      </c>
      <c r="F3277" s="573" t="s">
        <v>196</v>
      </c>
      <c r="G3277" s="573" t="s">
        <v>3265</v>
      </c>
      <c r="H3277" s="573">
        <v>2019</v>
      </c>
      <c r="I3277" s="573" t="s">
        <v>5645</v>
      </c>
      <c r="J3277" s="573" t="s">
        <v>5758</v>
      </c>
      <c r="K3277" s="573" t="s">
        <v>752</v>
      </c>
      <c r="L3277" s="573">
        <v>3</v>
      </c>
      <c r="M3277" s="573">
        <v>0</v>
      </c>
      <c r="N3277" s="573" t="s">
        <v>157</v>
      </c>
      <c r="O3277" s="573">
        <v>1</v>
      </c>
      <c r="P3277" s="573" t="s">
        <v>3846</v>
      </c>
      <c r="Q3277" s="571">
        <v>15940</v>
      </c>
      <c r="R3277" s="573" t="s">
        <v>5721</v>
      </c>
      <c r="S3277" s="573">
        <v>8</v>
      </c>
      <c r="T3277" s="573" t="s">
        <v>5776</v>
      </c>
      <c r="U3277" s="573" t="s">
        <v>931</v>
      </c>
      <c r="V3277" s="573">
        <v>140</v>
      </c>
      <c r="W3277" s="573">
        <v>32</v>
      </c>
      <c r="X3277" s="571">
        <v>9000</v>
      </c>
      <c r="Y3277" s="573">
        <v>14</v>
      </c>
      <c r="Z3277" s="579" t="s">
        <v>178</v>
      </c>
      <c r="AA3277" s="579" t="s">
        <v>178</v>
      </c>
      <c r="AB3277" s="584">
        <v>37385</v>
      </c>
      <c r="AC3277" s="584" t="s">
        <v>164</v>
      </c>
      <c r="AD3277" s="584">
        <v>31094</v>
      </c>
      <c r="AE3277" s="586">
        <v>6.25E-2</v>
      </c>
      <c r="AF3277" s="661" t="str">
        <f t="shared" si="360"/>
        <v>2019-LTK-RAM-RM25-109-04</v>
      </c>
      <c r="AG3277" s="661" t="str">
        <f>IF(AND($Y3277&gt;=32,(AI3277="I"),(Y3277&lt;&gt;"~"),(COUNTIF($AN$1:$AN3277,$AN3277)=1)),"TRUE","FALSE")</f>
        <v>FALSE</v>
      </c>
      <c r="AH3277" s="661" t="str">
        <f>IF(AND($Y3277&gt;=22, (AI3277&lt;&gt;"I"),(Y3277&lt;&gt;"~"),(COUNTIF($AN$1:$AN3277,$AN3277)=1)),"TRUE","FALSE")</f>
        <v>FALSE</v>
      </c>
      <c r="AI3277" s="661" t="str">
        <f t="shared" si="355"/>
        <v>II</v>
      </c>
      <c r="AJ3277" s="662" t="str">
        <f t="shared" si="356"/>
        <v>RM25-109</v>
      </c>
      <c r="AK3277" s="662" t="str">
        <f t="shared" si="357"/>
        <v>LTK</v>
      </c>
      <c r="AL3277" s="662" t="str">
        <f t="shared" si="358"/>
        <v>RAM</v>
      </c>
      <c r="AM3277" s="662" t="str">
        <f t="shared" si="354"/>
        <v>Ram 2500-Trademan Regular Cab-4WD-3-8'-15940-6.4L Hemi/4.10 axle ratio-8-DJ7L62-22A-140-32-Unleaded-Unleaded</v>
      </c>
      <c r="AN3277" s="662" t="str">
        <f t="shared" si="359"/>
        <v>2019-LTK-RAM-RM25-109</v>
      </c>
    </row>
    <row r="3278" spans="1:40" ht="30">
      <c r="A3278" s="570" t="s">
        <v>5781</v>
      </c>
      <c r="B3278" s="569" t="s">
        <v>5782</v>
      </c>
      <c r="C3278" s="569" t="s">
        <v>226</v>
      </c>
      <c r="D3278" s="580" t="s">
        <v>227</v>
      </c>
      <c r="E3278" s="569" t="s">
        <v>3374</v>
      </c>
      <c r="F3278" s="569" t="s">
        <v>196</v>
      </c>
      <c r="G3278" s="569" t="s">
        <v>3265</v>
      </c>
      <c r="H3278" s="569">
        <v>2019</v>
      </c>
      <c r="I3278" s="569" t="s">
        <v>5645</v>
      </c>
      <c r="J3278" s="569" t="s">
        <v>5758</v>
      </c>
      <c r="K3278" s="569" t="s">
        <v>752</v>
      </c>
      <c r="L3278" s="569">
        <v>3</v>
      </c>
      <c r="M3278" s="569">
        <v>0</v>
      </c>
      <c r="N3278" s="569" t="s">
        <v>157</v>
      </c>
      <c r="O3278" s="569">
        <v>1</v>
      </c>
      <c r="P3278" s="569" t="s">
        <v>3846</v>
      </c>
      <c r="Q3278" s="568">
        <v>17500</v>
      </c>
      <c r="R3278" s="569" t="s">
        <v>5705</v>
      </c>
      <c r="S3278" s="569">
        <v>8</v>
      </c>
      <c r="T3278" s="569" t="s">
        <v>5776</v>
      </c>
      <c r="U3278" s="569" t="s">
        <v>5767</v>
      </c>
      <c r="V3278" s="569">
        <v>140</v>
      </c>
      <c r="W3278" s="569">
        <v>32</v>
      </c>
      <c r="X3278" s="568">
        <v>10000</v>
      </c>
      <c r="Y3278" s="569">
        <v>14</v>
      </c>
      <c r="Z3278" s="581" t="s">
        <v>728</v>
      </c>
      <c r="AA3278" s="581" t="s">
        <v>1523</v>
      </c>
      <c r="AB3278" s="585">
        <v>45940</v>
      </c>
      <c r="AC3278" s="585" t="s">
        <v>164</v>
      </c>
      <c r="AD3278" s="585">
        <v>38127</v>
      </c>
      <c r="AE3278" s="587">
        <v>6.25E-2</v>
      </c>
      <c r="AF3278" s="661" t="str">
        <f t="shared" si="360"/>
        <v>2019-LTK-RAM-RM25-110-04</v>
      </c>
      <c r="AG3278" s="661" t="str">
        <f>IF(AND($Y3278&gt;=32,(AI3278="I"),(Y3278&lt;&gt;"~"),(COUNTIF($AN$1:$AN3278,$AN3278)=1)),"TRUE","FALSE")</f>
        <v>FALSE</v>
      </c>
      <c r="AH3278" s="661" t="str">
        <f>IF(AND($Y3278&gt;=22, (AI3278&lt;&gt;"I"),(Y3278&lt;&gt;"~"),(COUNTIF($AN$1:$AN3278,$AN3278)=1)),"TRUE","FALSE")</f>
        <v>FALSE</v>
      </c>
      <c r="AI3278" s="661" t="str">
        <f t="shared" si="355"/>
        <v>II</v>
      </c>
      <c r="AJ3278" s="662" t="str">
        <f t="shared" si="356"/>
        <v>RM25-110</v>
      </c>
      <c r="AK3278" s="662" t="str">
        <f t="shared" si="357"/>
        <v>LTK</v>
      </c>
      <c r="AL3278" s="662" t="str">
        <f t="shared" si="358"/>
        <v>RAM</v>
      </c>
      <c r="AM3278" s="662" t="str">
        <f t="shared" si="354"/>
        <v>Ram 2500-Trademan Regular Cab-4WD-3-8'-17500-6.7L Diesel/3.42 axle ratio-8-DJ7L62-2FA-140-32-Diesel-BioDiesel</v>
      </c>
      <c r="AN3278" s="662" t="str">
        <f t="shared" si="359"/>
        <v>2019-LTK-RAM-RM25-110</v>
      </c>
    </row>
    <row r="3279" spans="1:40" ht="30">
      <c r="A3279" s="570" t="s">
        <v>5783</v>
      </c>
      <c r="B3279" s="573" t="s">
        <v>5784</v>
      </c>
      <c r="C3279" s="573" t="s">
        <v>240</v>
      </c>
      <c r="D3279" s="578" t="s">
        <v>241</v>
      </c>
      <c r="E3279" s="573" t="s">
        <v>3374</v>
      </c>
      <c r="F3279" s="573" t="s">
        <v>196</v>
      </c>
      <c r="G3279" s="573" t="s">
        <v>3265</v>
      </c>
      <c r="H3279" s="573">
        <v>2018</v>
      </c>
      <c r="I3279" s="573" t="s">
        <v>5645</v>
      </c>
      <c r="J3279" s="573" t="s">
        <v>5758</v>
      </c>
      <c r="K3279" s="573" t="s">
        <v>752</v>
      </c>
      <c r="L3279" s="573">
        <v>3</v>
      </c>
      <c r="M3279" s="573">
        <v>0</v>
      </c>
      <c r="N3279" s="573" t="s">
        <v>157</v>
      </c>
      <c r="O3279" s="573">
        <v>1</v>
      </c>
      <c r="P3279" s="573" t="s">
        <v>3846</v>
      </c>
      <c r="Q3279" s="571">
        <v>17550</v>
      </c>
      <c r="R3279" s="573" t="s">
        <v>5401</v>
      </c>
      <c r="S3279" s="573">
        <v>8</v>
      </c>
      <c r="T3279" s="573" t="s">
        <v>5776</v>
      </c>
      <c r="U3279" s="573" t="s">
        <v>5760</v>
      </c>
      <c r="V3279" s="573">
        <v>140.5</v>
      </c>
      <c r="W3279" s="573">
        <v>32</v>
      </c>
      <c r="X3279" s="571">
        <v>9000</v>
      </c>
      <c r="Y3279" s="573">
        <v>14</v>
      </c>
      <c r="Z3279" s="579" t="s">
        <v>178</v>
      </c>
      <c r="AA3279" s="579" t="s">
        <v>178</v>
      </c>
      <c r="AB3279" s="584">
        <v>36835</v>
      </c>
      <c r="AC3279" s="584" t="s">
        <v>164</v>
      </c>
      <c r="AD3279" s="584">
        <v>24444</v>
      </c>
      <c r="AE3279" s="586">
        <v>0.05</v>
      </c>
      <c r="AF3279" s="661" t="str">
        <f t="shared" si="360"/>
        <v>2018-LTK-RAM-RM25-053-08</v>
      </c>
      <c r="AG3279" s="661" t="str">
        <f>IF(AND($Y3279&gt;=32,(AI3279="I"),(Y3279&lt;&gt;"~"),(COUNTIF($AN$1:$AN3279,$AN3279)=1)),"TRUE","FALSE")</f>
        <v>FALSE</v>
      </c>
      <c r="AH3279" s="661" t="str">
        <f>IF(AND($Y3279&gt;=22, (AI3279&lt;&gt;"I"),(Y3279&lt;&gt;"~"),(COUNTIF($AN$1:$AN3279,$AN3279)=1)),"TRUE","FALSE")</f>
        <v>FALSE</v>
      </c>
      <c r="AI3279" s="661" t="str">
        <f t="shared" si="355"/>
        <v>II</v>
      </c>
      <c r="AJ3279" s="662" t="str">
        <f t="shared" si="356"/>
        <v>RM25-053</v>
      </c>
      <c r="AK3279" s="662" t="str">
        <f t="shared" si="357"/>
        <v>LTK</v>
      </c>
      <c r="AL3279" s="662" t="str">
        <f t="shared" si="358"/>
        <v>RAM</v>
      </c>
      <c r="AM3279" s="662" t="str">
        <f t="shared" si="354"/>
        <v>Ram 2500-Trademan Regular Cab-4WD-3-8'-17550-5.7L Hemi-8-DJ7L62-26A-140.5-32-Unleaded-Unleaded</v>
      </c>
      <c r="AN3279" s="662" t="str">
        <f t="shared" si="359"/>
        <v>2018-LTK-RAM-RM25-053</v>
      </c>
    </row>
    <row r="3280" spans="1:40" ht="30">
      <c r="A3280" s="570" t="s">
        <v>5785</v>
      </c>
      <c r="B3280" s="569" t="s">
        <v>5786</v>
      </c>
      <c r="C3280" s="569" t="s">
        <v>240</v>
      </c>
      <c r="D3280" s="580" t="s">
        <v>241</v>
      </c>
      <c r="E3280" s="569" t="s">
        <v>3374</v>
      </c>
      <c r="F3280" s="569" t="s">
        <v>196</v>
      </c>
      <c r="G3280" s="569" t="s">
        <v>3265</v>
      </c>
      <c r="H3280" s="569">
        <v>2018</v>
      </c>
      <c r="I3280" s="569" t="s">
        <v>5645</v>
      </c>
      <c r="J3280" s="569" t="s">
        <v>5758</v>
      </c>
      <c r="K3280" s="569" t="s">
        <v>752</v>
      </c>
      <c r="L3280" s="569">
        <v>3</v>
      </c>
      <c r="M3280" s="569">
        <v>0</v>
      </c>
      <c r="N3280" s="569" t="s">
        <v>157</v>
      </c>
      <c r="O3280" s="569">
        <v>1</v>
      </c>
      <c r="P3280" s="569" t="s">
        <v>3846</v>
      </c>
      <c r="Q3280" s="568">
        <v>17550</v>
      </c>
      <c r="R3280" s="569" t="s">
        <v>5646</v>
      </c>
      <c r="S3280" s="569">
        <v>8</v>
      </c>
      <c r="T3280" s="569" t="s">
        <v>5776</v>
      </c>
      <c r="U3280" s="569" t="s">
        <v>931</v>
      </c>
      <c r="V3280" s="569">
        <v>140.5</v>
      </c>
      <c r="W3280" s="569">
        <v>32</v>
      </c>
      <c r="X3280" s="568">
        <v>10000</v>
      </c>
      <c r="Y3280" s="569">
        <v>14</v>
      </c>
      <c r="Z3280" s="581" t="s">
        <v>178</v>
      </c>
      <c r="AA3280" s="581" t="s">
        <v>178</v>
      </c>
      <c r="AB3280" s="585">
        <v>37335</v>
      </c>
      <c r="AC3280" s="585" t="s">
        <v>164</v>
      </c>
      <c r="AD3280" s="585">
        <v>24902</v>
      </c>
      <c r="AE3280" s="587">
        <v>0.05</v>
      </c>
      <c r="AF3280" s="661" t="str">
        <f t="shared" si="360"/>
        <v>2018-LTK-RAM-RM25-054-08</v>
      </c>
      <c r="AG3280" s="661" t="str">
        <f>IF(AND($Y3280&gt;=32,(AI3280="I"),(Y3280&lt;&gt;"~"),(COUNTIF($AN$1:$AN3280,$AN3280)=1)),"TRUE","FALSE")</f>
        <v>FALSE</v>
      </c>
      <c r="AH3280" s="661" t="str">
        <f>IF(AND($Y3280&gt;=22, (AI3280&lt;&gt;"I"),(Y3280&lt;&gt;"~"),(COUNTIF($AN$1:$AN3280,$AN3280)=1)),"TRUE","FALSE")</f>
        <v>FALSE</v>
      </c>
      <c r="AI3280" s="661" t="str">
        <f t="shared" si="355"/>
        <v>II</v>
      </c>
      <c r="AJ3280" s="662" t="str">
        <f t="shared" si="356"/>
        <v>RM25-054</v>
      </c>
      <c r="AK3280" s="662" t="str">
        <f t="shared" si="357"/>
        <v>LTK</v>
      </c>
      <c r="AL3280" s="662" t="str">
        <f t="shared" si="358"/>
        <v>RAM</v>
      </c>
      <c r="AM3280" s="662" t="str">
        <f t="shared" si="354"/>
        <v>Ram 2500-Trademan Regular Cab-4WD-3-8'-17550-6.4L Mid Duty Hemi-8-DJ7L62-22A-140.5-32-Unleaded-Unleaded</v>
      </c>
      <c r="AN3280" s="662" t="str">
        <f t="shared" si="359"/>
        <v>2018-LTK-RAM-RM25-054</v>
      </c>
    </row>
    <row r="3281" spans="1:40" ht="30">
      <c r="A3281" s="570" t="s">
        <v>5787</v>
      </c>
      <c r="B3281" s="573" t="s">
        <v>5788</v>
      </c>
      <c r="C3281" s="573" t="s">
        <v>240</v>
      </c>
      <c r="D3281" s="578" t="s">
        <v>241</v>
      </c>
      <c r="E3281" s="573" t="s">
        <v>3374</v>
      </c>
      <c r="F3281" s="573" t="s">
        <v>196</v>
      </c>
      <c r="G3281" s="573" t="s">
        <v>3265</v>
      </c>
      <c r="H3281" s="573">
        <v>2018</v>
      </c>
      <c r="I3281" s="573" t="s">
        <v>5645</v>
      </c>
      <c r="J3281" s="573" t="s">
        <v>5758</v>
      </c>
      <c r="K3281" s="573" t="s">
        <v>752</v>
      </c>
      <c r="L3281" s="573">
        <v>3</v>
      </c>
      <c r="M3281" s="573">
        <v>0</v>
      </c>
      <c r="N3281" s="573" t="s">
        <v>157</v>
      </c>
      <c r="O3281" s="573">
        <v>1</v>
      </c>
      <c r="P3281" s="573" t="s">
        <v>3846</v>
      </c>
      <c r="Q3281" s="571">
        <v>17550</v>
      </c>
      <c r="R3281" s="573" t="s">
        <v>4231</v>
      </c>
      <c r="S3281" s="573">
        <v>8</v>
      </c>
      <c r="T3281" s="573" t="s">
        <v>5776</v>
      </c>
      <c r="U3281" s="573" t="s">
        <v>5767</v>
      </c>
      <c r="V3281" s="573">
        <v>140.5</v>
      </c>
      <c r="W3281" s="573">
        <v>32</v>
      </c>
      <c r="X3281" s="571">
        <v>10000</v>
      </c>
      <c r="Y3281" s="573">
        <v>14</v>
      </c>
      <c r="Z3281" s="579" t="s">
        <v>728</v>
      </c>
      <c r="AA3281" s="579" t="s">
        <v>1523</v>
      </c>
      <c r="AB3281" s="584">
        <v>46035</v>
      </c>
      <c r="AC3281" s="584" t="s">
        <v>164</v>
      </c>
      <c r="AD3281" s="584">
        <v>32369</v>
      </c>
      <c r="AE3281" s="586">
        <v>0.05</v>
      </c>
      <c r="AF3281" s="661" t="str">
        <f t="shared" si="360"/>
        <v>2018-LTK-RAM-RM25-055-08</v>
      </c>
      <c r="AG3281" s="661" t="str">
        <f>IF(AND($Y3281&gt;=32,(AI3281="I"),(Y3281&lt;&gt;"~"),(COUNTIF($AN$1:$AN3281,$AN3281)=1)),"TRUE","FALSE")</f>
        <v>FALSE</v>
      </c>
      <c r="AH3281" s="661" t="str">
        <f>IF(AND($Y3281&gt;=22, (AI3281&lt;&gt;"I"),(Y3281&lt;&gt;"~"),(COUNTIF($AN$1:$AN3281,$AN3281)=1)),"TRUE","FALSE")</f>
        <v>FALSE</v>
      </c>
      <c r="AI3281" s="661" t="str">
        <f t="shared" si="355"/>
        <v>II</v>
      </c>
      <c r="AJ3281" s="662" t="str">
        <f t="shared" si="356"/>
        <v>RM25-055</v>
      </c>
      <c r="AK3281" s="662" t="str">
        <f t="shared" si="357"/>
        <v>LTK</v>
      </c>
      <c r="AL3281" s="662" t="str">
        <f t="shared" si="358"/>
        <v>RAM</v>
      </c>
      <c r="AM3281" s="662" t="str">
        <f t="shared" si="354"/>
        <v>Ram 2500-Trademan Regular Cab-4WD-3-8'-17550-6.7L Diesel-8-DJ7L62-2FA-140.5-32-Diesel-BioDiesel</v>
      </c>
      <c r="AN3281" s="662" t="str">
        <f t="shared" si="359"/>
        <v>2018-LTK-RAM-RM25-055</v>
      </c>
    </row>
    <row r="3282" spans="1:40" ht="15">
      <c r="A3282" s="570" t="s">
        <v>5789</v>
      </c>
      <c r="B3282" s="569" t="s">
        <v>5790</v>
      </c>
      <c r="C3282" s="569" t="s">
        <v>226</v>
      </c>
      <c r="D3282" s="580" t="s">
        <v>227</v>
      </c>
      <c r="E3282" s="569" t="s">
        <v>3374</v>
      </c>
      <c r="F3282" s="569" t="s">
        <v>196</v>
      </c>
      <c r="G3282" s="569" t="s">
        <v>3265</v>
      </c>
      <c r="H3282" s="569">
        <v>2019</v>
      </c>
      <c r="I3282" s="569" t="s">
        <v>5645</v>
      </c>
      <c r="J3282" s="569" t="s">
        <v>5450</v>
      </c>
      <c r="K3282" s="569" t="s">
        <v>3377</v>
      </c>
      <c r="L3282" s="569">
        <v>6</v>
      </c>
      <c r="M3282" s="569">
        <v>0</v>
      </c>
      <c r="N3282" s="569" t="s">
        <v>157</v>
      </c>
      <c r="O3282" s="569">
        <v>2</v>
      </c>
      <c r="P3282" s="569" t="s">
        <v>5405</v>
      </c>
      <c r="Q3282" s="568">
        <v>11520</v>
      </c>
      <c r="R3282" s="569" t="s">
        <v>5699</v>
      </c>
      <c r="S3282" s="569">
        <v>8</v>
      </c>
      <c r="T3282" s="569" t="s">
        <v>5791</v>
      </c>
      <c r="U3282" s="569" t="s">
        <v>5760</v>
      </c>
      <c r="V3282" s="569">
        <v>149.4</v>
      </c>
      <c r="W3282" s="569">
        <v>31</v>
      </c>
      <c r="X3282" s="568">
        <v>9000</v>
      </c>
      <c r="Y3282" s="569">
        <v>15</v>
      </c>
      <c r="Z3282" s="581" t="s">
        <v>178</v>
      </c>
      <c r="AA3282" s="581" t="s">
        <v>178</v>
      </c>
      <c r="AB3282" s="585">
        <v>37540</v>
      </c>
      <c r="AC3282" s="585" t="s">
        <v>164</v>
      </c>
      <c r="AD3282" s="585">
        <v>30388</v>
      </c>
      <c r="AE3282" s="587">
        <v>6.25E-2</v>
      </c>
      <c r="AF3282" s="661" t="str">
        <f t="shared" si="360"/>
        <v>2019-LTK-RAM-RM25-111-04</v>
      </c>
      <c r="AG3282" s="661" t="str">
        <f>IF(AND($Y3282&gt;=32,(AI3282="I"),(Y3282&lt;&gt;"~"),(COUNTIF($AN$1:$AN3282,$AN3282)=1)),"TRUE","FALSE")</f>
        <v>FALSE</v>
      </c>
      <c r="AH3282" s="661" t="str">
        <f>IF(AND($Y3282&gt;=22, (AI3282&lt;&gt;"I"),(Y3282&lt;&gt;"~"),(COUNTIF($AN$1:$AN3282,$AN3282)=1)),"TRUE","FALSE")</f>
        <v>FALSE</v>
      </c>
      <c r="AI3282" s="661" t="str">
        <f t="shared" si="355"/>
        <v>II</v>
      </c>
      <c r="AJ3282" s="662" t="str">
        <f t="shared" si="356"/>
        <v>RM25-111</v>
      </c>
      <c r="AK3282" s="662" t="str">
        <f t="shared" si="357"/>
        <v>LTK</v>
      </c>
      <c r="AL3282" s="662" t="str">
        <f t="shared" si="358"/>
        <v>RAM</v>
      </c>
      <c r="AM3282" s="662" t="str">
        <f t="shared" si="354"/>
        <v>Ram 2500-Tradesman Crew Cab-2WD-6-6'4"-11520-5.7L Hemi/3.73 axle ratio-8-DJ2L91-26A-149.4-31-Unleaded-Unleaded</v>
      </c>
      <c r="AN3282" s="662" t="str">
        <f t="shared" si="359"/>
        <v>2019-LTK-RAM-RM25-111</v>
      </c>
    </row>
    <row r="3283" spans="1:40" ht="15">
      <c r="A3283" s="570" t="s">
        <v>5792</v>
      </c>
      <c r="B3283" s="573" t="s">
        <v>5793</v>
      </c>
      <c r="C3283" s="573" t="s">
        <v>226</v>
      </c>
      <c r="D3283" s="578" t="s">
        <v>227</v>
      </c>
      <c r="E3283" s="573" t="s">
        <v>3374</v>
      </c>
      <c r="F3283" s="573" t="s">
        <v>196</v>
      </c>
      <c r="G3283" s="573" t="s">
        <v>3265</v>
      </c>
      <c r="H3283" s="573">
        <v>2019</v>
      </c>
      <c r="I3283" s="573" t="s">
        <v>5645</v>
      </c>
      <c r="J3283" s="573" t="s">
        <v>5450</v>
      </c>
      <c r="K3283" s="573" t="s">
        <v>3377</v>
      </c>
      <c r="L3283" s="573">
        <v>6</v>
      </c>
      <c r="M3283" s="573">
        <v>0</v>
      </c>
      <c r="N3283" s="573" t="s">
        <v>157</v>
      </c>
      <c r="O3283" s="573">
        <v>2</v>
      </c>
      <c r="P3283" s="573" t="s">
        <v>5405</v>
      </c>
      <c r="Q3283" s="571">
        <v>12940</v>
      </c>
      <c r="R3283" s="573" t="s">
        <v>5676</v>
      </c>
      <c r="S3283" s="573">
        <v>8</v>
      </c>
      <c r="T3283" s="573" t="s">
        <v>5791</v>
      </c>
      <c r="U3283" s="573" t="s">
        <v>931</v>
      </c>
      <c r="V3283" s="573">
        <v>149.4</v>
      </c>
      <c r="W3283" s="573">
        <v>31</v>
      </c>
      <c r="X3283" s="571">
        <v>10000</v>
      </c>
      <c r="Y3283" s="573">
        <v>15</v>
      </c>
      <c r="Z3283" s="579" t="s">
        <v>178</v>
      </c>
      <c r="AA3283" s="579" t="s">
        <v>178</v>
      </c>
      <c r="AB3283" s="584">
        <v>38040</v>
      </c>
      <c r="AC3283" s="584" t="s">
        <v>164</v>
      </c>
      <c r="AD3283" s="584">
        <v>30841</v>
      </c>
      <c r="AE3283" s="586">
        <v>6.25E-2</v>
      </c>
      <c r="AF3283" s="661" t="str">
        <f t="shared" si="360"/>
        <v>2019-LTK-RAM-RM25-112-04</v>
      </c>
      <c r="AG3283" s="661" t="str">
        <f>IF(AND($Y3283&gt;=32,(AI3283="I"),(Y3283&lt;&gt;"~"),(COUNTIF($AN$1:$AN3283,$AN3283)=1)),"TRUE","FALSE")</f>
        <v>FALSE</v>
      </c>
      <c r="AH3283" s="661" t="str">
        <f>IF(AND($Y3283&gt;=22, (AI3283&lt;&gt;"I"),(Y3283&lt;&gt;"~"),(COUNTIF($AN$1:$AN3283,$AN3283)=1)),"TRUE","FALSE")</f>
        <v>FALSE</v>
      </c>
      <c r="AI3283" s="661" t="str">
        <f t="shared" si="355"/>
        <v>II</v>
      </c>
      <c r="AJ3283" s="662" t="str">
        <f t="shared" si="356"/>
        <v>RM25-112</v>
      </c>
      <c r="AK3283" s="662" t="str">
        <f t="shared" si="357"/>
        <v>LTK</v>
      </c>
      <c r="AL3283" s="662" t="str">
        <f t="shared" si="358"/>
        <v>RAM</v>
      </c>
      <c r="AM3283" s="662" t="str">
        <f t="shared" si="354"/>
        <v>Ram 2500-Tradesman Crew Cab-2WD-6-6'4"-12940-6.4L Hemi/3.73 axle ratio-8-DJ2L91-22A-149.4-31-Unleaded-Unleaded</v>
      </c>
      <c r="AN3283" s="662" t="str">
        <f t="shared" si="359"/>
        <v>2019-LTK-RAM-RM25-112</v>
      </c>
    </row>
    <row r="3284" spans="1:40" ht="15">
      <c r="A3284" s="570" t="s">
        <v>5794</v>
      </c>
      <c r="B3284" s="569" t="s">
        <v>5795</v>
      </c>
      <c r="C3284" s="569" t="s">
        <v>226</v>
      </c>
      <c r="D3284" s="580" t="s">
        <v>227</v>
      </c>
      <c r="E3284" s="569" t="s">
        <v>3374</v>
      </c>
      <c r="F3284" s="569" t="s">
        <v>196</v>
      </c>
      <c r="G3284" s="569" t="s">
        <v>3265</v>
      </c>
      <c r="H3284" s="569">
        <v>2019</v>
      </c>
      <c r="I3284" s="569" t="s">
        <v>5645</v>
      </c>
      <c r="J3284" s="569" t="s">
        <v>5450</v>
      </c>
      <c r="K3284" s="569" t="s">
        <v>3377</v>
      </c>
      <c r="L3284" s="569">
        <v>6</v>
      </c>
      <c r="M3284" s="569">
        <v>0</v>
      </c>
      <c r="N3284" s="569" t="s">
        <v>157</v>
      </c>
      <c r="O3284" s="569">
        <v>2</v>
      </c>
      <c r="P3284" s="569" t="s">
        <v>5405</v>
      </c>
      <c r="Q3284" s="568">
        <v>15940</v>
      </c>
      <c r="R3284" s="569" t="s">
        <v>5721</v>
      </c>
      <c r="S3284" s="569">
        <v>8</v>
      </c>
      <c r="T3284" s="569" t="s">
        <v>5791</v>
      </c>
      <c r="U3284" s="569" t="s">
        <v>931</v>
      </c>
      <c r="V3284" s="569">
        <v>149.4</v>
      </c>
      <c r="W3284" s="569">
        <v>31</v>
      </c>
      <c r="X3284" s="568">
        <v>9000</v>
      </c>
      <c r="Y3284" s="569">
        <v>15</v>
      </c>
      <c r="Z3284" s="581" t="s">
        <v>178</v>
      </c>
      <c r="AA3284" s="581" t="s">
        <v>178</v>
      </c>
      <c r="AB3284" s="585">
        <v>38185</v>
      </c>
      <c r="AC3284" s="585" t="s">
        <v>164</v>
      </c>
      <c r="AD3284" s="585">
        <v>30986</v>
      </c>
      <c r="AE3284" s="587">
        <v>6.25E-2</v>
      </c>
      <c r="AF3284" s="661" t="str">
        <f t="shared" si="360"/>
        <v>2019-LTK-RAM-RM25-113-04</v>
      </c>
      <c r="AG3284" s="661" t="str">
        <f>IF(AND($Y3284&gt;=32,(AI3284="I"),(Y3284&lt;&gt;"~"),(COUNTIF($AN$1:$AN3284,$AN3284)=1)),"TRUE","FALSE")</f>
        <v>FALSE</v>
      </c>
      <c r="AH3284" s="661" t="str">
        <f>IF(AND($Y3284&gt;=22, (AI3284&lt;&gt;"I"),(Y3284&lt;&gt;"~"),(COUNTIF($AN$1:$AN3284,$AN3284)=1)),"TRUE","FALSE")</f>
        <v>FALSE</v>
      </c>
      <c r="AI3284" s="661" t="str">
        <f t="shared" si="355"/>
        <v>II</v>
      </c>
      <c r="AJ3284" s="662" t="str">
        <f t="shared" si="356"/>
        <v>RM25-113</v>
      </c>
      <c r="AK3284" s="662" t="str">
        <f t="shared" si="357"/>
        <v>LTK</v>
      </c>
      <c r="AL3284" s="662" t="str">
        <f t="shared" si="358"/>
        <v>RAM</v>
      </c>
      <c r="AM3284" s="662" t="str">
        <f t="shared" si="354"/>
        <v>Ram 2500-Tradesman Crew Cab-2WD-6-6'4"-15940-6.4L Hemi/4.10 axle ratio-8-DJ2L91-22A-149.4-31-Unleaded-Unleaded</v>
      </c>
      <c r="AN3284" s="662" t="str">
        <f t="shared" si="359"/>
        <v>2019-LTK-RAM-RM25-113</v>
      </c>
    </row>
    <row r="3285" spans="1:40" ht="15">
      <c r="A3285" s="570" t="s">
        <v>5796</v>
      </c>
      <c r="B3285" s="573" t="s">
        <v>5797</v>
      </c>
      <c r="C3285" s="573" t="s">
        <v>226</v>
      </c>
      <c r="D3285" s="578" t="s">
        <v>227</v>
      </c>
      <c r="E3285" s="573" t="s">
        <v>3374</v>
      </c>
      <c r="F3285" s="573" t="s">
        <v>196</v>
      </c>
      <c r="G3285" s="573" t="s">
        <v>3265</v>
      </c>
      <c r="H3285" s="573">
        <v>2019</v>
      </c>
      <c r="I3285" s="573" t="s">
        <v>5645</v>
      </c>
      <c r="J3285" s="573" t="s">
        <v>5450</v>
      </c>
      <c r="K3285" s="573" t="s">
        <v>3377</v>
      </c>
      <c r="L3285" s="573">
        <v>6</v>
      </c>
      <c r="M3285" s="573">
        <v>0</v>
      </c>
      <c r="N3285" s="573" t="s">
        <v>157</v>
      </c>
      <c r="O3285" s="573">
        <v>2</v>
      </c>
      <c r="P3285" s="573" t="s">
        <v>5405</v>
      </c>
      <c r="Q3285" s="571">
        <v>17570</v>
      </c>
      <c r="R3285" s="573" t="s">
        <v>5705</v>
      </c>
      <c r="S3285" s="573">
        <v>8</v>
      </c>
      <c r="T3285" s="573" t="s">
        <v>5791</v>
      </c>
      <c r="U3285" s="573" t="s">
        <v>5767</v>
      </c>
      <c r="V3285" s="573">
        <v>149.4</v>
      </c>
      <c r="W3285" s="573">
        <v>31</v>
      </c>
      <c r="X3285" s="571">
        <v>9000</v>
      </c>
      <c r="Y3285" s="573">
        <v>15</v>
      </c>
      <c r="Z3285" s="579" t="s">
        <v>728</v>
      </c>
      <c r="AA3285" s="579" t="s">
        <v>1523</v>
      </c>
      <c r="AB3285" s="584">
        <v>46740</v>
      </c>
      <c r="AC3285" s="584" t="s">
        <v>164</v>
      </c>
      <c r="AD3285" s="584">
        <v>40482</v>
      </c>
      <c r="AE3285" s="586">
        <v>6.25E-2</v>
      </c>
      <c r="AF3285" s="661" t="str">
        <f t="shared" si="360"/>
        <v>2019-LTK-RAM-RM25-114-04</v>
      </c>
      <c r="AG3285" s="661" t="str">
        <f>IF(AND($Y3285&gt;=32,(AI3285="I"),(Y3285&lt;&gt;"~"),(COUNTIF($AN$1:$AN3285,$AN3285)=1)),"TRUE","FALSE")</f>
        <v>FALSE</v>
      </c>
      <c r="AH3285" s="661" t="str">
        <f>IF(AND($Y3285&gt;=22, (AI3285&lt;&gt;"I"),(Y3285&lt;&gt;"~"),(COUNTIF($AN$1:$AN3285,$AN3285)=1)),"TRUE","FALSE")</f>
        <v>FALSE</v>
      </c>
      <c r="AI3285" s="661" t="str">
        <f t="shared" si="355"/>
        <v>II</v>
      </c>
      <c r="AJ3285" s="662" t="str">
        <f t="shared" si="356"/>
        <v>RM25-114</v>
      </c>
      <c r="AK3285" s="662" t="str">
        <f t="shared" si="357"/>
        <v>LTK</v>
      </c>
      <c r="AL3285" s="662" t="str">
        <f t="shared" si="358"/>
        <v>RAM</v>
      </c>
      <c r="AM3285" s="662" t="str">
        <f t="shared" si="354"/>
        <v>Ram 2500-Tradesman Crew Cab-2WD-6-6'4"-17570-6.7L Diesel/3.42 axle ratio-8-DJ2L91-2FA-149.4-31-Diesel-BioDiesel</v>
      </c>
      <c r="AN3285" s="662" t="str">
        <f t="shared" si="359"/>
        <v>2019-LTK-RAM-RM25-114</v>
      </c>
    </row>
    <row r="3286" spans="1:40" ht="15">
      <c r="A3286" s="570" t="s">
        <v>5798</v>
      </c>
      <c r="B3286" s="569" t="s">
        <v>5799</v>
      </c>
      <c r="C3286" s="569" t="s">
        <v>226</v>
      </c>
      <c r="D3286" s="580" t="s">
        <v>227</v>
      </c>
      <c r="E3286" s="569" t="s">
        <v>3374</v>
      </c>
      <c r="F3286" s="569" t="s">
        <v>196</v>
      </c>
      <c r="G3286" s="569" t="s">
        <v>3265</v>
      </c>
      <c r="H3286" s="569">
        <v>2019</v>
      </c>
      <c r="I3286" s="569" t="s">
        <v>5645</v>
      </c>
      <c r="J3286" s="569" t="s">
        <v>5450</v>
      </c>
      <c r="K3286" s="569" t="s">
        <v>3377</v>
      </c>
      <c r="L3286" s="569">
        <v>6</v>
      </c>
      <c r="M3286" s="569">
        <v>0</v>
      </c>
      <c r="N3286" s="569" t="s">
        <v>157</v>
      </c>
      <c r="O3286" s="569">
        <v>2</v>
      </c>
      <c r="P3286" s="569" t="s">
        <v>3846</v>
      </c>
      <c r="Q3286" s="568">
        <v>11390</v>
      </c>
      <c r="R3286" s="569" t="s">
        <v>5699</v>
      </c>
      <c r="S3286" s="569">
        <v>8</v>
      </c>
      <c r="T3286" s="569" t="s">
        <v>5800</v>
      </c>
      <c r="U3286" s="569" t="s">
        <v>5760</v>
      </c>
      <c r="V3286" s="569">
        <v>169</v>
      </c>
      <c r="W3286" s="569">
        <v>32</v>
      </c>
      <c r="X3286" s="568">
        <v>9000</v>
      </c>
      <c r="Y3286" s="569">
        <v>15</v>
      </c>
      <c r="Z3286" s="581" t="s">
        <v>178</v>
      </c>
      <c r="AA3286" s="581" t="s">
        <v>178</v>
      </c>
      <c r="AB3286" s="585">
        <v>37740</v>
      </c>
      <c r="AC3286" s="585" t="s">
        <v>164</v>
      </c>
      <c r="AD3286" s="585">
        <v>30565</v>
      </c>
      <c r="AE3286" s="587">
        <v>6.25E-2</v>
      </c>
      <c r="AF3286" s="661" t="str">
        <f t="shared" si="360"/>
        <v>2019-LTK-RAM-RM25-115-04</v>
      </c>
      <c r="AG3286" s="661" t="str">
        <f>IF(AND($Y3286&gt;=32,(AI3286="I"),(Y3286&lt;&gt;"~"),(COUNTIF($AN$1:$AN3286,$AN3286)=1)),"TRUE","FALSE")</f>
        <v>FALSE</v>
      </c>
      <c r="AH3286" s="661" t="str">
        <f>IF(AND($Y3286&gt;=22, (AI3286&lt;&gt;"I"),(Y3286&lt;&gt;"~"),(COUNTIF($AN$1:$AN3286,$AN3286)=1)),"TRUE","FALSE")</f>
        <v>FALSE</v>
      </c>
      <c r="AI3286" s="661" t="str">
        <f t="shared" si="355"/>
        <v>II</v>
      </c>
      <c r="AJ3286" s="662" t="str">
        <f t="shared" si="356"/>
        <v>RM25-115</v>
      </c>
      <c r="AK3286" s="662" t="str">
        <f t="shared" si="357"/>
        <v>LTK</v>
      </c>
      <c r="AL3286" s="662" t="str">
        <f t="shared" si="358"/>
        <v>RAM</v>
      </c>
      <c r="AM3286" s="662" t="str">
        <f t="shared" si="354"/>
        <v>Ram 2500-Tradesman Crew Cab-2WD-6-8'-11390-5.7L Hemi/3.73 axle ratio-8-DJ2L92-26A-169-32-Unleaded-Unleaded</v>
      </c>
      <c r="AN3286" s="662" t="str">
        <f t="shared" si="359"/>
        <v>2019-LTK-RAM-RM25-115</v>
      </c>
    </row>
    <row r="3287" spans="1:40" ht="15">
      <c r="A3287" s="570" t="s">
        <v>5801</v>
      </c>
      <c r="B3287" s="573" t="s">
        <v>5802</v>
      </c>
      <c r="C3287" s="573" t="s">
        <v>226</v>
      </c>
      <c r="D3287" s="578" t="s">
        <v>227</v>
      </c>
      <c r="E3287" s="573" t="s">
        <v>3374</v>
      </c>
      <c r="F3287" s="573" t="s">
        <v>196</v>
      </c>
      <c r="G3287" s="573" t="s">
        <v>3265</v>
      </c>
      <c r="H3287" s="573">
        <v>2019</v>
      </c>
      <c r="I3287" s="573" t="s">
        <v>5645</v>
      </c>
      <c r="J3287" s="573" t="s">
        <v>5450</v>
      </c>
      <c r="K3287" s="573" t="s">
        <v>3377</v>
      </c>
      <c r="L3287" s="573">
        <v>6</v>
      </c>
      <c r="M3287" s="573">
        <v>0</v>
      </c>
      <c r="N3287" s="573" t="s">
        <v>157</v>
      </c>
      <c r="O3287" s="573">
        <v>2</v>
      </c>
      <c r="P3287" s="573" t="s">
        <v>3846</v>
      </c>
      <c r="Q3287" s="571">
        <v>12810</v>
      </c>
      <c r="R3287" s="573" t="s">
        <v>5676</v>
      </c>
      <c r="S3287" s="573">
        <v>8</v>
      </c>
      <c r="T3287" s="573" t="s">
        <v>5800</v>
      </c>
      <c r="U3287" s="573" t="s">
        <v>931</v>
      </c>
      <c r="V3287" s="573">
        <v>169</v>
      </c>
      <c r="W3287" s="573">
        <v>32</v>
      </c>
      <c r="X3287" s="571">
        <v>10000</v>
      </c>
      <c r="Y3287" s="573">
        <v>15</v>
      </c>
      <c r="Z3287" s="579" t="s">
        <v>178</v>
      </c>
      <c r="AA3287" s="579" t="s">
        <v>178</v>
      </c>
      <c r="AB3287" s="584">
        <v>38240</v>
      </c>
      <c r="AC3287" s="584" t="s">
        <v>164</v>
      </c>
      <c r="AD3287" s="584">
        <v>31018</v>
      </c>
      <c r="AE3287" s="586">
        <v>6.25E-2</v>
      </c>
      <c r="AF3287" s="661" t="str">
        <f t="shared" si="360"/>
        <v>2019-LTK-RAM-RM25-116-04</v>
      </c>
      <c r="AG3287" s="661" t="str">
        <f>IF(AND($Y3287&gt;=32,(AI3287="I"),(Y3287&lt;&gt;"~"),(COUNTIF($AN$1:$AN3287,$AN3287)=1)),"TRUE","FALSE")</f>
        <v>FALSE</v>
      </c>
      <c r="AH3287" s="661" t="str">
        <f>IF(AND($Y3287&gt;=22, (AI3287&lt;&gt;"I"),(Y3287&lt;&gt;"~"),(COUNTIF($AN$1:$AN3287,$AN3287)=1)),"TRUE","FALSE")</f>
        <v>FALSE</v>
      </c>
      <c r="AI3287" s="661" t="str">
        <f t="shared" si="355"/>
        <v>II</v>
      </c>
      <c r="AJ3287" s="662" t="str">
        <f t="shared" si="356"/>
        <v>RM25-116</v>
      </c>
      <c r="AK3287" s="662" t="str">
        <f t="shared" si="357"/>
        <v>LTK</v>
      </c>
      <c r="AL3287" s="662" t="str">
        <f t="shared" si="358"/>
        <v>RAM</v>
      </c>
      <c r="AM3287" s="662" t="str">
        <f t="shared" si="354"/>
        <v>Ram 2500-Tradesman Crew Cab-2WD-6-8'-12810-6.4L Hemi/3.73 axle ratio-8-DJ2L92-22A-169-32-Unleaded-Unleaded</v>
      </c>
      <c r="AN3287" s="662" t="str">
        <f t="shared" si="359"/>
        <v>2019-LTK-RAM-RM25-116</v>
      </c>
    </row>
    <row r="3288" spans="1:40" ht="15">
      <c r="A3288" s="570" t="s">
        <v>5803</v>
      </c>
      <c r="B3288" s="569" t="s">
        <v>5804</v>
      </c>
      <c r="C3288" s="569" t="s">
        <v>226</v>
      </c>
      <c r="D3288" s="580" t="s">
        <v>227</v>
      </c>
      <c r="E3288" s="569" t="s">
        <v>3374</v>
      </c>
      <c r="F3288" s="569" t="s">
        <v>196</v>
      </c>
      <c r="G3288" s="569" t="s">
        <v>3265</v>
      </c>
      <c r="H3288" s="569">
        <v>2019</v>
      </c>
      <c r="I3288" s="569" t="s">
        <v>5645</v>
      </c>
      <c r="J3288" s="569" t="s">
        <v>5450</v>
      </c>
      <c r="K3288" s="569" t="s">
        <v>3377</v>
      </c>
      <c r="L3288" s="569">
        <v>6</v>
      </c>
      <c r="M3288" s="569">
        <v>0</v>
      </c>
      <c r="N3288" s="569" t="s">
        <v>157</v>
      </c>
      <c r="O3288" s="569">
        <v>2</v>
      </c>
      <c r="P3288" s="569" t="s">
        <v>3846</v>
      </c>
      <c r="Q3288" s="568">
        <v>15810</v>
      </c>
      <c r="R3288" s="569" t="s">
        <v>5721</v>
      </c>
      <c r="S3288" s="569">
        <v>8</v>
      </c>
      <c r="T3288" s="569" t="s">
        <v>5800</v>
      </c>
      <c r="U3288" s="569" t="s">
        <v>931</v>
      </c>
      <c r="V3288" s="569">
        <v>169</v>
      </c>
      <c r="W3288" s="569">
        <v>32</v>
      </c>
      <c r="X3288" s="568">
        <v>9000</v>
      </c>
      <c r="Y3288" s="569">
        <v>15</v>
      </c>
      <c r="Z3288" s="581" t="s">
        <v>178</v>
      </c>
      <c r="AA3288" s="581" t="s">
        <v>178</v>
      </c>
      <c r="AB3288" s="585">
        <v>38385</v>
      </c>
      <c r="AC3288" s="585" t="s">
        <v>164</v>
      </c>
      <c r="AD3288" s="585">
        <v>31163</v>
      </c>
      <c r="AE3288" s="587">
        <v>6.25E-2</v>
      </c>
      <c r="AF3288" s="661" t="str">
        <f t="shared" si="360"/>
        <v>2019-LTK-RAM-RM25-117-04</v>
      </c>
      <c r="AG3288" s="661" t="str">
        <f>IF(AND($Y3288&gt;=32,(AI3288="I"),(Y3288&lt;&gt;"~"),(COUNTIF($AN$1:$AN3288,$AN3288)=1)),"TRUE","FALSE")</f>
        <v>FALSE</v>
      </c>
      <c r="AH3288" s="661" t="str">
        <f>IF(AND($Y3288&gt;=22, (AI3288&lt;&gt;"I"),(Y3288&lt;&gt;"~"),(COUNTIF($AN$1:$AN3288,$AN3288)=1)),"TRUE","FALSE")</f>
        <v>FALSE</v>
      </c>
      <c r="AI3288" s="661" t="str">
        <f t="shared" si="355"/>
        <v>II</v>
      </c>
      <c r="AJ3288" s="662" t="str">
        <f t="shared" si="356"/>
        <v>RM25-117</v>
      </c>
      <c r="AK3288" s="662" t="str">
        <f t="shared" si="357"/>
        <v>LTK</v>
      </c>
      <c r="AL3288" s="662" t="str">
        <f t="shared" si="358"/>
        <v>RAM</v>
      </c>
      <c r="AM3288" s="662" t="str">
        <f t="shared" si="354"/>
        <v>Ram 2500-Tradesman Crew Cab-2WD-6-8'-15810-6.4L Hemi/4.10 axle ratio-8-DJ2L92-22A-169-32-Unleaded-Unleaded</v>
      </c>
      <c r="AN3288" s="662" t="str">
        <f t="shared" si="359"/>
        <v>2019-LTK-RAM-RM25-117</v>
      </c>
    </row>
    <row r="3289" spans="1:40" ht="15">
      <c r="A3289" s="570" t="s">
        <v>5805</v>
      </c>
      <c r="B3289" s="573" t="s">
        <v>5806</v>
      </c>
      <c r="C3289" s="573" t="s">
        <v>226</v>
      </c>
      <c r="D3289" s="578" t="s">
        <v>227</v>
      </c>
      <c r="E3289" s="573" t="s">
        <v>3374</v>
      </c>
      <c r="F3289" s="573" t="s">
        <v>196</v>
      </c>
      <c r="G3289" s="573" t="s">
        <v>3265</v>
      </c>
      <c r="H3289" s="573">
        <v>2019</v>
      </c>
      <c r="I3289" s="573" t="s">
        <v>5645</v>
      </c>
      <c r="J3289" s="573" t="s">
        <v>5450</v>
      </c>
      <c r="K3289" s="573" t="s">
        <v>3377</v>
      </c>
      <c r="L3289" s="573">
        <v>6</v>
      </c>
      <c r="M3289" s="573">
        <v>0</v>
      </c>
      <c r="N3289" s="573" t="s">
        <v>157</v>
      </c>
      <c r="O3289" s="573">
        <v>2</v>
      </c>
      <c r="P3289" s="573" t="s">
        <v>3846</v>
      </c>
      <c r="Q3289" s="571">
        <v>17320</v>
      </c>
      <c r="R3289" s="573" t="s">
        <v>5705</v>
      </c>
      <c r="S3289" s="573">
        <v>8</v>
      </c>
      <c r="T3289" s="573" t="s">
        <v>5800</v>
      </c>
      <c r="U3289" s="573" t="s">
        <v>5767</v>
      </c>
      <c r="V3289" s="573">
        <v>169</v>
      </c>
      <c r="W3289" s="573">
        <v>32</v>
      </c>
      <c r="X3289" s="571">
        <v>9000</v>
      </c>
      <c r="Y3289" s="573">
        <v>15</v>
      </c>
      <c r="Z3289" s="579" t="s">
        <v>728</v>
      </c>
      <c r="AA3289" s="579" t="s">
        <v>1523</v>
      </c>
      <c r="AB3289" s="584">
        <v>46940</v>
      </c>
      <c r="AC3289" s="584" t="s">
        <v>164</v>
      </c>
      <c r="AD3289" s="584">
        <v>40659</v>
      </c>
      <c r="AE3289" s="586">
        <v>6.25E-2</v>
      </c>
      <c r="AF3289" s="661" t="str">
        <f t="shared" si="360"/>
        <v>2019-LTK-RAM-RM25-118-04</v>
      </c>
      <c r="AG3289" s="661" t="str">
        <f>IF(AND($Y3289&gt;=32,(AI3289="I"),(Y3289&lt;&gt;"~"),(COUNTIF($AN$1:$AN3289,$AN3289)=1)),"TRUE","FALSE")</f>
        <v>FALSE</v>
      </c>
      <c r="AH3289" s="661" t="str">
        <f>IF(AND($Y3289&gt;=22, (AI3289&lt;&gt;"I"),(Y3289&lt;&gt;"~"),(COUNTIF($AN$1:$AN3289,$AN3289)=1)),"TRUE","FALSE")</f>
        <v>FALSE</v>
      </c>
      <c r="AI3289" s="661" t="str">
        <f t="shared" si="355"/>
        <v>II</v>
      </c>
      <c r="AJ3289" s="662" t="str">
        <f t="shared" si="356"/>
        <v>RM25-118</v>
      </c>
      <c r="AK3289" s="662" t="str">
        <f t="shared" si="357"/>
        <v>LTK</v>
      </c>
      <c r="AL3289" s="662" t="str">
        <f t="shared" si="358"/>
        <v>RAM</v>
      </c>
      <c r="AM3289" s="662" t="str">
        <f t="shared" si="354"/>
        <v>Ram 2500-Tradesman Crew Cab-2WD-6-8'-17320-6.7L Diesel/3.42 axle ratio-8-DJ2L92-2FA-169-32-Diesel-BioDiesel</v>
      </c>
      <c r="AN3289" s="662" t="str">
        <f t="shared" si="359"/>
        <v>2019-LTK-RAM-RM25-118</v>
      </c>
    </row>
    <row r="3290" spans="1:40" ht="15">
      <c r="A3290" s="570" t="s">
        <v>5807</v>
      </c>
      <c r="B3290" s="569" t="s">
        <v>5808</v>
      </c>
      <c r="C3290" s="569" t="s">
        <v>240</v>
      </c>
      <c r="D3290" s="580" t="s">
        <v>241</v>
      </c>
      <c r="E3290" s="569" t="s">
        <v>3374</v>
      </c>
      <c r="F3290" s="569" t="s">
        <v>196</v>
      </c>
      <c r="G3290" s="569" t="s">
        <v>3265</v>
      </c>
      <c r="H3290" s="569">
        <v>2018</v>
      </c>
      <c r="I3290" s="569" t="s">
        <v>5645</v>
      </c>
      <c r="J3290" s="569" t="s">
        <v>5450</v>
      </c>
      <c r="K3290" s="569" t="s">
        <v>3377</v>
      </c>
      <c r="L3290" s="569">
        <v>6</v>
      </c>
      <c r="M3290" s="569">
        <v>0</v>
      </c>
      <c r="N3290" s="569" t="s">
        <v>157</v>
      </c>
      <c r="O3290" s="569">
        <v>2</v>
      </c>
      <c r="P3290" s="569" t="s">
        <v>5405</v>
      </c>
      <c r="Q3290" s="568">
        <v>17550</v>
      </c>
      <c r="R3290" s="569" t="s">
        <v>5401</v>
      </c>
      <c r="S3290" s="569">
        <v>8</v>
      </c>
      <c r="T3290" s="569" t="s">
        <v>5791</v>
      </c>
      <c r="U3290" s="569" t="s">
        <v>5760</v>
      </c>
      <c r="V3290" s="569">
        <v>149.4</v>
      </c>
      <c r="W3290" s="569">
        <v>31</v>
      </c>
      <c r="X3290" s="568">
        <v>9000</v>
      </c>
      <c r="Y3290" s="569">
        <v>15</v>
      </c>
      <c r="Z3290" s="581" t="s">
        <v>178</v>
      </c>
      <c r="AA3290" s="581" t="s">
        <v>178</v>
      </c>
      <c r="AB3290" s="585">
        <v>37855</v>
      </c>
      <c r="AC3290" s="585" t="s">
        <v>164</v>
      </c>
      <c r="AD3290" s="585">
        <v>24629</v>
      </c>
      <c r="AE3290" s="587">
        <v>0.05</v>
      </c>
      <c r="AF3290" s="661" t="str">
        <f t="shared" si="360"/>
        <v>2018-LTK-RAM-RM25-059-08</v>
      </c>
      <c r="AG3290" s="661" t="str">
        <f>IF(AND($Y3290&gt;=32,(AI3290="I"),(Y3290&lt;&gt;"~"),(COUNTIF($AN$1:$AN3290,$AN3290)=1)),"TRUE","FALSE")</f>
        <v>FALSE</v>
      </c>
      <c r="AH3290" s="661" t="str">
        <f>IF(AND($Y3290&gt;=22, (AI3290&lt;&gt;"I"),(Y3290&lt;&gt;"~"),(COUNTIF($AN$1:$AN3290,$AN3290)=1)),"TRUE","FALSE")</f>
        <v>FALSE</v>
      </c>
      <c r="AI3290" s="661" t="str">
        <f t="shared" si="355"/>
        <v>II</v>
      </c>
      <c r="AJ3290" s="662" t="str">
        <f t="shared" si="356"/>
        <v>RM25-059</v>
      </c>
      <c r="AK3290" s="662" t="str">
        <f t="shared" si="357"/>
        <v>LTK</v>
      </c>
      <c r="AL3290" s="662" t="str">
        <f t="shared" si="358"/>
        <v>RAM</v>
      </c>
      <c r="AM3290" s="662" t="str">
        <f t="shared" si="354"/>
        <v>Ram 2500-Tradesman Crew Cab-2WD-6-6'4"-17550-5.7L Hemi-8-DJ2L91-26A-149.4-31-Unleaded-Unleaded</v>
      </c>
      <c r="AN3290" s="662" t="str">
        <f t="shared" si="359"/>
        <v>2018-LTK-RAM-RM25-059</v>
      </c>
    </row>
    <row r="3291" spans="1:40" ht="15">
      <c r="A3291" s="570" t="s">
        <v>5809</v>
      </c>
      <c r="B3291" s="573" t="s">
        <v>5810</v>
      </c>
      <c r="C3291" s="573" t="s">
        <v>240</v>
      </c>
      <c r="D3291" s="578" t="s">
        <v>241</v>
      </c>
      <c r="E3291" s="573" t="s">
        <v>3374</v>
      </c>
      <c r="F3291" s="573" t="s">
        <v>196</v>
      </c>
      <c r="G3291" s="573" t="s">
        <v>3265</v>
      </c>
      <c r="H3291" s="573">
        <v>2018</v>
      </c>
      <c r="I3291" s="573" t="s">
        <v>5645</v>
      </c>
      <c r="J3291" s="573" t="s">
        <v>5450</v>
      </c>
      <c r="K3291" s="573" t="s">
        <v>3377</v>
      </c>
      <c r="L3291" s="573">
        <v>6</v>
      </c>
      <c r="M3291" s="573">
        <v>0</v>
      </c>
      <c r="N3291" s="573" t="s">
        <v>157</v>
      </c>
      <c r="O3291" s="573">
        <v>2</v>
      </c>
      <c r="P3291" s="573" t="s">
        <v>5405</v>
      </c>
      <c r="Q3291" s="571">
        <v>17550</v>
      </c>
      <c r="R3291" s="573" t="s">
        <v>5646</v>
      </c>
      <c r="S3291" s="573">
        <v>8</v>
      </c>
      <c r="T3291" s="573" t="s">
        <v>5791</v>
      </c>
      <c r="U3291" s="573" t="s">
        <v>931</v>
      </c>
      <c r="V3291" s="573">
        <v>149.4</v>
      </c>
      <c r="W3291" s="573">
        <v>31</v>
      </c>
      <c r="X3291" s="571">
        <v>10000</v>
      </c>
      <c r="Y3291" s="573">
        <v>15</v>
      </c>
      <c r="Z3291" s="579" t="s">
        <v>178</v>
      </c>
      <c r="AA3291" s="579" t="s">
        <v>178</v>
      </c>
      <c r="AB3291" s="584">
        <v>38355</v>
      </c>
      <c r="AC3291" s="584" t="s">
        <v>164</v>
      </c>
      <c r="AD3291" s="584">
        <v>25088</v>
      </c>
      <c r="AE3291" s="586">
        <v>0.05</v>
      </c>
      <c r="AF3291" s="661" t="str">
        <f t="shared" si="360"/>
        <v>2018-LTK-RAM-RM25-060-08</v>
      </c>
      <c r="AG3291" s="661" t="str">
        <f>IF(AND($Y3291&gt;=32,(AI3291="I"),(Y3291&lt;&gt;"~"),(COUNTIF($AN$1:$AN3291,$AN3291)=1)),"TRUE","FALSE")</f>
        <v>FALSE</v>
      </c>
      <c r="AH3291" s="661" t="str">
        <f>IF(AND($Y3291&gt;=22, (AI3291&lt;&gt;"I"),(Y3291&lt;&gt;"~"),(COUNTIF($AN$1:$AN3291,$AN3291)=1)),"TRUE","FALSE")</f>
        <v>FALSE</v>
      </c>
      <c r="AI3291" s="661" t="str">
        <f t="shared" si="355"/>
        <v>II</v>
      </c>
      <c r="AJ3291" s="662" t="str">
        <f t="shared" si="356"/>
        <v>RM25-060</v>
      </c>
      <c r="AK3291" s="662" t="str">
        <f t="shared" si="357"/>
        <v>LTK</v>
      </c>
      <c r="AL3291" s="662" t="str">
        <f t="shared" si="358"/>
        <v>RAM</v>
      </c>
      <c r="AM3291" s="662" t="str">
        <f t="shared" ref="AM3291:AM3354" si="361">CONCATENATE(I3291,"-",J3291,"-",K3291,"-",L3291,"-",P3291,"-",Q3291,"-",R3291,"-",S3291,"-",T3291,"-",U3291,"-",V3291,"-",W3291,"-",Z3291,"-",AA3291)</f>
        <v>Ram 2500-Tradesman Crew Cab-2WD-6-6'4"-17550-6.4L Mid Duty Hemi-8-DJ2L91-22A-149.4-31-Unleaded-Unleaded</v>
      </c>
      <c r="AN3291" s="662" t="str">
        <f t="shared" si="359"/>
        <v>2018-LTK-RAM-RM25-060</v>
      </c>
    </row>
    <row r="3292" spans="1:40" ht="15">
      <c r="A3292" s="570" t="s">
        <v>5811</v>
      </c>
      <c r="B3292" s="569" t="s">
        <v>5812</v>
      </c>
      <c r="C3292" s="569" t="s">
        <v>240</v>
      </c>
      <c r="D3292" s="580" t="s">
        <v>241</v>
      </c>
      <c r="E3292" s="569" t="s">
        <v>3374</v>
      </c>
      <c r="F3292" s="569" t="s">
        <v>196</v>
      </c>
      <c r="G3292" s="569" t="s">
        <v>3265</v>
      </c>
      <c r="H3292" s="569">
        <v>2018</v>
      </c>
      <c r="I3292" s="569" t="s">
        <v>5645</v>
      </c>
      <c r="J3292" s="569" t="s">
        <v>5450</v>
      </c>
      <c r="K3292" s="569" t="s">
        <v>3377</v>
      </c>
      <c r="L3292" s="569">
        <v>6</v>
      </c>
      <c r="M3292" s="569">
        <v>0</v>
      </c>
      <c r="N3292" s="569" t="s">
        <v>157</v>
      </c>
      <c r="O3292" s="569">
        <v>2</v>
      </c>
      <c r="P3292" s="569" t="s">
        <v>5405</v>
      </c>
      <c r="Q3292" s="568">
        <v>17550</v>
      </c>
      <c r="R3292" s="569" t="s">
        <v>4231</v>
      </c>
      <c r="S3292" s="569">
        <v>8</v>
      </c>
      <c r="T3292" s="569" t="s">
        <v>5791</v>
      </c>
      <c r="U3292" s="569" t="s">
        <v>5767</v>
      </c>
      <c r="V3292" s="569">
        <v>149.4</v>
      </c>
      <c r="W3292" s="569">
        <v>31</v>
      </c>
      <c r="X3292" s="568">
        <v>10000</v>
      </c>
      <c r="Y3292" s="569">
        <v>15</v>
      </c>
      <c r="Z3292" s="581" t="s">
        <v>728</v>
      </c>
      <c r="AA3292" s="581" t="s">
        <v>1523</v>
      </c>
      <c r="AB3292" s="585">
        <v>47055</v>
      </c>
      <c r="AC3292" s="585" t="s">
        <v>164</v>
      </c>
      <c r="AD3292" s="585">
        <v>33065</v>
      </c>
      <c r="AE3292" s="587">
        <v>0.05</v>
      </c>
      <c r="AF3292" s="661" t="str">
        <f t="shared" si="360"/>
        <v>2018-LTK-RAM-RM25-061-08</v>
      </c>
      <c r="AG3292" s="661" t="str">
        <f>IF(AND($Y3292&gt;=32,(AI3292="I"),(Y3292&lt;&gt;"~"),(COUNTIF($AN$1:$AN3292,$AN3292)=1)),"TRUE","FALSE")</f>
        <v>FALSE</v>
      </c>
      <c r="AH3292" s="661" t="str">
        <f>IF(AND($Y3292&gt;=22, (AI3292&lt;&gt;"I"),(Y3292&lt;&gt;"~"),(COUNTIF($AN$1:$AN3292,$AN3292)=1)),"TRUE","FALSE")</f>
        <v>FALSE</v>
      </c>
      <c r="AI3292" s="661" t="str">
        <f t="shared" ref="AI3292:AI3355" si="362">IF(OR((LEFT($E3292,2)="01"),AND(LEFT($E3292,2)="06",ISNUMBER(SEARCH("pas",$F3292))),AND(LEFT($E3292,2)="05",ISNUMBER(SEARCH("pas",$F3292)))),"I",IF(AND((LEFT($E3292,2)&lt;&gt;"01"),$X3292&lt;=10000),"II",IF(AND((LEFT($E3292,2)&lt;&gt;"01"),$X3292&gt;10000),"N/A")))</f>
        <v>II</v>
      </c>
      <c r="AJ3292" s="662" t="str">
        <f t="shared" si="356"/>
        <v>RM25-061</v>
      </c>
      <c r="AK3292" s="662" t="str">
        <f t="shared" si="357"/>
        <v>LTK</v>
      </c>
      <c r="AL3292" s="662" t="str">
        <f t="shared" si="358"/>
        <v>RAM</v>
      </c>
      <c r="AM3292" s="662" t="str">
        <f t="shared" si="361"/>
        <v>Ram 2500-Tradesman Crew Cab-2WD-6-6'4"-17550-6.7L Diesel-8-DJ2L91-2FA-149.4-31-Diesel-BioDiesel</v>
      </c>
      <c r="AN3292" s="662" t="str">
        <f t="shared" si="359"/>
        <v>2018-LTK-RAM-RM25-061</v>
      </c>
    </row>
    <row r="3293" spans="1:40" ht="15">
      <c r="A3293" s="570" t="s">
        <v>5813</v>
      </c>
      <c r="B3293" s="573" t="s">
        <v>5814</v>
      </c>
      <c r="C3293" s="573" t="s">
        <v>240</v>
      </c>
      <c r="D3293" s="578" t="s">
        <v>241</v>
      </c>
      <c r="E3293" s="573" t="s">
        <v>3374</v>
      </c>
      <c r="F3293" s="573" t="s">
        <v>196</v>
      </c>
      <c r="G3293" s="573" t="s">
        <v>3265</v>
      </c>
      <c r="H3293" s="573">
        <v>2018</v>
      </c>
      <c r="I3293" s="573" t="s">
        <v>5645</v>
      </c>
      <c r="J3293" s="573" t="s">
        <v>5450</v>
      </c>
      <c r="K3293" s="573" t="s">
        <v>3377</v>
      </c>
      <c r="L3293" s="573">
        <v>6</v>
      </c>
      <c r="M3293" s="573">
        <v>0</v>
      </c>
      <c r="N3293" s="573" t="s">
        <v>157</v>
      </c>
      <c r="O3293" s="573">
        <v>2</v>
      </c>
      <c r="P3293" s="573" t="s">
        <v>3846</v>
      </c>
      <c r="Q3293" s="571">
        <v>17360</v>
      </c>
      <c r="R3293" s="573" t="s">
        <v>5401</v>
      </c>
      <c r="S3293" s="573">
        <v>8</v>
      </c>
      <c r="T3293" s="573" t="s">
        <v>5800</v>
      </c>
      <c r="U3293" s="573" t="s">
        <v>5760</v>
      </c>
      <c r="V3293" s="573">
        <v>169</v>
      </c>
      <c r="W3293" s="573">
        <v>32</v>
      </c>
      <c r="X3293" s="571">
        <v>9000</v>
      </c>
      <c r="Y3293" s="573">
        <v>15</v>
      </c>
      <c r="Z3293" s="579" t="s">
        <v>178</v>
      </c>
      <c r="AA3293" s="579" t="s">
        <v>178</v>
      </c>
      <c r="AB3293" s="584">
        <v>38055</v>
      </c>
      <c r="AC3293" s="584" t="s">
        <v>164</v>
      </c>
      <c r="AD3293" s="584">
        <v>24807</v>
      </c>
      <c r="AE3293" s="586">
        <v>0.05</v>
      </c>
      <c r="AF3293" s="661" t="str">
        <f t="shared" si="360"/>
        <v>2018-LTK-RAM-RM25-065-08</v>
      </c>
      <c r="AG3293" s="661" t="str">
        <f>IF(AND($Y3293&gt;=32,(AI3293="I"),(Y3293&lt;&gt;"~"),(COUNTIF($AN$1:$AN3293,$AN3293)=1)),"TRUE","FALSE")</f>
        <v>FALSE</v>
      </c>
      <c r="AH3293" s="661" t="str">
        <f>IF(AND($Y3293&gt;=22, (AI3293&lt;&gt;"I"),(Y3293&lt;&gt;"~"),(COUNTIF($AN$1:$AN3293,$AN3293)=1)),"TRUE","FALSE")</f>
        <v>FALSE</v>
      </c>
      <c r="AI3293" s="661" t="str">
        <f t="shared" si="362"/>
        <v>II</v>
      </c>
      <c r="AJ3293" s="662" t="str">
        <f t="shared" si="356"/>
        <v>RM25-065</v>
      </c>
      <c r="AK3293" s="662" t="str">
        <f t="shared" si="357"/>
        <v>LTK</v>
      </c>
      <c r="AL3293" s="662" t="str">
        <f t="shared" si="358"/>
        <v>RAM</v>
      </c>
      <c r="AM3293" s="662" t="str">
        <f t="shared" si="361"/>
        <v>Ram 2500-Tradesman Crew Cab-2WD-6-8'-17360-5.7L Hemi-8-DJ2L92-26A-169-32-Unleaded-Unleaded</v>
      </c>
      <c r="AN3293" s="662" t="str">
        <f t="shared" si="359"/>
        <v>2018-LTK-RAM-RM25-065</v>
      </c>
    </row>
    <row r="3294" spans="1:40" ht="15">
      <c r="A3294" s="570" t="s">
        <v>5815</v>
      </c>
      <c r="B3294" s="569" t="s">
        <v>5816</v>
      </c>
      <c r="C3294" s="569" t="s">
        <v>240</v>
      </c>
      <c r="D3294" s="580" t="s">
        <v>241</v>
      </c>
      <c r="E3294" s="569" t="s">
        <v>3374</v>
      </c>
      <c r="F3294" s="569" t="s">
        <v>196</v>
      </c>
      <c r="G3294" s="569" t="s">
        <v>3265</v>
      </c>
      <c r="H3294" s="569">
        <v>2018</v>
      </c>
      <c r="I3294" s="569" t="s">
        <v>5645</v>
      </c>
      <c r="J3294" s="569" t="s">
        <v>5450</v>
      </c>
      <c r="K3294" s="569" t="s">
        <v>3377</v>
      </c>
      <c r="L3294" s="569">
        <v>6</v>
      </c>
      <c r="M3294" s="569">
        <v>0</v>
      </c>
      <c r="N3294" s="569" t="s">
        <v>157</v>
      </c>
      <c r="O3294" s="569">
        <v>2</v>
      </c>
      <c r="P3294" s="569" t="s">
        <v>3846</v>
      </c>
      <c r="Q3294" s="568">
        <v>17360</v>
      </c>
      <c r="R3294" s="569" t="s">
        <v>5646</v>
      </c>
      <c r="S3294" s="569">
        <v>8</v>
      </c>
      <c r="T3294" s="569" t="s">
        <v>5800</v>
      </c>
      <c r="U3294" s="569" t="s">
        <v>931</v>
      </c>
      <c r="V3294" s="569">
        <v>169</v>
      </c>
      <c r="W3294" s="569">
        <v>32</v>
      </c>
      <c r="X3294" s="568">
        <v>10000</v>
      </c>
      <c r="Y3294" s="569">
        <v>15</v>
      </c>
      <c r="Z3294" s="581" t="s">
        <v>178</v>
      </c>
      <c r="AA3294" s="581" t="s">
        <v>178</v>
      </c>
      <c r="AB3294" s="585">
        <v>38555</v>
      </c>
      <c r="AC3294" s="585" t="s">
        <v>164</v>
      </c>
      <c r="AD3294" s="585">
        <v>25266</v>
      </c>
      <c r="AE3294" s="587">
        <v>0.05</v>
      </c>
      <c r="AF3294" s="661" t="str">
        <f t="shared" si="360"/>
        <v>2018-LTK-RAM-RM25-066-08</v>
      </c>
      <c r="AG3294" s="661" t="str">
        <f>IF(AND($Y3294&gt;=32,(AI3294="I"),(Y3294&lt;&gt;"~"),(COUNTIF($AN$1:$AN3294,$AN3294)=1)),"TRUE","FALSE")</f>
        <v>FALSE</v>
      </c>
      <c r="AH3294" s="661" t="str">
        <f>IF(AND($Y3294&gt;=22, (AI3294&lt;&gt;"I"),(Y3294&lt;&gt;"~"),(COUNTIF($AN$1:$AN3294,$AN3294)=1)),"TRUE","FALSE")</f>
        <v>FALSE</v>
      </c>
      <c r="AI3294" s="661" t="str">
        <f t="shared" si="362"/>
        <v>II</v>
      </c>
      <c r="AJ3294" s="662" t="str">
        <f t="shared" si="356"/>
        <v>RM25-066</v>
      </c>
      <c r="AK3294" s="662" t="str">
        <f t="shared" si="357"/>
        <v>LTK</v>
      </c>
      <c r="AL3294" s="662" t="str">
        <f t="shared" si="358"/>
        <v>RAM</v>
      </c>
      <c r="AM3294" s="662" t="str">
        <f t="shared" si="361"/>
        <v>Ram 2500-Tradesman Crew Cab-2WD-6-8'-17360-6.4L Mid Duty Hemi-8-DJ2L92-22A-169-32-Unleaded-Unleaded</v>
      </c>
      <c r="AN3294" s="662" t="str">
        <f t="shared" si="359"/>
        <v>2018-LTK-RAM-RM25-066</v>
      </c>
    </row>
    <row r="3295" spans="1:40" ht="15">
      <c r="A3295" s="570" t="s">
        <v>5817</v>
      </c>
      <c r="B3295" s="573" t="s">
        <v>5818</v>
      </c>
      <c r="C3295" s="573" t="s">
        <v>240</v>
      </c>
      <c r="D3295" s="578" t="s">
        <v>241</v>
      </c>
      <c r="E3295" s="573" t="s">
        <v>3374</v>
      </c>
      <c r="F3295" s="573" t="s">
        <v>196</v>
      </c>
      <c r="G3295" s="573" t="s">
        <v>3265</v>
      </c>
      <c r="H3295" s="573">
        <v>2018</v>
      </c>
      <c r="I3295" s="573" t="s">
        <v>5645</v>
      </c>
      <c r="J3295" s="573" t="s">
        <v>5450</v>
      </c>
      <c r="K3295" s="573" t="s">
        <v>3377</v>
      </c>
      <c r="L3295" s="573">
        <v>6</v>
      </c>
      <c r="M3295" s="573">
        <v>0</v>
      </c>
      <c r="N3295" s="573" t="s">
        <v>157</v>
      </c>
      <c r="O3295" s="573">
        <v>2</v>
      </c>
      <c r="P3295" s="573" t="s">
        <v>3846</v>
      </c>
      <c r="Q3295" s="571">
        <v>17360</v>
      </c>
      <c r="R3295" s="573" t="s">
        <v>4231</v>
      </c>
      <c r="S3295" s="573">
        <v>8</v>
      </c>
      <c r="T3295" s="573" t="s">
        <v>5800</v>
      </c>
      <c r="U3295" s="573" t="s">
        <v>5767</v>
      </c>
      <c r="V3295" s="573">
        <v>169</v>
      </c>
      <c r="W3295" s="573">
        <v>32</v>
      </c>
      <c r="X3295" s="571">
        <v>10000</v>
      </c>
      <c r="Y3295" s="573">
        <v>15</v>
      </c>
      <c r="Z3295" s="579" t="s">
        <v>728</v>
      </c>
      <c r="AA3295" s="579" t="s">
        <v>1523</v>
      </c>
      <c r="AB3295" s="584">
        <v>47255</v>
      </c>
      <c r="AC3295" s="584" t="s">
        <v>164</v>
      </c>
      <c r="AD3295" s="584">
        <v>33243</v>
      </c>
      <c r="AE3295" s="586">
        <v>0.05</v>
      </c>
      <c r="AF3295" s="661" t="str">
        <f t="shared" si="360"/>
        <v>2018-LTK-RAM-RM25-067-08</v>
      </c>
      <c r="AG3295" s="661" t="str">
        <f>IF(AND($Y3295&gt;=32,(AI3295="I"),(Y3295&lt;&gt;"~"),(COUNTIF($AN$1:$AN3295,$AN3295)=1)),"TRUE","FALSE")</f>
        <v>FALSE</v>
      </c>
      <c r="AH3295" s="661" t="str">
        <f>IF(AND($Y3295&gt;=22, (AI3295&lt;&gt;"I"),(Y3295&lt;&gt;"~"),(COUNTIF($AN$1:$AN3295,$AN3295)=1)),"TRUE","FALSE")</f>
        <v>FALSE</v>
      </c>
      <c r="AI3295" s="661" t="str">
        <f t="shared" si="362"/>
        <v>II</v>
      </c>
      <c r="AJ3295" s="662" t="str">
        <f t="shared" si="356"/>
        <v>RM25-067</v>
      </c>
      <c r="AK3295" s="662" t="str">
        <f t="shared" si="357"/>
        <v>LTK</v>
      </c>
      <c r="AL3295" s="662" t="str">
        <f t="shared" si="358"/>
        <v>RAM</v>
      </c>
      <c r="AM3295" s="662" t="str">
        <f t="shared" si="361"/>
        <v>Ram 2500-Tradesman Crew Cab-2WD-6-8'-17360-6.7L Diesel-8-DJ2L92-2FA-169-32-Diesel-BioDiesel</v>
      </c>
      <c r="AN3295" s="662" t="str">
        <f t="shared" si="359"/>
        <v>2018-LTK-RAM-RM25-067</v>
      </c>
    </row>
    <row r="3296" spans="1:40" ht="15">
      <c r="A3296" s="570" t="s">
        <v>5819</v>
      </c>
      <c r="B3296" s="569" t="s">
        <v>5820</v>
      </c>
      <c r="C3296" s="569" t="s">
        <v>226</v>
      </c>
      <c r="D3296" s="580" t="s">
        <v>227</v>
      </c>
      <c r="E3296" s="569" t="s">
        <v>3374</v>
      </c>
      <c r="F3296" s="569" t="s">
        <v>196</v>
      </c>
      <c r="G3296" s="569" t="s">
        <v>3265</v>
      </c>
      <c r="H3296" s="569">
        <v>2019</v>
      </c>
      <c r="I3296" s="569" t="s">
        <v>5645</v>
      </c>
      <c r="J3296" s="569" t="s">
        <v>5450</v>
      </c>
      <c r="K3296" s="569" t="s">
        <v>752</v>
      </c>
      <c r="L3296" s="569">
        <v>6</v>
      </c>
      <c r="M3296" s="569">
        <v>0</v>
      </c>
      <c r="N3296" s="569" t="s">
        <v>157</v>
      </c>
      <c r="O3296" s="569">
        <v>2</v>
      </c>
      <c r="P3296" s="569" t="s">
        <v>5405</v>
      </c>
      <c r="Q3296" s="568">
        <v>11180</v>
      </c>
      <c r="R3296" s="569" t="s">
        <v>5699</v>
      </c>
      <c r="S3296" s="569">
        <v>8</v>
      </c>
      <c r="T3296" s="569" t="s">
        <v>5821</v>
      </c>
      <c r="U3296" s="569" t="s">
        <v>5760</v>
      </c>
      <c r="V3296" s="569">
        <v>149.4</v>
      </c>
      <c r="W3296" s="569">
        <v>31</v>
      </c>
      <c r="X3296" s="568">
        <v>9000</v>
      </c>
      <c r="Y3296" s="569">
        <v>14</v>
      </c>
      <c r="Z3296" s="581" t="s">
        <v>178</v>
      </c>
      <c r="AA3296" s="581" t="s">
        <v>178</v>
      </c>
      <c r="AB3296" s="585">
        <v>40340</v>
      </c>
      <c r="AC3296" s="585" t="s">
        <v>164</v>
      </c>
      <c r="AD3296" s="585">
        <v>33048</v>
      </c>
      <c r="AE3296" s="587">
        <v>6.25E-2</v>
      </c>
      <c r="AF3296" s="661" t="str">
        <f t="shared" si="360"/>
        <v>2019-LTK-RAM-RM25-119-04</v>
      </c>
      <c r="AG3296" s="661" t="str">
        <f>IF(AND($Y3296&gt;=32,(AI3296="I"),(Y3296&lt;&gt;"~"),(COUNTIF($AN$1:$AN3296,$AN3296)=1)),"TRUE","FALSE")</f>
        <v>FALSE</v>
      </c>
      <c r="AH3296" s="661" t="str">
        <f>IF(AND($Y3296&gt;=22, (AI3296&lt;&gt;"I"),(Y3296&lt;&gt;"~"),(COUNTIF($AN$1:$AN3296,$AN3296)=1)),"TRUE","FALSE")</f>
        <v>FALSE</v>
      </c>
      <c r="AI3296" s="661" t="str">
        <f t="shared" si="362"/>
        <v>II</v>
      </c>
      <c r="AJ3296" s="662" t="str">
        <f t="shared" si="356"/>
        <v>RM25-119</v>
      </c>
      <c r="AK3296" s="662" t="str">
        <f t="shared" si="357"/>
        <v>LTK</v>
      </c>
      <c r="AL3296" s="662" t="str">
        <f t="shared" si="358"/>
        <v>RAM</v>
      </c>
      <c r="AM3296" s="662" t="str">
        <f t="shared" si="361"/>
        <v>Ram 2500-Tradesman Crew Cab-4WD-6-6'4"-11180-5.7L Hemi/3.73 axle ratio-8-DJ7L91-26A-149.4-31-Unleaded-Unleaded</v>
      </c>
      <c r="AN3296" s="662" t="str">
        <f t="shared" si="359"/>
        <v>2019-LTK-RAM-RM25-119</v>
      </c>
    </row>
    <row r="3297" spans="1:40" ht="15">
      <c r="A3297" s="570" t="s">
        <v>5822</v>
      </c>
      <c r="B3297" s="573" t="s">
        <v>5823</v>
      </c>
      <c r="C3297" s="573" t="s">
        <v>226</v>
      </c>
      <c r="D3297" s="578" t="s">
        <v>227</v>
      </c>
      <c r="E3297" s="573" t="s">
        <v>3374</v>
      </c>
      <c r="F3297" s="573" t="s">
        <v>196</v>
      </c>
      <c r="G3297" s="573" t="s">
        <v>3265</v>
      </c>
      <c r="H3297" s="573">
        <v>2019</v>
      </c>
      <c r="I3297" s="573" t="s">
        <v>5645</v>
      </c>
      <c r="J3297" s="573" t="s">
        <v>5450</v>
      </c>
      <c r="K3297" s="573" t="s">
        <v>752</v>
      </c>
      <c r="L3297" s="573">
        <v>6</v>
      </c>
      <c r="M3297" s="573">
        <v>0</v>
      </c>
      <c r="N3297" s="573" t="s">
        <v>157</v>
      </c>
      <c r="O3297" s="573">
        <v>2</v>
      </c>
      <c r="P3297" s="573" t="s">
        <v>5405</v>
      </c>
      <c r="Q3297" s="571">
        <v>12630</v>
      </c>
      <c r="R3297" s="573" t="s">
        <v>5676</v>
      </c>
      <c r="S3297" s="573">
        <v>8</v>
      </c>
      <c r="T3297" s="573" t="s">
        <v>5821</v>
      </c>
      <c r="U3297" s="573" t="s">
        <v>931</v>
      </c>
      <c r="V3297" s="573">
        <v>149.4</v>
      </c>
      <c r="W3297" s="573">
        <v>31</v>
      </c>
      <c r="X3297" s="571">
        <v>10000</v>
      </c>
      <c r="Y3297" s="573">
        <v>14</v>
      </c>
      <c r="Z3297" s="579" t="s">
        <v>178</v>
      </c>
      <c r="AA3297" s="579" t="s">
        <v>178</v>
      </c>
      <c r="AB3297" s="584">
        <v>40840</v>
      </c>
      <c r="AC3297" s="584" t="s">
        <v>164</v>
      </c>
      <c r="AD3297" s="584">
        <v>33502</v>
      </c>
      <c r="AE3297" s="586">
        <v>6.25E-2</v>
      </c>
      <c r="AF3297" s="661" t="str">
        <f t="shared" si="360"/>
        <v>2019-LTK-RAM-RM25-120-04</v>
      </c>
      <c r="AG3297" s="661" t="str">
        <f>IF(AND($Y3297&gt;=32,(AI3297="I"),(Y3297&lt;&gt;"~"),(COUNTIF($AN$1:$AN3297,$AN3297)=1)),"TRUE","FALSE")</f>
        <v>FALSE</v>
      </c>
      <c r="AH3297" s="661" t="str">
        <f>IF(AND($Y3297&gt;=22, (AI3297&lt;&gt;"I"),(Y3297&lt;&gt;"~"),(COUNTIF($AN$1:$AN3297,$AN3297)=1)),"TRUE","FALSE")</f>
        <v>FALSE</v>
      </c>
      <c r="AI3297" s="661" t="str">
        <f t="shared" si="362"/>
        <v>II</v>
      </c>
      <c r="AJ3297" s="662" t="str">
        <f t="shared" si="356"/>
        <v>RM25-120</v>
      </c>
      <c r="AK3297" s="662" t="str">
        <f t="shared" si="357"/>
        <v>LTK</v>
      </c>
      <c r="AL3297" s="662" t="str">
        <f t="shared" si="358"/>
        <v>RAM</v>
      </c>
      <c r="AM3297" s="662" t="str">
        <f t="shared" si="361"/>
        <v>Ram 2500-Tradesman Crew Cab-4WD-6-6'4"-12630-6.4L Hemi/3.73 axle ratio-8-DJ7L91-22A-149.4-31-Unleaded-Unleaded</v>
      </c>
      <c r="AN3297" s="662" t="str">
        <f t="shared" si="359"/>
        <v>2019-LTK-RAM-RM25-120</v>
      </c>
    </row>
    <row r="3298" spans="1:40" ht="15">
      <c r="A3298" s="570" t="s">
        <v>5824</v>
      </c>
      <c r="B3298" s="569" t="s">
        <v>5825</v>
      </c>
      <c r="C3298" s="569" t="s">
        <v>226</v>
      </c>
      <c r="D3298" s="580" t="s">
        <v>227</v>
      </c>
      <c r="E3298" s="569" t="s">
        <v>3374</v>
      </c>
      <c r="F3298" s="569" t="s">
        <v>196</v>
      </c>
      <c r="G3298" s="569" t="s">
        <v>3265</v>
      </c>
      <c r="H3298" s="569">
        <v>2019</v>
      </c>
      <c r="I3298" s="569" t="s">
        <v>5645</v>
      </c>
      <c r="J3298" s="569" t="s">
        <v>5450</v>
      </c>
      <c r="K3298" s="569" t="s">
        <v>752</v>
      </c>
      <c r="L3298" s="569">
        <v>6</v>
      </c>
      <c r="M3298" s="569">
        <v>0</v>
      </c>
      <c r="N3298" s="569" t="s">
        <v>157</v>
      </c>
      <c r="O3298" s="569">
        <v>2</v>
      </c>
      <c r="P3298" s="569" t="s">
        <v>5405</v>
      </c>
      <c r="Q3298" s="568">
        <v>13180</v>
      </c>
      <c r="R3298" s="569" t="s">
        <v>5826</v>
      </c>
      <c r="S3298" s="569">
        <v>8</v>
      </c>
      <c r="T3298" s="569" t="s">
        <v>5821</v>
      </c>
      <c r="U3298" s="569" t="s">
        <v>5760</v>
      </c>
      <c r="V3298" s="569">
        <v>149.4</v>
      </c>
      <c r="W3298" s="569">
        <v>31</v>
      </c>
      <c r="X3298" s="568">
        <v>9000</v>
      </c>
      <c r="Y3298" s="569">
        <v>14</v>
      </c>
      <c r="Z3298" s="581" t="s">
        <v>178</v>
      </c>
      <c r="AA3298" s="581" t="s">
        <v>178</v>
      </c>
      <c r="AB3298" s="585">
        <v>40485</v>
      </c>
      <c r="AC3298" s="585" t="s">
        <v>164</v>
      </c>
      <c r="AD3298" s="585">
        <v>33193</v>
      </c>
      <c r="AE3298" s="587">
        <v>6.25E-2</v>
      </c>
      <c r="AF3298" s="661" t="str">
        <f t="shared" si="360"/>
        <v>2019-LTK-RAM-RM25-121-04</v>
      </c>
      <c r="AG3298" s="661" t="str">
        <f>IF(AND($Y3298&gt;=32,(AI3298="I"),(Y3298&lt;&gt;"~"),(COUNTIF($AN$1:$AN3298,$AN3298)=1)),"TRUE","FALSE")</f>
        <v>FALSE</v>
      </c>
      <c r="AH3298" s="661" t="str">
        <f>IF(AND($Y3298&gt;=22, (AI3298&lt;&gt;"I"),(Y3298&lt;&gt;"~"),(COUNTIF($AN$1:$AN3298,$AN3298)=1)),"TRUE","FALSE")</f>
        <v>FALSE</v>
      </c>
      <c r="AI3298" s="661" t="str">
        <f t="shared" si="362"/>
        <v>II</v>
      </c>
      <c r="AJ3298" s="662" t="str">
        <f t="shared" si="356"/>
        <v>RM25-121</v>
      </c>
      <c r="AK3298" s="662" t="str">
        <f t="shared" si="357"/>
        <v>LTK</v>
      </c>
      <c r="AL3298" s="662" t="str">
        <f t="shared" si="358"/>
        <v>RAM</v>
      </c>
      <c r="AM3298" s="662" t="str">
        <f t="shared" si="361"/>
        <v>Ram 2500-Tradesman Crew Cab-4WD-6-6'4"-13180-5.7L Hemi/4.10 axle ratio-8-DJ7L91-26A-149.4-31-Unleaded-Unleaded</v>
      </c>
      <c r="AN3298" s="662" t="str">
        <f t="shared" si="359"/>
        <v>2019-LTK-RAM-RM25-121</v>
      </c>
    </row>
    <row r="3299" spans="1:40" ht="15">
      <c r="A3299" s="570" t="s">
        <v>5827</v>
      </c>
      <c r="B3299" s="573" t="s">
        <v>5828</v>
      </c>
      <c r="C3299" s="573" t="s">
        <v>226</v>
      </c>
      <c r="D3299" s="578" t="s">
        <v>227</v>
      </c>
      <c r="E3299" s="573" t="s">
        <v>3374</v>
      </c>
      <c r="F3299" s="573" t="s">
        <v>196</v>
      </c>
      <c r="G3299" s="573" t="s">
        <v>3265</v>
      </c>
      <c r="H3299" s="573">
        <v>2019</v>
      </c>
      <c r="I3299" s="573" t="s">
        <v>5645</v>
      </c>
      <c r="J3299" s="573" t="s">
        <v>5450</v>
      </c>
      <c r="K3299" s="573" t="s">
        <v>752</v>
      </c>
      <c r="L3299" s="573">
        <v>6</v>
      </c>
      <c r="M3299" s="573">
        <v>0</v>
      </c>
      <c r="N3299" s="573" t="s">
        <v>157</v>
      </c>
      <c r="O3299" s="573">
        <v>2</v>
      </c>
      <c r="P3299" s="573" t="s">
        <v>5405</v>
      </c>
      <c r="Q3299" s="571">
        <v>17160</v>
      </c>
      <c r="R3299" s="573" t="s">
        <v>5829</v>
      </c>
      <c r="S3299" s="573">
        <v>8</v>
      </c>
      <c r="T3299" s="573" t="s">
        <v>5821</v>
      </c>
      <c r="U3299" s="573" t="s">
        <v>5767</v>
      </c>
      <c r="V3299" s="573">
        <v>149.4</v>
      </c>
      <c r="W3299" s="573">
        <v>31</v>
      </c>
      <c r="X3299" s="571">
        <v>10000</v>
      </c>
      <c r="Y3299" s="573">
        <v>14</v>
      </c>
      <c r="Z3299" s="579" t="s">
        <v>728</v>
      </c>
      <c r="AA3299" s="579" t="s">
        <v>1523</v>
      </c>
      <c r="AB3299" s="584">
        <v>49540</v>
      </c>
      <c r="AC3299" s="584" t="s">
        <v>164</v>
      </c>
      <c r="AD3299" s="584">
        <v>41289</v>
      </c>
      <c r="AE3299" s="586">
        <v>6.25E-2</v>
      </c>
      <c r="AF3299" s="661" t="str">
        <f t="shared" si="360"/>
        <v>2019-LTK-RAM-RM25-122-04</v>
      </c>
      <c r="AG3299" s="661" t="str">
        <f>IF(AND($Y3299&gt;=32,(AI3299="I"),(Y3299&lt;&gt;"~"),(COUNTIF($AN$1:$AN3299,$AN3299)=1)),"TRUE","FALSE")</f>
        <v>FALSE</v>
      </c>
      <c r="AH3299" s="661" t="str">
        <f>IF(AND($Y3299&gt;=22, (AI3299&lt;&gt;"I"),(Y3299&lt;&gt;"~"),(COUNTIF($AN$1:$AN3299,$AN3299)=1)),"TRUE","FALSE")</f>
        <v>FALSE</v>
      </c>
      <c r="AI3299" s="661" t="str">
        <f t="shared" si="362"/>
        <v>II</v>
      </c>
      <c r="AJ3299" s="662" t="str">
        <f t="shared" si="356"/>
        <v>RM25-122</v>
      </c>
      <c r="AK3299" s="662" t="str">
        <f t="shared" si="357"/>
        <v>LTK</v>
      </c>
      <c r="AL3299" s="662" t="str">
        <f t="shared" si="358"/>
        <v>RAM</v>
      </c>
      <c r="AM3299" s="662" t="str">
        <f t="shared" si="361"/>
        <v>Ram 2500-Tradesman Crew Cab-4WD-6-6'4"-17160-6.7L Hemi/3.42 axle ratio-8-DJ7L91-2FA-149.4-31-Diesel-BioDiesel</v>
      </c>
      <c r="AN3299" s="662" t="str">
        <f t="shared" si="359"/>
        <v>2019-LTK-RAM-RM25-122</v>
      </c>
    </row>
    <row r="3300" spans="1:40" ht="15">
      <c r="A3300" s="570" t="s">
        <v>5830</v>
      </c>
      <c r="B3300" s="569" t="s">
        <v>5831</v>
      </c>
      <c r="C3300" s="569" t="s">
        <v>226</v>
      </c>
      <c r="D3300" s="580" t="s">
        <v>227</v>
      </c>
      <c r="E3300" s="569" t="s">
        <v>3374</v>
      </c>
      <c r="F3300" s="569" t="s">
        <v>196</v>
      </c>
      <c r="G3300" s="569" t="s">
        <v>3265</v>
      </c>
      <c r="H3300" s="569">
        <v>2019</v>
      </c>
      <c r="I3300" s="569" t="s">
        <v>5645</v>
      </c>
      <c r="J3300" s="569" t="s">
        <v>5450</v>
      </c>
      <c r="K3300" s="569" t="s">
        <v>752</v>
      </c>
      <c r="L3300" s="569">
        <v>6</v>
      </c>
      <c r="M3300" s="569">
        <v>0</v>
      </c>
      <c r="N3300" s="569" t="s">
        <v>157</v>
      </c>
      <c r="O3300" s="569">
        <v>2</v>
      </c>
      <c r="P3300" s="569" t="s">
        <v>3846</v>
      </c>
      <c r="Q3300" s="568">
        <v>11010</v>
      </c>
      <c r="R3300" s="569" t="s">
        <v>5699</v>
      </c>
      <c r="S3300" s="569">
        <v>8</v>
      </c>
      <c r="T3300" s="569" t="s">
        <v>5832</v>
      </c>
      <c r="U3300" s="569" t="s">
        <v>5760</v>
      </c>
      <c r="V3300" s="569">
        <v>169</v>
      </c>
      <c r="W3300" s="569">
        <v>32</v>
      </c>
      <c r="X3300" s="568">
        <v>9000</v>
      </c>
      <c r="Y3300" s="569">
        <v>14</v>
      </c>
      <c r="Z3300" s="581" t="s">
        <v>178</v>
      </c>
      <c r="AA3300" s="581" t="s">
        <v>178</v>
      </c>
      <c r="AB3300" s="585">
        <v>40540</v>
      </c>
      <c r="AC3300" s="585" t="s">
        <v>164</v>
      </c>
      <c r="AD3300" s="585">
        <v>33229</v>
      </c>
      <c r="AE3300" s="587">
        <v>6.25E-2</v>
      </c>
      <c r="AF3300" s="661" t="str">
        <f t="shared" si="360"/>
        <v>2019-LTK-RAM-RM25-123-04</v>
      </c>
      <c r="AG3300" s="661" t="str">
        <f>IF(AND($Y3300&gt;=32,(AI3300="I"),(Y3300&lt;&gt;"~"),(COUNTIF($AN$1:$AN3300,$AN3300)=1)),"TRUE","FALSE")</f>
        <v>FALSE</v>
      </c>
      <c r="AH3300" s="661" t="str">
        <f>IF(AND($Y3300&gt;=22, (AI3300&lt;&gt;"I"),(Y3300&lt;&gt;"~"),(COUNTIF($AN$1:$AN3300,$AN3300)=1)),"TRUE","FALSE")</f>
        <v>FALSE</v>
      </c>
      <c r="AI3300" s="661" t="str">
        <f t="shared" si="362"/>
        <v>II</v>
      </c>
      <c r="AJ3300" s="662" t="str">
        <f t="shared" si="356"/>
        <v>RM25-123</v>
      </c>
      <c r="AK3300" s="662" t="str">
        <f t="shared" si="357"/>
        <v>LTK</v>
      </c>
      <c r="AL3300" s="662" t="str">
        <f t="shared" si="358"/>
        <v>RAM</v>
      </c>
      <c r="AM3300" s="662" t="str">
        <f t="shared" si="361"/>
        <v>Ram 2500-Tradesman Crew Cab-4WD-6-8'-11010-5.7L Hemi/3.73 axle ratio-8-DJ7L92-26A-169-32-Unleaded-Unleaded</v>
      </c>
      <c r="AN3300" s="662" t="str">
        <f t="shared" si="359"/>
        <v>2019-LTK-RAM-RM25-123</v>
      </c>
    </row>
    <row r="3301" spans="1:40" ht="15">
      <c r="A3301" s="570" t="s">
        <v>5833</v>
      </c>
      <c r="B3301" s="573" t="s">
        <v>5834</v>
      </c>
      <c r="C3301" s="573" t="s">
        <v>226</v>
      </c>
      <c r="D3301" s="578" t="s">
        <v>227</v>
      </c>
      <c r="E3301" s="573" t="s">
        <v>3374</v>
      </c>
      <c r="F3301" s="573" t="s">
        <v>196</v>
      </c>
      <c r="G3301" s="573" t="s">
        <v>3265</v>
      </c>
      <c r="H3301" s="573">
        <v>2019</v>
      </c>
      <c r="I3301" s="573" t="s">
        <v>5645</v>
      </c>
      <c r="J3301" s="573" t="s">
        <v>5450</v>
      </c>
      <c r="K3301" s="573" t="s">
        <v>752</v>
      </c>
      <c r="L3301" s="573">
        <v>6</v>
      </c>
      <c r="M3301" s="573">
        <v>0</v>
      </c>
      <c r="N3301" s="573" t="s">
        <v>157</v>
      </c>
      <c r="O3301" s="573">
        <v>2</v>
      </c>
      <c r="P3301" s="573" t="s">
        <v>3846</v>
      </c>
      <c r="Q3301" s="571">
        <v>12470</v>
      </c>
      <c r="R3301" s="573" t="s">
        <v>5676</v>
      </c>
      <c r="S3301" s="573">
        <v>8</v>
      </c>
      <c r="T3301" s="573" t="s">
        <v>5832</v>
      </c>
      <c r="U3301" s="573" t="s">
        <v>931</v>
      </c>
      <c r="V3301" s="573">
        <v>169</v>
      </c>
      <c r="W3301" s="573">
        <v>32</v>
      </c>
      <c r="X3301" s="571">
        <v>9000</v>
      </c>
      <c r="Y3301" s="573">
        <v>14</v>
      </c>
      <c r="Z3301" s="579" t="s">
        <v>178</v>
      </c>
      <c r="AA3301" s="579" t="s">
        <v>178</v>
      </c>
      <c r="AB3301" s="584">
        <v>41040</v>
      </c>
      <c r="AC3301" s="584" t="s">
        <v>164</v>
      </c>
      <c r="AD3301" s="584">
        <v>33681</v>
      </c>
      <c r="AE3301" s="586">
        <v>6.25E-2</v>
      </c>
      <c r="AF3301" s="661" t="str">
        <f t="shared" si="360"/>
        <v>2019-LTK-RAM-RM25-124-04</v>
      </c>
      <c r="AG3301" s="661" t="str">
        <f>IF(AND($Y3301&gt;=32,(AI3301="I"),(Y3301&lt;&gt;"~"),(COUNTIF($AN$1:$AN3301,$AN3301)=1)),"TRUE","FALSE")</f>
        <v>FALSE</v>
      </c>
      <c r="AH3301" s="661" t="str">
        <f>IF(AND($Y3301&gt;=22, (AI3301&lt;&gt;"I"),(Y3301&lt;&gt;"~"),(COUNTIF($AN$1:$AN3301,$AN3301)=1)),"TRUE","FALSE")</f>
        <v>FALSE</v>
      </c>
      <c r="AI3301" s="661" t="str">
        <f t="shared" si="362"/>
        <v>II</v>
      </c>
      <c r="AJ3301" s="662" t="str">
        <f t="shared" si="356"/>
        <v>RM25-124</v>
      </c>
      <c r="AK3301" s="662" t="str">
        <f t="shared" si="357"/>
        <v>LTK</v>
      </c>
      <c r="AL3301" s="662" t="str">
        <f t="shared" si="358"/>
        <v>RAM</v>
      </c>
      <c r="AM3301" s="662" t="str">
        <f t="shared" si="361"/>
        <v>Ram 2500-Tradesman Crew Cab-4WD-6-8'-12470-6.4L Hemi/3.73 axle ratio-8-DJ7L92-22A-169-32-Unleaded-Unleaded</v>
      </c>
      <c r="AN3301" s="662" t="str">
        <f t="shared" si="359"/>
        <v>2019-LTK-RAM-RM25-124</v>
      </c>
    </row>
    <row r="3302" spans="1:40" ht="15">
      <c r="A3302" s="570" t="s">
        <v>5835</v>
      </c>
      <c r="B3302" s="569" t="s">
        <v>5836</v>
      </c>
      <c r="C3302" s="569" t="s">
        <v>226</v>
      </c>
      <c r="D3302" s="580" t="s">
        <v>227</v>
      </c>
      <c r="E3302" s="569" t="s">
        <v>3374</v>
      </c>
      <c r="F3302" s="569" t="s">
        <v>196</v>
      </c>
      <c r="G3302" s="569" t="s">
        <v>3265</v>
      </c>
      <c r="H3302" s="569">
        <v>2019</v>
      </c>
      <c r="I3302" s="569" t="s">
        <v>5645</v>
      </c>
      <c r="J3302" s="569" t="s">
        <v>5450</v>
      </c>
      <c r="K3302" s="569" t="s">
        <v>752</v>
      </c>
      <c r="L3302" s="569">
        <v>6</v>
      </c>
      <c r="M3302" s="569">
        <v>0</v>
      </c>
      <c r="N3302" s="569" t="s">
        <v>157</v>
      </c>
      <c r="O3302" s="569">
        <v>2</v>
      </c>
      <c r="P3302" s="569" t="s">
        <v>3846</v>
      </c>
      <c r="Q3302" s="568">
        <v>16750</v>
      </c>
      <c r="R3302" s="569" t="s">
        <v>5705</v>
      </c>
      <c r="S3302" s="569">
        <v>8</v>
      </c>
      <c r="T3302" s="569" t="s">
        <v>5832</v>
      </c>
      <c r="U3302" s="569" t="s">
        <v>5767</v>
      </c>
      <c r="V3302" s="569">
        <v>169</v>
      </c>
      <c r="W3302" s="569">
        <v>32</v>
      </c>
      <c r="X3302" s="568">
        <v>10000</v>
      </c>
      <c r="Y3302" s="569">
        <v>14</v>
      </c>
      <c r="Z3302" s="581" t="s">
        <v>728</v>
      </c>
      <c r="AA3302" s="581" t="s">
        <v>1523</v>
      </c>
      <c r="AB3302" s="585">
        <v>49740</v>
      </c>
      <c r="AC3302" s="585" t="s">
        <v>164</v>
      </c>
      <c r="AD3302" s="585">
        <v>41721</v>
      </c>
      <c r="AE3302" s="587">
        <v>6.25E-2</v>
      </c>
      <c r="AF3302" s="661" t="str">
        <f t="shared" si="360"/>
        <v>2019-LTK-RAM-RM25-125-04</v>
      </c>
      <c r="AG3302" s="661" t="str">
        <f>IF(AND($Y3302&gt;=32,(AI3302="I"),(Y3302&lt;&gt;"~"),(COUNTIF($AN$1:$AN3302,$AN3302)=1)),"TRUE","FALSE")</f>
        <v>FALSE</v>
      </c>
      <c r="AH3302" s="661" t="str">
        <f>IF(AND($Y3302&gt;=22, (AI3302&lt;&gt;"I"),(Y3302&lt;&gt;"~"),(COUNTIF($AN$1:$AN3302,$AN3302)=1)),"TRUE","FALSE")</f>
        <v>FALSE</v>
      </c>
      <c r="AI3302" s="661" t="str">
        <f t="shared" si="362"/>
        <v>II</v>
      </c>
      <c r="AJ3302" s="662" t="str">
        <f t="shared" si="356"/>
        <v>RM25-125</v>
      </c>
      <c r="AK3302" s="662" t="str">
        <f t="shared" si="357"/>
        <v>LTK</v>
      </c>
      <c r="AL3302" s="662" t="str">
        <f t="shared" si="358"/>
        <v>RAM</v>
      </c>
      <c r="AM3302" s="662" t="str">
        <f t="shared" si="361"/>
        <v>Ram 2500-Tradesman Crew Cab-4WD-6-8'-16750-6.7L Diesel/3.42 axle ratio-8-DJ7L92-2FA-169-32-Diesel-BioDiesel</v>
      </c>
      <c r="AN3302" s="662" t="str">
        <f t="shared" si="359"/>
        <v>2019-LTK-RAM-RM25-125</v>
      </c>
    </row>
    <row r="3303" spans="1:40" ht="15">
      <c r="A3303" s="570" t="s">
        <v>5837</v>
      </c>
      <c r="B3303" s="573" t="s">
        <v>5838</v>
      </c>
      <c r="C3303" s="573" t="s">
        <v>226</v>
      </c>
      <c r="D3303" s="578" t="s">
        <v>227</v>
      </c>
      <c r="E3303" s="573" t="s">
        <v>3374</v>
      </c>
      <c r="F3303" s="573" t="s">
        <v>196</v>
      </c>
      <c r="G3303" s="573" t="s">
        <v>3265</v>
      </c>
      <c r="H3303" s="573">
        <v>2019</v>
      </c>
      <c r="I3303" s="573" t="s">
        <v>5645</v>
      </c>
      <c r="J3303" s="573" t="s">
        <v>5450</v>
      </c>
      <c r="K3303" s="573" t="s">
        <v>752</v>
      </c>
      <c r="L3303" s="573">
        <v>6</v>
      </c>
      <c r="M3303" s="573">
        <v>0</v>
      </c>
      <c r="N3303" s="573" t="s">
        <v>157</v>
      </c>
      <c r="O3303" s="573">
        <v>2</v>
      </c>
      <c r="P3303" s="573" t="s">
        <v>3846</v>
      </c>
      <c r="Q3303" s="571">
        <v>6820</v>
      </c>
      <c r="R3303" s="573" t="s">
        <v>5839</v>
      </c>
      <c r="S3303" s="573">
        <v>8</v>
      </c>
      <c r="T3303" s="573" t="s">
        <v>5832</v>
      </c>
      <c r="U3303" s="573" t="s">
        <v>653</v>
      </c>
      <c r="V3303" s="573">
        <v>169</v>
      </c>
      <c r="W3303" s="573">
        <v>32</v>
      </c>
      <c r="X3303" s="571">
        <v>9000</v>
      </c>
      <c r="Y3303" s="573">
        <v>14</v>
      </c>
      <c r="Z3303" s="579" t="s">
        <v>1529</v>
      </c>
      <c r="AA3303" s="579" t="s">
        <v>1529</v>
      </c>
      <c r="AB3303" s="584">
        <v>51540</v>
      </c>
      <c r="AC3303" s="584" t="s">
        <v>164</v>
      </c>
      <c r="AD3303" s="584">
        <v>42067</v>
      </c>
      <c r="AE3303" s="586">
        <v>6.25E-2</v>
      </c>
      <c r="AF3303" s="661" t="str">
        <f t="shared" si="360"/>
        <v>2019-LTK-RAM-RM25-126-04</v>
      </c>
      <c r="AG3303" s="661" t="str">
        <f>IF(AND($Y3303&gt;=32,(AI3303="I"),(Y3303&lt;&gt;"~"),(COUNTIF($AN$1:$AN3303,$AN3303)=1)),"TRUE","FALSE")</f>
        <v>FALSE</v>
      </c>
      <c r="AH3303" s="661" t="str">
        <f>IF(AND($Y3303&gt;=22, (AI3303&lt;&gt;"I"),(Y3303&lt;&gt;"~"),(COUNTIF($AN$1:$AN3303,$AN3303)=1)),"TRUE","FALSE")</f>
        <v>FALSE</v>
      </c>
      <c r="AI3303" s="661" t="str">
        <f t="shared" si="362"/>
        <v>II</v>
      </c>
      <c r="AJ3303" s="662" t="str">
        <f t="shared" si="356"/>
        <v>RM25-126</v>
      </c>
      <c r="AK3303" s="662" t="str">
        <f t="shared" si="357"/>
        <v>LTK</v>
      </c>
      <c r="AL3303" s="662" t="str">
        <f t="shared" si="358"/>
        <v>RAM</v>
      </c>
      <c r="AM3303" s="662" t="str">
        <f t="shared" si="361"/>
        <v>Ram 2500-Tradesman Crew Cab-4WD-6-8'-6820-5.7L HemiCNG/3.73 axle ratio-8-DJ7L92-27A-169-32-CNG-CNG</v>
      </c>
      <c r="AN3303" s="662" t="str">
        <f t="shared" si="359"/>
        <v>2019-LTK-RAM-RM25-126</v>
      </c>
    </row>
    <row r="3304" spans="1:40" ht="15">
      <c r="A3304" s="570" t="s">
        <v>5840</v>
      </c>
      <c r="B3304" s="569" t="s">
        <v>5841</v>
      </c>
      <c r="C3304" s="569" t="s">
        <v>240</v>
      </c>
      <c r="D3304" s="580" t="s">
        <v>241</v>
      </c>
      <c r="E3304" s="569" t="s">
        <v>3374</v>
      </c>
      <c r="F3304" s="569" t="s">
        <v>196</v>
      </c>
      <c r="G3304" s="569" t="s">
        <v>3265</v>
      </c>
      <c r="H3304" s="569">
        <v>2018</v>
      </c>
      <c r="I3304" s="569" t="s">
        <v>5645</v>
      </c>
      <c r="J3304" s="569" t="s">
        <v>5450</v>
      </c>
      <c r="K3304" s="569" t="s">
        <v>752</v>
      </c>
      <c r="L3304" s="569">
        <v>6</v>
      </c>
      <c r="M3304" s="569">
        <v>0</v>
      </c>
      <c r="N3304" s="569" t="s">
        <v>157</v>
      </c>
      <c r="O3304" s="569">
        <v>2</v>
      </c>
      <c r="P3304" s="569" t="s">
        <v>5405</v>
      </c>
      <c r="Q3304" s="568">
        <v>17170</v>
      </c>
      <c r="R3304" s="569" t="s">
        <v>5401</v>
      </c>
      <c r="S3304" s="569">
        <v>8</v>
      </c>
      <c r="T3304" s="569" t="s">
        <v>5821</v>
      </c>
      <c r="U3304" s="569" t="s">
        <v>5760</v>
      </c>
      <c r="V3304" s="569">
        <v>149.4</v>
      </c>
      <c r="W3304" s="569">
        <v>31</v>
      </c>
      <c r="X3304" s="568">
        <v>9000</v>
      </c>
      <c r="Y3304" s="569">
        <v>14</v>
      </c>
      <c r="Z3304" s="581" t="s">
        <v>178</v>
      </c>
      <c r="AA3304" s="581" t="s">
        <v>178</v>
      </c>
      <c r="AB3304" s="585">
        <v>40655</v>
      </c>
      <c r="AC3304" s="585" t="s">
        <v>164</v>
      </c>
      <c r="AD3304" s="585">
        <v>27123</v>
      </c>
      <c r="AE3304" s="587">
        <v>0.05</v>
      </c>
      <c r="AF3304" s="661" t="str">
        <f t="shared" si="360"/>
        <v>2018-LTK-RAM-RM25-071-08</v>
      </c>
      <c r="AG3304" s="661" t="str">
        <f>IF(AND($Y3304&gt;=32,(AI3304="I"),(Y3304&lt;&gt;"~"),(COUNTIF($AN$1:$AN3304,$AN3304)=1)),"TRUE","FALSE")</f>
        <v>FALSE</v>
      </c>
      <c r="AH3304" s="661" t="str">
        <f>IF(AND($Y3304&gt;=22, (AI3304&lt;&gt;"I"),(Y3304&lt;&gt;"~"),(COUNTIF($AN$1:$AN3304,$AN3304)=1)),"TRUE","FALSE")</f>
        <v>FALSE</v>
      </c>
      <c r="AI3304" s="661" t="str">
        <f t="shared" si="362"/>
        <v>II</v>
      </c>
      <c r="AJ3304" s="662" t="str">
        <f t="shared" si="356"/>
        <v>RM25-071</v>
      </c>
      <c r="AK3304" s="662" t="str">
        <f t="shared" si="357"/>
        <v>LTK</v>
      </c>
      <c r="AL3304" s="662" t="str">
        <f t="shared" si="358"/>
        <v>RAM</v>
      </c>
      <c r="AM3304" s="662" t="str">
        <f t="shared" si="361"/>
        <v>Ram 2500-Tradesman Crew Cab-4WD-6-6'4"-17170-5.7L Hemi-8-DJ7L91-26A-149.4-31-Unleaded-Unleaded</v>
      </c>
      <c r="AN3304" s="662" t="str">
        <f t="shared" si="359"/>
        <v>2018-LTK-RAM-RM25-071</v>
      </c>
    </row>
    <row r="3305" spans="1:40" ht="15">
      <c r="A3305" s="570" t="s">
        <v>5842</v>
      </c>
      <c r="B3305" s="573" t="s">
        <v>5843</v>
      </c>
      <c r="C3305" s="573" t="s">
        <v>240</v>
      </c>
      <c r="D3305" s="578" t="s">
        <v>241</v>
      </c>
      <c r="E3305" s="573" t="s">
        <v>3374</v>
      </c>
      <c r="F3305" s="573" t="s">
        <v>196</v>
      </c>
      <c r="G3305" s="573" t="s">
        <v>3265</v>
      </c>
      <c r="H3305" s="573">
        <v>2018</v>
      </c>
      <c r="I3305" s="573" t="s">
        <v>5645</v>
      </c>
      <c r="J3305" s="573" t="s">
        <v>5450</v>
      </c>
      <c r="K3305" s="573" t="s">
        <v>752</v>
      </c>
      <c r="L3305" s="573">
        <v>6</v>
      </c>
      <c r="M3305" s="573">
        <v>0</v>
      </c>
      <c r="N3305" s="573" t="s">
        <v>157</v>
      </c>
      <c r="O3305" s="573">
        <v>2</v>
      </c>
      <c r="P3305" s="573" t="s">
        <v>5405</v>
      </c>
      <c r="Q3305" s="571">
        <v>17170</v>
      </c>
      <c r="R3305" s="573" t="s">
        <v>5646</v>
      </c>
      <c r="S3305" s="573">
        <v>8</v>
      </c>
      <c r="T3305" s="573" t="s">
        <v>5821</v>
      </c>
      <c r="U3305" s="573" t="s">
        <v>931</v>
      </c>
      <c r="V3305" s="573">
        <v>149.4</v>
      </c>
      <c r="W3305" s="573">
        <v>31</v>
      </c>
      <c r="X3305" s="571">
        <v>10000</v>
      </c>
      <c r="Y3305" s="573">
        <v>14</v>
      </c>
      <c r="Z3305" s="579" t="s">
        <v>178</v>
      </c>
      <c r="AA3305" s="579" t="s">
        <v>178</v>
      </c>
      <c r="AB3305" s="584">
        <v>41155</v>
      </c>
      <c r="AC3305" s="584" t="s">
        <v>164</v>
      </c>
      <c r="AD3305" s="584">
        <v>27581</v>
      </c>
      <c r="AE3305" s="586">
        <v>0.05</v>
      </c>
      <c r="AF3305" s="661" t="str">
        <f t="shared" si="360"/>
        <v>2018-LTK-RAM-RM25-072-08</v>
      </c>
      <c r="AG3305" s="661" t="str">
        <f>IF(AND($Y3305&gt;=32,(AI3305="I"),(Y3305&lt;&gt;"~"),(COUNTIF($AN$1:$AN3305,$AN3305)=1)),"TRUE","FALSE")</f>
        <v>FALSE</v>
      </c>
      <c r="AH3305" s="661" t="str">
        <f>IF(AND($Y3305&gt;=22, (AI3305&lt;&gt;"I"),(Y3305&lt;&gt;"~"),(COUNTIF($AN$1:$AN3305,$AN3305)=1)),"TRUE","FALSE")</f>
        <v>FALSE</v>
      </c>
      <c r="AI3305" s="661" t="str">
        <f t="shared" si="362"/>
        <v>II</v>
      </c>
      <c r="AJ3305" s="662" t="str">
        <f t="shared" si="356"/>
        <v>RM25-072</v>
      </c>
      <c r="AK3305" s="662" t="str">
        <f t="shared" si="357"/>
        <v>LTK</v>
      </c>
      <c r="AL3305" s="662" t="str">
        <f t="shared" si="358"/>
        <v>RAM</v>
      </c>
      <c r="AM3305" s="662" t="str">
        <f t="shared" si="361"/>
        <v>Ram 2500-Tradesman Crew Cab-4WD-6-6'4"-17170-6.4L Mid Duty Hemi-8-DJ7L91-22A-149.4-31-Unleaded-Unleaded</v>
      </c>
      <c r="AN3305" s="662" t="str">
        <f t="shared" si="359"/>
        <v>2018-LTK-RAM-RM25-072</v>
      </c>
    </row>
    <row r="3306" spans="1:40" ht="15">
      <c r="A3306" s="570" t="s">
        <v>5844</v>
      </c>
      <c r="B3306" s="569" t="s">
        <v>5845</v>
      </c>
      <c r="C3306" s="569" t="s">
        <v>240</v>
      </c>
      <c r="D3306" s="580" t="s">
        <v>241</v>
      </c>
      <c r="E3306" s="569" t="s">
        <v>3374</v>
      </c>
      <c r="F3306" s="569" t="s">
        <v>196</v>
      </c>
      <c r="G3306" s="569" t="s">
        <v>3265</v>
      </c>
      <c r="H3306" s="569">
        <v>2018</v>
      </c>
      <c r="I3306" s="569" t="s">
        <v>5645</v>
      </c>
      <c r="J3306" s="569" t="s">
        <v>5450</v>
      </c>
      <c r="K3306" s="569" t="s">
        <v>752</v>
      </c>
      <c r="L3306" s="569">
        <v>6</v>
      </c>
      <c r="M3306" s="569">
        <v>0</v>
      </c>
      <c r="N3306" s="569" t="s">
        <v>157</v>
      </c>
      <c r="O3306" s="569">
        <v>2</v>
      </c>
      <c r="P3306" s="569" t="s">
        <v>5405</v>
      </c>
      <c r="Q3306" s="568">
        <v>17170</v>
      </c>
      <c r="R3306" s="569" t="s">
        <v>4231</v>
      </c>
      <c r="S3306" s="569">
        <v>8</v>
      </c>
      <c r="T3306" s="569" t="s">
        <v>5821</v>
      </c>
      <c r="U3306" s="569" t="s">
        <v>5767</v>
      </c>
      <c r="V3306" s="569">
        <v>149.4</v>
      </c>
      <c r="W3306" s="569">
        <v>31</v>
      </c>
      <c r="X3306" s="568">
        <v>10000</v>
      </c>
      <c r="Y3306" s="569">
        <v>14</v>
      </c>
      <c r="Z3306" s="581" t="s">
        <v>728</v>
      </c>
      <c r="AA3306" s="581" t="s">
        <v>1523</v>
      </c>
      <c r="AB3306" s="585">
        <v>49855</v>
      </c>
      <c r="AC3306" s="585" t="s">
        <v>164</v>
      </c>
      <c r="AD3306" s="585">
        <v>35488</v>
      </c>
      <c r="AE3306" s="587">
        <v>0.05</v>
      </c>
      <c r="AF3306" s="661" t="str">
        <f t="shared" si="360"/>
        <v>2018-LTK-RAM-RM25-073-08</v>
      </c>
      <c r="AG3306" s="661" t="str">
        <f>IF(AND($Y3306&gt;=32,(AI3306="I"),(Y3306&lt;&gt;"~"),(COUNTIF($AN$1:$AN3306,$AN3306)=1)),"TRUE","FALSE")</f>
        <v>FALSE</v>
      </c>
      <c r="AH3306" s="661" t="str">
        <f>IF(AND($Y3306&gt;=22, (AI3306&lt;&gt;"I"),(Y3306&lt;&gt;"~"),(COUNTIF($AN$1:$AN3306,$AN3306)=1)),"TRUE","FALSE")</f>
        <v>FALSE</v>
      </c>
      <c r="AI3306" s="661" t="str">
        <f t="shared" si="362"/>
        <v>II</v>
      </c>
      <c r="AJ3306" s="662" t="str">
        <f t="shared" si="356"/>
        <v>RM25-073</v>
      </c>
      <c r="AK3306" s="662" t="str">
        <f t="shared" si="357"/>
        <v>LTK</v>
      </c>
      <c r="AL3306" s="662" t="str">
        <f t="shared" si="358"/>
        <v>RAM</v>
      </c>
      <c r="AM3306" s="662" t="str">
        <f t="shared" si="361"/>
        <v>Ram 2500-Tradesman Crew Cab-4WD-6-6'4"-17170-6.7L Diesel-8-DJ7L91-2FA-149.4-31-Diesel-BioDiesel</v>
      </c>
      <c r="AN3306" s="662" t="str">
        <f t="shared" si="359"/>
        <v>2018-LTK-RAM-RM25-073</v>
      </c>
    </row>
    <row r="3307" spans="1:40" ht="15">
      <c r="A3307" s="570" t="s">
        <v>5846</v>
      </c>
      <c r="B3307" s="573" t="s">
        <v>5847</v>
      </c>
      <c r="C3307" s="573" t="s">
        <v>240</v>
      </c>
      <c r="D3307" s="578" t="s">
        <v>241</v>
      </c>
      <c r="E3307" s="573" t="s">
        <v>3374</v>
      </c>
      <c r="F3307" s="573" t="s">
        <v>196</v>
      </c>
      <c r="G3307" s="573" t="s">
        <v>3265</v>
      </c>
      <c r="H3307" s="573">
        <v>2018</v>
      </c>
      <c r="I3307" s="573" t="s">
        <v>5645</v>
      </c>
      <c r="J3307" s="573" t="s">
        <v>5450</v>
      </c>
      <c r="K3307" s="573" t="s">
        <v>752</v>
      </c>
      <c r="L3307" s="573">
        <v>6</v>
      </c>
      <c r="M3307" s="573">
        <v>0</v>
      </c>
      <c r="N3307" s="573" t="s">
        <v>157</v>
      </c>
      <c r="O3307" s="573">
        <v>2</v>
      </c>
      <c r="P3307" s="573" t="s">
        <v>3846</v>
      </c>
      <c r="Q3307" s="571">
        <v>17010</v>
      </c>
      <c r="R3307" s="573" t="s">
        <v>5689</v>
      </c>
      <c r="S3307" s="573">
        <v>8</v>
      </c>
      <c r="T3307" s="573" t="s">
        <v>5832</v>
      </c>
      <c r="U3307" s="573" t="s">
        <v>653</v>
      </c>
      <c r="V3307" s="573">
        <v>169</v>
      </c>
      <c r="W3307" s="573">
        <v>32</v>
      </c>
      <c r="X3307" s="571">
        <v>9000</v>
      </c>
      <c r="Y3307" s="573">
        <v>14</v>
      </c>
      <c r="Z3307" s="579" t="s">
        <v>1529</v>
      </c>
      <c r="AA3307" s="579" t="s">
        <v>1529</v>
      </c>
      <c r="AB3307" s="584">
        <v>51855</v>
      </c>
      <c r="AC3307" s="584" t="s">
        <v>164</v>
      </c>
      <c r="AD3307" s="584">
        <v>34018</v>
      </c>
      <c r="AE3307" s="586">
        <v>0.05</v>
      </c>
      <c r="AF3307" s="661" t="str">
        <f t="shared" si="360"/>
        <v>2018-LTK-RAM-RM25-077-08</v>
      </c>
      <c r="AG3307" s="661" t="str">
        <f>IF(AND($Y3307&gt;=32,(AI3307="I"),(Y3307&lt;&gt;"~"),(COUNTIF($AN$1:$AN3307,$AN3307)=1)),"TRUE","FALSE")</f>
        <v>FALSE</v>
      </c>
      <c r="AH3307" s="661" t="str">
        <f>IF(AND($Y3307&gt;=22, (AI3307&lt;&gt;"I"),(Y3307&lt;&gt;"~"),(COUNTIF($AN$1:$AN3307,$AN3307)=1)),"TRUE","FALSE")</f>
        <v>FALSE</v>
      </c>
      <c r="AI3307" s="661" t="str">
        <f t="shared" si="362"/>
        <v>II</v>
      </c>
      <c r="AJ3307" s="662" t="str">
        <f t="shared" si="356"/>
        <v>RM25-077</v>
      </c>
      <c r="AK3307" s="662" t="str">
        <f t="shared" si="357"/>
        <v>LTK</v>
      </c>
      <c r="AL3307" s="662" t="str">
        <f t="shared" si="358"/>
        <v>RAM</v>
      </c>
      <c r="AM3307" s="662" t="str">
        <f t="shared" si="361"/>
        <v>Ram 2500-Tradesman Crew Cab-4WD-6-8'-17010-5.7L Hemi CNG-8-DJ7L92-27A-169-32-CNG-CNG</v>
      </c>
      <c r="AN3307" s="662" t="str">
        <f t="shared" si="359"/>
        <v>2018-LTK-RAM-RM25-077</v>
      </c>
    </row>
    <row r="3308" spans="1:40" ht="15">
      <c r="A3308" s="570" t="s">
        <v>5848</v>
      </c>
      <c r="B3308" s="569" t="s">
        <v>5849</v>
      </c>
      <c r="C3308" s="569" t="s">
        <v>240</v>
      </c>
      <c r="D3308" s="580" t="s">
        <v>241</v>
      </c>
      <c r="E3308" s="569" t="s">
        <v>3374</v>
      </c>
      <c r="F3308" s="569" t="s">
        <v>196</v>
      </c>
      <c r="G3308" s="569" t="s">
        <v>3265</v>
      </c>
      <c r="H3308" s="569">
        <v>2018</v>
      </c>
      <c r="I3308" s="569" t="s">
        <v>5645</v>
      </c>
      <c r="J3308" s="569" t="s">
        <v>5450</v>
      </c>
      <c r="K3308" s="569" t="s">
        <v>752</v>
      </c>
      <c r="L3308" s="569">
        <v>6</v>
      </c>
      <c r="M3308" s="569">
        <v>0</v>
      </c>
      <c r="N3308" s="569" t="s">
        <v>157</v>
      </c>
      <c r="O3308" s="569">
        <v>2</v>
      </c>
      <c r="P3308" s="569" t="s">
        <v>3846</v>
      </c>
      <c r="Q3308" s="568">
        <v>17010</v>
      </c>
      <c r="R3308" s="569" t="s">
        <v>5401</v>
      </c>
      <c r="S3308" s="569">
        <v>8</v>
      </c>
      <c r="T3308" s="569" t="s">
        <v>5832</v>
      </c>
      <c r="U3308" s="569" t="s">
        <v>5760</v>
      </c>
      <c r="V3308" s="569">
        <v>169</v>
      </c>
      <c r="W3308" s="569">
        <v>32</v>
      </c>
      <c r="X3308" s="568">
        <v>9000</v>
      </c>
      <c r="Y3308" s="569">
        <v>14</v>
      </c>
      <c r="Z3308" s="581" t="s">
        <v>178</v>
      </c>
      <c r="AA3308" s="581" t="s">
        <v>178</v>
      </c>
      <c r="AB3308" s="585">
        <v>40855</v>
      </c>
      <c r="AC3308" s="585" t="s">
        <v>164</v>
      </c>
      <c r="AD3308" s="585">
        <v>27301</v>
      </c>
      <c r="AE3308" s="587">
        <v>0.05</v>
      </c>
      <c r="AF3308" s="661" t="str">
        <f t="shared" si="360"/>
        <v>2018-LTK-RAM-RM25-078-08</v>
      </c>
      <c r="AG3308" s="661" t="str">
        <f>IF(AND($Y3308&gt;=32,(AI3308="I"),(Y3308&lt;&gt;"~"),(COUNTIF($AN$1:$AN3308,$AN3308)=1)),"TRUE","FALSE")</f>
        <v>FALSE</v>
      </c>
      <c r="AH3308" s="661" t="str">
        <f>IF(AND($Y3308&gt;=22, (AI3308&lt;&gt;"I"),(Y3308&lt;&gt;"~"),(COUNTIF($AN$1:$AN3308,$AN3308)=1)),"TRUE","FALSE")</f>
        <v>FALSE</v>
      </c>
      <c r="AI3308" s="661" t="str">
        <f t="shared" si="362"/>
        <v>II</v>
      </c>
      <c r="AJ3308" s="662" t="str">
        <f t="shared" si="356"/>
        <v>RM25-078</v>
      </c>
      <c r="AK3308" s="662" t="str">
        <f t="shared" si="357"/>
        <v>LTK</v>
      </c>
      <c r="AL3308" s="662" t="str">
        <f t="shared" si="358"/>
        <v>RAM</v>
      </c>
      <c r="AM3308" s="662" t="str">
        <f t="shared" si="361"/>
        <v>Ram 2500-Tradesman Crew Cab-4WD-6-8'-17010-5.7L Hemi-8-DJ7L92-26A-169-32-Unleaded-Unleaded</v>
      </c>
      <c r="AN3308" s="662" t="str">
        <f t="shared" si="359"/>
        <v>2018-LTK-RAM-RM25-078</v>
      </c>
    </row>
    <row r="3309" spans="1:40" ht="15">
      <c r="A3309" s="570" t="s">
        <v>5850</v>
      </c>
      <c r="B3309" s="573" t="s">
        <v>5851</v>
      </c>
      <c r="C3309" s="573" t="s">
        <v>240</v>
      </c>
      <c r="D3309" s="578" t="s">
        <v>241</v>
      </c>
      <c r="E3309" s="573" t="s">
        <v>3374</v>
      </c>
      <c r="F3309" s="573" t="s">
        <v>196</v>
      </c>
      <c r="G3309" s="573" t="s">
        <v>3265</v>
      </c>
      <c r="H3309" s="573">
        <v>2018</v>
      </c>
      <c r="I3309" s="573" t="s">
        <v>5645</v>
      </c>
      <c r="J3309" s="573" t="s">
        <v>5450</v>
      </c>
      <c r="K3309" s="573" t="s">
        <v>752</v>
      </c>
      <c r="L3309" s="573">
        <v>6</v>
      </c>
      <c r="M3309" s="573">
        <v>0</v>
      </c>
      <c r="N3309" s="573" t="s">
        <v>157</v>
      </c>
      <c r="O3309" s="573">
        <v>2</v>
      </c>
      <c r="P3309" s="573" t="s">
        <v>3846</v>
      </c>
      <c r="Q3309" s="571">
        <v>17010</v>
      </c>
      <c r="R3309" s="573" t="s">
        <v>5646</v>
      </c>
      <c r="S3309" s="573">
        <v>8</v>
      </c>
      <c r="T3309" s="573" t="s">
        <v>5832</v>
      </c>
      <c r="U3309" s="573" t="s">
        <v>931</v>
      </c>
      <c r="V3309" s="573">
        <v>169</v>
      </c>
      <c r="W3309" s="573">
        <v>32</v>
      </c>
      <c r="X3309" s="571">
        <v>10000</v>
      </c>
      <c r="Y3309" s="573">
        <v>14</v>
      </c>
      <c r="Z3309" s="579" t="s">
        <v>178</v>
      </c>
      <c r="AA3309" s="579" t="s">
        <v>178</v>
      </c>
      <c r="AB3309" s="584">
        <v>41355</v>
      </c>
      <c r="AC3309" s="584" t="s">
        <v>164</v>
      </c>
      <c r="AD3309" s="584">
        <v>27759</v>
      </c>
      <c r="AE3309" s="586">
        <v>0.05</v>
      </c>
      <c r="AF3309" s="661" t="str">
        <f t="shared" si="360"/>
        <v>2018-LTK-RAM-RM25-079-08</v>
      </c>
      <c r="AG3309" s="661" t="str">
        <f>IF(AND($Y3309&gt;=32,(AI3309="I"),(Y3309&lt;&gt;"~"),(COUNTIF($AN$1:$AN3309,$AN3309)=1)),"TRUE","FALSE")</f>
        <v>FALSE</v>
      </c>
      <c r="AH3309" s="661" t="str">
        <f>IF(AND($Y3309&gt;=22, (AI3309&lt;&gt;"I"),(Y3309&lt;&gt;"~"),(COUNTIF($AN$1:$AN3309,$AN3309)=1)),"TRUE","FALSE")</f>
        <v>FALSE</v>
      </c>
      <c r="AI3309" s="661" t="str">
        <f t="shared" si="362"/>
        <v>II</v>
      </c>
      <c r="AJ3309" s="662" t="str">
        <f t="shared" si="356"/>
        <v>RM25-079</v>
      </c>
      <c r="AK3309" s="662" t="str">
        <f t="shared" si="357"/>
        <v>LTK</v>
      </c>
      <c r="AL3309" s="662" t="str">
        <f t="shared" si="358"/>
        <v>RAM</v>
      </c>
      <c r="AM3309" s="662" t="str">
        <f t="shared" si="361"/>
        <v>Ram 2500-Tradesman Crew Cab-4WD-6-8'-17010-6.4L Mid Duty Hemi-8-DJ7L92-22A-169-32-Unleaded-Unleaded</v>
      </c>
      <c r="AN3309" s="662" t="str">
        <f t="shared" si="359"/>
        <v>2018-LTK-RAM-RM25-079</v>
      </c>
    </row>
    <row r="3310" spans="1:40" ht="15">
      <c r="A3310" s="570" t="s">
        <v>5852</v>
      </c>
      <c r="B3310" s="569" t="s">
        <v>5853</v>
      </c>
      <c r="C3310" s="569" t="s">
        <v>240</v>
      </c>
      <c r="D3310" s="580" t="s">
        <v>241</v>
      </c>
      <c r="E3310" s="569" t="s">
        <v>3374</v>
      </c>
      <c r="F3310" s="569" t="s">
        <v>196</v>
      </c>
      <c r="G3310" s="569" t="s">
        <v>3265</v>
      </c>
      <c r="H3310" s="569">
        <v>2018</v>
      </c>
      <c r="I3310" s="569" t="s">
        <v>5645</v>
      </c>
      <c r="J3310" s="569" t="s">
        <v>5450</v>
      </c>
      <c r="K3310" s="569" t="s">
        <v>752</v>
      </c>
      <c r="L3310" s="569">
        <v>6</v>
      </c>
      <c r="M3310" s="569">
        <v>0</v>
      </c>
      <c r="N3310" s="569" t="s">
        <v>157</v>
      </c>
      <c r="O3310" s="569">
        <v>2</v>
      </c>
      <c r="P3310" s="569" t="s">
        <v>3846</v>
      </c>
      <c r="Q3310" s="568">
        <v>17010</v>
      </c>
      <c r="R3310" s="569" t="s">
        <v>4231</v>
      </c>
      <c r="S3310" s="569">
        <v>8</v>
      </c>
      <c r="T3310" s="569" t="s">
        <v>5832</v>
      </c>
      <c r="U3310" s="569" t="s">
        <v>5767</v>
      </c>
      <c r="V3310" s="569">
        <v>169</v>
      </c>
      <c r="W3310" s="569">
        <v>32</v>
      </c>
      <c r="X3310" s="568">
        <v>10000</v>
      </c>
      <c r="Y3310" s="569">
        <v>14</v>
      </c>
      <c r="Z3310" s="581" t="s">
        <v>728</v>
      </c>
      <c r="AA3310" s="581" t="s">
        <v>1523</v>
      </c>
      <c r="AB3310" s="585">
        <v>50055</v>
      </c>
      <c r="AC3310" s="585" t="s">
        <v>164</v>
      </c>
      <c r="AD3310" s="585">
        <v>35658</v>
      </c>
      <c r="AE3310" s="587">
        <v>0.05</v>
      </c>
      <c r="AF3310" s="661" t="str">
        <f t="shared" si="360"/>
        <v>2018-LTK-RAM-RM25-080-08</v>
      </c>
      <c r="AG3310" s="661" t="str">
        <f>IF(AND($Y3310&gt;=32,(AI3310="I"),(Y3310&lt;&gt;"~"),(COUNTIF($AN$1:$AN3310,$AN3310)=1)),"TRUE","FALSE")</f>
        <v>FALSE</v>
      </c>
      <c r="AH3310" s="661" t="str">
        <f>IF(AND($Y3310&gt;=22, (AI3310&lt;&gt;"I"),(Y3310&lt;&gt;"~"),(COUNTIF($AN$1:$AN3310,$AN3310)=1)),"TRUE","FALSE")</f>
        <v>FALSE</v>
      </c>
      <c r="AI3310" s="661" t="str">
        <f t="shared" si="362"/>
        <v>II</v>
      </c>
      <c r="AJ3310" s="662" t="str">
        <f t="shared" si="356"/>
        <v>RM25-080</v>
      </c>
      <c r="AK3310" s="662" t="str">
        <f t="shared" si="357"/>
        <v>LTK</v>
      </c>
      <c r="AL3310" s="662" t="str">
        <f t="shared" si="358"/>
        <v>RAM</v>
      </c>
      <c r="AM3310" s="662" t="str">
        <f t="shared" si="361"/>
        <v>Ram 2500-Tradesman Crew Cab-4WD-6-8'-17010-6.7L Diesel-8-DJ7L92-2FA-169-32-Diesel-BioDiesel</v>
      </c>
      <c r="AN3310" s="662" t="str">
        <f t="shared" si="359"/>
        <v>2018-LTK-RAM-RM25-080</v>
      </c>
    </row>
    <row r="3311" spans="1:40" ht="15">
      <c r="A3311" s="570" t="s">
        <v>5854</v>
      </c>
      <c r="B3311" s="573" t="s">
        <v>5855</v>
      </c>
      <c r="C3311" s="573" t="s">
        <v>226</v>
      </c>
      <c r="D3311" s="578" t="s">
        <v>227</v>
      </c>
      <c r="E3311" s="573" t="s">
        <v>3374</v>
      </c>
      <c r="F3311" s="573" t="s">
        <v>187</v>
      </c>
      <c r="G3311" s="573" t="s">
        <v>3265</v>
      </c>
      <c r="H3311" s="573">
        <v>2019</v>
      </c>
      <c r="I3311" s="573" t="s">
        <v>5856</v>
      </c>
      <c r="J3311" s="573" t="s">
        <v>5698</v>
      </c>
      <c r="K3311" s="573" t="s">
        <v>3377</v>
      </c>
      <c r="L3311" s="573">
        <v>6</v>
      </c>
      <c r="M3311" s="573">
        <v>0</v>
      </c>
      <c r="N3311" s="573" t="s">
        <v>157</v>
      </c>
      <c r="O3311" s="573">
        <v>2</v>
      </c>
      <c r="P3311" s="573" t="s">
        <v>5405</v>
      </c>
      <c r="Q3311" s="571">
        <v>11210</v>
      </c>
      <c r="R3311" s="573" t="s">
        <v>5401</v>
      </c>
      <c r="S3311" s="573">
        <v>8</v>
      </c>
      <c r="T3311" s="573" t="s">
        <v>5857</v>
      </c>
      <c r="U3311" s="573" t="s">
        <v>5516</v>
      </c>
      <c r="V3311" s="573">
        <v>160</v>
      </c>
      <c r="W3311" s="573">
        <v>31</v>
      </c>
      <c r="X3311" s="571">
        <v>11000</v>
      </c>
      <c r="Y3311" s="569" t="s">
        <v>164</v>
      </c>
      <c r="Z3311" s="579" t="s">
        <v>178</v>
      </c>
      <c r="AA3311" s="579" t="s">
        <v>178</v>
      </c>
      <c r="AB3311" s="584">
        <v>45240</v>
      </c>
      <c r="AC3311" s="584" t="s">
        <v>164</v>
      </c>
      <c r="AD3311" s="584">
        <v>40384</v>
      </c>
      <c r="AE3311" s="586">
        <v>6.25E-2</v>
      </c>
      <c r="AF3311" s="661" t="str">
        <f t="shared" si="360"/>
        <v>2019-LTK-RAM-RM35-037-04</v>
      </c>
      <c r="AG3311" s="661" t="str">
        <f>IF(AND($Y3311&gt;=32,(AI3311="I"),(Y3311&lt;&gt;"~"),(COUNTIF($AN$1:$AN3311,$AN3311)=1)),"TRUE","FALSE")</f>
        <v>FALSE</v>
      </c>
      <c r="AH3311" s="661" t="str">
        <f>IF(AND($Y3311&gt;=22, (AI3311&lt;&gt;"I"),(Y3311&lt;&gt;"~"),(COUNTIF($AN$1:$AN3311,$AN3311)=1)),"TRUE","FALSE")</f>
        <v>TRUE</v>
      </c>
      <c r="AI3311" s="661" t="str">
        <f t="shared" si="362"/>
        <v>N/A</v>
      </c>
      <c r="AJ3311" s="662" t="str">
        <f t="shared" si="356"/>
        <v>RM35-037</v>
      </c>
      <c r="AK3311" s="662" t="str">
        <f t="shared" si="357"/>
        <v>LTK</v>
      </c>
      <c r="AL3311" s="662" t="str">
        <f t="shared" si="358"/>
        <v>RAM</v>
      </c>
      <c r="AM3311" s="662" t="str">
        <f t="shared" si="361"/>
        <v>Ram 3500-SLT Mega Cab-2WD-6-6'4"-11210-5.7L Hemi-8-D23H81-26G-160-31-Unleaded-Unleaded</v>
      </c>
      <c r="AN3311" s="662" t="str">
        <f t="shared" si="359"/>
        <v>2019-LTK-RAM-RM35-037</v>
      </c>
    </row>
    <row r="3312" spans="1:40" ht="15">
      <c r="A3312" s="570" t="s">
        <v>5858</v>
      </c>
      <c r="B3312" s="569" t="s">
        <v>5859</v>
      </c>
      <c r="C3312" s="569" t="s">
        <v>240</v>
      </c>
      <c r="D3312" s="580" t="s">
        <v>241</v>
      </c>
      <c r="E3312" s="569" t="s">
        <v>3374</v>
      </c>
      <c r="F3312" s="569" t="s">
        <v>187</v>
      </c>
      <c r="G3312" s="569" t="s">
        <v>3265</v>
      </c>
      <c r="H3312" s="569">
        <v>2018</v>
      </c>
      <c r="I3312" s="569" t="s">
        <v>5856</v>
      </c>
      <c r="J3312" s="569" t="s">
        <v>5698</v>
      </c>
      <c r="K3312" s="569" t="s">
        <v>3377</v>
      </c>
      <c r="L3312" s="569">
        <v>6</v>
      </c>
      <c r="M3312" s="569">
        <v>0</v>
      </c>
      <c r="N3312" s="569" t="s">
        <v>157</v>
      </c>
      <c r="O3312" s="569">
        <v>2</v>
      </c>
      <c r="P3312" s="569" t="s">
        <v>5405</v>
      </c>
      <c r="Q3312" s="568">
        <v>11270</v>
      </c>
      <c r="R3312" s="569" t="s">
        <v>5401</v>
      </c>
      <c r="S3312" s="569">
        <v>8</v>
      </c>
      <c r="T3312" s="569" t="s">
        <v>5857</v>
      </c>
      <c r="U3312" s="569" t="s">
        <v>5760</v>
      </c>
      <c r="V3312" s="569">
        <v>160</v>
      </c>
      <c r="W3312" s="569">
        <v>31</v>
      </c>
      <c r="X3312" s="568">
        <v>11000</v>
      </c>
      <c r="Y3312" s="569" t="s">
        <v>164</v>
      </c>
      <c r="Z3312" s="581" t="s">
        <v>178</v>
      </c>
      <c r="AA3312" s="581" t="s">
        <v>178</v>
      </c>
      <c r="AB3312" s="585">
        <v>45240</v>
      </c>
      <c r="AC3312" s="585" t="s">
        <v>164</v>
      </c>
      <c r="AD3312" s="585">
        <v>32370</v>
      </c>
      <c r="AE3312" s="587">
        <v>0.05</v>
      </c>
      <c r="AF3312" s="661" t="str">
        <f t="shared" si="360"/>
        <v>2018-LTK-RAM-RM35-005-08</v>
      </c>
      <c r="AG3312" s="661" t="str">
        <f>IF(AND($Y3312&gt;=32,(AI3312="I"),(Y3312&lt;&gt;"~"),(COUNTIF($AN$1:$AN3312,$AN3312)=1)),"TRUE","FALSE")</f>
        <v>FALSE</v>
      </c>
      <c r="AH3312" s="661" t="str">
        <f>IF(AND($Y3312&gt;=22, (AI3312&lt;&gt;"I"),(Y3312&lt;&gt;"~"),(COUNTIF($AN$1:$AN3312,$AN3312)=1)),"TRUE","FALSE")</f>
        <v>TRUE</v>
      </c>
      <c r="AI3312" s="661" t="str">
        <f t="shared" si="362"/>
        <v>N/A</v>
      </c>
      <c r="AJ3312" s="662" t="str">
        <f t="shared" si="356"/>
        <v>RM35-005</v>
      </c>
      <c r="AK3312" s="662" t="str">
        <f t="shared" si="357"/>
        <v>LTK</v>
      </c>
      <c r="AL3312" s="662" t="str">
        <f t="shared" si="358"/>
        <v>RAM</v>
      </c>
      <c r="AM3312" s="662" t="str">
        <f t="shared" si="361"/>
        <v>Ram 3500-SLT Mega Cab-2WD-6-6'4"-11270-5.7L Hemi-8-D23H81-26A-160-31-Unleaded-Unleaded</v>
      </c>
      <c r="AN3312" s="662" t="str">
        <f t="shared" si="359"/>
        <v>2018-LTK-RAM-RM35-005</v>
      </c>
    </row>
    <row r="3313" spans="1:40" ht="15">
      <c r="A3313" s="570" t="s">
        <v>5860</v>
      </c>
      <c r="B3313" s="573" t="s">
        <v>5861</v>
      </c>
      <c r="C3313" s="573" t="s">
        <v>226</v>
      </c>
      <c r="D3313" s="578" t="s">
        <v>227</v>
      </c>
      <c r="E3313" s="573" t="s">
        <v>3374</v>
      </c>
      <c r="F3313" s="573" t="s">
        <v>187</v>
      </c>
      <c r="G3313" s="573" t="s">
        <v>3265</v>
      </c>
      <c r="H3313" s="573">
        <v>2019</v>
      </c>
      <c r="I3313" s="573" t="s">
        <v>5856</v>
      </c>
      <c r="J3313" s="573" t="s">
        <v>5698</v>
      </c>
      <c r="K3313" s="573" t="s">
        <v>752</v>
      </c>
      <c r="L3313" s="573">
        <v>6</v>
      </c>
      <c r="M3313" s="573">
        <v>0</v>
      </c>
      <c r="N3313" s="573" t="s">
        <v>157</v>
      </c>
      <c r="O3313" s="573">
        <v>2</v>
      </c>
      <c r="P3313" s="573" t="s">
        <v>5405</v>
      </c>
      <c r="Q3313" s="571">
        <v>10880</v>
      </c>
      <c r="R3313" s="573" t="s">
        <v>5401</v>
      </c>
      <c r="S3313" s="573">
        <v>8</v>
      </c>
      <c r="T3313" s="573" t="s">
        <v>5862</v>
      </c>
      <c r="U3313" s="573" t="s">
        <v>5516</v>
      </c>
      <c r="V3313" s="573">
        <v>160</v>
      </c>
      <c r="W3313" s="573">
        <v>31</v>
      </c>
      <c r="X3313" s="571">
        <v>11300</v>
      </c>
      <c r="Y3313" s="569" t="s">
        <v>164</v>
      </c>
      <c r="Z3313" s="579" t="s">
        <v>178</v>
      </c>
      <c r="AA3313" s="579" t="s">
        <v>178</v>
      </c>
      <c r="AB3313" s="584">
        <v>48040</v>
      </c>
      <c r="AC3313" s="584" t="s">
        <v>164</v>
      </c>
      <c r="AD3313" s="584">
        <v>39666</v>
      </c>
      <c r="AE3313" s="586">
        <v>6.25E-2</v>
      </c>
      <c r="AF3313" s="661" t="str">
        <f t="shared" si="360"/>
        <v>2019-LTK-RAM-RM35-038-04</v>
      </c>
      <c r="AG3313" s="661" t="str">
        <f>IF(AND($Y3313&gt;=32,(AI3313="I"),(Y3313&lt;&gt;"~"),(COUNTIF($AN$1:$AN3313,$AN3313)=1)),"TRUE","FALSE")</f>
        <v>FALSE</v>
      </c>
      <c r="AH3313" s="661" t="str">
        <f>IF(AND($Y3313&gt;=22, (AI3313&lt;&gt;"I"),(Y3313&lt;&gt;"~"),(COUNTIF($AN$1:$AN3313,$AN3313)=1)),"TRUE","FALSE")</f>
        <v>TRUE</v>
      </c>
      <c r="AI3313" s="661" t="str">
        <f t="shared" si="362"/>
        <v>N/A</v>
      </c>
      <c r="AJ3313" s="662" t="str">
        <f t="shared" si="356"/>
        <v>RM35-038</v>
      </c>
      <c r="AK3313" s="662" t="str">
        <f t="shared" si="357"/>
        <v>LTK</v>
      </c>
      <c r="AL3313" s="662" t="str">
        <f t="shared" si="358"/>
        <v>RAM</v>
      </c>
      <c r="AM3313" s="662" t="str">
        <f t="shared" si="361"/>
        <v>Ram 3500-SLT Mega Cab-4WD-6-6'4"-10880-5.7L Hemi-8-D28H81-26G-160-31-Unleaded-Unleaded</v>
      </c>
      <c r="AN3313" s="662" t="str">
        <f t="shared" si="359"/>
        <v>2019-LTK-RAM-RM35-038</v>
      </c>
    </row>
    <row r="3314" spans="1:40" ht="15">
      <c r="A3314" s="570" t="s">
        <v>5863</v>
      </c>
      <c r="B3314" s="569" t="s">
        <v>5864</v>
      </c>
      <c r="C3314" s="569" t="s">
        <v>240</v>
      </c>
      <c r="D3314" s="580" t="s">
        <v>241</v>
      </c>
      <c r="E3314" s="569" t="s">
        <v>3374</v>
      </c>
      <c r="F3314" s="569" t="s">
        <v>187</v>
      </c>
      <c r="G3314" s="569" t="s">
        <v>3265</v>
      </c>
      <c r="H3314" s="569">
        <v>2018</v>
      </c>
      <c r="I3314" s="569" t="s">
        <v>5856</v>
      </c>
      <c r="J3314" s="569" t="s">
        <v>5698</v>
      </c>
      <c r="K3314" s="569" t="s">
        <v>752</v>
      </c>
      <c r="L3314" s="569">
        <v>6</v>
      </c>
      <c r="M3314" s="569">
        <v>0</v>
      </c>
      <c r="N3314" s="569" t="s">
        <v>157</v>
      </c>
      <c r="O3314" s="569">
        <v>2</v>
      </c>
      <c r="P3314" s="569" t="s">
        <v>5405</v>
      </c>
      <c r="Q3314" s="568">
        <v>10990</v>
      </c>
      <c r="R3314" s="569" t="s">
        <v>5401</v>
      </c>
      <c r="S3314" s="569">
        <v>8</v>
      </c>
      <c r="T3314" s="569" t="s">
        <v>5862</v>
      </c>
      <c r="U3314" s="569" t="s">
        <v>5760</v>
      </c>
      <c r="V3314" s="569">
        <v>160</v>
      </c>
      <c r="W3314" s="569">
        <v>31</v>
      </c>
      <c r="X3314" s="568">
        <v>11300</v>
      </c>
      <c r="Y3314" s="569" t="s">
        <v>164</v>
      </c>
      <c r="Z3314" s="581" t="s">
        <v>178</v>
      </c>
      <c r="AA3314" s="581" t="s">
        <v>178</v>
      </c>
      <c r="AB3314" s="585">
        <v>48040</v>
      </c>
      <c r="AC3314" s="585" t="s">
        <v>164</v>
      </c>
      <c r="AD3314" s="585">
        <v>34308</v>
      </c>
      <c r="AE3314" s="587">
        <v>0.05</v>
      </c>
      <c r="AF3314" s="661" t="str">
        <f t="shared" si="360"/>
        <v>2018-LTK-RAM-RM35-006-08</v>
      </c>
      <c r="AG3314" s="661" t="str">
        <f>IF(AND($Y3314&gt;=32,(AI3314="I"),(Y3314&lt;&gt;"~"),(COUNTIF($AN$1:$AN3314,$AN3314)=1)),"TRUE","FALSE")</f>
        <v>FALSE</v>
      </c>
      <c r="AH3314" s="661" t="str">
        <f>IF(AND($Y3314&gt;=22, (AI3314&lt;&gt;"I"),(Y3314&lt;&gt;"~"),(COUNTIF($AN$1:$AN3314,$AN3314)=1)),"TRUE","FALSE")</f>
        <v>TRUE</v>
      </c>
      <c r="AI3314" s="661" t="str">
        <f t="shared" si="362"/>
        <v>N/A</v>
      </c>
      <c r="AJ3314" s="662" t="str">
        <f t="shared" si="356"/>
        <v>RM35-006</v>
      </c>
      <c r="AK3314" s="662" t="str">
        <f t="shared" si="357"/>
        <v>LTK</v>
      </c>
      <c r="AL3314" s="662" t="str">
        <f t="shared" si="358"/>
        <v>RAM</v>
      </c>
      <c r="AM3314" s="662" t="str">
        <f t="shared" si="361"/>
        <v>Ram 3500-SLT Mega Cab-4WD-6-6'4"-10990-5.7L Hemi-8-D28H81-26A-160-31-Unleaded-Unleaded</v>
      </c>
      <c r="AN3314" s="662" t="str">
        <f t="shared" si="359"/>
        <v>2018-LTK-RAM-RM35-006</v>
      </c>
    </row>
    <row r="3315" spans="1:40" ht="15">
      <c r="A3315" s="570" t="s">
        <v>5865</v>
      </c>
      <c r="B3315" s="573" t="s">
        <v>5866</v>
      </c>
      <c r="C3315" s="573" t="s">
        <v>226</v>
      </c>
      <c r="D3315" s="578" t="s">
        <v>227</v>
      </c>
      <c r="E3315" s="573" t="s">
        <v>3374</v>
      </c>
      <c r="F3315" s="573" t="s">
        <v>187</v>
      </c>
      <c r="G3315" s="573" t="s">
        <v>3265</v>
      </c>
      <c r="H3315" s="573">
        <v>2019</v>
      </c>
      <c r="I3315" s="573" t="s">
        <v>5856</v>
      </c>
      <c r="J3315" s="573" t="s">
        <v>5450</v>
      </c>
      <c r="K3315" s="573" t="s">
        <v>3377</v>
      </c>
      <c r="L3315" s="573">
        <v>6</v>
      </c>
      <c r="M3315" s="573">
        <v>0</v>
      </c>
      <c r="N3315" s="573" t="s">
        <v>157</v>
      </c>
      <c r="O3315" s="573">
        <v>2</v>
      </c>
      <c r="P3315" s="573" t="s">
        <v>5405</v>
      </c>
      <c r="Q3315" s="571">
        <v>11520</v>
      </c>
      <c r="R3315" s="573" t="s">
        <v>5699</v>
      </c>
      <c r="S3315" s="573">
        <v>8</v>
      </c>
      <c r="T3315" s="573" t="s">
        <v>5867</v>
      </c>
      <c r="U3315" s="573" t="s">
        <v>5760</v>
      </c>
      <c r="V3315" s="573">
        <v>149</v>
      </c>
      <c r="W3315" s="573">
        <v>31</v>
      </c>
      <c r="X3315" s="571">
        <v>10500</v>
      </c>
      <c r="Y3315" s="569" t="s">
        <v>164</v>
      </c>
      <c r="Z3315" s="579" t="s">
        <v>178</v>
      </c>
      <c r="AA3315" s="579" t="s">
        <v>178</v>
      </c>
      <c r="AB3315" s="584">
        <v>38640</v>
      </c>
      <c r="AC3315" s="584" t="s">
        <v>164</v>
      </c>
      <c r="AD3315" s="584">
        <v>30861</v>
      </c>
      <c r="AE3315" s="586">
        <v>6.25E-2</v>
      </c>
      <c r="AF3315" s="661" t="str">
        <f t="shared" si="360"/>
        <v>2019-LTK-RAM-RM35-039-04</v>
      </c>
      <c r="AG3315" s="661" t="str">
        <f>IF(AND($Y3315&gt;=32,(AI3315="I"),(Y3315&lt;&gt;"~"),(COUNTIF($AN$1:$AN3315,$AN3315)=1)),"TRUE","FALSE")</f>
        <v>FALSE</v>
      </c>
      <c r="AH3315" s="661" t="str">
        <f>IF(AND($Y3315&gt;=22, (AI3315&lt;&gt;"I"),(Y3315&lt;&gt;"~"),(COUNTIF($AN$1:$AN3315,$AN3315)=1)),"TRUE","FALSE")</f>
        <v>TRUE</v>
      </c>
      <c r="AI3315" s="661" t="str">
        <f t="shared" si="362"/>
        <v>N/A</v>
      </c>
      <c r="AJ3315" s="662" t="str">
        <f t="shared" si="356"/>
        <v>RM35-039</v>
      </c>
      <c r="AK3315" s="662" t="str">
        <f t="shared" si="357"/>
        <v>LTK</v>
      </c>
      <c r="AL3315" s="662" t="str">
        <f t="shared" si="358"/>
        <v>RAM</v>
      </c>
      <c r="AM3315" s="662" t="str">
        <f t="shared" si="361"/>
        <v>Ram 3500-Tradesman Crew Cab-2WD-6-6'4"-11520-5.7L Hemi/3.73 axle ratio-8-D23L91-26A-149-31-Unleaded-Unleaded</v>
      </c>
      <c r="AN3315" s="662" t="str">
        <f t="shared" si="359"/>
        <v>2019-LTK-RAM-RM35-039</v>
      </c>
    </row>
    <row r="3316" spans="1:40" ht="15">
      <c r="A3316" s="570" t="s">
        <v>5868</v>
      </c>
      <c r="B3316" s="569" t="s">
        <v>5869</v>
      </c>
      <c r="C3316" s="569" t="s">
        <v>226</v>
      </c>
      <c r="D3316" s="580" t="s">
        <v>227</v>
      </c>
      <c r="E3316" s="569" t="s">
        <v>3374</v>
      </c>
      <c r="F3316" s="569" t="s">
        <v>187</v>
      </c>
      <c r="G3316" s="569" t="s">
        <v>3265</v>
      </c>
      <c r="H3316" s="569">
        <v>2019</v>
      </c>
      <c r="I3316" s="569" t="s">
        <v>5856</v>
      </c>
      <c r="J3316" s="569" t="s">
        <v>5450</v>
      </c>
      <c r="K3316" s="569" t="s">
        <v>3377</v>
      </c>
      <c r="L3316" s="569">
        <v>6</v>
      </c>
      <c r="M3316" s="569">
        <v>0</v>
      </c>
      <c r="N3316" s="569" t="s">
        <v>157</v>
      </c>
      <c r="O3316" s="569">
        <v>2</v>
      </c>
      <c r="P3316" s="569" t="s">
        <v>5405</v>
      </c>
      <c r="Q3316" s="568">
        <v>13520</v>
      </c>
      <c r="R3316" s="569" t="s">
        <v>5826</v>
      </c>
      <c r="S3316" s="569">
        <v>8</v>
      </c>
      <c r="T3316" s="569" t="s">
        <v>5867</v>
      </c>
      <c r="U3316" s="569" t="s">
        <v>5760</v>
      </c>
      <c r="V3316" s="569">
        <v>149</v>
      </c>
      <c r="W3316" s="569">
        <v>31</v>
      </c>
      <c r="X3316" s="568">
        <v>10500</v>
      </c>
      <c r="Y3316" s="569" t="s">
        <v>164</v>
      </c>
      <c r="Z3316" s="581" t="s">
        <v>5870</v>
      </c>
      <c r="AA3316" s="581" t="s">
        <v>5870</v>
      </c>
      <c r="AB3316" s="585">
        <v>38785</v>
      </c>
      <c r="AC3316" s="585" t="s">
        <v>164</v>
      </c>
      <c r="AD3316" s="585">
        <v>31006</v>
      </c>
      <c r="AE3316" s="587">
        <v>6.25E-2</v>
      </c>
      <c r="AF3316" s="661" t="str">
        <f t="shared" si="360"/>
        <v>2019-LTK-RAM-RM35-040-04</v>
      </c>
      <c r="AG3316" s="661" t="str">
        <f>IF(AND($Y3316&gt;=32,(AI3316="I"),(Y3316&lt;&gt;"~"),(COUNTIF($AN$1:$AN3316,$AN3316)=1)),"TRUE","FALSE")</f>
        <v>FALSE</v>
      </c>
      <c r="AH3316" s="661" t="str">
        <f>IF(AND($Y3316&gt;=22, (AI3316&lt;&gt;"I"),(Y3316&lt;&gt;"~"),(COUNTIF($AN$1:$AN3316,$AN3316)=1)),"TRUE","FALSE")</f>
        <v>TRUE</v>
      </c>
      <c r="AI3316" s="661" t="str">
        <f t="shared" si="362"/>
        <v>N/A</v>
      </c>
      <c r="AJ3316" s="662" t="str">
        <f t="shared" si="356"/>
        <v>RM35-040</v>
      </c>
      <c r="AK3316" s="662" t="str">
        <f t="shared" si="357"/>
        <v>LTK</v>
      </c>
      <c r="AL3316" s="662" t="str">
        <f t="shared" si="358"/>
        <v>RAM</v>
      </c>
      <c r="AM3316" s="662" t="str">
        <f t="shared" si="361"/>
        <v>Ram 3500-Tradesman Crew Cab-2WD-6-6'4"-13520-5.7L Hemi/4.10 axle ratio-8-D23L91-26A-149-31-UNLEADED-UNLEADED</v>
      </c>
      <c r="AN3316" s="662" t="str">
        <f t="shared" si="359"/>
        <v>2019-LTK-RAM-RM35-040</v>
      </c>
    </row>
    <row r="3317" spans="1:40" ht="15">
      <c r="A3317" s="570" t="s">
        <v>5871</v>
      </c>
      <c r="B3317" s="573" t="s">
        <v>5872</v>
      </c>
      <c r="C3317" s="573" t="s">
        <v>226</v>
      </c>
      <c r="D3317" s="578" t="s">
        <v>227</v>
      </c>
      <c r="E3317" s="573" t="s">
        <v>3374</v>
      </c>
      <c r="F3317" s="573" t="s">
        <v>187</v>
      </c>
      <c r="G3317" s="573" t="s">
        <v>3265</v>
      </c>
      <c r="H3317" s="573">
        <v>2019</v>
      </c>
      <c r="I3317" s="573" t="s">
        <v>5856</v>
      </c>
      <c r="J3317" s="573" t="s">
        <v>5450</v>
      </c>
      <c r="K3317" s="573" t="s">
        <v>3377</v>
      </c>
      <c r="L3317" s="573">
        <v>6</v>
      </c>
      <c r="M3317" s="573">
        <v>0</v>
      </c>
      <c r="N3317" s="573" t="s">
        <v>157</v>
      </c>
      <c r="O3317" s="573">
        <v>2</v>
      </c>
      <c r="P3317" s="573" t="s">
        <v>5405</v>
      </c>
      <c r="Q3317" s="571">
        <v>15970</v>
      </c>
      <c r="R3317" s="573" t="s">
        <v>5873</v>
      </c>
      <c r="S3317" s="573">
        <v>8</v>
      </c>
      <c r="T3317" s="573" t="s">
        <v>5867</v>
      </c>
      <c r="U3317" s="573" t="s">
        <v>931</v>
      </c>
      <c r="V3317" s="573">
        <v>149</v>
      </c>
      <c r="W3317" s="573">
        <v>31</v>
      </c>
      <c r="X3317" s="571">
        <v>10500</v>
      </c>
      <c r="Y3317" s="569" t="s">
        <v>164</v>
      </c>
      <c r="Z3317" s="579" t="s">
        <v>5870</v>
      </c>
      <c r="AA3317" s="579" t="s">
        <v>5870</v>
      </c>
      <c r="AB3317" s="584">
        <v>39140</v>
      </c>
      <c r="AC3317" s="584" t="s">
        <v>164</v>
      </c>
      <c r="AD3317" s="584">
        <v>31314</v>
      </c>
      <c r="AE3317" s="586">
        <v>6.25E-2</v>
      </c>
      <c r="AF3317" s="661" t="str">
        <f t="shared" si="360"/>
        <v>2019-LTK-RAM-RM35-009-04</v>
      </c>
      <c r="AG3317" s="661" t="str">
        <f>IF(AND($Y3317&gt;=32,(AI3317="I"),(Y3317&lt;&gt;"~"),(COUNTIF($AN$1:$AN3317,$AN3317)=1)),"TRUE","FALSE")</f>
        <v>FALSE</v>
      </c>
      <c r="AH3317" s="661" t="str">
        <f>IF(AND($Y3317&gt;=22, (AI3317&lt;&gt;"I"),(Y3317&lt;&gt;"~"),(COUNTIF($AN$1:$AN3317,$AN3317)=1)),"TRUE","FALSE")</f>
        <v>TRUE</v>
      </c>
      <c r="AI3317" s="661" t="str">
        <f t="shared" si="362"/>
        <v>N/A</v>
      </c>
      <c r="AJ3317" s="662" t="str">
        <f t="shared" si="356"/>
        <v>RM35-009</v>
      </c>
      <c r="AK3317" s="662" t="str">
        <f t="shared" si="357"/>
        <v>LTK</v>
      </c>
      <c r="AL3317" s="662" t="str">
        <f t="shared" si="358"/>
        <v>RAM</v>
      </c>
      <c r="AM3317" s="662" t="str">
        <f t="shared" si="361"/>
        <v>Ram 3500-Tradesman Crew Cab-2WD-6-6'4"-15970-6.4L Hemi-8-D23L91-22A-149-31-UNLEADED-UNLEADED</v>
      </c>
      <c r="AN3317" s="662" t="str">
        <f t="shared" si="359"/>
        <v>2019-LTK-RAM-RM35-009</v>
      </c>
    </row>
    <row r="3318" spans="1:40" ht="15">
      <c r="A3318" s="570" t="s">
        <v>5874</v>
      </c>
      <c r="B3318" s="569" t="s">
        <v>5875</v>
      </c>
      <c r="C3318" s="569" t="s">
        <v>226</v>
      </c>
      <c r="D3318" s="580" t="s">
        <v>227</v>
      </c>
      <c r="E3318" s="569" t="s">
        <v>3374</v>
      </c>
      <c r="F3318" s="569" t="s">
        <v>187</v>
      </c>
      <c r="G3318" s="569" t="s">
        <v>3265</v>
      </c>
      <c r="H3318" s="569">
        <v>2019</v>
      </c>
      <c r="I3318" s="569" t="s">
        <v>5856</v>
      </c>
      <c r="J3318" s="569" t="s">
        <v>5450</v>
      </c>
      <c r="K3318" s="569" t="s">
        <v>3377</v>
      </c>
      <c r="L3318" s="569">
        <v>6</v>
      </c>
      <c r="M3318" s="569">
        <v>0</v>
      </c>
      <c r="N3318" s="569" t="s">
        <v>157</v>
      </c>
      <c r="O3318" s="569">
        <v>2</v>
      </c>
      <c r="P3318" s="569" t="s">
        <v>5405</v>
      </c>
      <c r="Q3318" s="568">
        <v>17330</v>
      </c>
      <c r="R3318" s="569" t="s">
        <v>4231</v>
      </c>
      <c r="S3318" s="569">
        <v>6</v>
      </c>
      <c r="T3318" s="569" t="s">
        <v>5867</v>
      </c>
      <c r="U3318" s="569" t="s">
        <v>5876</v>
      </c>
      <c r="V3318" s="569">
        <v>149</v>
      </c>
      <c r="W3318" s="569">
        <v>31</v>
      </c>
      <c r="X3318" s="568">
        <v>10500</v>
      </c>
      <c r="Y3318" s="569" t="s">
        <v>164</v>
      </c>
      <c r="Z3318" s="581" t="s">
        <v>728</v>
      </c>
      <c r="AA3318" s="581" t="s">
        <v>1523</v>
      </c>
      <c r="AB3318" s="585">
        <v>50535</v>
      </c>
      <c r="AC3318" s="585" t="s">
        <v>164</v>
      </c>
      <c r="AD3318" s="585">
        <v>42161</v>
      </c>
      <c r="AE3318" s="587">
        <v>6.25E-2</v>
      </c>
      <c r="AF3318" s="661" t="str">
        <f t="shared" si="360"/>
        <v>2019-LTK-RAM-RM35-010-04</v>
      </c>
      <c r="AG3318" s="661" t="str">
        <f>IF(AND($Y3318&gt;=32,(AI3318="I"),(Y3318&lt;&gt;"~"),(COUNTIF($AN$1:$AN3318,$AN3318)=1)),"TRUE","FALSE")</f>
        <v>FALSE</v>
      </c>
      <c r="AH3318" s="661" t="str">
        <f>IF(AND($Y3318&gt;=22, (AI3318&lt;&gt;"I"),(Y3318&lt;&gt;"~"),(COUNTIF($AN$1:$AN3318,$AN3318)=1)),"TRUE","FALSE")</f>
        <v>TRUE</v>
      </c>
      <c r="AI3318" s="661" t="str">
        <f t="shared" si="362"/>
        <v>N/A</v>
      </c>
      <c r="AJ3318" s="662" t="str">
        <f t="shared" si="356"/>
        <v>RM35-010</v>
      </c>
      <c r="AK3318" s="662" t="str">
        <f t="shared" si="357"/>
        <v>LTK</v>
      </c>
      <c r="AL3318" s="662" t="str">
        <f t="shared" si="358"/>
        <v>RAM</v>
      </c>
      <c r="AM3318" s="662" t="str">
        <f t="shared" si="361"/>
        <v>Ram 3500-Tradesman Crew Cab-2WD-6-6'4"-17330-6.7L Diesel-6-D23L91-28A AISIN-149-31-Diesel-BioDiesel</v>
      </c>
      <c r="AN3318" s="662" t="str">
        <f t="shared" si="359"/>
        <v>2019-LTK-RAM-RM35-010</v>
      </c>
    </row>
    <row r="3319" spans="1:40" ht="15">
      <c r="A3319" s="570" t="s">
        <v>5877</v>
      </c>
      <c r="B3319" s="573" t="s">
        <v>5878</v>
      </c>
      <c r="C3319" s="573" t="s">
        <v>226</v>
      </c>
      <c r="D3319" s="578" t="s">
        <v>227</v>
      </c>
      <c r="E3319" s="573" t="s">
        <v>3374</v>
      </c>
      <c r="F3319" s="573" t="s">
        <v>187</v>
      </c>
      <c r="G3319" s="573" t="s">
        <v>3265</v>
      </c>
      <c r="H3319" s="573">
        <v>2019</v>
      </c>
      <c r="I3319" s="573" t="s">
        <v>5856</v>
      </c>
      <c r="J3319" s="573" t="s">
        <v>5450</v>
      </c>
      <c r="K3319" s="573" t="s">
        <v>3377</v>
      </c>
      <c r="L3319" s="573">
        <v>6</v>
      </c>
      <c r="M3319" s="573">
        <v>0</v>
      </c>
      <c r="N3319" s="573" t="s">
        <v>157</v>
      </c>
      <c r="O3319" s="573">
        <v>2</v>
      </c>
      <c r="P3319" s="573" t="s">
        <v>5405</v>
      </c>
      <c r="Q3319" s="571">
        <v>17480</v>
      </c>
      <c r="R3319" s="573" t="s">
        <v>4231</v>
      </c>
      <c r="S3319" s="573">
        <v>6</v>
      </c>
      <c r="T3319" s="573" t="s">
        <v>5867</v>
      </c>
      <c r="U3319" s="573" t="s">
        <v>5767</v>
      </c>
      <c r="V3319" s="573">
        <v>149</v>
      </c>
      <c r="W3319" s="573">
        <v>31</v>
      </c>
      <c r="X3319" s="571">
        <v>10500</v>
      </c>
      <c r="Y3319" s="569" t="s">
        <v>164</v>
      </c>
      <c r="Z3319" s="579" t="s">
        <v>728</v>
      </c>
      <c r="AA3319" s="579" t="s">
        <v>1523</v>
      </c>
      <c r="AB3319" s="584">
        <v>47840</v>
      </c>
      <c r="AC3319" s="584" t="s">
        <v>164</v>
      </c>
      <c r="AD3319" s="584">
        <v>39719</v>
      </c>
      <c r="AE3319" s="586">
        <v>6.25E-2</v>
      </c>
      <c r="AF3319" s="661" t="str">
        <f t="shared" si="360"/>
        <v>2019-LTK-RAM-RM35-011-04</v>
      </c>
      <c r="AG3319" s="661" t="str">
        <f>IF(AND($Y3319&gt;=32,(AI3319="I"),(Y3319&lt;&gt;"~"),(COUNTIF($AN$1:$AN3319,$AN3319)=1)),"TRUE","FALSE")</f>
        <v>FALSE</v>
      </c>
      <c r="AH3319" s="661" t="str">
        <f>IF(AND($Y3319&gt;=22, (AI3319&lt;&gt;"I"),(Y3319&lt;&gt;"~"),(COUNTIF($AN$1:$AN3319,$AN3319)=1)),"TRUE","FALSE")</f>
        <v>TRUE</v>
      </c>
      <c r="AI3319" s="661" t="str">
        <f t="shared" si="362"/>
        <v>N/A</v>
      </c>
      <c r="AJ3319" s="662" t="str">
        <f t="shared" si="356"/>
        <v>RM35-011</v>
      </c>
      <c r="AK3319" s="662" t="str">
        <f t="shared" si="357"/>
        <v>LTK</v>
      </c>
      <c r="AL3319" s="662" t="str">
        <f t="shared" si="358"/>
        <v>RAM</v>
      </c>
      <c r="AM3319" s="662" t="str">
        <f t="shared" si="361"/>
        <v>Ram 3500-Tradesman Crew Cab-2WD-6-6'4"-17480-6.7L Diesel-6-D23L91-2FA-149-31-Diesel-BioDiesel</v>
      </c>
      <c r="AN3319" s="662" t="str">
        <f t="shared" si="359"/>
        <v>2019-LTK-RAM-RM35-011</v>
      </c>
    </row>
    <row r="3320" spans="1:40" ht="15">
      <c r="A3320" s="570" t="s">
        <v>5879</v>
      </c>
      <c r="B3320" s="569" t="s">
        <v>5880</v>
      </c>
      <c r="C3320" s="569" t="s">
        <v>226</v>
      </c>
      <c r="D3320" s="580" t="s">
        <v>227</v>
      </c>
      <c r="E3320" s="569" t="s">
        <v>3374</v>
      </c>
      <c r="F3320" s="569" t="s">
        <v>187</v>
      </c>
      <c r="G3320" s="569" t="s">
        <v>3265</v>
      </c>
      <c r="H3320" s="569">
        <v>2019</v>
      </c>
      <c r="I3320" s="569" t="s">
        <v>5856</v>
      </c>
      <c r="J3320" s="569" t="s">
        <v>5450</v>
      </c>
      <c r="K3320" s="569" t="s">
        <v>3377</v>
      </c>
      <c r="L3320" s="569">
        <v>6</v>
      </c>
      <c r="M3320" s="569">
        <v>0</v>
      </c>
      <c r="N3320" s="569" t="s">
        <v>157</v>
      </c>
      <c r="O3320" s="569">
        <v>2</v>
      </c>
      <c r="P3320" s="569" t="s">
        <v>3846</v>
      </c>
      <c r="Q3320" s="568">
        <v>11410</v>
      </c>
      <c r="R3320" s="569" t="s">
        <v>5699</v>
      </c>
      <c r="S3320" s="569">
        <v>8</v>
      </c>
      <c r="T3320" s="569" t="s">
        <v>5881</v>
      </c>
      <c r="U3320" s="569" t="s">
        <v>5760</v>
      </c>
      <c r="V3320" s="569">
        <v>169</v>
      </c>
      <c r="W3320" s="569">
        <v>32</v>
      </c>
      <c r="X3320" s="568">
        <v>11000</v>
      </c>
      <c r="Y3320" s="569" t="s">
        <v>164</v>
      </c>
      <c r="Z3320" s="581" t="s">
        <v>178</v>
      </c>
      <c r="AA3320" s="581" t="s">
        <v>178</v>
      </c>
      <c r="AB3320" s="585">
        <v>38840</v>
      </c>
      <c r="AC3320" s="585" t="s">
        <v>164</v>
      </c>
      <c r="AD3320" s="585">
        <v>31037</v>
      </c>
      <c r="AE3320" s="587">
        <v>6.25E-2</v>
      </c>
      <c r="AF3320" s="661" t="str">
        <f t="shared" si="360"/>
        <v>2019-LTK-RAM-RM35-041-04</v>
      </c>
      <c r="AG3320" s="661" t="str">
        <f>IF(AND($Y3320&gt;=32,(AI3320="I"),(Y3320&lt;&gt;"~"),(COUNTIF($AN$1:$AN3320,$AN3320)=1)),"TRUE","FALSE")</f>
        <v>FALSE</v>
      </c>
      <c r="AH3320" s="661" t="str">
        <f>IF(AND($Y3320&gt;=22, (AI3320&lt;&gt;"I"),(Y3320&lt;&gt;"~"),(COUNTIF($AN$1:$AN3320,$AN3320)=1)),"TRUE","FALSE")</f>
        <v>TRUE</v>
      </c>
      <c r="AI3320" s="661" t="str">
        <f t="shared" si="362"/>
        <v>N/A</v>
      </c>
      <c r="AJ3320" s="662" t="str">
        <f t="shared" si="356"/>
        <v>RM35-041</v>
      </c>
      <c r="AK3320" s="662" t="str">
        <f t="shared" si="357"/>
        <v>LTK</v>
      </c>
      <c r="AL3320" s="662" t="str">
        <f t="shared" si="358"/>
        <v>RAM</v>
      </c>
      <c r="AM3320" s="662" t="str">
        <f t="shared" si="361"/>
        <v>Ram 3500-Tradesman Crew Cab-2WD-6-8'-11410-5.7L Hemi/3.73 axle ratio-8-D23L92-26A-169-32-Unleaded-Unleaded</v>
      </c>
      <c r="AN3320" s="662" t="str">
        <f t="shared" si="359"/>
        <v>2019-LTK-RAM-RM35-041</v>
      </c>
    </row>
    <row r="3321" spans="1:40" ht="15">
      <c r="A3321" s="570" t="s">
        <v>5882</v>
      </c>
      <c r="B3321" s="573" t="s">
        <v>5883</v>
      </c>
      <c r="C3321" s="573" t="s">
        <v>226</v>
      </c>
      <c r="D3321" s="578" t="s">
        <v>227</v>
      </c>
      <c r="E3321" s="573" t="s">
        <v>3374</v>
      </c>
      <c r="F3321" s="573" t="s">
        <v>187</v>
      </c>
      <c r="G3321" s="573" t="s">
        <v>3265</v>
      </c>
      <c r="H3321" s="573">
        <v>2019</v>
      </c>
      <c r="I3321" s="573" t="s">
        <v>5856</v>
      </c>
      <c r="J3321" s="573" t="s">
        <v>5450</v>
      </c>
      <c r="K3321" s="573" t="s">
        <v>3377</v>
      </c>
      <c r="L3321" s="573">
        <v>6</v>
      </c>
      <c r="M3321" s="573">
        <v>0</v>
      </c>
      <c r="N3321" s="573" t="s">
        <v>157</v>
      </c>
      <c r="O3321" s="573">
        <v>2</v>
      </c>
      <c r="P3321" s="573" t="s">
        <v>3846</v>
      </c>
      <c r="Q3321" s="571">
        <v>13410</v>
      </c>
      <c r="R3321" s="573" t="s">
        <v>5884</v>
      </c>
      <c r="S3321" s="573">
        <v>8</v>
      </c>
      <c r="T3321" s="573" t="s">
        <v>5881</v>
      </c>
      <c r="U3321" s="573" t="s">
        <v>5760</v>
      </c>
      <c r="V3321" s="573">
        <v>169</v>
      </c>
      <c r="W3321" s="573">
        <v>32</v>
      </c>
      <c r="X3321" s="571">
        <v>11000</v>
      </c>
      <c r="Y3321" s="569" t="s">
        <v>164</v>
      </c>
      <c r="Z3321" s="579" t="s">
        <v>5870</v>
      </c>
      <c r="AA3321" s="579" t="s">
        <v>5870</v>
      </c>
      <c r="AB3321" s="584">
        <v>38985</v>
      </c>
      <c r="AC3321" s="584" t="s">
        <v>164</v>
      </c>
      <c r="AD3321" s="584">
        <v>31182</v>
      </c>
      <c r="AE3321" s="586">
        <v>6.25E-2</v>
      </c>
      <c r="AF3321" s="661" t="str">
        <f t="shared" si="360"/>
        <v>2019-LTK-RAM-RM35-042-04</v>
      </c>
      <c r="AG3321" s="661" t="str">
        <f>IF(AND($Y3321&gt;=32,(AI3321="I"),(Y3321&lt;&gt;"~"),(COUNTIF($AN$1:$AN3321,$AN3321)=1)),"TRUE","FALSE")</f>
        <v>FALSE</v>
      </c>
      <c r="AH3321" s="661" t="str">
        <f>IF(AND($Y3321&gt;=22, (AI3321&lt;&gt;"I"),(Y3321&lt;&gt;"~"),(COUNTIF($AN$1:$AN3321,$AN3321)=1)),"TRUE","FALSE")</f>
        <v>TRUE</v>
      </c>
      <c r="AI3321" s="661" t="str">
        <f t="shared" si="362"/>
        <v>N/A</v>
      </c>
      <c r="AJ3321" s="662" t="str">
        <f t="shared" si="356"/>
        <v>RM35-042</v>
      </c>
      <c r="AK3321" s="662" t="str">
        <f t="shared" si="357"/>
        <v>LTK</v>
      </c>
      <c r="AL3321" s="662" t="str">
        <f t="shared" si="358"/>
        <v>RAM</v>
      </c>
      <c r="AM3321" s="662" t="str">
        <f t="shared" si="361"/>
        <v>Ram 3500-Tradesman Crew Cab-2WD-6-8'-13410-5.7Hemi/4.10 axle ratio-8-D23L92-26A-169-32-UNLEADED-UNLEADED</v>
      </c>
      <c r="AN3321" s="662" t="str">
        <f t="shared" si="359"/>
        <v>2019-LTK-RAM-RM35-042</v>
      </c>
    </row>
    <row r="3322" spans="1:40" ht="15">
      <c r="A3322" s="570" t="s">
        <v>5885</v>
      </c>
      <c r="B3322" s="569" t="s">
        <v>5886</v>
      </c>
      <c r="C3322" s="569" t="s">
        <v>226</v>
      </c>
      <c r="D3322" s="580" t="s">
        <v>227</v>
      </c>
      <c r="E3322" s="569" t="s">
        <v>3374</v>
      </c>
      <c r="F3322" s="569" t="s">
        <v>187</v>
      </c>
      <c r="G3322" s="569" t="s">
        <v>3265</v>
      </c>
      <c r="H3322" s="569">
        <v>2019</v>
      </c>
      <c r="I3322" s="569" t="s">
        <v>5856</v>
      </c>
      <c r="J3322" s="569" t="s">
        <v>5450</v>
      </c>
      <c r="K3322" s="569" t="s">
        <v>3377</v>
      </c>
      <c r="L3322" s="569">
        <v>6</v>
      </c>
      <c r="M3322" s="569">
        <v>0</v>
      </c>
      <c r="N3322" s="569" t="s">
        <v>157</v>
      </c>
      <c r="O3322" s="569">
        <v>2</v>
      </c>
      <c r="P3322" s="569" t="s">
        <v>3846</v>
      </c>
      <c r="Q3322" s="568">
        <v>15950</v>
      </c>
      <c r="R3322" s="569" t="s">
        <v>5873</v>
      </c>
      <c r="S3322" s="569">
        <v>8</v>
      </c>
      <c r="T3322" s="569" t="s">
        <v>5881</v>
      </c>
      <c r="U3322" s="569" t="s">
        <v>931</v>
      </c>
      <c r="V3322" s="569">
        <v>169</v>
      </c>
      <c r="W3322" s="569">
        <v>32</v>
      </c>
      <c r="X3322" s="568">
        <v>11000</v>
      </c>
      <c r="Y3322" s="569" t="s">
        <v>164</v>
      </c>
      <c r="Z3322" s="581" t="s">
        <v>5870</v>
      </c>
      <c r="AA3322" s="581" t="s">
        <v>5870</v>
      </c>
      <c r="AB3322" s="585">
        <v>39340</v>
      </c>
      <c r="AC3322" s="585" t="s">
        <v>164</v>
      </c>
      <c r="AD3322" s="585">
        <v>31490</v>
      </c>
      <c r="AE3322" s="587">
        <v>6.25E-2</v>
      </c>
      <c r="AF3322" s="661" t="str">
        <f t="shared" si="360"/>
        <v>2019-LTK-RAM-RM35-014-04</v>
      </c>
      <c r="AG3322" s="661" t="str">
        <f>IF(AND($Y3322&gt;=32,(AI3322="I"),(Y3322&lt;&gt;"~"),(COUNTIF($AN$1:$AN3322,$AN3322)=1)),"TRUE","FALSE")</f>
        <v>FALSE</v>
      </c>
      <c r="AH3322" s="661" t="str">
        <f>IF(AND($Y3322&gt;=22, (AI3322&lt;&gt;"I"),(Y3322&lt;&gt;"~"),(COUNTIF($AN$1:$AN3322,$AN3322)=1)),"TRUE","FALSE")</f>
        <v>TRUE</v>
      </c>
      <c r="AI3322" s="661" t="str">
        <f t="shared" si="362"/>
        <v>N/A</v>
      </c>
      <c r="AJ3322" s="662" t="str">
        <f t="shared" si="356"/>
        <v>RM35-014</v>
      </c>
      <c r="AK3322" s="662" t="str">
        <f t="shared" si="357"/>
        <v>LTK</v>
      </c>
      <c r="AL3322" s="662" t="str">
        <f t="shared" si="358"/>
        <v>RAM</v>
      </c>
      <c r="AM3322" s="662" t="str">
        <f t="shared" si="361"/>
        <v>Ram 3500-Tradesman Crew Cab-2WD-6-8'-15950-6.4L Hemi-8-D23L92-22A-169-32-UNLEADED-UNLEADED</v>
      </c>
      <c r="AN3322" s="662" t="str">
        <f t="shared" si="359"/>
        <v>2019-LTK-RAM-RM35-014</v>
      </c>
    </row>
    <row r="3323" spans="1:40" ht="15">
      <c r="A3323" s="570" t="s">
        <v>5887</v>
      </c>
      <c r="B3323" s="573" t="s">
        <v>5888</v>
      </c>
      <c r="C3323" s="573" t="s">
        <v>226</v>
      </c>
      <c r="D3323" s="578" t="s">
        <v>227</v>
      </c>
      <c r="E3323" s="573" t="s">
        <v>3374</v>
      </c>
      <c r="F3323" s="573" t="s">
        <v>187</v>
      </c>
      <c r="G3323" s="573" t="s">
        <v>3265</v>
      </c>
      <c r="H3323" s="573">
        <v>2019</v>
      </c>
      <c r="I3323" s="573" t="s">
        <v>5856</v>
      </c>
      <c r="J3323" s="573" t="s">
        <v>5450</v>
      </c>
      <c r="K3323" s="573" t="s">
        <v>3377</v>
      </c>
      <c r="L3323" s="573">
        <v>6</v>
      </c>
      <c r="M3323" s="573">
        <v>0</v>
      </c>
      <c r="N3323" s="573" t="s">
        <v>157</v>
      </c>
      <c r="O3323" s="573">
        <v>2</v>
      </c>
      <c r="P3323" s="573" t="s">
        <v>3846</v>
      </c>
      <c r="Q3323" s="571">
        <v>17200</v>
      </c>
      <c r="R3323" s="573" t="s">
        <v>4231</v>
      </c>
      <c r="S3323" s="573">
        <v>6</v>
      </c>
      <c r="T3323" s="573" t="s">
        <v>5881</v>
      </c>
      <c r="U3323" s="573" t="s">
        <v>5876</v>
      </c>
      <c r="V3323" s="573">
        <v>169</v>
      </c>
      <c r="W3323" s="573">
        <v>32</v>
      </c>
      <c r="X3323" s="571">
        <v>11000</v>
      </c>
      <c r="Y3323" s="569" t="s">
        <v>164</v>
      </c>
      <c r="Z3323" s="579" t="s">
        <v>728</v>
      </c>
      <c r="AA3323" s="579" t="s">
        <v>1523</v>
      </c>
      <c r="AB3323" s="584">
        <v>50735</v>
      </c>
      <c r="AC3323" s="584" t="s">
        <v>164</v>
      </c>
      <c r="AD3323" s="584">
        <v>42337</v>
      </c>
      <c r="AE3323" s="586">
        <v>6.25E-2</v>
      </c>
      <c r="AF3323" s="661" t="str">
        <f t="shared" si="360"/>
        <v>2019-LTK-RAM-RM35-015-04</v>
      </c>
      <c r="AG3323" s="661" t="str">
        <f>IF(AND($Y3323&gt;=32,(AI3323="I"),(Y3323&lt;&gt;"~"),(COUNTIF($AN$1:$AN3323,$AN3323)=1)),"TRUE","FALSE")</f>
        <v>FALSE</v>
      </c>
      <c r="AH3323" s="661" t="str">
        <f>IF(AND($Y3323&gt;=22, (AI3323&lt;&gt;"I"),(Y3323&lt;&gt;"~"),(COUNTIF($AN$1:$AN3323,$AN3323)=1)),"TRUE","FALSE")</f>
        <v>TRUE</v>
      </c>
      <c r="AI3323" s="661" t="str">
        <f t="shared" si="362"/>
        <v>N/A</v>
      </c>
      <c r="AJ3323" s="662" t="str">
        <f t="shared" si="356"/>
        <v>RM35-015</v>
      </c>
      <c r="AK3323" s="662" t="str">
        <f t="shared" si="357"/>
        <v>LTK</v>
      </c>
      <c r="AL3323" s="662" t="str">
        <f t="shared" si="358"/>
        <v>RAM</v>
      </c>
      <c r="AM3323" s="662" t="str">
        <f t="shared" si="361"/>
        <v>Ram 3500-Tradesman Crew Cab-2WD-6-8'-17200-6.7L Diesel-6-D23L92-28A AISIN-169-32-Diesel-BioDiesel</v>
      </c>
      <c r="AN3323" s="662" t="str">
        <f t="shared" si="359"/>
        <v>2019-LTK-RAM-RM35-015</v>
      </c>
    </row>
    <row r="3324" spans="1:40" ht="15">
      <c r="A3324" s="570" t="s">
        <v>5889</v>
      </c>
      <c r="B3324" s="569" t="s">
        <v>5890</v>
      </c>
      <c r="C3324" s="569" t="s">
        <v>226</v>
      </c>
      <c r="D3324" s="580" t="s">
        <v>227</v>
      </c>
      <c r="E3324" s="569" t="s">
        <v>3374</v>
      </c>
      <c r="F3324" s="569" t="s">
        <v>187</v>
      </c>
      <c r="G3324" s="569" t="s">
        <v>3265</v>
      </c>
      <c r="H3324" s="569">
        <v>2019</v>
      </c>
      <c r="I3324" s="569" t="s">
        <v>5856</v>
      </c>
      <c r="J3324" s="569" t="s">
        <v>5450</v>
      </c>
      <c r="K3324" s="569" t="s">
        <v>3377</v>
      </c>
      <c r="L3324" s="569">
        <v>6</v>
      </c>
      <c r="M3324" s="569">
        <v>0</v>
      </c>
      <c r="N3324" s="569" t="s">
        <v>157</v>
      </c>
      <c r="O3324" s="569">
        <v>2</v>
      </c>
      <c r="P3324" s="569" t="s">
        <v>3846</v>
      </c>
      <c r="Q3324" s="568">
        <v>17350</v>
      </c>
      <c r="R3324" s="569" t="s">
        <v>4231</v>
      </c>
      <c r="S3324" s="569">
        <v>6</v>
      </c>
      <c r="T3324" s="569" t="s">
        <v>5881</v>
      </c>
      <c r="U3324" s="569" t="s">
        <v>5767</v>
      </c>
      <c r="V3324" s="569">
        <v>169</v>
      </c>
      <c r="W3324" s="569">
        <v>32</v>
      </c>
      <c r="X3324" s="568">
        <v>11000</v>
      </c>
      <c r="Y3324" s="569" t="s">
        <v>164</v>
      </c>
      <c r="Z3324" s="581" t="s">
        <v>728</v>
      </c>
      <c r="AA3324" s="581" t="s">
        <v>1523</v>
      </c>
      <c r="AB3324" s="585">
        <v>48040</v>
      </c>
      <c r="AC3324" s="585" t="s">
        <v>164</v>
      </c>
      <c r="AD3324" s="585">
        <v>39895</v>
      </c>
      <c r="AE3324" s="587">
        <v>6.25E-2</v>
      </c>
      <c r="AF3324" s="661" t="str">
        <f t="shared" si="360"/>
        <v>2019-LTK-RAM-RM35-016-04</v>
      </c>
      <c r="AG3324" s="661" t="str">
        <f>IF(AND($Y3324&gt;=32,(AI3324="I"),(Y3324&lt;&gt;"~"),(COUNTIF($AN$1:$AN3324,$AN3324)=1)),"TRUE","FALSE")</f>
        <v>FALSE</v>
      </c>
      <c r="AH3324" s="661" t="str">
        <f>IF(AND($Y3324&gt;=22, (AI3324&lt;&gt;"I"),(Y3324&lt;&gt;"~"),(COUNTIF($AN$1:$AN3324,$AN3324)=1)),"TRUE","FALSE")</f>
        <v>TRUE</v>
      </c>
      <c r="AI3324" s="661" t="str">
        <f t="shared" si="362"/>
        <v>N/A</v>
      </c>
      <c r="AJ3324" s="662" t="str">
        <f t="shared" si="356"/>
        <v>RM35-016</v>
      </c>
      <c r="AK3324" s="662" t="str">
        <f t="shared" si="357"/>
        <v>LTK</v>
      </c>
      <c r="AL3324" s="662" t="str">
        <f t="shared" si="358"/>
        <v>RAM</v>
      </c>
      <c r="AM3324" s="662" t="str">
        <f t="shared" si="361"/>
        <v>Ram 3500-Tradesman Crew Cab-2WD-6-8'-17350-6.7L Diesel-6-D23L92-2FA-169-32-Diesel-BioDiesel</v>
      </c>
      <c r="AN3324" s="662" t="str">
        <f t="shared" si="359"/>
        <v>2019-LTK-RAM-RM35-016</v>
      </c>
    </row>
    <row r="3325" spans="1:40" ht="15">
      <c r="A3325" s="570" t="s">
        <v>5891</v>
      </c>
      <c r="B3325" s="573" t="s">
        <v>5892</v>
      </c>
      <c r="C3325" s="573" t="s">
        <v>240</v>
      </c>
      <c r="D3325" s="578" t="s">
        <v>241</v>
      </c>
      <c r="E3325" s="573" t="s">
        <v>3374</v>
      </c>
      <c r="F3325" s="573" t="s">
        <v>187</v>
      </c>
      <c r="G3325" s="573" t="s">
        <v>3265</v>
      </c>
      <c r="H3325" s="573">
        <v>2018</v>
      </c>
      <c r="I3325" s="573" t="s">
        <v>5856</v>
      </c>
      <c r="J3325" s="573" t="s">
        <v>5450</v>
      </c>
      <c r="K3325" s="573" t="s">
        <v>3377</v>
      </c>
      <c r="L3325" s="573">
        <v>6</v>
      </c>
      <c r="M3325" s="573">
        <v>0</v>
      </c>
      <c r="N3325" s="573" t="s">
        <v>157</v>
      </c>
      <c r="O3325" s="573">
        <v>2</v>
      </c>
      <c r="P3325" s="573" t="s">
        <v>5405</v>
      </c>
      <c r="Q3325" s="571">
        <v>11520</v>
      </c>
      <c r="R3325" s="573" t="s">
        <v>5401</v>
      </c>
      <c r="S3325" s="573">
        <v>8</v>
      </c>
      <c r="T3325" s="573" t="s">
        <v>5867</v>
      </c>
      <c r="U3325" s="573" t="s">
        <v>5760</v>
      </c>
      <c r="V3325" s="573">
        <v>149</v>
      </c>
      <c r="W3325" s="573">
        <v>31</v>
      </c>
      <c r="X3325" s="571">
        <v>10500</v>
      </c>
      <c r="Y3325" s="569" t="s">
        <v>164</v>
      </c>
      <c r="Z3325" s="579" t="s">
        <v>178</v>
      </c>
      <c r="AA3325" s="579" t="s">
        <v>178</v>
      </c>
      <c r="AB3325" s="584">
        <v>38955</v>
      </c>
      <c r="AC3325" s="584" t="s">
        <v>164</v>
      </c>
      <c r="AD3325" s="584">
        <v>25228</v>
      </c>
      <c r="AE3325" s="586">
        <v>0.05</v>
      </c>
      <c r="AF3325" s="661" t="str">
        <f t="shared" si="360"/>
        <v>2018-LTK-RAM-RM35-007-08</v>
      </c>
      <c r="AG3325" s="661" t="str">
        <f>IF(AND($Y3325&gt;=32,(AI3325="I"),(Y3325&lt;&gt;"~"),(COUNTIF($AN$1:$AN3325,$AN3325)=1)),"TRUE","FALSE")</f>
        <v>FALSE</v>
      </c>
      <c r="AH3325" s="661" t="str">
        <f>IF(AND($Y3325&gt;=22, (AI3325&lt;&gt;"I"),(Y3325&lt;&gt;"~"),(COUNTIF($AN$1:$AN3325,$AN3325)=1)),"TRUE","FALSE")</f>
        <v>TRUE</v>
      </c>
      <c r="AI3325" s="661" t="str">
        <f t="shared" si="362"/>
        <v>N/A</v>
      </c>
      <c r="AJ3325" s="662" t="str">
        <f t="shared" si="356"/>
        <v>RM35-007</v>
      </c>
      <c r="AK3325" s="662" t="str">
        <f t="shared" si="357"/>
        <v>LTK</v>
      </c>
      <c r="AL3325" s="662" t="str">
        <f t="shared" si="358"/>
        <v>RAM</v>
      </c>
      <c r="AM3325" s="662" t="str">
        <f t="shared" si="361"/>
        <v>Ram 3500-Tradesman Crew Cab-2WD-6-6'4"-11520-5.7L Hemi-8-D23L91-26A-149-31-Unleaded-Unleaded</v>
      </c>
      <c r="AN3325" s="662" t="str">
        <f t="shared" si="359"/>
        <v>2018-LTK-RAM-RM35-007</v>
      </c>
    </row>
    <row r="3326" spans="1:40" ht="15">
      <c r="A3326" s="570" t="s">
        <v>5893</v>
      </c>
      <c r="B3326" s="569" t="s">
        <v>5894</v>
      </c>
      <c r="C3326" s="569" t="s">
        <v>240</v>
      </c>
      <c r="D3326" s="580" t="s">
        <v>241</v>
      </c>
      <c r="E3326" s="569" t="s">
        <v>3374</v>
      </c>
      <c r="F3326" s="569" t="s">
        <v>187</v>
      </c>
      <c r="G3326" s="569" t="s">
        <v>3265</v>
      </c>
      <c r="H3326" s="569">
        <v>2018</v>
      </c>
      <c r="I3326" s="569" t="s">
        <v>5856</v>
      </c>
      <c r="J3326" s="569" t="s">
        <v>5450</v>
      </c>
      <c r="K3326" s="569" t="s">
        <v>3377</v>
      </c>
      <c r="L3326" s="569">
        <v>6</v>
      </c>
      <c r="M3326" s="569">
        <v>0</v>
      </c>
      <c r="N3326" s="569" t="s">
        <v>157</v>
      </c>
      <c r="O3326" s="569">
        <v>2</v>
      </c>
      <c r="P3326" s="569" t="s">
        <v>3846</v>
      </c>
      <c r="Q3326" s="568">
        <v>11410</v>
      </c>
      <c r="R3326" s="569" t="s">
        <v>5401</v>
      </c>
      <c r="S3326" s="569">
        <v>8</v>
      </c>
      <c r="T3326" s="569" t="s">
        <v>5881</v>
      </c>
      <c r="U3326" s="569" t="s">
        <v>5760</v>
      </c>
      <c r="V3326" s="569">
        <v>169</v>
      </c>
      <c r="W3326" s="569">
        <v>32</v>
      </c>
      <c r="X3326" s="568">
        <v>11000</v>
      </c>
      <c r="Y3326" s="569" t="s">
        <v>164</v>
      </c>
      <c r="Z3326" s="581" t="s">
        <v>178</v>
      </c>
      <c r="AA3326" s="581" t="s">
        <v>178</v>
      </c>
      <c r="AB3326" s="585">
        <v>39155</v>
      </c>
      <c r="AC3326" s="585" t="s">
        <v>164</v>
      </c>
      <c r="AD3326" s="585">
        <v>25406</v>
      </c>
      <c r="AE3326" s="587">
        <v>0.05</v>
      </c>
      <c r="AF3326" s="661" t="str">
        <f t="shared" si="360"/>
        <v>2018-LTK-RAM-RM35-012-08</v>
      </c>
      <c r="AG3326" s="661" t="str">
        <f>IF(AND($Y3326&gt;=32,(AI3326="I"),(Y3326&lt;&gt;"~"),(COUNTIF($AN$1:$AN3326,$AN3326)=1)),"TRUE","FALSE")</f>
        <v>FALSE</v>
      </c>
      <c r="AH3326" s="661" t="str">
        <f>IF(AND($Y3326&gt;=22, (AI3326&lt;&gt;"I"),(Y3326&lt;&gt;"~"),(COUNTIF($AN$1:$AN3326,$AN3326)=1)),"TRUE","FALSE")</f>
        <v>TRUE</v>
      </c>
      <c r="AI3326" s="661" t="str">
        <f t="shared" si="362"/>
        <v>N/A</v>
      </c>
      <c r="AJ3326" s="662" t="str">
        <f t="shared" si="356"/>
        <v>RM35-012</v>
      </c>
      <c r="AK3326" s="662" t="str">
        <f t="shared" si="357"/>
        <v>LTK</v>
      </c>
      <c r="AL3326" s="662" t="str">
        <f t="shared" si="358"/>
        <v>RAM</v>
      </c>
      <c r="AM3326" s="662" t="str">
        <f t="shared" si="361"/>
        <v>Ram 3500-Tradesman Crew Cab-2WD-6-8'-11410-5.7L Hemi-8-D23L92-26A-169-32-Unleaded-Unleaded</v>
      </c>
      <c r="AN3326" s="662" t="str">
        <f t="shared" si="359"/>
        <v>2018-LTK-RAM-RM35-012</v>
      </c>
    </row>
    <row r="3327" spans="1:40" ht="15">
      <c r="A3327" s="570" t="s">
        <v>5895</v>
      </c>
      <c r="B3327" s="573" t="s">
        <v>5896</v>
      </c>
      <c r="C3327" s="573" t="s">
        <v>226</v>
      </c>
      <c r="D3327" s="578" t="s">
        <v>227</v>
      </c>
      <c r="E3327" s="573" t="s">
        <v>3374</v>
      </c>
      <c r="F3327" s="573" t="s">
        <v>187</v>
      </c>
      <c r="G3327" s="573" t="s">
        <v>3265</v>
      </c>
      <c r="H3327" s="573">
        <v>2019</v>
      </c>
      <c r="I3327" s="573" t="s">
        <v>5856</v>
      </c>
      <c r="J3327" s="573" t="s">
        <v>5450</v>
      </c>
      <c r="K3327" s="573" t="s">
        <v>752</v>
      </c>
      <c r="L3327" s="573">
        <v>6</v>
      </c>
      <c r="M3327" s="573">
        <v>0</v>
      </c>
      <c r="N3327" s="573" t="s">
        <v>157</v>
      </c>
      <c r="O3327" s="573">
        <v>2</v>
      </c>
      <c r="P3327" s="573" t="s">
        <v>5405</v>
      </c>
      <c r="Q3327" s="571">
        <v>11200</v>
      </c>
      <c r="R3327" s="573" t="s">
        <v>5699</v>
      </c>
      <c r="S3327" s="573">
        <v>8</v>
      </c>
      <c r="T3327" s="573" t="s">
        <v>5897</v>
      </c>
      <c r="U3327" s="573" t="s">
        <v>5760</v>
      </c>
      <c r="V3327" s="573">
        <v>149</v>
      </c>
      <c r="W3327" s="573">
        <v>31</v>
      </c>
      <c r="X3327" s="571">
        <v>10700</v>
      </c>
      <c r="Y3327" s="569" t="s">
        <v>164</v>
      </c>
      <c r="Z3327" s="579" t="s">
        <v>178</v>
      </c>
      <c r="AA3327" s="579" t="s">
        <v>178</v>
      </c>
      <c r="AB3327" s="584">
        <v>41440</v>
      </c>
      <c r="AC3327" s="584" t="s">
        <v>164</v>
      </c>
      <c r="AD3327" s="584">
        <v>35182</v>
      </c>
      <c r="AE3327" s="586">
        <v>6.25E-2</v>
      </c>
      <c r="AF3327" s="661" t="str">
        <f t="shared" si="360"/>
        <v>2019-LTK-RAM-RM35-043-04</v>
      </c>
      <c r="AG3327" s="661" t="str">
        <f>IF(AND($Y3327&gt;=32,(AI3327="I"),(Y3327&lt;&gt;"~"),(COUNTIF($AN$1:$AN3327,$AN3327)=1)),"TRUE","FALSE")</f>
        <v>FALSE</v>
      </c>
      <c r="AH3327" s="661" t="str">
        <f>IF(AND($Y3327&gt;=22, (AI3327&lt;&gt;"I"),(Y3327&lt;&gt;"~"),(COUNTIF($AN$1:$AN3327,$AN3327)=1)),"TRUE","FALSE")</f>
        <v>TRUE</v>
      </c>
      <c r="AI3327" s="661" t="str">
        <f t="shared" si="362"/>
        <v>N/A</v>
      </c>
      <c r="AJ3327" s="662" t="str">
        <f t="shared" si="356"/>
        <v>RM35-043</v>
      </c>
      <c r="AK3327" s="662" t="str">
        <f t="shared" si="357"/>
        <v>LTK</v>
      </c>
      <c r="AL3327" s="662" t="str">
        <f t="shared" si="358"/>
        <v>RAM</v>
      </c>
      <c r="AM3327" s="662" t="str">
        <f t="shared" si="361"/>
        <v>Ram 3500-Tradesman Crew Cab-4WD-6-6'4"-11200-5.7L Hemi/3.73 axle ratio-8-D28L91-26A-149-31-Unleaded-Unleaded</v>
      </c>
      <c r="AN3327" s="662" t="str">
        <f t="shared" si="359"/>
        <v>2019-LTK-RAM-RM35-043</v>
      </c>
    </row>
    <row r="3328" spans="1:40" ht="15">
      <c r="A3328" s="570" t="s">
        <v>5898</v>
      </c>
      <c r="B3328" s="569" t="s">
        <v>5899</v>
      </c>
      <c r="C3328" s="569" t="s">
        <v>226</v>
      </c>
      <c r="D3328" s="580" t="s">
        <v>227</v>
      </c>
      <c r="E3328" s="569" t="s">
        <v>3374</v>
      </c>
      <c r="F3328" s="569" t="s">
        <v>187</v>
      </c>
      <c r="G3328" s="569" t="s">
        <v>3265</v>
      </c>
      <c r="H3328" s="569">
        <v>2019</v>
      </c>
      <c r="I3328" s="569" t="s">
        <v>5856</v>
      </c>
      <c r="J3328" s="569" t="s">
        <v>5450</v>
      </c>
      <c r="K3328" s="569" t="s">
        <v>752</v>
      </c>
      <c r="L3328" s="569">
        <v>6</v>
      </c>
      <c r="M3328" s="569">
        <v>0</v>
      </c>
      <c r="N3328" s="569" t="s">
        <v>157</v>
      </c>
      <c r="O3328" s="569">
        <v>2</v>
      </c>
      <c r="P3328" s="569" t="s">
        <v>5405</v>
      </c>
      <c r="Q3328" s="568">
        <v>13200</v>
      </c>
      <c r="R3328" s="569" t="s">
        <v>5826</v>
      </c>
      <c r="S3328" s="569">
        <v>8</v>
      </c>
      <c r="T3328" s="569" t="s">
        <v>5897</v>
      </c>
      <c r="U3328" s="569" t="s">
        <v>5760</v>
      </c>
      <c r="V3328" s="569">
        <v>149</v>
      </c>
      <c r="W3328" s="569">
        <v>31</v>
      </c>
      <c r="X3328" s="568">
        <v>10700</v>
      </c>
      <c r="Y3328" s="569" t="s">
        <v>164</v>
      </c>
      <c r="Z3328" s="581" t="s">
        <v>5870</v>
      </c>
      <c r="AA3328" s="581" t="s">
        <v>5870</v>
      </c>
      <c r="AB3328" s="585">
        <v>41585</v>
      </c>
      <c r="AC3328" s="585" t="s">
        <v>164</v>
      </c>
      <c r="AD3328" s="585">
        <v>35327</v>
      </c>
      <c r="AE3328" s="587">
        <v>6.25E-2</v>
      </c>
      <c r="AF3328" s="661" t="str">
        <f t="shared" si="360"/>
        <v>2019-LTK-RAM-RM35-044-04</v>
      </c>
      <c r="AG3328" s="661" t="str">
        <f>IF(AND($Y3328&gt;=32,(AI3328="I"),(Y3328&lt;&gt;"~"),(COUNTIF($AN$1:$AN3328,$AN3328)=1)),"TRUE","FALSE")</f>
        <v>FALSE</v>
      </c>
      <c r="AH3328" s="661" t="str">
        <f>IF(AND($Y3328&gt;=22, (AI3328&lt;&gt;"I"),(Y3328&lt;&gt;"~"),(COUNTIF($AN$1:$AN3328,$AN3328)=1)),"TRUE","FALSE")</f>
        <v>TRUE</v>
      </c>
      <c r="AI3328" s="661" t="str">
        <f t="shared" si="362"/>
        <v>N/A</v>
      </c>
      <c r="AJ3328" s="662" t="str">
        <f t="shared" si="356"/>
        <v>RM35-044</v>
      </c>
      <c r="AK3328" s="662" t="str">
        <f t="shared" si="357"/>
        <v>LTK</v>
      </c>
      <c r="AL3328" s="662" t="str">
        <f t="shared" si="358"/>
        <v>RAM</v>
      </c>
      <c r="AM3328" s="662" t="str">
        <f t="shared" si="361"/>
        <v>Ram 3500-Tradesman Crew Cab-4WD-6-6'4"-13200-5.7L Hemi/4.10 axle ratio-8-D28L91-26A-149-31-UNLEADED-UNLEADED</v>
      </c>
      <c r="AN3328" s="662" t="str">
        <f t="shared" si="359"/>
        <v>2019-LTK-RAM-RM35-044</v>
      </c>
    </row>
    <row r="3329" spans="1:40" ht="15">
      <c r="A3329" s="570" t="s">
        <v>5900</v>
      </c>
      <c r="B3329" s="573" t="s">
        <v>5901</v>
      </c>
      <c r="C3329" s="573" t="s">
        <v>226</v>
      </c>
      <c r="D3329" s="578" t="s">
        <v>227</v>
      </c>
      <c r="E3329" s="573" t="s">
        <v>3374</v>
      </c>
      <c r="F3329" s="573" t="s">
        <v>187</v>
      </c>
      <c r="G3329" s="573" t="s">
        <v>3265</v>
      </c>
      <c r="H3329" s="573">
        <v>2019</v>
      </c>
      <c r="I3329" s="573" t="s">
        <v>5856</v>
      </c>
      <c r="J3329" s="573" t="s">
        <v>5450</v>
      </c>
      <c r="K3329" s="573" t="s">
        <v>752</v>
      </c>
      <c r="L3329" s="573">
        <v>6</v>
      </c>
      <c r="M3329" s="573">
        <v>0</v>
      </c>
      <c r="N3329" s="573" t="s">
        <v>157</v>
      </c>
      <c r="O3329" s="573">
        <v>2</v>
      </c>
      <c r="P3329" s="573" t="s">
        <v>5405</v>
      </c>
      <c r="Q3329" s="571">
        <v>15620</v>
      </c>
      <c r="R3329" s="573" t="s">
        <v>5873</v>
      </c>
      <c r="S3329" s="573">
        <v>8</v>
      </c>
      <c r="T3329" s="573" t="s">
        <v>5897</v>
      </c>
      <c r="U3329" s="573" t="s">
        <v>931</v>
      </c>
      <c r="V3329" s="573">
        <v>149</v>
      </c>
      <c r="W3329" s="573">
        <v>31</v>
      </c>
      <c r="X3329" s="571">
        <v>10700</v>
      </c>
      <c r="Y3329" s="569" t="s">
        <v>164</v>
      </c>
      <c r="Z3329" s="579" t="s">
        <v>5870</v>
      </c>
      <c r="AA3329" s="579" t="s">
        <v>5870</v>
      </c>
      <c r="AB3329" s="584">
        <v>41940</v>
      </c>
      <c r="AC3329" s="584" t="s">
        <v>164</v>
      </c>
      <c r="AD3329" s="584">
        <v>36134</v>
      </c>
      <c r="AE3329" s="586">
        <v>6.25E-2</v>
      </c>
      <c r="AF3329" s="661" t="str">
        <f t="shared" si="360"/>
        <v>2019-LTK-RAM-RM35-019-04</v>
      </c>
      <c r="AG3329" s="661" t="str">
        <f>IF(AND($Y3329&gt;=32,(AI3329="I"),(Y3329&lt;&gt;"~"),(COUNTIF($AN$1:$AN3329,$AN3329)=1)),"TRUE","FALSE")</f>
        <v>FALSE</v>
      </c>
      <c r="AH3329" s="661" t="str">
        <f>IF(AND($Y3329&gt;=22, (AI3329&lt;&gt;"I"),(Y3329&lt;&gt;"~"),(COUNTIF($AN$1:$AN3329,$AN3329)=1)),"TRUE","FALSE")</f>
        <v>TRUE</v>
      </c>
      <c r="AI3329" s="661" t="str">
        <f t="shared" si="362"/>
        <v>N/A</v>
      </c>
      <c r="AJ3329" s="662" t="str">
        <f t="shared" si="356"/>
        <v>RM35-019</v>
      </c>
      <c r="AK3329" s="662" t="str">
        <f t="shared" si="357"/>
        <v>LTK</v>
      </c>
      <c r="AL3329" s="662" t="str">
        <f t="shared" si="358"/>
        <v>RAM</v>
      </c>
      <c r="AM3329" s="662" t="str">
        <f t="shared" si="361"/>
        <v>Ram 3500-Tradesman Crew Cab-4WD-6-6'4"-15620-6.4L Hemi-8-D28L91-22A-149-31-UNLEADED-UNLEADED</v>
      </c>
      <c r="AN3329" s="662" t="str">
        <f t="shared" si="359"/>
        <v>2019-LTK-RAM-RM35-019</v>
      </c>
    </row>
    <row r="3330" spans="1:40" ht="15">
      <c r="A3330" s="570" t="s">
        <v>5902</v>
      </c>
      <c r="B3330" s="569" t="s">
        <v>5903</v>
      </c>
      <c r="C3330" s="569" t="s">
        <v>226</v>
      </c>
      <c r="D3330" s="580" t="s">
        <v>227</v>
      </c>
      <c r="E3330" s="569" t="s">
        <v>3374</v>
      </c>
      <c r="F3330" s="569" t="s">
        <v>187</v>
      </c>
      <c r="G3330" s="569" t="s">
        <v>3265</v>
      </c>
      <c r="H3330" s="569">
        <v>2019</v>
      </c>
      <c r="I3330" s="569" t="s">
        <v>5856</v>
      </c>
      <c r="J3330" s="569" t="s">
        <v>5450</v>
      </c>
      <c r="K3330" s="569" t="s">
        <v>752</v>
      </c>
      <c r="L3330" s="569">
        <v>6</v>
      </c>
      <c r="M3330" s="569">
        <v>0</v>
      </c>
      <c r="N3330" s="569" t="s">
        <v>157</v>
      </c>
      <c r="O3330" s="569">
        <v>2</v>
      </c>
      <c r="P3330" s="569" t="s">
        <v>5405</v>
      </c>
      <c r="Q3330" s="568">
        <v>17050</v>
      </c>
      <c r="R3330" s="569" t="s">
        <v>4231</v>
      </c>
      <c r="S3330" s="569">
        <v>6</v>
      </c>
      <c r="T3330" s="569" t="s">
        <v>5897</v>
      </c>
      <c r="U3330" s="569" t="s">
        <v>5876</v>
      </c>
      <c r="V3330" s="569">
        <v>149</v>
      </c>
      <c r="W3330" s="569">
        <v>31</v>
      </c>
      <c r="X3330" s="568">
        <v>10700</v>
      </c>
      <c r="Y3330" s="569" t="s">
        <v>164</v>
      </c>
      <c r="Z3330" s="581" t="s">
        <v>728</v>
      </c>
      <c r="AA3330" s="581" t="s">
        <v>1523</v>
      </c>
      <c r="AB3330" s="585">
        <v>53335</v>
      </c>
      <c r="AC3330" s="585" t="s">
        <v>164</v>
      </c>
      <c r="AD3330" s="585">
        <v>46776</v>
      </c>
      <c r="AE3330" s="587">
        <v>6.25E-2</v>
      </c>
      <c r="AF3330" s="661" t="str">
        <f t="shared" si="360"/>
        <v>2019-LTK-RAM-RM35-020-04</v>
      </c>
      <c r="AG3330" s="661" t="str">
        <f>IF(AND($Y3330&gt;=32,(AI3330="I"),(Y3330&lt;&gt;"~"),(COUNTIF($AN$1:$AN3330,$AN3330)=1)),"TRUE","FALSE")</f>
        <v>FALSE</v>
      </c>
      <c r="AH3330" s="661" t="str">
        <f>IF(AND($Y3330&gt;=22, (AI3330&lt;&gt;"I"),(Y3330&lt;&gt;"~"),(COUNTIF($AN$1:$AN3330,$AN3330)=1)),"TRUE","FALSE")</f>
        <v>TRUE</v>
      </c>
      <c r="AI3330" s="661" t="str">
        <f t="shared" si="362"/>
        <v>N/A</v>
      </c>
      <c r="AJ3330" s="662" t="str">
        <f t="shared" si="356"/>
        <v>RM35-020</v>
      </c>
      <c r="AK3330" s="662" t="str">
        <f t="shared" si="357"/>
        <v>LTK</v>
      </c>
      <c r="AL3330" s="662" t="str">
        <f t="shared" si="358"/>
        <v>RAM</v>
      </c>
      <c r="AM3330" s="662" t="str">
        <f t="shared" si="361"/>
        <v>Ram 3500-Tradesman Crew Cab-4WD-6-6'4"-17050-6.7L Diesel-6-D28L91-28A AISIN-149-31-Diesel-BioDiesel</v>
      </c>
      <c r="AN3330" s="662" t="str">
        <f t="shared" si="359"/>
        <v>2019-LTK-RAM-RM35-020</v>
      </c>
    </row>
    <row r="3331" spans="1:40" ht="15">
      <c r="A3331" s="570" t="s">
        <v>5904</v>
      </c>
      <c r="B3331" s="573" t="s">
        <v>5905</v>
      </c>
      <c r="C3331" s="573" t="s">
        <v>226</v>
      </c>
      <c r="D3331" s="578" t="s">
        <v>227</v>
      </c>
      <c r="E3331" s="573" t="s">
        <v>3374</v>
      </c>
      <c r="F3331" s="573" t="s">
        <v>187</v>
      </c>
      <c r="G3331" s="573" t="s">
        <v>3265</v>
      </c>
      <c r="H3331" s="573">
        <v>2019</v>
      </c>
      <c r="I3331" s="573" t="s">
        <v>5856</v>
      </c>
      <c r="J3331" s="573" t="s">
        <v>5450</v>
      </c>
      <c r="K3331" s="573" t="s">
        <v>752</v>
      </c>
      <c r="L3331" s="573">
        <v>6</v>
      </c>
      <c r="M3331" s="573">
        <v>0</v>
      </c>
      <c r="N3331" s="573" t="s">
        <v>157</v>
      </c>
      <c r="O3331" s="573">
        <v>2</v>
      </c>
      <c r="P3331" s="573" t="s">
        <v>5405</v>
      </c>
      <c r="Q3331" s="571">
        <v>17200</v>
      </c>
      <c r="R3331" s="573" t="s">
        <v>4231</v>
      </c>
      <c r="S3331" s="573">
        <v>6</v>
      </c>
      <c r="T3331" s="573" t="s">
        <v>5897</v>
      </c>
      <c r="U3331" s="573" t="s">
        <v>5767</v>
      </c>
      <c r="V3331" s="573">
        <v>149</v>
      </c>
      <c r="W3331" s="573">
        <v>31</v>
      </c>
      <c r="X3331" s="571">
        <v>10700</v>
      </c>
      <c r="Y3331" s="569" t="s">
        <v>164</v>
      </c>
      <c r="Z3331" s="579" t="s">
        <v>728</v>
      </c>
      <c r="AA3331" s="579" t="s">
        <v>1523</v>
      </c>
      <c r="AB3331" s="584">
        <v>50640</v>
      </c>
      <c r="AC3331" s="584" t="s">
        <v>164</v>
      </c>
      <c r="AD3331" s="584">
        <v>44333</v>
      </c>
      <c r="AE3331" s="586">
        <v>6.25E-2</v>
      </c>
      <c r="AF3331" s="661" t="str">
        <f t="shared" si="360"/>
        <v>2019-LTK-RAM-RM35-021-04</v>
      </c>
      <c r="AG3331" s="661" t="str">
        <f>IF(AND($Y3331&gt;=32,(AI3331="I"),(Y3331&lt;&gt;"~"),(COUNTIF($AN$1:$AN3331,$AN3331)=1)),"TRUE","FALSE")</f>
        <v>FALSE</v>
      </c>
      <c r="AH3331" s="661" t="str">
        <f>IF(AND($Y3331&gt;=22, (AI3331&lt;&gt;"I"),(Y3331&lt;&gt;"~"),(COUNTIF($AN$1:$AN3331,$AN3331)=1)),"TRUE","FALSE")</f>
        <v>TRUE</v>
      </c>
      <c r="AI3331" s="661" t="str">
        <f t="shared" si="362"/>
        <v>N/A</v>
      </c>
      <c r="AJ3331" s="662" t="str">
        <f t="shared" ref="AJ3331:AJ3394" si="363">MID(A3331,14,8)</f>
        <v>RM35-021</v>
      </c>
      <c r="AK3331" s="662" t="str">
        <f t="shared" ref="AK3331:AK3394" si="364">MID(A3331,6,3)</f>
        <v>LTK</v>
      </c>
      <c r="AL3331" s="662" t="str">
        <f t="shared" ref="AL3331:AL3394" si="365">MID(A3331,10,3)</f>
        <v>RAM</v>
      </c>
      <c r="AM3331" s="662" t="str">
        <f t="shared" si="361"/>
        <v>Ram 3500-Tradesman Crew Cab-4WD-6-6'4"-17200-6.7L Diesel-6-D28L91-2FA-149-31-Diesel-BioDiesel</v>
      </c>
      <c r="AN3331" s="662" t="str">
        <f t="shared" ref="AN3331:AN3394" si="366">LEFT(A3331,21)</f>
        <v>2019-LTK-RAM-RM35-021</v>
      </c>
    </row>
    <row r="3332" spans="1:40" ht="15">
      <c r="A3332" s="570" t="s">
        <v>5906</v>
      </c>
      <c r="B3332" s="569" t="s">
        <v>5907</v>
      </c>
      <c r="C3332" s="569" t="s">
        <v>226</v>
      </c>
      <c r="D3332" s="580" t="s">
        <v>227</v>
      </c>
      <c r="E3332" s="569" t="s">
        <v>3374</v>
      </c>
      <c r="F3332" s="569" t="s">
        <v>187</v>
      </c>
      <c r="G3332" s="569" t="s">
        <v>3265</v>
      </c>
      <c r="H3332" s="569">
        <v>2019</v>
      </c>
      <c r="I3332" s="569" t="s">
        <v>5856</v>
      </c>
      <c r="J3332" s="569" t="s">
        <v>5450</v>
      </c>
      <c r="K3332" s="569" t="s">
        <v>752</v>
      </c>
      <c r="L3332" s="569">
        <v>6</v>
      </c>
      <c r="M3332" s="569">
        <v>0</v>
      </c>
      <c r="N3332" s="569" t="s">
        <v>157</v>
      </c>
      <c r="O3332" s="569">
        <v>2</v>
      </c>
      <c r="P3332" s="569" t="s">
        <v>3846</v>
      </c>
      <c r="Q3332" s="568">
        <v>11020</v>
      </c>
      <c r="R3332" s="569" t="s">
        <v>5699</v>
      </c>
      <c r="S3332" s="569">
        <v>8</v>
      </c>
      <c r="T3332" s="569" t="s">
        <v>5908</v>
      </c>
      <c r="U3332" s="569" t="s">
        <v>5760</v>
      </c>
      <c r="V3332" s="569">
        <v>169</v>
      </c>
      <c r="W3332" s="569">
        <v>32</v>
      </c>
      <c r="X3332" s="568">
        <v>11300</v>
      </c>
      <c r="Y3332" s="569" t="s">
        <v>164</v>
      </c>
      <c r="Z3332" s="581" t="s">
        <v>178</v>
      </c>
      <c r="AA3332" s="581" t="s">
        <v>178</v>
      </c>
      <c r="AB3332" s="585">
        <v>41640</v>
      </c>
      <c r="AC3332" s="585" t="s">
        <v>164</v>
      </c>
      <c r="AD3332" s="585">
        <v>35858</v>
      </c>
      <c r="AE3332" s="587">
        <v>6.25E-2</v>
      </c>
      <c r="AF3332" s="661" t="str">
        <f t="shared" si="360"/>
        <v>2019-LTK-RAM-RM35-045-04</v>
      </c>
      <c r="AG3332" s="661" t="str">
        <f>IF(AND($Y3332&gt;=32,(AI3332="I"),(Y3332&lt;&gt;"~"),(COUNTIF($AN$1:$AN3332,$AN3332)=1)),"TRUE","FALSE")</f>
        <v>FALSE</v>
      </c>
      <c r="AH3332" s="661" t="str">
        <f>IF(AND($Y3332&gt;=22, (AI3332&lt;&gt;"I"),(Y3332&lt;&gt;"~"),(COUNTIF($AN$1:$AN3332,$AN3332)=1)),"TRUE","FALSE")</f>
        <v>TRUE</v>
      </c>
      <c r="AI3332" s="661" t="str">
        <f t="shared" si="362"/>
        <v>N/A</v>
      </c>
      <c r="AJ3332" s="662" t="str">
        <f t="shared" si="363"/>
        <v>RM35-045</v>
      </c>
      <c r="AK3332" s="662" t="str">
        <f t="shared" si="364"/>
        <v>LTK</v>
      </c>
      <c r="AL3332" s="662" t="str">
        <f t="shared" si="365"/>
        <v>RAM</v>
      </c>
      <c r="AM3332" s="662" t="str">
        <f t="shared" si="361"/>
        <v>Ram 3500-Tradesman Crew Cab-4WD-6-8'-11020-5.7L Hemi/3.73 axle ratio-8-D28L92-26A-169-32-Unleaded-Unleaded</v>
      </c>
      <c r="AN3332" s="662" t="str">
        <f t="shared" si="366"/>
        <v>2019-LTK-RAM-RM35-045</v>
      </c>
    </row>
    <row r="3333" spans="1:40" ht="15">
      <c r="A3333" s="570" t="s">
        <v>5909</v>
      </c>
      <c r="B3333" s="573" t="s">
        <v>5910</v>
      </c>
      <c r="C3333" s="573" t="s">
        <v>226</v>
      </c>
      <c r="D3333" s="578" t="s">
        <v>227</v>
      </c>
      <c r="E3333" s="573" t="s">
        <v>3374</v>
      </c>
      <c r="F3333" s="573" t="s">
        <v>187</v>
      </c>
      <c r="G3333" s="573" t="s">
        <v>3265</v>
      </c>
      <c r="H3333" s="573">
        <v>2019</v>
      </c>
      <c r="I3333" s="573" t="s">
        <v>5856</v>
      </c>
      <c r="J3333" s="573" t="s">
        <v>5450</v>
      </c>
      <c r="K3333" s="573" t="s">
        <v>752</v>
      </c>
      <c r="L3333" s="573">
        <v>6</v>
      </c>
      <c r="M3333" s="573">
        <v>0</v>
      </c>
      <c r="N3333" s="573" t="s">
        <v>157</v>
      </c>
      <c r="O3333" s="573">
        <v>2</v>
      </c>
      <c r="P3333" s="573" t="s">
        <v>3846</v>
      </c>
      <c r="Q3333" s="571">
        <v>13020</v>
      </c>
      <c r="R3333" s="573" t="s">
        <v>5826</v>
      </c>
      <c r="S3333" s="573">
        <v>8</v>
      </c>
      <c r="T3333" s="573" t="s">
        <v>5908</v>
      </c>
      <c r="U3333" s="573" t="s">
        <v>5760</v>
      </c>
      <c r="V3333" s="573">
        <v>169</v>
      </c>
      <c r="W3333" s="573">
        <v>32</v>
      </c>
      <c r="X3333" s="571">
        <v>13300</v>
      </c>
      <c r="Y3333" s="569" t="s">
        <v>164</v>
      </c>
      <c r="Z3333" s="579" t="s">
        <v>5870</v>
      </c>
      <c r="AA3333" s="579" t="s">
        <v>5870</v>
      </c>
      <c r="AB3333" s="584">
        <v>41785</v>
      </c>
      <c r="AC3333" s="584" t="s">
        <v>164</v>
      </c>
      <c r="AD3333" s="584">
        <v>36003</v>
      </c>
      <c r="AE3333" s="586">
        <v>6.25E-2</v>
      </c>
      <c r="AF3333" s="661" t="str">
        <f t="shared" si="360"/>
        <v>2019-LTK-RAM-RM35-046-04</v>
      </c>
      <c r="AG3333" s="661" t="str">
        <f>IF(AND($Y3333&gt;=32,(AI3333="I"),(Y3333&lt;&gt;"~"),(COUNTIF($AN$1:$AN3333,$AN3333)=1)),"TRUE","FALSE")</f>
        <v>FALSE</v>
      </c>
      <c r="AH3333" s="661" t="str">
        <f>IF(AND($Y3333&gt;=22, (AI3333&lt;&gt;"I"),(Y3333&lt;&gt;"~"),(COUNTIF($AN$1:$AN3333,$AN3333)=1)),"TRUE","FALSE")</f>
        <v>TRUE</v>
      </c>
      <c r="AI3333" s="661" t="str">
        <f t="shared" si="362"/>
        <v>N/A</v>
      </c>
      <c r="AJ3333" s="662" t="str">
        <f t="shared" si="363"/>
        <v>RM35-046</v>
      </c>
      <c r="AK3333" s="662" t="str">
        <f t="shared" si="364"/>
        <v>LTK</v>
      </c>
      <c r="AL3333" s="662" t="str">
        <f t="shared" si="365"/>
        <v>RAM</v>
      </c>
      <c r="AM3333" s="662" t="str">
        <f t="shared" si="361"/>
        <v>Ram 3500-Tradesman Crew Cab-4WD-6-8'-13020-5.7L Hemi/4.10 axle ratio-8-D28L92-26A-169-32-UNLEADED-UNLEADED</v>
      </c>
      <c r="AN3333" s="662" t="str">
        <f t="shared" si="366"/>
        <v>2019-LTK-RAM-RM35-046</v>
      </c>
    </row>
    <row r="3334" spans="1:40" ht="15">
      <c r="A3334" s="570" t="s">
        <v>5911</v>
      </c>
      <c r="B3334" s="569" t="s">
        <v>5912</v>
      </c>
      <c r="C3334" s="569" t="s">
        <v>226</v>
      </c>
      <c r="D3334" s="580" t="s">
        <v>227</v>
      </c>
      <c r="E3334" s="569" t="s">
        <v>3374</v>
      </c>
      <c r="F3334" s="569" t="s">
        <v>187</v>
      </c>
      <c r="G3334" s="569" t="s">
        <v>3265</v>
      </c>
      <c r="H3334" s="569">
        <v>2019</v>
      </c>
      <c r="I3334" s="569" t="s">
        <v>5856</v>
      </c>
      <c r="J3334" s="569" t="s">
        <v>5450</v>
      </c>
      <c r="K3334" s="569" t="s">
        <v>752</v>
      </c>
      <c r="L3334" s="569">
        <v>6</v>
      </c>
      <c r="M3334" s="569">
        <v>0</v>
      </c>
      <c r="N3334" s="569" t="s">
        <v>157</v>
      </c>
      <c r="O3334" s="569">
        <v>2</v>
      </c>
      <c r="P3334" s="569" t="s">
        <v>3846</v>
      </c>
      <c r="Q3334" s="568">
        <v>15440</v>
      </c>
      <c r="R3334" s="569" t="s">
        <v>5873</v>
      </c>
      <c r="S3334" s="569">
        <v>8</v>
      </c>
      <c r="T3334" s="569" t="s">
        <v>5908</v>
      </c>
      <c r="U3334" s="569" t="s">
        <v>931</v>
      </c>
      <c r="V3334" s="569">
        <v>169</v>
      </c>
      <c r="W3334" s="569">
        <v>32</v>
      </c>
      <c r="X3334" s="568">
        <v>11300</v>
      </c>
      <c r="Y3334" s="569" t="s">
        <v>164</v>
      </c>
      <c r="Z3334" s="581" t="s">
        <v>5870</v>
      </c>
      <c r="AA3334" s="581" t="s">
        <v>5870</v>
      </c>
      <c r="AB3334" s="585">
        <v>42140</v>
      </c>
      <c r="AC3334" s="585" t="s">
        <v>164</v>
      </c>
      <c r="AD3334" s="585">
        <v>36311</v>
      </c>
      <c r="AE3334" s="587">
        <v>6.25E-2</v>
      </c>
      <c r="AF3334" s="661" t="str">
        <f t="shared" si="360"/>
        <v>2019-LTK-RAM-RM35-024-04</v>
      </c>
      <c r="AG3334" s="661" t="str">
        <f>IF(AND($Y3334&gt;=32,(AI3334="I"),(Y3334&lt;&gt;"~"),(COUNTIF($AN$1:$AN3334,$AN3334)=1)),"TRUE","FALSE")</f>
        <v>FALSE</v>
      </c>
      <c r="AH3334" s="661" t="str">
        <f>IF(AND($Y3334&gt;=22, (AI3334&lt;&gt;"I"),(Y3334&lt;&gt;"~"),(COUNTIF($AN$1:$AN3334,$AN3334)=1)),"TRUE","FALSE")</f>
        <v>TRUE</v>
      </c>
      <c r="AI3334" s="661" t="str">
        <f t="shared" si="362"/>
        <v>N/A</v>
      </c>
      <c r="AJ3334" s="662" t="str">
        <f t="shared" si="363"/>
        <v>RM35-024</v>
      </c>
      <c r="AK3334" s="662" t="str">
        <f t="shared" si="364"/>
        <v>LTK</v>
      </c>
      <c r="AL3334" s="662" t="str">
        <f t="shared" si="365"/>
        <v>RAM</v>
      </c>
      <c r="AM3334" s="662" t="str">
        <f t="shared" si="361"/>
        <v>Ram 3500-Tradesman Crew Cab-4WD-6-8'-15440-6.4L Hemi-8-D28L92-22A-169-32-UNLEADED-UNLEADED</v>
      </c>
      <c r="AN3334" s="662" t="str">
        <f t="shared" si="366"/>
        <v>2019-LTK-RAM-RM35-024</v>
      </c>
    </row>
    <row r="3335" spans="1:40" ht="15">
      <c r="A3335" s="570" t="s">
        <v>5913</v>
      </c>
      <c r="B3335" s="573" t="s">
        <v>5914</v>
      </c>
      <c r="C3335" s="573" t="s">
        <v>226</v>
      </c>
      <c r="D3335" s="578" t="s">
        <v>227</v>
      </c>
      <c r="E3335" s="573" t="s">
        <v>3374</v>
      </c>
      <c r="F3335" s="573" t="s">
        <v>187</v>
      </c>
      <c r="G3335" s="573" t="s">
        <v>3265</v>
      </c>
      <c r="H3335" s="573">
        <v>2019</v>
      </c>
      <c r="I3335" s="573" t="s">
        <v>5856</v>
      </c>
      <c r="J3335" s="573" t="s">
        <v>5450</v>
      </c>
      <c r="K3335" s="573" t="s">
        <v>752</v>
      </c>
      <c r="L3335" s="573">
        <v>6</v>
      </c>
      <c r="M3335" s="573">
        <v>0</v>
      </c>
      <c r="N3335" s="573" t="s">
        <v>157</v>
      </c>
      <c r="O3335" s="573">
        <v>2</v>
      </c>
      <c r="P3335" s="573" t="s">
        <v>3846</v>
      </c>
      <c r="Q3335" s="571">
        <v>16850</v>
      </c>
      <c r="R3335" s="573" t="s">
        <v>4231</v>
      </c>
      <c r="S3335" s="573">
        <v>6</v>
      </c>
      <c r="T3335" s="573" t="s">
        <v>5908</v>
      </c>
      <c r="U3335" s="573" t="s">
        <v>5876</v>
      </c>
      <c r="V3335" s="573">
        <v>169</v>
      </c>
      <c r="W3335" s="573">
        <v>32</v>
      </c>
      <c r="X3335" s="571">
        <v>13300</v>
      </c>
      <c r="Y3335" s="569" t="s">
        <v>164</v>
      </c>
      <c r="Z3335" s="579" t="s">
        <v>728</v>
      </c>
      <c r="AA3335" s="579" t="s">
        <v>1523</v>
      </c>
      <c r="AB3335" s="584">
        <v>53535</v>
      </c>
      <c r="AC3335" s="584" t="s">
        <v>164</v>
      </c>
      <c r="AD3335" s="584">
        <v>46951</v>
      </c>
      <c r="AE3335" s="586">
        <v>6.25E-2</v>
      </c>
      <c r="AF3335" s="661" t="str">
        <f t="shared" si="360"/>
        <v>2019-LTK-RAM-RM35-025-04</v>
      </c>
      <c r="AG3335" s="661" t="str">
        <f>IF(AND($Y3335&gt;=32,(AI3335="I"),(Y3335&lt;&gt;"~"),(COUNTIF($AN$1:$AN3335,$AN3335)=1)),"TRUE","FALSE")</f>
        <v>FALSE</v>
      </c>
      <c r="AH3335" s="661" t="str">
        <f>IF(AND($Y3335&gt;=22, (AI3335&lt;&gt;"I"),(Y3335&lt;&gt;"~"),(COUNTIF($AN$1:$AN3335,$AN3335)=1)),"TRUE","FALSE")</f>
        <v>TRUE</v>
      </c>
      <c r="AI3335" s="661" t="str">
        <f t="shared" si="362"/>
        <v>N/A</v>
      </c>
      <c r="AJ3335" s="662" t="str">
        <f t="shared" si="363"/>
        <v>RM35-025</v>
      </c>
      <c r="AK3335" s="662" t="str">
        <f t="shared" si="364"/>
        <v>LTK</v>
      </c>
      <c r="AL3335" s="662" t="str">
        <f t="shared" si="365"/>
        <v>RAM</v>
      </c>
      <c r="AM3335" s="662" t="str">
        <f t="shared" si="361"/>
        <v>Ram 3500-Tradesman Crew Cab-4WD-6-8'-16850-6.7L Diesel-6-D28L92-28A AISIN-169-32-Diesel-BioDiesel</v>
      </c>
      <c r="AN3335" s="662" t="str">
        <f t="shared" si="366"/>
        <v>2019-LTK-RAM-RM35-025</v>
      </c>
    </row>
    <row r="3336" spans="1:40" ht="15">
      <c r="A3336" s="570" t="s">
        <v>5915</v>
      </c>
      <c r="B3336" s="569" t="s">
        <v>5916</v>
      </c>
      <c r="C3336" s="569" t="s">
        <v>226</v>
      </c>
      <c r="D3336" s="580" t="s">
        <v>227</v>
      </c>
      <c r="E3336" s="569" t="s">
        <v>3374</v>
      </c>
      <c r="F3336" s="569" t="s">
        <v>187</v>
      </c>
      <c r="G3336" s="569" t="s">
        <v>3265</v>
      </c>
      <c r="H3336" s="569">
        <v>2019</v>
      </c>
      <c r="I3336" s="569" t="s">
        <v>5856</v>
      </c>
      <c r="J3336" s="569" t="s">
        <v>5450</v>
      </c>
      <c r="K3336" s="569" t="s">
        <v>752</v>
      </c>
      <c r="L3336" s="569">
        <v>6</v>
      </c>
      <c r="M3336" s="569">
        <v>0</v>
      </c>
      <c r="N3336" s="569" t="s">
        <v>157</v>
      </c>
      <c r="O3336" s="569">
        <v>2</v>
      </c>
      <c r="P3336" s="569" t="s">
        <v>3846</v>
      </c>
      <c r="Q3336" s="568">
        <v>16990</v>
      </c>
      <c r="R3336" s="569" t="s">
        <v>4231</v>
      </c>
      <c r="S3336" s="569">
        <v>6</v>
      </c>
      <c r="T3336" s="569" t="s">
        <v>5908</v>
      </c>
      <c r="U3336" s="569" t="s">
        <v>5767</v>
      </c>
      <c r="V3336" s="569">
        <v>169</v>
      </c>
      <c r="W3336" s="569">
        <v>32</v>
      </c>
      <c r="X3336" s="568">
        <v>13300</v>
      </c>
      <c r="Y3336" s="569" t="s">
        <v>164</v>
      </c>
      <c r="Z3336" s="581" t="s">
        <v>728</v>
      </c>
      <c r="AA3336" s="581" t="s">
        <v>1523</v>
      </c>
      <c r="AB3336" s="585">
        <v>50840</v>
      </c>
      <c r="AC3336" s="585" t="s">
        <v>164</v>
      </c>
      <c r="AD3336" s="585">
        <v>44504</v>
      </c>
      <c r="AE3336" s="587">
        <v>6.25E-2</v>
      </c>
      <c r="AF3336" s="661" t="str">
        <f t="shared" si="360"/>
        <v>2019-LTK-RAM-RM35-026-04</v>
      </c>
      <c r="AG3336" s="661" t="str">
        <f>IF(AND($Y3336&gt;=32,(AI3336="I"),(Y3336&lt;&gt;"~"),(COUNTIF($AN$1:$AN3336,$AN3336)=1)),"TRUE","FALSE")</f>
        <v>FALSE</v>
      </c>
      <c r="AH3336" s="661" t="str">
        <f>IF(AND($Y3336&gt;=22, (AI3336&lt;&gt;"I"),(Y3336&lt;&gt;"~"),(COUNTIF($AN$1:$AN3336,$AN3336)=1)),"TRUE","FALSE")</f>
        <v>TRUE</v>
      </c>
      <c r="AI3336" s="661" t="str">
        <f t="shared" si="362"/>
        <v>N/A</v>
      </c>
      <c r="AJ3336" s="662" t="str">
        <f t="shared" si="363"/>
        <v>RM35-026</v>
      </c>
      <c r="AK3336" s="662" t="str">
        <f t="shared" si="364"/>
        <v>LTK</v>
      </c>
      <c r="AL3336" s="662" t="str">
        <f t="shared" si="365"/>
        <v>RAM</v>
      </c>
      <c r="AM3336" s="662" t="str">
        <f t="shared" si="361"/>
        <v>Ram 3500-Tradesman Crew Cab-4WD-6-8'-16990-6.7L Diesel-6-D28L92-2FA-169-32-Diesel-BioDiesel</v>
      </c>
      <c r="AN3336" s="662" t="str">
        <f t="shared" si="366"/>
        <v>2019-LTK-RAM-RM35-026</v>
      </c>
    </row>
    <row r="3337" spans="1:40" ht="15">
      <c r="A3337" s="570" t="s">
        <v>5917</v>
      </c>
      <c r="B3337" s="573" t="s">
        <v>5918</v>
      </c>
      <c r="C3337" s="573" t="s">
        <v>240</v>
      </c>
      <c r="D3337" s="578" t="s">
        <v>241</v>
      </c>
      <c r="E3337" s="573" t="s">
        <v>3374</v>
      </c>
      <c r="F3337" s="573" t="s">
        <v>187</v>
      </c>
      <c r="G3337" s="573" t="s">
        <v>3265</v>
      </c>
      <c r="H3337" s="573">
        <v>2018</v>
      </c>
      <c r="I3337" s="573" t="s">
        <v>5856</v>
      </c>
      <c r="J3337" s="573" t="s">
        <v>5450</v>
      </c>
      <c r="K3337" s="573" t="s">
        <v>752</v>
      </c>
      <c r="L3337" s="573">
        <v>6</v>
      </c>
      <c r="M3337" s="573">
        <v>0</v>
      </c>
      <c r="N3337" s="573" t="s">
        <v>157</v>
      </c>
      <c r="O3337" s="573">
        <v>2</v>
      </c>
      <c r="P3337" s="573" t="s">
        <v>5405</v>
      </c>
      <c r="Q3337" s="571">
        <v>11200</v>
      </c>
      <c r="R3337" s="573" t="s">
        <v>5401</v>
      </c>
      <c r="S3337" s="573">
        <v>8</v>
      </c>
      <c r="T3337" s="573" t="s">
        <v>5897</v>
      </c>
      <c r="U3337" s="573" t="s">
        <v>5760</v>
      </c>
      <c r="V3337" s="573">
        <v>149</v>
      </c>
      <c r="W3337" s="573">
        <v>31</v>
      </c>
      <c r="X3337" s="571">
        <v>10700</v>
      </c>
      <c r="Y3337" s="569" t="s">
        <v>164</v>
      </c>
      <c r="Z3337" s="579" t="s">
        <v>178</v>
      </c>
      <c r="AA3337" s="579" t="s">
        <v>178</v>
      </c>
      <c r="AB3337" s="584">
        <v>41755</v>
      </c>
      <c r="AC3337" s="584" t="s">
        <v>164</v>
      </c>
      <c r="AD3337" s="584">
        <v>28441</v>
      </c>
      <c r="AE3337" s="586">
        <v>0.05</v>
      </c>
      <c r="AF3337" s="661" t="str">
        <f t="shared" si="360"/>
        <v>2018-LTK-RAM-RM35-017-08</v>
      </c>
      <c r="AG3337" s="661" t="str">
        <f>IF(AND($Y3337&gt;=32,(AI3337="I"),(Y3337&lt;&gt;"~"),(COUNTIF($AN$1:$AN3337,$AN3337)=1)),"TRUE","FALSE")</f>
        <v>FALSE</v>
      </c>
      <c r="AH3337" s="661" t="str">
        <f>IF(AND($Y3337&gt;=22, (AI3337&lt;&gt;"I"),(Y3337&lt;&gt;"~"),(COUNTIF($AN$1:$AN3337,$AN3337)=1)),"TRUE","FALSE")</f>
        <v>TRUE</v>
      </c>
      <c r="AI3337" s="661" t="str">
        <f t="shared" si="362"/>
        <v>N/A</v>
      </c>
      <c r="AJ3337" s="662" t="str">
        <f t="shared" si="363"/>
        <v>RM35-017</v>
      </c>
      <c r="AK3337" s="662" t="str">
        <f t="shared" si="364"/>
        <v>LTK</v>
      </c>
      <c r="AL3337" s="662" t="str">
        <f t="shared" si="365"/>
        <v>RAM</v>
      </c>
      <c r="AM3337" s="662" t="str">
        <f t="shared" si="361"/>
        <v>Ram 3500-Tradesman Crew Cab-4WD-6-6'4"-11200-5.7L Hemi-8-D28L91-26A-149-31-Unleaded-Unleaded</v>
      </c>
      <c r="AN3337" s="662" t="str">
        <f t="shared" si="366"/>
        <v>2018-LTK-RAM-RM35-017</v>
      </c>
    </row>
    <row r="3338" spans="1:40" ht="15">
      <c r="A3338" s="570" t="s">
        <v>5919</v>
      </c>
      <c r="B3338" s="569" t="s">
        <v>5920</v>
      </c>
      <c r="C3338" s="569" t="s">
        <v>240</v>
      </c>
      <c r="D3338" s="580" t="s">
        <v>241</v>
      </c>
      <c r="E3338" s="569" t="s">
        <v>3374</v>
      </c>
      <c r="F3338" s="569" t="s">
        <v>187</v>
      </c>
      <c r="G3338" s="569" t="s">
        <v>3265</v>
      </c>
      <c r="H3338" s="569">
        <v>2018</v>
      </c>
      <c r="I3338" s="569" t="s">
        <v>5856</v>
      </c>
      <c r="J3338" s="569" t="s">
        <v>5450</v>
      </c>
      <c r="K3338" s="569" t="s">
        <v>752</v>
      </c>
      <c r="L3338" s="569">
        <v>6</v>
      </c>
      <c r="M3338" s="569">
        <v>0</v>
      </c>
      <c r="N3338" s="569" t="s">
        <v>157</v>
      </c>
      <c r="O3338" s="569">
        <v>2</v>
      </c>
      <c r="P3338" s="569" t="s">
        <v>3846</v>
      </c>
      <c r="Q3338" s="568">
        <v>11020</v>
      </c>
      <c r="R3338" s="569" t="s">
        <v>5401</v>
      </c>
      <c r="S3338" s="569">
        <v>8</v>
      </c>
      <c r="T3338" s="569" t="s">
        <v>5908</v>
      </c>
      <c r="U3338" s="569" t="s">
        <v>5760</v>
      </c>
      <c r="V3338" s="569">
        <v>169</v>
      </c>
      <c r="W3338" s="569">
        <v>32</v>
      </c>
      <c r="X3338" s="568">
        <v>11300</v>
      </c>
      <c r="Y3338" s="569" t="s">
        <v>164</v>
      </c>
      <c r="Z3338" s="581" t="s">
        <v>178</v>
      </c>
      <c r="AA3338" s="581" t="s">
        <v>178</v>
      </c>
      <c r="AB3338" s="585">
        <v>41955</v>
      </c>
      <c r="AC3338" s="585" t="s">
        <v>164</v>
      </c>
      <c r="AD3338" s="585">
        <v>28619</v>
      </c>
      <c r="AE3338" s="587">
        <v>0.05</v>
      </c>
      <c r="AF3338" s="661" t="str">
        <f t="shared" si="360"/>
        <v>2018-LTK-RAM-RM35-022-08</v>
      </c>
      <c r="AG3338" s="661" t="str">
        <f>IF(AND($Y3338&gt;=32,(AI3338="I"),(Y3338&lt;&gt;"~"),(COUNTIF($AN$1:$AN3338,$AN3338)=1)),"TRUE","FALSE")</f>
        <v>FALSE</v>
      </c>
      <c r="AH3338" s="661" t="str">
        <f>IF(AND($Y3338&gt;=22, (AI3338&lt;&gt;"I"),(Y3338&lt;&gt;"~"),(COUNTIF($AN$1:$AN3338,$AN3338)=1)),"TRUE","FALSE")</f>
        <v>TRUE</v>
      </c>
      <c r="AI3338" s="661" t="str">
        <f t="shared" si="362"/>
        <v>N/A</v>
      </c>
      <c r="AJ3338" s="662" t="str">
        <f t="shared" si="363"/>
        <v>RM35-022</v>
      </c>
      <c r="AK3338" s="662" t="str">
        <f t="shared" si="364"/>
        <v>LTK</v>
      </c>
      <c r="AL3338" s="662" t="str">
        <f t="shared" si="365"/>
        <v>RAM</v>
      </c>
      <c r="AM3338" s="662" t="str">
        <f t="shared" si="361"/>
        <v>Ram 3500-Tradesman Crew Cab-4WD-6-8'-11020-5.7L Hemi-8-D28L92-26A-169-32-Unleaded-Unleaded</v>
      </c>
      <c r="AN3338" s="662" t="str">
        <f t="shared" si="366"/>
        <v>2018-LTK-RAM-RM35-022</v>
      </c>
    </row>
    <row r="3339" spans="1:40" ht="30">
      <c r="A3339" s="570" t="s">
        <v>5921</v>
      </c>
      <c r="B3339" s="573" t="s">
        <v>5922</v>
      </c>
      <c r="C3339" s="573" t="s">
        <v>226</v>
      </c>
      <c r="D3339" s="578" t="s">
        <v>227</v>
      </c>
      <c r="E3339" s="573" t="s">
        <v>3374</v>
      </c>
      <c r="F3339" s="573" t="s">
        <v>187</v>
      </c>
      <c r="G3339" s="573" t="s">
        <v>3265</v>
      </c>
      <c r="H3339" s="573">
        <v>2019</v>
      </c>
      <c r="I3339" s="573" t="s">
        <v>5856</v>
      </c>
      <c r="J3339" s="573" t="s">
        <v>5481</v>
      </c>
      <c r="K3339" s="573" t="s">
        <v>3377</v>
      </c>
      <c r="L3339" s="573">
        <v>3</v>
      </c>
      <c r="M3339" s="573">
        <v>0</v>
      </c>
      <c r="N3339" s="573" t="s">
        <v>157</v>
      </c>
      <c r="O3339" s="573">
        <v>1</v>
      </c>
      <c r="P3339" s="573" t="s">
        <v>3846</v>
      </c>
      <c r="Q3339" s="571">
        <v>11910</v>
      </c>
      <c r="R3339" s="573" t="s">
        <v>5699</v>
      </c>
      <c r="S3339" s="573">
        <v>8</v>
      </c>
      <c r="T3339" s="573" t="s">
        <v>5923</v>
      </c>
      <c r="U3339" s="573" t="s">
        <v>5760</v>
      </c>
      <c r="V3339" s="573">
        <v>140</v>
      </c>
      <c r="W3339" s="573">
        <v>32</v>
      </c>
      <c r="X3339" s="571">
        <v>10100</v>
      </c>
      <c r="Y3339" s="569" t="s">
        <v>164</v>
      </c>
      <c r="Z3339" s="579" t="s">
        <v>178</v>
      </c>
      <c r="AA3339" s="579" t="s">
        <v>178</v>
      </c>
      <c r="AB3339" s="584">
        <v>35040</v>
      </c>
      <c r="AC3339" s="584" t="s">
        <v>164</v>
      </c>
      <c r="AD3339" s="584">
        <v>28499</v>
      </c>
      <c r="AE3339" s="586">
        <v>6.25E-2</v>
      </c>
      <c r="AF3339" s="661" t="str">
        <f t="shared" si="360"/>
        <v>2019-LTK-RAM-RM35-047-04</v>
      </c>
      <c r="AG3339" s="661" t="str">
        <f>IF(AND($Y3339&gt;=32,(AI3339="I"),(Y3339&lt;&gt;"~"),(COUNTIF($AN$1:$AN3339,$AN3339)=1)),"TRUE","FALSE")</f>
        <v>FALSE</v>
      </c>
      <c r="AH3339" s="661" t="str">
        <f>IF(AND($Y3339&gt;=22, (AI3339&lt;&gt;"I"),(Y3339&lt;&gt;"~"),(COUNTIF($AN$1:$AN3339,$AN3339)=1)),"TRUE","FALSE")</f>
        <v>TRUE</v>
      </c>
      <c r="AI3339" s="661" t="str">
        <f t="shared" si="362"/>
        <v>N/A</v>
      </c>
      <c r="AJ3339" s="662" t="str">
        <f t="shared" si="363"/>
        <v>RM35-047</v>
      </c>
      <c r="AK3339" s="662" t="str">
        <f t="shared" si="364"/>
        <v>LTK</v>
      </c>
      <c r="AL3339" s="662" t="str">
        <f t="shared" si="365"/>
        <v>RAM</v>
      </c>
      <c r="AM3339" s="662" t="str">
        <f t="shared" si="361"/>
        <v>Ram 3500-Tradesman Regular Cab-2WD-3-8'-11910-5.7L Hemi/3.73 axle ratio-8-D23L62-26A-140-32-Unleaded-Unleaded</v>
      </c>
      <c r="AN3339" s="662" t="str">
        <f t="shared" si="366"/>
        <v>2019-LTK-RAM-RM35-047</v>
      </c>
    </row>
    <row r="3340" spans="1:40" ht="30">
      <c r="A3340" s="570" t="s">
        <v>5924</v>
      </c>
      <c r="B3340" s="569" t="s">
        <v>5925</v>
      </c>
      <c r="C3340" s="569" t="s">
        <v>226</v>
      </c>
      <c r="D3340" s="580" t="s">
        <v>227</v>
      </c>
      <c r="E3340" s="569" t="s">
        <v>3374</v>
      </c>
      <c r="F3340" s="569" t="s">
        <v>187</v>
      </c>
      <c r="G3340" s="569" t="s">
        <v>3265</v>
      </c>
      <c r="H3340" s="569">
        <v>2019</v>
      </c>
      <c r="I3340" s="569" t="s">
        <v>5856</v>
      </c>
      <c r="J3340" s="569" t="s">
        <v>5481</v>
      </c>
      <c r="K3340" s="569" t="s">
        <v>3377</v>
      </c>
      <c r="L3340" s="569">
        <v>3</v>
      </c>
      <c r="M3340" s="569">
        <v>0</v>
      </c>
      <c r="N3340" s="569" t="s">
        <v>157</v>
      </c>
      <c r="O3340" s="569">
        <v>1</v>
      </c>
      <c r="P3340" s="569" t="s">
        <v>3846</v>
      </c>
      <c r="Q3340" s="568">
        <v>13910</v>
      </c>
      <c r="R3340" s="569" t="s">
        <v>5826</v>
      </c>
      <c r="S3340" s="569">
        <v>8</v>
      </c>
      <c r="T3340" s="569" t="s">
        <v>5923</v>
      </c>
      <c r="U3340" s="569" t="s">
        <v>5760</v>
      </c>
      <c r="V3340" s="569">
        <v>140</v>
      </c>
      <c r="W3340" s="569">
        <v>32</v>
      </c>
      <c r="X3340" s="568">
        <v>10100</v>
      </c>
      <c r="Y3340" s="569" t="s">
        <v>164</v>
      </c>
      <c r="Z3340" s="581" t="s">
        <v>5870</v>
      </c>
      <c r="AA3340" s="581" t="s">
        <v>5870</v>
      </c>
      <c r="AB3340" s="585">
        <v>35185</v>
      </c>
      <c r="AC3340" s="585" t="s">
        <v>164</v>
      </c>
      <c r="AD3340" s="585">
        <v>28644</v>
      </c>
      <c r="AE3340" s="587">
        <v>6.25E-2</v>
      </c>
      <c r="AF3340" s="661" t="str">
        <f t="shared" ref="AF3340:AF3403" si="367">A3340</f>
        <v>2019-LTK-RAM-RM35-048-04</v>
      </c>
      <c r="AG3340" s="661" t="str">
        <f>IF(AND($Y3340&gt;=32,(AI3340="I"),(Y3340&lt;&gt;"~"),(COUNTIF($AN$1:$AN3340,$AN3340)=1)),"TRUE","FALSE")</f>
        <v>FALSE</v>
      </c>
      <c r="AH3340" s="661" t="str">
        <f>IF(AND($Y3340&gt;=22, (AI3340&lt;&gt;"I"),(Y3340&lt;&gt;"~"),(COUNTIF($AN$1:$AN3340,$AN3340)=1)),"TRUE","FALSE")</f>
        <v>TRUE</v>
      </c>
      <c r="AI3340" s="661" t="str">
        <f t="shared" si="362"/>
        <v>N/A</v>
      </c>
      <c r="AJ3340" s="662" t="str">
        <f t="shared" si="363"/>
        <v>RM35-048</v>
      </c>
      <c r="AK3340" s="662" t="str">
        <f t="shared" si="364"/>
        <v>LTK</v>
      </c>
      <c r="AL3340" s="662" t="str">
        <f t="shared" si="365"/>
        <v>RAM</v>
      </c>
      <c r="AM3340" s="662" t="str">
        <f t="shared" si="361"/>
        <v>Ram 3500-Tradesman Regular Cab-2WD-3-8'-13910-5.7L Hemi/4.10 axle ratio-8-D23L62-26A-140-32-UNLEADED-UNLEADED</v>
      </c>
      <c r="AN3340" s="662" t="str">
        <f t="shared" si="366"/>
        <v>2019-LTK-RAM-RM35-048</v>
      </c>
    </row>
    <row r="3341" spans="1:40" ht="30">
      <c r="A3341" s="570" t="s">
        <v>5926</v>
      </c>
      <c r="B3341" s="573" t="s">
        <v>5927</v>
      </c>
      <c r="C3341" s="573" t="s">
        <v>226</v>
      </c>
      <c r="D3341" s="578" t="s">
        <v>227</v>
      </c>
      <c r="E3341" s="573" t="s">
        <v>3374</v>
      </c>
      <c r="F3341" s="573" t="s">
        <v>187</v>
      </c>
      <c r="G3341" s="573" t="s">
        <v>3265</v>
      </c>
      <c r="H3341" s="573">
        <v>2019</v>
      </c>
      <c r="I3341" s="573" t="s">
        <v>5856</v>
      </c>
      <c r="J3341" s="573" t="s">
        <v>5481</v>
      </c>
      <c r="K3341" s="573" t="s">
        <v>3377</v>
      </c>
      <c r="L3341" s="573">
        <v>3</v>
      </c>
      <c r="M3341" s="573">
        <v>0</v>
      </c>
      <c r="N3341" s="573" t="s">
        <v>157</v>
      </c>
      <c r="O3341" s="573">
        <v>1</v>
      </c>
      <c r="P3341" s="573" t="s">
        <v>3846</v>
      </c>
      <c r="Q3341" s="571">
        <v>16270</v>
      </c>
      <c r="R3341" s="573" t="s">
        <v>5873</v>
      </c>
      <c r="S3341" s="573">
        <v>8</v>
      </c>
      <c r="T3341" s="573" t="s">
        <v>5923</v>
      </c>
      <c r="U3341" s="573" t="s">
        <v>931</v>
      </c>
      <c r="V3341" s="573">
        <v>140</v>
      </c>
      <c r="W3341" s="573">
        <v>32</v>
      </c>
      <c r="X3341" s="571">
        <v>10100</v>
      </c>
      <c r="Y3341" s="569" t="s">
        <v>164</v>
      </c>
      <c r="Z3341" s="579" t="s">
        <v>5870</v>
      </c>
      <c r="AA3341" s="579" t="s">
        <v>5870</v>
      </c>
      <c r="AB3341" s="584">
        <v>35540</v>
      </c>
      <c r="AC3341" s="584" t="s">
        <v>164</v>
      </c>
      <c r="AD3341" s="584">
        <v>28951</v>
      </c>
      <c r="AE3341" s="586">
        <v>6.25E-2</v>
      </c>
      <c r="AF3341" s="661" t="str">
        <f t="shared" si="367"/>
        <v>2019-LTK-RAM-RM35-029-04</v>
      </c>
      <c r="AG3341" s="661" t="str">
        <f>IF(AND($Y3341&gt;=32,(AI3341="I"),(Y3341&lt;&gt;"~"),(COUNTIF($AN$1:$AN3341,$AN3341)=1)),"TRUE","FALSE")</f>
        <v>FALSE</v>
      </c>
      <c r="AH3341" s="661" t="str">
        <f>IF(AND($Y3341&gt;=22, (AI3341&lt;&gt;"I"),(Y3341&lt;&gt;"~"),(COUNTIF($AN$1:$AN3341,$AN3341)=1)),"TRUE","FALSE")</f>
        <v>TRUE</v>
      </c>
      <c r="AI3341" s="661" t="str">
        <f t="shared" si="362"/>
        <v>N/A</v>
      </c>
      <c r="AJ3341" s="662" t="str">
        <f t="shared" si="363"/>
        <v>RM35-029</v>
      </c>
      <c r="AK3341" s="662" t="str">
        <f t="shared" si="364"/>
        <v>LTK</v>
      </c>
      <c r="AL3341" s="662" t="str">
        <f t="shared" si="365"/>
        <v>RAM</v>
      </c>
      <c r="AM3341" s="662" t="str">
        <f t="shared" si="361"/>
        <v>Ram 3500-Tradesman Regular Cab-2WD-3-8'-16270-6.4L Hemi-8-D23L62-22A-140-32-UNLEADED-UNLEADED</v>
      </c>
      <c r="AN3341" s="662" t="str">
        <f t="shared" si="366"/>
        <v>2019-LTK-RAM-RM35-029</v>
      </c>
    </row>
    <row r="3342" spans="1:40" ht="30">
      <c r="A3342" s="570" t="s">
        <v>5928</v>
      </c>
      <c r="B3342" s="569" t="s">
        <v>5929</v>
      </c>
      <c r="C3342" s="569" t="s">
        <v>226</v>
      </c>
      <c r="D3342" s="580" t="s">
        <v>227</v>
      </c>
      <c r="E3342" s="569" t="s">
        <v>3374</v>
      </c>
      <c r="F3342" s="569" t="s">
        <v>187</v>
      </c>
      <c r="G3342" s="569" t="s">
        <v>3265</v>
      </c>
      <c r="H3342" s="569">
        <v>2019</v>
      </c>
      <c r="I3342" s="569" t="s">
        <v>5856</v>
      </c>
      <c r="J3342" s="569" t="s">
        <v>5481</v>
      </c>
      <c r="K3342" s="569" t="s">
        <v>3377</v>
      </c>
      <c r="L3342" s="569">
        <v>3</v>
      </c>
      <c r="M3342" s="569">
        <v>0</v>
      </c>
      <c r="N3342" s="569" t="s">
        <v>157</v>
      </c>
      <c r="O3342" s="569">
        <v>1</v>
      </c>
      <c r="P3342" s="569" t="s">
        <v>3846</v>
      </c>
      <c r="Q3342" s="568">
        <v>17770</v>
      </c>
      <c r="R3342" s="569" t="s">
        <v>4231</v>
      </c>
      <c r="S3342" s="569">
        <v>6</v>
      </c>
      <c r="T3342" s="569" t="s">
        <v>5923</v>
      </c>
      <c r="U3342" s="569" t="s">
        <v>5876</v>
      </c>
      <c r="V3342" s="569">
        <v>140</v>
      </c>
      <c r="W3342" s="569">
        <v>32</v>
      </c>
      <c r="X3342" s="568">
        <v>10100</v>
      </c>
      <c r="Y3342" s="569" t="s">
        <v>164</v>
      </c>
      <c r="Z3342" s="581" t="s">
        <v>728</v>
      </c>
      <c r="AA3342" s="581" t="s">
        <v>1523</v>
      </c>
      <c r="AB3342" s="585">
        <v>46935</v>
      </c>
      <c r="AC3342" s="585" t="s">
        <v>164</v>
      </c>
      <c r="AD3342" s="585">
        <v>37673</v>
      </c>
      <c r="AE3342" s="587">
        <v>6.25E-2</v>
      </c>
      <c r="AF3342" s="661" t="str">
        <f t="shared" si="367"/>
        <v>2019-LTK-RAM-RM35-030-04</v>
      </c>
      <c r="AG3342" s="661" t="str">
        <f>IF(AND($Y3342&gt;=32,(AI3342="I"),(Y3342&lt;&gt;"~"),(COUNTIF($AN$1:$AN3342,$AN3342)=1)),"TRUE","FALSE")</f>
        <v>FALSE</v>
      </c>
      <c r="AH3342" s="661" t="str">
        <f>IF(AND($Y3342&gt;=22, (AI3342&lt;&gt;"I"),(Y3342&lt;&gt;"~"),(COUNTIF($AN$1:$AN3342,$AN3342)=1)),"TRUE","FALSE")</f>
        <v>TRUE</v>
      </c>
      <c r="AI3342" s="661" t="str">
        <f t="shared" si="362"/>
        <v>N/A</v>
      </c>
      <c r="AJ3342" s="662" t="str">
        <f t="shared" si="363"/>
        <v>RM35-030</v>
      </c>
      <c r="AK3342" s="662" t="str">
        <f t="shared" si="364"/>
        <v>LTK</v>
      </c>
      <c r="AL3342" s="662" t="str">
        <f t="shared" si="365"/>
        <v>RAM</v>
      </c>
      <c r="AM3342" s="662" t="str">
        <f t="shared" si="361"/>
        <v>Ram 3500-Tradesman Regular Cab-2WD-3-8'-17770-6.7L Diesel-6-D23L62-28A AISIN-140-32-Diesel-BioDiesel</v>
      </c>
      <c r="AN3342" s="662" t="str">
        <f t="shared" si="366"/>
        <v>2019-LTK-RAM-RM35-030</v>
      </c>
    </row>
    <row r="3343" spans="1:40" ht="30">
      <c r="A3343" s="570" t="s">
        <v>5930</v>
      </c>
      <c r="B3343" s="573" t="s">
        <v>5931</v>
      </c>
      <c r="C3343" s="573" t="s">
        <v>226</v>
      </c>
      <c r="D3343" s="578" t="s">
        <v>227</v>
      </c>
      <c r="E3343" s="573" t="s">
        <v>3374</v>
      </c>
      <c r="F3343" s="573" t="s">
        <v>187</v>
      </c>
      <c r="G3343" s="573" t="s">
        <v>3265</v>
      </c>
      <c r="H3343" s="573">
        <v>2019</v>
      </c>
      <c r="I3343" s="573" t="s">
        <v>5856</v>
      </c>
      <c r="J3343" s="573" t="s">
        <v>5481</v>
      </c>
      <c r="K3343" s="573" t="s">
        <v>3377</v>
      </c>
      <c r="L3343" s="573">
        <v>3</v>
      </c>
      <c r="M3343" s="573">
        <v>0</v>
      </c>
      <c r="N3343" s="573" t="s">
        <v>157</v>
      </c>
      <c r="O3343" s="573">
        <v>1</v>
      </c>
      <c r="P3343" s="573" t="s">
        <v>3846</v>
      </c>
      <c r="Q3343" s="571">
        <v>17910</v>
      </c>
      <c r="R3343" s="573" t="s">
        <v>4231</v>
      </c>
      <c r="S3343" s="573">
        <v>6</v>
      </c>
      <c r="T3343" s="573" t="s">
        <v>5923</v>
      </c>
      <c r="U3343" s="573" t="s">
        <v>5767</v>
      </c>
      <c r="V3343" s="573">
        <v>140</v>
      </c>
      <c r="W3343" s="573">
        <v>32</v>
      </c>
      <c r="X3343" s="571">
        <v>10100</v>
      </c>
      <c r="Y3343" s="569" t="s">
        <v>164</v>
      </c>
      <c r="Z3343" s="579" t="s">
        <v>728</v>
      </c>
      <c r="AA3343" s="579" t="s">
        <v>1523</v>
      </c>
      <c r="AB3343" s="584">
        <v>44240</v>
      </c>
      <c r="AC3343" s="584" t="s">
        <v>164</v>
      </c>
      <c r="AD3343" s="584">
        <v>37666</v>
      </c>
      <c r="AE3343" s="586">
        <v>6.25E-2</v>
      </c>
      <c r="AF3343" s="661" t="str">
        <f t="shared" si="367"/>
        <v>2019-LTK-RAM-RM35-031-04</v>
      </c>
      <c r="AG3343" s="661" t="str">
        <f>IF(AND($Y3343&gt;=32,(AI3343="I"),(Y3343&lt;&gt;"~"),(COUNTIF($AN$1:$AN3343,$AN3343)=1)),"TRUE","FALSE")</f>
        <v>FALSE</v>
      </c>
      <c r="AH3343" s="661" t="str">
        <f>IF(AND($Y3343&gt;=22, (AI3343&lt;&gt;"I"),(Y3343&lt;&gt;"~"),(COUNTIF($AN$1:$AN3343,$AN3343)=1)),"TRUE","FALSE")</f>
        <v>TRUE</v>
      </c>
      <c r="AI3343" s="661" t="str">
        <f t="shared" si="362"/>
        <v>N/A</v>
      </c>
      <c r="AJ3343" s="662" t="str">
        <f t="shared" si="363"/>
        <v>RM35-031</v>
      </c>
      <c r="AK3343" s="662" t="str">
        <f t="shared" si="364"/>
        <v>LTK</v>
      </c>
      <c r="AL3343" s="662" t="str">
        <f t="shared" si="365"/>
        <v>RAM</v>
      </c>
      <c r="AM3343" s="662" t="str">
        <f t="shared" si="361"/>
        <v>Ram 3500-Tradesman Regular Cab-2WD-3-8'-17910-6.7L Diesel-6-D23L62-2FA-140-32-Diesel-BioDiesel</v>
      </c>
      <c r="AN3343" s="662" t="str">
        <f t="shared" si="366"/>
        <v>2019-LTK-RAM-RM35-031</v>
      </c>
    </row>
    <row r="3344" spans="1:40" ht="30">
      <c r="A3344" s="570" t="s">
        <v>5932</v>
      </c>
      <c r="B3344" s="569" t="s">
        <v>5933</v>
      </c>
      <c r="C3344" s="569" t="s">
        <v>240</v>
      </c>
      <c r="D3344" s="580" t="s">
        <v>241</v>
      </c>
      <c r="E3344" s="569" t="s">
        <v>3374</v>
      </c>
      <c r="F3344" s="569" t="s">
        <v>187</v>
      </c>
      <c r="G3344" s="569" t="s">
        <v>3265</v>
      </c>
      <c r="H3344" s="569">
        <v>2018</v>
      </c>
      <c r="I3344" s="569" t="s">
        <v>5856</v>
      </c>
      <c r="J3344" s="569" t="s">
        <v>5481</v>
      </c>
      <c r="K3344" s="569" t="s">
        <v>3377</v>
      </c>
      <c r="L3344" s="569">
        <v>3</v>
      </c>
      <c r="M3344" s="569">
        <v>0</v>
      </c>
      <c r="N3344" s="569" t="s">
        <v>157</v>
      </c>
      <c r="O3344" s="569">
        <v>1</v>
      </c>
      <c r="P3344" s="569" t="s">
        <v>3846</v>
      </c>
      <c r="Q3344" s="568">
        <v>11910</v>
      </c>
      <c r="R3344" s="569" t="s">
        <v>5401</v>
      </c>
      <c r="S3344" s="569">
        <v>8</v>
      </c>
      <c r="T3344" s="569" t="s">
        <v>5923</v>
      </c>
      <c r="U3344" s="569" t="s">
        <v>5760</v>
      </c>
      <c r="V3344" s="569">
        <v>140</v>
      </c>
      <c r="W3344" s="569">
        <v>32</v>
      </c>
      <c r="X3344" s="568">
        <v>10100</v>
      </c>
      <c r="Y3344" s="569" t="s">
        <v>164</v>
      </c>
      <c r="Z3344" s="581" t="s">
        <v>178</v>
      </c>
      <c r="AA3344" s="581" t="s">
        <v>178</v>
      </c>
      <c r="AB3344" s="585">
        <v>35135</v>
      </c>
      <c r="AC3344" s="585" t="s">
        <v>164</v>
      </c>
      <c r="AD3344" s="585">
        <v>22330</v>
      </c>
      <c r="AE3344" s="587">
        <v>0.05</v>
      </c>
      <c r="AF3344" s="661" t="str">
        <f t="shared" si="367"/>
        <v>2018-LTK-RAM-RM35-027-08</v>
      </c>
      <c r="AG3344" s="661" t="str">
        <f>IF(AND($Y3344&gt;=32,(AI3344="I"),(Y3344&lt;&gt;"~"),(COUNTIF($AN$1:$AN3344,$AN3344)=1)),"TRUE","FALSE")</f>
        <v>FALSE</v>
      </c>
      <c r="AH3344" s="661" t="str">
        <f>IF(AND($Y3344&gt;=22, (AI3344&lt;&gt;"I"),(Y3344&lt;&gt;"~"),(COUNTIF($AN$1:$AN3344,$AN3344)=1)),"TRUE","FALSE")</f>
        <v>TRUE</v>
      </c>
      <c r="AI3344" s="661" t="str">
        <f t="shared" si="362"/>
        <v>N/A</v>
      </c>
      <c r="AJ3344" s="662" t="str">
        <f t="shared" si="363"/>
        <v>RM35-027</v>
      </c>
      <c r="AK3344" s="662" t="str">
        <f t="shared" si="364"/>
        <v>LTK</v>
      </c>
      <c r="AL3344" s="662" t="str">
        <f t="shared" si="365"/>
        <v>RAM</v>
      </c>
      <c r="AM3344" s="662" t="str">
        <f t="shared" si="361"/>
        <v>Ram 3500-Tradesman Regular Cab-2WD-3-8'-11910-5.7L Hemi-8-D23L62-26A-140-32-Unleaded-Unleaded</v>
      </c>
      <c r="AN3344" s="662" t="str">
        <f t="shared" si="366"/>
        <v>2018-LTK-RAM-RM35-027</v>
      </c>
    </row>
    <row r="3345" spans="1:40" ht="30">
      <c r="A3345" s="570" t="s">
        <v>5934</v>
      </c>
      <c r="B3345" s="573" t="s">
        <v>5935</v>
      </c>
      <c r="C3345" s="573" t="s">
        <v>226</v>
      </c>
      <c r="D3345" s="578" t="s">
        <v>227</v>
      </c>
      <c r="E3345" s="573" t="s">
        <v>3374</v>
      </c>
      <c r="F3345" s="573" t="s">
        <v>187</v>
      </c>
      <c r="G3345" s="573" t="s">
        <v>3265</v>
      </c>
      <c r="H3345" s="573">
        <v>2019</v>
      </c>
      <c r="I3345" s="573" t="s">
        <v>5856</v>
      </c>
      <c r="J3345" s="573" t="s">
        <v>5481</v>
      </c>
      <c r="K3345" s="573" t="s">
        <v>752</v>
      </c>
      <c r="L3345" s="573">
        <v>3</v>
      </c>
      <c r="M3345" s="573">
        <v>0</v>
      </c>
      <c r="N3345" s="573" t="s">
        <v>157</v>
      </c>
      <c r="O3345" s="573">
        <v>1</v>
      </c>
      <c r="P3345" s="573" t="s">
        <v>3846</v>
      </c>
      <c r="Q3345" s="571">
        <v>11560</v>
      </c>
      <c r="R3345" s="573" t="s">
        <v>5699</v>
      </c>
      <c r="S3345" s="573">
        <v>8</v>
      </c>
      <c r="T3345" s="573" t="s">
        <v>5936</v>
      </c>
      <c r="U3345" s="573" t="s">
        <v>5760</v>
      </c>
      <c r="V3345" s="573">
        <v>140</v>
      </c>
      <c r="W3345" s="573">
        <v>32</v>
      </c>
      <c r="X3345" s="571">
        <v>10300</v>
      </c>
      <c r="Y3345" s="569" t="s">
        <v>164</v>
      </c>
      <c r="Z3345" s="579" t="s">
        <v>178</v>
      </c>
      <c r="AA3345" s="579" t="s">
        <v>178</v>
      </c>
      <c r="AB3345" s="584">
        <v>37840</v>
      </c>
      <c r="AC3345" s="584" t="s">
        <v>164</v>
      </c>
      <c r="AD3345" s="584">
        <v>31171</v>
      </c>
      <c r="AE3345" s="586">
        <v>6.25E-2</v>
      </c>
      <c r="AF3345" s="661" t="str">
        <f t="shared" si="367"/>
        <v>2019-LTK-RAM-RM35-049-04</v>
      </c>
      <c r="AG3345" s="661" t="str">
        <f>IF(AND($Y3345&gt;=32,(AI3345="I"),(Y3345&lt;&gt;"~"),(COUNTIF($AN$1:$AN3345,$AN3345)=1)),"TRUE","FALSE")</f>
        <v>FALSE</v>
      </c>
      <c r="AH3345" s="661" t="str">
        <f>IF(AND($Y3345&gt;=22, (AI3345&lt;&gt;"I"),(Y3345&lt;&gt;"~"),(COUNTIF($AN$1:$AN3345,$AN3345)=1)),"TRUE","FALSE")</f>
        <v>TRUE</v>
      </c>
      <c r="AI3345" s="661" t="str">
        <f t="shared" si="362"/>
        <v>N/A</v>
      </c>
      <c r="AJ3345" s="662" t="str">
        <f t="shared" si="363"/>
        <v>RM35-049</v>
      </c>
      <c r="AK3345" s="662" t="str">
        <f t="shared" si="364"/>
        <v>LTK</v>
      </c>
      <c r="AL3345" s="662" t="str">
        <f t="shared" si="365"/>
        <v>RAM</v>
      </c>
      <c r="AM3345" s="662" t="str">
        <f t="shared" si="361"/>
        <v>Ram 3500-Tradesman Regular Cab-4WD-3-8'-11560-5.7L Hemi/3.73 axle ratio-8-D28L62-26A-140-32-Unleaded-Unleaded</v>
      </c>
      <c r="AN3345" s="662" t="str">
        <f t="shared" si="366"/>
        <v>2019-LTK-RAM-RM35-049</v>
      </c>
    </row>
    <row r="3346" spans="1:40" ht="30">
      <c r="A3346" s="570" t="s">
        <v>5937</v>
      </c>
      <c r="B3346" s="569" t="s">
        <v>5938</v>
      </c>
      <c r="C3346" s="569" t="s">
        <v>226</v>
      </c>
      <c r="D3346" s="580" t="s">
        <v>227</v>
      </c>
      <c r="E3346" s="569" t="s">
        <v>3374</v>
      </c>
      <c r="F3346" s="569" t="s">
        <v>187</v>
      </c>
      <c r="G3346" s="569" t="s">
        <v>3265</v>
      </c>
      <c r="H3346" s="569">
        <v>2019</v>
      </c>
      <c r="I3346" s="569" t="s">
        <v>5856</v>
      </c>
      <c r="J3346" s="569" t="s">
        <v>5481</v>
      </c>
      <c r="K3346" s="569" t="s">
        <v>752</v>
      </c>
      <c r="L3346" s="569">
        <v>3</v>
      </c>
      <c r="M3346" s="569">
        <v>0</v>
      </c>
      <c r="N3346" s="569" t="s">
        <v>157</v>
      </c>
      <c r="O3346" s="569">
        <v>1</v>
      </c>
      <c r="P3346" s="569" t="s">
        <v>3846</v>
      </c>
      <c r="Q3346" s="568">
        <v>13560</v>
      </c>
      <c r="R3346" s="569" t="s">
        <v>5826</v>
      </c>
      <c r="S3346" s="569">
        <v>8</v>
      </c>
      <c r="T3346" s="569" t="s">
        <v>5936</v>
      </c>
      <c r="U3346" s="569" t="s">
        <v>5760</v>
      </c>
      <c r="V3346" s="569">
        <v>140</v>
      </c>
      <c r="W3346" s="569">
        <v>32</v>
      </c>
      <c r="X3346" s="568">
        <v>10300</v>
      </c>
      <c r="Y3346" s="569" t="s">
        <v>164</v>
      </c>
      <c r="Z3346" s="581" t="s">
        <v>5870</v>
      </c>
      <c r="AA3346" s="581" t="s">
        <v>5870</v>
      </c>
      <c r="AB3346" s="585">
        <v>37985</v>
      </c>
      <c r="AC3346" s="585" t="s">
        <v>164</v>
      </c>
      <c r="AD3346" s="585">
        <v>31316</v>
      </c>
      <c r="AE3346" s="587">
        <v>6.25E-2</v>
      </c>
      <c r="AF3346" s="661" t="str">
        <f t="shared" si="367"/>
        <v>2019-LTK-RAM-RM35-050-04</v>
      </c>
      <c r="AG3346" s="661" t="str">
        <f>IF(AND($Y3346&gt;=32,(AI3346="I"),(Y3346&lt;&gt;"~"),(COUNTIF($AN$1:$AN3346,$AN3346)=1)),"TRUE","FALSE")</f>
        <v>FALSE</v>
      </c>
      <c r="AH3346" s="661" t="str">
        <f>IF(AND($Y3346&gt;=22, (AI3346&lt;&gt;"I"),(Y3346&lt;&gt;"~"),(COUNTIF($AN$1:$AN3346,$AN3346)=1)),"TRUE","FALSE")</f>
        <v>TRUE</v>
      </c>
      <c r="AI3346" s="661" t="str">
        <f t="shared" si="362"/>
        <v>N/A</v>
      </c>
      <c r="AJ3346" s="662" t="str">
        <f t="shared" si="363"/>
        <v>RM35-050</v>
      </c>
      <c r="AK3346" s="662" t="str">
        <f t="shared" si="364"/>
        <v>LTK</v>
      </c>
      <c r="AL3346" s="662" t="str">
        <f t="shared" si="365"/>
        <v>RAM</v>
      </c>
      <c r="AM3346" s="662" t="str">
        <f t="shared" si="361"/>
        <v>Ram 3500-Tradesman Regular Cab-4WD-3-8'-13560-5.7L Hemi/4.10 axle ratio-8-D28L62-26A-140-32-UNLEADED-UNLEADED</v>
      </c>
      <c r="AN3346" s="662" t="str">
        <f t="shared" si="366"/>
        <v>2019-LTK-RAM-RM35-050</v>
      </c>
    </row>
    <row r="3347" spans="1:40" ht="30">
      <c r="A3347" s="570" t="s">
        <v>5939</v>
      </c>
      <c r="B3347" s="573" t="s">
        <v>5940</v>
      </c>
      <c r="C3347" s="573" t="s">
        <v>226</v>
      </c>
      <c r="D3347" s="578" t="s">
        <v>227</v>
      </c>
      <c r="E3347" s="573" t="s">
        <v>3374</v>
      </c>
      <c r="F3347" s="573" t="s">
        <v>187</v>
      </c>
      <c r="G3347" s="573" t="s">
        <v>3265</v>
      </c>
      <c r="H3347" s="573">
        <v>2019</v>
      </c>
      <c r="I3347" s="573" t="s">
        <v>5856</v>
      </c>
      <c r="J3347" s="573" t="s">
        <v>5481</v>
      </c>
      <c r="K3347" s="573" t="s">
        <v>752</v>
      </c>
      <c r="L3347" s="573">
        <v>3</v>
      </c>
      <c r="M3347" s="573">
        <v>0</v>
      </c>
      <c r="N3347" s="573" t="s">
        <v>157</v>
      </c>
      <c r="O3347" s="573">
        <v>1</v>
      </c>
      <c r="P3347" s="573" t="s">
        <v>3846</v>
      </c>
      <c r="Q3347" s="571">
        <v>16140</v>
      </c>
      <c r="R3347" s="573" t="s">
        <v>5873</v>
      </c>
      <c r="S3347" s="573">
        <v>8</v>
      </c>
      <c r="T3347" s="573" t="s">
        <v>5936</v>
      </c>
      <c r="U3347" s="573" t="s">
        <v>931</v>
      </c>
      <c r="V3347" s="573">
        <v>140</v>
      </c>
      <c r="W3347" s="573">
        <v>32</v>
      </c>
      <c r="X3347" s="571">
        <v>10300</v>
      </c>
      <c r="Y3347" s="569" t="s">
        <v>164</v>
      </c>
      <c r="Z3347" s="579" t="s">
        <v>5870</v>
      </c>
      <c r="AA3347" s="579" t="s">
        <v>5870</v>
      </c>
      <c r="AB3347" s="584">
        <v>38340</v>
      </c>
      <c r="AC3347" s="584" t="s">
        <v>164</v>
      </c>
      <c r="AD3347" s="584">
        <v>31625</v>
      </c>
      <c r="AE3347" s="586">
        <v>6.25E-2</v>
      </c>
      <c r="AF3347" s="661" t="str">
        <f t="shared" si="367"/>
        <v>2019-LTK-RAM-RM35-034-04</v>
      </c>
      <c r="AG3347" s="661" t="str">
        <f>IF(AND($Y3347&gt;=32,(AI3347="I"),(Y3347&lt;&gt;"~"),(COUNTIF($AN$1:$AN3347,$AN3347)=1)),"TRUE","FALSE")</f>
        <v>FALSE</v>
      </c>
      <c r="AH3347" s="661" t="str">
        <f>IF(AND($Y3347&gt;=22, (AI3347&lt;&gt;"I"),(Y3347&lt;&gt;"~"),(COUNTIF($AN$1:$AN3347,$AN3347)=1)),"TRUE","FALSE")</f>
        <v>TRUE</v>
      </c>
      <c r="AI3347" s="661" t="str">
        <f t="shared" si="362"/>
        <v>N/A</v>
      </c>
      <c r="AJ3347" s="662" t="str">
        <f t="shared" si="363"/>
        <v>RM35-034</v>
      </c>
      <c r="AK3347" s="662" t="str">
        <f t="shared" si="364"/>
        <v>LTK</v>
      </c>
      <c r="AL3347" s="662" t="str">
        <f t="shared" si="365"/>
        <v>RAM</v>
      </c>
      <c r="AM3347" s="662" t="str">
        <f t="shared" si="361"/>
        <v>Ram 3500-Tradesman Regular Cab-4WD-3-8'-16140-6.4L Hemi-8-D28L62-22A-140-32-UNLEADED-UNLEADED</v>
      </c>
      <c r="AN3347" s="662" t="str">
        <f t="shared" si="366"/>
        <v>2019-LTK-RAM-RM35-034</v>
      </c>
    </row>
    <row r="3348" spans="1:40" ht="30">
      <c r="A3348" s="570" t="s">
        <v>5941</v>
      </c>
      <c r="B3348" s="569" t="s">
        <v>5942</v>
      </c>
      <c r="C3348" s="569" t="s">
        <v>226</v>
      </c>
      <c r="D3348" s="580" t="s">
        <v>227</v>
      </c>
      <c r="E3348" s="569" t="s">
        <v>3374</v>
      </c>
      <c r="F3348" s="569" t="s">
        <v>187</v>
      </c>
      <c r="G3348" s="569" t="s">
        <v>3265</v>
      </c>
      <c r="H3348" s="569">
        <v>2019</v>
      </c>
      <c r="I3348" s="569" t="s">
        <v>5856</v>
      </c>
      <c r="J3348" s="569" t="s">
        <v>5481</v>
      </c>
      <c r="K3348" s="569" t="s">
        <v>752</v>
      </c>
      <c r="L3348" s="569">
        <v>3</v>
      </c>
      <c r="M3348" s="569">
        <v>0</v>
      </c>
      <c r="N3348" s="569" t="s">
        <v>157</v>
      </c>
      <c r="O3348" s="569">
        <v>1</v>
      </c>
      <c r="P3348" s="569" t="s">
        <v>3846</v>
      </c>
      <c r="Q3348" s="568">
        <v>17390</v>
      </c>
      <c r="R3348" s="569" t="s">
        <v>4231</v>
      </c>
      <c r="S3348" s="569">
        <v>6</v>
      </c>
      <c r="T3348" s="569" t="s">
        <v>5936</v>
      </c>
      <c r="U3348" s="569" t="s">
        <v>5876</v>
      </c>
      <c r="V3348" s="569">
        <v>140</v>
      </c>
      <c r="W3348" s="569">
        <v>32</v>
      </c>
      <c r="X3348" s="568">
        <v>10300</v>
      </c>
      <c r="Y3348" s="569" t="s">
        <v>164</v>
      </c>
      <c r="Z3348" s="581" t="s">
        <v>728</v>
      </c>
      <c r="AA3348" s="581" t="s">
        <v>1523</v>
      </c>
      <c r="AB3348" s="585">
        <v>49735</v>
      </c>
      <c r="AC3348" s="585" t="s">
        <v>164</v>
      </c>
      <c r="AD3348" s="585">
        <v>42368</v>
      </c>
      <c r="AE3348" s="587">
        <v>6.25E-2</v>
      </c>
      <c r="AF3348" s="661" t="str">
        <f t="shared" si="367"/>
        <v>2019-LTK-RAM-RM35-035-04</v>
      </c>
      <c r="AG3348" s="661" t="str">
        <f>IF(AND($Y3348&gt;=32,(AI3348="I"),(Y3348&lt;&gt;"~"),(COUNTIF($AN$1:$AN3348,$AN3348)=1)),"TRUE","FALSE")</f>
        <v>FALSE</v>
      </c>
      <c r="AH3348" s="661" t="str">
        <f>IF(AND($Y3348&gt;=22, (AI3348&lt;&gt;"I"),(Y3348&lt;&gt;"~"),(COUNTIF($AN$1:$AN3348,$AN3348)=1)),"TRUE","FALSE")</f>
        <v>TRUE</v>
      </c>
      <c r="AI3348" s="661" t="str">
        <f t="shared" si="362"/>
        <v>N/A</v>
      </c>
      <c r="AJ3348" s="662" t="str">
        <f t="shared" si="363"/>
        <v>RM35-035</v>
      </c>
      <c r="AK3348" s="662" t="str">
        <f t="shared" si="364"/>
        <v>LTK</v>
      </c>
      <c r="AL3348" s="662" t="str">
        <f t="shared" si="365"/>
        <v>RAM</v>
      </c>
      <c r="AM3348" s="662" t="str">
        <f t="shared" si="361"/>
        <v>Ram 3500-Tradesman Regular Cab-4WD-3-8'-17390-6.7L Diesel-6-D28L62-28A AISIN-140-32-Diesel-BioDiesel</v>
      </c>
      <c r="AN3348" s="662" t="str">
        <f t="shared" si="366"/>
        <v>2019-LTK-RAM-RM35-035</v>
      </c>
    </row>
    <row r="3349" spans="1:40" ht="30">
      <c r="A3349" s="570" t="s">
        <v>5943</v>
      </c>
      <c r="B3349" s="573" t="s">
        <v>5944</v>
      </c>
      <c r="C3349" s="573" t="s">
        <v>226</v>
      </c>
      <c r="D3349" s="578" t="s">
        <v>227</v>
      </c>
      <c r="E3349" s="573" t="s">
        <v>3374</v>
      </c>
      <c r="F3349" s="573" t="s">
        <v>187</v>
      </c>
      <c r="G3349" s="573" t="s">
        <v>3265</v>
      </c>
      <c r="H3349" s="573">
        <v>2019</v>
      </c>
      <c r="I3349" s="573" t="s">
        <v>5856</v>
      </c>
      <c r="J3349" s="573" t="s">
        <v>5481</v>
      </c>
      <c r="K3349" s="573" t="s">
        <v>752</v>
      </c>
      <c r="L3349" s="573">
        <v>3</v>
      </c>
      <c r="M3349" s="573">
        <v>0</v>
      </c>
      <c r="N3349" s="573" t="s">
        <v>157</v>
      </c>
      <c r="O3349" s="573">
        <v>1</v>
      </c>
      <c r="P3349" s="573" t="s">
        <v>3846</v>
      </c>
      <c r="Q3349" s="571">
        <v>17540</v>
      </c>
      <c r="R3349" s="573" t="s">
        <v>4231</v>
      </c>
      <c r="S3349" s="573">
        <v>6</v>
      </c>
      <c r="T3349" s="573" t="s">
        <v>5936</v>
      </c>
      <c r="U3349" s="573" t="s">
        <v>5767</v>
      </c>
      <c r="V3349" s="573">
        <v>140</v>
      </c>
      <c r="W3349" s="573">
        <v>32</v>
      </c>
      <c r="X3349" s="571">
        <v>10300</v>
      </c>
      <c r="Y3349" s="569" t="s">
        <v>164</v>
      </c>
      <c r="Z3349" s="579" t="s">
        <v>728</v>
      </c>
      <c r="AA3349" s="579" t="s">
        <v>1523</v>
      </c>
      <c r="AB3349" s="584">
        <v>47040</v>
      </c>
      <c r="AC3349" s="584" t="s">
        <v>164</v>
      </c>
      <c r="AD3349" s="584">
        <v>39926</v>
      </c>
      <c r="AE3349" s="586">
        <v>6.25E-2</v>
      </c>
      <c r="AF3349" s="661" t="str">
        <f t="shared" si="367"/>
        <v>2019-LTK-RAM-RM35-036-04</v>
      </c>
      <c r="AG3349" s="661" t="str">
        <f>IF(AND($Y3349&gt;=32,(AI3349="I"),(Y3349&lt;&gt;"~"),(COUNTIF($AN$1:$AN3349,$AN3349)=1)),"TRUE","FALSE")</f>
        <v>FALSE</v>
      </c>
      <c r="AH3349" s="661" t="str">
        <f>IF(AND($Y3349&gt;=22, (AI3349&lt;&gt;"I"),(Y3349&lt;&gt;"~"),(COUNTIF($AN$1:$AN3349,$AN3349)=1)),"TRUE","FALSE")</f>
        <v>TRUE</v>
      </c>
      <c r="AI3349" s="661" t="str">
        <f t="shared" si="362"/>
        <v>N/A</v>
      </c>
      <c r="AJ3349" s="662" t="str">
        <f t="shared" si="363"/>
        <v>RM35-036</v>
      </c>
      <c r="AK3349" s="662" t="str">
        <f t="shared" si="364"/>
        <v>LTK</v>
      </c>
      <c r="AL3349" s="662" t="str">
        <f t="shared" si="365"/>
        <v>RAM</v>
      </c>
      <c r="AM3349" s="662" t="str">
        <f t="shared" si="361"/>
        <v>Ram 3500-Tradesman Regular Cab-4WD-3-8'-17540-6.7L Diesel-6-D28L62-2FA-140-32-Diesel-BioDiesel</v>
      </c>
      <c r="AN3349" s="662" t="str">
        <f t="shared" si="366"/>
        <v>2019-LTK-RAM-RM35-036</v>
      </c>
    </row>
    <row r="3350" spans="1:40" ht="30">
      <c r="A3350" s="570" t="s">
        <v>5945</v>
      </c>
      <c r="B3350" s="569" t="s">
        <v>5946</v>
      </c>
      <c r="C3350" s="569" t="s">
        <v>240</v>
      </c>
      <c r="D3350" s="580" t="s">
        <v>241</v>
      </c>
      <c r="E3350" s="569" t="s">
        <v>3374</v>
      </c>
      <c r="F3350" s="569" t="s">
        <v>187</v>
      </c>
      <c r="G3350" s="569" t="s">
        <v>3265</v>
      </c>
      <c r="H3350" s="569">
        <v>2018</v>
      </c>
      <c r="I3350" s="569" t="s">
        <v>5856</v>
      </c>
      <c r="J3350" s="569" t="s">
        <v>5481</v>
      </c>
      <c r="K3350" s="569" t="s">
        <v>752</v>
      </c>
      <c r="L3350" s="569">
        <v>3</v>
      </c>
      <c r="M3350" s="569">
        <v>0</v>
      </c>
      <c r="N3350" s="569" t="s">
        <v>157</v>
      </c>
      <c r="O3350" s="569">
        <v>1</v>
      </c>
      <c r="P3350" s="569" t="s">
        <v>3846</v>
      </c>
      <c r="Q3350" s="568">
        <v>11560</v>
      </c>
      <c r="R3350" s="569" t="s">
        <v>5401</v>
      </c>
      <c r="S3350" s="569">
        <v>8</v>
      </c>
      <c r="T3350" s="569" t="s">
        <v>5936</v>
      </c>
      <c r="U3350" s="569" t="s">
        <v>5760</v>
      </c>
      <c r="V3350" s="569">
        <v>140</v>
      </c>
      <c r="W3350" s="569">
        <v>32</v>
      </c>
      <c r="X3350" s="568">
        <v>10300</v>
      </c>
      <c r="Y3350" s="569" t="s">
        <v>164</v>
      </c>
      <c r="Z3350" s="581" t="s">
        <v>178</v>
      </c>
      <c r="AA3350" s="581" t="s">
        <v>178</v>
      </c>
      <c r="AB3350" s="585">
        <v>37935</v>
      </c>
      <c r="AC3350" s="585" t="s">
        <v>164</v>
      </c>
      <c r="AD3350" s="585">
        <v>25032</v>
      </c>
      <c r="AE3350" s="587">
        <v>0.05</v>
      </c>
      <c r="AF3350" s="661" t="str">
        <f t="shared" si="367"/>
        <v>2018-LTK-RAM-RM35-032-08</v>
      </c>
      <c r="AG3350" s="661" t="str">
        <f>IF(AND($Y3350&gt;=32,(AI3350="I"),(Y3350&lt;&gt;"~"),(COUNTIF($AN$1:$AN3350,$AN3350)=1)),"TRUE","FALSE")</f>
        <v>FALSE</v>
      </c>
      <c r="AH3350" s="661" t="str">
        <f>IF(AND($Y3350&gt;=22, (AI3350&lt;&gt;"I"),(Y3350&lt;&gt;"~"),(COUNTIF($AN$1:$AN3350,$AN3350)=1)),"TRUE","FALSE")</f>
        <v>TRUE</v>
      </c>
      <c r="AI3350" s="661" t="str">
        <f t="shared" si="362"/>
        <v>N/A</v>
      </c>
      <c r="AJ3350" s="662" t="str">
        <f t="shared" si="363"/>
        <v>RM35-032</v>
      </c>
      <c r="AK3350" s="662" t="str">
        <f t="shared" si="364"/>
        <v>LTK</v>
      </c>
      <c r="AL3350" s="662" t="str">
        <f t="shared" si="365"/>
        <v>RAM</v>
      </c>
      <c r="AM3350" s="662" t="str">
        <f t="shared" si="361"/>
        <v>Ram 3500-Tradesman Regular Cab-4WD-3-8'-11560-5.7L Hemi-8-D28L62-26A-140-32-Unleaded-Unleaded</v>
      </c>
      <c r="AN3350" s="662" t="str">
        <f t="shared" si="366"/>
        <v>2018-LTK-RAM-RM35-032</v>
      </c>
    </row>
    <row r="3351" spans="1:40" ht="30">
      <c r="A3351" s="570" t="s">
        <v>5947</v>
      </c>
      <c r="B3351" s="573" t="s">
        <v>5948</v>
      </c>
      <c r="C3351" s="573" t="s">
        <v>240</v>
      </c>
      <c r="D3351" s="578" t="s">
        <v>241</v>
      </c>
      <c r="E3351" s="573" t="s">
        <v>3374</v>
      </c>
      <c r="F3351" s="573" t="s">
        <v>1684</v>
      </c>
      <c r="G3351" s="573" t="s">
        <v>3265</v>
      </c>
      <c r="H3351" s="573">
        <v>2018</v>
      </c>
      <c r="I3351" s="573" t="s">
        <v>5949</v>
      </c>
      <c r="J3351" s="573" t="s">
        <v>5950</v>
      </c>
      <c r="K3351" s="573" t="s">
        <v>3377</v>
      </c>
      <c r="L3351" s="573">
        <v>6</v>
      </c>
      <c r="M3351" s="573">
        <v>0</v>
      </c>
      <c r="N3351" s="573" t="s">
        <v>157</v>
      </c>
      <c r="O3351" s="573">
        <v>2</v>
      </c>
      <c r="P3351" s="573" t="s">
        <v>157</v>
      </c>
      <c r="Q3351" s="571">
        <v>14230</v>
      </c>
      <c r="R3351" s="573" t="s">
        <v>5873</v>
      </c>
      <c r="S3351" s="573">
        <v>8</v>
      </c>
      <c r="T3351" s="573" t="s">
        <v>5951</v>
      </c>
      <c r="U3351" s="573" t="s">
        <v>931</v>
      </c>
      <c r="V3351" s="573">
        <v>172.4</v>
      </c>
      <c r="W3351" s="573">
        <v>52</v>
      </c>
      <c r="X3351" s="571">
        <v>13500</v>
      </c>
      <c r="Y3351" s="569" t="s">
        <v>164</v>
      </c>
      <c r="Z3351" s="579" t="s">
        <v>178</v>
      </c>
      <c r="AA3351" s="579" t="s">
        <v>178</v>
      </c>
      <c r="AB3351" s="584">
        <v>38290</v>
      </c>
      <c r="AC3351" s="584" t="s">
        <v>164</v>
      </c>
      <c r="AD3351" s="584">
        <v>27725</v>
      </c>
      <c r="AE3351" s="586">
        <v>0.05</v>
      </c>
      <c r="AF3351" s="661" t="str">
        <f t="shared" si="367"/>
        <v>2018-LTK-RAM-RM35-001-08</v>
      </c>
      <c r="AG3351" s="661" t="str">
        <f>IF(AND($Y3351&gt;=32,(AI3351="I"),(Y3351&lt;&gt;"~"),(COUNTIF($AN$1:$AN3351,$AN3351)=1)),"TRUE","FALSE")</f>
        <v>FALSE</v>
      </c>
      <c r="AH3351" s="661" t="str">
        <f>IF(AND($Y3351&gt;=22, (AI3351&lt;&gt;"I"),(Y3351&lt;&gt;"~"),(COUNTIF($AN$1:$AN3351,$AN3351)=1)),"TRUE","FALSE")</f>
        <v>TRUE</v>
      </c>
      <c r="AI3351" s="661" t="str">
        <f t="shared" si="362"/>
        <v>N/A</v>
      </c>
      <c r="AJ3351" s="662" t="str">
        <f t="shared" si="363"/>
        <v>RM35-001</v>
      </c>
      <c r="AK3351" s="662" t="str">
        <f t="shared" si="364"/>
        <v>LTK</v>
      </c>
      <c r="AL3351" s="662" t="str">
        <f t="shared" si="365"/>
        <v>RAM</v>
      </c>
      <c r="AM3351" s="662" t="str">
        <f t="shared" si="361"/>
        <v>Ram 3500 Chassis Cab-Crew Chassis Cab-2WD-6-~-14230-6.4L Hemi-8-DD3L93-22A-172.4-52-Unleaded-Unleaded</v>
      </c>
      <c r="AN3351" s="662" t="str">
        <f t="shared" si="366"/>
        <v>2018-LTK-RAM-RM35-001</v>
      </c>
    </row>
    <row r="3352" spans="1:40" ht="30">
      <c r="A3352" s="570" t="s">
        <v>5952</v>
      </c>
      <c r="B3352" s="569" t="s">
        <v>5953</v>
      </c>
      <c r="C3352" s="569" t="s">
        <v>240</v>
      </c>
      <c r="D3352" s="580" t="s">
        <v>241</v>
      </c>
      <c r="E3352" s="569" t="s">
        <v>3374</v>
      </c>
      <c r="F3352" s="569" t="s">
        <v>1684</v>
      </c>
      <c r="G3352" s="569" t="s">
        <v>3265</v>
      </c>
      <c r="H3352" s="569">
        <v>2018</v>
      </c>
      <c r="I3352" s="569" t="s">
        <v>5949</v>
      </c>
      <c r="J3352" s="569" t="s">
        <v>5950</v>
      </c>
      <c r="K3352" s="569" t="s">
        <v>3377</v>
      </c>
      <c r="L3352" s="569">
        <v>6</v>
      </c>
      <c r="M3352" s="569">
        <v>0</v>
      </c>
      <c r="N3352" s="569" t="s">
        <v>157</v>
      </c>
      <c r="O3352" s="569">
        <v>2</v>
      </c>
      <c r="P3352" s="569" t="s">
        <v>157</v>
      </c>
      <c r="Q3352" s="568">
        <v>14610</v>
      </c>
      <c r="R3352" s="569" t="s">
        <v>5873</v>
      </c>
      <c r="S3352" s="569">
        <v>8</v>
      </c>
      <c r="T3352" s="569" t="s">
        <v>5954</v>
      </c>
      <c r="U3352" s="569" t="s">
        <v>931</v>
      </c>
      <c r="V3352" s="569">
        <v>172.4</v>
      </c>
      <c r="W3352" s="569">
        <v>22</v>
      </c>
      <c r="X3352" s="568">
        <v>10000</v>
      </c>
      <c r="Y3352" s="569">
        <v>13</v>
      </c>
      <c r="Z3352" s="581" t="s">
        <v>178</v>
      </c>
      <c r="AA3352" s="581" t="s">
        <v>178</v>
      </c>
      <c r="AB3352" s="585">
        <v>37890</v>
      </c>
      <c r="AC3352" s="585" t="s">
        <v>164</v>
      </c>
      <c r="AD3352" s="585">
        <v>27369</v>
      </c>
      <c r="AE3352" s="587">
        <v>0.05</v>
      </c>
      <c r="AF3352" s="661" t="str">
        <f t="shared" si="367"/>
        <v>2018-LTK-RAM-RM35-002-08</v>
      </c>
      <c r="AG3352" s="661" t="str">
        <f>IF(AND($Y3352&gt;=32,(AI3352="I"),(Y3352&lt;&gt;"~"),(COUNTIF($AN$1:$AN3352,$AN3352)=1)),"TRUE","FALSE")</f>
        <v>FALSE</v>
      </c>
      <c r="AH3352" s="661" t="str">
        <f>IF(AND($Y3352&gt;=22, (AI3352&lt;&gt;"I"),(Y3352&lt;&gt;"~"),(COUNTIF($AN$1:$AN3352,$AN3352)=1)),"TRUE","FALSE")</f>
        <v>FALSE</v>
      </c>
      <c r="AI3352" s="661" t="str">
        <f t="shared" si="362"/>
        <v>II</v>
      </c>
      <c r="AJ3352" s="662" t="str">
        <f t="shared" si="363"/>
        <v>RM35-002</v>
      </c>
      <c r="AK3352" s="662" t="str">
        <f t="shared" si="364"/>
        <v>LTK</v>
      </c>
      <c r="AL3352" s="662" t="str">
        <f t="shared" si="365"/>
        <v>RAM</v>
      </c>
      <c r="AM3352" s="662" t="str">
        <f t="shared" si="361"/>
        <v>Ram 3500 Chassis Cab-Crew Chassis Cab-2WD-6-~-14610-6.4L Hemi-8-DF3L93-22A-172.4-22-Unleaded-Unleaded</v>
      </c>
      <c r="AN3352" s="662" t="str">
        <f t="shared" si="366"/>
        <v>2018-LTK-RAM-RM35-002</v>
      </c>
    </row>
    <row r="3353" spans="1:40" ht="30">
      <c r="A3353" s="570" t="s">
        <v>5955</v>
      </c>
      <c r="B3353" s="573" t="s">
        <v>5956</v>
      </c>
      <c r="C3353" s="573" t="s">
        <v>240</v>
      </c>
      <c r="D3353" s="578" t="s">
        <v>241</v>
      </c>
      <c r="E3353" s="573" t="s">
        <v>3374</v>
      </c>
      <c r="F3353" s="573" t="s">
        <v>1684</v>
      </c>
      <c r="G3353" s="573" t="s">
        <v>3265</v>
      </c>
      <c r="H3353" s="573">
        <v>2018</v>
      </c>
      <c r="I3353" s="573" t="s">
        <v>5949</v>
      </c>
      <c r="J3353" s="573" t="s">
        <v>5950</v>
      </c>
      <c r="K3353" s="573" t="s">
        <v>752</v>
      </c>
      <c r="L3353" s="573">
        <v>6</v>
      </c>
      <c r="M3353" s="573">
        <v>0</v>
      </c>
      <c r="N3353" s="573" t="s">
        <v>157</v>
      </c>
      <c r="O3353" s="573">
        <v>2</v>
      </c>
      <c r="P3353" s="573" t="s">
        <v>157</v>
      </c>
      <c r="Q3353" s="571">
        <v>13950</v>
      </c>
      <c r="R3353" s="573" t="s">
        <v>5873</v>
      </c>
      <c r="S3353" s="573">
        <v>8</v>
      </c>
      <c r="T3353" s="573" t="s">
        <v>5957</v>
      </c>
      <c r="U3353" s="573" t="s">
        <v>931</v>
      </c>
      <c r="V3353" s="573">
        <v>172.4</v>
      </c>
      <c r="W3353" s="573">
        <v>52</v>
      </c>
      <c r="X3353" s="571">
        <v>13500</v>
      </c>
      <c r="Y3353" s="569" t="s">
        <v>164</v>
      </c>
      <c r="Z3353" s="579" t="s">
        <v>178</v>
      </c>
      <c r="AA3353" s="579" t="s">
        <v>178</v>
      </c>
      <c r="AB3353" s="584">
        <v>42140</v>
      </c>
      <c r="AC3353" s="584" t="s">
        <v>164</v>
      </c>
      <c r="AD3353" s="584">
        <v>28861</v>
      </c>
      <c r="AE3353" s="586">
        <v>0.05</v>
      </c>
      <c r="AF3353" s="661" t="str">
        <f t="shared" si="367"/>
        <v>2018-LTK-RAM-RM35-003-08</v>
      </c>
      <c r="AG3353" s="661" t="str">
        <f>IF(AND($Y3353&gt;=32,(AI3353="I"),(Y3353&lt;&gt;"~"),(COUNTIF($AN$1:$AN3353,$AN3353)=1)),"TRUE","FALSE")</f>
        <v>FALSE</v>
      </c>
      <c r="AH3353" s="661" t="str">
        <f>IF(AND($Y3353&gt;=22, (AI3353&lt;&gt;"I"),(Y3353&lt;&gt;"~"),(COUNTIF($AN$1:$AN3353,$AN3353)=1)),"TRUE","FALSE")</f>
        <v>TRUE</v>
      </c>
      <c r="AI3353" s="661" t="str">
        <f t="shared" si="362"/>
        <v>N/A</v>
      </c>
      <c r="AJ3353" s="662" t="str">
        <f t="shared" si="363"/>
        <v>RM35-003</v>
      </c>
      <c r="AK3353" s="662" t="str">
        <f t="shared" si="364"/>
        <v>LTK</v>
      </c>
      <c r="AL3353" s="662" t="str">
        <f t="shared" si="365"/>
        <v>RAM</v>
      </c>
      <c r="AM3353" s="662" t="str">
        <f t="shared" si="361"/>
        <v>Ram 3500 Chassis Cab-Crew Chassis Cab-4WD-6-~-13950-6.4L Hemi-8-DD8L93-22A-172.4-52-Unleaded-Unleaded</v>
      </c>
      <c r="AN3353" s="662" t="str">
        <f t="shared" si="366"/>
        <v>2018-LTK-RAM-RM35-003</v>
      </c>
    </row>
    <row r="3354" spans="1:40" ht="30">
      <c r="A3354" s="570" t="s">
        <v>5958</v>
      </c>
      <c r="B3354" s="569" t="s">
        <v>5959</v>
      </c>
      <c r="C3354" s="569" t="s">
        <v>240</v>
      </c>
      <c r="D3354" s="580" t="s">
        <v>241</v>
      </c>
      <c r="E3354" s="569" t="s">
        <v>3374</v>
      </c>
      <c r="F3354" s="569" t="s">
        <v>1684</v>
      </c>
      <c r="G3354" s="569" t="s">
        <v>3265</v>
      </c>
      <c r="H3354" s="569">
        <v>2018</v>
      </c>
      <c r="I3354" s="569" t="s">
        <v>5949</v>
      </c>
      <c r="J3354" s="569" t="s">
        <v>5950</v>
      </c>
      <c r="K3354" s="569" t="s">
        <v>752</v>
      </c>
      <c r="L3354" s="569">
        <v>6</v>
      </c>
      <c r="M3354" s="569">
        <v>0</v>
      </c>
      <c r="N3354" s="569" t="s">
        <v>157</v>
      </c>
      <c r="O3354" s="569">
        <v>2</v>
      </c>
      <c r="P3354" s="569" t="s">
        <v>157</v>
      </c>
      <c r="Q3354" s="568">
        <v>14290</v>
      </c>
      <c r="R3354" s="569" t="s">
        <v>5873</v>
      </c>
      <c r="S3354" s="569">
        <v>8</v>
      </c>
      <c r="T3354" s="569" t="s">
        <v>5960</v>
      </c>
      <c r="U3354" s="569" t="s">
        <v>931</v>
      </c>
      <c r="V3354" s="569">
        <v>172.4</v>
      </c>
      <c r="W3354" s="569">
        <v>22</v>
      </c>
      <c r="X3354" s="568">
        <v>10000</v>
      </c>
      <c r="Y3354" s="569">
        <v>12</v>
      </c>
      <c r="Z3354" s="581" t="s">
        <v>178</v>
      </c>
      <c r="AA3354" s="581" t="s">
        <v>178</v>
      </c>
      <c r="AB3354" s="585">
        <v>41740</v>
      </c>
      <c r="AC3354" s="585" t="s">
        <v>164</v>
      </c>
      <c r="AD3354" s="585">
        <v>28505</v>
      </c>
      <c r="AE3354" s="587">
        <v>0.05</v>
      </c>
      <c r="AF3354" s="661" t="str">
        <f t="shared" si="367"/>
        <v>2018-LTK-RAM-RM35-004-08</v>
      </c>
      <c r="AG3354" s="661" t="str">
        <f>IF(AND($Y3354&gt;=32,(AI3354="I"),(Y3354&lt;&gt;"~"),(COUNTIF($AN$1:$AN3354,$AN3354)=1)),"TRUE","FALSE")</f>
        <v>FALSE</v>
      </c>
      <c r="AH3354" s="661" t="str">
        <f>IF(AND($Y3354&gt;=22, (AI3354&lt;&gt;"I"),(Y3354&lt;&gt;"~"),(COUNTIF($AN$1:$AN3354,$AN3354)=1)),"TRUE","FALSE")</f>
        <v>FALSE</v>
      </c>
      <c r="AI3354" s="661" t="str">
        <f t="shared" si="362"/>
        <v>II</v>
      </c>
      <c r="AJ3354" s="662" t="str">
        <f t="shared" si="363"/>
        <v>RM35-004</v>
      </c>
      <c r="AK3354" s="662" t="str">
        <f t="shared" si="364"/>
        <v>LTK</v>
      </c>
      <c r="AL3354" s="662" t="str">
        <f t="shared" si="365"/>
        <v>RAM</v>
      </c>
      <c r="AM3354" s="662" t="str">
        <f t="shared" si="361"/>
        <v>Ram 3500 Chassis Cab-Crew Chassis Cab-4WD-6-~-14290-6.4L Hemi-8-DF8L93-22A-172.4-22-Unleaded-Unleaded</v>
      </c>
      <c r="AN3354" s="662" t="str">
        <f t="shared" si="366"/>
        <v>2018-LTK-RAM-RM35-004</v>
      </c>
    </row>
    <row r="3355" spans="1:40" ht="30">
      <c r="A3355" s="570" t="s">
        <v>5961</v>
      </c>
      <c r="B3355" s="573" t="s">
        <v>5962</v>
      </c>
      <c r="C3355" s="573" t="s">
        <v>226</v>
      </c>
      <c r="D3355" s="578" t="s">
        <v>227</v>
      </c>
      <c r="E3355" s="573" t="s">
        <v>3374</v>
      </c>
      <c r="F3355" s="573" t="s">
        <v>1684</v>
      </c>
      <c r="G3355" s="573" t="s">
        <v>3265</v>
      </c>
      <c r="H3355" s="573">
        <v>2019</v>
      </c>
      <c r="I3355" s="573" t="s">
        <v>5949</v>
      </c>
      <c r="J3355" s="573" t="s">
        <v>5963</v>
      </c>
      <c r="K3355" s="573" t="s">
        <v>3377</v>
      </c>
      <c r="L3355" s="573">
        <v>3</v>
      </c>
      <c r="M3355" s="573">
        <v>0</v>
      </c>
      <c r="N3355" s="573" t="s">
        <v>157</v>
      </c>
      <c r="O3355" s="573">
        <v>1</v>
      </c>
      <c r="P3355" s="573" t="s">
        <v>157</v>
      </c>
      <c r="Q3355" s="571">
        <v>14620</v>
      </c>
      <c r="R3355" s="573" t="s">
        <v>5873</v>
      </c>
      <c r="S3355" s="573">
        <v>8</v>
      </c>
      <c r="T3355" s="573" t="s">
        <v>5964</v>
      </c>
      <c r="U3355" s="573" t="s">
        <v>931</v>
      </c>
      <c r="V3355" s="573">
        <v>167.5</v>
      </c>
      <c r="W3355" s="573">
        <v>52</v>
      </c>
      <c r="X3355" s="571">
        <v>13500</v>
      </c>
      <c r="Y3355" s="569" t="s">
        <v>164</v>
      </c>
      <c r="Z3355" s="579" t="s">
        <v>178</v>
      </c>
      <c r="AA3355" s="579" t="s">
        <v>178</v>
      </c>
      <c r="AB3355" s="584">
        <v>35190</v>
      </c>
      <c r="AC3355" s="584" t="s">
        <v>164</v>
      </c>
      <c r="AD3355" s="584">
        <v>27737</v>
      </c>
      <c r="AE3355" s="586">
        <v>6.25E-2</v>
      </c>
      <c r="AF3355" s="661" t="str">
        <f t="shared" si="367"/>
        <v>2019-LTK-RAM-RM3C-001-04</v>
      </c>
      <c r="AG3355" s="661" t="str">
        <f>IF(AND($Y3355&gt;=32,(AI3355="I"),(Y3355&lt;&gt;"~"),(COUNTIF($AN$1:$AN3355,$AN3355)=1)),"TRUE","FALSE")</f>
        <v>FALSE</v>
      </c>
      <c r="AH3355" s="661" t="str">
        <f>IF(AND($Y3355&gt;=22, (AI3355&lt;&gt;"I"),(Y3355&lt;&gt;"~"),(COUNTIF($AN$1:$AN3355,$AN3355)=1)),"TRUE","FALSE")</f>
        <v>TRUE</v>
      </c>
      <c r="AI3355" s="661" t="str">
        <f t="shared" si="362"/>
        <v>N/A</v>
      </c>
      <c r="AJ3355" s="662" t="str">
        <f t="shared" si="363"/>
        <v>RM3C-001</v>
      </c>
      <c r="AK3355" s="662" t="str">
        <f t="shared" si="364"/>
        <v>LTK</v>
      </c>
      <c r="AL3355" s="662" t="str">
        <f t="shared" si="365"/>
        <v>RAM</v>
      </c>
      <c r="AM3355" s="662" t="str">
        <f t="shared" ref="AM3355:AM3418" si="368">CONCATENATE(I3355,"-",J3355,"-",K3355,"-",L3355,"-",P3355,"-",Q3355,"-",R3355,"-",S3355,"-",T3355,"-",U3355,"-",V3355,"-",W3355,"-",Z3355,"-",AA3355)</f>
        <v>Ram 3500 Chassis Cab-Regular Cab-2WD-3-~-14620-6.4L Hemi-8-DD3L64-22A-167.5-52-Unleaded-Unleaded</v>
      </c>
      <c r="AN3355" s="662" t="str">
        <f t="shared" si="366"/>
        <v>2019-LTK-RAM-RM3C-001</v>
      </c>
    </row>
    <row r="3356" spans="1:40" ht="30">
      <c r="A3356" s="570" t="s">
        <v>5965</v>
      </c>
      <c r="B3356" s="569" t="s">
        <v>5966</v>
      </c>
      <c r="C3356" s="569" t="s">
        <v>226</v>
      </c>
      <c r="D3356" s="580" t="s">
        <v>227</v>
      </c>
      <c r="E3356" s="569" t="s">
        <v>3374</v>
      </c>
      <c r="F3356" s="569" t="s">
        <v>1684</v>
      </c>
      <c r="G3356" s="569" t="s">
        <v>3265</v>
      </c>
      <c r="H3356" s="569">
        <v>2019</v>
      </c>
      <c r="I3356" s="569" t="s">
        <v>5949</v>
      </c>
      <c r="J3356" s="569" t="s">
        <v>5963</v>
      </c>
      <c r="K3356" s="569" t="s">
        <v>3377</v>
      </c>
      <c r="L3356" s="569">
        <v>3</v>
      </c>
      <c r="M3356" s="569">
        <v>0</v>
      </c>
      <c r="N3356" s="569" t="s">
        <v>157</v>
      </c>
      <c r="O3356" s="569">
        <v>1</v>
      </c>
      <c r="P3356" s="569" t="s">
        <v>157</v>
      </c>
      <c r="Q3356" s="568">
        <v>14700</v>
      </c>
      <c r="R3356" s="569" t="s">
        <v>5873</v>
      </c>
      <c r="S3356" s="569">
        <v>8</v>
      </c>
      <c r="T3356" s="569" t="s">
        <v>5967</v>
      </c>
      <c r="U3356" s="569" t="s">
        <v>931</v>
      </c>
      <c r="V3356" s="569">
        <v>143.5</v>
      </c>
      <c r="W3356" s="569">
        <v>52</v>
      </c>
      <c r="X3356" s="568">
        <v>13500</v>
      </c>
      <c r="Y3356" s="569" t="s">
        <v>164</v>
      </c>
      <c r="Z3356" s="581" t="s">
        <v>178</v>
      </c>
      <c r="AA3356" s="581" t="s">
        <v>178</v>
      </c>
      <c r="AB3356" s="585">
        <v>34990</v>
      </c>
      <c r="AC3356" s="585" t="s">
        <v>164</v>
      </c>
      <c r="AD3356" s="585">
        <v>27562</v>
      </c>
      <c r="AE3356" s="587">
        <v>6.25E-2</v>
      </c>
      <c r="AF3356" s="661" t="str">
        <f t="shared" si="367"/>
        <v>2019-LTK-RAM-RM3C-002-04</v>
      </c>
      <c r="AG3356" s="661" t="str">
        <f>IF(AND($Y3356&gt;=32,(AI3356="I"),(Y3356&lt;&gt;"~"),(COUNTIF($AN$1:$AN3356,$AN3356)=1)),"TRUE","FALSE")</f>
        <v>FALSE</v>
      </c>
      <c r="AH3356" s="661" t="str">
        <f>IF(AND($Y3356&gt;=22, (AI3356&lt;&gt;"I"),(Y3356&lt;&gt;"~"),(COUNTIF($AN$1:$AN3356,$AN3356)=1)),"TRUE","FALSE")</f>
        <v>TRUE</v>
      </c>
      <c r="AI3356" s="661" t="str">
        <f t="shared" ref="AI3356:AI3419" si="369">IF(OR((LEFT($E3356,2)="01"),AND(LEFT($E3356,2)="06",ISNUMBER(SEARCH("pas",$F3356))),AND(LEFT($E3356,2)="05",ISNUMBER(SEARCH("pas",$F3356)))),"I",IF(AND((LEFT($E3356,2)&lt;&gt;"01"),$X3356&lt;=10000),"II",IF(AND((LEFT($E3356,2)&lt;&gt;"01"),$X3356&gt;10000),"N/A")))</f>
        <v>N/A</v>
      </c>
      <c r="AJ3356" s="662" t="str">
        <f t="shared" si="363"/>
        <v>RM3C-002</v>
      </c>
      <c r="AK3356" s="662" t="str">
        <f t="shared" si="364"/>
        <v>LTK</v>
      </c>
      <c r="AL3356" s="662" t="str">
        <f t="shared" si="365"/>
        <v>RAM</v>
      </c>
      <c r="AM3356" s="662" t="str">
        <f t="shared" si="368"/>
        <v>Ram 3500 Chassis Cab-Regular Cab-2WD-3-~-14700-6.4L Hemi-8-DD3L63-22A-143.5-52-Unleaded-Unleaded</v>
      </c>
      <c r="AN3356" s="662" t="str">
        <f t="shared" si="366"/>
        <v>2019-LTK-RAM-RM3C-002</v>
      </c>
    </row>
    <row r="3357" spans="1:40" ht="30">
      <c r="A3357" s="570" t="s">
        <v>5968</v>
      </c>
      <c r="B3357" s="573" t="s">
        <v>5969</v>
      </c>
      <c r="C3357" s="573" t="s">
        <v>226</v>
      </c>
      <c r="D3357" s="578" t="s">
        <v>227</v>
      </c>
      <c r="E3357" s="573" t="s">
        <v>3374</v>
      </c>
      <c r="F3357" s="573" t="s">
        <v>1684</v>
      </c>
      <c r="G3357" s="573" t="s">
        <v>3265</v>
      </c>
      <c r="H3357" s="573">
        <v>2019</v>
      </c>
      <c r="I3357" s="573" t="s">
        <v>5949</v>
      </c>
      <c r="J3357" s="573" t="s">
        <v>5963</v>
      </c>
      <c r="K3357" s="573" t="s">
        <v>3377</v>
      </c>
      <c r="L3357" s="573">
        <v>3</v>
      </c>
      <c r="M3357" s="573">
        <v>0</v>
      </c>
      <c r="N3357" s="573" t="s">
        <v>157</v>
      </c>
      <c r="O3357" s="573">
        <v>1</v>
      </c>
      <c r="P3357" s="573" t="s">
        <v>157</v>
      </c>
      <c r="Q3357" s="571">
        <v>15050</v>
      </c>
      <c r="R3357" s="573" t="s">
        <v>5873</v>
      </c>
      <c r="S3357" s="573">
        <v>8</v>
      </c>
      <c r="T3357" s="573" t="s">
        <v>5970</v>
      </c>
      <c r="U3357" s="573" t="s">
        <v>931</v>
      </c>
      <c r="V3357" s="573">
        <v>143.5</v>
      </c>
      <c r="W3357" s="573">
        <v>22</v>
      </c>
      <c r="X3357" s="571">
        <v>10000</v>
      </c>
      <c r="Y3357" s="573">
        <v>13</v>
      </c>
      <c r="Z3357" s="579" t="s">
        <v>178</v>
      </c>
      <c r="AA3357" s="579" t="s">
        <v>178</v>
      </c>
      <c r="AB3357" s="584">
        <v>34590</v>
      </c>
      <c r="AC3357" s="584" t="s">
        <v>164</v>
      </c>
      <c r="AD3357" s="584">
        <v>29434</v>
      </c>
      <c r="AE3357" s="586">
        <v>6.25E-2</v>
      </c>
      <c r="AF3357" s="661" t="str">
        <f t="shared" si="367"/>
        <v>2019-LTK-RAM-RM3C-003-04</v>
      </c>
      <c r="AG3357" s="661" t="str">
        <f>IF(AND($Y3357&gt;=32,(AI3357="I"),(Y3357&lt;&gt;"~"),(COUNTIF($AN$1:$AN3357,$AN3357)=1)),"TRUE","FALSE")</f>
        <v>FALSE</v>
      </c>
      <c r="AH3357" s="661" t="str">
        <f>IF(AND($Y3357&gt;=22, (AI3357&lt;&gt;"I"),(Y3357&lt;&gt;"~"),(COUNTIF($AN$1:$AN3357,$AN3357)=1)),"TRUE","FALSE")</f>
        <v>FALSE</v>
      </c>
      <c r="AI3357" s="661" t="str">
        <f t="shared" si="369"/>
        <v>II</v>
      </c>
      <c r="AJ3357" s="662" t="str">
        <f t="shared" si="363"/>
        <v>RM3C-003</v>
      </c>
      <c r="AK3357" s="662" t="str">
        <f t="shared" si="364"/>
        <v>LTK</v>
      </c>
      <c r="AL3357" s="662" t="str">
        <f t="shared" si="365"/>
        <v>RAM</v>
      </c>
      <c r="AM3357" s="662" t="str">
        <f t="shared" si="368"/>
        <v>Ram 3500 Chassis Cab-Regular Cab-2WD-3-~-15050-6.4L Hemi-8-DF3L63-22A-143.5-22-Unleaded-Unleaded</v>
      </c>
      <c r="AN3357" s="662" t="str">
        <f t="shared" si="366"/>
        <v>2019-LTK-RAM-RM3C-003</v>
      </c>
    </row>
    <row r="3358" spans="1:40" ht="30">
      <c r="A3358" s="570" t="s">
        <v>5971</v>
      </c>
      <c r="B3358" s="569" t="s">
        <v>5962</v>
      </c>
      <c r="C3358" s="569" t="s">
        <v>240</v>
      </c>
      <c r="D3358" s="580" t="s">
        <v>241</v>
      </c>
      <c r="E3358" s="569" t="s">
        <v>3374</v>
      </c>
      <c r="F3358" s="569" t="s">
        <v>1684</v>
      </c>
      <c r="G3358" s="569" t="s">
        <v>3265</v>
      </c>
      <c r="H3358" s="569">
        <v>2018</v>
      </c>
      <c r="I3358" s="569" t="s">
        <v>5949</v>
      </c>
      <c r="J3358" s="569" t="s">
        <v>5963</v>
      </c>
      <c r="K3358" s="569" t="s">
        <v>3377</v>
      </c>
      <c r="L3358" s="569">
        <v>3</v>
      </c>
      <c r="M3358" s="569">
        <v>0</v>
      </c>
      <c r="N3358" s="569" t="s">
        <v>157</v>
      </c>
      <c r="O3358" s="569">
        <v>1</v>
      </c>
      <c r="P3358" s="569" t="s">
        <v>157</v>
      </c>
      <c r="Q3358" s="568">
        <v>14620</v>
      </c>
      <c r="R3358" s="569" t="s">
        <v>5873</v>
      </c>
      <c r="S3358" s="569">
        <v>8</v>
      </c>
      <c r="T3358" s="569" t="s">
        <v>5964</v>
      </c>
      <c r="U3358" s="569" t="s">
        <v>931</v>
      </c>
      <c r="V3358" s="569">
        <v>167.5</v>
      </c>
      <c r="W3358" s="569">
        <v>52</v>
      </c>
      <c r="X3358" s="568">
        <v>13500</v>
      </c>
      <c r="Y3358" s="569" t="s">
        <v>164</v>
      </c>
      <c r="Z3358" s="581" t="s">
        <v>178</v>
      </c>
      <c r="AA3358" s="581" t="s">
        <v>178</v>
      </c>
      <c r="AB3358" s="585">
        <v>35485</v>
      </c>
      <c r="AC3358" s="585" t="s">
        <v>164</v>
      </c>
      <c r="AD3358" s="585">
        <v>23776</v>
      </c>
      <c r="AE3358" s="587">
        <v>0.05</v>
      </c>
      <c r="AF3358" s="661" t="str">
        <f t="shared" si="367"/>
        <v>2018-LTK-RAM-RM3C-001-08</v>
      </c>
      <c r="AG3358" s="661" t="str">
        <f>IF(AND($Y3358&gt;=32,(AI3358="I"),(Y3358&lt;&gt;"~"),(COUNTIF($AN$1:$AN3358,$AN3358)=1)),"TRUE","FALSE")</f>
        <v>FALSE</v>
      </c>
      <c r="AH3358" s="661" t="str">
        <f>IF(AND($Y3358&gt;=22, (AI3358&lt;&gt;"I"),(Y3358&lt;&gt;"~"),(COUNTIF($AN$1:$AN3358,$AN3358)=1)),"TRUE","FALSE")</f>
        <v>TRUE</v>
      </c>
      <c r="AI3358" s="661" t="str">
        <f t="shared" si="369"/>
        <v>N/A</v>
      </c>
      <c r="AJ3358" s="662" t="str">
        <f t="shared" si="363"/>
        <v>RM3C-001</v>
      </c>
      <c r="AK3358" s="662" t="str">
        <f t="shared" si="364"/>
        <v>LTK</v>
      </c>
      <c r="AL3358" s="662" t="str">
        <f t="shared" si="365"/>
        <v>RAM</v>
      </c>
      <c r="AM3358" s="662" t="str">
        <f t="shared" si="368"/>
        <v>Ram 3500 Chassis Cab-Regular Cab-2WD-3-~-14620-6.4L Hemi-8-DD3L64-22A-167.5-52-Unleaded-Unleaded</v>
      </c>
      <c r="AN3358" s="662" t="str">
        <f t="shared" si="366"/>
        <v>2018-LTK-RAM-RM3C-001</v>
      </c>
    </row>
    <row r="3359" spans="1:40" ht="30">
      <c r="A3359" s="570" t="s">
        <v>5972</v>
      </c>
      <c r="B3359" s="573" t="s">
        <v>5966</v>
      </c>
      <c r="C3359" s="573" t="s">
        <v>240</v>
      </c>
      <c r="D3359" s="578" t="s">
        <v>241</v>
      </c>
      <c r="E3359" s="573" t="s">
        <v>3374</v>
      </c>
      <c r="F3359" s="573" t="s">
        <v>1684</v>
      </c>
      <c r="G3359" s="573" t="s">
        <v>3265</v>
      </c>
      <c r="H3359" s="573">
        <v>2018</v>
      </c>
      <c r="I3359" s="573" t="s">
        <v>5949</v>
      </c>
      <c r="J3359" s="573" t="s">
        <v>5963</v>
      </c>
      <c r="K3359" s="573" t="s">
        <v>3377</v>
      </c>
      <c r="L3359" s="573">
        <v>3</v>
      </c>
      <c r="M3359" s="573">
        <v>0</v>
      </c>
      <c r="N3359" s="573" t="s">
        <v>157</v>
      </c>
      <c r="O3359" s="573">
        <v>1</v>
      </c>
      <c r="P3359" s="573" t="s">
        <v>157</v>
      </c>
      <c r="Q3359" s="571">
        <v>14700</v>
      </c>
      <c r="R3359" s="573" t="s">
        <v>5873</v>
      </c>
      <c r="S3359" s="573">
        <v>8</v>
      </c>
      <c r="T3359" s="573" t="s">
        <v>5967</v>
      </c>
      <c r="U3359" s="573" t="s">
        <v>931</v>
      </c>
      <c r="V3359" s="573">
        <v>143.5</v>
      </c>
      <c r="W3359" s="573">
        <v>52</v>
      </c>
      <c r="X3359" s="571">
        <v>13500</v>
      </c>
      <c r="Y3359" s="569" t="s">
        <v>164</v>
      </c>
      <c r="Z3359" s="579" t="s">
        <v>178</v>
      </c>
      <c r="AA3359" s="579" t="s">
        <v>178</v>
      </c>
      <c r="AB3359" s="584">
        <v>35285</v>
      </c>
      <c r="AC3359" s="584" t="s">
        <v>164</v>
      </c>
      <c r="AD3359" s="584">
        <v>23598</v>
      </c>
      <c r="AE3359" s="586">
        <v>0.05</v>
      </c>
      <c r="AF3359" s="661" t="str">
        <f t="shared" si="367"/>
        <v>2018-LTK-RAM-RM3C-002-08</v>
      </c>
      <c r="AG3359" s="661" t="str">
        <f>IF(AND($Y3359&gt;=32,(AI3359="I"),(Y3359&lt;&gt;"~"),(COUNTIF($AN$1:$AN3359,$AN3359)=1)),"TRUE","FALSE")</f>
        <v>FALSE</v>
      </c>
      <c r="AH3359" s="661" t="str">
        <f>IF(AND($Y3359&gt;=22, (AI3359&lt;&gt;"I"),(Y3359&lt;&gt;"~"),(COUNTIF($AN$1:$AN3359,$AN3359)=1)),"TRUE","FALSE")</f>
        <v>TRUE</v>
      </c>
      <c r="AI3359" s="661" t="str">
        <f t="shared" si="369"/>
        <v>N/A</v>
      </c>
      <c r="AJ3359" s="662" t="str">
        <f t="shared" si="363"/>
        <v>RM3C-002</v>
      </c>
      <c r="AK3359" s="662" t="str">
        <f t="shared" si="364"/>
        <v>LTK</v>
      </c>
      <c r="AL3359" s="662" t="str">
        <f t="shared" si="365"/>
        <v>RAM</v>
      </c>
      <c r="AM3359" s="662" t="str">
        <f t="shared" si="368"/>
        <v>Ram 3500 Chassis Cab-Regular Cab-2WD-3-~-14700-6.4L Hemi-8-DD3L63-22A-143.5-52-Unleaded-Unleaded</v>
      </c>
      <c r="AN3359" s="662" t="str">
        <f t="shared" si="366"/>
        <v>2018-LTK-RAM-RM3C-002</v>
      </c>
    </row>
    <row r="3360" spans="1:40" ht="30">
      <c r="A3360" s="570" t="s">
        <v>5973</v>
      </c>
      <c r="B3360" s="569" t="s">
        <v>5969</v>
      </c>
      <c r="C3360" s="569" t="s">
        <v>240</v>
      </c>
      <c r="D3360" s="580" t="s">
        <v>241</v>
      </c>
      <c r="E3360" s="569" t="s">
        <v>3374</v>
      </c>
      <c r="F3360" s="569" t="s">
        <v>1684</v>
      </c>
      <c r="G3360" s="569" t="s">
        <v>3265</v>
      </c>
      <c r="H3360" s="569">
        <v>2018</v>
      </c>
      <c r="I3360" s="569" t="s">
        <v>5949</v>
      </c>
      <c r="J3360" s="569" t="s">
        <v>5963</v>
      </c>
      <c r="K3360" s="569" t="s">
        <v>3377</v>
      </c>
      <c r="L3360" s="569">
        <v>3</v>
      </c>
      <c r="M3360" s="569">
        <v>0</v>
      </c>
      <c r="N3360" s="569" t="s">
        <v>157</v>
      </c>
      <c r="O3360" s="569">
        <v>1</v>
      </c>
      <c r="P3360" s="569" t="s">
        <v>157</v>
      </c>
      <c r="Q3360" s="568">
        <v>15050</v>
      </c>
      <c r="R3360" s="569" t="s">
        <v>5873</v>
      </c>
      <c r="S3360" s="569">
        <v>8</v>
      </c>
      <c r="T3360" s="569" t="s">
        <v>5970</v>
      </c>
      <c r="U3360" s="569" t="s">
        <v>931</v>
      </c>
      <c r="V3360" s="569">
        <v>143.5</v>
      </c>
      <c r="W3360" s="569">
        <v>22</v>
      </c>
      <c r="X3360" s="568">
        <v>10000</v>
      </c>
      <c r="Y3360" s="569">
        <v>13</v>
      </c>
      <c r="Z3360" s="581" t="s">
        <v>178</v>
      </c>
      <c r="AA3360" s="581" t="s">
        <v>178</v>
      </c>
      <c r="AB3360" s="585">
        <v>34590</v>
      </c>
      <c r="AC3360" s="585" t="s">
        <v>164</v>
      </c>
      <c r="AD3360" s="585">
        <v>22972</v>
      </c>
      <c r="AE3360" s="587">
        <v>0.05</v>
      </c>
      <c r="AF3360" s="661" t="str">
        <f t="shared" si="367"/>
        <v>2018-LTK-RAM-RM3C-003-08</v>
      </c>
      <c r="AG3360" s="661" t="str">
        <f>IF(AND($Y3360&gt;=32,(AI3360="I"),(Y3360&lt;&gt;"~"),(COUNTIF($AN$1:$AN3360,$AN3360)=1)),"TRUE","FALSE")</f>
        <v>FALSE</v>
      </c>
      <c r="AH3360" s="661" t="str">
        <f>IF(AND($Y3360&gt;=22, (AI3360&lt;&gt;"I"),(Y3360&lt;&gt;"~"),(COUNTIF($AN$1:$AN3360,$AN3360)=1)),"TRUE","FALSE")</f>
        <v>FALSE</v>
      </c>
      <c r="AI3360" s="661" t="str">
        <f t="shared" si="369"/>
        <v>II</v>
      </c>
      <c r="AJ3360" s="662" t="str">
        <f t="shared" si="363"/>
        <v>RM3C-003</v>
      </c>
      <c r="AK3360" s="662" t="str">
        <f t="shared" si="364"/>
        <v>LTK</v>
      </c>
      <c r="AL3360" s="662" t="str">
        <f t="shared" si="365"/>
        <v>RAM</v>
      </c>
      <c r="AM3360" s="662" t="str">
        <f t="shared" si="368"/>
        <v>Ram 3500 Chassis Cab-Regular Cab-2WD-3-~-15050-6.4L Hemi-8-DF3L63-22A-143.5-22-Unleaded-Unleaded</v>
      </c>
      <c r="AN3360" s="662" t="str">
        <f t="shared" si="366"/>
        <v>2018-LTK-RAM-RM3C-003</v>
      </c>
    </row>
    <row r="3361" spans="1:40" ht="30">
      <c r="A3361" s="570" t="s">
        <v>5974</v>
      </c>
      <c r="B3361" s="573" t="s">
        <v>5975</v>
      </c>
      <c r="C3361" s="573" t="s">
        <v>226</v>
      </c>
      <c r="D3361" s="578" t="s">
        <v>227</v>
      </c>
      <c r="E3361" s="573" t="s">
        <v>3374</v>
      </c>
      <c r="F3361" s="573" t="s">
        <v>1684</v>
      </c>
      <c r="G3361" s="573" t="s">
        <v>3265</v>
      </c>
      <c r="H3361" s="573">
        <v>2019</v>
      </c>
      <c r="I3361" s="573" t="s">
        <v>5949</v>
      </c>
      <c r="J3361" s="573" t="s">
        <v>5963</v>
      </c>
      <c r="K3361" s="573" t="s">
        <v>752</v>
      </c>
      <c r="L3361" s="573">
        <v>3</v>
      </c>
      <c r="M3361" s="573">
        <v>0</v>
      </c>
      <c r="N3361" s="573" t="s">
        <v>157</v>
      </c>
      <c r="O3361" s="573">
        <v>1</v>
      </c>
      <c r="P3361" s="573" t="s">
        <v>157</v>
      </c>
      <c r="Q3361" s="571">
        <v>14340</v>
      </c>
      <c r="R3361" s="573" t="s">
        <v>5873</v>
      </c>
      <c r="S3361" s="573">
        <v>8</v>
      </c>
      <c r="T3361" s="573" t="s">
        <v>5976</v>
      </c>
      <c r="U3361" s="573" t="s">
        <v>931</v>
      </c>
      <c r="V3361" s="573">
        <v>167.5</v>
      </c>
      <c r="W3361" s="573">
        <v>52</v>
      </c>
      <c r="X3361" s="571">
        <v>13500</v>
      </c>
      <c r="Y3361" s="569" t="s">
        <v>164</v>
      </c>
      <c r="Z3361" s="579" t="s">
        <v>178</v>
      </c>
      <c r="AA3361" s="579" t="s">
        <v>178</v>
      </c>
      <c r="AB3361" s="584">
        <v>38440</v>
      </c>
      <c r="AC3361" s="584" t="s">
        <v>164</v>
      </c>
      <c r="AD3361" s="584">
        <v>29672</v>
      </c>
      <c r="AE3361" s="586">
        <v>6.25E-2</v>
      </c>
      <c r="AF3361" s="661" t="str">
        <f t="shared" si="367"/>
        <v>2019-LTK-RAM-RM3C-004-04</v>
      </c>
      <c r="AG3361" s="661" t="str">
        <f>IF(AND($Y3361&gt;=32,(AI3361="I"),(Y3361&lt;&gt;"~"),(COUNTIF($AN$1:$AN3361,$AN3361)=1)),"TRUE","FALSE")</f>
        <v>FALSE</v>
      </c>
      <c r="AH3361" s="661" t="str">
        <f>IF(AND($Y3361&gt;=22, (AI3361&lt;&gt;"I"),(Y3361&lt;&gt;"~"),(COUNTIF($AN$1:$AN3361,$AN3361)=1)),"TRUE","FALSE")</f>
        <v>TRUE</v>
      </c>
      <c r="AI3361" s="661" t="str">
        <f t="shared" si="369"/>
        <v>N/A</v>
      </c>
      <c r="AJ3361" s="662" t="str">
        <f t="shared" si="363"/>
        <v>RM3C-004</v>
      </c>
      <c r="AK3361" s="662" t="str">
        <f t="shared" si="364"/>
        <v>LTK</v>
      </c>
      <c r="AL3361" s="662" t="str">
        <f t="shared" si="365"/>
        <v>RAM</v>
      </c>
      <c r="AM3361" s="662" t="str">
        <f t="shared" si="368"/>
        <v>Ram 3500 Chassis Cab-Regular Cab-4WD-3-~-14340-6.4L Hemi-8-DD8L64-22A-167.5-52-Unleaded-Unleaded</v>
      </c>
      <c r="AN3361" s="662" t="str">
        <f t="shared" si="366"/>
        <v>2019-LTK-RAM-RM3C-004</v>
      </c>
    </row>
    <row r="3362" spans="1:40" ht="30">
      <c r="A3362" s="570" t="s">
        <v>5977</v>
      </c>
      <c r="B3362" s="569" t="s">
        <v>5978</v>
      </c>
      <c r="C3362" s="569" t="s">
        <v>226</v>
      </c>
      <c r="D3362" s="580" t="s">
        <v>227</v>
      </c>
      <c r="E3362" s="569" t="s">
        <v>3374</v>
      </c>
      <c r="F3362" s="569" t="s">
        <v>1684</v>
      </c>
      <c r="G3362" s="569" t="s">
        <v>3265</v>
      </c>
      <c r="H3362" s="569">
        <v>2019</v>
      </c>
      <c r="I3362" s="569" t="s">
        <v>5949</v>
      </c>
      <c r="J3362" s="569" t="s">
        <v>5963</v>
      </c>
      <c r="K3362" s="569" t="s">
        <v>752</v>
      </c>
      <c r="L3362" s="569">
        <v>3</v>
      </c>
      <c r="M3362" s="569">
        <v>0</v>
      </c>
      <c r="N3362" s="569" t="s">
        <v>157</v>
      </c>
      <c r="O3362" s="569">
        <v>1</v>
      </c>
      <c r="P3362" s="569" t="s">
        <v>157</v>
      </c>
      <c r="Q3362" s="568">
        <v>14470</v>
      </c>
      <c r="R3362" s="569" t="s">
        <v>5873</v>
      </c>
      <c r="S3362" s="569">
        <v>8</v>
      </c>
      <c r="T3362" s="569" t="s">
        <v>5979</v>
      </c>
      <c r="U3362" s="569" t="s">
        <v>931</v>
      </c>
      <c r="V3362" s="569">
        <v>143.5</v>
      </c>
      <c r="W3362" s="569">
        <v>52</v>
      </c>
      <c r="X3362" s="568">
        <v>13500</v>
      </c>
      <c r="Y3362" s="569" t="s">
        <v>164</v>
      </c>
      <c r="Z3362" s="581" t="s">
        <v>178</v>
      </c>
      <c r="AA3362" s="581" t="s">
        <v>178</v>
      </c>
      <c r="AB3362" s="585">
        <v>38240</v>
      </c>
      <c r="AC3362" s="585" t="s">
        <v>164</v>
      </c>
      <c r="AD3362" s="585">
        <v>29495</v>
      </c>
      <c r="AE3362" s="587">
        <v>6.25E-2</v>
      </c>
      <c r="AF3362" s="661" t="str">
        <f t="shared" si="367"/>
        <v>2019-LTK-RAM-RM3C-005-04</v>
      </c>
      <c r="AG3362" s="661" t="str">
        <f>IF(AND($Y3362&gt;=32,(AI3362="I"),(Y3362&lt;&gt;"~"),(COUNTIF($AN$1:$AN3362,$AN3362)=1)),"TRUE","FALSE")</f>
        <v>FALSE</v>
      </c>
      <c r="AH3362" s="661" t="str">
        <f>IF(AND($Y3362&gt;=22, (AI3362&lt;&gt;"I"),(Y3362&lt;&gt;"~"),(COUNTIF($AN$1:$AN3362,$AN3362)=1)),"TRUE","FALSE")</f>
        <v>TRUE</v>
      </c>
      <c r="AI3362" s="661" t="str">
        <f t="shared" si="369"/>
        <v>N/A</v>
      </c>
      <c r="AJ3362" s="662" t="str">
        <f t="shared" si="363"/>
        <v>RM3C-005</v>
      </c>
      <c r="AK3362" s="662" t="str">
        <f t="shared" si="364"/>
        <v>LTK</v>
      </c>
      <c r="AL3362" s="662" t="str">
        <f t="shared" si="365"/>
        <v>RAM</v>
      </c>
      <c r="AM3362" s="662" t="str">
        <f t="shared" si="368"/>
        <v>Ram 3500 Chassis Cab-Regular Cab-4WD-3-~-14470-6.4L Hemi-8-DD8L63-22A-143.5-52-Unleaded-Unleaded</v>
      </c>
      <c r="AN3362" s="662" t="str">
        <f t="shared" si="366"/>
        <v>2019-LTK-RAM-RM3C-005</v>
      </c>
    </row>
    <row r="3363" spans="1:40" ht="30">
      <c r="A3363" s="570" t="s">
        <v>5980</v>
      </c>
      <c r="B3363" s="573" t="s">
        <v>5981</v>
      </c>
      <c r="C3363" s="573" t="s">
        <v>226</v>
      </c>
      <c r="D3363" s="578" t="s">
        <v>227</v>
      </c>
      <c r="E3363" s="573" t="s">
        <v>3374</v>
      </c>
      <c r="F3363" s="573" t="s">
        <v>1684</v>
      </c>
      <c r="G3363" s="573" t="s">
        <v>3265</v>
      </c>
      <c r="H3363" s="573">
        <v>2019</v>
      </c>
      <c r="I3363" s="573" t="s">
        <v>5949</v>
      </c>
      <c r="J3363" s="573" t="s">
        <v>5963</v>
      </c>
      <c r="K3363" s="573" t="s">
        <v>752</v>
      </c>
      <c r="L3363" s="573">
        <v>3</v>
      </c>
      <c r="M3363" s="573">
        <v>0</v>
      </c>
      <c r="N3363" s="573" t="s">
        <v>157</v>
      </c>
      <c r="O3363" s="573">
        <v>1</v>
      </c>
      <c r="P3363" s="573" t="s">
        <v>157</v>
      </c>
      <c r="Q3363" s="571">
        <v>14810</v>
      </c>
      <c r="R3363" s="573" t="s">
        <v>5873</v>
      </c>
      <c r="S3363" s="573">
        <v>8</v>
      </c>
      <c r="T3363" s="573" t="s">
        <v>5982</v>
      </c>
      <c r="U3363" s="573" t="s">
        <v>931</v>
      </c>
      <c r="V3363" s="573">
        <v>143.5</v>
      </c>
      <c r="W3363" s="573">
        <v>22</v>
      </c>
      <c r="X3363" s="571">
        <v>10000</v>
      </c>
      <c r="Y3363" s="573">
        <v>12</v>
      </c>
      <c r="Z3363" s="579" t="s">
        <v>178</v>
      </c>
      <c r="AA3363" s="579" t="s">
        <v>178</v>
      </c>
      <c r="AB3363" s="584">
        <v>37840</v>
      </c>
      <c r="AC3363" s="584" t="s">
        <v>164</v>
      </c>
      <c r="AD3363" s="584">
        <v>31669</v>
      </c>
      <c r="AE3363" s="586">
        <v>6.25E-2</v>
      </c>
      <c r="AF3363" s="661" t="str">
        <f t="shared" si="367"/>
        <v>2019-LTK-RAM-RM3C-006-04</v>
      </c>
      <c r="AG3363" s="661" t="str">
        <f>IF(AND($Y3363&gt;=32,(AI3363="I"),(Y3363&lt;&gt;"~"),(COUNTIF($AN$1:$AN3363,$AN3363)=1)),"TRUE","FALSE")</f>
        <v>FALSE</v>
      </c>
      <c r="AH3363" s="661" t="str">
        <f>IF(AND($Y3363&gt;=22, (AI3363&lt;&gt;"I"),(Y3363&lt;&gt;"~"),(COUNTIF($AN$1:$AN3363,$AN3363)=1)),"TRUE","FALSE")</f>
        <v>FALSE</v>
      </c>
      <c r="AI3363" s="661" t="str">
        <f t="shared" si="369"/>
        <v>II</v>
      </c>
      <c r="AJ3363" s="662" t="str">
        <f t="shared" si="363"/>
        <v>RM3C-006</v>
      </c>
      <c r="AK3363" s="662" t="str">
        <f t="shared" si="364"/>
        <v>LTK</v>
      </c>
      <c r="AL3363" s="662" t="str">
        <f t="shared" si="365"/>
        <v>RAM</v>
      </c>
      <c r="AM3363" s="662" t="str">
        <f t="shared" si="368"/>
        <v>Ram 3500 Chassis Cab-Regular Cab-4WD-3-~-14810-6.4L Hemi-8-DF8L63-22A-143.5-22-Unleaded-Unleaded</v>
      </c>
      <c r="AN3363" s="662" t="str">
        <f t="shared" si="366"/>
        <v>2019-LTK-RAM-RM3C-006</v>
      </c>
    </row>
    <row r="3364" spans="1:40" ht="30">
      <c r="A3364" s="570" t="s">
        <v>5983</v>
      </c>
      <c r="B3364" s="569" t="s">
        <v>5975</v>
      </c>
      <c r="C3364" s="569" t="s">
        <v>240</v>
      </c>
      <c r="D3364" s="580" t="s">
        <v>241</v>
      </c>
      <c r="E3364" s="569" t="s">
        <v>3374</v>
      </c>
      <c r="F3364" s="569" t="s">
        <v>1684</v>
      </c>
      <c r="G3364" s="569" t="s">
        <v>3265</v>
      </c>
      <c r="H3364" s="569">
        <v>2018</v>
      </c>
      <c r="I3364" s="569" t="s">
        <v>5949</v>
      </c>
      <c r="J3364" s="569" t="s">
        <v>5963</v>
      </c>
      <c r="K3364" s="569" t="s">
        <v>752</v>
      </c>
      <c r="L3364" s="569">
        <v>3</v>
      </c>
      <c r="M3364" s="569">
        <v>0</v>
      </c>
      <c r="N3364" s="569" t="s">
        <v>157</v>
      </c>
      <c r="O3364" s="569">
        <v>1</v>
      </c>
      <c r="P3364" s="569" t="s">
        <v>157</v>
      </c>
      <c r="Q3364" s="568">
        <v>14340</v>
      </c>
      <c r="R3364" s="569" t="s">
        <v>5873</v>
      </c>
      <c r="S3364" s="569">
        <v>8</v>
      </c>
      <c r="T3364" s="569" t="s">
        <v>5976</v>
      </c>
      <c r="U3364" s="569" t="s">
        <v>931</v>
      </c>
      <c r="V3364" s="569">
        <v>167.5</v>
      </c>
      <c r="W3364" s="569">
        <v>52</v>
      </c>
      <c r="X3364" s="568">
        <v>13500</v>
      </c>
      <c r="Y3364" s="569" t="s">
        <v>164</v>
      </c>
      <c r="Z3364" s="581" t="s">
        <v>178</v>
      </c>
      <c r="AA3364" s="581" t="s">
        <v>178</v>
      </c>
      <c r="AB3364" s="585">
        <v>38440</v>
      </c>
      <c r="AC3364" s="585" t="s">
        <v>164</v>
      </c>
      <c r="AD3364" s="585">
        <v>25670</v>
      </c>
      <c r="AE3364" s="587">
        <v>0.05</v>
      </c>
      <c r="AF3364" s="661" t="str">
        <f t="shared" si="367"/>
        <v>2018-LTK-RAM-RM3C-004-08</v>
      </c>
      <c r="AG3364" s="661" t="str">
        <f>IF(AND($Y3364&gt;=32,(AI3364="I"),(Y3364&lt;&gt;"~"),(COUNTIF($AN$1:$AN3364,$AN3364)=1)),"TRUE","FALSE")</f>
        <v>FALSE</v>
      </c>
      <c r="AH3364" s="661" t="str">
        <f>IF(AND($Y3364&gt;=22, (AI3364&lt;&gt;"I"),(Y3364&lt;&gt;"~"),(COUNTIF($AN$1:$AN3364,$AN3364)=1)),"TRUE","FALSE")</f>
        <v>TRUE</v>
      </c>
      <c r="AI3364" s="661" t="str">
        <f t="shared" si="369"/>
        <v>N/A</v>
      </c>
      <c r="AJ3364" s="662" t="str">
        <f t="shared" si="363"/>
        <v>RM3C-004</v>
      </c>
      <c r="AK3364" s="662" t="str">
        <f t="shared" si="364"/>
        <v>LTK</v>
      </c>
      <c r="AL3364" s="662" t="str">
        <f t="shared" si="365"/>
        <v>RAM</v>
      </c>
      <c r="AM3364" s="662" t="str">
        <f t="shared" si="368"/>
        <v>Ram 3500 Chassis Cab-Regular Cab-4WD-3-~-14340-6.4L Hemi-8-DD8L64-22A-167.5-52-Unleaded-Unleaded</v>
      </c>
      <c r="AN3364" s="662" t="str">
        <f t="shared" si="366"/>
        <v>2018-LTK-RAM-RM3C-004</v>
      </c>
    </row>
    <row r="3365" spans="1:40" ht="30">
      <c r="A3365" s="570" t="s">
        <v>5984</v>
      </c>
      <c r="B3365" s="573" t="s">
        <v>5978</v>
      </c>
      <c r="C3365" s="573" t="s">
        <v>240</v>
      </c>
      <c r="D3365" s="578" t="s">
        <v>241</v>
      </c>
      <c r="E3365" s="573" t="s">
        <v>3374</v>
      </c>
      <c r="F3365" s="573" t="s">
        <v>1684</v>
      </c>
      <c r="G3365" s="573" t="s">
        <v>3265</v>
      </c>
      <c r="H3365" s="573">
        <v>2018</v>
      </c>
      <c r="I3365" s="573" t="s">
        <v>5949</v>
      </c>
      <c r="J3365" s="573" t="s">
        <v>5963</v>
      </c>
      <c r="K3365" s="573" t="s">
        <v>752</v>
      </c>
      <c r="L3365" s="573">
        <v>3</v>
      </c>
      <c r="M3365" s="573">
        <v>0</v>
      </c>
      <c r="N3365" s="573" t="s">
        <v>157</v>
      </c>
      <c r="O3365" s="573">
        <v>1</v>
      </c>
      <c r="P3365" s="573" t="s">
        <v>157</v>
      </c>
      <c r="Q3365" s="571">
        <v>14470</v>
      </c>
      <c r="R3365" s="573" t="s">
        <v>5873</v>
      </c>
      <c r="S3365" s="573">
        <v>8</v>
      </c>
      <c r="T3365" s="573" t="s">
        <v>5979</v>
      </c>
      <c r="U3365" s="573" t="s">
        <v>931</v>
      </c>
      <c r="V3365" s="573">
        <v>143.5</v>
      </c>
      <c r="W3365" s="573">
        <v>52</v>
      </c>
      <c r="X3365" s="571">
        <v>13500</v>
      </c>
      <c r="Y3365" s="569" t="s">
        <v>164</v>
      </c>
      <c r="Z3365" s="579" t="s">
        <v>178</v>
      </c>
      <c r="AA3365" s="579" t="s">
        <v>178</v>
      </c>
      <c r="AB3365" s="584">
        <v>38240</v>
      </c>
      <c r="AC3365" s="584" t="s">
        <v>164</v>
      </c>
      <c r="AD3365" s="584">
        <v>25492</v>
      </c>
      <c r="AE3365" s="586">
        <v>0.05</v>
      </c>
      <c r="AF3365" s="661" t="str">
        <f t="shared" si="367"/>
        <v>2018-LTK-RAM-RM3C-005-08</v>
      </c>
      <c r="AG3365" s="661" t="str">
        <f>IF(AND($Y3365&gt;=32,(AI3365="I"),(Y3365&lt;&gt;"~"),(COUNTIF($AN$1:$AN3365,$AN3365)=1)),"TRUE","FALSE")</f>
        <v>FALSE</v>
      </c>
      <c r="AH3365" s="661" t="str">
        <f>IF(AND($Y3365&gt;=22, (AI3365&lt;&gt;"I"),(Y3365&lt;&gt;"~"),(COUNTIF($AN$1:$AN3365,$AN3365)=1)),"TRUE","FALSE")</f>
        <v>TRUE</v>
      </c>
      <c r="AI3365" s="661" t="str">
        <f t="shared" si="369"/>
        <v>N/A</v>
      </c>
      <c r="AJ3365" s="662" t="str">
        <f t="shared" si="363"/>
        <v>RM3C-005</v>
      </c>
      <c r="AK3365" s="662" t="str">
        <f t="shared" si="364"/>
        <v>LTK</v>
      </c>
      <c r="AL3365" s="662" t="str">
        <f t="shared" si="365"/>
        <v>RAM</v>
      </c>
      <c r="AM3365" s="662" t="str">
        <f t="shared" si="368"/>
        <v>Ram 3500 Chassis Cab-Regular Cab-4WD-3-~-14470-6.4L Hemi-8-DD8L63-22A-143.5-52-Unleaded-Unleaded</v>
      </c>
      <c r="AN3365" s="662" t="str">
        <f t="shared" si="366"/>
        <v>2018-LTK-RAM-RM3C-005</v>
      </c>
    </row>
    <row r="3366" spans="1:40" ht="30">
      <c r="A3366" s="570" t="s">
        <v>5985</v>
      </c>
      <c r="B3366" s="569" t="s">
        <v>5981</v>
      </c>
      <c r="C3366" s="569" t="s">
        <v>240</v>
      </c>
      <c r="D3366" s="580" t="s">
        <v>241</v>
      </c>
      <c r="E3366" s="569" t="s">
        <v>3374</v>
      </c>
      <c r="F3366" s="569" t="s">
        <v>1684</v>
      </c>
      <c r="G3366" s="569" t="s">
        <v>3265</v>
      </c>
      <c r="H3366" s="569">
        <v>2018</v>
      </c>
      <c r="I3366" s="569" t="s">
        <v>5949</v>
      </c>
      <c r="J3366" s="569" t="s">
        <v>5963</v>
      </c>
      <c r="K3366" s="569" t="s">
        <v>752</v>
      </c>
      <c r="L3366" s="569">
        <v>3</v>
      </c>
      <c r="M3366" s="569">
        <v>0</v>
      </c>
      <c r="N3366" s="569" t="s">
        <v>157</v>
      </c>
      <c r="O3366" s="569">
        <v>1</v>
      </c>
      <c r="P3366" s="569" t="s">
        <v>157</v>
      </c>
      <c r="Q3366" s="568">
        <v>14810</v>
      </c>
      <c r="R3366" s="569" t="s">
        <v>5873</v>
      </c>
      <c r="S3366" s="569">
        <v>8</v>
      </c>
      <c r="T3366" s="569" t="s">
        <v>5982</v>
      </c>
      <c r="U3366" s="569" t="s">
        <v>931</v>
      </c>
      <c r="V3366" s="569">
        <v>143.5</v>
      </c>
      <c r="W3366" s="569">
        <v>22</v>
      </c>
      <c r="X3366" s="568">
        <v>10000</v>
      </c>
      <c r="Y3366" s="569">
        <v>12</v>
      </c>
      <c r="Z3366" s="581" t="s">
        <v>178</v>
      </c>
      <c r="AA3366" s="581" t="s">
        <v>178</v>
      </c>
      <c r="AB3366" s="585">
        <v>37840</v>
      </c>
      <c r="AC3366" s="585" t="s">
        <v>164</v>
      </c>
      <c r="AD3366" s="585">
        <v>25135</v>
      </c>
      <c r="AE3366" s="587">
        <v>0.05</v>
      </c>
      <c r="AF3366" s="661" t="str">
        <f t="shared" si="367"/>
        <v>2018-LTK-RAM-RM3C-006-08</v>
      </c>
      <c r="AG3366" s="661" t="str">
        <f>IF(AND($Y3366&gt;=32,(AI3366="I"),(Y3366&lt;&gt;"~"),(COUNTIF($AN$1:$AN3366,$AN3366)=1)),"TRUE","FALSE")</f>
        <v>FALSE</v>
      </c>
      <c r="AH3366" s="661" t="str">
        <f>IF(AND($Y3366&gt;=22, (AI3366&lt;&gt;"I"),(Y3366&lt;&gt;"~"),(COUNTIF($AN$1:$AN3366,$AN3366)=1)),"TRUE","FALSE")</f>
        <v>FALSE</v>
      </c>
      <c r="AI3366" s="661" t="str">
        <f t="shared" si="369"/>
        <v>II</v>
      </c>
      <c r="AJ3366" s="662" t="str">
        <f t="shared" si="363"/>
        <v>RM3C-006</v>
      </c>
      <c r="AK3366" s="662" t="str">
        <f t="shared" si="364"/>
        <v>LTK</v>
      </c>
      <c r="AL3366" s="662" t="str">
        <f t="shared" si="365"/>
        <v>RAM</v>
      </c>
      <c r="AM3366" s="662" t="str">
        <f t="shared" si="368"/>
        <v>Ram 3500 Chassis Cab-Regular Cab-4WD-3-~-14810-6.4L Hemi-8-DF8L63-22A-143.5-22-Unleaded-Unleaded</v>
      </c>
      <c r="AN3366" s="662" t="str">
        <f t="shared" si="366"/>
        <v>2018-LTK-RAM-RM3C-006</v>
      </c>
    </row>
    <row r="3367" spans="1:40" ht="30">
      <c r="A3367" s="570" t="s">
        <v>5986</v>
      </c>
      <c r="B3367" s="573" t="s">
        <v>5987</v>
      </c>
      <c r="C3367" s="573" t="s">
        <v>226</v>
      </c>
      <c r="D3367" s="578" t="s">
        <v>227</v>
      </c>
      <c r="E3367" s="573" t="s">
        <v>3374</v>
      </c>
      <c r="F3367" s="573" t="s">
        <v>1684</v>
      </c>
      <c r="G3367" s="573" t="s">
        <v>3265</v>
      </c>
      <c r="H3367" s="573">
        <v>2019</v>
      </c>
      <c r="I3367" s="573" t="s">
        <v>5949</v>
      </c>
      <c r="J3367" s="573" t="s">
        <v>5450</v>
      </c>
      <c r="K3367" s="573" t="s">
        <v>3377</v>
      </c>
      <c r="L3367" s="573">
        <v>6</v>
      </c>
      <c r="M3367" s="573">
        <v>0</v>
      </c>
      <c r="N3367" s="573" t="s">
        <v>157</v>
      </c>
      <c r="O3367" s="573">
        <v>2</v>
      </c>
      <c r="P3367" s="573" t="s">
        <v>5988</v>
      </c>
      <c r="Q3367" s="571">
        <v>14610</v>
      </c>
      <c r="R3367" s="573" t="s">
        <v>5873</v>
      </c>
      <c r="S3367" s="573">
        <v>8</v>
      </c>
      <c r="T3367" s="573" t="s">
        <v>5951</v>
      </c>
      <c r="U3367" s="573" t="s">
        <v>931</v>
      </c>
      <c r="V3367" s="573">
        <v>172.4</v>
      </c>
      <c r="W3367" s="573">
        <v>52</v>
      </c>
      <c r="X3367" s="571">
        <v>13500</v>
      </c>
      <c r="Y3367" s="569" t="s">
        <v>164</v>
      </c>
      <c r="Z3367" s="579" t="s">
        <v>5870</v>
      </c>
      <c r="AA3367" s="579" t="s">
        <v>5870</v>
      </c>
      <c r="AB3367" s="584">
        <v>38415</v>
      </c>
      <c r="AC3367" s="584" t="s">
        <v>164</v>
      </c>
      <c r="AD3367" s="584">
        <v>32024</v>
      </c>
      <c r="AE3367" s="586">
        <v>6.25E-2</v>
      </c>
      <c r="AF3367" s="661" t="str">
        <f t="shared" si="367"/>
        <v>2019-LTK-RAM-RM3C-011-04</v>
      </c>
      <c r="AG3367" s="661" t="str">
        <f>IF(AND($Y3367&gt;=32,(AI3367="I"),(Y3367&lt;&gt;"~"),(COUNTIF($AN$1:$AN3367,$AN3367)=1)),"TRUE","FALSE")</f>
        <v>FALSE</v>
      </c>
      <c r="AH3367" s="661" t="str">
        <f>IF(AND($Y3367&gt;=22, (AI3367&lt;&gt;"I"),(Y3367&lt;&gt;"~"),(COUNTIF($AN$1:$AN3367,$AN3367)=1)),"TRUE","FALSE")</f>
        <v>TRUE</v>
      </c>
      <c r="AI3367" s="661" t="str">
        <f t="shared" si="369"/>
        <v>N/A</v>
      </c>
      <c r="AJ3367" s="662" t="str">
        <f t="shared" si="363"/>
        <v>RM3C-011</v>
      </c>
      <c r="AK3367" s="662" t="str">
        <f t="shared" si="364"/>
        <v>LTK</v>
      </c>
      <c r="AL3367" s="662" t="str">
        <f t="shared" si="365"/>
        <v>RAM</v>
      </c>
      <c r="AM3367" s="662" t="str">
        <f t="shared" si="368"/>
        <v>Ram 3500 Chassis Cab-Tradesman Crew Cab-2WD-6-CA 60"-14610-6.4L Hemi-8-DD3L93-22A-172.4-52-UNLEADED-UNLEADED</v>
      </c>
      <c r="AN3367" s="662" t="str">
        <f t="shared" si="366"/>
        <v>2019-LTK-RAM-RM3C-011</v>
      </c>
    </row>
    <row r="3368" spans="1:40" ht="30">
      <c r="A3368" s="570" t="s">
        <v>5989</v>
      </c>
      <c r="B3368" s="569" t="s">
        <v>5990</v>
      </c>
      <c r="C3368" s="569" t="s">
        <v>226</v>
      </c>
      <c r="D3368" s="580" t="s">
        <v>227</v>
      </c>
      <c r="E3368" s="569" t="s">
        <v>3374</v>
      </c>
      <c r="F3368" s="569" t="s">
        <v>1684</v>
      </c>
      <c r="G3368" s="569" t="s">
        <v>3265</v>
      </c>
      <c r="H3368" s="569">
        <v>2019</v>
      </c>
      <c r="I3368" s="569" t="s">
        <v>5949</v>
      </c>
      <c r="J3368" s="569" t="s">
        <v>5450</v>
      </c>
      <c r="K3368" s="569" t="s">
        <v>3377</v>
      </c>
      <c r="L3368" s="569">
        <v>6</v>
      </c>
      <c r="M3368" s="569">
        <v>0</v>
      </c>
      <c r="N3368" s="569" t="s">
        <v>157</v>
      </c>
      <c r="O3368" s="569">
        <v>2</v>
      </c>
      <c r="P3368" s="569" t="s">
        <v>5988</v>
      </c>
      <c r="Q3368" s="568">
        <v>14610</v>
      </c>
      <c r="R3368" s="569" t="s">
        <v>5991</v>
      </c>
      <c r="S3368" s="569">
        <v>8</v>
      </c>
      <c r="T3368" s="569" t="s">
        <v>5954</v>
      </c>
      <c r="U3368" s="569" t="s">
        <v>653</v>
      </c>
      <c r="V3368" s="569">
        <v>172.4</v>
      </c>
      <c r="W3368" s="569">
        <v>22</v>
      </c>
      <c r="X3368" s="568">
        <v>10000</v>
      </c>
      <c r="Y3368" s="569">
        <v>13</v>
      </c>
      <c r="Z3368" s="581" t="s">
        <v>178</v>
      </c>
      <c r="AA3368" s="581" t="s">
        <v>178</v>
      </c>
      <c r="AB3368" s="585">
        <v>39615</v>
      </c>
      <c r="AC3368" s="585" t="s">
        <v>164</v>
      </c>
      <c r="AD3368" s="585">
        <v>34616</v>
      </c>
      <c r="AE3368" s="587">
        <v>6.25E-2</v>
      </c>
      <c r="AF3368" s="661" t="str">
        <f t="shared" si="367"/>
        <v>2019-LTK-RAM-RM3C-035-04</v>
      </c>
      <c r="AG3368" s="661" t="str">
        <f>IF(AND($Y3368&gt;=32,(AI3368="I"),(Y3368&lt;&gt;"~"),(COUNTIF($AN$1:$AN3368,$AN3368)=1)),"TRUE","FALSE")</f>
        <v>FALSE</v>
      </c>
      <c r="AH3368" s="661" t="str">
        <f>IF(AND($Y3368&gt;=22, (AI3368&lt;&gt;"I"),(Y3368&lt;&gt;"~"),(COUNTIF($AN$1:$AN3368,$AN3368)=1)),"TRUE","FALSE")</f>
        <v>FALSE</v>
      </c>
      <c r="AI3368" s="661" t="str">
        <f t="shared" si="369"/>
        <v>II</v>
      </c>
      <c r="AJ3368" s="662" t="str">
        <f t="shared" si="363"/>
        <v>RM3C-035</v>
      </c>
      <c r="AK3368" s="662" t="str">
        <f t="shared" si="364"/>
        <v>LTK</v>
      </c>
      <c r="AL3368" s="662" t="str">
        <f t="shared" si="365"/>
        <v>RAM</v>
      </c>
      <c r="AM3368" s="662" t="str">
        <f t="shared" si="368"/>
        <v>Ram 3500 Chassis Cab-Tradesman Crew Cab-2WD-6-CA 60"-14610-6.4L-8-DF3L93-27A-172.4-22-Unleaded-Unleaded</v>
      </c>
      <c r="AN3368" s="662" t="str">
        <f t="shared" si="366"/>
        <v>2019-LTK-RAM-RM3C-035</v>
      </c>
    </row>
    <row r="3369" spans="1:40" ht="30">
      <c r="A3369" s="570" t="s">
        <v>5992</v>
      </c>
      <c r="B3369" s="573" t="s">
        <v>5993</v>
      </c>
      <c r="C3369" s="573" t="s">
        <v>226</v>
      </c>
      <c r="D3369" s="578" t="s">
        <v>227</v>
      </c>
      <c r="E3369" s="573" t="s">
        <v>3374</v>
      </c>
      <c r="F3369" s="573" t="s">
        <v>1684</v>
      </c>
      <c r="G3369" s="573" t="s">
        <v>3265</v>
      </c>
      <c r="H3369" s="573">
        <v>2019</v>
      </c>
      <c r="I3369" s="573" t="s">
        <v>5949</v>
      </c>
      <c r="J3369" s="573" t="s">
        <v>5450</v>
      </c>
      <c r="K3369" s="573" t="s">
        <v>3377</v>
      </c>
      <c r="L3369" s="573">
        <v>6</v>
      </c>
      <c r="M3369" s="573">
        <v>0</v>
      </c>
      <c r="N3369" s="573" t="s">
        <v>157</v>
      </c>
      <c r="O3369" s="573">
        <v>2</v>
      </c>
      <c r="P3369" s="573" t="s">
        <v>5988</v>
      </c>
      <c r="Q3369" s="571">
        <v>16840</v>
      </c>
      <c r="R3369" s="573" t="s">
        <v>4231</v>
      </c>
      <c r="S3369" s="573">
        <v>6</v>
      </c>
      <c r="T3369" s="573" t="s">
        <v>5951</v>
      </c>
      <c r="U3369" s="573" t="s">
        <v>5994</v>
      </c>
      <c r="V3369" s="573">
        <v>172.4</v>
      </c>
      <c r="W3369" s="573">
        <v>52</v>
      </c>
      <c r="X3369" s="571">
        <v>13500</v>
      </c>
      <c r="Y3369" s="569" t="s">
        <v>164</v>
      </c>
      <c r="Z3369" s="579" t="s">
        <v>728</v>
      </c>
      <c r="AA3369" s="579" t="s">
        <v>1523</v>
      </c>
      <c r="AB3369" s="584">
        <v>47360</v>
      </c>
      <c r="AC3369" s="584" t="s">
        <v>164</v>
      </c>
      <c r="AD3369" s="584">
        <v>39103</v>
      </c>
      <c r="AE3369" s="586">
        <v>6.25E-2</v>
      </c>
      <c r="AF3369" s="661" t="str">
        <f t="shared" si="367"/>
        <v>2019-LTK-RAM-RM3C-012-04</v>
      </c>
      <c r="AG3369" s="661" t="str">
        <f>IF(AND($Y3369&gt;=32,(AI3369="I"),(Y3369&lt;&gt;"~"),(COUNTIF($AN$1:$AN3369,$AN3369)=1)),"TRUE","FALSE")</f>
        <v>FALSE</v>
      </c>
      <c r="AH3369" s="661" t="str">
        <f>IF(AND($Y3369&gt;=22, (AI3369&lt;&gt;"I"),(Y3369&lt;&gt;"~"),(COUNTIF($AN$1:$AN3369,$AN3369)=1)),"TRUE","FALSE")</f>
        <v>TRUE</v>
      </c>
      <c r="AI3369" s="661" t="str">
        <f t="shared" si="369"/>
        <v>N/A</v>
      </c>
      <c r="AJ3369" s="662" t="str">
        <f t="shared" si="363"/>
        <v>RM3C-012</v>
      </c>
      <c r="AK3369" s="662" t="str">
        <f t="shared" si="364"/>
        <v>LTK</v>
      </c>
      <c r="AL3369" s="662" t="str">
        <f t="shared" si="365"/>
        <v>RAM</v>
      </c>
      <c r="AM3369" s="662" t="str">
        <f t="shared" si="368"/>
        <v>Ram 3500 Chassis Cab-Tradesman Crew Cab-2WD-6-CA 60"-16840-6.7L Diesel-6-DD3L93-29A AISIN-172.4-52-Diesel-BioDiesel</v>
      </c>
      <c r="AN3369" s="662" t="str">
        <f t="shared" si="366"/>
        <v>2019-LTK-RAM-RM3C-012</v>
      </c>
    </row>
    <row r="3370" spans="1:40" ht="30">
      <c r="A3370" s="570" t="s">
        <v>5995</v>
      </c>
      <c r="B3370" s="569" t="s">
        <v>5996</v>
      </c>
      <c r="C3370" s="569" t="s">
        <v>226</v>
      </c>
      <c r="D3370" s="580" t="s">
        <v>227</v>
      </c>
      <c r="E3370" s="569" t="s">
        <v>3374</v>
      </c>
      <c r="F3370" s="569" t="s">
        <v>1684</v>
      </c>
      <c r="G3370" s="569" t="s">
        <v>3265</v>
      </c>
      <c r="H3370" s="569">
        <v>2019</v>
      </c>
      <c r="I3370" s="569" t="s">
        <v>5949</v>
      </c>
      <c r="J3370" s="569" t="s">
        <v>5450</v>
      </c>
      <c r="K3370" s="569" t="s">
        <v>3377</v>
      </c>
      <c r="L3370" s="569">
        <v>6</v>
      </c>
      <c r="M3370" s="569">
        <v>0</v>
      </c>
      <c r="N3370" s="569" t="s">
        <v>157</v>
      </c>
      <c r="O3370" s="569">
        <v>2</v>
      </c>
      <c r="P3370" s="569" t="s">
        <v>5988</v>
      </c>
      <c r="Q3370" s="568">
        <v>17480</v>
      </c>
      <c r="R3370" s="569" t="s">
        <v>5873</v>
      </c>
      <c r="S3370" s="569">
        <v>8</v>
      </c>
      <c r="T3370" s="569" t="s">
        <v>5951</v>
      </c>
      <c r="U3370" s="569" t="s">
        <v>5997</v>
      </c>
      <c r="V3370" s="569">
        <v>172.4</v>
      </c>
      <c r="W3370" s="569">
        <v>52</v>
      </c>
      <c r="X3370" s="568">
        <v>13500</v>
      </c>
      <c r="Y3370" s="569" t="s">
        <v>164</v>
      </c>
      <c r="Z3370" s="581" t="s">
        <v>5870</v>
      </c>
      <c r="AA3370" s="581" t="s">
        <v>5870</v>
      </c>
      <c r="AB3370" s="585">
        <v>40015</v>
      </c>
      <c r="AC3370" s="585" t="s">
        <v>164</v>
      </c>
      <c r="AD3370" s="585">
        <v>32444</v>
      </c>
      <c r="AE3370" s="587">
        <v>6.25E-2</v>
      </c>
      <c r="AF3370" s="661" t="str">
        <f t="shared" si="367"/>
        <v>2019-LTK-RAM-RM3C-013-04</v>
      </c>
      <c r="AG3370" s="661" t="str">
        <f>IF(AND($Y3370&gt;=32,(AI3370="I"),(Y3370&lt;&gt;"~"),(COUNTIF($AN$1:$AN3370,$AN3370)=1)),"TRUE","FALSE")</f>
        <v>FALSE</v>
      </c>
      <c r="AH3370" s="661" t="str">
        <f>IF(AND($Y3370&gt;=22, (AI3370&lt;&gt;"I"),(Y3370&lt;&gt;"~"),(COUNTIF($AN$1:$AN3370,$AN3370)=1)),"TRUE","FALSE")</f>
        <v>TRUE</v>
      </c>
      <c r="AI3370" s="661" t="str">
        <f t="shared" si="369"/>
        <v>N/A</v>
      </c>
      <c r="AJ3370" s="662" t="str">
        <f t="shared" si="363"/>
        <v>RM3C-013</v>
      </c>
      <c r="AK3370" s="662" t="str">
        <f t="shared" si="364"/>
        <v>LTK</v>
      </c>
      <c r="AL3370" s="662" t="str">
        <f t="shared" si="365"/>
        <v>RAM</v>
      </c>
      <c r="AM3370" s="662" t="str">
        <f t="shared" si="368"/>
        <v>Ram 3500 Chassis Cab-Tradesman Crew Cab-2WD-6-CA 60"-17480-6.4L Hemi-8-DD3L93-27A AISIN-172.4-52-UNLEADED-UNLEADED</v>
      </c>
      <c r="AN3370" s="662" t="str">
        <f t="shared" si="366"/>
        <v>2019-LTK-RAM-RM3C-013</v>
      </c>
    </row>
    <row r="3371" spans="1:40" ht="30">
      <c r="A3371" s="570" t="s">
        <v>5998</v>
      </c>
      <c r="B3371" s="573" t="s">
        <v>5999</v>
      </c>
      <c r="C3371" s="573" t="s">
        <v>226</v>
      </c>
      <c r="D3371" s="578" t="s">
        <v>227</v>
      </c>
      <c r="E3371" s="573" t="s">
        <v>3374</v>
      </c>
      <c r="F3371" s="573" t="s">
        <v>1684</v>
      </c>
      <c r="G3371" s="573" t="s">
        <v>3265</v>
      </c>
      <c r="H3371" s="573">
        <v>2019</v>
      </c>
      <c r="I3371" s="573" t="s">
        <v>5949</v>
      </c>
      <c r="J3371" s="573" t="s">
        <v>5450</v>
      </c>
      <c r="K3371" s="573" t="s">
        <v>752</v>
      </c>
      <c r="L3371" s="573">
        <v>6</v>
      </c>
      <c r="M3371" s="573">
        <v>0</v>
      </c>
      <c r="N3371" s="573" t="s">
        <v>157</v>
      </c>
      <c r="O3371" s="573">
        <v>2</v>
      </c>
      <c r="P3371" s="573" t="s">
        <v>5988</v>
      </c>
      <c r="Q3371" s="571">
        <v>14290</v>
      </c>
      <c r="R3371" s="573" t="s">
        <v>5873</v>
      </c>
      <c r="S3371" s="573">
        <v>8</v>
      </c>
      <c r="T3371" s="573" t="s">
        <v>5957</v>
      </c>
      <c r="U3371" s="573" t="s">
        <v>931</v>
      </c>
      <c r="V3371" s="573">
        <v>172.4</v>
      </c>
      <c r="W3371" s="573">
        <v>52</v>
      </c>
      <c r="X3371" s="571">
        <v>13500</v>
      </c>
      <c r="Y3371" s="569" t="s">
        <v>164</v>
      </c>
      <c r="Z3371" s="579" t="s">
        <v>5870</v>
      </c>
      <c r="AA3371" s="579" t="s">
        <v>5870</v>
      </c>
      <c r="AB3371" s="584">
        <v>42265</v>
      </c>
      <c r="AC3371" s="584" t="s">
        <v>164</v>
      </c>
      <c r="AD3371" s="584">
        <v>32735</v>
      </c>
      <c r="AE3371" s="586">
        <v>6.25E-2</v>
      </c>
      <c r="AF3371" s="661" t="str">
        <f t="shared" si="367"/>
        <v>2019-LTK-RAM-RM3C-014-04</v>
      </c>
      <c r="AG3371" s="661" t="str">
        <f>IF(AND($Y3371&gt;=32,(AI3371="I"),(Y3371&lt;&gt;"~"),(COUNTIF($AN$1:$AN3371,$AN3371)=1)),"TRUE","FALSE")</f>
        <v>FALSE</v>
      </c>
      <c r="AH3371" s="661" t="str">
        <f>IF(AND($Y3371&gt;=22, (AI3371&lt;&gt;"I"),(Y3371&lt;&gt;"~"),(COUNTIF($AN$1:$AN3371,$AN3371)=1)),"TRUE","FALSE")</f>
        <v>TRUE</v>
      </c>
      <c r="AI3371" s="661" t="str">
        <f t="shared" si="369"/>
        <v>N/A</v>
      </c>
      <c r="AJ3371" s="662" t="str">
        <f t="shared" si="363"/>
        <v>RM3C-014</v>
      </c>
      <c r="AK3371" s="662" t="str">
        <f t="shared" si="364"/>
        <v>LTK</v>
      </c>
      <c r="AL3371" s="662" t="str">
        <f t="shared" si="365"/>
        <v>RAM</v>
      </c>
      <c r="AM3371" s="662" t="str">
        <f t="shared" si="368"/>
        <v>Ram 3500 Chassis Cab-Tradesman Crew Cab-4WD-6-CA 60"-14290-6.4L Hemi-8-DD8L93-22A-172.4-52-UNLEADED-UNLEADED</v>
      </c>
      <c r="AN3371" s="662" t="str">
        <f t="shared" si="366"/>
        <v>2019-LTK-RAM-RM3C-014</v>
      </c>
    </row>
    <row r="3372" spans="1:40" ht="30">
      <c r="A3372" s="570" t="s">
        <v>6000</v>
      </c>
      <c r="B3372" s="569" t="s">
        <v>6001</v>
      </c>
      <c r="C3372" s="569" t="s">
        <v>226</v>
      </c>
      <c r="D3372" s="580" t="s">
        <v>227</v>
      </c>
      <c r="E3372" s="569" t="s">
        <v>3374</v>
      </c>
      <c r="F3372" s="569" t="s">
        <v>1684</v>
      </c>
      <c r="G3372" s="569" t="s">
        <v>3265</v>
      </c>
      <c r="H3372" s="569">
        <v>2019</v>
      </c>
      <c r="I3372" s="569" t="s">
        <v>5949</v>
      </c>
      <c r="J3372" s="569" t="s">
        <v>5450</v>
      </c>
      <c r="K3372" s="569" t="s">
        <v>752</v>
      </c>
      <c r="L3372" s="569">
        <v>6</v>
      </c>
      <c r="M3372" s="569">
        <v>0</v>
      </c>
      <c r="N3372" s="569" t="s">
        <v>157</v>
      </c>
      <c r="O3372" s="569">
        <v>2</v>
      </c>
      <c r="P3372" s="569" t="s">
        <v>5988</v>
      </c>
      <c r="Q3372" s="568">
        <v>16520</v>
      </c>
      <c r="R3372" s="569" t="s">
        <v>4231</v>
      </c>
      <c r="S3372" s="569">
        <v>6</v>
      </c>
      <c r="T3372" s="569" t="s">
        <v>5957</v>
      </c>
      <c r="U3372" s="569" t="s">
        <v>5994</v>
      </c>
      <c r="V3372" s="569">
        <v>172.4</v>
      </c>
      <c r="W3372" s="569">
        <v>52</v>
      </c>
      <c r="X3372" s="568">
        <v>13500</v>
      </c>
      <c r="Y3372" s="569" t="s">
        <v>164</v>
      </c>
      <c r="Z3372" s="581" t="s">
        <v>728</v>
      </c>
      <c r="AA3372" s="581" t="s">
        <v>1523</v>
      </c>
      <c r="AB3372" s="585">
        <v>51210</v>
      </c>
      <c r="AC3372" s="585" t="s">
        <v>164</v>
      </c>
      <c r="AD3372" s="585">
        <v>43008</v>
      </c>
      <c r="AE3372" s="587">
        <v>6.25E-2</v>
      </c>
      <c r="AF3372" s="661" t="str">
        <f t="shared" si="367"/>
        <v>2019-LTK-RAM-RM3C-015-04</v>
      </c>
      <c r="AG3372" s="661" t="str">
        <f>IF(AND($Y3372&gt;=32,(AI3372="I"),(Y3372&lt;&gt;"~"),(COUNTIF($AN$1:$AN3372,$AN3372)=1)),"TRUE","FALSE")</f>
        <v>FALSE</v>
      </c>
      <c r="AH3372" s="661" t="str">
        <f>IF(AND($Y3372&gt;=22, (AI3372&lt;&gt;"I"),(Y3372&lt;&gt;"~"),(COUNTIF($AN$1:$AN3372,$AN3372)=1)),"TRUE","FALSE")</f>
        <v>TRUE</v>
      </c>
      <c r="AI3372" s="661" t="str">
        <f t="shared" si="369"/>
        <v>N/A</v>
      </c>
      <c r="AJ3372" s="662" t="str">
        <f t="shared" si="363"/>
        <v>RM3C-015</v>
      </c>
      <c r="AK3372" s="662" t="str">
        <f t="shared" si="364"/>
        <v>LTK</v>
      </c>
      <c r="AL3372" s="662" t="str">
        <f t="shared" si="365"/>
        <v>RAM</v>
      </c>
      <c r="AM3372" s="662" t="str">
        <f t="shared" si="368"/>
        <v>Ram 3500 Chassis Cab-Tradesman Crew Cab-4WD-6-CA 60"-16520-6.7L Diesel-6-DD8L93-29A AISIN-172.4-52-Diesel-BioDiesel</v>
      </c>
      <c r="AN3372" s="662" t="str">
        <f t="shared" si="366"/>
        <v>2019-LTK-RAM-RM3C-015</v>
      </c>
    </row>
    <row r="3373" spans="1:40" ht="30">
      <c r="A3373" s="570" t="s">
        <v>6002</v>
      </c>
      <c r="B3373" s="573" t="s">
        <v>6003</v>
      </c>
      <c r="C3373" s="573" t="s">
        <v>226</v>
      </c>
      <c r="D3373" s="578" t="s">
        <v>227</v>
      </c>
      <c r="E3373" s="573" t="s">
        <v>3374</v>
      </c>
      <c r="F3373" s="573" t="s">
        <v>1684</v>
      </c>
      <c r="G3373" s="573" t="s">
        <v>3265</v>
      </c>
      <c r="H3373" s="573">
        <v>2019</v>
      </c>
      <c r="I3373" s="573" t="s">
        <v>5949</v>
      </c>
      <c r="J3373" s="573" t="s">
        <v>5450</v>
      </c>
      <c r="K3373" s="573" t="s">
        <v>752</v>
      </c>
      <c r="L3373" s="573">
        <v>6</v>
      </c>
      <c r="M3373" s="573">
        <v>0</v>
      </c>
      <c r="N3373" s="573" t="s">
        <v>157</v>
      </c>
      <c r="O3373" s="573">
        <v>2</v>
      </c>
      <c r="P3373" s="573" t="s">
        <v>5988</v>
      </c>
      <c r="Q3373" s="571">
        <v>17160</v>
      </c>
      <c r="R3373" s="573" t="s">
        <v>5873</v>
      </c>
      <c r="S3373" s="573">
        <v>8</v>
      </c>
      <c r="T3373" s="573" t="s">
        <v>5957</v>
      </c>
      <c r="U3373" s="573" t="s">
        <v>5997</v>
      </c>
      <c r="V3373" s="573">
        <v>172.4</v>
      </c>
      <c r="W3373" s="573">
        <v>52</v>
      </c>
      <c r="X3373" s="571">
        <v>13500</v>
      </c>
      <c r="Y3373" s="569" t="s">
        <v>164</v>
      </c>
      <c r="Z3373" s="579" t="s">
        <v>5870</v>
      </c>
      <c r="AA3373" s="579" t="s">
        <v>5870</v>
      </c>
      <c r="AB3373" s="584">
        <v>43865</v>
      </c>
      <c r="AC3373" s="584" t="s">
        <v>164</v>
      </c>
      <c r="AD3373" s="584">
        <v>34186</v>
      </c>
      <c r="AE3373" s="586">
        <v>6.25E-2</v>
      </c>
      <c r="AF3373" s="661" t="str">
        <f t="shared" si="367"/>
        <v>2019-LTK-RAM-RM3C-016-04</v>
      </c>
      <c r="AG3373" s="661" t="str">
        <f>IF(AND($Y3373&gt;=32,(AI3373="I"),(Y3373&lt;&gt;"~"),(COUNTIF($AN$1:$AN3373,$AN3373)=1)),"TRUE","FALSE")</f>
        <v>FALSE</v>
      </c>
      <c r="AH3373" s="661" t="str">
        <f>IF(AND($Y3373&gt;=22, (AI3373&lt;&gt;"I"),(Y3373&lt;&gt;"~"),(COUNTIF($AN$1:$AN3373,$AN3373)=1)),"TRUE","FALSE")</f>
        <v>TRUE</v>
      </c>
      <c r="AI3373" s="661" t="str">
        <f t="shared" si="369"/>
        <v>N/A</v>
      </c>
      <c r="AJ3373" s="662" t="str">
        <f t="shared" si="363"/>
        <v>RM3C-016</v>
      </c>
      <c r="AK3373" s="662" t="str">
        <f t="shared" si="364"/>
        <v>LTK</v>
      </c>
      <c r="AL3373" s="662" t="str">
        <f t="shared" si="365"/>
        <v>RAM</v>
      </c>
      <c r="AM3373" s="662" t="str">
        <f t="shared" si="368"/>
        <v>Ram 3500 Chassis Cab-Tradesman Crew Cab-4WD-6-CA 60"-17160-6.4L Hemi-8-DD8L93-27A AISIN-172.4-52-UNLEADED-UNLEADED</v>
      </c>
      <c r="AN3373" s="662" t="str">
        <f t="shared" si="366"/>
        <v>2019-LTK-RAM-RM3C-016</v>
      </c>
    </row>
    <row r="3374" spans="1:40" ht="30">
      <c r="A3374" s="570" t="s">
        <v>6004</v>
      </c>
      <c r="B3374" s="569" t="s">
        <v>6005</v>
      </c>
      <c r="C3374" s="569" t="s">
        <v>226</v>
      </c>
      <c r="D3374" s="580" t="s">
        <v>227</v>
      </c>
      <c r="E3374" s="569" t="s">
        <v>3374</v>
      </c>
      <c r="F3374" s="569" t="s">
        <v>1684</v>
      </c>
      <c r="G3374" s="569" t="s">
        <v>3265</v>
      </c>
      <c r="H3374" s="569">
        <v>2019</v>
      </c>
      <c r="I3374" s="569" t="s">
        <v>5949</v>
      </c>
      <c r="J3374" s="569" t="s">
        <v>6006</v>
      </c>
      <c r="K3374" s="569" t="s">
        <v>3377</v>
      </c>
      <c r="L3374" s="569">
        <v>6</v>
      </c>
      <c r="M3374" s="569">
        <v>0</v>
      </c>
      <c r="N3374" s="569" t="s">
        <v>157</v>
      </c>
      <c r="O3374" s="569">
        <v>2</v>
      </c>
      <c r="P3374" s="569" t="s">
        <v>5988</v>
      </c>
      <c r="Q3374" s="568">
        <v>17610</v>
      </c>
      <c r="R3374" s="569" t="s">
        <v>5873</v>
      </c>
      <c r="S3374" s="569">
        <v>8</v>
      </c>
      <c r="T3374" s="569" t="s">
        <v>5954</v>
      </c>
      <c r="U3374" s="569" t="s">
        <v>5997</v>
      </c>
      <c r="V3374" s="569">
        <v>172.4</v>
      </c>
      <c r="W3374" s="569">
        <v>22</v>
      </c>
      <c r="X3374" s="568">
        <v>10000</v>
      </c>
      <c r="Y3374" s="569">
        <v>13</v>
      </c>
      <c r="Z3374" s="581" t="s">
        <v>5870</v>
      </c>
      <c r="AA3374" s="581" t="s">
        <v>5870</v>
      </c>
      <c r="AB3374" s="585">
        <v>38015</v>
      </c>
      <c r="AC3374" s="585" t="s">
        <v>164</v>
      </c>
      <c r="AD3374" s="585">
        <v>34196</v>
      </c>
      <c r="AE3374" s="587">
        <v>6.25E-2</v>
      </c>
      <c r="AF3374" s="661" t="str">
        <f t="shared" si="367"/>
        <v>2019-LTK-RAM-RM3C-008-04</v>
      </c>
      <c r="AG3374" s="661" t="str">
        <f>IF(AND($Y3374&gt;=32,(AI3374="I"),(Y3374&lt;&gt;"~"),(COUNTIF($AN$1:$AN3374,$AN3374)=1)),"TRUE","FALSE")</f>
        <v>FALSE</v>
      </c>
      <c r="AH3374" s="661" t="str">
        <f>IF(AND($Y3374&gt;=22, (AI3374&lt;&gt;"I"),(Y3374&lt;&gt;"~"),(COUNTIF($AN$1:$AN3374,$AN3374)=1)),"TRUE","FALSE")</f>
        <v>FALSE</v>
      </c>
      <c r="AI3374" s="661" t="str">
        <f t="shared" si="369"/>
        <v>II</v>
      </c>
      <c r="AJ3374" s="662" t="str">
        <f t="shared" si="363"/>
        <v>RM3C-008</v>
      </c>
      <c r="AK3374" s="662" t="str">
        <f t="shared" si="364"/>
        <v>LTK</v>
      </c>
      <c r="AL3374" s="662" t="str">
        <f t="shared" si="365"/>
        <v>RAM</v>
      </c>
      <c r="AM3374" s="662" t="str">
        <f t="shared" si="368"/>
        <v>Ram 3500 Chassis Cab-Tradesman Crew Cab 10K-2WD-6-CA 60"-17610-6.4L Hemi-8-DF3L93-27A AISIN-172.4-22-UNLEADED-UNLEADED</v>
      </c>
      <c r="AN3374" s="662" t="str">
        <f t="shared" si="366"/>
        <v>2019-LTK-RAM-RM3C-008</v>
      </c>
    </row>
    <row r="3375" spans="1:40" ht="30">
      <c r="A3375" s="570" t="s">
        <v>6007</v>
      </c>
      <c r="B3375" s="573" t="s">
        <v>6008</v>
      </c>
      <c r="C3375" s="573" t="s">
        <v>226</v>
      </c>
      <c r="D3375" s="578" t="s">
        <v>227</v>
      </c>
      <c r="E3375" s="573" t="s">
        <v>3374</v>
      </c>
      <c r="F3375" s="573" t="s">
        <v>1684</v>
      </c>
      <c r="G3375" s="573" t="s">
        <v>3265</v>
      </c>
      <c r="H3375" s="573">
        <v>2019</v>
      </c>
      <c r="I3375" s="573" t="s">
        <v>5949</v>
      </c>
      <c r="J3375" s="573" t="s">
        <v>6006</v>
      </c>
      <c r="K3375" s="573" t="s">
        <v>752</v>
      </c>
      <c r="L3375" s="573">
        <v>6</v>
      </c>
      <c r="M3375" s="573">
        <v>0</v>
      </c>
      <c r="N3375" s="573" t="s">
        <v>157</v>
      </c>
      <c r="O3375" s="573">
        <v>2</v>
      </c>
      <c r="P3375" s="573" t="s">
        <v>5988</v>
      </c>
      <c r="Q3375" s="571">
        <v>17680</v>
      </c>
      <c r="R3375" s="573" t="s">
        <v>5873</v>
      </c>
      <c r="S3375" s="573">
        <v>8</v>
      </c>
      <c r="T3375" s="573" t="s">
        <v>5960</v>
      </c>
      <c r="U3375" s="573" t="s">
        <v>931</v>
      </c>
      <c r="V3375" s="573">
        <v>172.4</v>
      </c>
      <c r="W3375" s="573">
        <v>22</v>
      </c>
      <c r="X3375" s="571">
        <v>10000</v>
      </c>
      <c r="Y3375" s="573">
        <v>12</v>
      </c>
      <c r="Z3375" s="579" t="s">
        <v>5870</v>
      </c>
      <c r="AA3375" s="579" t="s">
        <v>5870</v>
      </c>
      <c r="AB3375" s="584">
        <v>41865</v>
      </c>
      <c r="AC3375" s="584" t="s">
        <v>164</v>
      </c>
      <c r="AD3375" s="584">
        <v>34908</v>
      </c>
      <c r="AE3375" s="586">
        <v>6.25E-2</v>
      </c>
      <c r="AF3375" s="661" t="str">
        <f t="shared" si="367"/>
        <v>2019-LTK-RAM-RM3C-009-04</v>
      </c>
      <c r="AG3375" s="661" t="str">
        <f>IF(AND($Y3375&gt;=32,(AI3375="I"),(Y3375&lt;&gt;"~"),(COUNTIF($AN$1:$AN3375,$AN3375)=1)),"TRUE","FALSE")</f>
        <v>FALSE</v>
      </c>
      <c r="AH3375" s="661" t="str">
        <f>IF(AND($Y3375&gt;=22, (AI3375&lt;&gt;"I"),(Y3375&lt;&gt;"~"),(COUNTIF($AN$1:$AN3375,$AN3375)=1)),"TRUE","FALSE")</f>
        <v>FALSE</v>
      </c>
      <c r="AI3375" s="661" t="str">
        <f t="shared" si="369"/>
        <v>II</v>
      </c>
      <c r="AJ3375" s="662" t="str">
        <f t="shared" si="363"/>
        <v>RM3C-009</v>
      </c>
      <c r="AK3375" s="662" t="str">
        <f t="shared" si="364"/>
        <v>LTK</v>
      </c>
      <c r="AL3375" s="662" t="str">
        <f t="shared" si="365"/>
        <v>RAM</v>
      </c>
      <c r="AM3375" s="662" t="str">
        <f t="shared" si="368"/>
        <v>Ram 3500 Chassis Cab-Tradesman Crew Cab 10K-4WD-6-CA 60"-17680-6.4L Hemi-8-DF8L93-22A-172.4-22-UNLEADED-UNLEADED</v>
      </c>
      <c r="AN3375" s="662" t="str">
        <f t="shared" si="366"/>
        <v>2019-LTK-RAM-RM3C-009</v>
      </c>
    </row>
    <row r="3376" spans="1:40" ht="30">
      <c r="A3376" s="570" t="s">
        <v>6009</v>
      </c>
      <c r="B3376" s="569" t="s">
        <v>6010</v>
      </c>
      <c r="C3376" s="569" t="s">
        <v>226</v>
      </c>
      <c r="D3376" s="580" t="s">
        <v>227</v>
      </c>
      <c r="E3376" s="569" t="s">
        <v>3374</v>
      </c>
      <c r="F3376" s="569" t="s">
        <v>1684</v>
      </c>
      <c r="G3376" s="569" t="s">
        <v>3265</v>
      </c>
      <c r="H3376" s="569">
        <v>2019</v>
      </c>
      <c r="I3376" s="569" t="s">
        <v>5949</v>
      </c>
      <c r="J3376" s="569" t="s">
        <v>6006</v>
      </c>
      <c r="K3376" s="569" t="s">
        <v>752</v>
      </c>
      <c r="L3376" s="569">
        <v>6</v>
      </c>
      <c r="M3376" s="569">
        <v>0</v>
      </c>
      <c r="N3376" s="569" t="s">
        <v>157</v>
      </c>
      <c r="O3376" s="569">
        <v>2</v>
      </c>
      <c r="P3376" s="569" t="s">
        <v>5988</v>
      </c>
      <c r="Q3376" s="568">
        <v>17810</v>
      </c>
      <c r="R3376" s="569" t="s">
        <v>5873</v>
      </c>
      <c r="S3376" s="569">
        <v>8</v>
      </c>
      <c r="T3376" s="569" t="s">
        <v>5960</v>
      </c>
      <c r="U3376" s="569" t="s">
        <v>5997</v>
      </c>
      <c r="V3376" s="569">
        <v>172.4</v>
      </c>
      <c r="W3376" s="569">
        <v>22</v>
      </c>
      <c r="X3376" s="568">
        <v>10000</v>
      </c>
      <c r="Y3376" s="569">
        <v>12</v>
      </c>
      <c r="Z3376" s="581" t="s">
        <v>5870</v>
      </c>
      <c r="AA3376" s="581" t="s">
        <v>5870</v>
      </c>
      <c r="AB3376" s="585">
        <v>43465</v>
      </c>
      <c r="AC3376" s="585" t="s">
        <v>164</v>
      </c>
      <c r="AD3376" s="585">
        <v>36256</v>
      </c>
      <c r="AE3376" s="587">
        <v>6.25E-2</v>
      </c>
      <c r="AF3376" s="661" t="str">
        <f t="shared" si="367"/>
        <v>2019-LTK-RAM-RM3C-010-04</v>
      </c>
      <c r="AG3376" s="661" t="str">
        <f>IF(AND($Y3376&gt;=32,(AI3376="I"),(Y3376&lt;&gt;"~"),(COUNTIF($AN$1:$AN3376,$AN3376)=1)),"TRUE","FALSE")</f>
        <v>FALSE</v>
      </c>
      <c r="AH3376" s="661" t="str">
        <f>IF(AND($Y3376&gt;=22, (AI3376&lt;&gt;"I"),(Y3376&lt;&gt;"~"),(COUNTIF($AN$1:$AN3376,$AN3376)=1)),"TRUE","FALSE")</f>
        <v>FALSE</v>
      </c>
      <c r="AI3376" s="661" t="str">
        <f t="shared" si="369"/>
        <v>II</v>
      </c>
      <c r="AJ3376" s="662" t="str">
        <f t="shared" si="363"/>
        <v>RM3C-010</v>
      </c>
      <c r="AK3376" s="662" t="str">
        <f t="shared" si="364"/>
        <v>LTK</v>
      </c>
      <c r="AL3376" s="662" t="str">
        <f t="shared" si="365"/>
        <v>RAM</v>
      </c>
      <c r="AM3376" s="662" t="str">
        <f t="shared" si="368"/>
        <v>Ram 3500 Chassis Cab-Tradesman Crew Cab 10K-4WD-6-CA 60"-17810-6.4L Hemi-8-DF8L93-27A AISIN-172.4-22-UNLEADED-UNLEADED</v>
      </c>
      <c r="AN3376" s="662" t="str">
        <f t="shared" si="366"/>
        <v>2019-LTK-RAM-RM3C-010</v>
      </c>
    </row>
    <row r="3377" spans="1:40" ht="30">
      <c r="A3377" s="570" t="s">
        <v>6011</v>
      </c>
      <c r="B3377" s="573" t="s">
        <v>6012</v>
      </c>
      <c r="C3377" s="573" t="s">
        <v>226</v>
      </c>
      <c r="D3377" s="578" t="s">
        <v>227</v>
      </c>
      <c r="E3377" s="573" t="s">
        <v>3374</v>
      </c>
      <c r="F3377" s="573" t="s">
        <v>1684</v>
      </c>
      <c r="G3377" s="573" t="s">
        <v>3265</v>
      </c>
      <c r="H3377" s="573">
        <v>2019</v>
      </c>
      <c r="I3377" s="573" t="s">
        <v>5949</v>
      </c>
      <c r="J3377" s="573" t="s">
        <v>5481</v>
      </c>
      <c r="K3377" s="573" t="s">
        <v>3377</v>
      </c>
      <c r="L3377" s="573">
        <v>3</v>
      </c>
      <c r="M3377" s="573">
        <v>0</v>
      </c>
      <c r="N3377" s="573" t="s">
        <v>157</v>
      </c>
      <c r="O3377" s="573">
        <v>1</v>
      </c>
      <c r="P3377" s="573" t="s">
        <v>5988</v>
      </c>
      <c r="Q3377" s="571">
        <v>17570</v>
      </c>
      <c r="R3377" s="573" t="s">
        <v>5873</v>
      </c>
      <c r="S3377" s="573">
        <v>8</v>
      </c>
      <c r="T3377" s="573" t="s">
        <v>5967</v>
      </c>
      <c r="U3377" s="573" t="s">
        <v>5997</v>
      </c>
      <c r="V3377" s="573">
        <v>143.5</v>
      </c>
      <c r="W3377" s="573">
        <v>52</v>
      </c>
      <c r="X3377" s="571">
        <v>13500</v>
      </c>
      <c r="Y3377" s="569" t="s">
        <v>164</v>
      </c>
      <c r="Z3377" s="579" t="s">
        <v>5870</v>
      </c>
      <c r="AA3377" s="579" t="s">
        <v>5870</v>
      </c>
      <c r="AB3377" s="584">
        <v>36715</v>
      </c>
      <c r="AC3377" s="584" t="s">
        <v>164</v>
      </c>
      <c r="AD3377" s="584">
        <v>29125</v>
      </c>
      <c r="AE3377" s="586">
        <v>6.25E-2</v>
      </c>
      <c r="AF3377" s="661" t="str">
        <f t="shared" si="367"/>
        <v>2019-LTK-RAM-RM3C-023-04</v>
      </c>
      <c r="AG3377" s="661" t="str">
        <f>IF(AND($Y3377&gt;=32,(AI3377="I"),(Y3377&lt;&gt;"~"),(COUNTIF($AN$1:$AN3377,$AN3377)=1)),"TRUE","FALSE")</f>
        <v>FALSE</v>
      </c>
      <c r="AH3377" s="661" t="str">
        <f>IF(AND($Y3377&gt;=22, (AI3377&lt;&gt;"I"),(Y3377&lt;&gt;"~"),(COUNTIF($AN$1:$AN3377,$AN3377)=1)),"TRUE","FALSE")</f>
        <v>TRUE</v>
      </c>
      <c r="AI3377" s="661" t="str">
        <f t="shared" si="369"/>
        <v>N/A</v>
      </c>
      <c r="AJ3377" s="662" t="str">
        <f t="shared" si="363"/>
        <v>RM3C-023</v>
      </c>
      <c r="AK3377" s="662" t="str">
        <f t="shared" si="364"/>
        <v>LTK</v>
      </c>
      <c r="AL3377" s="662" t="str">
        <f t="shared" si="365"/>
        <v>RAM</v>
      </c>
      <c r="AM3377" s="662" t="str">
        <f t="shared" si="368"/>
        <v>Ram 3500 Chassis Cab-Tradesman Regular Cab-2WD-3-CA 60"-17570-6.4L Hemi-8-DD3L63-27A AISIN-143.5-52-UNLEADED-UNLEADED</v>
      </c>
      <c r="AN3377" s="662" t="str">
        <f t="shared" si="366"/>
        <v>2019-LTK-RAM-RM3C-023</v>
      </c>
    </row>
    <row r="3378" spans="1:40" ht="30">
      <c r="A3378" s="570" t="s">
        <v>6013</v>
      </c>
      <c r="B3378" s="569" t="s">
        <v>6014</v>
      </c>
      <c r="C3378" s="569" t="s">
        <v>226</v>
      </c>
      <c r="D3378" s="580" t="s">
        <v>227</v>
      </c>
      <c r="E3378" s="569" t="s">
        <v>3374</v>
      </c>
      <c r="F3378" s="569" t="s">
        <v>1684</v>
      </c>
      <c r="G3378" s="569" t="s">
        <v>3265</v>
      </c>
      <c r="H3378" s="569">
        <v>2019</v>
      </c>
      <c r="I3378" s="569" t="s">
        <v>5949</v>
      </c>
      <c r="J3378" s="569" t="s">
        <v>5481</v>
      </c>
      <c r="K3378" s="569" t="s">
        <v>3377</v>
      </c>
      <c r="L3378" s="569">
        <v>3</v>
      </c>
      <c r="M3378" s="569">
        <v>0</v>
      </c>
      <c r="N3378" s="569" t="s">
        <v>157</v>
      </c>
      <c r="O3378" s="569">
        <v>1</v>
      </c>
      <c r="P3378" s="569" t="s">
        <v>5988</v>
      </c>
      <c r="Q3378" s="568">
        <v>17920</v>
      </c>
      <c r="R3378" s="569" t="s">
        <v>5873</v>
      </c>
      <c r="S3378" s="569">
        <v>8</v>
      </c>
      <c r="T3378" s="569" t="s">
        <v>5967</v>
      </c>
      <c r="U3378" s="569" t="s">
        <v>931</v>
      </c>
      <c r="V3378" s="569">
        <v>143.5</v>
      </c>
      <c r="W3378" s="569">
        <v>52</v>
      </c>
      <c r="X3378" s="568">
        <v>13500</v>
      </c>
      <c r="Y3378" s="569" t="s">
        <v>164</v>
      </c>
      <c r="Z3378" s="581" t="s">
        <v>5870</v>
      </c>
      <c r="AA3378" s="581" t="s">
        <v>5870</v>
      </c>
      <c r="AB3378" s="585">
        <v>35115</v>
      </c>
      <c r="AC3378" s="585" t="s">
        <v>164</v>
      </c>
      <c r="AD3378" s="585">
        <v>27675</v>
      </c>
      <c r="AE3378" s="587">
        <v>6.25E-2</v>
      </c>
      <c r="AF3378" s="661" t="str">
        <f t="shared" si="367"/>
        <v>2019-LTK-RAM-RM3C-024-04</v>
      </c>
      <c r="AG3378" s="661" t="str">
        <f>IF(AND($Y3378&gt;=32,(AI3378="I"),(Y3378&lt;&gt;"~"),(COUNTIF($AN$1:$AN3378,$AN3378)=1)),"TRUE","FALSE")</f>
        <v>FALSE</v>
      </c>
      <c r="AH3378" s="661" t="str">
        <f>IF(AND($Y3378&gt;=22, (AI3378&lt;&gt;"I"),(Y3378&lt;&gt;"~"),(COUNTIF($AN$1:$AN3378,$AN3378)=1)),"TRUE","FALSE")</f>
        <v>TRUE</v>
      </c>
      <c r="AI3378" s="661" t="str">
        <f t="shared" si="369"/>
        <v>N/A</v>
      </c>
      <c r="AJ3378" s="662" t="str">
        <f t="shared" si="363"/>
        <v>RM3C-024</v>
      </c>
      <c r="AK3378" s="662" t="str">
        <f t="shared" si="364"/>
        <v>LTK</v>
      </c>
      <c r="AL3378" s="662" t="str">
        <f t="shared" si="365"/>
        <v>RAM</v>
      </c>
      <c r="AM3378" s="662" t="str">
        <f t="shared" si="368"/>
        <v>Ram 3500 Chassis Cab-Tradesman Regular Cab-2WD-3-CA 60"-17920-6.4L Hemi-8-DD3L63-22A-143.5-52-UNLEADED-UNLEADED</v>
      </c>
      <c r="AN3378" s="662" t="str">
        <f t="shared" si="366"/>
        <v>2019-LTK-RAM-RM3C-024</v>
      </c>
    </row>
    <row r="3379" spans="1:40" ht="30">
      <c r="A3379" s="570" t="s">
        <v>6015</v>
      </c>
      <c r="B3379" s="573" t="s">
        <v>6016</v>
      </c>
      <c r="C3379" s="573" t="s">
        <v>226</v>
      </c>
      <c r="D3379" s="578" t="s">
        <v>227</v>
      </c>
      <c r="E3379" s="573" t="s">
        <v>3374</v>
      </c>
      <c r="F3379" s="573" t="s">
        <v>1684</v>
      </c>
      <c r="G3379" s="573" t="s">
        <v>3265</v>
      </c>
      <c r="H3379" s="573">
        <v>2019</v>
      </c>
      <c r="I3379" s="573" t="s">
        <v>5949</v>
      </c>
      <c r="J3379" s="573" t="s">
        <v>5481</v>
      </c>
      <c r="K3379" s="573" t="s">
        <v>3377</v>
      </c>
      <c r="L3379" s="573">
        <v>3</v>
      </c>
      <c r="M3379" s="573">
        <v>0</v>
      </c>
      <c r="N3379" s="573" t="s">
        <v>157</v>
      </c>
      <c r="O3379" s="573">
        <v>1</v>
      </c>
      <c r="P3379" s="573" t="s">
        <v>5988</v>
      </c>
      <c r="Q3379" s="571">
        <v>19270</v>
      </c>
      <c r="R3379" s="573" t="s">
        <v>4231</v>
      </c>
      <c r="S3379" s="573">
        <v>6</v>
      </c>
      <c r="T3379" s="573" t="s">
        <v>5967</v>
      </c>
      <c r="U3379" s="573" t="s">
        <v>5994</v>
      </c>
      <c r="V3379" s="573">
        <v>143.5</v>
      </c>
      <c r="W3379" s="573">
        <v>52</v>
      </c>
      <c r="X3379" s="571">
        <v>13500</v>
      </c>
      <c r="Y3379" s="569" t="s">
        <v>164</v>
      </c>
      <c r="Z3379" s="579" t="s">
        <v>728</v>
      </c>
      <c r="AA3379" s="579" t="s">
        <v>1523</v>
      </c>
      <c r="AB3379" s="584">
        <v>44060</v>
      </c>
      <c r="AC3379" s="584" t="s">
        <v>164</v>
      </c>
      <c r="AD3379" s="584">
        <v>35270</v>
      </c>
      <c r="AE3379" s="586">
        <v>6.25E-2</v>
      </c>
      <c r="AF3379" s="661" t="str">
        <f t="shared" si="367"/>
        <v>2019-LTK-RAM-RM3C-025-04</v>
      </c>
      <c r="AG3379" s="661" t="str">
        <f>IF(AND($Y3379&gt;=32,(AI3379="I"),(Y3379&lt;&gt;"~"),(COUNTIF($AN$1:$AN3379,$AN3379)=1)),"TRUE","FALSE")</f>
        <v>FALSE</v>
      </c>
      <c r="AH3379" s="661" t="str">
        <f>IF(AND($Y3379&gt;=22, (AI3379&lt;&gt;"I"),(Y3379&lt;&gt;"~"),(COUNTIF($AN$1:$AN3379,$AN3379)=1)),"TRUE","FALSE")</f>
        <v>TRUE</v>
      </c>
      <c r="AI3379" s="661" t="str">
        <f t="shared" si="369"/>
        <v>N/A</v>
      </c>
      <c r="AJ3379" s="662" t="str">
        <f t="shared" si="363"/>
        <v>RM3C-025</v>
      </c>
      <c r="AK3379" s="662" t="str">
        <f t="shared" si="364"/>
        <v>LTK</v>
      </c>
      <c r="AL3379" s="662" t="str">
        <f t="shared" si="365"/>
        <v>RAM</v>
      </c>
      <c r="AM3379" s="662" t="str">
        <f t="shared" si="368"/>
        <v>Ram 3500 Chassis Cab-Tradesman Regular Cab-2WD-3-CA 60"-19270-6.7L Diesel-6-DD3L63-29A AISIN-143.5-52-Diesel-BioDiesel</v>
      </c>
      <c r="AN3379" s="662" t="str">
        <f t="shared" si="366"/>
        <v>2019-LTK-RAM-RM3C-025</v>
      </c>
    </row>
    <row r="3380" spans="1:40" ht="30">
      <c r="A3380" s="570" t="s">
        <v>6017</v>
      </c>
      <c r="B3380" s="569" t="s">
        <v>6018</v>
      </c>
      <c r="C3380" s="569" t="s">
        <v>226</v>
      </c>
      <c r="D3380" s="580" t="s">
        <v>227</v>
      </c>
      <c r="E3380" s="569" t="s">
        <v>3374</v>
      </c>
      <c r="F3380" s="569" t="s">
        <v>1684</v>
      </c>
      <c r="G3380" s="569" t="s">
        <v>3265</v>
      </c>
      <c r="H3380" s="569">
        <v>2019</v>
      </c>
      <c r="I3380" s="569" t="s">
        <v>5949</v>
      </c>
      <c r="J3380" s="569" t="s">
        <v>5481</v>
      </c>
      <c r="K3380" s="569" t="s">
        <v>3377</v>
      </c>
      <c r="L3380" s="569">
        <v>3</v>
      </c>
      <c r="M3380" s="569">
        <v>0</v>
      </c>
      <c r="N3380" s="569" t="s">
        <v>157</v>
      </c>
      <c r="O3380" s="569">
        <v>1</v>
      </c>
      <c r="P3380" s="569" t="s">
        <v>6019</v>
      </c>
      <c r="Q3380" s="568">
        <v>17490</v>
      </c>
      <c r="R3380" s="569" t="s">
        <v>5873</v>
      </c>
      <c r="S3380" s="569">
        <v>8</v>
      </c>
      <c r="T3380" s="569" t="s">
        <v>5964</v>
      </c>
      <c r="U3380" s="569" t="s">
        <v>931</v>
      </c>
      <c r="V3380" s="569">
        <v>167.5</v>
      </c>
      <c r="W3380" s="569">
        <v>52</v>
      </c>
      <c r="X3380" s="568">
        <v>13500</v>
      </c>
      <c r="Y3380" s="569" t="s">
        <v>164</v>
      </c>
      <c r="Z3380" s="581" t="s">
        <v>5870</v>
      </c>
      <c r="AA3380" s="581" t="s">
        <v>5870</v>
      </c>
      <c r="AB3380" s="585">
        <v>35315</v>
      </c>
      <c r="AC3380" s="585" t="s">
        <v>164</v>
      </c>
      <c r="AD3380" s="585">
        <v>27851</v>
      </c>
      <c r="AE3380" s="587">
        <v>6.25E-2</v>
      </c>
      <c r="AF3380" s="661" t="str">
        <f t="shared" si="367"/>
        <v>2019-LTK-RAM-RM3C-026-04</v>
      </c>
      <c r="AG3380" s="661" t="str">
        <f>IF(AND($Y3380&gt;=32,(AI3380="I"),(Y3380&lt;&gt;"~"),(COUNTIF($AN$1:$AN3380,$AN3380)=1)),"TRUE","FALSE")</f>
        <v>FALSE</v>
      </c>
      <c r="AH3380" s="661" t="str">
        <f>IF(AND($Y3380&gt;=22, (AI3380&lt;&gt;"I"),(Y3380&lt;&gt;"~"),(COUNTIF($AN$1:$AN3380,$AN3380)=1)),"TRUE","FALSE")</f>
        <v>TRUE</v>
      </c>
      <c r="AI3380" s="661" t="str">
        <f t="shared" si="369"/>
        <v>N/A</v>
      </c>
      <c r="AJ3380" s="662" t="str">
        <f t="shared" si="363"/>
        <v>RM3C-026</v>
      </c>
      <c r="AK3380" s="662" t="str">
        <f t="shared" si="364"/>
        <v>LTK</v>
      </c>
      <c r="AL3380" s="662" t="str">
        <f t="shared" si="365"/>
        <v>RAM</v>
      </c>
      <c r="AM3380" s="662" t="str">
        <f t="shared" si="368"/>
        <v>Ram 3500 Chassis Cab-Tradesman Regular Cab-2WD-3-CA 84"-17490-6.4L Hemi-8-DD3L64-22A-167.5-52-UNLEADED-UNLEADED</v>
      </c>
      <c r="AN3380" s="662" t="str">
        <f t="shared" si="366"/>
        <v>2019-LTK-RAM-RM3C-026</v>
      </c>
    </row>
    <row r="3381" spans="1:40" ht="30">
      <c r="A3381" s="570" t="s">
        <v>6020</v>
      </c>
      <c r="B3381" s="573" t="s">
        <v>6021</v>
      </c>
      <c r="C3381" s="573" t="s">
        <v>226</v>
      </c>
      <c r="D3381" s="578" t="s">
        <v>227</v>
      </c>
      <c r="E3381" s="573" t="s">
        <v>3374</v>
      </c>
      <c r="F3381" s="573" t="s">
        <v>1684</v>
      </c>
      <c r="G3381" s="573" t="s">
        <v>3265</v>
      </c>
      <c r="H3381" s="573">
        <v>2019</v>
      </c>
      <c r="I3381" s="573" t="s">
        <v>5949</v>
      </c>
      <c r="J3381" s="573" t="s">
        <v>5481</v>
      </c>
      <c r="K3381" s="573" t="s">
        <v>3377</v>
      </c>
      <c r="L3381" s="573">
        <v>3</v>
      </c>
      <c r="M3381" s="573">
        <v>0</v>
      </c>
      <c r="N3381" s="573" t="s">
        <v>157</v>
      </c>
      <c r="O3381" s="573">
        <v>1</v>
      </c>
      <c r="P3381" s="573" t="s">
        <v>6019</v>
      </c>
      <c r="Q3381" s="571">
        <v>17620</v>
      </c>
      <c r="R3381" s="573" t="s">
        <v>5873</v>
      </c>
      <c r="S3381" s="573">
        <v>8</v>
      </c>
      <c r="T3381" s="573" t="s">
        <v>5964</v>
      </c>
      <c r="U3381" s="573" t="s">
        <v>5997</v>
      </c>
      <c r="V3381" s="573">
        <v>167.5</v>
      </c>
      <c r="W3381" s="573">
        <v>52</v>
      </c>
      <c r="X3381" s="571">
        <v>13500</v>
      </c>
      <c r="Y3381" s="569" t="s">
        <v>164</v>
      </c>
      <c r="Z3381" s="579" t="s">
        <v>5870</v>
      </c>
      <c r="AA3381" s="579" t="s">
        <v>5870</v>
      </c>
      <c r="AB3381" s="584">
        <v>36918</v>
      </c>
      <c r="AC3381" s="584" t="s">
        <v>164</v>
      </c>
      <c r="AD3381" s="584">
        <v>29302</v>
      </c>
      <c r="AE3381" s="586">
        <v>6.25E-2</v>
      </c>
      <c r="AF3381" s="661" t="str">
        <f t="shared" si="367"/>
        <v>2019-LTK-RAM-RM3C-027-04</v>
      </c>
      <c r="AG3381" s="661" t="str">
        <f>IF(AND($Y3381&gt;=32,(AI3381="I"),(Y3381&lt;&gt;"~"),(COUNTIF($AN$1:$AN3381,$AN3381)=1)),"TRUE","FALSE")</f>
        <v>FALSE</v>
      </c>
      <c r="AH3381" s="661" t="str">
        <f>IF(AND($Y3381&gt;=22, (AI3381&lt;&gt;"I"),(Y3381&lt;&gt;"~"),(COUNTIF($AN$1:$AN3381,$AN3381)=1)),"TRUE","FALSE")</f>
        <v>TRUE</v>
      </c>
      <c r="AI3381" s="661" t="str">
        <f t="shared" si="369"/>
        <v>N/A</v>
      </c>
      <c r="AJ3381" s="662" t="str">
        <f t="shared" si="363"/>
        <v>RM3C-027</v>
      </c>
      <c r="AK3381" s="662" t="str">
        <f t="shared" si="364"/>
        <v>LTK</v>
      </c>
      <c r="AL3381" s="662" t="str">
        <f t="shared" si="365"/>
        <v>RAM</v>
      </c>
      <c r="AM3381" s="662" t="str">
        <f t="shared" si="368"/>
        <v>Ram 3500 Chassis Cab-Tradesman Regular Cab-2WD-3-CA 84"-17620-6.4L Hemi-8-DD3L64-27A AISIN-167.5-52-UNLEADED-UNLEADED</v>
      </c>
      <c r="AN3381" s="662" t="str">
        <f t="shared" si="366"/>
        <v>2019-LTK-RAM-RM3C-027</v>
      </c>
    </row>
    <row r="3382" spans="1:40" ht="30">
      <c r="A3382" s="570" t="s">
        <v>6022</v>
      </c>
      <c r="B3382" s="569" t="s">
        <v>6023</v>
      </c>
      <c r="C3382" s="569" t="s">
        <v>226</v>
      </c>
      <c r="D3382" s="580" t="s">
        <v>227</v>
      </c>
      <c r="E3382" s="569" t="s">
        <v>3374</v>
      </c>
      <c r="F3382" s="569" t="s">
        <v>1684</v>
      </c>
      <c r="G3382" s="569" t="s">
        <v>3265</v>
      </c>
      <c r="H3382" s="569">
        <v>2019</v>
      </c>
      <c r="I3382" s="569" t="s">
        <v>5949</v>
      </c>
      <c r="J3382" s="569" t="s">
        <v>5481</v>
      </c>
      <c r="K3382" s="569" t="s">
        <v>3377</v>
      </c>
      <c r="L3382" s="569">
        <v>3</v>
      </c>
      <c r="M3382" s="569">
        <v>0</v>
      </c>
      <c r="N3382" s="569" t="s">
        <v>157</v>
      </c>
      <c r="O3382" s="569">
        <v>1</v>
      </c>
      <c r="P3382" s="569" t="s">
        <v>6019</v>
      </c>
      <c r="Q3382" s="568">
        <v>23840</v>
      </c>
      <c r="R3382" s="569" t="s">
        <v>4231</v>
      </c>
      <c r="S3382" s="569">
        <v>6</v>
      </c>
      <c r="T3382" s="569" t="s">
        <v>5964</v>
      </c>
      <c r="U3382" s="569" t="s">
        <v>5994</v>
      </c>
      <c r="V3382" s="569">
        <v>167.5</v>
      </c>
      <c r="W3382" s="569">
        <v>52</v>
      </c>
      <c r="X3382" s="568">
        <v>13500</v>
      </c>
      <c r="Y3382" s="569" t="s">
        <v>164</v>
      </c>
      <c r="Z3382" s="581" t="s">
        <v>728</v>
      </c>
      <c r="AA3382" s="581" t="s">
        <v>1523</v>
      </c>
      <c r="AB3382" s="585">
        <v>44260</v>
      </c>
      <c r="AC3382" s="585" t="s">
        <v>164</v>
      </c>
      <c r="AD3382" s="585">
        <v>35436</v>
      </c>
      <c r="AE3382" s="587">
        <v>6.25E-2</v>
      </c>
      <c r="AF3382" s="661" t="str">
        <f t="shared" si="367"/>
        <v>2019-LTK-RAM-RM3C-028-04</v>
      </c>
      <c r="AG3382" s="661" t="str">
        <f>IF(AND($Y3382&gt;=32,(AI3382="I"),(Y3382&lt;&gt;"~"),(COUNTIF($AN$1:$AN3382,$AN3382)=1)),"TRUE","FALSE")</f>
        <v>FALSE</v>
      </c>
      <c r="AH3382" s="661" t="str">
        <f>IF(AND($Y3382&gt;=22, (AI3382&lt;&gt;"I"),(Y3382&lt;&gt;"~"),(COUNTIF($AN$1:$AN3382,$AN3382)=1)),"TRUE","FALSE")</f>
        <v>TRUE</v>
      </c>
      <c r="AI3382" s="661" t="str">
        <f t="shared" si="369"/>
        <v>N/A</v>
      </c>
      <c r="AJ3382" s="662" t="str">
        <f t="shared" si="363"/>
        <v>RM3C-028</v>
      </c>
      <c r="AK3382" s="662" t="str">
        <f t="shared" si="364"/>
        <v>LTK</v>
      </c>
      <c r="AL3382" s="662" t="str">
        <f t="shared" si="365"/>
        <v>RAM</v>
      </c>
      <c r="AM3382" s="662" t="str">
        <f t="shared" si="368"/>
        <v>Ram 3500 Chassis Cab-Tradesman Regular Cab-2WD-3-CA 84"-23840-6.7L Diesel-6-DD3L64-29A AISIN-167.5-52-Diesel-BioDiesel</v>
      </c>
      <c r="AN3382" s="662" t="str">
        <f t="shared" si="366"/>
        <v>2019-LTK-RAM-RM3C-028</v>
      </c>
    </row>
    <row r="3383" spans="1:40" ht="30">
      <c r="A3383" s="570" t="s">
        <v>6024</v>
      </c>
      <c r="B3383" s="573" t="s">
        <v>6025</v>
      </c>
      <c r="C3383" s="573" t="s">
        <v>226</v>
      </c>
      <c r="D3383" s="578" t="s">
        <v>227</v>
      </c>
      <c r="E3383" s="573" t="s">
        <v>3374</v>
      </c>
      <c r="F3383" s="573" t="s">
        <v>1684</v>
      </c>
      <c r="G3383" s="573" t="s">
        <v>3265</v>
      </c>
      <c r="H3383" s="573">
        <v>2019</v>
      </c>
      <c r="I3383" s="573" t="s">
        <v>5949</v>
      </c>
      <c r="J3383" s="573" t="s">
        <v>5481</v>
      </c>
      <c r="K3383" s="573" t="s">
        <v>752</v>
      </c>
      <c r="L3383" s="573">
        <v>3</v>
      </c>
      <c r="M3383" s="573">
        <v>0</v>
      </c>
      <c r="N3383" s="573" t="s">
        <v>157</v>
      </c>
      <c r="O3383" s="573">
        <v>1</v>
      </c>
      <c r="P3383" s="573" t="s">
        <v>5988</v>
      </c>
      <c r="Q3383" s="571">
        <v>17330</v>
      </c>
      <c r="R3383" s="573" t="s">
        <v>5873</v>
      </c>
      <c r="S3383" s="573">
        <v>8</v>
      </c>
      <c r="T3383" s="573" t="s">
        <v>5979</v>
      </c>
      <c r="U3383" s="573" t="s">
        <v>931</v>
      </c>
      <c r="V3383" s="573">
        <v>143.5</v>
      </c>
      <c r="W3383" s="573">
        <v>52</v>
      </c>
      <c r="X3383" s="571">
        <v>13500</v>
      </c>
      <c r="Y3383" s="569" t="s">
        <v>164</v>
      </c>
      <c r="Z3383" s="579" t="s">
        <v>5870</v>
      </c>
      <c r="AA3383" s="579" t="s">
        <v>5870</v>
      </c>
      <c r="AB3383" s="584">
        <v>38365</v>
      </c>
      <c r="AC3383" s="584" t="s">
        <v>164</v>
      </c>
      <c r="AD3383" s="584">
        <v>29609</v>
      </c>
      <c r="AE3383" s="586">
        <v>6.25E-2</v>
      </c>
      <c r="AF3383" s="661" t="str">
        <f t="shared" si="367"/>
        <v>2019-LTK-RAM-RM3C-029-04</v>
      </c>
      <c r="AG3383" s="661" t="str">
        <f>IF(AND($Y3383&gt;=32,(AI3383="I"),(Y3383&lt;&gt;"~"),(COUNTIF($AN$1:$AN3383,$AN3383)=1)),"TRUE","FALSE")</f>
        <v>FALSE</v>
      </c>
      <c r="AH3383" s="661" t="str">
        <f>IF(AND($Y3383&gt;=22, (AI3383&lt;&gt;"I"),(Y3383&lt;&gt;"~"),(COUNTIF($AN$1:$AN3383,$AN3383)=1)),"TRUE","FALSE")</f>
        <v>TRUE</v>
      </c>
      <c r="AI3383" s="661" t="str">
        <f t="shared" si="369"/>
        <v>N/A</v>
      </c>
      <c r="AJ3383" s="662" t="str">
        <f t="shared" si="363"/>
        <v>RM3C-029</v>
      </c>
      <c r="AK3383" s="662" t="str">
        <f t="shared" si="364"/>
        <v>LTK</v>
      </c>
      <c r="AL3383" s="662" t="str">
        <f t="shared" si="365"/>
        <v>RAM</v>
      </c>
      <c r="AM3383" s="662" t="str">
        <f t="shared" si="368"/>
        <v>Ram 3500 Chassis Cab-Tradesman Regular Cab-4WD-3-CA 60"-17330-6.4L Hemi-8-DD8L63-22A-143.5-52-UNLEADED-UNLEADED</v>
      </c>
      <c r="AN3383" s="662" t="str">
        <f t="shared" si="366"/>
        <v>2019-LTK-RAM-RM3C-029</v>
      </c>
    </row>
    <row r="3384" spans="1:40" ht="30">
      <c r="A3384" s="570" t="s">
        <v>6026</v>
      </c>
      <c r="B3384" s="569" t="s">
        <v>6027</v>
      </c>
      <c r="C3384" s="569" t="s">
        <v>226</v>
      </c>
      <c r="D3384" s="580" t="s">
        <v>227</v>
      </c>
      <c r="E3384" s="569" t="s">
        <v>3374</v>
      </c>
      <c r="F3384" s="569" t="s">
        <v>1684</v>
      </c>
      <c r="G3384" s="569" t="s">
        <v>3265</v>
      </c>
      <c r="H3384" s="569">
        <v>2019</v>
      </c>
      <c r="I3384" s="569" t="s">
        <v>5949</v>
      </c>
      <c r="J3384" s="569" t="s">
        <v>5481</v>
      </c>
      <c r="K3384" s="569" t="s">
        <v>752</v>
      </c>
      <c r="L3384" s="569">
        <v>3</v>
      </c>
      <c r="M3384" s="569">
        <v>0</v>
      </c>
      <c r="N3384" s="569" t="s">
        <v>157</v>
      </c>
      <c r="O3384" s="569">
        <v>1</v>
      </c>
      <c r="P3384" s="569" t="s">
        <v>5988</v>
      </c>
      <c r="Q3384" s="568">
        <v>17800</v>
      </c>
      <c r="R3384" s="569" t="s">
        <v>5873</v>
      </c>
      <c r="S3384" s="569">
        <v>8</v>
      </c>
      <c r="T3384" s="569" t="s">
        <v>5979</v>
      </c>
      <c r="U3384" s="569" t="s">
        <v>5997</v>
      </c>
      <c r="V3384" s="569">
        <v>143.5</v>
      </c>
      <c r="W3384" s="569">
        <v>52</v>
      </c>
      <c r="X3384" s="568">
        <v>13500</v>
      </c>
      <c r="Y3384" s="569" t="s">
        <v>164</v>
      </c>
      <c r="Z3384" s="581" t="s">
        <v>5870</v>
      </c>
      <c r="AA3384" s="581" t="s">
        <v>5870</v>
      </c>
      <c r="AB3384" s="585">
        <v>39965</v>
      </c>
      <c r="AC3384" s="585" t="s">
        <v>164</v>
      </c>
      <c r="AD3384" s="585">
        <v>31059</v>
      </c>
      <c r="AE3384" s="587">
        <v>6.25E-2</v>
      </c>
      <c r="AF3384" s="661" t="str">
        <f t="shared" si="367"/>
        <v>2019-LTK-RAM-RM3C-030-04</v>
      </c>
      <c r="AG3384" s="661" t="str">
        <f>IF(AND($Y3384&gt;=32,(AI3384="I"),(Y3384&lt;&gt;"~"),(COUNTIF($AN$1:$AN3384,$AN3384)=1)),"TRUE","FALSE")</f>
        <v>FALSE</v>
      </c>
      <c r="AH3384" s="661" t="str">
        <f>IF(AND($Y3384&gt;=22, (AI3384&lt;&gt;"I"),(Y3384&lt;&gt;"~"),(COUNTIF($AN$1:$AN3384,$AN3384)=1)),"TRUE","FALSE")</f>
        <v>TRUE</v>
      </c>
      <c r="AI3384" s="661" t="str">
        <f t="shared" si="369"/>
        <v>N/A</v>
      </c>
      <c r="AJ3384" s="662" t="str">
        <f t="shared" si="363"/>
        <v>RM3C-030</v>
      </c>
      <c r="AK3384" s="662" t="str">
        <f t="shared" si="364"/>
        <v>LTK</v>
      </c>
      <c r="AL3384" s="662" t="str">
        <f t="shared" si="365"/>
        <v>RAM</v>
      </c>
      <c r="AM3384" s="662" t="str">
        <f t="shared" si="368"/>
        <v>Ram 3500 Chassis Cab-Tradesman Regular Cab-4WD-3-CA 60"-17800-6.4L Hemi-8-DD8L63-27A AISIN-143.5-52-UNLEADED-UNLEADED</v>
      </c>
      <c r="AN3384" s="662" t="str">
        <f t="shared" si="366"/>
        <v>2019-LTK-RAM-RM3C-030</v>
      </c>
    </row>
    <row r="3385" spans="1:40" ht="30">
      <c r="A3385" s="570" t="s">
        <v>6028</v>
      </c>
      <c r="B3385" s="573" t="s">
        <v>6029</v>
      </c>
      <c r="C3385" s="573" t="s">
        <v>226</v>
      </c>
      <c r="D3385" s="578" t="s">
        <v>227</v>
      </c>
      <c r="E3385" s="573" t="s">
        <v>3374</v>
      </c>
      <c r="F3385" s="573" t="s">
        <v>1684</v>
      </c>
      <c r="G3385" s="573" t="s">
        <v>3265</v>
      </c>
      <c r="H3385" s="573">
        <v>2019</v>
      </c>
      <c r="I3385" s="573" t="s">
        <v>5949</v>
      </c>
      <c r="J3385" s="573" t="s">
        <v>5481</v>
      </c>
      <c r="K3385" s="573" t="s">
        <v>752</v>
      </c>
      <c r="L3385" s="573">
        <v>3</v>
      </c>
      <c r="M3385" s="573">
        <v>0</v>
      </c>
      <c r="N3385" s="573" t="s">
        <v>157</v>
      </c>
      <c r="O3385" s="573">
        <v>1</v>
      </c>
      <c r="P3385" s="573" t="s">
        <v>5988</v>
      </c>
      <c r="Q3385" s="571">
        <v>19030</v>
      </c>
      <c r="R3385" s="573" t="s">
        <v>4231</v>
      </c>
      <c r="S3385" s="573">
        <v>6</v>
      </c>
      <c r="T3385" s="573" t="s">
        <v>5979</v>
      </c>
      <c r="U3385" s="573" t="s">
        <v>5994</v>
      </c>
      <c r="V3385" s="573">
        <v>143.5</v>
      </c>
      <c r="W3385" s="573">
        <v>52</v>
      </c>
      <c r="X3385" s="571">
        <v>13500</v>
      </c>
      <c r="Y3385" s="569" t="s">
        <v>164</v>
      </c>
      <c r="Z3385" s="579" t="s">
        <v>728</v>
      </c>
      <c r="AA3385" s="579" t="s">
        <v>1523</v>
      </c>
      <c r="AB3385" s="584">
        <v>47310</v>
      </c>
      <c r="AC3385" s="584" t="s">
        <v>164</v>
      </c>
      <c r="AD3385" s="584">
        <v>37718</v>
      </c>
      <c r="AE3385" s="586">
        <v>6.25E-2</v>
      </c>
      <c r="AF3385" s="661" t="str">
        <f t="shared" si="367"/>
        <v>2019-LTK-RAM-RM3C-031-04</v>
      </c>
      <c r="AG3385" s="661" t="str">
        <f>IF(AND($Y3385&gt;=32,(AI3385="I"),(Y3385&lt;&gt;"~"),(COUNTIF($AN$1:$AN3385,$AN3385)=1)),"TRUE","FALSE")</f>
        <v>FALSE</v>
      </c>
      <c r="AH3385" s="661" t="str">
        <f>IF(AND($Y3385&gt;=22, (AI3385&lt;&gt;"I"),(Y3385&lt;&gt;"~"),(COUNTIF($AN$1:$AN3385,$AN3385)=1)),"TRUE","FALSE")</f>
        <v>TRUE</v>
      </c>
      <c r="AI3385" s="661" t="str">
        <f t="shared" si="369"/>
        <v>N/A</v>
      </c>
      <c r="AJ3385" s="662" t="str">
        <f t="shared" si="363"/>
        <v>RM3C-031</v>
      </c>
      <c r="AK3385" s="662" t="str">
        <f t="shared" si="364"/>
        <v>LTK</v>
      </c>
      <c r="AL3385" s="662" t="str">
        <f t="shared" si="365"/>
        <v>RAM</v>
      </c>
      <c r="AM3385" s="662" t="str">
        <f t="shared" si="368"/>
        <v>Ram 3500 Chassis Cab-Tradesman Regular Cab-4WD-3-CA 60"-19030-6.7L Diesel-6-DD8L63-29A AISIN-143.5-52-Diesel-BioDiesel</v>
      </c>
      <c r="AN3385" s="662" t="str">
        <f t="shared" si="366"/>
        <v>2019-LTK-RAM-RM3C-031</v>
      </c>
    </row>
    <row r="3386" spans="1:40" ht="30">
      <c r="A3386" s="570" t="s">
        <v>6030</v>
      </c>
      <c r="B3386" s="569" t="s">
        <v>6031</v>
      </c>
      <c r="C3386" s="569" t="s">
        <v>226</v>
      </c>
      <c r="D3386" s="580" t="s">
        <v>227</v>
      </c>
      <c r="E3386" s="569" t="s">
        <v>3374</v>
      </c>
      <c r="F3386" s="569" t="s">
        <v>1684</v>
      </c>
      <c r="G3386" s="569" t="s">
        <v>3265</v>
      </c>
      <c r="H3386" s="569">
        <v>2019</v>
      </c>
      <c r="I3386" s="569" t="s">
        <v>5949</v>
      </c>
      <c r="J3386" s="569" t="s">
        <v>5481</v>
      </c>
      <c r="K3386" s="569" t="s">
        <v>752</v>
      </c>
      <c r="L3386" s="569">
        <v>3</v>
      </c>
      <c r="M3386" s="569">
        <v>0</v>
      </c>
      <c r="N3386" s="569" t="s">
        <v>157</v>
      </c>
      <c r="O3386" s="569">
        <v>1</v>
      </c>
      <c r="P3386" s="569" t="s">
        <v>6019</v>
      </c>
      <c r="Q3386" s="568">
        <v>17200</v>
      </c>
      <c r="R3386" s="569" t="s">
        <v>5873</v>
      </c>
      <c r="S3386" s="569">
        <v>8</v>
      </c>
      <c r="T3386" s="569" t="s">
        <v>5976</v>
      </c>
      <c r="U3386" s="569" t="s">
        <v>931</v>
      </c>
      <c r="V3386" s="569">
        <v>167.5</v>
      </c>
      <c r="W3386" s="569">
        <v>52</v>
      </c>
      <c r="X3386" s="568">
        <v>13500</v>
      </c>
      <c r="Y3386" s="569" t="s">
        <v>164</v>
      </c>
      <c r="Z3386" s="581" t="s">
        <v>5870</v>
      </c>
      <c r="AA3386" s="581" t="s">
        <v>5870</v>
      </c>
      <c r="AB3386" s="585">
        <v>38565</v>
      </c>
      <c r="AC3386" s="585" t="s">
        <v>164</v>
      </c>
      <c r="AD3386" s="585">
        <v>29784</v>
      </c>
      <c r="AE3386" s="587">
        <v>6.25E-2</v>
      </c>
      <c r="AF3386" s="661" t="str">
        <f t="shared" si="367"/>
        <v>2019-LTK-RAM-RM3C-032-04</v>
      </c>
      <c r="AG3386" s="661" t="str">
        <f>IF(AND($Y3386&gt;=32,(AI3386="I"),(Y3386&lt;&gt;"~"),(COUNTIF($AN$1:$AN3386,$AN3386)=1)),"TRUE","FALSE")</f>
        <v>FALSE</v>
      </c>
      <c r="AH3386" s="661" t="str">
        <f>IF(AND($Y3386&gt;=22, (AI3386&lt;&gt;"I"),(Y3386&lt;&gt;"~"),(COUNTIF($AN$1:$AN3386,$AN3386)=1)),"TRUE","FALSE")</f>
        <v>TRUE</v>
      </c>
      <c r="AI3386" s="661" t="str">
        <f t="shared" si="369"/>
        <v>N/A</v>
      </c>
      <c r="AJ3386" s="662" t="str">
        <f t="shared" si="363"/>
        <v>RM3C-032</v>
      </c>
      <c r="AK3386" s="662" t="str">
        <f t="shared" si="364"/>
        <v>LTK</v>
      </c>
      <c r="AL3386" s="662" t="str">
        <f t="shared" si="365"/>
        <v>RAM</v>
      </c>
      <c r="AM3386" s="662" t="str">
        <f t="shared" si="368"/>
        <v>Ram 3500 Chassis Cab-Tradesman Regular Cab-4WD-3-CA 84"-17200-6.4L Hemi-8-DD8L64-22A-167.5-52-UNLEADED-UNLEADED</v>
      </c>
      <c r="AN3386" s="662" t="str">
        <f t="shared" si="366"/>
        <v>2019-LTK-RAM-RM3C-032</v>
      </c>
    </row>
    <row r="3387" spans="1:40" ht="30">
      <c r="A3387" s="570" t="s">
        <v>6032</v>
      </c>
      <c r="B3387" s="573" t="s">
        <v>6033</v>
      </c>
      <c r="C3387" s="573" t="s">
        <v>226</v>
      </c>
      <c r="D3387" s="578" t="s">
        <v>227</v>
      </c>
      <c r="E3387" s="573" t="s">
        <v>3374</v>
      </c>
      <c r="F3387" s="573" t="s">
        <v>1684</v>
      </c>
      <c r="G3387" s="573" t="s">
        <v>3265</v>
      </c>
      <c r="H3387" s="573">
        <v>2019</v>
      </c>
      <c r="I3387" s="573" t="s">
        <v>5949</v>
      </c>
      <c r="J3387" s="573" t="s">
        <v>5481</v>
      </c>
      <c r="K3387" s="573" t="s">
        <v>752</v>
      </c>
      <c r="L3387" s="573">
        <v>3</v>
      </c>
      <c r="M3387" s="573">
        <v>0</v>
      </c>
      <c r="N3387" s="573" t="s">
        <v>157</v>
      </c>
      <c r="O3387" s="573">
        <v>1</v>
      </c>
      <c r="P3387" s="573" t="s">
        <v>6019</v>
      </c>
      <c r="Q3387" s="571">
        <v>17330</v>
      </c>
      <c r="R3387" s="573" t="s">
        <v>5873</v>
      </c>
      <c r="S3387" s="573">
        <v>8</v>
      </c>
      <c r="T3387" s="573" t="s">
        <v>5976</v>
      </c>
      <c r="U3387" s="573" t="s">
        <v>5997</v>
      </c>
      <c r="V3387" s="573">
        <v>167.5</v>
      </c>
      <c r="W3387" s="573">
        <v>52</v>
      </c>
      <c r="X3387" s="571">
        <v>13500</v>
      </c>
      <c r="Y3387" s="569" t="s">
        <v>164</v>
      </c>
      <c r="Z3387" s="579" t="s">
        <v>5870</v>
      </c>
      <c r="AA3387" s="579" t="s">
        <v>5870</v>
      </c>
      <c r="AB3387" s="584">
        <v>40165</v>
      </c>
      <c r="AC3387" s="584" t="s">
        <v>164</v>
      </c>
      <c r="AD3387" s="584">
        <v>31235</v>
      </c>
      <c r="AE3387" s="586">
        <v>6.25E-2</v>
      </c>
      <c r="AF3387" s="661" t="str">
        <f t="shared" si="367"/>
        <v>2019-LTK-RAM-RM3C-033-04</v>
      </c>
      <c r="AG3387" s="661" t="str">
        <f>IF(AND($Y3387&gt;=32,(AI3387="I"),(Y3387&lt;&gt;"~"),(COUNTIF($AN$1:$AN3387,$AN3387)=1)),"TRUE","FALSE")</f>
        <v>FALSE</v>
      </c>
      <c r="AH3387" s="661" t="str">
        <f>IF(AND($Y3387&gt;=22, (AI3387&lt;&gt;"I"),(Y3387&lt;&gt;"~"),(COUNTIF($AN$1:$AN3387,$AN3387)=1)),"TRUE","FALSE")</f>
        <v>TRUE</v>
      </c>
      <c r="AI3387" s="661" t="str">
        <f t="shared" si="369"/>
        <v>N/A</v>
      </c>
      <c r="AJ3387" s="662" t="str">
        <f t="shared" si="363"/>
        <v>RM3C-033</v>
      </c>
      <c r="AK3387" s="662" t="str">
        <f t="shared" si="364"/>
        <v>LTK</v>
      </c>
      <c r="AL3387" s="662" t="str">
        <f t="shared" si="365"/>
        <v>RAM</v>
      </c>
      <c r="AM3387" s="662" t="str">
        <f t="shared" si="368"/>
        <v>Ram 3500 Chassis Cab-Tradesman Regular Cab-4WD-3-CA 84"-17330-6.4L Hemi-8-DD8L64-27A AISIN-167.5-52-UNLEADED-UNLEADED</v>
      </c>
      <c r="AN3387" s="662" t="str">
        <f t="shared" si="366"/>
        <v>2019-LTK-RAM-RM3C-033</v>
      </c>
    </row>
    <row r="3388" spans="1:40" ht="30">
      <c r="A3388" s="570" t="s">
        <v>6034</v>
      </c>
      <c r="B3388" s="569" t="s">
        <v>6035</v>
      </c>
      <c r="C3388" s="569" t="s">
        <v>226</v>
      </c>
      <c r="D3388" s="580" t="s">
        <v>227</v>
      </c>
      <c r="E3388" s="569" t="s">
        <v>3374</v>
      </c>
      <c r="F3388" s="569" t="s">
        <v>1684</v>
      </c>
      <c r="G3388" s="569" t="s">
        <v>3265</v>
      </c>
      <c r="H3388" s="569">
        <v>2019</v>
      </c>
      <c r="I3388" s="569" t="s">
        <v>5949</v>
      </c>
      <c r="J3388" s="569" t="s">
        <v>5481</v>
      </c>
      <c r="K3388" s="569" t="s">
        <v>752</v>
      </c>
      <c r="L3388" s="569">
        <v>3</v>
      </c>
      <c r="M3388" s="569">
        <v>0</v>
      </c>
      <c r="N3388" s="569" t="s">
        <v>157</v>
      </c>
      <c r="O3388" s="569">
        <v>1</v>
      </c>
      <c r="P3388" s="569" t="s">
        <v>6019</v>
      </c>
      <c r="Q3388" s="568">
        <v>23560</v>
      </c>
      <c r="R3388" s="569" t="s">
        <v>4231</v>
      </c>
      <c r="S3388" s="569">
        <v>6</v>
      </c>
      <c r="T3388" s="569" t="s">
        <v>5976</v>
      </c>
      <c r="U3388" s="569" t="s">
        <v>5994</v>
      </c>
      <c r="V3388" s="569">
        <v>167.5</v>
      </c>
      <c r="W3388" s="569">
        <v>52</v>
      </c>
      <c r="X3388" s="568">
        <v>13500</v>
      </c>
      <c r="Y3388" s="569" t="s">
        <v>164</v>
      </c>
      <c r="Z3388" s="581" t="s">
        <v>728</v>
      </c>
      <c r="AA3388" s="581" t="s">
        <v>1523</v>
      </c>
      <c r="AB3388" s="585">
        <v>47510</v>
      </c>
      <c r="AC3388" s="585" t="s">
        <v>164</v>
      </c>
      <c r="AD3388" s="585">
        <v>37895</v>
      </c>
      <c r="AE3388" s="587">
        <v>6.25E-2</v>
      </c>
      <c r="AF3388" s="661" t="str">
        <f t="shared" si="367"/>
        <v>2019-LTK-RAM-RM3C-034-04</v>
      </c>
      <c r="AG3388" s="661" t="str">
        <f>IF(AND($Y3388&gt;=32,(AI3388="I"),(Y3388&lt;&gt;"~"),(COUNTIF($AN$1:$AN3388,$AN3388)=1)),"TRUE","FALSE")</f>
        <v>FALSE</v>
      </c>
      <c r="AH3388" s="661" t="str">
        <f>IF(AND($Y3388&gt;=22, (AI3388&lt;&gt;"I"),(Y3388&lt;&gt;"~"),(COUNTIF($AN$1:$AN3388,$AN3388)=1)),"TRUE","FALSE")</f>
        <v>TRUE</v>
      </c>
      <c r="AI3388" s="661" t="str">
        <f t="shared" si="369"/>
        <v>N/A</v>
      </c>
      <c r="AJ3388" s="662" t="str">
        <f t="shared" si="363"/>
        <v>RM3C-034</v>
      </c>
      <c r="AK3388" s="662" t="str">
        <f t="shared" si="364"/>
        <v>LTK</v>
      </c>
      <c r="AL3388" s="662" t="str">
        <f t="shared" si="365"/>
        <v>RAM</v>
      </c>
      <c r="AM3388" s="662" t="str">
        <f t="shared" si="368"/>
        <v>Ram 3500 Chassis Cab-Tradesman Regular Cab-4WD-3-CA 84"-23560-6.7L Diesel-6-DD8L64-29A AISIN-167.5-52-Diesel-BioDiesel</v>
      </c>
      <c r="AN3388" s="662" t="str">
        <f t="shared" si="366"/>
        <v>2019-LTK-RAM-RM3C-034</v>
      </c>
    </row>
    <row r="3389" spans="1:40" ht="30">
      <c r="A3389" s="570" t="s">
        <v>6036</v>
      </c>
      <c r="B3389" s="573" t="s">
        <v>6037</v>
      </c>
      <c r="C3389" s="573" t="s">
        <v>226</v>
      </c>
      <c r="D3389" s="578" t="s">
        <v>227</v>
      </c>
      <c r="E3389" s="573" t="s">
        <v>3374</v>
      </c>
      <c r="F3389" s="573" t="s">
        <v>1684</v>
      </c>
      <c r="G3389" s="573" t="s">
        <v>3265</v>
      </c>
      <c r="H3389" s="573">
        <v>2019</v>
      </c>
      <c r="I3389" s="573" t="s">
        <v>5949</v>
      </c>
      <c r="J3389" s="573" t="s">
        <v>6038</v>
      </c>
      <c r="K3389" s="573" t="s">
        <v>3377</v>
      </c>
      <c r="L3389" s="573">
        <v>3</v>
      </c>
      <c r="M3389" s="573">
        <v>0</v>
      </c>
      <c r="N3389" s="573" t="s">
        <v>157</v>
      </c>
      <c r="O3389" s="573">
        <v>1</v>
      </c>
      <c r="P3389" s="573" t="s">
        <v>5988</v>
      </c>
      <c r="Q3389" s="571">
        <v>17270</v>
      </c>
      <c r="R3389" s="573" t="s">
        <v>4231</v>
      </c>
      <c r="S3389" s="573">
        <v>6</v>
      </c>
      <c r="T3389" s="573" t="s">
        <v>5970</v>
      </c>
      <c r="U3389" s="573" t="s">
        <v>5994</v>
      </c>
      <c r="V3389" s="573">
        <v>143.5</v>
      </c>
      <c r="W3389" s="573">
        <v>22</v>
      </c>
      <c r="X3389" s="571">
        <v>10000</v>
      </c>
      <c r="Y3389" s="573">
        <v>13</v>
      </c>
      <c r="Z3389" s="579" t="s">
        <v>728</v>
      </c>
      <c r="AA3389" s="579" t="s">
        <v>1523</v>
      </c>
      <c r="AB3389" s="584">
        <v>43660</v>
      </c>
      <c r="AC3389" s="584" t="s">
        <v>164</v>
      </c>
      <c r="AD3389" s="584">
        <v>37442</v>
      </c>
      <c r="AE3389" s="586">
        <v>6.25E-2</v>
      </c>
      <c r="AF3389" s="661" t="str">
        <f t="shared" si="367"/>
        <v>2019-LTK-RAM-RM3C-017-04</v>
      </c>
      <c r="AG3389" s="661" t="str">
        <f>IF(AND($Y3389&gt;=32,(AI3389="I"),(Y3389&lt;&gt;"~"),(COUNTIF($AN$1:$AN3389,$AN3389)=1)),"TRUE","FALSE")</f>
        <v>FALSE</v>
      </c>
      <c r="AH3389" s="661" t="str">
        <f>IF(AND($Y3389&gt;=22, (AI3389&lt;&gt;"I"),(Y3389&lt;&gt;"~"),(COUNTIF($AN$1:$AN3389,$AN3389)=1)),"TRUE","FALSE")</f>
        <v>FALSE</v>
      </c>
      <c r="AI3389" s="661" t="str">
        <f t="shared" si="369"/>
        <v>II</v>
      </c>
      <c r="AJ3389" s="662" t="str">
        <f t="shared" si="363"/>
        <v>RM3C-017</v>
      </c>
      <c r="AK3389" s="662" t="str">
        <f t="shared" si="364"/>
        <v>LTK</v>
      </c>
      <c r="AL3389" s="662" t="str">
        <f t="shared" si="365"/>
        <v>RAM</v>
      </c>
      <c r="AM3389" s="662" t="str">
        <f t="shared" si="368"/>
        <v>Ram 3500 Chassis Cab-Tradesman Regular Cab 10K SRW-2WD-3-CA 60"-17270-6.7L Diesel-6-DF3L63-29A AISIN-143.5-22-Diesel-BioDiesel</v>
      </c>
      <c r="AN3389" s="662" t="str">
        <f t="shared" si="366"/>
        <v>2019-LTK-RAM-RM3C-017</v>
      </c>
    </row>
    <row r="3390" spans="1:40" ht="30">
      <c r="A3390" s="570" t="s">
        <v>6039</v>
      </c>
      <c r="B3390" s="569" t="s">
        <v>6040</v>
      </c>
      <c r="C3390" s="569" t="s">
        <v>226</v>
      </c>
      <c r="D3390" s="580" t="s">
        <v>227</v>
      </c>
      <c r="E3390" s="569" t="s">
        <v>3374</v>
      </c>
      <c r="F3390" s="569" t="s">
        <v>1684</v>
      </c>
      <c r="G3390" s="569" t="s">
        <v>3265</v>
      </c>
      <c r="H3390" s="569">
        <v>2019</v>
      </c>
      <c r="I3390" s="569" t="s">
        <v>5949</v>
      </c>
      <c r="J3390" s="569" t="s">
        <v>6038</v>
      </c>
      <c r="K3390" s="569" t="s">
        <v>3377</v>
      </c>
      <c r="L3390" s="569">
        <v>3</v>
      </c>
      <c r="M3390" s="569">
        <v>0</v>
      </c>
      <c r="N3390" s="569" t="s">
        <v>157</v>
      </c>
      <c r="O3390" s="569">
        <v>1</v>
      </c>
      <c r="P3390" s="569" t="s">
        <v>5988</v>
      </c>
      <c r="Q3390" s="568">
        <v>17920</v>
      </c>
      <c r="R3390" s="569" t="s">
        <v>5873</v>
      </c>
      <c r="S3390" s="569">
        <v>8</v>
      </c>
      <c r="T3390" s="569" t="s">
        <v>5970</v>
      </c>
      <c r="U3390" s="569" t="s">
        <v>931</v>
      </c>
      <c r="V3390" s="569">
        <v>143.5</v>
      </c>
      <c r="W3390" s="569">
        <v>22</v>
      </c>
      <c r="X3390" s="568">
        <v>10000</v>
      </c>
      <c r="Y3390" s="569">
        <v>13</v>
      </c>
      <c r="Z3390" s="581" t="s">
        <v>5870</v>
      </c>
      <c r="AA3390" s="581" t="s">
        <v>5870</v>
      </c>
      <c r="AB3390" s="585">
        <v>34715</v>
      </c>
      <c r="AC3390" s="585" t="s">
        <v>164</v>
      </c>
      <c r="AD3390" s="585">
        <v>29847</v>
      </c>
      <c r="AE3390" s="587">
        <v>6.25E-2</v>
      </c>
      <c r="AF3390" s="661" t="str">
        <f t="shared" si="367"/>
        <v>2019-LTK-RAM-RM3C-018-04</v>
      </c>
      <c r="AG3390" s="661" t="str">
        <f>IF(AND($Y3390&gt;=32,(AI3390="I"),(Y3390&lt;&gt;"~"),(COUNTIF($AN$1:$AN3390,$AN3390)=1)),"TRUE","FALSE")</f>
        <v>FALSE</v>
      </c>
      <c r="AH3390" s="661" t="str">
        <f>IF(AND($Y3390&gt;=22, (AI3390&lt;&gt;"I"),(Y3390&lt;&gt;"~"),(COUNTIF($AN$1:$AN3390,$AN3390)=1)),"TRUE","FALSE")</f>
        <v>FALSE</v>
      </c>
      <c r="AI3390" s="661" t="str">
        <f t="shared" si="369"/>
        <v>II</v>
      </c>
      <c r="AJ3390" s="662" t="str">
        <f t="shared" si="363"/>
        <v>RM3C-018</v>
      </c>
      <c r="AK3390" s="662" t="str">
        <f t="shared" si="364"/>
        <v>LTK</v>
      </c>
      <c r="AL3390" s="662" t="str">
        <f t="shared" si="365"/>
        <v>RAM</v>
      </c>
      <c r="AM3390" s="662" t="str">
        <f t="shared" si="368"/>
        <v>Ram 3500 Chassis Cab-Tradesman Regular Cab 10K SRW-2WD-3-CA 60"-17920-6.4L Hemi-8-DF3L63-22A-143.5-22-UNLEADED-UNLEADED</v>
      </c>
      <c r="AN3390" s="662" t="str">
        <f t="shared" si="366"/>
        <v>2019-LTK-RAM-RM3C-018</v>
      </c>
    </row>
    <row r="3391" spans="1:40" ht="30">
      <c r="A3391" s="570" t="s">
        <v>6041</v>
      </c>
      <c r="B3391" s="573" t="s">
        <v>6042</v>
      </c>
      <c r="C3391" s="573" t="s">
        <v>226</v>
      </c>
      <c r="D3391" s="578" t="s">
        <v>227</v>
      </c>
      <c r="E3391" s="573" t="s">
        <v>3374</v>
      </c>
      <c r="F3391" s="573" t="s">
        <v>1684</v>
      </c>
      <c r="G3391" s="573" t="s">
        <v>3265</v>
      </c>
      <c r="H3391" s="573">
        <v>2019</v>
      </c>
      <c r="I3391" s="573" t="s">
        <v>5949</v>
      </c>
      <c r="J3391" s="573" t="s">
        <v>6038</v>
      </c>
      <c r="K3391" s="573" t="s">
        <v>3377</v>
      </c>
      <c r="L3391" s="573">
        <v>3</v>
      </c>
      <c r="M3391" s="573">
        <v>0</v>
      </c>
      <c r="N3391" s="573" t="s">
        <v>157</v>
      </c>
      <c r="O3391" s="573">
        <v>1</v>
      </c>
      <c r="P3391" s="573" t="s">
        <v>5988</v>
      </c>
      <c r="Q3391" s="571">
        <v>18050</v>
      </c>
      <c r="R3391" s="573" t="s">
        <v>5873</v>
      </c>
      <c r="S3391" s="573">
        <v>8</v>
      </c>
      <c r="T3391" s="573" t="s">
        <v>5970</v>
      </c>
      <c r="U3391" s="573" t="s">
        <v>5997</v>
      </c>
      <c r="V3391" s="573">
        <v>143.5</v>
      </c>
      <c r="W3391" s="573">
        <v>22</v>
      </c>
      <c r="X3391" s="571">
        <v>10000</v>
      </c>
      <c r="Y3391" s="573">
        <v>13</v>
      </c>
      <c r="Z3391" s="579" t="s">
        <v>5870</v>
      </c>
      <c r="AA3391" s="579" t="s">
        <v>5870</v>
      </c>
      <c r="AB3391" s="584">
        <v>36315</v>
      </c>
      <c r="AC3391" s="584" t="s">
        <v>164</v>
      </c>
      <c r="AD3391" s="584">
        <v>31297</v>
      </c>
      <c r="AE3391" s="586">
        <v>6.25E-2</v>
      </c>
      <c r="AF3391" s="661" t="str">
        <f t="shared" si="367"/>
        <v>2019-LTK-RAM-RM3C-019-04</v>
      </c>
      <c r="AG3391" s="661" t="str">
        <f>IF(AND($Y3391&gt;=32,(AI3391="I"),(Y3391&lt;&gt;"~"),(COUNTIF($AN$1:$AN3391,$AN3391)=1)),"TRUE","FALSE")</f>
        <v>FALSE</v>
      </c>
      <c r="AH3391" s="661" t="str">
        <f>IF(AND($Y3391&gt;=22, (AI3391&lt;&gt;"I"),(Y3391&lt;&gt;"~"),(COUNTIF($AN$1:$AN3391,$AN3391)=1)),"TRUE","FALSE")</f>
        <v>FALSE</v>
      </c>
      <c r="AI3391" s="661" t="str">
        <f t="shared" si="369"/>
        <v>II</v>
      </c>
      <c r="AJ3391" s="662" t="str">
        <f t="shared" si="363"/>
        <v>RM3C-019</v>
      </c>
      <c r="AK3391" s="662" t="str">
        <f t="shared" si="364"/>
        <v>LTK</v>
      </c>
      <c r="AL3391" s="662" t="str">
        <f t="shared" si="365"/>
        <v>RAM</v>
      </c>
      <c r="AM3391" s="662" t="str">
        <f t="shared" si="368"/>
        <v>Ram 3500 Chassis Cab-Tradesman Regular Cab 10K SRW-2WD-3-CA 60"-18050-6.4L Hemi-8-DF3L63-27A AISIN-143.5-22-UNLEADED-UNLEADED</v>
      </c>
      <c r="AN3391" s="662" t="str">
        <f t="shared" si="366"/>
        <v>2019-LTK-RAM-RM3C-019</v>
      </c>
    </row>
    <row r="3392" spans="1:40" ht="30">
      <c r="A3392" s="570" t="s">
        <v>6043</v>
      </c>
      <c r="B3392" s="569" t="s">
        <v>6044</v>
      </c>
      <c r="C3392" s="569" t="s">
        <v>226</v>
      </c>
      <c r="D3392" s="580" t="s">
        <v>227</v>
      </c>
      <c r="E3392" s="569" t="s">
        <v>3374</v>
      </c>
      <c r="F3392" s="569" t="s">
        <v>1684</v>
      </c>
      <c r="G3392" s="569" t="s">
        <v>3265</v>
      </c>
      <c r="H3392" s="569">
        <v>2019</v>
      </c>
      <c r="I3392" s="569" t="s">
        <v>5949</v>
      </c>
      <c r="J3392" s="569" t="s">
        <v>6038</v>
      </c>
      <c r="K3392" s="569" t="s">
        <v>752</v>
      </c>
      <c r="L3392" s="569">
        <v>3</v>
      </c>
      <c r="M3392" s="569">
        <v>0</v>
      </c>
      <c r="N3392" s="569" t="s">
        <v>157</v>
      </c>
      <c r="O3392" s="569">
        <v>1</v>
      </c>
      <c r="P3392" s="569" t="s">
        <v>5988</v>
      </c>
      <c r="Q3392" s="568">
        <v>17030</v>
      </c>
      <c r="R3392" s="569" t="s">
        <v>4231</v>
      </c>
      <c r="S3392" s="569">
        <v>6</v>
      </c>
      <c r="T3392" s="569" t="s">
        <v>5982</v>
      </c>
      <c r="U3392" s="569" t="s">
        <v>5994</v>
      </c>
      <c r="V3392" s="569">
        <v>143.5</v>
      </c>
      <c r="W3392" s="569">
        <v>22</v>
      </c>
      <c r="X3392" s="568">
        <v>10000</v>
      </c>
      <c r="Y3392" s="569">
        <v>12</v>
      </c>
      <c r="Z3392" s="581" t="s">
        <v>728</v>
      </c>
      <c r="AA3392" s="581" t="s">
        <v>1523</v>
      </c>
      <c r="AB3392" s="585">
        <v>46910</v>
      </c>
      <c r="AC3392" s="585" t="s">
        <v>164</v>
      </c>
      <c r="AD3392" s="585">
        <v>39891</v>
      </c>
      <c r="AE3392" s="587">
        <v>6.25E-2</v>
      </c>
      <c r="AF3392" s="661" t="str">
        <f t="shared" si="367"/>
        <v>2019-LTK-RAM-RM3C-020-04</v>
      </c>
      <c r="AG3392" s="661" t="str">
        <f>IF(AND($Y3392&gt;=32,(AI3392="I"),(Y3392&lt;&gt;"~"),(COUNTIF($AN$1:$AN3392,$AN3392)=1)),"TRUE","FALSE")</f>
        <v>FALSE</v>
      </c>
      <c r="AH3392" s="661" t="str">
        <f>IF(AND($Y3392&gt;=22, (AI3392&lt;&gt;"I"),(Y3392&lt;&gt;"~"),(COUNTIF($AN$1:$AN3392,$AN3392)=1)),"TRUE","FALSE")</f>
        <v>FALSE</v>
      </c>
      <c r="AI3392" s="661" t="str">
        <f t="shared" si="369"/>
        <v>II</v>
      </c>
      <c r="AJ3392" s="662" t="str">
        <f t="shared" si="363"/>
        <v>RM3C-020</v>
      </c>
      <c r="AK3392" s="662" t="str">
        <f t="shared" si="364"/>
        <v>LTK</v>
      </c>
      <c r="AL3392" s="662" t="str">
        <f t="shared" si="365"/>
        <v>RAM</v>
      </c>
      <c r="AM3392" s="662" t="str">
        <f t="shared" si="368"/>
        <v>Ram 3500 Chassis Cab-Tradesman Regular Cab 10K SRW-4WD-3-CA 60"-17030-6.7L Diesel-6-DF8L63-29A AISIN-143.5-22-Diesel-BioDiesel</v>
      </c>
      <c r="AN3392" s="662" t="str">
        <f t="shared" si="366"/>
        <v>2019-LTK-RAM-RM3C-020</v>
      </c>
    </row>
    <row r="3393" spans="1:40" ht="30">
      <c r="A3393" s="570" t="s">
        <v>6045</v>
      </c>
      <c r="B3393" s="573" t="s">
        <v>6046</v>
      </c>
      <c r="C3393" s="573" t="s">
        <v>226</v>
      </c>
      <c r="D3393" s="578" t="s">
        <v>227</v>
      </c>
      <c r="E3393" s="573" t="s">
        <v>3374</v>
      </c>
      <c r="F3393" s="573" t="s">
        <v>1684</v>
      </c>
      <c r="G3393" s="573" t="s">
        <v>3265</v>
      </c>
      <c r="H3393" s="573">
        <v>2019</v>
      </c>
      <c r="I3393" s="573" t="s">
        <v>5949</v>
      </c>
      <c r="J3393" s="573" t="s">
        <v>6038</v>
      </c>
      <c r="K3393" s="573" t="s">
        <v>752</v>
      </c>
      <c r="L3393" s="573">
        <v>3</v>
      </c>
      <c r="M3393" s="573">
        <v>0</v>
      </c>
      <c r="N3393" s="573" t="s">
        <v>157</v>
      </c>
      <c r="O3393" s="573">
        <v>1</v>
      </c>
      <c r="P3393" s="573" t="s">
        <v>5988</v>
      </c>
      <c r="Q3393" s="571">
        <v>17680</v>
      </c>
      <c r="R3393" s="573" t="s">
        <v>5873</v>
      </c>
      <c r="S3393" s="573">
        <v>8</v>
      </c>
      <c r="T3393" s="573" t="s">
        <v>5982</v>
      </c>
      <c r="U3393" s="573" t="s">
        <v>931</v>
      </c>
      <c r="V3393" s="573">
        <v>143.5</v>
      </c>
      <c r="W3393" s="573">
        <v>22</v>
      </c>
      <c r="X3393" s="571">
        <v>10000</v>
      </c>
      <c r="Y3393" s="573">
        <v>12</v>
      </c>
      <c r="Z3393" s="579" t="s">
        <v>5870</v>
      </c>
      <c r="AA3393" s="579" t="s">
        <v>5870</v>
      </c>
      <c r="AB3393" s="584">
        <v>37965</v>
      </c>
      <c r="AC3393" s="584" t="s">
        <v>164</v>
      </c>
      <c r="AD3393" s="584">
        <v>31781</v>
      </c>
      <c r="AE3393" s="586">
        <v>6.25E-2</v>
      </c>
      <c r="AF3393" s="661" t="str">
        <f t="shared" si="367"/>
        <v>2019-LTK-RAM-RM3C-021-04</v>
      </c>
      <c r="AG3393" s="661" t="str">
        <f>IF(AND($Y3393&gt;=32,(AI3393="I"),(Y3393&lt;&gt;"~"),(COUNTIF($AN$1:$AN3393,$AN3393)=1)),"TRUE","FALSE")</f>
        <v>FALSE</v>
      </c>
      <c r="AH3393" s="661" t="str">
        <f>IF(AND($Y3393&gt;=22, (AI3393&lt;&gt;"I"),(Y3393&lt;&gt;"~"),(COUNTIF($AN$1:$AN3393,$AN3393)=1)),"TRUE","FALSE")</f>
        <v>FALSE</v>
      </c>
      <c r="AI3393" s="661" t="str">
        <f t="shared" si="369"/>
        <v>II</v>
      </c>
      <c r="AJ3393" s="662" t="str">
        <f t="shared" si="363"/>
        <v>RM3C-021</v>
      </c>
      <c r="AK3393" s="662" t="str">
        <f t="shared" si="364"/>
        <v>LTK</v>
      </c>
      <c r="AL3393" s="662" t="str">
        <f t="shared" si="365"/>
        <v>RAM</v>
      </c>
      <c r="AM3393" s="662" t="str">
        <f t="shared" si="368"/>
        <v>Ram 3500 Chassis Cab-Tradesman Regular Cab 10K SRW-4WD-3-CA 60"-17680-6.4L Hemi-8-DF8L63-22A-143.5-22-UNLEADED-UNLEADED</v>
      </c>
      <c r="AN3393" s="662" t="str">
        <f t="shared" si="366"/>
        <v>2019-LTK-RAM-RM3C-021</v>
      </c>
    </row>
    <row r="3394" spans="1:40" ht="30">
      <c r="A3394" s="570" t="s">
        <v>6047</v>
      </c>
      <c r="B3394" s="569" t="s">
        <v>6048</v>
      </c>
      <c r="C3394" s="569" t="s">
        <v>226</v>
      </c>
      <c r="D3394" s="580" t="s">
        <v>227</v>
      </c>
      <c r="E3394" s="569" t="s">
        <v>3374</v>
      </c>
      <c r="F3394" s="569" t="s">
        <v>1684</v>
      </c>
      <c r="G3394" s="569" t="s">
        <v>3265</v>
      </c>
      <c r="H3394" s="569">
        <v>2019</v>
      </c>
      <c r="I3394" s="569" t="s">
        <v>5949</v>
      </c>
      <c r="J3394" s="569" t="s">
        <v>6038</v>
      </c>
      <c r="K3394" s="569" t="s">
        <v>752</v>
      </c>
      <c r="L3394" s="569">
        <v>3</v>
      </c>
      <c r="M3394" s="569">
        <v>0</v>
      </c>
      <c r="N3394" s="569" t="s">
        <v>157</v>
      </c>
      <c r="O3394" s="569">
        <v>1</v>
      </c>
      <c r="P3394" s="569" t="s">
        <v>5988</v>
      </c>
      <c r="Q3394" s="568">
        <v>17810</v>
      </c>
      <c r="R3394" s="569" t="s">
        <v>5873</v>
      </c>
      <c r="S3394" s="569">
        <v>8</v>
      </c>
      <c r="T3394" s="569" t="s">
        <v>5982</v>
      </c>
      <c r="U3394" s="569" t="s">
        <v>5997</v>
      </c>
      <c r="V3394" s="569">
        <v>143.5</v>
      </c>
      <c r="W3394" s="569">
        <v>22</v>
      </c>
      <c r="X3394" s="568">
        <v>10000</v>
      </c>
      <c r="Y3394" s="569">
        <v>12</v>
      </c>
      <c r="Z3394" s="581" t="s">
        <v>5870</v>
      </c>
      <c r="AA3394" s="581" t="s">
        <v>5870</v>
      </c>
      <c r="AB3394" s="585">
        <v>39565</v>
      </c>
      <c r="AC3394" s="585" t="s">
        <v>164</v>
      </c>
      <c r="AD3394" s="585">
        <v>33232</v>
      </c>
      <c r="AE3394" s="587">
        <v>6.25E-2</v>
      </c>
      <c r="AF3394" s="661" t="str">
        <f t="shared" si="367"/>
        <v>2019-LTK-RAM-RM3C-022-04</v>
      </c>
      <c r="AG3394" s="661" t="str">
        <f>IF(AND($Y3394&gt;=32,(AI3394="I"),(Y3394&lt;&gt;"~"),(COUNTIF($AN$1:$AN3394,$AN3394)=1)),"TRUE","FALSE")</f>
        <v>FALSE</v>
      </c>
      <c r="AH3394" s="661" t="str">
        <f>IF(AND($Y3394&gt;=22, (AI3394&lt;&gt;"I"),(Y3394&lt;&gt;"~"),(COUNTIF($AN$1:$AN3394,$AN3394)=1)),"TRUE","FALSE")</f>
        <v>FALSE</v>
      </c>
      <c r="AI3394" s="661" t="str">
        <f t="shared" si="369"/>
        <v>II</v>
      </c>
      <c r="AJ3394" s="662" t="str">
        <f t="shared" si="363"/>
        <v>RM3C-022</v>
      </c>
      <c r="AK3394" s="662" t="str">
        <f t="shared" si="364"/>
        <v>LTK</v>
      </c>
      <c r="AL3394" s="662" t="str">
        <f t="shared" si="365"/>
        <v>RAM</v>
      </c>
      <c r="AM3394" s="662" t="str">
        <f t="shared" si="368"/>
        <v>Ram 3500 Chassis Cab-Tradesman Regular Cab 10K SRW-4WD-3-CA 60"-17810-6.4L Hemi-8-DF8L63-27A AISIN-143.5-22-UNLEADED-UNLEADED</v>
      </c>
      <c r="AN3394" s="662" t="str">
        <f t="shared" si="366"/>
        <v>2019-LTK-RAM-RM3C-022</v>
      </c>
    </row>
    <row r="3395" spans="1:40" ht="15">
      <c r="A3395" s="570" t="s">
        <v>6049</v>
      </c>
      <c r="B3395" s="573" t="s">
        <v>6050</v>
      </c>
      <c r="C3395" s="573" t="s">
        <v>605</v>
      </c>
      <c r="D3395" s="578">
        <v>12</v>
      </c>
      <c r="E3395" s="573" t="s">
        <v>3374</v>
      </c>
      <c r="F3395" s="573" t="s">
        <v>211</v>
      </c>
      <c r="G3395" s="573" t="s">
        <v>606</v>
      </c>
      <c r="H3395" s="573">
        <v>2019</v>
      </c>
      <c r="I3395" s="573" t="s">
        <v>6051</v>
      </c>
      <c r="J3395" s="573" t="s">
        <v>6052</v>
      </c>
      <c r="K3395" s="573" t="s">
        <v>3377</v>
      </c>
      <c r="L3395" s="573">
        <v>4</v>
      </c>
      <c r="M3395" s="573">
        <v>0</v>
      </c>
      <c r="N3395" s="573" t="s">
        <v>157</v>
      </c>
      <c r="O3395" s="573">
        <v>2</v>
      </c>
      <c r="P3395" s="573" t="s">
        <v>5240</v>
      </c>
      <c r="Q3395" s="571">
        <v>3500</v>
      </c>
      <c r="R3395" s="573" t="s">
        <v>1500</v>
      </c>
      <c r="S3395" s="573">
        <v>4</v>
      </c>
      <c r="T3395" s="573">
        <v>7162</v>
      </c>
      <c r="U3395" s="573" t="s">
        <v>609</v>
      </c>
      <c r="V3395" s="573">
        <v>127.4</v>
      </c>
      <c r="W3395" s="573">
        <v>21.1</v>
      </c>
      <c r="X3395" s="571">
        <v>5600</v>
      </c>
      <c r="Y3395" s="573">
        <v>21</v>
      </c>
      <c r="Z3395" s="579" t="s">
        <v>178</v>
      </c>
      <c r="AA3395" s="579" t="s">
        <v>178</v>
      </c>
      <c r="AB3395" s="584">
        <v>26645</v>
      </c>
      <c r="AC3395" s="584" t="s">
        <v>164</v>
      </c>
      <c r="AD3395" s="584">
        <v>25200</v>
      </c>
      <c r="AE3395" s="586">
        <v>0.05</v>
      </c>
      <c r="AF3395" s="661" t="str">
        <f t="shared" si="367"/>
        <v>2019-LTK-TOY-TCMA-001-12</v>
      </c>
      <c r="AG3395" s="661" t="str">
        <f>IF(AND($Y3395&gt;=32,(AI3395="I"),(Y3395&lt;&gt;"~"),(COUNTIF($AN$1:$AN3395,$AN3395)=1)),"TRUE","FALSE")</f>
        <v>FALSE</v>
      </c>
      <c r="AH3395" s="661" t="str">
        <f>IF(AND($Y3395&gt;=22, (AI3395&lt;&gt;"I"),(Y3395&lt;&gt;"~"),(COUNTIF($AN$1:$AN3395,$AN3395)=1)),"TRUE","FALSE")</f>
        <v>FALSE</v>
      </c>
      <c r="AI3395" s="661" t="str">
        <f t="shared" si="369"/>
        <v>II</v>
      </c>
      <c r="AJ3395" s="662" t="str">
        <f t="shared" ref="AJ3395:AJ3458" si="370">MID(A3395,14,8)</f>
        <v>TCMA-001</v>
      </c>
      <c r="AK3395" s="662" t="str">
        <f t="shared" ref="AK3395:AK3458" si="371">MID(A3395,6,3)</f>
        <v>LTK</v>
      </c>
      <c r="AL3395" s="662" t="str">
        <f t="shared" ref="AL3395:AL3458" si="372">MID(A3395,10,3)</f>
        <v>TOY</v>
      </c>
      <c r="AM3395" s="662" t="str">
        <f t="shared" si="368"/>
        <v>Tacoma-Access Cab SR-2WD-4-6'-3500-2.7L-4-7162-NA-127.4-21.1-Unleaded-Unleaded</v>
      </c>
      <c r="AN3395" s="662" t="str">
        <f t="shared" ref="AN3395:AN3458" si="373">LEFT(A3395,21)</f>
        <v>2019-LTK-TOY-TCMA-001</v>
      </c>
    </row>
    <row r="3396" spans="1:40" ht="15">
      <c r="A3396" s="570" t="s">
        <v>6053</v>
      </c>
      <c r="B3396" s="569" t="s">
        <v>6054</v>
      </c>
      <c r="C3396" s="569" t="s">
        <v>605</v>
      </c>
      <c r="D3396" s="580">
        <v>12</v>
      </c>
      <c r="E3396" s="569" t="s">
        <v>3374</v>
      </c>
      <c r="F3396" s="569" t="s">
        <v>211</v>
      </c>
      <c r="G3396" s="569" t="s">
        <v>606</v>
      </c>
      <c r="H3396" s="569">
        <v>2019</v>
      </c>
      <c r="I3396" s="569" t="s">
        <v>6051</v>
      </c>
      <c r="J3396" s="569" t="s">
        <v>6052</v>
      </c>
      <c r="K3396" s="569" t="s">
        <v>752</v>
      </c>
      <c r="L3396" s="569">
        <v>4</v>
      </c>
      <c r="M3396" s="569">
        <v>0</v>
      </c>
      <c r="N3396" s="569" t="s">
        <v>157</v>
      </c>
      <c r="O3396" s="569">
        <v>2</v>
      </c>
      <c r="P3396" s="569" t="s">
        <v>6055</v>
      </c>
      <c r="Q3396" s="568">
        <v>3500</v>
      </c>
      <c r="R3396" s="569" t="s">
        <v>1500</v>
      </c>
      <c r="S3396" s="569">
        <v>4</v>
      </c>
      <c r="T3396" s="569">
        <v>7514</v>
      </c>
      <c r="U3396" s="569" t="s">
        <v>609</v>
      </c>
      <c r="V3396" s="569">
        <v>127.4</v>
      </c>
      <c r="W3396" s="569">
        <v>21.1</v>
      </c>
      <c r="X3396" s="568">
        <v>5600</v>
      </c>
      <c r="Y3396" s="569">
        <v>20</v>
      </c>
      <c r="Z3396" s="581" t="s">
        <v>178</v>
      </c>
      <c r="AA3396" s="581" t="s">
        <v>178</v>
      </c>
      <c r="AB3396" s="585">
        <v>29720</v>
      </c>
      <c r="AC3396" s="585" t="s">
        <v>164</v>
      </c>
      <c r="AD3396" s="585">
        <v>28250</v>
      </c>
      <c r="AE3396" s="587">
        <v>0.05</v>
      </c>
      <c r="AF3396" s="661" t="str">
        <f t="shared" si="367"/>
        <v>2019-LTK-TOY-TCMA-002-12</v>
      </c>
      <c r="AG3396" s="661" t="str">
        <f>IF(AND($Y3396&gt;=32,(AI3396="I"),(Y3396&lt;&gt;"~"),(COUNTIF($AN$1:$AN3396,$AN3396)=1)),"TRUE","FALSE")</f>
        <v>FALSE</v>
      </c>
      <c r="AH3396" s="661" t="str">
        <f>IF(AND($Y3396&gt;=22, (AI3396&lt;&gt;"I"),(Y3396&lt;&gt;"~"),(COUNTIF($AN$1:$AN3396,$AN3396)=1)),"TRUE","FALSE")</f>
        <v>FALSE</v>
      </c>
      <c r="AI3396" s="661" t="str">
        <f t="shared" si="369"/>
        <v>II</v>
      </c>
      <c r="AJ3396" s="662" t="str">
        <f t="shared" si="370"/>
        <v>TCMA-002</v>
      </c>
      <c r="AK3396" s="662" t="str">
        <f t="shared" si="371"/>
        <v>LTK</v>
      </c>
      <c r="AL3396" s="662" t="str">
        <f t="shared" si="372"/>
        <v>TOY</v>
      </c>
      <c r="AM3396" s="662" t="str">
        <f t="shared" si="368"/>
        <v>Tacoma-Access Cab SR-4WD-4-6' -3500-2.7L-4-7514-NA-127.4-21.1-Unleaded-Unleaded</v>
      </c>
      <c r="AN3396" s="662" t="str">
        <f t="shared" si="373"/>
        <v>2019-LTK-TOY-TCMA-002</v>
      </c>
    </row>
    <row r="3397" spans="1:40" ht="15">
      <c r="A3397" s="570" t="s">
        <v>6056</v>
      </c>
      <c r="B3397" s="573" t="s">
        <v>6057</v>
      </c>
      <c r="C3397" s="573" t="s">
        <v>605</v>
      </c>
      <c r="D3397" s="578">
        <v>12</v>
      </c>
      <c r="E3397" s="573" t="s">
        <v>3374</v>
      </c>
      <c r="F3397" s="573" t="s">
        <v>211</v>
      </c>
      <c r="G3397" s="573" t="s">
        <v>606</v>
      </c>
      <c r="H3397" s="573">
        <v>2019</v>
      </c>
      <c r="I3397" s="573" t="s">
        <v>6051</v>
      </c>
      <c r="J3397" s="573" t="s">
        <v>6058</v>
      </c>
      <c r="K3397" s="573" t="s">
        <v>752</v>
      </c>
      <c r="L3397" s="573">
        <v>4</v>
      </c>
      <c r="M3397" s="573">
        <v>0</v>
      </c>
      <c r="N3397" s="573" t="s">
        <v>157</v>
      </c>
      <c r="O3397" s="573">
        <v>2</v>
      </c>
      <c r="P3397" s="573" t="s">
        <v>6055</v>
      </c>
      <c r="Q3397" s="571">
        <v>3500</v>
      </c>
      <c r="R3397" s="573" t="s">
        <v>316</v>
      </c>
      <c r="S3397" s="573">
        <v>6</v>
      </c>
      <c r="T3397" s="573">
        <v>7558</v>
      </c>
      <c r="U3397" s="573" t="s">
        <v>609</v>
      </c>
      <c r="V3397" s="573">
        <v>127.4</v>
      </c>
      <c r="W3397" s="573">
        <v>21.1</v>
      </c>
      <c r="X3397" s="571">
        <v>5600</v>
      </c>
      <c r="Y3397" s="573">
        <v>20</v>
      </c>
      <c r="Z3397" s="579" t="s">
        <v>178</v>
      </c>
      <c r="AA3397" s="579" t="s">
        <v>178</v>
      </c>
      <c r="AB3397" s="584">
        <v>34905</v>
      </c>
      <c r="AC3397" s="584" t="s">
        <v>164</v>
      </c>
      <c r="AD3397" s="584">
        <v>33300</v>
      </c>
      <c r="AE3397" s="586">
        <v>0.05</v>
      </c>
      <c r="AF3397" s="661" t="str">
        <f t="shared" si="367"/>
        <v>2019-LTK-TOY-TCMA-003-12</v>
      </c>
      <c r="AG3397" s="661" t="str">
        <f>IF(AND($Y3397&gt;=32,(AI3397="I"),(Y3397&lt;&gt;"~"),(COUNTIF($AN$1:$AN3397,$AN3397)=1)),"TRUE","FALSE")</f>
        <v>FALSE</v>
      </c>
      <c r="AH3397" s="661" t="str">
        <f>IF(AND($Y3397&gt;=22, (AI3397&lt;&gt;"I"),(Y3397&lt;&gt;"~"),(COUNTIF($AN$1:$AN3397,$AN3397)=1)),"TRUE","FALSE")</f>
        <v>FALSE</v>
      </c>
      <c r="AI3397" s="661" t="str">
        <f t="shared" si="369"/>
        <v>II</v>
      </c>
      <c r="AJ3397" s="662" t="str">
        <f t="shared" si="370"/>
        <v>TCMA-003</v>
      </c>
      <c r="AK3397" s="662" t="str">
        <f t="shared" si="371"/>
        <v>LTK</v>
      </c>
      <c r="AL3397" s="662" t="str">
        <f t="shared" si="372"/>
        <v>TOY</v>
      </c>
      <c r="AM3397" s="662" t="str">
        <f t="shared" si="368"/>
        <v>Tacoma-Access Cab SR5-4WD-4-6' -3500-3.5L-6-7558-NA-127.4-21.1-Unleaded-Unleaded</v>
      </c>
      <c r="AN3397" s="662" t="str">
        <f t="shared" si="373"/>
        <v>2019-LTK-TOY-TCMA-003</v>
      </c>
    </row>
    <row r="3398" spans="1:40" ht="15">
      <c r="A3398" s="570" t="s">
        <v>6059</v>
      </c>
      <c r="B3398" s="569" t="s">
        <v>6060</v>
      </c>
      <c r="C3398" s="569" t="s">
        <v>605</v>
      </c>
      <c r="D3398" s="580">
        <v>12</v>
      </c>
      <c r="E3398" s="569" t="s">
        <v>3374</v>
      </c>
      <c r="F3398" s="569" t="s">
        <v>211</v>
      </c>
      <c r="G3398" s="569" t="s">
        <v>606</v>
      </c>
      <c r="H3398" s="569">
        <v>2019</v>
      </c>
      <c r="I3398" s="569" t="s">
        <v>6051</v>
      </c>
      <c r="J3398" s="569" t="s">
        <v>6061</v>
      </c>
      <c r="K3398" s="569" t="s">
        <v>3377</v>
      </c>
      <c r="L3398" s="569">
        <v>5</v>
      </c>
      <c r="M3398" s="569">
        <v>0</v>
      </c>
      <c r="N3398" s="569" t="s">
        <v>157</v>
      </c>
      <c r="O3398" s="569">
        <v>2</v>
      </c>
      <c r="P3398" s="569" t="s">
        <v>5257</v>
      </c>
      <c r="Q3398" s="568">
        <v>3500</v>
      </c>
      <c r="R3398" s="569" t="s">
        <v>1500</v>
      </c>
      <c r="S3398" s="569">
        <v>4</v>
      </c>
      <c r="T3398" s="569">
        <v>7186</v>
      </c>
      <c r="U3398" s="569" t="s">
        <v>609</v>
      </c>
      <c r="V3398" s="569">
        <v>127.4</v>
      </c>
      <c r="W3398" s="569">
        <v>21.1</v>
      </c>
      <c r="X3398" s="568">
        <v>5600</v>
      </c>
      <c r="Y3398" s="569">
        <v>21</v>
      </c>
      <c r="Z3398" s="581" t="s">
        <v>178</v>
      </c>
      <c r="AA3398" s="581" t="s">
        <v>178</v>
      </c>
      <c r="AB3398" s="585">
        <v>27475</v>
      </c>
      <c r="AC3398" s="585" t="s">
        <v>164</v>
      </c>
      <c r="AD3398" s="585">
        <v>25700</v>
      </c>
      <c r="AE3398" s="587">
        <v>0.05</v>
      </c>
      <c r="AF3398" s="661" t="str">
        <f t="shared" si="367"/>
        <v>2019-LTK-TOY-TCMA-004-12</v>
      </c>
      <c r="AG3398" s="661" t="str">
        <f>IF(AND($Y3398&gt;=32,(AI3398="I"),(Y3398&lt;&gt;"~"),(COUNTIF($AN$1:$AN3398,$AN3398)=1)),"TRUE","FALSE")</f>
        <v>FALSE</v>
      </c>
      <c r="AH3398" s="661" t="str">
        <f>IF(AND($Y3398&gt;=22, (AI3398&lt;&gt;"I"),(Y3398&lt;&gt;"~"),(COUNTIF($AN$1:$AN3398,$AN3398)=1)),"TRUE","FALSE")</f>
        <v>FALSE</v>
      </c>
      <c r="AI3398" s="661" t="str">
        <f t="shared" si="369"/>
        <v>II</v>
      </c>
      <c r="AJ3398" s="662" t="str">
        <f t="shared" si="370"/>
        <v>TCMA-004</v>
      </c>
      <c r="AK3398" s="662" t="str">
        <f t="shared" si="371"/>
        <v>LTK</v>
      </c>
      <c r="AL3398" s="662" t="str">
        <f t="shared" si="372"/>
        <v>TOY</v>
      </c>
      <c r="AM3398" s="662" t="str">
        <f t="shared" si="368"/>
        <v>Tacoma-Double Cab SR-2WD-5-5'-3500-2.7L-4-7186-NA-127.4-21.1-Unleaded-Unleaded</v>
      </c>
      <c r="AN3398" s="662" t="str">
        <f t="shared" si="373"/>
        <v>2019-LTK-TOY-TCMA-004</v>
      </c>
    </row>
    <row r="3399" spans="1:40" ht="15">
      <c r="A3399" s="570" t="s">
        <v>6062</v>
      </c>
      <c r="B3399" s="573" t="s">
        <v>6063</v>
      </c>
      <c r="C3399" s="573" t="s">
        <v>605</v>
      </c>
      <c r="D3399" s="578">
        <v>12</v>
      </c>
      <c r="E3399" s="573" t="s">
        <v>3374</v>
      </c>
      <c r="F3399" s="573" t="s">
        <v>211</v>
      </c>
      <c r="G3399" s="573" t="s">
        <v>606</v>
      </c>
      <c r="H3399" s="573">
        <v>2019</v>
      </c>
      <c r="I3399" s="573" t="s">
        <v>6051</v>
      </c>
      <c r="J3399" s="573" t="s">
        <v>6064</v>
      </c>
      <c r="K3399" s="573" t="s">
        <v>752</v>
      </c>
      <c r="L3399" s="573">
        <v>5</v>
      </c>
      <c r="M3399" s="573">
        <v>0</v>
      </c>
      <c r="N3399" s="573" t="s">
        <v>157</v>
      </c>
      <c r="O3399" s="573">
        <v>2</v>
      </c>
      <c r="P3399" s="573" t="s">
        <v>5257</v>
      </c>
      <c r="Q3399" s="571">
        <v>3500</v>
      </c>
      <c r="R3399" s="573" t="s">
        <v>316</v>
      </c>
      <c r="S3399" s="573">
        <v>6</v>
      </c>
      <c r="T3399" s="573">
        <v>7540</v>
      </c>
      <c r="U3399" s="573" t="s">
        <v>609</v>
      </c>
      <c r="V3399" s="573">
        <v>127.4</v>
      </c>
      <c r="W3399" s="573">
        <v>21.1</v>
      </c>
      <c r="X3399" s="571">
        <v>5600</v>
      </c>
      <c r="Y3399" s="573">
        <v>20</v>
      </c>
      <c r="Z3399" s="579" t="s">
        <v>178</v>
      </c>
      <c r="AA3399" s="579" t="s">
        <v>178</v>
      </c>
      <c r="AB3399" s="584">
        <v>35785</v>
      </c>
      <c r="AC3399" s="584" t="s">
        <v>164</v>
      </c>
      <c r="AD3399" s="584">
        <v>33750</v>
      </c>
      <c r="AE3399" s="586">
        <v>0.05</v>
      </c>
      <c r="AF3399" s="661" t="str">
        <f t="shared" si="367"/>
        <v>2019-LTK-TOY-TCMA-005-12</v>
      </c>
      <c r="AG3399" s="661" t="str">
        <f>IF(AND($Y3399&gt;=32,(AI3399="I"),(Y3399&lt;&gt;"~"),(COUNTIF($AN$1:$AN3399,$AN3399)=1)),"TRUE","FALSE")</f>
        <v>FALSE</v>
      </c>
      <c r="AH3399" s="661" t="str">
        <f>IF(AND($Y3399&gt;=22, (AI3399&lt;&gt;"I"),(Y3399&lt;&gt;"~"),(COUNTIF($AN$1:$AN3399,$AN3399)=1)),"TRUE","FALSE")</f>
        <v>FALSE</v>
      </c>
      <c r="AI3399" s="661" t="str">
        <f t="shared" si="369"/>
        <v>II</v>
      </c>
      <c r="AJ3399" s="662" t="str">
        <f t="shared" si="370"/>
        <v>TCMA-005</v>
      </c>
      <c r="AK3399" s="662" t="str">
        <f t="shared" si="371"/>
        <v>LTK</v>
      </c>
      <c r="AL3399" s="662" t="str">
        <f t="shared" si="372"/>
        <v>TOY</v>
      </c>
      <c r="AM3399" s="662" t="str">
        <f t="shared" si="368"/>
        <v>Tacoma-Double Cab SR5-4WD-5-5'-3500-3.5L-6-7540-NA-127.4-21.1-Unleaded-Unleaded</v>
      </c>
      <c r="AN3399" s="662" t="str">
        <f t="shared" si="373"/>
        <v>2019-LTK-TOY-TCMA-005</v>
      </c>
    </row>
    <row r="3400" spans="1:40" ht="15">
      <c r="A3400" s="570" t="s">
        <v>6065</v>
      </c>
      <c r="B3400" s="569" t="s">
        <v>6066</v>
      </c>
      <c r="C3400" s="569" t="s">
        <v>605</v>
      </c>
      <c r="D3400" s="580">
        <v>12</v>
      </c>
      <c r="E3400" s="569" t="s">
        <v>3374</v>
      </c>
      <c r="F3400" s="569" t="s">
        <v>211</v>
      </c>
      <c r="G3400" s="569" t="s">
        <v>606</v>
      </c>
      <c r="H3400" s="569">
        <v>2019</v>
      </c>
      <c r="I3400" s="569" t="s">
        <v>6051</v>
      </c>
      <c r="J3400" s="569" t="s">
        <v>6064</v>
      </c>
      <c r="K3400" s="569" t="s">
        <v>752</v>
      </c>
      <c r="L3400" s="569">
        <v>5</v>
      </c>
      <c r="M3400" s="569">
        <v>0</v>
      </c>
      <c r="N3400" s="569" t="s">
        <v>157</v>
      </c>
      <c r="O3400" s="569">
        <v>2</v>
      </c>
      <c r="P3400" s="569" t="s">
        <v>6055</v>
      </c>
      <c r="Q3400" s="568">
        <v>3500</v>
      </c>
      <c r="R3400" s="569" t="s">
        <v>316</v>
      </c>
      <c r="S3400" s="569">
        <v>6</v>
      </c>
      <c r="T3400" s="569">
        <v>7570</v>
      </c>
      <c r="U3400" s="569" t="s">
        <v>609</v>
      </c>
      <c r="V3400" s="569">
        <v>140.6</v>
      </c>
      <c r="W3400" s="569">
        <v>21.1</v>
      </c>
      <c r="X3400" s="568">
        <v>5600</v>
      </c>
      <c r="Y3400" s="569">
        <v>20</v>
      </c>
      <c r="Z3400" s="581" t="s">
        <v>178</v>
      </c>
      <c r="AA3400" s="581" t="s">
        <v>178</v>
      </c>
      <c r="AB3400" s="585">
        <v>36285</v>
      </c>
      <c r="AC3400" s="585" t="s">
        <v>164</v>
      </c>
      <c r="AD3400" s="585">
        <v>34400</v>
      </c>
      <c r="AE3400" s="587">
        <v>0.05</v>
      </c>
      <c r="AF3400" s="661" t="str">
        <f t="shared" si="367"/>
        <v>2019-LTK-TOY-TCMA-006-12</v>
      </c>
      <c r="AG3400" s="661" t="str">
        <f>IF(AND($Y3400&gt;=32,(AI3400="I"),(Y3400&lt;&gt;"~"),(COUNTIF($AN$1:$AN3400,$AN3400)=1)),"TRUE","FALSE")</f>
        <v>FALSE</v>
      </c>
      <c r="AH3400" s="661" t="str">
        <f>IF(AND($Y3400&gt;=22, (AI3400&lt;&gt;"I"),(Y3400&lt;&gt;"~"),(COUNTIF($AN$1:$AN3400,$AN3400)=1)),"TRUE","FALSE")</f>
        <v>FALSE</v>
      </c>
      <c r="AI3400" s="661" t="str">
        <f t="shared" si="369"/>
        <v>II</v>
      </c>
      <c r="AJ3400" s="662" t="str">
        <f t="shared" si="370"/>
        <v>TCMA-006</v>
      </c>
      <c r="AK3400" s="662" t="str">
        <f t="shared" si="371"/>
        <v>LTK</v>
      </c>
      <c r="AL3400" s="662" t="str">
        <f t="shared" si="372"/>
        <v>TOY</v>
      </c>
      <c r="AM3400" s="662" t="str">
        <f t="shared" si="368"/>
        <v>Tacoma-Double Cab SR5-4WD-5-6' -3500-3.5L-6-7570-NA-140.6-21.1-Unleaded-Unleaded</v>
      </c>
      <c r="AN3400" s="662" t="str">
        <f t="shared" si="373"/>
        <v>2019-LTK-TOY-TCMA-006</v>
      </c>
    </row>
    <row r="3401" spans="1:40" ht="15">
      <c r="A3401" s="570" t="s">
        <v>6067</v>
      </c>
      <c r="B3401" s="573" t="s">
        <v>6068</v>
      </c>
      <c r="C3401" s="573" t="s">
        <v>605</v>
      </c>
      <c r="D3401" s="578">
        <v>12</v>
      </c>
      <c r="E3401" s="573" t="s">
        <v>3374</v>
      </c>
      <c r="F3401" s="573" t="s">
        <v>152</v>
      </c>
      <c r="G3401" s="573" t="s">
        <v>606</v>
      </c>
      <c r="H3401" s="573">
        <v>2019</v>
      </c>
      <c r="I3401" s="573" t="s">
        <v>6069</v>
      </c>
      <c r="J3401" s="573" t="s">
        <v>6070</v>
      </c>
      <c r="K3401" s="573" t="s">
        <v>3377</v>
      </c>
      <c r="L3401" s="573">
        <v>5</v>
      </c>
      <c r="M3401" s="573">
        <v>0</v>
      </c>
      <c r="N3401" s="573" t="s">
        <v>157</v>
      </c>
      <c r="O3401" s="573">
        <v>2</v>
      </c>
      <c r="P3401" s="573" t="s">
        <v>3767</v>
      </c>
      <c r="Q3401" s="571">
        <v>9500</v>
      </c>
      <c r="R3401" s="573" t="s">
        <v>646</v>
      </c>
      <c r="S3401" s="573">
        <v>8</v>
      </c>
      <c r="T3401" s="573">
        <v>8272</v>
      </c>
      <c r="U3401" s="573" t="s">
        <v>609</v>
      </c>
      <c r="V3401" s="573">
        <v>145.69999999999999</v>
      </c>
      <c r="W3401" s="573">
        <v>38</v>
      </c>
      <c r="X3401" s="571">
        <v>7000</v>
      </c>
      <c r="Y3401" s="573">
        <v>15</v>
      </c>
      <c r="Z3401" s="579" t="s">
        <v>178</v>
      </c>
      <c r="AA3401" s="579" t="s">
        <v>178</v>
      </c>
      <c r="AB3401" s="584">
        <v>44045</v>
      </c>
      <c r="AC3401" s="584" t="s">
        <v>164</v>
      </c>
      <c r="AD3401" s="584">
        <v>40950</v>
      </c>
      <c r="AE3401" s="586">
        <v>0.05</v>
      </c>
      <c r="AF3401" s="661" t="str">
        <f t="shared" si="367"/>
        <v>2019-LTK-TOY-TDRA-001-12</v>
      </c>
      <c r="AG3401" s="661" t="str">
        <f>IF(AND($Y3401&gt;=32,(AI3401="I"),(Y3401&lt;&gt;"~"),(COUNTIF($AN$1:$AN3401,$AN3401)=1)),"TRUE","FALSE")</f>
        <v>FALSE</v>
      </c>
      <c r="AH3401" s="661" t="str">
        <f>IF(AND($Y3401&gt;=22, (AI3401&lt;&gt;"I"),(Y3401&lt;&gt;"~"),(COUNTIF($AN$1:$AN3401,$AN3401)=1)),"TRUE","FALSE")</f>
        <v>FALSE</v>
      </c>
      <c r="AI3401" s="661" t="str">
        <f t="shared" si="369"/>
        <v>II</v>
      </c>
      <c r="AJ3401" s="662" t="str">
        <f t="shared" si="370"/>
        <v>TDRA-001</v>
      </c>
      <c r="AK3401" s="662" t="str">
        <f t="shared" si="371"/>
        <v>LTK</v>
      </c>
      <c r="AL3401" s="662" t="str">
        <f t="shared" si="372"/>
        <v>TOY</v>
      </c>
      <c r="AM3401" s="662" t="str">
        <f t="shared" si="368"/>
        <v>Tundra-Limited CrewMax-2WD-5-5'5"-9500-5.7L-8-8272-NA-145.7-38-Unleaded-Unleaded</v>
      </c>
      <c r="AN3401" s="662" t="str">
        <f t="shared" si="373"/>
        <v>2019-LTK-TOY-TDRA-001</v>
      </c>
    </row>
    <row r="3402" spans="1:40" ht="15">
      <c r="A3402" s="570" t="s">
        <v>6071</v>
      </c>
      <c r="B3402" s="569" t="s">
        <v>6072</v>
      </c>
      <c r="C3402" s="569" t="s">
        <v>605</v>
      </c>
      <c r="D3402" s="580">
        <v>12</v>
      </c>
      <c r="E3402" s="569" t="s">
        <v>3374</v>
      </c>
      <c r="F3402" s="569" t="s">
        <v>152</v>
      </c>
      <c r="G3402" s="569" t="s">
        <v>606</v>
      </c>
      <c r="H3402" s="569">
        <v>2019</v>
      </c>
      <c r="I3402" s="569" t="s">
        <v>6069</v>
      </c>
      <c r="J3402" s="569" t="s">
        <v>6070</v>
      </c>
      <c r="K3402" s="569" t="s">
        <v>752</v>
      </c>
      <c r="L3402" s="569">
        <v>5</v>
      </c>
      <c r="M3402" s="569">
        <v>0</v>
      </c>
      <c r="N3402" s="569" t="s">
        <v>157</v>
      </c>
      <c r="O3402" s="569">
        <v>2</v>
      </c>
      <c r="P3402" s="569" t="s">
        <v>5351</v>
      </c>
      <c r="Q3402" s="568">
        <v>8900</v>
      </c>
      <c r="R3402" s="569" t="s">
        <v>646</v>
      </c>
      <c r="S3402" s="569">
        <v>8</v>
      </c>
      <c r="T3402" s="569">
        <v>8372</v>
      </c>
      <c r="U3402" s="569" t="s">
        <v>609</v>
      </c>
      <c r="V3402" s="569">
        <v>145.69999999999999</v>
      </c>
      <c r="W3402" s="569">
        <v>38</v>
      </c>
      <c r="X3402" s="568">
        <v>7200</v>
      </c>
      <c r="Y3402" s="569">
        <v>14</v>
      </c>
      <c r="Z3402" s="581" t="s">
        <v>178</v>
      </c>
      <c r="AA3402" s="581" t="s">
        <v>178</v>
      </c>
      <c r="AB3402" s="585">
        <v>47095</v>
      </c>
      <c r="AC3402" s="585" t="s">
        <v>164</v>
      </c>
      <c r="AD3402" s="585">
        <v>43900</v>
      </c>
      <c r="AE3402" s="587">
        <v>0.05</v>
      </c>
      <c r="AF3402" s="661" t="str">
        <f t="shared" si="367"/>
        <v>2019-LTK-TOY-TDRA-002-12</v>
      </c>
      <c r="AG3402" s="661" t="str">
        <f>IF(AND($Y3402&gt;=32,(AI3402="I"),(Y3402&lt;&gt;"~"),(COUNTIF($AN$1:$AN3402,$AN3402)=1)),"TRUE","FALSE")</f>
        <v>FALSE</v>
      </c>
      <c r="AH3402" s="661" t="str">
        <f>IF(AND($Y3402&gt;=22, (AI3402&lt;&gt;"I"),(Y3402&lt;&gt;"~"),(COUNTIF($AN$1:$AN3402,$AN3402)=1)),"TRUE","FALSE")</f>
        <v>FALSE</v>
      </c>
      <c r="AI3402" s="661" t="str">
        <f t="shared" si="369"/>
        <v>II</v>
      </c>
      <c r="AJ3402" s="662" t="str">
        <f t="shared" si="370"/>
        <v>TDRA-002</v>
      </c>
      <c r="AK3402" s="662" t="str">
        <f t="shared" si="371"/>
        <v>LTK</v>
      </c>
      <c r="AL3402" s="662" t="str">
        <f t="shared" si="372"/>
        <v>TOY</v>
      </c>
      <c r="AM3402" s="662" t="str">
        <f t="shared" si="368"/>
        <v>Tundra-Limited CrewMax-4WD-5-5'7"-8900-5.7L-8-8372-NA-145.7-38-Unleaded-Unleaded</v>
      </c>
      <c r="AN3402" s="662" t="str">
        <f t="shared" si="373"/>
        <v>2019-LTK-TOY-TDRA-002</v>
      </c>
    </row>
    <row r="3403" spans="1:40" ht="15">
      <c r="A3403" s="570" t="s">
        <v>6073</v>
      </c>
      <c r="B3403" s="573" t="s">
        <v>6074</v>
      </c>
      <c r="C3403" s="573" t="s">
        <v>605</v>
      </c>
      <c r="D3403" s="578">
        <v>12</v>
      </c>
      <c r="E3403" s="573" t="s">
        <v>3374</v>
      </c>
      <c r="F3403" s="573" t="s">
        <v>152</v>
      </c>
      <c r="G3403" s="573" t="s">
        <v>606</v>
      </c>
      <c r="H3403" s="573">
        <v>2019</v>
      </c>
      <c r="I3403" s="573" t="s">
        <v>6069</v>
      </c>
      <c r="J3403" s="573" t="s">
        <v>6075</v>
      </c>
      <c r="K3403" s="573" t="s">
        <v>3377</v>
      </c>
      <c r="L3403" s="573">
        <v>5</v>
      </c>
      <c r="M3403" s="573">
        <v>0</v>
      </c>
      <c r="N3403" s="573" t="s">
        <v>157</v>
      </c>
      <c r="O3403" s="573">
        <v>2</v>
      </c>
      <c r="P3403" s="573" t="s">
        <v>3781</v>
      </c>
      <c r="Q3403" s="571">
        <v>10200</v>
      </c>
      <c r="R3403" s="573" t="s">
        <v>646</v>
      </c>
      <c r="S3403" s="573">
        <v>8</v>
      </c>
      <c r="T3403" s="573">
        <v>8252</v>
      </c>
      <c r="U3403" s="573" t="s">
        <v>609</v>
      </c>
      <c r="V3403" s="573">
        <v>145.69999999999999</v>
      </c>
      <c r="W3403" s="573">
        <v>38</v>
      </c>
      <c r="X3403" s="571">
        <v>6900</v>
      </c>
      <c r="Y3403" s="573">
        <v>15</v>
      </c>
      <c r="Z3403" s="579" t="s">
        <v>178</v>
      </c>
      <c r="AA3403" s="579" t="s">
        <v>178</v>
      </c>
      <c r="AB3403" s="584">
        <v>42180</v>
      </c>
      <c r="AC3403" s="584" t="s">
        <v>164</v>
      </c>
      <c r="AD3403" s="584">
        <v>39200</v>
      </c>
      <c r="AE3403" s="586">
        <v>0.05</v>
      </c>
      <c r="AF3403" s="661" t="str">
        <f t="shared" si="367"/>
        <v>2019-LTK-TOY-TDRA-003-12</v>
      </c>
      <c r="AG3403" s="661" t="str">
        <f>IF(AND($Y3403&gt;=32,(AI3403="I"),(Y3403&lt;&gt;"~"),(COUNTIF($AN$1:$AN3403,$AN3403)=1)),"TRUE","FALSE")</f>
        <v>FALSE</v>
      </c>
      <c r="AH3403" s="661" t="str">
        <f>IF(AND($Y3403&gt;=22, (AI3403&lt;&gt;"I"),(Y3403&lt;&gt;"~"),(COUNTIF($AN$1:$AN3403,$AN3403)=1)),"TRUE","FALSE")</f>
        <v>FALSE</v>
      </c>
      <c r="AI3403" s="661" t="str">
        <f t="shared" si="369"/>
        <v>II</v>
      </c>
      <c r="AJ3403" s="662" t="str">
        <f t="shared" si="370"/>
        <v>TDRA-003</v>
      </c>
      <c r="AK3403" s="662" t="str">
        <f t="shared" si="371"/>
        <v>LTK</v>
      </c>
      <c r="AL3403" s="662" t="str">
        <f t="shared" si="372"/>
        <v>TOY</v>
      </c>
      <c r="AM3403" s="662" t="str">
        <f t="shared" si="368"/>
        <v>Tundra-Limited Double Cab-2WD-5-6'5"-10200-5.7L-8-8252-NA-145.7-38-Unleaded-Unleaded</v>
      </c>
      <c r="AN3403" s="662" t="str">
        <f t="shared" si="373"/>
        <v>2019-LTK-TOY-TDRA-003</v>
      </c>
    </row>
    <row r="3404" spans="1:40" ht="15">
      <c r="A3404" s="570" t="s">
        <v>6076</v>
      </c>
      <c r="B3404" s="569" t="s">
        <v>6077</v>
      </c>
      <c r="C3404" s="569" t="s">
        <v>605</v>
      </c>
      <c r="D3404" s="580">
        <v>12</v>
      </c>
      <c r="E3404" s="569" t="s">
        <v>3374</v>
      </c>
      <c r="F3404" s="569" t="s">
        <v>152</v>
      </c>
      <c r="G3404" s="569" t="s">
        <v>606</v>
      </c>
      <c r="H3404" s="569">
        <v>2019</v>
      </c>
      <c r="I3404" s="569" t="s">
        <v>6069</v>
      </c>
      <c r="J3404" s="569" t="s">
        <v>6075</v>
      </c>
      <c r="K3404" s="569" t="s">
        <v>752</v>
      </c>
      <c r="L3404" s="569">
        <v>5</v>
      </c>
      <c r="M3404" s="569">
        <v>0</v>
      </c>
      <c r="N3404" s="569" t="s">
        <v>157</v>
      </c>
      <c r="O3404" s="569">
        <v>2</v>
      </c>
      <c r="P3404" s="569" t="s">
        <v>3781</v>
      </c>
      <c r="Q3404" s="568">
        <v>9100</v>
      </c>
      <c r="R3404" s="569" t="s">
        <v>646</v>
      </c>
      <c r="S3404" s="569">
        <v>8</v>
      </c>
      <c r="T3404" s="569">
        <v>8352</v>
      </c>
      <c r="U3404" s="569" t="s">
        <v>609</v>
      </c>
      <c r="V3404" s="569">
        <v>145.69999999999999</v>
      </c>
      <c r="W3404" s="569">
        <v>38</v>
      </c>
      <c r="X3404" s="568">
        <v>7100</v>
      </c>
      <c r="Y3404" s="569">
        <v>14</v>
      </c>
      <c r="Z3404" s="581" t="s">
        <v>178</v>
      </c>
      <c r="AA3404" s="581" t="s">
        <v>178</v>
      </c>
      <c r="AB3404" s="585">
        <v>45230</v>
      </c>
      <c r="AC3404" s="585" t="s">
        <v>164</v>
      </c>
      <c r="AD3404" s="585">
        <v>42100</v>
      </c>
      <c r="AE3404" s="587">
        <v>0.05</v>
      </c>
      <c r="AF3404" s="661" t="str">
        <f t="shared" ref="AF3404:AF3467" si="374">A3404</f>
        <v>2019-LTK-TOY-TDRA-004-12</v>
      </c>
      <c r="AG3404" s="661" t="str">
        <f>IF(AND($Y3404&gt;=32,(AI3404="I"),(Y3404&lt;&gt;"~"),(COUNTIF($AN$1:$AN3404,$AN3404)=1)),"TRUE","FALSE")</f>
        <v>FALSE</v>
      </c>
      <c r="AH3404" s="661" t="str">
        <f>IF(AND($Y3404&gt;=22, (AI3404&lt;&gt;"I"),(Y3404&lt;&gt;"~"),(COUNTIF($AN$1:$AN3404,$AN3404)=1)),"TRUE","FALSE")</f>
        <v>FALSE</v>
      </c>
      <c r="AI3404" s="661" t="str">
        <f t="shared" si="369"/>
        <v>II</v>
      </c>
      <c r="AJ3404" s="662" t="str">
        <f t="shared" si="370"/>
        <v>TDRA-004</v>
      </c>
      <c r="AK3404" s="662" t="str">
        <f t="shared" si="371"/>
        <v>LTK</v>
      </c>
      <c r="AL3404" s="662" t="str">
        <f t="shared" si="372"/>
        <v>TOY</v>
      </c>
      <c r="AM3404" s="662" t="str">
        <f t="shared" si="368"/>
        <v>Tundra-Limited Double Cab-4WD-5-6'5"-9100-5.7L-8-8352-NA-145.7-38-Unleaded-Unleaded</v>
      </c>
      <c r="AN3404" s="662" t="str">
        <f t="shared" si="373"/>
        <v>2019-LTK-TOY-TDRA-004</v>
      </c>
    </row>
    <row r="3405" spans="1:40" ht="15">
      <c r="A3405" s="570" t="s">
        <v>6078</v>
      </c>
      <c r="B3405" s="573" t="s">
        <v>6079</v>
      </c>
      <c r="C3405" s="573" t="s">
        <v>605</v>
      </c>
      <c r="D3405" s="578">
        <v>12</v>
      </c>
      <c r="E3405" s="573" t="s">
        <v>3374</v>
      </c>
      <c r="F3405" s="573" t="s">
        <v>152</v>
      </c>
      <c r="G3405" s="573" t="s">
        <v>606</v>
      </c>
      <c r="H3405" s="573">
        <v>2019</v>
      </c>
      <c r="I3405" s="573" t="s">
        <v>6069</v>
      </c>
      <c r="J3405" s="573" t="s">
        <v>6080</v>
      </c>
      <c r="K3405" s="573" t="s">
        <v>3377</v>
      </c>
      <c r="L3405" s="573">
        <v>6</v>
      </c>
      <c r="M3405" s="573">
        <v>0</v>
      </c>
      <c r="N3405" s="573" t="s">
        <v>157</v>
      </c>
      <c r="O3405" s="573">
        <v>2</v>
      </c>
      <c r="P3405" s="573" t="s">
        <v>3781</v>
      </c>
      <c r="Q3405" s="571">
        <v>10200</v>
      </c>
      <c r="R3405" s="573" t="s">
        <v>646</v>
      </c>
      <c r="S3405" s="573">
        <v>8</v>
      </c>
      <c r="T3405" s="573">
        <v>8242</v>
      </c>
      <c r="U3405" s="573" t="s">
        <v>609</v>
      </c>
      <c r="V3405" s="573">
        <v>145.69999999999999</v>
      </c>
      <c r="W3405" s="573">
        <v>26.4</v>
      </c>
      <c r="X3405" s="571">
        <v>6900</v>
      </c>
      <c r="Y3405" s="573">
        <v>15</v>
      </c>
      <c r="Z3405" s="579" t="s">
        <v>178</v>
      </c>
      <c r="AA3405" s="579" t="s">
        <v>178</v>
      </c>
      <c r="AB3405" s="584">
        <v>34185</v>
      </c>
      <c r="AC3405" s="584" t="s">
        <v>164</v>
      </c>
      <c r="AD3405" s="584">
        <v>31500</v>
      </c>
      <c r="AE3405" s="586">
        <v>0.05</v>
      </c>
      <c r="AF3405" s="661" t="str">
        <f t="shared" si="374"/>
        <v>2019-LTK-TOY-TDRA-005-12</v>
      </c>
      <c r="AG3405" s="661" t="str">
        <f>IF(AND($Y3405&gt;=32,(AI3405="I"),(Y3405&lt;&gt;"~"),(COUNTIF($AN$1:$AN3405,$AN3405)=1)),"TRUE","FALSE")</f>
        <v>FALSE</v>
      </c>
      <c r="AH3405" s="661" t="str">
        <f>IF(AND($Y3405&gt;=22, (AI3405&lt;&gt;"I"),(Y3405&lt;&gt;"~"),(COUNTIF($AN$1:$AN3405,$AN3405)=1)),"TRUE","FALSE")</f>
        <v>FALSE</v>
      </c>
      <c r="AI3405" s="661" t="str">
        <f t="shared" si="369"/>
        <v>II</v>
      </c>
      <c r="AJ3405" s="662" t="str">
        <f t="shared" si="370"/>
        <v>TDRA-005</v>
      </c>
      <c r="AK3405" s="662" t="str">
        <f t="shared" si="371"/>
        <v>LTK</v>
      </c>
      <c r="AL3405" s="662" t="str">
        <f t="shared" si="372"/>
        <v>TOY</v>
      </c>
      <c r="AM3405" s="662" t="str">
        <f t="shared" si="368"/>
        <v>Tundra-SR Double Cab-2WD-6-6'5"-10200-5.7L-8-8242-NA-145.7-26.4-Unleaded-Unleaded</v>
      </c>
      <c r="AN3405" s="662" t="str">
        <f t="shared" si="373"/>
        <v>2019-LTK-TOY-TDRA-005</v>
      </c>
    </row>
    <row r="3406" spans="1:40" ht="15">
      <c r="A3406" s="570" t="s">
        <v>6081</v>
      </c>
      <c r="B3406" s="569" t="s">
        <v>6082</v>
      </c>
      <c r="C3406" s="569" t="s">
        <v>605</v>
      </c>
      <c r="D3406" s="580">
        <v>12</v>
      </c>
      <c r="E3406" s="569" t="s">
        <v>3374</v>
      </c>
      <c r="F3406" s="569" t="s">
        <v>152</v>
      </c>
      <c r="G3406" s="569" t="s">
        <v>606</v>
      </c>
      <c r="H3406" s="569">
        <v>2019</v>
      </c>
      <c r="I3406" s="569" t="s">
        <v>6069</v>
      </c>
      <c r="J3406" s="569" t="s">
        <v>6080</v>
      </c>
      <c r="K3406" s="569" t="s">
        <v>3377</v>
      </c>
      <c r="L3406" s="569">
        <v>6</v>
      </c>
      <c r="M3406" s="569">
        <v>0</v>
      </c>
      <c r="N3406" s="569" t="s">
        <v>157</v>
      </c>
      <c r="O3406" s="569">
        <v>2</v>
      </c>
      <c r="P3406" s="569" t="s">
        <v>3781</v>
      </c>
      <c r="Q3406" s="568">
        <v>6800</v>
      </c>
      <c r="R3406" s="569" t="s">
        <v>6083</v>
      </c>
      <c r="S3406" s="569">
        <v>8</v>
      </c>
      <c r="T3406" s="569">
        <v>8239</v>
      </c>
      <c r="U3406" s="569" t="s">
        <v>609</v>
      </c>
      <c r="V3406" s="569">
        <v>145.69999999999999</v>
      </c>
      <c r="W3406" s="569">
        <v>26.4</v>
      </c>
      <c r="X3406" s="568">
        <v>6700</v>
      </c>
      <c r="Y3406" s="569">
        <v>16</v>
      </c>
      <c r="Z3406" s="581" t="s">
        <v>178</v>
      </c>
      <c r="AA3406" s="581" t="s">
        <v>178</v>
      </c>
      <c r="AB3406" s="585">
        <v>32915</v>
      </c>
      <c r="AC3406" s="585" t="s">
        <v>164</v>
      </c>
      <c r="AD3406" s="585">
        <v>30200</v>
      </c>
      <c r="AE3406" s="587">
        <v>0.05</v>
      </c>
      <c r="AF3406" s="661" t="str">
        <f t="shared" si="374"/>
        <v>2019-LTK-TOY-TDRA-006-12</v>
      </c>
      <c r="AG3406" s="661" t="str">
        <f>IF(AND($Y3406&gt;=32,(AI3406="I"),(Y3406&lt;&gt;"~"),(COUNTIF($AN$1:$AN3406,$AN3406)=1)),"TRUE","FALSE")</f>
        <v>FALSE</v>
      </c>
      <c r="AH3406" s="661" t="str">
        <f>IF(AND($Y3406&gt;=22, (AI3406&lt;&gt;"I"),(Y3406&lt;&gt;"~"),(COUNTIF($AN$1:$AN3406,$AN3406)=1)),"TRUE","FALSE")</f>
        <v>FALSE</v>
      </c>
      <c r="AI3406" s="661" t="str">
        <f t="shared" si="369"/>
        <v>II</v>
      </c>
      <c r="AJ3406" s="662" t="str">
        <f t="shared" si="370"/>
        <v>TDRA-006</v>
      </c>
      <c r="AK3406" s="662" t="str">
        <f t="shared" si="371"/>
        <v>LTK</v>
      </c>
      <c r="AL3406" s="662" t="str">
        <f t="shared" si="372"/>
        <v>TOY</v>
      </c>
      <c r="AM3406" s="662" t="str">
        <f t="shared" si="368"/>
        <v>Tundra-SR Double Cab-2WD-6-6'5"-6800-4.6L-8-8239-NA-145.7-26.4-Unleaded-Unleaded</v>
      </c>
      <c r="AN3406" s="662" t="str">
        <f t="shared" si="373"/>
        <v>2019-LTK-TOY-TDRA-006</v>
      </c>
    </row>
    <row r="3407" spans="1:40" ht="15">
      <c r="A3407" s="570" t="s">
        <v>6084</v>
      </c>
      <c r="B3407" s="573" t="s">
        <v>6085</v>
      </c>
      <c r="C3407" s="573" t="s">
        <v>605</v>
      </c>
      <c r="D3407" s="578">
        <v>12</v>
      </c>
      <c r="E3407" s="573" t="s">
        <v>3374</v>
      </c>
      <c r="F3407" s="573" t="s">
        <v>152</v>
      </c>
      <c r="G3407" s="573" t="s">
        <v>606</v>
      </c>
      <c r="H3407" s="573">
        <v>2019</v>
      </c>
      <c r="I3407" s="573" t="s">
        <v>6069</v>
      </c>
      <c r="J3407" s="573" t="s">
        <v>6080</v>
      </c>
      <c r="K3407" s="573" t="s">
        <v>3377</v>
      </c>
      <c r="L3407" s="573">
        <v>6</v>
      </c>
      <c r="M3407" s="573">
        <v>0</v>
      </c>
      <c r="N3407" s="573" t="s">
        <v>157</v>
      </c>
      <c r="O3407" s="573">
        <v>2</v>
      </c>
      <c r="P3407" s="573" t="s">
        <v>3508</v>
      </c>
      <c r="Q3407" s="571">
        <v>10200</v>
      </c>
      <c r="R3407" s="573" t="s">
        <v>646</v>
      </c>
      <c r="S3407" s="573">
        <v>8</v>
      </c>
      <c r="T3407" s="573">
        <v>8245</v>
      </c>
      <c r="U3407" s="573" t="s">
        <v>609</v>
      </c>
      <c r="V3407" s="573">
        <v>164.6</v>
      </c>
      <c r="W3407" s="573">
        <v>26.4</v>
      </c>
      <c r="X3407" s="571">
        <v>7000</v>
      </c>
      <c r="Y3407" s="573">
        <v>15</v>
      </c>
      <c r="Z3407" s="579" t="s">
        <v>178</v>
      </c>
      <c r="AA3407" s="579" t="s">
        <v>178</v>
      </c>
      <c r="AB3407" s="584">
        <v>34515</v>
      </c>
      <c r="AC3407" s="584" t="s">
        <v>164</v>
      </c>
      <c r="AD3407" s="584">
        <v>31750</v>
      </c>
      <c r="AE3407" s="586">
        <v>0.05</v>
      </c>
      <c r="AF3407" s="661" t="str">
        <f t="shared" si="374"/>
        <v>2019-LTK-TOY-TDRA-007-12</v>
      </c>
      <c r="AG3407" s="661" t="str">
        <f>IF(AND($Y3407&gt;=32,(AI3407="I"),(Y3407&lt;&gt;"~"),(COUNTIF($AN$1:$AN3407,$AN3407)=1)),"TRUE","FALSE")</f>
        <v>FALSE</v>
      </c>
      <c r="AH3407" s="661" t="str">
        <f>IF(AND($Y3407&gt;=22, (AI3407&lt;&gt;"I"),(Y3407&lt;&gt;"~"),(COUNTIF($AN$1:$AN3407,$AN3407)=1)),"TRUE","FALSE")</f>
        <v>FALSE</v>
      </c>
      <c r="AI3407" s="661" t="str">
        <f t="shared" si="369"/>
        <v>II</v>
      </c>
      <c r="AJ3407" s="662" t="str">
        <f t="shared" si="370"/>
        <v>TDRA-007</v>
      </c>
      <c r="AK3407" s="662" t="str">
        <f t="shared" si="371"/>
        <v>LTK</v>
      </c>
      <c r="AL3407" s="662" t="str">
        <f t="shared" si="372"/>
        <v>TOY</v>
      </c>
      <c r="AM3407" s="662" t="str">
        <f t="shared" si="368"/>
        <v>Tundra-SR Double Cab-2WD-6-8'1"-10200-5.7L-8-8245-NA-164.6-26.4-Unleaded-Unleaded</v>
      </c>
      <c r="AN3407" s="662" t="str">
        <f t="shared" si="373"/>
        <v>2019-LTK-TOY-TDRA-007</v>
      </c>
    </row>
    <row r="3408" spans="1:40" ht="15">
      <c r="A3408" s="570" t="s">
        <v>6086</v>
      </c>
      <c r="B3408" s="569" t="s">
        <v>6087</v>
      </c>
      <c r="C3408" s="569" t="s">
        <v>605</v>
      </c>
      <c r="D3408" s="580">
        <v>12</v>
      </c>
      <c r="E3408" s="569" t="s">
        <v>3374</v>
      </c>
      <c r="F3408" s="569" t="s">
        <v>152</v>
      </c>
      <c r="G3408" s="569" t="s">
        <v>606</v>
      </c>
      <c r="H3408" s="569">
        <v>2019</v>
      </c>
      <c r="I3408" s="569" t="s">
        <v>6069</v>
      </c>
      <c r="J3408" s="569" t="s">
        <v>6080</v>
      </c>
      <c r="K3408" s="569" t="s">
        <v>752</v>
      </c>
      <c r="L3408" s="569">
        <v>6</v>
      </c>
      <c r="M3408" s="569">
        <v>0</v>
      </c>
      <c r="N3408" s="569" t="s">
        <v>157</v>
      </c>
      <c r="O3408" s="569">
        <v>2</v>
      </c>
      <c r="P3408" s="569" t="s">
        <v>3781</v>
      </c>
      <c r="Q3408" s="568">
        <v>6500</v>
      </c>
      <c r="R3408" s="569" t="s">
        <v>6083</v>
      </c>
      <c r="S3408" s="569">
        <v>8</v>
      </c>
      <c r="T3408" s="569">
        <v>8339</v>
      </c>
      <c r="U3408" s="569" t="s">
        <v>609</v>
      </c>
      <c r="V3408" s="569">
        <v>145.69999999999999</v>
      </c>
      <c r="W3408" s="569">
        <v>26.4</v>
      </c>
      <c r="X3408" s="568">
        <v>6900</v>
      </c>
      <c r="Y3408" s="569">
        <v>16</v>
      </c>
      <c r="Z3408" s="581" t="s">
        <v>178</v>
      </c>
      <c r="AA3408" s="581" t="s">
        <v>178</v>
      </c>
      <c r="AB3408" s="585">
        <v>35965</v>
      </c>
      <c r="AC3408" s="585" t="s">
        <v>164</v>
      </c>
      <c r="AD3408" s="585">
        <v>33150</v>
      </c>
      <c r="AE3408" s="587">
        <v>0.05</v>
      </c>
      <c r="AF3408" s="661" t="str">
        <f t="shared" si="374"/>
        <v>2019-LTK-TOY-TDRA-008-12</v>
      </c>
      <c r="AG3408" s="661" t="str">
        <f>IF(AND($Y3408&gt;=32,(AI3408="I"),(Y3408&lt;&gt;"~"),(COUNTIF($AN$1:$AN3408,$AN3408)=1)),"TRUE","FALSE")</f>
        <v>FALSE</v>
      </c>
      <c r="AH3408" s="661" t="str">
        <f>IF(AND($Y3408&gt;=22, (AI3408&lt;&gt;"I"),(Y3408&lt;&gt;"~"),(COUNTIF($AN$1:$AN3408,$AN3408)=1)),"TRUE","FALSE")</f>
        <v>FALSE</v>
      </c>
      <c r="AI3408" s="661" t="str">
        <f t="shared" si="369"/>
        <v>II</v>
      </c>
      <c r="AJ3408" s="662" t="str">
        <f t="shared" si="370"/>
        <v>TDRA-008</v>
      </c>
      <c r="AK3408" s="662" t="str">
        <f t="shared" si="371"/>
        <v>LTK</v>
      </c>
      <c r="AL3408" s="662" t="str">
        <f t="shared" si="372"/>
        <v>TOY</v>
      </c>
      <c r="AM3408" s="662" t="str">
        <f t="shared" si="368"/>
        <v>Tundra-SR Double Cab-4WD-6-6'5"-6500-4.6L-8-8339-NA-145.7-26.4-Unleaded-Unleaded</v>
      </c>
      <c r="AN3408" s="662" t="str">
        <f t="shared" si="373"/>
        <v>2019-LTK-TOY-TDRA-008</v>
      </c>
    </row>
    <row r="3409" spans="1:40" ht="15">
      <c r="A3409" s="570" t="s">
        <v>6088</v>
      </c>
      <c r="B3409" s="573" t="s">
        <v>6089</v>
      </c>
      <c r="C3409" s="573" t="s">
        <v>605</v>
      </c>
      <c r="D3409" s="578">
        <v>12</v>
      </c>
      <c r="E3409" s="573" t="s">
        <v>3374</v>
      </c>
      <c r="F3409" s="573" t="s">
        <v>152</v>
      </c>
      <c r="G3409" s="573" t="s">
        <v>606</v>
      </c>
      <c r="H3409" s="573">
        <v>2019</v>
      </c>
      <c r="I3409" s="573" t="s">
        <v>6069</v>
      </c>
      <c r="J3409" s="573" t="s">
        <v>6080</v>
      </c>
      <c r="K3409" s="573" t="s">
        <v>752</v>
      </c>
      <c r="L3409" s="573">
        <v>6</v>
      </c>
      <c r="M3409" s="573">
        <v>0</v>
      </c>
      <c r="N3409" s="573" t="s">
        <v>157</v>
      </c>
      <c r="O3409" s="573">
        <v>2</v>
      </c>
      <c r="P3409" s="573" t="s">
        <v>3781</v>
      </c>
      <c r="Q3409" s="571">
        <v>9900</v>
      </c>
      <c r="R3409" s="573" t="s">
        <v>646</v>
      </c>
      <c r="S3409" s="573">
        <v>8</v>
      </c>
      <c r="T3409" s="573">
        <v>8342</v>
      </c>
      <c r="U3409" s="573" t="s">
        <v>609</v>
      </c>
      <c r="V3409" s="573">
        <v>145.69999999999999</v>
      </c>
      <c r="W3409" s="573">
        <v>26.4</v>
      </c>
      <c r="X3409" s="571">
        <v>7100</v>
      </c>
      <c r="Y3409" s="573">
        <v>14</v>
      </c>
      <c r="Z3409" s="579" t="s">
        <v>178</v>
      </c>
      <c r="AA3409" s="579" t="s">
        <v>178</v>
      </c>
      <c r="AB3409" s="584">
        <v>37235</v>
      </c>
      <c r="AC3409" s="584" t="s">
        <v>164</v>
      </c>
      <c r="AD3409" s="584">
        <v>34450</v>
      </c>
      <c r="AE3409" s="586">
        <v>0.05</v>
      </c>
      <c r="AF3409" s="661" t="str">
        <f t="shared" si="374"/>
        <v>2019-LTK-TOY-TDRA-009-12</v>
      </c>
      <c r="AG3409" s="661" t="str">
        <f>IF(AND($Y3409&gt;=32,(AI3409="I"),(Y3409&lt;&gt;"~"),(COUNTIF($AN$1:$AN3409,$AN3409)=1)),"TRUE","FALSE")</f>
        <v>FALSE</v>
      </c>
      <c r="AH3409" s="661" t="str">
        <f>IF(AND($Y3409&gt;=22, (AI3409&lt;&gt;"I"),(Y3409&lt;&gt;"~"),(COUNTIF($AN$1:$AN3409,$AN3409)=1)),"TRUE","FALSE")</f>
        <v>FALSE</v>
      </c>
      <c r="AI3409" s="661" t="str">
        <f t="shared" si="369"/>
        <v>II</v>
      </c>
      <c r="AJ3409" s="662" t="str">
        <f t="shared" si="370"/>
        <v>TDRA-009</v>
      </c>
      <c r="AK3409" s="662" t="str">
        <f t="shared" si="371"/>
        <v>LTK</v>
      </c>
      <c r="AL3409" s="662" t="str">
        <f t="shared" si="372"/>
        <v>TOY</v>
      </c>
      <c r="AM3409" s="662" t="str">
        <f t="shared" si="368"/>
        <v>Tundra-SR Double Cab-4WD-6-6'5"-9900-5.7L-8-8342-NA-145.7-26.4-Unleaded-Unleaded</v>
      </c>
      <c r="AN3409" s="662" t="str">
        <f t="shared" si="373"/>
        <v>2019-LTK-TOY-TDRA-009</v>
      </c>
    </row>
    <row r="3410" spans="1:40" ht="15">
      <c r="A3410" s="570" t="s">
        <v>6090</v>
      </c>
      <c r="B3410" s="569" t="s">
        <v>6091</v>
      </c>
      <c r="C3410" s="569" t="s">
        <v>605</v>
      </c>
      <c r="D3410" s="580">
        <v>12</v>
      </c>
      <c r="E3410" s="569" t="s">
        <v>3374</v>
      </c>
      <c r="F3410" s="569" t="s">
        <v>152</v>
      </c>
      <c r="G3410" s="569" t="s">
        <v>606</v>
      </c>
      <c r="H3410" s="569">
        <v>2019</v>
      </c>
      <c r="I3410" s="569" t="s">
        <v>6069</v>
      </c>
      <c r="J3410" s="569" t="s">
        <v>6080</v>
      </c>
      <c r="K3410" s="569" t="s">
        <v>752</v>
      </c>
      <c r="L3410" s="569">
        <v>6</v>
      </c>
      <c r="M3410" s="569">
        <v>0</v>
      </c>
      <c r="N3410" s="569" t="s">
        <v>157</v>
      </c>
      <c r="O3410" s="569">
        <v>2</v>
      </c>
      <c r="P3410" s="569" t="s">
        <v>3508</v>
      </c>
      <c r="Q3410" s="568">
        <v>9800</v>
      </c>
      <c r="R3410" s="569" t="s">
        <v>646</v>
      </c>
      <c r="S3410" s="569">
        <v>8</v>
      </c>
      <c r="T3410" s="569">
        <v>8345</v>
      </c>
      <c r="U3410" s="569" t="s">
        <v>609</v>
      </c>
      <c r="V3410" s="569">
        <v>164.6</v>
      </c>
      <c r="W3410" s="569">
        <v>26.4</v>
      </c>
      <c r="X3410" s="568">
        <v>7200</v>
      </c>
      <c r="Y3410" s="569">
        <v>14</v>
      </c>
      <c r="Z3410" s="581" t="s">
        <v>178</v>
      </c>
      <c r="AA3410" s="581" t="s">
        <v>178</v>
      </c>
      <c r="AB3410" s="585">
        <v>37565</v>
      </c>
      <c r="AC3410" s="585" t="s">
        <v>164</v>
      </c>
      <c r="AD3410" s="585">
        <v>34750</v>
      </c>
      <c r="AE3410" s="587">
        <v>0.05</v>
      </c>
      <c r="AF3410" s="661" t="str">
        <f t="shared" si="374"/>
        <v>2019-LTK-TOY-TDRA-010-12</v>
      </c>
      <c r="AG3410" s="661" t="str">
        <f>IF(AND($Y3410&gt;=32,(AI3410="I"),(Y3410&lt;&gt;"~"),(COUNTIF($AN$1:$AN3410,$AN3410)=1)),"TRUE","FALSE")</f>
        <v>FALSE</v>
      </c>
      <c r="AH3410" s="661" t="str">
        <f>IF(AND($Y3410&gt;=22, (AI3410&lt;&gt;"I"),(Y3410&lt;&gt;"~"),(COUNTIF($AN$1:$AN3410,$AN3410)=1)),"TRUE","FALSE")</f>
        <v>FALSE</v>
      </c>
      <c r="AI3410" s="661" t="str">
        <f t="shared" si="369"/>
        <v>II</v>
      </c>
      <c r="AJ3410" s="662" t="str">
        <f t="shared" si="370"/>
        <v>TDRA-010</v>
      </c>
      <c r="AK3410" s="662" t="str">
        <f t="shared" si="371"/>
        <v>LTK</v>
      </c>
      <c r="AL3410" s="662" t="str">
        <f t="shared" si="372"/>
        <v>TOY</v>
      </c>
      <c r="AM3410" s="662" t="str">
        <f t="shared" si="368"/>
        <v>Tundra-SR Double Cab-4WD-6-8'1"-9800-5.7L-8-8345-NA-164.6-26.4-Unleaded-Unleaded</v>
      </c>
      <c r="AN3410" s="662" t="str">
        <f t="shared" si="373"/>
        <v>2019-LTK-TOY-TDRA-010</v>
      </c>
    </row>
    <row r="3411" spans="1:40" ht="15">
      <c r="A3411" s="570" t="s">
        <v>6092</v>
      </c>
      <c r="B3411" s="573" t="s">
        <v>6093</v>
      </c>
      <c r="C3411" s="573" t="s">
        <v>605</v>
      </c>
      <c r="D3411" s="578">
        <v>12</v>
      </c>
      <c r="E3411" s="573" t="s">
        <v>3374</v>
      </c>
      <c r="F3411" s="573" t="s">
        <v>152</v>
      </c>
      <c r="G3411" s="573" t="s">
        <v>606</v>
      </c>
      <c r="H3411" s="573">
        <v>2019</v>
      </c>
      <c r="I3411" s="573" t="s">
        <v>6069</v>
      </c>
      <c r="J3411" s="573" t="s">
        <v>6094</v>
      </c>
      <c r="K3411" s="573" t="s">
        <v>3377</v>
      </c>
      <c r="L3411" s="573">
        <v>6</v>
      </c>
      <c r="M3411" s="573">
        <v>0</v>
      </c>
      <c r="N3411" s="573" t="s">
        <v>157</v>
      </c>
      <c r="O3411" s="573">
        <v>2</v>
      </c>
      <c r="P3411" s="573" t="s">
        <v>3767</v>
      </c>
      <c r="Q3411" s="571">
        <v>10100</v>
      </c>
      <c r="R3411" s="573" t="s">
        <v>646</v>
      </c>
      <c r="S3411" s="573">
        <v>8</v>
      </c>
      <c r="T3411" s="573">
        <v>8261</v>
      </c>
      <c r="U3411" s="573" t="s">
        <v>609</v>
      </c>
      <c r="V3411" s="573">
        <v>145.69999999999999</v>
      </c>
      <c r="W3411" s="573">
        <v>26.4</v>
      </c>
      <c r="X3411" s="571">
        <v>7000</v>
      </c>
      <c r="Y3411" s="573">
        <v>15</v>
      </c>
      <c r="Z3411" s="579" t="s">
        <v>178</v>
      </c>
      <c r="AA3411" s="579" t="s">
        <v>178</v>
      </c>
      <c r="AB3411" s="584">
        <v>38590</v>
      </c>
      <c r="AC3411" s="584" t="s">
        <v>164</v>
      </c>
      <c r="AD3411" s="584">
        <v>35700</v>
      </c>
      <c r="AE3411" s="586">
        <v>0.05</v>
      </c>
      <c r="AF3411" s="661" t="str">
        <f t="shared" si="374"/>
        <v>2019-LTK-TOY-TDRA-011-12</v>
      </c>
      <c r="AG3411" s="661" t="str">
        <f>IF(AND($Y3411&gt;=32,(AI3411="I"),(Y3411&lt;&gt;"~"),(COUNTIF($AN$1:$AN3411,$AN3411)=1)),"TRUE","FALSE")</f>
        <v>FALSE</v>
      </c>
      <c r="AH3411" s="661" t="str">
        <f>IF(AND($Y3411&gt;=22, (AI3411&lt;&gt;"I"),(Y3411&lt;&gt;"~"),(COUNTIF($AN$1:$AN3411,$AN3411)=1)),"TRUE","FALSE")</f>
        <v>FALSE</v>
      </c>
      <c r="AI3411" s="661" t="str">
        <f t="shared" si="369"/>
        <v>II</v>
      </c>
      <c r="AJ3411" s="662" t="str">
        <f t="shared" si="370"/>
        <v>TDRA-011</v>
      </c>
      <c r="AK3411" s="662" t="str">
        <f t="shared" si="371"/>
        <v>LTK</v>
      </c>
      <c r="AL3411" s="662" t="str">
        <f t="shared" si="372"/>
        <v>TOY</v>
      </c>
      <c r="AM3411" s="662" t="str">
        <f t="shared" si="368"/>
        <v>Tundra-SR5 CrewMax-2WD-6-5'5"-10100-5.7L-8-8261-NA-145.7-26.4-Unleaded-Unleaded</v>
      </c>
      <c r="AN3411" s="662" t="str">
        <f t="shared" si="373"/>
        <v>2019-LTK-TOY-TDRA-011</v>
      </c>
    </row>
    <row r="3412" spans="1:40" ht="15">
      <c r="A3412" s="570" t="s">
        <v>6095</v>
      </c>
      <c r="B3412" s="569" t="s">
        <v>6096</v>
      </c>
      <c r="C3412" s="569" t="s">
        <v>605</v>
      </c>
      <c r="D3412" s="580">
        <v>12</v>
      </c>
      <c r="E3412" s="569" t="s">
        <v>3374</v>
      </c>
      <c r="F3412" s="569" t="s">
        <v>152</v>
      </c>
      <c r="G3412" s="569" t="s">
        <v>606</v>
      </c>
      <c r="H3412" s="569">
        <v>2019</v>
      </c>
      <c r="I3412" s="569" t="s">
        <v>6069</v>
      </c>
      <c r="J3412" s="569" t="s">
        <v>6094</v>
      </c>
      <c r="K3412" s="569" t="s">
        <v>3377</v>
      </c>
      <c r="L3412" s="569">
        <v>6</v>
      </c>
      <c r="M3412" s="569">
        <v>0</v>
      </c>
      <c r="N3412" s="569" t="s">
        <v>157</v>
      </c>
      <c r="O3412" s="569">
        <v>2</v>
      </c>
      <c r="P3412" s="569" t="s">
        <v>3767</v>
      </c>
      <c r="Q3412" s="568">
        <v>6700</v>
      </c>
      <c r="R3412" s="569" t="s">
        <v>6083</v>
      </c>
      <c r="S3412" s="569">
        <v>8</v>
      </c>
      <c r="T3412" s="569">
        <v>8259</v>
      </c>
      <c r="U3412" s="569" t="s">
        <v>609</v>
      </c>
      <c r="V3412" s="569">
        <v>145.69999999999999</v>
      </c>
      <c r="W3412" s="569">
        <v>26.4</v>
      </c>
      <c r="X3412" s="568">
        <v>6800</v>
      </c>
      <c r="Y3412" s="569">
        <v>16</v>
      </c>
      <c r="Z3412" s="581" t="s">
        <v>178</v>
      </c>
      <c r="AA3412" s="581" t="s">
        <v>178</v>
      </c>
      <c r="AB3412" s="585">
        <v>37320</v>
      </c>
      <c r="AC3412" s="585" t="s">
        <v>164</v>
      </c>
      <c r="AD3412" s="585">
        <v>34400</v>
      </c>
      <c r="AE3412" s="587">
        <v>0.05</v>
      </c>
      <c r="AF3412" s="661" t="str">
        <f t="shared" si="374"/>
        <v>2019-LTK-TOY-TDRA-012-12</v>
      </c>
      <c r="AG3412" s="661" t="str">
        <f>IF(AND($Y3412&gt;=32,(AI3412="I"),(Y3412&lt;&gt;"~"),(COUNTIF($AN$1:$AN3412,$AN3412)=1)),"TRUE","FALSE")</f>
        <v>FALSE</v>
      </c>
      <c r="AH3412" s="661" t="str">
        <f>IF(AND($Y3412&gt;=22, (AI3412&lt;&gt;"I"),(Y3412&lt;&gt;"~"),(COUNTIF($AN$1:$AN3412,$AN3412)=1)),"TRUE","FALSE")</f>
        <v>FALSE</v>
      </c>
      <c r="AI3412" s="661" t="str">
        <f t="shared" si="369"/>
        <v>II</v>
      </c>
      <c r="AJ3412" s="662" t="str">
        <f t="shared" si="370"/>
        <v>TDRA-012</v>
      </c>
      <c r="AK3412" s="662" t="str">
        <f t="shared" si="371"/>
        <v>LTK</v>
      </c>
      <c r="AL3412" s="662" t="str">
        <f t="shared" si="372"/>
        <v>TOY</v>
      </c>
      <c r="AM3412" s="662" t="str">
        <f t="shared" si="368"/>
        <v>Tundra-SR5 CrewMax-2WD-6-5'5"-6700-4.6L-8-8259-NA-145.7-26.4-Unleaded-Unleaded</v>
      </c>
      <c r="AN3412" s="662" t="str">
        <f t="shared" si="373"/>
        <v>2019-LTK-TOY-TDRA-012</v>
      </c>
    </row>
    <row r="3413" spans="1:40" ht="15">
      <c r="A3413" s="570" t="s">
        <v>6097</v>
      </c>
      <c r="B3413" s="573" t="s">
        <v>6098</v>
      </c>
      <c r="C3413" s="573" t="s">
        <v>605</v>
      </c>
      <c r="D3413" s="578">
        <v>12</v>
      </c>
      <c r="E3413" s="573" t="s">
        <v>3374</v>
      </c>
      <c r="F3413" s="573" t="s">
        <v>152</v>
      </c>
      <c r="G3413" s="573" t="s">
        <v>606</v>
      </c>
      <c r="H3413" s="573">
        <v>2019</v>
      </c>
      <c r="I3413" s="573" t="s">
        <v>6069</v>
      </c>
      <c r="J3413" s="573" t="s">
        <v>6094</v>
      </c>
      <c r="K3413" s="573" t="s">
        <v>752</v>
      </c>
      <c r="L3413" s="573">
        <v>6</v>
      </c>
      <c r="M3413" s="573">
        <v>0</v>
      </c>
      <c r="N3413" s="573" t="s">
        <v>157</v>
      </c>
      <c r="O3413" s="573">
        <v>2</v>
      </c>
      <c r="P3413" s="573" t="s">
        <v>5351</v>
      </c>
      <c r="Q3413" s="571">
        <v>6400</v>
      </c>
      <c r="R3413" s="573" t="s">
        <v>6083</v>
      </c>
      <c r="S3413" s="573">
        <v>8</v>
      </c>
      <c r="T3413" s="573">
        <v>8359</v>
      </c>
      <c r="U3413" s="573" t="s">
        <v>609</v>
      </c>
      <c r="V3413" s="573">
        <v>145.69999999999999</v>
      </c>
      <c r="W3413" s="573">
        <v>26.4</v>
      </c>
      <c r="X3413" s="571">
        <v>7000</v>
      </c>
      <c r="Y3413" s="573">
        <v>16</v>
      </c>
      <c r="Z3413" s="579" t="s">
        <v>178</v>
      </c>
      <c r="AA3413" s="579" t="s">
        <v>178</v>
      </c>
      <c r="AB3413" s="584">
        <v>40370</v>
      </c>
      <c r="AC3413" s="584" t="s">
        <v>164</v>
      </c>
      <c r="AD3413" s="584">
        <v>37400</v>
      </c>
      <c r="AE3413" s="586">
        <v>0.05</v>
      </c>
      <c r="AF3413" s="661" t="str">
        <f t="shared" si="374"/>
        <v>2019-LTK-TOY-TDRA-013-12</v>
      </c>
      <c r="AG3413" s="661" t="str">
        <f>IF(AND($Y3413&gt;=32,(AI3413="I"),(Y3413&lt;&gt;"~"),(COUNTIF($AN$1:$AN3413,$AN3413)=1)),"TRUE","FALSE")</f>
        <v>FALSE</v>
      </c>
      <c r="AH3413" s="661" t="str">
        <f>IF(AND($Y3413&gt;=22, (AI3413&lt;&gt;"I"),(Y3413&lt;&gt;"~"),(COUNTIF($AN$1:$AN3413,$AN3413)=1)),"TRUE","FALSE")</f>
        <v>FALSE</v>
      </c>
      <c r="AI3413" s="661" t="str">
        <f t="shared" si="369"/>
        <v>II</v>
      </c>
      <c r="AJ3413" s="662" t="str">
        <f t="shared" si="370"/>
        <v>TDRA-013</v>
      </c>
      <c r="AK3413" s="662" t="str">
        <f t="shared" si="371"/>
        <v>LTK</v>
      </c>
      <c r="AL3413" s="662" t="str">
        <f t="shared" si="372"/>
        <v>TOY</v>
      </c>
      <c r="AM3413" s="662" t="str">
        <f t="shared" si="368"/>
        <v>Tundra-SR5 CrewMax-4WD-6-5'7"-6400-4.6L-8-8359-NA-145.7-26.4-Unleaded-Unleaded</v>
      </c>
      <c r="AN3413" s="662" t="str">
        <f t="shared" si="373"/>
        <v>2019-LTK-TOY-TDRA-013</v>
      </c>
    </row>
    <row r="3414" spans="1:40" ht="15">
      <c r="A3414" s="570" t="s">
        <v>6099</v>
      </c>
      <c r="B3414" s="569" t="s">
        <v>6100</v>
      </c>
      <c r="C3414" s="569" t="s">
        <v>605</v>
      </c>
      <c r="D3414" s="580">
        <v>12</v>
      </c>
      <c r="E3414" s="569" t="s">
        <v>3374</v>
      </c>
      <c r="F3414" s="569" t="s">
        <v>152</v>
      </c>
      <c r="G3414" s="569" t="s">
        <v>606</v>
      </c>
      <c r="H3414" s="569">
        <v>2019</v>
      </c>
      <c r="I3414" s="569" t="s">
        <v>6069</v>
      </c>
      <c r="J3414" s="569" t="s">
        <v>6094</v>
      </c>
      <c r="K3414" s="569" t="s">
        <v>752</v>
      </c>
      <c r="L3414" s="569">
        <v>6</v>
      </c>
      <c r="M3414" s="569">
        <v>0</v>
      </c>
      <c r="N3414" s="569" t="s">
        <v>157</v>
      </c>
      <c r="O3414" s="569">
        <v>2</v>
      </c>
      <c r="P3414" s="569" t="s">
        <v>5351</v>
      </c>
      <c r="Q3414" s="568">
        <v>9800</v>
      </c>
      <c r="R3414" s="569" t="s">
        <v>646</v>
      </c>
      <c r="S3414" s="569">
        <v>8</v>
      </c>
      <c r="T3414" s="569">
        <v>8361</v>
      </c>
      <c r="U3414" s="569" t="s">
        <v>609</v>
      </c>
      <c r="V3414" s="569">
        <v>145.69999999999999</v>
      </c>
      <c r="W3414" s="569">
        <v>26.4</v>
      </c>
      <c r="X3414" s="568">
        <v>7200</v>
      </c>
      <c r="Y3414" s="569">
        <v>15</v>
      </c>
      <c r="Z3414" s="581" t="s">
        <v>178</v>
      </c>
      <c r="AA3414" s="581" t="s">
        <v>178</v>
      </c>
      <c r="AB3414" s="585">
        <v>41640</v>
      </c>
      <c r="AC3414" s="585" t="s">
        <v>164</v>
      </c>
      <c r="AD3414" s="585">
        <v>38650</v>
      </c>
      <c r="AE3414" s="587">
        <v>0.05</v>
      </c>
      <c r="AF3414" s="661" t="str">
        <f t="shared" si="374"/>
        <v>2019-LTK-TOY-TDRA-014-12</v>
      </c>
      <c r="AG3414" s="661" t="str">
        <f>IF(AND($Y3414&gt;=32,(AI3414="I"),(Y3414&lt;&gt;"~"),(COUNTIF($AN$1:$AN3414,$AN3414)=1)),"TRUE","FALSE")</f>
        <v>FALSE</v>
      </c>
      <c r="AH3414" s="661" t="str">
        <f>IF(AND($Y3414&gt;=22, (AI3414&lt;&gt;"I"),(Y3414&lt;&gt;"~"),(COUNTIF($AN$1:$AN3414,$AN3414)=1)),"TRUE","FALSE")</f>
        <v>FALSE</v>
      </c>
      <c r="AI3414" s="661" t="str">
        <f t="shared" si="369"/>
        <v>II</v>
      </c>
      <c r="AJ3414" s="662" t="str">
        <f t="shared" si="370"/>
        <v>TDRA-014</v>
      </c>
      <c r="AK3414" s="662" t="str">
        <f t="shared" si="371"/>
        <v>LTK</v>
      </c>
      <c r="AL3414" s="662" t="str">
        <f t="shared" si="372"/>
        <v>TOY</v>
      </c>
      <c r="AM3414" s="662" t="str">
        <f t="shared" si="368"/>
        <v>Tundra-SR5 CrewMax-4WD-6-5'7"-9800-5.7L-8-8361-NA-145.7-26.4-Unleaded-Unleaded</v>
      </c>
      <c r="AN3414" s="662" t="str">
        <f t="shared" si="373"/>
        <v>2019-LTK-TOY-TDRA-014</v>
      </c>
    </row>
    <row r="3415" spans="1:40" ht="15">
      <c r="A3415" s="570" t="s">
        <v>6101</v>
      </c>
      <c r="B3415" s="573" t="s">
        <v>6102</v>
      </c>
      <c r="C3415" s="573" t="s">
        <v>605</v>
      </c>
      <c r="D3415" s="578">
        <v>12</v>
      </c>
      <c r="E3415" s="573" t="s">
        <v>3374</v>
      </c>
      <c r="F3415" s="573" t="s">
        <v>152</v>
      </c>
      <c r="G3415" s="573" t="s">
        <v>606</v>
      </c>
      <c r="H3415" s="573">
        <v>2019</v>
      </c>
      <c r="I3415" s="573" t="s">
        <v>6069</v>
      </c>
      <c r="J3415" s="573" t="s">
        <v>6103</v>
      </c>
      <c r="K3415" s="573" t="s">
        <v>3377</v>
      </c>
      <c r="L3415" s="573">
        <v>6</v>
      </c>
      <c r="M3415" s="573">
        <v>0</v>
      </c>
      <c r="N3415" s="573" t="s">
        <v>157</v>
      </c>
      <c r="O3415" s="573">
        <v>2</v>
      </c>
      <c r="P3415" s="573" t="s">
        <v>3781</v>
      </c>
      <c r="Q3415" s="571">
        <v>10200</v>
      </c>
      <c r="R3415" s="573" t="s">
        <v>646</v>
      </c>
      <c r="S3415" s="573">
        <v>8</v>
      </c>
      <c r="T3415" s="573">
        <v>8241</v>
      </c>
      <c r="U3415" s="573" t="s">
        <v>609</v>
      </c>
      <c r="V3415" s="573">
        <v>145.69999999999999</v>
      </c>
      <c r="W3415" s="573">
        <v>26.4</v>
      </c>
      <c r="X3415" s="571">
        <v>6900</v>
      </c>
      <c r="Y3415" s="573">
        <v>15</v>
      </c>
      <c r="Z3415" s="579" t="s">
        <v>178</v>
      </c>
      <c r="AA3415" s="579" t="s">
        <v>178</v>
      </c>
      <c r="AB3415" s="584">
        <v>35985</v>
      </c>
      <c r="AC3415" s="584" t="s">
        <v>164</v>
      </c>
      <c r="AD3415" s="584">
        <v>33200</v>
      </c>
      <c r="AE3415" s="586">
        <v>0.05</v>
      </c>
      <c r="AF3415" s="661" t="str">
        <f t="shared" si="374"/>
        <v>2019-LTK-TOY-TDRA-015-12</v>
      </c>
      <c r="AG3415" s="661" t="str">
        <f>IF(AND($Y3415&gt;=32,(AI3415="I"),(Y3415&lt;&gt;"~"),(COUNTIF($AN$1:$AN3415,$AN3415)=1)),"TRUE","FALSE")</f>
        <v>FALSE</v>
      </c>
      <c r="AH3415" s="661" t="str">
        <f>IF(AND($Y3415&gt;=22, (AI3415&lt;&gt;"I"),(Y3415&lt;&gt;"~"),(COUNTIF($AN$1:$AN3415,$AN3415)=1)),"TRUE","FALSE")</f>
        <v>FALSE</v>
      </c>
      <c r="AI3415" s="661" t="str">
        <f t="shared" si="369"/>
        <v>II</v>
      </c>
      <c r="AJ3415" s="662" t="str">
        <f t="shared" si="370"/>
        <v>TDRA-015</v>
      </c>
      <c r="AK3415" s="662" t="str">
        <f t="shared" si="371"/>
        <v>LTK</v>
      </c>
      <c r="AL3415" s="662" t="str">
        <f t="shared" si="372"/>
        <v>TOY</v>
      </c>
      <c r="AM3415" s="662" t="str">
        <f t="shared" si="368"/>
        <v>Tundra-SR5 Double Cab-2WD-6-6'5"-10200-5.7L-8-8241-NA-145.7-26.4-Unleaded-Unleaded</v>
      </c>
      <c r="AN3415" s="662" t="str">
        <f t="shared" si="373"/>
        <v>2019-LTK-TOY-TDRA-015</v>
      </c>
    </row>
    <row r="3416" spans="1:40" ht="15">
      <c r="A3416" s="570" t="s">
        <v>6104</v>
      </c>
      <c r="B3416" s="569" t="s">
        <v>6105</v>
      </c>
      <c r="C3416" s="569" t="s">
        <v>605</v>
      </c>
      <c r="D3416" s="580">
        <v>12</v>
      </c>
      <c r="E3416" s="569" t="s">
        <v>3374</v>
      </c>
      <c r="F3416" s="569" t="s">
        <v>152</v>
      </c>
      <c r="G3416" s="569" t="s">
        <v>606</v>
      </c>
      <c r="H3416" s="569">
        <v>2019</v>
      </c>
      <c r="I3416" s="569" t="s">
        <v>6069</v>
      </c>
      <c r="J3416" s="569" t="s">
        <v>6103</v>
      </c>
      <c r="K3416" s="569" t="s">
        <v>3377</v>
      </c>
      <c r="L3416" s="569">
        <v>6</v>
      </c>
      <c r="M3416" s="569">
        <v>0</v>
      </c>
      <c r="N3416" s="569" t="s">
        <v>157</v>
      </c>
      <c r="O3416" s="569">
        <v>2</v>
      </c>
      <c r="P3416" s="569" t="s">
        <v>3781</v>
      </c>
      <c r="Q3416" s="568">
        <v>6800</v>
      </c>
      <c r="R3416" s="569" t="s">
        <v>6083</v>
      </c>
      <c r="S3416" s="569">
        <v>8</v>
      </c>
      <c r="T3416" s="569">
        <v>8240</v>
      </c>
      <c r="U3416" s="569" t="s">
        <v>609</v>
      </c>
      <c r="V3416" s="569">
        <v>145.69999999999999</v>
      </c>
      <c r="W3416" s="569">
        <v>26.4</v>
      </c>
      <c r="X3416" s="568">
        <v>6700</v>
      </c>
      <c r="Y3416" s="569">
        <v>16</v>
      </c>
      <c r="Z3416" s="581" t="s">
        <v>178</v>
      </c>
      <c r="AA3416" s="581" t="s">
        <v>178</v>
      </c>
      <c r="AB3416" s="585">
        <v>34715</v>
      </c>
      <c r="AC3416" s="585" t="s">
        <v>164</v>
      </c>
      <c r="AD3416" s="585">
        <v>31990</v>
      </c>
      <c r="AE3416" s="587">
        <v>0.05</v>
      </c>
      <c r="AF3416" s="661" t="str">
        <f t="shared" si="374"/>
        <v>2019-LTK-TOY-TDRA-016-12</v>
      </c>
      <c r="AG3416" s="661" t="str">
        <f>IF(AND($Y3416&gt;=32,(AI3416="I"),(Y3416&lt;&gt;"~"),(COUNTIF($AN$1:$AN3416,$AN3416)=1)),"TRUE","FALSE")</f>
        <v>FALSE</v>
      </c>
      <c r="AH3416" s="661" t="str">
        <f>IF(AND($Y3416&gt;=22, (AI3416&lt;&gt;"I"),(Y3416&lt;&gt;"~"),(COUNTIF($AN$1:$AN3416,$AN3416)=1)),"TRUE","FALSE")</f>
        <v>FALSE</v>
      </c>
      <c r="AI3416" s="661" t="str">
        <f t="shared" si="369"/>
        <v>II</v>
      </c>
      <c r="AJ3416" s="662" t="str">
        <f t="shared" si="370"/>
        <v>TDRA-016</v>
      </c>
      <c r="AK3416" s="662" t="str">
        <f t="shared" si="371"/>
        <v>LTK</v>
      </c>
      <c r="AL3416" s="662" t="str">
        <f t="shared" si="372"/>
        <v>TOY</v>
      </c>
      <c r="AM3416" s="662" t="str">
        <f t="shared" si="368"/>
        <v>Tundra-SR5 Double Cab-2WD-6-6'5"-6800-4.6L-8-8240-NA-145.7-26.4-Unleaded-Unleaded</v>
      </c>
      <c r="AN3416" s="662" t="str">
        <f t="shared" si="373"/>
        <v>2019-LTK-TOY-TDRA-016</v>
      </c>
    </row>
    <row r="3417" spans="1:40" ht="15">
      <c r="A3417" s="570" t="s">
        <v>6106</v>
      </c>
      <c r="B3417" s="573" t="s">
        <v>6107</v>
      </c>
      <c r="C3417" s="573" t="s">
        <v>605</v>
      </c>
      <c r="D3417" s="578">
        <v>12</v>
      </c>
      <c r="E3417" s="573" t="s">
        <v>3374</v>
      </c>
      <c r="F3417" s="573" t="s">
        <v>152</v>
      </c>
      <c r="G3417" s="573" t="s">
        <v>606</v>
      </c>
      <c r="H3417" s="573">
        <v>2019</v>
      </c>
      <c r="I3417" s="573" t="s">
        <v>6069</v>
      </c>
      <c r="J3417" s="573" t="s">
        <v>6103</v>
      </c>
      <c r="K3417" s="573" t="s">
        <v>3377</v>
      </c>
      <c r="L3417" s="573">
        <v>6</v>
      </c>
      <c r="M3417" s="573">
        <v>0</v>
      </c>
      <c r="N3417" s="573" t="s">
        <v>157</v>
      </c>
      <c r="O3417" s="573">
        <v>2</v>
      </c>
      <c r="P3417" s="573" t="s">
        <v>3508</v>
      </c>
      <c r="Q3417" s="571">
        <v>10200</v>
      </c>
      <c r="R3417" s="573" t="s">
        <v>646</v>
      </c>
      <c r="S3417" s="573">
        <v>8</v>
      </c>
      <c r="T3417" s="573">
        <v>8246</v>
      </c>
      <c r="U3417" s="573" t="s">
        <v>609</v>
      </c>
      <c r="V3417" s="573">
        <v>164.6</v>
      </c>
      <c r="W3417" s="573">
        <v>26.4</v>
      </c>
      <c r="X3417" s="571">
        <v>7000</v>
      </c>
      <c r="Y3417" s="573">
        <v>15</v>
      </c>
      <c r="Z3417" s="579" t="s">
        <v>178</v>
      </c>
      <c r="AA3417" s="579" t="s">
        <v>178</v>
      </c>
      <c r="AB3417" s="584">
        <v>36315</v>
      </c>
      <c r="AC3417" s="584" t="s">
        <v>164</v>
      </c>
      <c r="AD3417" s="584">
        <v>33500</v>
      </c>
      <c r="AE3417" s="586">
        <v>0.05</v>
      </c>
      <c r="AF3417" s="661" t="str">
        <f t="shared" si="374"/>
        <v>2019-LTK-TOY-TDRA-017-12</v>
      </c>
      <c r="AG3417" s="661" t="str">
        <f>IF(AND($Y3417&gt;=32,(AI3417="I"),(Y3417&lt;&gt;"~"),(COUNTIF($AN$1:$AN3417,$AN3417)=1)),"TRUE","FALSE")</f>
        <v>FALSE</v>
      </c>
      <c r="AH3417" s="661" t="str">
        <f>IF(AND($Y3417&gt;=22, (AI3417&lt;&gt;"I"),(Y3417&lt;&gt;"~"),(COUNTIF($AN$1:$AN3417,$AN3417)=1)),"TRUE","FALSE")</f>
        <v>FALSE</v>
      </c>
      <c r="AI3417" s="661" t="str">
        <f t="shared" si="369"/>
        <v>II</v>
      </c>
      <c r="AJ3417" s="662" t="str">
        <f t="shared" si="370"/>
        <v>TDRA-017</v>
      </c>
      <c r="AK3417" s="662" t="str">
        <f t="shared" si="371"/>
        <v>LTK</v>
      </c>
      <c r="AL3417" s="662" t="str">
        <f t="shared" si="372"/>
        <v>TOY</v>
      </c>
      <c r="AM3417" s="662" t="str">
        <f t="shared" si="368"/>
        <v>Tundra-SR5 Double Cab-2WD-6-8'1"-10200-5.7L-8-8246-NA-164.6-26.4-Unleaded-Unleaded</v>
      </c>
      <c r="AN3417" s="662" t="str">
        <f t="shared" si="373"/>
        <v>2019-LTK-TOY-TDRA-017</v>
      </c>
    </row>
    <row r="3418" spans="1:40" ht="15">
      <c r="A3418" s="570" t="s">
        <v>6108</v>
      </c>
      <c r="B3418" s="569" t="s">
        <v>6109</v>
      </c>
      <c r="C3418" s="569" t="s">
        <v>605</v>
      </c>
      <c r="D3418" s="580">
        <v>12</v>
      </c>
      <c r="E3418" s="569" t="s">
        <v>3374</v>
      </c>
      <c r="F3418" s="569" t="s">
        <v>152</v>
      </c>
      <c r="G3418" s="569" t="s">
        <v>606</v>
      </c>
      <c r="H3418" s="569">
        <v>2019</v>
      </c>
      <c r="I3418" s="569" t="s">
        <v>6069</v>
      </c>
      <c r="J3418" s="569" t="s">
        <v>6103</v>
      </c>
      <c r="K3418" s="569" t="s">
        <v>752</v>
      </c>
      <c r="L3418" s="569">
        <v>6</v>
      </c>
      <c r="M3418" s="569">
        <v>0</v>
      </c>
      <c r="N3418" s="569" t="s">
        <v>157</v>
      </c>
      <c r="O3418" s="569">
        <v>2</v>
      </c>
      <c r="P3418" s="569" t="s">
        <v>3781</v>
      </c>
      <c r="Q3418" s="568">
        <v>6500</v>
      </c>
      <c r="R3418" s="569" t="s">
        <v>6083</v>
      </c>
      <c r="S3418" s="569">
        <v>8</v>
      </c>
      <c r="T3418" s="569">
        <v>8340</v>
      </c>
      <c r="U3418" s="569" t="s">
        <v>609</v>
      </c>
      <c r="V3418" s="569">
        <v>145.69999999999999</v>
      </c>
      <c r="W3418" s="569">
        <v>26.4</v>
      </c>
      <c r="X3418" s="568">
        <v>6900</v>
      </c>
      <c r="Y3418" s="569">
        <v>16</v>
      </c>
      <c r="Z3418" s="581" t="s">
        <v>178</v>
      </c>
      <c r="AA3418" s="581" t="s">
        <v>178</v>
      </c>
      <c r="AB3418" s="585">
        <v>37765</v>
      </c>
      <c r="AC3418" s="585" t="s">
        <v>164</v>
      </c>
      <c r="AD3418" s="585">
        <v>34900</v>
      </c>
      <c r="AE3418" s="587">
        <v>0.05</v>
      </c>
      <c r="AF3418" s="661" t="str">
        <f t="shared" si="374"/>
        <v>2019-LTK-TOY-TDRA-018-12</v>
      </c>
      <c r="AG3418" s="661" t="str">
        <f>IF(AND($Y3418&gt;=32,(AI3418="I"),(Y3418&lt;&gt;"~"),(COUNTIF($AN$1:$AN3418,$AN3418)=1)),"TRUE","FALSE")</f>
        <v>FALSE</v>
      </c>
      <c r="AH3418" s="661" t="str">
        <f>IF(AND($Y3418&gt;=22, (AI3418&lt;&gt;"I"),(Y3418&lt;&gt;"~"),(COUNTIF($AN$1:$AN3418,$AN3418)=1)),"TRUE","FALSE")</f>
        <v>FALSE</v>
      </c>
      <c r="AI3418" s="661" t="str">
        <f t="shared" si="369"/>
        <v>II</v>
      </c>
      <c r="AJ3418" s="662" t="str">
        <f t="shared" si="370"/>
        <v>TDRA-018</v>
      </c>
      <c r="AK3418" s="662" t="str">
        <f t="shared" si="371"/>
        <v>LTK</v>
      </c>
      <c r="AL3418" s="662" t="str">
        <f t="shared" si="372"/>
        <v>TOY</v>
      </c>
      <c r="AM3418" s="662" t="str">
        <f t="shared" si="368"/>
        <v>Tundra-SR5 Double Cab-4WD-6-6'5"-6500-4.6L-8-8340-NA-145.7-26.4-Unleaded-Unleaded</v>
      </c>
      <c r="AN3418" s="662" t="str">
        <f t="shared" si="373"/>
        <v>2019-LTK-TOY-TDRA-018</v>
      </c>
    </row>
    <row r="3419" spans="1:40" ht="15">
      <c r="A3419" s="570" t="s">
        <v>6110</v>
      </c>
      <c r="B3419" s="573" t="s">
        <v>6111</v>
      </c>
      <c r="C3419" s="573" t="s">
        <v>605</v>
      </c>
      <c r="D3419" s="578">
        <v>12</v>
      </c>
      <c r="E3419" s="573" t="s">
        <v>3374</v>
      </c>
      <c r="F3419" s="573" t="s">
        <v>152</v>
      </c>
      <c r="G3419" s="573" t="s">
        <v>606</v>
      </c>
      <c r="H3419" s="573">
        <v>2019</v>
      </c>
      <c r="I3419" s="573" t="s">
        <v>6069</v>
      </c>
      <c r="J3419" s="573" t="s">
        <v>6103</v>
      </c>
      <c r="K3419" s="573" t="s">
        <v>752</v>
      </c>
      <c r="L3419" s="573">
        <v>6</v>
      </c>
      <c r="M3419" s="573">
        <v>0</v>
      </c>
      <c r="N3419" s="573" t="s">
        <v>157</v>
      </c>
      <c r="O3419" s="573">
        <v>2</v>
      </c>
      <c r="P3419" s="573" t="s">
        <v>3781</v>
      </c>
      <c r="Q3419" s="571">
        <v>9900</v>
      </c>
      <c r="R3419" s="573" t="s">
        <v>646</v>
      </c>
      <c r="S3419" s="573">
        <v>8</v>
      </c>
      <c r="T3419" s="573">
        <v>8341</v>
      </c>
      <c r="U3419" s="573" t="s">
        <v>609</v>
      </c>
      <c r="V3419" s="573">
        <v>145.69999999999999</v>
      </c>
      <c r="W3419" s="573">
        <v>26.4</v>
      </c>
      <c r="X3419" s="571">
        <v>7100</v>
      </c>
      <c r="Y3419" s="573">
        <v>14</v>
      </c>
      <c r="Z3419" s="579" t="s">
        <v>178</v>
      </c>
      <c r="AA3419" s="579" t="s">
        <v>178</v>
      </c>
      <c r="AB3419" s="584">
        <v>39035</v>
      </c>
      <c r="AC3419" s="584" t="s">
        <v>164</v>
      </c>
      <c r="AD3419" s="584">
        <v>36100</v>
      </c>
      <c r="AE3419" s="586">
        <v>0.05</v>
      </c>
      <c r="AF3419" s="661" t="str">
        <f t="shared" si="374"/>
        <v>2019-LTK-TOY-TDRA-019-12</v>
      </c>
      <c r="AG3419" s="661" t="str">
        <f>IF(AND($Y3419&gt;=32,(AI3419="I"),(Y3419&lt;&gt;"~"),(COUNTIF($AN$1:$AN3419,$AN3419)=1)),"TRUE","FALSE")</f>
        <v>FALSE</v>
      </c>
      <c r="AH3419" s="661" t="str">
        <f>IF(AND($Y3419&gt;=22, (AI3419&lt;&gt;"I"),(Y3419&lt;&gt;"~"),(COUNTIF($AN$1:$AN3419,$AN3419)=1)),"TRUE","FALSE")</f>
        <v>FALSE</v>
      </c>
      <c r="AI3419" s="661" t="str">
        <f t="shared" si="369"/>
        <v>II</v>
      </c>
      <c r="AJ3419" s="662" t="str">
        <f t="shared" si="370"/>
        <v>TDRA-019</v>
      </c>
      <c r="AK3419" s="662" t="str">
        <f t="shared" si="371"/>
        <v>LTK</v>
      </c>
      <c r="AL3419" s="662" t="str">
        <f t="shared" si="372"/>
        <v>TOY</v>
      </c>
      <c r="AM3419" s="662" t="str">
        <f t="shared" ref="AM3419:AM3482" si="375">CONCATENATE(I3419,"-",J3419,"-",K3419,"-",L3419,"-",P3419,"-",Q3419,"-",R3419,"-",S3419,"-",T3419,"-",U3419,"-",V3419,"-",W3419,"-",Z3419,"-",AA3419)</f>
        <v>Tundra-SR5 Double Cab-4WD-6-6'5"-9900-5.7L-8-8341-NA-145.7-26.4-Unleaded-Unleaded</v>
      </c>
      <c r="AN3419" s="662" t="str">
        <f t="shared" si="373"/>
        <v>2019-LTK-TOY-TDRA-019</v>
      </c>
    </row>
    <row r="3420" spans="1:40" ht="15">
      <c r="A3420" s="570" t="s">
        <v>6112</v>
      </c>
      <c r="B3420" s="569" t="s">
        <v>6113</v>
      </c>
      <c r="C3420" s="569" t="s">
        <v>605</v>
      </c>
      <c r="D3420" s="580">
        <v>12</v>
      </c>
      <c r="E3420" s="569" t="s">
        <v>3374</v>
      </c>
      <c r="F3420" s="569" t="s">
        <v>152</v>
      </c>
      <c r="G3420" s="569" t="s">
        <v>606</v>
      </c>
      <c r="H3420" s="569">
        <v>2019</v>
      </c>
      <c r="I3420" s="569" t="s">
        <v>6069</v>
      </c>
      <c r="J3420" s="569" t="s">
        <v>6103</v>
      </c>
      <c r="K3420" s="569" t="s">
        <v>752</v>
      </c>
      <c r="L3420" s="569">
        <v>6</v>
      </c>
      <c r="M3420" s="569">
        <v>0</v>
      </c>
      <c r="N3420" s="569" t="s">
        <v>157</v>
      </c>
      <c r="O3420" s="569">
        <v>2</v>
      </c>
      <c r="P3420" s="569" t="s">
        <v>3508</v>
      </c>
      <c r="Q3420" s="568">
        <v>9800</v>
      </c>
      <c r="R3420" s="569" t="s">
        <v>646</v>
      </c>
      <c r="S3420" s="569">
        <v>8</v>
      </c>
      <c r="T3420" s="569">
        <v>8346</v>
      </c>
      <c r="U3420" s="569" t="s">
        <v>609</v>
      </c>
      <c r="V3420" s="569">
        <v>164.6</v>
      </c>
      <c r="W3420" s="569">
        <v>26.4</v>
      </c>
      <c r="X3420" s="568">
        <v>7200</v>
      </c>
      <c r="Y3420" s="569">
        <v>15</v>
      </c>
      <c r="Z3420" s="581" t="s">
        <v>178</v>
      </c>
      <c r="AA3420" s="581" t="s">
        <v>178</v>
      </c>
      <c r="AB3420" s="585">
        <v>39365</v>
      </c>
      <c r="AC3420" s="585" t="s">
        <v>164</v>
      </c>
      <c r="AD3420" s="585">
        <v>36450</v>
      </c>
      <c r="AE3420" s="587">
        <v>0.05</v>
      </c>
      <c r="AF3420" s="661" t="str">
        <f t="shared" si="374"/>
        <v>2019-LTK-TOY-TDRA-020-12</v>
      </c>
      <c r="AG3420" s="661" t="str">
        <f>IF(AND($Y3420&gt;=32,(AI3420="I"),(Y3420&lt;&gt;"~"),(COUNTIF($AN$1:$AN3420,$AN3420)=1)),"TRUE","FALSE")</f>
        <v>FALSE</v>
      </c>
      <c r="AH3420" s="661" t="str">
        <f>IF(AND($Y3420&gt;=22, (AI3420&lt;&gt;"I"),(Y3420&lt;&gt;"~"),(COUNTIF($AN$1:$AN3420,$AN3420)=1)),"TRUE","FALSE")</f>
        <v>FALSE</v>
      </c>
      <c r="AI3420" s="661" t="str">
        <f t="shared" ref="AI3420:AI3483" si="376">IF(OR((LEFT($E3420,2)="01"),AND(LEFT($E3420,2)="06",ISNUMBER(SEARCH("pas",$F3420))),AND(LEFT($E3420,2)="05",ISNUMBER(SEARCH("pas",$F3420)))),"I",IF(AND((LEFT($E3420,2)&lt;&gt;"01"),$X3420&lt;=10000),"II",IF(AND((LEFT($E3420,2)&lt;&gt;"01"),$X3420&gt;10000),"N/A")))</f>
        <v>II</v>
      </c>
      <c r="AJ3420" s="662" t="str">
        <f t="shared" si="370"/>
        <v>TDRA-020</v>
      </c>
      <c r="AK3420" s="662" t="str">
        <f t="shared" si="371"/>
        <v>LTK</v>
      </c>
      <c r="AL3420" s="662" t="str">
        <f t="shared" si="372"/>
        <v>TOY</v>
      </c>
      <c r="AM3420" s="662" t="str">
        <f t="shared" si="375"/>
        <v>Tundra-SR5 Double Cab-4WD-6-8'1"-9800-5.7L-8-8346-NA-164.6-26.4-Unleaded-Unleaded</v>
      </c>
      <c r="AN3420" s="662" t="str">
        <f t="shared" si="373"/>
        <v>2019-LTK-TOY-TDRA-020</v>
      </c>
    </row>
    <row r="3421" spans="1:40" ht="30">
      <c r="A3421" s="570" t="s">
        <v>6114</v>
      </c>
      <c r="B3421" s="573" t="s">
        <v>6115</v>
      </c>
      <c r="C3421" s="573" t="s">
        <v>169</v>
      </c>
      <c r="D3421" s="578">
        <v>11</v>
      </c>
      <c r="E3421" s="573" t="s">
        <v>693</v>
      </c>
      <c r="F3421" s="573" t="s">
        <v>6116</v>
      </c>
      <c r="G3421" s="573" t="s">
        <v>153</v>
      </c>
      <c r="H3421" s="573">
        <v>2019</v>
      </c>
      <c r="I3421" s="573" t="s">
        <v>3464</v>
      </c>
      <c r="J3421" s="573" t="s">
        <v>6117</v>
      </c>
      <c r="K3421" s="573" t="s">
        <v>3377</v>
      </c>
      <c r="L3421" s="573">
        <v>5</v>
      </c>
      <c r="M3421" s="573">
        <v>0</v>
      </c>
      <c r="N3421" s="573" t="s">
        <v>157</v>
      </c>
      <c r="O3421" s="573">
        <v>2</v>
      </c>
      <c r="P3421" s="573" t="s">
        <v>3515</v>
      </c>
      <c r="Q3421" s="571" t="s">
        <v>157</v>
      </c>
      <c r="R3421" s="573" t="s">
        <v>753</v>
      </c>
      <c r="S3421" s="573">
        <v>8</v>
      </c>
      <c r="T3421" s="573" t="s">
        <v>3467</v>
      </c>
      <c r="U3421" s="573" t="s">
        <v>6118</v>
      </c>
      <c r="V3421" s="573">
        <v>147.43</v>
      </c>
      <c r="W3421" s="573">
        <v>24</v>
      </c>
      <c r="X3421" s="571">
        <v>6900</v>
      </c>
      <c r="Y3421" s="573">
        <v>17</v>
      </c>
      <c r="Z3421" s="579" t="s">
        <v>178</v>
      </c>
      <c r="AA3421" s="579" t="s">
        <v>178</v>
      </c>
      <c r="AB3421" s="584">
        <v>39160</v>
      </c>
      <c r="AC3421" s="584" t="s">
        <v>164</v>
      </c>
      <c r="AD3421" s="584">
        <v>27873.333333333336</v>
      </c>
      <c r="AE3421" s="586">
        <v>0.05</v>
      </c>
      <c r="AF3421" s="661" t="str">
        <f t="shared" si="374"/>
        <v>2019-SSV-CHV-SV15-022-11</v>
      </c>
      <c r="AG3421" s="661" t="str">
        <f>IF(AND($Y3421&gt;=32,(AI3421="I"),(Y3421&lt;&gt;"~"),(COUNTIF($AN$1:$AN3421,$AN3421)=1)),"TRUE","FALSE")</f>
        <v>FALSE</v>
      </c>
      <c r="AH3421" s="661" t="str">
        <f>IF(AND($Y3421&gt;=22, (AI3421&lt;&gt;"I"),(Y3421&lt;&gt;"~"),(COUNTIF($AN$1:$AN3421,$AN3421)=1)),"TRUE","FALSE")</f>
        <v>FALSE</v>
      </c>
      <c r="AI3421" s="661" t="str">
        <f t="shared" si="376"/>
        <v>II</v>
      </c>
      <c r="AJ3421" s="662" t="str">
        <f t="shared" si="370"/>
        <v>SV15-022</v>
      </c>
      <c r="AK3421" s="662" t="str">
        <f t="shared" si="371"/>
        <v>SSV</v>
      </c>
      <c r="AL3421" s="662" t="str">
        <f t="shared" si="372"/>
        <v>CHV</v>
      </c>
      <c r="AM3421" s="662" t="str">
        <f t="shared" si="375"/>
        <v>Silverado 1500-WT / SSV Crew Cab Short Bed-2WD-5-5'8"-~-5.3L-8-CC10543-1WT/5W4/PCV-147.43-24-Unleaded-Unleaded</v>
      </c>
      <c r="AN3421" s="662" t="str">
        <f t="shared" si="373"/>
        <v>2019-SSV-CHV-SV15-022</v>
      </c>
    </row>
    <row r="3422" spans="1:40" ht="30">
      <c r="A3422" s="570" t="s">
        <v>6119</v>
      </c>
      <c r="B3422" s="569" t="s">
        <v>6115</v>
      </c>
      <c r="C3422" s="569" t="s">
        <v>150</v>
      </c>
      <c r="D3422" s="580">
        <v>13</v>
      </c>
      <c r="E3422" s="569" t="s">
        <v>693</v>
      </c>
      <c r="F3422" s="569" t="s">
        <v>6116</v>
      </c>
      <c r="G3422" s="569" t="s">
        <v>153</v>
      </c>
      <c r="H3422" s="569">
        <v>2019</v>
      </c>
      <c r="I3422" s="569" t="s">
        <v>3464</v>
      </c>
      <c r="J3422" s="569" t="s">
        <v>6117</v>
      </c>
      <c r="K3422" s="569" t="s">
        <v>3377</v>
      </c>
      <c r="L3422" s="569">
        <v>5</v>
      </c>
      <c r="M3422" s="569">
        <v>0</v>
      </c>
      <c r="N3422" s="569" t="s">
        <v>157</v>
      </c>
      <c r="O3422" s="569">
        <v>2</v>
      </c>
      <c r="P3422" s="569" t="s">
        <v>3466</v>
      </c>
      <c r="Q3422" s="568" t="s">
        <v>157</v>
      </c>
      <c r="R3422" s="569" t="s">
        <v>753</v>
      </c>
      <c r="S3422" s="569">
        <v>8</v>
      </c>
      <c r="T3422" s="569" t="s">
        <v>3486</v>
      </c>
      <c r="U3422" s="569" t="s">
        <v>6120</v>
      </c>
      <c r="V3422" s="569">
        <v>143.5</v>
      </c>
      <c r="W3422" s="569">
        <v>26</v>
      </c>
      <c r="X3422" s="568">
        <v>7400</v>
      </c>
      <c r="Y3422" s="569">
        <v>18</v>
      </c>
      <c r="Z3422" s="581" t="s">
        <v>450</v>
      </c>
      <c r="AA3422" s="581" t="s">
        <v>178</v>
      </c>
      <c r="AB3422" s="585">
        <v>38735</v>
      </c>
      <c r="AC3422" s="585" t="s">
        <v>164</v>
      </c>
      <c r="AD3422" s="585">
        <v>30234</v>
      </c>
      <c r="AE3422" s="587">
        <v>0.03</v>
      </c>
      <c r="AF3422" s="661" t="str">
        <f t="shared" si="374"/>
        <v>2019-SSV-CHV-SV15-022-13</v>
      </c>
      <c r="AG3422" s="661" t="str">
        <f>IF(AND($Y3422&gt;=32,(AI3422="I"),(Y3422&lt;&gt;"~"),(COUNTIF($AN$1:$AN3422,$AN3422)=1)),"TRUE","FALSE")</f>
        <v>FALSE</v>
      </c>
      <c r="AH3422" s="661" t="str">
        <f>IF(AND($Y3422&gt;=22, (AI3422&lt;&gt;"I"),(Y3422&lt;&gt;"~"),(COUNTIF($AN$1:$AN3422,$AN3422)=1)),"TRUE","FALSE")</f>
        <v>FALSE</v>
      </c>
      <c r="AI3422" s="661" t="str">
        <f t="shared" si="376"/>
        <v>II</v>
      </c>
      <c r="AJ3422" s="662" t="str">
        <f t="shared" si="370"/>
        <v>SV15-022</v>
      </c>
      <c r="AK3422" s="662" t="str">
        <f t="shared" si="371"/>
        <v>SSV</v>
      </c>
      <c r="AL3422" s="662" t="str">
        <f t="shared" si="372"/>
        <v>CHV</v>
      </c>
      <c r="AM3422" s="662" t="str">
        <f t="shared" si="375"/>
        <v>Silverado 1500-WT / SSV Crew Cab Short Bed-2WD-5-5'9"-~-5.3L-8-CC15543-1WT/5W4-143.5-26-E85-Unleaded</v>
      </c>
      <c r="AN3422" s="662" t="str">
        <f t="shared" si="373"/>
        <v>2019-SSV-CHV-SV15-022</v>
      </c>
    </row>
    <row r="3423" spans="1:40" ht="30">
      <c r="A3423" s="570" t="s">
        <v>6121</v>
      </c>
      <c r="B3423" s="573" t="s">
        <v>6115</v>
      </c>
      <c r="C3423" s="573" t="s">
        <v>166</v>
      </c>
      <c r="D3423" s="578">
        <v>17</v>
      </c>
      <c r="E3423" s="573" t="s">
        <v>693</v>
      </c>
      <c r="F3423" s="573" t="s">
        <v>6116</v>
      </c>
      <c r="G3423" s="573" t="s">
        <v>153</v>
      </c>
      <c r="H3423" s="573">
        <v>2019</v>
      </c>
      <c r="I3423" s="573" t="s">
        <v>3464</v>
      </c>
      <c r="J3423" s="573" t="s">
        <v>6117</v>
      </c>
      <c r="K3423" s="573" t="s">
        <v>3377</v>
      </c>
      <c r="L3423" s="573">
        <v>5</v>
      </c>
      <c r="M3423" s="573">
        <v>0</v>
      </c>
      <c r="N3423" s="573" t="s">
        <v>157</v>
      </c>
      <c r="O3423" s="573">
        <v>2</v>
      </c>
      <c r="P3423" s="573" t="s">
        <v>3466</v>
      </c>
      <c r="Q3423" s="571" t="s">
        <v>157</v>
      </c>
      <c r="R3423" s="573" t="s">
        <v>753</v>
      </c>
      <c r="S3423" s="573">
        <v>8</v>
      </c>
      <c r="T3423" s="573" t="s">
        <v>3486</v>
      </c>
      <c r="U3423" s="573" t="s">
        <v>6120</v>
      </c>
      <c r="V3423" s="573">
        <v>143.5</v>
      </c>
      <c r="W3423" s="573">
        <v>26</v>
      </c>
      <c r="X3423" s="571">
        <v>7100</v>
      </c>
      <c r="Y3423" s="573">
        <v>18</v>
      </c>
      <c r="Z3423" s="579" t="s">
        <v>450</v>
      </c>
      <c r="AA3423" s="579" t="s">
        <v>178</v>
      </c>
      <c r="AB3423" s="584">
        <v>38735</v>
      </c>
      <c r="AC3423" s="584" t="s">
        <v>164</v>
      </c>
      <c r="AD3423" s="584">
        <v>28941</v>
      </c>
      <c r="AE3423" s="586">
        <v>7.1999999999999995E-2</v>
      </c>
      <c r="AF3423" s="661" t="str">
        <f t="shared" si="374"/>
        <v>2019-SSV-CHV-SV15-022-17</v>
      </c>
      <c r="AG3423" s="661" t="str">
        <f>IF(AND($Y3423&gt;=32,(AI3423="I"),(Y3423&lt;&gt;"~"),(COUNTIF($AN$1:$AN3423,$AN3423)=1)),"TRUE","FALSE")</f>
        <v>FALSE</v>
      </c>
      <c r="AH3423" s="661" t="str">
        <f>IF(AND($Y3423&gt;=22, (AI3423&lt;&gt;"I"),(Y3423&lt;&gt;"~"),(COUNTIF($AN$1:$AN3423,$AN3423)=1)),"TRUE","FALSE")</f>
        <v>FALSE</v>
      </c>
      <c r="AI3423" s="661" t="str">
        <f t="shared" si="376"/>
        <v>II</v>
      </c>
      <c r="AJ3423" s="662" t="str">
        <f t="shared" si="370"/>
        <v>SV15-022</v>
      </c>
      <c r="AK3423" s="662" t="str">
        <f t="shared" si="371"/>
        <v>SSV</v>
      </c>
      <c r="AL3423" s="662" t="str">
        <f t="shared" si="372"/>
        <v>CHV</v>
      </c>
      <c r="AM3423" s="662" t="str">
        <f t="shared" si="375"/>
        <v>Silverado 1500-WT / SSV Crew Cab Short Bed-2WD-5-5'9"-~-5.3L-8-CC15543-1WT/5W4-143.5-26-E85-Unleaded</v>
      </c>
      <c r="AN3423" s="662" t="str">
        <f t="shared" si="373"/>
        <v>2019-SSV-CHV-SV15-022</v>
      </c>
    </row>
    <row r="3424" spans="1:40" ht="30">
      <c r="A3424" s="570" t="s">
        <v>6121</v>
      </c>
      <c r="B3424" s="569" t="s">
        <v>6115</v>
      </c>
      <c r="C3424" s="569" t="s">
        <v>166</v>
      </c>
      <c r="D3424" s="580">
        <v>17</v>
      </c>
      <c r="E3424" s="569" t="s">
        <v>693</v>
      </c>
      <c r="F3424" s="569" t="s">
        <v>6116</v>
      </c>
      <c r="G3424" s="569" t="s">
        <v>153</v>
      </c>
      <c r="H3424" s="569">
        <v>2019</v>
      </c>
      <c r="I3424" s="569" t="s">
        <v>3464</v>
      </c>
      <c r="J3424" s="569" t="s">
        <v>6117</v>
      </c>
      <c r="K3424" s="569" t="s">
        <v>3377</v>
      </c>
      <c r="L3424" s="569">
        <v>5</v>
      </c>
      <c r="M3424" s="569">
        <v>0</v>
      </c>
      <c r="N3424" s="569" t="s">
        <v>157</v>
      </c>
      <c r="O3424" s="569">
        <v>2</v>
      </c>
      <c r="P3424" s="569" t="s">
        <v>3466</v>
      </c>
      <c r="Q3424" s="568" t="s">
        <v>157</v>
      </c>
      <c r="R3424" s="569" t="s">
        <v>753</v>
      </c>
      <c r="S3424" s="569">
        <v>8</v>
      </c>
      <c r="T3424" s="569" t="s">
        <v>3486</v>
      </c>
      <c r="U3424" s="569" t="s">
        <v>6120</v>
      </c>
      <c r="V3424" s="569">
        <v>143.5</v>
      </c>
      <c r="W3424" s="569">
        <v>26</v>
      </c>
      <c r="X3424" s="568">
        <v>7400</v>
      </c>
      <c r="Y3424" s="569">
        <v>18</v>
      </c>
      <c r="Z3424" s="581" t="s">
        <v>450</v>
      </c>
      <c r="AA3424" s="581" t="s">
        <v>178</v>
      </c>
      <c r="AB3424" s="585">
        <v>38735</v>
      </c>
      <c r="AC3424" s="585" t="s">
        <v>164</v>
      </c>
      <c r="AD3424" s="585">
        <v>28941</v>
      </c>
      <c r="AE3424" s="587">
        <v>7.1999999999999995E-2</v>
      </c>
      <c r="AF3424" s="661" t="str">
        <f t="shared" si="374"/>
        <v>2019-SSV-CHV-SV15-022-17</v>
      </c>
      <c r="AG3424" s="661" t="str">
        <f>IF(AND($Y3424&gt;=32,(AI3424="I"),(Y3424&lt;&gt;"~"),(COUNTIF($AN$1:$AN3424,$AN3424)=1)),"TRUE","FALSE")</f>
        <v>FALSE</v>
      </c>
      <c r="AH3424" s="661" t="str">
        <f>IF(AND($Y3424&gt;=22, (AI3424&lt;&gt;"I"),(Y3424&lt;&gt;"~"),(COUNTIF($AN$1:$AN3424,$AN3424)=1)),"TRUE","FALSE")</f>
        <v>FALSE</v>
      </c>
      <c r="AI3424" s="661" t="str">
        <f t="shared" si="376"/>
        <v>II</v>
      </c>
      <c r="AJ3424" s="662" t="str">
        <f t="shared" si="370"/>
        <v>SV15-022</v>
      </c>
      <c r="AK3424" s="662" t="str">
        <f t="shared" si="371"/>
        <v>SSV</v>
      </c>
      <c r="AL3424" s="662" t="str">
        <f t="shared" si="372"/>
        <v>CHV</v>
      </c>
      <c r="AM3424" s="662" t="str">
        <f t="shared" si="375"/>
        <v>Silverado 1500-WT / SSV Crew Cab Short Bed-2WD-5-5'9"-~-5.3L-8-CC15543-1WT/5W4-143.5-26-E85-Unleaded</v>
      </c>
      <c r="AN3424" s="662" t="str">
        <f t="shared" si="373"/>
        <v>2019-SSV-CHV-SV15-022</v>
      </c>
    </row>
    <row r="3425" spans="1:40" ht="30">
      <c r="A3425" s="570" t="s">
        <v>6122</v>
      </c>
      <c r="B3425" s="573" t="s">
        <v>6123</v>
      </c>
      <c r="C3425" s="573" t="s">
        <v>169</v>
      </c>
      <c r="D3425" s="578">
        <v>11</v>
      </c>
      <c r="E3425" s="573" t="s">
        <v>693</v>
      </c>
      <c r="F3425" s="573" t="s">
        <v>6116</v>
      </c>
      <c r="G3425" s="573" t="s">
        <v>153</v>
      </c>
      <c r="H3425" s="573">
        <v>2019</v>
      </c>
      <c r="I3425" s="573" t="s">
        <v>3464</v>
      </c>
      <c r="J3425" s="573" t="s">
        <v>6117</v>
      </c>
      <c r="K3425" s="573" t="s">
        <v>752</v>
      </c>
      <c r="L3425" s="573">
        <v>5</v>
      </c>
      <c r="M3425" s="573">
        <v>0</v>
      </c>
      <c r="N3425" s="573" t="s">
        <v>157</v>
      </c>
      <c r="O3425" s="573">
        <v>2</v>
      </c>
      <c r="P3425" s="573" t="s">
        <v>3515</v>
      </c>
      <c r="Q3425" s="571" t="s">
        <v>157</v>
      </c>
      <c r="R3425" s="573" t="s">
        <v>753</v>
      </c>
      <c r="S3425" s="573">
        <v>8</v>
      </c>
      <c r="T3425" s="573" t="s">
        <v>3475</v>
      </c>
      <c r="U3425" s="573" t="s">
        <v>6118</v>
      </c>
      <c r="V3425" s="573">
        <v>147.43</v>
      </c>
      <c r="W3425" s="573">
        <v>24</v>
      </c>
      <c r="X3425" s="571">
        <v>7100</v>
      </c>
      <c r="Y3425" s="573">
        <v>17</v>
      </c>
      <c r="Z3425" s="579" t="s">
        <v>178</v>
      </c>
      <c r="AA3425" s="579" t="s">
        <v>178</v>
      </c>
      <c r="AB3425" s="584">
        <v>42460</v>
      </c>
      <c r="AC3425" s="584" t="s">
        <v>164</v>
      </c>
      <c r="AD3425" s="584">
        <v>30226.5625</v>
      </c>
      <c r="AE3425" s="586">
        <v>0.05</v>
      </c>
      <c r="AF3425" s="661" t="str">
        <f t="shared" si="374"/>
        <v>2019-SSV-CHV-SV15-023-11</v>
      </c>
      <c r="AG3425" s="661" t="str">
        <f>IF(AND($Y3425&gt;=32,(AI3425="I"),(Y3425&lt;&gt;"~"),(COUNTIF($AN$1:$AN3425,$AN3425)=1)),"TRUE","FALSE")</f>
        <v>FALSE</v>
      </c>
      <c r="AH3425" s="661" t="str">
        <f>IF(AND($Y3425&gt;=22, (AI3425&lt;&gt;"I"),(Y3425&lt;&gt;"~"),(COUNTIF($AN$1:$AN3425,$AN3425)=1)),"TRUE","FALSE")</f>
        <v>FALSE</v>
      </c>
      <c r="AI3425" s="661" t="str">
        <f t="shared" si="376"/>
        <v>II</v>
      </c>
      <c r="AJ3425" s="662" t="str">
        <f t="shared" si="370"/>
        <v>SV15-023</v>
      </c>
      <c r="AK3425" s="662" t="str">
        <f t="shared" si="371"/>
        <v>SSV</v>
      </c>
      <c r="AL3425" s="662" t="str">
        <f t="shared" si="372"/>
        <v>CHV</v>
      </c>
      <c r="AM3425" s="662" t="str">
        <f t="shared" si="375"/>
        <v>Silverado 1500-WT / SSV Crew Cab Short Bed-4WD-5-5'8"-~-5.3L-8-CK10543-1WT/5W4/PCV-147.43-24-Unleaded-Unleaded</v>
      </c>
      <c r="AN3425" s="662" t="str">
        <f t="shared" si="373"/>
        <v>2019-SSV-CHV-SV15-023</v>
      </c>
    </row>
    <row r="3426" spans="1:40" ht="30">
      <c r="A3426" s="570" t="s">
        <v>6124</v>
      </c>
      <c r="B3426" s="569" t="s">
        <v>6123</v>
      </c>
      <c r="C3426" s="569" t="s">
        <v>150</v>
      </c>
      <c r="D3426" s="580">
        <v>13</v>
      </c>
      <c r="E3426" s="569" t="s">
        <v>693</v>
      </c>
      <c r="F3426" s="569" t="s">
        <v>6116</v>
      </c>
      <c r="G3426" s="569" t="s">
        <v>153</v>
      </c>
      <c r="H3426" s="569">
        <v>2019</v>
      </c>
      <c r="I3426" s="569" t="s">
        <v>3464</v>
      </c>
      <c r="J3426" s="569" t="s">
        <v>6117</v>
      </c>
      <c r="K3426" s="569" t="s">
        <v>752</v>
      </c>
      <c r="L3426" s="569">
        <v>5</v>
      </c>
      <c r="M3426" s="569">
        <v>0</v>
      </c>
      <c r="N3426" s="569" t="s">
        <v>157</v>
      </c>
      <c r="O3426" s="569">
        <v>2</v>
      </c>
      <c r="P3426" s="569" t="s">
        <v>3466</v>
      </c>
      <c r="Q3426" s="568" t="s">
        <v>157</v>
      </c>
      <c r="R3426" s="569" t="s">
        <v>753</v>
      </c>
      <c r="S3426" s="569">
        <v>8</v>
      </c>
      <c r="T3426" s="569" t="s">
        <v>3494</v>
      </c>
      <c r="U3426" s="569" t="s">
        <v>6120</v>
      </c>
      <c r="V3426" s="569">
        <v>143.5</v>
      </c>
      <c r="W3426" s="569">
        <v>26</v>
      </c>
      <c r="X3426" s="568">
        <v>7100</v>
      </c>
      <c r="Y3426" s="569">
        <v>18</v>
      </c>
      <c r="Z3426" s="581" t="s">
        <v>450</v>
      </c>
      <c r="AA3426" s="581" t="s">
        <v>178</v>
      </c>
      <c r="AB3426" s="585">
        <v>42035</v>
      </c>
      <c r="AC3426" s="585" t="s">
        <v>164</v>
      </c>
      <c r="AD3426" s="585">
        <v>32348</v>
      </c>
      <c r="AE3426" s="587">
        <v>0.03</v>
      </c>
      <c r="AF3426" s="661" t="str">
        <f t="shared" si="374"/>
        <v>2019-SSV-CHV-SV15-023-13</v>
      </c>
      <c r="AG3426" s="661" t="str">
        <f>IF(AND($Y3426&gt;=32,(AI3426="I"),(Y3426&lt;&gt;"~"),(COUNTIF($AN$1:$AN3426,$AN3426)=1)),"TRUE","FALSE")</f>
        <v>FALSE</v>
      </c>
      <c r="AH3426" s="661" t="str">
        <f>IF(AND($Y3426&gt;=22, (AI3426&lt;&gt;"I"),(Y3426&lt;&gt;"~"),(COUNTIF($AN$1:$AN3426,$AN3426)=1)),"TRUE","FALSE")</f>
        <v>FALSE</v>
      </c>
      <c r="AI3426" s="661" t="str">
        <f t="shared" si="376"/>
        <v>II</v>
      </c>
      <c r="AJ3426" s="662" t="str">
        <f t="shared" si="370"/>
        <v>SV15-023</v>
      </c>
      <c r="AK3426" s="662" t="str">
        <f t="shared" si="371"/>
        <v>SSV</v>
      </c>
      <c r="AL3426" s="662" t="str">
        <f t="shared" si="372"/>
        <v>CHV</v>
      </c>
      <c r="AM3426" s="662" t="str">
        <f t="shared" si="375"/>
        <v>Silverado 1500-WT / SSV Crew Cab Short Bed-4WD-5-5'9"-~-5.3L-8-CK15543-1WT/5W4-143.5-26-E85-Unleaded</v>
      </c>
      <c r="AN3426" s="662" t="str">
        <f t="shared" si="373"/>
        <v>2019-SSV-CHV-SV15-023</v>
      </c>
    </row>
    <row r="3427" spans="1:40" ht="30">
      <c r="A3427" s="570" t="s">
        <v>6125</v>
      </c>
      <c r="B3427" s="573" t="s">
        <v>6123</v>
      </c>
      <c r="C3427" s="573" t="s">
        <v>166</v>
      </c>
      <c r="D3427" s="578">
        <v>17</v>
      </c>
      <c r="E3427" s="573" t="s">
        <v>693</v>
      </c>
      <c r="F3427" s="573" t="s">
        <v>6116</v>
      </c>
      <c r="G3427" s="573" t="s">
        <v>153</v>
      </c>
      <c r="H3427" s="573">
        <v>2019</v>
      </c>
      <c r="I3427" s="573" t="s">
        <v>3464</v>
      </c>
      <c r="J3427" s="573" t="s">
        <v>6117</v>
      </c>
      <c r="K3427" s="573" t="s">
        <v>752</v>
      </c>
      <c r="L3427" s="573">
        <v>5</v>
      </c>
      <c r="M3427" s="573">
        <v>0</v>
      </c>
      <c r="N3427" s="573" t="s">
        <v>157</v>
      </c>
      <c r="O3427" s="573">
        <v>2</v>
      </c>
      <c r="P3427" s="573" t="s">
        <v>3466</v>
      </c>
      <c r="Q3427" s="571" t="s">
        <v>157</v>
      </c>
      <c r="R3427" s="573" t="s">
        <v>753</v>
      </c>
      <c r="S3427" s="573">
        <v>8</v>
      </c>
      <c r="T3427" s="573" t="s">
        <v>3494</v>
      </c>
      <c r="U3427" s="573" t="s">
        <v>6120</v>
      </c>
      <c r="V3427" s="573">
        <v>143.5</v>
      </c>
      <c r="W3427" s="573">
        <v>26</v>
      </c>
      <c r="X3427" s="571">
        <v>7100</v>
      </c>
      <c r="Y3427" s="573">
        <v>18</v>
      </c>
      <c r="Z3427" s="579" t="s">
        <v>450</v>
      </c>
      <c r="AA3427" s="579" t="s">
        <v>178</v>
      </c>
      <c r="AB3427" s="584">
        <v>42035</v>
      </c>
      <c r="AC3427" s="584" t="s">
        <v>164</v>
      </c>
      <c r="AD3427" s="584">
        <v>31440</v>
      </c>
      <c r="AE3427" s="586">
        <v>7.1999999999999995E-2</v>
      </c>
      <c r="AF3427" s="661" t="str">
        <f t="shared" si="374"/>
        <v>2019-SSV-CHV-SV15-023-17</v>
      </c>
      <c r="AG3427" s="661" t="str">
        <f>IF(AND($Y3427&gt;=32,(AI3427="I"),(Y3427&lt;&gt;"~"),(COUNTIF($AN$1:$AN3427,$AN3427)=1)),"TRUE","FALSE")</f>
        <v>FALSE</v>
      </c>
      <c r="AH3427" s="661" t="str">
        <f>IF(AND($Y3427&gt;=22, (AI3427&lt;&gt;"I"),(Y3427&lt;&gt;"~"),(COUNTIF($AN$1:$AN3427,$AN3427)=1)),"TRUE","FALSE")</f>
        <v>FALSE</v>
      </c>
      <c r="AI3427" s="661" t="str">
        <f t="shared" si="376"/>
        <v>II</v>
      </c>
      <c r="AJ3427" s="662" t="str">
        <f t="shared" si="370"/>
        <v>SV15-023</v>
      </c>
      <c r="AK3427" s="662" t="str">
        <f t="shared" si="371"/>
        <v>SSV</v>
      </c>
      <c r="AL3427" s="662" t="str">
        <f t="shared" si="372"/>
        <v>CHV</v>
      </c>
      <c r="AM3427" s="662" t="str">
        <f t="shared" si="375"/>
        <v>Silverado 1500-WT / SSV Crew Cab Short Bed-4WD-5-5'9"-~-5.3L-8-CK15543-1WT/5W4-143.5-26-E85-Unleaded</v>
      </c>
      <c r="AN3427" s="662" t="str">
        <f t="shared" si="373"/>
        <v>2019-SSV-CHV-SV15-023</v>
      </c>
    </row>
    <row r="3428" spans="1:40" ht="30">
      <c r="A3428" s="570" t="s">
        <v>6125</v>
      </c>
      <c r="B3428" s="569" t="s">
        <v>6123</v>
      </c>
      <c r="C3428" s="569" t="s">
        <v>166</v>
      </c>
      <c r="D3428" s="580">
        <v>17</v>
      </c>
      <c r="E3428" s="569" t="s">
        <v>693</v>
      </c>
      <c r="F3428" s="569" t="s">
        <v>6116</v>
      </c>
      <c r="G3428" s="569" t="s">
        <v>153</v>
      </c>
      <c r="H3428" s="569">
        <v>2019</v>
      </c>
      <c r="I3428" s="569" t="s">
        <v>3464</v>
      </c>
      <c r="J3428" s="569" t="s">
        <v>6117</v>
      </c>
      <c r="K3428" s="569" t="s">
        <v>752</v>
      </c>
      <c r="L3428" s="569">
        <v>5</v>
      </c>
      <c r="M3428" s="569">
        <v>0</v>
      </c>
      <c r="N3428" s="569" t="s">
        <v>157</v>
      </c>
      <c r="O3428" s="569">
        <v>2</v>
      </c>
      <c r="P3428" s="569" t="s">
        <v>3466</v>
      </c>
      <c r="Q3428" s="568" t="s">
        <v>157</v>
      </c>
      <c r="R3428" s="569" t="s">
        <v>753</v>
      </c>
      <c r="S3428" s="569">
        <v>8</v>
      </c>
      <c r="T3428" s="569" t="s">
        <v>3494</v>
      </c>
      <c r="U3428" s="569" t="s">
        <v>6120</v>
      </c>
      <c r="V3428" s="569">
        <v>143.5</v>
      </c>
      <c r="W3428" s="569">
        <v>26</v>
      </c>
      <c r="X3428" s="568">
        <v>7600</v>
      </c>
      <c r="Y3428" s="569">
        <v>18</v>
      </c>
      <c r="Z3428" s="581" t="s">
        <v>450</v>
      </c>
      <c r="AA3428" s="581" t="s">
        <v>178</v>
      </c>
      <c r="AB3428" s="585">
        <v>42035</v>
      </c>
      <c r="AC3428" s="585" t="s">
        <v>164</v>
      </c>
      <c r="AD3428" s="585">
        <v>31440</v>
      </c>
      <c r="AE3428" s="587">
        <v>7.1999999999999995E-2</v>
      </c>
      <c r="AF3428" s="661" t="str">
        <f t="shared" si="374"/>
        <v>2019-SSV-CHV-SV15-023-17</v>
      </c>
      <c r="AG3428" s="661" t="str">
        <f>IF(AND($Y3428&gt;=32,(AI3428="I"),(Y3428&lt;&gt;"~"),(COUNTIF($AN$1:$AN3428,$AN3428)=1)),"TRUE","FALSE")</f>
        <v>FALSE</v>
      </c>
      <c r="AH3428" s="661" t="str">
        <f>IF(AND($Y3428&gt;=22, (AI3428&lt;&gt;"I"),(Y3428&lt;&gt;"~"),(COUNTIF($AN$1:$AN3428,$AN3428)=1)),"TRUE","FALSE")</f>
        <v>FALSE</v>
      </c>
      <c r="AI3428" s="661" t="str">
        <f t="shared" si="376"/>
        <v>II</v>
      </c>
      <c r="AJ3428" s="662" t="str">
        <f t="shared" si="370"/>
        <v>SV15-023</v>
      </c>
      <c r="AK3428" s="662" t="str">
        <f t="shared" si="371"/>
        <v>SSV</v>
      </c>
      <c r="AL3428" s="662" t="str">
        <f t="shared" si="372"/>
        <v>CHV</v>
      </c>
      <c r="AM3428" s="662" t="str">
        <f t="shared" si="375"/>
        <v>Silverado 1500-WT / SSV Crew Cab Short Bed-4WD-5-5'9"-~-5.3L-8-CK15543-1WT/5W4-143.5-26-E85-Unleaded</v>
      </c>
      <c r="AN3428" s="662" t="str">
        <f t="shared" si="373"/>
        <v>2019-SSV-CHV-SV15-023</v>
      </c>
    </row>
    <row r="3429" spans="1:40" ht="30">
      <c r="A3429" s="570" t="s">
        <v>6126</v>
      </c>
      <c r="B3429" s="573" t="s">
        <v>6127</v>
      </c>
      <c r="C3429" s="573" t="s">
        <v>169</v>
      </c>
      <c r="D3429" s="578">
        <v>11</v>
      </c>
      <c r="E3429" s="573" t="s">
        <v>693</v>
      </c>
      <c r="F3429" s="573" t="s">
        <v>6116</v>
      </c>
      <c r="G3429" s="573" t="s">
        <v>153</v>
      </c>
      <c r="H3429" s="573">
        <v>2019</v>
      </c>
      <c r="I3429" s="573" t="s">
        <v>3464</v>
      </c>
      <c r="J3429" s="573" t="s">
        <v>6128</v>
      </c>
      <c r="K3429" s="573" t="s">
        <v>3377</v>
      </c>
      <c r="L3429" s="573">
        <v>5</v>
      </c>
      <c r="M3429" s="573">
        <v>0</v>
      </c>
      <c r="N3429" s="573" t="s">
        <v>157</v>
      </c>
      <c r="O3429" s="573">
        <v>2</v>
      </c>
      <c r="P3429" s="573" t="s">
        <v>3471</v>
      </c>
      <c r="Q3429" s="571" t="s">
        <v>157</v>
      </c>
      <c r="R3429" s="573" t="s">
        <v>753</v>
      </c>
      <c r="S3429" s="573">
        <v>8</v>
      </c>
      <c r="T3429" s="573" t="s">
        <v>3472</v>
      </c>
      <c r="U3429" s="573" t="s">
        <v>6118</v>
      </c>
      <c r="V3429" s="573">
        <v>156.94999999999999</v>
      </c>
      <c r="W3429" s="573">
        <v>24</v>
      </c>
      <c r="X3429" s="571">
        <v>6900</v>
      </c>
      <c r="Y3429" s="573">
        <v>17</v>
      </c>
      <c r="Z3429" s="579" t="s">
        <v>178</v>
      </c>
      <c r="AA3429" s="579" t="s">
        <v>178</v>
      </c>
      <c r="AB3429" s="584">
        <v>39460</v>
      </c>
      <c r="AC3429" s="584" t="s">
        <v>164</v>
      </c>
      <c r="AD3429" s="584">
        <v>27329.6875</v>
      </c>
      <c r="AE3429" s="586">
        <v>0.05</v>
      </c>
      <c r="AF3429" s="661" t="str">
        <f t="shared" si="374"/>
        <v>2019-SSV-CHV-SV15-024-11</v>
      </c>
      <c r="AG3429" s="661" t="str">
        <f>IF(AND($Y3429&gt;=32,(AI3429="I"),(Y3429&lt;&gt;"~"),(COUNTIF($AN$1:$AN3429,$AN3429)=1)),"TRUE","FALSE")</f>
        <v>FALSE</v>
      </c>
      <c r="AH3429" s="661" t="str">
        <f>IF(AND($Y3429&gt;=22, (AI3429&lt;&gt;"I"),(Y3429&lt;&gt;"~"),(COUNTIF($AN$1:$AN3429,$AN3429)=1)),"TRUE","FALSE")</f>
        <v>FALSE</v>
      </c>
      <c r="AI3429" s="661" t="str">
        <f t="shared" si="376"/>
        <v>II</v>
      </c>
      <c r="AJ3429" s="662" t="str">
        <f t="shared" si="370"/>
        <v>SV15-024</v>
      </c>
      <c r="AK3429" s="662" t="str">
        <f t="shared" si="371"/>
        <v>SSV</v>
      </c>
      <c r="AL3429" s="662" t="str">
        <f t="shared" si="372"/>
        <v>CHV</v>
      </c>
      <c r="AM3429" s="662" t="str">
        <f t="shared" si="375"/>
        <v>Silverado 1500-WT / SSV Crew Cab Std Bed-2WD-5-6'6"-~-5.3L-8-CC10743-1WT/5W4/PCV-156.95-24-Unleaded-Unleaded</v>
      </c>
      <c r="AN3429" s="662" t="str">
        <f t="shared" si="373"/>
        <v>2019-SSV-CHV-SV15-024</v>
      </c>
    </row>
    <row r="3430" spans="1:40" ht="30">
      <c r="A3430" s="570" t="s">
        <v>6129</v>
      </c>
      <c r="B3430" s="569" t="s">
        <v>6127</v>
      </c>
      <c r="C3430" s="569" t="s">
        <v>150</v>
      </c>
      <c r="D3430" s="580">
        <v>13</v>
      </c>
      <c r="E3430" s="569" t="s">
        <v>693</v>
      </c>
      <c r="F3430" s="569" t="s">
        <v>6116</v>
      </c>
      <c r="G3430" s="569" t="s">
        <v>153</v>
      </c>
      <c r="H3430" s="569">
        <v>2019</v>
      </c>
      <c r="I3430" s="569" t="s">
        <v>3464</v>
      </c>
      <c r="J3430" s="569" t="s">
        <v>6128</v>
      </c>
      <c r="K3430" s="569" t="s">
        <v>3377</v>
      </c>
      <c r="L3430" s="569">
        <v>5</v>
      </c>
      <c r="M3430" s="569">
        <v>0</v>
      </c>
      <c r="N3430" s="569" t="s">
        <v>157</v>
      </c>
      <c r="O3430" s="569">
        <v>2</v>
      </c>
      <c r="P3430" s="569" t="s">
        <v>3471</v>
      </c>
      <c r="Q3430" s="568" t="s">
        <v>157</v>
      </c>
      <c r="R3430" s="569" t="s">
        <v>753</v>
      </c>
      <c r="S3430" s="569">
        <v>8</v>
      </c>
      <c r="T3430" s="569" t="s">
        <v>3489</v>
      </c>
      <c r="U3430" s="569" t="s">
        <v>6120</v>
      </c>
      <c r="V3430" s="569">
        <v>153</v>
      </c>
      <c r="W3430" s="569">
        <v>26</v>
      </c>
      <c r="X3430" s="568">
        <v>7400</v>
      </c>
      <c r="Y3430" s="569">
        <v>18</v>
      </c>
      <c r="Z3430" s="581" t="s">
        <v>450</v>
      </c>
      <c r="AA3430" s="581" t="s">
        <v>178</v>
      </c>
      <c r="AB3430" s="585">
        <v>39035</v>
      </c>
      <c r="AC3430" s="585" t="s">
        <v>164</v>
      </c>
      <c r="AD3430" s="585">
        <v>30473</v>
      </c>
      <c r="AE3430" s="587">
        <v>0.03</v>
      </c>
      <c r="AF3430" s="661" t="str">
        <f t="shared" si="374"/>
        <v>2019-SSV-CHV-SV15-024-13</v>
      </c>
      <c r="AG3430" s="661" t="str">
        <f>IF(AND($Y3430&gt;=32,(AI3430="I"),(Y3430&lt;&gt;"~"),(COUNTIF($AN$1:$AN3430,$AN3430)=1)),"TRUE","FALSE")</f>
        <v>FALSE</v>
      </c>
      <c r="AH3430" s="661" t="str">
        <f>IF(AND($Y3430&gt;=22, (AI3430&lt;&gt;"I"),(Y3430&lt;&gt;"~"),(COUNTIF($AN$1:$AN3430,$AN3430)=1)),"TRUE","FALSE")</f>
        <v>FALSE</v>
      </c>
      <c r="AI3430" s="661" t="str">
        <f t="shared" si="376"/>
        <v>II</v>
      </c>
      <c r="AJ3430" s="662" t="str">
        <f t="shared" si="370"/>
        <v>SV15-024</v>
      </c>
      <c r="AK3430" s="662" t="str">
        <f t="shared" si="371"/>
        <v>SSV</v>
      </c>
      <c r="AL3430" s="662" t="str">
        <f t="shared" si="372"/>
        <v>CHV</v>
      </c>
      <c r="AM3430" s="662" t="str">
        <f t="shared" si="375"/>
        <v>Silverado 1500-WT / SSV Crew Cab Std Bed-2WD-5-6'6"-~-5.3L-8-CC15743-1WT/5W4-153-26-E85-Unleaded</v>
      </c>
      <c r="AN3430" s="662" t="str">
        <f t="shared" si="373"/>
        <v>2019-SSV-CHV-SV15-024</v>
      </c>
    </row>
    <row r="3431" spans="1:40" ht="30">
      <c r="A3431" s="570" t="s">
        <v>6130</v>
      </c>
      <c r="B3431" s="573" t="s">
        <v>6127</v>
      </c>
      <c r="C3431" s="573" t="s">
        <v>166</v>
      </c>
      <c r="D3431" s="578">
        <v>17</v>
      </c>
      <c r="E3431" s="573" t="s">
        <v>693</v>
      </c>
      <c r="F3431" s="573" t="s">
        <v>6116</v>
      </c>
      <c r="G3431" s="573" t="s">
        <v>153</v>
      </c>
      <c r="H3431" s="573">
        <v>2019</v>
      </c>
      <c r="I3431" s="573" t="s">
        <v>3464</v>
      </c>
      <c r="J3431" s="573" t="s">
        <v>6128</v>
      </c>
      <c r="K3431" s="573" t="s">
        <v>3377</v>
      </c>
      <c r="L3431" s="573">
        <v>5</v>
      </c>
      <c r="M3431" s="573">
        <v>0</v>
      </c>
      <c r="N3431" s="573" t="s">
        <v>157</v>
      </c>
      <c r="O3431" s="573">
        <v>2</v>
      </c>
      <c r="P3431" s="573" t="s">
        <v>3471</v>
      </c>
      <c r="Q3431" s="571" t="s">
        <v>157</v>
      </c>
      <c r="R3431" s="573" t="s">
        <v>753</v>
      </c>
      <c r="S3431" s="573">
        <v>8</v>
      </c>
      <c r="T3431" s="573" t="s">
        <v>3489</v>
      </c>
      <c r="U3431" s="573" t="s">
        <v>6120</v>
      </c>
      <c r="V3431" s="573">
        <v>153</v>
      </c>
      <c r="W3431" s="573">
        <v>26</v>
      </c>
      <c r="X3431" s="571">
        <v>7400</v>
      </c>
      <c r="Y3431" s="573">
        <v>18</v>
      </c>
      <c r="Z3431" s="579" t="s">
        <v>450</v>
      </c>
      <c r="AA3431" s="579" t="s">
        <v>178</v>
      </c>
      <c r="AB3431" s="584">
        <v>39035</v>
      </c>
      <c r="AC3431" s="584" t="s">
        <v>164</v>
      </c>
      <c r="AD3431" s="584">
        <v>29633</v>
      </c>
      <c r="AE3431" s="586">
        <v>7.1999999999999995E-2</v>
      </c>
      <c r="AF3431" s="661" t="str">
        <f t="shared" si="374"/>
        <v>2019-SSV-CHV-SV15-024-17</v>
      </c>
      <c r="AG3431" s="661" t="str">
        <f>IF(AND($Y3431&gt;=32,(AI3431="I"),(Y3431&lt;&gt;"~"),(COUNTIF($AN$1:$AN3431,$AN3431)=1)),"TRUE","FALSE")</f>
        <v>FALSE</v>
      </c>
      <c r="AH3431" s="661" t="str">
        <f>IF(AND($Y3431&gt;=22, (AI3431&lt;&gt;"I"),(Y3431&lt;&gt;"~"),(COUNTIF($AN$1:$AN3431,$AN3431)=1)),"TRUE","FALSE")</f>
        <v>FALSE</v>
      </c>
      <c r="AI3431" s="661" t="str">
        <f t="shared" si="376"/>
        <v>II</v>
      </c>
      <c r="AJ3431" s="662" t="str">
        <f t="shared" si="370"/>
        <v>SV15-024</v>
      </c>
      <c r="AK3431" s="662" t="str">
        <f t="shared" si="371"/>
        <v>SSV</v>
      </c>
      <c r="AL3431" s="662" t="str">
        <f t="shared" si="372"/>
        <v>CHV</v>
      </c>
      <c r="AM3431" s="662" t="str">
        <f t="shared" si="375"/>
        <v>Silverado 1500-WT / SSV Crew Cab Std Bed-2WD-5-6'6"-~-5.3L-8-CC15743-1WT/5W4-153-26-E85-Unleaded</v>
      </c>
      <c r="AN3431" s="662" t="str">
        <f t="shared" si="373"/>
        <v>2019-SSV-CHV-SV15-024</v>
      </c>
    </row>
    <row r="3432" spans="1:40" ht="30">
      <c r="A3432" s="570" t="s">
        <v>6131</v>
      </c>
      <c r="B3432" s="569" t="s">
        <v>6132</v>
      </c>
      <c r="C3432" s="569" t="s">
        <v>169</v>
      </c>
      <c r="D3432" s="580">
        <v>11</v>
      </c>
      <c r="E3432" s="569" t="s">
        <v>693</v>
      </c>
      <c r="F3432" s="569" t="s">
        <v>6116</v>
      </c>
      <c r="G3432" s="569" t="s">
        <v>153</v>
      </c>
      <c r="H3432" s="569">
        <v>2019</v>
      </c>
      <c r="I3432" s="569" t="s">
        <v>3464</v>
      </c>
      <c r="J3432" s="569" t="s">
        <v>6128</v>
      </c>
      <c r="K3432" s="569" t="s">
        <v>752</v>
      </c>
      <c r="L3432" s="569">
        <v>5</v>
      </c>
      <c r="M3432" s="569">
        <v>0</v>
      </c>
      <c r="N3432" s="569" t="s">
        <v>157</v>
      </c>
      <c r="O3432" s="569">
        <v>2</v>
      </c>
      <c r="P3432" s="569" t="s">
        <v>3471</v>
      </c>
      <c r="Q3432" s="568" t="s">
        <v>157</v>
      </c>
      <c r="R3432" s="569" t="s">
        <v>1526</v>
      </c>
      <c r="S3432" s="569">
        <v>6</v>
      </c>
      <c r="T3432" s="569" t="s">
        <v>3478</v>
      </c>
      <c r="U3432" s="569" t="s">
        <v>6118</v>
      </c>
      <c r="V3432" s="569">
        <v>156.94999999999999</v>
      </c>
      <c r="W3432" s="569">
        <v>24</v>
      </c>
      <c r="X3432" s="568">
        <v>7100</v>
      </c>
      <c r="Y3432" s="569">
        <v>19</v>
      </c>
      <c r="Z3432" s="581" t="s">
        <v>178</v>
      </c>
      <c r="AA3432" s="581" t="s">
        <v>178</v>
      </c>
      <c r="AB3432" s="585">
        <v>42760</v>
      </c>
      <c r="AC3432" s="585" t="s">
        <v>164</v>
      </c>
      <c r="AD3432" s="585">
        <v>30516.25</v>
      </c>
      <c r="AE3432" s="587">
        <v>0.05</v>
      </c>
      <c r="AF3432" s="661" t="str">
        <f t="shared" si="374"/>
        <v>2019-SSV-CHV-SV15-025-11</v>
      </c>
      <c r="AG3432" s="661" t="str">
        <f>IF(AND($Y3432&gt;=32,(AI3432="I"),(Y3432&lt;&gt;"~"),(COUNTIF($AN$1:$AN3432,$AN3432)=1)),"TRUE","FALSE")</f>
        <v>FALSE</v>
      </c>
      <c r="AH3432" s="661" t="str">
        <f>IF(AND($Y3432&gt;=22, (AI3432&lt;&gt;"I"),(Y3432&lt;&gt;"~"),(COUNTIF($AN$1:$AN3432,$AN3432)=1)),"TRUE","FALSE")</f>
        <v>FALSE</v>
      </c>
      <c r="AI3432" s="661" t="str">
        <f t="shared" si="376"/>
        <v>II</v>
      </c>
      <c r="AJ3432" s="662" t="str">
        <f t="shared" si="370"/>
        <v>SV15-025</v>
      </c>
      <c r="AK3432" s="662" t="str">
        <f t="shared" si="371"/>
        <v>SSV</v>
      </c>
      <c r="AL3432" s="662" t="str">
        <f t="shared" si="372"/>
        <v>CHV</v>
      </c>
      <c r="AM3432" s="662" t="str">
        <f t="shared" si="375"/>
        <v>Silverado 1500-WT / SSV Crew Cab Std Bed-4WD-5-6'6"-~-4.3L-6-CK10743-1WT/5W4/PCV-156.95-24-Unleaded-Unleaded</v>
      </c>
      <c r="AN3432" s="662" t="str">
        <f t="shared" si="373"/>
        <v>2019-SSV-CHV-SV15-025</v>
      </c>
    </row>
    <row r="3433" spans="1:40" ht="30">
      <c r="A3433" s="570" t="s">
        <v>6133</v>
      </c>
      <c r="B3433" s="573" t="s">
        <v>6132</v>
      </c>
      <c r="C3433" s="573" t="s">
        <v>150</v>
      </c>
      <c r="D3433" s="578">
        <v>13</v>
      </c>
      <c r="E3433" s="573" t="s">
        <v>693</v>
      </c>
      <c r="F3433" s="573" t="s">
        <v>6116</v>
      </c>
      <c r="G3433" s="573" t="s">
        <v>153</v>
      </c>
      <c r="H3433" s="573">
        <v>2019</v>
      </c>
      <c r="I3433" s="573" t="s">
        <v>3464</v>
      </c>
      <c r="J3433" s="573" t="s">
        <v>6128</v>
      </c>
      <c r="K3433" s="573" t="s">
        <v>752</v>
      </c>
      <c r="L3433" s="573">
        <v>5</v>
      </c>
      <c r="M3433" s="573">
        <v>0</v>
      </c>
      <c r="N3433" s="573" t="s">
        <v>157</v>
      </c>
      <c r="O3433" s="573">
        <v>2</v>
      </c>
      <c r="P3433" s="573" t="s">
        <v>3471</v>
      </c>
      <c r="Q3433" s="571" t="s">
        <v>157</v>
      </c>
      <c r="R3433" s="573" t="s">
        <v>753</v>
      </c>
      <c r="S3433" s="573">
        <v>8</v>
      </c>
      <c r="T3433" s="573" t="s">
        <v>3497</v>
      </c>
      <c r="U3433" s="573" t="s">
        <v>6120</v>
      </c>
      <c r="V3433" s="573">
        <v>153</v>
      </c>
      <c r="W3433" s="573">
        <v>26</v>
      </c>
      <c r="X3433" s="571">
        <v>7600</v>
      </c>
      <c r="Y3433" s="573">
        <v>18</v>
      </c>
      <c r="Z3433" s="579" t="s">
        <v>450</v>
      </c>
      <c r="AA3433" s="579" t="s">
        <v>178</v>
      </c>
      <c r="AB3433" s="584">
        <v>42335</v>
      </c>
      <c r="AC3433" s="584" t="s">
        <v>164</v>
      </c>
      <c r="AD3433" s="584">
        <v>33086</v>
      </c>
      <c r="AE3433" s="586">
        <v>0.03</v>
      </c>
      <c r="AF3433" s="661" t="str">
        <f t="shared" si="374"/>
        <v>2019-SSV-CHV-SV15-025-13</v>
      </c>
      <c r="AG3433" s="661" t="str">
        <f>IF(AND($Y3433&gt;=32,(AI3433="I"),(Y3433&lt;&gt;"~"),(COUNTIF($AN$1:$AN3433,$AN3433)=1)),"TRUE","FALSE")</f>
        <v>FALSE</v>
      </c>
      <c r="AH3433" s="661" t="str">
        <f>IF(AND($Y3433&gt;=22, (AI3433&lt;&gt;"I"),(Y3433&lt;&gt;"~"),(COUNTIF($AN$1:$AN3433,$AN3433)=1)),"TRUE","FALSE")</f>
        <v>FALSE</v>
      </c>
      <c r="AI3433" s="661" t="str">
        <f t="shared" si="376"/>
        <v>II</v>
      </c>
      <c r="AJ3433" s="662" t="str">
        <f t="shared" si="370"/>
        <v>SV15-025</v>
      </c>
      <c r="AK3433" s="662" t="str">
        <f t="shared" si="371"/>
        <v>SSV</v>
      </c>
      <c r="AL3433" s="662" t="str">
        <f t="shared" si="372"/>
        <v>CHV</v>
      </c>
      <c r="AM3433" s="662" t="str">
        <f t="shared" si="375"/>
        <v>Silverado 1500-WT / SSV Crew Cab Std Bed-4WD-5-6'6"-~-5.3L-8-CK15743-1WT/5W4-153-26-E85-Unleaded</v>
      </c>
      <c r="AN3433" s="662" t="str">
        <f t="shared" si="373"/>
        <v>2019-SSV-CHV-SV15-025</v>
      </c>
    </row>
    <row r="3434" spans="1:40" ht="30">
      <c r="A3434" s="570" t="s">
        <v>6134</v>
      </c>
      <c r="B3434" s="569" t="s">
        <v>6132</v>
      </c>
      <c r="C3434" s="569" t="s">
        <v>166</v>
      </c>
      <c r="D3434" s="580">
        <v>17</v>
      </c>
      <c r="E3434" s="569" t="s">
        <v>693</v>
      </c>
      <c r="F3434" s="569" t="s">
        <v>6116</v>
      </c>
      <c r="G3434" s="569" t="s">
        <v>153</v>
      </c>
      <c r="H3434" s="569">
        <v>2019</v>
      </c>
      <c r="I3434" s="569" t="s">
        <v>3464</v>
      </c>
      <c r="J3434" s="569" t="s">
        <v>6128</v>
      </c>
      <c r="K3434" s="569" t="s">
        <v>752</v>
      </c>
      <c r="L3434" s="569">
        <v>5</v>
      </c>
      <c r="M3434" s="569">
        <v>0</v>
      </c>
      <c r="N3434" s="569" t="s">
        <v>157</v>
      </c>
      <c r="O3434" s="569">
        <v>2</v>
      </c>
      <c r="P3434" s="569" t="s">
        <v>3471</v>
      </c>
      <c r="Q3434" s="568" t="s">
        <v>157</v>
      </c>
      <c r="R3434" s="569" t="s">
        <v>753</v>
      </c>
      <c r="S3434" s="569">
        <v>8</v>
      </c>
      <c r="T3434" s="569" t="s">
        <v>3497</v>
      </c>
      <c r="U3434" s="569" t="s">
        <v>6120</v>
      </c>
      <c r="V3434" s="569">
        <v>153</v>
      </c>
      <c r="W3434" s="569">
        <v>26</v>
      </c>
      <c r="X3434" s="568">
        <v>7600</v>
      </c>
      <c r="Y3434" s="569">
        <v>18</v>
      </c>
      <c r="Z3434" s="581" t="s">
        <v>450</v>
      </c>
      <c r="AA3434" s="581" t="s">
        <v>178</v>
      </c>
      <c r="AB3434" s="585">
        <v>42335</v>
      </c>
      <c r="AC3434" s="585" t="s">
        <v>164</v>
      </c>
      <c r="AD3434" s="585">
        <v>32402</v>
      </c>
      <c r="AE3434" s="587">
        <v>7.1999999999999995E-2</v>
      </c>
      <c r="AF3434" s="661" t="str">
        <f t="shared" si="374"/>
        <v>2019-SSV-CHV-SV15-025-17</v>
      </c>
      <c r="AG3434" s="661" t="str">
        <f>IF(AND($Y3434&gt;=32,(AI3434="I"),(Y3434&lt;&gt;"~"),(COUNTIF($AN$1:$AN3434,$AN3434)=1)),"TRUE","FALSE")</f>
        <v>FALSE</v>
      </c>
      <c r="AH3434" s="661" t="str">
        <f>IF(AND($Y3434&gt;=22, (AI3434&lt;&gt;"I"),(Y3434&lt;&gt;"~"),(COUNTIF($AN$1:$AN3434,$AN3434)=1)),"TRUE","FALSE")</f>
        <v>FALSE</v>
      </c>
      <c r="AI3434" s="661" t="str">
        <f t="shared" si="376"/>
        <v>II</v>
      </c>
      <c r="AJ3434" s="662" t="str">
        <f t="shared" si="370"/>
        <v>SV15-025</v>
      </c>
      <c r="AK3434" s="662" t="str">
        <f t="shared" si="371"/>
        <v>SSV</v>
      </c>
      <c r="AL3434" s="662" t="str">
        <f t="shared" si="372"/>
        <v>CHV</v>
      </c>
      <c r="AM3434" s="662" t="str">
        <f t="shared" si="375"/>
        <v>Silverado 1500-WT / SSV Crew Cab Std Bed-4WD-5-6'6"-~-5.3L-8-CK15743-1WT/5W4-153-26-E85-Unleaded</v>
      </c>
      <c r="AN3434" s="662" t="str">
        <f t="shared" si="373"/>
        <v>2019-SSV-CHV-SV15-025</v>
      </c>
    </row>
    <row r="3435" spans="1:40" ht="15">
      <c r="A3435" s="570" t="s">
        <v>6135</v>
      </c>
      <c r="B3435" s="573" t="s">
        <v>6136</v>
      </c>
      <c r="C3435" s="573" t="s">
        <v>169</v>
      </c>
      <c r="D3435" s="578">
        <v>11</v>
      </c>
      <c r="E3435" s="573" t="s">
        <v>693</v>
      </c>
      <c r="F3435" s="573" t="s">
        <v>6137</v>
      </c>
      <c r="G3435" s="573" t="s">
        <v>153</v>
      </c>
      <c r="H3435" s="573">
        <v>2019</v>
      </c>
      <c r="I3435" s="573" t="s">
        <v>810</v>
      </c>
      <c r="J3435" s="573" t="s">
        <v>6138</v>
      </c>
      <c r="K3435" s="573" t="s">
        <v>752</v>
      </c>
      <c r="L3435" s="573">
        <v>5</v>
      </c>
      <c r="M3435" s="573">
        <v>0</v>
      </c>
      <c r="N3435" s="573" t="s">
        <v>157</v>
      </c>
      <c r="O3435" s="573">
        <v>2</v>
      </c>
      <c r="P3435" s="573" t="s">
        <v>157</v>
      </c>
      <c r="Q3435" s="571">
        <v>6400</v>
      </c>
      <c r="R3435" s="573" t="s">
        <v>753</v>
      </c>
      <c r="S3435" s="573">
        <v>8</v>
      </c>
      <c r="T3435" s="573" t="s">
        <v>811</v>
      </c>
      <c r="U3435" s="573" t="s">
        <v>6139</v>
      </c>
      <c r="V3435" s="573">
        <v>116</v>
      </c>
      <c r="W3435" s="573">
        <v>26</v>
      </c>
      <c r="X3435" s="571">
        <v>7300</v>
      </c>
      <c r="Y3435" s="573">
        <v>18</v>
      </c>
      <c r="Z3435" s="579" t="s">
        <v>450</v>
      </c>
      <c r="AA3435" s="579" t="s">
        <v>178</v>
      </c>
      <c r="AB3435" s="584">
        <v>46460</v>
      </c>
      <c r="AC3435" s="584" t="s">
        <v>164</v>
      </c>
      <c r="AD3435" s="584">
        <v>35489.166666666664</v>
      </c>
      <c r="AE3435" s="586">
        <v>0.05</v>
      </c>
      <c r="AF3435" s="661" t="str">
        <f t="shared" si="374"/>
        <v>2019-SSV-CHV-TAHO-009-11</v>
      </c>
      <c r="AG3435" s="661" t="str">
        <f>IF(AND($Y3435&gt;=32,(AI3435="I"),(Y3435&lt;&gt;"~"),(COUNTIF($AN$1:$AN3435,$AN3435)=1)),"TRUE","FALSE")</f>
        <v>FALSE</v>
      </c>
      <c r="AH3435" s="661" t="str">
        <f>IF(AND($Y3435&gt;=22, (AI3435&lt;&gt;"I"),(Y3435&lt;&gt;"~"),(COUNTIF($AN$1:$AN3435,$AN3435)=1)),"TRUE","FALSE")</f>
        <v>FALSE</v>
      </c>
      <c r="AI3435" s="661" t="str">
        <f t="shared" si="376"/>
        <v>II</v>
      </c>
      <c r="AJ3435" s="662" t="str">
        <f t="shared" si="370"/>
        <v>TAHO-009</v>
      </c>
      <c r="AK3435" s="662" t="str">
        <f t="shared" si="371"/>
        <v>SSV</v>
      </c>
      <c r="AL3435" s="662" t="str">
        <f t="shared" si="372"/>
        <v>CHV</v>
      </c>
      <c r="AM3435" s="662" t="str">
        <f t="shared" si="375"/>
        <v>Tahoe-SSV / 5W4-4WD-5-~-6400-5.3L-8-CK15706-1FL/5W4-116-26-E85-Unleaded</v>
      </c>
      <c r="AN3435" s="662" t="str">
        <f t="shared" si="373"/>
        <v>2019-SSV-CHV-TAHO-009</v>
      </c>
    </row>
    <row r="3436" spans="1:40" ht="15">
      <c r="A3436" s="570" t="s">
        <v>6140</v>
      </c>
      <c r="B3436" s="569" t="s">
        <v>6136</v>
      </c>
      <c r="C3436" s="569" t="s">
        <v>166</v>
      </c>
      <c r="D3436" s="580">
        <v>17</v>
      </c>
      <c r="E3436" s="569" t="s">
        <v>693</v>
      </c>
      <c r="F3436" s="569" t="s">
        <v>6137</v>
      </c>
      <c r="G3436" s="569" t="s">
        <v>153</v>
      </c>
      <c r="H3436" s="569">
        <v>2019</v>
      </c>
      <c r="I3436" s="569" t="s">
        <v>810</v>
      </c>
      <c r="J3436" s="569" t="s">
        <v>6138</v>
      </c>
      <c r="K3436" s="569" t="s">
        <v>752</v>
      </c>
      <c r="L3436" s="569">
        <v>5</v>
      </c>
      <c r="M3436" s="569">
        <v>0</v>
      </c>
      <c r="N3436" s="569" t="s">
        <v>157</v>
      </c>
      <c r="O3436" s="569">
        <v>2</v>
      </c>
      <c r="P3436" s="569" t="s">
        <v>157</v>
      </c>
      <c r="Q3436" s="568">
        <v>6400</v>
      </c>
      <c r="R3436" s="569" t="s">
        <v>753</v>
      </c>
      <c r="S3436" s="569">
        <v>8</v>
      </c>
      <c r="T3436" s="569" t="s">
        <v>811</v>
      </c>
      <c r="U3436" s="569" t="s">
        <v>6139</v>
      </c>
      <c r="V3436" s="569">
        <v>116</v>
      </c>
      <c r="W3436" s="569">
        <v>26</v>
      </c>
      <c r="X3436" s="568">
        <v>7300</v>
      </c>
      <c r="Y3436" s="569">
        <v>18</v>
      </c>
      <c r="Z3436" s="581" t="s">
        <v>450</v>
      </c>
      <c r="AA3436" s="581" t="s">
        <v>178</v>
      </c>
      <c r="AB3436" s="585">
        <v>47160</v>
      </c>
      <c r="AC3436" s="585" t="s">
        <v>164</v>
      </c>
      <c r="AD3436" s="585">
        <v>38520</v>
      </c>
      <c r="AE3436" s="587">
        <v>7.1999999999999995E-2</v>
      </c>
      <c r="AF3436" s="661" t="str">
        <f t="shared" si="374"/>
        <v>2019-SSV-CHV-TAHO-009-17</v>
      </c>
      <c r="AG3436" s="661" t="str">
        <f>IF(AND($Y3436&gt;=32,(AI3436="I"),(Y3436&lt;&gt;"~"),(COUNTIF($AN$1:$AN3436,$AN3436)=1)),"TRUE","FALSE")</f>
        <v>FALSE</v>
      </c>
      <c r="AH3436" s="661" t="str">
        <f>IF(AND($Y3436&gt;=22, (AI3436&lt;&gt;"I"),(Y3436&lt;&gt;"~"),(COUNTIF($AN$1:$AN3436,$AN3436)=1)),"TRUE","FALSE")</f>
        <v>FALSE</v>
      </c>
      <c r="AI3436" s="661" t="str">
        <f t="shared" si="376"/>
        <v>II</v>
      </c>
      <c r="AJ3436" s="662" t="str">
        <f t="shared" si="370"/>
        <v>TAHO-009</v>
      </c>
      <c r="AK3436" s="662" t="str">
        <f t="shared" si="371"/>
        <v>SSV</v>
      </c>
      <c r="AL3436" s="662" t="str">
        <f t="shared" si="372"/>
        <v>CHV</v>
      </c>
      <c r="AM3436" s="662" t="str">
        <f t="shared" si="375"/>
        <v>Tahoe-SSV / 5W4-4WD-5-~-6400-5.3L-8-CK15706-1FL/5W4-116-26-E85-Unleaded</v>
      </c>
      <c r="AN3436" s="662" t="str">
        <f t="shared" si="373"/>
        <v>2019-SSV-CHV-TAHO-009</v>
      </c>
    </row>
    <row r="3437" spans="1:40" ht="15">
      <c r="A3437" s="570" t="s">
        <v>6141</v>
      </c>
      <c r="B3437" s="573" t="s">
        <v>6142</v>
      </c>
      <c r="C3437" s="573" t="s">
        <v>240</v>
      </c>
      <c r="D3437" s="578" t="s">
        <v>241</v>
      </c>
      <c r="E3437" s="573" t="s">
        <v>693</v>
      </c>
      <c r="F3437" s="573" t="s">
        <v>6143</v>
      </c>
      <c r="G3437" s="573" t="s">
        <v>248</v>
      </c>
      <c r="H3437" s="573">
        <v>2019</v>
      </c>
      <c r="I3437" s="573" t="s">
        <v>895</v>
      </c>
      <c r="J3437" s="573" t="s">
        <v>6144</v>
      </c>
      <c r="K3437" s="573" t="s">
        <v>230</v>
      </c>
      <c r="L3437" s="573">
        <v>5</v>
      </c>
      <c r="M3437" s="573">
        <v>0</v>
      </c>
      <c r="N3437" s="573" t="s">
        <v>157</v>
      </c>
      <c r="O3437" s="573">
        <v>2</v>
      </c>
      <c r="P3437" s="573" t="s">
        <v>157</v>
      </c>
      <c r="Q3437" s="571">
        <v>6200</v>
      </c>
      <c r="R3437" s="573" t="s">
        <v>231</v>
      </c>
      <c r="S3437" s="573">
        <v>6</v>
      </c>
      <c r="T3437" s="573" t="s">
        <v>6145</v>
      </c>
      <c r="U3437" s="573" t="s">
        <v>6146</v>
      </c>
      <c r="V3437" s="573">
        <v>119.8</v>
      </c>
      <c r="W3437" s="573">
        <v>24.6</v>
      </c>
      <c r="X3437" s="571">
        <v>6500</v>
      </c>
      <c r="Y3437" s="573">
        <v>21</v>
      </c>
      <c r="Z3437" s="579" t="s">
        <v>178</v>
      </c>
      <c r="AA3437" s="579" t="s">
        <v>178</v>
      </c>
      <c r="AB3437" s="584">
        <v>35765</v>
      </c>
      <c r="AC3437" s="584" t="s">
        <v>164</v>
      </c>
      <c r="AD3437" s="584">
        <v>29385.416666666668</v>
      </c>
      <c r="AE3437" s="586">
        <v>0.05</v>
      </c>
      <c r="AF3437" s="661" t="str">
        <f t="shared" si="374"/>
        <v>2019-SSV-DOD-DURG-011-08</v>
      </c>
      <c r="AG3437" s="661" t="str">
        <f>IF(AND($Y3437&gt;=32,(AI3437="I"),(Y3437&lt;&gt;"~"),(COUNTIF($AN$1:$AN3437,$AN3437)=1)),"TRUE","FALSE")</f>
        <v>FALSE</v>
      </c>
      <c r="AH3437" s="661" t="str">
        <f>IF(AND($Y3437&gt;=22, (AI3437&lt;&gt;"I"),(Y3437&lt;&gt;"~"),(COUNTIF($AN$1:$AN3437,$AN3437)=1)),"TRUE","FALSE")</f>
        <v>FALSE</v>
      </c>
      <c r="AI3437" s="661" t="str">
        <f t="shared" si="376"/>
        <v>II</v>
      </c>
      <c r="AJ3437" s="662" t="str">
        <f t="shared" si="370"/>
        <v>DURG-011</v>
      </c>
      <c r="AK3437" s="662" t="str">
        <f t="shared" si="371"/>
        <v>SSV</v>
      </c>
      <c r="AL3437" s="662" t="str">
        <f t="shared" si="372"/>
        <v>DOD</v>
      </c>
      <c r="AM3437" s="662" t="str">
        <f t="shared" si="375"/>
        <v>Durango-PPV-AWD-5-~-6200-3.6L-6-WDEE75-2BZ-119.8-24.6-Unleaded-Unleaded</v>
      </c>
      <c r="AN3437" s="662" t="str">
        <f t="shared" si="373"/>
        <v>2019-SSV-DOD-DURG-011</v>
      </c>
    </row>
    <row r="3438" spans="1:40" ht="15">
      <c r="A3438" s="570" t="s">
        <v>6147</v>
      </c>
      <c r="B3438" s="569" t="s">
        <v>6148</v>
      </c>
      <c r="C3438" s="569" t="s">
        <v>240</v>
      </c>
      <c r="D3438" s="580" t="s">
        <v>241</v>
      </c>
      <c r="E3438" s="569" t="s">
        <v>693</v>
      </c>
      <c r="F3438" s="569" t="s">
        <v>6143</v>
      </c>
      <c r="G3438" s="569" t="s">
        <v>248</v>
      </c>
      <c r="H3438" s="569">
        <v>2019</v>
      </c>
      <c r="I3438" s="569" t="s">
        <v>895</v>
      </c>
      <c r="J3438" s="569" t="s">
        <v>6144</v>
      </c>
      <c r="K3438" s="569" t="s">
        <v>230</v>
      </c>
      <c r="L3438" s="569">
        <v>5</v>
      </c>
      <c r="M3438" s="569">
        <v>0</v>
      </c>
      <c r="N3438" s="569" t="s">
        <v>157</v>
      </c>
      <c r="O3438" s="569">
        <v>2</v>
      </c>
      <c r="P3438" s="569" t="s">
        <v>157</v>
      </c>
      <c r="Q3438" s="568">
        <v>7200</v>
      </c>
      <c r="R3438" s="569" t="s">
        <v>646</v>
      </c>
      <c r="S3438" s="569">
        <v>8</v>
      </c>
      <c r="T3438" s="569" t="s">
        <v>6145</v>
      </c>
      <c r="U3438" s="569" t="s">
        <v>6149</v>
      </c>
      <c r="V3438" s="569">
        <v>119.8</v>
      </c>
      <c r="W3438" s="569">
        <v>24.6</v>
      </c>
      <c r="X3438" s="568">
        <v>7100</v>
      </c>
      <c r="Y3438" s="569">
        <v>17</v>
      </c>
      <c r="Z3438" s="581" t="s">
        <v>178</v>
      </c>
      <c r="AA3438" s="581" t="s">
        <v>178</v>
      </c>
      <c r="AB3438" s="585">
        <v>38760</v>
      </c>
      <c r="AC3438" s="585" t="s">
        <v>164</v>
      </c>
      <c r="AD3438" s="585">
        <v>32381.25</v>
      </c>
      <c r="AE3438" s="587">
        <v>0.05</v>
      </c>
      <c r="AF3438" s="661" t="str">
        <f t="shared" si="374"/>
        <v>2019-SSV-DOD-DURG-012-08</v>
      </c>
      <c r="AG3438" s="661" t="str">
        <f>IF(AND($Y3438&gt;=32,(AI3438="I"),(Y3438&lt;&gt;"~"),(COUNTIF($AN$1:$AN3438,$AN3438)=1)),"TRUE","FALSE")</f>
        <v>FALSE</v>
      </c>
      <c r="AH3438" s="661" t="str">
        <f>IF(AND($Y3438&gt;=22, (AI3438&lt;&gt;"I"),(Y3438&lt;&gt;"~"),(COUNTIF($AN$1:$AN3438,$AN3438)=1)),"TRUE","FALSE")</f>
        <v>FALSE</v>
      </c>
      <c r="AI3438" s="661" t="str">
        <f t="shared" si="376"/>
        <v>II</v>
      </c>
      <c r="AJ3438" s="662" t="str">
        <f t="shared" si="370"/>
        <v>DURG-012</v>
      </c>
      <c r="AK3438" s="662" t="str">
        <f t="shared" si="371"/>
        <v>SSV</v>
      </c>
      <c r="AL3438" s="662" t="str">
        <f t="shared" si="372"/>
        <v>DOD</v>
      </c>
      <c r="AM3438" s="662" t="str">
        <f t="shared" si="375"/>
        <v>Durango-PPV-AWD-5-~-7200-5.7L-8-WDEE75-22Z-119.8-24.6-Unleaded-Unleaded</v>
      </c>
      <c r="AN3438" s="662" t="str">
        <f t="shared" si="373"/>
        <v>2019-SSV-DOD-DURG-012</v>
      </c>
    </row>
    <row r="3439" spans="1:40" ht="15">
      <c r="A3439" s="570" t="s">
        <v>6147</v>
      </c>
      <c r="B3439" s="573" t="s">
        <v>6148</v>
      </c>
      <c r="C3439" s="573" t="s">
        <v>240</v>
      </c>
      <c r="D3439" s="578" t="s">
        <v>241</v>
      </c>
      <c r="E3439" s="573" t="s">
        <v>693</v>
      </c>
      <c r="F3439" s="573" t="s">
        <v>6143</v>
      </c>
      <c r="G3439" s="573" t="s">
        <v>248</v>
      </c>
      <c r="H3439" s="573">
        <v>2019</v>
      </c>
      <c r="I3439" s="573" t="s">
        <v>895</v>
      </c>
      <c r="J3439" s="573" t="s">
        <v>6144</v>
      </c>
      <c r="K3439" s="573" t="s">
        <v>230</v>
      </c>
      <c r="L3439" s="573">
        <v>5</v>
      </c>
      <c r="M3439" s="573">
        <v>0</v>
      </c>
      <c r="N3439" s="573" t="s">
        <v>157</v>
      </c>
      <c r="O3439" s="573">
        <v>2</v>
      </c>
      <c r="P3439" s="573" t="s">
        <v>157</v>
      </c>
      <c r="Q3439" s="571">
        <v>7200</v>
      </c>
      <c r="R3439" s="573" t="s">
        <v>646</v>
      </c>
      <c r="S3439" s="573">
        <v>8</v>
      </c>
      <c r="T3439" s="573" t="s">
        <v>6145</v>
      </c>
      <c r="U3439" s="573" t="s">
        <v>6149</v>
      </c>
      <c r="V3439" s="573">
        <v>119.8</v>
      </c>
      <c r="W3439" s="573">
        <v>24.6</v>
      </c>
      <c r="X3439" s="571">
        <v>7100</v>
      </c>
      <c r="Y3439" s="573">
        <v>17</v>
      </c>
      <c r="Z3439" s="579" t="s">
        <v>178</v>
      </c>
      <c r="AA3439" s="579" t="s">
        <v>178</v>
      </c>
      <c r="AB3439" s="584">
        <v>38760</v>
      </c>
      <c r="AC3439" s="584" t="s">
        <v>164</v>
      </c>
      <c r="AD3439" s="584">
        <v>32068.75</v>
      </c>
      <c r="AE3439" s="586">
        <v>0.05</v>
      </c>
      <c r="AF3439" s="661" t="str">
        <f t="shared" si="374"/>
        <v>2019-SSV-DOD-DURG-012-08</v>
      </c>
      <c r="AG3439" s="661" t="str">
        <f>IF(AND($Y3439&gt;=32,(AI3439="I"),(Y3439&lt;&gt;"~"),(COUNTIF($AN$1:$AN3439,$AN3439)=1)),"TRUE","FALSE")</f>
        <v>FALSE</v>
      </c>
      <c r="AH3439" s="661" t="str">
        <f>IF(AND($Y3439&gt;=22, (AI3439&lt;&gt;"I"),(Y3439&lt;&gt;"~"),(COUNTIF($AN$1:$AN3439,$AN3439)=1)),"TRUE","FALSE")</f>
        <v>FALSE</v>
      </c>
      <c r="AI3439" s="661" t="str">
        <f t="shared" si="376"/>
        <v>II</v>
      </c>
      <c r="AJ3439" s="662" t="str">
        <f t="shared" si="370"/>
        <v>DURG-012</v>
      </c>
      <c r="AK3439" s="662" t="str">
        <f t="shared" si="371"/>
        <v>SSV</v>
      </c>
      <c r="AL3439" s="662" t="str">
        <f t="shared" si="372"/>
        <v>DOD</v>
      </c>
      <c r="AM3439" s="662" t="str">
        <f t="shared" si="375"/>
        <v>Durango-PPV-AWD-5-~-7200-5.7L-8-WDEE75-22Z-119.8-24.6-Unleaded-Unleaded</v>
      </c>
      <c r="AN3439" s="662" t="str">
        <f t="shared" si="373"/>
        <v>2019-SSV-DOD-DURG-012</v>
      </c>
    </row>
    <row r="3440" spans="1:40" ht="15">
      <c r="A3440" s="570" t="s">
        <v>6150</v>
      </c>
      <c r="B3440" s="569" t="s">
        <v>6151</v>
      </c>
      <c r="C3440" s="569" t="s">
        <v>226</v>
      </c>
      <c r="D3440" s="580" t="s">
        <v>227</v>
      </c>
      <c r="E3440" s="569" t="s">
        <v>693</v>
      </c>
      <c r="F3440" s="569" t="s">
        <v>6143</v>
      </c>
      <c r="G3440" s="569" t="s">
        <v>248</v>
      </c>
      <c r="H3440" s="569">
        <v>2019</v>
      </c>
      <c r="I3440" s="569" t="s">
        <v>895</v>
      </c>
      <c r="J3440" s="569" t="s">
        <v>6152</v>
      </c>
      <c r="K3440" s="569" t="s">
        <v>236</v>
      </c>
      <c r="L3440" s="569">
        <v>5</v>
      </c>
      <c r="M3440" s="569">
        <v>0</v>
      </c>
      <c r="N3440" s="569" t="s">
        <v>157</v>
      </c>
      <c r="O3440" s="569">
        <v>2</v>
      </c>
      <c r="P3440" s="569" t="s">
        <v>157</v>
      </c>
      <c r="Q3440" s="568">
        <v>6000</v>
      </c>
      <c r="R3440" s="569" t="s">
        <v>231</v>
      </c>
      <c r="S3440" s="569">
        <v>6</v>
      </c>
      <c r="T3440" s="569" t="s">
        <v>6153</v>
      </c>
      <c r="U3440" s="569" t="s">
        <v>6154</v>
      </c>
      <c r="V3440" s="569">
        <v>119.8</v>
      </c>
      <c r="W3440" s="569">
        <v>24.6</v>
      </c>
      <c r="X3440" s="568">
        <v>6500</v>
      </c>
      <c r="Y3440" s="569">
        <v>22</v>
      </c>
      <c r="Z3440" s="581" t="s">
        <v>178</v>
      </c>
      <c r="AA3440" s="581" t="s">
        <v>178</v>
      </c>
      <c r="AB3440" s="585">
        <v>32990</v>
      </c>
      <c r="AC3440" s="585" t="s">
        <v>164</v>
      </c>
      <c r="AD3440" s="585">
        <v>25380</v>
      </c>
      <c r="AE3440" s="587">
        <v>6.25E-2</v>
      </c>
      <c r="AF3440" s="661" t="str">
        <f t="shared" si="374"/>
        <v>2019-SSV-DOD-DURG-003-04</v>
      </c>
      <c r="AG3440" s="661" t="str">
        <f>IF(AND($Y3440&gt;=32,(AI3440="I"),(Y3440&lt;&gt;"~"),(COUNTIF($AN$1:$AN3440,$AN3440)=1)),"TRUE","FALSE")</f>
        <v>FALSE</v>
      </c>
      <c r="AH3440" s="661" t="str">
        <f>IF(AND($Y3440&gt;=22, (AI3440&lt;&gt;"I"),(Y3440&lt;&gt;"~"),(COUNTIF($AN$1:$AN3440,$AN3440)=1)),"TRUE","FALSE")</f>
        <v>TRUE</v>
      </c>
      <c r="AI3440" s="661" t="str">
        <f t="shared" si="376"/>
        <v>II</v>
      </c>
      <c r="AJ3440" s="662" t="str">
        <f t="shared" si="370"/>
        <v>DURG-003</v>
      </c>
      <c r="AK3440" s="662" t="str">
        <f t="shared" si="371"/>
        <v>SSV</v>
      </c>
      <c r="AL3440" s="662" t="str">
        <f t="shared" si="372"/>
        <v>DOD</v>
      </c>
      <c r="AM3440" s="662" t="str">
        <f t="shared" si="375"/>
        <v>Durango-SSV-RWD-5-~-6000-3.6L-6-WDDE75-2BX-119.8-24.6-Unleaded-Unleaded</v>
      </c>
      <c r="AN3440" s="662" t="str">
        <f t="shared" si="373"/>
        <v>2019-SSV-DOD-DURG-003</v>
      </c>
    </row>
    <row r="3441" spans="1:40" ht="15">
      <c r="A3441" s="570" t="s">
        <v>6155</v>
      </c>
      <c r="B3441" s="573" t="s">
        <v>6156</v>
      </c>
      <c r="C3441" s="573" t="s">
        <v>226</v>
      </c>
      <c r="D3441" s="578" t="s">
        <v>227</v>
      </c>
      <c r="E3441" s="573" t="s">
        <v>693</v>
      </c>
      <c r="F3441" s="573" t="s">
        <v>6143</v>
      </c>
      <c r="G3441" s="573" t="s">
        <v>248</v>
      </c>
      <c r="H3441" s="573">
        <v>2019</v>
      </c>
      <c r="I3441" s="573" t="s">
        <v>895</v>
      </c>
      <c r="J3441" s="573" t="s">
        <v>6152</v>
      </c>
      <c r="K3441" s="573" t="s">
        <v>236</v>
      </c>
      <c r="L3441" s="573">
        <v>5</v>
      </c>
      <c r="M3441" s="573">
        <v>0</v>
      </c>
      <c r="N3441" s="573" t="s">
        <v>157</v>
      </c>
      <c r="O3441" s="573">
        <v>2</v>
      </c>
      <c r="P3441" s="573" t="s">
        <v>157</v>
      </c>
      <c r="Q3441" s="571">
        <v>6000</v>
      </c>
      <c r="R3441" s="573" t="s">
        <v>646</v>
      </c>
      <c r="S3441" s="573">
        <v>8</v>
      </c>
      <c r="T3441" s="573" t="s">
        <v>6153</v>
      </c>
      <c r="U3441" s="573" t="s">
        <v>6157</v>
      </c>
      <c r="V3441" s="573">
        <v>119.8</v>
      </c>
      <c r="W3441" s="573">
        <v>24.6</v>
      </c>
      <c r="X3441" s="571">
        <v>6500</v>
      </c>
      <c r="Y3441" s="573">
        <v>21</v>
      </c>
      <c r="Z3441" s="579" t="s">
        <v>178</v>
      </c>
      <c r="AA3441" s="579" t="s">
        <v>178</v>
      </c>
      <c r="AB3441" s="584">
        <v>35985</v>
      </c>
      <c r="AC3441" s="584" t="s">
        <v>164</v>
      </c>
      <c r="AD3441" s="584">
        <v>28588</v>
      </c>
      <c r="AE3441" s="586">
        <v>6.25E-2</v>
      </c>
      <c r="AF3441" s="661" t="str">
        <f t="shared" si="374"/>
        <v>2019-SSV-DOD-DURG-004-04</v>
      </c>
      <c r="AG3441" s="661" t="str">
        <f>IF(AND($Y3441&gt;=32,(AI3441="I"),(Y3441&lt;&gt;"~"),(COUNTIF($AN$1:$AN3441,$AN3441)=1)),"TRUE","FALSE")</f>
        <v>FALSE</v>
      </c>
      <c r="AH3441" s="661" t="str">
        <f>IF(AND($Y3441&gt;=22, (AI3441&lt;&gt;"I"),(Y3441&lt;&gt;"~"),(COUNTIF($AN$1:$AN3441,$AN3441)=1)),"TRUE","FALSE")</f>
        <v>FALSE</v>
      </c>
      <c r="AI3441" s="661" t="str">
        <f t="shared" si="376"/>
        <v>II</v>
      </c>
      <c r="AJ3441" s="662" t="str">
        <f t="shared" si="370"/>
        <v>DURG-004</v>
      </c>
      <c r="AK3441" s="662" t="str">
        <f t="shared" si="371"/>
        <v>SSV</v>
      </c>
      <c r="AL3441" s="662" t="str">
        <f t="shared" si="372"/>
        <v>DOD</v>
      </c>
      <c r="AM3441" s="662" t="str">
        <f t="shared" si="375"/>
        <v>Durango-SSV-RWD-5-~-6000-5.7L-8-WDDE75-22X-119.8-24.6-Unleaded-Unleaded</v>
      </c>
      <c r="AN3441" s="662" t="str">
        <f t="shared" si="373"/>
        <v>2019-SSV-DOD-DURG-004</v>
      </c>
    </row>
    <row r="3442" spans="1:40" ht="15">
      <c r="A3442" s="570" t="s">
        <v>6158</v>
      </c>
      <c r="B3442" s="569" t="s">
        <v>6151</v>
      </c>
      <c r="C3442" s="569" t="s">
        <v>240</v>
      </c>
      <c r="D3442" s="580" t="s">
        <v>241</v>
      </c>
      <c r="E3442" s="569" t="s">
        <v>693</v>
      </c>
      <c r="F3442" s="569" t="s">
        <v>6143</v>
      </c>
      <c r="G3442" s="569" t="s">
        <v>248</v>
      </c>
      <c r="H3442" s="569">
        <v>2019</v>
      </c>
      <c r="I3442" s="569" t="s">
        <v>895</v>
      </c>
      <c r="J3442" s="569" t="s">
        <v>6152</v>
      </c>
      <c r="K3442" s="569" t="s">
        <v>236</v>
      </c>
      <c r="L3442" s="569">
        <v>5</v>
      </c>
      <c r="M3442" s="569">
        <v>0</v>
      </c>
      <c r="N3442" s="569" t="s">
        <v>157</v>
      </c>
      <c r="O3442" s="569">
        <v>2</v>
      </c>
      <c r="P3442" s="569" t="s">
        <v>157</v>
      </c>
      <c r="Q3442" s="568">
        <v>6000</v>
      </c>
      <c r="R3442" s="569" t="s">
        <v>231</v>
      </c>
      <c r="S3442" s="569">
        <v>6</v>
      </c>
      <c r="T3442" s="569" t="s">
        <v>6153</v>
      </c>
      <c r="U3442" s="569" t="s">
        <v>6154</v>
      </c>
      <c r="V3442" s="569">
        <v>119.8</v>
      </c>
      <c r="W3442" s="569">
        <v>24.6</v>
      </c>
      <c r="X3442" s="568">
        <v>6500</v>
      </c>
      <c r="Y3442" s="569">
        <v>19</v>
      </c>
      <c r="Z3442" s="581" t="s">
        <v>178</v>
      </c>
      <c r="AA3442" s="581" t="s">
        <v>178</v>
      </c>
      <c r="AB3442" s="585">
        <v>32990</v>
      </c>
      <c r="AC3442" s="585" t="s">
        <v>164</v>
      </c>
      <c r="AD3442" s="585">
        <v>25259</v>
      </c>
      <c r="AE3442" s="587">
        <v>0.05</v>
      </c>
      <c r="AF3442" s="661" t="str">
        <f t="shared" si="374"/>
        <v>2019-SSV-DOD-DURG-003-08</v>
      </c>
      <c r="AG3442" s="661" t="str">
        <f>IF(AND($Y3442&gt;=32,(AI3442="I"),(Y3442&lt;&gt;"~"),(COUNTIF($AN$1:$AN3442,$AN3442)=1)),"TRUE","FALSE")</f>
        <v>FALSE</v>
      </c>
      <c r="AH3442" s="661" t="str">
        <f>IF(AND($Y3442&gt;=22, (AI3442&lt;&gt;"I"),(Y3442&lt;&gt;"~"),(COUNTIF($AN$1:$AN3442,$AN3442)=1)),"TRUE","FALSE")</f>
        <v>FALSE</v>
      </c>
      <c r="AI3442" s="661" t="str">
        <f t="shared" si="376"/>
        <v>II</v>
      </c>
      <c r="AJ3442" s="662" t="str">
        <f t="shared" si="370"/>
        <v>DURG-003</v>
      </c>
      <c r="AK3442" s="662" t="str">
        <f t="shared" si="371"/>
        <v>SSV</v>
      </c>
      <c r="AL3442" s="662" t="str">
        <f t="shared" si="372"/>
        <v>DOD</v>
      </c>
      <c r="AM3442" s="662" t="str">
        <f t="shared" si="375"/>
        <v>Durango-SSV-RWD-5-~-6000-3.6L-6-WDDE75-2BX-119.8-24.6-Unleaded-Unleaded</v>
      </c>
      <c r="AN3442" s="662" t="str">
        <f t="shared" si="373"/>
        <v>2019-SSV-DOD-DURG-003</v>
      </c>
    </row>
    <row r="3443" spans="1:40" ht="15">
      <c r="A3443" s="570" t="s">
        <v>6159</v>
      </c>
      <c r="B3443" s="573" t="s">
        <v>6160</v>
      </c>
      <c r="C3443" s="573" t="s">
        <v>240</v>
      </c>
      <c r="D3443" s="578" t="s">
        <v>241</v>
      </c>
      <c r="E3443" s="573" t="s">
        <v>693</v>
      </c>
      <c r="F3443" s="573" t="s">
        <v>6143</v>
      </c>
      <c r="G3443" s="573" t="s">
        <v>248</v>
      </c>
      <c r="H3443" s="573">
        <v>2019</v>
      </c>
      <c r="I3443" s="573" t="s">
        <v>895</v>
      </c>
      <c r="J3443" s="573" t="s">
        <v>6152</v>
      </c>
      <c r="K3443" s="573" t="s">
        <v>236</v>
      </c>
      <c r="L3443" s="573">
        <v>5</v>
      </c>
      <c r="M3443" s="573">
        <v>0</v>
      </c>
      <c r="N3443" s="573" t="s">
        <v>157</v>
      </c>
      <c r="O3443" s="573">
        <v>2</v>
      </c>
      <c r="P3443" s="573" t="s">
        <v>157</v>
      </c>
      <c r="Q3443" s="571">
        <v>7400</v>
      </c>
      <c r="R3443" s="573" t="s">
        <v>646</v>
      </c>
      <c r="S3443" s="573">
        <v>8</v>
      </c>
      <c r="T3443" s="573" t="s">
        <v>6153</v>
      </c>
      <c r="U3443" s="573" t="s">
        <v>6157</v>
      </c>
      <c r="V3443" s="573">
        <v>119.8</v>
      </c>
      <c r="W3443" s="573">
        <v>24.6</v>
      </c>
      <c r="X3443" s="571">
        <v>7100</v>
      </c>
      <c r="Y3443" s="573">
        <v>17</v>
      </c>
      <c r="Z3443" s="579" t="s">
        <v>178</v>
      </c>
      <c r="AA3443" s="579" t="s">
        <v>178</v>
      </c>
      <c r="AB3443" s="584">
        <v>35985</v>
      </c>
      <c r="AC3443" s="584" t="s">
        <v>164</v>
      </c>
      <c r="AD3443" s="584">
        <v>27875</v>
      </c>
      <c r="AE3443" s="586">
        <v>0.05</v>
      </c>
      <c r="AF3443" s="661" t="str">
        <f t="shared" si="374"/>
        <v>2019-SSV-DOD-DURG-013-08</v>
      </c>
      <c r="AG3443" s="661" t="str">
        <f>IF(AND($Y3443&gt;=32,(AI3443="I"),(Y3443&lt;&gt;"~"),(COUNTIF($AN$1:$AN3443,$AN3443)=1)),"TRUE","FALSE")</f>
        <v>FALSE</v>
      </c>
      <c r="AH3443" s="661" t="str">
        <f>IF(AND($Y3443&gt;=22, (AI3443&lt;&gt;"I"),(Y3443&lt;&gt;"~"),(COUNTIF($AN$1:$AN3443,$AN3443)=1)),"TRUE","FALSE")</f>
        <v>FALSE</v>
      </c>
      <c r="AI3443" s="661" t="str">
        <f t="shared" si="376"/>
        <v>II</v>
      </c>
      <c r="AJ3443" s="662" t="str">
        <f t="shared" si="370"/>
        <v>DURG-013</v>
      </c>
      <c r="AK3443" s="662" t="str">
        <f t="shared" si="371"/>
        <v>SSV</v>
      </c>
      <c r="AL3443" s="662" t="str">
        <f t="shared" si="372"/>
        <v>DOD</v>
      </c>
      <c r="AM3443" s="662" t="str">
        <f t="shared" si="375"/>
        <v>Durango-SSV-RWD-5-~-7400-5.7L-8-WDDE75-22X-119.8-24.6-Unleaded-Unleaded</v>
      </c>
      <c r="AN3443" s="662" t="str">
        <f t="shared" si="373"/>
        <v>2019-SSV-DOD-DURG-013</v>
      </c>
    </row>
    <row r="3444" spans="1:40" ht="15">
      <c r="A3444" s="570" t="s">
        <v>6161</v>
      </c>
      <c r="B3444" s="569" t="s">
        <v>6162</v>
      </c>
      <c r="C3444" s="569" t="s">
        <v>226</v>
      </c>
      <c r="D3444" s="580" t="s">
        <v>227</v>
      </c>
      <c r="E3444" s="569" t="s">
        <v>693</v>
      </c>
      <c r="F3444" s="569" t="s">
        <v>6116</v>
      </c>
      <c r="G3444" s="569" t="s">
        <v>248</v>
      </c>
      <c r="H3444" s="569">
        <v>2019</v>
      </c>
      <c r="I3444" s="569" t="s">
        <v>5395</v>
      </c>
      <c r="J3444" s="569" t="s">
        <v>6152</v>
      </c>
      <c r="K3444" s="569" t="s">
        <v>752</v>
      </c>
      <c r="L3444" s="569">
        <v>5</v>
      </c>
      <c r="M3444" s="569">
        <v>0</v>
      </c>
      <c r="N3444" s="569" t="s">
        <v>157</v>
      </c>
      <c r="O3444" s="569">
        <v>2</v>
      </c>
      <c r="P3444" s="569" t="s">
        <v>157</v>
      </c>
      <c r="Q3444" s="568">
        <v>6800</v>
      </c>
      <c r="R3444" s="569" t="s">
        <v>646</v>
      </c>
      <c r="S3444" s="569">
        <v>8</v>
      </c>
      <c r="T3444" s="569" t="s">
        <v>6163</v>
      </c>
      <c r="U3444" s="569" t="s">
        <v>6164</v>
      </c>
      <c r="V3444" s="569">
        <v>140</v>
      </c>
      <c r="W3444" s="569">
        <v>26</v>
      </c>
      <c r="X3444" s="568">
        <v>6800</v>
      </c>
      <c r="Y3444" s="569">
        <v>22</v>
      </c>
      <c r="Z3444" s="581" t="s">
        <v>178</v>
      </c>
      <c r="AA3444" s="581" t="s">
        <v>178</v>
      </c>
      <c r="AB3444" s="585">
        <v>42120</v>
      </c>
      <c r="AC3444" s="585" t="s">
        <v>164</v>
      </c>
      <c r="AD3444" s="585">
        <v>25674</v>
      </c>
      <c r="AE3444" s="587">
        <v>6.25E-2</v>
      </c>
      <c r="AF3444" s="661" t="str">
        <f t="shared" si="374"/>
        <v>2019-SSV-DOD-RM15-052-04</v>
      </c>
      <c r="AG3444" s="661" t="str">
        <f>IF(AND($Y3444&gt;=32,(AI3444="I"),(Y3444&lt;&gt;"~"),(COUNTIF($AN$1:$AN3444,$AN3444)=1)),"TRUE","FALSE")</f>
        <v>FALSE</v>
      </c>
      <c r="AH3444" s="661" t="str">
        <f>IF(AND($Y3444&gt;=22, (AI3444&lt;&gt;"I"),(Y3444&lt;&gt;"~"),(COUNTIF($AN$1:$AN3444,$AN3444)=1)),"TRUE","FALSE")</f>
        <v>TRUE</v>
      </c>
      <c r="AI3444" s="661" t="str">
        <f t="shared" si="376"/>
        <v>II</v>
      </c>
      <c r="AJ3444" s="662" t="str">
        <f t="shared" si="370"/>
        <v>RM15-052</v>
      </c>
      <c r="AK3444" s="662" t="str">
        <f t="shared" si="371"/>
        <v>SSV</v>
      </c>
      <c r="AL3444" s="662" t="str">
        <f t="shared" si="372"/>
        <v>DOD</v>
      </c>
      <c r="AM3444" s="662" t="str">
        <f t="shared" si="375"/>
        <v>Ram 1500-SSV-4WD-5-~-6800-5.7L-8-DS6T98-25D-140-26-Unleaded-Unleaded</v>
      </c>
      <c r="AN3444" s="662" t="str">
        <f t="shared" si="373"/>
        <v>2019-SSV-DOD-RM15-052</v>
      </c>
    </row>
    <row r="3445" spans="1:40" ht="15">
      <c r="A3445" s="570" t="s">
        <v>6165</v>
      </c>
      <c r="B3445" s="573" t="s">
        <v>6162</v>
      </c>
      <c r="C3445" s="573" t="s">
        <v>240</v>
      </c>
      <c r="D3445" s="578" t="s">
        <v>241</v>
      </c>
      <c r="E3445" s="573" t="s">
        <v>693</v>
      </c>
      <c r="F3445" s="573" t="s">
        <v>6116</v>
      </c>
      <c r="G3445" s="573" t="s">
        <v>248</v>
      </c>
      <c r="H3445" s="573">
        <v>2019</v>
      </c>
      <c r="I3445" s="573" t="s">
        <v>5395</v>
      </c>
      <c r="J3445" s="573" t="s">
        <v>6152</v>
      </c>
      <c r="K3445" s="573" t="s">
        <v>752</v>
      </c>
      <c r="L3445" s="573">
        <v>5</v>
      </c>
      <c r="M3445" s="573">
        <v>0</v>
      </c>
      <c r="N3445" s="573" t="s">
        <v>157</v>
      </c>
      <c r="O3445" s="573">
        <v>2</v>
      </c>
      <c r="P3445" s="573" t="s">
        <v>157</v>
      </c>
      <c r="Q3445" s="571">
        <v>8510</v>
      </c>
      <c r="R3445" s="573" t="s">
        <v>646</v>
      </c>
      <c r="S3445" s="573">
        <v>8</v>
      </c>
      <c r="T3445" s="573" t="s">
        <v>6163</v>
      </c>
      <c r="U3445" s="573" t="s">
        <v>6164</v>
      </c>
      <c r="V3445" s="573">
        <v>140.5</v>
      </c>
      <c r="W3445" s="573">
        <v>26</v>
      </c>
      <c r="X3445" s="571">
        <v>6800</v>
      </c>
      <c r="Y3445" s="573">
        <v>14</v>
      </c>
      <c r="Z3445" s="579" t="s">
        <v>178</v>
      </c>
      <c r="AA3445" s="579" t="s">
        <v>178</v>
      </c>
      <c r="AB3445" s="584">
        <v>42120</v>
      </c>
      <c r="AC3445" s="584" t="s">
        <v>164</v>
      </c>
      <c r="AD3445" s="584">
        <v>25989</v>
      </c>
      <c r="AE3445" s="586">
        <v>0.05</v>
      </c>
      <c r="AF3445" s="661" t="str">
        <f t="shared" si="374"/>
        <v>2019-SSV-DOD-RM15-052-08</v>
      </c>
      <c r="AG3445" s="661" t="str">
        <f>IF(AND($Y3445&gt;=32,(AI3445="I"),(Y3445&lt;&gt;"~"),(COUNTIF($AN$1:$AN3445,$AN3445)=1)),"TRUE","FALSE")</f>
        <v>FALSE</v>
      </c>
      <c r="AH3445" s="661" t="str">
        <f>IF(AND($Y3445&gt;=22, (AI3445&lt;&gt;"I"),(Y3445&lt;&gt;"~"),(COUNTIF($AN$1:$AN3445,$AN3445)=1)),"TRUE","FALSE")</f>
        <v>FALSE</v>
      </c>
      <c r="AI3445" s="661" t="str">
        <f t="shared" si="376"/>
        <v>II</v>
      </c>
      <c r="AJ3445" s="662" t="str">
        <f t="shared" si="370"/>
        <v>RM15-052</v>
      </c>
      <c r="AK3445" s="662" t="str">
        <f t="shared" si="371"/>
        <v>SSV</v>
      </c>
      <c r="AL3445" s="662" t="str">
        <f t="shared" si="372"/>
        <v>DOD</v>
      </c>
      <c r="AM3445" s="662" t="str">
        <f t="shared" si="375"/>
        <v>Ram 1500-SSV-4WD-5-~-8510-5.7L-8-DS6T98-25D-140.5-26-Unleaded-Unleaded</v>
      </c>
      <c r="AN3445" s="662" t="str">
        <f t="shared" si="373"/>
        <v>2019-SSV-DOD-RM15-052</v>
      </c>
    </row>
    <row r="3446" spans="1:40" ht="15">
      <c r="A3446" s="570" t="s">
        <v>6166</v>
      </c>
      <c r="B3446" s="569" t="s">
        <v>6167</v>
      </c>
      <c r="C3446" s="569" t="s">
        <v>269</v>
      </c>
      <c r="D3446" s="580" t="s">
        <v>270</v>
      </c>
      <c r="E3446" s="569" t="s">
        <v>693</v>
      </c>
      <c r="F3446" s="569" t="s">
        <v>6137</v>
      </c>
      <c r="G3446" s="569" t="s">
        <v>271</v>
      </c>
      <c r="H3446" s="569">
        <v>2019</v>
      </c>
      <c r="I3446" s="569" t="s">
        <v>1123</v>
      </c>
      <c r="J3446" s="569" t="s">
        <v>1201</v>
      </c>
      <c r="K3446" s="569" t="s">
        <v>3377</v>
      </c>
      <c r="L3446" s="569">
        <v>5</v>
      </c>
      <c r="M3446" s="569">
        <v>0</v>
      </c>
      <c r="N3446" s="569" t="s">
        <v>157</v>
      </c>
      <c r="O3446" s="569">
        <v>2</v>
      </c>
      <c r="P3446" s="569" t="s">
        <v>157</v>
      </c>
      <c r="Q3446" s="568" t="s">
        <v>157</v>
      </c>
      <c r="R3446" s="569" t="s">
        <v>1259</v>
      </c>
      <c r="S3446" s="569">
        <v>6</v>
      </c>
      <c r="T3446" s="569" t="s">
        <v>1208</v>
      </c>
      <c r="U3446" s="569" t="s">
        <v>6168</v>
      </c>
      <c r="V3446" s="569">
        <v>122.5</v>
      </c>
      <c r="W3446" s="569">
        <v>23.3</v>
      </c>
      <c r="X3446" s="568">
        <v>7300</v>
      </c>
      <c r="Y3446" s="569">
        <v>20</v>
      </c>
      <c r="Z3446" s="581" t="s">
        <v>178</v>
      </c>
      <c r="AA3446" s="581" t="s">
        <v>178</v>
      </c>
      <c r="AB3446" s="585">
        <v>47745</v>
      </c>
      <c r="AC3446" s="585" t="s">
        <v>164</v>
      </c>
      <c r="AD3446" s="585">
        <v>35361.125</v>
      </c>
      <c r="AE3446" s="587">
        <v>0.03</v>
      </c>
      <c r="AF3446" s="661" t="str">
        <f t="shared" si="374"/>
        <v>2019-SSV-FRD-EXPD-017-05</v>
      </c>
      <c r="AG3446" s="661" t="str">
        <f>IF(AND($Y3446&gt;=32,(AI3446="I"),(Y3446&lt;&gt;"~"),(COUNTIF($AN$1:$AN3446,$AN3446)=1)),"TRUE","FALSE")</f>
        <v>FALSE</v>
      </c>
      <c r="AH3446" s="661" t="str">
        <f>IF(AND($Y3446&gt;=22, (AI3446&lt;&gt;"I"),(Y3446&lt;&gt;"~"),(COUNTIF($AN$1:$AN3446,$AN3446)=1)),"TRUE","FALSE")</f>
        <v>FALSE</v>
      </c>
      <c r="AI3446" s="661" t="str">
        <f t="shared" si="376"/>
        <v>II</v>
      </c>
      <c r="AJ3446" s="662" t="str">
        <f t="shared" si="370"/>
        <v>EXPD-017</v>
      </c>
      <c r="AK3446" s="662" t="str">
        <f t="shared" si="371"/>
        <v>SSV</v>
      </c>
      <c r="AL3446" s="662" t="str">
        <f t="shared" si="372"/>
        <v>FRD</v>
      </c>
      <c r="AM3446" s="662" t="str">
        <f t="shared" si="375"/>
        <v>Expedition-XL-2WD-5-~-~-3.5L EcoBoost-6-U1F-102A-122.5-23.3-Unleaded-Unleaded</v>
      </c>
      <c r="AN3446" s="662" t="str">
        <f t="shared" si="373"/>
        <v>2019-SSV-FRD-EXPD-017</v>
      </c>
    </row>
    <row r="3447" spans="1:40" ht="15">
      <c r="A3447" s="570" t="s">
        <v>6166</v>
      </c>
      <c r="B3447" s="573" t="s">
        <v>6167</v>
      </c>
      <c r="C3447" s="573" t="s">
        <v>269</v>
      </c>
      <c r="D3447" s="578" t="s">
        <v>270</v>
      </c>
      <c r="E3447" s="573" t="s">
        <v>693</v>
      </c>
      <c r="F3447" s="573" t="s">
        <v>6137</v>
      </c>
      <c r="G3447" s="573" t="s">
        <v>271</v>
      </c>
      <c r="H3447" s="573">
        <v>2019</v>
      </c>
      <c r="I3447" s="573" t="s">
        <v>1123</v>
      </c>
      <c r="J3447" s="573" t="s">
        <v>1201</v>
      </c>
      <c r="K3447" s="573" t="s">
        <v>3377</v>
      </c>
      <c r="L3447" s="573">
        <v>5</v>
      </c>
      <c r="M3447" s="573">
        <v>0</v>
      </c>
      <c r="N3447" s="573" t="s">
        <v>157</v>
      </c>
      <c r="O3447" s="573">
        <v>2</v>
      </c>
      <c r="P3447" s="573" t="s">
        <v>157</v>
      </c>
      <c r="Q3447" s="571" t="s">
        <v>157</v>
      </c>
      <c r="R3447" s="573" t="s">
        <v>1259</v>
      </c>
      <c r="S3447" s="573">
        <v>6</v>
      </c>
      <c r="T3447" s="573" t="s">
        <v>1208</v>
      </c>
      <c r="U3447" s="573" t="s">
        <v>6168</v>
      </c>
      <c r="V3447" s="573">
        <v>122.5</v>
      </c>
      <c r="W3447" s="573">
        <v>23.3</v>
      </c>
      <c r="X3447" s="571">
        <v>7400</v>
      </c>
      <c r="Y3447" s="573">
        <v>20</v>
      </c>
      <c r="Z3447" s="579" t="s">
        <v>178</v>
      </c>
      <c r="AA3447" s="579" t="s">
        <v>178</v>
      </c>
      <c r="AB3447" s="584">
        <v>47745</v>
      </c>
      <c r="AC3447" s="584" t="s">
        <v>164</v>
      </c>
      <c r="AD3447" s="584">
        <v>35361.125</v>
      </c>
      <c r="AE3447" s="586">
        <v>0.03</v>
      </c>
      <c r="AF3447" s="661" t="str">
        <f t="shared" si="374"/>
        <v>2019-SSV-FRD-EXPD-017-05</v>
      </c>
      <c r="AG3447" s="661" t="str">
        <f>IF(AND($Y3447&gt;=32,(AI3447="I"),(Y3447&lt;&gt;"~"),(COUNTIF($AN$1:$AN3447,$AN3447)=1)),"TRUE","FALSE")</f>
        <v>FALSE</v>
      </c>
      <c r="AH3447" s="661" t="str">
        <f>IF(AND($Y3447&gt;=22, (AI3447&lt;&gt;"I"),(Y3447&lt;&gt;"~"),(COUNTIF($AN$1:$AN3447,$AN3447)=1)),"TRUE","FALSE")</f>
        <v>FALSE</v>
      </c>
      <c r="AI3447" s="661" t="str">
        <f t="shared" si="376"/>
        <v>II</v>
      </c>
      <c r="AJ3447" s="662" t="str">
        <f t="shared" si="370"/>
        <v>EXPD-017</v>
      </c>
      <c r="AK3447" s="662" t="str">
        <f t="shared" si="371"/>
        <v>SSV</v>
      </c>
      <c r="AL3447" s="662" t="str">
        <f t="shared" si="372"/>
        <v>FRD</v>
      </c>
      <c r="AM3447" s="662" t="str">
        <f t="shared" si="375"/>
        <v>Expedition-XL-2WD-5-~-~-3.5L EcoBoost-6-U1F-102A-122.5-23.3-Unleaded-Unleaded</v>
      </c>
      <c r="AN3447" s="662" t="str">
        <f t="shared" si="373"/>
        <v>2019-SSV-FRD-EXPD-017</v>
      </c>
    </row>
    <row r="3448" spans="1:40" ht="15">
      <c r="A3448" s="570" t="s">
        <v>6169</v>
      </c>
      <c r="B3448" s="569" t="s">
        <v>6170</v>
      </c>
      <c r="C3448" s="569" t="s">
        <v>278</v>
      </c>
      <c r="D3448" s="580">
        <v>15</v>
      </c>
      <c r="E3448" s="569" t="s">
        <v>693</v>
      </c>
      <c r="F3448" s="569" t="s">
        <v>6137</v>
      </c>
      <c r="G3448" s="569" t="s">
        <v>271</v>
      </c>
      <c r="H3448" s="569">
        <v>2019</v>
      </c>
      <c r="I3448" s="569" t="s">
        <v>1123</v>
      </c>
      <c r="J3448" s="569" t="s">
        <v>1201</v>
      </c>
      <c r="K3448" s="569" t="s">
        <v>3377</v>
      </c>
      <c r="L3448" s="569">
        <v>5</v>
      </c>
      <c r="M3448" s="569">
        <v>0</v>
      </c>
      <c r="N3448" s="569" t="s">
        <v>157</v>
      </c>
      <c r="O3448" s="569">
        <v>2</v>
      </c>
      <c r="P3448" s="569" t="s">
        <v>157</v>
      </c>
      <c r="Q3448" s="568" t="s">
        <v>157</v>
      </c>
      <c r="R3448" s="569" t="s">
        <v>1259</v>
      </c>
      <c r="S3448" s="569">
        <v>6</v>
      </c>
      <c r="T3448" s="569" t="s">
        <v>1208</v>
      </c>
      <c r="U3448" s="569" t="s">
        <v>6168</v>
      </c>
      <c r="V3448" s="569">
        <v>122.5</v>
      </c>
      <c r="W3448" s="569">
        <v>25</v>
      </c>
      <c r="X3448" s="568">
        <v>7300</v>
      </c>
      <c r="Y3448" s="569">
        <v>20</v>
      </c>
      <c r="Z3448" s="581" t="s">
        <v>178</v>
      </c>
      <c r="AA3448" s="581" t="s">
        <v>178</v>
      </c>
      <c r="AB3448" s="585">
        <v>47745</v>
      </c>
      <c r="AC3448" s="585" t="s">
        <v>164</v>
      </c>
      <c r="AD3448" s="585">
        <v>35995</v>
      </c>
      <c r="AE3448" s="587">
        <v>0.01</v>
      </c>
      <c r="AF3448" s="661" t="str">
        <f t="shared" si="374"/>
        <v>2019-SSV-FRD-EXPD-018-15</v>
      </c>
      <c r="AG3448" s="661" t="str">
        <f>IF(AND($Y3448&gt;=32,(AI3448="I"),(Y3448&lt;&gt;"~"),(COUNTIF($AN$1:$AN3448,$AN3448)=1)),"TRUE","FALSE")</f>
        <v>FALSE</v>
      </c>
      <c r="AH3448" s="661" t="str">
        <f>IF(AND($Y3448&gt;=22, (AI3448&lt;&gt;"I"),(Y3448&lt;&gt;"~"),(COUNTIF($AN$1:$AN3448,$AN3448)=1)),"TRUE","FALSE")</f>
        <v>FALSE</v>
      </c>
      <c r="AI3448" s="661" t="str">
        <f t="shared" si="376"/>
        <v>II</v>
      </c>
      <c r="AJ3448" s="662" t="str">
        <f t="shared" si="370"/>
        <v>EXPD-018</v>
      </c>
      <c r="AK3448" s="662" t="str">
        <f t="shared" si="371"/>
        <v>SSV</v>
      </c>
      <c r="AL3448" s="662" t="str">
        <f t="shared" si="372"/>
        <v>FRD</v>
      </c>
      <c r="AM3448" s="662" t="str">
        <f t="shared" si="375"/>
        <v>Expedition-XL-2WD-5-~-~-3.5L EcoBoost-6-U1F-102A-122.5-25-Unleaded-Unleaded</v>
      </c>
      <c r="AN3448" s="662" t="str">
        <f t="shared" si="373"/>
        <v>2019-SSV-FRD-EXPD-018</v>
      </c>
    </row>
    <row r="3449" spans="1:40" ht="15">
      <c r="A3449" s="570" t="s">
        <v>6171</v>
      </c>
      <c r="B3449" s="573" t="s">
        <v>6167</v>
      </c>
      <c r="C3449" s="573" t="s">
        <v>280</v>
      </c>
      <c r="D3449" s="578">
        <v>27</v>
      </c>
      <c r="E3449" s="573" t="s">
        <v>693</v>
      </c>
      <c r="F3449" s="573" t="s">
        <v>6137</v>
      </c>
      <c r="G3449" s="573" t="s">
        <v>271</v>
      </c>
      <c r="H3449" s="573">
        <v>2019</v>
      </c>
      <c r="I3449" s="573" t="s">
        <v>1123</v>
      </c>
      <c r="J3449" s="573" t="s">
        <v>1201</v>
      </c>
      <c r="K3449" s="573" t="s">
        <v>3377</v>
      </c>
      <c r="L3449" s="573">
        <v>5</v>
      </c>
      <c r="M3449" s="573">
        <v>0</v>
      </c>
      <c r="N3449" s="573" t="s">
        <v>157</v>
      </c>
      <c r="O3449" s="573">
        <v>2</v>
      </c>
      <c r="P3449" s="573" t="s">
        <v>157</v>
      </c>
      <c r="Q3449" s="571" t="s">
        <v>157</v>
      </c>
      <c r="R3449" s="573" t="s">
        <v>1259</v>
      </c>
      <c r="S3449" s="573">
        <v>6</v>
      </c>
      <c r="T3449" s="573" t="s">
        <v>1208</v>
      </c>
      <c r="U3449" s="573" t="s">
        <v>6168</v>
      </c>
      <c r="V3449" s="573">
        <v>122.5</v>
      </c>
      <c r="W3449" s="573">
        <v>23.3</v>
      </c>
      <c r="X3449" s="571">
        <v>7300</v>
      </c>
      <c r="Y3449" s="573">
        <v>20</v>
      </c>
      <c r="Z3449" s="579" t="s">
        <v>178</v>
      </c>
      <c r="AA3449" s="579" t="s">
        <v>178</v>
      </c>
      <c r="AB3449" s="584">
        <v>47745</v>
      </c>
      <c r="AC3449" s="584" t="s">
        <v>164</v>
      </c>
      <c r="AD3449" s="584">
        <v>35361.125</v>
      </c>
      <c r="AE3449" s="586">
        <v>0.03</v>
      </c>
      <c r="AF3449" s="661" t="str">
        <f t="shared" si="374"/>
        <v>2019-SSV-FRD-EXPD-017-27</v>
      </c>
      <c r="AG3449" s="661" t="str">
        <f>IF(AND($Y3449&gt;=32,(AI3449="I"),(Y3449&lt;&gt;"~"),(COUNTIF($AN$1:$AN3449,$AN3449)=1)),"TRUE","FALSE")</f>
        <v>FALSE</v>
      </c>
      <c r="AH3449" s="661" t="str">
        <f>IF(AND($Y3449&gt;=22, (AI3449&lt;&gt;"I"),(Y3449&lt;&gt;"~"),(COUNTIF($AN$1:$AN3449,$AN3449)=1)),"TRUE","FALSE")</f>
        <v>FALSE</v>
      </c>
      <c r="AI3449" s="661" t="str">
        <f t="shared" si="376"/>
        <v>II</v>
      </c>
      <c r="AJ3449" s="662" t="str">
        <f t="shared" si="370"/>
        <v>EXPD-017</v>
      </c>
      <c r="AK3449" s="662" t="str">
        <f t="shared" si="371"/>
        <v>SSV</v>
      </c>
      <c r="AL3449" s="662" t="str">
        <f t="shared" si="372"/>
        <v>FRD</v>
      </c>
      <c r="AM3449" s="662" t="str">
        <f t="shared" si="375"/>
        <v>Expedition-XL-2WD-5-~-~-3.5L EcoBoost-6-U1F-102A-122.5-23.3-Unleaded-Unleaded</v>
      </c>
      <c r="AN3449" s="662" t="str">
        <f t="shared" si="373"/>
        <v>2019-SSV-FRD-EXPD-017</v>
      </c>
    </row>
    <row r="3450" spans="1:40" ht="15">
      <c r="A3450" s="570" t="s">
        <v>6171</v>
      </c>
      <c r="B3450" s="569" t="s">
        <v>6167</v>
      </c>
      <c r="C3450" s="569" t="s">
        <v>280</v>
      </c>
      <c r="D3450" s="580">
        <v>27</v>
      </c>
      <c r="E3450" s="569" t="s">
        <v>693</v>
      </c>
      <c r="F3450" s="569" t="s">
        <v>6137</v>
      </c>
      <c r="G3450" s="569" t="s">
        <v>271</v>
      </c>
      <c r="H3450" s="569">
        <v>2019</v>
      </c>
      <c r="I3450" s="569" t="s">
        <v>1123</v>
      </c>
      <c r="J3450" s="569" t="s">
        <v>1201</v>
      </c>
      <c r="K3450" s="569" t="s">
        <v>3377</v>
      </c>
      <c r="L3450" s="569">
        <v>5</v>
      </c>
      <c r="M3450" s="569">
        <v>0</v>
      </c>
      <c r="N3450" s="569" t="s">
        <v>157</v>
      </c>
      <c r="O3450" s="569">
        <v>2</v>
      </c>
      <c r="P3450" s="569" t="s">
        <v>157</v>
      </c>
      <c r="Q3450" s="568" t="s">
        <v>157</v>
      </c>
      <c r="R3450" s="569" t="s">
        <v>1259</v>
      </c>
      <c r="S3450" s="569">
        <v>6</v>
      </c>
      <c r="T3450" s="569" t="s">
        <v>1208</v>
      </c>
      <c r="U3450" s="569" t="s">
        <v>6168</v>
      </c>
      <c r="V3450" s="569">
        <v>122.5</v>
      </c>
      <c r="W3450" s="569">
        <v>23.3</v>
      </c>
      <c r="X3450" s="568">
        <v>7400</v>
      </c>
      <c r="Y3450" s="569">
        <v>20</v>
      </c>
      <c r="Z3450" s="581" t="s">
        <v>178</v>
      </c>
      <c r="AA3450" s="581" t="s">
        <v>178</v>
      </c>
      <c r="AB3450" s="585">
        <v>47745</v>
      </c>
      <c r="AC3450" s="585" t="s">
        <v>164</v>
      </c>
      <c r="AD3450" s="585">
        <v>35361.125</v>
      </c>
      <c r="AE3450" s="587">
        <v>0.03</v>
      </c>
      <c r="AF3450" s="661" t="str">
        <f t="shared" si="374"/>
        <v>2019-SSV-FRD-EXPD-017-27</v>
      </c>
      <c r="AG3450" s="661" t="str">
        <f>IF(AND($Y3450&gt;=32,(AI3450="I"),(Y3450&lt;&gt;"~"),(COUNTIF($AN$1:$AN3450,$AN3450)=1)),"TRUE","FALSE")</f>
        <v>FALSE</v>
      </c>
      <c r="AH3450" s="661" t="str">
        <f>IF(AND($Y3450&gt;=22, (AI3450&lt;&gt;"I"),(Y3450&lt;&gt;"~"),(COUNTIF($AN$1:$AN3450,$AN3450)=1)),"TRUE","FALSE")</f>
        <v>FALSE</v>
      </c>
      <c r="AI3450" s="661" t="str">
        <f t="shared" si="376"/>
        <v>II</v>
      </c>
      <c r="AJ3450" s="662" t="str">
        <f t="shared" si="370"/>
        <v>EXPD-017</v>
      </c>
      <c r="AK3450" s="662" t="str">
        <f t="shared" si="371"/>
        <v>SSV</v>
      </c>
      <c r="AL3450" s="662" t="str">
        <f t="shared" si="372"/>
        <v>FRD</v>
      </c>
      <c r="AM3450" s="662" t="str">
        <f t="shared" si="375"/>
        <v>Expedition-XL-2WD-5-~-~-3.5L EcoBoost-6-U1F-102A-122.5-23.3-Unleaded-Unleaded</v>
      </c>
      <c r="AN3450" s="662" t="str">
        <f t="shared" si="373"/>
        <v>2019-SSV-FRD-EXPD-017</v>
      </c>
    </row>
    <row r="3451" spans="1:40" ht="15">
      <c r="A3451" s="570" t="s">
        <v>6172</v>
      </c>
      <c r="B3451" s="573" t="s">
        <v>6173</v>
      </c>
      <c r="C3451" s="573" t="s">
        <v>269</v>
      </c>
      <c r="D3451" s="578" t="s">
        <v>270</v>
      </c>
      <c r="E3451" s="573" t="s">
        <v>693</v>
      </c>
      <c r="F3451" s="573" t="s">
        <v>6137</v>
      </c>
      <c r="G3451" s="573" t="s">
        <v>271</v>
      </c>
      <c r="H3451" s="573">
        <v>2019</v>
      </c>
      <c r="I3451" s="573" t="s">
        <v>1123</v>
      </c>
      <c r="J3451" s="573" t="s">
        <v>1201</v>
      </c>
      <c r="K3451" s="573" t="s">
        <v>752</v>
      </c>
      <c r="L3451" s="573">
        <v>5</v>
      </c>
      <c r="M3451" s="573">
        <v>0</v>
      </c>
      <c r="N3451" s="573" t="s">
        <v>157</v>
      </c>
      <c r="O3451" s="573">
        <v>2</v>
      </c>
      <c r="P3451" s="573" t="s">
        <v>157</v>
      </c>
      <c r="Q3451" s="571" t="s">
        <v>157</v>
      </c>
      <c r="R3451" s="573" t="s">
        <v>1259</v>
      </c>
      <c r="S3451" s="573">
        <v>6</v>
      </c>
      <c r="T3451" s="573" t="s">
        <v>1202</v>
      </c>
      <c r="U3451" s="573" t="s">
        <v>6168</v>
      </c>
      <c r="V3451" s="573">
        <v>122.5</v>
      </c>
      <c r="W3451" s="573">
        <v>23.3</v>
      </c>
      <c r="X3451" s="571">
        <v>7450</v>
      </c>
      <c r="Y3451" s="573">
        <v>19</v>
      </c>
      <c r="Z3451" s="579" t="s">
        <v>178</v>
      </c>
      <c r="AA3451" s="579" t="s">
        <v>178</v>
      </c>
      <c r="AB3451" s="584">
        <v>50745</v>
      </c>
      <c r="AC3451" s="584" t="s">
        <v>164</v>
      </c>
      <c r="AD3451" s="584">
        <v>38135.083333333336</v>
      </c>
      <c r="AE3451" s="586">
        <v>0.03</v>
      </c>
      <c r="AF3451" s="661" t="str">
        <f t="shared" si="374"/>
        <v>2019-SSV-FRD-EXPD-019-05</v>
      </c>
      <c r="AG3451" s="661" t="str">
        <f>IF(AND($Y3451&gt;=32,(AI3451="I"),(Y3451&lt;&gt;"~"),(COUNTIF($AN$1:$AN3451,$AN3451)=1)),"TRUE","FALSE")</f>
        <v>FALSE</v>
      </c>
      <c r="AH3451" s="661" t="str">
        <f>IF(AND($Y3451&gt;=22, (AI3451&lt;&gt;"I"),(Y3451&lt;&gt;"~"),(COUNTIF($AN$1:$AN3451,$AN3451)=1)),"TRUE","FALSE")</f>
        <v>FALSE</v>
      </c>
      <c r="AI3451" s="661" t="str">
        <f t="shared" si="376"/>
        <v>II</v>
      </c>
      <c r="AJ3451" s="662" t="str">
        <f t="shared" si="370"/>
        <v>EXPD-019</v>
      </c>
      <c r="AK3451" s="662" t="str">
        <f t="shared" si="371"/>
        <v>SSV</v>
      </c>
      <c r="AL3451" s="662" t="str">
        <f t="shared" si="372"/>
        <v>FRD</v>
      </c>
      <c r="AM3451" s="662" t="str">
        <f t="shared" si="375"/>
        <v>Expedition-XL-4WD-5-~-~-3.5L EcoBoost-6-U1G-102A-122.5-23.3-Unleaded-Unleaded</v>
      </c>
      <c r="AN3451" s="662" t="str">
        <f t="shared" si="373"/>
        <v>2019-SSV-FRD-EXPD-019</v>
      </c>
    </row>
    <row r="3452" spans="1:40" ht="15">
      <c r="A3452" s="570" t="s">
        <v>6174</v>
      </c>
      <c r="B3452" s="569" t="s">
        <v>6175</v>
      </c>
      <c r="C3452" s="569" t="s">
        <v>278</v>
      </c>
      <c r="D3452" s="580">
        <v>15</v>
      </c>
      <c r="E3452" s="569" t="s">
        <v>693</v>
      </c>
      <c r="F3452" s="569" t="s">
        <v>6137</v>
      </c>
      <c r="G3452" s="569" t="s">
        <v>271</v>
      </c>
      <c r="H3452" s="569">
        <v>2019</v>
      </c>
      <c r="I3452" s="569" t="s">
        <v>1123</v>
      </c>
      <c r="J3452" s="569" t="s">
        <v>1201</v>
      </c>
      <c r="K3452" s="569" t="s">
        <v>752</v>
      </c>
      <c r="L3452" s="569">
        <v>5</v>
      </c>
      <c r="M3452" s="569">
        <v>0</v>
      </c>
      <c r="N3452" s="569" t="s">
        <v>157</v>
      </c>
      <c r="O3452" s="569">
        <v>2</v>
      </c>
      <c r="P3452" s="569" t="s">
        <v>157</v>
      </c>
      <c r="Q3452" s="568" t="s">
        <v>157</v>
      </c>
      <c r="R3452" s="569" t="s">
        <v>1259</v>
      </c>
      <c r="S3452" s="569">
        <v>6</v>
      </c>
      <c r="T3452" s="569" t="s">
        <v>1202</v>
      </c>
      <c r="U3452" s="569" t="s">
        <v>6168</v>
      </c>
      <c r="V3452" s="569">
        <v>122.5</v>
      </c>
      <c r="W3452" s="569">
        <v>25</v>
      </c>
      <c r="X3452" s="568">
        <v>7450</v>
      </c>
      <c r="Y3452" s="569">
        <v>19</v>
      </c>
      <c r="Z3452" s="581" t="s">
        <v>178</v>
      </c>
      <c r="AA3452" s="581" t="s">
        <v>178</v>
      </c>
      <c r="AB3452" s="585">
        <v>50745</v>
      </c>
      <c r="AC3452" s="585" t="s">
        <v>164</v>
      </c>
      <c r="AD3452" s="585">
        <v>38750</v>
      </c>
      <c r="AE3452" s="587">
        <v>0.01</v>
      </c>
      <c r="AF3452" s="661" t="str">
        <f t="shared" si="374"/>
        <v>2019-SSV-FRD-EXPD-020-15</v>
      </c>
      <c r="AG3452" s="661" t="str">
        <f>IF(AND($Y3452&gt;=32,(AI3452="I"),(Y3452&lt;&gt;"~"),(COUNTIF($AN$1:$AN3452,$AN3452)=1)),"TRUE","FALSE")</f>
        <v>FALSE</v>
      </c>
      <c r="AH3452" s="661" t="str">
        <f>IF(AND($Y3452&gt;=22, (AI3452&lt;&gt;"I"),(Y3452&lt;&gt;"~"),(COUNTIF($AN$1:$AN3452,$AN3452)=1)),"TRUE","FALSE")</f>
        <v>FALSE</v>
      </c>
      <c r="AI3452" s="661" t="str">
        <f t="shared" si="376"/>
        <v>II</v>
      </c>
      <c r="AJ3452" s="662" t="str">
        <f t="shared" si="370"/>
        <v>EXPD-020</v>
      </c>
      <c r="AK3452" s="662" t="str">
        <f t="shared" si="371"/>
        <v>SSV</v>
      </c>
      <c r="AL3452" s="662" t="str">
        <f t="shared" si="372"/>
        <v>FRD</v>
      </c>
      <c r="AM3452" s="662" t="str">
        <f t="shared" si="375"/>
        <v>Expedition-XL-4WD-5-~-~-3.5L EcoBoost-6-U1G-102A-122.5-25-Unleaded-Unleaded</v>
      </c>
      <c r="AN3452" s="662" t="str">
        <f t="shared" si="373"/>
        <v>2019-SSV-FRD-EXPD-020</v>
      </c>
    </row>
    <row r="3453" spans="1:40" ht="15">
      <c r="A3453" s="570" t="s">
        <v>6176</v>
      </c>
      <c r="B3453" s="573" t="s">
        <v>6173</v>
      </c>
      <c r="C3453" s="573" t="s">
        <v>280</v>
      </c>
      <c r="D3453" s="578">
        <v>27</v>
      </c>
      <c r="E3453" s="573" t="s">
        <v>693</v>
      </c>
      <c r="F3453" s="573" t="s">
        <v>6137</v>
      </c>
      <c r="G3453" s="573" t="s">
        <v>271</v>
      </c>
      <c r="H3453" s="573">
        <v>2019</v>
      </c>
      <c r="I3453" s="573" t="s">
        <v>1123</v>
      </c>
      <c r="J3453" s="573" t="s">
        <v>1201</v>
      </c>
      <c r="K3453" s="573" t="s">
        <v>752</v>
      </c>
      <c r="L3453" s="573">
        <v>5</v>
      </c>
      <c r="M3453" s="573">
        <v>0</v>
      </c>
      <c r="N3453" s="573" t="s">
        <v>157</v>
      </c>
      <c r="O3453" s="573">
        <v>2</v>
      </c>
      <c r="P3453" s="573" t="s">
        <v>157</v>
      </c>
      <c r="Q3453" s="571" t="s">
        <v>157</v>
      </c>
      <c r="R3453" s="573" t="s">
        <v>1259</v>
      </c>
      <c r="S3453" s="573">
        <v>6</v>
      </c>
      <c r="T3453" s="573" t="s">
        <v>1202</v>
      </c>
      <c r="U3453" s="573" t="s">
        <v>6168</v>
      </c>
      <c r="V3453" s="573">
        <v>122.5</v>
      </c>
      <c r="W3453" s="573">
        <v>23.3</v>
      </c>
      <c r="X3453" s="571">
        <v>7450</v>
      </c>
      <c r="Y3453" s="573">
        <v>19</v>
      </c>
      <c r="Z3453" s="579" t="s">
        <v>178</v>
      </c>
      <c r="AA3453" s="579" t="s">
        <v>178</v>
      </c>
      <c r="AB3453" s="584">
        <v>50745</v>
      </c>
      <c r="AC3453" s="584" t="s">
        <v>164</v>
      </c>
      <c r="AD3453" s="584">
        <v>38135.083333333336</v>
      </c>
      <c r="AE3453" s="586">
        <v>0.03</v>
      </c>
      <c r="AF3453" s="661" t="str">
        <f t="shared" si="374"/>
        <v>2019-SSV-FRD-EXPD-019-27</v>
      </c>
      <c r="AG3453" s="661" t="str">
        <f>IF(AND($Y3453&gt;=32,(AI3453="I"),(Y3453&lt;&gt;"~"),(COUNTIF($AN$1:$AN3453,$AN3453)=1)),"TRUE","FALSE")</f>
        <v>FALSE</v>
      </c>
      <c r="AH3453" s="661" t="str">
        <f>IF(AND($Y3453&gt;=22, (AI3453&lt;&gt;"I"),(Y3453&lt;&gt;"~"),(COUNTIF($AN$1:$AN3453,$AN3453)=1)),"TRUE","FALSE")</f>
        <v>FALSE</v>
      </c>
      <c r="AI3453" s="661" t="str">
        <f t="shared" si="376"/>
        <v>II</v>
      </c>
      <c r="AJ3453" s="662" t="str">
        <f t="shared" si="370"/>
        <v>EXPD-019</v>
      </c>
      <c r="AK3453" s="662" t="str">
        <f t="shared" si="371"/>
        <v>SSV</v>
      </c>
      <c r="AL3453" s="662" t="str">
        <f t="shared" si="372"/>
        <v>FRD</v>
      </c>
      <c r="AM3453" s="662" t="str">
        <f t="shared" si="375"/>
        <v>Expedition-XL-4WD-5-~-~-3.5L EcoBoost-6-U1G-102A-122.5-23.3-Unleaded-Unleaded</v>
      </c>
      <c r="AN3453" s="662" t="str">
        <f t="shared" si="373"/>
        <v>2019-SSV-FRD-EXPD-019</v>
      </c>
    </row>
    <row r="3454" spans="1:40" ht="15">
      <c r="A3454" s="570" t="s">
        <v>6177</v>
      </c>
      <c r="B3454" s="569" t="s">
        <v>6178</v>
      </c>
      <c r="C3454" s="569" t="s">
        <v>269</v>
      </c>
      <c r="D3454" s="580" t="s">
        <v>270</v>
      </c>
      <c r="E3454" s="569" t="s">
        <v>693</v>
      </c>
      <c r="F3454" s="569" t="s">
        <v>6116</v>
      </c>
      <c r="G3454" s="569" t="s">
        <v>271</v>
      </c>
      <c r="H3454" s="569">
        <v>2019</v>
      </c>
      <c r="I3454" s="569" t="s">
        <v>3765</v>
      </c>
      <c r="J3454" s="569" t="s">
        <v>6179</v>
      </c>
      <c r="K3454" s="569" t="s">
        <v>3377</v>
      </c>
      <c r="L3454" s="569">
        <v>5</v>
      </c>
      <c r="M3454" s="569">
        <v>0</v>
      </c>
      <c r="N3454" s="569" t="s">
        <v>157</v>
      </c>
      <c r="O3454" s="569">
        <v>2</v>
      </c>
      <c r="P3454" s="569" t="s">
        <v>157</v>
      </c>
      <c r="Q3454" s="568" t="s">
        <v>157</v>
      </c>
      <c r="R3454" s="569" t="s">
        <v>1259</v>
      </c>
      <c r="S3454" s="569">
        <v>6</v>
      </c>
      <c r="T3454" s="569" t="s">
        <v>3997</v>
      </c>
      <c r="U3454" s="569" t="s">
        <v>6180</v>
      </c>
      <c r="V3454" s="569">
        <v>145</v>
      </c>
      <c r="W3454" s="569">
        <v>23</v>
      </c>
      <c r="X3454" s="568">
        <v>6900</v>
      </c>
      <c r="Y3454" s="569">
        <v>21</v>
      </c>
      <c r="Z3454" s="581" t="s">
        <v>178</v>
      </c>
      <c r="AA3454" s="581" t="s">
        <v>178</v>
      </c>
      <c r="AB3454" s="585">
        <v>36380</v>
      </c>
      <c r="AC3454" s="585" t="s">
        <v>164</v>
      </c>
      <c r="AD3454" s="585">
        <v>25073.347368421055</v>
      </c>
      <c r="AE3454" s="587">
        <v>0.03</v>
      </c>
      <c r="AF3454" s="661" t="str">
        <f t="shared" si="374"/>
        <v>2019-SSV-FRD-F150-123-05</v>
      </c>
      <c r="AG3454" s="661" t="str">
        <f>IF(AND($Y3454&gt;=32,(AI3454="I"),(Y3454&lt;&gt;"~"),(COUNTIF($AN$1:$AN3454,$AN3454)=1)),"TRUE","FALSE")</f>
        <v>FALSE</v>
      </c>
      <c r="AH3454" s="661" t="str">
        <f>IF(AND($Y3454&gt;=22, (AI3454&lt;&gt;"I"),(Y3454&lt;&gt;"~"),(COUNTIF($AN$1:$AN3454,$AN3454)=1)),"TRUE","FALSE")</f>
        <v>FALSE</v>
      </c>
      <c r="AI3454" s="661" t="str">
        <f t="shared" si="376"/>
        <v>II</v>
      </c>
      <c r="AJ3454" s="662" t="str">
        <f t="shared" si="370"/>
        <v>F150-123</v>
      </c>
      <c r="AK3454" s="662" t="str">
        <f t="shared" si="371"/>
        <v>SSV</v>
      </c>
      <c r="AL3454" s="662" t="str">
        <f t="shared" si="372"/>
        <v>FRD</v>
      </c>
      <c r="AM3454" s="662" t="str">
        <f t="shared" si="375"/>
        <v>F150-XL Super Cab SSV-2WD-5-~-~-3.5L EcoBoost-6-X1C-100A/66S-145-23-Unleaded-Unleaded</v>
      </c>
      <c r="AN3454" s="662" t="str">
        <f t="shared" si="373"/>
        <v>2019-SSV-FRD-F150-123</v>
      </c>
    </row>
    <row r="3455" spans="1:40" ht="15">
      <c r="A3455" s="570" t="s">
        <v>6181</v>
      </c>
      <c r="B3455" s="573" t="s">
        <v>6182</v>
      </c>
      <c r="C3455" s="573" t="s">
        <v>269</v>
      </c>
      <c r="D3455" s="578" t="s">
        <v>270</v>
      </c>
      <c r="E3455" s="573" t="s">
        <v>693</v>
      </c>
      <c r="F3455" s="573" t="s">
        <v>6116</v>
      </c>
      <c r="G3455" s="573" t="s">
        <v>271</v>
      </c>
      <c r="H3455" s="573">
        <v>2019</v>
      </c>
      <c r="I3455" s="573" t="s">
        <v>3765</v>
      </c>
      <c r="J3455" s="573" t="s">
        <v>6179</v>
      </c>
      <c r="K3455" s="573" t="s">
        <v>3377</v>
      </c>
      <c r="L3455" s="573">
        <v>5</v>
      </c>
      <c r="M3455" s="573">
        <v>0</v>
      </c>
      <c r="N3455" s="573" t="s">
        <v>157</v>
      </c>
      <c r="O3455" s="573">
        <v>2</v>
      </c>
      <c r="P3455" s="573" t="s">
        <v>157</v>
      </c>
      <c r="Q3455" s="571" t="s">
        <v>157</v>
      </c>
      <c r="R3455" s="573" t="s">
        <v>1259</v>
      </c>
      <c r="S3455" s="573">
        <v>6</v>
      </c>
      <c r="T3455" s="573" t="s">
        <v>3997</v>
      </c>
      <c r="U3455" s="573" t="s">
        <v>6180</v>
      </c>
      <c r="V3455" s="573">
        <v>163.69999999999999</v>
      </c>
      <c r="W3455" s="573">
        <v>23</v>
      </c>
      <c r="X3455" s="571">
        <v>7050</v>
      </c>
      <c r="Y3455" s="573">
        <v>20</v>
      </c>
      <c r="Z3455" s="579" t="s">
        <v>178</v>
      </c>
      <c r="AA3455" s="579" t="s">
        <v>178</v>
      </c>
      <c r="AB3455" s="584">
        <v>36690</v>
      </c>
      <c r="AC3455" s="584" t="s">
        <v>164</v>
      </c>
      <c r="AD3455" s="584">
        <v>25393.347368421055</v>
      </c>
      <c r="AE3455" s="586">
        <v>0.03</v>
      </c>
      <c r="AF3455" s="661" t="str">
        <f t="shared" si="374"/>
        <v>2019-SSV-FRD-F150-124-05</v>
      </c>
      <c r="AG3455" s="661" t="str">
        <f>IF(AND($Y3455&gt;=32,(AI3455="I"),(Y3455&lt;&gt;"~"),(COUNTIF($AN$1:$AN3455,$AN3455)=1)),"TRUE","FALSE")</f>
        <v>FALSE</v>
      </c>
      <c r="AH3455" s="661" t="str">
        <f>IF(AND($Y3455&gt;=22, (AI3455&lt;&gt;"I"),(Y3455&lt;&gt;"~"),(COUNTIF($AN$1:$AN3455,$AN3455)=1)),"TRUE","FALSE")</f>
        <v>FALSE</v>
      </c>
      <c r="AI3455" s="661" t="str">
        <f t="shared" si="376"/>
        <v>II</v>
      </c>
      <c r="AJ3455" s="662" t="str">
        <f t="shared" si="370"/>
        <v>F150-124</v>
      </c>
      <c r="AK3455" s="662" t="str">
        <f t="shared" si="371"/>
        <v>SSV</v>
      </c>
      <c r="AL3455" s="662" t="str">
        <f t="shared" si="372"/>
        <v>FRD</v>
      </c>
      <c r="AM3455" s="662" t="str">
        <f t="shared" si="375"/>
        <v>F150-XL Super Cab SSV-2WD-5-~-~-3.5L EcoBoost-6-X1C-100A/66S-163.7-23-Unleaded-Unleaded</v>
      </c>
      <c r="AN3455" s="662" t="str">
        <f t="shared" si="373"/>
        <v>2019-SSV-FRD-F150-124</v>
      </c>
    </row>
    <row r="3456" spans="1:40" ht="15">
      <c r="A3456" s="570" t="s">
        <v>6183</v>
      </c>
      <c r="B3456" s="569" t="s">
        <v>6184</v>
      </c>
      <c r="C3456" s="569" t="s">
        <v>269</v>
      </c>
      <c r="D3456" s="580" t="s">
        <v>270</v>
      </c>
      <c r="E3456" s="569" t="s">
        <v>693</v>
      </c>
      <c r="F3456" s="569" t="s">
        <v>6116</v>
      </c>
      <c r="G3456" s="569" t="s">
        <v>271</v>
      </c>
      <c r="H3456" s="569">
        <v>2019</v>
      </c>
      <c r="I3456" s="569" t="s">
        <v>3765</v>
      </c>
      <c r="J3456" s="569" t="s">
        <v>6179</v>
      </c>
      <c r="K3456" s="569" t="s">
        <v>3377</v>
      </c>
      <c r="L3456" s="569">
        <v>5</v>
      </c>
      <c r="M3456" s="569">
        <v>0</v>
      </c>
      <c r="N3456" s="569" t="s">
        <v>157</v>
      </c>
      <c r="O3456" s="569">
        <v>2</v>
      </c>
      <c r="P3456" s="569" t="s">
        <v>157</v>
      </c>
      <c r="Q3456" s="568" t="s">
        <v>157</v>
      </c>
      <c r="R3456" s="569" t="s">
        <v>3778</v>
      </c>
      <c r="S3456" s="569">
        <v>6</v>
      </c>
      <c r="T3456" s="569" t="s">
        <v>3997</v>
      </c>
      <c r="U3456" s="569" t="s">
        <v>6180</v>
      </c>
      <c r="V3456" s="569">
        <v>145</v>
      </c>
      <c r="W3456" s="569">
        <v>23</v>
      </c>
      <c r="X3456" s="568">
        <v>6900</v>
      </c>
      <c r="Y3456" s="569">
        <v>19</v>
      </c>
      <c r="Z3456" s="581" t="s">
        <v>450</v>
      </c>
      <c r="AA3456" s="581" t="s">
        <v>178</v>
      </c>
      <c r="AB3456" s="585">
        <v>35780</v>
      </c>
      <c r="AC3456" s="585" t="s">
        <v>164</v>
      </c>
      <c r="AD3456" s="585">
        <v>24534.400000000001</v>
      </c>
      <c r="AE3456" s="587">
        <v>0.03</v>
      </c>
      <c r="AF3456" s="661" t="str">
        <f t="shared" si="374"/>
        <v>2019-SSV-FRD-F150-139-05</v>
      </c>
      <c r="AG3456" s="661" t="str">
        <f>IF(AND($Y3456&gt;=32,(AI3456="I"),(Y3456&lt;&gt;"~"),(COUNTIF($AN$1:$AN3456,$AN3456)=1)),"TRUE","FALSE")</f>
        <v>FALSE</v>
      </c>
      <c r="AH3456" s="661" t="str">
        <f>IF(AND($Y3456&gt;=22, (AI3456&lt;&gt;"I"),(Y3456&lt;&gt;"~"),(COUNTIF($AN$1:$AN3456,$AN3456)=1)),"TRUE","FALSE")</f>
        <v>FALSE</v>
      </c>
      <c r="AI3456" s="661" t="str">
        <f t="shared" si="376"/>
        <v>II</v>
      </c>
      <c r="AJ3456" s="662" t="str">
        <f t="shared" si="370"/>
        <v>F150-139</v>
      </c>
      <c r="AK3456" s="662" t="str">
        <f t="shared" si="371"/>
        <v>SSV</v>
      </c>
      <c r="AL3456" s="662" t="str">
        <f t="shared" si="372"/>
        <v>FRD</v>
      </c>
      <c r="AM3456" s="662" t="str">
        <f t="shared" si="375"/>
        <v>F150-XL Super Cab SSV-2WD-5-~-~-5.0L FFV-6-X1C-100A/66S-145-23-E85-Unleaded</v>
      </c>
      <c r="AN3456" s="662" t="str">
        <f t="shared" si="373"/>
        <v>2019-SSV-FRD-F150-139</v>
      </c>
    </row>
    <row r="3457" spans="1:40" ht="15">
      <c r="A3457" s="570" t="s">
        <v>6185</v>
      </c>
      <c r="B3457" s="573" t="s">
        <v>6186</v>
      </c>
      <c r="C3457" s="573" t="s">
        <v>269</v>
      </c>
      <c r="D3457" s="578" t="s">
        <v>270</v>
      </c>
      <c r="E3457" s="573" t="s">
        <v>693</v>
      </c>
      <c r="F3457" s="573" t="s">
        <v>6116</v>
      </c>
      <c r="G3457" s="573" t="s">
        <v>271</v>
      </c>
      <c r="H3457" s="573">
        <v>2019</v>
      </c>
      <c r="I3457" s="573" t="s">
        <v>3765</v>
      </c>
      <c r="J3457" s="573" t="s">
        <v>6179</v>
      </c>
      <c r="K3457" s="573" t="s">
        <v>3377</v>
      </c>
      <c r="L3457" s="573">
        <v>5</v>
      </c>
      <c r="M3457" s="573">
        <v>0</v>
      </c>
      <c r="N3457" s="573" t="s">
        <v>157</v>
      </c>
      <c r="O3457" s="573">
        <v>2</v>
      </c>
      <c r="P3457" s="573" t="s">
        <v>157</v>
      </c>
      <c r="Q3457" s="571" t="s">
        <v>157</v>
      </c>
      <c r="R3457" s="573" t="s">
        <v>3778</v>
      </c>
      <c r="S3457" s="573">
        <v>6</v>
      </c>
      <c r="T3457" s="573" t="s">
        <v>3997</v>
      </c>
      <c r="U3457" s="573" t="s">
        <v>6180</v>
      </c>
      <c r="V3457" s="573">
        <v>163.69999999999999</v>
      </c>
      <c r="W3457" s="573">
        <v>23</v>
      </c>
      <c r="X3457" s="571">
        <v>7050</v>
      </c>
      <c r="Y3457" s="573">
        <v>19</v>
      </c>
      <c r="Z3457" s="579" t="s">
        <v>450</v>
      </c>
      <c r="AA3457" s="579" t="s">
        <v>178</v>
      </c>
      <c r="AB3457" s="584">
        <v>36090</v>
      </c>
      <c r="AC3457" s="584" t="s">
        <v>164</v>
      </c>
      <c r="AD3457" s="584">
        <v>24854.400000000001</v>
      </c>
      <c r="AE3457" s="586">
        <v>0.03</v>
      </c>
      <c r="AF3457" s="661" t="str">
        <f t="shared" si="374"/>
        <v>2019-SSV-FRD-F150-140-05</v>
      </c>
      <c r="AG3457" s="661" t="str">
        <f>IF(AND($Y3457&gt;=32,(AI3457="I"),(Y3457&lt;&gt;"~"),(COUNTIF($AN$1:$AN3457,$AN3457)=1)),"TRUE","FALSE")</f>
        <v>FALSE</v>
      </c>
      <c r="AH3457" s="661" t="str">
        <f>IF(AND($Y3457&gt;=22, (AI3457&lt;&gt;"I"),(Y3457&lt;&gt;"~"),(COUNTIF($AN$1:$AN3457,$AN3457)=1)),"TRUE","FALSE")</f>
        <v>FALSE</v>
      </c>
      <c r="AI3457" s="661" t="str">
        <f t="shared" si="376"/>
        <v>II</v>
      </c>
      <c r="AJ3457" s="662" t="str">
        <f t="shared" si="370"/>
        <v>F150-140</v>
      </c>
      <c r="AK3457" s="662" t="str">
        <f t="shared" si="371"/>
        <v>SSV</v>
      </c>
      <c r="AL3457" s="662" t="str">
        <f t="shared" si="372"/>
        <v>FRD</v>
      </c>
      <c r="AM3457" s="662" t="str">
        <f t="shared" si="375"/>
        <v>F150-XL Super Cab SSV-2WD-5-~-~-5.0L FFV-6-X1C-100A/66S-163.7-23-E85-Unleaded</v>
      </c>
      <c r="AN3457" s="662" t="str">
        <f t="shared" si="373"/>
        <v>2019-SSV-FRD-F150-140</v>
      </c>
    </row>
    <row r="3458" spans="1:40" ht="15">
      <c r="A3458" s="570" t="s">
        <v>6187</v>
      </c>
      <c r="B3458" s="569" t="s">
        <v>6178</v>
      </c>
      <c r="C3458" s="569" t="s">
        <v>278</v>
      </c>
      <c r="D3458" s="580">
        <v>15</v>
      </c>
      <c r="E3458" s="569" t="s">
        <v>693</v>
      </c>
      <c r="F3458" s="569" t="s">
        <v>6116</v>
      </c>
      <c r="G3458" s="569" t="s">
        <v>271</v>
      </c>
      <c r="H3458" s="569">
        <v>2019</v>
      </c>
      <c r="I3458" s="569" t="s">
        <v>3765</v>
      </c>
      <c r="J3458" s="569" t="s">
        <v>6179</v>
      </c>
      <c r="K3458" s="569" t="s">
        <v>3377</v>
      </c>
      <c r="L3458" s="569">
        <v>5</v>
      </c>
      <c r="M3458" s="569">
        <v>0</v>
      </c>
      <c r="N3458" s="569" t="s">
        <v>157</v>
      </c>
      <c r="O3458" s="569">
        <v>2</v>
      </c>
      <c r="P3458" s="569" t="s">
        <v>157</v>
      </c>
      <c r="Q3458" s="568" t="s">
        <v>157</v>
      </c>
      <c r="R3458" s="569" t="s">
        <v>1259</v>
      </c>
      <c r="S3458" s="569">
        <v>6</v>
      </c>
      <c r="T3458" s="569" t="s">
        <v>3997</v>
      </c>
      <c r="U3458" s="569" t="s">
        <v>276</v>
      </c>
      <c r="V3458" s="569">
        <v>145</v>
      </c>
      <c r="W3458" s="569">
        <v>23</v>
      </c>
      <c r="X3458" s="568">
        <v>6900</v>
      </c>
      <c r="Y3458" s="569">
        <v>20</v>
      </c>
      <c r="Z3458" s="581" t="s">
        <v>178</v>
      </c>
      <c r="AA3458" s="581" t="s">
        <v>178</v>
      </c>
      <c r="AB3458" s="585">
        <v>36380</v>
      </c>
      <c r="AC3458" s="585" t="s">
        <v>164</v>
      </c>
      <c r="AD3458" s="585">
        <v>25150</v>
      </c>
      <c r="AE3458" s="587">
        <v>0.01</v>
      </c>
      <c r="AF3458" s="661" t="str">
        <f t="shared" si="374"/>
        <v>2019-SSV-FRD-F150-123-15</v>
      </c>
      <c r="AG3458" s="661" t="str">
        <f>IF(AND($Y3458&gt;=32,(AI3458="I"),(Y3458&lt;&gt;"~"),(COUNTIF($AN$1:$AN3458,$AN3458)=1)),"TRUE","FALSE")</f>
        <v>FALSE</v>
      </c>
      <c r="AH3458" s="661" t="str">
        <f>IF(AND($Y3458&gt;=22, (AI3458&lt;&gt;"I"),(Y3458&lt;&gt;"~"),(COUNTIF($AN$1:$AN3458,$AN3458)=1)),"TRUE","FALSE")</f>
        <v>FALSE</v>
      </c>
      <c r="AI3458" s="661" t="str">
        <f t="shared" si="376"/>
        <v>II</v>
      </c>
      <c r="AJ3458" s="662" t="str">
        <f t="shared" si="370"/>
        <v>F150-123</v>
      </c>
      <c r="AK3458" s="662" t="str">
        <f t="shared" si="371"/>
        <v>SSV</v>
      </c>
      <c r="AL3458" s="662" t="str">
        <f t="shared" si="372"/>
        <v>FRD</v>
      </c>
      <c r="AM3458" s="662" t="str">
        <f t="shared" si="375"/>
        <v>F150-XL Super Cab SSV-2WD-5-~-~-3.5L EcoBoost-6-X1C-100A-145-23-Unleaded-Unleaded</v>
      </c>
      <c r="AN3458" s="662" t="str">
        <f t="shared" si="373"/>
        <v>2019-SSV-FRD-F150-123</v>
      </c>
    </row>
    <row r="3459" spans="1:40" ht="15">
      <c r="A3459" s="570" t="s">
        <v>6188</v>
      </c>
      <c r="B3459" s="573" t="s">
        <v>6182</v>
      </c>
      <c r="C3459" s="573" t="s">
        <v>278</v>
      </c>
      <c r="D3459" s="578">
        <v>15</v>
      </c>
      <c r="E3459" s="573" t="s">
        <v>693</v>
      </c>
      <c r="F3459" s="573" t="s">
        <v>6116</v>
      </c>
      <c r="G3459" s="573" t="s">
        <v>271</v>
      </c>
      <c r="H3459" s="573">
        <v>2019</v>
      </c>
      <c r="I3459" s="573" t="s">
        <v>3765</v>
      </c>
      <c r="J3459" s="573" t="s">
        <v>6179</v>
      </c>
      <c r="K3459" s="573" t="s">
        <v>3377</v>
      </c>
      <c r="L3459" s="573">
        <v>5</v>
      </c>
      <c r="M3459" s="573">
        <v>0</v>
      </c>
      <c r="N3459" s="573" t="s">
        <v>157</v>
      </c>
      <c r="O3459" s="573">
        <v>2</v>
      </c>
      <c r="P3459" s="573" t="s">
        <v>157</v>
      </c>
      <c r="Q3459" s="571" t="s">
        <v>157</v>
      </c>
      <c r="R3459" s="573" t="s">
        <v>1259</v>
      </c>
      <c r="S3459" s="573">
        <v>6</v>
      </c>
      <c r="T3459" s="573" t="s">
        <v>3997</v>
      </c>
      <c r="U3459" s="573" t="s">
        <v>276</v>
      </c>
      <c r="V3459" s="573">
        <v>163.69999999999999</v>
      </c>
      <c r="W3459" s="573">
        <v>23</v>
      </c>
      <c r="X3459" s="571">
        <v>7050</v>
      </c>
      <c r="Y3459" s="573">
        <v>20</v>
      </c>
      <c r="Z3459" s="579" t="s">
        <v>178</v>
      </c>
      <c r="AA3459" s="579" t="s">
        <v>178</v>
      </c>
      <c r="AB3459" s="584">
        <v>36690</v>
      </c>
      <c r="AC3459" s="584" t="s">
        <v>164</v>
      </c>
      <c r="AD3459" s="584">
        <v>25450</v>
      </c>
      <c r="AE3459" s="586">
        <v>0.01</v>
      </c>
      <c r="AF3459" s="661" t="str">
        <f t="shared" si="374"/>
        <v>2019-SSV-FRD-F150-124-15</v>
      </c>
      <c r="AG3459" s="661" t="str">
        <f>IF(AND($Y3459&gt;=32,(AI3459="I"),(Y3459&lt;&gt;"~"),(COUNTIF($AN$1:$AN3459,$AN3459)=1)),"TRUE","FALSE")</f>
        <v>FALSE</v>
      </c>
      <c r="AH3459" s="661" t="str">
        <f>IF(AND($Y3459&gt;=22, (AI3459&lt;&gt;"I"),(Y3459&lt;&gt;"~"),(COUNTIF($AN$1:$AN3459,$AN3459)=1)),"TRUE","FALSE")</f>
        <v>FALSE</v>
      </c>
      <c r="AI3459" s="661" t="str">
        <f t="shared" si="376"/>
        <v>II</v>
      </c>
      <c r="AJ3459" s="662" t="str">
        <f t="shared" ref="AJ3459:AJ3508" si="377">MID(A3459,14,8)</f>
        <v>F150-124</v>
      </c>
      <c r="AK3459" s="662" t="str">
        <f t="shared" ref="AK3459:AK3508" si="378">MID(A3459,6,3)</f>
        <v>SSV</v>
      </c>
      <c r="AL3459" s="662" t="str">
        <f t="shared" ref="AL3459:AL3508" si="379">MID(A3459,10,3)</f>
        <v>FRD</v>
      </c>
      <c r="AM3459" s="662" t="str">
        <f t="shared" si="375"/>
        <v>F150-XL Super Cab SSV-2WD-5-~-~-3.5L EcoBoost-6-X1C-100A-163.7-23-Unleaded-Unleaded</v>
      </c>
      <c r="AN3459" s="662" t="str">
        <f t="shared" ref="AN3459:AN3508" si="380">LEFT(A3459,21)</f>
        <v>2019-SSV-FRD-F150-124</v>
      </c>
    </row>
    <row r="3460" spans="1:40" ht="15">
      <c r="A3460" s="570" t="s">
        <v>6189</v>
      </c>
      <c r="B3460" s="569" t="s">
        <v>6178</v>
      </c>
      <c r="C3460" s="569" t="s">
        <v>280</v>
      </c>
      <c r="D3460" s="580">
        <v>27</v>
      </c>
      <c r="E3460" s="569" t="s">
        <v>693</v>
      </c>
      <c r="F3460" s="569" t="s">
        <v>6116</v>
      </c>
      <c r="G3460" s="569" t="s">
        <v>271</v>
      </c>
      <c r="H3460" s="569">
        <v>2019</v>
      </c>
      <c r="I3460" s="569" t="s">
        <v>3765</v>
      </c>
      <c r="J3460" s="569" t="s">
        <v>6179</v>
      </c>
      <c r="K3460" s="569" t="s">
        <v>3377</v>
      </c>
      <c r="L3460" s="569">
        <v>5</v>
      </c>
      <c r="M3460" s="569">
        <v>0</v>
      </c>
      <c r="N3460" s="569" t="s">
        <v>157</v>
      </c>
      <c r="O3460" s="569">
        <v>2</v>
      </c>
      <c r="P3460" s="569" t="s">
        <v>157</v>
      </c>
      <c r="Q3460" s="568" t="s">
        <v>157</v>
      </c>
      <c r="R3460" s="569" t="s">
        <v>1259</v>
      </c>
      <c r="S3460" s="569">
        <v>6</v>
      </c>
      <c r="T3460" s="569" t="s">
        <v>3997</v>
      </c>
      <c r="U3460" s="569" t="s">
        <v>6180</v>
      </c>
      <c r="V3460" s="569">
        <v>145</v>
      </c>
      <c r="W3460" s="569">
        <v>23</v>
      </c>
      <c r="X3460" s="568">
        <v>6900</v>
      </c>
      <c r="Y3460" s="569">
        <v>21</v>
      </c>
      <c r="Z3460" s="581" t="s">
        <v>178</v>
      </c>
      <c r="AA3460" s="581" t="s">
        <v>178</v>
      </c>
      <c r="AB3460" s="585">
        <v>36380</v>
      </c>
      <c r="AC3460" s="585" t="s">
        <v>164</v>
      </c>
      <c r="AD3460" s="585">
        <v>25073.347368421055</v>
      </c>
      <c r="AE3460" s="587">
        <v>0.03</v>
      </c>
      <c r="AF3460" s="661" t="str">
        <f t="shared" si="374"/>
        <v>2019-SSV-FRD-F150-123-27</v>
      </c>
      <c r="AG3460" s="661" t="str">
        <f>IF(AND($Y3460&gt;=32,(AI3460="I"),(Y3460&lt;&gt;"~"),(COUNTIF($AN$1:$AN3460,$AN3460)=1)),"TRUE","FALSE")</f>
        <v>FALSE</v>
      </c>
      <c r="AH3460" s="661" t="str">
        <f>IF(AND($Y3460&gt;=22, (AI3460&lt;&gt;"I"),(Y3460&lt;&gt;"~"),(COUNTIF($AN$1:$AN3460,$AN3460)=1)),"TRUE","FALSE")</f>
        <v>FALSE</v>
      </c>
      <c r="AI3460" s="661" t="str">
        <f t="shared" si="376"/>
        <v>II</v>
      </c>
      <c r="AJ3460" s="662" t="str">
        <f t="shared" si="377"/>
        <v>F150-123</v>
      </c>
      <c r="AK3460" s="662" t="str">
        <f t="shared" si="378"/>
        <v>SSV</v>
      </c>
      <c r="AL3460" s="662" t="str">
        <f t="shared" si="379"/>
        <v>FRD</v>
      </c>
      <c r="AM3460" s="662" t="str">
        <f t="shared" si="375"/>
        <v>F150-XL Super Cab SSV-2WD-5-~-~-3.5L EcoBoost-6-X1C-100A/66S-145-23-Unleaded-Unleaded</v>
      </c>
      <c r="AN3460" s="662" t="str">
        <f t="shared" si="380"/>
        <v>2019-SSV-FRD-F150-123</v>
      </c>
    </row>
    <row r="3461" spans="1:40" ht="15">
      <c r="A3461" s="570" t="s">
        <v>6190</v>
      </c>
      <c r="B3461" s="573" t="s">
        <v>6182</v>
      </c>
      <c r="C3461" s="573" t="s">
        <v>280</v>
      </c>
      <c r="D3461" s="578">
        <v>27</v>
      </c>
      <c r="E3461" s="573" t="s">
        <v>693</v>
      </c>
      <c r="F3461" s="573" t="s">
        <v>6116</v>
      </c>
      <c r="G3461" s="573" t="s">
        <v>271</v>
      </c>
      <c r="H3461" s="573">
        <v>2019</v>
      </c>
      <c r="I3461" s="573" t="s">
        <v>3765</v>
      </c>
      <c r="J3461" s="573" t="s">
        <v>6179</v>
      </c>
      <c r="K3461" s="573" t="s">
        <v>3377</v>
      </c>
      <c r="L3461" s="573">
        <v>5</v>
      </c>
      <c r="M3461" s="573">
        <v>0</v>
      </c>
      <c r="N3461" s="573" t="s">
        <v>157</v>
      </c>
      <c r="O3461" s="573">
        <v>2</v>
      </c>
      <c r="P3461" s="573" t="s">
        <v>157</v>
      </c>
      <c r="Q3461" s="571" t="s">
        <v>157</v>
      </c>
      <c r="R3461" s="573" t="s">
        <v>1259</v>
      </c>
      <c r="S3461" s="573">
        <v>6</v>
      </c>
      <c r="T3461" s="573" t="s">
        <v>3997</v>
      </c>
      <c r="U3461" s="573" t="s">
        <v>6180</v>
      </c>
      <c r="V3461" s="573">
        <v>163.69999999999999</v>
      </c>
      <c r="W3461" s="573">
        <v>23</v>
      </c>
      <c r="X3461" s="571">
        <v>7050</v>
      </c>
      <c r="Y3461" s="573">
        <v>20</v>
      </c>
      <c r="Z3461" s="579" t="s">
        <v>178</v>
      </c>
      <c r="AA3461" s="579" t="s">
        <v>178</v>
      </c>
      <c r="AB3461" s="584">
        <v>36690</v>
      </c>
      <c r="AC3461" s="584" t="s">
        <v>164</v>
      </c>
      <c r="AD3461" s="584">
        <v>25393.347368421055</v>
      </c>
      <c r="AE3461" s="586">
        <v>0.03</v>
      </c>
      <c r="AF3461" s="661" t="str">
        <f t="shared" si="374"/>
        <v>2019-SSV-FRD-F150-124-27</v>
      </c>
      <c r="AG3461" s="661" t="str">
        <f>IF(AND($Y3461&gt;=32,(AI3461="I"),(Y3461&lt;&gt;"~"),(COUNTIF($AN$1:$AN3461,$AN3461)=1)),"TRUE","FALSE")</f>
        <v>FALSE</v>
      </c>
      <c r="AH3461" s="661" t="str">
        <f>IF(AND($Y3461&gt;=22, (AI3461&lt;&gt;"I"),(Y3461&lt;&gt;"~"),(COUNTIF($AN$1:$AN3461,$AN3461)=1)),"TRUE","FALSE")</f>
        <v>FALSE</v>
      </c>
      <c r="AI3461" s="661" t="str">
        <f t="shared" si="376"/>
        <v>II</v>
      </c>
      <c r="AJ3461" s="662" t="str">
        <f t="shared" si="377"/>
        <v>F150-124</v>
      </c>
      <c r="AK3461" s="662" t="str">
        <f t="shared" si="378"/>
        <v>SSV</v>
      </c>
      <c r="AL3461" s="662" t="str">
        <f t="shared" si="379"/>
        <v>FRD</v>
      </c>
      <c r="AM3461" s="662" t="str">
        <f t="shared" si="375"/>
        <v>F150-XL Super Cab SSV-2WD-5-~-~-3.5L EcoBoost-6-X1C-100A/66S-163.7-23-Unleaded-Unleaded</v>
      </c>
      <c r="AN3461" s="662" t="str">
        <f t="shared" si="380"/>
        <v>2019-SSV-FRD-F150-124</v>
      </c>
    </row>
    <row r="3462" spans="1:40" ht="15">
      <c r="A3462" s="570" t="s">
        <v>6191</v>
      </c>
      <c r="B3462" s="569" t="s">
        <v>6184</v>
      </c>
      <c r="C3462" s="569" t="s">
        <v>280</v>
      </c>
      <c r="D3462" s="580">
        <v>27</v>
      </c>
      <c r="E3462" s="569" t="s">
        <v>693</v>
      </c>
      <c r="F3462" s="569" t="s">
        <v>6116</v>
      </c>
      <c r="G3462" s="569" t="s">
        <v>271</v>
      </c>
      <c r="H3462" s="569">
        <v>2019</v>
      </c>
      <c r="I3462" s="569" t="s">
        <v>3765</v>
      </c>
      <c r="J3462" s="569" t="s">
        <v>6179</v>
      </c>
      <c r="K3462" s="569" t="s">
        <v>3377</v>
      </c>
      <c r="L3462" s="569">
        <v>5</v>
      </c>
      <c r="M3462" s="569">
        <v>0</v>
      </c>
      <c r="N3462" s="569" t="s">
        <v>157</v>
      </c>
      <c r="O3462" s="569">
        <v>2</v>
      </c>
      <c r="P3462" s="569" t="s">
        <v>157</v>
      </c>
      <c r="Q3462" s="568" t="s">
        <v>157</v>
      </c>
      <c r="R3462" s="569" t="s">
        <v>3778</v>
      </c>
      <c r="S3462" s="569">
        <v>6</v>
      </c>
      <c r="T3462" s="569" t="s">
        <v>3997</v>
      </c>
      <c r="U3462" s="569" t="s">
        <v>6180</v>
      </c>
      <c r="V3462" s="569">
        <v>145</v>
      </c>
      <c r="W3462" s="569">
        <v>23</v>
      </c>
      <c r="X3462" s="568">
        <v>6900</v>
      </c>
      <c r="Y3462" s="569">
        <v>19</v>
      </c>
      <c r="Z3462" s="581" t="s">
        <v>450</v>
      </c>
      <c r="AA3462" s="581" t="s">
        <v>178</v>
      </c>
      <c r="AB3462" s="585">
        <v>35780</v>
      </c>
      <c r="AC3462" s="585" t="s">
        <v>164</v>
      </c>
      <c r="AD3462" s="585">
        <v>24534.400000000001</v>
      </c>
      <c r="AE3462" s="587">
        <v>0.03</v>
      </c>
      <c r="AF3462" s="661" t="str">
        <f t="shared" si="374"/>
        <v>2019-SSV-FRD-F150-139-27</v>
      </c>
      <c r="AG3462" s="661" t="str">
        <f>IF(AND($Y3462&gt;=32,(AI3462="I"),(Y3462&lt;&gt;"~"),(COUNTIF($AN$1:$AN3462,$AN3462)=1)),"TRUE","FALSE")</f>
        <v>FALSE</v>
      </c>
      <c r="AH3462" s="661" t="str">
        <f>IF(AND($Y3462&gt;=22, (AI3462&lt;&gt;"I"),(Y3462&lt;&gt;"~"),(COUNTIF($AN$1:$AN3462,$AN3462)=1)),"TRUE","FALSE")</f>
        <v>FALSE</v>
      </c>
      <c r="AI3462" s="661" t="str">
        <f t="shared" si="376"/>
        <v>II</v>
      </c>
      <c r="AJ3462" s="662" t="str">
        <f t="shared" si="377"/>
        <v>F150-139</v>
      </c>
      <c r="AK3462" s="662" t="str">
        <f t="shared" si="378"/>
        <v>SSV</v>
      </c>
      <c r="AL3462" s="662" t="str">
        <f t="shared" si="379"/>
        <v>FRD</v>
      </c>
      <c r="AM3462" s="662" t="str">
        <f t="shared" si="375"/>
        <v>F150-XL Super Cab SSV-2WD-5-~-~-5.0L FFV-6-X1C-100A/66S-145-23-E85-Unleaded</v>
      </c>
      <c r="AN3462" s="662" t="str">
        <f t="shared" si="380"/>
        <v>2019-SSV-FRD-F150-139</v>
      </c>
    </row>
    <row r="3463" spans="1:40" ht="15">
      <c r="A3463" s="570" t="s">
        <v>6192</v>
      </c>
      <c r="B3463" s="573" t="s">
        <v>6186</v>
      </c>
      <c r="C3463" s="573" t="s">
        <v>280</v>
      </c>
      <c r="D3463" s="578">
        <v>27</v>
      </c>
      <c r="E3463" s="573" t="s">
        <v>693</v>
      </c>
      <c r="F3463" s="573" t="s">
        <v>6116</v>
      </c>
      <c r="G3463" s="573" t="s">
        <v>271</v>
      </c>
      <c r="H3463" s="573">
        <v>2019</v>
      </c>
      <c r="I3463" s="573" t="s">
        <v>3765</v>
      </c>
      <c r="J3463" s="573" t="s">
        <v>6179</v>
      </c>
      <c r="K3463" s="573" t="s">
        <v>3377</v>
      </c>
      <c r="L3463" s="573">
        <v>5</v>
      </c>
      <c r="M3463" s="573">
        <v>0</v>
      </c>
      <c r="N3463" s="573" t="s">
        <v>157</v>
      </c>
      <c r="O3463" s="573">
        <v>2</v>
      </c>
      <c r="P3463" s="573" t="s">
        <v>157</v>
      </c>
      <c r="Q3463" s="571" t="s">
        <v>157</v>
      </c>
      <c r="R3463" s="573" t="s">
        <v>3778</v>
      </c>
      <c r="S3463" s="573">
        <v>6</v>
      </c>
      <c r="T3463" s="573" t="s">
        <v>3997</v>
      </c>
      <c r="U3463" s="573" t="s">
        <v>6180</v>
      </c>
      <c r="V3463" s="573">
        <v>163.69999999999999</v>
      </c>
      <c r="W3463" s="573">
        <v>23</v>
      </c>
      <c r="X3463" s="571">
        <v>7050</v>
      </c>
      <c r="Y3463" s="573">
        <v>19</v>
      </c>
      <c r="Z3463" s="579" t="s">
        <v>450</v>
      </c>
      <c r="AA3463" s="579" t="s">
        <v>178</v>
      </c>
      <c r="AB3463" s="584">
        <v>36090</v>
      </c>
      <c r="AC3463" s="584" t="s">
        <v>164</v>
      </c>
      <c r="AD3463" s="584">
        <v>24854.400000000001</v>
      </c>
      <c r="AE3463" s="586">
        <v>0.03</v>
      </c>
      <c r="AF3463" s="661" t="str">
        <f t="shared" si="374"/>
        <v>2019-SSV-FRD-F150-140-27</v>
      </c>
      <c r="AG3463" s="661" t="str">
        <f>IF(AND($Y3463&gt;=32,(AI3463="I"),(Y3463&lt;&gt;"~"),(COUNTIF($AN$1:$AN3463,$AN3463)=1)),"TRUE","FALSE")</f>
        <v>FALSE</v>
      </c>
      <c r="AH3463" s="661" t="str">
        <f>IF(AND($Y3463&gt;=22, (AI3463&lt;&gt;"I"),(Y3463&lt;&gt;"~"),(COUNTIF($AN$1:$AN3463,$AN3463)=1)),"TRUE","FALSE")</f>
        <v>FALSE</v>
      </c>
      <c r="AI3463" s="661" t="str">
        <f t="shared" si="376"/>
        <v>II</v>
      </c>
      <c r="AJ3463" s="662" t="str">
        <f t="shared" si="377"/>
        <v>F150-140</v>
      </c>
      <c r="AK3463" s="662" t="str">
        <f t="shared" si="378"/>
        <v>SSV</v>
      </c>
      <c r="AL3463" s="662" t="str">
        <f t="shared" si="379"/>
        <v>FRD</v>
      </c>
      <c r="AM3463" s="662" t="str">
        <f t="shared" si="375"/>
        <v>F150-XL Super Cab SSV-2WD-5-~-~-5.0L FFV-6-X1C-100A/66S-163.7-23-E85-Unleaded</v>
      </c>
      <c r="AN3463" s="662" t="str">
        <f t="shared" si="380"/>
        <v>2019-SSV-FRD-F150-140</v>
      </c>
    </row>
    <row r="3464" spans="1:40" ht="15">
      <c r="A3464" s="570" t="s">
        <v>6193</v>
      </c>
      <c r="B3464" s="569" t="s">
        <v>6194</v>
      </c>
      <c r="C3464" s="569" t="s">
        <v>269</v>
      </c>
      <c r="D3464" s="580" t="s">
        <v>270</v>
      </c>
      <c r="E3464" s="569" t="s">
        <v>693</v>
      </c>
      <c r="F3464" s="569" t="s">
        <v>6116</v>
      </c>
      <c r="G3464" s="569" t="s">
        <v>271</v>
      </c>
      <c r="H3464" s="569">
        <v>2019</v>
      </c>
      <c r="I3464" s="569" t="s">
        <v>3765</v>
      </c>
      <c r="J3464" s="569" t="s">
        <v>6179</v>
      </c>
      <c r="K3464" s="569" t="s">
        <v>752</v>
      </c>
      <c r="L3464" s="569">
        <v>5</v>
      </c>
      <c r="M3464" s="569">
        <v>0</v>
      </c>
      <c r="N3464" s="569" t="s">
        <v>157</v>
      </c>
      <c r="O3464" s="569">
        <v>2</v>
      </c>
      <c r="P3464" s="569" t="s">
        <v>157</v>
      </c>
      <c r="Q3464" s="568" t="s">
        <v>157</v>
      </c>
      <c r="R3464" s="569" t="s">
        <v>1259</v>
      </c>
      <c r="S3464" s="569">
        <v>6</v>
      </c>
      <c r="T3464" s="569" t="s">
        <v>4033</v>
      </c>
      <c r="U3464" s="569" t="s">
        <v>6180</v>
      </c>
      <c r="V3464" s="569">
        <v>145</v>
      </c>
      <c r="W3464" s="569">
        <v>36</v>
      </c>
      <c r="X3464" s="568">
        <v>7000</v>
      </c>
      <c r="Y3464" s="569">
        <v>19</v>
      </c>
      <c r="Z3464" s="581" t="s">
        <v>178</v>
      </c>
      <c r="AA3464" s="581" t="s">
        <v>178</v>
      </c>
      <c r="AB3464" s="585">
        <v>39810</v>
      </c>
      <c r="AC3464" s="585" t="s">
        <v>164</v>
      </c>
      <c r="AD3464" s="585">
        <v>28260.715789473685</v>
      </c>
      <c r="AE3464" s="587">
        <v>0.03</v>
      </c>
      <c r="AF3464" s="661" t="str">
        <f t="shared" si="374"/>
        <v>2019-SSV-FRD-F150-127-05</v>
      </c>
      <c r="AG3464" s="661" t="str">
        <f>IF(AND($Y3464&gt;=32,(AI3464="I"),(Y3464&lt;&gt;"~"),(COUNTIF($AN$1:$AN3464,$AN3464)=1)),"TRUE","FALSE")</f>
        <v>FALSE</v>
      </c>
      <c r="AH3464" s="661" t="str">
        <f>IF(AND($Y3464&gt;=22, (AI3464&lt;&gt;"I"),(Y3464&lt;&gt;"~"),(COUNTIF($AN$1:$AN3464,$AN3464)=1)),"TRUE","FALSE")</f>
        <v>FALSE</v>
      </c>
      <c r="AI3464" s="661" t="str">
        <f t="shared" si="376"/>
        <v>II</v>
      </c>
      <c r="AJ3464" s="662" t="str">
        <f t="shared" si="377"/>
        <v>F150-127</v>
      </c>
      <c r="AK3464" s="662" t="str">
        <f t="shared" si="378"/>
        <v>SSV</v>
      </c>
      <c r="AL3464" s="662" t="str">
        <f t="shared" si="379"/>
        <v>FRD</v>
      </c>
      <c r="AM3464" s="662" t="str">
        <f t="shared" si="375"/>
        <v>F150-XL Super Cab SSV-4WD-5-~-~-3.5L EcoBoost-6-X1E-100A/66S-145-36-Unleaded-Unleaded</v>
      </c>
      <c r="AN3464" s="662" t="str">
        <f t="shared" si="380"/>
        <v>2019-SSV-FRD-F150-127</v>
      </c>
    </row>
    <row r="3465" spans="1:40" ht="15">
      <c r="A3465" s="570" t="s">
        <v>6195</v>
      </c>
      <c r="B3465" s="573" t="s">
        <v>6196</v>
      </c>
      <c r="C3465" s="573" t="s">
        <v>269</v>
      </c>
      <c r="D3465" s="578" t="s">
        <v>270</v>
      </c>
      <c r="E3465" s="573" t="s">
        <v>693</v>
      </c>
      <c r="F3465" s="573" t="s">
        <v>6116</v>
      </c>
      <c r="G3465" s="573" t="s">
        <v>271</v>
      </c>
      <c r="H3465" s="573">
        <v>2019</v>
      </c>
      <c r="I3465" s="573" t="s">
        <v>3765</v>
      </c>
      <c r="J3465" s="573" t="s">
        <v>6179</v>
      </c>
      <c r="K3465" s="573" t="s">
        <v>752</v>
      </c>
      <c r="L3465" s="573">
        <v>5</v>
      </c>
      <c r="M3465" s="573">
        <v>0</v>
      </c>
      <c r="N3465" s="573" t="s">
        <v>157</v>
      </c>
      <c r="O3465" s="573">
        <v>2</v>
      </c>
      <c r="P3465" s="573" t="s">
        <v>157</v>
      </c>
      <c r="Q3465" s="571" t="s">
        <v>157</v>
      </c>
      <c r="R3465" s="573" t="s">
        <v>1259</v>
      </c>
      <c r="S3465" s="573">
        <v>6</v>
      </c>
      <c r="T3465" s="573" t="s">
        <v>4033</v>
      </c>
      <c r="U3465" s="573" t="s">
        <v>6180</v>
      </c>
      <c r="V3465" s="573">
        <v>163.69999999999999</v>
      </c>
      <c r="W3465" s="573">
        <v>36</v>
      </c>
      <c r="X3465" s="571">
        <v>7050</v>
      </c>
      <c r="Y3465" s="573">
        <v>19</v>
      </c>
      <c r="Z3465" s="579" t="s">
        <v>178</v>
      </c>
      <c r="AA3465" s="579" t="s">
        <v>178</v>
      </c>
      <c r="AB3465" s="584">
        <v>40070</v>
      </c>
      <c r="AC3465" s="584" t="s">
        <v>164</v>
      </c>
      <c r="AD3465" s="584">
        <v>28353.347368421055</v>
      </c>
      <c r="AE3465" s="586">
        <v>0.03</v>
      </c>
      <c r="AF3465" s="661" t="str">
        <f t="shared" si="374"/>
        <v>2019-SSV-FRD-F150-128-05</v>
      </c>
      <c r="AG3465" s="661" t="str">
        <f>IF(AND($Y3465&gt;=32,(AI3465="I"),(Y3465&lt;&gt;"~"),(COUNTIF($AN$1:$AN3465,$AN3465)=1)),"TRUE","FALSE")</f>
        <v>FALSE</v>
      </c>
      <c r="AH3465" s="661" t="str">
        <f>IF(AND($Y3465&gt;=22, (AI3465&lt;&gt;"I"),(Y3465&lt;&gt;"~"),(COUNTIF($AN$1:$AN3465,$AN3465)=1)),"TRUE","FALSE")</f>
        <v>FALSE</v>
      </c>
      <c r="AI3465" s="661" t="str">
        <f t="shared" si="376"/>
        <v>II</v>
      </c>
      <c r="AJ3465" s="662" t="str">
        <f t="shared" si="377"/>
        <v>F150-128</v>
      </c>
      <c r="AK3465" s="662" t="str">
        <f t="shared" si="378"/>
        <v>SSV</v>
      </c>
      <c r="AL3465" s="662" t="str">
        <f t="shared" si="379"/>
        <v>FRD</v>
      </c>
      <c r="AM3465" s="662" t="str">
        <f t="shared" si="375"/>
        <v>F150-XL Super Cab SSV-4WD-5-~-~-3.5L EcoBoost-6-X1E-100A/66S-163.7-36-Unleaded-Unleaded</v>
      </c>
      <c r="AN3465" s="662" t="str">
        <f t="shared" si="380"/>
        <v>2019-SSV-FRD-F150-128</v>
      </c>
    </row>
    <row r="3466" spans="1:40" ht="15">
      <c r="A3466" s="570" t="s">
        <v>6197</v>
      </c>
      <c r="B3466" s="569" t="s">
        <v>6198</v>
      </c>
      <c r="C3466" s="569" t="s">
        <v>269</v>
      </c>
      <c r="D3466" s="580" t="s">
        <v>270</v>
      </c>
      <c r="E3466" s="569" t="s">
        <v>693</v>
      </c>
      <c r="F3466" s="569" t="s">
        <v>6116</v>
      </c>
      <c r="G3466" s="569" t="s">
        <v>271</v>
      </c>
      <c r="H3466" s="569">
        <v>2019</v>
      </c>
      <c r="I3466" s="569" t="s">
        <v>3765</v>
      </c>
      <c r="J3466" s="569" t="s">
        <v>6179</v>
      </c>
      <c r="K3466" s="569" t="s">
        <v>752</v>
      </c>
      <c r="L3466" s="569">
        <v>5</v>
      </c>
      <c r="M3466" s="569">
        <v>0</v>
      </c>
      <c r="N3466" s="569" t="s">
        <v>157</v>
      </c>
      <c r="O3466" s="569">
        <v>2</v>
      </c>
      <c r="P3466" s="569" t="s">
        <v>157</v>
      </c>
      <c r="Q3466" s="568" t="s">
        <v>157</v>
      </c>
      <c r="R3466" s="569" t="s">
        <v>3778</v>
      </c>
      <c r="S3466" s="569">
        <v>6</v>
      </c>
      <c r="T3466" s="569" t="s">
        <v>4033</v>
      </c>
      <c r="U3466" s="569" t="s">
        <v>6180</v>
      </c>
      <c r="V3466" s="569">
        <v>145</v>
      </c>
      <c r="W3466" s="569">
        <v>23</v>
      </c>
      <c r="X3466" s="568">
        <v>7000</v>
      </c>
      <c r="Y3466" s="569">
        <v>18</v>
      </c>
      <c r="Z3466" s="581" t="s">
        <v>450</v>
      </c>
      <c r="AA3466" s="581" t="s">
        <v>178</v>
      </c>
      <c r="AB3466" s="585">
        <v>39210</v>
      </c>
      <c r="AC3466" s="585" t="s">
        <v>164</v>
      </c>
      <c r="AD3466" s="585">
        <v>27721.768421052635</v>
      </c>
      <c r="AE3466" s="587">
        <v>0.03</v>
      </c>
      <c r="AF3466" s="661" t="str">
        <f t="shared" si="374"/>
        <v>2019-SSV-FRD-F150-141-05</v>
      </c>
      <c r="AG3466" s="661" t="str">
        <f>IF(AND($Y3466&gt;=32,(AI3466="I"),(Y3466&lt;&gt;"~"),(COUNTIF($AN$1:$AN3466,$AN3466)=1)),"TRUE","FALSE")</f>
        <v>FALSE</v>
      </c>
      <c r="AH3466" s="661" t="str">
        <f>IF(AND($Y3466&gt;=22, (AI3466&lt;&gt;"I"),(Y3466&lt;&gt;"~"),(COUNTIF($AN$1:$AN3466,$AN3466)=1)),"TRUE","FALSE")</f>
        <v>FALSE</v>
      </c>
      <c r="AI3466" s="661" t="str">
        <f t="shared" si="376"/>
        <v>II</v>
      </c>
      <c r="AJ3466" s="662" t="str">
        <f t="shared" si="377"/>
        <v>F150-141</v>
      </c>
      <c r="AK3466" s="662" t="str">
        <f t="shared" si="378"/>
        <v>SSV</v>
      </c>
      <c r="AL3466" s="662" t="str">
        <f t="shared" si="379"/>
        <v>FRD</v>
      </c>
      <c r="AM3466" s="662" t="str">
        <f t="shared" si="375"/>
        <v>F150-XL Super Cab SSV-4WD-5-~-~-5.0L FFV-6-X1E-100A/66S-145-23-E85-Unleaded</v>
      </c>
      <c r="AN3466" s="662" t="str">
        <f t="shared" si="380"/>
        <v>2019-SSV-FRD-F150-141</v>
      </c>
    </row>
    <row r="3467" spans="1:40" ht="15">
      <c r="A3467" s="570" t="s">
        <v>6199</v>
      </c>
      <c r="B3467" s="573" t="s">
        <v>6200</v>
      </c>
      <c r="C3467" s="573" t="s">
        <v>269</v>
      </c>
      <c r="D3467" s="578" t="s">
        <v>270</v>
      </c>
      <c r="E3467" s="573" t="s">
        <v>693</v>
      </c>
      <c r="F3467" s="573" t="s">
        <v>6116</v>
      </c>
      <c r="G3467" s="573" t="s">
        <v>271</v>
      </c>
      <c r="H3467" s="573">
        <v>2019</v>
      </c>
      <c r="I3467" s="573" t="s">
        <v>3765</v>
      </c>
      <c r="J3467" s="573" t="s">
        <v>6179</v>
      </c>
      <c r="K3467" s="573" t="s">
        <v>752</v>
      </c>
      <c r="L3467" s="573">
        <v>5</v>
      </c>
      <c r="M3467" s="573">
        <v>0</v>
      </c>
      <c r="N3467" s="573" t="s">
        <v>157</v>
      </c>
      <c r="O3467" s="573">
        <v>2</v>
      </c>
      <c r="P3467" s="573" t="s">
        <v>157</v>
      </c>
      <c r="Q3467" s="571" t="s">
        <v>157</v>
      </c>
      <c r="R3467" s="573" t="s">
        <v>3778</v>
      </c>
      <c r="S3467" s="573">
        <v>6</v>
      </c>
      <c r="T3467" s="573" t="s">
        <v>4033</v>
      </c>
      <c r="U3467" s="573" t="s">
        <v>6180</v>
      </c>
      <c r="V3467" s="573">
        <v>163.69999999999999</v>
      </c>
      <c r="W3467" s="573">
        <v>23</v>
      </c>
      <c r="X3467" s="571">
        <v>6950</v>
      </c>
      <c r="Y3467" s="573">
        <v>18</v>
      </c>
      <c r="Z3467" s="579" t="s">
        <v>450</v>
      </c>
      <c r="AA3467" s="579" t="s">
        <v>178</v>
      </c>
      <c r="AB3467" s="584">
        <v>39470</v>
      </c>
      <c r="AC3467" s="584" t="s">
        <v>164</v>
      </c>
      <c r="AD3467" s="584">
        <v>28025.978947368421</v>
      </c>
      <c r="AE3467" s="586">
        <v>0.03</v>
      </c>
      <c r="AF3467" s="661" t="str">
        <f t="shared" si="374"/>
        <v>2019-SSV-FRD-F150-142-05</v>
      </c>
      <c r="AG3467" s="661" t="str">
        <f>IF(AND($Y3467&gt;=32,(AI3467="I"),(Y3467&lt;&gt;"~"),(COUNTIF($AN$1:$AN3467,$AN3467)=1)),"TRUE","FALSE")</f>
        <v>FALSE</v>
      </c>
      <c r="AH3467" s="661" t="str">
        <f>IF(AND($Y3467&gt;=22, (AI3467&lt;&gt;"I"),(Y3467&lt;&gt;"~"),(COUNTIF($AN$1:$AN3467,$AN3467)=1)),"TRUE","FALSE")</f>
        <v>FALSE</v>
      </c>
      <c r="AI3467" s="661" t="str">
        <f t="shared" si="376"/>
        <v>II</v>
      </c>
      <c r="AJ3467" s="662" t="str">
        <f t="shared" si="377"/>
        <v>F150-142</v>
      </c>
      <c r="AK3467" s="662" t="str">
        <f t="shared" si="378"/>
        <v>SSV</v>
      </c>
      <c r="AL3467" s="662" t="str">
        <f t="shared" si="379"/>
        <v>FRD</v>
      </c>
      <c r="AM3467" s="662" t="str">
        <f t="shared" si="375"/>
        <v>F150-XL Super Cab SSV-4WD-5-~-~-5.0L FFV-6-X1E-100A/66S-163.7-23-E85-Unleaded</v>
      </c>
      <c r="AN3467" s="662" t="str">
        <f t="shared" si="380"/>
        <v>2019-SSV-FRD-F150-142</v>
      </c>
    </row>
    <row r="3468" spans="1:40" ht="15">
      <c r="A3468" s="570" t="s">
        <v>6201</v>
      </c>
      <c r="B3468" s="569" t="s">
        <v>6194</v>
      </c>
      <c r="C3468" s="569" t="s">
        <v>278</v>
      </c>
      <c r="D3468" s="580">
        <v>15</v>
      </c>
      <c r="E3468" s="569" t="s">
        <v>693</v>
      </c>
      <c r="F3468" s="569" t="s">
        <v>6116</v>
      </c>
      <c r="G3468" s="569" t="s">
        <v>271</v>
      </c>
      <c r="H3468" s="569">
        <v>2019</v>
      </c>
      <c r="I3468" s="569" t="s">
        <v>3765</v>
      </c>
      <c r="J3468" s="569" t="s">
        <v>6179</v>
      </c>
      <c r="K3468" s="569" t="s">
        <v>752</v>
      </c>
      <c r="L3468" s="569">
        <v>5</v>
      </c>
      <c r="M3468" s="569">
        <v>0</v>
      </c>
      <c r="N3468" s="569" t="s">
        <v>157</v>
      </c>
      <c r="O3468" s="569">
        <v>2</v>
      </c>
      <c r="P3468" s="569" t="s">
        <v>157</v>
      </c>
      <c r="Q3468" s="568" t="s">
        <v>157</v>
      </c>
      <c r="R3468" s="569" t="s">
        <v>1259</v>
      </c>
      <c r="S3468" s="569">
        <v>6</v>
      </c>
      <c r="T3468" s="569" t="s">
        <v>4033</v>
      </c>
      <c r="U3468" s="569" t="s">
        <v>276</v>
      </c>
      <c r="V3468" s="569">
        <v>145</v>
      </c>
      <c r="W3468" s="569">
        <v>36</v>
      </c>
      <c r="X3468" s="568">
        <v>7000</v>
      </c>
      <c r="Y3468" s="569">
        <v>19</v>
      </c>
      <c r="Z3468" s="581" t="s">
        <v>178</v>
      </c>
      <c r="AA3468" s="581" t="s">
        <v>178</v>
      </c>
      <c r="AB3468" s="585">
        <v>39810</v>
      </c>
      <c r="AC3468" s="585" t="s">
        <v>164</v>
      </c>
      <c r="AD3468" s="585">
        <v>28400</v>
      </c>
      <c r="AE3468" s="587">
        <v>0.01</v>
      </c>
      <c r="AF3468" s="661" t="str">
        <f t="shared" ref="AF3468:AF3509" si="381">A3468</f>
        <v>2019-SSV-FRD-F150-127-15</v>
      </c>
      <c r="AG3468" s="661" t="str">
        <f>IF(AND($Y3468&gt;=32,(AI3468="I"),(Y3468&lt;&gt;"~"),(COUNTIF($AN$1:$AN3468,$AN3468)=1)),"TRUE","FALSE")</f>
        <v>FALSE</v>
      </c>
      <c r="AH3468" s="661" t="str">
        <f>IF(AND($Y3468&gt;=22, (AI3468&lt;&gt;"I"),(Y3468&lt;&gt;"~"),(COUNTIF($AN$1:$AN3468,$AN3468)=1)),"TRUE","FALSE")</f>
        <v>FALSE</v>
      </c>
      <c r="AI3468" s="661" t="str">
        <f t="shared" si="376"/>
        <v>II</v>
      </c>
      <c r="AJ3468" s="662" t="str">
        <f t="shared" si="377"/>
        <v>F150-127</v>
      </c>
      <c r="AK3468" s="662" t="str">
        <f t="shared" si="378"/>
        <v>SSV</v>
      </c>
      <c r="AL3468" s="662" t="str">
        <f t="shared" si="379"/>
        <v>FRD</v>
      </c>
      <c r="AM3468" s="662" t="str">
        <f t="shared" si="375"/>
        <v>F150-XL Super Cab SSV-4WD-5-~-~-3.5L EcoBoost-6-X1E-100A-145-36-Unleaded-Unleaded</v>
      </c>
      <c r="AN3468" s="662" t="str">
        <f t="shared" si="380"/>
        <v>2019-SSV-FRD-F150-127</v>
      </c>
    </row>
    <row r="3469" spans="1:40" ht="15">
      <c r="A3469" s="570" t="s">
        <v>6202</v>
      </c>
      <c r="B3469" s="573" t="s">
        <v>6196</v>
      </c>
      <c r="C3469" s="573" t="s">
        <v>278</v>
      </c>
      <c r="D3469" s="578">
        <v>15</v>
      </c>
      <c r="E3469" s="573" t="s">
        <v>693</v>
      </c>
      <c r="F3469" s="573" t="s">
        <v>6116</v>
      </c>
      <c r="G3469" s="573" t="s">
        <v>271</v>
      </c>
      <c r="H3469" s="573">
        <v>2019</v>
      </c>
      <c r="I3469" s="573" t="s">
        <v>3765</v>
      </c>
      <c r="J3469" s="573" t="s">
        <v>6179</v>
      </c>
      <c r="K3469" s="573" t="s">
        <v>752</v>
      </c>
      <c r="L3469" s="573">
        <v>5</v>
      </c>
      <c r="M3469" s="573">
        <v>0</v>
      </c>
      <c r="N3469" s="573" t="s">
        <v>157</v>
      </c>
      <c r="O3469" s="573">
        <v>2</v>
      </c>
      <c r="P3469" s="573" t="s">
        <v>157</v>
      </c>
      <c r="Q3469" s="571" t="s">
        <v>157</v>
      </c>
      <c r="R3469" s="573" t="s">
        <v>1259</v>
      </c>
      <c r="S3469" s="573">
        <v>6</v>
      </c>
      <c r="T3469" s="573" t="s">
        <v>4033</v>
      </c>
      <c r="U3469" s="573" t="s">
        <v>276</v>
      </c>
      <c r="V3469" s="573">
        <v>163.69999999999999</v>
      </c>
      <c r="W3469" s="573">
        <v>36</v>
      </c>
      <c r="X3469" s="571">
        <v>7050</v>
      </c>
      <c r="Y3469" s="573">
        <v>19</v>
      </c>
      <c r="Z3469" s="579" t="s">
        <v>178</v>
      </c>
      <c r="AA3469" s="579" t="s">
        <v>178</v>
      </c>
      <c r="AB3469" s="584">
        <v>40070</v>
      </c>
      <c r="AC3469" s="584" t="s">
        <v>164</v>
      </c>
      <c r="AD3469" s="584">
        <v>28650</v>
      </c>
      <c r="AE3469" s="586">
        <v>0.01</v>
      </c>
      <c r="AF3469" s="661" t="str">
        <f t="shared" si="381"/>
        <v>2019-SSV-FRD-F150-128-15</v>
      </c>
      <c r="AG3469" s="661" t="str">
        <f>IF(AND($Y3469&gt;=32,(AI3469="I"),(Y3469&lt;&gt;"~"),(COUNTIF($AN$1:$AN3469,$AN3469)=1)),"TRUE","FALSE")</f>
        <v>FALSE</v>
      </c>
      <c r="AH3469" s="661" t="str">
        <f>IF(AND($Y3469&gt;=22, (AI3469&lt;&gt;"I"),(Y3469&lt;&gt;"~"),(COUNTIF($AN$1:$AN3469,$AN3469)=1)),"TRUE","FALSE")</f>
        <v>FALSE</v>
      </c>
      <c r="AI3469" s="661" t="str">
        <f t="shared" si="376"/>
        <v>II</v>
      </c>
      <c r="AJ3469" s="662" t="str">
        <f t="shared" si="377"/>
        <v>F150-128</v>
      </c>
      <c r="AK3469" s="662" t="str">
        <f t="shared" si="378"/>
        <v>SSV</v>
      </c>
      <c r="AL3469" s="662" t="str">
        <f t="shared" si="379"/>
        <v>FRD</v>
      </c>
      <c r="AM3469" s="662" t="str">
        <f t="shared" si="375"/>
        <v>F150-XL Super Cab SSV-4WD-5-~-~-3.5L EcoBoost-6-X1E-100A-163.7-36-Unleaded-Unleaded</v>
      </c>
      <c r="AN3469" s="662" t="str">
        <f t="shared" si="380"/>
        <v>2019-SSV-FRD-F150-128</v>
      </c>
    </row>
    <row r="3470" spans="1:40" ht="15">
      <c r="A3470" s="570" t="s">
        <v>6203</v>
      </c>
      <c r="B3470" s="569" t="s">
        <v>6194</v>
      </c>
      <c r="C3470" s="569" t="s">
        <v>280</v>
      </c>
      <c r="D3470" s="580">
        <v>27</v>
      </c>
      <c r="E3470" s="569" t="s">
        <v>693</v>
      </c>
      <c r="F3470" s="569" t="s">
        <v>6116</v>
      </c>
      <c r="G3470" s="569" t="s">
        <v>271</v>
      </c>
      <c r="H3470" s="569">
        <v>2019</v>
      </c>
      <c r="I3470" s="569" t="s">
        <v>3765</v>
      </c>
      <c r="J3470" s="569" t="s">
        <v>6179</v>
      </c>
      <c r="K3470" s="569" t="s">
        <v>752</v>
      </c>
      <c r="L3470" s="569">
        <v>5</v>
      </c>
      <c r="M3470" s="569">
        <v>0</v>
      </c>
      <c r="N3470" s="569" t="s">
        <v>157</v>
      </c>
      <c r="O3470" s="569">
        <v>2</v>
      </c>
      <c r="P3470" s="569" t="s">
        <v>157</v>
      </c>
      <c r="Q3470" s="568" t="s">
        <v>157</v>
      </c>
      <c r="R3470" s="569" t="s">
        <v>1259</v>
      </c>
      <c r="S3470" s="569">
        <v>6</v>
      </c>
      <c r="T3470" s="569" t="s">
        <v>4033</v>
      </c>
      <c r="U3470" s="569" t="s">
        <v>6180</v>
      </c>
      <c r="V3470" s="569">
        <v>145</v>
      </c>
      <c r="W3470" s="569">
        <v>36</v>
      </c>
      <c r="X3470" s="568">
        <v>7000</v>
      </c>
      <c r="Y3470" s="569">
        <v>19</v>
      </c>
      <c r="Z3470" s="581" t="s">
        <v>178</v>
      </c>
      <c r="AA3470" s="581" t="s">
        <v>178</v>
      </c>
      <c r="AB3470" s="585">
        <v>39810</v>
      </c>
      <c r="AC3470" s="585" t="s">
        <v>164</v>
      </c>
      <c r="AD3470" s="585">
        <v>28260.715789473685</v>
      </c>
      <c r="AE3470" s="587">
        <v>0.03</v>
      </c>
      <c r="AF3470" s="661" t="str">
        <f t="shared" si="381"/>
        <v>2019-SSV-FRD-F150-127-27</v>
      </c>
      <c r="AG3470" s="661" t="str">
        <f>IF(AND($Y3470&gt;=32,(AI3470="I"),(Y3470&lt;&gt;"~"),(COUNTIF($AN$1:$AN3470,$AN3470)=1)),"TRUE","FALSE")</f>
        <v>FALSE</v>
      </c>
      <c r="AH3470" s="661" t="str">
        <f>IF(AND($Y3470&gt;=22, (AI3470&lt;&gt;"I"),(Y3470&lt;&gt;"~"),(COUNTIF($AN$1:$AN3470,$AN3470)=1)),"TRUE","FALSE")</f>
        <v>FALSE</v>
      </c>
      <c r="AI3470" s="661" t="str">
        <f t="shared" si="376"/>
        <v>II</v>
      </c>
      <c r="AJ3470" s="662" t="str">
        <f t="shared" si="377"/>
        <v>F150-127</v>
      </c>
      <c r="AK3470" s="662" t="str">
        <f t="shared" si="378"/>
        <v>SSV</v>
      </c>
      <c r="AL3470" s="662" t="str">
        <f t="shared" si="379"/>
        <v>FRD</v>
      </c>
      <c r="AM3470" s="662" t="str">
        <f t="shared" si="375"/>
        <v>F150-XL Super Cab SSV-4WD-5-~-~-3.5L EcoBoost-6-X1E-100A/66S-145-36-Unleaded-Unleaded</v>
      </c>
      <c r="AN3470" s="662" t="str">
        <f t="shared" si="380"/>
        <v>2019-SSV-FRD-F150-127</v>
      </c>
    </row>
    <row r="3471" spans="1:40" ht="15">
      <c r="A3471" s="570" t="s">
        <v>6204</v>
      </c>
      <c r="B3471" s="573" t="s">
        <v>6196</v>
      </c>
      <c r="C3471" s="573" t="s">
        <v>280</v>
      </c>
      <c r="D3471" s="578">
        <v>27</v>
      </c>
      <c r="E3471" s="573" t="s">
        <v>693</v>
      </c>
      <c r="F3471" s="573" t="s">
        <v>6116</v>
      </c>
      <c r="G3471" s="573" t="s">
        <v>271</v>
      </c>
      <c r="H3471" s="573">
        <v>2019</v>
      </c>
      <c r="I3471" s="573" t="s">
        <v>3765</v>
      </c>
      <c r="J3471" s="573" t="s">
        <v>6179</v>
      </c>
      <c r="K3471" s="573" t="s">
        <v>752</v>
      </c>
      <c r="L3471" s="573">
        <v>5</v>
      </c>
      <c r="M3471" s="573">
        <v>0</v>
      </c>
      <c r="N3471" s="573" t="s">
        <v>157</v>
      </c>
      <c r="O3471" s="573">
        <v>2</v>
      </c>
      <c r="P3471" s="573" t="s">
        <v>157</v>
      </c>
      <c r="Q3471" s="571" t="s">
        <v>157</v>
      </c>
      <c r="R3471" s="573" t="s">
        <v>1259</v>
      </c>
      <c r="S3471" s="573">
        <v>6</v>
      </c>
      <c r="T3471" s="573" t="s">
        <v>4033</v>
      </c>
      <c r="U3471" s="573" t="s">
        <v>6180</v>
      </c>
      <c r="V3471" s="573">
        <v>163.69999999999999</v>
      </c>
      <c r="W3471" s="573">
        <v>36</v>
      </c>
      <c r="X3471" s="571">
        <v>7050</v>
      </c>
      <c r="Y3471" s="573">
        <v>19</v>
      </c>
      <c r="Z3471" s="579" t="s">
        <v>178</v>
      </c>
      <c r="AA3471" s="579" t="s">
        <v>178</v>
      </c>
      <c r="AB3471" s="584">
        <v>40070</v>
      </c>
      <c r="AC3471" s="584" t="s">
        <v>164</v>
      </c>
      <c r="AD3471" s="584">
        <v>28353.347368421055</v>
      </c>
      <c r="AE3471" s="586">
        <v>0.03</v>
      </c>
      <c r="AF3471" s="661" t="str">
        <f t="shared" si="381"/>
        <v>2019-SSV-FRD-F150-128-27</v>
      </c>
      <c r="AG3471" s="661" t="str">
        <f>IF(AND($Y3471&gt;=32,(AI3471="I"),(Y3471&lt;&gt;"~"),(COUNTIF($AN$1:$AN3471,$AN3471)=1)),"TRUE","FALSE")</f>
        <v>FALSE</v>
      </c>
      <c r="AH3471" s="661" t="str">
        <f>IF(AND($Y3471&gt;=22, (AI3471&lt;&gt;"I"),(Y3471&lt;&gt;"~"),(COUNTIF($AN$1:$AN3471,$AN3471)=1)),"TRUE","FALSE")</f>
        <v>FALSE</v>
      </c>
      <c r="AI3471" s="661" t="str">
        <f t="shared" si="376"/>
        <v>II</v>
      </c>
      <c r="AJ3471" s="662" t="str">
        <f t="shared" si="377"/>
        <v>F150-128</v>
      </c>
      <c r="AK3471" s="662" t="str">
        <f t="shared" si="378"/>
        <v>SSV</v>
      </c>
      <c r="AL3471" s="662" t="str">
        <f t="shared" si="379"/>
        <v>FRD</v>
      </c>
      <c r="AM3471" s="662" t="str">
        <f t="shared" si="375"/>
        <v>F150-XL Super Cab SSV-4WD-5-~-~-3.5L EcoBoost-6-X1E-100A/66S-163.7-36-Unleaded-Unleaded</v>
      </c>
      <c r="AN3471" s="662" t="str">
        <f t="shared" si="380"/>
        <v>2019-SSV-FRD-F150-128</v>
      </c>
    </row>
    <row r="3472" spans="1:40" ht="15">
      <c r="A3472" s="570" t="s">
        <v>6205</v>
      </c>
      <c r="B3472" s="569" t="s">
        <v>6198</v>
      </c>
      <c r="C3472" s="569" t="s">
        <v>280</v>
      </c>
      <c r="D3472" s="580">
        <v>27</v>
      </c>
      <c r="E3472" s="569" t="s">
        <v>693</v>
      </c>
      <c r="F3472" s="569" t="s">
        <v>6116</v>
      </c>
      <c r="G3472" s="569" t="s">
        <v>271</v>
      </c>
      <c r="H3472" s="569">
        <v>2019</v>
      </c>
      <c r="I3472" s="569" t="s">
        <v>3765</v>
      </c>
      <c r="J3472" s="569" t="s">
        <v>6179</v>
      </c>
      <c r="K3472" s="569" t="s">
        <v>752</v>
      </c>
      <c r="L3472" s="569">
        <v>5</v>
      </c>
      <c r="M3472" s="569">
        <v>0</v>
      </c>
      <c r="N3472" s="569" t="s">
        <v>157</v>
      </c>
      <c r="O3472" s="569">
        <v>2</v>
      </c>
      <c r="P3472" s="569" t="s">
        <v>157</v>
      </c>
      <c r="Q3472" s="568" t="s">
        <v>157</v>
      </c>
      <c r="R3472" s="569" t="s">
        <v>3778</v>
      </c>
      <c r="S3472" s="569">
        <v>6</v>
      </c>
      <c r="T3472" s="569" t="s">
        <v>4033</v>
      </c>
      <c r="U3472" s="569" t="s">
        <v>6180</v>
      </c>
      <c r="V3472" s="569">
        <v>145</v>
      </c>
      <c r="W3472" s="569">
        <v>23</v>
      </c>
      <c r="X3472" s="568">
        <v>7000</v>
      </c>
      <c r="Y3472" s="569">
        <v>18</v>
      </c>
      <c r="Z3472" s="581" t="s">
        <v>450</v>
      </c>
      <c r="AA3472" s="581" t="s">
        <v>178</v>
      </c>
      <c r="AB3472" s="585">
        <v>39210</v>
      </c>
      <c r="AC3472" s="585" t="s">
        <v>164</v>
      </c>
      <c r="AD3472" s="585">
        <v>27721.768421052635</v>
      </c>
      <c r="AE3472" s="587">
        <v>0.03</v>
      </c>
      <c r="AF3472" s="661" t="str">
        <f t="shared" si="381"/>
        <v>2019-SSV-FRD-F150-141-27</v>
      </c>
      <c r="AG3472" s="661" t="str">
        <f>IF(AND($Y3472&gt;=32,(AI3472="I"),(Y3472&lt;&gt;"~"),(COUNTIF($AN$1:$AN3472,$AN3472)=1)),"TRUE","FALSE")</f>
        <v>FALSE</v>
      </c>
      <c r="AH3472" s="661" t="str">
        <f>IF(AND($Y3472&gt;=22, (AI3472&lt;&gt;"I"),(Y3472&lt;&gt;"~"),(COUNTIF($AN$1:$AN3472,$AN3472)=1)),"TRUE","FALSE")</f>
        <v>FALSE</v>
      </c>
      <c r="AI3472" s="661" t="str">
        <f t="shared" si="376"/>
        <v>II</v>
      </c>
      <c r="AJ3472" s="662" t="str">
        <f t="shared" si="377"/>
        <v>F150-141</v>
      </c>
      <c r="AK3472" s="662" t="str">
        <f t="shared" si="378"/>
        <v>SSV</v>
      </c>
      <c r="AL3472" s="662" t="str">
        <f t="shared" si="379"/>
        <v>FRD</v>
      </c>
      <c r="AM3472" s="662" t="str">
        <f t="shared" si="375"/>
        <v>F150-XL Super Cab SSV-4WD-5-~-~-5.0L FFV-6-X1E-100A/66S-145-23-E85-Unleaded</v>
      </c>
      <c r="AN3472" s="662" t="str">
        <f t="shared" si="380"/>
        <v>2019-SSV-FRD-F150-141</v>
      </c>
    </row>
    <row r="3473" spans="1:40" ht="15">
      <c r="A3473" s="570" t="s">
        <v>6206</v>
      </c>
      <c r="B3473" s="573" t="s">
        <v>6200</v>
      </c>
      <c r="C3473" s="573" t="s">
        <v>280</v>
      </c>
      <c r="D3473" s="578">
        <v>27</v>
      </c>
      <c r="E3473" s="573" t="s">
        <v>693</v>
      </c>
      <c r="F3473" s="573" t="s">
        <v>6116</v>
      </c>
      <c r="G3473" s="573" t="s">
        <v>271</v>
      </c>
      <c r="H3473" s="573">
        <v>2019</v>
      </c>
      <c r="I3473" s="573" t="s">
        <v>3765</v>
      </c>
      <c r="J3473" s="573" t="s">
        <v>6179</v>
      </c>
      <c r="K3473" s="573" t="s">
        <v>752</v>
      </c>
      <c r="L3473" s="573">
        <v>5</v>
      </c>
      <c r="M3473" s="573">
        <v>0</v>
      </c>
      <c r="N3473" s="573" t="s">
        <v>157</v>
      </c>
      <c r="O3473" s="573">
        <v>2</v>
      </c>
      <c r="P3473" s="573" t="s">
        <v>157</v>
      </c>
      <c r="Q3473" s="571" t="s">
        <v>157</v>
      </c>
      <c r="R3473" s="573" t="s">
        <v>3778</v>
      </c>
      <c r="S3473" s="573">
        <v>6</v>
      </c>
      <c r="T3473" s="573" t="s">
        <v>4033</v>
      </c>
      <c r="U3473" s="573" t="s">
        <v>6180</v>
      </c>
      <c r="V3473" s="573">
        <v>163.69999999999999</v>
      </c>
      <c r="W3473" s="573">
        <v>23</v>
      </c>
      <c r="X3473" s="571">
        <v>6950</v>
      </c>
      <c r="Y3473" s="573">
        <v>18</v>
      </c>
      <c r="Z3473" s="579" t="s">
        <v>450</v>
      </c>
      <c r="AA3473" s="579" t="s">
        <v>178</v>
      </c>
      <c r="AB3473" s="584">
        <v>39470</v>
      </c>
      <c r="AC3473" s="584" t="s">
        <v>164</v>
      </c>
      <c r="AD3473" s="584">
        <v>28025.978947368421</v>
      </c>
      <c r="AE3473" s="586">
        <v>0.03</v>
      </c>
      <c r="AF3473" s="661" t="str">
        <f t="shared" si="381"/>
        <v>2019-SSV-FRD-F150-142-27</v>
      </c>
      <c r="AG3473" s="661" t="str">
        <f>IF(AND($Y3473&gt;=32,(AI3473="I"),(Y3473&lt;&gt;"~"),(COUNTIF($AN$1:$AN3473,$AN3473)=1)),"TRUE","FALSE")</f>
        <v>FALSE</v>
      </c>
      <c r="AH3473" s="661" t="str">
        <f>IF(AND($Y3473&gt;=22, (AI3473&lt;&gt;"I"),(Y3473&lt;&gt;"~"),(COUNTIF($AN$1:$AN3473,$AN3473)=1)),"TRUE","FALSE")</f>
        <v>FALSE</v>
      </c>
      <c r="AI3473" s="661" t="str">
        <f t="shared" si="376"/>
        <v>II</v>
      </c>
      <c r="AJ3473" s="662" t="str">
        <f t="shared" si="377"/>
        <v>F150-142</v>
      </c>
      <c r="AK3473" s="662" t="str">
        <f t="shared" si="378"/>
        <v>SSV</v>
      </c>
      <c r="AL3473" s="662" t="str">
        <f t="shared" si="379"/>
        <v>FRD</v>
      </c>
      <c r="AM3473" s="662" t="str">
        <f t="shared" si="375"/>
        <v>F150-XL Super Cab SSV-4WD-5-~-~-5.0L FFV-6-X1E-100A/66S-163.7-23-E85-Unleaded</v>
      </c>
      <c r="AN3473" s="662" t="str">
        <f t="shared" si="380"/>
        <v>2019-SSV-FRD-F150-142</v>
      </c>
    </row>
    <row r="3474" spans="1:40" ht="15">
      <c r="A3474" s="570" t="s">
        <v>6207</v>
      </c>
      <c r="B3474" s="569" t="s">
        <v>6208</v>
      </c>
      <c r="C3474" s="569" t="s">
        <v>240</v>
      </c>
      <c r="D3474" s="580" t="s">
        <v>241</v>
      </c>
      <c r="E3474" s="569" t="s">
        <v>693</v>
      </c>
      <c r="F3474" s="569" t="s">
        <v>6116</v>
      </c>
      <c r="G3474" s="569" t="s">
        <v>3265</v>
      </c>
      <c r="H3474" s="569">
        <v>2019</v>
      </c>
      <c r="I3474" s="569" t="s">
        <v>5395</v>
      </c>
      <c r="J3474" s="569" t="s">
        <v>6152</v>
      </c>
      <c r="K3474" s="569" t="s">
        <v>752</v>
      </c>
      <c r="L3474" s="569">
        <v>5</v>
      </c>
      <c r="M3474" s="569">
        <v>0</v>
      </c>
      <c r="N3474" s="569" t="s">
        <v>157</v>
      </c>
      <c r="O3474" s="569">
        <v>2</v>
      </c>
      <c r="P3474" s="569" t="s">
        <v>157</v>
      </c>
      <c r="Q3474" s="568">
        <v>8510</v>
      </c>
      <c r="R3474" s="569" t="s">
        <v>646</v>
      </c>
      <c r="S3474" s="569">
        <v>8</v>
      </c>
      <c r="T3474" s="569" t="s">
        <v>6163</v>
      </c>
      <c r="U3474" s="569" t="s">
        <v>6164</v>
      </c>
      <c r="V3474" s="569">
        <v>140.5</v>
      </c>
      <c r="W3474" s="569">
        <v>26</v>
      </c>
      <c r="X3474" s="568">
        <v>6800</v>
      </c>
      <c r="Y3474" s="569">
        <v>14</v>
      </c>
      <c r="Z3474" s="581" t="s">
        <v>178</v>
      </c>
      <c r="AA3474" s="581" t="s">
        <v>178</v>
      </c>
      <c r="AB3474" s="585">
        <v>42120</v>
      </c>
      <c r="AC3474" s="585" t="s">
        <v>164</v>
      </c>
      <c r="AD3474" s="585">
        <v>25989</v>
      </c>
      <c r="AE3474" s="587">
        <v>0.05</v>
      </c>
      <c r="AF3474" s="661" t="str">
        <f t="shared" si="381"/>
        <v>2019-SSV-RAM-RM15-052-08</v>
      </c>
      <c r="AG3474" s="661" t="str">
        <f>IF(AND($Y3474&gt;=32,(AI3474="I"),(Y3474&lt;&gt;"~"),(COUNTIF($AN$1:$AN3474,$AN3474)=1)),"TRUE","FALSE")</f>
        <v>FALSE</v>
      </c>
      <c r="AH3474" s="661" t="str">
        <f>IF(AND($Y3474&gt;=22, (AI3474&lt;&gt;"I"),(Y3474&lt;&gt;"~"),(COUNTIF($AN$1:$AN3474,$AN3474)=1)),"TRUE","FALSE")</f>
        <v>FALSE</v>
      </c>
      <c r="AI3474" s="661" t="str">
        <f t="shared" si="376"/>
        <v>II</v>
      </c>
      <c r="AJ3474" s="662" t="str">
        <f t="shared" si="377"/>
        <v>RM15-052</v>
      </c>
      <c r="AK3474" s="662" t="str">
        <f t="shared" si="378"/>
        <v>SSV</v>
      </c>
      <c r="AL3474" s="662" t="str">
        <f t="shared" si="379"/>
        <v>RAM</v>
      </c>
      <c r="AM3474" s="662" t="str">
        <f t="shared" si="375"/>
        <v>Ram 1500-SSV-4WD-5-~-8510-5.7L-8-DS6T98-25D-140.5-26-Unleaded-Unleaded</v>
      </c>
      <c r="AN3474" s="662" t="str">
        <f t="shared" si="380"/>
        <v>2019-SSV-RAM-RM15-052</v>
      </c>
    </row>
    <row r="3475" spans="1:40" ht="15">
      <c r="A3475" s="570" t="s">
        <v>6209</v>
      </c>
      <c r="B3475" s="573" t="s">
        <v>6210</v>
      </c>
      <c r="C3475" s="573" t="s">
        <v>169</v>
      </c>
      <c r="D3475" s="578">
        <v>11</v>
      </c>
      <c r="E3475" s="573" t="s">
        <v>643</v>
      </c>
      <c r="F3475" s="573" t="s">
        <v>6211</v>
      </c>
      <c r="G3475" s="573" t="s">
        <v>153</v>
      </c>
      <c r="H3475" s="573">
        <v>2019</v>
      </c>
      <c r="I3475" s="573" t="s">
        <v>810</v>
      </c>
      <c r="J3475" s="573" t="s">
        <v>6212</v>
      </c>
      <c r="K3475" s="573" t="s">
        <v>752</v>
      </c>
      <c r="L3475" s="573">
        <v>5</v>
      </c>
      <c r="M3475" s="573">
        <v>0</v>
      </c>
      <c r="N3475" s="573" t="s">
        <v>157</v>
      </c>
      <c r="O3475" s="573">
        <v>2</v>
      </c>
      <c r="P3475" s="573" t="s">
        <v>157</v>
      </c>
      <c r="Q3475" s="571">
        <v>6400</v>
      </c>
      <c r="R3475" s="573" t="s">
        <v>753</v>
      </c>
      <c r="S3475" s="573">
        <v>8</v>
      </c>
      <c r="T3475" s="573" t="s">
        <v>811</v>
      </c>
      <c r="U3475" s="573" t="s">
        <v>6213</v>
      </c>
      <c r="V3475" s="573">
        <v>116</v>
      </c>
      <c r="W3475" s="573">
        <v>26</v>
      </c>
      <c r="X3475" s="571">
        <v>7100</v>
      </c>
      <c r="Y3475" s="573">
        <v>18</v>
      </c>
      <c r="Z3475" s="579" t="s">
        <v>450</v>
      </c>
      <c r="AA3475" s="579" t="s">
        <v>178</v>
      </c>
      <c r="AB3475" s="584">
        <v>47160</v>
      </c>
      <c r="AC3475" s="584" t="s">
        <v>164</v>
      </c>
      <c r="AD3475" s="584">
        <v>36130.833333333336</v>
      </c>
      <c r="AE3475" s="586">
        <v>0.05</v>
      </c>
      <c r="AF3475" s="661" t="str">
        <f t="shared" si="381"/>
        <v>2019-PPV-CHV-TAHO-007-11</v>
      </c>
      <c r="AG3475" s="661" t="str">
        <f>IF(AND($Y3475&gt;=32,(AI3475="I"),(Y3475&lt;&gt;"~"),(COUNTIF($AN$1:$AN3475,$AN3475)=1)),"TRUE","FALSE")</f>
        <v>FALSE</v>
      </c>
      <c r="AH3475" s="661" t="str">
        <f>IF(AND($Y3475&gt;=22, (AI3475&lt;&gt;"I"),(Y3475&lt;&gt;"~"),(COUNTIF($AN$1:$AN3475,$AN3475)=1)),"TRUE","FALSE")</f>
        <v>FALSE</v>
      </c>
      <c r="AI3475" s="661" t="str">
        <f t="shared" si="376"/>
        <v>II</v>
      </c>
      <c r="AJ3475" s="662" t="str">
        <f t="shared" si="377"/>
        <v>TAHO-007</v>
      </c>
      <c r="AK3475" s="662" t="str">
        <f t="shared" si="378"/>
        <v>PPV</v>
      </c>
      <c r="AL3475" s="662" t="str">
        <f t="shared" si="379"/>
        <v>CHV</v>
      </c>
      <c r="AM3475" s="662" t="str">
        <f t="shared" si="375"/>
        <v>Tahoe-PPV / 9C1-4WD-5-~-6400-5.3L-8-CK15706-1FL/9C1-116-26-E85-Unleaded</v>
      </c>
      <c r="AN3475" s="662" t="str">
        <f t="shared" si="380"/>
        <v>2019-PPV-CHV-TAHO-007</v>
      </c>
    </row>
    <row r="3476" spans="1:40" ht="15">
      <c r="A3476" s="570" t="s">
        <v>6214</v>
      </c>
      <c r="B3476" s="569" t="s">
        <v>6210</v>
      </c>
      <c r="C3476" s="569" t="s">
        <v>166</v>
      </c>
      <c r="D3476" s="580">
        <v>17</v>
      </c>
      <c r="E3476" s="569" t="s">
        <v>643</v>
      </c>
      <c r="F3476" s="569" t="s">
        <v>6211</v>
      </c>
      <c r="G3476" s="569" t="s">
        <v>153</v>
      </c>
      <c r="H3476" s="569">
        <v>2019</v>
      </c>
      <c r="I3476" s="569" t="s">
        <v>810</v>
      </c>
      <c r="J3476" s="569" t="s">
        <v>6212</v>
      </c>
      <c r="K3476" s="569" t="s">
        <v>752</v>
      </c>
      <c r="L3476" s="569">
        <v>5</v>
      </c>
      <c r="M3476" s="569">
        <v>0</v>
      </c>
      <c r="N3476" s="569" t="s">
        <v>157</v>
      </c>
      <c r="O3476" s="569">
        <v>2</v>
      </c>
      <c r="P3476" s="569" t="s">
        <v>157</v>
      </c>
      <c r="Q3476" s="568">
        <v>6400</v>
      </c>
      <c r="R3476" s="569" t="s">
        <v>753</v>
      </c>
      <c r="S3476" s="569">
        <v>8</v>
      </c>
      <c r="T3476" s="569" t="s">
        <v>811</v>
      </c>
      <c r="U3476" s="569" t="s">
        <v>6213</v>
      </c>
      <c r="V3476" s="569">
        <v>116</v>
      </c>
      <c r="W3476" s="569">
        <v>26</v>
      </c>
      <c r="X3476" s="568">
        <v>7100</v>
      </c>
      <c r="Y3476" s="569">
        <v>18</v>
      </c>
      <c r="Z3476" s="581" t="s">
        <v>450</v>
      </c>
      <c r="AA3476" s="581" t="s">
        <v>178</v>
      </c>
      <c r="AB3476" s="585">
        <v>47160</v>
      </c>
      <c r="AC3476" s="585" t="s">
        <v>164</v>
      </c>
      <c r="AD3476" s="585">
        <v>38520</v>
      </c>
      <c r="AE3476" s="587">
        <v>7.1999999999999995E-2</v>
      </c>
      <c r="AF3476" s="661" t="str">
        <f t="shared" si="381"/>
        <v>2019-PPV-CHV-TAHO-007-17</v>
      </c>
      <c r="AG3476" s="661" t="str">
        <f>IF(AND($Y3476&gt;=32,(AI3476="I"),(Y3476&lt;&gt;"~"),(COUNTIF($AN$1:$AN3476,$AN3476)=1)),"TRUE","FALSE")</f>
        <v>FALSE</v>
      </c>
      <c r="AH3476" s="661" t="str">
        <f>IF(AND($Y3476&gt;=22, (AI3476&lt;&gt;"I"),(Y3476&lt;&gt;"~"),(COUNTIF($AN$1:$AN3476,$AN3476)=1)),"TRUE","FALSE")</f>
        <v>FALSE</v>
      </c>
      <c r="AI3476" s="661" t="str">
        <f t="shared" si="376"/>
        <v>II</v>
      </c>
      <c r="AJ3476" s="662" t="str">
        <f t="shared" si="377"/>
        <v>TAHO-007</v>
      </c>
      <c r="AK3476" s="662" t="str">
        <f t="shared" si="378"/>
        <v>PPV</v>
      </c>
      <c r="AL3476" s="662" t="str">
        <f t="shared" si="379"/>
        <v>CHV</v>
      </c>
      <c r="AM3476" s="662" t="str">
        <f t="shared" si="375"/>
        <v>Tahoe-PPV / 9C1-4WD-5-~-6400-5.3L-8-CK15706-1FL/9C1-116-26-E85-Unleaded</v>
      </c>
      <c r="AN3476" s="662" t="str">
        <f t="shared" si="380"/>
        <v>2019-PPV-CHV-TAHO-007</v>
      </c>
    </row>
    <row r="3477" spans="1:40" ht="15">
      <c r="A3477" s="570" t="s">
        <v>6215</v>
      </c>
      <c r="B3477" s="573" t="s">
        <v>6216</v>
      </c>
      <c r="C3477" s="573" t="s">
        <v>169</v>
      </c>
      <c r="D3477" s="578">
        <v>11</v>
      </c>
      <c r="E3477" s="573" t="s">
        <v>643</v>
      </c>
      <c r="F3477" s="573" t="s">
        <v>6211</v>
      </c>
      <c r="G3477" s="573" t="s">
        <v>153</v>
      </c>
      <c r="H3477" s="573">
        <v>2019</v>
      </c>
      <c r="I3477" s="573" t="s">
        <v>810</v>
      </c>
      <c r="J3477" s="573" t="s">
        <v>6212</v>
      </c>
      <c r="K3477" s="573" t="s">
        <v>236</v>
      </c>
      <c r="L3477" s="573">
        <v>5</v>
      </c>
      <c r="M3477" s="573">
        <v>0</v>
      </c>
      <c r="N3477" s="573" t="s">
        <v>157</v>
      </c>
      <c r="O3477" s="573">
        <v>2</v>
      </c>
      <c r="P3477" s="573" t="s">
        <v>157</v>
      </c>
      <c r="Q3477" s="571">
        <v>5000</v>
      </c>
      <c r="R3477" s="573" t="s">
        <v>753</v>
      </c>
      <c r="S3477" s="573">
        <v>8</v>
      </c>
      <c r="T3477" s="573" t="s">
        <v>820</v>
      </c>
      <c r="U3477" s="573" t="s">
        <v>6213</v>
      </c>
      <c r="V3477" s="573">
        <v>116</v>
      </c>
      <c r="W3477" s="573">
        <v>26</v>
      </c>
      <c r="X3477" s="571">
        <v>6800</v>
      </c>
      <c r="Y3477" s="573">
        <v>19</v>
      </c>
      <c r="Z3477" s="579" t="s">
        <v>450</v>
      </c>
      <c r="AA3477" s="579" t="s">
        <v>178</v>
      </c>
      <c r="AB3477" s="584">
        <v>44060</v>
      </c>
      <c r="AC3477" s="584" t="s">
        <v>164</v>
      </c>
      <c r="AD3477" s="584">
        <v>33189.166666666664</v>
      </c>
      <c r="AE3477" s="586">
        <v>0.05</v>
      </c>
      <c r="AF3477" s="661" t="str">
        <f t="shared" si="381"/>
        <v>2019-PPV-CHV-TAHO-008-11</v>
      </c>
      <c r="AG3477" s="661" t="str">
        <f>IF(AND($Y3477&gt;=32,(AI3477="I"),(Y3477&lt;&gt;"~"),(COUNTIF($AN$1:$AN3477,$AN3477)=1)),"TRUE","FALSE")</f>
        <v>FALSE</v>
      </c>
      <c r="AH3477" s="661" t="str">
        <f>IF(AND($Y3477&gt;=22, (AI3477&lt;&gt;"I"),(Y3477&lt;&gt;"~"),(COUNTIF($AN$1:$AN3477,$AN3477)=1)),"TRUE","FALSE")</f>
        <v>FALSE</v>
      </c>
      <c r="AI3477" s="661" t="str">
        <f t="shared" si="376"/>
        <v>II</v>
      </c>
      <c r="AJ3477" s="662" t="str">
        <f t="shared" si="377"/>
        <v>TAHO-008</v>
      </c>
      <c r="AK3477" s="662" t="str">
        <f t="shared" si="378"/>
        <v>PPV</v>
      </c>
      <c r="AL3477" s="662" t="str">
        <f t="shared" si="379"/>
        <v>CHV</v>
      </c>
      <c r="AM3477" s="662" t="str">
        <f t="shared" si="375"/>
        <v>Tahoe-PPV / 9C1-RWD-5-~-5000-5.3L-8-CC15706-1FL/9C1-116-26-E85-Unleaded</v>
      </c>
      <c r="AN3477" s="662" t="str">
        <f t="shared" si="380"/>
        <v>2019-PPV-CHV-TAHO-008</v>
      </c>
    </row>
    <row r="3478" spans="1:40" ht="15">
      <c r="A3478" s="570" t="s">
        <v>6217</v>
      </c>
      <c r="B3478" s="569" t="s">
        <v>6216</v>
      </c>
      <c r="C3478" s="569" t="s">
        <v>166</v>
      </c>
      <c r="D3478" s="580">
        <v>17</v>
      </c>
      <c r="E3478" s="569" t="s">
        <v>643</v>
      </c>
      <c r="F3478" s="569" t="s">
        <v>6211</v>
      </c>
      <c r="G3478" s="569" t="s">
        <v>153</v>
      </c>
      <c r="H3478" s="569">
        <v>2019</v>
      </c>
      <c r="I3478" s="569" t="s">
        <v>810</v>
      </c>
      <c r="J3478" s="569" t="s">
        <v>6212</v>
      </c>
      <c r="K3478" s="569" t="s">
        <v>236</v>
      </c>
      <c r="L3478" s="569">
        <v>5</v>
      </c>
      <c r="M3478" s="569">
        <v>0</v>
      </c>
      <c r="N3478" s="569" t="s">
        <v>157</v>
      </c>
      <c r="O3478" s="569">
        <v>2</v>
      </c>
      <c r="P3478" s="569" t="s">
        <v>157</v>
      </c>
      <c r="Q3478" s="568">
        <v>5000</v>
      </c>
      <c r="R3478" s="569" t="s">
        <v>753</v>
      </c>
      <c r="S3478" s="569">
        <v>8</v>
      </c>
      <c r="T3478" s="569" t="s">
        <v>820</v>
      </c>
      <c r="U3478" s="569" t="s">
        <v>6213</v>
      </c>
      <c r="V3478" s="569">
        <v>116</v>
      </c>
      <c r="W3478" s="569">
        <v>26</v>
      </c>
      <c r="X3478" s="568">
        <v>6800</v>
      </c>
      <c r="Y3478" s="569">
        <v>19</v>
      </c>
      <c r="Z3478" s="581" t="s">
        <v>450</v>
      </c>
      <c r="AA3478" s="581" t="s">
        <v>178</v>
      </c>
      <c r="AB3478" s="585">
        <v>44060</v>
      </c>
      <c r="AC3478" s="585" t="s">
        <v>164</v>
      </c>
      <c r="AD3478" s="585">
        <v>35744</v>
      </c>
      <c r="AE3478" s="587">
        <v>7.1999999999999995E-2</v>
      </c>
      <c r="AF3478" s="661" t="str">
        <f t="shared" si="381"/>
        <v>2019-PPV-CHV-TAHO-008-17</v>
      </c>
      <c r="AG3478" s="661" t="str">
        <f>IF(AND($Y3478&gt;=32,(AI3478="I"),(Y3478&lt;&gt;"~"),(COUNTIF($AN$1:$AN3478,$AN3478)=1)),"TRUE","FALSE")</f>
        <v>FALSE</v>
      </c>
      <c r="AH3478" s="661" t="str">
        <f>IF(AND($Y3478&gt;=22, (AI3478&lt;&gt;"I"),(Y3478&lt;&gt;"~"),(COUNTIF($AN$1:$AN3478,$AN3478)=1)),"TRUE","FALSE")</f>
        <v>FALSE</v>
      </c>
      <c r="AI3478" s="661" t="str">
        <f t="shared" si="376"/>
        <v>II</v>
      </c>
      <c r="AJ3478" s="662" t="str">
        <f t="shared" si="377"/>
        <v>TAHO-008</v>
      </c>
      <c r="AK3478" s="662" t="str">
        <f t="shared" si="378"/>
        <v>PPV</v>
      </c>
      <c r="AL3478" s="662" t="str">
        <f t="shared" si="379"/>
        <v>CHV</v>
      </c>
      <c r="AM3478" s="662" t="str">
        <f t="shared" si="375"/>
        <v>Tahoe-PPV / 9C1-RWD-5-~-5000-5.3L-8-CC15706-1FL/9C1-116-26-E85-Unleaded</v>
      </c>
      <c r="AN3478" s="662" t="str">
        <f t="shared" si="380"/>
        <v>2019-PPV-CHV-TAHO-008</v>
      </c>
    </row>
    <row r="3479" spans="1:40" ht="15">
      <c r="A3479" s="570" t="s">
        <v>6218</v>
      </c>
      <c r="B3479" s="573" t="s">
        <v>6219</v>
      </c>
      <c r="C3479" s="573" t="s">
        <v>226</v>
      </c>
      <c r="D3479" s="578" t="s">
        <v>227</v>
      </c>
      <c r="E3479" s="573" t="s">
        <v>643</v>
      </c>
      <c r="F3479" s="573" t="s">
        <v>6211</v>
      </c>
      <c r="G3479" s="573" t="s">
        <v>248</v>
      </c>
      <c r="H3479" s="573">
        <v>2019</v>
      </c>
      <c r="I3479" s="573" t="s">
        <v>895</v>
      </c>
      <c r="J3479" s="573" t="s">
        <v>6144</v>
      </c>
      <c r="K3479" s="573" t="s">
        <v>230</v>
      </c>
      <c r="L3479" s="573">
        <v>5</v>
      </c>
      <c r="M3479" s="573">
        <v>0</v>
      </c>
      <c r="N3479" s="573" t="s">
        <v>157</v>
      </c>
      <c r="O3479" s="573">
        <v>2</v>
      </c>
      <c r="P3479" s="573" t="s">
        <v>157</v>
      </c>
      <c r="Q3479" s="571">
        <v>6000</v>
      </c>
      <c r="R3479" s="573" t="s">
        <v>231</v>
      </c>
      <c r="S3479" s="573">
        <v>6</v>
      </c>
      <c r="T3479" s="573" t="s">
        <v>6145</v>
      </c>
      <c r="U3479" s="573" t="s">
        <v>6146</v>
      </c>
      <c r="V3479" s="573">
        <v>119.8</v>
      </c>
      <c r="W3479" s="573">
        <v>24.6</v>
      </c>
      <c r="X3479" s="571">
        <v>6500</v>
      </c>
      <c r="Y3479" s="573">
        <v>22</v>
      </c>
      <c r="Z3479" s="579" t="s">
        <v>178</v>
      </c>
      <c r="AA3479" s="579" t="s">
        <v>178</v>
      </c>
      <c r="AB3479" s="584">
        <v>35765</v>
      </c>
      <c r="AC3479" s="584" t="s">
        <v>164</v>
      </c>
      <c r="AD3479" s="584">
        <v>29597</v>
      </c>
      <c r="AE3479" s="586">
        <v>6.25E-2</v>
      </c>
      <c r="AF3479" s="661" t="str">
        <f t="shared" si="381"/>
        <v>2019-PPV-DOD-DURG-009-04</v>
      </c>
      <c r="AG3479" s="661" t="str">
        <f>IF(AND($Y3479&gt;=32,(AI3479="I"),(Y3479&lt;&gt;"~"),(COUNTIF($AN$1:$AN3479,$AN3479)=1)),"TRUE","FALSE")</f>
        <v>FALSE</v>
      </c>
      <c r="AH3479" s="661" t="str">
        <f>IF(AND($Y3479&gt;=22, (AI3479&lt;&gt;"I"),(Y3479&lt;&gt;"~"),(COUNTIF($AN$1:$AN3479,$AN3479)=1)),"TRUE","FALSE")</f>
        <v>TRUE</v>
      </c>
      <c r="AI3479" s="661" t="str">
        <f t="shared" si="376"/>
        <v>II</v>
      </c>
      <c r="AJ3479" s="662" t="str">
        <f t="shared" si="377"/>
        <v>DURG-009</v>
      </c>
      <c r="AK3479" s="662" t="str">
        <f t="shared" si="378"/>
        <v>PPV</v>
      </c>
      <c r="AL3479" s="662" t="str">
        <f t="shared" si="379"/>
        <v>DOD</v>
      </c>
      <c r="AM3479" s="662" t="str">
        <f t="shared" si="375"/>
        <v>Durango-PPV-AWD-5-~-6000-3.6L-6-WDEE75-2BZ-119.8-24.6-Unleaded-Unleaded</v>
      </c>
      <c r="AN3479" s="662" t="str">
        <f t="shared" si="380"/>
        <v>2019-PPV-DOD-DURG-009</v>
      </c>
    </row>
    <row r="3480" spans="1:40" ht="15">
      <c r="A3480" s="570" t="s">
        <v>6220</v>
      </c>
      <c r="B3480" s="569" t="s">
        <v>6221</v>
      </c>
      <c r="C3480" s="569" t="s">
        <v>226</v>
      </c>
      <c r="D3480" s="580" t="s">
        <v>227</v>
      </c>
      <c r="E3480" s="569" t="s">
        <v>643</v>
      </c>
      <c r="F3480" s="569" t="s">
        <v>6211</v>
      </c>
      <c r="G3480" s="569" t="s">
        <v>248</v>
      </c>
      <c r="H3480" s="569">
        <v>2019</v>
      </c>
      <c r="I3480" s="569" t="s">
        <v>895</v>
      </c>
      <c r="J3480" s="569" t="s">
        <v>6144</v>
      </c>
      <c r="K3480" s="569" t="s">
        <v>230</v>
      </c>
      <c r="L3480" s="569">
        <v>5</v>
      </c>
      <c r="M3480" s="569">
        <v>0</v>
      </c>
      <c r="N3480" s="569" t="s">
        <v>157</v>
      </c>
      <c r="O3480" s="569">
        <v>2</v>
      </c>
      <c r="P3480" s="569" t="s">
        <v>157</v>
      </c>
      <c r="Q3480" s="568">
        <v>6000</v>
      </c>
      <c r="R3480" s="569" t="s">
        <v>646</v>
      </c>
      <c r="S3480" s="569">
        <v>8</v>
      </c>
      <c r="T3480" s="569" t="s">
        <v>6145</v>
      </c>
      <c r="U3480" s="569" t="s">
        <v>6149</v>
      </c>
      <c r="V3480" s="569">
        <v>119.8</v>
      </c>
      <c r="W3480" s="569">
        <v>24.6</v>
      </c>
      <c r="X3480" s="568">
        <v>7100</v>
      </c>
      <c r="Y3480" s="569">
        <v>18</v>
      </c>
      <c r="Z3480" s="581" t="s">
        <v>178</v>
      </c>
      <c r="AA3480" s="581" t="s">
        <v>178</v>
      </c>
      <c r="AB3480" s="585">
        <v>38760</v>
      </c>
      <c r="AC3480" s="585" t="s">
        <v>164</v>
      </c>
      <c r="AD3480" s="585">
        <v>32501</v>
      </c>
      <c r="AE3480" s="587">
        <v>6.25E-2</v>
      </c>
      <c r="AF3480" s="661" t="str">
        <f t="shared" si="381"/>
        <v>2019-PPV-DOD-DURG-010-04</v>
      </c>
      <c r="AG3480" s="661" t="str">
        <f>IF(AND($Y3480&gt;=32,(AI3480="I"),(Y3480&lt;&gt;"~"),(COUNTIF($AN$1:$AN3480,$AN3480)=1)),"TRUE","FALSE")</f>
        <v>FALSE</v>
      </c>
      <c r="AH3480" s="661" t="str">
        <f>IF(AND($Y3480&gt;=22, (AI3480&lt;&gt;"I"),(Y3480&lt;&gt;"~"),(COUNTIF($AN$1:$AN3480,$AN3480)=1)),"TRUE","FALSE")</f>
        <v>FALSE</v>
      </c>
      <c r="AI3480" s="661" t="str">
        <f t="shared" si="376"/>
        <v>II</v>
      </c>
      <c r="AJ3480" s="662" t="str">
        <f t="shared" si="377"/>
        <v>DURG-010</v>
      </c>
      <c r="AK3480" s="662" t="str">
        <f t="shared" si="378"/>
        <v>PPV</v>
      </c>
      <c r="AL3480" s="662" t="str">
        <f t="shared" si="379"/>
        <v>DOD</v>
      </c>
      <c r="AM3480" s="662" t="str">
        <f t="shared" si="375"/>
        <v>Durango-PPV-AWD-5-~-6000-5.7L-8-WDEE75-22Z-119.8-24.6-Unleaded-Unleaded</v>
      </c>
      <c r="AN3480" s="662" t="str">
        <f t="shared" si="380"/>
        <v>2019-PPV-DOD-DURG-010</v>
      </c>
    </row>
    <row r="3481" spans="1:40" ht="30">
      <c r="A3481" s="570" t="s">
        <v>6222</v>
      </c>
      <c r="B3481" s="573" t="s">
        <v>6223</v>
      </c>
      <c r="C3481" s="573" t="s">
        <v>269</v>
      </c>
      <c r="D3481" s="578" t="s">
        <v>270</v>
      </c>
      <c r="E3481" s="573" t="s">
        <v>643</v>
      </c>
      <c r="F3481" s="573" t="s">
        <v>6224</v>
      </c>
      <c r="G3481" s="573" t="s">
        <v>271</v>
      </c>
      <c r="H3481" s="573">
        <v>2019</v>
      </c>
      <c r="I3481" s="573" t="s">
        <v>3765</v>
      </c>
      <c r="J3481" s="573" t="s">
        <v>6225</v>
      </c>
      <c r="K3481" s="573" t="s">
        <v>752</v>
      </c>
      <c r="L3481" s="573">
        <v>5</v>
      </c>
      <c r="M3481" s="573">
        <v>0</v>
      </c>
      <c r="N3481" s="573" t="s">
        <v>157</v>
      </c>
      <c r="O3481" s="573">
        <v>2</v>
      </c>
      <c r="P3481" s="573" t="s">
        <v>3767</v>
      </c>
      <c r="Q3481" s="571">
        <v>7100</v>
      </c>
      <c r="R3481" s="573" t="s">
        <v>1259</v>
      </c>
      <c r="S3481" s="573">
        <v>6</v>
      </c>
      <c r="T3481" s="573" t="s">
        <v>6226</v>
      </c>
      <c r="U3481" s="573" t="s">
        <v>392</v>
      </c>
      <c r="V3481" s="573">
        <v>145</v>
      </c>
      <c r="W3481" s="573">
        <v>26</v>
      </c>
      <c r="X3481" s="571">
        <v>7000</v>
      </c>
      <c r="Y3481" s="573">
        <v>18</v>
      </c>
      <c r="Z3481" s="579" t="s">
        <v>178</v>
      </c>
      <c r="AA3481" s="579" t="s">
        <v>178</v>
      </c>
      <c r="AB3481" s="584">
        <v>44450</v>
      </c>
      <c r="AC3481" s="584" t="s">
        <v>164</v>
      </c>
      <c r="AD3481" s="584">
        <v>34758.610526315788</v>
      </c>
      <c r="AE3481" s="586">
        <v>0.03</v>
      </c>
      <c r="AF3481" s="661" t="str">
        <f t="shared" si="381"/>
        <v>2019-PPV-FRD-F150-019-05</v>
      </c>
      <c r="AG3481" s="661" t="str">
        <f>IF(AND($Y3481&gt;=32,(AI3481="I"),(Y3481&lt;&gt;"~"),(COUNTIF($AN$1:$AN3481,$AN3481)=1)),"TRUE","FALSE")</f>
        <v>FALSE</v>
      </c>
      <c r="AH3481" s="661" t="str">
        <f>IF(AND($Y3481&gt;=22, (AI3481&lt;&gt;"I"),(Y3481&lt;&gt;"~"),(COUNTIF($AN$1:$AN3481,$AN3481)=1)),"TRUE","FALSE")</f>
        <v>FALSE</v>
      </c>
      <c r="AI3481" s="661" t="str">
        <f t="shared" si="376"/>
        <v>II</v>
      </c>
      <c r="AJ3481" s="662" t="str">
        <f t="shared" si="377"/>
        <v>F150-019</v>
      </c>
      <c r="AK3481" s="662" t="str">
        <f t="shared" si="378"/>
        <v>PPV</v>
      </c>
      <c r="AL3481" s="662" t="str">
        <f t="shared" si="379"/>
        <v>FRD</v>
      </c>
      <c r="AM3481" s="662" t="str">
        <f t="shared" si="375"/>
        <v>F150-Police Responder Supercrew-4WD-5-5'5"-7100-3.5L EcoBoost-6-W1P-150A-145-26-Unleaded-Unleaded</v>
      </c>
      <c r="AN3481" s="662" t="str">
        <f t="shared" si="380"/>
        <v>2019-PPV-FRD-F150-019</v>
      </c>
    </row>
    <row r="3482" spans="1:40" ht="30">
      <c r="A3482" s="570" t="s">
        <v>6227</v>
      </c>
      <c r="B3482" s="569" t="s">
        <v>6228</v>
      </c>
      <c r="C3482" s="569" t="s">
        <v>278</v>
      </c>
      <c r="D3482" s="580">
        <v>15</v>
      </c>
      <c r="E3482" s="569" t="s">
        <v>643</v>
      </c>
      <c r="F3482" s="569" t="s">
        <v>6224</v>
      </c>
      <c r="G3482" s="569" t="s">
        <v>271</v>
      </c>
      <c r="H3482" s="569">
        <v>2019</v>
      </c>
      <c r="I3482" s="569" t="s">
        <v>3765</v>
      </c>
      <c r="J3482" s="569" t="s">
        <v>6225</v>
      </c>
      <c r="K3482" s="569" t="s">
        <v>752</v>
      </c>
      <c r="L3482" s="569">
        <v>5</v>
      </c>
      <c r="M3482" s="569">
        <v>0</v>
      </c>
      <c r="N3482" s="569" t="s">
        <v>157</v>
      </c>
      <c r="O3482" s="569">
        <v>2</v>
      </c>
      <c r="P3482" s="569" t="s">
        <v>3767</v>
      </c>
      <c r="Q3482" s="568">
        <v>7100</v>
      </c>
      <c r="R3482" s="569" t="s">
        <v>1259</v>
      </c>
      <c r="S3482" s="569">
        <v>6</v>
      </c>
      <c r="T3482" s="569" t="s">
        <v>6226</v>
      </c>
      <c r="U3482" s="569" t="s">
        <v>392</v>
      </c>
      <c r="V3482" s="569">
        <v>145</v>
      </c>
      <c r="W3482" s="569">
        <v>26</v>
      </c>
      <c r="X3482" s="568">
        <v>7000</v>
      </c>
      <c r="Y3482" s="569">
        <v>18</v>
      </c>
      <c r="Z3482" s="581" t="s">
        <v>666</v>
      </c>
      <c r="AA3482" s="581" t="s">
        <v>178</v>
      </c>
      <c r="AB3482" s="585">
        <v>44450</v>
      </c>
      <c r="AC3482" s="585" t="s">
        <v>164</v>
      </c>
      <c r="AD3482" s="585">
        <v>34950</v>
      </c>
      <c r="AE3482" s="587">
        <v>0.01</v>
      </c>
      <c r="AF3482" s="661" t="str">
        <f t="shared" si="381"/>
        <v>2019-PPV-FRD-F150-018-15</v>
      </c>
      <c r="AG3482" s="661" t="str">
        <f>IF(AND($Y3482&gt;=32,(AI3482="I"),(Y3482&lt;&gt;"~"),(COUNTIF($AN$1:$AN3482,$AN3482)=1)),"TRUE","FALSE")</f>
        <v>FALSE</v>
      </c>
      <c r="AH3482" s="661" t="str">
        <f>IF(AND($Y3482&gt;=22, (AI3482&lt;&gt;"I"),(Y3482&lt;&gt;"~"),(COUNTIF($AN$1:$AN3482,$AN3482)=1)),"TRUE","FALSE")</f>
        <v>FALSE</v>
      </c>
      <c r="AI3482" s="661" t="str">
        <f t="shared" si="376"/>
        <v>II</v>
      </c>
      <c r="AJ3482" s="662" t="str">
        <f t="shared" si="377"/>
        <v>F150-018</v>
      </c>
      <c r="AK3482" s="662" t="str">
        <f t="shared" si="378"/>
        <v>PPV</v>
      </c>
      <c r="AL3482" s="662" t="str">
        <f t="shared" si="379"/>
        <v>FRD</v>
      </c>
      <c r="AM3482" s="662" t="str">
        <f t="shared" si="375"/>
        <v>F150-Police Responder Supercrew-4WD-5-5'5"-7100-3.5L EcoBoost-6-W1P-150A-145-26-Unleaded -Unleaded</v>
      </c>
      <c r="AN3482" s="662" t="str">
        <f t="shared" si="380"/>
        <v>2019-PPV-FRD-F150-018</v>
      </c>
    </row>
    <row r="3483" spans="1:40" ht="30">
      <c r="A3483" s="570" t="s">
        <v>6229</v>
      </c>
      <c r="B3483" s="573" t="s">
        <v>6230</v>
      </c>
      <c r="C3483" s="573" t="s">
        <v>287</v>
      </c>
      <c r="D3483" s="578">
        <v>26</v>
      </c>
      <c r="E3483" s="573" t="s">
        <v>643</v>
      </c>
      <c r="F3483" s="573" t="s">
        <v>6224</v>
      </c>
      <c r="G3483" s="573" t="s">
        <v>271</v>
      </c>
      <c r="H3483" s="573">
        <v>2019</v>
      </c>
      <c r="I3483" s="573" t="s">
        <v>3765</v>
      </c>
      <c r="J3483" s="573" t="s">
        <v>6225</v>
      </c>
      <c r="K3483" s="573" t="s">
        <v>752</v>
      </c>
      <c r="L3483" s="573">
        <v>5</v>
      </c>
      <c r="M3483" s="573">
        <v>0</v>
      </c>
      <c r="N3483" s="573" t="s">
        <v>157</v>
      </c>
      <c r="O3483" s="573">
        <v>2</v>
      </c>
      <c r="P3483" s="573" t="s">
        <v>3767</v>
      </c>
      <c r="Q3483" s="571">
        <v>7100</v>
      </c>
      <c r="R3483" s="573" t="s">
        <v>1259</v>
      </c>
      <c r="S3483" s="573">
        <v>6</v>
      </c>
      <c r="T3483" s="573" t="s">
        <v>6226</v>
      </c>
      <c r="U3483" s="573" t="s">
        <v>392</v>
      </c>
      <c r="V3483" s="573">
        <v>145</v>
      </c>
      <c r="W3483" s="573">
        <v>23</v>
      </c>
      <c r="X3483" s="571">
        <v>7000</v>
      </c>
      <c r="Y3483" s="573">
        <v>18</v>
      </c>
      <c r="Z3483" s="579" t="s">
        <v>178</v>
      </c>
      <c r="AA3483" s="579" t="s">
        <v>178</v>
      </c>
      <c r="AB3483" s="584">
        <v>44450</v>
      </c>
      <c r="AC3483" s="584" t="s">
        <v>164</v>
      </c>
      <c r="AD3483" s="584">
        <v>35372</v>
      </c>
      <c r="AE3483" s="586">
        <v>0.05</v>
      </c>
      <c r="AF3483" s="661" t="str">
        <f t="shared" si="381"/>
        <v>2019-PPV-FRD-F150-017-26</v>
      </c>
      <c r="AG3483" s="661" t="str">
        <f>IF(AND($Y3483&gt;=32,(AI3483="I"),(Y3483&lt;&gt;"~"),(COUNTIF($AN$1:$AN3483,$AN3483)=1)),"TRUE","FALSE")</f>
        <v>FALSE</v>
      </c>
      <c r="AH3483" s="661" t="str">
        <f>IF(AND($Y3483&gt;=22, (AI3483&lt;&gt;"I"),(Y3483&lt;&gt;"~"),(COUNTIF($AN$1:$AN3483,$AN3483)=1)),"TRUE","FALSE")</f>
        <v>FALSE</v>
      </c>
      <c r="AI3483" s="661" t="str">
        <f t="shared" si="376"/>
        <v>II</v>
      </c>
      <c r="AJ3483" s="662" t="str">
        <f t="shared" si="377"/>
        <v>F150-017</v>
      </c>
      <c r="AK3483" s="662" t="str">
        <f t="shared" si="378"/>
        <v>PPV</v>
      </c>
      <c r="AL3483" s="662" t="str">
        <f t="shared" si="379"/>
        <v>FRD</v>
      </c>
      <c r="AM3483" s="662" t="str">
        <f t="shared" ref="AM3483:AM3508" si="382">CONCATENATE(I3483,"-",J3483,"-",K3483,"-",L3483,"-",P3483,"-",Q3483,"-",R3483,"-",S3483,"-",T3483,"-",U3483,"-",V3483,"-",W3483,"-",Z3483,"-",AA3483)</f>
        <v>F150-Police Responder Supercrew-4WD-5-5'5"-7100-3.5L EcoBoost-6-W1P-150A-145-23-Unleaded-Unleaded</v>
      </c>
      <c r="AN3483" s="662" t="str">
        <f t="shared" si="380"/>
        <v>2019-PPV-FRD-F150-017</v>
      </c>
    </row>
    <row r="3484" spans="1:40" ht="30">
      <c r="A3484" s="570" t="s">
        <v>6231</v>
      </c>
      <c r="B3484" s="569" t="s">
        <v>6223</v>
      </c>
      <c r="C3484" s="569" t="s">
        <v>280</v>
      </c>
      <c r="D3484" s="580">
        <v>27</v>
      </c>
      <c r="E3484" s="569" t="s">
        <v>643</v>
      </c>
      <c r="F3484" s="569" t="s">
        <v>6224</v>
      </c>
      <c r="G3484" s="569" t="s">
        <v>271</v>
      </c>
      <c r="H3484" s="569">
        <v>2019</v>
      </c>
      <c r="I3484" s="569" t="s">
        <v>3765</v>
      </c>
      <c r="J3484" s="569" t="s">
        <v>6225</v>
      </c>
      <c r="K3484" s="569" t="s">
        <v>752</v>
      </c>
      <c r="L3484" s="569">
        <v>5</v>
      </c>
      <c r="M3484" s="569">
        <v>0</v>
      </c>
      <c r="N3484" s="569" t="s">
        <v>157</v>
      </c>
      <c r="O3484" s="569">
        <v>2</v>
      </c>
      <c r="P3484" s="569" t="s">
        <v>3767</v>
      </c>
      <c r="Q3484" s="568">
        <v>7100</v>
      </c>
      <c r="R3484" s="569" t="s">
        <v>1259</v>
      </c>
      <c r="S3484" s="569">
        <v>6</v>
      </c>
      <c r="T3484" s="569" t="s">
        <v>6226</v>
      </c>
      <c r="U3484" s="569" t="s">
        <v>392</v>
      </c>
      <c r="V3484" s="569">
        <v>145</v>
      </c>
      <c r="W3484" s="569">
        <v>26</v>
      </c>
      <c r="X3484" s="568">
        <v>7000</v>
      </c>
      <c r="Y3484" s="569">
        <v>18</v>
      </c>
      <c r="Z3484" s="581" t="s">
        <v>178</v>
      </c>
      <c r="AA3484" s="581" t="s">
        <v>178</v>
      </c>
      <c r="AB3484" s="585">
        <v>44450</v>
      </c>
      <c r="AC3484" s="585" t="s">
        <v>164</v>
      </c>
      <c r="AD3484" s="585">
        <v>34758.610526315788</v>
      </c>
      <c r="AE3484" s="587">
        <v>0.03</v>
      </c>
      <c r="AF3484" s="661" t="str">
        <f t="shared" si="381"/>
        <v>2019-PPV-FRD-F150-019-27</v>
      </c>
      <c r="AG3484" s="661" t="str">
        <f>IF(AND($Y3484&gt;=32,(AI3484="I"),(Y3484&lt;&gt;"~"),(COUNTIF($AN$1:$AN3484,$AN3484)=1)),"TRUE","FALSE")</f>
        <v>FALSE</v>
      </c>
      <c r="AH3484" s="661" t="str">
        <f>IF(AND($Y3484&gt;=22, (AI3484&lt;&gt;"I"),(Y3484&lt;&gt;"~"),(COUNTIF($AN$1:$AN3484,$AN3484)=1)),"TRUE","FALSE")</f>
        <v>FALSE</v>
      </c>
      <c r="AI3484" s="661" t="str">
        <f t="shared" ref="AI3484:AI3512" si="383">IF(OR((LEFT($E3484,2)="01"),AND(LEFT($E3484,2)="06",ISNUMBER(SEARCH("pas",$F3484))),AND(LEFT($E3484,2)="05",ISNUMBER(SEARCH("pas",$F3484)))),"I",IF(AND((LEFT($E3484,2)&lt;&gt;"01"),$X3484&lt;=10000),"II",IF(AND((LEFT($E3484,2)&lt;&gt;"01"),$X3484&gt;10000),"N/A")))</f>
        <v>II</v>
      </c>
      <c r="AJ3484" s="662" t="str">
        <f t="shared" si="377"/>
        <v>F150-019</v>
      </c>
      <c r="AK3484" s="662" t="str">
        <f t="shared" si="378"/>
        <v>PPV</v>
      </c>
      <c r="AL3484" s="662" t="str">
        <f t="shared" si="379"/>
        <v>FRD</v>
      </c>
      <c r="AM3484" s="662" t="str">
        <f t="shared" si="382"/>
        <v>F150-Police Responder Supercrew-4WD-5-5'5"-7100-3.5L EcoBoost-6-W1P-150A-145-26-Unleaded-Unleaded</v>
      </c>
      <c r="AN3484" s="662" t="str">
        <f t="shared" si="380"/>
        <v>2019-PPV-FRD-F150-019</v>
      </c>
    </row>
    <row r="3485" spans="1:40" ht="30">
      <c r="A3485" s="570" t="s">
        <v>6232</v>
      </c>
      <c r="B3485" s="573" t="s">
        <v>659</v>
      </c>
      <c r="C3485" s="573" t="s">
        <v>269</v>
      </c>
      <c r="D3485" s="578" t="s">
        <v>270</v>
      </c>
      <c r="E3485" s="573" t="s">
        <v>643</v>
      </c>
      <c r="F3485" s="573" t="s">
        <v>6224</v>
      </c>
      <c r="G3485" s="573" t="s">
        <v>271</v>
      </c>
      <c r="H3485" s="573">
        <v>2019</v>
      </c>
      <c r="I3485" s="573" t="s">
        <v>350</v>
      </c>
      <c r="J3485" s="573" t="s">
        <v>661</v>
      </c>
      <c r="K3485" s="573" t="s">
        <v>156</v>
      </c>
      <c r="L3485" s="573">
        <v>5</v>
      </c>
      <c r="M3485" s="573">
        <v>0</v>
      </c>
      <c r="N3485" s="573" t="s">
        <v>157</v>
      </c>
      <c r="O3485" s="573">
        <v>2</v>
      </c>
      <c r="P3485" s="573" t="s">
        <v>157</v>
      </c>
      <c r="Q3485" s="571" t="s">
        <v>157</v>
      </c>
      <c r="R3485" s="573" t="s">
        <v>352</v>
      </c>
      <c r="S3485" s="573">
        <v>4</v>
      </c>
      <c r="T3485" s="573" t="s">
        <v>662</v>
      </c>
      <c r="U3485" s="573" t="s">
        <v>663</v>
      </c>
      <c r="V3485" s="573">
        <v>112.2</v>
      </c>
      <c r="W3485" s="573">
        <v>14</v>
      </c>
      <c r="X3485" s="571">
        <v>3630</v>
      </c>
      <c r="Y3485" s="573">
        <v>40</v>
      </c>
      <c r="Z3485" s="579" t="s">
        <v>666</v>
      </c>
      <c r="AA3485" s="579" t="s">
        <v>163</v>
      </c>
      <c r="AB3485" s="584">
        <v>30930</v>
      </c>
      <c r="AC3485" s="584" t="s">
        <v>164</v>
      </c>
      <c r="AD3485" s="584">
        <v>28065</v>
      </c>
      <c r="AE3485" s="586">
        <v>0.03</v>
      </c>
      <c r="AF3485" s="661" t="str">
        <f t="shared" si="381"/>
        <v>2019-PPV-FRD-FUSN-003-05</v>
      </c>
      <c r="AG3485" s="661" t="str">
        <f>IF(AND($Y3485&gt;=32,(AI3485="I"),(Y3485&lt;&gt;"~"),(COUNTIF($AN$1:$AN3485,$AN3485)=1)),"TRUE","FALSE")</f>
        <v>FALSE</v>
      </c>
      <c r="AH3485" s="661" t="str">
        <f>IF(AND($Y3485&gt;=22, (AI3485&lt;&gt;"I"),(Y3485&lt;&gt;"~"),(COUNTIF($AN$1:$AN3485,$AN3485)=1)),"TRUE","FALSE")</f>
        <v>FALSE</v>
      </c>
      <c r="AI3485" s="661" t="str">
        <f t="shared" si="383"/>
        <v>II</v>
      </c>
      <c r="AJ3485" s="662" t="str">
        <f t="shared" si="377"/>
        <v>FUSN-003</v>
      </c>
      <c r="AK3485" s="662" t="str">
        <f t="shared" si="378"/>
        <v>PPV</v>
      </c>
      <c r="AL3485" s="662" t="str">
        <f t="shared" si="379"/>
        <v>FRD</v>
      </c>
      <c r="AM3485" s="662" t="str">
        <f t="shared" si="382"/>
        <v>Fusion-Police Responder Hybrid Sedan-FWD-5-~-~-2.0L-4-P0A-430A-112.2-14-Unleaded -Electric</v>
      </c>
      <c r="AN3485" s="662" t="str">
        <f t="shared" si="380"/>
        <v>2019-PPV-FRD-FUSN-003</v>
      </c>
    </row>
    <row r="3486" spans="1:40" ht="15">
      <c r="A3486" s="570" t="s">
        <v>6233</v>
      </c>
      <c r="B3486" s="569" t="s">
        <v>6234</v>
      </c>
      <c r="C3486" s="569" t="s">
        <v>269</v>
      </c>
      <c r="D3486" s="580" t="s">
        <v>270</v>
      </c>
      <c r="E3486" s="569" t="s">
        <v>643</v>
      </c>
      <c r="F3486" s="569" t="s">
        <v>6235</v>
      </c>
      <c r="G3486" s="569" t="s">
        <v>271</v>
      </c>
      <c r="H3486" s="569">
        <v>2020</v>
      </c>
      <c r="I3486" s="569" t="s">
        <v>6236</v>
      </c>
      <c r="J3486" s="569" t="s">
        <v>675</v>
      </c>
      <c r="K3486" s="569" t="s">
        <v>230</v>
      </c>
      <c r="L3486" s="569">
        <v>5</v>
      </c>
      <c r="M3486" s="569">
        <v>0</v>
      </c>
      <c r="N3486" s="569" t="s">
        <v>157</v>
      </c>
      <c r="O3486" s="569">
        <v>2</v>
      </c>
      <c r="P3486" s="569" t="s">
        <v>157</v>
      </c>
      <c r="Q3486" s="568" t="s">
        <v>157</v>
      </c>
      <c r="R3486" s="569" t="s">
        <v>6237</v>
      </c>
      <c r="S3486" s="569">
        <v>6</v>
      </c>
      <c r="T3486" s="569" t="s">
        <v>6238</v>
      </c>
      <c r="U3486" s="569" t="s">
        <v>677</v>
      </c>
      <c r="V3486" s="569">
        <v>113</v>
      </c>
      <c r="W3486" s="569">
        <v>19</v>
      </c>
      <c r="X3486" s="568">
        <v>4371</v>
      </c>
      <c r="Y3486" s="569">
        <v>18</v>
      </c>
      <c r="Z3486" s="581" t="s">
        <v>666</v>
      </c>
      <c r="AA3486" s="581" t="s">
        <v>666</v>
      </c>
      <c r="AB3486" s="585">
        <v>42400</v>
      </c>
      <c r="AC3486" s="585" t="s">
        <v>164</v>
      </c>
      <c r="AD3486" s="585">
        <v>37037.854166666664</v>
      </c>
      <c r="AE3486" s="587">
        <v>0.03</v>
      </c>
      <c r="AF3486" s="661" t="str">
        <f t="shared" si="381"/>
        <v>2020-PPV-FRD-PIUT-003-05</v>
      </c>
      <c r="AG3486" s="661" t="str">
        <f>IF(AND($Y3486&gt;=32,(AI3486="I"),(Y3486&lt;&gt;"~"),(COUNTIF($AN$1:$AN3486,$AN3486)=1)),"TRUE","FALSE")</f>
        <v>FALSE</v>
      </c>
      <c r="AH3486" s="661" t="str">
        <f>IF(AND($Y3486&gt;=22, (AI3486&lt;&gt;"I"),(Y3486&lt;&gt;"~"),(COUNTIF($AN$1:$AN3486,$AN3486)=1)),"TRUE","FALSE")</f>
        <v>FALSE</v>
      </c>
      <c r="AI3486" s="661" t="str">
        <f t="shared" si="383"/>
        <v>II</v>
      </c>
      <c r="AJ3486" s="662" t="str">
        <f t="shared" si="377"/>
        <v>PIUT-003</v>
      </c>
      <c r="AK3486" s="662" t="str">
        <f t="shared" si="378"/>
        <v>PPV</v>
      </c>
      <c r="AL3486" s="662" t="str">
        <f t="shared" si="379"/>
        <v>FRD</v>
      </c>
      <c r="AM3486" s="662" t="str">
        <f t="shared" si="382"/>
        <v xml:space="preserve">PI Utility-Ecoboost-AWD-5-~-~-3.0L-6-K8A,99C-500A-113-19-Unleaded -Unleaded </v>
      </c>
      <c r="AN3486" s="662" t="str">
        <f t="shared" si="380"/>
        <v>2020-PPV-FRD-PIUT-003</v>
      </c>
    </row>
    <row r="3487" spans="1:40" ht="15">
      <c r="A3487" s="570" t="s">
        <v>6233</v>
      </c>
      <c r="B3487" s="573" t="s">
        <v>6234</v>
      </c>
      <c r="C3487" s="573" t="s">
        <v>269</v>
      </c>
      <c r="D3487" s="578" t="s">
        <v>270</v>
      </c>
      <c r="E3487" s="573" t="s">
        <v>643</v>
      </c>
      <c r="F3487" s="573" t="s">
        <v>6235</v>
      </c>
      <c r="G3487" s="573" t="s">
        <v>271</v>
      </c>
      <c r="H3487" s="573">
        <v>2020</v>
      </c>
      <c r="I3487" s="573" t="s">
        <v>6236</v>
      </c>
      <c r="J3487" s="573" t="s">
        <v>675</v>
      </c>
      <c r="K3487" s="573" t="s">
        <v>230</v>
      </c>
      <c r="L3487" s="573">
        <v>5</v>
      </c>
      <c r="M3487" s="573">
        <v>0</v>
      </c>
      <c r="N3487" s="573" t="s">
        <v>157</v>
      </c>
      <c r="O3487" s="573">
        <v>2</v>
      </c>
      <c r="P3487" s="573" t="s">
        <v>157</v>
      </c>
      <c r="Q3487" s="571" t="s">
        <v>157</v>
      </c>
      <c r="R3487" s="573" t="s">
        <v>6237</v>
      </c>
      <c r="S3487" s="573">
        <v>6</v>
      </c>
      <c r="T3487" s="573" t="s">
        <v>6238</v>
      </c>
      <c r="U3487" s="573" t="s">
        <v>677</v>
      </c>
      <c r="V3487" s="573">
        <v>113</v>
      </c>
      <c r="W3487" s="573">
        <v>19</v>
      </c>
      <c r="X3487" s="571">
        <v>4371</v>
      </c>
      <c r="Y3487" s="573">
        <v>18</v>
      </c>
      <c r="Z3487" s="579" t="s">
        <v>178</v>
      </c>
      <c r="AA3487" s="579" t="s">
        <v>178</v>
      </c>
      <c r="AB3487" s="584">
        <v>42400</v>
      </c>
      <c r="AC3487" s="584" t="s">
        <v>164</v>
      </c>
      <c r="AD3487" s="584">
        <v>37037.854166666664</v>
      </c>
      <c r="AE3487" s="586">
        <v>0.03</v>
      </c>
      <c r="AF3487" s="661" t="str">
        <f t="shared" si="381"/>
        <v>2020-PPV-FRD-PIUT-003-05</v>
      </c>
      <c r="AG3487" s="661" t="str">
        <f>IF(AND($Y3487&gt;=32,(AI3487="I"),(Y3487&lt;&gt;"~"),(COUNTIF($AN$1:$AN3487,$AN3487)=1)),"TRUE","FALSE")</f>
        <v>FALSE</v>
      </c>
      <c r="AH3487" s="661" t="str">
        <f>IF(AND($Y3487&gt;=22, (AI3487&lt;&gt;"I"),(Y3487&lt;&gt;"~"),(COUNTIF($AN$1:$AN3487,$AN3487)=1)),"TRUE","FALSE")</f>
        <v>FALSE</v>
      </c>
      <c r="AI3487" s="661" t="str">
        <f t="shared" si="383"/>
        <v>II</v>
      </c>
      <c r="AJ3487" s="662" t="str">
        <f t="shared" si="377"/>
        <v>PIUT-003</v>
      </c>
      <c r="AK3487" s="662" t="str">
        <f t="shared" si="378"/>
        <v>PPV</v>
      </c>
      <c r="AL3487" s="662" t="str">
        <f t="shared" si="379"/>
        <v>FRD</v>
      </c>
      <c r="AM3487" s="662" t="str">
        <f t="shared" si="382"/>
        <v>PI Utility-Ecoboost-AWD-5-~-~-3.0L-6-K8A,99C-500A-113-19-Unleaded-Unleaded</v>
      </c>
      <c r="AN3487" s="662" t="str">
        <f t="shared" si="380"/>
        <v>2020-PPV-FRD-PIUT-003</v>
      </c>
    </row>
    <row r="3488" spans="1:40" ht="15">
      <c r="A3488" s="570" t="s">
        <v>6239</v>
      </c>
      <c r="B3488" s="569" t="s">
        <v>6234</v>
      </c>
      <c r="C3488" s="569" t="s">
        <v>278</v>
      </c>
      <c r="D3488" s="580">
        <v>15</v>
      </c>
      <c r="E3488" s="569" t="s">
        <v>643</v>
      </c>
      <c r="F3488" s="569" t="s">
        <v>6235</v>
      </c>
      <c r="G3488" s="569" t="s">
        <v>271</v>
      </c>
      <c r="H3488" s="569">
        <v>2020</v>
      </c>
      <c r="I3488" s="569" t="s">
        <v>6236</v>
      </c>
      <c r="J3488" s="569" t="s">
        <v>675</v>
      </c>
      <c r="K3488" s="569" t="s">
        <v>230</v>
      </c>
      <c r="L3488" s="569">
        <v>5</v>
      </c>
      <c r="M3488" s="569">
        <v>0</v>
      </c>
      <c r="N3488" s="569" t="s">
        <v>157</v>
      </c>
      <c r="O3488" s="569">
        <v>2</v>
      </c>
      <c r="P3488" s="569" t="s">
        <v>157</v>
      </c>
      <c r="Q3488" s="568" t="s">
        <v>157</v>
      </c>
      <c r="R3488" s="569" t="s">
        <v>6240</v>
      </c>
      <c r="S3488" s="569">
        <v>6</v>
      </c>
      <c r="T3488" s="569" t="s">
        <v>6238</v>
      </c>
      <c r="U3488" s="569" t="s">
        <v>677</v>
      </c>
      <c r="V3488" s="569">
        <v>112.6</v>
      </c>
      <c r="W3488" s="569">
        <v>18.600000000000001</v>
      </c>
      <c r="X3488" s="568">
        <v>4371</v>
      </c>
      <c r="Y3488" s="569">
        <v>18</v>
      </c>
      <c r="Z3488" s="581" t="s">
        <v>666</v>
      </c>
      <c r="AA3488" s="581" t="s">
        <v>666</v>
      </c>
      <c r="AB3488" s="585">
        <v>42400</v>
      </c>
      <c r="AC3488" s="585" t="s">
        <v>164</v>
      </c>
      <c r="AD3488" s="585">
        <v>37550</v>
      </c>
      <c r="AE3488" s="587">
        <v>0.01</v>
      </c>
      <c r="AF3488" s="661" t="str">
        <f t="shared" si="381"/>
        <v>2020-PPV-FRD-PIUT-003-15</v>
      </c>
      <c r="AG3488" s="661" t="str">
        <f>IF(AND($Y3488&gt;=32,(AI3488="I"),(Y3488&lt;&gt;"~"),(COUNTIF($AN$1:$AN3488,$AN3488)=1)),"TRUE","FALSE")</f>
        <v>FALSE</v>
      </c>
      <c r="AH3488" s="661" t="str">
        <f>IF(AND($Y3488&gt;=22, (AI3488&lt;&gt;"I"),(Y3488&lt;&gt;"~"),(COUNTIF($AN$1:$AN3488,$AN3488)=1)),"TRUE","FALSE")</f>
        <v>FALSE</v>
      </c>
      <c r="AI3488" s="661" t="str">
        <f t="shared" si="383"/>
        <v>II</v>
      </c>
      <c r="AJ3488" s="662" t="str">
        <f t="shared" si="377"/>
        <v>PIUT-003</v>
      </c>
      <c r="AK3488" s="662" t="str">
        <f t="shared" si="378"/>
        <v>PPV</v>
      </c>
      <c r="AL3488" s="662" t="str">
        <f t="shared" si="379"/>
        <v>FRD</v>
      </c>
      <c r="AM3488" s="662" t="str">
        <f t="shared" si="382"/>
        <v xml:space="preserve">PI Utility-Ecoboost-AWD-5-~-~-3.0L Ecoboost-6-K8A,99C-500A-112.6-18.6-Unleaded -Unleaded </v>
      </c>
      <c r="AN3488" s="662" t="str">
        <f t="shared" si="380"/>
        <v>2020-PPV-FRD-PIUT-003</v>
      </c>
    </row>
    <row r="3489" spans="1:40" ht="15">
      <c r="A3489" s="570" t="s">
        <v>6241</v>
      </c>
      <c r="B3489" s="573" t="s">
        <v>6242</v>
      </c>
      <c r="C3489" s="573" t="s">
        <v>287</v>
      </c>
      <c r="D3489" s="578">
        <v>26</v>
      </c>
      <c r="E3489" s="573" t="s">
        <v>643</v>
      </c>
      <c r="F3489" s="573" t="s">
        <v>6235</v>
      </c>
      <c r="G3489" s="573" t="s">
        <v>271</v>
      </c>
      <c r="H3489" s="573">
        <v>2019</v>
      </c>
      <c r="I3489" s="573" t="s">
        <v>6236</v>
      </c>
      <c r="J3489" s="573" t="s">
        <v>675</v>
      </c>
      <c r="K3489" s="573" t="s">
        <v>230</v>
      </c>
      <c r="L3489" s="573">
        <v>5</v>
      </c>
      <c r="M3489" s="573">
        <v>0</v>
      </c>
      <c r="N3489" s="573" t="s">
        <v>157</v>
      </c>
      <c r="O3489" s="573">
        <v>2</v>
      </c>
      <c r="P3489" s="573" t="s">
        <v>157</v>
      </c>
      <c r="Q3489" s="571" t="s">
        <v>157</v>
      </c>
      <c r="R3489" s="573" t="s">
        <v>316</v>
      </c>
      <c r="S3489" s="573">
        <v>6</v>
      </c>
      <c r="T3489" s="573" t="s">
        <v>6243</v>
      </c>
      <c r="U3489" s="573" t="s">
        <v>677</v>
      </c>
      <c r="V3489" s="573">
        <v>112.6</v>
      </c>
      <c r="W3489" s="573">
        <v>18.600000000000001</v>
      </c>
      <c r="X3489" s="571">
        <v>4371</v>
      </c>
      <c r="Y3489" s="573">
        <v>18</v>
      </c>
      <c r="Z3489" s="579" t="s">
        <v>178</v>
      </c>
      <c r="AA3489" s="579" t="s">
        <v>178</v>
      </c>
      <c r="AB3489" s="584">
        <v>37565</v>
      </c>
      <c r="AC3489" s="584" t="s">
        <v>164</v>
      </c>
      <c r="AD3489" s="584">
        <v>33000</v>
      </c>
      <c r="AE3489" s="586">
        <v>0.05</v>
      </c>
      <c r="AF3489" s="661" t="str">
        <f t="shared" si="381"/>
        <v>2019-PPV-FRD-PIUT-001-26</v>
      </c>
      <c r="AG3489" s="661" t="str">
        <f>IF(AND($Y3489&gt;=32,(AI3489="I"),(Y3489&lt;&gt;"~"),(COUNTIF($AN$1:$AN3489,$AN3489)=1)),"TRUE","FALSE")</f>
        <v>FALSE</v>
      </c>
      <c r="AH3489" s="661" t="str">
        <f>IF(AND($Y3489&gt;=22, (AI3489&lt;&gt;"I"),(Y3489&lt;&gt;"~"),(COUNTIF($AN$1:$AN3489,$AN3489)=1)),"TRUE","FALSE")</f>
        <v>FALSE</v>
      </c>
      <c r="AI3489" s="661" t="str">
        <f t="shared" si="383"/>
        <v>II</v>
      </c>
      <c r="AJ3489" s="662" t="str">
        <f t="shared" si="377"/>
        <v>PIUT-001</v>
      </c>
      <c r="AK3489" s="662" t="str">
        <f t="shared" si="378"/>
        <v>PPV</v>
      </c>
      <c r="AL3489" s="662" t="str">
        <f t="shared" si="379"/>
        <v>FRD</v>
      </c>
      <c r="AM3489" s="662" t="str">
        <f t="shared" si="382"/>
        <v>PI Utility-Ecoboost-AWD-5-~-~-3.5L-6-K8A,99T-500A-112.6-18.6-Unleaded-Unleaded</v>
      </c>
      <c r="AN3489" s="662" t="str">
        <f t="shared" si="380"/>
        <v>2019-PPV-FRD-PIUT-001</v>
      </c>
    </row>
    <row r="3490" spans="1:40" ht="15">
      <c r="A3490" s="570" t="s">
        <v>6244</v>
      </c>
      <c r="B3490" s="569" t="s">
        <v>6234</v>
      </c>
      <c r="C3490" s="569" t="s">
        <v>280</v>
      </c>
      <c r="D3490" s="580">
        <v>27</v>
      </c>
      <c r="E3490" s="569" t="s">
        <v>643</v>
      </c>
      <c r="F3490" s="569" t="s">
        <v>6235</v>
      </c>
      <c r="G3490" s="569" t="s">
        <v>271</v>
      </c>
      <c r="H3490" s="569">
        <v>2020</v>
      </c>
      <c r="I3490" s="569" t="s">
        <v>6236</v>
      </c>
      <c r="J3490" s="569" t="s">
        <v>675</v>
      </c>
      <c r="K3490" s="569" t="s">
        <v>230</v>
      </c>
      <c r="L3490" s="569">
        <v>5</v>
      </c>
      <c r="M3490" s="569">
        <v>0</v>
      </c>
      <c r="N3490" s="569" t="s">
        <v>157</v>
      </c>
      <c r="O3490" s="569">
        <v>2</v>
      </c>
      <c r="P3490" s="569" t="s">
        <v>157</v>
      </c>
      <c r="Q3490" s="568" t="s">
        <v>157</v>
      </c>
      <c r="R3490" s="569" t="s">
        <v>6237</v>
      </c>
      <c r="S3490" s="569">
        <v>6</v>
      </c>
      <c r="T3490" s="569" t="s">
        <v>6238</v>
      </c>
      <c r="U3490" s="569" t="s">
        <v>677</v>
      </c>
      <c r="V3490" s="569">
        <v>113</v>
      </c>
      <c r="W3490" s="569">
        <v>19</v>
      </c>
      <c r="X3490" s="568">
        <v>4371</v>
      </c>
      <c r="Y3490" s="569">
        <v>18</v>
      </c>
      <c r="Z3490" s="581" t="s">
        <v>666</v>
      </c>
      <c r="AA3490" s="581" t="s">
        <v>666</v>
      </c>
      <c r="AB3490" s="585">
        <v>42400</v>
      </c>
      <c r="AC3490" s="585" t="s">
        <v>164</v>
      </c>
      <c r="AD3490" s="585">
        <v>37037.854166666664</v>
      </c>
      <c r="AE3490" s="587">
        <v>0.03</v>
      </c>
      <c r="AF3490" s="661" t="str">
        <f t="shared" si="381"/>
        <v>2020-PPV-FRD-PIUT-003-27</v>
      </c>
      <c r="AG3490" s="661" t="str">
        <f>IF(AND($Y3490&gt;=32,(AI3490="I"),(Y3490&lt;&gt;"~"),(COUNTIF($AN$1:$AN3490,$AN3490)=1)),"TRUE","FALSE")</f>
        <v>FALSE</v>
      </c>
      <c r="AH3490" s="661" t="str">
        <f>IF(AND($Y3490&gt;=22, (AI3490&lt;&gt;"I"),(Y3490&lt;&gt;"~"),(COUNTIF($AN$1:$AN3490,$AN3490)=1)),"TRUE","FALSE")</f>
        <v>FALSE</v>
      </c>
      <c r="AI3490" s="661" t="str">
        <f t="shared" si="383"/>
        <v>II</v>
      </c>
      <c r="AJ3490" s="662" t="str">
        <f t="shared" si="377"/>
        <v>PIUT-003</v>
      </c>
      <c r="AK3490" s="662" t="str">
        <f t="shared" si="378"/>
        <v>PPV</v>
      </c>
      <c r="AL3490" s="662" t="str">
        <f t="shared" si="379"/>
        <v>FRD</v>
      </c>
      <c r="AM3490" s="662" t="str">
        <f t="shared" si="382"/>
        <v xml:space="preserve">PI Utility-Ecoboost-AWD-5-~-~-3.0L-6-K8A,99C-500A-113-19-Unleaded -Unleaded </v>
      </c>
      <c r="AN3490" s="662" t="str">
        <f t="shared" si="380"/>
        <v>2020-PPV-FRD-PIUT-003</v>
      </c>
    </row>
    <row r="3491" spans="1:40" ht="15">
      <c r="A3491" s="570" t="s">
        <v>6244</v>
      </c>
      <c r="B3491" s="573" t="s">
        <v>6234</v>
      </c>
      <c r="C3491" s="573" t="s">
        <v>280</v>
      </c>
      <c r="D3491" s="578">
        <v>27</v>
      </c>
      <c r="E3491" s="573" t="s">
        <v>643</v>
      </c>
      <c r="F3491" s="573" t="s">
        <v>6235</v>
      </c>
      <c r="G3491" s="573" t="s">
        <v>271</v>
      </c>
      <c r="H3491" s="573">
        <v>2020</v>
      </c>
      <c r="I3491" s="573" t="s">
        <v>6236</v>
      </c>
      <c r="J3491" s="573" t="s">
        <v>675</v>
      </c>
      <c r="K3491" s="573" t="s">
        <v>230</v>
      </c>
      <c r="L3491" s="573">
        <v>5</v>
      </c>
      <c r="M3491" s="573">
        <v>0</v>
      </c>
      <c r="N3491" s="573" t="s">
        <v>157</v>
      </c>
      <c r="O3491" s="573">
        <v>2</v>
      </c>
      <c r="P3491" s="573" t="s">
        <v>157</v>
      </c>
      <c r="Q3491" s="571" t="s">
        <v>157</v>
      </c>
      <c r="R3491" s="573" t="s">
        <v>6237</v>
      </c>
      <c r="S3491" s="573">
        <v>6</v>
      </c>
      <c r="T3491" s="573" t="s">
        <v>6238</v>
      </c>
      <c r="U3491" s="573" t="s">
        <v>677</v>
      </c>
      <c r="V3491" s="573">
        <v>113</v>
      </c>
      <c r="W3491" s="573">
        <v>19</v>
      </c>
      <c r="X3491" s="571">
        <v>4371</v>
      </c>
      <c r="Y3491" s="573">
        <v>18</v>
      </c>
      <c r="Z3491" s="579" t="s">
        <v>178</v>
      </c>
      <c r="AA3491" s="579" t="s">
        <v>178</v>
      </c>
      <c r="AB3491" s="584">
        <v>42400</v>
      </c>
      <c r="AC3491" s="584" t="s">
        <v>164</v>
      </c>
      <c r="AD3491" s="584">
        <v>37037.854166666664</v>
      </c>
      <c r="AE3491" s="586">
        <v>0.03</v>
      </c>
      <c r="AF3491" s="661" t="str">
        <f t="shared" si="381"/>
        <v>2020-PPV-FRD-PIUT-003-27</v>
      </c>
      <c r="AG3491" s="661" t="str">
        <f>IF(AND($Y3491&gt;=32,(AI3491="I"),(Y3491&lt;&gt;"~"),(COUNTIF($AN$1:$AN3491,$AN3491)=1)),"TRUE","FALSE")</f>
        <v>FALSE</v>
      </c>
      <c r="AH3491" s="661" t="str">
        <f>IF(AND($Y3491&gt;=22, (AI3491&lt;&gt;"I"),(Y3491&lt;&gt;"~"),(COUNTIF($AN$1:$AN3491,$AN3491)=1)),"TRUE","FALSE")</f>
        <v>FALSE</v>
      </c>
      <c r="AI3491" s="661" t="str">
        <f t="shared" si="383"/>
        <v>II</v>
      </c>
      <c r="AJ3491" s="662" t="str">
        <f t="shared" si="377"/>
        <v>PIUT-003</v>
      </c>
      <c r="AK3491" s="662" t="str">
        <f t="shared" si="378"/>
        <v>PPV</v>
      </c>
      <c r="AL3491" s="662" t="str">
        <f t="shared" si="379"/>
        <v>FRD</v>
      </c>
      <c r="AM3491" s="662" t="str">
        <f t="shared" si="382"/>
        <v>PI Utility-Ecoboost-AWD-5-~-~-3.0L-6-K8A,99C-500A-113-19-Unleaded-Unleaded</v>
      </c>
      <c r="AN3491" s="662" t="str">
        <f t="shared" si="380"/>
        <v>2020-PPV-FRD-PIUT-003</v>
      </c>
    </row>
    <row r="3492" spans="1:40" ht="15">
      <c r="A3492" s="570" t="s">
        <v>6245</v>
      </c>
      <c r="B3492" s="569" t="s">
        <v>6246</v>
      </c>
      <c r="C3492" s="569" t="s">
        <v>269</v>
      </c>
      <c r="D3492" s="580" t="s">
        <v>270</v>
      </c>
      <c r="E3492" s="569" t="s">
        <v>643</v>
      </c>
      <c r="F3492" s="569" t="s">
        <v>6235</v>
      </c>
      <c r="G3492" s="569" t="s">
        <v>271</v>
      </c>
      <c r="H3492" s="569">
        <v>2020</v>
      </c>
      <c r="I3492" s="569" t="s">
        <v>6236</v>
      </c>
      <c r="J3492" s="569" t="s">
        <v>198</v>
      </c>
      <c r="K3492" s="569" t="s">
        <v>230</v>
      </c>
      <c r="L3492" s="569">
        <v>5</v>
      </c>
      <c r="M3492" s="569">
        <v>0</v>
      </c>
      <c r="N3492" s="569" t="s">
        <v>157</v>
      </c>
      <c r="O3492" s="569">
        <v>2</v>
      </c>
      <c r="P3492" s="569" t="s">
        <v>157</v>
      </c>
      <c r="Q3492" s="568" t="s">
        <v>157</v>
      </c>
      <c r="R3492" s="569" t="s">
        <v>6247</v>
      </c>
      <c r="S3492" s="569">
        <v>6</v>
      </c>
      <c r="T3492" s="569" t="s">
        <v>6248</v>
      </c>
      <c r="U3492" s="569" t="s">
        <v>677</v>
      </c>
      <c r="V3492" s="569">
        <v>113</v>
      </c>
      <c r="W3492" s="569">
        <v>19</v>
      </c>
      <c r="X3492" s="568">
        <v>4371</v>
      </c>
      <c r="Y3492" s="569">
        <v>24</v>
      </c>
      <c r="Z3492" s="581" t="s">
        <v>178</v>
      </c>
      <c r="AA3492" s="581" t="s">
        <v>163</v>
      </c>
      <c r="AB3492" s="585">
        <v>41610</v>
      </c>
      <c r="AC3492" s="585" t="s">
        <v>164</v>
      </c>
      <c r="AD3492" s="585">
        <v>36311.8125</v>
      </c>
      <c r="AE3492" s="587">
        <v>0.03</v>
      </c>
      <c r="AF3492" s="661" t="str">
        <f t="shared" si="381"/>
        <v>2020-PPV-FRD-PIUT-005-05</v>
      </c>
      <c r="AG3492" s="661" t="str">
        <f>IF(AND($Y3492&gt;=32,(AI3492="I"),(Y3492&lt;&gt;"~"),(COUNTIF($AN$1:$AN3492,$AN3492)=1)),"TRUE","FALSE")</f>
        <v>FALSE</v>
      </c>
      <c r="AH3492" s="661" t="str">
        <f>IF(AND($Y3492&gt;=22, (AI3492&lt;&gt;"I"),(Y3492&lt;&gt;"~"),(COUNTIF($AN$1:$AN3492,$AN3492)=1)),"TRUE","FALSE")</f>
        <v>TRUE</v>
      </c>
      <c r="AI3492" s="661" t="str">
        <f t="shared" si="383"/>
        <v>II</v>
      </c>
      <c r="AJ3492" s="662" t="str">
        <f t="shared" si="377"/>
        <v>PIUT-005</v>
      </c>
      <c r="AK3492" s="662" t="str">
        <f t="shared" si="378"/>
        <v>PPV</v>
      </c>
      <c r="AL3492" s="662" t="str">
        <f t="shared" si="379"/>
        <v>FRD</v>
      </c>
      <c r="AM3492" s="662" t="str">
        <f t="shared" si="382"/>
        <v>PI Utility-Hybrid-AWD-5-~-~-3.3L Hybrid-6-K8A,44B-500A-113-19-Unleaded-Electric</v>
      </c>
      <c r="AN3492" s="662" t="str">
        <f t="shared" si="380"/>
        <v>2020-PPV-FRD-PIUT-005</v>
      </c>
    </row>
    <row r="3493" spans="1:40" ht="15">
      <c r="A3493" s="570" t="s">
        <v>6249</v>
      </c>
      <c r="B3493" s="573" t="s">
        <v>6246</v>
      </c>
      <c r="C3493" s="573" t="s">
        <v>278</v>
      </c>
      <c r="D3493" s="578">
        <v>15</v>
      </c>
      <c r="E3493" s="573" t="s">
        <v>643</v>
      </c>
      <c r="F3493" s="573" t="s">
        <v>6235</v>
      </c>
      <c r="G3493" s="573" t="s">
        <v>271</v>
      </c>
      <c r="H3493" s="573">
        <v>2020</v>
      </c>
      <c r="I3493" s="573" t="s">
        <v>6236</v>
      </c>
      <c r="J3493" s="573" t="s">
        <v>198</v>
      </c>
      <c r="K3493" s="573" t="s">
        <v>230</v>
      </c>
      <c r="L3493" s="573">
        <v>5</v>
      </c>
      <c r="M3493" s="573">
        <v>0</v>
      </c>
      <c r="N3493" s="573" t="s">
        <v>157</v>
      </c>
      <c r="O3493" s="573">
        <v>2</v>
      </c>
      <c r="P3493" s="573" t="s">
        <v>157</v>
      </c>
      <c r="Q3493" s="571" t="s">
        <v>157</v>
      </c>
      <c r="R3493" s="573" t="s">
        <v>6250</v>
      </c>
      <c r="S3493" s="573">
        <v>6</v>
      </c>
      <c r="T3493" s="573" t="s">
        <v>6251</v>
      </c>
      <c r="U3493" s="573" t="s">
        <v>677</v>
      </c>
      <c r="V3493" s="573">
        <v>112.6</v>
      </c>
      <c r="W3493" s="573">
        <v>18.600000000000001</v>
      </c>
      <c r="X3493" s="571">
        <v>4371</v>
      </c>
      <c r="Y3493" s="573">
        <v>24</v>
      </c>
      <c r="Z3493" s="579" t="s">
        <v>178</v>
      </c>
      <c r="AA3493" s="579" t="s">
        <v>178</v>
      </c>
      <c r="AB3493" s="584">
        <v>41610</v>
      </c>
      <c r="AC3493" s="584" t="s">
        <v>164</v>
      </c>
      <c r="AD3493" s="584">
        <v>36850</v>
      </c>
      <c r="AE3493" s="586">
        <v>0.01</v>
      </c>
      <c r="AF3493" s="661" t="str">
        <f t="shared" si="381"/>
        <v>2020-PPV-FRD-PIUT-005-15</v>
      </c>
      <c r="AG3493" s="661" t="str">
        <f>IF(AND($Y3493&gt;=32,(AI3493="I"),(Y3493&lt;&gt;"~"),(COUNTIF($AN$1:$AN3493,$AN3493)=1)),"TRUE","FALSE")</f>
        <v>FALSE</v>
      </c>
      <c r="AH3493" s="661" t="str">
        <f>IF(AND($Y3493&gt;=22, (AI3493&lt;&gt;"I"),(Y3493&lt;&gt;"~"),(COUNTIF($AN$1:$AN3493,$AN3493)=1)),"TRUE","FALSE")</f>
        <v>FALSE</v>
      </c>
      <c r="AI3493" s="661" t="str">
        <f t="shared" si="383"/>
        <v>II</v>
      </c>
      <c r="AJ3493" s="662" t="str">
        <f t="shared" si="377"/>
        <v>PIUT-005</v>
      </c>
      <c r="AK3493" s="662" t="str">
        <f t="shared" si="378"/>
        <v>PPV</v>
      </c>
      <c r="AL3493" s="662" t="str">
        <f t="shared" si="379"/>
        <v>FRD</v>
      </c>
      <c r="AM3493" s="662" t="str">
        <f t="shared" si="382"/>
        <v>PI Utility-Hybrid-AWD-5-~-~-3.3L Hyrbrid-6-K8A,99W-500A-112.6-18.6-Unleaded-Unleaded</v>
      </c>
      <c r="AN3493" s="662" t="str">
        <f t="shared" si="380"/>
        <v>2020-PPV-FRD-PIUT-005</v>
      </c>
    </row>
    <row r="3494" spans="1:40" ht="15">
      <c r="A3494" s="570" t="s">
        <v>6252</v>
      </c>
      <c r="B3494" s="569" t="s">
        <v>6246</v>
      </c>
      <c r="C3494" s="569" t="s">
        <v>280</v>
      </c>
      <c r="D3494" s="580">
        <v>27</v>
      </c>
      <c r="E3494" s="569" t="s">
        <v>643</v>
      </c>
      <c r="F3494" s="569" t="s">
        <v>6235</v>
      </c>
      <c r="G3494" s="569" t="s">
        <v>271</v>
      </c>
      <c r="H3494" s="569">
        <v>2020</v>
      </c>
      <c r="I3494" s="569" t="s">
        <v>6236</v>
      </c>
      <c r="J3494" s="569" t="s">
        <v>198</v>
      </c>
      <c r="K3494" s="569" t="s">
        <v>230</v>
      </c>
      <c r="L3494" s="569">
        <v>5</v>
      </c>
      <c r="M3494" s="569">
        <v>0</v>
      </c>
      <c r="N3494" s="569" t="s">
        <v>157</v>
      </c>
      <c r="O3494" s="569">
        <v>2</v>
      </c>
      <c r="P3494" s="569" t="s">
        <v>157</v>
      </c>
      <c r="Q3494" s="568" t="s">
        <v>157</v>
      </c>
      <c r="R3494" s="569" t="s">
        <v>6247</v>
      </c>
      <c r="S3494" s="569">
        <v>6</v>
      </c>
      <c r="T3494" s="569" t="s">
        <v>6248</v>
      </c>
      <c r="U3494" s="569" t="s">
        <v>677</v>
      </c>
      <c r="V3494" s="569">
        <v>113</v>
      </c>
      <c r="W3494" s="569">
        <v>19</v>
      </c>
      <c r="X3494" s="568">
        <v>4371</v>
      </c>
      <c r="Y3494" s="569">
        <v>24</v>
      </c>
      <c r="Z3494" s="581" t="s">
        <v>178</v>
      </c>
      <c r="AA3494" s="581" t="s">
        <v>163</v>
      </c>
      <c r="AB3494" s="585">
        <v>41610</v>
      </c>
      <c r="AC3494" s="585" t="s">
        <v>164</v>
      </c>
      <c r="AD3494" s="585">
        <v>36311.8125</v>
      </c>
      <c r="AE3494" s="587">
        <v>0.03</v>
      </c>
      <c r="AF3494" s="661" t="str">
        <f t="shared" si="381"/>
        <v>2020-PPV-FRD-PIUT-005-27</v>
      </c>
      <c r="AG3494" s="661" t="str">
        <f>IF(AND($Y3494&gt;=32,(AI3494="I"),(Y3494&lt;&gt;"~"),(COUNTIF($AN$1:$AN3494,$AN3494)=1)),"TRUE","FALSE")</f>
        <v>FALSE</v>
      </c>
      <c r="AH3494" s="661" t="str">
        <f>IF(AND($Y3494&gt;=22, (AI3494&lt;&gt;"I"),(Y3494&lt;&gt;"~"),(COUNTIF($AN$1:$AN3494,$AN3494)=1)),"TRUE","FALSE")</f>
        <v>FALSE</v>
      </c>
      <c r="AI3494" s="661" t="str">
        <f t="shared" si="383"/>
        <v>II</v>
      </c>
      <c r="AJ3494" s="662" t="str">
        <f t="shared" si="377"/>
        <v>PIUT-005</v>
      </c>
      <c r="AK3494" s="662" t="str">
        <f t="shared" si="378"/>
        <v>PPV</v>
      </c>
      <c r="AL3494" s="662" t="str">
        <f t="shared" si="379"/>
        <v>FRD</v>
      </c>
      <c r="AM3494" s="662" t="str">
        <f t="shared" si="382"/>
        <v>PI Utility-Hybrid-AWD-5-~-~-3.3L Hybrid-6-K8A,44B-500A-113-19-Unleaded-Electric</v>
      </c>
      <c r="AN3494" s="662" t="str">
        <f t="shared" si="380"/>
        <v>2020-PPV-FRD-PIUT-005</v>
      </c>
    </row>
    <row r="3495" spans="1:40" ht="15">
      <c r="A3495" s="570" t="s">
        <v>6253</v>
      </c>
      <c r="B3495" s="573" t="s">
        <v>6254</v>
      </c>
      <c r="C3495" s="573" t="s">
        <v>269</v>
      </c>
      <c r="D3495" s="578" t="s">
        <v>270</v>
      </c>
      <c r="E3495" s="573" t="s">
        <v>643</v>
      </c>
      <c r="F3495" s="573" t="s">
        <v>6235</v>
      </c>
      <c r="G3495" s="573" t="s">
        <v>271</v>
      </c>
      <c r="H3495" s="573">
        <v>2020</v>
      </c>
      <c r="I3495" s="573" t="s">
        <v>6236</v>
      </c>
      <c r="J3495" s="573" t="s">
        <v>681</v>
      </c>
      <c r="K3495" s="573" t="s">
        <v>230</v>
      </c>
      <c r="L3495" s="573">
        <v>5</v>
      </c>
      <c r="M3495" s="573">
        <v>0</v>
      </c>
      <c r="N3495" s="573" t="s">
        <v>157</v>
      </c>
      <c r="O3495" s="573">
        <v>2</v>
      </c>
      <c r="P3495" s="573" t="s">
        <v>157</v>
      </c>
      <c r="Q3495" s="571" t="s">
        <v>157</v>
      </c>
      <c r="R3495" s="573" t="s">
        <v>1322</v>
      </c>
      <c r="S3495" s="573">
        <v>6</v>
      </c>
      <c r="T3495" s="573" t="s">
        <v>6255</v>
      </c>
      <c r="U3495" s="573" t="s">
        <v>677</v>
      </c>
      <c r="V3495" s="573">
        <v>113</v>
      </c>
      <c r="W3495" s="573">
        <v>19</v>
      </c>
      <c r="X3495" s="571">
        <v>4672</v>
      </c>
      <c r="Y3495" s="573">
        <v>18</v>
      </c>
      <c r="Z3495" s="579" t="s">
        <v>666</v>
      </c>
      <c r="AA3495" s="579" t="s">
        <v>666</v>
      </c>
      <c r="AB3495" s="584">
        <v>38080</v>
      </c>
      <c r="AC3495" s="584" t="s">
        <v>164</v>
      </c>
      <c r="AD3495" s="584">
        <v>33067.020833333328</v>
      </c>
      <c r="AE3495" s="586">
        <v>0.03</v>
      </c>
      <c r="AF3495" s="661" t="str">
        <f t="shared" si="381"/>
        <v>2020-PPV-FRD-PIUT-004-05</v>
      </c>
      <c r="AG3495" s="661" t="str">
        <f>IF(AND($Y3495&gt;=32,(AI3495="I"),(Y3495&lt;&gt;"~"),(COUNTIF($AN$1:$AN3495,$AN3495)=1)),"TRUE","FALSE")</f>
        <v>FALSE</v>
      </c>
      <c r="AH3495" s="661" t="str">
        <f>IF(AND($Y3495&gt;=22, (AI3495&lt;&gt;"I"),(Y3495&lt;&gt;"~"),(COUNTIF($AN$1:$AN3495,$AN3495)=1)),"TRUE","FALSE")</f>
        <v>FALSE</v>
      </c>
      <c r="AI3495" s="661" t="str">
        <f t="shared" si="383"/>
        <v>II</v>
      </c>
      <c r="AJ3495" s="662" t="str">
        <f t="shared" si="377"/>
        <v>PIUT-004</v>
      </c>
      <c r="AK3495" s="662" t="str">
        <f t="shared" si="378"/>
        <v>PPV</v>
      </c>
      <c r="AL3495" s="662" t="str">
        <f t="shared" si="379"/>
        <v>FRD</v>
      </c>
      <c r="AM3495" s="662" t="str">
        <f t="shared" si="382"/>
        <v xml:space="preserve">PI Utility-Police Interceptor-AWD-5-~-~-3.3L-6-K8A,99B-500A-113-19-Unleaded -Unleaded </v>
      </c>
      <c r="AN3495" s="662" t="str">
        <f t="shared" si="380"/>
        <v>2020-PPV-FRD-PIUT-004</v>
      </c>
    </row>
    <row r="3496" spans="1:40" ht="15">
      <c r="A3496" s="570" t="s">
        <v>6256</v>
      </c>
      <c r="B3496" s="569" t="s">
        <v>6257</v>
      </c>
      <c r="C3496" s="569" t="s">
        <v>269</v>
      </c>
      <c r="D3496" s="580" t="s">
        <v>270</v>
      </c>
      <c r="E3496" s="569" t="s">
        <v>643</v>
      </c>
      <c r="F3496" s="569" t="s">
        <v>6235</v>
      </c>
      <c r="G3496" s="569" t="s">
        <v>271</v>
      </c>
      <c r="H3496" s="569">
        <v>2019</v>
      </c>
      <c r="I3496" s="569" t="s">
        <v>6236</v>
      </c>
      <c r="J3496" s="569" t="s">
        <v>681</v>
      </c>
      <c r="K3496" s="569" t="s">
        <v>230</v>
      </c>
      <c r="L3496" s="569">
        <v>5</v>
      </c>
      <c r="M3496" s="569">
        <v>0</v>
      </c>
      <c r="N3496" s="569" t="s">
        <v>157</v>
      </c>
      <c r="O3496" s="569">
        <v>2</v>
      </c>
      <c r="P3496" s="569" t="s">
        <v>157</v>
      </c>
      <c r="Q3496" s="568" t="s">
        <v>157</v>
      </c>
      <c r="R3496" s="569" t="s">
        <v>682</v>
      </c>
      <c r="S3496" s="569">
        <v>6</v>
      </c>
      <c r="T3496" s="569" t="s">
        <v>6258</v>
      </c>
      <c r="U3496" s="569" t="s">
        <v>677</v>
      </c>
      <c r="V3496" s="569">
        <v>112.6</v>
      </c>
      <c r="W3496" s="569">
        <v>18.600000000000001</v>
      </c>
      <c r="X3496" s="568">
        <v>4672</v>
      </c>
      <c r="Y3496" s="569">
        <v>18</v>
      </c>
      <c r="Z3496" s="581" t="s">
        <v>178</v>
      </c>
      <c r="AA3496" s="581" t="s">
        <v>178</v>
      </c>
      <c r="AB3496" s="585">
        <v>33265</v>
      </c>
      <c r="AC3496" s="585" t="s">
        <v>164</v>
      </c>
      <c r="AD3496" s="585">
        <v>28295</v>
      </c>
      <c r="AE3496" s="587">
        <v>0.03</v>
      </c>
      <c r="AF3496" s="661" t="str">
        <f t="shared" si="381"/>
        <v>2019-PPV-FRD-PIUT-002-05</v>
      </c>
      <c r="AG3496" s="661" t="str">
        <f>IF(AND($Y3496&gt;=32,(AI3496="I"),(Y3496&lt;&gt;"~"),(COUNTIF($AN$1:$AN3496,$AN3496)=1)),"TRUE","FALSE")</f>
        <v>FALSE</v>
      </c>
      <c r="AH3496" s="661" t="str">
        <f>IF(AND($Y3496&gt;=22, (AI3496&lt;&gt;"I"),(Y3496&lt;&gt;"~"),(COUNTIF($AN$1:$AN3496,$AN3496)=1)),"TRUE","FALSE")</f>
        <v>FALSE</v>
      </c>
      <c r="AI3496" s="661" t="str">
        <f t="shared" si="383"/>
        <v>II</v>
      </c>
      <c r="AJ3496" s="662" t="str">
        <f t="shared" si="377"/>
        <v>PIUT-002</v>
      </c>
      <c r="AK3496" s="662" t="str">
        <f t="shared" si="378"/>
        <v>PPV</v>
      </c>
      <c r="AL3496" s="662" t="str">
        <f t="shared" si="379"/>
        <v>FRD</v>
      </c>
      <c r="AM3496" s="662" t="str">
        <f t="shared" si="382"/>
        <v>PI Utility-Police Interceptor-AWD-5-~-~-3.7L-6-K8A,99R-500A-112.6-18.6-Unleaded-Unleaded</v>
      </c>
      <c r="AN3496" s="662" t="str">
        <f t="shared" si="380"/>
        <v>2019-PPV-FRD-PIUT-002</v>
      </c>
    </row>
    <row r="3497" spans="1:40" ht="15">
      <c r="A3497" s="570" t="s">
        <v>6259</v>
      </c>
      <c r="B3497" s="573" t="s">
        <v>6257</v>
      </c>
      <c r="C3497" s="573" t="s">
        <v>278</v>
      </c>
      <c r="D3497" s="578">
        <v>15</v>
      </c>
      <c r="E3497" s="573" t="s">
        <v>643</v>
      </c>
      <c r="F3497" s="573" t="s">
        <v>6235</v>
      </c>
      <c r="G3497" s="573" t="s">
        <v>271</v>
      </c>
      <c r="H3497" s="573">
        <v>2018</v>
      </c>
      <c r="I3497" s="573" t="s">
        <v>6236</v>
      </c>
      <c r="J3497" s="573" t="s">
        <v>681</v>
      </c>
      <c r="K3497" s="573" t="s">
        <v>230</v>
      </c>
      <c r="L3497" s="573">
        <v>5</v>
      </c>
      <c r="M3497" s="573">
        <v>0</v>
      </c>
      <c r="N3497" s="573" t="s">
        <v>157</v>
      </c>
      <c r="O3497" s="573">
        <v>2</v>
      </c>
      <c r="P3497" s="573" t="s">
        <v>157</v>
      </c>
      <c r="Q3497" s="571" t="s">
        <v>157</v>
      </c>
      <c r="R3497" s="573" t="s">
        <v>682</v>
      </c>
      <c r="S3497" s="573">
        <v>6</v>
      </c>
      <c r="T3497" s="573" t="s">
        <v>6258</v>
      </c>
      <c r="U3497" s="573" t="s">
        <v>677</v>
      </c>
      <c r="V3497" s="573">
        <v>112.6</v>
      </c>
      <c r="W3497" s="573">
        <v>18.600000000000001</v>
      </c>
      <c r="X3497" s="571">
        <v>4672</v>
      </c>
      <c r="Y3497" s="573">
        <v>18</v>
      </c>
      <c r="Z3497" s="579" t="s">
        <v>178</v>
      </c>
      <c r="AA3497" s="579" t="s">
        <v>178</v>
      </c>
      <c r="AB3497" s="584">
        <v>33265</v>
      </c>
      <c r="AC3497" s="584" t="s">
        <v>164</v>
      </c>
      <c r="AD3497" s="584">
        <v>27995</v>
      </c>
      <c r="AE3497" s="586">
        <v>0.01</v>
      </c>
      <c r="AF3497" s="661" t="str">
        <f t="shared" si="381"/>
        <v>2018-PPV-FRD-PIUT-002-15</v>
      </c>
      <c r="AG3497" s="661" t="str">
        <f>IF(AND($Y3497&gt;=32,(AI3497="I"),(Y3497&lt;&gt;"~"),(COUNTIF($AN$1:$AN3497,$AN3497)=1)),"TRUE","FALSE")</f>
        <v>FALSE</v>
      </c>
      <c r="AH3497" s="661" t="str">
        <f>IF(AND($Y3497&gt;=22, (AI3497&lt;&gt;"I"),(Y3497&lt;&gt;"~"),(COUNTIF($AN$1:$AN3497,$AN3497)=1)),"TRUE","FALSE")</f>
        <v>FALSE</v>
      </c>
      <c r="AI3497" s="661" t="str">
        <f t="shared" si="383"/>
        <v>II</v>
      </c>
      <c r="AJ3497" s="662" t="str">
        <f t="shared" si="377"/>
        <v>PIUT-002</v>
      </c>
      <c r="AK3497" s="662" t="str">
        <f t="shared" si="378"/>
        <v>PPV</v>
      </c>
      <c r="AL3497" s="662" t="str">
        <f t="shared" si="379"/>
        <v>FRD</v>
      </c>
      <c r="AM3497" s="662" t="str">
        <f t="shared" si="382"/>
        <v>PI Utility-Police Interceptor-AWD-5-~-~-3.7L-6-K8A,99R-500A-112.6-18.6-Unleaded-Unleaded</v>
      </c>
      <c r="AN3497" s="662" t="str">
        <f t="shared" si="380"/>
        <v>2018-PPV-FRD-PIUT-002</v>
      </c>
    </row>
    <row r="3498" spans="1:40" ht="15">
      <c r="A3498" s="570" t="s">
        <v>6260</v>
      </c>
      <c r="B3498" s="569" t="s">
        <v>6257</v>
      </c>
      <c r="C3498" s="569" t="s">
        <v>278</v>
      </c>
      <c r="D3498" s="580">
        <v>15</v>
      </c>
      <c r="E3498" s="569" t="s">
        <v>643</v>
      </c>
      <c r="F3498" s="569" t="s">
        <v>6235</v>
      </c>
      <c r="G3498" s="569" t="s">
        <v>271</v>
      </c>
      <c r="H3498" s="569">
        <v>2019</v>
      </c>
      <c r="I3498" s="569" t="s">
        <v>6236</v>
      </c>
      <c r="J3498" s="569" t="s">
        <v>681</v>
      </c>
      <c r="K3498" s="569" t="s">
        <v>230</v>
      </c>
      <c r="L3498" s="569">
        <v>5</v>
      </c>
      <c r="M3498" s="569">
        <v>0</v>
      </c>
      <c r="N3498" s="569" t="s">
        <v>157</v>
      </c>
      <c r="O3498" s="569">
        <v>2</v>
      </c>
      <c r="P3498" s="569" t="s">
        <v>157</v>
      </c>
      <c r="Q3498" s="568" t="s">
        <v>157</v>
      </c>
      <c r="R3498" s="569" t="s">
        <v>682</v>
      </c>
      <c r="S3498" s="569">
        <v>6</v>
      </c>
      <c r="T3498" s="569" t="s">
        <v>6258</v>
      </c>
      <c r="U3498" s="569" t="s">
        <v>677</v>
      </c>
      <c r="V3498" s="569">
        <v>112.6</v>
      </c>
      <c r="W3498" s="569">
        <v>18.600000000000001</v>
      </c>
      <c r="X3498" s="568">
        <v>4672</v>
      </c>
      <c r="Y3498" s="569">
        <v>18</v>
      </c>
      <c r="Z3498" s="581" t="s">
        <v>666</v>
      </c>
      <c r="AA3498" s="581" t="s">
        <v>666</v>
      </c>
      <c r="AB3498" s="585">
        <v>34270</v>
      </c>
      <c r="AC3498" s="585" t="s">
        <v>164</v>
      </c>
      <c r="AD3498" s="585">
        <v>28995</v>
      </c>
      <c r="AE3498" s="587">
        <v>0.01</v>
      </c>
      <c r="AF3498" s="661" t="str">
        <f t="shared" si="381"/>
        <v>2019-PPV-FRD-PIUT-002-15</v>
      </c>
      <c r="AG3498" s="661" t="str">
        <f>IF(AND($Y3498&gt;=32,(AI3498="I"),(Y3498&lt;&gt;"~"),(COUNTIF($AN$1:$AN3498,$AN3498)=1)),"TRUE","FALSE")</f>
        <v>FALSE</v>
      </c>
      <c r="AH3498" s="661" t="str">
        <f>IF(AND($Y3498&gt;=22, (AI3498&lt;&gt;"I"),(Y3498&lt;&gt;"~"),(COUNTIF($AN$1:$AN3498,$AN3498)=1)),"TRUE","FALSE")</f>
        <v>FALSE</v>
      </c>
      <c r="AI3498" s="661" t="str">
        <f t="shared" si="383"/>
        <v>II</v>
      </c>
      <c r="AJ3498" s="662" t="str">
        <f t="shared" si="377"/>
        <v>PIUT-002</v>
      </c>
      <c r="AK3498" s="662" t="str">
        <f t="shared" si="378"/>
        <v>PPV</v>
      </c>
      <c r="AL3498" s="662" t="str">
        <f t="shared" si="379"/>
        <v>FRD</v>
      </c>
      <c r="AM3498" s="662" t="str">
        <f t="shared" si="382"/>
        <v xml:space="preserve">PI Utility-Police Interceptor-AWD-5-~-~-3.7L-6-K8A,99R-500A-112.6-18.6-Unleaded -Unleaded </v>
      </c>
      <c r="AN3498" s="662" t="str">
        <f t="shared" si="380"/>
        <v>2019-PPV-FRD-PIUT-002</v>
      </c>
    </row>
    <row r="3499" spans="1:40" ht="15">
      <c r="A3499" s="570" t="s">
        <v>6261</v>
      </c>
      <c r="B3499" s="573" t="s">
        <v>6254</v>
      </c>
      <c r="C3499" s="573" t="s">
        <v>278</v>
      </c>
      <c r="D3499" s="578">
        <v>15</v>
      </c>
      <c r="E3499" s="573" t="s">
        <v>643</v>
      </c>
      <c r="F3499" s="573" t="s">
        <v>6235</v>
      </c>
      <c r="G3499" s="573" t="s">
        <v>271</v>
      </c>
      <c r="H3499" s="573">
        <v>2020</v>
      </c>
      <c r="I3499" s="573" t="s">
        <v>6236</v>
      </c>
      <c r="J3499" s="573" t="s">
        <v>681</v>
      </c>
      <c r="K3499" s="573" t="s">
        <v>230</v>
      </c>
      <c r="L3499" s="573">
        <v>5</v>
      </c>
      <c r="M3499" s="573">
        <v>0</v>
      </c>
      <c r="N3499" s="573" t="s">
        <v>157</v>
      </c>
      <c r="O3499" s="573">
        <v>2</v>
      </c>
      <c r="P3499" s="573" t="s">
        <v>157</v>
      </c>
      <c r="Q3499" s="571" t="s">
        <v>157</v>
      </c>
      <c r="R3499" s="573" t="s">
        <v>1322</v>
      </c>
      <c r="S3499" s="573">
        <v>6</v>
      </c>
      <c r="T3499" s="573" t="s">
        <v>6255</v>
      </c>
      <c r="U3499" s="573" t="s">
        <v>677</v>
      </c>
      <c r="V3499" s="573">
        <v>113</v>
      </c>
      <c r="W3499" s="573">
        <v>19</v>
      </c>
      <c r="X3499" s="568">
        <v>4371</v>
      </c>
      <c r="Y3499" s="573">
        <v>18</v>
      </c>
      <c r="Z3499" s="579" t="s">
        <v>178</v>
      </c>
      <c r="AA3499" s="579" t="s">
        <v>178</v>
      </c>
      <c r="AB3499" s="584">
        <v>38080</v>
      </c>
      <c r="AC3499" s="584" t="s">
        <v>164</v>
      </c>
      <c r="AD3499" s="584">
        <v>33500</v>
      </c>
      <c r="AE3499" s="586">
        <v>0.01</v>
      </c>
      <c r="AF3499" s="661" t="str">
        <f t="shared" si="381"/>
        <v>2020-PPV-FRD-PIUT-004-15</v>
      </c>
      <c r="AG3499" s="661" t="str">
        <f>IF(AND($Y3499&gt;=32,(AI3499="I"),(Y3499&lt;&gt;"~"),(COUNTIF($AN$1:$AN3499,$AN3499)=1)),"TRUE","FALSE")</f>
        <v>FALSE</v>
      </c>
      <c r="AH3499" s="661" t="str">
        <f>IF(AND($Y3499&gt;=22, (AI3499&lt;&gt;"I"),(Y3499&lt;&gt;"~"),(COUNTIF($AN$1:$AN3499,$AN3499)=1)),"TRUE","FALSE")</f>
        <v>FALSE</v>
      </c>
      <c r="AI3499" s="661" t="str">
        <f t="shared" si="383"/>
        <v>II</v>
      </c>
      <c r="AJ3499" s="662" t="str">
        <f t="shared" si="377"/>
        <v>PIUT-004</v>
      </c>
      <c r="AK3499" s="662" t="str">
        <f t="shared" si="378"/>
        <v>PPV</v>
      </c>
      <c r="AL3499" s="662" t="str">
        <f t="shared" si="379"/>
        <v>FRD</v>
      </c>
      <c r="AM3499" s="662" t="str">
        <f t="shared" si="382"/>
        <v>PI Utility-Police Interceptor-AWD-5-~-~-3.3L-6-K8A,99B-500A-113-19-Unleaded-Unleaded</v>
      </c>
      <c r="AN3499" s="662" t="str">
        <f t="shared" si="380"/>
        <v>2020-PPV-FRD-PIUT-004</v>
      </c>
    </row>
    <row r="3500" spans="1:40" ht="15">
      <c r="A3500" s="570" t="s">
        <v>6262</v>
      </c>
      <c r="B3500" s="569" t="s">
        <v>6257</v>
      </c>
      <c r="C3500" s="569" t="s">
        <v>287</v>
      </c>
      <c r="D3500" s="580">
        <v>26</v>
      </c>
      <c r="E3500" s="569" t="s">
        <v>643</v>
      </c>
      <c r="F3500" s="569" t="s">
        <v>6235</v>
      </c>
      <c r="G3500" s="569" t="s">
        <v>271</v>
      </c>
      <c r="H3500" s="569">
        <v>2019</v>
      </c>
      <c r="I3500" s="569" t="s">
        <v>6236</v>
      </c>
      <c r="J3500" s="569" t="s">
        <v>681</v>
      </c>
      <c r="K3500" s="569" t="s">
        <v>230</v>
      </c>
      <c r="L3500" s="569">
        <v>5</v>
      </c>
      <c r="M3500" s="569">
        <v>0</v>
      </c>
      <c r="N3500" s="569" t="s">
        <v>157</v>
      </c>
      <c r="O3500" s="569">
        <v>2</v>
      </c>
      <c r="P3500" s="569" t="s">
        <v>157</v>
      </c>
      <c r="Q3500" s="568" t="s">
        <v>157</v>
      </c>
      <c r="R3500" s="569" t="s">
        <v>682</v>
      </c>
      <c r="S3500" s="569">
        <v>6</v>
      </c>
      <c r="T3500" s="569" t="s">
        <v>6258</v>
      </c>
      <c r="U3500" s="569" t="s">
        <v>677</v>
      </c>
      <c r="V3500" s="569">
        <v>112.6</v>
      </c>
      <c r="W3500" s="569">
        <v>18.600000000000001</v>
      </c>
      <c r="X3500" s="568">
        <v>4672</v>
      </c>
      <c r="Y3500" s="569">
        <v>18</v>
      </c>
      <c r="Z3500" s="581" t="s">
        <v>178</v>
      </c>
      <c r="AA3500" s="581" t="s">
        <v>178</v>
      </c>
      <c r="AB3500" s="585">
        <v>34270</v>
      </c>
      <c r="AC3500" s="585" t="s">
        <v>164</v>
      </c>
      <c r="AD3500" s="585">
        <v>29000</v>
      </c>
      <c r="AE3500" s="587">
        <v>0.05</v>
      </c>
      <c r="AF3500" s="661" t="str">
        <f t="shared" si="381"/>
        <v>2019-PPV-FRD-PIUT-002-26</v>
      </c>
      <c r="AG3500" s="661" t="str">
        <f>IF(AND($Y3500&gt;=32,(AI3500="I"),(Y3500&lt;&gt;"~"),(COUNTIF($AN$1:$AN3500,$AN3500)=1)),"TRUE","FALSE")</f>
        <v>FALSE</v>
      </c>
      <c r="AH3500" s="661" t="str">
        <f>IF(AND($Y3500&gt;=22, (AI3500&lt;&gt;"I"),(Y3500&lt;&gt;"~"),(COUNTIF($AN$1:$AN3500,$AN3500)=1)),"TRUE","FALSE")</f>
        <v>FALSE</v>
      </c>
      <c r="AI3500" s="661" t="str">
        <f t="shared" si="383"/>
        <v>II</v>
      </c>
      <c r="AJ3500" s="662" t="str">
        <f t="shared" si="377"/>
        <v>PIUT-002</v>
      </c>
      <c r="AK3500" s="662" t="str">
        <f t="shared" si="378"/>
        <v>PPV</v>
      </c>
      <c r="AL3500" s="662" t="str">
        <f t="shared" si="379"/>
        <v>FRD</v>
      </c>
      <c r="AM3500" s="662" t="str">
        <f t="shared" si="382"/>
        <v>PI Utility-Police Interceptor-AWD-5-~-~-3.7L-6-K8A,99R-500A-112.6-18.6-Unleaded-Unleaded</v>
      </c>
      <c r="AN3500" s="662" t="str">
        <f t="shared" si="380"/>
        <v>2019-PPV-FRD-PIUT-002</v>
      </c>
    </row>
    <row r="3501" spans="1:40" ht="15">
      <c r="A3501" s="570" t="s">
        <v>6263</v>
      </c>
      <c r="B3501" s="573" t="s">
        <v>6234</v>
      </c>
      <c r="C3501" s="573" t="s">
        <v>287</v>
      </c>
      <c r="D3501" s="578">
        <v>26</v>
      </c>
      <c r="E3501" s="573" t="s">
        <v>643</v>
      </c>
      <c r="F3501" s="573" t="s">
        <v>6235</v>
      </c>
      <c r="G3501" s="573" t="s">
        <v>271</v>
      </c>
      <c r="H3501" s="573">
        <v>2020</v>
      </c>
      <c r="I3501" s="573" t="s">
        <v>6236</v>
      </c>
      <c r="J3501" s="573" t="s">
        <v>681</v>
      </c>
      <c r="K3501" s="573" t="s">
        <v>230</v>
      </c>
      <c r="L3501" s="573">
        <v>5</v>
      </c>
      <c r="M3501" s="573">
        <v>0</v>
      </c>
      <c r="N3501" s="573" t="s">
        <v>157</v>
      </c>
      <c r="O3501" s="573">
        <v>2</v>
      </c>
      <c r="P3501" s="573" t="s">
        <v>157</v>
      </c>
      <c r="Q3501" s="571" t="s">
        <v>157</v>
      </c>
      <c r="R3501" s="573" t="s">
        <v>6264</v>
      </c>
      <c r="S3501" s="573">
        <v>6</v>
      </c>
      <c r="T3501" s="573" t="s">
        <v>6265</v>
      </c>
      <c r="U3501" s="573" t="s">
        <v>677</v>
      </c>
      <c r="V3501" s="573">
        <v>113</v>
      </c>
      <c r="W3501" s="573">
        <v>19</v>
      </c>
      <c r="X3501" s="568">
        <v>4371</v>
      </c>
      <c r="Y3501" s="573">
        <v>18</v>
      </c>
      <c r="Z3501" s="579" t="s">
        <v>178</v>
      </c>
      <c r="AA3501" s="579" t="s">
        <v>178</v>
      </c>
      <c r="AB3501" s="584">
        <v>42400</v>
      </c>
      <c r="AC3501" s="584" t="s">
        <v>164</v>
      </c>
      <c r="AD3501" s="584">
        <v>37726</v>
      </c>
      <c r="AE3501" s="586">
        <v>0.05</v>
      </c>
      <c r="AF3501" s="661" t="str">
        <f t="shared" si="381"/>
        <v>2020-PPV-FRD-PIUT-003-26</v>
      </c>
      <c r="AG3501" s="661" t="str">
        <f>IF(AND($Y3501&gt;=32,(AI3501="I"),(Y3501&lt;&gt;"~"),(COUNTIF($AN$1:$AN3501,$AN3501)=1)),"TRUE","FALSE")</f>
        <v>FALSE</v>
      </c>
      <c r="AH3501" s="661" t="str">
        <f>IF(AND($Y3501&gt;=22, (AI3501&lt;&gt;"I"),(Y3501&lt;&gt;"~"),(COUNTIF($AN$1:$AN3501,$AN3501)=1)),"TRUE","FALSE")</f>
        <v>FALSE</v>
      </c>
      <c r="AI3501" s="661" t="str">
        <f t="shared" si="383"/>
        <v>II</v>
      </c>
      <c r="AJ3501" s="662" t="str">
        <f t="shared" si="377"/>
        <v>PIUT-003</v>
      </c>
      <c r="AK3501" s="662" t="str">
        <f t="shared" si="378"/>
        <v>PPV</v>
      </c>
      <c r="AL3501" s="662" t="str">
        <f t="shared" si="379"/>
        <v>FRD</v>
      </c>
      <c r="AM3501" s="662" t="str">
        <f t="shared" si="382"/>
        <v>PI Utility-Police Interceptor-AWD-5-~-~-3.0L EcoBoost-6-K8A-500A-113-19-Unleaded-Unleaded</v>
      </c>
      <c r="AN3501" s="662" t="str">
        <f t="shared" si="380"/>
        <v>2020-PPV-FRD-PIUT-003</v>
      </c>
    </row>
    <row r="3502" spans="1:40" ht="15">
      <c r="A3502" s="570" t="s">
        <v>6266</v>
      </c>
      <c r="B3502" s="569" t="s">
        <v>6254</v>
      </c>
      <c r="C3502" s="569" t="s">
        <v>287</v>
      </c>
      <c r="D3502" s="580">
        <v>26</v>
      </c>
      <c r="E3502" s="569" t="s">
        <v>643</v>
      </c>
      <c r="F3502" s="569" t="s">
        <v>6235</v>
      </c>
      <c r="G3502" s="569" t="s">
        <v>271</v>
      </c>
      <c r="H3502" s="569">
        <v>2020</v>
      </c>
      <c r="I3502" s="569" t="s">
        <v>6236</v>
      </c>
      <c r="J3502" s="569" t="s">
        <v>681</v>
      </c>
      <c r="K3502" s="569" t="s">
        <v>230</v>
      </c>
      <c r="L3502" s="569">
        <v>5</v>
      </c>
      <c r="M3502" s="569">
        <v>0</v>
      </c>
      <c r="N3502" s="569" t="s">
        <v>157</v>
      </c>
      <c r="O3502" s="569">
        <v>2</v>
      </c>
      <c r="P3502" s="569" t="s">
        <v>157</v>
      </c>
      <c r="Q3502" s="568" t="s">
        <v>157</v>
      </c>
      <c r="R3502" s="569" t="s">
        <v>6267</v>
      </c>
      <c r="S3502" s="569">
        <v>6</v>
      </c>
      <c r="T3502" s="569" t="s">
        <v>6265</v>
      </c>
      <c r="U3502" s="569" t="s">
        <v>677</v>
      </c>
      <c r="V3502" s="569">
        <v>113</v>
      </c>
      <c r="W3502" s="569">
        <v>19</v>
      </c>
      <c r="X3502" s="568">
        <v>4371</v>
      </c>
      <c r="Y3502" s="569">
        <v>18</v>
      </c>
      <c r="Z3502" s="581" t="s">
        <v>178</v>
      </c>
      <c r="AA3502" s="581" t="s">
        <v>178</v>
      </c>
      <c r="AB3502" s="585">
        <v>41610</v>
      </c>
      <c r="AC3502" s="585" t="s">
        <v>164</v>
      </c>
      <c r="AD3502" s="585">
        <v>36988</v>
      </c>
      <c r="AE3502" s="587">
        <v>0.05</v>
      </c>
      <c r="AF3502" s="661" t="str">
        <f t="shared" si="381"/>
        <v>2020-PPV-FRD-PIUT-004-26</v>
      </c>
      <c r="AG3502" s="661" t="str">
        <f>IF(AND($Y3502&gt;=32,(AI3502="I"),(Y3502&lt;&gt;"~"),(COUNTIF($AN$1:$AN3502,$AN3502)=1)),"TRUE","FALSE")</f>
        <v>FALSE</v>
      </c>
      <c r="AH3502" s="661" t="str">
        <f>IF(AND($Y3502&gt;=22, (AI3502&lt;&gt;"I"),(Y3502&lt;&gt;"~"),(COUNTIF($AN$1:$AN3502,$AN3502)=1)),"TRUE","FALSE")</f>
        <v>FALSE</v>
      </c>
      <c r="AI3502" s="661" t="str">
        <f t="shared" si="383"/>
        <v>II</v>
      </c>
      <c r="AJ3502" s="662" t="str">
        <f t="shared" si="377"/>
        <v>PIUT-004</v>
      </c>
      <c r="AK3502" s="662" t="str">
        <f t="shared" si="378"/>
        <v>PPV</v>
      </c>
      <c r="AL3502" s="662" t="str">
        <f t="shared" si="379"/>
        <v>FRD</v>
      </c>
      <c r="AM3502" s="662" t="str">
        <f t="shared" si="382"/>
        <v>PI Utility-Police Interceptor-AWD-5-~-~-3.3L V6 DI HEV-6-K8A-500A-113-19-Unleaded-Unleaded</v>
      </c>
      <c r="AN3502" s="662" t="str">
        <f t="shared" si="380"/>
        <v>2020-PPV-FRD-PIUT-004</v>
      </c>
    </row>
    <row r="3503" spans="1:40" ht="15">
      <c r="A3503" s="570" t="s">
        <v>6266</v>
      </c>
      <c r="B3503" s="573" t="s">
        <v>6254</v>
      </c>
      <c r="C3503" s="573" t="s">
        <v>287</v>
      </c>
      <c r="D3503" s="578">
        <v>26</v>
      </c>
      <c r="E3503" s="573" t="s">
        <v>643</v>
      </c>
      <c r="F3503" s="573" t="s">
        <v>6235</v>
      </c>
      <c r="G3503" s="573" t="s">
        <v>271</v>
      </c>
      <c r="H3503" s="573">
        <v>2020</v>
      </c>
      <c r="I3503" s="573" t="s">
        <v>6236</v>
      </c>
      <c r="J3503" s="573" t="s">
        <v>681</v>
      </c>
      <c r="K3503" s="573" t="s">
        <v>230</v>
      </c>
      <c r="L3503" s="573">
        <v>5</v>
      </c>
      <c r="M3503" s="573">
        <v>0</v>
      </c>
      <c r="N3503" s="573" t="s">
        <v>157</v>
      </c>
      <c r="O3503" s="573">
        <v>2</v>
      </c>
      <c r="P3503" s="573" t="s">
        <v>157</v>
      </c>
      <c r="Q3503" s="571" t="s">
        <v>157</v>
      </c>
      <c r="R3503" s="573" t="s">
        <v>6268</v>
      </c>
      <c r="S3503" s="573">
        <v>6</v>
      </c>
      <c r="T3503" s="573" t="s">
        <v>6265</v>
      </c>
      <c r="U3503" s="573" t="s">
        <v>677</v>
      </c>
      <c r="V3503" s="573">
        <v>113</v>
      </c>
      <c r="W3503" s="573">
        <v>19</v>
      </c>
      <c r="X3503" s="568">
        <v>4371</v>
      </c>
      <c r="Y3503" s="573">
        <v>18</v>
      </c>
      <c r="Z3503" s="579" t="s">
        <v>178</v>
      </c>
      <c r="AA3503" s="579" t="s">
        <v>178</v>
      </c>
      <c r="AB3503" s="584">
        <v>38090</v>
      </c>
      <c r="AC3503" s="584" t="s">
        <v>164</v>
      </c>
      <c r="AD3503" s="584">
        <v>33690</v>
      </c>
      <c r="AE3503" s="586">
        <v>0.05</v>
      </c>
      <c r="AF3503" s="661" t="str">
        <f t="shared" si="381"/>
        <v>2020-PPV-FRD-PIUT-004-26</v>
      </c>
      <c r="AG3503" s="661" t="str">
        <f>IF(AND($Y3503&gt;=32,(AI3503="I"),(Y3503&lt;&gt;"~"),(COUNTIF($AN$1:$AN3503,$AN3503)=1)),"TRUE","FALSE")</f>
        <v>FALSE</v>
      </c>
      <c r="AH3503" s="661" t="str">
        <f>IF(AND($Y3503&gt;=22, (AI3503&lt;&gt;"I"),(Y3503&lt;&gt;"~"),(COUNTIF($AN$1:$AN3503,$AN3503)=1)),"TRUE","FALSE")</f>
        <v>FALSE</v>
      </c>
      <c r="AI3503" s="661" t="str">
        <f t="shared" si="383"/>
        <v>II</v>
      </c>
      <c r="AJ3503" s="662" t="str">
        <f t="shared" si="377"/>
        <v>PIUT-004</v>
      </c>
      <c r="AK3503" s="662" t="str">
        <f t="shared" si="378"/>
        <v>PPV</v>
      </c>
      <c r="AL3503" s="662" t="str">
        <f t="shared" si="379"/>
        <v>FRD</v>
      </c>
      <c r="AM3503" s="662" t="str">
        <f t="shared" si="382"/>
        <v>PI Utility-Police Interceptor-AWD-5-~-~-3.3L V6 DI-6-K8A-500A-113-19-Unleaded-Unleaded</v>
      </c>
      <c r="AN3503" s="662" t="str">
        <f t="shared" si="380"/>
        <v>2020-PPV-FRD-PIUT-004</v>
      </c>
    </row>
    <row r="3504" spans="1:40" ht="15">
      <c r="A3504" s="570" t="s">
        <v>6269</v>
      </c>
      <c r="B3504" s="569" t="s">
        <v>6254</v>
      </c>
      <c r="C3504" s="569" t="s">
        <v>280</v>
      </c>
      <c r="D3504" s="580">
        <v>27</v>
      </c>
      <c r="E3504" s="569" t="s">
        <v>643</v>
      </c>
      <c r="F3504" s="569" t="s">
        <v>6235</v>
      </c>
      <c r="G3504" s="569" t="s">
        <v>271</v>
      </c>
      <c r="H3504" s="569">
        <v>2020</v>
      </c>
      <c r="I3504" s="569" t="s">
        <v>6236</v>
      </c>
      <c r="J3504" s="569" t="s">
        <v>681</v>
      </c>
      <c r="K3504" s="569" t="s">
        <v>230</v>
      </c>
      <c r="L3504" s="569">
        <v>5</v>
      </c>
      <c r="M3504" s="569">
        <v>0</v>
      </c>
      <c r="N3504" s="569" t="s">
        <v>157</v>
      </c>
      <c r="O3504" s="569">
        <v>2</v>
      </c>
      <c r="P3504" s="569" t="s">
        <v>157</v>
      </c>
      <c r="Q3504" s="568" t="s">
        <v>157</v>
      </c>
      <c r="R3504" s="569" t="s">
        <v>1322</v>
      </c>
      <c r="S3504" s="569">
        <v>6</v>
      </c>
      <c r="T3504" s="569" t="s">
        <v>6255</v>
      </c>
      <c r="U3504" s="569" t="s">
        <v>677</v>
      </c>
      <c r="V3504" s="569">
        <v>113</v>
      </c>
      <c r="W3504" s="569">
        <v>19</v>
      </c>
      <c r="X3504" s="568">
        <v>4672</v>
      </c>
      <c r="Y3504" s="569">
        <v>18</v>
      </c>
      <c r="Z3504" s="581" t="s">
        <v>666</v>
      </c>
      <c r="AA3504" s="581" t="s">
        <v>666</v>
      </c>
      <c r="AB3504" s="585">
        <v>38080</v>
      </c>
      <c r="AC3504" s="585" t="s">
        <v>164</v>
      </c>
      <c r="AD3504" s="585">
        <v>33067.020833333328</v>
      </c>
      <c r="AE3504" s="587">
        <v>0.03</v>
      </c>
      <c r="AF3504" s="661" t="str">
        <f t="shared" si="381"/>
        <v>2020-PPV-FRD-PIUT-004-27</v>
      </c>
      <c r="AG3504" s="661" t="str">
        <f>IF(AND($Y3504&gt;=32,(AI3504="I"),(Y3504&lt;&gt;"~"),(COUNTIF($AN$1:$AN3504,$AN3504)=1)),"TRUE","FALSE")</f>
        <v>FALSE</v>
      </c>
      <c r="AH3504" s="661" t="str">
        <f>IF(AND($Y3504&gt;=22, (AI3504&lt;&gt;"I"),(Y3504&lt;&gt;"~"),(COUNTIF($AN$1:$AN3504,$AN3504)=1)),"TRUE","FALSE")</f>
        <v>FALSE</v>
      </c>
      <c r="AI3504" s="661" t="str">
        <f t="shared" si="383"/>
        <v>II</v>
      </c>
      <c r="AJ3504" s="662" t="str">
        <f t="shared" si="377"/>
        <v>PIUT-004</v>
      </c>
      <c r="AK3504" s="662" t="str">
        <f t="shared" si="378"/>
        <v>PPV</v>
      </c>
      <c r="AL3504" s="662" t="str">
        <f t="shared" si="379"/>
        <v>FRD</v>
      </c>
      <c r="AM3504" s="662" t="str">
        <f t="shared" si="382"/>
        <v xml:space="preserve">PI Utility-Police Interceptor-AWD-5-~-~-3.3L-6-K8A,99B-500A-113-19-Unleaded -Unleaded </v>
      </c>
      <c r="AN3504" s="662" t="str">
        <f t="shared" si="380"/>
        <v>2020-PPV-FRD-PIUT-004</v>
      </c>
    </row>
    <row r="3505" spans="1:40" ht="15">
      <c r="A3505" s="570" t="s">
        <v>6270</v>
      </c>
      <c r="B3505" s="573" t="s">
        <v>6257</v>
      </c>
      <c r="C3505" s="573" t="s">
        <v>280</v>
      </c>
      <c r="D3505" s="578">
        <v>27</v>
      </c>
      <c r="E3505" s="573" t="s">
        <v>643</v>
      </c>
      <c r="F3505" s="573" t="s">
        <v>6235</v>
      </c>
      <c r="G3505" s="573" t="s">
        <v>271</v>
      </c>
      <c r="H3505" s="573">
        <v>2019</v>
      </c>
      <c r="I3505" s="573" t="s">
        <v>6236</v>
      </c>
      <c r="J3505" s="573" t="s">
        <v>681</v>
      </c>
      <c r="K3505" s="573" t="s">
        <v>230</v>
      </c>
      <c r="L3505" s="573">
        <v>5</v>
      </c>
      <c r="M3505" s="573">
        <v>0</v>
      </c>
      <c r="N3505" s="573" t="s">
        <v>157</v>
      </c>
      <c r="O3505" s="573">
        <v>2</v>
      </c>
      <c r="P3505" s="573" t="s">
        <v>157</v>
      </c>
      <c r="Q3505" s="571" t="s">
        <v>157</v>
      </c>
      <c r="R3505" s="573" t="s">
        <v>682</v>
      </c>
      <c r="S3505" s="573">
        <v>6</v>
      </c>
      <c r="T3505" s="573" t="s">
        <v>6258</v>
      </c>
      <c r="U3505" s="573" t="s">
        <v>677</v>
      </c>
      <c r="V3505" s="573">
        <v>112.6</v>
      </c>
      <c r="W3505" s="573">
        <v>18.600000000000001</v>
      </c>
      <c r="X3505" s="571">
        <v>4672</v>
      </c>
      <c r="Y3505" s="573">
        <v>18</v>
      </c>
      <c r="Z3505" s="579" t="s">
        <v>666</v>
      </c>
      <c r="AA3505" s="579" t="s">
        <v>666</v>
      </c>
      <c r="AB3505" s="584">
        <v>33265</v>
      </c>
      <c r="AC3505" s="584" t="s">
        <v>164</v>
      </c>
      <c r="AD3505" s="584">
        <v>28295</v>
      </c>
      <c r="AE3505" s="586">
        <v>0.03</v>
      </c>
      <c r="AF3505" s="661" t="str">
        <f t="shared" si="381"/>
        <v>2019-PPV-FRD-PIUT-002-27</v>
      </c>
      <c r="AG3505" s="661" t="str">
        <f>IF(AND($Y3505&gt;=32,(AI3505="I"),(Y3505&lt;&gt;"~"),(COUNTIF($AN$1:$AN3505,$AN3505)=1)),"TRUE","FALSE")</f>
        <v>FALSE</v>
      </c>
      <c r="AH3505" s="661" t="str">
        <f>IF(AND($Y3505&gt;=22, (AI3505&lt;&gt;"I"),(Y3505&lt;&gt;"~"),(COUNTIF($AN$1:$AN3505,$AN3505)=1)),"TRUE","FALSE")</f>
        <v>FALSE</v>
      </c>
      <c r="AI3505" s="661" t="str">
        <f t="shared" si="383"/>
        <v>II</v>
      </c>
      <c r="AJ3505" s="662" t="str">
        <f t="shared" si="377"/>
        <v>PIUT-002</v>
      </c>
      <c r="AK3505" s="662" t="str">
        <f t="shared" si="378"/>
        <v>PPV</v>
      </c>
      <c r="AL3505" s="662" t="str">
        <f t="shared" si="379"/>
        <v>FRD</v>
      </c>
      <c r="AM3505" s="662" t="str">
        <f t="shared" si="382"/>
        <v xml:space="preserve">PI Utility-Police Interceptor-AWD-5-~-~-3.7L-6-K8A,99R-500A-112.6-18.6-Unleaded -Unleaded </v>
      </c>
      <c r="AN3505" s="662" t="str">
        <f t="shared" si="380"/>
        <v>2019-PPV-FRD-PIUT-002</v>
      </c>
    </row>
    <row r="3506" spans="1:40" ht="30">
      <c r="A3506" s="570" t="s">
        <v>6271</v>
      </c>
      <c r="B3506" s="569" t="s">
        <v>6272</v>
      </c>
      <c r="C3506" s="569" t="s">
        <v>1889</v>
      </c>
      <c r="D3506" s="580">
        <v>25</v>
      </c>
      <c r="E3506" s="569" t="s">
        <v>6273</v>
      </c>
      <c r="F3506" s="569" t="s">
        <v>1897</v>
      </c>
      <c r="G3506" s="569" t="s">
        <v>3265</v>
      </c>
      <c r="H3506" s="569">
        <v>2019</v>
      </c>
      <c r="I3506" s="569" t="s">
        <v>6274</v>
      </c>
      <c r="J3506" s="569" t="s">
        <v>164</v>
      </c>
      <c r="K3506" s="569" t="s">
        <v>156</v>
      </c>
      <c r="L3506" s="569">
        <v>11</v>
      </c>
      <c r="M3506" s="569">
        <v>2</v>
      </c>
      <c r="N3506" s="569" t="s">
        <v>6275</v>
      </c>
      <c r="O3506" s="569" t="s">
        <v>6276</v>
      </c>
      <c r="P3506" s="569">
        <v>110</v>
      </c>
      <c r="Q3506" s="568" t="s">
        <v>164</v>
      </c>
      <c r="R3506" s="569" t="s">
        <v>682</v>
      </c>
      <c r="S3506" s="569">
        <v>6</v>
      </c>
      <c r="T3506" s="569" t="s">
        <v>6277</v>
      </c>
      <c r="U3506" s="569" t="s">
        <v>252</v>
      </c>
      <c r="V3506" s="569">
        <v>179.8</v>
      </c>
      <c r="W3506" s="569">
        <v>24</v>
      </c>
      <c r="X3506" s="568">
        <v>9350</v>
      </c>
      <c r="Y3506" s="573">
        <v>12</v>
      </c>
      <c r="Z3506" s="581" t="s">
        <v>450</v>
      </c>
      <c r="AA3506" s="581" t="s">
        <v>178</v>
      </c>
      <c r="AB3506" s="585">
        <v>33005</v>
      </c>
      <c r="AC3506" s="585">
        <v>108073</v>
      </c>
      <c r="AD3506" s="585">
        <v>91576</v>
      </c>
      <c r="AE3506" s="587">
        <v>0.05</v>
      </c>
      <c r="AF3506" s="661" t="str">
        <f t="shared" si="381"/>
        <v>2019-BUS-RAM-PM3C-008-25</v>
      </c>
      <c r="AG3506" s="661" t="str">
        <f>IF(AND($Y3506&gt;=32,(AI3506="I"),(Y3506&lt;&gt;"~"),(COUNTIF($AN$1:$AN3506,$AN3506)=1)),"TRUE","FALSE")</f>
        <v>FALSE</v>
      </c>
      <c r="AH3506" s="661" t="str">
        <f>IF(AND($Y3506&gt;=22, (AI3506&lt;&gt;"I"),(Y3506&lt;&gt;"~"),(COUNTIF($AN$1:$AN3506,$AN3506)=1)),"TRUE","FALSE")</f>
        <v>FALSE</v>
      </c>
      <c r="AI3506" s="661" t="str">
        <f t="shared" si="383"/>
        <v>II</v>
      </c>
      <c r="AJ3506" s="662" t="str">
        <f t="shared" si="377"/>
        <v>PM3C-008</v>
      </c>
      <c r="AK3506" s="662" t="str">
        <f t="shared" si="378"/>
        <v>BUS</v>
      </c>
      <c r="AL3506" s="662" t="str">
        <f t="shared" si="379"/>
        <v>RAM</v>
      </c>
      <c r="AM3506" s="662" t="str">
        <f t="shared" si="382"/>
        <v>Promaster 3500 Cutaway-N/A-FWD-11-110-N/A-3.7L-6-VF3L34-21A-179.8-24-E85-Unleaded</v>
      </c>
      <c r="AN3506" s="662" t="str">
        <f t="shared" si="380"/>
        <v>2019-BUS-RAM-PM3C-008</v>
      </c>
    </row>
    <row r="3507" spans="1:40" ht="30">
      <c r="A3507" s="570" t="s">
        <v>6278</v>
      </c>
      <c r="B3507" s="573" t="s">
        <v>6279</v>
      </c>
      <c r="C3507" s="573" t="s">
        <v>1889</v>
      </c>
      <c r="D3507" s="578">
        <v>25</v>
      </c>
      <c r="E3507" s="573" t="s">
        <v>6273</v>
      </c>
      <c r="F3507" s="573" t="s">
        <v>1897</v>
      </c>
      <c r="G3507" s="573" t="s">
        <v>3265</v>
      </c>
      <c r="H3507" s="573">
        <v>2019</v>
      </c>
      <c r="I3507" s="573" t="s">
        <v>6274</v>
      </c>
      <c r="J3507" s="573" t="s">
        <v>164</v>
      </c>
      <c r="K3507" s="573" t="s">
        <v>156</v>
      </c>
      <c r="L3507" s="573">
        <v>13</v>
      </c>
      <c r="M3507" s="573">
        <v>1</v>
      </c>
      <c r="N3507" s="573" t="s">
        <v>6275</v>
      </c>
      <c r="O3507" s="573" t="s">
        <v>6280</v>
      </c>
      <c r="P3507" s="573">
        <v>110</v>
      </c>
      <c r="Q3507" s="571" t="s">
        <v>164</v>
      </c>
      <c r="R3507" s="573" t="s">
        <v>682</v>
      </c>
      <c r="S3507" s="573">
        <v>6</v>
      </c>
      <c r="T3507" s="573" t="s">
        <v>6277</v>
      </c>
      <c r="U3507" s="573" t="s">
        <v>252</v>
      </c>
      <c r="V3507" s="573">
        <v>179.8</v>
      </c>
      <c r="W3507" s="573">
        <v>24</v>
      </c>
      <c r="X3507" s="571">
        <v>9350</v>
      </c>
      <c r="Y3507" s="573">
        <v>12</v>
      </c>
      <c r="Z3507" s="579" t="s">
        <v>450</v>
      </c>
      <c r="AA3507" s="579" t="s">
        <v>178</v>
      </c>
      <c r="AB3507" s="584">
        <v>33005</v>
      </c>
      <c r="AC3507" s="584">
        <v>106285</v>
      </c>
      <c r="AD3507" s="584">
        <v>90569</v>
      </c>
      <c r="AE3507" s="586">
        <v>0.05</v>
      </c>
      <c r="AF3507" s="661" t="str">
        <f t="shared" si="381"/>
        <v>2019-BUS-RAM-PM3C-009-25</v>
      </c>
      <c r="AG3507" s="661" t="str">
        <f>IF(AND($Y3507&gt;=32,(AI3507="I"),(Y3507&lt;&gt;"~"),(COUNTIF($AN$1:$AN3507,$AN3507)=1)),"TRUE","FALSE")</f>
        <v>FALSE</v>
      </c>
      <c r="AH3507" s="661" t="str">
        <f>IF(AND($Y3507&gt;=22, (AI3507&lt;&gt;"I"),(Y3507&lt;&gt;"~"),(COUNTIF($AN$1:$AN3507,$AN3507)=1)),"TRUE","FALSE")</f>
        <v>FALSE</v>
      </c>
      <c r="AI3507" s="661" t="str">
        <f t="shared" si="383"/>
        <v>II</v>
      </c>
      <c r="AJ3507" s="662" t="str">
        <f t="shared" si="377"/>
        <v>PM3C-009</v>
      </c>
      <c r="AK3507" s="662" t="str">
        <f t="shared" si="378"/>
        <v>BUS</v>
      </c>
      <c r="AL3507" s="662" t="str">
        <f t="shared" si="379"/>
        <v>RAM</v>
      </c>
      <c r="AM3507" s="662" t="str">
        <f t="shared" si="382"/>
        <v>Promaster 3500 Cutaway-N/A-FWD-13-110-N/A-3.7L-6-VF3L34-21A-179.8-24-E85-Unleaded</v>
      </c>
      <c r="AN3507" s="662" t="str">
        <f t="shared" si="380"/>
        <v>2019-BUS-RAM-PM3C-009</v>
      </c>
    </row>
    <row r="3508" spans="1:40" ht="30">
      <c r="A3508" s="570" t="s">
        <v>6281</v>
      </c>
      <c r="B3508" s="569" t="s">
        <v>6282</v>
      </c>
      <c r="C3508" s="569" t="s">
        <v>1889</v>
      </c>
      <c r="D3508" s="580">
        <v>25</v>
      </c>
      <c r="E3508" s="569" t="s">
        <v>6273</v>
      </c>
      <c r="F3508" s="569" t="s">
        <v>1897</v>
      </c>
      <c r="G3508" s="569" t="s">
        <v>3265</v>
      </c>
      <c r="H3508" s="569">
        <v>2019</v>
      </c>
      <c r="I3508" s="569" t="s">
        <v>6274</v>
      </c>
      <c r="J3508" s="569" t="s">
        <v>164</v>
      </c>
      <c r="K3508" s="569" t="s">
        <v>156</v>
      </c>
      <c r="L3508" s="569">
        <v>9</v>
      </c>
      <c r="M3508" s="569">
        <v>3</v>
      </c>
      <c r="N3508" s="569" t="s">
        <v>6275</v>
      </c>
      <c r="O3508" s="569" t="s">
        <v>6283</v>
      </c>
      <c r="P3508" s="569">
        <v>110</v>
      </c>
      <c r="Q3508" s="568" t="s">
        <v>164</v>
      </c>
      <c r="R3508" s="569" t="s">
        <v>682</v>
      </c>
      <c r="S3508" s="569">
        <v>6</v>
      </c>
      <c r="T3508" s="569" t="s">
        <v>6277</v>
      </c>
      <c r="U3508" s="569" t="s">
        <v>252</v>
      </c>
      <c r="V3508" s="569">
        <v>179.8</v>
      </c>
      <c r="W3508" s="569">
        <v>24</v>
      </c>
      <c r="X3508" s="568">
        <v>9350</v>
      </c>
      <c r="Y3508" s="573">
        <v>12</v>
      </c>
      <c r="Z3508" s="581" t="s">
        <v>450</v>
      </c>
      <c r="AA3508" s="581" t="s">
        <v>178</v>
      </c>
      <c r="AB3508" s="585">
        <v>33005</v>
      </c>
      <c r="AC3508" s="585">
        <v>109614</v>
      </c>
      <c r="AD3508" s="585">
        <v>92614</v>
      </c>
      <c r="AE3508" s="587">
        <v>0.05</v>
      </c>
      <c r="AF3508" s="661" t="str">
        <f t="shared" si="381"/>
        <v>2019-BUS-RAM-PM3C-010-25</v>
      </c>
      <c r="AG3508" s="661" t="str">
        <f>IF(AND($Y3508&gt;=32,(AI3508="I"),(Y3508&lt;&gt;"~"),(COUNTIF($AN$1:$AN3508,$AN3508)=1)),"TRUE","FALSE")</f>
        <v>FALSE</v>
      </c>
      <c r="AH3508" s="661" t="str">
        <f>IF(AND($Y3508&gt;=22, (AI3508&lt;&gt;"I"),(Y3508&lt;&gt;"~"),(COUNTIF($AN$1:$AN3508,$AN3508)=1)),"TRUE","FALSE")</f>
        <v>FALSE</v>
      </c>
      <c r="AI3508" s="661" t="str">
        <f t="shared" si="383"/>
        <v>II</v>
      </c>
      <c r="AJ3508" s="662" t="str">
        <f t="shared" si="377"/>
        <v>PM3C-010</v>
      </c>
      <c r="AK3508" s="662" t="str">
        <f t="shared" si="378"/>
        <v>BUS</v>
      </c>
      <c r="AL3508" s="662" t="str">
        <f t="shared" si="379"/>
        <v>RAM</v>
      </c>
      <c r="AM3508" s="662" t="str">
        <f t="shared" si="382"/>
        <v>Promaster 3500 Cutaway-N/A-FWD-9-110-N/A-3.7L-6-VF3L34-21A-179.8-24-E85-Unleaded</v>
      </c>
      <c r="AN3508" s="662" t="str">
        <f t="shared" si="380"/>
        <v>2019-BUS-RAM-PM3C-010</v>
      </c>
    </row>
    <row r="3509" spans="1:40" ht="15">
      <c r="A3509" s="570" t="s">
        <v>6284</v>
      </c>
      <c r="B3509" s="573" t="s">
        <v>6285</v>
      </c>
      <c r="C3509" s="573" t="s">
        <v>240</v>
      </c>
      <c r="D3509" s="578">
        <v>8</v>
      </c>
      <c r="E3509" s="573" t="s">
        <v>1516</v>
      </c>
      <c r="F3509" s="573" t="s">
        <v>1646</v>
      </c>
      <c r="G3509" s="573" t="s">
        <v>228</v>
      </c>
      <c r="H3509" s="573">
        <v>2020</v>
      </c>
      <c r="I3509" s="573" t="s">
        <v>6286</v>
      </c>
      <c r="J3509" s="573" t="s">
        <v>612</v>
      </c>
      <c r="K3509" s="573" t="s">
        <v>156</v>
      </c>
      <c r="L3509" s="573">
        <v>8</v>
      </c>
      <c r="M3509" s="573">
        <v>0</v>
      </c>
      <c r="N3509" s="573" t="s">
        <v>157</v>
      </c>
      <c r="O3509" s="573">
        <v>3</v>
      </c>
      <c r="P3509" s="573">
        <v>69.900000000000006</v>
      </c>
      <c r="Q3509" s="571">
        <v>3600</v>
      </c>
      <c r="R3509" s="573" t="s">
        <v>231</v>
      </c>
      <c r="S3509" s="573">
        <v>6</v>
      </c>
      <c r="T3509" s="573" t="s">
        <v>1648</v>
      </c>
      <c r="U3509" s="573" t="s">
        <v>5455</v>
      </c>
      <c r="V3509" s="573">
        <v>121.6</v>
      </c>
      <c r="W3509" s="573">
        <v>19</v>
      </c>
      <c r="X3509" s="568">
        <v>6055</v>
      </c>
      <c r="Y3509" s="573">
        <v>22</v>
      </c>
      <c r="Z3509" s="579" t="s">
        <v>178</v>
      </c>
      <c r="AA3509" s="579" t="s">
        <v>178</v>
      </c>
      <c r="AB3509" s="584">
        <v>28480</v>
      </c>
      <c r="AC3509" s="584" t="s">
        <v>164</v>
      </c>
      <c r="AD3509" s="584">
        <v>23990</v>
      </c>
      <c r="AE3509" s="586">
        <v>0.05</v>
      </c>
      <c r="AF3509" s="661" t="str">
        <f t="shared" si="381"/>
        <v>2020-LVN-CRY-VYGR-001-8</v>
      </c>
      <c r="AG3509" s="661" t="str">
        <f>IF(AND($Y3509&gt;=32,(AI3509="I"),(Y3509&lt;&gt;"~"),(COUNTIF($AN$1:$AN3509,$AN3509)=1)),"TRUE","FALSE")</f>
        <v>FALSE</v>
      </c>
      <c r="AH3509" s="661" t="str">
        <f>IF(AND($Y3509&gt;=22, (AI3509&lt;&gt;"I"),(Y3509&lt;&gt;"~"),(COUNTIF($AN$1:$AN3509,$AN3509)=1)),"TRUE","FALSE")</f>
        <v>TRUE</v>
      </c>
      <c r="AI3509" s="661" t="str">
        <f t="shared" si="383"/>
        <v>II</v>
      </c>
      <c r="AJ3509" s="662" t="str">
        <f t="shared" ref="AJ3509:AJ3512" si="384">MID(A3509,14,8)</f>
        <v>VYGR-001</v>
      </c>
      <c r="AK3509" s="662" t="str">
        <f t="shared" ref="AK3509:AK3512" si="385">MID(A3509,6,3)</f>
        <v>LVN</v>
      </c>
      <c r="AL3509" s="662" t="str">
        <f t="shared" ref="AL3509:AL3512" si="386">MID(A3509,10,3)</f>
        <v>CRY</v>
      </c>
      <c r="AM3509" s="662" t="str">
        <f t="shared" ref="AM3509:AM3512" si="387">CONCATENATE(I3509,"-",J3509,"-",K3509,"-",L3509,"-",P3509,"-",Q3509,"-",R3509,"-",S3509,"-",T3509,"-",U3509,"-",V3509,"-",W3509,"-",Z3509,"-",AA3509)</f>
        <v>Voyager-L-FWD-8-69.9-3600-3.6L-6-RUCE53-27B-121.6-19-Unleaded-Unleaded</v>
      </c>
      <c r="AN3509" s="662" t="str">
        <f t="shared" ref="AN3509:AN3512" si="388">LEFT(A3509,21)</f>
        <v>2020-LVN-CRY-VYGR-001</v>
      </c>
    </row>
    <row r="3510" spans="1:40" ht="15">
      <c r="A3510" s="570" t="s">
        <v>6287</v>
      </c>
      <c r="B3510" s="569" t="s">
        <v>6288</v>
      </c>
      <c r="C3510" s="569" t="s">
        <v>226</v>
      </c>
      <c r="D3510" s="580" t="s">
        <v>6289</v>
      </c>
      <c r="E3510" s="569" t="s">
        <v>1516</v>
      </c>
      <c r="F3510" s="569" t="s">
        <v>1646</v>
      </c>
      <c r="G3510" s="569" t="s">
        <v>228</v>
      </c>
      <c r="H3510" s="569">
        <v>2020</v>
      </c>
      <c r="I3510" s="569" t="s">
        <v>6286</v>
      </c>
      <c r="J3510" s="569" t="s">
        <v>1313</v>
      </c>
      <c r="K3510" s="569" t="s">
        <v>156</v>
      </c>
      <c r="L3510" s="569">
        <v>7</v>
      </c>
      <c r="M3510" s="569">
        <v>0</v>
      </c>
      <c r="N3510" s="569" t="s">
        <v>157</v>
      </c>
      <c r="O3510" s="569">
        <v>3</v>
      </c>
      <c r="P3510" s="569">
        <v>69.900000000000006</v>
      </c>
      <c r="Q3510" s="568">
        <v>3600</v>
      </c>
      <c r="R3510" s="569" t="s">
        <v>231</v>
      </c>
      <c r="S3510" s="569">
        <v>6</v>
      </c>
      <c r="T3510" s="569" t="s">
        <v>1653</v>
      </c>
      <c r="U3510" s="569" t="s">
        <v>1654</v>
      </c>
      <c r="V3510" s="569">
        <v>121.6</v>
      </c>
      <c r="W3510" s="569">
        <v>19</v>
      </c>
      <c r="X3510" s="568">
        <v>6005</v>
      </c>
      <c r="Y3510" s="569">
        <v>22</v>
      </c>
      <c r="Z3510" s="581" t="s">
        <v>178</v>
      </c>
      <c r="AA3510" s="581" t="s">
        <v>178</v>
      </c>
      <c r="AB3510" s="585">
        <v>31290</v>
      </c>
      <c r="AC3510" s="585" t="s">
        <v>164</v>
      </c>
      <c r="AD3510" s="585">
        <v>26596</v>
      </c>
      <c r="AE3510" s="587">
        <v>6.25E-2</v>
      </c>
      <c r="AF3510" s="661" t="str">
        <f>A3510</f>
        <v>2020-LVN-CRY-VYGR-002-4</v>
      </c>
      <c r="AG3510" s="661" t="str">
        <f>IF(AND($Y3510&gt;=32,(AI3510="I"),(Y3510&lt;&gt;"~"),(COUNTIF($AN$1:$AN3510,$AN3510)=1)),"TRUE","FALSE")</f>
        <v>FALSE</v>
      </c>
      <c r="AH3510" s="661" t="str">
        <f>IF(AND($Y3510&gt;=22, (AI3510&lt;&gt;"I"),(Y3510&lt;&gt;"~"),(COUNTIF($AN$1:$AN3510,$AN3510)=1)),"TRUE","FALSE")</f>
        <v>TRUE</v>
      </c>
      <c r="AI3510" s="661" t="str">
        <f>IF(OR((LEFT($E3510,2)="01"),AND(LEFT($E3510,2)="06",ISNUMBER(SEARCH("pas",$F3510))),AND(LEFT($E3510,2)="05",ISNUMBER(SEARCH("pas",$F3510)))),"I",IF(AND((LEFT($E3510,2)&lt;&gt;"01"),$X3510&lt;=10000),"II",IF(AND((LEFT($E3510,2)&lt;&gt;"01"),$X3510&gt;10000),"N/A")))</f>
        <v>II</v>
      </c>
      <c r="AJ3510" s="662" t="str">
        <f>MID(A3510,14,8)</f>
        <v>VYGR-002</v>
      </c>
      <c r="AK3510" s="662" t="str">
        <f>MID(A3510,6,3)</f>
        <v>LVN</v>
      </c>
      <c r="AL3510" s="662" t="str">
        <f>MID(A3510,10,3)</f>
        <v>CRY</v>
      </c>
      <c r="AM3510" s="662" t="str">
        <f>CONCATENATE(I3510,"-",J3510,"-",K3510,"-",L3510,"-",P3510,"-",Q3510,"-",R3510,"-",S3510,"-",T3510,"-",U3510,"-",V3510,"-",W3510,"-",Z3510,"-",AA3510)</f>
        <v>Voyager-LX-FWD-7-69.9-3600-3.6L-6-RUCL53-27E-121.6-19-Unleaded-Unleaded</v>
      </c>
      <c r="AN3510" s="662" t="str">
        <f>LEFT(A3510,21)</f>
        <v>2020-LVN-CRY-VYGR-002</v>
      </c>
    </row>
    <row r="3511" spans="1:40" ht="15">
      <c r="A3511" s="570" t="s">
        <v>6290</v>
      </c>
      <c r="B3511" s="569" t="s">
        <v>6288</v>
      </c>
      <c r="C3511" s="569" t="s">
        <v>240</v>
      </c>
      <c r="D3511" s="580">
        <v>8</v>
      </c>
      <c r="E3511" s="569" t="s">
        <v>1516</v>
      </c>
      <c r="F3511" s="569" t="s">
        <v>1646</v>
      </c>
      <c r="G3511" s="569" t="s">
        <v>228</v>
      </c>
      <c r="H3511" s="569">
        <v>2020</v>
      </c>
      <c r="I3511" s="569" t="s">
        <v>6286</v>
      </c>
      <c r="J3511" s="569" t="s">
        <v>1313</v>
      </c>
      <c r="K3511" s="569" t="s">
        <v>156</v>
      </c>
      <c r="L3511" s="569">
        <v>7</v>
      </c>
      <c r="M3511" s="569">
        <v>0</v>
      </c>
      <c r="N3511" s="569" t="s">
        <v>157</v>
      </c>
      <c r="O3511" s="569">
        <v>3</v>
      </c>
      <c r="P3511" s="569">
        <v>69.900000000000006</v>
      </c>
      <c r="Q3511" s="568">
        <v>3600</v>
      </c>
      <c r="R3511" s="569" t="s">
        <v>231</v>
      </c>
      <c r="S3511" s="569">
        <v>6</v>
      </c>
      <c r="T3511" s="569" t="s">
        <v>1653</v>
      </c>
      <c r="U3511" s="569" t="s">
        <v>1654</v>
      </c>
      <c r="V3511" s="569">
        <v>121.6</v>
      </c>
      <c r="W3511" s="569">
        <v>19</v>
      </c>
      <c r="X3511" s="568">
        <v>6005</v>
      </c>
      <c r="Y3511" s="569">
        <v>22</v>
      </c>
      <c r="Z3511" s="581" t="s">
        <v>178</v>
      </c>
      <c r="AA3511" s="581" t="s">
        <v>178</v>
      </c>
      <c r="AB3511" s="585">
        <v>31290</v>
      </c>
      <c r="AC3511" s="585" t="s">
        <v>164</v>
      </c>
      <c r="AD3511" s="585">
        <v>26750</v>
      </c>
      <c r="AE3511" s="587">
        <v>0.05</v>
      </c>
      <c r="AF3511" s="661" t="str">
        <f t="shared" ref="AF3511:AF3512" si="389">A3511</f>
        <v>2020-LVN-CRY-VYGR-002-8</v>
      </c>
      <c r="AG3511" s="661" t="str">
        <f>IF(AND($Y3511&gt;=32,(AI3511="I"),(Y3511&lt;&gt;"~"),(COUNTIF($AN$1:$AN3511,$AN3511)=1)),"TRUE","FALSE")</f>
        <v>FALSE</v>
      </c>
      <c r="AH3511" s="661" t="str">
        <f>IF(AND($Y3511&gt;=22, (AI3511&lt;&gt;"I"),(Y3511&lt;&gt;"~"),(COUNTIF($AN$1:$AN3511,$AN3511)=1)),"TRUE","FALSE")</f>
        <v>FALSE</v>
      </c>
      <c r="AI3511" s="661" t="str">
        <f t="shared" si="383"/>
        <v>II</v>
      </c>
      <c r="AJ3511" s="662" t="str">
        <f t="shared" si="384"/>
        <v>VYGR-002</v>
      </c>
      <c r="AK3511" s="662" t="str">
        <f t="shared" si="385"/>
        <v>LVN</v>
      </c>
      <c r="AL3511" s="662" t="str">
        <f t="shared" si="386"/>
        <v>CRY</v>
      </c>
      <c r="AM3511" s="662" t="str">
        <f t="shared" si="387"/>
        <v>Voyager-LX-FWD-7-69.9-3600-3.6L-6-RUCL53-27E-121.6-19-Unleaded-Unleaded</v>
      </c>
      <c r="AN3511" s="662" t="str">
        <f t="shared" si="388"/>
        <v>2020-LVN-CRY-VYGR-002</v>
      </c>
    </row>
    <row r="3512" spans="1:40" ht="15">
      <c r="A3512" s="570" t="s">
        <v>6291</v>
      </c>
      <c r="B3512" s="573" t="s">
        <v>6292</v>
      </c>
      <c r="C3512" s="573" t="s">
        <v>240</v>
      </c>
      <c r="D3512" s="578">
        <v>8</v>
      </c>
      <c r="E3512" s="573" t="s">
        <v>1516</v>
      </c>
      <c r="F3512" s="573" t="s">
        <v>1646</v>
      </c>
      <c r="G3512" s="573" t="s">
        <v>228</v>
      </c>
      <c r="H3512" s="573">
        <v>2020</v>
      </c>
      <c r="I3512" s="573" t="s">
        <v>6286</v>
      </c>
      <c r="J3512" s="573" t="s">
        <v>6293</v>
      </c>
      <c r="K3512" s="573" t="s">
        <v>156</v>
      </c>
      <c r="L3512" s="573">
        <v>8</v>
      </c>
      <c r="M3512" s="573">
        <v>0</v>
      </c>
      <c r="N3512" s="573" t="s">
        <v>157</v>
      </c>
      <c r="O3512" s="573">
        <v>3</v>
      </c>
      <c r="P3512" s="573">
        <v>69.900000000000006</v>
      </c>
      <c r="Q3512" s="571">
        <v>3600</v>
      </c>
      <c r="R3512" s="573" t="s">
        <v>231</v>
      </c>
      <c r="S3512" s="573">
        <v>6</v>
      </c>
      <c r="T3512" s="573" t="s">
        <v>1658</v>
      </c>
      <c r="U3512" s="573" t="s">
        <v>1659</v>
      </c>
      <c r="V3512" s="573">
        <v>121.6</v>
      </c>
      <c r="W3512" s="573">
        <v>19</v>
      </c>
      <c r="X3512" s="571">
        <v>6005</v>
      </c>
      <c r="Y3512" s="573">
        <v>22</v>
      </c>
      <c r="Z3512" s="579" t="s">
        <v>178</v>
      </c>
      <c r="AA3512" s="579" t="s">
        <v>178</v>
      </c>
      <c r="AB3512" s="584">
        <v>34490</v>
      </c>
      <c r="AC3512" s="584" t="s">
        <v>164</v>
      </c>
      <c r="AD3512" s="584">
        <v>28990</v>
      </c>
      <c r="AE3512" s="586">
        <v>0.05</v>
      </c>
      <c r="AF3512" s="661" t="str">
        <f t="shared" si="389"/>
        <v>2020-LVN-CRY-VYGR-003-8</v>
      </c>
      <c r="AG3512" s="661" t="str">
        <f>IF(AND($Y3512&gt;=32,(AI3512="I"),(Y3512&lt;&gt;"~"),(COUNTIF($AN$1:$AN3512,$AN3512)=1)),"TRUE","FALSE")</f>
        <v>FALSE</v>
      </c>
      <c r="AH3512" s="661" t="str">
        <f>IF(AND($Y3512&gt;=22, (AI3512&lt;&gt;"I"),(Y3512&lt;&gt;"~"),(COUNTIF($AN$1:$AN3512,$AN3512)=1)),"TRUE","FALSE")</f>
        <v>TRUE</v>
      </c>
      <c r="AI3512" s="661" t="str">
        <f t="shared" si="383"/>
        <v>II</v>
      </c>
      <c r="AJ3512" s="662" t="str">
        <f t="shared" si="384"/>
        <v>VYGR-003</v>
      </c>
      <c r="AK3512" s="662" t="str">
        <f t="shared" si="385"/>
        <v>LVN</v>
      </c>
      <c r="AL3512" s="662" t="str">
        <f t="shared" si="386"/>
        <v>CRY</v>
      </c>
      <c r="AM3512" s="662" t="str">
        <f t="shared" si="387"/>
        <v>Voyager-LXI-FWD-8-69.9-3600-3.6L-6-RUCM53-27K-121.6-19-Unleaded-Unleaded</v>
      </c>
      <c r="AN3512" s="662" t="str">
        <f t="shared" si="388"/>
        <v>2020-LVN-CRY-VYGR-003</v>
      </c>
    </row>
  </sheetData>
  <autoFilter ref="A1:AJ3508" xr:uid="{00000000-0009-0000-0000-000003000000}"/>
  <conditionalFormatting sqref="Z2636:AE3508 C3389:Y3431 C191:AE214 C3433:Y3505 C3432:X3432 C3:Y190 C215:Y656 C657:X796 C1151:X1152 C1155:X1157 C1159:X1161 C1164:X1166 C1168:X1168 C1171:X1172 C1175:X1176 C1178:X1178 C1180:X1182 C1185:X1187 C1189:X1189 C1201:X1202 C1205:X1208 C1210:X1211 C1214:X1217 C1222:X1223 C1226:X1229 C1231:X1232 C1235:X1238 C1248:X1248 C1250:X1250 C1252:X1252 C1254:X1254 C1256:X1256 C1258:X1258 C1260:X1260 C1262:X1262 C1266:X1266 C1268:X1268 C1270:X1270 C1272:X1272 C1274:X1274 C1276:X1276 C1278:X1278 C1280:X1280 C1282:X1282 C1284:X1284 C1286:X1286 C1290:X1290 C1292:X1292 C1294:X1300 C1421:Y1437 C1418:X1420 C1441:Y1456 C1438:X1440 C1460:Y1468 C1457:X1459 C1472:Y1508 C1469:X1471 C1512:Y1528 C1509:X1511 C1532:Y1547 C1529:X1531 C1551:Y1559 C1548:X1550 C1560:X1562 C1945:Y1945 C1944:X1944 C1947:Y1951 C1946:X1946 C1953:Y1953 C1952:X1952 C1955:Y1955 C1954:X1954 C1957:Y1958 C1956:X1956 C1959:X1992 C1993:Y2518 C797:Y1150 C1153:Y1154 C1158:Y1158 C1162:Y1163 C1167:Y1167 C1169:Y1170 C1173:Y1174 C1177:Y1177 C1179:Y1179 C1183:Y1184 C1188:Y1188 C1190:Y1200 C1203:Y1204 C1209:Y1209 C1212:Y1213 C1218:Y1221 C1224:Y1225 C1230:Y1230 C1233:Y1234 C1239:Y1247 C1249:Y1249 C1251:Y1251 C1253:Y1253 C1255:Y1255 C1257:Y1257 C1259:Y1259 C1261:Y1261 C1263:Y1265 C1267:Y1267 C1269:Y1269 C1271:Y1271 C1273:Y1273 C1275:Y1275 C1277:Y1277 C1279:Y1279 C1281:Y1281 C1283:Y1283 C1285:Y1285 C1287:Y1289 C1291:Y1291 C1293:Y1293 C1301:Y1417 C1563:Y1943 C3051:Y3310 C2519:X3050 C3352:Y3352 C3311:X3351 C3354:Y3354 C3353:X3353 C3357:Y3357 C3355:X3356 C3360:Y3360 C3358:X3359 C3363:Y3363 C3361:X3362 C3366:Y3366 C3364:X3365 C3368:Y3368 C3367:X3367 C3374:Y3376 C3369:X3373 C3377:X3388 C3506:X3508 A3:B3508 AJ3:AN3512">
    <cfRule type="containsBlanks" dxfId="234" priority="18">
      <formula>LEN(TRIM(A3))=0</formula>
    </cfRule>
  </conditionalFormatting>
  <conditionalFormatting sqref="Z5:AE231">
    <cfRule type="containsBlanks" dxfId="233" priority="16">
      <formula>LEN(TRIM(Z5))=0</formula>
    </cfRule>
  </conditionalFormatting>
  <conditionalFormatting sqref="Z3:AE4">
    <cfRule type="containsBlanks" dxfId="232" priority="17">
      <formula>LEN(TRIM(Z3))=0</formula>
    </cfRule>
  </conditionalFormatting>
  <conditionalFormatting sqref="Y3506:Y3508 Y3432">
    <cfRule type="containsBlanks" dxfId="231" priority="13">
      <formula>LEN(TRIM(Y3432))=0</formula>
    </cfRule>
  </conditionalFormatting>
  <conditionalFormatting sqref="Y657:Y796 Y1151:Y1152 Y1155:Y1157 Y1159:Y1161 Y1164:Y1166 Y1168 Y1171:Y1172 Y1175:Y1176 Y1178 Y1180:Y1182 Y1185:Y1187 Y1189 Y1201:Y1202 Y1205:Y1208 Y1210:Y1211 Y1214:Y1217 Y1222:Y1223 Y1226:Y1229 Y1231:Y1232 Y1235:Y1238 Y1248 Y1250 Y1252 Y1254 Y1256 Y1258 Y1260 Y1262 Y1266 Y1268 Y1270 Y1272 Y1274 Y1276 Y1278 Y1280 Y1282 Y1284 Y1286 Y1290 Y1292 Y1294:Y1300 Y1418:Y1420 Y1438:Y1440 Y1457:Y1459 Y1469:Y1471 Y1509:Y1511 Y1529:Y1531 Y1548:Y1550 Y1560:Y1562 Y1944 Y1946 Y1952 Y1954 Y1956 Y1959:Y1992 Y3311:Y3351 Y3353 Y3355:Y3356 Y3358:Y3359 Y3361:Y3362 Y3364:Y3365 Y3367 Y3369:Y3373 Y3377:Y3388 Y2519:Y3050">
    <cfRule type="containsBlanks" dxfId="230" priority="15">
      <formula>LEN(TRIM(Y657))=0</formula>
    </cfRule>
  </conditionalFormatting>
  <conditionalFormatting sqref="Z232:AE327">
    <cfRule type="containsBlanks" dxfId="229" priority="14">
      <formula>LEN(TRIM(Z232))=0</formula>
    </cfRule>
  </conditionalFormatting>
  <conditionalFormatting sqref="Z328:AE2635">
    <cfRule type="containsBlanks" dxfId="228" priority="12">
      <formula>LEN(TRIM(Z328))=0</formula>
    </cfRule>
  </conditionalFormatting>
  <conditionalFormatting sqref="B3511 B3:B3508">
    <cfRule type="containsBlanks" dxfId="227" priority="11">
      <formula>LEN(TRIM(A4))=0</formula>
    </cfRule>
  </conditionalFormatting>
  <conditionalFormatting sqref="A3509:AE3511 A3512 C3512:AE3512">
    <cfRule type="containsBlanks" dxfId="226" priority="5">
      <formula>LEN(TRIM(A3509))=0</formula>
    </cfRule>
  </conditionalFormatting>
  <conditionalFormatting sqref="AJ3510:AN3510">
    <cfRule type="containsBlanks" dxfId="225" priority="3">
      <formula>LEN(TRIM(AJ3510))=0</formula>
    </cfRule>
  </conditionalFormatting>
  <conditionalFormatting sqref="A3510:AE3510">
    <cfRule type="containsBlanks" dxfId="224" priority="2">
      <formula>LEN(TRIM(A3510))=0</formula>
    </cfRule>
  </conditionalFormatting>
  <conditionalFormatting sqref="B3510">
    <cfRule type="containsBlanks" dxfId="223" priority="1">
      <formula>LEN(TRIM(A3509))=0</formula>
    </cfRule>
  </conditionalFormatting>
  <conditionalFormatting sqref="B3509:B3510">
    <cfRule type="containsBlanks" dxfId="222" priority="271">
      <formula>LEN(TRIM(A3511))=0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ECFF"/>
    <pageSetUpPr fitToPage="1"/>
  </sheetPr>
  <dimension ref="A1:BE116"/>
  <sheetViews>
    <sheetView zoomScale="90" zoomScaleNormal="90" workbookViewId="0">
      <pane xSplit="1" ySplit="2" topLeftCell="B3" activePane="bottomRight" state="frozen"/>
      <selection pane="bottomRight"/>
      <selection pane="bottomLeft" activeCell="A3" sqref="A3"/>
      <selection pane="topRight" activeCell="B1" sqref="B1"/>
    </sheetView>
  </sheetViews>
  <sheetFormatPr defaultColWidth="9.140625" defaultRowHeight="15"/>
  <cols>
    <col min="1" max="1" width="3.42578125" style="168" customWidth="1"/>
    <col min="2" max="2" width="11.42578125" style="168" customWidth="1"/>
    <col min="3" max="3" width="6.7109375" style="168" customWidth="1"/>
    <col min="4" max="4" width="18.7109375" style="168" bestFit="1" customWidth="1"/>
    <col min="5" max="5" width="10.42578125" style="168" bestFit="1" customWidth="1"/>
    <col min="6" max="6" width="26.140625" style="168" customWidth="1"/>
    <col min="7" max="7" width="4.28515625" style="542" bestFit="1" customWidth="1"/>
    <col min="8" max="8" width="5.42578125" style="542" bestFit="1" customWidth="1"/>
    <col min="9" max="9" width="11.7109375" style="542" customWidth="1"/>
    <col min="10" max="10" width="17.42578125" style="542" customWidth="1"/>
    <col min="11" max="11" width="18.7109375" style="542" customWidth="1"/>
    <col min="12" max="12" width="5.7109375" style="542" bestFit="1" customWidth="1"/>
    <col min="13" max="13" width="10.42578125" style="542" bestFit="1" customWidth="1"/>
    <col min="14" max="14" width="13.28515625" style="542" bestFit="1" customWidth="1"/>
    <col min="15" max="15" width="6.7109375" style="542" bestFit="1" customWidth="1"/>
    <col min="16" max="16" width="12" style="542" bestFit="1" customWidth="1"/>
    <col min="17" max="17" width="9.28515625" style="542" bestFit="1" customWidth="1"/>
    <col min="18" max="18" width="7" style="542" bestFit="1" customWidth="1"/>
    <col min="19" max="19" width="12.7109375" style="542" bestFit="1" customWidth="1"/>
    <col min="20" max="20" width="8.42578125" style="542" bestFit="1" customWidth="1"/>
    <col min="21" max="21" width="9.42578125" style="542" bestFit="1" customWidth="1"/>
    <col min="22" max="22" width="10.140625" style="542" bestFit="1" customWidth="1"/>
    <col min="23" max="23" width="7.42578125" style="542" customWidth="1"/>
    <col min="24" max="24" width="9" style="542" customWidth="1"/>
    <col min="25" max="25" width="21.7109375" style="542" bestFit="1" customWidth="1"/>
    <col min="26" max="26" width="12.7109375" style="542" customWidth="1"/>
    <col min="27" max="27" width="20.140625" style="542" bestFit="1" customWidth="1"/>
    <col min="28" max="28" width="12.85546875" style="542" bestFit="1" customWidth="1"/>
    <col min="29" max="29" width="13.140625" style="542" customWidth="1"/>
    <col min="30" max="30" width="12" style="542" bestFit="1" customWidth="1"/>
    <col min="31" max="31" width="12.140625" style="542" bestFit="1" customWidth="1"/>
    <col min="32" max="32" width="12" style="542" bestFit="1" customWidth="1"/>
    <col min="33" max="33" width="13" style="542" hidden="1" customWidth="1"/>
    <col min="34" max="34" width="13.42578125" style="542" customWidth="1"/>
    <col min="35" max="35" width="3.42578125" style="168" customWidth="1"/>
    <col min="36" max="36" width="9.42578125" style="147" customWidth="1"/>
    <col min="37" max="37" width="9.7109375" style="147" customWidth="1"/>
    <col min="38" max="55" width="9.140625" style="147"/>
    <col min="56" max="56" width="0" style="168" hidden="1" customWidth="1"/>
    <col min="57" max="16384" width="9.140625" style="168"/>
  </cols>
  <sheetData>
    <row r="1" spans="1:57" s="614" customFormat="1" ht="21" customHeight="1">
      <c r="A1" s="726"/>
      <c r="B1" s="802" t="s">
        <v>94</v>
      </c>
      <c r="C1" s="802"/>
      <c r="D1" s="802"/>
      <c r="E1" s="802"/>
      <c r="F1" s="802"/>
      <c r="G1" s="802"/>
      <c r="H1" s="802"/>
      <c r="I1" s="802"/>
      <c r="J1" s="802"/>
      <c r="K1" s="802"/>
      <c r="L1" s="802"/>
      <c r="M1" s="145"/>
      <c r="N1" s="733"/>
      <c r="O1" s="733"/>
      <c r="P1" s="733"/>
      <c r="Q1" s="733"/>
      <c r="R1" s="733"/>
      <c r="S1" s="733"/>
      <c r="T1" s="733"/>
      <c r="U1" s="733"/>
      <c r="V1" s="629"/>
      <c r="W1" s="733"/>
      <c r="X1" s="733"/>
      <c r="Y1" s="145"/>
      <c r="Z1" s="145"/>
      <c r="AA1" s="145"/>
      <c r="AB1" s="630"/>
      <c r="AC1" s="145"/>
      <c r="AD1" s="145"/>
      <c r="AE1" s="145"/>
      <c r="AF1" s="145"/>
      <c r="AG1" s="145"/>
      <c r="AH1" s="145"/>
      <c r="AI1" s="631"/>
      <c r="AJ1" s="632"/>
      <c r="AK1" s="726"/>
      <c r="AL1" s="726"/>
      <c r="AM1" s="726"/>
      <c r="AN1" s="726"/>
      <c r="AO1" s="726"/>
      <c r="AP1" s="726"/>
      <c r="AQ1" s="726"/>
      <c r="AR1" s="726"/>
      <c r="AS1" s="726"/>
      <c r="AT1" s="726"/>
      <c r="AU1" s="726"/>
      <c r="AV1" s="726"/>
      <c r="AW1" s="726"/>
      <c r="AX1" s="726"/>
      <c r="AY1" s="726"/>
      <c r="AZ1" s="726"/>
      <c r="BA1" s="726"/>
      <c r="BB1" s="726"/>
      <c r="BC1" s="726"/>
      <c r="BD1" s="726"/>
      <c r="BE1" s="726"/>
    </row>
    <row r="2" spans="1:57" s="614" customFormat="1" ht="31.5" customHeight="1">
      <c r="A2" s="726"/>
      <c r="B2" s="803" t="s">
        <v>6294</v>
      </c>
      <c r="C2" s="803"/>
      <c r="D2" s="803"/>
      <c r="E2" s="803"/>
      <c r="F2" s="803"/>
      <c r="G2" s="803"/>
      <c r="H2" s="803"/>
      <c r="I2" s="803"/>
      <c r="J2" s="803"/>
      <c r="K2" s="803"/>
      <c r="L2" s="803"/>
      <c r="M2" s="145"/>
      <c r="N2" s="829"/>
      <c r="O2" s="829"/>
      <c r="P2" s="829"/>
      <c r="Q2" s="829"/>
      <c r="R2" s="829"/>
      <c r="S2" s="829"/>
      <c r="T2" s="829"/>
      <c r="U2" s="829"/>
      <c r="V2" s="829"/>
      <c r="W2" s="829"/>
      <c r="X2" s="829"/>
      <c r="Y2" s="145"/>
      <c r="Z2" s="145"/>
      <c r="AA2" s="145"/>
      <c r="AB2" s="630"/>
      <c r="AC2" s="145"/>
      <c r="AD2" s="145"/>
      <c r="AE2" s="145"/>
      <c r="AF2" s="145"/>
      <c r="AG2" s="145"/>
      <c r="AH2" s="145"/>
      <c r="AI2" s="631"/>
      <c r="AJ2" s="632"/>
      <c r="AK2" s="726"/>
      <c r="AL2" s="726"/>
      <c r="AM2" s="726"/>
      <c r="AN2" s="726"/>
      <c r="AO2" s="726"/>
      <c r="AP2" s="726"/>
      <c r="AQ2" s="726"/>
      <c r="AR2" s="726"/>
      <c r="AS2" s="726"/>
      <c r="AT2" s="726"/>
      <c r="AU2" s="726"/>
      <c r="AV2" s="726"/>
      <c r="AW2" s="726"/>
      <c r="AX2" s="726"/>
      <c r="AY2" s="726"/>
      <c r="AZ2" s="726"/>
      <c r="BA2" s="726"/>
      <c r="BB2" s="726"/>
      <c r="BC2" s="726"/>
      <c r="BD2" s="726"/>
      <c r="BE2" s="726"/>
    </row>
    <row r="3" spans="1:57" s="614" customFormat="1">
      <c r="A3" s="726"/>
      <c r="B3" s="830" t="s">
        <v>6295</v>
      </c>
      <c r="C3" s="831"/>
      <c r="D3" s="831"/>
      <c r="E3" s="831"/>
      <c r="F3" s="831"/>
      <c r="G3" s="831"/>
      <c r="H3" s="831"/>
      <c r="I3" s="831"/>
      <c r="J3" s="831"/>
      <c r="K3" s="832"/>
      <c r="L3" s="364"/>
      <c r="M3" s="364"/>
      <c r="N3" s="364"/>
      <c r="O3" s="364"/>
      <c r="P3" s="364"/>
      <c r="Q3" s="733"/>
      <c r="R3" s="733"/>
      <c r="S3" s="733"/>
      <c r="T3" s="733"/>
      <c r="U3" s="733"/>
      <c r="V3" s="629"/>
      <c r="W3" s="733"/>
      <c r="X3" s="733"/>
      <c r="Y3" s="145"/>
      <c r="Z3" s="145"/>
      <c r="AA3" s="145"/>
      <c r="AB3" s="630"/>
      <c r="AC3" s="145"/>
      <c r="AD3" s="145"/>
      <c r="AE3" s="145"/>
      <c r="AF3" s="145"/>
      <c r="AG3" s="145"/>
      <c r="AH3" s="145"/>
      <c r="AI3" s="631"/>
      <c r="AJ3" s="632"/>
      <c r="AK3" s="726"/>
      <c r="AL3" s="726"/>
      <c r="AM3" s="726"/>
      <c r="AN3" s="726"/>
      <c r="AO3" s="726"/>
      <c r="AP3" s="726"/>
      <c r="AQ3" s="726"/>
      <c r="AR3" s="726"/>
      <c r="AS3" s="726"/>
      <c r="AT3" s="726"/>
      <c r="AU3" s="726"/>
      <c r="AV3" s="726"/>
      <c r="AW3" s="726"/>
      <c r="AX3" s="726"/>
      <c r="AY3" s="726"/>
      <c r="AZ3" s="726"/>
      <c r="BA3" s="726"/>
      <c r="BB3" s="726"/>
      <c r="BC3" s="726"/>
      <c r="BD3" s="726"/>
      <c r="BE3" s="726"/>
    </row>
    <row r="4" spans="1:57" s="614" customFormat="1" ht="7.5" customHeight="1">
      <c r="A4" s="726"/>
      <c r="B4" s="89"/>
      <c r="C4" s="89"/>
      <c r="D4" s="89"/>
      <c r="E4" s="89"/>
      <c r="F4" s="89"/>
      <c r="G4" s="364"/>
      <c r="H4" s="364"/>
      <c r="I4" s="364"/>
      <c r="J4" s="364"/>
      <c r="K4" s="364"/>
      <c r="L4" s="364"/>
      <c r="M4" s="364"/>
      <c r="N4" s="364"/>
      <c r="O4" s="364"/>
      <c r="P4" s="364"/>
      <c r="Q4" s="733"/>
      <c r="R4" s="733"/>
      <c r="S4" s="733"/>
      <c r="T4" s="733"/>
      <c r="U4" s="733"/>
      <c r="V4" s="633"/>
      <c r="W4" s="145"/>
      <c r="X4" s="145"/>
      <c r="Y4" s="145"/>
      <c r="Z4" s="145"/>
      <c r="AA4" s="145"/>
      <c r="AB4" s="630"/>
      <c r="AC4" s="145"/>
      <c r="AD4" s="145"/>
      <c r="AE4" s="145"/>
      <c r="AF4" s="145"/>
      <c r="AG4" s="145"/>
      <c r="AH4" s="145"/>
      <c r="AI4" s="631"/>
      <c r="AJ4" s="632"/>
      <c r="AK4" s="726"/>
      <c r="AL4" s="726"/>
      <c r="AM4" s="726"/>
      <c r="AN4" s="726"/>
      <c r="AO4" s="726"/>
      <c r="AP4" s="726"/>
      <c r="AQ4" s="726"/>
      <c r="AR4" s="726"/>
      <c r="AS4" s="726"/>
      <c r="AT4" s="726"/>
      <c r="AU4" s="726"/>
      <c r="AV4" s="726"/>
      <c r="AW4" s="726"/>
      <c r="AX4" s="726"/>
      <c r="AY4" s="726"/>
      <c r="AZ4" s="726"/>
      <c r="BA4" s="726"/>
      <c r="BB4" s="726"/>
      <c r="BC4" s="726"/>
      <c r="BD4" s="726"/>
      <c r="BE4" s="726"/>
    </row>
    <row r="5" spans="1:57" s="614" customFormat="1" ht="15.95">
      <c r="A5" s="726"/>
      <c r="B5" s="149" t="s">
        <v>97</v>
      </c>
      <c r="C5" s="726"/>
      <c r="D5" s="726"/>
      <c r="E5" s="726"/>
      <c r="F5" s="726"/>
      <c r="G5" s="145"/>
      <c r="H5" s="145"/>
      <c r="I5" s="145"/>
      <c r="J5" s="145"/>
      <c r="K5" s="145"/>
      <c r="L5" s="145"/>
      <c r="M5" s="145"/>
      <c r="N5" s="145"/>
      <c r="O5" s="145"/>
      <c r="P5" s="145"/>
      <c r="Q5" s="145"/>
      <c r="R5" s="145"/>
      <c r="S5" s="145"/>
      <c r="T5" s="145"/>
      <c r="U5" s="145"/>
      <c r="V5" s="633"/>
      <c r="W5" s="145"/>
      <c r="X5" s="145"/>
      <c r="Y5" s="145"/>
      <c r="Z5" s="145"/>
      <c r="AA5" s="145"/>
      <c r="AB5" s="630"/>
      <c r="AC5" s="145"/>
      <c r="AD5" s="145"/>
      <c r="AE5" s="145"/>
      <c r="AF5" s="145"/>
      <c r="AG5" s="145"/>
      <c r="AH5" s="145"/>
      <c r="AI5" s="631"/>
      <c r="AJ5" s="632"/>
      <c r="AK5" s="726"/>
      <c r="AL5" s="726"/>
      <c r="AM5" s="726"/>
      <c r="AN5" s="726"/>
      <c r="AO5" s="726"/>
      <c r="AP5" s="726"/>
      <c r="AQ5" s="726"/>
      <c r="AR5" s="726"/>
      <c r="AS5" s="726"/>
      <c r="AT5" s="726"/>
      <c r="AU5" s="726"/>
      <c r="AV5" s="726"/>
      <c r="AW5" s="726"/>
      <c r="AX5" s="726"/>
      <c r="AY5" s="726"/>
      <c r="AZ5" s="726"/>
      <c r="BA5" s="726"/>
      <c r="BB5" s="726"/>
      <c r="BC5" s="726"/>
      <c r="BD5" s="726"/>
      <c r="BE5" s="726"/>
    </row>
    <row r="6" spans="1:57" s="614" customFormat="1" ht="7.5" customHeight="1" thickBot="1">
      <c r="A6" s="726"/>
      <c r="B6" s="726"/>
      <c r="C6" s="726"/>
      <c r="D6" s="726"/>
      <c r="E6" s="726"/>
      <c r="F6" s="726"/>
      <c r="G6" s="145"/>
      <c r="H6" s="145"/>
      <c r="I6" s="145"/>
      <c r="J6" s="145"/>
      <c r="K6" s="145"/>
      <c r="L6" s="145"/>
      <c r="M6" s="145"/>
      <c r="N6" s="145"/>
      <c r="O6" s="145"/>
      <c r="P6" s="145"/>
      <c r="Q6" s="145"/>
      <c r="R6" s="145"/>
      <c r="S6" s="145"/>
      <c r="T6" s="145"/>
      <c r="U6" s="145"/>
      <c r="V6" s="633"/>
      <c r="W6" s="145"/>
      <c r="X6" s="145"/>
      <c r="Y6" s="145"/>
      <c r="Z6" s="145"/>
      <c r="AA6" s="145"/>
      <c r="AB6" s="630"/>
      <c r="AC6" s="145"/>
      <c r="AD6" s="145"/>
      <c r="AE6" s="145"/>
      <c r="AF6" s="145"/>
      <c r="AG6" s="145"/>
      <c r="AH6" s="145"/>
      <c r="AI6" s="631"/>
      <c r="AJ6" s="632"/>
      <c r="AK6" s="726"/>
      <c r="AL6" s="726"/>
      <c r="AM6" s="726"/>
      <c r="AN6" s="726"/>
      <c r="AO6" s="726"/>
      <c r="AP6" s="726"/>
      <c r="AQ6" s="726"/>
      <c r="AR6" s="726"/>
      <c r="AS6" s="726"/>
      <c r="AT6" s="726"/>
      <c r="AU6" s="726"/>
      <c r="AV6" s="726"/>
      <c r="AW6" s="726"/>
      <c r="AX6" s="726"/>
      <c r="AY6" s="726"/>
      <c r="AZ6" s="726"/>
      <c r="BA6" s="726"/>
      <c r="BB6" s="726"/>
      <c r="BC6" s="726"/>
      <c r="BD6" s="726"/>
      <c r="BE6" s="726"/>
    </row>
    <row r="7" spans="1:57" s="614" customFormat="1" ht="24" customHeight="1" thickBot="1">
      <c r="A7" s="726"/>
      <c r="B7" s="833" t="s">
        <v>6296</v>
      </c>
      <c r="C7" s="834"/>
      <c r="D7" s="834"/>
      <c r="E7" s="834"/>
      <c r="F7" s="834"/>
      <c r="G7" s="834"/>
      <c r="H7" s="834"/>
      <c r="I7" s="834"/>
      <c r="J7" s="834"/>
      <c r="K7" s="834"/>
      <c r="L7" s="834"/>
      <c r="M7" s="834"/>
      <c r="N7" s="834"/>
      <c r="O7" s="834"/>
      <c r="P7" s="834"/>
      <c r="Q7" s="834"/>
      <c r="R7" s="834"/>
      <c r="S7" s="834"/>
      <c r="T7" s="834"/>
      <c r="U7" s="834"/>
      <c r="V7" s="834"/>
      <c r="W7" s="834"/>
      <c r="X7" s="834"/>
      <c r="Y7" s="835"/>
      <c r="Z7" s="364"/>
      <c r="AA7" s="145"/>
      <c r="AB7" s="630"/>
      <c r="AC7" s="145"/>
      <c r="AD7" s="145"/>
      <c r="AE7" s="145"/>
      <c r="AF7" s="145"/>
      <c r="AG7" s="145"/>
      <c r="AH7" s="145"/>
      <c r="AI7" s="631"/>
      <c r="AJ7" s="632"/>
      <c r="AK7" s="726"/>
      <c r="AL7" s="726"/>
      <c r="AM7" s="726"/>
      <c r="AN7" s="726"/>
      <c r="AO7" s="726"/>
      <c r="AP7" s="726"/>
      <c r="AQ7" s="726"/>
      <c r="AR7" s="726"/>
      <c r="AS7" s="726"/>
      <c r="AT7" s="726"/>
      <c r="AU7" s="726"/>
      <c r="AV7" s="726"/>
      <c r="AW7" s="726"/>
      <c r="AX7" s="726"/>
      <c r="AY7" s="726"/>
      <c r="AZ7" s="726"/>
      <c r="BA7" s="726"/>
      <c r="BB7" s="726"/>
      <c r="BC7" s="726"/>
      <c r="BD7" s="726"/>
      <c r="BE7" s="726"/>
    </row>
    <row r="8" spans="1:57" s="614" customFormat="1">
      <c r="A8" s="726"/>
      <c r="B8" s="110"/>
      <c r="C8" s="111"/>
      <c r="D8" s="111"/>
      <c r="E8" s="111"/>
      <c r="F8" s="111"/>
      <c r="G8" s="536"/>
      <c r="H8" s="536"/>
      <c r="I8" s="536"/>
      <c r="J8" s="536"/>
      <c r="K8" s="536"/>
      <c r="L8" s="536"/>
      <c r="M8" s="536"/>
      <c r="N8" s="536"/>
      <c r="O8" s="536"/>
      <c r="P8" s="536"/>
      <c r="Q8" s="536"/>
      <c r="R8" s="536"/>
      <c r="S8" s="536"/>
      <c r="T8" s="536"/>
      <c r="U8" s="536"/>
      <c r="V8" s="634"/>
      <c r="W8" s="536"/>
      <c r="X8" s="536"/>
      <c r="Y8" s="537"/>
      <c r="Z8" s="364"/>
      <c r="AA8" s="145"/>
      <c r="AB8" s="630"/>
      <c r="AC8" s="145"/>
      <c r="AD8" s="145"/>
      <c r="AE8" s="145"/>
      <c r="AF8" s="145"/>
      <c r="AG8" s="145"/>
      <c r="AH8" s="145"/>
      <c r="AI8" s="631"/>
      <c r="AJ8" s="632"/>
      <c r="AK8" s="726"/>
      <c r="AL8" s="726"/>
      <c r="AM8" s="726"/>
      <c r="AN8" s="726"/>
      <c r="AO8" s="726"/>
      <c r="AP8" s="726"/>
      <c r="AQ8" s="726"/>
      <c r="AR8" s="726"/>
      <c r="AS8" s="726"/>
      <c r="AT8" s="726"/>
      <c r="AU8" s="726"/>
      <c r="AV8" s="726"/>
      <c r="AW8" s="726"/>
      <c r="AX8" s="726"/>
      <c r="AY8" s="726"/>
      <c r="AZ8" s="726"/>
      <c r="BA8" s="726"/>
      <c r="BB8" s="726"/>
      <c r="BC8" s="726"/>
      <c r="BD8" s="726"/>
      <c r="BE8" s="726"/>
    </row>
    <row r="9" spans="1:57" s="614" customFormat="1">
      <c r="A9" s="726"/>
      <c r="B9" s="840" t="s">
        <v>6297</v>
      </c>
      <c r="C9" s="841"/>
      <c r="D9" s="842"/>
      <c r="E9" s="828"/>
      <c r="F9" s="820"/>
      <c r="G9" s="820"/>
      <c r="H9" s="820"/>
      <c r="I9" s="821"/>
      <c r="J9" s="615"/>
      <c r="K9" s="822" t="s">
        <v>6298</v>
      </c>
      <c r="L9" s="822"/>
      <c r="M9" s="827"/>
      <c r="N9" s="824"/>
      <c r="O9" s="824"/>
      <c r="P9" s="825"/>
      <c r="Q9" s="615"/>
      <c r="R9" s="822" t="s">
        <v>6299</v>
      </c>
      <c r="S9" s="826"/>
      <c r="T9" s="827"/>
      <c r="U9" s="824"/>
      <c r="V9" s="824"/>
      <c r="W9" s="824"/>
      <c r="X9" s="825"/>
      <c r="Y9" s="538"/>
      <c r="Z9" s="364"/>
      <c r="AA9" s="145"/>
      <c r="AB9" s="630"/>
      <c r="AC9" s="145"/>
      <c r="AD9" s="145"/>
      <c r="AE9" s="145"/>
      <c r="AF9" s="145"/>
      <c r="AG9" s="145"/>
      <c r="AH9" s="145"/>
      <c r="AI9" s="631"/>
      <c r="AJ9" s="632"/>
      <c r="AK9" s="726"/>
      <c r="AL9" s="726"/>
      <c r="AM9" s="726"/>
      <c r="AN9" s="726"/>
      <c r="AO9" s="726"/>
      <c r="AP9" s="726"/>
      <c r="AQ9" s="726"/>
      <c r="AR9" s="726"/>
      <c r="AS9" s="726"/>
      <c r="AT9" s="726"/>
      <c r="AU9" s="726"/>
      <c r="AV9" s="726"/>
      <c r="AW9" s="726"/>
      <c r="AX9" s="726"/>
      <c r="AY9" s="726"/>
      <c r="AZ9" s="726"/>
      <c r="BA9" s="726"/>
      <c r="BB9" s="726"/>
      <c r="BC9" s="726"/>
      <c r="BD9" s="726"/>
      <c r="BE9" s="726"/>
    </row>
    <row r="10" spans="1:57" s="614" customFormat="1">
      <c r="A10" s="726"/>
      <c r="B10" s="730"/>
      <c r="C10" s="731"/>
      <c r="D10" s="731"/>
      <c r="E10" s="113"/>
      <c r="F10" s="113"/>
      <c r="G10" s="615"/>
      <c r="H10" s="615"/>
      <c r="I10" s="615"/>
      <c r="J10" s="615"/>
      <c r="K10" s="732"/>
      <c r="L10" s="732"/>
      <c r="M10" s="615"/>
      <c r="N10" s="615"/>
      <c r="O10" s="615"/>
      <c r="P10" s="615"/>
      <c r="Q10" s="615"/>
      <c r="R10" s="732"/>
      <c r="S10" s="732"/>
      <c r="T10" s="615"/>
      <c r="U10" s="615"/>
      <c r="V10" s="635"/>
      <c r="W10" s="615"/>
      <c r="X10" s="615"/>
      <c r="Y10" s="538"/>
      <c r="Z10" s="364"/>
      <c r="AA10" s="145"/>
      <c r="AB10" s="630"/>
      <c r="AC10" s="145"/>
      <c r="AD10" s="145"/>
      <c r="AE10" s="145"/>
      <c r="AF10" s="145"/>
      <c r="AG10" s="145"/>
      <c r="AH10" s="145"/>
      <c r="AI10" s="631"/>
      <c r="AJ10" s="632"/>
      <c r="AK10" s="726"/>
      <c r="AL10" s="726"/>
      <c r="AM10" s="726"/>
      <c r="AN10" s="726"/>
      <c r="AO10" s="726"/>
      <c r="AP10" s="726"/>
      <c r="AQ10" s="726"/>
      <c r="AR10" s="726"/>
      <c r="AS10" s="726"/>
      <c r="AT10" s="726"/>
      <c r="AU10" s="726"/>
      <c r="AV10" s="726"/>
      <c r="AW10" s="726"/>
      <c r="AX10" s="726"/>
      <c r="AY10" s="726"/>
      <c r="AZ10" s="726"/>
      <c r="BA10" s="726"/>
      <c r="BB10" s="726"/>
      <c r="BC10" s="726"/>
      <c r="BD10" s="726"/>
      <c r="BE10" s="726"/>
    </row>
    <row r="11" spans="1:57" s="614" customFormat="1">
      <c r="A11" s="726"/>
      <c r="B11" s="840" t="s">
        <v>6300</v>
      </c>
      <c r="C11" s="841"/>
      <c r="D11" s="842"/>
      <c r="E11" s="828"/>
      <c r="F11" s="820"/>
      <c r="G11" s="820"/>
      <c r="H11" s="820"/>
      <c r="I11" s="821"/>
      <c r="J11" s="615"/>
      <c r="K11" s="822" t="s">
        <v>6301</v>
      </c>
      <c r="L11" s="843"/>
      <c r="M11" s="827"/>
      <c r="N11" s="824"/>
      <c r="O11" s="824"/>
      <c r="P11" s="825"/>
      <c r="Q11" s="615"/>
      <c r="R11" s="822" t="s">
        <v>6302</v>
      </c>
      <c r="S11" s="826"/>
      <c r="T11" s="827"/>
      <c r="U11" s="824"/>
      <c r="V11" s="824"/>
      <c r="W11" s="824"/>
      <c r="X11" s="825"/>
      <c r="Y11" s="538"/>
      <c r="Z11" s="364"/>
      <c r="AA11" s="145"/>
      <c r="AB11" s="630"/>
      <c r="AC11" s="145"/>
      <c r="AD11" s="145"/>
      <c r="AE11" s="145"/>
      <c r="AF11" s="145"/>
      <c r="AG11" s="145"/>
      <c r="AH11" s="145"/>
      <c r="AI11" s="631"/>
      <c r="AJ11" s="632"/>
      <c r="AK11" s="726"/>
      <c r="AL11" s="726"/>
      <c r="AM11" s="726"/>
      <c r="AN11" s="726"/>
      <c r="AO11" s="726"/>
      <c r="AP11" s="726"/>
      <c r="AQ11" s="726"/>
      <c r="AR11" s="726"/>
      <c r="AS11" s="726"/>
      <c r="AT11" s="726"/>
      <c r="AU11" s="726"/>
      <c r="AV11" s="726"/>
      <c r="AW11" s="726"/>
      <c r="AX11" s="726"/>
      <c r="AY11" s="726"/>
      <c r="AZ11" s="726"/>
      <c r="BA11" s="726"/>
      <c r="BB11" s="726"/>
      <c r="BC11" s="726"/>
      <c r="BD11" s="726"/>
      <c r="BE11" s="726"/>
    </row>
    <row r="12" spans="1:57" s="614" customFormat="1">
      <c r="A12" s="726"/>
      <c r="B12" s="730"/>
      <c r="C12" s="731"/>
      <c r="D12" s="731"/>
      <c r="E12" s="113"/>
      <c r="F12" s="113"/>
      <c r="G12" s="615"/>
      <c r="H12" s="615"/>
      <c r="I12" s="615"/>
      <c r="J12" s="615"/>
      <c r="K12" s="732"/>
      <c r="L12" s="732"/>
      <c r="M12" s="615"/>
      <c r="N12" s="615"/>
      <c r="O12" s="615"/>
      <c r="P12" s="615"/>
      <c r="Q12" s="615"/>
      <c r="R12" s="732"/>
      <c r="S12" s="732"/>
      <c r="T12" s="615"/>
      <c r="U12" s="615"/>
      <c r="V12" s="635"/>
      <c r="W12" s="615"/>
      <c r="X12" s="615"/>
      <c r="Y12" s="538"/>
      <c r="Z12" s="364"/>
      <c r="AA12" s="145"/>
      <c r="AB12" s="630"/>
      <c r="AC12" s="145"/>
      <c r="AD12" s="145"/>
      <c r="AE12" s="145"/>
      <c r="AF12" s="145"/>
      <c r="AG12" s="145"/>
      <c r="AH12" s="145"/>
      <c r="AI12" s="631"/>
      <c r="AJ12" s="632"/>
      <c r="AK12" s="726"/>
      <c r="AL12" s="726"/>
      <c r="AM12" s="726"/>
      <c r="AN12" s="726"/>
      <c r="AO12" s="726"/>
      <c r="AP12" s="726"/>
      <c r="AQ12" s="726"/>
      <c r="AR12" s="726"/>
      <c r="AS12" s="726"/>
      <c r="AT12" s="726"/>
      <c r="AU12" s="726"/>
      <c r="AV12" s="726"/>
      <c r="AW12" s="726"/>
      <c r="AX12" s="726"/>
      <c r="AY12" s="726"/>
      <c r="AZ12" s="726"/>
      <c r="BA12" s="726"/>
      <c r="BB12" s="726"/>
      <c r="BC12" s="726"/>
      <c r="BD12" s="726"/>
      <c r="BE12" s="726"/>
    </row>
    <row r="13" spans="1:57" s="614" customFormat="1">
      <c r="A13" s="726"/>
      <c r="B13" s="840" t="s">
        <v>6303</v>
      </c>
      <c r="C13" s="841"/>
      <c r="D13" s="842"/>
      <c r="E13" s="828"/>
      <c r="F13" s="820"/>
      <c r="G13" s="820"/>
      <c r="H13" s="820"/>
      <c r="I13" s="821"/>
      <c r="J13" s="615"/>
      <c r="K13" s="822" t="s">
        <v>6304</v>
      </c>
      <c r="L13" s="822"/>
      <c r="M13" s="827"/>
      <c r="N13" s="824"/>
      <c r="O13" s="824"/>
      <c r="P13" s="825"/>
      <c r="Q13" s="615"/>
      <c r="R13" s="822" t="s">
        <v>6305</v>
      </c>
      <c r="S13" s="826"/>
      <c r="T13" s="827"/>
      <c r="U13" s="824"/>
      <c r="V13" s="824"/>
      <c r="W13" s="824"/>
      <c r="X13" s="825"/>
      <c r="Y13" s="538"/>
      <c r="Z13" s="364"/>
      <c r="AA13" s="145"/>
      <c r="AB13" s="630"/>
      <c r="AC13" s="145"/>
      <c r="AD13" s="145"/>
      <c r="AE13" s="145"/>
      <c r="AF13" s="145"/>
      <c r="AG13" s="145"/>
      <c r="AH13" s="145"/>
      <c r="AI13" s="631"/>
      <c r="AJ13" s="632"/>
      <c r="AK13" s="726"/>
      <c r="AL13" s="726"/>
      <c r="AM13" s="726"/>
      <c r="AN13" s="726"/>
      <c r="AO13" s="726"/>
      <c r="AP13" s="726"/>
      <c r="AQ13" s="726"/>
      <c r="AR13" s="726"/>
      <c r="AS13" s="726"/>
      <c r="AT13" s="726"/>
      <c r="AU13" s="726"/>
      <c r="AV13" s="726"/>
      <c r="AW13" s="726"/>
      <c r="AX13" s="726"/>
      <c r="AY13" s="726"/>
      <c r="AZ13" s="726"/>
      <c r="BA13" s="726"/>
      <c r="BB13" s="726"/>
      <c r="BC13" s="726"/>
      <c r="BD13" s="726"/>
      <c r="BE13" s="726"/>
    </row>
    <row r="14" spans="1:57" s="614" customFormat="1">
      <c r="A14" s="726"/>
      <c r="B14" s="730"/>
      <c r="C14" s="731"/>
      <c r="D14" s="731"/>
      <c r="E14" s="113"/>
      <c r="F14" s="113"/>
      <c r="G14" s="615"/>
      <c r="H14" s="615"/>
      <c r="I14" s="615"/>
      <c r="J14" s="615"/>
      <c r="K14" s="732"/>
      <c r="L14" s="732"/>
      <c r="M14" s="615"/>
      <c r="N14" s="615"/>
      <c r="O14" s="615"/>
      <c r="P14" s="615"/>
      <c r="Q14" s="615"/>
      <c r="R14" s="732"/>
      <c r="S14" s="732"/>
      <c r="T14" s="615"/>
      <c r="U14" s="615"/>
      <c r="V14" s="635"/>
      <c r="W14" s="615"/>
      <c r="X14" s="615"/>
      <c r="Y14" s="538"/>
      <c r="Z14" s="364"/>
      <c r="AA14" s="145"/>
      <c r="AB14" s="630"/>
      <c r="AC14" s="145"/>
      <c r="AD14" s="145"/>
      <c r="AE14" s="145"/>
      <c r="AF14" s="145"/>
      <c r="AG14" s="145"/>
      <c r="AH14" s="145"/>
      <c r="AI14" s="631"/>
      <c r="AJ14" s="632"/>
      <c r="AK14" s="726"/>
      <c r="AL14" s="726"/>
      <c r="AM14" s="726"/>
      <c r="AN14" s="726"/>
      <c r="AO14" s="726"/>
      <c r="AP14" s="726"/>
      <c r="AQ14" s="726"/>
      <c r="AR14" s="726"/>
      <c r="AS14" s="726"/>
      <c r="AT14" s="726"/>
      <c r="AU14" s="726"/>
      <c r="AV14" s="726"/>
      <c r="AW14" s="726"/>
      <c r="AX14" s="726"/>
      <c r="AY14" s="726"/>
      <c r="AZ14" s="726"/>
      <c r="BA14" s="726"/>
      <c r="BB14" s="726"/>
      <c r="BC14" s="726"/>
      <c r="BD14" s="726"/>
      <c r="BE14" s="726"/>
    </row>
    <row r="15" spans="1:57" s="614" customFormat="1">
      <c r="A15" s="726"/>
      <c r="B15" s="840" t="s">
        <v>6306</v>
      </c>
      <c r="C15" s="841"/>
      <c r="D15" s="842"/>
      <c r="E15" s="819"/>
      <c r="F15" s="820"/>
      <c r="G15" s="820"/>
      <c r="H15" s="820"/>
      <c r="I15" s="821"/>
      <c r="J15" s="615"/>
      <c r="K15" s="822" t="s">
        <v>6307</v>
      </c>
      <c r="L15" s="822"/>
      <c r="M15" s="823"/>
      <c r="N15" s="824"/>
      <c r="O15" s="824"/>
      <c r="P15" s="825"/>
      <c r="Q15" s="615"/>
      <c r="R15" s="822" t="s">
        <v>6308</v>
      </c>
      <c r="S15" s="826"/>
      <c r="T15" s="823"/>
      <c r="U15" s="824"/>
      <c r="V15" s="824"/>
      <c r="W15" s="824"/>
      <c r="X15" s="825"/>
      <c r="Y15" s="538"/>
      <c r="Z15" s="364"/>
      <c r="AA15" s="145"/>
      <c r="AB15" s="630"/>
      <c r="AC15" s="145"/>
      <c r="AD15" s="145"/>
      <c r="AE15" s="145"/>
      <c r="AF15" s="145"/>
      <c r="AG15" s="145"/>
      <c r="AH15" s="145"/>
      <c r="AI15" s="631"/>
      <c r="AJ15" s="632"/>
      <c r="AK15" s="726"/>
      <c r="AL15" s="726"/>
      <c r="AM15" s="726"/>
      <c r="AN15" s="726"/>
      <c r="AO15" s="726"/>
      <c r="AP15" s="726"/>
      <c r="AQ15" s="726"/>
      <c r="AR15" s="726"/>
      <c r="AS15" s="726"/>
      <c r="AT15" s="726"/>
      <c r="AU15" s="726"/>
      <c r="AV15" s="726"/>
      <c r="AW15" s="726"/>
      <c r="AX15" s="726"/>
      <c r="AY15" s="726"/>
      <c r="AZ15" s="726"/>
      <c r="BA15" s="726"/>
      <c r="BB15" s="726"/>
      <c r="BC15" s="726"/>
      <c r="BD15" s="726"/>
      <c r="BE15" s="726"/>
    </row>
    <row r="16" spans="1:57" s="614" customFormat="1" ht="15.95" thickBot="1">
      <c r="A16" s="726"/>
      <c r="B16" s="116"/>
      <c r="C16" s="117"/>
      <c r="D16" s="117"/>
      <c r="E16" s="117"/>
      <c r="F16" s="117"/>
      <c r="G16" s="539"/>
      <c r="H16" s="539"/>
      <c r="I16" s="539"/>
      <c r="J16" s="539"/>
      <c r="K16" s="539"/>
      <c r="L16" s="539"/>
      <c r="M16" s="539"/>
      <c r="N16" s="539"/>
      <c r="O16" s="539"/>
      <c r="P16" s="539"/>
      <c r="Q16" s="539"/>
      <c r="R16" s="539"/>
      <c r="S16" s="539"/>
      <c r="T16" s="539"/>
      <c r="U16" s="539"/>
      <c r="V16" s="636"/>
      <c r="W16" s="539"/>
      <c r="X16" s="539"/>
      <c r="Y16" s="540"/>
      <c r="Z16" s="364"/>
      <c r="AA16" s="145"/>
      <c r="AB16" s="630"/>
      <c r="AC16" s="145"/>
      <c r="AD16" s="145"/>
      <c r="AE16" s="145"/>
      <c r="AF16" s="145"/>
      <c r="AG16" s="145"/>
      <c r="AH16" s="145"/>
      <c r="AI16" s="631"/>
      <c r="AJ16" s="632"/>
      <c r="AK16" s="726"/>
      <c r="AL16" s="726"/>
      <c r="AM16" s="726"/>
      <c r="AN16" s="726"/>
      <c r="AO16" s="726"/>
      <c r="AP16" s="726"/>
      <c r="AQ16" s="726"/>
      <c r="AR16" s="726"/>
      <c r="AS16" s="726"/>
      <c r="AT16" s="726"/>
      <c r="AU16" s="726"/>
      <c r="AV16" s="726"/>
      <c r="AW16" s="726"/>
      <c r="AX16" s="726"/>
      <c r="AY16" s="726"/>
      <c r="AZ16" s="726"/>
      <c r="BA16" s="726"/>
      <c r="BB16" s="726"/>
      <c r="BC16" s="726"/>
      <c r="BD16" s="726"/>
      <c r="BE16" s="726"/>
    </row>
    <row r="17" spans="1:37" ht="7.5" customHeight="1" thickBot="1">
      <c r="A17" s="726"/>
      <c r="B17" s="726"/>
      <c r="C17" s="726"/>
      <c r="D17" s="726"/>
      <c r="E17" s="726"/>
      <c r="F17" s="726"/>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726"/>
      <c r="AJ17" s="726"/>
      <c r="AK17" s="726"/>
    </row>
    <row r="18" spans="1:37" ht="24.95" thickBot="1">
      <c r="A18" s="726"/>
      <c r="B18" s="833" t="s">
        <v>6309</v>
      </c>
      <c r="C18" s="834"/>
      <c r="D18" s="834"/>
      <c r="E18" s="834"/>
      <c r="F18" s="834"/>
      <c r="G18" s="834"/>
      <c r="H18" s="834"/>
      <c r="I18" s="834"/>
      <c r="J18" s="834"/>
      <c r="K18" s="834"/>
      <c r="L18" s="834"/>
      <c r="M18" s="834"/>
      <c r="N18" s="834"/>
      <c r="O18" s="834"/>
      <c r="P18" s="834"/>
      <c r="Q18" s="834"/>
      <c r="R18" s="834"/>
      <c r="S18" s="834"/>
      <c r="T18" s="834"/>
      <c r="U18" s="834"/>
      <c r="V18" s="834"/>
      <c r="W18" s="834"/>
      <c r="X18" s="834"/>
      <c r="Y18" s="834"/>
      <c r="Z18" s="834"/>
      <c r="AA18" s="834"/>
      <c r="AB18" s="834"/>
      <c r="AC18" s="834"/>
      <c r="AD18" s="834"/>
      <c r="AE18" s="834"/>
      <c r="AF18" s="834"/>
      <c r="AG18" s="834"/>
      <c r="AH18" s="835"/>
      <c r="AI18" s="119"/>
      <c r="AJ18" s="726"/>
      <c r="AK18" s="726"/>
    </row>
    <row r="19" spans="1:37" ht="32.1">
      <c r="A19" s="726"/>
      <c r="B19" s="101" t="s">
        <v>6310</v>
      </c>
      <c r="C19" s="109" t="s">
        <v>6311</v>
      </c>
      <c r="D19" s="109" t="s">
        <v>6312</v>
      </c>
      <c r="E19" s="109" t="s">
        <v>6313</v>
      </c>
      <c r="F19" s="104" t="s">
        <v>6314</v>
      </c>
      <c r="G19" s="104" t="s">
        <v>6315</v>
      </c>
      <c r="H19" s="104" t="s">
        <v>6316</v>
      </c>
      <c r="I19" s="104" t="s">
        <v>6317</v>
      </c>
      <c r="J19" s="104" t="s">
        <v>107</v>
      </c>
      <c r="K19" s="106" t="s">
        <v>108</v>
      </c>
      <c r="L19" s="106" t="s">
        <v>109</v>
      </c>
      <c r="M19" s="104" t="s">
        <v>6318</v>
      </c>
      <c r="N19" s="104" t="s">
        <v>6319</v>
      </c>
      <c r="O19" s="104" t="s">
        <v>6320</v>
      </c>
      <c r="P19" s="104" t="s">
        <v>6321</v>
      </c>
      <c r="Q19" s="104" t="s">
        <v>6322</v>
      </c>
      <c r="R19" s="104" t="s">
        <v>130</v>
      </c>
      <c r="S19" s="104" t="s">
        <v>6323</v>
      </c>
      <c r="T19" s="104" t="s">
        <v>6324</v>
      </c>
      <c r="U19" s="104" t="s">
        <v>6325</v>
      </c>
      <c r="V19" s="104" t="s">
        <v>6326</v>
      </c>
      <c r="W19" s="104" t="s">
        <v>6327</v>
      </c>
      <c r="X19" s="104" t="s">
        <v>6328</v>
      </c>
      <c r="Y19" s="104" t="s">
        <v>6329</v>
      </c>
      <c r="Z19" s="107" t="s">
        <v>6330</v>
      </c>
      <c r="AA19" s="106" t="s">
        <v>6331</v>
      </c>
      <c r="AB19" s="106" t="s">
        <v>6332</v>
      </c>
      <c r="AC19" s="104" t="s">
        <v>6333</v>
      </c>
      <c r="AD19" s="107" t="s">
        <v>6334</v>
      </c>
      <c r="AE19" s="521" t="s">
        <v>6335</v>
      </c>
      <c r="AF19" s="522" t="s">
        <v>6336</v>
      </c>
      <c r="AG19" s="107" t="s">
        <v>6337</v>
      </c>
      <c r="AH19" s="183" t="s">
        <v>6338</v>
      </c>
      <c r="AI19" s="726"/>
      <c r="AJ19" s="726"/>
      <c r="AK19" s="726"/>
    </row>
    <row r="20" spans="1:37" ht="15.95">
      <c r="A20" s="726"/>
      <c r="B20" s="261"/>
      <c r="C20" s="698"/>
      <c r="D20" s="698"/>
      <c r="E20" s="698"/>
      <c r="F20" s="252"/>
      <c r="G20" s="262" t="str">
        <f>IF(ISTEXT(F20),1,"")</f>
        <v/>
      </c>
      <c r="H20" s="270" t="str">
        <f>IFERROR(VLOOKUP($F20,'VEH98 Data'!$A$3:$AJ$3511,8,0),"")</f>
        <v/>
      </c>
      <c r="I20" s="262" t="str">
        <f>IFERROR(VLOOKUP($F20,'VEH98 Data'!$A$3:$AJ$3511,7,0),"")</f>
        <v/>
      </c>
      <c r="J20" s="262" t="str">
        <f>IFERROR(VLOOKUP($F20,'VEH98 Data'!$A$3:$AJ$3511,9,0),"")</f>
        <v/>
      </c>
      <c r="K20" s="262" t="str">
        <f>IFERROR(VLOOKUP($F20,'VEH98 Data'!$A$3:$AJ$3511,10,0),"")</f>
        <v/>
      </c>
      <c r="L20" s="262" t="str">
        <f>IFERROR(VLOOKUP($F20,'VEH98 Data'!$A$3:$AJ$3511,11,0),"")</f>
        <v/>
      </c>
      <c r="M20" s="262" t="str">
        <f>IFERROR(VLOOKUP($F20,'VEH98 Data'!$A$3:$AJ$3511,20,0),"")</f>
        <v/>
      </c>
      <c r="N20" s="262" t="str">
        <f>IFERROR(VLOOKUP($F20,'VEH98 Data'!$A$3:$AJ$3511,21,0),"")</f>
        <v/>
      </c>
      <c r="O20" s="262" t="str">
        <f>IFERROR(VLOOKUP($F20,'VEH98 Data'!$A$3:$AJ$3511,12,0),"")</f>
        <v/>
      </c>
      <c r="P20" s="262" t="str">
        <f>IFERROR(VLOOKUP($F20,'VEH98 Data'!$A$3:$AJ$3511,18,0),"")</f>
        <v/>
      </c>
      <c r="Q20" s="262" t="str">
        <f>IFERROR(VLOOKUP($F20,'VEH98 Data'!$A$3:$AJ$3511,19,0),"")</f>
        <v/>
      </c>
      <c r="R20" s="262" t="str">
        <f>IFERROR(VLOOKUP($F20,'VEH98 Data'!$A$3:$AJ$3511,22,0),"")</f>
        <v/>
      </c>
      <c r="S20" s="263" t="str">
        <f>IFERROR(VLOOKUP($F20,'VEH98 Data'!$A$3:$AJ$3511,16,0),"")</f>
        <v/>
      </c>
      <c r="T20" s="264" t="str">
        <f>IFERROR(VLOOKUP($F20,'VEH98 Data'!$A$3:$AJ$3511,24,0),"")</f>
        <v/>
      </c>
      <c r="U20" s="262" t="str">
        <f>IFERROR(VLOOKUP($F20,'VEH98 Data'!$A$3:$AJ$3511,26,0),"")</f>
        <v/>
      </c>
      <c r="V20" s="262" t="str">
        <f>IFERROR(VLOOKUP($F20,'VEH98 Data'!$A$3:$AJ$3511,27,0),"")</f>
        <v/>
      </c>
      <c r="W20" s="265" t="str">
        <f>IFERROR(VLOOKUP($F20,'VEH98 Data'!$A$3:$AJ$3511,25,0),"")</f>
        <v/>
      </c>
      <c r="X20" s="262" t="str">
        <f>IFERROR(VLOOKUP($F20,'VEH98 Data'!$A$3:$AJ$3511,23,0),"")</f>
        <v/>
      </c>
      <c r="Y20" s="262" t="str">
        <f>IFERROR(VLOOKUP($F20,'VEH98 Data'!$A$3:$AJ$3511,3,0),"")</f>
        <v/>
      </c>
      <c r="Z20" s="266" t="str">
        <f>IFERROR(VLOOKUP($F20,'VEH98 Data'!$A$3:$AJ$3511,30,0),"")</f>
        <v/>
      </c>
      <c r="AA20" s="250"/>
      <c r="AB20" s="250"/>
      <c r="AC20" s="250"/>
      <c r="AD20" s="267"/>
      <c r="AE20" s="250"/>
      <c r="AF20" s="267"/>
      <c r="AG20" s="266" t="str">
        <f>IF(Z20="", "", Z20+AD20+AF20)</f>
        <v/>
      </c>
      <c r="AH20" s="268" t="str">
        <f>IF(G20="", "", AG20*G20)</f>
        <v/>
      </c>
      <c r="AI20" s="726"/>
      <c r="AJ20" s="726"/>
      <c r="AK20" s="726"/>
    </row>
    <row r="21" spans="1:37" ht="15.95">
      <c r="A21" s="726"/>
      <c r="B21" s="269"/>
      <c r="C21" s="699"/>
      <c r="D21" s="699"/>
      <c r="E21" s="699"/>
      <c r="F21" s="252"/>
      <c r="G21" s="270" t="str">
        <f>IF(ISTEXT(F21),1,"")</f>
        <v/>
      </c>
      <c r="H21" s="270" t="str">
        <f>IFERROR(VLOOKUP($F21,'VEH98 Data'!$A$3:$AJ$3511,8,0),"")</f>
        <v/>
      </c>
      <c r="I21" s="270" t="str">
        <f>IFERROR(VLOOKUP($F21,'VEH98 Data'!$A$3:$AJ$3511,7,0),"")</f>
        <v/>
      </c>
      <c r="J21" s="270" t="str">
        <f>IFERROR(VLOOKUP($F21,'VEH98 Data'!$A$3:$AJ$3511,9,0),"")</f>
        <v/>
      </c>
      <c r="K21" s="270" t="str">
        <f>IFERROR(VLOOKUP($F21,'VEH98 Data'!$A$3:$AJ$3511,10,0),"")</f>
        <v/>
      </c>
      <c r="L21" s="270" t="str">
        <f>IFERROR(VLOOKUP($F21,'VEH98 Data'!$A$3:$AJ$3511,11,0),"")</f>
        <v/>
      </c>
      <c r="M21" s="270" t="str">
        <f>IFERROR(VLOOKUP($F21,'VEH98 Data'!$A$3:$AJ$3511,20,0),"")</f>
        <v/>
      </c>
      <c r="N21" s="270" t="str">
        <f>IFERROR(VLOOKUP($F21,'VEH98 Data'!$A$3:$AJ$3511,21,0),"")</f>
        <v/>
      </c>
      <c r="O21" s="270" t="str">
        <f>IFERROR(VLOOKUP($F21,'VEH98 Data'!$A$3:$AJ$3511,12,0),"")</f>
        <v/>
      </c>
      <c r="P21" s="270" t="str">
        <f>IFERROR(VLOOKUP($F21,'VEH98 Data'!$A$3:$AJ$3511,18,0),"")</f>
        <v/>
      </c>
      <c r="Q21" s="270" t="str">
        <f>IFERROR(VLOOKUP($F21,'VEH98 Data'!$A$3:$AJ$3511,19,0),"")</f>
        <v/>
      </c>
      <c r="R21" s="270" t="str">
        <f>IFERROR(VLOOKUP($F21,'VEH98 Data'!$A$3:$AJ$3511,22,0),"")</f>
        <v/>
      </c>
      <c r="S21" s="271" t="str">
        <f>IFERROR(VLOOKUP($F21,'VEH98 Data'!$A$3:$AJ$3511,16,0),"")</f>
        <v/>
      </c>
      <c r="T21" s="272" t="str">
        <f>IFERROR(VLOOKUP($F21,'VEH98 Data'!$A$3:$AJ$3511,24,0),"")</f>
        <v/>
      </c>
      <c r="U21" s="270" t="str">
        <f>IFERROR(VLOOKUP($F21,'VEH98 Data'!$A$3:$AJ$3511,26,0),"")</f>
        <v/>
      </c>
      <c r="V21" s="270" t="str">
        <f>IFERROR(VLOOKUP($F21,'VEH98 Data'!$A$3:$AJ$3511,27,0),"")</f>
        <v/>
      </c>
      <c r="W21" s="273" t="str">
        <f>IFERROR(VLOOKUP($F21,'VEH98 Data'!$A$3:$AJ$3511,25,0),"")</f>
        <v/>
      </c>
      <c r="X21" s="270" t="str">
        <f>IFERROR(VLOOKUP($F21,'VEH98 Data'!$A$3:$AJ$3511,23,0),"")</f>
        <v/>
      </c>
      <c r="Y21" s="270" t="str">
        <f>IFERROR(VLOOKUP($F21,'VEH98 Data'!$A$3:$AJ$3511,3,0),"")</f>
        <v/>
      </c>
      <c r="Z21" s="274" t="str">
        <f>IFERROR(VLOOKUP($F21,'VEH98 Data'!$A$3:$AJ$3511,30,0),"")</f>
        <v/>
      </c>
      <c r="AA21" s="252"/>
      <c r="AB21" s="252"/>
      <c r="AC21" s="252"/>
      <c r="AD21" s="275"/>
      <c r="AE21" s="252"/>
      <c r="AF21" s="275"/>
      <c r="AG21" s="274" t="str">
        <f>IF(Z21="", "", Z21+AD21+AF21)</f>
        <v/>
      </c>
      <c r="AH21" s="276" t="str">
        <f>IF(G21="", "", AG21*G21)</f>
        <v/>
      </c>
      <c r="AI21" s="726"/>
      <c r="AJ21" s="726"/>
      <c r="AK21" s="726"/>
    </row>
    <row r="22" spans="1:37" ht="15.95">
      <c r="A22" s="726"/>
      <c r="B22" s="269"/>
      <c r="C22" s="699"/>
      <c r="D22" s="699"/>
      <c r="E22" s="699"/>
      <c r="F22" s="252"/>
      <c r="G22" s="270" t="str">
        <f>IF(ISTEXT(F22),1,"")</f>
        <v/>
      </c>
      <c r="H22" s="270" t="str">
        <f>IFERROR(VLOOKUP($F22,'VEH98 Data'!$A$3:$AJ$3511,8,0),"")</f>
        <v/>
      </c>
      <c r="I22" s="270" t="str">
        <f>IFERROR(VLOOKUP($F22,'VEH98 Data'!$A$3:$AJ$3511,7,0),"")</f>
        <v/>
      </c>
      <c r="J22" s="270" t="str">
        <f>IFERROR(VLOOKUP($F22,'VEH98 Data'!$A$3:$AJ$3511,9,0),"")</f>
        <v/>
      </c>
      <c r="K22" s="270" t="str">
        <f>IFERROR(VLOOKUP($F22,'VEH98 Data'!$A$3:$AJ$3511,10,0),"")</f>
        <v/>
      </c>
      <c r="L22" s="270" t="str">
        <f>IFERROR(VLOOKUP($F22,'VEH98 Data'!$A$3:$AJ$3511,11,0),"")</f>
        <v/>
      </c>
      <c r="M22" s="270" t="str">
        <f>IFERROR(VLOOKUP($F22,'VEH98 Data'!$A$3:$AJ$3511,20,0),"")</f>
        <v/>
      </c>
      <c r="N22" s="270" t="str">
        <f>IFERROR(VLOOKUP($F22,'VEH98 Data'!$A$3:$AJ$3511,21,0),"")</f>
        <v/>
      </c>
      <c r="O22" s="270" t="str">
        <f>IFERROR(VLOOKUP($F22,'VEH98 Data'!$A$3:$AJ$3511,12,0),"")</f>
        <v/>
      </c>
      <c r="P22" s="270" t="str">
        <f>IFERROR(VLOOKUP($F22,'VEH98 Data'!$A$3:$AJ$3511,18,0),"")</f>
        <v/>
      </c>
      <c r="Q22" s="270" t="str">
        <f>IFERROR(VLOOKUP($F22,'VEH98 Data'!$A$3:$AJ$3511,19,0),"")</f>
        <v/>
      </c>
      <c r="R22" s="270" t="str">
        <f>IFERROR(VLOOKUP($F22,'VEH98 Data'!$A$3:$AJ$3511,22,0),"")</f>
        <v/>
      </c>
      <c r="S22" s="271" t="str">
        <f>IFERROR(VLOOKUP($F22,'VEH98 Data'!$A$3:$AJ$3511,16,0),"")</f>
        <v/>
      </c>
      <c r="T22" s="272" t="str">
        <f>IFERROR(VLOOKUP($F22,'VEH98 Data'!$A$3:$AJ$3511,24,0),"")</f>
        <v/>
      </c>
      <c r="U22" s="270" t="str">
        <f>IFERROR(VLOOKUP($F22,'VEH98 Data'!$A$3:$AJ$3511,26,0),"")</f>
        <v/>
      </c>
      <c r="V22" s="270" t="str">
        <f>IFERROR(VLOOKUP($F22,'VEH98 Data'!$A$3:$AJ$3511,27,0),"")</f>
        <v/>
      </c>
      <c r="W22" s="273" t="str">
        <f>IFERROR(VLOOKUP($F22,'VEH98 Data'!$A$3:$AJ$3511,25,0),"")</f>
        <v/>
      </c>
      <c r="X22" s="270" t="str">
        <f>IFERROR(VLOOKUP($F22,'VEH98 Data'!$A$3:$AJ$3511,23,0),"")</f>
        <v/>
      </c>
      <c r="Y22" s="270" t="str">
        <f>IFERROR(VLOOKUP($F22,'VEH98 Data'!$A$3:$AJ$3511,3,0),"")</f>
        <v/>
      </c>
      <c r="Z22" s="274" t="str">
        <f>IFERROR(VLOOKUP($F22,'VEH98 Data'!$A$3:$AJ$3511,30,0),"")</f>
        <v/>
      </c>
      <c r="AA22" s="252"/>
      <c r="AB22" s="252"/>
      <c r="AC22" s="252"/>
      <c r="AD22" s="275"/>
      <c r="AE22" s="252"/>
      <c r="AF22" s="275"/>
      <c r="AG22" s="274" t="str">
        <f t="shared" ref="AG22:AG33" si="0">IF(Z22="", "", Z22+AD22+AF22)</f>
        <v/>
      </c>
      <c r="AH22" s="276" t="str">
        <f t="shared" ref="AH22:AH33" si="1">IF(G22="", "", AG22*G22)</f>
        <v/>
      </c>
      <c r="AI22" s="726"/>
      <c r="AJ22" s="726"/>
      <c r="AK22" s="726"/>
    </row>
    <row r="23" spans="1:37" ht="15.95">
      <c r="A23" s="726"/>
      <c r="B23" s="269"/>
      <c r="C23" s="699"/>
      <c r="D23" s="699"/>
      <c r="E23" s="699"/>
      <c r="F23" s="252"/>
      <c r="G23" s="270" t="str">
        <f t="shared" ref="G23:G34" si="2">IF(ISTEXT(F23),1,"")</f>
        <v/>
      </c>
      <c r="H23" s="270" t="str">
        <f>IFERROR(VLOOKUP($F23,'VEH98 Data'!$A$3:$AJ$3511,8,0),"")</f>
        <v/>
      </c>
      <c r="I23" s="270" t="str">
        <f>IFERROR(VLOOKUP($F23,'VEH98 Data'!$A$3:$AJ$3511,7,0),"")</f>
        <v/>
      </c>
      <c r="J23" s="270" t="str">
        <f>IFERROR(VLOOKUP($F23,'VEH98 Data'!$A$3:$AJ$3511,9,0),"")</f>
        <v/>
      </c>
      <c r="K23" s="270" t="str">
        <f>IFERROR(VLOOKUP($F23,'VEH98 Data'!$A$3:$AJ$3511,10,0),"")</f>
        <v/>
      </c>
      <c r="L23" s="270" t="str">
        <f>IFERROR(VLOOKUP($F23,'VEH98 Data'!$A$3:$AJ$3511,11,0),"")</f>
        <v/>
      </c>
      <c r="M23" s="270" t="str">
        <f>IFERROR(VLOOKUP($F23,'VEH98 Data'!$A$3:$AJ$3511,20,0),"")</f>
        <v/>
      </c>
      <c r="N23" s="270" t="str">
        <f>IFERROR(VLOOKUP($F23,'VEH98 Data'!$A$3:$AJ$3511,21,0),"")</f>
        <v/>
      </c>
      <c r="O23" s="270" t="str">
        <f>IFERROR(VLOOKUP($F23,'VEH98 Data'!$A$3:$AJ$3511,12,0),"")</f>
        <v/>
      </c>
      <c r="P23" s="270" t="str">
        <f>IFERROR(VLOOKUP($F23,'VEH98 Data'!$A$3:$AJ$3511,18,0),"")</f>
        <v/>
      </c>
      <c r="Q23" s="270" t="str">
        <f>IFERROR(VLOOKUP($F23,'VEH98 Data'!$A$3:$AJ$3511,19,0),"")</f>
        <v/>
      </c>
      <c r="R23" s="270" t="str">
        <f>IFERROR(VLOOKUP($F23,'VEH98 Data'!$A$3:$AJ$3511,22,0),"")</f>
        <v/>
      </c>
      <c r="S23" s="271" t="str">
        <f>IFERROR(VLOOKUP($F23,'VEH98 Data'!$A$3:$AJ$3511,16,0),"")</f>
        <v/>
      </c>
      <c r="T23" s="272" t="str">
        <f>IFERROR(VLOOKUP($F23,'VEH98 Data'!$A$3:$AJ$3511,24,0),"")</f>
        <v/>
      </c>
      <c r="U23" s="270" t="str">
        <f>IFERROR(VLOOKUP($F23,'VEH98 Data'!$A$3:$AJ$3511,26,0),"")</f>
        <v/>
      </c>
      <c r="V23" s="270" t="str">
        <f>IFERROR(VLOOKUP($F23,'VEH98 Data'!$A$3:$AJ$3511,27,0),"")</f>
        <v/>
      </c>
      <c r="W23" s="273" t="str">
        <f>IFERROR(VLOOKUP($F23,'VEH98 Data'!$A$3:$AJ$3511,25,0),"")</f>
        <v/>
      </c>
      <c r="X23" s="270" t="str">
        <f>IFERROR(VLOOKUP($F23,'VEH98 Data'!$A$3:$AJ$3511,23,0),"")</f>
        <v/>
      </c>
      <c r="Y23" s="270" t="str">
        <f>IFERROR(VLOOKUP($F23,'VEH98 Data'!$A$3:$AJ$3511,3,0),"")</f>
        <v/>
      </c>
      <c r="Z23" s="274" t="str">
        <f>IFERROR(VLOOKUP($F23,'VEH98 Data'!$A$3:$AJ$3511,30,0),"")</f>
        <v/>
      </c>
      <c r="AA23" s="252"/>
      <c r="AB23" s="252"/>
      <c r="AC23" s="252"/>
      <c r="AD23" s="275"/>
      <c r="AE23" s="252"/>
      <c r="AF23" s="275"/>
      <c r="AG23" s="274" t="str">
        <f t="shared" si="0"/>
        <v/>
      </c>
      <c r="AH23" s="276" t="str">
        <f t="shared" si="1"/>
        <v/>
      </c>
      <c r="AI23" s="726"/>
      <c r="AJ23" s="726"/>
      <c r="AK23" s="726"/>
    </row>
    <row r="24" spans="1:37" ht="15.95">
      <c r="A24" s="726"/>
      <c r="B24" s="269"/>
      <c r="C24" s="699"/>
      <c r="D24" s="699"/>
      <c r="E24" s="699"/>
      <c r="F24" s="252"/>
      <c r="G24" s="270" t="str">
        <f t="shared" si="2"/>
        <v/>
      </c>
      <c r="H24" s="270" t="str">
        <f>IFERROR(VLOOKUP($F24,'VEH98 Data'!$A$3:$AJ$3511,8,0),"")</f>
        <v/>
      </c>
      <c r="I24" s="270" t="str">
        <f>IFERROR(VLOOKUP($F24,'VEH98 Data'!$A$3:$AJ$3511,7,0),"")</f>
        <v/>
      </c>
      <c r="J24" s="270" t="str">
        <f>IFERROR(VLOOKUP($F24,'VEH98 Data'!$A$3:$AJ$3511,9,0),"")</f>
        <v/>
      </c>
      <c r="K24" s="270" t="str">
        <f>IFERROR(VLOOKUP($F24,'VEH98 Data'!$A$3:$AJ$3511,10,0),"")</f>
        <v/>
      </c>
      <c r="L24" s="270" t="str">
        <f>IFERROR(VLOOKUP($F24,'VEH98 Data'!$A$3:$AJ$3511,11,0),"")</f>
        <v/>
      </c>
      <c r="M24" s="270" t="str">
        <f>IFERROR(VLOOKUP($F24,'VEH98 Data'!$A$3:$AJ$3511,20,0),"")</f>
        <v/>
      </c>
      <c r="N24" s="270" t="str">
        <f>IFERROR(VLOOKUP($F24,'VEH98 Data'!$A$3:$AJ$3511,21,0),"")</f>
        <v/>
      </c>
      <c r="O24" s="270" t="str">
        <f>IFERROR(VLOOKUP($F24,'VEH98 Data'!$A$3:$AJ$3511,12,0),"")</f>
        <v/>
      </c>
      <c r="P24" s="270" t="str">
        <f>IFERROR(VLOOKUP($F24,'VEH98 Data'!$A$3:$AJ$3511,18,0),"")</f>
        <v/>
      </c>
      <c r="Q24" s="270" t="str">
        <f>IFERROR(VLOOKUP($F24,'VEH98 Data'!$A$3:$AJ$3511,19,0),"")</f>
        <v/>
      </c>
      <c r="R24" s="270" t="str">
        <f>IFERROR(VLOOKUP($F24,'VEH98 Data'!$A$3:$AJ$3511,22,0),"")</f>
        <v/>
      </c>
      <c r="S24" s="271" t="str">
        <f>IFERROR(VLOOKUP($F24,'VEH98 Data'!$A$3:$AJ$3511,16,0),"")</f>
        <v/>
      </c>
      <c r="T24" s="272" t="str">
        <f>IFERROR(VLOOKUP($F24,'VEH98 Data'!$A$3:$AJ$3511,24,0),"")</f>
        <v/>
      </c>
      <c r="U24" s="270" t="str">
        <f>IFERROR(VLOOKUP($F24,'VEH98 Data'!$A$3:$AJ$3511,26,0),"")</f>
        <v/>
      </c>
      <c r="V24" s="270" t="str">
        <f>IFERROR(VLOOKUP($F24,'VEH98 Data'!$A$3:$AJ$3511,27,0),"")</f>
        <v/>
      </c>
      <c r="W24" s="273" t="str">
        <f>IFERROR(VLOOKUP($F24,'VEH98 Data'!$A$3:$AJ$3511,25,0),"")</f>
        <v/>
      </c>
      <c r="X24" s="270" t="str">
        <f>IFERROR(VLOOKUP($F24,'VEH98 Data'!$A$3:$AJ$3511,23,0),"")</f>
        <v/>
      </c>
      <c r="Y24" s="270" t="str">
        <f>IFERROR(VLOOKUP($F24,'VEH98 Data'!$A$3:$AJ$3511,3,0),"")</f>
        <v/>
      </c>
      <c r="Z24" s="274" t="str">
        <f>IFERROR(VLOOKUP($F24,'VEH98 Data'!$A$3:$AJ$3511,30,0),"")</f>
        <v/>
      </c>
      <c r="AA24" s="252"/>
      <c r="AB24" s="252"/>
      <c r="AC24" s="252"/>
      <c r="AD24" s="275"/>
      <c r="AE24" s="252"/>
      <c r="AF24" s="275"/>
      <c r="AG24" s="274" t="str">
        <f t="shared" si="0"/>
        <v/>
      </c>
      <c r="AH24" s="276" t="str">
        <f t="shared" si="1"/>
        <v/>
      </c>
      <c r="AI24" s="726"/>
      <c r="AJ24" s="726"/>
      <c r="AK24" s="726"/>
    </row>
    <row r="25" spans="1:37" ht="15.95">
      <c r="A25" s="726"/>
      <c r="B25" s="269"/>
      <c r="C25" s="699"/>
      <c r="D25" s="699"/>
      <c r="E25" s="699"/>
      <c r="F25" s="252"/>
      <c r="G25" s="270" t="str">
        <f t="shared" si="2"/>
        <v/>
      </c>
      <c r="H25" s="270" t="str">
        <f>IFERROR(VLOOKUP($F25,'VEH98 Data'!$A$3:$AJ$3511,8,0),"")</f>
        <v/>
      </c>
      <c r="I25" s="270" t="str">
        <f>IFERROR(VLOOKUP($F25,'VEH98 Data'!$A$3:$AJ$3511,7,0),"")</f>
        <v/>
      </c>
      <c r="J25" s="270" t="str">
        <f>IFERROR(VLOOKUP($F25,'VEH98 Data'!$A$3:$AJ$3511,9,0),"")</f>
        <v/>
      </c>
      <c r="K25" s="270" t="str">
        <f>IFERROR(VLOOKUP($F25,'VEH98 Data'!$A$3:$AJ$3511,10,0),"")</f>
        <v/>
      </c>
      <c r="L25" s="270" t="str">
        <f>IFERROR(VLOOKUP($F25,'VEH98 Data'!$A$3:$AJ$3511,11,0),"")</f>
        <v/>
      </c>
      <c r="M25" s="270" t="str">
        <f>IFERROR(VLOOKUP($F25,'VEH98 Data'!$A$3:$AJ$3511,20,0),"")</f>
        <v/>
      </c>
      <c r="N25" s="270" t="str">
        <f>IFERROR(VLOOKUP($F25,'VEH98 Data'!$A$3:$AJ$3511,21,0),"")</f>
        <v/>
      </c>
      <c r="O25" s="270" t="str">
        <f>IFERROR(VLOOKUP($F25,'VEH98 Data'!$A$3:$AJ$3511,12,0),"")</f>
        <v/>
      </c>
      <c r="P25" s="270" t="str">
        <f>IFERROR(VLOOKUP($F25,'VEH98 Data'!$A$3:$AJ$3511,18,0),"")</f>
        <v/>
      </c>
      <c r="Q25" s="270" t="str">
        <f>IFERROR(VLOOKUP($F25,'VEH98 Data'!$A$3:$AJ$3511,19,0),"")</f>
        <v/>
      </c>
      <c r="R25" s="270" t="str">
        <f>IFERROR(VLOOKUP($F25,'VEH98 Data'!$A$3:$AJ$3511,22,0),"")</f>
        <v/>
      </c>
      <c r="S25" s="271" t="str">
        <f>IFERROR(VLOOKUP($F25,'VEH98 Data'!$A$3:$AJ$3511,16,0),"")</f>
        <v/>
      </c>
      <c r="T25" s="272" t="str">
        <f>IFERROR(VLOOKUP($F25,'VEH98 Data'!$A$3:$AJ$3511,24,0),"")</f>
        <v/>
      </c>
      <c r="U25" s="270" t="str">
        <f>IFERROR(VLOOKUP($F25,'VEH98 Data'!$A$3:$AJ$3511,26,0),"")</f>
        <v/>
      </c>
      <c r="V25" s="270" t="str">
        <f>IFERROR(VLOOKUP($F25,'VEH98 Data'!$A$3:$AJ$3511,27,0),"")</f>
        <v/>
      </c>
      <c r="W25" s="273" t="str">
        <f>IFERROR(VLOOKUP($F25,'VEH98 Data'!$A$3:$AJ$3511,25,0),"")</f>
        <v/>
      </c>
      <c r="X25" s="270" t="str">
        <f>IFERROR(VLOOKUP($F25,'VEH98 Data'!$A$3:$AJ$3511,23,0),"")</f>
        <v/>
      </c>
      <c r="Y25" s="270" t="str">
        <f>IFERROR(VLOOKUP($F25,'VEH98 Data'!$A$3:$AJ$3511,3,0),"")</f>
        <v/>
      </c>
      <c r="Z25" s="274" t="str">
        <f>IFERROR(VLOOKUP($F25,'VEH98 Data'!$A$3:$AJ$3511,30,0),"")</f>
        <v/>
      </c>
      <c r="AA25" s="252"/>
      <c r="AB25" s="252"/>
      <c r="AC25" s="252"/>
      <c r="AD25" s="275"/>
      <c r="AE25" s="252"/>
      <c r="AF25" s="275"/>
      <c r="AG25" s="274" t="str">
        <f t="shared" si="0"/>
        <v/>
      </c>
      <c r="AH25" s="276" t="str">
        <f t="shared" si="1"/>
        <v/>
      </c>
      <c r="AI25" s="726"/>
      <c r="AJ25" s="726"/>
      <c r="AK25" s="726"/>
    </row>
    <row r="26" spans="1:37" ht="15.95">
      <c r="A26" s="726"/>
      <c r="B26" s="269"/>
      <c r="C26" s="699"/>
      <c r="D26" s="699"/>
      <c r="E26" s="699"/>
      <c r="F26" s="252"/>
      <c r="G26" s="270" t="str">
        <f t="shared" si="2"/>
        <v/>
      </c>
      <c r="H26" s="270" t="str">
        <f>IFERROR(VLOOKUP($F26,'VEH98 Data'!$A$3:$AJ$3511,8,0),"")</f>
        <v/>
      </c>
      <c r="I26" s="270" t="str">
        <f>IFERROR(VLOOKUP($F26,'VEH98 Data'!$A$3:$AJ$3511,7,0),"")</f>
        <v/>
      </c>
      <c r="J26" s="270" t="str">
        <f>IFERROR(VLOOKUP($F26,'VEH98 Data'!$A$3:$AJ$3511,9,0),"")</f>
        <v/>
      </c>
      <c r="K26" s="270" t="str">
        <f>IFERROR(VLOOKUP($F26,'VEH98 Data'!$A$3:$AJ$3511,10,0),"")</f>
        <v/>
      </c>
      <c r="L26" s="270" t="str">
        <f>IFERROR(VLOOKUP($F26,'VEH98 Data'!$A$3:$AJ$3511,11,0),"")</f>
        <v/>
      </c>
      <c r="M26" s="270" t="str">
        <f>IFERROR(VLOOKUP($F26,'VEH98 Data'!$A$3:$AJ$3511,20,0),"")</f>
        <v/>
      </c>
      <c r="N26" s="270" t="str">
        <f>IFERROR(VLOOKUP($F26,'VEH98 Data'!$A$3:$AJ$3511,21,0),"")</f>
        <v/>
      </c>
      <c r="O26" s="270" t="str">
        <f>IFERROR(VLOOKUP($F26,'VEH98 Data'!$A$3:$AJ$3511,12,0),"")</f>
        <v/>
      </c>
      <c r="P26" s="270" t="str">
        <f>IFERROR(VLOOKUP($F26,'VEH98 Data'!$A$3:$AJ$3511,18,0),"")</f>
        <v/>
      </c>
      <c r="Q26" s="270" t="str">
        <f>IFERROR(VLOOKUP($F26,'VEH98 Data'!$A$3:$AJ$3511,19,0),"")</f>
        <v/>
      </c>
      <c r="R26" s="270" t="str">
        <f>IFERROR(VLOOKUP($F26,'VEH98 Data'!$A$3:$AJ$3511,22,0),"")</f>
        <v/>
      </c>
      <c r="S26" s="271" t="str">
        <f>IFERROR(VLOOKUP($F26,'VEH98 Data'!$A$3:$AJ$3511,16,0),"")</f>
        <v/>
      </c>
      <c r="T26" s="272" t="str">
        <f>IFERROR(VLOOKUP($F26,'VEH98 Data'!$A$3:$AJ$3511,24,0),"")</f>
        <v/>
      </c>
      <c r="U26" s="270" t="str">
        <f>IFERROR(VLOOKUP($F26,'VEH98 Data'!$A$3:$AJ$3511,26,0),"")</f>
        <v/>
      </c>
      <c r="V26" s="270" t="str">
        <f>IFERROR(VLOOKUP($F26,'VEH98 Data'!$A$3:$AJ$3511,27,0),"")</f>
        <v/>
      </c>
      <c r="W26" s="273" t="str">
        <f>IFERROR(VLOOKUP($F26,'VEH98 Data'!$A$3:$AJ$3511,25,0),"")</f>
        <v/>
      </c>
      <c r="X26" s="270" t="str">
        <f>IFERROR(VLOOKUP($F26,'VEH98 Data'!$A$3:$AJ$3511,23,0),"")</f>
        <v/>
      </c>
      <c r="Y26" s="270" t="str">
        <f>IFERROR(VLOOKUP($F26,'VEH98 Data'!$A$3:$AJ$3511,3,0),"")</f>
        <v/>
      </c>
      <c r="Z26" s="274" t="str">
        <f>IFERROR(VLOOKUP($F26,'VEH98 Data'!$A$3:$AJ$3511,30,0),"")</f>
        <v/>
      </c>
      <c r="AA26" s="252"/>
      <c r="AB26" s="252"/>
      <c r="AC26" s="252"/>
      <c r="AD26" s="275"/>
      <c r="AE26" s="252"/>
      <c r="AF26" s="275"/>
      <c r="AG26" s="274" t="str">
        <f t="shared" si="0"/>
        <v/>
      </c>
      <c r="AH26" s="276" t="str">
        <f t="shared" si="1"/>
        <v/>
      </c>
      <c r="AI26" s="726"/>
      <c r="AJ26" s="726"/>
      <c r="AK26" s="726"/>
    </row>
    <row r="27" spans="1:37" ht="15.95">
      <c r="A27" s="726"/>
      <c r="B27" s="269"/>
      <c r="C27" s="699"/>
      <c r="D27" s="699"/>
      <c r="E27" s="699"/>
      <c r="F27" s="252"/>
      <c r="G27" s="270" t="str">
        <f t="shared" si="2"/>
        <v/>
      </c>
      <c r="H27" s="270" t="str">
        <f>IFERROR(VLOOKUP($F27,'VEH98 Data'!$A$3:$AJ$3511,8,0),"")</f>
        <v/>
      </c>
      <c r="I27" s="270" t="str">
        <f>IFERROR(VLOOKUP($F27,'VEH98 Data'!$A$3:$AJ$3511,7,0),"")</f>
        <v/>
      </c>
      <c r="J27" s="270" t="str">
        <f>IFERROR(VLOOKUP($F27,'VEH98 Data'!$A$3:$AJ$3511,9,0),"")</f>
        <v/>
      </c>
      <c r="K27" s="270" t="str">
        <f>IFERROR(VLOOKUP($F27,'VEH98 Data'!$A$3:$AJ$3511,10,0),"")</f>
        <v/>
      </c>
      <c r="L27" s="270" t="str">
        <f>IFERROR(VLOOKUP($F27,'VEH98 Data'!$A$3:$AJ$3511,11,0),"")</f>
        <v/>
      </c>
      <c r="M27" s="270" t="str">
        <f>IFERROR(VLOOKUP($F27,'VEH98 Data'!$A$3:$AJ$3511,20,0),"")</f>
        <v/>
      </c>
      <c r="N27" s="270" t="str">
        <f>IFERROR(VLOOKUP($F27,'VEH98 Data'!$A$3:$AJ$3511,21,0),"")</f>
        <v/>
      </c>
      <c r="O27" s="270" t="str">
        <f>IFERROR(VLOOKUP($F27,'VEH98 Data'!$A$3:$AJ$3511,12,0),"")</f>
        <v/>
      </c>
      <c r="P27" s="270" t="str">
        <f>IFERROR(VLOOKUP($F27,'VEH98 Data'!$A$3:$AJ$3511,18,0),"")</f>
        <v/>
      </c>
      <c r="Q27" s="270" t="str">
        <f>IFERROR(VLOOKUP($F27,'VEH98 Data'!$A$3:$AJ$3511,19,0),"")</f>
        <v/>
      </c>
      <c r="R27" s="270" t="str">
        <f>IFERROR(VLOOKUP($F27,'VEH98 Data'!$A$3:$AJ$3511,22,0),"")</f>
        <v/>
      </c>
      <c r="S27" s="271" t="str">
        <f>IFERROR(VLOOKUP($F27,'VEH98 Data'!$A$3:$AJ$3511,16,0),"")</f>
        <v/>
      </c>
      <c r="T27" s="272" t="str">
        <f>IFERROR(VLOOKUP($F27,'VEH98 Data'!$A$3:$AJ$3511,24,0),"")</f>
        <v/>
      </c>
      <c r="U27" s="270" t="str">
        <f>IFERROR(VLOOKUP($F27,'VEH98 Data'!$A$3:$AJ$3511,26,0),"")</f>
        <v/>
      </c>
      <c r="V27" s="270" t="str">
        <f>IFERROR(VLOOKUP($F27,'VEH98 Data'!$A$3:$AJ$3511,27,0),"")</f>
        <v/>
      </c>
      <c r="W27" s="273" t="str">
        <f>IFERROR(VLOOKUP($F27,'VEH98 Data'!$A$3:$AJ$3511,25,0),"")</f>
        <v/>
      </c>
      <c r="X27" s="270" t="str">
        <f>IFERROR(VLOOKUP($F27,'VEH98 Data'!$A$3:$AJ$3511,23,0),"")</f>
        <v/>
      </c>
      <c r="Y27" s="270" t="str">
        <f>IFERROR(VLOOKUP($F27,'VEH98 Data'!$A$3:$AJ$3511,3,0),"")</f>
        <v/>
      </c>
      <c r="Z27" s="274" t="str">
        <f>IFERROR(VLOOKUP($F27,'VEH98 Data'!$A$3:$AJ$3511,30,0),"")</f>
        <v/>
      </c>
      <c r="AA27" s="252"/>
      <c r="AB27" s="252"/>
      <c r="AC27" s="252"/>
      <c r="AD27" s="275"/>
      <c r="AE27" s="252"/>
      <c r="AF27" s="275"/>
      <c r="AG27" s="274" t="str">
        <f t="shared" si="0"/>
        <v/>
      </c>
      <c r="AH27" s="276" t="str">
        <f t="shared" si="1"/>
        <v/>
      </c>
      <c r="AI27" s="726"/>
      <c r="AJ27" s="726"/>
      <c r="AK27" s="726"/>
    </row>
    <row r="28" spans="1:37" ht="15.95">
      <c r="A28" s="726"/>
      <c r="B28" s="269"/>
      <c r="C28" s="699"/>
      <c r="D28" s="699"/>
      <c r="E28" s="699"/>
      <c r="F28" s="252"/>
      <c r="G28" s="270" t="str">
        <f t="shared" si="2"/>
        <v/>
      </c>
      <c r="H28" s="270" t="str">
        <f>IFERROR(VLOOKUP($F28,'VEH98 Data'!$A$3:$AJ$3511,8,0),"")</f>
        <v/>
      </c>
      <c r="I28" s="270" t="str">
        <f>IFERROR(VLOOKUP($F28,'VEH98 Data'!$A$3:$AJ$3511,7,0),"")</f>
        <v/>
      </c>
      <c r="J28" s="270" t="str">
        <f>IFERROR(VLOOKUP($F28,'VEH98 Data'!$A$3:$AJ$3511,9,0),"")</f>
        <v/>
      </c>
      <c r="K28" s="270" t="str">
        <f>IFERROR(VLOOKUP($F28,'VEH98 Data'!$A$3:$AJ$3511,10,0),"")</f>
        <v/>
      </c>
      <c r="L28" s="270" t="str">
        <f>IFERROR(VLOOKUP($F28,'VEH98 Data'!$A$3:$AJ$3511,11,0),"")</f>
        <v/>
      </c>
      <c r="M28" s="270" t="str">
        <f>IFERROR(VLOOKUP($F28,'VEH98 Data'!$A$3:$AJ$3511,20,0),"")</f>
        <v/>
      </c>
      <c r="N28" s="270" t="str">
        <f>IFERROR(VLOOKUP($F28,'VEH98 Data'!$A$3:$AJ$3511,21,0),"")</f>
        <v/>
      </c>
      <c r="O28" s="270" t="str">
        <f>IFERROR(VLOOKUP($F28,'VEH98 Data'!$A$3:$AJ$3511,12,0),"")</f>
        <v/>
      </c>
      <c r="P28" s="270" t="str">
        <f>IFERROR(VLOOKUP($F28,'VEH98 Data'!$A$3:$AJ$3511,18,0),"")</f>
        <v/>
      </c>
      <c r="Q28" s="270" t="str">
        <f>IFERROR(VLOOKUP($F28,'VEH98 Data'!$A$3:$AJ$3511,19,0),"")</f>
        <v/>
      </c>
      <c r="R28" s="270" t="str">
        <f>IFERROR(VLOOKUP($F28,'VEH98 Data'!$A$3:$AJ$3511,22,0),"")</f>
        <v/>
      </c>
      <c r="S28" s="271" t="str">
        <f>IFERROR(VLOOKUP($F28,'VEH98 Data'!$A$3:$AJ$3511,16,0),"")</f>
        <v/>
      </c>
      <c r="T28" s="272" t="str">
        <f>IFERROR(VLOOKUP($F28,'VEH98 Data'!$A$3:$AJ$3511,24,0),"")</f>
        <v/>
      </c>
      <c r="U28" s="270" t="str">
        <f>IFERROR(VLOOKUP($F28,'VEH98 Data'!$A$3:$AJ$3511,26,0),"")</f>
        <v/>
      </c>
      <c r="V28" s="270" t="str">
        <f>IFERROR(VLOOKUP($F28,'VEH98 Data'!$A$3:$AJ$3511,27,0),"")</f>
        <v/>
      </c>
      <c r="W28" s="273" t="str">
        <f>IFERROR(VLOOKUP($F28,'VEH98 Data'!$A$3:$AJ$3511,25,0),"")</f>
        <v/>
      </c>
      <c r="X28" s="270" t="str">
        <f>IFERROR(VLOOKUP($F28,'VEH98 Data'!$A$3:$AJ$3511,23,0),"")</f>
        <v/>
      </c>
      <c r="Y28" s="270" t="str">
        <f>IFERROR(VLOOKUP($F28,'VEH98 Data'!$A$3:$AJ$3511,3,0),"")</f>
        <v/>
      </c>
      <c r="Z28" s="274" t="str">
        <f>IFERROR(VLOOKUP($F28,'VEH98 Data'!$A$3:$AJ$3511,30,0),"")</f>
        <v/>
      </c>
      <c r="AA28" s="252"/>
      <c r="AB28" s="252"/>
      <c r="AC28" s="252"/>
      <c r="AD28" s="275"/>
      <c r="AE28" s="252"/>
      <c r="AF28" s="275"/>
      <c r="AG28" s="274" t="str">
        <f t="shared" si="0"/>
        <v/>
      </c>
      <c r="AH28" s="276" t="str">
        <f t="shared" si="1"/>
        <v/>
      </c>
      <c r="AI28" s="726"/>
      <c r="AJ28" s="726"/>
      <c r="AK28" s="726"/>
    </row>
    <row r="29" spans="1:37" ht="15.95">
      <c r="A29" s="726"/>
      <c r="B29" s="269"/>
      <c r="C29" s="699"/>
      <c r="D29" s="699"/>
      <c r="E29" s="699"/>
      <c r="F29" s="252"/>
      <c r="G29" s="270" t="str">
        <f t="shared" si="2"/>
        <v/>
      </c>
      <c r="H29" s="270" t="str">
        <f>IFERROR(VLOOKUP($F29,'VEH98 Data'!$A$3:$AJ$3511,8,0),"")</f>
        <v/>
      </c>
      <c r="I29" s="270" t="str">
        <f>IFERROR(VLOOKUP($F29,'VEH98 Data'!$A$3:$AJ$3511,7,0),"")</f>
        <v/>
      </c>
      <c r="J29" s="270" t="str">
        <f>IFERROR(VLOOKUP($F29,'VEH98 Data'!$A$3:$AJ$3511,9,0),"")</f>
        <v/>
      </c>
      <c r="K29" s="270" t="str">
        <f>IFERROR(VLOOKUP($F29,'VEH98 Data'!$A$3:$AJ$3511,10,0),"")</f>
        <v/>
      </c>
      <c r="L29" s="270" t="str">
        <f>IFERROR(VLOOKUP($F29,'VEH98 Data'!$A$3:$AJ$3511,11,0),"")</f>
        <v/>
      </c>
      <c r="M29" s="270" t="str">
        <f>IFERROR(VLOOKUP($F29,'VEH98 Data'!$A$3:$AJ$3511,20,0),"")</f>
        <v/>
      </c>
      <c r="N29" s="270" t="str">
        <f>IFERROR(VLOOKUP($F29,'VEH98 Data'!$A$3:$AJ$3511,21,0),"")</f>
        <v/>
      </c>
      <c r="O29" s="270" t="str">
        <f>IFERROR(VLOOKUP($F29,'VEH98 Data'!$A$3:$AJ$3511,12,0),"")</f>
        <v/>
      </c>
      <c r="P29" s="270" t="str">
        <f>IFERROR(VLOOKUP($F29,'VEH98 Data'!$A$3:$AJ$3511,18,0),"")</f>
        <v/>
      </c>
      <c r="Q29" s="270" t="str">
        <f>IFERROR(VLOOKUP($F29,'VEH98 Data'!$A$3:$AJ$3511,19,0),"")</f>
        <v/>
      </c>
      <c r="R29" s="270" t="str">
        <f>IFERROR(VLOOKUP($F29,'VEH98 Data'!$A$3:$AJ$3511,22,0),"")</f>
        <v/>
      </c>
      <c r="S29" s="271" t="str">
        <f>IFERROR(VLOOKUP($F29,'VEH98 Data'!$A$3:$AJ$3511,16,0),"")</f>
        <v/>
      </c>
      <c r="T29" s="272" t="str">
        <f>IFERROR(VLOOKUP($F29,'VEH98 Data'!$A$3:$AJ$3511,24,0),"")</f>
        <v/>
      </c>
      <c r="U29" s="270" t="str">
        <f>IFERROR(VLOOKUP($F29,'VEH98 Data'!$A$3:$AJ$3511,26,0),"")</f>
        <v/>
      </c>
      <c r="V29" s="270" t="str">
        <f>IFERROR(VLOOKUP($F29,'VEH98 Data'!$A$3:$AJ$3511,27,0),"")</f>
        <v/>
      </c>
      <c r="W29" s="273" t="str">
        <f>IFERROR(VLOOKUP($F29,'VEH98 Data'!$A$3:$AJ$3511,25,0),"")</f>
        <v/>
      </c>
      <c r="X29" s="270" t="str">
        <f>IFERROR(VLOOKUP($F29,'VEH98 Data'!$A$3:$AJ$3511,23,0),"")</f>
        <v/>
      </c>
      <c r="Y29" s="270" t="str">
        <f>IFERROR(VLOOKUP($F29,'VEH98 Data'!$A$3:$AJ$3511,3,0),"")</f>
        <v/>
      </c>
      <c r="Z29" s="274" t="str">
        <f>IFERROR(VLOOKUP($F29,'VEH98 Data'!$A$3:$AJ$3511,30,0),"")</f>
        <v/>
      </c>
      <c r="AA29" s="252"/>
      <c r="AB29" s="252"/>
      <c r="AC29" s="252"/>
      <c r="AD29" s="275"/>
      <c r="AE29" s="252"/>
      <c r="AF29" s="275"/>
      <c r="AG29" s="274" t="str">
        <f t="shared" si="0"/>
        <v/>
      </c>
      <c r="AH29" s="276" t="str">
        <f t="shared" si="1"/>
        <v/>
      </c>
      <c r="AI29" s="726"/>
      <c r="AJ29" s="726"/>
      <c r="AK29" s="726"/>
    </row>
    <row r="30" spans="1:37" ht="15.95">
      <c r="A30" s="726"/>
      <c r="B30" s="269"/>
      <c r="C30" s="699"/>
      <c r="D30" s="699"/>
      <c r="E30" s="699"/>
      <c r="F30" s="252"/>
      <c r="G30" s="270" t="str">
        <f t="shared" si="2"/>
        <v/>
      </c>
      <c r="H30" s="270" t="str">
        <f>IFERROR(VLOOKUP($F30,'VEH98 Data'!$A$3:$AJ$3511,8,0),"")</f>
        <v/>
      </c>
      <c r="I30" s="270" t="str">
        <f>IFERROR(VLOOKUP($F30,'VEH98 Data'!$A$3:$AJ$3511,7,0),"")</f>
        <v/>
      </c>
      <c r="J30" s="270" t="str">
        <f>IFERROR(VLOOKUP($F30,'VEH98 Data'!$A$3:$AJ$3511,9,0),"")</f>
        <v/>
      </c>
      <c r="K30" s="270" t="str">
        <f>IFERROR(VLOOKUP($F30,'VEH98 Data'!$A$3:$AJ$3511,10,0),"")</f>
        <v/>
      </c>
      <c r="L30" s="270" t="str">
        <f>IFERROR(VLOOKUP($F30,'VEH98 Data'!$A$3:$AJ$3511,11,0),"")</f>
        <v/>
      </c>
      <c r="M30" s="270" t="str">
        <f>IFERROR(VLOOKUP($F30,'VEH98 Data'!$A$3:$AJ$3511,20,0),"")</f>
        <v/>
      </c>
      <c r="N30" s="270" t="str">
        <f>IFERROR(VLOOKUP($F30,'VEH98 Data'!$A$3:$AJ$3511,21,0),"")</f>
        <v/>
      </c>
      <c r="O30" s="270" t="str">
        <f>IFERROR(VLOOKUP($F30,'VEH98 Data'!$A$3:$AJ$3511,12,0),"")</f>
        <v/>
      </c>
      <c r="P30" s="270" t="str">
        <f>IFERROR(VLOOKUP($F30,'VEH98 Data'!$A$3:$AJ$3511,18,0),"")</f>
        <v/>
      </c>
      <c r="Q30" s="270" t="str">
        <f>IFERROR(VLOOKUP($F30,'VEH98 Data'!$A$3:$AJ$3511,19,0),"")</f>
        <v/>
      </c>
      <c r="R30" s="270" t="str">
        <f>IFERROR(VLOOKUP($F30,'VEH98 Data'!$A$3:$AJ$3511,22,0),"")</f>
        <v/>
      </c>
      <c r="S30" s="271" t="str">
        <f>IFERROR(VLOOKUP($F30,'VEH98 Data'!$A$3:$AJ$3511,16,0),"")</f>
        <v/>
      </c>
      <c r="T30" s="272" t="str">
        <f>IFERROR(VLOOKUP($F30,'VEH98 Data'!$A$3:$AJ$3511,24,0),"")</f>
        <v/>
      </c>
      <c r="U30" s="270" t="str">
        <f>IFERROR(VLOOKUP($F30,'VEH98 Data'!$A$3:$AJ$3511,26,0),"")</f>
        <v/>
      </c>
      <c r="V30" s="270" t="str">
        <f>IFERROR(VLOOKUP($F30,'VEH98 Data'!$A$3:$AJ$3511,27,0),"")</f>
        <v/>
      </c>
      <c r="W30" s="273" t="str">
        <f>IFERROR(VLOOKUP($F30,'VEH98 Data'!$A$3:$AJ$3511,25,0),"")</f>
        <v/>
      </c>
      <c r="X30" s="270" t="str">
        <f>IFERROR(VLOOKUP($F30,'VEH98 Data'!$A$3:$AJ$3511,23,0),"")</f>
        <v/>
      </c>
      <c r="Y30" s="270" t="str">
        <f>IFERROR(VLOOKUP($F30,'VEH98 Data'!$A$3:$AJ$3511,3,0),"")</f>
        <v/>
      </c>
      <c r="Z30" s="274" t="str">
        <f>IFERROR(VLOOKUP($F30,'VEH98 Data'!$A$3:$AJ$3511,30,0),"")</f>
        <v/>
      </c>
      <c r="AA30" s="252"/>
      <c r="AB30" s="252"/>
      <c r="AC30" s="252"/>
      <c r="AD30" s="275"/>
      <c r="AE30" s="252"/>
      <c r="AF30" s="275"/>
      <c r="AG30" s="274" t="str">
        <f t="shared" si="0"/>
        <v/>
      </c>
      <c r="AH30" s="276" t="str">
        <f t="shared" si="1"/>
        <v/>
      </c>
      <c r="AI30" s="726"/>
      <c r="AJ30" s="726"/>
      <c r="AK30" s="726"/>
    </row>
    <row r="31" spans="1:37" ht="15.95">
      <c r="A31" s="726"/>
      <c r="B31" s="269"/>
      <c r="C31" s="699"/>
      <c r="D31" s="699"/>
      <c r="E31" s="699"/>
      <c r="F31" s="252"/>
      <c r="G31" s="270" t="str">
        <f t="shared" si="2"/>
        <v/>
      </c>
      <c r="H31" s="270" t="str">
        <f>IFERROR(VLOOKUP($F31,'VEH98 Data'!$A$3:$AJ$3511,8,0),"")</f>
        <v/>
      </c>
      <c r="I31" s="270" t="str">
        <f>IFERROR(VLOOKUP($F31,'VEH98 Data'!$A$3:$AJ$3511,7,0),"")</f>
        <v/>
      </c>
      <c r="J31" s="270" t="str">
        <f>IFERROR(VLOOKUP($F31,'VEH98 Data'!$A$3:$AJ$3511,9,0),"")</f>
        <v/>
      </c>
      <c r="K31" s="270" t="str">
        <f>IFERROR(VLOOKUP($F31,'VEH98 Data'!$A$3:$AJ$3511,10,0),"")</f>
        <v/>
      </c>
      <c r="L31" s="270" t="str">
        <f>IFERROR(VLOOKUP($F31,'VEH98 Data'!$A$3:$AJ$3511,11,0),"")</f>
        <v/>
      </c>
      <c r="M31" s="270" t="str">
        <f>IFERROR(VLOOKUP($F31,'VEH98 Data'!$A$3:$AJ$3511,20,0),"")</f>
        <v/>
      </c>
      <c r="N31" s="270" t="str">
        <f>IFERROR(VLOOKUP($F31,'VEH98 Data'!$A$3:$AJ$3511,21,0),"")</f>
        <v/>
      </c>
      <c r="O31" s="270" t="str">
        <f>IFERROR(VLOOKUP($F31,'VEH98 Data'!$A$3:$AJ$3511,12,0),"")</f>
        <v/>
      </c>
      <c r="P31" s="270" t="str">
        <f>IFERROR(VLOOKUP($F31,'VEH98 Data'!$A$3:$AJ$3511,18,0),"")</f>
        <v/>
      </c>
      <c r="Q31" s="270" t="str">
        <f>IFERROR(VLOOKUP($F31,'VEH98 Data'!$A$3:$AJ$3511,19,0),"")</f>
        <v/>
      </c>
      <c r="R31" s="270" t="str">
        <f>IFERROR(VLOOKUP($F31,'VEH98 Data'!$A$3:$AJ$3511,22,0),"")</f>
        <v/>
      </c>
      <c r="S31" s="271" t="str">
        <f>IFERROR(VLOOKUP($F31,'VEH98 Data'!$A$3:$AJ$3511,16,0),"")</f>
        <v/>
      </c>
      <c r="T31" s="272" t="str">
        <f>IFERROR(VLOOKUP($F31,'VEH98 Data'!$A$3:$AJ$3511,24,0),"")</f>
        <v/>
      </c>
      <c r="U31" s="270" t="str">
        <f>IFERROR(VLOOKUP($F31,'VEH98 Data'!$A$3:$AJ$3511,26,0),"")</f>
        <v/>
      </c>
      <c r="V31" s="270" t="str">
        <f>IFERROR(VLOOKUP($F31,'VEH98 Data'!$A$3:$AJ$3511,27,0),"")</f>
        <v/>
      </c>
      <c r="W31" s="273" t="str">
        <f>IFERROR(VLOOKUP($F31,'VEH98 Data'!$A$3:$AJ$3511,25,0),"")</f>
        <v/>
      </c>
      <c r="X31" s="270" t="str">
        <f>IFERROR(VLOOKUP($F31,'VEH98 Data'!$A$3:$AJ$3511,23,0),"")</f>
        <v/>
      </c>
      <c r="Y31" s="270" t="str">
        <f>IFERROR(VLOOKUP($F31,'VEH98 Data'!$A$3:$AJ$3511,3,0),"")</f>
        <v/>
      </c>
      <c r="Z31" s="274" t="str">
        <f>IFERROR(VLOOKUP($F31,'VEH98 Data'!$A$3:$AJ$3511,30,0),"")</f>
        <v/>
      </c>
      <c r="AA31" s="252"/>
      <c r="AB31" s="252"/>
      <c r="AC31" s="252"/>
      <c r="AD31" s="275"/>
      <c r="AE31" s="252"/>
      <c r="AF31" s="275"/>
      <c r="AG31" s="274" t="str">
        <f t="shared" si="0"/>
        <v/>
      </c>
      <c r="AH31" s="276" t="str">
        <f t="shared" si="1"/>
        <v/>
      </c>
      <c r="AI31" s="726"/>
      <c r="AJ31" s="726"/>
      <c r="AK31" s="726"/>
    </row>
    <row r="32" spans="1:37" ht="15.95">
      <c r="A32" s="726"/>
      <c r="B32" s="269"/>
      <c r="C32" s="699"/>
      <c r="D32" s="699"/>
      <c r="E32" s="699"/>
      <c r="F32" s="252"/>
      <c r="G32" s="270" t="str">
        <f t="shared" si="2"/>
        <v/>
      </c>
      <c r="H32" s="270" t="str">
        <f>IFERROR(VLOOKUP($F32,'VEH98 Data'!$A$3:$AJ$3511,8,0),"")</f>
        <v/>
      </c>
      <c r="I32" s="270" t="str">
        <f>IFERROR(VLOOKUP($F32,'VEH98 Data'!$A$3:$AJ$3511,7,0),"")</f>
        <v/>
      </c>
      <c r="J32" s="270" t="str">
        <f>IFERROR(VLOOKUP($F32,'VEH98 Data'!$A$3:$AJ$3511,9,0),"")</f>
        <v/>
      </c>
      <c r="K32" s="270" t="str">
        <f>IFERROR(VLOOKUP($F32,'VEH98 Data'!$A$3:$AJ$3511,10,0),"")</f>
        <v/>
      </c>
      <c r="L32" s="270" t="str">
        <f>IFERROR(VLOOKUP($F32,'VEH98 Data'!$A$3:$AJ$3511,11,0),"")</f>
        <v/>
      </c>
      <c r="M32" s="270" t="str">
        <f>IFERROR(VLOOKUP($F32,'VEH98 Data'!$A$3:$AJ$3511,20,0),"")</f>
        <v/>
      </c>
      <c r="N32" s="270" t="str">
        <f>IFERROR(VLOOKUP($F32,'VEH98 Data'!$A$3:$AJ$3511,21,0),"")</f>
        <v/>
      </c>
      <c r="O32" s="270" t="str">
        <f>IFERROR(VLOOKUP($F32,'VEH98 Data'!$A$3:$AJ$3511,12,0),"")</f>
        <v/>
      </c>
      <c r="P32" s="270" t="str">
        <f>IFERROR(VLOOKUP($F32,'VEH98 Data'!$A$3:$AJ$3511,18,0),"")</f>
        <v/>
      </c>
      <c r="Q32" s="270" t="str">
        <f>IFERROR(VLOOKUP($F32,'VEH98 Data'!$A$3:$AJ$3511,19,0),"")</f>
        <v/>
      </c>
      <c r="R32" s="270" t="str">
        <f>IFERROR(VLOOKUP($F32,'VEH98 Data'!$A$3:$AJ$3511,22,0),"")</f>
        <v/>
      </c>
      <c r="S32" s="271" t="str">
        <f>IFERROR(VLOOKUP($F32,'VEH98 Data'!$A$3:$AJ$3511,16,0),"")</f>
        <v/>
      </c>
      <c r="T32" s="272" t="str">
        <f>IFERROR(VLOOKUP($F32,'VEH98 Data'!$A$3:$AJ$3511,24,0),"")</f>
        <v/>
      </c>
      <c r="U32" s="270" t="str">
        <f>IFERROR(VLOOKUP($F32,'VEH98 Data'!$A$3:$AJ$3511,26,0),"")</f>
        <v/>
      </c>
      <c r="V32" s="270" t="str">
        <f>IFERROR(VLOOKUP($F32,'VEH98 Data'!$A$3:$AJ$3511,27,0),"")</f>
        <v/>
      </c>
      <c r="W32" s="273" t="str">
        <f>IFERROR(VLOOKUP($F32,'VEH98 Data'!$A$3:$AJ$3511,25,0),"")</f>
        <v/>
      </c>
      <c r="X32" s="270" t="str">
        <f>IFERROR(VLOOKUP($F32,'VEH98 Data'!$A$3:$AJ$3511,23,0),"")</f>
        <v/>
      </c>
      <c r="Y32" s="270" t="str">
        <f>IFERROR(VLOOKUP($F32,'VEH98 Data'!$A$3:$AJ$3511,3,0),"")</f>
        <v/>
      </c>
      <c r="Z32" s="274" t="str">
        <f>IFERROR(VLOOKUP($F32,'VEH98 Data'!$A$3:$AJ$3511,30,0),"")</f>
        <v/>
      </c>
      <c r="AA32" s="252"/>
      <c r="AB32" s="252"/>
      <c r="AC32" s="252"/>
      <c r="AD32" s="275"/>
      <c r="AE32" s="252"/>
      <c r="AF32" s="275"/>
      <c r="AG32" s="274" t="str">
        <f t="shared" si="0"/>
        <v/>
      </c>
      <c r="AH32" s="276" t="str">
        <f t="shared" si="1"/>
        <v/>
      </c>
      <c r="AI32" s="726"/>
      <c r="AJ32" s="726"/>
      <c r="AK32" s="726"/>
    </row>
    <row r="33" spans="1:55" ht="15.95">
      <c r="A33" s="726"/>
      <c r="B33" s="269"/>
      <c r="C33" s="699"/>
      <c r="D33" s="699"/>
      <c r="E33" s="699"/>
      <c r="F33" s="252"/>
      <c r="G33" s="270" t="str">
        <f t="shared" si="2"/>
        <v/>
      </c>
      <c r="H33" s="270" t="str">
        <f>IFERROR(VLOOKUP($F33,'VEH98 Data'!$A$3:$AJ$3511,8,0),"")</f>
        <v/>
      </c>
      <c r="I33" s="270" t="str">
        <f>IFERROR(VLOOKUP($F33,'VEH98 Data'!$A$3:$AJ$3511,7,0),"")</f>
        <v/>
      </c>
      <c r="J33" s="270" t="str">
        <f>IFERROR(VLOOKUP($F33,'VEH98 Data'!$A$3:$AJ$3511,9,0),"")</f>
        <v/>
      </c>
      <c r="K33" s="270" t="str">
        <f>IFERROR(VLOOKUP($F33,'VEH98 Data'!$A$3:$AJ$3511,10,0),"")</f>
        <v/>
      </c>
      <c r="L33" s="270" t="str">
        <f>IFERROR(VLOOKUP($F33,'VEH98 Data'!$A$3:$AJ$3511,11,0),"")</f>
        <v/>
      </c>
      <c r="M33" s="270" t="str">
        <f>IFERROR(VLOOKUP($F33,'VEH98 Data'!$A$3:$AJ$3511,20,0),"")</f>
        <v/>
      </c>
      <c r="N33" s="270" t="str">
        <f>IFERROR(VLOOKUP($F33,'VEH98 Data'!$A$3:$AJ$3511,21,0),"")</f>
        <v/>
      </c>
      <c r="O33" s="270" t="str">
        <f>IFERROR(VLOOKUP($F33,'VEH98 Data'!$A$3:$AJ$3511,12,0),"")</f>
        <v/>
      </c>
      <c r="P33" s="270" t="str">
        <f>IFERROR(VLOOKUP($F33,'VEH98 Data'!$A$3:$AJ$3511,18,0),"")</f>
        <v/>
      </c>
      <c r="Q33" s="270" t="str">
        <f>IFERROR(VLOOKUP($F33,'VEH98 Data'!$A$3:$AJ$3511,19,0),"")</f>
        <v/>
      </c>
      <c r="R33" s="270" t="str">
        <f>IFERROR(VLOOKUP($F33,'VEH98 Data'!$A$3:$AJ$3511,22,0),"")</f>
        <v/>
      </c>
      <c r="S33" s="271" t="str">
        <f>IFERROR(VLOOKUP($F33,'VEH98 Data'!$A$3:$AJ$3511,16,0),"")</f>
        <v/>
      </c>
      <c r="T33" s="272" t="str">
        <f>IFERROR(VLOOKUP($F33,'VEH98 Data'!$A$3:$AJ$3511,24,0),"")</f>
        <v/>
      </c>
      <c r="U33" s="270" t="str">
        <f>IFERROR(VLOOKUP($F33,'VEH98 Data'!$A$3:$AJ$3511,26,0),"")</f>
        <v/>
      </c>
      <c r="V33" s="270" t="str">
        <f>IFERROR(VLOOKUP($F33,'VEH98 Data'!$A$3:$AJ$3511,27,0),"")</f>
        <v/>
      </c>
      <c r="W33" s="273" t="str">
        <f>IFERROR(VLOOKUP($F33,'VEH98 Data'!$A$3:$AJ$3511,25,0),"")</f>
        <v/>
      </c>
      <c r="X33" s="270" t="str">
        <f>IFERROR(VLOOKUP($F33,'VEH98 Data'!$A$3:$AJ$3511,23,0),"")</f>
        <v/>
      </c>
      <c r="Y33" s="270" t="str">
        <f>IFERROR(VLOOKUP($F33,'VEH98 Data'!$A$3:$AJ$3511,3,0),"")</f>
        <v/>
      </c>
      <c r="Z33" s="274" t="str">
        <f>IFERROR(VLOOKUP($F33,'VEH98 Data'!$A$3:$AJ$3511,30,0),"")</f>
        <v/>
      </c>
      <c r="AA33" s="252"/>
      <c r="AB33" s="252"/>
      <c r="AC33" s="252"/>
      <c r="AD33" s="275"/>
      <c r="AE33" s="252"/>
      <c r="AF33" s="275"/>
      <c r="AG33" s="274" t="str">
        <f t="shared" si="0"/>
        <v/>
      </c>
      <c r="AH33" s="276" t="str">
        <f t="shared" si="1"/>
        <v/>
      </c>
      <c r="AI33" s="726"/>
      <c r="AJ33" s="726"/>
      <c r="AK33" s="726"/>
    </row>
    <row r="34" spans="1:55" ht="15.95">
      <c r="A34" s="726"/>
      <c r="B34" s="277"/>
      <c r="C34" s="296"/>
      <c r="D34" s="296"/>
      <c r="E34" s="296"/>
      <c r="F34" s="278"/>
      <c r="G34" s="270" t="str">
        <f t="shared" si="2"/>
        <v/>
      </c>
      <c r="H34" s="270" t="str">
        <f>IFERROR(VLOOKUP($F34,'VEH98 Data'!$A$3:$AJ$3511,8,0),"")</f>
        <v/>
      </c>
      <c r="I34" s="270" t="str">
        <f>IFERROR(VLOOKUP($F34,'VEH98 Data'!$A$3:$AJ$3511,7,0),"")</f>
        <v/>
      </c>
      <c r="J34" s="270" t="str">
        <f>IFERROR(VLOOKUP($F34,'VEH98 Data'!$A$3:$AJ$3511,9,0),"")</f>
        <v/>
      </c>
      <c r="K34" s="270" t="str">
        <f>IFERROR(VLOOKUP($F34,'VEH98 Data'!$A$3:$AJ$3511,10,0),"")</f>
        <v/>
      </c>
      <c r="L34" s="270" t="str">
        <f>IFERROR(VLOOKUP($F34,'VEH98 Data'!$A$3:$AJ$3511,11,0),"")</f>
        <v/>
      </c>
      <c r="M34" s="270" t="str">
        <f>IFERROR(VLOOKUP($F34,'VEH98 Data'!$A$3:$AJ$3511,20,0),"")</f>
        <v/>
      </c>
      <c r="N34" s="270" t="str">
        <f>IFERROR(VLOOKUP($F34,'VEH98 Data'!$A$3:$AJ$3511,21,0),"")</f>
        <v/>
      </c>
      <c r="O34" s="270" t="str">
        <f>IFERROR(VLOOKUP($F34,'VEH98 Data'!$A$3:$AJ$3511,12,0),"")</f>
        <v/>
      </c>
      <c r="P34" s="270" t="str">
        <f>IFERROR(VLOOKUP($F34,'VEH98 Data'!$A$3:$AJ$3511,18,0),"")</f>
        <v/>
      </c>
      <c r="Q34" s="270" t="str">
        <f>IFERROR(VLOOKUP($F34,'VEH98 Data'!$A$3:$AJ$3511,19,0),"")</f>
        <v/>
      </c>
      <c r="R34" s="270" t="str">
        <f>IFERROR(VLOOKUP($F34,'VEH98 Data'!$A$3:$AJ$3511,22,0),"")</f>
        <v/>
      </c>
      <c r="S34" s="271" t="str">
        <f>IFERROR(VLOOKUP($F34,'VEH98 Data'!$A$3:$AJ$3511,16,0),"")</f>
        <v/>
      </c>
      <c r="T34" s="272" t="str">
        <f>IFERROR(VLOOKUP($F34,'VEH98 Data'!$A$3:$AJ$3511,24,0),"")</f>
        <v/>
      </c>
      <c r="U34" s="270" t="str">
        <f>IFERROR(VLOOKUP($F34,'VEH98 Data'!$A$3:$AJ$3511,26,0),"")</f>
        <v/>
      </c>
      <c r="V34" s="270" t="str">
        <f>IFERROR(VLOOKUP($F34,'VEH98 Data'!$A$3:$AJ$3511,27,0),"")</f>
        <v/>
      </c>
      <c r="W34" s="273" t="str">
        <f>IFERROR(VLOOKUP($F34,'VEH98 Data'!$A$3:$AJ$3511,25,0),"")</f>
        <v/>
      </c>
      <c r="X34" s="270" t="str">
        <f>IFERROR(VLOOKUP($F34,'VEH98 Data'!$A$3:$AJ$3511,23,0),"")</f>
        <v/>
      </c>
      <c r="Y34" s="270" t="str">
        <f>IFERROR(VLOOKUP($F34,'VEH98 Data'!$A$3:$AJ$3511,3,0),"")</f>
        <v/>
      </c>
      <c r="Z34" s="274" t="str">
        <f>IFERROR(VLOOKUP($F34,'VEH98 Data'!$A$3:$AJ$3511,30,0),"")</f>
        <v/>
      </c>
      <c r="AA34" s="278"/>
      <c r="AB34" s="278"/>
      <c r="AC34" s="278"/>
      <c r="AD34" s="279"/>
      <c r="AE34" s="278"/>
      <c r="AF34" s="279"/>
      <c r="AG34" s="274" t="str">
        <f>IF(Z34="", "", Z34+AD34+AF34)</f>
        <v/>
      </c>
      <c r="AH34" s="276" t="str">
        <f>IF(G34="", "", AG34*G34)</f>
        <v/>
      </c>
      <c r="AI34" s="726"/>
      <c r="AJ34" s="726"/>
      <c r="AK34" s="726"/>
    </row>
    <row r="35" spans="1:55" ht="15.95">
      <c r="A35" s="726"/>
      <c r="B35" s="261"/>
      <c r="C35" s="698"/>
      <c r="D35" s="698"/>
      <c r="E35" s="698"/>
      <c r="F35" s="280" t="s">
        <v>6339</v>
      </c>
      <c r="G35" s="281"/>
      <c r="H35" s="281"/>
      <c r="I35" s="281"/>
      <c r="J35" s="281"/>
      <c r="K35" s="281"/>
      <c r="L35" s="281"/>
      <c r="M35" s="281"/>
      <c r="N35" s="281"/>
      <c r="O35" s="281"/>
      <c r="P35" s="281"/>
      <c r="Q35" s="281"/>
      <c r="R35" s="281"/>
      <c r="S35" s="282"/>
      <c r="T35" s="283"/>
      <c r="U35" s="281"/>
      <c r="V35" s="281"/>
      <c r="W35" s="284"/>
      <c r="X35" s="281"/>
      <c r="Y35" s="281"/>
      <c r="Z35" s="285"/>
      <c r="AA35" s="250"/>
      <c r="AB35" s="250"/>
      <c r="AC35" s="250"/>
      <c r="AD35" s="267"/>
      <c r="AE35" s="250"/>
      <c r="AF35" s="267"/>
      <c r="AG35" s="285" t="str">
        <f>IF(Z35="", "", Z35+AD35+AF35)</f>
        <v/>
      </c>
      <c r="AH35" s="286" t="str">
        <f>IF(G35="", "", AG35*G35)</f>
        <v/>
      </c>
      <c r="AI35" s="726"/>
      <c r="AJ35" s="726"/>
      <c r="AK35" s="726"/>
    </row>
    <row r="36" spans="1:55" ht="17.100000000000001" thickBot="1">
      <c r="A36" s="726"/>
      <c r="B36" s="287"/>
      <c r="C36" s="297"/>
      <c r="D36" s="297"/>
      <c r="E36" s="297"/>
      <c r="F36" s="288" t="s">
        <v>6339</v>
      </c>
      <c r="G36" s="289"/>
      <c r="H36" s="289"/>
      <c r="I36" s="289"/>
      <c r="J36" s="289"/>
      <c r="K36" s="289"/>
      <c r="L36" s="289"/>
      <c r="M36" s="289"/>
      <c r="N36" s="289"/>
      <c r="O36" s="289"/>
      <c r="P36" s="289"/>
      <c r="Q36" s="289"/>
      <c r="R36" s="289"/>
      <c r="S36" s="290"/>
      <c r="T36" s="291"/>
      <c r="U36" s="289"/>
      <c r="V36" s="289"/>
      <c r="W36" s="292"/>
      <c r="X36" s="289"/>
      <c r="Y36" s="289"/>
      <c r="Z36" s="293"/>
      <c r="AA36" s="258"/>
      <c r="AB36" s="258"/>
      <c r="AC36" s="258"/>
      <c r="AD36" s="294"/>
      <c r="AE36" s="258"/>
      <c r="AF36" s="294"/>
      <c r="AG36" s="293" t="str">
        <f t="shared" ref="AG36" si="3">IF(Z36="", "", Z36+AD36+AF36)</f>
        <v/>
      </c>
      <c r="AH36" s="295" t="str">
        <f t="shared" ref="AH36" si="4">IF(G36="", "", AG36*G36)</f>
        <v/>
      </c>
      <c r="AI36" s="726"/>
      <c r="AJ36" s="726"/>
      <c r="AK36" s="726"/>
    </row>
    <row r="37" spans="1:55" ht="7.5" customHeight="1" thickBot="1">
      <c r="A37" s="726"/>
      <c r="B37" s="120"/>
      <c r="C37" s="120"/>
      <c r="D37" s="120"/>
      <c r="E37" s="120"/>
      <c r="F37" s="100"/>
      <c r="G37" s="100"/>
      <c r="H37" s="100"/>
      <c r="I37" s="100"/>
      <c r="J37" s="100"/>
      <c r="K37" s="100"/>
      <c r="L37" s="100"/>
      <c r="M37" s="100"/>
      <c r="N37" s="100"/>
      <c r="O37" s="100"/>
      <c r="P37" s="100"/>
      <c r="Q37" s="100"/>
      <c r="R37" s="100"/>
      <c r="S37" s="100"/>
      <c r="T37" s="100"/>
      <c r="U37" s="100"/>
      <c r="V37" s="100"/>
      <c r="W37" s="100"/>
      <c r="X37" s="100"/>
      <c r="Y37" s="100"/>
      <c r="Z37" s="100"/>
      <c r="AA37" s="121"/>
      <c r="AB37" s="100"/>
      <c r="AC37" s="100"/>
      <c r="AD37" s="100"/>
      <c r="AE37" s="100"/>
      <c r="AF37" s="100"/>
      <c r="AG37" s="100"/>
      <c r="AH37" s="100"/>
      <c r="AI37" s="100"/>
      <c r="AJ37" s="726"/>
      <c r="AK37" s="726"/>
    </row>
    <row r="38" spans="1:55" ht="24.95" thickBot="1">
      <c r="A38" s="726"/>
      <c r="B38" s="837" t="s">
        <v>6340</v>
      </c>
      <c r="C38" s="838"/>
      <c r="D38" s="838"/>
      <c r="E38" s="838"/>
      <c r="F38" s="838"/>
      <c r="G38" s="838"/>
      <c r="H38" s="838"/>
      <c r="I38" s="838"/>
      <c r="J38" s="838"/>
      <c r="K38" s="838"/>
      <c r="L38" s="838"/>
      <c r="M38" s="838"/>
      <c r="N38" s="838"/>
      <c r="O38" s="838"/>
      <c r="P38" s="838"/>
      <c r="Q38" s="838"/>
      <c r="R38" s="838"/>
      <c r="S38" s="838"/>
      <c r="T38" s="838"/>
      <c r="U38" s="838"/>
      <c r="V38" s="838"/>
      <c r="W38" s="838"/>
      <c r="X38" s="838"/>
      <c r="Y38" s="838"/>
      <c r="Z38" s="838"/>
      <c r="AA38" s="838"/>
      <c r="AB38" s="838"/>
      <c r="AC38" s="838"/>
      <c r="AD38" s="838"/>
      <c r="AE38" s="838"/>
      <c r="AF38" s="838"/>
      <c r="AG38" s="838"/>
      <c r="AH38" s="839"/>
      <c r="AI38" s="49"/>
      <c r="AJ38" s="726"/>
      <c r="AK38" s="726"/>
    </row>
    <row r="39" spans="1:55" ht="32.1">
      <c r="A39" s="726"/>
      <c r="B39" s="101" t="s">
        <v>6310</v>
      </c>
      <c r="C39" s="109" t="s">
        <v>6311</v>
      </c>
      <c r="D39" s="109" t="s">
        <v>6312</v>
      </c>
      <c r="E39" s="109" t="s">
        <v>6313</v>
      </c>
      <c r="F39" s="104" t="s">
        <v>6314</v>
      </c>
      <c r="G39" s="104" t="s">
        <v>6315</v>
      </c>
      <c r="H39" s="104" t="s">
        <v>6316</v>
      </c>
      <c r="I39" s="104" t="s">
        <v>6317</v>
      </c>
      <c r="J39" s="104" t="s">
        <v>107</v>
      </c>
      <c r="K39" s="106" t="s">
        <v>108</v>
      </c>
      <c r="L39" s="106" t="s">
        <v>109</v>
      </c>
      <c r="M39" s="104" t="s">
        <v>6318</v>
      </c>
      <c r="N39" s="104" t="s">
        <v>6319</v>
      </c>
      <c r="O39" s="104" t="s">
        <v>6320</v>
      </c>
      <c r="P39" s="104" t="s">
        <v>6321</v>
      </c>
      <c r="Q39" s="104" t="s">
        <v>6322</v>
      </c>
      <c r="R39" s="104" t="s">
        <v>130</v>
      </c>
      <c r="S39" s="104" t="s">
        <v>6323</v>
      </c>
      <c r="T39" s="104" t="s">
        <v>6324</v>
      </c>
      <c r="U39" s="104" t="s">
        <v>6325</v>
      </c>
      <c r="V39" s="104" t="s">
        <v>6326</v>
      </c>
      <c r="W39" s="104" t="s">
        <v>6327</v>
      </c>
      <c r="X39" s="104" t="s">
        <v>6328</v>
      </c>
      <c r="Y39" s="104" t="s">
        <v>6329</v>
      </c>
      <c r="Z39" s="107" t="s">
        <v>6330</v>
      </c>
      <c r="AA39" s="106" t="s">
        <v>6331</v>
      </c>
      <c r="AB39" s="106" t="s">
        <v>6332</v>
      </c>
      <c r="AC39" s="104" t="s">
        <v>6333</v>
      </c>
      <c r="AD39" s="107" t="s">
        <v>6334</v>
      </c>
      <c r="AE39" s="521" t="s">
        <v>6335</v>
      </c>
      <c r="AF39" s="522" t="s">
        <v>6336</v>
      </c>
      <c r="AG39" s="107" t="s">
        <v>6337</v>
      </c>
      <c r="AH39" s="183" t="s">
        <v>6338</v>
      </c>
      <c r="AI39" s="122"/>
      <c r="AJ39" s="726"/>
      <c r="AK39" s="726"/>
    </row>
    <row r="40" spans="1:55" ht="15" customHeight="1">
      <c r="A40" s="726"/>
      <c r="B40" s="261"/>
      <c r="C40" s="699"/>
      <c r="D40" s="698"/>
      <c r="E40" s="699"/>
      <c r="F40" s="604"/>
      <c r="G40" s="270" t="str">
        <f>IF(ISTEXT(F40),1,"")</f>
        <v/>
      </c>
      <c r="H40" s="270" t="str">
        <f>IFERROR(VLOOKUP($F40,'VEH98 Data'!$A$3:$AJ$3511,8,0),"")</f>
        <v/>
      </c>
      <c r="I40" s="270" t="str">
        <f>IFERROR(VLOOKUP($F40,'VEH98 Data'!$A$3:$AJ$3511,7,0),"")</f>
        <v/>
      </c>
      <c r="J40" s="270" t="str">
        <f>IFERROR(VLOOKUP($F40,'VEH98 Data'!$A$3:$AJ$3511,9,0),"")</f>
        <v/>
      </c>
      <c r="K40" s="270" t="str">
        <f>IFERROR(VLOOKUP($F40,'VEH98 Data'!$A$3:$AJ$3511,10,0),"")</f>
        <v/>
      </c>
      <c r="L40" s="270" t="str">
        <f>IFERROR(VLOOKUP($F40,'VEH98 Data'!$A$3:$AJ$3511,11,0),"")</f>
        <v/>
      </c>
      <c r="M40" s="270" t="str">
        <f>IFERROR(VLOOKUP($F40,'VEH98 Data'!$A$3:$AJ$3511,20,0),"")</f>
        <v/>
      </c>
      <c r="N40" s="270" t="str">
        <f>IFERROR(VLOOKUP($F40,'VEH98 Data'!$A$3:$AJ$3511,21,0),"")</f>
        <v/>
      </c>
      <c r="O40" s="270" t="str">
        <f>IFERROR(VLOOKUP($F40,'VEH98 Data'!$A$3:$AJ$3511,12,0),"")</f>
        <v/>
      </c>
      <c r="P40" s="270" t="str">
        <f>IFERROR(VLOOKUP($F40,'VEH98 Data'!$A$3:$AJ$3511,18,0),"")</f>
        <v/>
      </c>
      <c r="Q40" s="270" t="str">
        <f>IFERROR(VLOOKUP($F40,'VEH98 Data'!$A$3:$AJ$3511,19,0),"")</f>
        <v/>
      </c>
      <c r="R40" s="270" t="str">
        <f>IFERROR(VLOOKUP($F40,'VEH98 Data'!$A$3:$AJ$3511,22,0),"")</f>
        <v/>
      </c>
      <c r="S40" s="270" t="str">
        <f>IFERROR(VLOOKUP($F40,'VEH98 Data'!$A$3:$AJ$3511,16,0),"")</f>
        <v/>
      </c>
      <c r="T40" s="272" t="str">
        <f>IFERROR(VLOOKUP($F40,'VEH98 Data'!$A$3:$AJ$3511,24,0),"")</f>
        <v/>
      </c>
      <c r="U40" s="270" t="str">
        <f>IFERROR(VLOOKUP($F40,'VEH98 Data'!$A$3:$AJ$3511,26,0),"")</f>
        <v/>
      </c>
      <c r="V40" s="270" t="str">
        <f>IFERROR(VLOOKUP($F40,'VEH98 Data'!$A$3:$AJ$3511,27,0),"")</f>
        <v/>
      </c>
      <c r="W40" s="273" t="str">
        <f>IFERROR(VLOOKUP($F40,'VEH98 Data'!$A$3:$AJ$3511,25,0),"")</f>
        <v/>
      </c>
      <c r="X40" s="270" t="str">
        <f>IFERROR(VLOOKUP($F40,'VEH98 Data'!$A$3:$AJ$3511,23,0),"")</f>
        <v/>
      </c>
      <c r="Y40" s="270" t="str">
        <f>IFERROR(VLOOKUP($F40,'VEH98 Data'!$A$3:$AJ$3511,3,0),"")</f>
        <v/>
      </c>
      <c r="Z40" s="274" t="str">
        <f>IFERROR(VLOOKUP($F40,'VEH98 Data'!$A$3:$AJ$3511,30,0),"")</f>
        <v/>
      </c>
      <c r="AA40" s="250"/>
      <c r="AB40" s="250"/>
      <c r="AC40" s="250"/>
      <c r="AD40" s="267"/>
      <c r="AE40" s="250"/>
      <c r="AF40" s="267"/>
      <c r="AG40" s="266" t="str">
        <f>IF(Z40="", "", Z40+AD40+AF40)</f>
        <v/>
      </c>
      <c r="AH40" s="268" t="str">
        <f>IF(G40="", "", AG40*G40)</f>
        <v/>
      </c>
      <c r="AI40" s="726"/>
      <c r="AJ40" s="726"/>
      <c r="AK40" s="726"/>
    </row>
    <row r="41" spans="1:55" s="589" customFormat="1" ht="15" customHeight="1">
      <c r="A41" s="726"/>
      <c r="B41" s="269"/>
      <c r="C41" s="606"/>
      <c r="D41" s="606"/>
      <c r="E41" s="699"/>
      <c r="F41" s="604"/>
      <c r="G41" s="270" t="str">
        <f>IF(ISTEXT(F41),1,"")</f>
        <v/>
      </c>
      <c r="H41" s="270" t="str">
        <f>IFERROR(VLOOKUP($F41,'VEH98 Data'!$A$3:$AJ$3511,8,0),"")</f>
        <v/>
      </c>
      <c r="I41" s="270" t="str">
        <f>IFERROR(VLOOKUP($F41,'VEH98 Data'!$A$3:$AJ$3511,7,0),"")</f>
        <v/>
      </c>
      <c r="J41" s="270" t="str">
        <f>IFERROR(VLOOKUP($F41,'VEH98 Data'!$A$3:$AJ$3511,9,0),"")</f>
        <v/>
      </c>
      <c r="K41" s="270" t="str">
        <f>IFERROR(VLOOKUP($F41,'VEH98 Data'!$A$3:$AJ$3511,10,0),"")</f>
        <v/>
      </c>
      <c r="L41" s="270" t="str">
        <f>IFERROR(VLOOKUP($F41,'VEH98 Data'!$A$3:$AJ$3511,11,0),"")</f>
        <v/>
      </c>
      <c r="M41" s="270" t="str">
        <f>IFERROR(VLOOKUP($F41,'VEH98 Data'!$A$3:$AJ$3511,20,0),"")</f>
        <v/>
      </c>
      <c r="N41" s="270" t="str">
        <f>IFERROR(VLOOKUP($F41,'VEH98 Data'!$A$3:$AJ$3511,21,0),"")</f>
        <v/>
      </c>
      <c r="O41" s="270" t="str">
        <f>IFERROR(VLOOKUP($F41,'VEH98 Data'!$A$3:$AJ$3511,12,0),"")</f>
        <v/>
      </c>
      <c r="P41" s="270" t="str">
        <f>IFERROR(VLOOKUP($F41,'VEH98 Data'!$A$3:$AJ$3511,18,0),"")</f>
        <v/>
      </c>
      <c r="Q41" s="270" t="str">
        <f>IFERROR(VLOOKUP($F41,'VEH98 Data'!$A$3:$AJ$3511,19,0),"")</f>
        <v/>
      </c>
      <c r="R41" s="270" t="str">
        <f>IFERROR(VLOOKUP($F41,'VEH98 Data'!$A$3:$AJ$3511,22,0),"")</f>
        <v/>
      </c>
      <c r="S41" s="270" t="str">
        <f>IFERROR(VLOOKUP($F41,'VEH98 Data'!$A$3:$AJ$3511,16,0),"")</f>
        <v/>
      </c>
      <c r="T41" s="272" t="str">
        <f>IFERROR(VLOOKUP($F41,'VEH98 Data'!$A$3:$AJ$3511,24,0),"")</f>
        <v/>
      </c>
      <c r="U41" s="270" t="str">
        <f>IFERROR(VLOOKUP($F41,'VEH98 Data'!$A$3:$AJ$3511,26,0),"")</f>
        <v/>
      </c>
      <c r="V41" s="270" t="str">
        <f>IFERROR(VLOOKUP($F41,'VEH98 Data'!$A$3:$AJ$3511,27,0),"")</f>
        <v/>
      </c>
      <c r="W41" s="273" t="str">
        <f>IFERROR(VLOOKUP($F41,'VEH98 Data'!$A$3:$AJ$3511,25,0),"")</f>
        <v/>
      </c>
      <c r="X41" s="270" t="str">
        <f>IFERROR(VLOOKUP($F41,'VEH98 Data'!$A$3:$AJ$3511,23,0),"")</f>
        <v/>
      </c>
      <c r="Y41" s="270" t="str">
        <f>IFERROR(VLOOKUP($F41,'VEH98 Data'!$A$3:$AJ$3511,3,0),"")</f>
        <v/>
      </c>
      <c r="Z41" s="274" t="str">
        <f>IFERROR(VLOOKUP($F41,'VEH98 Data'!$A$3:$AJ$3511,30,0),"")</f>
        <v/>
      </c>
      <c r="AA41" s="252"/>
      <c r="AB41" s="252"/>
      <c r="AC41" s="275"/>
      <c r="AD41" s="275"/>
      <c r="AE41" s="275"/>
      <c r="AF41" s="275"/>
      <c r="AG41" s="274" t="str">
        <f>IF(Z41="", "", Z41+AD41+AF41)</f>
        <v/>
      </c>
      <c r="AH41" s="276" t="str">
        <f>IF(G41="", "", AG41*G41)</f>
        <v/>
      </c>
      <c r="AI41" s="726"/>
      <c r="AJ41" s="726"/>
      <c r="AK41" s="726"/>
      <c r="AL41" s="147"/>
      <c r="AM41" s="147"/>
      <c r="AN41" s="147"/>
      <c r="AO41" s="147"/>
      <c r="AP41" s="147"/>
      <c r="AQ41" s="147"/>
      <c r="AR41" s="147"/>
      <c r="AS41" s="147"/>
      <c r="AT41" s="147"/>
      <c r="AU41" s="147"/>
      <c r="AV41" s="147"/>
      <c r="AW41" s="147"/>
      <c r="AX41" s="147"/>
      <c r="AY41" s="147"/>
      <c r="AZ41" s="147"/>
      <c r="BA41" s="147"/>
      <c r="BB41" s="147"/>
      <c r="BC41" s="147"/>
    </row>
    <row r="42" spans="1:55" s="589" customFormat="1" ht="15.95">
      <c r="A42" s="726"/>
      <c r="B42" s="269"/>
      <c r="C42" s="606"/>
      <c r="D42" s="606"/>
      <c r="E42" s="606"/>
      <c r="F42" s="604"/>
      <c r="G42" s="270" t="str">
        <f t="shared" ref="G42:G69" si="5">IF(ISTEXT(F42),1,"")</f>
        <v/>
      </c>
      <c r="H42" s="270" t="str">
        <f>IFERROR(VLOOKUP($F42,'VEH98 Data'!$A$3:$AJ$3511,8,0),"")</f>
        <v/>
      </c>
      <c r="I42" s="270" t="str">
        <f>IFERROR(VLOOKUP($F42,'VEH98 Data'!$A$3:$AJ$3511,7,0),"")</f>
        <v/>
      </c>
      <c r="J42" s="270" t="str">
        <f>IFERROR(VLOOKUP($F42,'VEH98 Data'!$A$3:$AJ$3511,9,0),"")</f>
        <v/>
      </c>
      <c r="K42" s="270" t="str">
        <f>IFERROR(VLOOKUP($F42,'VEH98 Data'!$A$3:$AJ$3511,10,0),"")</f>
        <v/>
      </c>
      <c r="L42" s="270" t="str">
        <f>IFERROR(VLOOKUP($F42,'VEH98 Data'!$A$3:$AJ$3511,11,0),"")</f>
        <v/>
      </c>
      <c r="M42" s="270" t="str">
        <f>IFERROR(VLOOKUP($F42,'VEH98 Data'!$A$3:$AJ$3511,20,0),"")</f>
        <v/>
      </c>
      <c r="N42" s="270" t="str">
        <f>IFERROR(VLOOKUP($F42,'VEH98 Data'!$A$3:$AJ$3511,21,0),"")</f>
        <v/>
      </c>
      <c r="O42" s="270" t="str">
        <f>IFERROR(VLOOKUP($F42,'VEH98 Data'!$A$3:$AJ$3511,12,0),"")</f>
        <v/>
      </c>
      <c r="P42" s="270" t="str">
        <f>IFERROR(VLOOKUP($F42,'VEH98 Data'!$A$3:$AJ$3511,18,0),"")</f>
        <v/>
      </c>
      <c r="Q42" s="270" t="str">
        <f>IFERROR(VLOOKUP($F42,'VEH98 Data'!$A$3:$AJ$3511,19,0),"")</f>
        <v/>
      </c>
      <c r="R42" s="270" t="str">
        <f>IFERROR(VLOOKUP($F42,'VEH98 Data'!$A$3:$AJ$3511,22,0),"")</f>
        <v/>
      </c>
      <c r="S42" s="270" t="str">
        <f>IFERROR(VLOOKUP($F42,'VEH98 Data'!$A$3:$AJ$3511,16,0),"")</f>
        <v/>
      </c>
      <c r="T42" s="272" t="str">
        <f>IFERROR(VLOOKUP($F42,'VEH98 Data'!$A$3:$AJ$3511,24,0),"")</f>
        <v/>
      </c>
      <c r="U42" s="270" t="str">
        <f>IFERROR(VLOOKUP($F42,'VEH98 Data'!$A$3:$AJ$3511,26,0),"")</f>
        <v/>
      </c>
      <c r="V42" s="270" t="str">
        <f>IFERROR(VLOOKUP($F42,'VEH98 Data'!$A$3:$AJ$3511,27,0),"")</f>
        <v/>
      </c>
      <c r="W42" s="273" t="str">
        <f>IFERROR(VLOOKUP($F42,'VEH98 Data'!$A$3:$AJ$3511,25,0),"")</f>
        <v/>
      </c>
      <c r="X42" s="270" t="str">
        <f>IFERROR(VLOOKUP($F42,'VEH98 Data'!$A$3:$AJ$3511,23,0),"")</f>
        <v/>
      </c>
      <c r="Y42" s="270" t="str">
        <f>IFERROR(VLOOKUP($F42,'VEH98 Data'!$A$3:$AJ$3511,3,0),"")</f>
        <v/>
      </c>
      <c r="Z42" s="274" t="str">
        <f>IFERROR(VLOOKUP($F42,'VEH98 Data'!$A$3:$AJ$3511,30,0),"")</f>
        <v/>
      </c>
      <c r="AA42" s="252"/>
      <c r="AB42" s="252"/>
      <c r="AC42" s="252"/>
      <c r="AD42" s="275"/>
      <c r="AE42" s="252"/>
      <c r="AF42" s="275"/>
      <c r="AG42" s="274" t="str">
        <f t="shared" ref="AG42:AG53" si="6">IF(Z42="", "", Z42+AD42+AF42)</f>
        <v/>
      </c>
      <c r="AH42" s="276" t="str">
        <f t="shared" ref="AH42:AH53" si="7">IF(G42="", "", AG42*G42)</f>
        <v/>
      </c>
      <c r="AI42" s="726"/>
      <c r="AJ42" s="726"/>
      <c r="AK42" s="726"/>
      <c r="AL42" s="147"/>
      <c r="AM42" s="147"/>
      <c r="AN42" s="147"/>
      <c r="AO42" s="147"/>
      <c r="AP42" s="147"/>
      <c r="AQ42" s="147"/>
      <c r="AR42" s="147"/>
      <c r="AS42" s="147"/>
      <c r="AT42" s="147"/>
      <c r="AU42" s="147"/>
      <c r="AV42" s="147"/>
      <c r="AW42" s="147"/>
      <c r="AX42" s="147"/>
      <c r="AY42" s="147"/>
      <c r="AZ42" s="147"/>
      <c r="BA42" s="147"/>
      <c r="BB42" s="147"/>
      <c r="BC42" s="147"/>
    </row>
    <row r="43" spans="1:55" s="589" customFormat="1" ht="15.95">
      <c r="A43" s="726"/>
      <c r="B43" s="269"/>
      <c r="C43" s="606"/>
      <c r="D43" s="606"/>
      <c r="E43" s="699"/>
      <c r="F43" s="604"/>
      <c r="G43" s="270" t="str">
        <f t="shared" si="5"/>
        <v/>
      </c>
      <c r="H43" s="270" t="str">
        <f>IFERROR(VLOOKUP($F43,'VEH98 Data'!$A$3:$AJ$3511,8,0),"")</f>
        <v/>
      </c>
      <c r="I43" s="270" t="str">
        <f>IFERROR(VLOOKUP($F43,'VEH98 Data'!$A$3:$AJ$3511,7,0),"")</f>
        <v/>
      </c>
      <c r="J43" s="270" t="str">
        <f>IFERROR(VLOOKUP($F43,'VEH98 Data'!$A$3:$AJ$3511,9,0),"")</f>
        <v/>
      </c>
      <c r="K43" s="270" t="str">
        <f>IFERROR(VLOOKUP($F43,'VEH98 Data'!$A$3:$AJ$3511,10,0),"")</f>
        <v/>
      </c>
      <c r="L43" s="270" t="str">
        <f>IFERROR(VLOOKUP($F43,'VEH98 Data'!$A$3:$AJ$3511,11,0),"")</f>
        <v/>
      </c>
      <c r="M43" s="270" t="str">
        <f>IFERROR(VLOOKUP($F43,'VEH98 Data'!$A$3:$AJ$3511,20,0),"")</f>
        <v/>
      </c>
      <c r="N43" s="270" t="str">
        <f>IFERROR(VLOOKUP($F43,'VEH98 Data'!$A$3:$AJ$3511,21,0),"")</f>
        <v/>
      </c>
      <c r="O43" s="270" t="str">
        <f>IFERROR(VLOOKUP($F43,'VEH98 Data'!$A$3:$AJ$3511,12,0),"")</f>
        <v/>
      </c>
      <c r="P43" s="270" t="str">
        <f>IFERROR(VLOOKUP($F43,'VEH98 Data'!$A$3:$AJ$3511,18,0),"")</f>
        <v/>
      </c>
      <c r="Q43" s="270" t="str">
        <f>IFERROR(VLOOKUP($F43,'VEH98 Data'!$A$3:$AJ$3511,19,0),"")</f>
        <v/>
      </c>
      <c r="R43" s="270" t="str">
        <f>IFERROR(VLOOKUP($F43,'VEH98 Data'!$A$3:$AJ$3511,22,0),"")</f>
        <v/>
      </c>
      <c r="S43" s="270" t="str">
        <f>IFERROR(VLOOKUP($F43,'VEH98 Data'!$A$3:$AJ$3511,16,0),"")</f>
        <v/>
      </c>
      <c r="T43" s="272" t="str">
        <f>IFERROR(VLOOKUP($F43,'VEH98 Data'!$A$3:$AJ$3511,24,0),"")</f>
        <v/>
      </c>
      <c r="U43" s="270" t="str">
        <f>IFERROR(VLOOKUP($F43,'VEH98 Data'!$A$3:$AJ$3511,26,0),"")</f>
        <v/>
      </c>
      <c r="V43" s="270" t="str">
        <f>IFERROR(VLOOKUP($F43,'VEH98 Data'!$A$3:$AJ$3511,27,0),"")</f>
        <v/>
      </c>
      <c r="W43" s="273" t="str">
        <f>IFERROR(VLOOKUP($F43,'VEH98 Data'!$A$3:$AJ$3511,25,0),"")</f>
        <v/>
      </c>
      <c r="X43" s="270" t="str">
        <f>IFERROR(VLOOKUP($F43,'VEH98 Data'!$A$3:$AJ$3511,23,0),"")</f>
        <v/>
      </c>
      <c r="Y43" s="270" t="str">
        <f>IFERROR(VLOOKUP($F43,'VEH98 Data'!$A$3:$AJ$3511,3,0),"")</f>
        <v/>
      </c>
      <c r="Z43" s="274" t="str">
        <f>IFERROR(VLOOKUP($F43,'VEH98 Data'!$A$3:$AJ$3511,30,0),"")</f>
        <v/>
      </c>
      <c r="AA43" s="252"/>
      <c r="AB43" s="252"/>
      <c r="AC43" s="252"/>
      <c r="AD43" s="275"/>
      <c r="AE43" s="252"/>
      <c r="AF43" s="275"/>
      <c r="AG43" s="274" t="str">
        <f t="shared" si="6"/>
        <v/>
      </c>
      <c r="AH43" s="276" t="str">
        <f t="shared" si="7"/>
        <v/>
      </c>
      <c r="AI43" s="726"/>
      <c r="AJ43" s="726"/>
      <c r="AK43" s="726"/>
      <c r="AL43" s="147"/>
      <c r="AM43" s="147"/>
      <c r="AN43" s="147"/>
      <c r="AO43" s="147"/>
      <c r="AP43" s="147"/>
      <c r="AQ43" s="147"/>
      <c r="AR43" s="147"/>
      <c r="AS43" s="147"/>
      <c r="AT43" s="147"/>
      <c r="AU43" s="147"/>
      <c r="AV43" s="147"/>
      <c r="AW43" s="147"/>
      <c r="AX43" s="147"/>
      <c r="AY43" s="147"/>
      <c r="AZ43" s="147"/>
      <c r="BA43" s="147"/>
      <c r="BB43" s="147"/>
      <c r="BC43" s="147"/>
    </row>
    <row r="44" spans="1:55" s="589" customFormat="1" ht="15.95">
      <c r="A44" s="726"/>
      <c r="B44" s="269"/>
      <c r="C44" s="606"/>
      <c r="D44" s="606"/>
      <c r="E44" s="699"/>
      <c r="F44" s="604"/>
      <c r="G44" s="270" t="str">
        <f t="shared" si="5"/>
        <v/>
      </c>
      <c r="H44" s="270" t="str">
        <f>IFERROR(VLOOKUP($F44,'VEH98 Data'!$A$3:$AJ$3511,8,0),"")</f>
        <v/>
      </c>
      <c r="I44" s="270" t="str">
        <f>IFERROR(VLOOKUP($F44,'VEH98 Data'!$A$3:$AJ$3511,7,0),"")</f>
        <v/>
      </c>
      <c r="J44" s="270" t="str">
        <f>IFERROR(VLOOKUP($F44,'VEH98 Data'!$A$3:$AJ$3511,9,0),"")</f>
        <v/>
      </c>
      <c r="K44" s="270" t="str">
        <f>IFERROR(VLOOKUP($F44,'VEH98 Data'!$A$3:$AJ$3511,10,0),"")</f>
        <v/>
      </c>
      <c r="L44" s="270" t="str">
        <f>IFERROR(VLOOKUP($F44,'VEH98 Data'!$A$3:$AJ$3511,11,0),"")</f>
        <v/>
      </c>
      <c r="M44" s="270" t="str">
        <f>IFERROR(VLOOKUP($F44,'VEH98 Data'!$A$3:$AJ$3511,20,0),"")</f>
        <v/>
      </c>
      <c r="N44" s="270" t="str">
        <f>IFERROR(VLOOKUP($F44,'VEH98 Data'!$A$3:$AJ$3511,21,0),"")</f>
        <v/>
      </c>
      <c r="O44" s="270" t="str">
        <f>IFERROR(VLOOKUP($F44,'VEH98 Data'!$A$3:$AJ$3511,12,0),"")</f>
        <v/>
      </c>
      <c r="P44" s="270" t="str">
        <f>IFERROR(VLOOKUP($F44,'VEH98 Data'!$A$3:$AJ$3511,18,0),"")</f>
        <v/>
      </c>
      <c r="Q44" s="270" t="str">
        <f>IFERROR(VLOOKUP($F44,'VEH98 Data'!$A$3:$AJ$3511,19,0),"")</f>
        <v/>
      </c>
      <c r="R44" s="270" t="str">
        <f>IFERROR(VLOOKUP($F44,'VEH98 Data'!$A$3:$AJ$3511,22,0),"")</f>
        <v/>
      </c>
      <c r="S44" s="270" t="str">
        <f>IFERROR(VLOOKUP($F44,'VEH98 Data'!$A$3:$AJ$3511,16,0),"")</f>
        <v/>
      </c>
      <c r="T44" s="272" t="str">
        <f>IFERROR(VLOOKUP($F44,'VEH98 Data'!$A$3:$AJ$3511,24,0),"")</f>
        <v/>
      </c>
      <c r="U44" s="270" t="str">
        <f>IFERROR(VLOOKUP($F44,'VEH98 Data'!$A$3:$AJ$3511,26,0),"")</f>
        <v/>
      </c>
      <c r="V44" s="270" t="str">
        <f>IFERROR(VLOOKUP($F44,'VEH98 Data'!$A$3:$AJ$3511,27,0),"")</f>
        <v/>
      </c>
      <c r="W44" s="273" t="str">
        <f>IFERROR(VLOOKUP($F44,'VEH98 Data'!$A$3:$AJ$3511,25,0),"")</f>
        <v/>
      </c>
      <c r="X44" s="270" t="str">
        <f>IFERROR(VLOOKUP($F44,'VEH98 Data'!$A$3:$AJ$3511,23,0),"")</f>
        <v/>
      </c>
      <c r="Y44" s="270" t="str">
        <f>IFERROR(VLOOKUP($F44,'VEH98 Data'!$A$3:$AJ$3511,3,0),"")</f>
        <v/>
      </c>
      <c r="Z44" s="274" t="str">
        <f>IFERROR(VLOOKUP($F44,'VEH98 Data'!$A$3:$AJ$3511,30,0),"")</f>
        <v/>
      </c>
      <c r="AA44" s="252"/>
      <c r="AB44" s="252"/>
      <c r="AC44" s="252"/>
      <c r="AD44" s="275"/>
      <c r="AE44" s="252"/>
      <c r="AF44" s="275"/>
      <c r="AG44" s="274" t="str">
        <f t="shared" si="6"/>
        <v/>
      </c>
      <c r="AH44" s="276" t="str">
        <f t="shared" si="7"/>
        <v/>
      </c>
      <c r="AI44" s="726"/>
      <c r="AJ44" s="726"/>
      <c r="AK44" s="726"/>
      <c r="AL44" s="147"/>
      <c r="AM44" s="147"/>
      <c r="AN44" s="147"/>
      <c r="AO44" s="147"/>
      <c r="AP44" s="147"/>
      <c r="AQ44" s="147"/>
      <c r="AR44" s="147"/>
      <c r="AS44" s="147"/>
      <c r="AT44" s="147"/>
      <c r="AU44" s="147"/>
      <c r="AV44" s="147"/>
      <c r="AW44" s="147"/>
      <c r="AX44" s="147"/>
      <c r="AY44" s="147"/>
      <c r="AZ44" s="147"/>
      <c r="BA44" s="147"/>
      <c r="BB44" s="147"/>
      <c r="BC44" s="147"/>
    </row>
    <row r="45" spans="1:55" s="589" customFormat="1" ht="15.95">
      <c r="A45" s="726"/>
      <c r="B45" s="269"/>
      <c r="C45" s="606"/>
      <c r="D45" s="606"/>
      <c r="E45" s="606"/>
      <c r="F45" s="604"/>
      <c r="G45" s="270" t="str">
        <f t="shared" si="5"/>
        <v/>
      </c>
      <c r="H45" s="270" t="str">
        <f>IFERROR(VLOOKUP($F45,'VEH98 Data'!$A$3:$AJ$3511,8,0),"")</f>
        <v/>
      </c>
      <c r="I45" s="270" t="str">
        <f>IFERROR(VLOOKUP($F45,'VEH98 Data'!$A$3:$AJ$3511,7,0),"")</f>
        <v/>
      </c>
      <c r="J45" s="270" t="str">
        <f>IFERROR(VLOOKUP($F45,'VEH98 Data'!$A$3:$AJ$3511,9,0),"")</f>
        <v/>
      </c>
      <c r="K45" s="270" t="str">
        <f>IFERROR(VLOOKUP($F45,'VEH98 Data'!$A$3:$AJ$3511,10,0),"")</f>
        <v/>
      </c>
      <c r="L45" s="270" t="str">
        <f>IFERROR(VLOOKUP($F45,'VEH98 Data'!$A$3:$AJ$3511,11,0),"")</f>
        <v/>
      </c>
      <c r="M45" s="270" t="str">
        <f>IFERROR(VLOOKUP($F45,'VEH98 Data'!$A$3:$AJ$3511,20,0),"")</f>
        <v/>
      </c>
      <c r="N45" s="270" t="str">
        <f>IFERROR(VLOOKUP($F45,'VEH98 Data'!$A$3:$AJ$3511,21,0),"")</f>
        <v/>
      </c>
      <c r="O45" s="270" t="str">
        <f>IFERROR(VLOOKUP($F45,'VEH98 Data'!$A$3:$AJ$3511,12,0),"")</f>
        <v/>
      </c>
      <c r="P45" s="270" t="str">
        <f>IFERROR(VLOOKUP($F45,'VEH98 Data'!$A$3:$AJ$3511,18,0),"")</f>
        <v/>
      </c>
      <c r="Q45" s="270" t="str">
        <f>IFERROR(VLOOKUP($F45,'VEH98 Data'!$A$3:$AJ$3511,19,0),"")</f>
        <v/>
      </c>
      <c r="R45" s="270" t="str">
        <f>IFERROR(VLOOKUP($F45,'VEH98 Data'!$A$3:$AJ$3511,22,0),"")</f>
        <v/>
      </c>
      <c r="S45" s="270" t="str">
        <f>IFERROR(VLOOKUP($F45,'VEH98 Data'!$A$3:$AJ$3511,16,0),"")</f>
        <v/>
      </c>
      <c r="T45" s="272" t="str">
        <f>IFERROR(VLOOKUP($F45,'VEH98 Data'!$A$3:$AJ$3511,24,0),"")</f>
        <v/>
      </c>
      <c r="U45" s="270" t="str">
        <f>IFERROR(VLOOKUP($F45,'VEH98 Data'!$A$3:$AJ$3511,26,0),"")</f>
        <v/>
      </c>
      <c r="V45" s="270" t="str">
        <f>IFERROR(VLOOKUP($F45,'VEH98 Data'!$A$3:$AJ$3511,27,0),"")</f>
        <v/>
      </c>
      <c r="W45" s="273" t="str">
        <f>IFERROR(VLOOKUP($F45,'VEH98 Data'!$A$3:$AJ$3511,25,0),"")</f>
        <v/>
      </c>
      <c r="X45" s="270" t="str">
        <f>IFERROR(VLOOKUP($F45,'VEH98 Data'!$A$3:$AJ$3511,23,0),"")</f>
        <v/>
      </c>
      <c r="Y45" s="270" t="str">
        <f>IFERROR(VLOOKUP($F45,'VEH98 Data'!$A$3:$AJ$3511,3,0),"")</f>
        <v/>
      </c>
      <c r="Z45" s="274" t="str">
        <f>IFERROR(VLOOKUP($F45,'VEH98 Data'!$A$3:$AJ$3511,30,0),"")</f>
        <v/>
      </c>
      <c r="AA45" s="252"/>
      <c r="AB45" s="252"/>
      <c r="AC45" s="252"/>
      <c r="AD45" s="275"/>
      <c r="AE45" s="252"/>
      <c r="AF45" s="275"/>
      <c r="AG45" s="274" t="str">
        <f t="shared" si="6"/>
        <v/>
      </c>
      <c r="AH45" s="276" t="str">
        <f t="shared" si="7"/>
        <v/>
      </c>
      <c r="AI45" s="726"/>
      <c r="AJ45" s="726"/>
      <c r="AK45" s="726"/>
      <c r="AL45" s="147"/>
      <c r="AM45" s="147"/>
      <c r="AN45" s="147"/>
      <c r="AO45" s="147"/>
      <c r="AP45" s="147"/>
      <c r="AQ45" s="147"/>
      <c r="AR45" s="147"/>
      <c r="AS45" s="147"/>
      <c r="AT45" s="147"/>
      <c r="AU45" s="147"/>
      <c r="AV45" s="147"/>
      <c r="AW45" s="147"/>
      <c r="AX45" s="147"/>
      <c r="AY45" s="147"/>
      <c r="AZ45" s="147"/>
      <c r="BA45" s="147"/>
      <c r="BB45" s="147"/>
      <c r="BC45" s="147"/>
    </row>
    <row r="46" spans="1:55" s="589" customFormat="1" ht="15.95">
      <c r="A46" s="726"/>
      <c r="B46" s="269"/>
      <c r="C46" s="606"/>
      <c r="D46" s="606"/>
      <c r="E46" s="606"/>
      <c r="F46" s="604"/>
      <c r="G46" s="270" t="str">
        <f t="shared" si="5"/>
        <v/>
      </c>
      <c r="H46" s="270" t="str">
        <f>IFERROR(VLOOKUP($F46,'VEH98 Data'!$A$3:$AJ$3511,8,0),"")</f>
        <v/>
      </c>
      <c r="I46" s="270" t="str">
        <f>IFERROR(VLOOKUP($F46,'VEH98 Data'!$A$3:$AJ$3511,7,0),"")</f>
        <v/>
      </c>
      <c r="J46" s="270" t="str">
        <f>IFERROR(VLOOKUP($F46,'VEH98 Data'!$A$3:$AJ$3511,9,0),"")</f>
        <v/>
      </c>
      <c r="K46" s="270" t="str">
        <f>IFERROR(VLOOKUP($F46,'VEH98 Data'!$A$3:$AJ$3511,10,0),"")</f>
        <v/>
      </c>
      <c r="L46" s="270" t="str">
        <f>IFERROR(VLOOKUP($F46,'VEH98 Data'!$A$3:$AJ$3511,11,0),"")</f>
        <v/>
      </c>
      <c r="M46" s="270" t="str">
        <f>IFERROR(VLOOKUP($F46,'VEH98 Data'!$A$3:$AJ$3511,20,0),"")</f>
        <v/>
      </c>
      <c r="N46" s="270" t="str">
        <f>IFERROR(VLOOKUP($F46,'VEH98 Data'!$A$3:$AJ$3511,21,0),"")</f>
        <v/>
      </c>
      <c r="O46" s="270" t="str">
        <f>IFERROR(VLOOKUP($F46,'VEH98 Data'!$A$3:$AJ$3511,12,0),"")</f>
        <v/>
      </c>
      <c r="P46" s="270" t="str">
        <f>IFERROR(VLOOKUP($F46,'VEH98 Data'!$A$3:$AJ$3511,18,0),"")</f>
        <v/>
      </c>
      <c r="Q46" s="270" t="str">
        <f>IFERROR(VLOOKUP($F46,'VEH98 Data'!$A$3:$AJ$3511,19,0),"")</f>
        <v/>
      </c>
      <c r="R46" s="270" t="str">
        <f>IFERROR(VLOOKUP($F46,'VEH98 Data'!$A$3:$AJ$3511,22,0),"")</f>
        <v/>
      </c>
      <c r="S46" s="270" t="str">
        <f>IFERROR(VLOOKUP($F46,'VEH98 Data'!$A$3:$AJ$3511,16,0),"")</f>
        <v/>
      </c>
      <c r="T46" s="272" t="str">
        <f>IFERROR(VLOOKUP($F46,'VEH98 Data'!$A$3:$AJ$3511,24,0),"")</f>
        <v/>
      </c>
      <c r="U46" s="270" t="str">
        <f>IFERROR(VLOOKUP($F46,'VEH98 Data'!$A$3:$AJ$3511,26,0),"")</f>
        <v/>
      </c>
      <c r="V46" s="270" t="str">
        <f>IFERROR(VLOOKUP($F46,'VEH98 Data'!$A$3:$AJ$3511,27,0),"")</f>
        <v/>
      </c>
      <c r="W46" s="273" t="str">
        <f>IFERROR(VLOOKUP($F46,'VEH98 Data'!$A$3:$AJ$3511,25,0),"")</f>
        <v/>
      </c>
      <c r="X46" s="270" t="str">
        <f>IFERROR(VLOOKUP($F46,'VEH98 Data'!$A$3:$AJ$3511,23,0),"")</f>
        <v/>
      </c>
      <c r="Y46" s="270" t="str">
        <f>IFERROR(VLOOKUP($F46,'VEH98 Data'!$A$3:$AJ$3511,3,0),"")</f>
        <v/>
      </c>
      <c r="Z46" s="274" t="str">
        <f>IFERROR(VLOOKUP($F46,'VEH98 Data'!$A$3:$AJ$3511,30,0),"")</f>
        <v/>
      </c>
      <c r="AA46" s="252"/>
      <c r="AB46" s="252"/>
      <c r="AC46" s="252"/>
      <c r="AD46" s="275"/>
      <c r="AE46" s="252"/>
      <c r="AF46" s="275"/>
      <c r="AG46" s="274" t="str">
        <f t="shared" si="6"/>
        <v/>
      </c>
      <c r="AH46" s="276" t="str">
        <f t="shared" si="7"/>
        <v/>
      </c>
      <c r="AI46" s="726"/>
      <c r="AJ46" s="726"/>
      <c r="AK46" s="726"/>
      <c r="AL46" s="147"/>
      <c r="AM46" s="147"/>
      <c r="AN46" s="147"/>
      <c r="AO46" s="147"/>
      <c r="AP46" s="147"/>
      <c r="AQ46" s="147"/>
      <c r="AR46" s="147"/>
      <c r="AS46" s="147"/>
      <c r="AT46" s="147"/>
      <c r="AU46" s="147"/>
      <c r="AV46" s="147"/>
      <c r="AW46" s="147"/>
      <c r="AX46" s="147"/>
      <c r="AY46" s="147"/>
      <c r="AZ46" s="147"/>
      <c r="BA46" s="147"/>
      <c r="BB46" s="147"/>
      <c r="BC46" s="147"/>
    </row>
    <row r="47" spans="1:55" s="589" customFormat="1" ht="15.95">
      <c r="A47" s="726"/>
      <c r="B47" s="269"/>
      <c r="C47" s="606"/>
      <c r="D47" s="606"/>
      <c r="E47" s="606"/>
      <c r="F47" s="604"/>
      <c r="G47" s="270" t="str">
        <f t="shared" si="5"/>
        <v/>
      </c>
      <c r="H47" s="270" t="str">
        <f>IFERROR(VLOOKUP($F47,'VEH98 Data'!$A$3:$AJ$3511,8,0),"")</f>
        <v/>
      </c>
      <c r="I47" s="270" t="str">
        <f>IFERROR(VLOOKUP($F47,'VEH98 Data'!$A$3:$AJ$3511,7,0),"")</f>
        <v/>
      </c>
      <c r="J47" s="270" t="str">
        <f>IFERROR(VLOOKUP($F47,'VEH98 Data'!$A$3:$AJ$3511,9,0),"")</f>
        <v/>
      </c>
      <c r="K47" s="270" t="str">
        <f>IFERROR(VLOOKUP($F47,'VEH98 Data'!$A$3:$AJ$3511,10,0),"")</f>
        <v/>
      </c>
      <c r="L47" s="270" t="str">
        <f>IFERROR(VLOOKUP($F47,'VEH98 Data'!$A$3:$AJ$3511,11,0),"")</f>
        <v/>
      </c>
      <c r="M47" s="270" t="str">
        <f>IFERROR(VLOOKUP($F47,'VEH98 Data'!$A$3:$AJ$3511,20,0),"")</f>
        <v/>
      </c>
      <c r="N47" s="270" t="str">
        <f>IFERROR(VLOOKUP($F47,'VEH98 Data'!$A$3:$AJ$3511,21,0),"")</f>
        <v/>
      </c>
      <c r="O47" s="270" t="str">
        <f>IFERROR(VLOOKUP($F47,'VEH98 Data'!$A$3:$AJ$3511,12,0),"")</f>
        <v/>
      </c>
      <c r="P47" s="270" t="str">
        <f>IFERROR(VLOOKUP($F47,'VEH98 Data'!$A$3:$AJ$3511,18,0),"")</f>
        <v/>
      </c>
      <c r="Q47" s="270" t="str">
        <f>IFERROR(VLOOKUP($F47,'VEH98 Data'!$A$3:$AJ$3511,19,0),"")</f>
        <v/>
      </c>
      <c r="R47" s="270" t="str">
        <f>IFERROR(VLOOKUP($F47,'VEH98 Data'!$A$3:$AJ$3511,22,0),"")</f>
        <v/>
      </c>
      <c r="S47" s="270" t="str">
        <f>IFERROR(VLOOKUP($F47,'VEH98 Data'!$A$3:$AJ$3511,16,0),"")</f>
        <v/>
      </c>
      <c r="T47" s="272" t="str">
        <f>IFERROR(VLOOKUP($F47,'VEH98 Data'!$A$3:$AJ$3511,24,0),"")</f>
        <v/>
      </c>
      <c r="U47" s="270" t="str">
        <f>IFERROR(VLOOKUP($F47,'VEH98 Data'!$A$3:$AJ$3511,26,0),"")</f>
        <v/>
      </c>
      <c r="V47" s="270" t="str">
        <f>IFERROR(VLOOKUP($F47,'VEH98 Data'!$A$3:$AJ$3511,27,0),"")</f>
        <v/>
      </c>
      <c r="W47" s="273" t="str">
        <f>IFERROR(VLOOKUP($F47,'VEH98 Data'!$A$3:$AJ$3511,25,0),"")</f>
        <v/>
      </c>
      <c r="X47" s="270" t="str">
        <f>IFERROR(VLOOKUP($F47,'VEH98 Data'!$A$3:$AJ$3511,23,0),"")</f>
        <v/>
      </c>
      <c r="Y47" s="270" t="str">
        <f>IFERROR(VLOOKUP($F47,'VEH98 Data'!$A$3:$AJ$3511,3,0),"")</f>
        <v/>
      </c>
      <c r="Z47" s="274" t="str">
        <f>IFERROR(VLOOKUP($F47,'VEH98 Data'!$A$3:$AJ$3511,30,0),"")</f>
        <v/>
      </c>
      <c r="AA47" s="252"/>
      <c r="AB47" s="252"/>
      <c r="AC47" s="252"/>
      <c r="AD47" s="275"/>
      <c r="AE47" s="252"/>
      <c r="AF47" s="275"/>
      <c r="AG47" s="274" t="str">
        <f t="shared" si="6"/>
        <v/>
      </c>
      <c r="AH47" s="276" t="str">
        <f t="shared" si="7"/>
        <v/>
      </c>
      <c r="AI47" s="726"/>
      <c r="AJ47" s="726"/>
      <c r="AK47" s="726"/>
      <c r="AL47" s="147"/>
      <c r="AM47" s="147"/>
      <c r="AN47" s="147"/>
      <c r="AO47" s="147"/>
      <c r="AP47" s="147"/>
      <c r="AQ47" s="147"/>
      <c r="AR47" s="147"/>
      <c r="AS47" s="147"/>
      <c r="AT47" s="147"/>
      <c r="AU47" s="147"/>
      <c r="AV47" s="147"/>
      <c r="AW47" s="147"/>
      <c r="AX47" s="147"/>
      <c r="AY47" s="147"/>
      <c r="AZ47" s="147"/>
      <c r="BA47" s="147"/>
      <c r="BB47" s="147"/>
      <c r="BC47" s="147"/>
    </row>
    <row r="48" spans="1:55" s="589" customFormat="1" ht="15.95">
      <c r="A48" s="726"/>
      <c r="B48" s="605"/>
      <c r="C48" s="606"/>
      <c r="D48" s="606"/>
      <c r="E48" s="606"/>
      <c r="F48" s="604"/>
      <c r="G48" s="270" t="str">
        <f t="shared" si="5"/>
        <v/>
      </c>
      <c r="H48" s="270" t="str">
        <f>IFERROR(VLOOKUP($F48,'VEH98 Data'!$A$3:$AJ$3511,8,0),"")</f>
        <v/>
      </c>
      <c r="I48" s="270" t="str">
        <f>IFERROR(VLOOKUP($F48,'VEH98 Data'!$A$3:$AJ$3511,7,0),"")</f>
        <v/>
      </c>
      <c r="J48" s="270" t="str">
        <f>IFERROR(VLOOKUP($F48,'VEH98 Data'!$A$3:$AJ$3511,9,0),"")</f>
        <v/>
      </c>
      <c r="K48" s="270" t="str">
        <f>IFERROR(VLOOKUP($F48,'VEH98 Data'!$A$3:$AJ$3511,10,0),"")</f>
        <v/>
      </c>
      <c r="L48" s="270" t="str">
        <f>IFERROR(VLOOKUP($F48,'VEH98 Data'!$A$3:$AJ$3511,11,0),"")</f>
        <v/>
      </c>
      <c r="M48" s="270" t="str">
        <f>IFERROR(VLOOKUP($F48,'VEH98 Data'!$A$3:$AJ$3511,20,0),"")</f>
        <v/>
      </c>
      <c r="N48" s="270" t="str">
        <f>IFERROR(VLOOKUP($F48,'VEH98 Data'!$A$3:$AJ$3511,21,0),"")</f>
        <v/>
      </c>
      <c r="O48" s="270" t="str">
        <f>IFERROR(VLOOKUP($F48,'VEH98 Data'!$A$3:$AJ$3511,12,0),"")</f>
        <v/>
      </c>
      <c r="P48" s="270" t="str">
        <f>IFERROR(VLOOKUP($F48,'VEH98 Data'!$A$3:$AJ$3511,18,0),"")</f>
        <v/>
      </c>
      <c r="Q48" s="270" t="str">
        <f>IFERROR(VLOOKUP($F48,'VEH98 Data'!$A$3:$AJ$3511,19,0),"")</f>
        <v/>
      </c>
      <c r="R48" s="270" t="str">
        <f>IFERROR(VLOOKUP($F48,'VEH98 Data'!$A$3:$AJ$3511,22,0),"")</f>
        <v/>
      </c>
      <c r="S48" s="270" t="str">
        <f>IFERROR(VLOOKUP($F48,'VEH98 Data'!$A$3:$AJ$3511,16,0),"")</f>
        <v/>
      </c>
      <c r="T48" s="272" t="str">
        <f>IFERROR(VLOOKUP($F48,'VEH98 Data'!$A$3:$AJ$3511,24,0),"")</f>
        <v/>
      </c>
      <c r="U48" s="270" t="str">
        <f>IFERROR(VLOOKUP($F48,'VEH98 Data'!$A$3:$AJ$3511,26,0),"")</f>
        <v/>
      </c>
      <c r="V48" s="270" t="str">
        <f>IFERROR(VLOOKUP($F48,'VEH98 Data'!$A$3:$AJ$3511,27,0),"")</f>
        <v/>
      </c>
      <c r="W48" s="273" t="str">
        <f>IFERROR(VLOOKUP($F48,'VEH98 Data'!$A$3:$AJ$3511,25,0),"")</f>
        <v/>
      </c>
      <c r="X48" s="270" t="str">
        <f>IFERROR(VLOOKUP($F48,'VEH98 Data'!$A$3:$AJ$3511,23,0),"")</f>
        <v/>
      </c>
      <c r="Y48" s="270" t="str">
        <f>IFERROR(VLOOKUP($F48,'VEH98 Data'!$A$3:$AJ$3511,3,0),"")</f>
        <v/>
      </c>
      <c r="Z48" s="274" t="str">
        <f>IFERROR(VLOOKUP($F48,'VEH98 Data'!$A$3:$AJ$3511,30,0),"")</f>
        <v/>
      </c>
      <c r="AA48" s="252"/>
      <c r="AB48" s="252"/>
      <c r="AC48" s="275"/>
      <c r="AD48" s="275"/>
      <c r="AE48" s="275"/>
      <c r="AF48" s="275"/>
      <c r="AG48" s="274" t="str">
        <f t="shared" si="6"/>
        <v/>
      </c>
      <c r="AH48" s="276" t="str">
        <f t="shared" si="7"/>
        <v/>
      </c>
      <c r="AI48" s="726"/>
      <c r="AJ48" s="726"/>
      <c r="AK48" s="726"/>
      <c r="AL48" s="147"/>
      <c r="AM48" s="147"/>
      <c r="AN48" s="147"/>
      <c r="AO48" s="147"/>
      <c r="AP48" s="147"/>
      <c r="AQ48" s="147"/>
      <c r="AR48" s="147"/>
      <c r="AS48" s="147"/>
      <c r="AT48" s="147"/>
      <c r="AU48" s="147"/>
      <c r="AV48" s="147"/>
      <c r="AW48" s="147"/>
      <c r="AX48" s="147"/>
      <c r="AY48" s="147"/>
      <c r="AZ48" s="147"/>
      <c r="BA48" s="147"/>
      <c r="BB48" s="147"/>
      <c r="BC48" s="147"/>
    </row>
    <row r="49" spans="1:55" s="589" customFormat="1" ht="15.95">
      <c r="A49" s="726"/>
      <c r="B49" s="605"/>
      <c r="C49" s="606"/>
      <c r="D49" s="606"/>
      <c r="E49" s="606"/>
      <c r="F49" s="604"/>
      <c r="G49" s="270" t="str">
        <f t="shared" si="5"/>
        <v/>
      </c>
      <c r="H49" s="270" t="str">
        <f>IFERROR(VLOOKUP($F49,'VEH98 Data'!$A$3:$AJ$3511,8,0),"")</f>
        <v/>
      </c>
      <c r="I49" s="270" t="str">
        <f>IFERROR(VLOOKUP($F49,'VEH98 Data'!$A$3:$AJ$3511,7,0),"")</f>
        <v/>
      </c>
      <c r="J49" s="270" t="str">
        <f>IFERROR(VLOOKUP($F49,'VEH98 Data'!$A$3:$AJ$3511,9,0),"")</f>
        <v/>
      </c>
      <c r="K49" s="270" t="str">
        <f>IFERROR(VLOOKUP($F49,'VEH98 Data'!$A$3:$AJ$3511,10,0),"")</f>
        <v/>
      </c>
      <c r="L49" s="270" t="str">
        <f>IFERROR(VLOOKUP($F49,'VEH98 Data'!$A$3:$AJ$3511,11,0),"")</f>
        <v/>
      </c>
      <c r="M49" s="270" t="str">
        <f>IFERROR(VLOOKUP($F49,'VEH98 Data'!$A$3:$AJ$3511,20,0),"")</f>
        <v/>
      </c>
      <c r="N49" s="270" t="str">
        <f>IFERROR(VLOOKUP($F49,'VEH98 Data'!$A$3:$AJ$3511,21,0),"")</f>
        <v/>
      </c>
      <c r="O49" s="270" t="str">
        <f>IFERROR(VLOOKUP($F49,'VEH98 Data'!$A$3:$AJ$3511,12,0),"")</f>
        <v/>
      </c>
      <c r="P49" s="270" t="str">
        <f>IFERROR(VLOOKUP($F49,'VEH98 Data'!$A$3:$AJ$3511,18,0),"")</f>
        <v/>
      </c>
      <c r="Q49" s="270" t="str">
        <f>IFERROR(VLOOKUP($F49,'VEH98 Data'!$A$3:$AJ$3511,19,0),"")</f>
        <v/>
      </c>
      <c r="R49" s="270" t="str">
        <f>IFERROR(VLOOKUP($F49,'VEH98 Data'!$A$3:$AJ$3511,22,0),"")</f>
        <v/>
      </c>
      <c r="S49" s="270" t="str">
        <f>IFERROR(VLOOKUP($F49,'VEH98 Data'!$A$3:$AJ$3511,16,0),"")</f>
        <v/>
      </c>
      <c r="T49" s="272" t="str">
        <f>IFERROR(VLOOKUP($F49,'VEH98 Data'!$A$3:$AJ$3511,24,0),"")</f>
        <v/>
      </c>
      <c r="U49" s="270" t="str">
        <f>IFERROR(VLOOKUP($F49,'VEH98 Data'!$A$3:$AJ$3511,26,0),"")</f>
        <v/>
      </c>
      <c r="V49" s="270" t="str">
        <f>IFERROR(VLOOKUP($F49,'VEH98 Data'!$A$3:$AJ$3511,27,0),"")</f>
        <v/>
      </c>
      <c r="W49" s="273" t="str">
        <f>IFERROR(VLOOKUP($F49,'VEH98 Data'!$A$3:$AJ$3511,25,0),"")</f>
        <v/>
      </c>
      <c r="X49" s="270" t="str">
        <f>IFERROR(VLOOKUP($F49,'VEH98 Data'!$A$3:$AJ$3511,23,0),"")</f>
        <v/>
      </c>
      <c r="Y49" s="270" t="str">
        <f>IFERROR(VLOOKUP($F49,'VEH98 Data'!$A$3:$AJ$3511,3,0),"")</f>
        <v/>
      </c>
      <c r="Z49" s="274" t="str">
        <f>IFERROR(VLOOKUP($F49,'VEH98 Data'!$A$3:$AJ$3511,30,0),"")</f>
        <v/>
      </c>
      <c r="AA49" s="252"/>
      <c r="AB49" s="252"/>
      <c r="AC49" s="252"/>
      <c r="AD49" s="275"/>
      <c r="AE49" s="252"/>
      <c r="AF49" s="275"/>
      <c r="AG49" s="274" t="str">
        <f t="shared" si="6"/>
        <v/>
      </c>
      <c r="AH49" s="276" t="str">
        <f t="shared" si="7"/>
        <v/>
      </c>
      <c r="AI49" s="726"/>
      <c r="AJ49" s="726"/>
      <c r="AK49" s="726"/>
      <c r="AL49" s="147"/>
      <c r="AM49" s="147"/>
      <c r="AN49" s="147"/>
      <c r="AO49" s="147"/>
      <c r="AP49" s="147"/>
      <c r="AQ49" s="147"/>
      <c r="AR49" s="147"/>
      <c r="AS49" s="147"/>
      <c r="AT49" s="147"/>
      <c r="AU49" s="147"/>
      <c r="AV49" s="147"/>
      <c r="AW49" s="147"/>
      <c r="AX49" s="147"/>
      <c r="AY49" s="147"/>
      <c r="AZ49" s="147"/>
      <c r="BA49" s="147"/>
      <c r="BB49" s="147"/>
      <c r="BC49" s="147"/>
    </row>
    <row r="50" spans="1:55" s="589" customFormat="1" ht="15.95">
      <c r="A50" s="726"/>
      <c r="B50" s="605"/>
      <c r="C50" s="606"/>
      <c r="D50" s="606"/>
      <c r="E50" s="606"/>
      <c r="F50" s="604"/>
      <c r="G50" s="270" t="str">
        <f t="shared" si="5"/>
        <v/>
      </c>
      <c r="H50" s="270" t="str">
        <f>IFERROR(VLOOKUP($F50,'VEH98 Data'!$A$3:$AJ$3511,8,0),"")</f>
        <v/>
      </c>
      <c r="I50" s="270" t="str">
        <f>IFERROR(VLOOKUP($F50,'VEH98 Data'!$A$3:$AJ$3511,7,0),"")</f>
        <v/>
      </c>
      <c r="J50" s="270" t="str">
        <f>IFERROR(VLOOKUP($F50,'VEH98 Data'!$A$3:$AJ$3511,9,0),"")</f>
        <v/>
      </c>
      <c r="K50" s="270" t="str">
        <f>IFERROR(VLOOKUP($F50,'VEH98 Data'!$A$3:$AJ$3511,10,0),"")</f>
        <v/>
      </c>
      <c r="L50" s="270" t="str">
        <f>IFERROR(VLOOKUP($F50,'VEH98 Data'!$A$3:$AJ$3511,11,0),"")</f>
        <v/>
      </c>
      <c r="M50" s="270" t="str">
        <f>IFERROR(VLOOKUP($F50,'VEH98 Data'!$A$3:$AJ$3511,20,0),"")</f>
        <v/>
      </c>
      <c r="N50" s="270" t="str">
        <f>IFERROR(VLOOKUP($F50,'VEH98 Data'!$A$3:$AJ$3511,21,0),"")</f>
        <v/>
      </c>
      <c r="O50" s="270" t="str">
        <f>IFERROR(VLOOKUP($F50,'VEH98 Data'!$A$3:$AJ$3511,12,0),"")</f>
        <v/>
      </c>
      <c r="P50" s="270" t="str">
        <f>IFERROR(VLOOKUP($F50,'VEH98 Data'!$A$3:$AJ$3511,18,0),"")</f>
        <v/>
      </c>
      <c r="Q50" s="270" t="str">
        <f>IFERROR(VLOOKUP($F50,'VEH98 Data'!$A$3:$AJ$3511,19,0),"")</f>
        <v/>
      </c>
      <c r="R50" s="270" t="str">
        <f>IFERROR(VLOOKUP($F50,'VEH98 Data'!$A$3:$AJ$3511,22,0),"")</f>
        <v/>
      </c>
      <c r="S50" s="270" t="str">
        <f>IFERROR(VLOOKUP($F50,'VEH98 Data'!$A$3:$AJ$3511,16,0),"")</f>
        <v/>
      </c>
      <c r="T50" s="272" t="str">
        <f>IFERROR(VLOOKUP($F50,'VEH98 Data'!$A$3:$AJ$3511,24,0),"")</f>
        <v/>
      </c>
      <c r="U50" s="270" t="str">
        <f>IFERROR(VLOOKUP($F50,'VEH98 Data'!$A$3:$AJ$3511,26,0),"")</f>
        <v/>
      </c>
      <c r="V50" s="270" t="str">
        <f>IFERROR(VLOOKUP($F50,'VEH98 Data'!$A$3:$AJ$3511,27,0),"")</f>
        <v/>
      </c>
      <c r="W50" s="273" t="str">
        <f>IFERROR(VLOOKUP($F50,'VEH98 Data'!$A$3:$AJ$3511,25,0),"")</f>
        <v/>
      </c>
      <c r="X50" s="270" t="str">
        <f>IFERROR(VLOOKUP($F50,'VEH98 Data'!$A$3:$AJ$3511,23,0),"")</f>
        <v/>
      </c>
      <c r="Y50" s="270" t="str">
        <f>IFERROR(VLOOKUP($F50,'VEH98 Data'!$A$3:$AJ$3511,3,0),"")</f>
        <v/>
      </c>
      <c r="Z50" s="274" t="str">
        <f>IFERROR(VLOOKUP($F50,'VEH98 Data'!$A$3:$AJ$3511,30,0),"")</f>
        <v/>
      </c>
      <c r="AA50" s="252"/>
      <c r="AB50" s="252"/>
      <c r="AC50" s="275"/>
      <c r="AD50" s="275"/>
      <c r="AE50" s="275"/>
      <c r="AF50" s="275"/>
      <c r="AG50" s="274" t="str">
        <f t="shared" si="6"/>
        <v/>
      </c>
      <c r="AH50" s="276" t="str">
        <f t="shared" si="7"/>
        <v/>
      </c>
      <c r="AI50" s="726"/>
      <c r="AJ50" s="726"/>
      <c r="AK50" s="726"/>
      <c r="AL50" s="147"/>
      <c r="AM50" s="147"/>
      <c r="AN50" s="147"/>
      <c r="AO50" s="147"/>
      <c r="AP50" s="147"/>
      <c r="AQ50" s="147"/>
      <c r="AR50" s="147"/>
      <c r="AS50" s="147"/>
      <c r="AT50" s="147"/>
      <c r="AU50" s="147"/>
      <c r="AV50" s="147"/>
      <c r="AW50" s="147"/>
      <c r="AX50" s="147"/>
      <c r="AY50" s="147"/>
      <c r="AZ50" s="147"/>
      <c r="BA50" s="147"/>
      <c r="BB50" s="147"/>
      <c r="BC50" s="147"/>
    </row>
    <row r="51" spans="1:55" s="589" customFormat="1" ht="15.95">
      <c r="A51" s="726"/>
      <c r="B51" s="605"/>
      <c r="C51" s="606"/>
      <c r="D51" s="606"/>
      <c r="E51" s="606"/>
      <c r="F51" s="604"/>
      <c r="G51" s="270" t="str">
        <f t="shared" si="5"/>
        <v/>
      </c>
      <c r="H51" s="270" t="str">
        <f>IFERROR(VLOOKUP($F51,'VEH98 Data'!$A$3:$AJ$3511,8,0),"")</f>
        <v/>
      </c>
      <c r="I51" s="270" t="str">
        <f>IFERROR(VLOOKUP($F51,'VEH98 Data'!$A$3:$AJ$3511,7,0),"")</f>
        <v/>
      </c>
      <c r="J51" s="270" t="str">
        <f>IFERROR(VLOOKUP($F51,'VEH98 Data'!$A$3:$AJ$3511,9,0),"")</f>
        <v/>
      </c>
      <c r="K51" s="270" t="str">
        <f>IFERROR(VLOOKUP($F51,'VEH98 Data'!$A$3:$AJ$3511,10,0),"")</f>
        <v/>
      </c>
      <c r="L51" s="270" t="str">
        <f>IFERROR(VLOOKUP($F51,'VEH98 Data'!$A$3:$AJ$3511,11,0),"")</f>
        <v/>
      </c>
      <c r="M51" s="270" t="str">
        <f>IFERROR(VLOOKUP($F51,'VEH98 Data'!$A$3:$AJ$3511,20,0),"")</f>
        <v/>
      </c>
      <c r="N51" s="270" t="str">
        <f>IFERROR(VLOOKUP($F51,'VEH98 Data'!$A$3:$AJ$3511,21,0),"")</f>
        <v/>
      </c>
      <c r="O51" s="270" t="str">
        <f>IFERROR(VLOOKUP($F51,'VEH98 Data'!$A$3:$AJ$3511,12,0),"")</f>
        <v/>
      </c>
      <c r="P51" s="270" t="str">
        <f>IFERROR(VLOOKUP($F51,'VEH98 Data'!$A$3:$AJ$3511,18,0),"")</f>
        <v/>
      </c>
      <c r="Q51" s="270" t="str">
        <f>IFERROR(VLOOKUP($F51,'VEH98 Data'!$A$3:$AJ$3511,19,0),"")</f>
        <v/>
      </c>
      <c r="R51" s="270" t="str">
        <f>IFERROR(VLOOKUP($F51,'VEH98 Data'!$A$3:$AJ$3511,22,0),"")</f>
        <v/>
      </c>
      <c r="S51" s="270" t="str">
        <f>IFERROR(VLOOKUP($F51,'VEH98 Data'!$A$3:$AJ$3511,16,0),"")</f>
        <v/>
      </c>
      <c r="T51" s="272" t="str">
        <f>IFERROR(VLOOKUP($F51,'VEH98 Data'!$A$3:$AJ$3511,24,0),"")</f>
        <v/>
      </c>
      <c r="U51" s="270" t="str">
        <f>IFERROR(VLOOKUP($F51,'VEH98 Data'!$A$3:$AJ$3511,26,0),"")</f>
        <v/>
      </c>
      <c r="V51" s="270" t="str">
        <f>IFERROR(VLOOKUP($F51,'VEH98 Data'!$A$3:$AJ$3511,27,0),"")</f>
        <v/>
      </c>
      <c r="W51" s="273" t="str">
        <f>IFERROR(VLOOKUP($F51,'VEH98 Data'!$A$3:$AJ$3511,25,0),"")</f>
        <v/>
      </c>
      <c r="X51" s="270" t="str">
        <f>IFERROR(VLOOKUP($F51,'VEH98 Data'!$A$3:$AJ$3511,23,0),"")</f>
        <v/>
      </c>
      <c r="Y51" s="270" t="str">
        <f>IFERROR(VLOOKUP($F51,'VEH98 Data'!$A$3:$AJ$3511,3,0),"")</f>
        <v/>
      </c>
      <c r="Z51" s="274" t="str">
        <f>IFERROR(VLOOKUP($F51,'VEH98 Data'!$A$3:$AJ$3511,30,0),"")</f>
        <v/>
      </c>
      <c r="AA51" s="252"/>
      <c r="AB51" s="252"/>
      <c r="AC51" s="275"/>
      <c r="AD51" s="275"/>
      <c r="AE51" s="275"/>
      <c r="AF51" s="275"/>
      <c r="AG51" s="274" t="str">
        <f t="shared" si="6"/>
        <v/>
      </c>
      <c r="AH51" s="276" t="str">
        <f t="shared" si="7"/>
        <v/>
      </c>
      <c r="AI51" s="726"/>
      <c r="AJ51" s="726"/>
      <c r="AK51" s="726"/>
      <c r="AL51" s="147"/>
      <c r="AM51" s="147"/>
      <c r="AN51" s="147"/>
      <c r="AO51" s="147"/>
      <c r="AP51" s="147"/>
      <c r="AQ51" s="147"/>
      <c r="AR51" s="147"/>
      <c r="AS51" s="147"/>
      <c r="AT51" s="147"/>
      <c r="AU51" s="147"/>
      <c r="AV51" s="147"/>
      <c r="AW51" s="147"/>
      <c r="AX51" s="147"/>
      <c r="AY51" s="147"/>
      <c r="AZ51" s="147"/>
      <c r="BA51" s="147"/>
      <c r="BB51" s="147"/>
      <c r="BC51" s="147"/>
    </row>
    <row r="52" spans="1:55" s="589" customFormat="1" ht="15.95">
      <c r="A52" s="726"/>
      <c r="B52" s="605"/>
      <c r="C52" s="606"/>
      <c r="D52" s="606"/>
      <c r="E52" s="606"/>
      <c r="F52" s="604"/>
      <c r="G52" s="270" t="str">
        <f t="shared" si="5"/>
        <v/>
      </c>
      <c r="H52" s="270" t="str">
        <f>IFERROR(VLOOKUP($F52,'VEH98 Data'!$A$3:$AJ$3511,8,0),"")</f>
        <v/>
      </c>
      <c r="I52" s="270" t="str">
        <f>IFERROR(VLOOKUP($F52,'VEH98 Data'!$A$3:$AJ$3511,7,0),"")</f>
        <v/>
      </c>
      <c r="J52" s="270" t="str">
        <f>IFERROR(VLOOKUP($F52,'VEH98 Data'!$A$3:$AJ$3511,9,0),"")</f>
        <v/>
      </c>
      <c r="K52" s="270" t="str">
        <f>IFERROR(VLOOKUP($F52,'VEH98 Data'!$A$3:$AJ$3511,10,0),"")</f>
        <v/>
      </c>
      <c r="L52" s="270" t="str">
        <f>IFERROR(VLOOKUP($F52,'VEH98 Data'!$A$3:$AJ$3511,11,0),"")</f>
        <v/>
      </c>
      <c r="M52" s="270" t="str">
        <f>IFERROR(VLOOKUP($F52,'VEH98 Data'!$A$3:$AJ$3511,20,0),"")</f>
        <v/>
      </c>
      <c r="N52" s="270" t="str">
        <f>IFERROR(VLOOKUP($F52,'VEH98 Data'!$A$3:$AJ$3511,21,0),"")</f>
        <v/>
      </c>
      <c r="O52" s="270" t="str">
        <f>IFERROR(VLOOKUP($F52,'VEH98 Data'!$A$3:$AJ$3511,12,0),"")</f>
        <v/>
      </c>
      <c r="P52" s="270" t="str">
        <f>IFERROR(VLOOKUP($F52,'VEH98 Data'!$A$3:$AJ$3511,18,0),"")</f>
        <v/>
      </c>
      <c r="Q52" s="270" t="str">
        <f>IFERROR(VLOOKUP($F52,'VEH98 Data'!$A$3:$AJ$3511,19,0),"")</f>
        <v/>
      </c>
      <c r="R52" s="270" t="str">
        <f>IFERROR(VLOOKUP($F52,'VEH98 Data'!$A$3:$AJ$3511,22,0),"")</f>
        <v/>
      </c>
      <c r="S52" s="270" t="str">
        <f>IFERROR(VLOOKUP($F52,'VEH98 Data'!$A$3:$AJ$3511,16,0),"")</f>
        <v/>
      </c>
      <c r="T52" s="272" t="str">
        <f>IFERROR(VLOOKUP($F52,'VEH98 Data'!$A$3:$AJ$3511,24,0),"")</f>
        <v/>
      </c>
      <c r="U52" s="270" t="str">
        <f>IFERROR(VLOOKUP($F52,'VEH98 Data'!$A$3:$AJ$3511,26,0),"")</f>
        <v/>
      </c>
      <c r="V52" s="270" t="str">
        <f>IFERROR(VLOOKUP($F52,'VEH98 Data'!$A$3:$AJ$3511,27,0),"")</f>
        <v/>
      </c>
      <c r="W52" s="273" t="str">
        <f>IFERROR(VLOOKUP($F52,'VEH98 Data'!$A$3:$AJ$3511,25,0),"")</f>
        <v/>
      </c>
      <c r="X52" s="270" t="str">
        <f>IFERROR(VLOOKUP($F52,'VEH98 Data'!$A$3:$AJ$3511,23,0),"")</f>
        <v/>
      </c>
      <c r="Y52" s="270" t="str">
        <f>IFERROR(VLOOKUP($F52,'VEH98 Data'!$A$3:$AJ$3511,3,0),"")</f>
        <v/>
      </c>
      <c r="Z52" s="274" t="str">
        <f>IFERROR(VLOOKUP($F52,'VEH98 Data'!$A$3:$AJ$3511,30,0),"")</f>
        <v/>
      </c>
      <c r="AA52" s="252"/>
      <c r="AB52" s="252"/>
      <c r="AC52" s="252"/>
      <c r="AD52" s="275"/>
      <c r="AE52" s="252"/>
      <c r="AF52" s="275"/>
      <c r="AG52" s="274" t="str">
        <f t="shared" si="6"/>
        <v/>
      </c>
      <c r="AH52" s="276" t="str">
        <f t="shared" si="7"/>
        <v/>
      </c>
      <c r="AI52" s="726"/>
      <c r="AJ52" s="726"/>
      <c r="AK52" s="726"/>
      <c r="AL52" s="147"/>
      <c r="AM52" s="147"/>
      <c r="AN52" s="147"/>
      <c r="AO52" s="147"/>
      <c r="AP52" s="147"/>
      <c r="AQ52" s="147"/>
      <c r="AR52" s="147"/>
      <c r="AS52" s="147"/>
      <c r="AT52" s="147"/>
      <c r="AU52" s="147"/>
      <c r="AV52" s="147"/>
      <c r="AW52" s="147"/>
      <c r="AX52" s="147"/>
      <c r="AY52" s="147"/>
      <c r="AZ52" s="147"/>
      <c r="BA52" s="147"/>
      <c r="BB52" s="147"/>
      <c r="BC52" s="147"/>
    </row>
    <row r="53" spans="1:55" s="589" customFormat="1" ht="15.95">
      <c r="A53" s="726"/>
      <c r="B53" s="605"/>
      <c r="C53" s="606"/>
      <c r="D53" s="606"/>
      <c r="E53" s="606"/>
      <c r="F53" s="604"/>
      <c r="G53" s="270" t="str">
        <f t="shared" si="5"/>
        <v/>
      </c>
      <c r="H53" s="270" t="str">
        <f>IFERROR(VLOOKUP($F53,'VEH98 Data'!$A$3:$AJ$3511,8,0),"")</f>
        <v/>
      </c>
      <c r="I53" s="270" t="str">
        <f>IFERROR(VLOOKUP($F53,'VEH98 Data'!$A$3:$AJ$3511,7,0),"")</f>
        <v/>
      </c>
      <c r="J53" s="270" t="str">
        <f>IFERROR(VLOOKUP($F53,'VEH98 Data'!$A$3:$AJ$3511,9,0),"")</f>
        <v/>
      </c>
      <c r="K53" s="270" t="str">
        <f>IFERROR(VLOOKUP($F53,'VEH98 Data'!$A$3:$AJ$3511,10,0),"")</f>
        <v/>
      </c>
      <c r="L53" s="270" t="str">
        <f>IFERROR(VLOOKUP($F53,'VEH98 Data'!$A$3:$AJ$3511,11,0),"")</f>
        <v/>
      </c>
      <c r="M53" s="270" t="str">
        <f>IFERROR(VLOOKUP($F53,'VEH98 Data'!$A$3:$AJ$3511,20,0),"")</f>
        <v/>
      </c>
      <c r="N53" s="270" t="str">
        <f>IFERROR(VLOOKUP($F53,'VEH98 Data'!$A$3:$AJ$3511,21,0),"")</f>
        <v/>
      </c>
      <c r="O53" s="270" t="str">
        <f>IFERROR(VLOOKUP($F53,'VEH98 Data'!$A$3:$AJ$3511,12,0),"")</f>
        <v/>
      </c>
      <c r="P53" s="270" t="str">
        <f>IFERROR(VLOOKUP($F53,'VEH98 Data'!$A$3:$AJ$3511,18,0),"")</f>
        <v/>
      </c>
      <c r="Q53" s="270" t="str">
        <f>IFERROR(VLOOKUP($F53,'VEH98 Data'!$A$3:$AJ$3511,19,0),"")</f>
        <v/>
      </c>
      <c r="R53" s="270" t="str">
        <f>IFERROR(VLOOKUP($F53,'VEH98 Data'!$A$3:$AJ$3511,22,0),"")</f>
        <v/>
      </c>
      <c r="S53" s="270" t="str">
        <f>IFERROR(VLOOKUP($F53,'VEH98 Data'!$A$3:$AJ$3511,16,0),"")</f>
        <v/>
      </c>
      <c r="T53" s="272" t="str">
        <f>IFERROR(VLOOKUP($F53,'VEH98 Data'!$A$3:$AJ$3511,24,0),"")</f>
        <v/>
      </c>
      <c r="U53" s="270" t="str">
        <f>IFERROR(VLOOKUP($F53,'VEH98 Data'!$A$3:$AJ$3511,26,0),"")</f>
        <v/>
      </c>
      <c r="V53" s="270" t="str">
        <f>IFERROR(VLOOKUP($F53,'VEH98 Data'!$A$3:$AJ$3511,27,0),"")</f>
        <v/>
      </c>
      <c r="W53" s="273" t="str">
        <f>IFERROR(VLOOKUP($F53,'VEH98 Data'!$A$3:$AJ$3511,25,0),"")</f>
        <v/>
      </c>
      <c r="X53" s="270" t="str">
        <f>IFERROR(VLOOKUP($F53,'VEH98 Data'!$A$3:$AJ$3511,23,0),"")</f>
        <v/>
      </c>
      <c r="Y53" s="270" t="str">
        <f>IFERROR(VLOOKUP($F53,'VEH98 Data'!$A$3:$AJ$3511,3,0),"")</f>
        <v/>
      </c>
      <c r="Z53" s="274" t="str">
        <f>IFERROR(VLOOKUP($F53,'VEH98 Data'!$A$3:$AJ$3511,30,0),"")</f>
        <v/>
      </c>
      <c r="AA53" s="252"/>
      <c r="AB53" s="252"/>
      <c r="AC53" s="252"/>
      <c r="AD53" s="275"/>
      <c r="AE53" s="252"/>
      <c r="AF53" s="275"/>
      <c r="AG53" s="274" t="str">
        <f t="shared" si="6"/>
        <v/>
      </c>
      <c r="AH53" s="276" t="str">
        <f t="shared" si="7"/>
        <v/>
      </c>
      <c r="AI53" s="726"/>
      <c r="AJ53" s="726"/>
      <c r="AK53" s="726"/>
      <c r="AL53" s="147"/>
      <c r="AM53" s="147"/>
      <c r="AN53" s="147"/>
      <c r="AO53" s="147"/>
      <c r="AP53" s="147"/>
      <c r="AQ53" s="147"/>
      <c r="AR53" s="147"/>
      <c r="AS53" s="147"/>
      <c r="AT53" s="147"/>
      <c r="AU53" s="147"/>
      <c r="AV53" s="147"/>
      <c r="AW53" s="147"/>
      <c r="AX53" s="147"/>
      <c r="AY53" s="147"/>
      <c r="AZ53" s="147"/>
      <c r="BA53" s="147"/>
      <c r="BB53" s="147"/>
      <c r="BC53" s="147"/>
    </row>
    <row r="54" spans="1:55" s="589" customFormat="1" ht="15.95">
      <c r="A54" s="726"/>
      <c r="B54" s="605"/>
      <c r="C54" s="606"/>
      <c r="D54" s="606"/>
      <c r="E54" s="606"/>
      <c r="F54" s="604"/>
      <c r="G54" s="270" t="str">
        <f t="shared" si="5"/>
        <v/>
      </c>
      <c r="H54" s="270" t="str">
        <f>IFERROR(VLOOKUP($F54,'VEH98 Data'!$A$3:$AJ$3511,8,0),"")</f>
        <v/>
      </c>
      <c r="I54" s="270" t="str">
        <f>IFERROR(VLOOKUP($F54,'VEH98 Data'!$A$3:$AJ$3511,7,0),"")</f>
        <v/>
      </c>
      <c r="J54" s="270" t="str">
        <f>IFERROR(VLOOKUP($F54,'VEH98 Data'!$A$3:$AJ$3511,9,0),"")</f>
        <v/>
      </c>
      <c r="K54" s="270" t="str">
        <f>IFERROR(VLOOKUP($F54,'VEH98 Data'!$A$3:$AJ$3511,10,0),"")</f>
        <v/>
      </c>
      <c r="L54" s="270" t="str">
        <f>IFERROR(VLOOKUP($F54,'VEH98 Data'!$A$3:$AJ$3511,11,0),"")</f>
        <v/>
      </c>
      <c r="M54" s="270" t="str">
        <f>IFERROR(VLOOKUP($F54,'VEH98 Data'!$A$3:$AJ$3511,20,0),"")</f>
        <v/>
      </c>
      <c r="N54" s="270" t="str">
        <f>IFERROR(VLOOKUP($F54,'VEH98 Data'!$A$3:$AJ$3511,21,0),"")</f>
        <v/>
      </c>
      <c r="O54" s="270" t="str">
        <f>IFERROR(VLOOKUP($F54,'VEH98 Data'!$A$3:$AJ$3511,12,0),"")</f>
        <v/>
      </c>
      <c r="P54" s="270" t="str">
        <f>IFERROR(VLOOKUP($F54,'VEH98 Data'!$A$3:$AJ$3511,18,0),"")</f>
        <v/>
      </c>
      <c r="Q54" s="270" t="str">
        <f>IFERROR(VLOOKUP($F54,'VEH98 Data'!$A$3:$AJ$3511,19,0),"")</f>
        <v/>
      </c>
      <c r="R54" s="270" t="str">
        <f>IFERROR(VLOOKUP($F54,'VEH98 Data'!$A$3:$AJ$3511,22,0),"")</f>
        <v/>
      </c>
      <c r="S54" s="270" t="str">
        <f>IFERROR(VLOOKUP($F54,'VEH98 Data'!$A$3:$AJ$3511,16,0),"")</f>
        <v/>
      </c>
      <c r="T54" s="272" t="str">
        <f>IFERROR(VLOOKUP($F54,'VEH98 Data'!$A$3:$AJ$3511,24,0),"")</f>
        <v/>
      </c>
      <c r="U54" s="270" t="str">
        <f>IFERROR(VLOOKUP($F54,'VEH98 Data'!$A$3:$AJ$3511,26,0),"")</f>
        <v/>
      </c>
      <c r="V54" s="270" t="str">
        <f>IFERROR(VLOOKUP($F54,'VEH98 Data'!$A$3:$AJ$3511,27,0),"")</f>
        <v/>
      </c>
      <c r="W54" s="273" t="str">
        <f>IFERROR(VLOOKUP($F54,'VEH98 Data'!$A$3:$AJ$3511,25,0),"")</f>
        <v/>
      </c>
      <c r="X54" s="270" t="str">
        <f>IFERROR(VLOOKUP($F54,'VEH98 Data'!$A$3:$AJ$3511,23,0),"")</f>
        <v/>
      </c>
      <c r="Y54" s="270" t="str">
        <f>IFERROR(VLOOKUP($F54,'VEH98 Data'!$A$3:$AJ$3511,3,0),"")</f>
        <v/>
      </c>
      <c r="Z54" s="274" t="str">
        <f>IFERROR(VLOOKUP($F54,'VEH98 Data'!$A$3:$AJ$3511,30,0),"")</f>
        <v/>
      </c>
      <c r="AA54" s="252"/>
      <c r="AB54" s="252"/>
      <c r="AC54" s="252"/>
      <c r="AD54" s="275"/>
      <c r="AE54" s="252"/>
      <c r="AF54" s="275"/>
      <c r="AG54" s="274" t="str">
        <f>IF(Z54="", "", Z54+AD54+AF54)</f>
        <v/>
      </c>
      <c r="AH54" s="276" t="str">
        <f>IF(G54="", "", AG54*G54)</f>
        <v/>
      </c>
      <c r="AI54" s="726"/>
      <c r="AJ54" s="726"/>
      <c r="AK54" s="726"/>
      <c r="AL54" s="147"/>
      <c r="AM54" s="147"/>
      <c r="AN54" s="147"/>
      <c r="AO54" s="147"/>
      <c r="AP54" s="147"/>
      <c r="AQ54" s="147"/>
      <c r="AR54" s="147"/>
      <c r="AS54" s="147"/>
      <c r="AT54" s="147"/>
      <c r="AU54" s="147"/>
      <c r="AV54" s="147"/>
      <c r="AW54" s="147"/>
      <c r="AX54" s="147"/>
      <c r="AY54" s="147"/>
      <c r="AZ54" s="147"/>
      <c r="BA54" s="147"/>
      <c r="BB54" s="147"/>
      <c r="BC54" s="147"/>
    </row>
    <row r="55" spans="1:55" s="589" customFormat="1" ht="15.95">
      <c r="A55" s="726"/>
      <c r="B55" s="605"/>
      <c r="C55" s="606"/>
      <c r="D55" s="606"/>
      <c r="E55" s="606"/>
      <c r="F55" s="604"/>
      <c r="G55" s="270" t="str">
        <f t="shared" si="5"/>
        <v/>
      </c>
      <c r="H55" s="270" t="str">
        <f>IFERROR(VLOOKUP($F55,'VEH98 Data'!$A$3:$AJ$3511,8,0),"")</f>
        <v/>
      </c>
      <c r="I55" s="270" t="str">
        <f>IFERROR(VLOOKUP($F55,'VEH98 Data'!$A$3:$AJ$3511,7,0),"")</f>
        <v/>
      </c>
      <c r="J55" s="270" t="str">
        <f>IFERROR(VLOOKUP($F55,'VEH98 Data'!$A$3:$AJ$3511,9,0),"")</f>
        <v/>
      </c>
      <c r="K55" s="270" t="str">
        <f>IFERROR(VLOOKUP($F55,'VEH98 Data'!$A$3:$AJ$3511,10,0),"")</f>
        <v/>
      </c>
      <c r="L55" s="270" t="str">
        <f>IFERROR(VLOOKUP($F55,'VEH98 Data'!$A$3:$AJ$3511,11,0),"")</f>
        <v/>
      </c>
      <c r="M55" s="270" t="str">
        <f>IFERROR(VLOOKUP($F55,'VEH98 Data'!$A$3:$AJ$3511,20,0),"")</f>
        <v/>
      </c>
      <c r="N55" s="270" t="str">
        <f>IFERROR(VLOOKUP($F55,'VEH98 Data'!$A$3:$AJ$3511,21,0),"")</f>
        <v/>
      </c>
      <c r="O55" s="270" t="str">
        <f>IFERROR(VLOOKUP($F55,'VEH98 Data'!$A$3:$AJ$3511,12,0),"")</f>
        <v/>
      </c>
      <c r="P55" s="270" t="str">
        <f>IFERROR(VLOOKUP($F55,'VEH98 Data'!$A$3:$AJ$3511,18,0),"")</f>
        <v/>
      </c>
      <c r="Q55" s="270" t="str">
        <f>IFERROR(VLOOKUP($F55,'VEH98 Data'!$A$3:$AJ$3511,19,0),"")</f>
        <v/>
      </c>
      <c r="R55" s="270" t="str">
        <f>IFERROR(VLOOKUP($F55,'VEH98 Data'!$A$3:$AJ$3511,22,0),"")</f>
        <v/>
      </c>
      <c r="S55" s="270" t="str">
        <f>IFERROR(VLOOKUP($F55,'VEH98 Data'!$A$3:$AJ$3511,16,0),"")</f>
        <v/>
      </c>
      <c r="T55" s="272" t="str">
        <f>IFERROR(VLOOKUP($F55,'VEH98 Data'!$A$3:$AJ$3511,24,0),"")</f>
        <v/>
      </c>
      <c r="U55" s="270" t="str">
        <f>IFERROR(VLOOKUP($F55,'VEH98 Data'!$A$3:$AJ$3511,26,0),"")</f>
        <v/>
      </c>
      <c r="V55" s="270" t="str">
        <f>IFERROR(VLOOKUP($F55,'VEH98 Data'!$A$3:$AJ$3511,27,0),"")</f>
        <v/>
      </c>
      <c r="W55" s="273" t="str">
        <f>IFERROR(VLOOKUP($F55,'VEH98 Data'!$A$3:$AJ$3511,25,0),"")</f>
        <v/>
      </c>
      <c r="X55" s="270" t="str">
        <f>IFERROR(VLOOKUP($F55,'VEH98 Data'!$A$3:$AJ$3511,23,0),"")</f>
        <v/>
      </c>
      <c r="Y55" s="270" t="str">
        <f>IFERROR(VLOOKUP($F55,'VEH98 Data'!$A$3:$AJ$3511,3,0),"")</f>
        <v/>
      </c>
      <c r="Z55" s="274" t="str">
        <f>IFERROR(VLOOKUP($F55,'VEH98 Data'!$A$3:$AJ$3511,30,0),"")</f>
        <v/>
      </c>
      <c r="AA55" s="252"/>
      <c r="AB55" s="252"/>
      <c r="AC55" s="252"/>
      <c r="AD55" s="275"/>
      <c r="AE55" s="252"/>
      <c r="AF55" s="275"/>
      <c r="AG55" s="274" t="str">
        <f t="shared" ref="AG55:AG69" si="8">IF(Z55="", "", Z55+AD55+AF55)</f>
        <v/>
      </c>
      <c r="AH55" s="276" t="str">
        <f t="shared" ref="AH55:AH69" si="9">IF(G55="", "", AG55*G55)</f>
        <v/>
      </c>
      <c r="AI55" s="726"/>
      <c r="AJ55" s="726"/>
      <c r="AK55" s="726"/>
      <c r="AL55" s="147"/>
      <c r="AM55" s="147"/>
      <c r="AN55" s="147"/>
      <c r="AO55" s="147"/>
      <c r="AP55" s="147"/>
      <c r="AQ55" s="147"/>
      <c r="AR55" s="147"/>
      <c r="AS55" s="147"/>
      <c r="AT55" s="147"/>
      <c r="AU55" s="147"/>
      <c r="AV55" s="147"/>
      <c r="AW55" s="147"/>
      <c r="AX55" s="147"/>
      <c r="AY55" s="147"/>
      <c r="AZ55" s="147"/>
      <c r="BA55" s="147"/>
      <c r="BB55" s="147"/>
      <c r="BC55" s="147"/>
    </row>
    <row r="56" spans="1:55" s="589" customFormat="1" ht="15.95">
      <c r="A56" s="726"/>
      <c r="B56" s="605"/>
      <c r="C56" s="606"/>
      <c r="D56" s="606"/>
      <c r="E56" s="606"/>
      <c r="F56" s="604"/>
      <c r="G56" s="270" t="str">
        <f t="shared" si="5"/>
        <v/>
      </c>
      <c r="H56" s="270" t="str">
        <f>IFERROR(VLOOKUP($F56,'VEH98 Data'!$A$3:$AJ$3511,8,0),"")</f>
        <v/>
      </c>
      <c r="I56" s="270" t="str">
        <f>IFERROR(VLOOKUP($F56,'VEH98 Data'!$A$3:$AJ$3511,7,0),"")</f>
        <v/>
      </c>
      <c r="J56" s="270" t="str">
        <f>IFERROR(VLOOKUP($F56,'VEH98 Data'!$A$3:$AJ$3511,9,0),"")</f>
        <v/>
      </c>
      <c r="K56" s="270" t="str">
        <f>IFERROR(VLOOKUP($F56,'VEH98 Data'!$A$3:$AJ$3511,10,0),"")</f>
        <v/>
      </c>
      <c r="L56" s="270" t="str">
        <f>IFERROR(VLOOKUP($F56,'VEH98 Data'!$A$3:$AJ$3511,11,0),"")</f>
        <v/>
      </c>
      <c r="M56" s="270" t="str">
        <f>IFERROR(VLOOKUP($F56,'VEH98 Data'!$A$3:$AJ$3511,20,0),"")</f>
        <v/>
      </c>
      <c r="N56" s="270" t="str">
        <f>IFERROR(VLOOKUP($F56,'VEH98 Data'!$A$3:$AJ$3511,21,0),"")</f>
        <v/>
      </c>
      <c r="O56" s="270" t="str">
        <f>IFERROR(VLOOKUP($F56,'VEH98 Data'!$A$3:$AJ$3511,12,0),"")</f>
        <v/>
      </c>
      <c r="P56" s="270" t="str">
        <f>IFERROR(VLOOKUP($F56,'VEH98 Data'!$A$3:$AJ$3511,18,0),"")</f>
        <v/>
      </c>
      <c r="Q56" s="270" t="str">
        <f>IFERROR(VLOOKUP($F56,'VEH98 Data'!$A$3:$AJ$3511,19,0),"")</f>
        <v/>
      </c>
      <c r="R56" s="270" t="str">
        <f>IFERROR(VLOOKUP($F56,'VEH98 Data'!$A$3:$AJ$3511,22,0),"")</f>
        <v/>
      </c>
      <c r="S56" s="270" t="str">
        <f>IFERROR(VLOOKUP($F56,'VEH98 Data'!$A$3:$AJ$3511,16,0),"")</f>
        <v/>
      </c>
      <c r="T56" s="272" t="str">
        <f>IFERROR(VLOOKUP($F56,'VEH98 Data'!$A$3:$AJ$3511,24,0),"")</f>
        <v/>
      </c>
      <c r="U56" s="270" t="str">
        <f>IFERROR(VLOOKUP($F56,'VEH98 Data'!$A$3:$AJ$3511,26,0),"")</f>
        <v/>
      </c>
      <c r="V56" s="270" t="str">
        <f>IFERROR(VLOOKUP($F56,'VEH98 Data'!$A$3:$AJ$3511,27,0),"")</f>
        <v/>
      </c>
      <c r="W56" s="273" t="str">
        <f>IFERROR(VLOOKUP($F56,'VEH98 Data'!$A$3:$AJ$3511,25,0),"")</f>
        <v/>
      </c>
      <c r="X56" s="270" t="str">
        <f>IFERROR(VLOOKUP($F56,'VEH98 Data'!$A$3:$AJ$3511,23,0),"")</f>
        <v/>
      </c>
      <c r="Y56" s="270" t="str">
        <f>IFERROR(VLOOKUP($F56,'VEH98 Data'!$A$3:$AJ$3511,3,0),"")</f>
        <v/>
      </c>
      <c r="Z56" s="274" t="str">
        <f>IFERROR(VLOOKUP($F56,'VEH98 Data'!$A$3:$AJ$3511,30,0),"")</f>
        <v/>
      </c>
      <c r="AA56" s="252"/>
      <c r="AB56" s="252"/>
      <c r="AC56" s="252"/>
      <c r="AD56" s="275"/>
      <c r="AE56" s="252"/>
      <c r="AF56" s="275"/>
      <c r="AG56" s="274" t="str">
        <f t="shared" si="8"/>
        <v/>
      </c>
      <c r="AH56" s="276" t="str">
        <f t="shared" si="9"/>
        <v/>
      </c>
      <c r="AI56" s="726"/>
      <c r="AJ56" s="726"/>
      <c r="AK56" s="726"/>
      <c r="AL56" s="147"/>
      <c r="AM56" s="147"/>
      <c r="AN56" s="147"/>
      <c r="AO56" s="147"/>
      <c r="AP56" s="147"/>
      <c r="AQ56" s="147"/>
      <c r="AR56" s="147"/>
      <c r="AS56" s="147"/>
      <c r="AT56" s="147"/>
      <c r="AU56" s="147"/>
      <c r="AV56" s="147"/>
      <c r="AW56" s="147"/>
      <c r="AX56" s="147"/>
      <c r="AY56" s="147"/>
      <c r="AZ56" s="147"/>
      <c r="BA56" s="147"/>
      <c r="BB56" s="147"/>
      <c r="BC56" s="147"/>
    </row>
    <row r="57" spans="1:55" s="589" customFormat="1" ht="15.95">
      <c r="A57" s="726"/>
      <c r="B57" s="605"/>
      <c r="C57" s="606"/>
      <c r="D57" s="606"/>
      <c r="E57" s="606"/>
      <c r="F57" s="604"/>
      <c r="G57" s="270" t="str">
        <f t="shared" si="5"/>
        <v/>
      </c>
      <c r="H57" s="270" t="str">
        <f>IFERROR(VLOOKUP($F57,'VEH98 Data'!$A$3:$AJ$3511,8,0),"")</f>
        <v/>
      </c>
      <c r="I57" s="270" t="str">
        <f>IFERROR(VLOOKUP($F57,'VEH98 Data'!$A$3:$AJ$3511,7,0),"")</f>
        <v/>
      </c>
      <c r="J57" s="270" t="str">
        <f>IFERROR(VLOOKUP($F57,'VEH98 Data'!$A$3:$AJ$3511,9,0),"")</f>
        <v/>
      </c>
      <c r="K57" s="270" t="str">
        <f>IFERROR(VLOOKUP($F57,'VEH98 Data'!$A$3:$AJ$3511,10,0),"")</f>
        <v/>
      </c>
      <c r="L57" s="270" t="str">
        <f>IFERROR(VLOOKUP($F57,'VEH98 Data'!$A$3:$AJ$3511,11,0),"")</f>
        <v/>
      </c>
      <c r="M57" s="270" t="str">
        <f>IFERROR(VLOOKUP($F57,'VEH98 Data'!$A$3:$AJ$3511,20,0),"")</f>
        <v/>
      </c>
      <c r="N57" s="270" t="str">
        <f>IFERROR(VLOOKUP($F57,'VEH98 Data'!$A$3:$AJ$3511,21,0),"")</f>
        <v/>
      </c>
      <c r="O57" s="270" t="str">
        <f>IFERROR(VLOOKUP($F57,'VEH98 Data'!$A$3:$AJ$3511,12,0),"")</f>
        <v/>
      </c>
      <c r="P57" s="270" t="str">
        <f>IFERROR(VLOOKUP($F57,'VEH98 Data'!$A$3:$AJ$3511,18,0),"")</f>
        <v/>
      </c>
      <c r="Q57" s="270" t="str">
        <f>IFERROR(VLOOKUP($F57,'VEH98 Data'!$A$3:$AJ$3511,19,0),"")</f>
        <v/>
      </c>
      <c r="R57" s="270" t="str">
        <f>IFERROR(VLOOKUP($F57,'VEH98 Data'!$A$3:$AJ$3511,22,0),"")</f>
        <v/>
      </c>
      <c r="S57" s="270" t="str">
        <f>IFERROR(VLOOKUP($F57,'VEH98 Data'!$A$3:$AJ$3511,16,0),"")</f>
        <v/>
      </c>
      <c r="T57" s="272" t="str">
        <f>IFERROR(VLOOKUP($F57,'VEH98 Data'!$A$3:$AJ$3511,24,0),"")</f>
        <v/>
      </c>
      <c r="U57" s="270" t="str">
        <f>IFERROR(VLOOKUP($F57,'VEH98 Data'!$A$3:$AJ$3511,26,0),"")</f>
        <v/>
      </c>
      <c r="V57" s="270" t="str">
        <f>IFERROR(VLOOKUP($F57,'VEH98 Data'!$A$3:$AJ$3511,27,0),"")</f>
        <v/>
      </c>
      <c r="W57" s="273" t="str">
        <f>IFERROR(VLOOKUP($F57,'VEH98 Data'!$A$3:$AJ$3511,25,0),"")</f>
        <v/>
      </c>
      <c r="X57" s="270" t="str">
        <f>IFERROR(VLOOKUP($F57,'VEH98 Data'!$A$3:$AJ$3511,23,0),"")</f>
        <v/>
      </c>
      <c r="Y57" s="270" t="str">
        <f>IFERROR(VLOOKUP($F57,'VEH98 Data'!$A$3:$AJ$3511,3,0),"")</f>
        <v/>
      </c>
      <c r="Z57" s="274" t="str">
        <f>IFERROR(VLOOKUP($F57,'VEH98 Data'!$A$3:$AJ$3511,30,0),"")</f>
        <v/>
      </c>
      <c r="AA57" s="252"/>
      <c r="AB57" s="252"/>
      <c r="AC57" s="252"/>
      <c r="AD57" s="275"/>
      <c r="AE57" s="252"/>
      <c r="AF57" s="275"/>
      <c r="AG57" s="274" t="str">
        <f t="shared" si="8"/>
        <v/>
      </c>
      <c r="AH57" s="276" t="str">
        <f t="shared" si="9"/>
        <v/>
      </c>
      <c r="AI57" s="726"/>
      <c r="AJ57" s="726"/>
      <c r="AK57" s="726"/>
      <c r="AL57" s="147"/>
      <c r="AM57" s="147"/>
      <c r="AN57" s="147"/>
      <c r="AO57" s="147"/>
      <c r="AP57" s="147"/>
      <c r="AQ57" s="147"/>
      <c r="AR57" s="147"/>
      <c r="AS57" s="147"/>
      <c r="AT57" s="147"/>
      <c r="AU57" s="147"/>
      <c r="AV57" s="147"/>
      <c r="AW57" s="147"/>
      <c r="AX57" s="147"/>
      <c r="AY57" s="147"/>
      <c r="AZ57" s="147"/>
      <c r="BA57" s="147"/>
      <c r="BB57" s="147"/>
      <c r="BC57" s="147"/>
    </row>
    <row r="58" spans="1:55" s="589" customFormat="1" ht="15.95">
      <c r="A58" s="726"/>
      <c r="B58" s="605"/>
      <c r="C58" s="606"/>
      <c r="D58" s="606"/>
      <c r="E58" s="606"/>
      <c r="F58" s="604"/>
      <c r="G58" s="270" t="str">
        <f t="shared" si="5"/>
        <v/>
      </c>
      <c r="H58" s="270" t="str">
        <f>IFERROR(VLOOKUP($F58,'VEH98 Data'!$A$3:$AJ$3511,8,0),"")</f>
        <v/>
      </c>
      <c r="I58" s="270" t="str">
        <f>IFERROR(VLOOKUP($F58,'VEH98 Data'!$A$3:$AJ$3511,7,0),"")</f>
        <v/>
      </c>
      <c r="J58" s="270" t="str">
        <f>IFERROR(VLOOKUP($F58,'VEH98 Data'!$A$3:$AJ$3511,9,0),"")</f>
        <v/>
      </c>
      <c r="K58" s="270" t="str">
        <f>IFERROR(VLOOKUP($F58,'VEH98 Data'!$A$3:$AJ$3511,10,0),"")</f>
        <v/>
      </c>
      <c r="L58" s="270" t="str">
        <f>IFERROR(VLOOKUP($F58,'VEH98 Data'!$A$3:$AJ$3511,11,0),"")</f>
        <v/>
      </c>
      <c r="M58" s="270" t="str">
        <f>IFERROR(VLOOKUP($F58,'VEH98 Data'!$A$3:$AJ$3511,20,0),"")</f>
        <v/>
      </c>
      <c r="N58" s="270" t="str">
        <f>IFERROR(VLOOKUP($F58,'VEH98 Data'!$A$3:$AJ$3511,21,0),"")</f>
        <v/>
      </c>
      <c r="O58" s="270" t="str">
        <f>IFERROR(VLOOKUP($F58,'VEH98 Data'!$A$3:$AJ$3511,12,0),"")</f>
        <v/>
      </c>
      <c r="P58" s="270" t="str">
        <f>IFERROR(VLOOKUP($F58,'VEH98 Data'!$A$3:$AJ$3511,18,0),"")</f>
        <v/>
      </c>
      <c r="Q58" s="270" t="str">
        <f>IFERROR(VLOOKUP($F58,'VEH98 Data'!$A$3:$AJ$3511,19,0),"")</f>
        <v/>
      </c>
      <c r="R58" s="270" t="str">
        <f>IFERROR(VLOOKUP($F58,'VEH98 Data'!$A$3:$AJ$3511,22,0),"")</f>
        <v/>
      </c>
      <c r="S58" s="270" t="str">
        <f>IFERROR(VLOOKUP($F58,'VEH98 Data'!$A$3:$AJ$3511,16,0),"")</f>
        <v/>
      </c>
      <c r="T58" s="272" t="str">
        <f>IFERROR(VLOOKUP($F58,'VEH98 Data'!$A$3:$AJ$3511,24,0),"")</f>
        <v/>
      </c>
      <c r="U58" s="270" t="str">
        <f>IFERROR(VLOOKUP($F58,'VEH98 Data'!$A$3:$AJ$3511,26,0),"")</f>
        <v/>
      </c>
      <c r="V58" s="270" t="str">
        <f>IFERROR(VLOOKUP($F58,'VEH98 Data'!$A$3:$AJ$3511,27,0),"")</f>
        <v/>
      </c>
      <c r="W58" s="273" t="str">
        <f>IFERROR(VLOOKUP($F58,'VEH98 Data'!$A$3:$AJ$3511,25,0),"")</f>
        <v/>
      </c>
      <c r="X58" s="270" t="str">
        <f>IFERROR(VLOOKUP($F58,'VEH98 Data'!$A$3:$AJ$3511,23,0),"")</f>
        <v/>
      </c>
      <c r="Y58" s="270" t="str">
        <f>IFERROR(VLOOKUP($F58,'VEH98 Data'!$A$3:$AJ$3511,3,0),"")</f>
        <v/>
      </c>
      <c r="Z58" s="274" t="str">
        <f>IFERROR(VLOOKUP($F58,'VEH98 Data'!$A$3:$AJ$3511,30,0),"")</f>
        <v/>
      </c>
      <c r="AA58" s="275"/>
      <c r="AB58" s="275"/>
      <c r="AC58" s="275"/>
      <c r="AD58" s="275"/>
      <c r="AE58" s="275"/>
      <c r="AF58" s="275"/>
      <c r="AG58" s="274" t="str">
        <f t="shared" si="8"/>
        <v/>
      </c>
      <c r="AH58" s="276" t="str">
        <f t="shared" si="9"/>
        <v/>
      </c>
      <c r="AI58" s="726"/>
      <c r="AJ58" s="726"/>
      <c r="AK58" s="726"/>
      <c r="AL58" s="147"/>
      <c r="AM58" s="147"/>
      <c r="AN58" s="147"/>
      <c r="AO58" s="147"/>
      <c r="AP58" s="147"/>
      <c r="AQ58" s="147"/>
      <c r="AR58" s="147"/>
      <c r="AS58" s="147"/>
      <c r="AT58" s="147"/>
      <c r="AU58" s="147"/>
      <c r="AV58" s="147"/>
      <c r="AW58" s="147"/>
      <c r="AX58" s="147"/>
      <c r="AY58" s="147"/>
      <c r="AZ58" s="147"/>
      <c r="BA58" s="147"/>
      <c r="BB58" s="147"/>
      <c r="BC58" s="147"/>
    </row>
    <row r="59" spans="1:55" s="589" customFormat="1" ht="15.95">
      <c r="A59" s="726"/>
      <c r="B59" s="605"/>
      <c r="C59" s="606"/>
      <c r="D59" s="606"/>
      <c r="E59" s="606"/>
      <c r="F59" s="604"/>
      <c r="G59" s="270" t="str">
        <f t="shared" si="5"/>
        <v/>
      </c>
      <c r="H59" s="270" t="str">
        <f>IFERROR(VLOOKUP($F59,'VEH98 Data'!$A$3:$AJ$3511,8,0),"")</f>
        <v/>
      </c>
      <c r="I59" s="270" t="str">
        <f>IFERROR(VLOOKUP($F59,'VEH98 Data'!$A$3:$AJ$3511,7,0),"")</f>
        <v/>
      </c>
      <c r="J59" s="270" t="str">
        <f>IFERROR(VLOOKUP($F59,'VEH98 Data'!$A$3:$AJ$3511,9,0),"")</f>
        <v/>
      </c>
      <c r="K59" s="270" t="str">
        <f>IFERROR(VLOOKUP($F59,'VEH98 Data'!$A$3:$AJ$3511,10,0),"")</f>
        <v/>
      </c>
      <c r="L59" s="270" t="str">
        <f>IFERROR(VLOOKUP($F59,'VEH98 Data'!$A$3:$AJ$3511,11,0),"")</f>
        <v/>
      </c>
      <c r="M59" s="270" t="str">
        <f>IFERROR(VLOOKUP($F59,'VEH98 Data'!$A$3:$AJ$3511,20,0),"")</f>
        <v/>
      </c>
      <c r="N59" s="270" t="str">
        <f>IFERROR(VLOOKUP($F59,'VEH98 Data'!$A$3:$AJ$3511,21,0),"")</f>
        <v/>
      </c>
      <c r="O59" s="270" t="str">
        <f>IFERROR(VLOOKUP($F59,'VEH98 Data'!$A$3:$AJ$3511,12,0),"")</f>
        <v/>
      </c>
      <c r="P59" s="270" t="str">
        <f>IFERROR(VLOOKUP($F59,'VEH98 Data'!$A$3:$AJ$3511,18,0),"")</f>
        <v/>
      </c>
      <c r="Q59" s="270" t="str">
        <f>IFERROR(VLOOKUP($F59,'VEH98 Data'!$A$3:$AJ$3511,19,0),"")</f>
        <v/>
      </c>
      <c r="R59" s="270" t="str">
        <f>IFERROR(VLOOKUP($F59,'VEH98 Data'!$A$3:$AJ$3511,22,0),"")</f>
        <v/>
      </c>
      <c r="S59" s="270" t="str">
        <f>IFERROR(VLOOKUP($F59,'VEH98 Data'!$A$3:$AJ$3511,16,0),"")</f>
        <v/>
      </c>
      <c r="T59" s="272" t="str">
        <f>IFERROR(VLOOKUP($F59,'VEH98 Data'!$A$3:$AJ$3511,24,0),"")</f>
        <v/>
      </c>
      <c r="U59" s="270" t="str">
        <f>IFERROR(VLOOKUP($F59,'VEH98 Data'!$A$3:$AJ$3511,26,0),"")</f>
        <v/>
      </c>
      <c r="V59" s="270" t="str">
        <f>IFERROR(VLOOKUP($F59,'VEH98 Data'!$A$3:$AJ$3511,27,0),"")</f>
        <v/>
      </c>
      <c r="W59" s="273" t="str">
        <f>IFERROR(VLOOKUP($F59,'VEH98 Data'!$A$3:$AJ$3511,25,0),"")</f>
        <v/>
      </c>
      <c r="X59" s="270" t="str">
        <f>IFERROR(VLOOKUP($F59,'VEH98 Data'!$A$3:$AJ$3511,23,0),"")</f>
        <v/>
      </c>
      <c r="Y59" s="270" t="str">
        <f>IFERROR(VLOOKUP($F59,'VEH98 Data'!$A$3:$AJ$3511,3,0),"")</f>
        <v/>
      </c>
      <c r="Z59" s="274" t="str">
        <f>IFERROR(VLOOKUP($F59,'VEH98 Data'!$A$3:$AJ$3511,30,0),"")</f>
        <v/>
      </c>
      <c r="AA59" s="252"/>
      <c r="AB59" s="252"/>
      <c r="AC59" s="252"/>
      <c r="AD59" s="275"/>
      <c r="AE59" s="252"/>
      <c r="AF59" s="275"/>
      <c r="AG59" s="274" t="str">
        <f t="shared" si="8"/>
        <v/>
      </c>
      <c r="AH59" s="276" t="str">
        <f t="shared" si="9"/>
        <v/>
      </c>
      <c r="AI59" s="726"/>
      <c r="AJ59" s="726"/>
      <c r="AK59" s="726"/>
      <c r="AL59" s="147"/>
      <c r="AM59" s="147"/>
      <c r="AN59" s="147"/>
      <c r="AO59" s="147"/>
      <c r="AP59" s="147"/>
      <c r="AQ59" s="147"/>
      <c r="AR59" s="147"/>
      <c r="AS59" s="147"/>
      <c r="AT59" s="147"/>
      <c r="AU59" s="147"/>
      <c r="AV59" s="147"/>
      <c r="AW59" s="147"/>
      <c r="AX59" s="147"/>
      <c r="AY59" s="147"/>
      <c r="AZ59" s="147"/>
      <c r="BA59" s="147"/>
      <c r="BB59" s="147"/>
      <c r="BC59" s="147"/>
    </row>
    <row r="60" spans="1:55" s="589" customFormat="1" ht="15.95">
      <c r="A60" s="726"/>
      <c r="B60" s="605"/>
      <c r="C60" s="606"/>
      <c r="D60" s="606"/>
      <c r="E60" s="606"/>
      <c r="F60" s="604"/>
      <c r="G60" s="270" t="str">
        <f t="shared" si="5"/>
        <v/>
      </c>
      <c r="H60" s="270" t="str">
        <f>IFERROR(VLOOKUP($F60,'VEH98 Data'!$A$3:$AJ$3511,8,0),"")</f>
        <v/>
      </c>
      <c r="I60" s="270" t="str">
        <f>IFERROR(VLOOKUP($F60,'VEH98 Data'!$A$3:$AJ$3511,7,0),"")</f>
        <v/>
      </c>
      <c r="J60" s="270" t="str">
        <f>IFERROR(VLOOKUP($F60,'VEH98 Data'!$A$3:$AJ$3511,9,0),"")</f>
        <v/>
      </c>
      <c r="K60" s="270" t="str">
        <f>IFERROR(VLOOKUP($F60,'VEH98 Data'!$A$3:$AJ$3511,10,0),"")</f>
        <v/>
      </c>
      <c r="L60" s="270" t="str">
        <f>IFERROR(VLOOKUP($F60,'VEH98 Data'!$A$3:$AJ$3511,11,0),"")</f>
        <v/>
      </c>
      <c r="M60" s="270" t="str">
        <f>IFERROR(VLOOKUP($F60,'VEH98 Data'!$A$3:$AJ$3511,20,0),"")</f>
        <v/>
      </c>
      <c r="N60" s="270" t="str">
        <f>IFERROR(VLOOKUP($F60,'VEH98 Data'!$A$3:$AJ$3511,21,0),"")</f>
        <v/>
      </c>
      <c r="O60" s="270" t="str">
        <f>IFERROR(VLOOKUP($F60,'VEH98 Data'!$A$3:$AJ$3511,12,0),"")</f>
        <v/>
      </c>
      <c r="P60" s="270" t="str">
        <f>IFERROR(VLOOKUP($F60,'VEH98 Data'!$A$3:$AJ$3511,18,0),"")</f>
        <v/>
      </c>
      <c r="Q60" s="270" t="str">
        <f>IFERROR(VLOOKUP($F60,'VEH98 Data'!$A$3:$AJ$3511,19,0),"")</f>
        <v/>
      </c>
      <c r="R60" s="270" t="str">
        <f>IFERROR(VLOOKUP($F60,'VEH98 Data'!$A$3:$AJ$3511,22,0),"")</f>
        <v/>
      </c>
      <c r="S60" s="270" t="str">
        <f>IFERROR(VLOOKUP($F60,'VEH98 Data'!$A$3:$AJ$3511,16,0),"")</f>
        <v/>
      </c>
      <c r="T60" s="272" t="str">
        <f>IFERROR(VLOOKUP($F60,'VEH98 Data'!$A$3:$AJ$3511,24,0),"")</f>
        <v/>
      </c>
      <c r="U60" s="270" t="str">
        <f>IFERROR(VLOOKUP($F60,'VEH98 Data'!$A$3:$AJ$3511,26,0),"")</f>
        <v/>
      </c>
      <c r="V60" s="270" t="str">
        <f>IFERROR(VLOOKUP($F60,'VEH98 Data'!$A$3:$AJ$3511,27,0),"")</f>
        <v/>
      </c>
      <c r="W60" s="273" t="str">
        <f>IFERROR(VLOOKUP($F60,'VEH98 Data'!$A$3:$AJ$3511,25,0),"")</f>
        <v/>
      </c>
      <c r="X60" s="270" t="str">
        <f>IFERROR(VLOOKUP($F60,'VEH98 Data'!$A$3:$AJ$3511,23,0),"")</f>
        <v/>
      </c>
      <c r="Y60" s="270" t="str">
        <f>IFERROR(VLOOKUP($F60,'VEH98 Data'!$A$3:$AJ$3511,3,0),"")</f>
        <v/>
      </c>
      <c r="Z60" s="274" t="str">
        <f>IFERROR(VLOOKUP($F60,'VEH98 Data'!$A$3:$AJ$3511,30,0),"")</f>
        <v/>
      </c>
      <c r="AA60" s="252"/>
      <c r="AB60" s="252"/>
      <c r="AC60" s="252"/>
      <c r="AD60" s="275"/>
      <c r="AE60" s="252"/>
      <c r="AF60" s="275"/>
      <c r="AG60" s="274" t="str">
        <f t="shared" si="8"/>
        <v/>
      </c>
      <c r="AH60" s="276" t="str">
        <f t="shared" si="9"/>
        <v/>
      </c>
      <c r="AI60" s="726"/>
      <c r="AJ60" s="726"/>
      <c r="AK60" s="726"/>
      <c r="AL60" s="147"/>
      <c r="AM60" s="147"/>
      <c r="AN60" s="147"/>
      <c r="AO60" s="147"/>
      <c r="AP60" s="147"/>
      <c r="AQ60" s="147"/>
      <c r="AR60" s="147"/>
      <c r="AS60" s="147"/>
      <c r="AT60" s="147"/>
      <c r="AU60" s="147"/>
      <c r="AV60" s="147"/>
      <c r="AW60" s="147"/>
      <c r="AX60" s="147"/>
      <c r="AY60" s="147"/>
      <c r="AZ60" s="147"/>
      <c r="BA60" s="147"/>
      <c r="BB60" s="147"/>
      <c r="BC60" s="147"/>
    </row>
    <row r="61" spans="1:55" s="589" customFormat="1" ht="15.95">
      <c r="A61" s="726"/>
      <c r="B61" s="605"/>
      <c r="C61" s="606"/>
      <c r="D61" s="606"/>
      <c r="E61" s="606"/>
      <c r="F61" s="604"/>
      <c r="G61" s="270" t="str">
        <f t="shared" si="5"/>
        <v/>
      </c>
      <c r="H61" s="270" t="str">
        <f>IFERROR(VLOOKUP($F61,'VEH98 Data'!$A$3:$AJ$3511,8,0),"")</f>
        <v/>
      </c>
      <c r="I61" s="270" t="str">
        <f>IFERROR(VLOOKUP($F61,'VEH98 Data'!$A$3:$AJ$3511,7,0),"")</f>
        <v/>
      </c>
      <c r="J61" s="270" t="str">
        <f>IFERROR(VLOOKUP($F61,'VEH98 Data'!$A$3:$AJ$3511,9,0),"")</f>
        <v/>
      </c>
      <c r="K61" s="270" t="str">
        <f>IFERROR(VLOOKUP($F61,'VEH98 Data'!$A$3:$AJ$3511,10,0),"")</f>
        <v/>
      </c>
      <c r="L61" s="270" t="str">
        <f>IFERROR(VLOOKUP($F61,'VEH98 Data'!$A$3:$AJ$3511,11,0),"")</f>
        <v/>
      </c>
      <c r="M61" s="270" t="str">
        <f>IFERROR(VLOOKUP($F61,'VEH98 Data'!$A$3:$AJ$3511,20,0),"")</f>
        <v/>
      </c>
      <c r="N61" s="270" t="str">
        <f>IFERROR(VLOOKUP($F61,'VEH98 Data'!$A$3:$AJ$3511,21,0),"")</f>
        <v/>
      </c>
      <c r="O61" s="270" t="str">
        <f>IFERROR(VLOOKUP($F61,'VEH98 Data'!$A$3:$AJ$3511,12,0),"")</f>
        <v/>
      </c>
      <c r="P61" s="270" t="str">
        <f>IFERROR(VLOOKUP($F61,'VEH98 Data'!$A$3:$AJ$3511,18,0),"")</f>
        <v/>
      </c>
      <c r="Q61" s="270" t="str">
        <f>IFERROR(VLOOKUP($F61,'VEH98 Data'!$A$3:$AJ$3511,19,0),"")</f>
        <v/>
      </c>
      <c r="R61" s="270" t="str">
        <f>IFERROR(VLOOKUP($F61,'VEH98 Data'!$A$3:$AJ$3511,22,0),"")</f>
        <v/>
      </c>
      <c r="S61" s="270" t="str">
        <f>IFERROR(VLOOKUP($F61,'VEH98 Data'!$A$3:$AJ$3511,16,0),"")</f>
        <v/>
      </c>
      <c r="T61" s="272" t="str">
        <f>IFERROR(VLOOKUP($F61,'VEH98 Data'!$A$3:$AJ$3511,24,0),"")</f>
        <v/>
      </c>
      <c r="U61" s="270" t="str">
        <f>IFERROR(VLOOKUP($F61,'VEH98 Data'!$A$3:$AJ$3511,26,0),"")</f>
        <v/>
      </c>
      <c r="V61" s="270" t="str">
        <f>IFERROR(VLOOKUP($F61,'VEH98 Data'!$A$3:$AJ$3511,27,0),"")</f>
        <v/>
      </c>
      <c r="W61" s="273" t="str">
        <f>IFERROR(VLOOKUP($F61,'VEH98 Data'!$A$3:$AJ$3511,25,0),"")</f>
        <v/>
      </c>
      <c r="X61" s="270" t="str">
        <f>IFERROR(VLOOKUP($F61,'VEH98 Data'!$A$3:$AJ$3511,23,0),"")</f>
        <v/>
      </c>
      <c r="Y61" s="270" t="str">
        <f>IFERROR(VLOOKUP($F61,'VEH98 Data'!$A$3:$AJ$3511,3,0),"")</f>
        <v/>
      </c>
      <c r="Z61" s="274" t="str">
        <f>IFERROR(VLOOKUP($F61,'VEH98 Data'!$A$3:$AJ$3511,30,0),"")</f>
        <v/>
      </c>
      <c r="AA61" s="252"/>
      <c r="AB61" s="252"/>
      <c r="AC61" s="252"/>
      <c r="AD61" s="275"/>
      <c r="AE61" s="252"/>
      <c r="AF61" s="275"/>
      <c r="AG61" s="274" t="str">
        <f t="shared" si="8"/>
        <v/>
      </c>
      <c r="AH61" s="276" t="str">
        <f t="shared" si="9"/>
        <v/>
      </c>
      <c r="AI61" s="726"/>
      <c r="AJ61" s="726"/>
      <c r="AK61" s="726"/>
      <c r="AL61" s="147"/>
      <c r="AM61" s="147"/>
      <c r="AN61" s="147"/>
      <c r="AO61" s="147"/>
      <c r="AP61" s="147"/>
      <c r="AQ61" s="147"/>
      <c r="AR61" s="147"/>
      <c r="AS61" s="147"/>
      <c r="AT61" s="147"/>
      <c r="AU61" s="147"/>
      <c r="AV61" s="147"/>
      <c r="AW61" s="147"/>
      <c r="AX61" s="147"/>
      <c r="AY61" s="147"/>
      <c r="AZ61" s="147"/>
      <c r="BA61" s="147"/>
      <c r="BB61" s="147"/>
      <c r="BC61" s="147"/>
    </row>
    <row r="62" spans="1:55" s="589" customFormat="1" ht="15.95">
      <c r="A62" s="726"/>
      <c r="B62" s="605"/>
      <c r="C62" s="606"/>
      <c r="D62" s="606"/>
      <c r="E62" s="606"/>
      <c r="F62" s="604"/>
      <c r="G62" s="270" t="str">
        <f t="shared" si="5"/>
        <v/>
      </c>
      <c r="H62" s="270" t="str">
        <f>IFERROR(VLOOKUP($F62,'VEH98 Data'!$A$3:$AJ$3511,8,0),"")</f>
        <v/>
      </c>
      <c r="I62" s="270" t="str">
        <f>IFERROR(VLOOKUP($F62,'VEH98 Data'!$A$3:$AJ$3511,7,0),"")</f>
        <v/>
      </c>
      <c r="J62" s="270" t="str">
        <f>IFERROR(VLOOKUP($F62,'VEH98 Data'!$A$3:$AJ$3511,9,0),"")</f>
        <v/>
      </c>
      <c r="K62" s="270" t="str">
        <f>IFERROR(VLOOKUP($F62,'VEH98 Data'!$A$3:$AJ$3511,10,0),"")</f>
        <v/>
      </c>
      <c r="L62" s="270" t="str">
        <f>IFERROR(VLOOKUP($F62,'VEH98 Data'!$A$3:$AJ$3511,11,0),"")</f>
        <v/>
      </c>
      <c r="M62" s="270" t="str">
        <f>IFERROR(VLOOKUP($F62,'VEH98 Data'!$A$3:$AJ$3511,20,0),"")</f>
        <v/>
      </c>
      <c r="N62" s="270" t="str">
        <f>IFERROR(VLOOKUP($F62,'VEH98 Data'!$A$3:$AJ$3511,21,0),"")</f>
        <v/>
      </c>
      <c r="O62" s="270" t="str">
        <f>IFERROR(VLOOKUP($F62,'VEH98 Data'!$A$3:$AJ$3511,12,0),"")</f>
        <v/>
      </c>
      <c r="P62" s="270" t="str">
        <f>IFERROR(VLOOKUP($F62,'VEH98 Data'!$A$3:$AJ$3511,18,0),"")</f>
        <v/>
      </c>
      <c r="Q62" s="270" t="str">
        <f>IFERROR(VLOOKUP($F62,'VEH98 Data'!$A$3:$AJ$3511,19,0),"")</f>
        <v/>
      </c>
      <c r="R62" s="270" t="str">
        <f>IFERROR(VLOOKUP($F62,'VEH98 Data'!$A$3:$AJ$3511,22,0),"")</f>
        <v/>
      </c>
      <c r="S62" s="270" t="str">
        <f>IFERROR(VLOOKUP($F62,'VEH98 Data'!$A$3:$AJ$3511,16,0),"")</f>
        <v/>
      </c>
      <c r="T62" s="272" t="str">
        <f>IFERROR(VLOOKUP($F62,'VEH98 Data'!$A$3:$AJ$3511,24,0),"")</f>
        <v/>
      </c>
      <c r="U62" s="270" t="str">
        <f>IFERROR(VLOOKUP($F62,'VEH98 Data'!$A$3:$AJ$3511,26,0),"")</f>
        <v/>
      </c>
      <c r="V62" s="270" t="str">
        <f>IFERROR(VLOOKUP($F62,'VEH98 Data'!$A$3:$AJ$3511,27,0),"")</f>
        <v/>
      </c>
      <c r="W62" s="273" t="str">
        <f>IFERROR(VLOOKUP($F62,'VEH98 Data'!$A$3:$AJ$3511,25,0),"")</f>
        <v/>
      </c>
      <c r="X62" s="270" t="str">
        <f>IFERROR(VLOOKUP($F62,'VEH98 Data'!$A$3:$AJ$3511,23,0),"")</f>
        <v/>
      </c>
      <c r="Y62" s="270" t="str">
        <f>IFERROR(VLOOKUP($F62,'VEH98 Data'!$A$3:$AJ$3511,3,0),"")</f>
        <v/>
      </c>
      <c r="Z62" s="274" t="str">
        <f>IFERROR(VLOOKUP($F62,'VEH98 Data'!$A$3:$AJ$3511,30,0),"")</f>
        <v/>
      </c>
      <c r="AA62" s="252"/>
      <c r="AB62" s="252"/>
      <c r="AC62" s="252"/>
      <c r="AD62" s="275"/>
      <c r="AE62" s="252"/>
      <c r="AF62" s="275"/>
      <c r="AG62" s="274" t="str">
        <f t="shared" si="8"/>
        <v/>
      </c>
      <c r="AH62" s="276" t="str">
        <f t="shared" si="9"/>
        <v/>
      </c>
      <c r="AI62" s="726"/>
      <c r="AJ62" s="726"/>
      <c r="AK62" s="726"/>
      <c r="AL62" s="147"/>
      <c r="AM62" s="147"/>
      <c r="AN62" s="147"/>
      <c r="AO62" s="147"/>
      <c r="AP62" s="147"/>
      <c r="AQ62" s="147"/>
      <c r="AR62" s="147"/>
      <c r="AS62" s="147"/>
      <c r="AT62" s="147"/>
      <c r="AU62" s="147"/>
      <c r="AV62" s="147"/>
      <c r="AW62" s="147"/>
      <c r="AX62" s="147"/>
      <c r="AY62" s="147"/>
      <c r="AZ62" s="147"/>
      <c r="BA62" s="147"/>
      <c r="BB62" s="147"/>
      <c r="BC62" s="147"/>
    </row>
    <row r="63" spans="1:55" s="589" customFormat="1" ht="15.95">
      <c r="A63" s="726"/>
      <c r="B63" s="605"/>
      <c r="C63" s="606"/>
      <c r="D63" s="606"/>
      <c r="E63" s="606"/>
      <c r="F63" s="604"/>
      <c r="G63" s="270" t="str">
        <f t="shared" si="5"/>
        <v/>
      </c>
      <c r="H63" s="270" t="str">
        <f>IFERROR(VLOOKUP($F63,'VEH98 Data'!$A$3:$AJ$3511,8,0),"")</f>
        <v/>
      </c>
      <c r="I63" s="270" t="str">
        <f>IFERROR(VLOOKUP($F63,'VEH98 Data'!$A$3:$AJ$3511,7,0),"")</f>
        <v/>
      </c>
      <c r="J63" s="270" t="str">
        <f>IFERROR(VLOOKUP($F63,'VEH98 Data'!$A$3:$AJ$3511,9,0),"")</f>
        <v/>
      </c>
      <c r="K63" s="270" t="str">
        <f>IFERROR(VLOOKUP($F63,'VEH98 Data'!$A$3:$AJ$3511,10,0),"")</f>
        <v/>
      </c>
      <c r="L63" s="270" t="str">
        <f>IFERROR(VLOOKUP($F63,'VEH98 Data'!$A$3:$AJ$3511,11,0),"")</f>
        <v/>
      </c>
      <c r="M63" s="270" t="str">
        <f>IFERROR(VLOOKUP($F63,'VEH98 Data'!$A$3:$AJ$3511,20,0),"")</f>
        <v/>
      </c>
      <c r="N63" s="270" t="str">
        <f>IFERROR(VLOOKUP($F63,'VEH98 Data'!$A$3:$AJ$3511,21,0),"")</f>
        <v/>
      </c>
      <c r="O63" s="270" t="str">
        <f>IFERROR(VLOOKUP($F63,'VEH98 Data'!$A$3:$AJ$3511,12,0),"")</f>
        <v/>
      </c>
      <c r="P63" s="270" t="str">
        <f>IFERROR(VLOOKUP($F63,'VEH98 Data'!$A$3:$AJ$3511,18,0),"")</f>
        <v/>
      </c>
      <c r="Q63" s="270" t="str">
        <f>IFERROR(VLOOKUP($F63,'VEH98 Data'!$A$3:$AJ$3511,19,0),"")</f>
        <v/>
      </c>
      <c r="R63" s="270" t="str">
        <f>IFERROR(VLOOKUP($F63,'VEH98 Data'!$A$3:$AJ$3511,22,0),"")</f>
        <v/>
      </c>
      <c r="S63" s="270" t="str">
        <f>IFERROR(VLOOKUP($F63,'VEH98 Data'!$A$3:$AJ$3511,16,0),"")</f>
        <v/>
      </c>
      <c r="T63" s="272" t="str">
        <f>IFERROR(VLOOKUP($F63,'VEH98 Data'!$A$3:$AJ$3511,24,0),"")</f>
        <v/>
      </c>
      <c r="U63" s="270" t="str">
        <f>IFERROR(VLOOKUP($F63,'VEH98 Data'!$A$3:$AJ$3511,26,0),"")</f>
        <v/>
      </c>
      <c r="V63" s="270" t="str">
        <f>IFERROR(VLOOKUP($F63,'VEH98 Data'!$A$3:$AJ$3511,27,0),"")</f>
        <v/>
      </c>
      <c r="W63" s="273" t="str">
        <f>IFERROR(VLOOKUP($F63,'VEH98 Data'!$A$3:$AJ$3511,25,0),"")</f>
        <v/>
      </c>
      <c r="X63" s="270" t="str">
        <f>IFERROR(VLOOKUP($F63,'VEH98 Data'!$A$3:$AJ$3511,23,0),"")</f>
        <v/>
      </c>
      <c r="Y63" s="270" t="str">
        <f>IFERROR(VLOOKUP($F63,'VEH98 Data'!$A$3:$AJ$3511,3,0),"")</f>
        <v/>
      </c>
      <c r="Z63" s="274" t="str">
        <f>IFERROR(VLOOKUP($F63,'VEH98 Data'!$A$3:$AJ$3511,30,0),"")</f>
        <v/>
      </c>
      <c r="AA63" s="252"/>
      <c r="AB63" s="252"/>
      <c r="AC63" s="252"/>
      <c r="AD63" s="275"/>
      <c r="AE63" s="252"/>
      <c r="AF63" s="275"/>
      <c r="AG63" s="274" t="str">
        <f t="shared" si="8"/>
        <v/>
      </c>
      <c r="AH63" s="276" t="str">
        <f t="shared" si="9"/>
        <v/>
      </c>
      <c r="AI63" s="726"/>
      <c r="AJ63" s="726"/>
      <c r="AK63" s="726"/>
      <c r="AL63" s="147"/>
      <c r="AM63" s="147"/>
      <c r="AN63" s="147"/>
      <c r="AO63" s="147"/>
      <c r="AP63" s="147"/>
      <c r="AQ63" s="147"/>
      <c r="AR63" s="147"/>
      <c r="AS63" s="147"/>
      <c r="AT63" s="147"/>
      <c r="AU63" s="147"/>
      <c r="AV63" s="147"/>
      <c r="AW63" s="147"/>
      <c r="AX63" s="147"/>
      <c r="AY63" s="147"/>
      <c r="AZ63" s="147"/>
      <c r="BA63" s="147"/>
      <c r="BB63" s="147"/>
      <c r="BC63" s="147"/>
    </row>
    <row r="64" spans="1:55" s="589" customFormat="1" ht="15.95">
      <c r="A64" s="726"/>
      <c r="B64" s="605"/>
      <c r="C64" s="606"/>
      <c r="D64" s="606"/>
      <c r="E64" s="606"/>
      <c r="F64" s="604"/>
      <c r="G64" s="270" t="str">
        <f t="shared" si="5"/>
        <v/>
      </c>
      <c r="H64" s="270" t="str">
        <f>IFERROR(VLOOKUP($F64,'VEH98 Data'!$A$3:$AJ$3511,8,0),"")</f>
        <v/>
      </c>
      <c r="I64" s="270" t="str">
        <f>IFERROR(VLOOKUP($F64,'VEH98 Data'!$A$3:$AJ$3511,7,0),"")</f>
        <v/>
      </c>
      <c r="J64" s="270" t="str">
        <f>IFERROR(VLOOKUP($F64,'VEH98 Data'!$A$3:$AJ$3511,9,0),"")</f>
        <v/>
      </c>
      <c r="K64" s="270" t="str">
        <f>IFERROR(VLOOKUP($F64,'VEH98 Data'!$A$3:$AJ$3511,10,0),"")</f>
        <v/>
      </c>
      <c r="L64" s="270" t="str">
        <f>IFERROR(VLOOKUP($F64,'VEH98 Data'!$A$3:$AJ$3511,11,0),"")</f>
        <v/>
      </c>
      <c r="M64" s="270" t="str">
        <f>IFERROR(VLOOKUP($F64,'VEH98 Data'!$A$3:$AJ$3511,20,0),"")</f>
        <v/>
      </c>
      <c r="N64" s="270" t="str">
        <f>IFERROR(VLOOKUP($F64,'VEH98 Data'!$A$3:$AJ$3511,21,0),"")</f>
        <v/>
      </c>
      <c r="O64" s="270" t="str">
        <f>IFERROR(VLOOKUP($F64,'VEH98 Data'!$A$3:$AJ$3511,12,0),"")</f>
        <v/>
      </c>
      <c r="P64" s="270" t="str">
        <f>IFERROR(VLOOKUP($F64,'VEH98 Data'!$A$3:$AJ$3511,18,0),"")</f>
        <v/>
      </c>
      <c r="Q64" s="270" t="str">
        <f>IFERROR(VLOOKUP($F64,'VEH98 Data'!$A$3:$AJ$3511,19,0),"")</f>
        <v/>
      </c>
      <c r="R64" s="270" t="str">
        <f>IFERROR(VLOOKUP($F64,'VEH98 Data'!$A$3:$AJ$3511,22,0),"")</f>
        <v/>
      </c>
      <c r="S64" s="270" t="str">
        <f>IFERROR(VLOOKUP($F64,'VEH98 Data'!$A$3:$AJ$3511,16,0),"")</f>
        <v/>
      </c>
      <c r="T64" s="272" t="str">
        <f>IFERROR(VLOOKUP($F64,'VEH98 Data'!$A$3:$AJ$3511,24,0),"")</f>
        <v/>
      </c>
      <c r="U64" s="270" t="str">
        <f>IFERROR(VLOOKUP($F64,'VEH98 Data'!$A$3:$AJ$3511,26,0),"")</f>
        <v/>
      </c>
      <c r="V64" s="270" t="str">
        <f>IFERROR(VLOOKUP($F64,'VEH98 Data'!$A$3:$AJ$3511,27,0),"")</f>
        <v/>
      </c>
      <c r="W64" s="273" t="str">
        <f>IFERROR(VLOOKUP($F64,'VEH98 Data'!$A$3:$AJ$3511,25,0),"")</f>
        <v/>
      </c>
      <c r="X64" s="270" t="str">
        <f>IFERROR(VLOOKUP($F64,'VEH98 Data'!$A$3:$AJ$3511,23,0),"")</f>
        <v/>
      </c>
      <c r="Y64" s="270" t="str">
        <f>IFERROR(VLOOKUP($F64,'VEH98 Data'!$A$3:$AJ$3511,3,0),"")</f>
        <v/>
      </c>
      <c r="Z64" s="274" t="str">
        <f>IFERROR(VLOOKUP($F64,'VEH98 Data'!$A$3:$AJ$3511,30,0),"")</f>
        <v/>
      </c>
      <c r="AA64" s="252"/>
      <c r="AB64" s="252"/>
      <c r="AC64" s="252"/>
      <c r="AD64" s="275"/>
      <c r="AE64" s="252"/>
      <c r="AF64" s="275"/>
      <c r="AG64" s="274" t="str">
        <f t="shared" si="8"/>
        <v/>
      </c>
      <c r="AH64" s="276" t="str">
        <f t="shared" si="9"/>
        <v/>
      </c>
      <c r="AI64" s="726"/>
      <c r="AJ64" s="726"/>
      <c r="AK64" s="726"/>
      <c r="AL64" s="147"/>
      <c r="AM64" s="147"/>
      <c r="AN64" s="147"/>
      <c r="AO64" s="147"/>
      <c r="AP64" s="147"/>
      <c r="AQ64" s="147"/>
      <c r="AR64" s="147"/>
      <c r="AS64" s="147"/>
      <c r="AT64" s="147"/>
      <c r="AU64" s="147"/>
      <c r="AV64" s="147"/>
      <c r="AW64" s="147"/>
      <c r="AX64" s="147"/>
      <c r="AY64" s="147"/>
      <c r="AZ64" s="147"/>
      <c r="BA64" s="147"/>
      <c r="BB64" s="147"/>
      <c r="BC64" s="147"/>
    </row>
    <row r="65" spans="1:55" s="589" customFormat="1" ht="15.95">
      <c r="A65" s="726"/>
      <c r="B65" s="605"/>
      <c r="C65" s="606"/>
      <c r="D65" s="606"/>
      <c r="E65" s="606"/>
      <c r="F65" s="604"/>
      <c r="G65" s="270" t="str">
        <f t="shared" si="5"/>
        <v/>
      </c>
      <c r="H65" s="270" t="str">
        <f>IFERROR(VLOOKUP($F65,'VEH98 Data'!$A$3:$AJ$3511,8,0),"")</f>
        <v/>
      </c>
      <c r="I65" s="270" t="str">
        <f>IFERROR(VLOOKUP($F65,'VEH98 Data'!$A$3:$AJ$3511,7,0),"")</f>
        <v/>
      </c>
      <c r="J65" s="270" t="str">
        <f>IFERROR(VLOOKUP($F65,'VEH98 Data'!$A$3:$AJ$3511,9,0),"")</f>
        <v/>
      </c>
      <c r="K65" s="270" t="str">
        <f>IFERROR(VLOOKUP($F65,'VEH98 Data'!$A$3:$AJ$3511,10,0),"")</f>
        <v/>
      </c>
      <c r="L65" s="270" t="str">
        <f>IFERROR(VLOOKUP($F65,'VEH98 Data'!$A$3:$AJ$3511,11,0),"")</f>
        <v/>
      </c>
      <c r="M65" s="270" t="str">
        <f>IFERROR(VLOOKUP($F65,'VEH98 Data'!$A$3:$AJ$3511,20,0),"")</f>
        <v/>
      </c>
      <c r="N65" s="270" t="str">
        <f>IFERROR(VLOOKUP($F65,'VEH98 Data'!$A$3:$AJ$3511,21,0),"")</f>
        <v/>
      </c>
      <c r="O65" s="270" t="str">
        <f>IFERROR(VLOOKUP($F65,'VEH98 Data'!$A$3:$AJ$3511,12,0),"")</f>
        <v/>
      </c>
      <c r="P65" s="270" t="str">
        <f>IFERROR(VLOOKUP($F65,'VEH98 Data'!$A$3:$AJ$3511,18,0),"")</f>
        <v/>
      </c>
      <c r="Q65" s="270" t="str">
        <f>IFERROR(VLOOKUP($F65,'VEH98 Data'!$A$3:$AJ$3511,19,0),"")</f>
        <v/>
      </c>
      <c r="R65" s="270" t="str">
        <f>IFERROR(VLOOKUP($F65,'VEH98 Data'!$A$3:$AJ$3511,22,0),"")</f>
        <v/>
      </c>
      <c r="S65" s="270" t="str">
        <f>IFERROR(VLOOKUP($F65,'VEH98 Data'!$A$3:$AJ$3511,16,0),"")</f>
        <v/>
      </c>
      <c r="T65" s="272" t="str">
        <f>IFERROR(VLOOKUP($F65,'VEH98 Data'!$A$3:$AJ$3511,24,0),"")</f>
        <v/>
      </c>
      <c r="U65" s="270" t="str">
        <f>IFERROR(VLOOKUP($F65,'VEH98 Data'!$A$3:$AJ$3511,26,0),"")</f>
        <v/>
      </c>
      <c r="V65" s="270" t="str">
        <f>IFERROR(VLOOKUP($F65,'VEH98 Data'!$A$3:$AJ$3511,27,0),"")</f>
        <v/>
      </c>
      <c r="W65" s="273" t="str">
        <f>IFERROR(VLOOKUP($F65,'VEH98 Data'!$A$3:$AJ$3511,25,0),"")</f>
        <v/>
      </c>
      <c r="X65" s="270" t="str">
        <f>IFERROR(VLOOKUP($F65,'VEH98 Data'!$A$3:$AJ$3511,23,0),"")</f>
        <v/>
      </c>
      <c r="Y65" s="270" t="str">
        <f>IFERROR(VLOOKUP($F65,'VEH98 Data'!$A$3:$AJ$3511,3,0),"")</f>
        <v/>
      </c>
      <c r="Z65" s="274" t="str">
        <f>IFERROR(VLOOKUP($F65,'VEH98 Data'!$A$3:$AJ$3511,30,0),"")</f>
        <v/>
      </c>
      <c r="AA65" s="252"/>
      <c r="AB65" s="252"/>
      <c r="AC65" s="252"/>
      <c r="AD65" s="275"/>
      <c r="AE65" s="252"/>
      <c r="AF65" s="275"/>
      <c r="AG65" s="274" t="str">
        <f t="shared" si="8"/>
        <v/>
      </c>
      <c r="AH65" s="276" t="str">
        <f t="shared" si="9"/>
        <v/>
      </c>
      <c r="AI65" s="726"/>
      <c r="AJ65" s="726"/>
      <c r="AK65" s="726"/>
      <c r="AL65" s="147"/>
      <c r="AM65" s="147"/>
      <c r="AN65" s="147"/>
      <c r="AO65" s="147"/>
      <c r="AP65" s="147"/>
      <c r="AQ65" s="147"/>
      <c r="AR65" s="147"/>
      <c r="AS65" s="147"/>
      <c r="AT65" s="147"/>
      <c r="AU65" s="147"/>
      <c r="AV65" s="147"/>
      <c r="AW65" s="147"/>
      <c r="AX65" s="147"/>
      <c r="AY65" s="147"/>
      <c r="AZ65" s="147"/>
      <c r="BA65" s="147"/>
      <c r="BB65" s="147"/>
      <c r="BC65" s="147"/>
    </row>
    <row r="66" spans="1:55" s="589" customFormat="1" ht="15.95">
      <c r="A66" s="726"/>
      <c r="B66" s="605"/>
      <c r="C66" s="606"/>
      <c r="D66" s="606"/>
      <c r="E66" s="606"/>
      <c r="F66" s="604"/>
      <c r="G66" s="270" t="str">
        <f t="shared" si="5"/>
        <v/>
      </c>
      <c r="H66" s="270" t="str">
        <f>IFERROR(VLOOKUP($F66,'VEH98 Data'!$A$3:$AJ$3511,8,0),"")</f>
        <v/>
      </c>
      <c r="I66" s="270" t="str">
        <f>IFERROR(VLOOKUP($F66,'VEH98 Data'!$A$3:$AJ$3511,7,0),"")</f>
        <v/>
      </c>
      <c r="J66" s="270" t="str">
        <f>IFERROR(VLOOKUP($F66,'VEH98 Data'!$A$3:$AJ$3511,9,0),"")</f>
        <v/>
      </c>
      <c r="K66" s="270" t="str">
        <f>IFERROR(VLOOKUP($F66,'VEH98 Data'!$A$3:$AJ$3511,10,0),"")</f>
        <v/>
      </c>
      <c r="L66" s="270" t="str">
        <f>IFERROR(VLOOKUP($F66,'VEH98 Data'!$A$3:$AJ$3511,11,0),"")</f>
        <v/>
      </c>
      <c r="M66" s="270" t="str">
        <f>IFERROR(VLOOKUP($F66,'VEH98 Data'!$A$3:$AJ$3511,20,0),"")</f>
        <v/>
      </c>
      <c r="N66" s="270" t="str">
        <f>IFERROR(VLOOKUP($F66,'VEH98 Data'!$A$3:$AJ$3511,21,0),"")</f>
        <v/>
      </c>
      <c r="O66" s="270" t="str">
        <f>IFERROR(VLOOKUP($F66,'VEH98 Data'!$A$3:$AJ$3511,12,0),"")</f>
        <v/>
      </c>
      <c r="P66" s="270" t="str">
        <f>IFERROR(VLOOKUP($F66,'VEH98 Data'!$A$3:$AJ$3511,18,0),"")</f>
        <v/>
      </c>
      <c r="Q66" s="270" t="str">
        <f>IFERROR(VLOOKUP($F66,'VEH98 Data'!$A$3:$AJ$3511,19,0),"")</f>
        <v/>
      </c>
      <c r="R66" s="270" t="str">
        <f>IFERROR(VLOOKUP($F66,'VEH98 Data'!$A$3:$AJ$3511,22,0),"")</f>
        <v/>
      </c>
      <c r="S66" s="270" t="str">
        <f>IFERROR(VLOOKUP($F66,'VEH98 Data'!$A$3:$AJ$3511,16,0),"")</f>
        <v/>
      </c>
      <c r="T66" s="272" t="str">
        <f>IFERROR(VLOOKUP($F66,'VEH98 Data'!$A$3:$AJ$3511,24,0),"")</f>
        <v/>
      </c>
      <c r="U66" s="270" t="str">
        <f>IFERROR(VLOOKUP($F66,'VEH98 Data'!$A$3:$AJ$3511,26,0),"")</f>
        <v/>
      </c>
      <c r="V66" s="270" t="str">
        <f>IFERROR(VLOOKUP($F66,'VEH98 Data'!$A$3:$AJ$3511,27,0),"")</f>
        <v/>
      </c>
      <c r="W66" s="273" t="str">
        <f>IFERROR(VLOOKUP($F66,'VEH98 Data'!$A$3:$AJ$3511,25,0),"")</f>
        <v/>
      </c>
      <c r="X66" s="270" t="str">
        <f>IFERROR(VLOOKUP($F66,'VEH98 Data'!$A$3:$AJ$3511,23,0),"")</f>
        <v/>
      </c>
      <c r="Y66" s="270" t="str">
        <f>IFERROR(VLOOKUP($F66,'VEH98 Data'!$A$3:$AJ$3511,3,0),"")</f>
        <v/>
      </c>
      <c r="Z66" s="274" t="str">
        <f>IFERROR(VLOOKUP($F66,'VEH98 Data'!$A$3:$AJ$3511,30,0),"")</f>
        <v/>
      </c>
      <c r="AA66" s="252"/>
      <c r="AB66" s="252"/>
      <c r="AC66" s="252"/>
      <c r="AD66" s="275"/>
      <c r="AE66" s="252"/>
      <c r="AF66" s="275"/>
      <c r="AG66" s="274" t="str">
        <f t="shared" si="8"/>
        <v/>
      </c>
      <c r="AH66" s="276" t="str">
        <f t="shared" si="9"/>
        <v/>
      </c>
      <c r="AI66" s="726"/>
      <c r="AJ66" s="726"/>
      <c r="AK66" s="726"/>
      <c r="AL66" s="147"/>
      <c r="AM66" s="147"/>
      <c r="AN66" s="147"/>
      <c r="AO66" s="147"/>
      <c r="AP66" s="147"/>
      <c r="AQ66" s="147"/>
      <c r="AR66" s="147"/>
      <c r="AS66" s="147"/>
      <c r="AT66" s="147"/>
      <c r="AU66" s="147"/>
      <c r="AV66" s="147"/>
      <c r="AW66" s="147"/>
      <c r="AX66" s="147"/>
      <c r="AY66" s="147"/>
      <c r="AZ66" s="147"/>
      <c r="BA66" s="147"/>
      <c r="BB66" s="147"/>
      <c r="BC66" s="147"/>
    </row>
    <row r="67" spans="1:55" s="589" customFormat="1" ht="15.95">
      <c r="A67" s="726"/>
      <c r="B67" s="605"/>
      <c r="C67" s="606"/>
      <c r="D67" s="606"/>
      <c r="E67" s="606"/>
      <c r="F67" s="604"/>
      <c r="G67" s="270" t="str">
        <f t="shared" si="5"/>
        <v/>
      </c>
      <c r="H67" s="270" t="str">
        <f>IFERROR(VLOOKUP($F67,'VEH98 Data'!$A$3:$AJ$3511,8,0),"")</f>
        <v/>
      </c>
      <c r="I67" s="270" t="str">
        <f>IFERROR(VLOOKUP($F67,'VEH98 Data'!$A$3:$AJ$3511,7,0),"")</f>
        <v/>
      </c>
      <c r="J67" s="270" t="str">
        <f>IFERROR(VLOOKUP($F67,'VEH98 Data'!$A$3:$AJ$3511,9,0),"")</f>
        <v/>
      </c>
      <c r="K67" s="270" t="str">
        <f>IFERROR(VLOOKUP($F67,'VEH98 Data'!$A$3:$AJ$3511,10,0),"")</f>
        <v/>
      </c>
      <c r="L67" s="270" t="str">
        <f>IFERROR(VLOOKUP($F67,'VEH98 Data'!$A$3:$AJ$3511,11,0),"")</f>
        <v/>
      </c>
      <c r="M67" s="270" t="str">
        <f>IFERROR(VLOOKUP($F67,'VEH98 Data'!$A$3:$AJ$3511,20,0),"")</f>
        <v/>
      </c>
      <c r="N67" s="270" t="str">
        <f>IFERROR(VLOOKUP($F67,'VEH98 Data'!$A$3:$AJ$3511,21,0),"")</f>
        <v/>
      </c>
      <c r="O67" s="270" t="str">
        <f>IFERROR(VLOOKUP($F67,'VEH98 Data'!$A$3:$AJ$3511,12,0),"")</f>
        <v/>
      </c>
      <c r="P67" s="270" t="str">
        <f>IFERROR(VLOOKUP($F67,'VEH98 Data'!$A$3:$AJ$3511,18,0),"")</f>
        <v/>
      </c>
      <c r="Q67" s="270" t="str">
        <f>IFERROR(VLOOKUP($F67,'VEH98 Data'!$A$3:$AJ$3511,19,0),"")</f>
        <v/>
      </c>
      <c r="R67" s="270" t="str">
        <f>IFERROR(VLOOKUP($F67,'VEH98 Data'!$A$3:$AJ$3511,22,0),"")</f>
        <v/>
      </c>
      <c r="S67" s="270" t="str">
        <f>IFERROR(VLOOKUP($F67,'VEH98 Data'!$A$3:$AJ$3511,16,0),"")</f>
        <v/>
      </c>
      <c r="T67" s="272" t="str">
        <f>IFERROR(VLOOKUP($F67,'VEH98 Data'!$A$3:$AJ$3511,24,0),"")</f>
        <v/>
      </c>
      <c r="U67" s="270" t="str">
        <f>IFERROR(VLOOKUP($F67,'VEH98 Data'!$A$3:$AJ$3511,26,0),"")</f>
        <v/>
      </c>
      <c r="V67" s="270" t="str">
        <f>IFERROR(VLOOKUP($F67,'VEH98 Data'!$A$3:$AJ$3511,27,0),"")</f>
        <v/>
      </c>
      <c r="W67" s="273" t="str">
        <f>IFERROR(VLOOKUP($F67,'VEH98 Data'!$A$3:$AJ$3511,25,0),"")</f>
        <v/>
      </c>
      <c r="X67" s="270" t="str">
        <f>IFERROR(VLOOKUP($F67,'VEH98 Data'!$A$3:$AJ$3511,23,0),"")</f>
        <v/>
      </c>
      <c r="Y67" s="270" t="str">
        <f>IFERROR(VLOOKUP($F67,'VEH98 Data'!$A$3:$AJ$3511,3,0),"")</f>
        <v/>
      </c>
      <c r="Z67" s="274" t="str">
        <f>IFERROR(VLOOKUP($F67,'VEH98 Data'!$A$3:$AJ$3511,30,0),"")</f>
        <v/>
      </c>
      <c r="AA67" s="252"/>
      <c r="AB67" s="252"/>
      <c r="AC67" s="252"/>
      <c r="AD67" s="275"/>
      <c r="AE67" s="252"/>
      <c r="AF67" s="275"/>
      <c r="AG67" s="274" t="str">
        <f t="shared" si="8"/>
        <v/>
      </c>
      <c r="AH67" s="276" t="str">
        <f t="shared" si="9"/>
        <v/>
      </c>
      <c r="AI67" s="726"/>
      <c r="AJ67" s="726"/>
      <c r="AK67" s="726"/>
      <c r="AL67" s="147"/>
      <c r="AM67" s="147"/>
      <c r="AN67" s="147"/>
      <c r="AO67" s="147"/>
      <c r="AP67" s="147"/>
      <c r="AQ67" s="147"/>
      <c r="AR67" s="147"/>
      <c r="AS67" s="147"/>
      <c r="AT67" s="147"/>
      <c r="AU67" s="147"/>
      <c r="AV67" s="147"/>
      <c r="AW67" s="147"/>
      <c r="AX67" s="147"/>
      <c r="AY67" s="147"/>
      <c r="AZ67" s="147"/>
      <c r="BA67" s="147"/>
      <c r="BB67" s="147"/>
      <c r="BC67" s="147"/>
    </row>
    <row r="68" spans="1:55" s="589" customFormat="1" ht="15.95">
      <c r="A68" s="726"/>
      <c r="B68" s="605"/>
      <c r="C68" s="606"/>
      <c r="D68" s="606"/>
      <c r="E68" s="606"/>
      <c r="F68" s="604"/>
      <c r="G68" s="270" t="str">
        <f t="shared" si="5"/>
        <v/>
      </c>
      <c r="H68" s="270" t="str">
        <f>IFERROR(VLOOKUP($F68,'VEH98 Data'!$A$3:$AJ$3511,8,0),"")</f>
        <v/>
      </c>
      <c r="I68" s="270" t="str">
        <f>IFERROR(VLOOKUP($F68,'VEH98 Data'!$A$3:$AJ$3511,7,0),"")</f>
        <v/>
      </c>
      <c r="J68" s="270" t="str">
        <f>IFERROR(VLOOKUP($F68,'VEH98 Data'!$A$3:$AJ$3511,9,0),"")</f>
        <v/>
      </c>
      <c r="K68" s="270" t="str">
        <f>IFERROR(VLOOKUP($F68,'VEH98 Data'!$A$3:$AJ$3511,10,0),"")</f>
        <v/>
      </c>
      <c r="L68" s="270" t="str">
        <f>IFERROR(VLOOKUP($F68,'VEH98 Data'!$A$3:$AJ$3511,11,0),"")</f>
        <v/>
      </c>
      <c r="M68" s="270" t="str">
        <f>IFERROR(VLOOKUP($F68,'VEH98 Data'!$A$3:$AJ$3511,20,0),"")</f>
        <v/>
      </c>
      <c r="N68" s="270" t="str">
        <f>IFERROR(VLOOKUP($F68,'VEH98 Data'!$A$3:$AJ$3511,21,0),"")</f>
        <v/>
      </c>
      <c r="O68" s="270" t="str">
        <f>IFERROR(VLOOKUP($F68,'VEH98 Data'!$A$3:$AJ$3511,12,0),"")</f>
        <v/>
      </c>
      <c r="P68" s="270" t="str">
        <f>IFERROR(VLOOKUP($F68,'VEH98 Data'!$A$3:$AJ$3511,18,0),"")</f>
        <v/>
      </c>
      <c r="Q68" s="270" t="str">
        <f>IFERROR(VLOOKUP($F68,'VEH98 Data'!$A$3:$AJ$3511,19,0),"")</f>
        <v/>
      </c>
      <c r="R68" s="270" t="str">
        <f>IFERROR(VLOOKUP($F68,'VEH98 Data'!$A$3:$AJ$3511,22,0),"")</f>
        <v/>
      </c>
      <c r="S68" s="270" t="str">
        <f>IFERROR(VLOOKUP($F68,'VEH98 Data'!$A$3:$AJ$3511,16,0),"")</f>
        <v/>
      </c>
      <c r="T68" s="272" t="str">
        <f>IFERROR(VLOOKUP($F68,'VEH98 Data'!$A$3:$AJ$3511,24,0),"")</f>
        <v/>
      </c>
      <c r="U68" s="270" t="str">
        <f>IFERROR(VLOOKUP($F68,'VEH98 Data'!$A$3:$AJ$3511,26,0),"")</f>
        <v/>
      </c>
      <c r="V68" s="270" t="str">
        <f>IFERROR(VLOOKUP($F68,'VEH98 Data'!$A$3:$AJ$3511,27,0),"")</f>
        <v/>
      </c>
      <c r="W68" s="273" t="str">
        <f>IFERROR(VLOOKUP($F68,'VEH98 Data'!$A$3:$AJ$3511,25,0),"")</f>
        <v/>
      </c>
      <c r="X68" s="270" t="str">
        <f>IFERROR(VLOOKUP($F68,'VEH98 Data'!$A$3:$AJ$3511,23,0),"")</f>
        <v/>
      </c>
      <c r="Y68" s="270" t="str">
        <f>IFERROR(VLOOKUP($F68,'VEH98 Data'!$A$3:$AJ$3511,3,0),"")</f>
        <v/>
      </c>
      <c r="Z68" s="274" t="str">
        <f>IFERROR(VLOOKUP($F68,'VEH98 Data'!$A$3:$AJ$3511,30,0),"")</f>
        <v/>
      </c>
      <c r="AA68" s="275"/>
      <c r="AB68" s="275"/>
      <c r="AC68" s="275"/>
      <c r="AD68" s="275"/>
      <c r="AE68" s="275"/>
      <c r="AF68" s="275"/>
      <c r="AG68" s="274" t="str">
        <f t="shared" si="8"/>
        <v/>
      </c>
      <c r="AH68" s="276" t="str">
        <f t="shared" si="9"/>
        <v/>
      </c>
      <c r="AI68" s="726"/>
      <c r="AJ68" s="726"/>
      <c r="AK68" s="726"/>
      <c r="AL68" s="147"/>
      <c r="AM68" s="147"/>
      <c r="AN68" s="147"/>
      <c r="AO68" s="147"/>
      <c r="AP68" s="147"/>
      <c r="AQ68" s="147"/>
      <c r="AR68" s="147"/>
      <c r="AS68" s="147"/>
      <c r="AT68" s="147"/>
      <c r="AU68" s="147"/>
      <c r="AV68" s="147"/>
      <c r="AW68" s="147"/>
      <c r="AX68" s="147"/>
      <c r="AY68" s="147"/>
      <c r="AZ68" s="147"/>
      <c r="BA68" s="147"/>
      <c r="BB68" s="147"/>
      <c r="BC68" s="147"/>
    </row>
    <row r="69" spans="1:55" s="589" customFormat="1" ht="15.95">
      <c r="A69" s="726"/>
      <c r="B69" s="605"/>
      <c r="C69" s="606"/>
      <c r="D69" s="606"/>
      <c r="E69" s="606"/>
      <c r="F69" s="604"/>
      <c r="G69" s="270" t="str">
        <f t="shared" si="5"/>
        <v/>
      </c>
      <c r="H69" s="270" t="str">
        <f>IFERROR(VLOOKUP($F69,'VEH98 Data'!$A$3:$AJ$3511,8,0),"")</f>
        <v/>
      </c>
      <c r="I69" s="270" t="str">
        <f>IFERROR(VLOOKUP($F69,'VEH98 Data'!$A$3:$AJ$3511,7,0),"")</f>
        <v/>
      </c>
      <c r="J69" s="270" t="str">
        <f>IFERROR(VLOOKUP($F69,'VEH98 Data'!$A$3:$AJ$3511,9,0),"")</f>
        <v/>
      </c>
      <c r="K69" s="270" t="str">
        <f>IFERROR(VLOOKUP($F69,'VEH98 Data'!$A$3:$AJ$3511,10,0),"")</f>
        <v/>
      </c>
      <c r="L69" s="270" t="str">
        <f>IFERROR(VLOOKUP($F69,'VEH98 Data'!$A$3:$AJ$3511,11,0),"")</f>
        <v/>
      </c>
      <c r="M69" s="270" t="str">
        <f>IFERROR(VLOOKUP($F69,'VEH98 Data'!$A$3:$AJ$3511,20,0),"")</f>
        <v/>
      </c>
      <c r="N69" s="270" t="str">
        <f>IFERROR(VLOOKUP($F69,'VEH98 Data'!$A$3:$AJ$3511,21,0),"")</f>
        <v/>
      </c>
      <c r="O69" s="270" t="str">
        <f>IFERROR(VLOOKUP($F69,'VEH98 Data'!$A$3:$AJ$3511,12,0),"")</f>
        <v/>
      </c>
      <c r="P69" s="270" t="str">
        <f>IFERROR(VLOOKUP($F69,'VEH98 Data'!$A$3:$AJ$3511,18,0),"")</f>
        <v/>
      </c>
      <c r="Q69" s="270" t="str">
        <f>IFERROR(VLOOKUP($F69,'VEH98 Data'!$A$3:$AJ$3511,19,0),"")</f>
        <v/>
      </c>
      <c r="R69" s="270" t="str">
        <f>IFERROR(VLOOKUP($F69,'VEH98 Data'!$A$3:$AJ$3511,22,0),"")</f>
        <v/>
      </c>
      <c r="S69" s="270" t="str">
        <f>IFERROR(VLOOKUP($F69,'VEH98 Data'!$A$3:$AJ$3511,16,0),"")</f>
        <v/>
      </c>
      <c r="T69" s="272" t="str">
        <f>IFERROR(VLOOKUP($F69,'VEH98 Data'!$A$3:$AJ$3511,24,0),"")</f>
        <v/>
      </c>
      <c r="U69" s="270" t="str">
        <f>IFERROR(VLOOKUP($F69,'VEH98 Data'!$A$3:$AJ$3511,26,0),"")</f>
        <v/>
      </c>
      <c r="V69" s="270" t="str">
        <f>IFERROR(VLOOKUP($F69,'VEH98 Data'!$A$3:$AJ$3511,27,0),"")</f>
        <v/>
      </c>
      <c r="W69" s="273" t="str">
        <f>IFERROR(VLOOKUP($F69,'VEH98 Data'!$A$3:$AJ$3511,25,0),"")</f>
        <v/>
      </c>
      <c r="X69" s="270" t="str">
        <f>IFERROR(VLOOKUP($F69,'VEH98 Data'!$A$3:$AJ$3511,23,0),"")</f>
        <v/>
      </c>
      <c r="Y69" s="270" t="str">
        <f>IFERROR(VLOOKUP($F69,'VEH98 Data'!$A$3:$AJ$3511,3,0),"")</f>
        <v/>
      </c>
      <c r="Z69" s="274" t="str">
        <f>IFERROR(VLOOKUP($F69,'VEH98 Data'!$A$3:$AJ$3511,30,0),"")</f>
        <v/>
      </c>
      <c r="AA69" s="252"/>
      <c r="AB69" s="252"/>
      <c r="AC69" s="252"/>
      <c r="AD69" s="275"/>
      <c r="AE69" s="252"/>
      <c r="AF69" s="275"/>
      <c r="AG69" s="274" t="str">
        <f t="shared" si="8"/>
        <v/>
      </c>
      <c r="AH69" s="276" t="str">
        <f t="shared" si="9"/>
        <v/>
      </c>
      <c r="AI69" s="726"/>
      <c r="AJ69" s="726"/>
      <c r="AK69" s="726"/>
      <c r="AL69" s="147"/>
      <c r="AM69" s="147"/>
      <c r="AN69" s="147"/>
      <c r="AO69" s="147"/>
      <c r="AP69" s="147"/>
      <c r="AQ69" s="147"/>
      <c r="AR69" s="147"/>
      <c r="AS69" s="147"/>
      <c r="AT69" s="147"/>
      <c r="AU69" s="147"/>
      <c r="AV69" s="147"/>
      <c r="AW69" s="147"/>
      <c r="AX69" s="147"/>
      <c r="AY69" s="147"/>
      <c r="AZ69" s="147"/>
      <c r="BA69" s="147"/>
      <c r="BB69" s="147"/>
      <c r="BC69" s="147"/>
    </row>
    <row r="70" spans="1:55" ht="15.95">
      <c r="A70" s="726"/>
      <c r="B70" s="261"/>
      <c r="C70" s="698"/>
      <c r="D70" s="698"/>
      <c r="E70" s="698"/>
      <c r="F70" s="250" t="s">
        <v>6341</v>
      </c>
      <c r="G70" s="281"/>
      <c r="H70" s="281"/>
      <c r="I70" s="281"/>
      <c r="J70" s="281"/>
      <c r="K70" s="281"/>
      <c r="L70" s="281"/>
      <c r="M70" s="281"/>
      <c r="N70" s="281"/>
      <c r="O70" s="281"/>
      <c r="P70" s="281"/>
      <c r="Q70" s="281"/>
      <c r="R70" s="281"/>
      <c r="S70" s="281"/>
      <c r="T70" s="283"/>
      <c r="U70" s="281"/>
      <c r="V70" s="281"/>
      <c r="W70" s="284"/>
      <c r="X70" s="281"/>
      <c r="Y70" s="281"/>
      <c r="Z70" s="285"/>
      <c r="AA70" s="250"/>
      <c r="AB70" s="250"/>
      <c r="AC70" s="250"/>
      <c r="AD70" s="267"/>
      <c r="AE70" s="250"/>
      <c r="AF70" s="267"/>
      <c r="AG70" s="285" t="str">
        <f>IF(Z70="", "", Z70+AD70+AF70)</f>
        <v/>
      </c>
      <c r="AH70" s="286" t="str">
        <f>IF(G70="", "", AG70*G70)</f>
        <v/>
      </c>
      <c r="AI70" s="726"/>
      <c r="AJ70" s="726"/>
      <c r="AK70" s="726"/>
    </row>
    <row r="71" spans="1:55" ht="17.100000000000001" thickBot="1">
      <c r="A71" s="726"/>
      <c r="B71" s="287"/>
      <c r="C71" s="297"/>
      <c r="D71" s="297"/>
      <c r="E71" s="297"/>
      <c r="F71" s="258" t="s">
        <v>6341</v>
      </c>
      <c r="G71" s="289"/>
      <c r="H71" s="289"/>
      <c r="I71" s="289"/>
      <c r="J71" s="289"/>
      <c r="K71" s="289"/>
      <c r="L71" s="289"/>
      <c r="M71" s="289"/>
      <c r="N71" s="289"/>
      <c r="O71" s="289"/>
      <c r="P71" s="289"/>
      <c r="Q71" s="289"/>
      <c r="R71" s="289"/>
      <c r="S71" s="289"/>
      <c r="T71" s="291"/>
      <c r="U71" s="289"/>
      <c r="V71" s="289"/>
      <c r="W71" s="292"/>
      <c r="X71" s="289"/>
      <c r="Y71" s="289"/>
      <c r="Z71" s="293"/>
      <c r="AA71" s="258"/>
      <c r="AB71" s="258"/>
      <c r="AC71" s="258"/>
      <c r="AD71" s="294"/>
      <c r="AE71" s="258"/>
      <c r="AF71" s="294"/>
      <c r="AG71" s="293" t="str">
        <f t="shared" ref="AG71" si="10">IF(Z71="", "", Z71+AD71+AF71)</f>
        <v/>
      </c>
      <c r="AH71" s="295" t="str">
        <f t="shared" ref="AH71" si="11">IF(G71="", "", AG71*G71)</f>
        <v/>
      </c>
      <c r="AI71" s="726"/>
      <c r="AJ71" s="726"/>
      <c r="AK71" s="726"/>
    </row>
    <row r="72" spans="1:55" ht="7.5" customHeight="1" thickBot="1">
      <c r="A72" s="726"/>
      <c r="B72" s="726"/>
      <c r="C72" s="726"/>
      <c r="D72" s="726"/>
      <c r="E72" s="726"/>
      <c r="F72" s="726"/>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726"/>
      <c r="AJ72" s="726"/>
      <c r="AK72" s="726"/>
    </row>
    <row r="73" spans="1:55" ht="17.100000000000001" thickBot="1">
      <c r="A73" s="726"/>
      <c r="B73" s="726"/>
      <c r="C73" s="726"/>
      <c r="D73" s="726"/>
      <c r="E73" s="726"/>
      <c r="F73" s="151" t="s">
        <v>6342</v>
      </c>
      <c r="G73" s="152">
        <f>SUM(G20:G36)+SUM(G40:G71)</f>
        <v>0</v>
      </c>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53" t="s">
        <v>6343</v>
      </c>
      <c r="AG73" s="145"/>
      <c r="AH73" s="247">
        <f>SUM(AH20:AH36)+SUM(AH40:AH71)</f>
        <v>0</v>
      </c>
      <c r="AI73" s="726"/>
      <c r="AJ73" s="726"/>
      <c r="AK73" s="726"/>
    </row>
    <row r="74" spans="1:55" ht="15.95">
      <c r="A74" s="726"/>
      <c r="B74" s="149" t="s">
        <v>92</v>
      </c>
      <c r="C74" s="726"/>
      <c r="D74" s="726"/>
      <c r="E74" s="726"/>
      <c r="F74" s="150"/>
      <c r="G74" s="120"/>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726"/>
      <c r="AJ74" s="726"/>
      <c r="AK74" s="726"/>
    </row>
    <row r="75" spans="1:55" ht="15.95">
      <c r="A75" s="726"/>
      <c r="B75" s="149" t="s">
        <v>97</v>
      </c>
      <c r="C75" s="726"/>
      <c r="D75" s="726"/>
      <c r="E75" s="726"/>
      <c r="F75" s="150"/>
      <c r="G75" s="120"/>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726"/>
      <c r="AJ75" s="726"/>
      <c r="AK75" s="726"/>
    </row>
    <row r="76" spans="1:55" ht="15" customHeight="1">
      <c r="A76" s="726"/>
      <c r="B76" s="726"/>
      <c r="C76" s="726"/>
      <c r="D76" s="729"/>
      <c r="E76" s="729"/>
      <c r="F76" s="729"/>
      <c r="G76" s="729"/>
      <c r="H76" s="729"/>
      <c r="I76" s="729"/>
      <c r="J76" s="729"/>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726"/>
      <c r="AJ76" s="726"/>
      <c r="AK76" s="726"/>
    </row>
    <row r="77" spans="1:55">
      <c r="A77" s="726"/>
      <c r="B77" s="726"/>
      <c r="C77" s="726"/>
      <c r="D77" s="836" t="s">
        <v>6344</v>
      </c>
      <c r="E77" s="836"/>
      <c r="F77" s="836"/>
      <c r="G77" s="836"/>
      <c r="H77" s="836"/>
      <c r="I77" s="836"/>
      <c r="J77" s="836"/>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726"/>
      <c r="AJ77" s="726"/>
      <c r="AK77" s="726"/>
    </row>
    <row r="78" spans="1:55">
      <c r="A78" s="726"/>
      <c r="B78" s="726"/>
      <c r="C78" s="726"/>
      <c r="D78" s="836"/>
      <c r="E78" s="836"/>
      <c r="F78" s="836"/>
      <c r="G78" s="836"/>
      <c r="H78" s="836"/>
      <c r="I78" s="836"/>
      <c r="J78" s="836"/>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726"/>
      <c r="AJ78" s="726"/>
      <c r="AK78" s="726"/>
    </row>
    <row r="79" spans="1:55">
      <c r="A79" s="726"/>
      <c r="B79" s="726"/>
      <c r="C79" s="726"/>
      <c r="D79" s="836"/>
      <c r="E79" s="836"/>
      <c r="F79" s="836"/>
      <c r="G79" s="836"/>
      <c r="H79" s="836"/>
      <c r="I79" s="836"/>
      <c r="J79" s="836"/>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726"/>
      <c r="AJ79" s="726"/>
      <c r="AK79" s="726"/>
    </row>
    <row r="80" spans="1:55">
      <c r="A80" s="726"/>
      <c r="B80" s="726"/>
      <c r="C80" s="726"/>
      <c r="D80" s="836"/>
      <c r="E80" s="836"/>
      <c r="F80" s="836"/>
      <c r="G80" s="836"/>
      <c r="H80" s="836"/>
      <c r="I80" s="836"/>
      <c r="J80" s="836"/>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726"/>
      <c r="AJ80" s="726"/>
      <c r="AK80" s="726"/>
    </row>
    <row r="81" spans="1:37">
      <c r="A81" s="726"/>
      <c r="B81" s="726"/>
      <c r="C81" s="726"/>
      <c r="D81" s="836"/>
      <c r="E81" s="836"/>
      <c r="F81" s="836"/>
      <c r="G81" s="836"/>
      <c r="H81" s="836"/>
      <c r="I81" s="836"/>
      <c r="J81" s="836"/>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726"/>
      <c r="AJ81" s="726"/>
      <c r="AK81" s="726"/>
    </row>
    <row r="82" spans="1:37">
      <c r="A82" s="726"/>
      <c r="B82" s="726"/>
      <c r="C82" s="726"/>
      <c r="D82" s="836"/>
      <c r="E82" s="836"/>
      <c r="F82" s="836"/>
      <c r="G82" s="836"/>
      <c r="H82" s="836"/>
      <c r="I82" s="836"/>
      <c r="J82" s="836"/>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726"/>
      <c r="AJ82" s="726"/>
      <c r="AK82" s="726"/>
    </row>
    <row r="83" spans="1:37">
      <c r="A83" s="726"/>
      <c r="B83" s="726"/>
      <c r="C83" s="726"/>
      <c r="D83" s="726"/>
      <c r="E83" s="726"/>
      <c r="F83" s="150"/>
      <c r="G83" s="120"/>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726"/>
      <c r="AJ83" s="726"/>
      <c r="AK83" s="726"/>
    </row>
    <row r="84" spans="1:37">
      <c r="A84" s="726"/>
      <c r="B84" s="726"/>
      <c r="C84" s="726"/>
      <c r="D84" s="726"/>
      <c r="E84" s="726"/>
      <c r="F84" s="150"/>
      <c r="G84" s="120"/>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726"/>
      <c r="AJ84" s="726"/>
      <c r="AK84" s="726"/>
    </row>
    <row r="85" spans="1:37">
      <c r="A85" s="726"/>
      <c r="B85" s="726"/>
      <c r="C85" s="726"/>
      <c r="D85" s="726"/>
      <c r="E85" s="726"/>
      <c r="F85" s="150"/>
      <c r="G85" s="120"/>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726"/>
      <c r="AJ85" s="726"/>
      <c r="AK85" s="726"/>
    </row>
    <row r="86" spans="1:37">
      <c r="A86" s="726"/>
      <c r="B86" s="726"/>
      <c r="C86" s="726"/>
      <c r="D86" s="726"/>
      <c r="E86" s="726"/>
      <c r="F86" s="150"/>
      <c r="G86" s="120"/>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726"/>
      <c r="AJ86" s="726"/>
      <c r="AK86" s="726"/>
    </row>
    <row r="87" spans="1:37">
      <c r="A87" s="726"/>
      <c r="B87" s="726"/>
      <c r="C87" s="726"/>
      <c r="D87" s="726"/>
      <c r="E87" s="726"/>
      <c r="F87" s="150"/>
      <c r="G87" s="120"/>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726"/>
      <c r="AJ87" s="726"/>
      <c r="AK87" s="726"/>
    </row>
    <row r="88" spans="1:37">
      <c r="A88" s="726"/>
      <c r="B88" s="726"/>
      <c r="C88" s="726"/>
      <c r="D88" s="726"/>
      <c r="E88" s="726"/>
      <c r="F88" s="150"/>
      <c r="G88" s="120"/>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726"/>
      <c r="AJ88" s="726"/>
      <c r="AK88" s="726"/>
    </row>
    <row r="89" spans="1:37">
      <c r="A89" s="726"/>
      <c r="B89" s="726"/>
      <c r="C89" s="726"/>
      <c r="D89" s="726"/>
      <c r="E89" s="726"/>
      <c r="F89" s="150"/>
      <c r="G89" s="120"/>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726"/>
      <c r="AJ89" s="726"/>
      <c r="AK89" s="726"/>
    </row>
    <row r="90" spans="1:37">
      <c r="A90" s="726"/>
      <c r="B90" s="726"/>
      <c r="C90" s="726"/>
      <c r="D90" s="726"/>
      <c r="E90" s="726"/>
      <c r="F90" s="150"/>
      <c r="G90" s="120"/>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726"/>
      <c r="AJ90" s="726"/>
      <c r="AK90" s="726"/>
    </row>
    <row r="91" spans="1:37">
      <c r="A91" s="726"/>
      <c r="B91" s="726"/>
      <c r="C91" s="726"/>
      <c r="D91" s="726"/>
      <c r="E91" s="726"/>
      <c r="F91" s="726"/>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726"/>
      <c r="AJ91" s="726"/>
      <c r="AK91" s="726"/>
    </row>
    <row r="92" spans="1:37" s="147" customFormat="1">
      <c r="G92" s="541"/>
      <c r="H92" s="541"/>
      <c r="I92" s="541"/>
      <c r="J92" s="541"/>
      <c r="K92" s="541"/>
      <c r="L92" s="541"/>
      <c r="M92" s="541"/>
      <c r="N92" s="541"/>
      <c r="O92" s="541"/>
      <c r="P92" s="541"/>
      <c r="Q92" s="541"/>
      <c r="R92" s="541"/>
      <c r="S92" s="541"/>
      <c r="T92" s="541"/>
      <c r="U92" s="541"/>
      <c r="V92" s="541"/>
      <c r="W92" s="541"/>
      <c r="X92" s="541"/>
      <c r="Y92" s="541"/>
      <c r="Z92" s="541"/>
      <c r="AA92" s="541"/>
      <c r="AB92" s="541"/>
      <c r="AC92" s="541"/>
      <c r="AD92" s="541"/>
      <c r="AE92" s="541"/>
      <c r="AF92" s="541"/>
      <c r="AG92" s="541"/>
      <c r="AH92" s="541"/>
    </row>
    <row r="93" spans="1:37" s="147" customFormat="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row>
    <row r="94" spans="1:37" s="147" customFormat="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541"/>
      <c r="AH94" s="541"/>
    </row>
    <row r="95" spans="1:37" s="147" customFormat="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541"/>
      <c r="AH95" s="541"/>
    </row>
    <row r="96" spans="1:37" s="147" customFormat="1">
      <c r="G96" s="541"/>
      <c r="H96" s="541"/>
      <c r="I96" s="541"/>
      <c r="J96" s="541"/>
      <c r="K96" s="541"/>
      <c r="L96" s="541"/>
      <c r="M96" s="541"/>
      <c r="N96" s="541"/>
      <c r="O96" s="541"/>
      <c r="P96" s="541"/>
      <c r="Q96" s="541"/>
      <c r="R96" s="541"/>
      <c r="S96" s="541"/>
      <c r="T96" s="541"/>
      <c r="U96" s="541"/>
      <c r="V96" s="541"/>
      <c r="W96" s="541"/>
      <c r="X96" s="541"/>
      <c r="Y96" s="541"/>
      <c r="Z96" s="541"/>
      <c r="AA96" s="541"/>
      <c r="AB96" s="541"/>
      <c r="AC96" s="541"/>
      <c r="AD96" s="541"/>
      <c r="AE96" s="541"/>
      <c r="AF96" s="541"/>
      <c r="AG96" s="541"/>
      <c r="AH96" s="541"/>
    </row>
    <row r="97" spans="7:34" s="147" customFormat="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541"/>
      <c r="AH97" s="541"/>
    </row>
    <row r="98" spans="7:34" s="147" customFormat="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row>
    <row r="99" spans="7:34" s="147" customFormat="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row>
    <row r="100" spans="7:34" s="147" customFormat="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B100" s="541"/>
      <c r="AC100" s="541"/>
      <c r="AD100" s="541"/>
      <c r="AE100" s="541"/>
      <c r="AF100" s="541"/>
      <c r="AG100" s="541"/>
      <c r="AH100" s="541"/>
    </row>
    <row r="101" spans="7:34" s="147" customFormat="1">
      <c r="G101" s="541"/>
      <c r="H101" s="541"/>
      <c r="I101" s="541"/>
      <c r="J101" s="541"/>
      <c r="K101" s="541"/>
      <c r="L101" s="541"/>
      <c r="M101" s="541"/>
      <c r="N101" s="541"/>
      <c r="O101" s="541"/>
      <c r="P101" s="541"/>
      <c r="Q101" s="541"/>
      <c r="R101" s="541"/>
      <c r="S101" s="541"/>
      <c r="T101" s="541"/>
      <c r="U101" s="541"/>
      <c r="V101" s="541"/>
      <c r="W101" s="541"/>
      <c r="X101" s="541"/>
      <c r="Y101" s="541"/>
      <c r="Z101" s="541"/>
      <c r="AA101" s="541"/>
      <c r="AB101" s="541"/>
      <c r="AC101" s="541"/>
      <c r="AD101" s="541"/>
      <c r="AE101" s="541"/>
      <c r="AF101" s="541"/>
      <c r="AG101" s="541"/>
      <c r="AH101" s="541"/>
    </row>
    <row r="102" spans="7:34" s="147" customFormat="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row>
    <row r="103" spans="7:34" s="147" customFormat="1">
      <c r="G103" s="541"/>
      <c r="H103" s="541"/>
      <c r="I103" s="541"/>
      <c r="J103" s="541"/>
      <c r="K103" s="541"/>
      <c r="L103" s="541"/>
      <c r="M103" s="541"/>
      <c r="N103" s="541"/>
      <c r="O103" s="541"/>
      <c r="P103" s="541"/>
      <c r="Q103" s="541"/>
      <c r="R103" s="541"/>
      <c r="S103" s="541"/>
      <c r="T103" s="541"/>
      <c r="U103" s="541"/>
      <c r="V103" s="541"/>
      <c r="W103" s="541"/>
      <c r="X103" s="541"/>
      <c r="Y103" s="541"/>
      <c r="Z103" s="541"/>
      <c r="AA103" s="541"/>
      <c r="AB103" s="541"/>
      <c r="AC103" s="541"/>
      <c r="AD103" s="541"/>
      <c r="AE103" s="541"/>
      <c r="AF103" s="541"/>
      <c r="AG103" s="541"/>
      <c r="AH103" s="541"/>
    </row>
    <row r="104" spans="7:34" s="147" customFormat="1">
      <c r="G104" s="541"/>
      <c r="H104" s="541"/>
      <c r="I104" s="541"/>
      <c r="J104" s="541"/>
      <c r="K104" s="541"/>
      <c r="L104" s="541"/>
      <c r="M104" s="541"/>
      <c r="N104" s="541"/>
      <c r="O104" s="541"/>
      <c r="P104" s="541"/>
      <c r="Q104" s="541"/>
      <c r="R104" s="541"/>
      <c r="S104" s="541"/>
      <c r="T104" s="541"/>
      <c r="U104" s="541"/>
      <c r="V104" s="541"/>
      <c r="W104" s="541"/>
      <c r="X104" s="541"/>
      <c r="Y104" s="541"/>
      <c r="Z104" s="541"/>
      <c r="AA104" s="541"/>
      <c r="AB104" s="541"/>
      <c r="AC104" s="541"/>
      <c r="AD104" s="541"/>
      <c r="AE104" s="541"/>
      <c r="AF104" s="541"/>
      <c r="AG104" s="541"/>
      <c r="AH104" s="541"/>
    </row>
    <row r="105" spans="7:34" s="147" customFormat="1">
      <c r="G105" s="541"/>
      <c r="H105" s="541"/>
      <c r="I105" s="541"/>
      <c r="J105" s="541"/>
      <c r="K105" s="541"/>
      <c r="L105" s="541"/>
      <c r="M105" s="541"/>
      <c r="N105" s="541"/>
      <c r="O105" s="541"/>
      <c r="P105" s="541"/>
      <c r="Q105" s="541"/>
      <c r="R105" s="541"/>
      <c r="S105" s="541"/>
      <c r="T105" s="541"/>
      <c r="U105" s="541"/>
      <c r="V105" s="541"/>
      <c r="W105" s="541"/>
      <c r="X105" s="541"/>
      <c r="Y105" s="541"/>
      <c r="Z105" s="541"/>
      <c r="AA105" s="541"/>
      <c r="AB105" s="541"/>
      <c r="AC105" s="541"/>
      <c r="AD105" s="541"/>
      <c r="AE105" s="541"/>
      <c r="AF105" s="541"/>
      <c r="AG105" s="541"/>
      <c r="AH105" s="541"/>
    </row>
    <row r="106" spans="7:34" s="147" customFormat="1">
      <c r="G106" s="541"/>
      <c r="H106" s="541"/>
      <c r="I106" s="541"/>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c r="AG106" s="541"/>
      <c r="AH106" s="541"/>
    </row>
    <row r="107" spans="7:34" s="147" customFormat="1">
      <c r="G107" s="541"/>
      <c r="H107" s="541"/>
      <c r="I107" s="541"/>
      <c r="J107" s="541"/>
      <c r="K107" s="541"/>
      <c r="L107" s="541"/>
      <c r="M107" s="541"/>
      <c r="N107" s="541"/>
      <c r="O107" s="541"/>
      <c r="P107" s="541"/>
      <c r="Q107" s="541"/>
      <c r="R107" s="541"/>
      <c r="S107" s="541"/>
      <c r="T107" s="541"/>
      <c r="U107" s="541"/>
      <c r="V107" s="541"/>
      <c r="W107" s="541"/>
      <c r="X107" s="541"/>
      <c r="Y107" s="541"/>
      <c r="Z107" s="541"/>
      <c r="AA107" s="541"/>
      <c r="AB107" s="541"/>
      <c r="AC107" s="541"/>
      <c r="AD107" s="541"/>
      <c r="AE107" s="541"/>
      <c r="AF107" s="541"/>
      <c r="AG107" s="541"/>
      <c r="AH107" s="541"/>
    </row>
    <row r="108" spans="7:34" s="147" customFormat="1">
      <c r="G108" s="541"/>
      <c r="H108" s="541"/>
      <c r="I108" s="541"/>
      <c r="J108" s="541"/>
      <c r="K108" s="541"/>
      <c r="L108" s="541"/>
      <c r="M108" s="541"/>
      <c r="N108" s="541"/>
      <c r="O108" s="541"/>
      <c r="P108" s="541"/>
      <c r="Q108" s="541"/>
      <c r="R108" s="541"/>
      <c r="S108" s="541"/>
      <c r="T108" s="541"/>
      <c r="U108" s="541"/>
      <c r="V108" s="541"/>
      <c r="W108" s="541"/>
      <c r="X108" s="541"/>
      <c r="Y108" s="541"/>
      <c r="Z108" s="541"/>
      <c r="AA108" s="541"/>
      <c r="AB108" s="541"/>
      <c r="AC108" s="541"/>
      <c r="AD108" s="541"/>
      <c r="AE108" s="541"/>
      <c r="AF108" s="541"/>
      <c r="AG108" s="541"/>
      <c r="AH108" s="541"/>
    </row>
    <row r="109" spans="7:34" s="147" customFormat="1">
      <c r="G109" s="541"/>
      <c r="H109" s="541"/>
      <c r="I109" s="541"/>
      <c r="J109" s="541"/>
      <c r="K109" s="541"/>
      <c r="L109" s="541"/>
      <c r="M109" s="541"/>
      <c r="N109" s="541"/>
      <c r="O109" s="541"/>
      <c r="P109" s="541"/>
      <c r="Q109" s="541"/>
      <c r="R109" s="541"/>
      <c r="S109" s="541"/>
      <c r="T109" s="541"/>
      <c r="U109" s="541"/>
      <c r="V109" s="541"/>
      <c r="W109" s="541"/>
      <c r="X109" s="541"/>
      <c r="Y109" s="541"/>
      <c r="Z109" s="541"/>
      <c r="AA109" s="541"/>
      <c r="AB109" s="541"/>
      <c r="AC109" s="541"/>
      <c r="AD109" s="541"/>
      <c r="AE109" s="541"/>
      <c r="AF109" s="541"/>
      <c r="AG109" s="541"/>
      <c r="AH109" s="541"/>
    </row>
    <row r="110" spans="7:34" s="147" customFormat="1">
      <c r="G110" s="541"/>
      <c r="H110" s="541"/>
      <c r="I110" s="541"/>
      <c r="J110" s="541"/>
      <c r="K110" s="541"/>
      <c r="L110" s="541"/>
      <c r="M110" s="541"/>
      <c r="N110" s="541"/>
      <c r="O110" s="541"/>
      <c r="P110" s="541"/>
      <c r="Q110" s="541"/>
      <c r="R110" s="541"/>
      <c r="S110" s="541"/>
      <c r="T110" s="541"/>
      <c r="U110" s="541"/>
      <c r="V110" s="541"/>
      <c r="W110" s="541"/>
      <c r="X110" s="541"/>
      <c r="Y110" s="541"/>
      <c r="Z110" s="541"/>
      <c r="AA110" s="541"/>
      <c r="AB110" s="541"/>
      <c r="AC110" s="541"/>
      <c r="AD110" s="541"/>
      <c r="AE110" s="541"/>
      <c r="AF110" s="541"/>
      <c r="AG110" s="541"/>
      <c r="AH110" s="541"/>
    </row>
    <row r="111" spans="7:34" s="147" customFormat="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row>
    <row r="112" spans="7:34" s="147" customFormat="1">
      <c r="G112" s="541"/>
      <c r="H112" s="541"/>
      <c r="I112" s="541"/>
      <c r="J112" s="541"/>
      <c r="K112" s="541"/>
      <c r="L112" s="541"/>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row>
    <row r="113" spans="7:34" s="147" customFormat="1">
      <c r="G113" s="541"/>
      <c r="H113" s="541"/>
      <c r="I113" s="541"/>
      <c r="J113" s="541"/>
      <c r="K113" s="541"/>
      <c r="L113" s="541"/>
      <c r="M113" s="541"/>
      <c r="N113" s="541"/>
      <c r="O113" s="541"/>
      <c r="P113" s="541"/>
      <c r="Q113" s="541"/>
      <c r="R113" s="541"/>
      <c r="S113" s="541"/>
      <c r="T113" s="541"/>
      <c r="U113" s="541"/>
      <c r="V113" s="541"/>
      <c r="W113" s="541"/>
      <c r="X113" s="541"/>
      <c r="Y113" s="541"/>
      <c r="Z113" s="541"/>
      <c r="AA113" s="541"/>
      <c r="AB113" s="541"/>
      <c r="AC113" s="541"/>
      <c r="AD113" s="541"/>
      <c r="AE113" s="541"/>
      <c r="AF113" s="541"/>
      <c r="AG113" s="541"/>
      <c r="AH113" s="541"/>
    </row>
    <row r="114" spans="7:34" s="147" customFormat="1">
      <c r="G114" s="541"/>
      <c r="H114" s="541"/>
      <c r="I114" s="541"/>
      <c r="J114" s="541"/>
      <c r="K114" s="541"/>
      <c r="L114" s="541"/>
      <c r="M114" s="541"/>
      <c r="N114" s="541"/>
      <c r="O114" s="541"/>
      <c r="P114" s="541"/>
      <c r="Q114" s="541"/>
      <c r="R114" s="541"/>
      <c r="S114" s="541"/>
      <c r="T114" s="541"/>
      <c r="U114" s="541"/>
      <c r="V114" s="541"/>
      <c r="W114" s="541"/>
      <c r="X114" s="541"/>
      <c r="Y114" s="541"/>
      <c r="Z114" s="541"/>
      <c r="AA114" s="541"/>
      <c r="AB114" s="541"/>
      <c r="AC114" s="541"/>
      <c r="AD114" s="541"/>
      <c r="AE114" s="541"/>
      <c r="AF114" s="541"/>
      <c r="AG114" s="541"/>
      <c r="AH114" s="541"/>
    </row>
    <row r="115" spans="7:34" s="147" customFormat="1">
      <c r="G115" s="541"/>
      <c r="H115" s="541"/>
      <c r="I115" s="541"/>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row>
    <row r="116" spans="7:34" s="147" customFormat="1">
      <c r="G116" s="541"/>
      <c r="H116" s="541"/>
      <c r="I116" s="541"/>
      <c r="J116" s="541"/>
      <c r="K116" s="541"/>
      <c r="L116" s="541"/>
      <c r="M116" s="541"/>
      <c r="N116" s="541"/>
      <c r="O116" s="541"/>
      <c r="P116" s="541"/>
      <c r="Q116" s="541"/>
      <c r="R116" s="541"/>
      <c r="S116" s="541"/>
      <c r="T116" s="541"/>
      <c r="U116" s="541"/>
      <c r="V116" s="541"/>
      <c r="W116" s="541"/>
      <c r="X116" s="541"/>
      <c r="Y116" s="541"/>
      <c r="Z116" s="541"/>
      <c r="AA116" s="541"/>
      <c r="AB116" s="541"/>
      <c r="AC116" s="541"/>
      <c r="AD116" s="541"/>
      <c r="AE116" s="541"/>
      <c r="AF116" s="541"/>
      <c r="AG116" s="541"/>
      <c r="AH116" s="541"/>
    </row>
  </sheetData>
  <sheetProtection algorithmName="SHA-512" hashValue="B4O+sLg9eQE9QdXbiKcbgurx6fZPQGzP52bw1YFnnN/RW+XdOHnmET4hlfFBUyHAme0Qqe8P9UlIE1/pCNw8nA==" saltValue="BMgzxMHm8VKGIGfkrneQ0w==" spinCount="100000" sheet="1" formatColumns="0" formatRows="0"/>
  <mergeCells count="32">
    <mergeCell ref="D77:J82"/>
    <mergeCell ref="B18:AH18"/>
    <mergeCell ref="B38:AH38"/>
    <mergeCell ref="B9:D9"/>
    <mergeCell ref="B11:D11"/>
    <mergeCell ref="B13:D13"/>
    <mergeCell ref="B15:D15"/>
    <mergeCell ref="E9:I9"/>
    <mergeCell ref="K9:L9"/>
    <mergeCell ref="M9:P9"/>
    <mergeCell ref="R9:S9"/>
    <mergeCell ref="T9:X9"/>
    <mergeCell ref="E11:I11"/>
    <mergeCell ref="K11:L11"/>
    <mergeCell ref="M11:P11"/>
    <mergeCell ref="R11:S11"/>
    <mergeCell ref="B1:L1"/>
    <mergeCell ref="B2:L2"/>
    <mergeCell ref="N2:X2"/>
    <mergeCell ref="B3:K3"/>
    <mergeCell ref="B7:Y7"/>
    <mergeCell ref="T11:X11"/>
    <mergeCell ref="E13:I13"/>
    <mergeCell ref="K13:L13"/>
    <mergeCell ref="M13:P13"/>
    <mergeCell ref="R13:S13"/>
    <mergeCell ref="T13:X13"/>
    <mergeCell ref="E15:I15"/>
    <mergeCell ref="K15:L15"/>
    <mergeCell ref="M15:P15"/>
    <mergeCell ref="R15:S15"/>
    <mergeCell ref="T15:X15"/>
  </mergeCells>
  <conditionalFormatting sqref="AA20:AF36 B21:F36 B70:F71 B20:E20 D40:E40 E40:E41">
    <cfRule type="containsBlanks" dxfId="221" priority="205">
      <formula>LEN(TRIM(B20))=0</formula>
    </cfRule>
  </conditionalFormatting>
  <conditionalFormatting sqref="W35:W36 W20">
    <cfRule type="iconSet" priority="172">
      <iconSet iconSet="3Symbols">
        <cfvo type="percent" val="0"/>
        <cfvo type="num" val="31" gte="0"/>
        <cfvo type="num" val="32"/>
      </iconSet>
    </cfRule>
  </conditionalFormatting>
  <conditionalFormatting sqref="G35:R36 T35:W36 Y35:Z36">
    <cfRule type="containsBlanks" dxfId="220" priority="166">
      <formula>LEN(TRIM(G35))=0</formula>
    </cfRule>
  </conditionalFormatting>
  <conditionalFormatting sqref="AA70:AF71">
    <cfRule type="containsBlanks" dxfId="219" priority="165">
      <formula>LEN(TRIM(AA70))=0</formula>
    </cfRule>
  </conditionalFormatting>
  <conditionalFormatting sqref="G70:W71 Y70:Z71">
    <cfRule type="containsBlanks" dxfId="218" priority="161">
      <formula>LEN(TRIM(G70))=0</formula>
    </cfRule>
  </conditionalFormatting>
  <conditionalFormatting sqref="B40:C40">
    <cfRule type="containsBlanks" dxfId="217" priority="158">
      <formula>LEN(TRIM(B40))=0</formula>
    </cfRule>
  </conditionalFormatting>
  <conditionalFormatting sqref="AA40:AF40">
    <cfRule type="containsBlanks" dxfId="216" priority="157">
      <formula>LEN(TRIM(AA40))=0</formula>
    </cfRule>
  </conditionalFormatting>
  <conditionalFormatting sqref="X35:X36">
    <cfRule type="containsBlanks" dxfId="215" priority="155">
      <formula>LEN(TRIM(X35))=0</formula>
    </cfRule>
  </conditionalFormatting>
  <conditionalFormatting sqref="X70:X71">
    <cfRule type="containsBlanks" dxfId="214" priority="154">
      <formula>LEN(TRIM(X70))=0</formula>
    </cfRule>
  </conditionalFormatting>
  <conditionalFormatting sqref="W70:W71">
    <cfRule type="iconSet" priority="272">
      <iconSet iconSet="3Symbols">
        <cfvo type="percent" val="0"/>
        <cfvo type="num" val="22" gte="0"/>
        <cfvo type="num" val="22"/>
      </iconSet>
    </cfRule>
  </conditionalFormatting>
  <conditionalFormatting sqref="B68:C69">
    <cfRule type="containsBlanks" dxfId="213" priority="85">
      <formula>LEN(TRIM(B68))=0</formula>
    </cfRule>
  </conditionalFormatting>
  <conditionalFormatting sqref="D68:E69">
    <cfRule type="containsBlanks" dxfId="212" priority="88">
      <formula>LEN(TRIM(D68))=0</formula>
    </cfRule>
  </conditionalFormatting>
  <conditionalFormatting sqref="AA69:AE69">
    <cfRule type="containsBlanks" dxfId="211" priority="84">
      <formula>LEN(TRIM(AA69))=0</formula>
    </cfRule>
  </conditionalFormatting>
  <conditionalFormatting sqref="AA68:AE68">
    <cfRule type="containsBlanks" dxfId="210" priority="78">
      <formula>LEN(TRIM(AA68))=0</formula>
    </cfRule>
  </conditionalFormatting>
  <conditionalFormatting sqref="B63:E67 D58:E62 AA62:AE67">
    <cfRule type="containsBlanks" dxfId="209" priority="76">
      <formula>LEN(TRIM(B58))=0</formula>
    </cfRule>
  </conditionalFormatting>
  <conditionalFormatting sqref="B58:C62">
    <cfRule type="containsBlanks" dxfId="208" priority="73">
      <formula>LEN(TRIM(B58))=0</formula>
    </cfRule>
  </conditionalFormatting>
  <conditionalFormatting sqref="AA59:AE61">
    <cfRule type="containsBlanks" dxfId="207" priority="72">
      <formula>LEN(TRIM(AA59))=0</formula>
    </cfRule>
  </conditionalFormatting>
  <conditionalFormatting sqref="AA58:AE58">
    <cfRule type="containsBlanks" dxfId="206" priority="66">
      <formula>LEN(TRIM(AA58))=0</formula>
    </cfRule>
  </conditionalFormatting>
  <conditionalFormatting sqref="B53:E57 D49:E52 AA52:AE57">
    <cfRule type="containsBlanks" dxfId="205" priority="64">
      <formula>LEN(TRIM(B49))=0</formula>
    </cfRule>
  </conditionalFormatting>
  <conditionalFormatting sqref="F49 F52:F69">
    <cfRule type="containsBlanks" dxfId="204" priority="62">
      <formula>LEN(TRIM(F49))=0</formula>
    </cfRule>
  </conditionalFormatting>
  <conditionalFormatting sqref="B49:C52 B48">
    <cfRule type="containsBlanks" dxfId="203" priority="61">
      <formula>LEN(TRIM(B48))=0</formula>
    </cfRule>
  </conditionalFormatting>
  <conditionalFormatting sqref="AA49:AE49 AA50:AA51">
    <cfRule type="containsBlanks" dxfId="202" priority="60">
      <formula>LEN(TRIM(AA49))=0</formula>
    </cfRule>
  </conditionalFormatting>
  <conditionalFormatting sqref="AC48 AF49 AE48:AF48 AF52:AF69">
    <cfRule type="containsBlanks" dxfId="201" priority="54">
      <formula>LEN(TRIM(AC48))=0</formula>
    </cfRule>
  </conditionalFormatting>
  <conditionalFormatting sqref="B46:B47 AC45:AC47 AE45 AE46:AF47">
    <cfRule type="containsBlanks" dxfId="200" priority="52">
      <formula>LEN(TRIM(B45))=0</formula>
    </cfRule>
  </conditionalFormatting>
  <conditionalFormatting sqref="B42 B44:B45">
    <cfRule type="containsBlanks" dxfId="199" priority="50">
      <formula>LEN(TRIM(B42))=0</formula>
    </cfRule>
  </conditionalFormatting>
  <conditionalFormatting sqref="AE42:AE44 AC42:AC44">
    <cfRule type="containsBlanks" dxfId="198" priority="49">
      <formula>LEN(TRIM(AC42))=0</formula>
    </cfRule>
  </conditionalFormatting>
  <conditionalFormatting sqref="AC41:AF41 AF42:AF45 AD42:AD48">
    <cfRule type="containsBlanks" dxfId="197" priority="44">
      <formula>LEN(TRIM(AC41))=0</formula>
    </cfRule>
  </conditionalFormatting>
  <conditionalFormatting sqref="E9 E11 E13 M9 M11 M13 M15 T9:U9 T11:U11 T13:U13 T15:U15">
    <cfRule type="containsBlanks" dxfId="196" priority="42">
      <formula>LEN(TRIM(E9))=0</formula>
    </cfRule>
  </conditionalFormatting>
  <conditionalFormatting sqref="E13:I13">
    <cfRule type="containsBlanks" dxfId="195" priority="41">
      <formula>LEN(TRIM(E13))=0</formula>
    </cfRule>
  </conditionalFormatting>
  <conditionalFormatting sqref="E15">
    <cfRule type="containsBlanks" dxfId="194" priority="40">
      <formula>LEN(TRIM(E15))=0</formula>
    </cfRule>
  </conditionalFormatting>
  <conditionalFormatting sqref="W21:W34">
    <cfRule type="iconSet" priority="39">
      <iconSet iconSet="3Symbols">
        <cfvo type="percent" val="0"/>
        <cfvo type="num" val="31" gte="0"/>
        <cfvo type="num" val="32"/>
      </iconSet>
    </cfRule>
  </conditionalFormatting>
  <conditionalFormatting sqref="W41:W69">
    <cfRule type="iconSet" priority="36">
      <iconSet iconSet="3Symbols">
        <cfvo type="percent" val="0"/>
        <cfvo type="num" val="21" gte="0"/>
        <cfvo type="num" val="22"/>
      </iconSet>
    </cfRule>
  </conditionalFormatting>
  <conditionalFormatting sqref="AB41 AA42:AB48">
    <cfRule type="containsBlanks" dxfId="193" priority="24">
      <formula>LEN(TRIM(AA41))=0</formula>
    </cfRule>
  </conditionalFormatting>
  <conditionalFormatting sqref="D42:E42 D45:E48">
    <cfRule type="containsBlanks" dxfId="192" priority="23">
      <formula>LEN(TRIM(D42))=0</formula>
    </cfRule>
  </conditionalFormatting>
  <conditionalFormatting sqref="C41:C48">
    <cfRule type="containsBlanks" dxfId="191" priority="22">
      <formula>LEN(TRIM(C41))=0</formula>
    </cfRule>
  </conditionalFormatting>
  <conditionalFormatting sqref="F42:F48">
    <cfRule type="containsBlanks" dxfId="190" priority="21">
      <formula>LEN(TRIM(F42))=0</formula>
    </cfRule>
  </conditionalFormatting>
  <conditionalFormatting sqref="F40:F41">
    <cfRule type="containsBlanks" dxfId="189" priority="20">
      <formula>LEN(TRIM(F40))=0</formula>
    </cfRule>
  </conditionalFormatting>
  <conditionalFormatting sqref="F20">
    <cfRule type="containsBlanks" dxfId="188" priority="19">
      <formula>LEN(TRIM(F20))=0</formula>
    </cfRule>
  </conditionalFormatting>
  <conditionalFormatting sqref="F50:F51">
    <cfRule type="containsBlanks" dxfId="187" priority="18">
      <formula>LEN(TRIM(F50))=0</formula>
    </cfRule>
  </conditionalFormatting>
  <conditionalFormatting sqref="AC50:AC51 AE50:AF51">
    <cfRule type="containsBlanks" dxfId="186" priority="17">
      <formula>LEN(TRIM(AC50))=0</formula>
    </cfRule>
  </conditionalFormatting>
  <conditionalFormatting sqref="AD50:AD51">
    <cfRule type="containsBlanks" dxfId="185" priority="16">
      <formula>LEN(TRIM(AD50))=0</formula>
    </cfRule>
  </conditionalFormatting>
  <conditionalFormatting sqref="AB50:AB51">
    <cfRule type="containsBlanks" dxfId="184" priority="15">
      <formula>LEN(TRIM(AB50))=0</formula>
    </cfRule>
  </conditionalFormatting>
  <conditionalFormatting sqref="E43">
    <cfRule type="containsBlanks" dxfId="183" priority="12">
      <formula>LEN(TRIM(E43))=0</formula>
    </cfRule>
  </conditionalFormatting>
  <conditionalFormatting sqref="E44">
    <cfRule type="containsBlanks" dxfId="182" priority="11">
      <formula>LEN(TRIM(E44))=0</formula>
    </cfRule>
  </conditionalFormatting>
  <conditionalFormatting sqref="B43">
    <cfRule type="containsBlanks" dxfId="181" priority="8">
      <formula>LEN(TRIM(B43))=0</formula>
    </cfRule>
  </conditionalFormatting>
  <conditionalFormatting sqref="B41">
    <cfRule type="containsBlanks" dxfId="180" priority="7">
      <formula>LEN(TRIM(B41))=0</formula>
    </cfRule>
  </conditionalFormatting>
  <conditionalFormatting sqref="D44">
    <cfRule type="containsBlanks" dxfId="179" priority="6">
      <formula>LEN(TRIM(D44))=0</formula>
    </cfRule>
  </conditionalFormatting>
  <conditionalFormatting sqref="D43">
    <cfRule type="containsBlanks" dxfId="178" priority="5">
      <formula>LEN(TRIM(D43))=0</formula>
    </cfRule>
  </conditionalFormatting>
  <conditionalFormatting sqref="AA41">
    <cfRule type="containsBlanks" dxfId="177" priority="3">
      <formula>LEN(TRIM(AA41))=0</formula>
    </cfRule>
  </conditionalFormatting>
  <conditionalFormatting sqref="D41">
    <cfRule type="containsBlanks" dxfId="176" priority="2">
      <formula>LEN(TRIM(D41))=0</formula>
    </cfRule>
  </conditionalFormatting>
  <conditionalFormatting sqref="W40">
    <cfRule type="iconSet" priority="1">
      <iconSet iconSet="3Symbols">
        <cfvo type="percent" val="0"/>
        <cfvo type="num" val="21" gte="0"/>
        <cfvo type="num" val="22"/>
      </iconSet>
    </cfRule>
  </conditionalFormatting>
  <dataValidations count="4">
    <dataValidation type="list" allowBlank="1" showInputMessage="1" showErrorMessage="1" sqref="F37" xr:uid="{00000000-0002-0000-0400-000000000000}">
      <formula1>CatIVehNum</formula1>
    </dataValidation>
    <dataValidation type="list" errorStyle="information" allowBlank="1" showInputMessage="1" showErrorMessage="1" error="Please be sure the Vehicle Acquisition # you manually entered is correct.  If it is incorrect, the vehicle data will not populate." sqref="F20:F36" xr:uid="{00000000-0002-0000-0400-000001000000}">
      <formula1>CatIVehNum_Dealer</formula1>
    </dataValidation>
    <dataValidation type="list" allowBlank="1" showInputMessage="1" showErrorMessage="1" sqref="B20:B36 B40:B71" xr:uid="{00000000-0002-0000-0400-000002000000}">
      <formula1>"Lease, Purchase"</formula1>
    </dataValidation>
    <dataValidation type="list" errorStyle="information" allowBlank="1" showInputMessage="1" showErrorMessage="1" error="Please be sure the Vehicle Acquisition # you manually entered is correct.  If it is incorrect, the vehicle data will not populate." sqref="F40:F71" xr:uid="{00000000-0002-0000-0400-000003000000}">
      <formula1>CatIIVehNum_Dealer</formula1>
    </dataValidation>
  </dataValidations>
  <hyperlinks>
    <hyperlink ref="B74" location="'Vehicle Request'!A1" display="Top" xr:uid="{00000000-0004-0000-0400-000000000000}"/>
    <hyperlink ref="B75" location="'Review &amp; Instructions '!C27" display="Instructions" xr:uid="{00000000-0004-0000-0400-000001000000}"/>
    <hyperlink ref="B5" location="'Review &amp; Instructions '!C27" display="Instructions" xr:uid="{00000000-0004-0000-0400-000002000000}"/>
  </hyperlinks>
  <pageMargins left="0.5" right="0.5" top="0.5" bottom="0.5" header="0.25" footer="0.25"/>
  <pageSetup paperSize="17" scale="58" fitToHeight="0" orientation="landscape" r:id="rId1"/>
  <headerFooter>
    <oddHeader>&amp;F</oddHeader>
    <oddFooter>&amp;L&amp;A&amp;CPage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ECFF"/>
    <pageSetUpPr fitToPage="1"/>
  </sheetPr>
  <dimension ref="A1:AM219"/>
  <sheetViews>
    <sheetView zoomScale="90" zoomScaleNormal="90" workbookViewId="0">
      <pane xSplit="1" ySplit="2" topLeftCell="B3" activePane="bottomRight" state="frozen"/>
      <selection pane="bottomRight"/>
      <selection pane="bottomLeft" activeCell="A3" sqref="A3"/>
      <selection pane="topRight" activeCell="B1" sqref="B1"/>
    </sheetView>
  </sheetViews>
  <sheetFormatPr defaultColWidth="0" defaultRowHeight="15" zeroHeight="1"/>
  <cols>
    <col min="1" max="1" width="3.7109375" style="24" customWidth="1"/>
    <col min="2" max="2" width="27.42578125" style="24" customWidth="1"/>
    <col min="3" max="3" width="14.85546875" style="24" customWidth="1"/>
    <col min="4" max="4" width="85.7109375" style="24" customWidth="1"/>
    <col min="5" max="5" width="24.85546875" style="24" customWidth="1"/>
    <col min="6" max="6" width="18.42578125" style="24" bestFit="1" customWidth="1"/>
    <col min="7" max="7" width="14.28515625" style="24" customWidth="1"/>
    <col min="8" max="8" width="15.42578125" style="24" customWidth="1"/>
    <col min="9" max="9" width="15.85546875" style="24" customWidth="1"/>
    <col min="10" max="10" width="16.42578125" style="24" bestFit="1" customWidth="1"/>
    <col min="11" max="11" width="12.42578125" style="24" bestFit="1" customWidth="1"/>
    <col min="12" max="12" width="15.140625" style="24" bestFit="1" customWidth="1"/>
    <col min="13" max="13" width="50.140625" style="24" customWidth="1"/>
    <col min="14" max="14" width="3.42578125" style="24" customWidth="1"/>
    <col min="15" max="16" width="9.140625" style="24" customWidth="1"/>
    <col min="17" max="39" width="0" style="24" hidden="1" customWidth="1"/>
    <col min="40" max="16384" width="9.140625" style="24" hidden="1"/>
  </cols>
  <sheetData>
    <row r="1" spans="1:39" s="614" customFormat="1" ht="21" customHeight="1">
      <c r="A1" s="726"/>
      <c r="B1" s="802" t="s">
        <v>94</v>
      </c>
      <c r="C1" s="802"/>
      <c r="D1" s="802"/>
      <c r="E1" s="802"/>
      <c r="F1" s="188"/>
      <c r="G1" s="188"/>
      <c r="H1" s="188"/>
      <c r="I1" s="188"/>
      <c r="J1" s="188"/>
      <c r="K1" s="188"/>
      <c r="L1" s="188"/>
      <c r="M1" s="726"/>
      <c r="N1" s="726"/>
      <c r="O1" s="726"/>
      <c r="P1" s="726"/>
      <c r="Q1" s="726"/>
      <c r="R1" s="734"/>
      <c r="S1" s="734"/>
      <c r="T1" s="734"/>
      <c r="U1" s="734"/>
      <c r="V1" s="734"/>
      <c r="W1" s="734"/>
      <c r="X1" s="734"/>
      <c r="Y1" s="734"/>
      <c r="Z1" s="734"/>
      <c r="AA1" s="734"/>
      <c r="AB1" s="734"/>
      <c r="AC1" s="734"/>
      <c r="AD1" s="734"/>
      <c r="AE1" s="734"/>
      <c r="AF1" s="734"/>
      <c r="AG1" s="734"/>
      <c r="AH1" s="734"/>
      <c r="AI1" s="734"/>
      <c r="AJ1" s="734"/>
      <c r="AK1" s="734"/>
      <c r="AL1" s="734"/>
      <c r="AM1" s="734"/>
    </row>
    <row r="2" spans="1:39" s="614" customFormat="1" ht="31.5" customHeight="1">
      <c r="A2" s="726"/>
      <c r="B2" s="847" t="s">
        <v>6345</v>
      </c>
      <c r="C2" s="847"/>
      <c r="D2" s="847"/>
      <c r="E2" s="847"/>
      <c r="F2" s="189"/>
      <c r="G2" s="189"/>
      <c r="H2" s="189"/>
      <c r="I2" s="189"/>
      <c r="J2" s="189"/>
      <c r="K2" s="189"/>
      <c r="L2" s="189"/>
      <c r="M2" s="726"/>
      <c r="N2" s="726"/>
      <c r="O2" s="726"/>
      <c r="P2" s="726"/>
      <c r="Q2" s="726"/>
      <c r="R2" s="734"/>
      <c r="S2" s="734"/>
      <c r="T2" s="734"/>
      <c r="U2" s="734"/>
      <c r="V2" s="734"/>
      <c r="W2" s="734"/>
      <c r="X2" s="734"/>
      <c r="Y2" s="734"/>
      <c r="Z2" s="734"/>
      <c r="AA2" s="734"/>
      <c r="AB2" s="734"/>
      <c r="AC2" s="734"/>
      <c r="AD2" s="734"/>
      <c r="AE2" s="734"/>
      <c r="AF2" s="734"/>
      <c r="AG2" s="734"/>
      <c r="AH2" s="734"/>
      <c r="AI2" s="734"/>
      <c r="AJ2" s="734"/>
      <c r="AK2" s="734"/>
      <c r="AL2" s="734"/>
      <c r="AM2" s="734"/>
    </row>
    <row r="3" spans="1:39" s="614" customFormat="1" ht="15" customHeight="1">
      <c r="A3" s="726"/>
      <c r="B3" s="848" t="s">
        <v>6346</v>
      </c>
      <c r="C3" s="849"/>
      <c r="D3" s="849"/>
      <c r="E3" s="850"/>
      <c r="F3" s="726"/>
      <c r="G3" s="726"/>
      <c r="H3" s="726"/>
      <c r="I3" s="726"/>
      <c r="J3" s="726"/>
      <c r="K3" s="726"/>
      <c r="L3" s="726"/>
      <c r="M3" s="726"/>
      <c r="N3" s="726"/>
      <c r="O3" s="726"/>
      <c r="P3" s="726"/>
      <c r="Q3" s="726"/>
      <c r="R3" s="734"/>
      <c r="S3" s="734"/>
      <c r="T3" s="734"/>
      <c r="U3" s="734"/>
      <c r="V3" s="734"/>
      <c r="W3" s="734"/>
      <c r="X3" s="734"/>
      <c r="Y3" s="734"/>
      <c r="Z3" s="734"/>
      <c r="AA3" s="734"/>
      <c r="AB3" s="734"/>
      <c r="AC3" s="734"/>
      <c r="AD3" s="734"/>
      <c r="AE3" s="734"/>
      <c r="AF3" s="734"/>
      <c r="AG3" s="734"/>
      <c r="AH3" s="734"/>
      <c r="AI3" s="734"/>
      <c r="AJ3" s="734"/>
      <c r="AK3" s="734"/>
      <c r="AL3" s="734"/>
      <c r="AM3" s="734"/>
    </row>
    <row r="4" spans="1:39" s="168" customFormat="1" ht="15.95">
      <c r="A4" s="726"/>
      <c r="B4" s="242" t="s">
        <v>97</v>
      </c>
      <c r="C4" s="248"/>
      <c r="D4" s="248"/>
      <c r="E4" s="726"/>
      <c r="F4" s="726"/>
      <c r="G4" s="726"/>
      <c r="H4" s="726"/>
      <c r="I4" s="726"/>
      <c r="J4" s="726"/>
      <c r="K4" s="726"/>
      <c r="L4" s="726"/>
      <c r="M4" s="726"/>
      <c r="N4" s="726"/>
      <c r="O4" s="726"/>
      <c r="P4" s="726"/>
      <c r="Q4" s="734"/>
      <c r="R4" s="734"/>
      <c r="S4" s="734"/>
      <c r="T4" s="734"/>
      <c r="U4" s="734"/>
      <c r="V4" s="734"/>
      <c r="W4" s="734"/>
      <c r="X4" s="734"/>
      <c r="Y4" s="734"/>
      <c r="Z4" s="734"/>
      <c r="AA4" s="734"/>
      <c r="AB4" s="734"/>
      <c r="AC4" s="734"/>
      <c r="AD4" s="734"/>
      <c r="AE4" s="734"/>
      <c r="AF4" s="734"/>
      <c r="AG4" s="734"/>
      <c r="AH4" s="734"/>
      <c r="AI4" s="734"/>
      <c r="AJ4" s="734"/>
      <c r="AK4" s="734"/>
      <c r="AL4" s="734"/>
      <c r="AM4" s="734"/>
    </row>
    <row r="5" spans="1:39" s="168" customFormat="1" ht="7.5" customHeight="1" thickBot="1">
      <c r="A5" s="726"/>
      <c r="B5" s="726"/>
      <c r="C5" s="726"/>
      <c r="D5" s="726"/>
      <c r="E5" s="726"/>
      <c r="F5" s="726"/>
      <c r="G5" s="726"/>
      <c r="H5" s="726"/>
      <c r="I5" s="726"/>
      <c r="J5" s="726"/>
      <c r="K5" s="726"/>
      <c r="L5" s="726"/>
      <c r="M5" s="726"/>
      <c r="N5" s="726"/>
      <c r="O5" s="726"/>
      <c r="P5" s="726"/>
      <c r="Q5" s="734"/>
      <c r="R5" s="734"/>
      <c r="S5" s="734"/>
      <c r="T5" s="734"/>
      <c r="U5" s="734"/>
      <c r="V5" s="734"/>
      <c r="W5" s="734"/>
      <c r="X5" s="734"/>
      <c r="Y5" s="734"/>
      <c r="Z5" s="734"/>
      <c r="AA5" s="734"/>
      <c r="AB5" s="734"/>
      <c r="AC5" s="734"/>
      <c r="AD5" s="734"/>
      <c r="AE5" s="734"/>
      <c r="AF5" s="734"/>
      <c r="AG5" s="734"/>
      <c r="AH5" s="734"/>
      <c r="AI5" s="734"/>
      <c r="AJ5" s="734"/>
      <c r="AK5" s="734"/>
      <c r="AL5" s="734"/>
      <c r="AM5" s="734"/>
    </row>
    <row r="6" spans="1:39" s="168" customFormat="1" ht="24.75" customHeight="1" thickBot="1">
      <c r="A6" s="726"/>
      <c r="B6" s="833" t="s">
        <v>6347</v>
      </c>
      <c r="C6" s="845"/>
      <c r="D6" s="845"/>
      <c r="E6" s="845"/>
      <c r="F6" s="845"/>
      <c r="G6" s="845"/>
      <c r="H6" s="845"/>
      <c r="I6" s="845"/>
      <c r="J6" s="845"/>
      <c r="K6" s="845"/>
      <c r="L6" s="845"/>
      <c r="M6" s="846"/>
      <c r="N6" s="89"/>
      <c r="O6" s="89"/>
      <c r="P6" s="89"/>
      <c r="Q6" s="180"/>
      <c r="R6" s="180"/>
      <c r="S6" s="180"/>
      <c r="T6" s="180"/>
      <c r="U6" s="180"/>
      <c r="V6" s="180"/>
      <c r="W6" s="180"/>
      <c r="X6" s="180"/>
      <c r="Y6" s="180"/>
      <c r="Z6" s="180"/>
      <c r="AA6" s="180"/>
      <c r="AB6" s="180"/>
      <c r="AC6" s="180"/>
      <c r="AD6" s="180"/>
      <c r="AE6" s="180"/>
      <c r="AF6" s="180"/>
      <c r="AG6" s="180"/>
      <c r="AH6" s="180"/>
      <c r="AI6" s="180"/>
      <c r="AJ6" s="180"/>
      <c r="AK6" s="180"/>
      <c r="AL6" s="180"/>
      <c r="AM6" s="180"/>
    </row>
    <row r="7" spans="1:39" s="168" customFormat="1" ht="60.95">
      <c r="A7" s="726"/>
      <c r="B7" s="182" t="s">
        <v>6348</v>
      </c>
      <c r="C7" s="109" t="s">
        <v>6349</v>
      </c>
      <c r="D7" s="104" t="s">
        <v>6350</v>
      </c>
      <c r="E7" s="104" t="s">
        <v>6351</v>
      </c>
      <c r="F7" s="104" t="s">
        <v>6352</v>
      </c>
      <c r="G7" s="104" t="s">
        <v>6353</v>
      </c>
      <c r="H7" s="104" t="s">
        <v>6354</v>
      </c>
      <c r="I7" s="104" t="s">
        <v>6355</v>
      </c>
      <c r="J7" s="104" t="s">
        <v>6356</v>
      </c>
      <c r="K7" s="179" t="s">
        <v>6357</v>
      </c>
      <c r="L7" s="179" t="s">
        <v>6358</v>
      </c>
      <c r="M7" s="105" t="s">
        <v>6359</v>
      </c>
      <c r="N7" s="726"/>
      <c r="O7" s="726"/>
      <c r="P7" s="726"/>
      <c r="Q7" s="734"/>
      <c r="R7" s="734"/>
      <c r="S7" s="734"/>
      <c r="T7" s="734"/>
      <c r="U7" s="734"/>
      <c r="V7" s="734"/>
      <c r="W7" s="734"/>
      <c r="X7" s="734"/>
      <c r="Y7" s="734"/>
      <c r="Z7" s="734"/>
      <c r="AA7" s="734"/>
      <c r="AB7" s="734"/>
      <c r="AC7" s="734"/>
      <c r="AD7" s="734"/>
      <c r="AE7" s="734"/>
      <c r="AF7" s="734"/>
      <c r="AG7" s="734"/>
      <c r="AH7" s="734"/>
      <c r="AI7" s="734"/>
      <c r="AJ7" s="734"/>
      <c r="AK7" s="734"/>
      <c r="AL7" s="734"/>
      <c r="AM7" s="734"/>
    </row>
    <row r="8" spans="1:39" s="168" customFormat="1" ht="15.95">
      <c r="A8" s="726"/>
      <c r="B8" s="701" t="str">
        <f>CONCATENATE('Vehicle Request'!H20," ",'Vehicle Request'!I20," ",'Vehicle Request'!J20)</f>
        <v xml:space="preserve">  </v>
      </c>
      <c r="C8" s="249" t="str">
        <f>IF('Vehicle Request'!C20="", "", 'Vehicle Request'!C20)</f>
        <v/>
      </c>
      <c r="D8" s="702"/>
      <c r="E8" s="250"/>
      <c r="F8" s="250"/>
      <c r="G8" s="250"/>
      <c r="H8" s="702"/>
      <c r="I8" s="702"/>
      <c r="J8" s="250"/>
      <c r="K8" s="250"/>
      <c r="L8" s="253" t="str">
        <f t="shared" ref="L8:L18" si="0">IF(J8="", "", (J8*K8)*52)</f>
        <v/>
      </c>
      <c r="M8" s="700"/>
      <c r="N8" s="726"/>
      <c r="O8" s="726"/>
      <c r="P8" s="726"/>
      <c r="Q8" s="734"/>
      <c r="R8" s="734"/>
      <c r="S8" s="734"/>
      <c r="T8" s="734"/>
      <c r="U8" s="734"/>
      <c r="V8" s="734"/>
      <c r="W8" s="734"/>
      <c r="X8" s="734"/>
      <c r="Y8" s="734"/>
      <c r="Z8" s="734"/>
      <c r="AA8" s="734"/>
      <c r="AB8" s="734"/>
      <c r="AC8" s="734"/>
      <c r="AD8" s="734"/>
      <c r="AE8" s="734"/>
      <c r="AF8" s="734"/>
      <c r="AG8" s="734"/>
      <c r="AH8" s="734"/>
      <c r="AI8" s="734"/>
      <c r="AJ8" s="734"/>
      <c r="AK8" s="734"/>
      <c r="AL8" s="734"/>
      <c r="AM8" s="734"/>
    </row>
    <row r="9" spans="1:39" s="168" customFormat="1" ht="15.95">
      <c r="A9" s="726"/>
      <c r="B9" s="703" t="str">
        <f>CONCATENATE('Vehicle Request'!H21," ",'Vehicle Request'!I21," ",'Vehicle Request'!J21)</f>
        <v xml:space="preserve">  </v>
      </c>
      <c r="C9" s="704" t="str">
        <f>IF('Vehicle Request'!C21="", "", 'Vehicle Request'!C21)</f>
        <v/>
      </c>
      <c r="D9" s="251"/>
      <c r="E9" s="252"/>
      <c r="F9" s="252"/>
      <c r="G9" s="252"/>
      <c r="H9" s="251"/>
      <c r="I9" s="251"/>
      <c r="J9" s="252"/>
      <c r="K9" s="252"/>
      <c r="L9" s="253" t="str">
        <f t="shared" si="0"/>
        <v/>
      </c>
      <c r="M9" s="254"/>
      <c r="N9" s="726"/>
      <c r="O9" s="726"/>
      <c r="P9" s="726"/>
      <c r="Q9" s="734"/>
      <c r="R9" s="734"/>
      <c r="S9" s="734"/>
      <c r="T9" s="734"/>
      <c r="U9" s="734"/>
      <c r="V9" s="734"/>
      <c r="W9" s="734"/>
      <c r="X9" s="734"/>
      <c r="Y9" s="734"/>
      <c r="Z9" s="734"/>
      <c r="AA9" s="734"/>
      <c r="AB9" s="734"/>
      <c r="AC9" s="734"/>
      <c r="AD9" s="734"/>
      <c r="AE9" s="734"/>
      <c r="AF9" s="734"/>
      <c r="AG9" s="734"/>
      <c r="AH9" s="734"/>
      <c r="AI9" s="734"/>
      <c r="AJ9" s="734"/>
      <c r="AK9" s="734"/>
      <c r="AL9" s="734"/>
      <c r="AM9" s="734"/>
    </row>
    <row r="10" spans="1:39" s="168" customFormat="1" ht="15.95">
      <c r="A10" s="726"/>
      <c r="B10" s="703" t="str">
        <f>CONCATENATE('Vehicle Request'!H22," ",'Vehicle Request'!I22," ",'Vehicle Request'!J22)</f>
        <v xml:space="preserve">  </v>
      </c>
      <c r="C10" s="704" t="str">
        <f>IF('Vehicle Request'!C22="", "", 'Vehicle Request'!C22)</f>
        <v/>
      </c>
      <c r="D10" s="251"/>
      <c r="E10" s="252"/>
      <c r="F10" s="252"/>
      <c r="G10" s="252"/>
      <c r="H10" s="251"/>
      <c r="I10" s="251"/>
      <c r="J10" s="252"/>
      <c r="K10" s="252"/>
      <c r="L10" s="253" t="str">
        <f t="shared" si="0"/>
        <v/>
      </c>
      <c r="M10" s="254"/>
      <c r="N10" s="726"/>
      <c r="O10" s="726"/>
      <c r="P10" s="726"/>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row>
    <row r="11" spans="1:39" s="168" customFormat="1" ht="15.95">
      <c r="A11" s="726"/>
      <c r="B11" s="703" t="str">
        <f>CONCATENATE('Vehicle Request'!H23," ",'Vehicle Request'!I23," ",'Vehicle Request'!J23)</f>
        <v xml:space="preserve">  </v>
      </c>
      <c r="C11" s="704" t="str">
        <f>IF('Vehicle Request'!C23="", "", 'Vehicle Request'!C23)</f>
        <v/>
      </c>
      <c r="D11" s="251"/>
      <c r="E11" s="252"/>
      <c r="F11" s="252"/>
      <c r="G11" s="252"/>
      <c r="H11" s="251"/>
      <c r="I11" s="251"/>
      <c r="J11" s="252"/>
      <c r="K11" s="252"/>
      <c r="L11" s="253" t="str">
        <f t="shared" si="0"/>
        <v/>
      </c>
      <c r="M11" s="254"/>
      <c r="N11" s="726"/>
      <c r="O11" s="726"/>
      <c r="P11" s="726"/>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row>
    <row r="12" spans="1:39" s="168" customFormat="1" ht="15.95">
      <c r="A12" s="726"/>
      <c r="B12" s="703" t="str">
        <f>CONCATENATE('Vehicle Request'!H24," ",'Vehicle Request'!I24," ",'Vehicle Request'!J24)</f>
        <v xml:space="preserve">  </v>
      </c>
      <c r="C12" s="704" t="str">
        <f>IF('Vehicle Request'!C24="", "", 'Vehicle Request'!C24)</f>
        <v/>
      </c>
      <c r="D12" s="251"/>
      <c r="E12" s="252"/>
      <c r="F12" s="252"/>
      <c r="G12" s="252"/>
      <c r="H12" s="251"/>
      <c r="I12" s="251"/>
      <c r="J12" s="252"/>
      <c r="K12" s="252"/>
      <c r="L12" s="253" t="str">
        <f t="shared" si="0"/>
        <v/>
      </c>
      <c r="M12" s="254"/>
      <c r="N12" s="726"/>
      <c r="O12" s="726"/>
      <c r="P12" s="726"/>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row>
    <row r="13" spans="1:39" s="168" customFormat="1" ht="15.95">
      <c r="A13" s="726"/>
      <c r="B13" s="703" t="str">
        <f>CONCATENATE('Vehicle Request'!H25," ",'Vehicle Request'!I25," ",'Vehicle Request'!J25)</f>
        <v xml:space="preserve">  </v>
      </c>
      <c r="C13" s="704" t="str">
        <f>IF('Vehicle Request'!C25="", "", 'Vehicle Request'!C25)</f>
        <v/>
      </c>
      <c r="D13" s="251"/>
      <c r="E13" s="252"/>
      <c r="F13" s="252"/>
      <c r="G13" s="252"/>
      <c r="H13" s="251"/>
      <c r="I13" s="251"/>
      <c r="J13" s="252"/>
      <c r="K13" s="252"/>
      <c r="L13" s="253" t="str">
        <f t="shared" si="0"/>
        <v/>
      </c>
      <c r="M13" s="254"/>
      <c r="N13" s="726"/>
      <c r="O13" s="726"/>
      <c r="P13" s="726"/>
      <c r="Q13" s="734"/>
      <c r="R13" s="734"/>
      <c r="S13" s="734"/>
      <c r="T13" s="734"/>
      <c r="U13" s="734"/>
      <c r="V13" s="734"/>
      <c r="W13" s="734"/>
      <c r="X13" s="734"/>
      <c r="Y13" s="734"/>
      <c r="Z13" s="734"/>
      <c r="AA13" s="734"/>
      <c r="AB13" s="734"/>
      <c r="AC13" s="734"/>
      <c r="AD13" s="734"/>
      <c r="AE13" s="734"/>
      <c r="AF13" s="734"/>
      <c r="AG13" s="734"/>
      <c r="AH13" s="734"/>
      <c r="AI13" s="734"/>
      <c r="AJ13" s="734"/>
      <c r="AK13" s="734"/>
      <c r="AL13" s="734"/>
      <c r="AM13" s="734"/>
    </row>
    <row r="14" spans="1:39" s="168" customFormat="1" ht="15.95">
      <c r="A14" s="726"/>
      <c r="B14" s="703" t="str">
        <f>CONCATENATE('Vehicle Request'!H26," ",'Vehicle Request'!I26," ",'Vehicle Request'!J26)</f>
        <v xml:space="preserve">  </v>
      </c>
      <c r="C14" s="704" t="s">
        <v>6360</v>
      </c>
      <c r="D14" s="251"/>
      <c r="E14" s="252"/>
      <c r="F14" s="252"/>
      <c r="G14" s="252"/>
      <c r="H14" s="251"/>
      <c r="I14" s="251"/>
      <c r="J14" s="252"/>
      <c r="K14" s="252"/>
      <c r="L14" s="253" t="str">
        <f t="shared" si="0"/>
        <v/>
      </c>
      <c r="M14" s="254"/>
      <c r="N14" s="726"/>
      <c r="O14" s="726"/>
      <c r="P14" s="726"/>
      <c r="Q14" s="734"/>
      <c r="R14" s="734"/>
      <c r="S14" s="734"/>
      <c r="T14" s="734"/>
      <c r="U14" s="734"/>
      <c r="V14" s="734"/>
      <c r="W14" s="734"/>
      <c r="X14" s="734"/>
      <c r="Y14" s="734"/>
      <c r="Z14" s="734"/>
      <c r="AA14" s="734"/>
      <c r="AB14" s="734"/>
      <c r="AC14" s="734"/>
      <c r="AD14" s="734"/>
      <c r="AE14" s="734"/>
      <c r="AF14" s="734"/>
      <c r="AG14" s="734"/>
      <c r="AH14" s="734"/>
      <c r="AI14" s="734"/>
      <c r="AJ14" s="734"/>
      <c r="AK14" s="734"/>
      <c r="AL14" s="734"/>
      <c r="AM14" s="734"/>
    </row>
    <row r="15" spans="1:39" s="168" customFormat="1" ht="15.95">
      <c r="A15" s="726"/>
      <c r="B15" s="703" t="str">
        <f>CONCATENATE('Vehicle Request'!H27," ",'Vehicle Request'!I27," ",'Vehicle Request'!J27)</f>
        <v xml:space="preserve">  </v>
      </c>
      <c r="C15" s="704" t="str">
        <f>IF('Vehicle Request'!C27="", "", 'Vehicle Request'!C27)</f>
        <v/>
      </c>
      <c r="D15" s="251"/>
      <c r="E15" s="252"/>
      <c r="F15" s="252"/>
      <c r="G15" s="252"/>
      <c r="H15" s="251"/>
      <c r="I15" s="251"/>
      <c r="J15" s="252"/>
      <c r="K15" s="252"/>
      <c r="L15" s="253" t="str">
        <f t="shared" si="0"/>
        <v/>
      </c>
      <c r="M15" s="254"/>
      <c r="N15" s="726"/>
      <c r="O15" s="726"/>
      <c r="P15" s="726"/>
      <c r="Q15" s="734"/>
      <c r="R15" s="734"/>
      <c r="S15" s="734"/>
      <c r="T15" s="734"/>
      <c r="U15" s="734"/>
      <c r="V15" s="734"/>
      <c r="W15" s="734"/>
      <c r="X15" s="734"/>
      <c r="Y15" s="734"/>
      <c r="Z15" s="734"/>
      <c r="AA15" s="734"/>
      <c r="AB15" s="734"/>
      <c r="AC15" s="734"/>
      <c r="AD15" s="734"/>
      <c r="AE15" s="734"/>
      <c r="AF15" s="734"/>
      <c r="AG15" s="734"/>
      <c r="AH15" s="734"/>
      <c r="AI15" s="734"/>
      <c r="AJ15" s="734"/>
      <c r="AK15" s="734"/>
      <c r="AL15" s="734"/>
      <c r="AM15" s="734"/>
    </row>
    <row r="16" spans="1:39" s="168" customFormat="1" ht="15.95">
      <c r="A16" s="726"/>
      <c r="B16" s="703" t="str">
        <f>CONCATENATE('Vehicle Request'!H28," ",'Vehicle Request'!I28," ",'Vehicle Request'!J28)</f>
        <v xml:space="preserve">  </v>
      </c>
      <c r="C16" s="704" t="str">
        <f>IF('Vehicle Request'!C28="", "", 'Vehicle Request'!C28)</f>
        <v/>
      </c>
      <c r="D16" s="251"/>
      <c r="E16" s="252"/>
      <c r="F16" s="252"/>
      <c r="G16" s="252"/>
      <c r="H16" s="251"/>
      <c r="I16" s="251"/>
      <c r="J16" s="252"/>
      <c r="K16" s="252"/>
      <c r="L16" s="253" t="str">
        <f t="shared" si="0"/>
        <v/>
      </c>
      <c r="M16" s="254"/>
      <c r="N16" s="726"/>
      <c r="O16" s="726"/>
      <c r="P16" s="726"/>
      <c r="Q16" s="734"/>
      <c r="R16" s="734"/>
      <c r="S16" s="734"/>
      <c r="T16" s="734"/>
      <c r="U16" s="734"/>
      <c r="V16" s="734"/>
      <c r="W16" s="734"/>
      <c r="X16" s="734"/>
      <c r="Y16" s="734"/>
      <c r="Z16" s="734"/>
      <c r="AA16" s="734"/>
      <c r="AB16" s="734"/>
      <c r="AC16" s="734"/>
      <c r="AD16" s="734"/>
      <c r="AE16" s="734"/>
      <c r="AF16" s="734"/>
      <c r="AG16" s="734"/>
      <c r="AH16" s="734"/>
      <c r="AI16" s="734"/>
      <c r="AJ16" s="734"/>
      <c r="AK16" s="734"/>
      <c r="AL16" s="734"/>
      <c r="AM16" s="734"/>
    </row>
    <row r="17" spans="1:39" s="168" customFormat="1" ht="15.95">
      <c r="A17" s="726"/>
      <c r="B17" s="703" t="str">
        <f>CONCATENATE('Vehicle Request'!H29," ",'Vehicle Request'!I29," ",'Vehicle Request'!J29)</f>
        <v xml:space="preserve">  </v>
      </c>
      <c r="C17" s="704" t="str">
        <f>IF('Vehicle Request'!C29="", "", 'Vehicle Request'!C29)</f>
        <v/>
      </c>
      <c r="D17" s="251"/>
      <c r="E17" s="252"/>
      <c r="F17" s="252"/>
      <c r="G17" s="252"/>
      <c r="H17" s="251"/>
      <c r="I17" s="251"/>
      <c r="J17" s="252"/>
      <c r="K17" s="252"/>
      <c r="L17" s="253" t="str">
        <f t="shared" si="0"/>
        <v/>
      </c>
      <c r="M17" s="254"/>
      <c r="N17" s="726"/>
      <c r="O17" s="726"/>
      <c r="P17" s="726"/>
      <c r="Q17" s="734"/>
      <c r="R17" s="734"/>
      <c r="S17" s="734"/>
      <c r="T17" s="734"/>
      <c r="U17" s="734"/>
      <c r="V17" s="734"/>
      <c r="W17" s="734"/>
      <c r="X17" s="734"/>
      <c r="Y17" s="734"/>
      <c r="Z17" s="734"/>
      <c r="AA17" s="734"/>
      <c r="AB17" s="734"/>
      <c r="AC17" s="734"/>
      <c r="AD17" s="734"/>
      <c r="AE17" s="734"/>
      <c r="AF17" s="734"/>
      <c r="AG17" s="734"/>
      <c r="AH17" s="734"/>
      <c r="AI17" s="734"/>
      <c r="AJ17" s="734"/>
      <c r="AK17" s="734"/>
      <c r="AL17" s="734"/>
      <c r="AM17" s="734"/>
    </row>
    <row r="18" spans="1:39" s="168" customFormat="1" ht="15.95">
      <c r="A18" s="726"/>
      <c r="B18" s="703" t="str">
        <f>CONCATENATE('Vehicle Request'!H30," ",'Vehicle Request'!I30," ",'Vehicle Request'!J30)</f>
        <v xml:space="preserve">  </v>
      </c>
      <c r="C18" s="704" t="str">
        <f>IF('Vehicle Request'!C30="", "", 'Vehicle Request'!C30)</f>
        <v/>
      </c>
      <c r="D18" s="251"/>
      <c r="E18" s="252"/>
      <c r="F18" s="252"/>
      <c r="G18" s="252"/>
      <c r="H18" s="251"/>
      <c r="I18" s="251"/>
      <c r="J18" s="252"/>
      <c r="K18" s="252"/>
      <c r="L18" s="253" t="str">
        <f t="shared" si="0"/>
        <v/>
      </c>
      <c r="M18" s="254"/>
      <c r="N18" s="726"/>
      <c r="O18" s="726"/>
      <c r="P18" s="726"/>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row>
    <row r="19" spans="1:39" s="168" customFormat="1" ht="15.95">
      <c r="A19" s="726"/>
      <c r="B19" s="703" t="str">
        <f>CONCATENATE('Vehicle Request'!H31," ",'Vehicle Request'!I31," ",'Vehicle Request'!J31)</f>
        <v xml:space="preserve">  </v>
      </c>
      <c r="C19" s="704" t="str">
        <f>IF('Vehicle Request'!C31="", "", 'Vehicle Request'!C31)</f>
        <v/>
      </c>
      <c r="D19" s="251"/>
      <c r="E19" s="252"/>
      <c r="F19" s="252"/>
      <c r="G19" s="252"/>
      <c r="H19" s="251"/>
      <c r="I19" s="251"/>
      <c r="J19" s="252"/>
      <c r="K19" s="252"/>
      <c r="L19" s="253" t="str">
        <f t="shared" ref="L19:L24" si="1">IF(J19="", "", (J19*K19)*52)</f>
        <v/>
      </c>
      <c r="M19" s="254"/>
      <c r="N19" s="726"/>
      <c r="O19" s="726"/>
      <c r="P19" s="726"/>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row>
    <row r="20" spans="1:39" s="168" customFormat="1" ht="15.95">
      <c r="A20" s="726"/>
      <c r="B20" s="703" t="str">
        <f>CONCATENATE('Vehicle Request'!H32," ",'Vehicle Request'!I32," ",'Vehicle Request'!J32)</f>
        <v xml:space="preserve">  </v>
      </c>
      <c r="C20" s="704" t="str">
        <f>IF('Vehicle Request'!C32="", "", 'Vehicle Request'!C32)</f>
        <v/>
      </c>
      <c r="D20" s="251"/>
      <c r="E20" s="252"/>
      <c r="F20" s="252"/>
      <c r="G20" s="252"/>
      <c r="H20" s="251"/>
      <c r="I20" s="251"/>
      <c r="J20" s="252"/>
      <c r="K20" s="252"/>
      <c r="L20" s="253" t="str">
        <f t="shared" si="1"/>
        <v/>
      </c>
      <c r="M20" s="254"/>
      <c r="N20" s="726"/>
      <c r="O20" s="726"/>
      <c r="P20" s="726"/>
      <c r="Q20" s="734"/>
      <c r="R20" s="734"/>
      <c r="S20" s="734"/>
      <c r="T20" s="734"/>
      <c r="U20" s="734"/>
      <c r="V20" s="734"/>
      <c r="W20" s="734"/>
      <c r="X20" s="734"/>
      <c r="Y20" s="734"/>
      <c r="Z20" s="734"/>
      <c r="AA20" s="734"/>
      <c r="AB20" s="734"/>
      <c r="AC20" s="734"/>
      <c r="AD20" s="734"/>
      <c r="AE20" s="734"/>
      <c r="AF20" s="734"/>
      <c r="AG20" s="734"/>
      <c r="AH20" s="734"/>
      <c r="AI20" s="734"/>
      <c r="AJ20" s="734"/>
      <c r="AK20" s="734"/>
      <c r="AL20" s="734"/>
      <c r="AM20" s="734"/>
    </row>
    <row r="21" spans="1:39" s="168" customFormat="1" ht="15.95">
      <c r="A21" s="726"/>
      <c r="B21" s="703" t="str">
        <f>CONCATENATE('Vehicle Request'!H33," ",'Vehicle Request'!I33," ",'Vehicle Request'!J33)</f>
        <v xml:space="preserve">  </v>
      </c>
      <c r="C21" s="704" t="str">
        <f>IF('Vehicle Request'!C33="", "", 'Vehicle Request'!C33)</f>
        <v/>
      </c>
      <c r="D21" s="251"/>
      <c r="E21" s="252"/>
      <c r="F21" s="252"/>
      <c r="G21" s="252"/>
      <c r="H21" s="251"/>
      <c r="I21" s="251"/>
      <c r="J21" s="252"/>
      <c r="K21" s="252"/>
      <c r="L21" s="253" t="str">
        <f t="shared" si="1"/>
        <v/>
      </c>
      <c r="M21" s="254"/>
      <c r="N21" s="726"/>
      <c r="O21" s="726"/>
      <c r="P21" s="726"/>
      <c r="Q21" s="734"/>
      <c r="R21" s="734"/>
      <c r="S21" s="734"/>
      <c r="T21" s="734"/>
      <c r="U21" s="734"/>
      <c r="V21" s="734"/>
      <c r="W21" s="734"/>
      <c r="X21" s="734"/>
      <c r="Y21" s="734"/>
      <c r="Z21" s="734"/>
      <c r="AA21" s="734"/>
      <c r="AB21" s="734"/>
      <c r="AC21" s="734"/>
      <c r="AD21" s="734"/>
      <c r="AE21" s="734"/>
      <c r="AF21" s="734"/>
      <c r="AG21" s="734"/>
      <c r="AH21" s="734"/>
      <c r="AI21" s="734"/>
      <c r="AJ21" s="734"/>
      <c r="AK21" s="734"/>
      <c r="AL21" s="734"/>
      <c r="AM21" s="734"/>
    </row>
    <row r="22" spans="1:39" s="168" customFormat="1" ht="15.95">
      <c r="A22" s="726"/>
      <c r="B22" s="703" t="str">
        <f>CONCATENATE('Vehicle Request'!H34," ",'Vehicle Request'!I34," ",'Vehicle Request'!J34)</f>
        <v xml:space="preserve">  </v>
      </c>
      <c r="C22" s="704" t="str">
        <f>IF('Vehicle Request'!C34="", "", 'Vehicle Request'!C34)</f>
        <v/>
      </c>
      <c r="D22" s="251"/>
      <c r="E22" s="252"/>
      <c r="F22" s="252"/>
      <c r="G22" s="252"/>
      <c r="H22" s="251"/>
      <c r="I22" s="251"/>
      <c r="J22" s="252"/>
      <c r="K22" s="252"/>
      <c r="L22" s="253" t="str">
        <f t="shared" si="1"/>
        <v/>
      </c>
      <c r="M22" s="254"/>
      <c r="N22" s="726"/>
      <c r="O22" s="726"/>
      <c r="P22" s="726"/>
      <c r="Q22" s="734"/>
      <c r="R22" s="734"/>
      <c r="S22" s="734"/>
      <c r="T22" s="734"/>
      <c r="U22" s="734"/>
      <c r="V22" s="734"/>
      <c r="W22" s="734"/>
      <c r="X22" s="734"/>
      <c r="Y22" s="734"/>
      <c r="Z22" s="734"/>
      <c r="AA22" s="734"/>
      <c r="AB22" s="734"/>
      <c r="AC22" s="734"/>
      <c r="AD22" s="734"/>
      <c r="AE22" s="734"/>
      <c r="AF22" s="734"/>
      <c r="AG22" s="734"/>
      <c r="AH22" s="734"/>
      <c r="AI22" s="734"/>
      <c r="AJ22" s="734"/>
      <c r="AK22" s="734"/>
      <c r="AL22" s="734"/>
      <c r="AM22" s="734"/>
    </row>
    <row r="23" spans="1:39" s="168" customFormat="1" ht="15.95">
      <c r="A23" s="726"/>
      <c r="B23" s="703" t="str">
        <f>CONCATENATE('Vehicle Request'!H35," ",'Vehicle Request'!I35," ",'Vehicle Request'!J35)</f>
        <v xml:space="preserve">  </v>
      </c>
      <c r="C23" s="704" t="str">
        <f>IF('Vehicle Request'!C35="", "", 'Vehicle Request'!C35)</f>
        <v/>
      </c>
      <c r="D23" s="251"/>
      <c r="E23" s="252"/>
      <c r="F23" s="252"/>
      <c r="G23" s="252"/>
      <c r="H23" s="251"/>
      <c r="I23" s="251"/>
      <c r="J23" s="252"/>
      <c r="K23" s="252"/>
      <c r="L23" s="253" t="str">
        <f t="shared" si="1"/>
        <v/>
      </c>
      <c r="M23" s="254"/>
      <c r="N23" s="726"/>
      <c r="O23" s="726"/>
      <c r="P23" s="726"/>
      <c r="Q23" s="734"/>
      <c r="R23" s="734"/>
      <c r="S23" s="734"/>
      <c r="T23" s="734"/>
      <c r="U23" s="734"/>
      <c r="V23" s="734"/>
      <c r="W23" s="734"/>
      <c r="X23" s="734"/>
      <c r="Y23" s="734"/>
      <c r="Z23" s="734"/>
      <c r="AA23" s="734"/>
      <c r="AB23" s="734"/>
      <c r="AC23" s="734"/>
      <c r="AD23" s="734"/>
      <c r="AE23" s="734"/>
      <c r="AF23" s="734"/>
      <c r="AG23" s="734"/>
      <c r="AH23" s="734"/>
      <c r="AI23" s="734"/>
      <c r="AJ23" s="734"/>
      <c r="AK23" s="734"/>
      <c r="AL23" s="734"/>
      <c r="AM23" s="734"/>
    </row>
    <row r="24" spans="1:39" s="168" customFormat="1" ht="17.100000000000001" thickBot="1">
      <c r="A24" s="726"/>
      <c r="B24" s="255" t="str">
        <f>CONCATENATE('Vehicle Request'!H36," ",'Vehicle Request'!I36," ",'Vehicle Request'!J36)</f>
        <v xml:space="preserve">  </v>
      </c>
      <c r="C24" s="256" t="str">
        <f>IF('Vehicle Request'!C36="", "", 'Vehicle Request'!C36)</f>
        <v/>
      </c>
      <c r="D24" s="257"/>
      <c r="E24" s="258"/>
      <c r="F24" s="258"/>
      <c r="G24" s="258"/>
      <c r="H24" s="257"/>
      <c r="I24" s="257"/>
      <c r="J24" s="258"/>
      <c r="K24" s="258"/>
      <c r="L24" s="259" t="str">
        <f t="shared" si="1"/>
        <v/>
      </c>
      <c r="M24" s="260"/>
      <c r="N24" s="726"/>
      <c r="O24" s="726"/>
      <c r="P24" s="726"/>
      <c r="Q24" s="734"/>
      <c r="R24" s="734"/>
      <c r="S24" s="734"/>
      <c r="T24" s="734"/>
      <c r="U24" s="734"/>
      <c r="V24" s="734"/>
      <c r="W24" s="734"/>
      <c r="X24" s="734"/>
      <c r="Y24" s="734"/>
      <c r="Z24" s="734"/>
      <c r="AA24" s="734"/>
      <c r="AB24" s="734"/>
      <c r="AC24" s="734"/>
      <c r="AD24" s="734"/>
      <c r="AE24" s="734"/>
      <c r="AF24" s="734"/>
      <c r="AG24" s="734"/>
      <c r="AH24" s="734"/>
      <c r="AI24" s="734"/>
      <c r="AJ24" s="734"/>
      <c r="AK24" s="734"/>
      <c r="AL24" s="734"/>
      <c r="AM24" s="734"/>
    </row>
    <row r="25" spans="1:39" s="168" customFormat="1" ht="7.5" customHeight="1" thickBot="1">
      <c r="A25" s="726"/>
      <c r="B25" s="726"/>
      <c r="C25" s="726"/>
      <c r="D25" s="726"/>
      <c r="E25" s="726"/>
      <c r="F25" s="726"/>
      <c r="G25" s="726"/>
      <c r="H25" s="726"/>
      <c r="I25" s="726"/>
      <c r="J25" s="726"/>
      <c r="K25" s="726"/>
      <c r="L25" s="726"/>
      <c r="M25" s="726"/>
      <c r="N25" s="726"/>
      <c r="O25" s="726"/>
      <c r="P25" s="726"/>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row>
    <row r="26" spans="1:39" s="168" customFormat="1" ht="24" customHeight="1" thickBot="1">
      <c r="A26" s="726"/>
      <c r="B26" s="833" t="s">
        <v>6361</v>
      </c>
      <c r="C26" s="845"/>
      <c r="D26" s="845"/>
      <c r="E26" s="845"/>
      <c r="F26" s="845"/>
      <c r="G26" s="845"/>
      <c r="H26" s="845"/>
      <c r="I26" s="845"/>
      <c r="J26" s="845"/>
      <c r="K26" s="845"/>
      <c r="L26" s="845"/>
      <c r="M26" s="846"/>
      <c r="N26" s="119"/>
      <c r="O26" s="119"/>
      <c r="P26" s="119"/>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row>
    <row r="27" spans="1:39" s="168" customFormat="1" ht="60.95">
      <c r="A27" s="726"/>
      <c r="B27" s="101" t="s">
        <v>6348</v>
      </c>
      <c r="C27" s="109" t="s">
        <v>6349</v>
      </c>
      <c r="D27" s="104" t="s">
        <v>6350</v>
      </c>
      <c r="E27" s="104" t="s">
        <v>6351</v>
      </c>
      <c r="F27" s="104" t="s">
        <v>6352</v>
      </c>
      <c r="G27" s="104" t="s">
        <v>6353</v>
      </c>
      <c r="H27" s="104" t="s">
        <v>6354</v>
      </c>
      <c r="I27" s="104" t="s">
        <v>6355</v>
      </c>
      <c r="J27" s="104" t="s">
        <v>6356</v>
      </c>
      <c r="K27" s="179" t="s">
        <v>6357</v>
      </c>
      <c r="L27" s="179" t="s">
        <v>6358</v>
      </c>
      <c r="M27" s="105" t="s">
        <v>6359</v>
      </c>
      <c r="N27" s="726"/>
      <c r="O27" s="726"/>
      <c r="P27" s="726"/>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row>
    <row r="28" spans="1:39" s="168" customFormat="1" ht="15.95">
      <c r="A28" s="726"/>
      <c r="B28" s="701" t="str">
        <f>CONCATENATE('Vehicle Request'!H40," ",'Vehicle Request'!I40," ",'Vehicle Request'!J40)</f>
        <v xml:space="preserve">  </v>
      </c>
      <c r="C28" s="249" t="str">
        <f>IF('Vehicle Request'!C40="", "", 'Vehicle Request'!C40)</f>
        <v/>
      </c>
      <c r="D28" s="702"/>
      <c r="E28" s="250"/>
      <c r="F28" s="250"/>
      <c r="G28" s="250"/>
      <c r="H28" s="702"/>
      <c r="I28" s="706"/>
      <c r="J28" s="676"/>
      <c r="K28" s="250"/>
      <c r="L28" s="253" t="str">
        <f t="shared" ref="L28:L59" si="2">IF(J28="", "", (J28*K28)*52)</f>
        <v/>
      </c>
      <c r="M28" s="700"/>
      <c r="N28" s="726"/>
      <c r="O28" s="726"/>
      <c r="P28" s="726"/>
      <c r="Q28" s="734"/>
      <c r="R28" s="734"/>
      <c r="S28" s="734"/>
      <c r="T28" s="734"/>
      <c r="U28" s="734"/>
      <c r="V28" s="734"/>
      <c r="W28" s="734"/>
      <c r="X28" s="734"/>
      <c r="Y28" s="734"/>
      <c r="Z28" s="734"/>
      <c r="AA28" s="734"/>
      <c r="AB28" s="734"/>
      <c r="AC28" s="734"/>
      <c r="AD28" s="734"/>
      <c r="AE28" s="734"/>
      <c r="AF28" s="734"/>
      <c r="AG28" s="734"/>
      <c r="AH28" s="734"/>
      <c r="AI28" s="734"/>
      <c r="AJ28" s="734"/>
      <c r="AK28" s="734"/>
      <c r="AL28" s="734"/>
      <c r="AM28" s="734"/>
    </row>
    <row r="29" spans="1:39" s="589" customFormat="1" ht="15.95">
      <c r="A29" s="726"/>
      <c r="B29" s="703" t="str">
        <f>CONCATENATE('Vehicle Request'!H41," ",'Vehicle Request'!I41," ",'Vehicle Request'!J41)</f>
        <v xml:space="preserve">  </v>
      </c>
      <c r="C29" s="704" t="str">
        <f>IF('Vehicle Request'!C41="", "", 'Vehicle Request'!C41)</f>
        <v/>
      </c>
      <c r="D29" s="251"/>
      <c r="E29" s="252"/>
      <c r="F29" s="252"/>
      <c r="G29" s="252"/>
      <c r="H29" s="251"/>
      <c r="I29" s="706"/>
      <c r="J29" s="677"/>
      <c r="K29" s="252"/>
      <c r="L29" s="253" t="str">
        <f t="shared" si="2"/>
        <v/>
      </c>
      <c r="M29" s="720"/>
      <c r="N29" s="726"/>
      <c r="O29" s="726"/>
      <c r="P29" s="726"/>
      <c r="Q29" s="734"/>
      <c r="R29" s="734"/>
      <c r="S29" s="734"/>
      <c r="T29" s="734"/>
      <c r="U29" s="734"/>
      <c r="V29" s="734"/>
      <c r="W29" s="734"/>
      <c r="X29" s="734"/>
      <c r="Y29" s="734"/>
      <c r="Z29" s="734"/>
      <c r="AA29" s="734"/>
      <c r="AB29" s="734"/>
      <c r="AC29" s="734"/>
      <c r="AD29" s="734"/>
      <c r="AE29" s="734"/>
      <c r="AF29" s="734"/>
      <c r="AG29" s="734"/>
      <c r="AH29" s="734"/>
      <c r="AI29" s="734"/>
      <c r="AJ29" s="734"/>
      <c r="AK29" s="734"/>
      <c r="AL29" s="734"/>
      <c r="AM29" s="734"/>
    </row>
    <row r="30" spans="1:39" s="589" customFormat="1" ht="15.95">
      <c r="A30" s="726"/>
      <c r="B30" s="703" t="str">
        <f>CONCATENATE('Vehicle Request'!H42," ",'Vehicle Request'!I42," ",'Vehicle Request'!J42)</f>
        <v xml:space="preserve">  </v>
      </c>
      <c r="C30" s="704" t="str">
        <f>IF('Vehicle Request'!C42="", "", 'Vehicle Request'!C42)</f>
        <v/>
      </c>
      <c r="D30" s="251"/>
      <c r="E30" s="252"/>
      <c r="F30" s="252"/>
      <c r="G30" s="252"/>
      <c r="H30" s="251"/>
      <c r="I30" s="251"/>
      <c r="J30" s="677"/>
      <c r="K30" s="252"/>
      <c r="L30" s="253" t="str">
        <f t="shared" si="2"/>
        <v/>
      </c>
      <c r="M30" s="254"/>
      <c r="N30" s="726"/>
      <c r="O30" s="726"/>
      <c r="P30" s="726"/>
      <c r="Q30" s="734"/>
      <c r="R30" s="734"/>
      <c r="S30" s="734"/>
      <c r="T30" s="734"/>
      <c r="U30" s="734"/>
      <c r="V30" s="734"/>
      <c r="W30" s="734"/>
      <c r="X30" s="734"/>
      <c r="Y30" s="734"/>
      <c r="Z30" s="734"/>
      <c r="AA30" s="734"/>
      <c r="AB30" s="734"/>
      <c r="AC30" s="734"/>
      <c r="AD30" s="734"/>
      <c r="AE30" s="734"/>
      <c r="AF30" s="734"/>
      <c r="AG30" s="734"/>
      <c r="AH30" s="734"/>
      <c r="AI30" s="734"/>
      <c r="AJ30" s="734"/>
      <c r="AK30" s="734"/>
      <c r="AL30" s="734"/>
      <c r="AM30" s="734"/>
    </row>
    <row r="31" spans="1:39" s="589" customFormat="1" ht="15.95">
      <c r="A31" s="726"/>
      <c r="B31" s="703" t="str">
        <f>CONCATENATE('Vehicle Request'!H43," ",'Vehicle Request'!I43," ",'Vehicle Request'!J43)</f>
        <v xml:space="preserve">  </v>
      </c>
      <c r="C31" s="704" t="str">
        <f>IF('Vehicle Request'!C43="", "", 'Vehicle Request'!C43)</f>
        <v/>
      </c>
      <c r="D31" s="251"/>
      <c r="E31" s="252"/>
      <c r="F31" s="252"/>
      <c r="G31" s="252"/>
      <c r="H31" s="251"/>
      <c r="I31" s="251"/>
      <c r="J31" s="677"/>
      <c r="K31" s="252"/>
      <c r="L31" s="253" t="str">
        <f t="shared" si="2"/>
        <v/>
      </c>
      <c r="M31" s="719"/>
      <c r="N31" s="726"/>
      <c r="O31" s="726"/>
      <c r="P31" s="726"/>
      <c r="Q31" s="734"/>
      <c r="R31" s="734"/>
      <c r="S31" s="734"/>
      <c r="T31" s="734"/>
      <c r="U31" s="734"/>
      <c r="V31" s="734"/>
      <c r="W31" s="734"/>
      <c r="X31" s="734"/>
      <c r="Y31" s="734"/>
      <c r="Z31" s="734"/>
      <c r="AA31" s="734"/>
      <c r="AB31" s="734"/>
      <c r="AC31" s="734"/>
      <c r="AD31" s="734"/>
      <c r="AE31" s="734"/>
      <c r="AF31" s="734"/>
      <c r="AG31" s="734"/>
      <c r="AH31" s="734"/>
      <c r="AI31" s="734"/>
      <c r="AJ31" s="734"/>
      <c r="AK31" s="734"/>
      <c r="AL31" s="734"/>
      <c r="AM31" s="734"/>
    </row>
    <row r="32" spans="1:39" s="589" customFormat="1" ht="15.95">
      <c r="A32" s="726"/>
      <c r="B32" s="703" t="str">
        <f>CONCATENATE('Vehicle Request'!H44," ",'Vehicle Request'!I44," ",'Vehicle Request'!J44)</f>
        <v xml:space="preserve">  </v>
      </c>
      <c r="C32" s="704" t="str">
        <f>IF('Vehicle Request'!C44="", "", 'Vehicle Request'!C44)</f>
        <v/>
      </c>
      <c r="D32" s="251"/>
      <c r="E32" s="252"/>
      <c r="F32" s="252"/>
      <c r="G32" s="252"/>
      <c r="H32" s="251"/>
      <c r="I32" s="251"/>
      <c r="J32" s="677"/>
      <c r="K32" s="252"/>
      <c r="L32" s="253" t="str">
        <f t="shared" si="2"/>
        <v/>
      </c>
      <c r="M32" s="719"/>
      <c r="N32" s="726"/>
      <c r="O32" s="726"/>
      <c r="P32" s="726"/>
      <c r="Q32" s="734"/>
      <c r="R32" s="734"/>
      <c r="S32" s="734"/>
      <c r="T32" s="734"/>
      <c r="U32" s="734"/>
      <c r="V32" s="734"/>
      <c r="W32" s="734"/>
      <c r="X32" s="734"/>
      <c r="Y32" s="734"/>
      <c r="Z32" s="734"/>
      <c r="AA32" s="734"/>
      <c r="AB32" s="734"/>
      <c r="AC32" s="734"/>
      <c r="AD32" s="734"/>
      <c r="AE32" s="734"/>
      <c r="AF32" s="734"/>
      <c r="AG32" s="734"/>
      <c r="AH32" s="734"/>
      <c r="AI32" s="734"/>
      <c r="AJ32" s="734"/>
      <c r="AK32" s="734"/>
      <c r="AL32" s="734"/>
      <c r="AM32" s="734"/>
    </row>
    <row r="33" spans="1:16" s="589" customFormat="1" ht="15.95">
      <c r="A33" s="726"/>
      <c r="B33" s="703" t="str">
        <f>CONCATENATE('Vehicle Request'!H45," ",'Vehicle Request'!I45," ",'Vehicle Request'!J45)</f>
        <v xml:space="preserve">  </v>
      </c>
      <c r="C33" s="704" t="str">
        <f>IF('Vehicle Request'!C45="", "", 'Vehicle Request'!C45)</f>
        <v/>
      </c>
      <c r="D33" s="251"/>
      <c r="E33" s="252"/>
      <c r="F33" s="252"/>
      <c r="G33" s="252"/>
      <c r="H33" s="251"/>
      <c r="I33" s="251"/>
      <c r="J33" s="677"/>
      <c r="K33" s="252"/>
      <c r="L33" s="253" t="str">
        <f t="shared" si="2"/>
        <v/>
      </c>
      <c r="M33" s="254"/>
      <c r="N33" s="726"/>
      <c r="O33" s="726"/>
      <c r="P33" s="726"/>
    </row>
    <row r="34" spans="1:16" s="589" customFormat="1" ht="15.95">
      <c r="A34" s="726"/>
      <c r="B34" s="703" t="str">
        <f>CONCATENATE('Vehicle Request'!H46," ",'Vehicle Request'!I46," ",'Vehicle Request'!J46)</f>
        <v xml:space="preserve">  </v>
      </c>
      <c r="C34" s="704" t="str">
        <f>IF('Vehicle Request'!C46="", "", 'Vehicle Request'!C46)</f>
        <v/>
      </c>
      <c r="D34" s="251"/>
      <c r="E34" s="252"/>
      <c r="F34" s="252"/>
      <c r="G34" s="252"/>
      <c r="H34" s="251"/>
      <c r="I34" s="251"/>
      <c r="J34" s="677"/>
      <c r="K34" s="252"/>
      <c r="L34" s="253" t="str">
        <f t="shared" si="2"/>
        <v/>
      </c>
      <c r="M34" s="254"/>
      <c r="N34" s="726"/>
      <c r="O34" s="726"/>
      <c r="P34" s="726"/>
    </row>
    <row r="35" spans="1:16" s="589" customFormat="1" ht="15.95">
      <c r="A35" s="726"/>
      <c r="B35" s="703" t="str">
        <f>CONCATENATE('Vehicle Request'!H47," ",'Vehicle Request'!I47," ",'Vehicle Request'!J47)</f>
        <v xml:space="preserve">  </v>
      </c>
      <c r="C35" s="704" t="str">
        <f>IF('Vehicle Request'!C47="", "", 'Vehicle Request'!C47)</f>
        <v/>
      </c>
      <c r="D35" s="251"/>
      <c r="E35" s="252"/>
      <c r="F35" s="252"/>
      <c r="G35" s="252"/>
      <c r="H35" s="251"/>
      <c r="I35" s="251"/>
      <c r="J35" s="677"/>
      <c r="K35" s="252"/>
      <c r="L35" s="253" t="str">
        <f t="shared" si="2"/>
        <v/>
      </c>
      <c r="M35" s="254"/>
      <c r="N35" s="726"/>
      <c r="O35" s="726"/>
      <c r="P35" s="726"/>
    </row>
    <row r="36" spans="1:16" s="589" customFormat="1" ht="15.95">
      <c r="A36" s="726"/>
      <c r="B36" s="703" t="str">
        <f>CONCATENATE('Vehicle Request'!H48," ",'Vehicle Request'!I48," ",'Vehicle Request'!J48)</f>
        <v xml:space="preserve">  </v>
      </c>
      <c r="C36" s="704" t="str">
        <f>IF('Vehicle Request'!C48="", "", 'Vehicle Request'!C48)</f>
        <v/>
      </c>
      <c r="D36" s="251"/>
      <c r="E36" s="252"/>
      <c r="F36" s="252"/>
      <c r="G36" s="252"/>
      <c r="H36" s="251"/>
      <c r="I36" s="251"/>
      <c r="J36" s="677"/>
      <c r="K36" s="252"/>
      <c r="L36" s="253" t="str">
        <f t="shared" si="2"/>
        <v/>
      </c>
      <c r="M36" s="254"/>
      <c r="N36" s="726"/>
      <c r="O36" s="726"/>
      <c r="P36" s="726"/>
    </row>
    <row r="37" spans="1:16" s="589" customFormat="1" ht="15.95">
      <c r="A37" s="726"/>
      <c r="B37" s="703" t="str">
        <f>CONCATENATE('Vehicle Request'!H49," ",'Vehicle Request'!I49," ",'Vehicle Request'!J49)</f>
        <v xml:space="preserve">  </v>
      </c>
      <c r="C37" s="704" t="str">
        <f>IF('Vehicle Request'!C49="", "", 'Vehicle Request'!C49)</f>
        <v/>
      </c>
      <c r="D37" s="251"/>
      <c r="E37" s="252"/>
      <c r="F37" s="252"/>
      <c r="G37" s="252"/>
      <c r="H37" s="251"/>
      <c r="I37" s="251"/>
      <c r="J37" s="252"/>
      <c r="K37" s="252"/>
      <c r="L37" s="253" t="str">
        <f t="shared" si="2"/>
        <v/>
      </c>
      <c r="M37" s="254"/>
      <c r="N37" s="726"/>
      <c r="O37" s="726"/>
      <c r="P37" s="726"/>
    </row>
    <row r="38" spans="1:16" s="589" customFormat="1" ht="15.95">
      <c r="A38" s="726"/>
      <c r="B38" s="703" t="str">
        <f>CONCATENATE('Vehicle Request'!H50," ",'Vehicle Request'!I50," ",'Vehicle Request'!J50)</f>
        <v xml:space="preserve">  </v>
      </c>
      <c r="C38" s="704" t="str">
        <f>IF('Vehicle Request'!C50="", "", 'Vehicle Request'!C50)</f>
        <v/>
      </c>
      <c r="D38" s="251"/>
      <c r="E38" s="252"/>
      <c r="F38" s="252"/>
      <c r="G38" s="252"/>
      <c r="H38" s="251"/>
      <c r="I38" s="251"/>
      <c r="J38" s="252"/>
      <c r="K38" s="252"/>
      <c r="L38" s="253" t="str">
        <f t="shared" si="2"/>
        <v/>
      </c>
      <c r="M38" s="254"/>
      <c r="N38" s="726"/>
      <c r="O38" s="726"/>
      <c r="P38" s="726"/>
    </row>
    <row r="39" spans="1:16" s="589" customFormat="1" ht="15.95">
      <c r="A39" s="726"/>
      <c r="B39" s="703" t="str">
        <f>CONCATENATE('Vehicle Request'!H51," ",'Vehicle Request'!I51," ",'Vehicle Request'!J51)</f>
        <v xml:space="preserve">  </v>
      </c>
      <c r="C39" s="704" t="str">
        <f>IF('Vehicle Request'!C51="", "", 'Vehicle Request'!C51)</f>
        <v/>
      </c>
      <c r="D39" s="251"/>
      <c r="E39" s="252"/>
      <c r="F39" s="252"/>
      <c r="G39" s="252"/>
      <c r="H39" s="251"/>
      <c r="I39" s="251"/>
      <c r="J39" s="252"/>
      <c r="K39" s="252"/>
      <c r="L39" s="253" t="str">
        <f t="shared" si="2"/>
        <v/>
      </c>
      <c r="M39" s="254"/>
      <c r="N39" s="726"/>
      <c r="O39" s="726"/>
      <c r="P39" s="726"/>
    </row>
    <row r="40" spans="1:16" s="589" customFormat="1" ht="15.95">
      <c r="A40" s="726"/>
      <c r="B40" s="703" t="str">
        <f>CONCATENATE('Vehicle Request'!H52," ",'Vehicle Request'!I52," ",'Vehicle Request'!J52)</f>
        <v xml:space="preserve">  </v>
      </c>
      <c r="C40" s="704" t="str">
        <f>IF('Vehicle Request'!C52="", "", 'Vehicle Request'!C52)</f>
        <v/>
      </c>
      <c r="D40" s="251"/>
      <c r="E40" s="252"/>
      <c r="F40" s="252"/>
      <c r="G40" s="252"/>
      <c r="H40" s="251"/>
      <c r="I40" s="251"/>
      <c r="J40" s="252"/>
      <c r="K40" s="252"/>
      <c r="L40" s="253" t="str">
        <f t="shared" si="2"/>
        <v/>
      </c>
      <c r="M40" s="254"/>
      <c r="N40" s="726"/>
      <c r="O40" s="726"/>
      <c r="P40" s="726"/>
    </row>
    <row r="41" spans="1:16" s="589" customFormat="1" ht="15.95">
      <c r="A41" s="726"/>
      <c r="B41" s="703" t="str">
        <f>CONCATENATE('Vehicle Request'!H53," ",'Vehicle Request'!I53," ",'Vehicle Request'!J53)</f>
        <v xml:space="preserve">  </v>
      </c>
      <c r="C41" s="704" t="str">
        <f>IF('Vehicle Request'!C53="", "", 'Vehicle Request'!C53)</f>
        <v/>
      </c>
      <c r="D41" s="251"/>
      <c r="E41" s="252"/>
      <c r="F41" s="252"/>
      <c r="G41" s="252"/>
      <c r="H41" s="251"/>
      <c r="I41" s="251"/>
      <c r="J41" s="252"/>
      <c r="K41" s="252"/>
      <c r="L41" s="253" t="str">
        <f t="shared" si="2"/>
        <v/>
      </c>
      <c r="M41" s="254"/>
      <c r="N41" s="726"/>
      <c r="O41" s="726"/>
      <c r="P41" s="726"/>
    </row>
    <row r="42" spans="1:16" s="589" customFormat="1" ht="15.95">
      <c r="A42" s="726"/>
      <c r="B42" s="703" t="str">
        <f>CONCATENATE('Vehicle Request'!H54," ",'Vehicle Request'!I54," ",'Vehicle Request'!J54)</f>
        <v xml:space="preserve">  </v>
      </c>
      <c r="C42" s="704" t="str">
        <f>IF('Vehicle Request'!C54="", "", 'Vehicle Request'!C54)</f>
        <v/>
      </c>
      <c r="D42" s="251"/>
      <c r="E42" s="252"/>
      <c r="F42" s="252"/>
      <c r="G42" s="252"/>
      <c r="H42" s="251"/>
      <c r="I42" s="251"/>
      <c r="J42" s="252"/>
      <c r="K42" s="252"/>
      <c r="L42" s="253" t="str">
        <f t="shared" si="2"/>
        <v/>
      </c>
      <c r="M42" s="254"/>
      <c r="N42" s="726"/>
      <c r="O42" s="726"/>
      <c r="P42" s="726"/>
    </row>
    <row r="43" spans="1:16" s="589" customFormat="1" ht="15.95">
      <c r="A43" s="726"/>
      <c r="B43" s="703" t="str">
        <f>CONCATENATE('Vehicle Request'!H55," ",'Vehicle Request'!I55," ",'Vehicle Request'!J55)</f>
        <v xml:space="preserve">  </v>
      </c>
      <c r="C43" s="704" t="str">
        <f>IF('Vehicle Request'!C55="", "", 'Vehicle Request'!C55)</f>
        <v/>
      </c>
      <c r="D43" s="251"/>
      <c r="E43" s="252"/>
      <c r="F43" s="252"/>
      <c r="G43" s="252"/>
      <c r="H43" s="251"/>
      <c r="I43" s="251"/>
      <c r="J43" s="252"/>
      <c r="K43" s="252"/>
      <c r="L43" s="253" t="str">
        <f t="shared" si="2"/>
        <v/>
      </c>
      <c r="M43" s="254"/>
      <c r="N43" s="726"/>
      <c r="O43" s="726"/>
      <c r="P43" s="726"/>
    </row>
    <row r="44" spans="1:16" s="589" customFormat="1" ht="15.95">
      <c r="A44" s="726"/>
      <c r="B44" s="703" t="str">
        <f>CONCATENATE('Vehicle Request'!H56," ",'Vehicle Request'!I56," ",'Vehicle Request'!J56)</f>
        <v xml:space="preserve">  </v>
      </c>
      <c r="C44" s="704" t="str">
        <f>IF('Vehicle Request'!C56="", "", 'Vehicle Request'!C56)</f>
        <v/>
      </c>
      <c r="D44" s="251"/>
      <c r="E44" s="252"/>
      <c r="F44" s="252"/>
      <c r="G44" s="252"/>
      <c r="H44" s="251"/>
      <c r="I44" s="251"/>
      <c r="J44" s="252"/>
      <c r="K44" s="252"/>
      <c r="L44" s="253" t="str">
        <f t="shared" si="2"/>
        <v/>
      </c>
      <c r="M44" s="254"/>
      <c r="N44" s="726"/>
      <c r="O44" s="726"/>
      <c r="P44" s="726"/>
    </row>
    <row r="45" spans="1:16" s="589" customFormat="1" ht="15.95">
      <c r="A45" s="726"/>
      <c r="B45" s="703" t="str">
        <f>CONCATENATE('Vehicle Request'!H57," ",'Vehicle Request'!I57," ",'Vehicle Request'!J57)</f>
        <v xml:space="preserve">  </v>
      </c>
      <c r="C45" s="704" t="str">
        <f>IF('Vehicle Request'!C57="", "", 'Vehicle Request'!C57)</f>
        <v/>
      </c>
      <c r="D45" s="251"/>
      <c r="E45" s="252"/>
      <c r="F45" s="252"/>
      <c r="G45" s="252"/>
      <c r="H45" s="251"/>
      <c r="I45" s="251"/>
      <c r="J45" s="252"/>
      <c r="K45" s="252"/>
      <c r="L45" s="253" t="str">
        <f t="shared" si="2"/>
        <v/>
      </c>
      <c r="M45" s="254"/>
      <c r="N45" s="726"/>
      <c r="O45" s="726"/>
      <c r="P45" s="726"/>
    </row>
    <row r="46" spans="1:16" s="614" customFormat="1" ht="15.95">
      <c r="A46" s="726"/>
      <c r="B46" s="703" t="str">
        <f>CONCATENATE('Vehicle Request'!H58," ",'Vehicle Request'!I58," ",'Vehicle Request'!J58)</f>
        <v xml:space="preserve">  </v>
      </c>
      <c r="C46" s="704" t="str">
        <f>IF('Vehicle Request'!C58="", "", 'Vehicle Request'!C58)</f>
        <v/>
      </c>
      <c r="D46" s="251"/>
      <c r="E46" s="252"/>
      <c r="F46" s="252"/>
      <c r="G46" s="252"/>
      <c r="H46" s="251"/>
      <c r="I46" s="251"/>
      <c r="J46" s="252"/>
      <c r="K46" s="252"/>
      <c r="L46" s="253" t="str">
        <f t="shared" si="2"/>
        <v/>
      </c>
      <c r="M46" s="254"/>
      <c r="N46" s="726"/>
      <c r="O46" s="726"/>
      <c r="P46" s="726"/>
    </row>
    <row r="47" spans="1:16" s="614" customFormat="1" ht="15.95">
      <c r="A47" s="726"/>
      <c r="B47" s="703" t="str">
        <f>CONCATENATE('Vehicle Request'!H59," ",'Vehicle Request'!I59," ",'Vehicle Request'!J59)</f>
        <v xml:space="preserve">  </v>
      </c>
      <c r="C47" s="704" t="str">
        <f>IF('Vehicle Request'!C59="", "", 'Vehicle Request'!C59)</f>
        <v/>
      </c>
      <c r="D47" s="251"/>
      <c r="E47" s="252"/>
      <c r="F47" s="252"/>
      <c r="G47" s="252"/>
      <c r="H47" s="251"/>
      <c r="I47" s="251"/>
      <c r="J47" s="252"/>
      <c r="K47" s="252"/>
      <c r="L47" s="253" t="str">
        <f t="shared" si="2"/>
        <v/>
      </c>
      <c r="M47" s="254"/>
      <c r="N47" s="726"/>
      <c r="O47" s="726"/>
      <c r="P47" s="726"/>
    </row>
    <row r="48" spans="1:16" s="614" customFormat="1" ht="15.95">
      <c r="A48" s="726"/>
      <c r="B48" s="703" t="str">
        <f>CONCATENATE('Vehicle Request'!H60," ",'Vehicle Request'!I60," ",'Vehicle Request'!J60)</f>
        <v xml:space="preserve">  </v>
      </c>
      <c r="C48" s="704" t="str">
        <f>IF('Vehicle Request'!C60="", "", 'Vehicle Request'!C60)</f>
        <v/>
      </c>
      <c r="D48" s="251"/>
      <c r="E48" s="252"/>
      <c r="F48" s="252"/>
      <c r="G48" s="252"/>
      <c r="H48" s="251"/>
      <c r="I48" s="251"/>
      <c r="J48" s="252"/>
      <c r="K48" s="252"/>
      <c r="L48" s="253" t="str">
        <f t="shared" si="2"/>
        <v/>
      </c>
      <c r="M48" s="254"/>
      <c r="N48" s="726"/>
      <c r="O48" s="726"/>
      <c r="P48" s="726"/>
    </row>
    <row r="49" spans="1:16" s="614" customFormat="1" ht="15.95">
      <c r="A49" s="726"/>
      <c r="B49" s="703" t="str">
        <f>CONCATENATE('Vehicle Request'!H61," ",'Vehicle Request'!I61," ",'Vehicle Request'!J61)</f>
        <v xml:space="preserve">  </v>
      </c>
      <c r="C49" s="704" t="str">
        <f>IF('Vehicle Request'!C61="", "", 'Vehicle Request'!C61)</f>
        <v/>
      </c>
      <c r="D49" s="251"/>
      <c r="E49" s="252"/>
      <c r="F49" s="252"/>
      <c r="G49" s="252"/>
      <c r="H49" s="251"/>
      <c r="I49" s="251"/>
      <c r="J49" s="252"/>
      <c r="K49" s="252"/>
      <c r="L49" s="253" t="str">
        <f t="shared" si="2"/>
        <v/>
      </c>
      <c r="M49" s="254"/>
      <c r="N49" s="726"/>
      <c r="O49" s="726"/>
      <c r="P49" s="726"/>
    </row>
    <row r="50" spans="1:16" s="614" customFormat="1" ht="15.95">
      <c r="A50" s="726"/>
      <c r="B50" s="703" t="str">
        <f>CONCATENATE('Vehicle Request'!H62," ",'Vehicle Request'!I62," ",'Vehicle Request'!J62)</f>
        <v xml:space="preserve">  </v>
      </c>
      <c r="C50" s="704" t="str">
        <f>IF('Vehicle Request'!C62="", "", 'Vehicle Request'!C62)</f>
        <v/>
      </c>
      <c r="D50" s="251"/>
      <c r="E50" s="252"/>
      <c r="F50" s="252"/>
      <c r="G50" s="252"/>
      <c r="H50" s="251"/>
      <c r="I50" s="251"/>
      <c r="J50" s="252"/>
      <c r="K50" s="252"/>
      <c r="L50" s="253" t="str">
        <f t="shared" si="2"/>
        <v/>
      </c>
      <c r="M50" s="254"/>
      <c r="N50" s="726"/>
      <c r="O50" s="726"/>
      <c r="P50" s="726"/>
    </row>
    <row r="51" spans="1:16" s="614" customFormat="1" ht="15.95">
      <c r="A51" s="726"/>
      <c r="B51" s="703" t="str">
        <f>CONCATENATE('Vehicle Request'!H63," ",'Vehicle Request'!I63," ",'Vehicle Request'!J63)</f>
        <v xml:space="preserve">  </v>
      </c>
      <c r="C51" s="704" t="str">
        <f>IF('Vehicle Request'!C63="", "", 'Vehicle Request'!C63)</f>
        <v/>
      </c>
      <c r="D51" s="251"/>
      <c r="E51" s="252"/>
      <c r="F51" s="252"/>
      <c r="G51" s="252"/>
      <c r="H51" s="251"/>
      <c r="I51" s="251"/>
      <c r="J51" s="252"/>
      <c r="K51" s="252"/>
      <c r="L51" s="253" t="str">
        <f t="shared" si="2"/>
        <v/>
      </c>
      <c r="M51" s="254"/>
      <c r="N51" s="726"/>
      <c r="O51" s="726"/>
      <c r="P51" s="726"/>
    </row>
    <row r="52" spans="1:16" s="614" customFormat="1" ht="15.95">
      <c r="A52" s="726"/>
      <c r="B52" s="703" t="str">
        <f>CONCATENATE('Vehicle Request'!H64," ",'Vehicle Request'!I64," ",'Vehicle Request'!J64)</f>
        <v xml:space="preserve">  </v>
      </c>
      <c r="C52" s="704" t="str">
        <f>IF('Vehicle Request'!C64="", "", 'Vehicle Request'!C64)</f>
        <v/>
      </c>
      <c r="D52" s="251"/>
      <c r="E52" s="252"/>
      <c r="F52" s="252"/>
      <c r="G52" s="252"/>
      <c r="H52" s="251"/>
      <c r="I52" s="251"/>
      <c r="J52" s="252"/>
      <c r="K52" s="252"/>
      <c r="L52" s="253" t="str">
        <f t="shared" si="2"/>
        <v/>
      </c>
      <c r="M52" s="254"/>
      <c r="N52" s="726"/>
      <c r="O52" s="726"/>
      <c r="P52" s="726"/>
    </row>
    <row r="53" spans="1:16" s="614" customFormat="1" ht="15.95">
      <c r="A53" s="726"/>
      <c r="B53" s="703" t="str">
        <f>CONCATENATE('Vehicle Request'!H65," ",'Vehicle Request'!I65," ",'Vehicle Request'!J65)</f>
        <v xml:space="preserve">  </v>
      </c>
      <c r="C53" s="704" t="str">
        <f>IF('Vehicle Request'!C65="", "", 'Vehicle Request'!C65)</f>
        <v/>
      </c>
      <c r="D53" s="251"/>
      <c r="E53" s="252"/>
      <c r="F53" s="252"/>
      <c r="G53" s="252"/>
      <c r="H53" s="251"/>
      <c r="I53" s="251"/>
      <c r="J53" s="252"/>
      <c r="K53" s="252"/>
      <c r="L53" s="253" t="str">
        <f t="shared" si="2"/>
        <v/>
      </c>
      <c r="M53" s="254"/>
      <c r="N53" s="726"/>
      <c r="O53" s="726"/>
      <c r="P53" s="726"/>
    </row>
    <row r="54" spans="1:16" s="614" customFormat="1" ht="15.95">
      <c r="A54" s="726"/>
      <c r="B54" s="703" t="str">
        <f>CONCATENATE('Vehicle Request'!H66," ",'Vehicle Request'!I66," ",'Vehicle Request'!J66)</f>
        <v xml:space="preserve">  </v>
      </c>
      <c r="C54" s="704" t="str">
        <f>IF('Vehicle Request'!C66="", "", 'Vehicle Request'!C66)</f>
        <v/>
      </c>
      <c r="D54" s="251"/>
      <c r="E54" s="252"/>
      <c r="F54" s="252"/>
      <c r="G54" s="252"/>
      <c r="H54" s="251"/>
      <c r="I54" s="251"/>
      <c r="J54" s="252"/>
      <c r="K54" s="252"/>
      <c r="L54" s="253" t="str">
        <f t="shared" si="2"/>
        <v/>
      </c>
      <c r="M54" s="254"/>
      <c r="N54" s="726"/>
      <c r="O54" s="726"/>
      <c r="P54" s="726"/>
    </row>
    <row r="55" spans="1:16" s="614" customFormat="1" ht="15.95">
      <c r="A55" s="726"/>
      <c r="B55" s="703" t="str">
        <f>CONCATENATE('Vehicle Request'!H67," ",'Vehicle Request'!I67," ",'Vehicle Request'!J67)</f>
        <v xml:space="preserve">  </v>
      </c>
      <c r="C55" s="704" t="str">
        <f>IF('Vehicle Request'!C67="", "", 'Vehicle Request'!C67)</f>
        <v/>
      </c>
      <c r="D55" s="251"/>
      <c r="E55" s="252"/>
      <c r="F55" s="252"/>
      <c r="G55" s="252"/>
      <c r="H55" s="251"/>
      <c r="I55" s="251"/>
      <c r="J55" s="252"/>
      <c r="K55" s="252"/>
      <c r="L55" s="253" t="str">
        <f t="shared" si="2"/>
        <v/>
      </c>
      <c r="M55" s="254"/>
      <c r="N55" s="726"/>
      <c r="O55" s="726"/>
      <c r="P55" s="726"/>
    </row>
    <row r="56" spans="1:16" s="614" customFormat="1" ht="15.95">
      <c r="A56" s="726"/>
      <c r="B56" s="703" t="str">
        <f>CONCATENATE('Vehicle Request'!H68," ",'Vehicle Request'!I68," ",'Vehicle Request'!J68)</f>
        <v xml:space="preserve">  </v>
      </c>
      <c r="C56" s="704" t="str">
        <f>IF('Vehicle Request'!C68="", "", 'Vehicle Request'!C68)</f>
        <v/>
      </c>
      <c r="D56" s="251"/>
      <c r="E56" s="252"/>
      <c r="F56" s="252"/>
      <c r="G56" s="252"/>
      <c r="H56" s="251"/>
      <c r="I56" s="251"/>
      <c r="J56" s="252"/>
      <c r="K56" s="252"/>
      <c r="L56" s="253" t="str">
        <f t="shared" si="2"/>
        <v/>
      </c>
      <c r="M56" s="254"/>
      <c r="N56" s="726"/>
      <c r="O56" s="726"/>
      <c r="P56" s="726"/>
    </row>
    <row r="57" spans="1:16" s="614" customFormat="1" ht="15.95">
      <c r="A57" s="726"/>
      <c r="B57" s="703" t="str">
        <f>CONCATENATE('Vehicle Request'!H69," ",'Vehicle Request'!I69," ",'Vehicle Request'!J69)</f>
        <v xml:space="preserve">  </v>
      </c>
      <c r="C57" s="704" t="str">
        <f>IF('Vehicle Request'!C69="", "", 'Vehicle Request'!C69)</f>
        <v/>
      </c>
      <c r="D57" s="251"/>
      <c r="E57" s="252"/>
      <c r="F57" s="252"/>
      <c r="G57" s="252"/>
      <c r="H57" s="251"/>
      <c r="I57" s="251"/>
      <c r="J57" s="252"/>
      <c r="K57" s="252"/>
      <c r="L57" s="253" t="str">
        <f t="shared" si="2"/>
        <v/>
      </c>
      <c r="M57" s="254"/>
      <c r="N57" s="726"/>
      <c r="O57" s="726"/>
      <c r="P57" s="726"/>
    </row>
    <row r="58" spans="1:16" s="614" customFormat="1" ht="15.95">
      <c r="A58" s="726"/>
      <c r="B58" s="703" t="str">
        <f>CONCATENATE('Vehicle Request'!H70," ",'Vehicle Request'!I70," ",'Vehicle Request'!J70)</f>
        <v xml:space="preserve">  </v>
      </c>
      <c r="C58" s="704" t="str">
        <f>IF('Vehicle Request'!C70="", "", 'Vehicle Request'!C70)</f>
        <v/>
      </c>
      <c r="D58" s="251"/>
      <c r="E58" s="252"/>
      <c r="F58" s="252"/>
      <c r="G58" s="252"/>
      <c r="H58" s="251"/>
      <c r="I58" s="251"/>
      <c r="J58" s="252"/>
      <c r="K58" s="252"/>
      <c r="L58" s="253" t="str">
        <f t="shared" si="2"/>
        <v/>
      </c>
      <c r="M58" s="254"/>
      <c r="N58" s="726"/>
      <c r="O58" s="726"/>
      <c r="P58" s="726"/>
    </row>
    <row r="59" spans="1:16" s="614" customFormat="1" ht="17.100000000000001" thickBot="1">
      <c r="A59" s="726"/>
      <c r="B59" s="255" t="str">
        <f>CONCATENATE('Vehicle Request'!H71," ",'Vehicle Request'!I71," ",'Vehicle Request'!J71)</f>
        <v xml:space="preserve">  </v>
      </c>
      <c r="C59" s="256" t="str">
        <f>IF('Vehicle Request'!C71="", "", 'Vehicle Request'!C71)</f>
        <v/>
      </c>
      <c r="D59" s="257"/>
      <c r="E59" s="258"/>
      <c r="F59" s="258"/>
      <c r="G59" s="258"/>
      <c r="H59" s="257"/>
      <c r="I59" s="257"/>
      <c r="J59" s="258"/>
      <c r="K59" s="258"/>
      <c r="L59" s="259" t="str">
        <f t="shared" si="2"/>
        <v/>
      </c>
      <c r="M59" s="260"/>
      <c r="N59" s="726"/>
      <c r="O59" s="726"/>
      <c r="P59" s="726"/>
    </row>
    <row r="60" spans="1:16" s="168" customFormat="1" ht="9.75" customHeight="1">
      <c r="A60" s="726"/>
      <c r="B60" s="364"/>
      <c r="C60" s="364"/>
      <c r="D60" s="726"/>
      <c r="E60" s="726"/>
      <c r="F60" s="726"/>
      <c r="G60" s="726"/>
      <c r="H60" s="726"/>
      <c r="I60" s="726"/>
      <c r="J60" s="726"/>
      <c r="K60" s="726"/>
      <c r="L60" s="89"/>
      <c r="M60" s="89"/>
      <c r="N60" s="726"/>
      <c r="O60" s="726"/>
      <c r="P60" s="726"/>
    </row>
    <row r="61" spans="1:16" s="168" customFormat="1" ht="15.95">
      <c r="A61" s="726"/>
      <c r="B61" s="149" t="s">
        <v>92</v>
      </c>
      <c r="C61" s="726"/>
      <c r="D61" s="726"/>
      <c r="E61" s="726"/>
      <c r="F61" s="726"/>
      <c r="G61" s="726"/>
      <c r="H61" s="726"/>
      <c r="I61" s="726"/>
      <c r="J61" s="726"/>
      <c r="K61" s="726"/>
      <c r="L61" s="726"/>
      <c r="M61" s="726"/>
      <c r="N61" s="726"/>
      <c r="O61" s="726"/>
      <c r="P61" s="726"/>
    </row>
    <row r="62" spans="1:16" s="168" customFormat="1" ht="15.95">
      <c r="A62" s="726"/>
      <c r="B62" s="149" t="s">
        <v>97</v>
      </c>
      <c r="C62" s="726"/>
      <c r="D62" s="726"/>
      <c r="E62" s="726"/>
      <c r="F62" s="726"/>
      <c r="G62" s="726"/>
      <c r="H62" s="726"/>
      <c r="I62" s="726"/>
      <c r="J62" s="726"/>
      <c r="K62" s="726"/>
      <c r="L62" s="726"/>
      <c r="M62" s="726"/>
      <c r="N62" s="726"/>
      <c r="O62" s="726"/>
      <c r="P62" s="726"/>
    </row>
    <row r="63" spans="1:16" s="168" customFormat="1" ht="9.75" customHeight="1">
      <c r="A63" s="726"/>
      <c r="B63" s="726"/>
      <c r="C63" s="726"/>
      <c r="D63" s="726"/>
      <c r="E63" s="726"/>
      <c r="F63" s="726"/>
      <c r="G63" s="726"/>
      <c r="H63" s="726"/>
      <c r="I63" s="726"/>
      <c r="J63" s="726"/>
      <c r="K63" s="726"/>
      <c r="L63" s="726"/>
      <c r="M63" s="726"/>
      <c r="N63" s="726"/>
      <c r="O63" s="726"/>
      <c r="P63" s="726"/>
    </row>
    <row r="64" spans="1:16" s="168" customFormat="1" ht="15" customHeight="1">
      <c r="A64" s="726"/>
      <c r="B64" s="754"/>
      <c r="C64" s="734"/>
      <c r="D64" s="729"/>
      <c r="E64" s="729"/>
      <c r="F64" s="729"/>
      <c r="G64" s="729"/>
      <c r="H64" s="729"/>
      <c r="I64" s="729"/>
      <c r="J64" s="726"/>
      <c r="K64" s="726"/>
      <c r="L64" s="726"/>
      <c r="M64" s="726"/>
      <c r="N64" s="726"/>
      <c r="O64" s="726"/>
      <c r="P64" s="726"/>
    </row>
    <row r="65" spans="1:16" s="168" customFormat="1">
      <c r="A65" s="726"/>
      <c r="B65" s="729"/>
      <c r="C65" s="836" t="s">
        <v>6344</v>
      </c>
      <c r="D65" s="844"/>
      <c r="E65" s="729"/>
      <c r="F65" s="729"/>
      <c r="G65" s="729"/>
      <c r="H65" s="729"/>
      <c r="I65" s="729"/>
      <c r="J65" s="726"/>
      <c r="K65" s="726"/>
      <c r="L65" s="726"/>
      <c r="M65" s="726"/>
      <c r="N65" s="726"/>
      <c r="O65" s="726"/>
      <c r="P65" s="726"/>
    </row>
    <row r="66" spans="1:16" s="168" customFormat="1">
      <c r="A66" s="726"/>
      <c r="B66" s="729"/>
      <c r="C66" s="844"/>
      <c r="D66" s="844"/>
      <c r="E66" s="729"/>
      <c r="F66" s="729"/>
      <c r="G66" s="729"/>
      <c r="H66" s="729"/>
      <c r="I66" s="729"/>
      <c r="J66" s="726"/>
      <c r="K66" s="726"/>
      <c r="L66" s="726"/>
      <c r="M66" s="726"/>
      <c r="N66" s="726"/>
      <c r="O66" s="726"/>
      <c r="P66" s="726"/>
    </row>
    <row r="67" spans="1:16" s="168" customFormat="1">
      <c r="A67" s="726"/>
      <c r="B67" s="729"/>
      <c r="C67" s="844"/>
      <c r="D67" s="844"/>
      <c r="E67" s="729"/>
      <c r="F67" s="729"/>
      <c r="G67" s="729"/>
      <c r="H67" s="729"/>
      <c r="I67" s="729"/>
      <c r="J67" s="726"/>
      <c r="K67" s="726"/>
      <c r="L67" s="726"/>
      <c r="M67" s="726"/>
      <c r="N67" s="726"/>
      <c r="O67" s="726"/>
      <c r="P67" s="726"/>
    </row>
    <row r="68" spans="1:16" s="168" customFormat="1">
      <c r="A68" s="726"/>
      <c r="B68" s="729"/>
      <c r="C68" s="844"/>
      <c r="D68" s="844"/>
      <c r="E68" s="729"/>
      <c r="F68" s="729"/>
      <c r="G68" s="729"/>
      <c r="H68" s="729"/>
      <c r="I68" s="729"/>
      <c r="J68" s="726"/>
      <c r="K68" s="726"/>
      <c r="L68" s="726"/>
      <c r="M68" s="726"/>
      <c r="N68" s="726"/>
      <c r="O68" s="726"/>
      <c r="P68" s="726"/>
    </row>
    <row r="69" spans="1:16" s="168" customFormat="1">
      <c r="A69" s="726"/>
      <c r="B69" s="729"/>
      <c r="C69" s="844"/>
      <c r="D69" s="844"/>
      <c r="E69" s="729"/>
      <c r="F69" s="729"/>
      <c r="G69" s="729"/>
      <c r="H69" s="729"/>
      <c r="I69" s="729"/>
      <c r="J69" s="726"/>
      <c r="K69" s="726"/>
      <c r="L69" s="726"/>
      <c r="M69" s="726"/>
      <c r="N69" s="726"/>
      <c r="O69" s="726"/>
      <c r="P69" s="726"/>
    </row>
    <row r="70" spans="1:16" s="168" customFormat="1">
      <c r="A70" s="726"/>
      <c r="B70" s="729"/>
      <c r="C70" s="844"/>
      <c r="D70" s="844"/>
      <c r="E70" s="729"/>
      <c r="F70" s="729"/>
      <c r="G70" s="729"/>
      <c r="H70" s="729"/>
      <c r="I70" s="729"/>
      <c r="J70" s="726"/>
      <c r="K70" s="726"/>
      <c r="L70" s="726"/>
      <c r="M70" s="726"/>
      <c r="N70" s="726"/>
      <c r="O70" s="726"/>
      <c r="P70" s="726"/>
    </row>
    <row r="71" spans="1:16" s="168" customFormat="1">
      <c r="A71" s="726"/>
      <c r="B71" s="726"/>
      <c r="C71" s="146"/>
      <c r="D71" s="146"/>
      <c r="E71" s="146"/>
      <c r="F71" s="146"/>
      <c r="G71" s="146"/>
      <c r="H71" s="146"/>
      <c r="I71" s="146"/>
      <c r="J71" s="726"/>
      <c r="K71" s="726"/>
      <c r="L71" s="726"/>
      <c r="M71" s="726"/>
      <c r="N71" s="726"/>
      <c r="O71" s="726"/>
      <c r="P71" s="726"/>
    </row>
    <row r="72" spans="1:16">
      <c r="A72" s="726"/>
      <c r="B72" s="726"/>
      <c r="C72" s="726"/>
      <c r="D72" s="726"/>
      <c r="E72" s="726"/>
      <c r="F72" s="726"/>
      <c r="G72" s="726"/>
      <c r="H72" s="726"/>
      <c r="I72" s="726"/>
      <c r="J72" s="726"/>
      <c r="K72" s="726"/>
      <c r="L72" s="726"/>
      <c r="M72" s="726"/>
      <c r="N72" s="726"/>
      <c r="O72" s="726"/>
      <c r="P72" s="726"/>
    </row>
    <row r="73" spans="1:16">
      <c r="A73" s="726"/>
      <c r="B73" s="726"/>
      <c r="C73" s="726"/>
      <c r="D73" s="726"/>
      <c r="E73" s="726"/>
      <c r="F73" s="726"/>
      <c r="G73" s="726"/>
      <c r="H73" s="726"/>
      <c r="I73" s="726"/>
      <c r="J73" s="726"/>
      <c r="K73" s="726"/>
      <c r="L73" s="726"/>
      <c r="M73" s="726"/>
      <c r="N73" s="726"/>
      <c r="O73" s="726"/>
      <c r="P73" s="726"/>
    </row>
    <row r="74" spans="1:16">
      <c r="A74" s="726"/>
      <c r="B74" s="726"/>
      <c r="C74" s="726"/>
      <c r="D74" s="726"/>
      <c r="E74" s="726"/>
      <c r="F74" s="726"/>
      <c r="G74" s="726"/>
      <c r="H74" s="726"/>
      <c r="I74" s="726"/>
      <c r="J74" s="726"/>
      <c r="K74" s="726"/>
      <c r="L74" s="726"/>
      <c r="M74" s="726"/>
      <c r="N74" s="726"/>
      <c r="O74" s="726"/>
      <c r="P74" s="726"/>
    </row>
    <row r="75" spans="1:16">
      <c r="A75" s="726"/>
      <c r="B75" s="726"/>
      <c r="C75" s="726"/>
      <c r="D75" s="726"/>
      <c r="E75" s="726"/>
      <c r="F75" s="726"/>
      <c r="G75" s="726"/>
      <c r="H75" s="726"/>
      <c r="I75" s="726"/>
      <c r="J75" s="726"/>
      <c r="K75" s="726"/>
      <c r="L75" s="726"/>
      <c r="M75" s="726"/>
      <c r="N75" s="726"/>
      <c r="O75" s="726"/>
      <c r="P75" s="726"/>
    </row>
    <row r="76" spans="1:16">
      <c r="A76" s="726"/>
      <c r="B76" s="726"/>
      <c r="C76" s="726"/>
      <c r="D76" s="726"/>
      <c r="E76" s="726"/>
      <c r="F76" s="726"/>
      <c r="G76" s="726"/>
      <c r="H76" s="726"/>
      <c r="I76" s="726"/>
      <c r="J76" s="726"/>
      <c r="K76" s="726"/>
      <c r="L76" s="726"/>
      <c r="M76" s="726"/>
      <c r="N76" s="726"/>
      <c r="O76" s="726"/>
      <c r="P76" s="726"/>
    </row>
    <row r="77" spans="1:16">
      <c r="A77" s="726"/>
      <c r="B77" s="726"/>
      <c r="C77" s="726"/>
      <c r="D77" s="726"/>
      <c r="E77" s="726"/>
      <c r="F77" s="726"/>
      <c r="G77" s="726"/>
      <c r="H77" s="726"/>
      <c r="I77" s="726"/>
      <c r="J77" s="726"/>
      <c r="K77" s="726"/>
      <c r="L77" s="726"/>
      <c r="M77" s="726"/>
      <c r="N77" s="726"/>
      <c r="O77" s="726"/>
      <c r="P77" s="726"/>
    </row>
    <row r="78" spans="1:16">
      <c r="A78" s="726"/>
      <c r="B78" s="726"/>
      <c r="C78" s="726"/>
      <c r="D78" s="726"/>
      <c r="E78" s="726"/>
      <c r="F78" s="726"/>
      <c r="G78" s="726"/>
      <c r="H78" s="726"/>
      <c r="I78" s="726"/>
      <c r="J78" s="726"/>
      <c r="K78" s="726"/>
      <c r="L78" s="726"/>
      <c r="M78" s="726"/>
      <c r="N78" s="726"/>
      <c r="O78" s="726"/>
      <c r="P78" s="726"/>
    </row>
    <row r="79" spans="1:16">
      <c r="A79" s="726"/>
      <c r="B79" s="726"/>
      <c r="C79" s="726"/>
      <c r="D79" s="726"/>
      <c r="E79" s="726"/>
      <c r="F79" s="726"/>
      <c r="G79" s="726"/>
      <c r="H79" s="726"/>
      <c r="I79" s="726"/>
      <c r="J79" s="726"/>
      <c r="K79" s="726"/>
      <c r="L79" s="726"/>
      <c r="M79" s="726"/>
      <c r="N79" s="726"/>
      <c r="O79" s="726"/>
      <c r="P79" s="726"/>
    </row>
    <row r="80" spans="1:16">
      <c r="A80" s="726"/>
      <c r="B80" s="726"/>
      <c r="C80" s="726"/>
      <c r="D80" s="726"/>
      <c r="E80" s="726"/>
      <c r="F80" s="726"/>
      <c r="G80" s="726"/>
      <c r="H80" s="726"/>
      <c r="I80" s="726"/>
      <c r="J80" s="726"/>
      <c r="K80" s="726"/>
      <c r="L80" s="726"/>
      <c r="M80" s="726"/>
      <c r="N80" s="726"/>
      <c r="O80" s="726"/>
      <c r="P80" s="726"/>
    </row>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sheetData>
  <sheetProtection algorithmName="SHA-512" hashValue="A9/4XKKMncarW1wc6T9zULosv5MN0cP5jreqJnoabdEL5cEUkenf5AnsWC3i19lhvP5f0ufk/lzjBAHjfgjyEw==" saltValue="xvuJsKgSjT/jTFm6BVx26A==" spinCount="100000" sheet="1" formatColumns="0" formatRows="0"/>
  <mergeCells count="6">
    <mergeCell ref="C65:D70"/>
    <mergeCell ref="B6:M6"/>
    <mergeCell ref="B26:M26"/>
    <mergeCell ref="B1:E1"/>
    <mergeCell ref="B2:E2"/>
    <mergeCell ref="B3:E3"/>
  </mergeCells>
  <conditionalFormatting sqref="J8:K24 M8:M24 D28:K28 M28">
    <cfRule type="containsBlanks" dxfId="175" priority="41">
      <formula>LEN(TRIM(D8))=0</formula>
    </cfRule>
  </conditionalFormatting>
  <conditionalFormatting sqref="D9:I24 E8:I8">
    <cfRule type="containsBlanks" dxfId="174" priority="37">
      <formula>LEN(TRIM(D8))=0</formula>
    </cfRule>
  </conditionalFormatting>
  <conditionalFormatting sqref="D8">
    <cfRule type="containsBlanks" dxfId="173" priority="31">
      <formula>LEN(TRIM(D8))=0</formula>
    </cfRule>
  </conditionalFormatting>
  <conditionalFormatting sqref="M37:M59 D37:H59 J36:K59 E36:H36">
    <cfRule type="containsBlanks" dxfId="172" priority="24">
      <formula>LEN(TRIM(D36))=0</formula>
    </cfRule>
  </conditionalFormatting>
  <conditionalFormatting sqref="E30:K35 E29:H29 J29:K29">
    <cfRule type="containsBlanks" dxfId="171" priority="23">
      <formula>LEN(TRIM(E29))=0</formula>
    </cfRule>
  </conditionalFormatting>
  <conditionalFormatting sqref="I36:I59">
    <cfRule type="containsBlanks" dxfId="170" priority="22">
      <formula>LEN(TRIM(I36))=0</formula>
    </cfRule>
  </conditionalFormatting>
  <conditionalFormatting sqref="M29:M36">
    <cfRule type="containsBlanks" dxfId="169" priority="5">
      <formula>LEN(TRIM(M29))=0</formula>
    </cfRule>
  </conditionalFormatting>
  <conditionalFormatting sqref="D30:D36">
    <cfRule type="containsBlanks" dxfId="168" priority="4">
      <formula>LEN(TRIM(D30))=0</formula>
    </cfRule>
  </conditionalFormatting>
  <conditionalFormatting sqref="I29">
    <cfRule type="containsBlanks" dxfId="167" priority="2">
      <formula>LEN(TRIM(I29))=0</formula>
    </cfRule>
  </conditionalFormatting>
  <conditionalFormatting sqref="D29">
    <cfRule type="containsBlanks" dxfId="166" priority="1">
      <formula>LEN(TRIM(D29))=0</formula>
    </cfRule>
  </conditionalFormatting>
  <dataValidations count="2">
    <dataValidation type="list" allowBlank="1" showInputMessage="1" showErrorMessage="1" sqref="E8:E24 E28:E59" xr:uid="{00000000-0002-0000-0500-000000000000}">
      <formula1>"No-will never have, Yes-with initial order, Yes-after market purchase, Yes-departmental transfer or application"</formula1>
    </dataValidation>
    <dataValidation type="list" allowBlank="1" showInputMessage="1" showErrorMessage="1" sqref="G8:G24 G28:G59" xr:uid="{00000000-0002-0000-0500-000001000000}">
      <formula1>"Pool, Assigned-Bus. Hours, Assigned-Domicile, Seasonal, Emergency"</formula1>
    </dataValidation>
  </dataValidations>
  <hyperlinks>
    <hyperlink ref="B4" location="'Review &amp; Instructions '!C34" display="Instructions" xr:uid="{00000000-0004-0000-0500-000000000000}"/>
    <hyperlink ref="B61" location="'Vehicle Justification'!A1" display="Top" xr:uid="{00000000-0004-0000-0500-000001000000}"/>
    <hyperlink ref="B62" location="'Review &amp; Instructions '!C34" display="Instructions" xr:uid="{00000000-0004-0000-0500-000002000000}"/>
  </hyperlinks>
  <pageMargins left="0.5" right="0.5" top="0.5" bottom="0.5" header="0.25" footer="0.25"/>
  <pageSetup paperSize="17" scale="67" fitToHeight="0" orientation="landscape" r:id="rId1"/>
  <headerFooter>
    <oddHeader>&amp;F</oddHeader>
    <oddFooter>&amp;L&amp;A&amp;CPage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ECFF"/>
    <pageSetUpPr fitToPage="1"/>
  </sheetPr>
  <dimension ref="A1:AO187"/>
  <sheetViews>
    <sheetView zoomScale="90" zoomScaleNormal="90" workbookViewId="0">
      <pane xSplit="1" ySplit="2" topLeftCell="B3" activePane="bottomRight" state="frozen"/>
      <selection pane="bottomRight"/>
      <selection pane="bottomLeft" activeCell="A3" sqref="A3"/>
      <selection pane="topRight" activeCell="B1" sqref="B1"/>
    </sheetView>
  </sheetViews>
  <sheetFormatPr defaultColWidth="0" defaultRowHeight="15" zeroHeight="1"/>
  <cols>
    <col min="1" max="1" width="3.42578125" customWidth="1"/>
    <col min="2" max="2" width="28.42578125" bestFit="1" customWidth="1"/>
    <col min="3" max="3" width="13.85546875" bestFit="1" customWidth="1"/>
    <col min="4" max="4" width="14.85546875" customWidth="1"/>
    <col min="5" max="5" width="25.7109375" customWidth="1"/>
    <col min="6" max="6" width="11.42578125" customWidth="1"/>
    <col min="7" max="7" width="17.7109375" customWidth="1"/>
    <col min="8" max="8" width="20.7109375" customWidth="1"/>
    <col min="9" max="9" width="21.42578125" style="99" bestFit="1" customWidth="1"/>
    <col min="10" max="10" width="10.42578125" customWidth="1"/>
    <col min="11" max="11" width="10.7109375" customWidth="1"/>
    <col min="12" max="12" width="15.85546875" bestFit="1" customWidth="1"/>
    <col min="13" max="13" width="12.42578125" customWidth="1"/>
    <col min="14" max="14" width="28" customWidth="1"/>
    <col min="15" max="15" width="17" style="99" bestFit="1" customWidth="1"/>
    <col min="16" max="16" width="44.42578125" bestFit="1" customWidth="1"/>
    <col min="17" max="17" width="3.42578125" style="129" customWidth="1"/>
    <col min="18" max="18" width="9.140625" style="129" customWidth="1"/>
    <col min="19" max="37" width="0" style="129" hidden="1" customWidth="1"/>
    <col min="38" max="16384" width="9.140625" hidden="1"/>
  </cols>
  <sheetData>
    <row r="1" spans="1:41" s="99" customFormat="1" ht="21" customHeight="1">
      <c r="A1" s="10"/>
      <c r="B1" s="802" t="s">
        <v>94</v>
      </c>
      <c r="C1" s="802"/>
      <c r="D1" s="802"/>
      <c r="E1" s="802"/>
      <c r="F1" s="802"/>
      <c r="G1" s="802"/>
      <c r="H1" s="802"/>
      <c r="I1" s="802"/>
      <c r="J1" s="802"/>
      <c r="K1" s="188"/>
      <c r="L1" s="188"/>
      <c r="N1" s="10"/>
      <c r="O1" s="10"/>
      <c r="P1" s="10"/>
      <c r="Q1" s="10"/>
      <c r="R1" s="10"/>
      <c r="S1" s="129"/>
      <c r="T1" s="129"/>
      <c r="U1" s="129"/>
      <c r="V1" s="129"/>
      <c r="W1" s="129"/>
      <c r="X1" s="129"/>
      <c r="Y1" s="129"/>
      <c r="Z1" s="129"/>
      <c r="AA1" s="129"/>
      <c r="AB1" s="129"/>
      <c r="AC1" s="129"/>
      <c r="AD1" s="129"/>
      <c r="AE1" s="129"/>
      <c r="AF1" s="129"/>
      <c r="AG1" s="129"/>
      <c r="AH1" s="129"/>
      <c r="AI1" s="129"/>
      <c r="AJ1" s="129"/>
      <c r="AK1" s="129"/>
    </row>
    <row r="2" spans="1:41" s="99" customFormat="1" ht="31.5" customHeight="1">
      <c r="A2" s="10"/>
      <c r="B2" s="847" t="s">
        <v>6362</v>
      </c>
      <c r="C2" s="847"/>
      <c r="D2" s="847"/>
      <c r="E2" s="847"/>
      <c r="F2" s="847"/>
      <c r="G2" s="847"/>
      <c r="H2" s="847"/>
      <c r="I2" s="847"/>
      <c r="J2" s="847"/>
      <c r="K2" s="637"/>
      <c r="L2" s="637"/>
      <c r="N2" s="10"/>
      <c r="O2" s="10"/>
      <c r="P2" s="10"/>
      <c r="Q2" s="10"/>
      <c r="R2" s="10"/>
      <c r="S2" s="129"/>
      <c r="T2" s="129"/>
      <c r="U2" s="129"/>
      <c r="V2" s="129"/>
      <c r="W2" s="129"/>
      <c r="X2" s="129"/>
      <c r="Y2" s="129"/>
      <c r="Z2" s="129"/>
      <c r="AA2" s="129"/>
      <c r="AB2" s="129"/>
      <c r="AC2" s="129"/>
      <c r="AD2" s="129"/>
      <c r="AE2" s="129"/>
      <c r="AF2" s="129"/>
      <c r="AG2" s="129"/>
      <c r="AH2" s="129"/>
      <c r="AI2" s="129"/>
      <c r="AJ2" s="129"/>
      <c r="AK2" s="129"/>
    </row>
    <row r="3" spans="1:41" s="99" customFormat="1" ht="15" customHeight="1">
      <c r="A3" s="10"/>
      <c r="B3" s="856" t="s">
        <v>6363</v>
      </c>
      <c r="C3" s="857"/>
      <c r="D3" s="857"/>
      <c r="E3" s="857"/>
      <c r="F3" s="857"/>
      <c r="G3" s="857"/>
      <c r="H3" s="857"/>
      <c r="I3" s="857"/>
      <c r="J3" s="857"/>
      <c r="K3" s="638"/>
      <c r="L3" s="639"/>
      <c r="N3" s="10"/>
      <c r="O3" s="10"/>
      <c r="P3" s="10"/>
      <c r="Q3" s="10"/>
      <c r="R3" s="10"/>
      <c r="S3" s="129"/>
      <c r="T3" s="129"/>
      <c r="U3" s="129"/>
      <c r="V3" s="129"/>
      <c r="W3" s="129"/>
      <c r="X3" s="129"/>
      <c r="Y3" s="129"/>
      <c r="Z3" s="129"/>
      <c r="AA3" s="129"/>
      <c r="AB3" s="129"/>
      <c r="AC3" s="129"/>
      <c r="AD3" s="129"/>
      <c r="AE3" s="129"/>
      <c r="AF3" s="129"/>
      <c r="AG3" s="129"/>
      <c r="AH3" s="129"/>
      <c r="AI3" s="129"/>
      <c r="AJ3" s="129"/>
      <c r="AK3" s="129"/>
    </row>
    <row r="4" spans="1:41" s="99" customFormat="1">
      <c r="A4" s="10"/>
      <c r="B4" s="520" t="s">
        <v>97</v>
      </c>
      <c r="C4" s="10"/>
      <c r="D4" s="10"/>
      <c r="E4" s="10"/>
      <c r="F4" s="10"/>
      <c r="G4" s="10"/>
      <c r="H4" s="10"/>
      <c r="I4" s="10"/>
      <c r="J4" s="10"/>
      <c r="K4" s="10"/>
      <c r="L4" s="10"/>
      <c r="M4" s="10"/>
      <c r="N4" s="10"/>
      <c r="O4" s="10"/>
      <c r="P4" s="10"/>
      <c r="Q4" s="10"/>
      <c r="R4" s="10"/>
      <c r="S4" s="129"/>
      <c r="T4" s="129"/>
      <c r="U4" s="129"/>
      <c r="V4" s="129"/>
      <c r="W4" s="129"/>
      <c r="X4" s="129"/>
      <c r="Y4" s="129"/>
      <c r="Z4" s="129"/>
      <c r="AA4" s="129"/>
      <c r="AB4" s="129"/>
      <c r="AC4" s="129"/>
      <c r="AD4" s="129"/>
      <c r="AE4" s="129"/>
      <c r="AF4" s="129"/>
      <c r="AG4" s="129"/>
      <c r="AH4" s="129"/>
      <c r="AI4" s="129"/>
      <c r="AJ4" s="129"/>
      <c r="AK4" s="129"/>
    </row>
    <row r="5" spans="1:41" s="99" customFormat="1" ht="5.25" customHeight="1" thickBot="1">
      <c r="A5" s="10"/>
      <c r="B5" s="149"/>
      <c r="C5" s="10"/>
      <c r="D5" s="10"/>
      <c r="E5" s="10"/>
      <c r="F5" s="10"/>
      <c r="G5" s="10"/>
      <c r="H5" s="10"/>
      <c r="I5" s="10"/>
      <c r="J5" s="10"/>
      <c r="K5" s="10"/>
      <c r="L5" s="10"/>
      <c r="M5" s="10"/>
      <c r="N5" s="10"/>
      <c r="O5" s="10"/>
      <c r="P5" s="10"/>
      <c r="Q5" s="10"/>
      <c r="R5" s="10"/>
      <c r="S5" s="129"/>
      <c r="T5" s="129"/>
      <c r="U5" s="129"/>
      <c r="V5" s="129"/>
      <c r="W5" s="129"/>
      <c r="X5" s="129"/>
      <c r="Y5" s="129"/>
      <c r="Z5" s="129"/>
      <c r="AA5" s="129"/>
      <c r="AB5" s="129"/>
      <c r="AC5" s="129"/>
      <c r="AD5" s="129"/>
      <c r="AE5" s="129"/>
      <c r="AF5" s="129"/>
      <c r="AG5" s="129"/>
      <c r="AH5" s="129"/>
      <c r="AI5" s="129"/>
      <c r="AJ5" s="129"/>
      <c r="AK5" s="129"/>
    </row>
    <row r="6" spans="1:41" s="507" customFormat="1" ht="24.75" customHeight="1" thickBot="1">
      <c r="A6" s="726"/>
      <c r="B6" s="833" t="s">
        <v>6364</v>
      </c>
      <c r="C6" s="845"/>
      <c r="D6" s="845"/>
      <c r="E6" s="845"/>
      <c r="F6" s="845"/>
      <c r="G6" s="845"/>
      <c r="H6" s="845"/>
      <c r="I6" s="845"/>
      <c r="J6" s="845"/>
      <c r="K6" s="845"/>
      <c r="L6" s="845"/>
      <c r="M6" s="845"/>
      <c r="N6" s="845"/>
      <c r="O6" s="845"/>
      <c r="P6" s="852"/>
      <c r="Q6" s="89"/>
      <c r="R6" s="89"/>
      <c r="S6" s="180"/>
      <c r="T6" s="180"/>
      <c r="U6" s="180"/>
      <c r="V6" s="180"/>
      <c r="W6" s="180"/>
      <c r="X6" s="180"/>
      <c r="Y6" s="180"/>
      <c r="Z6" s="180"/>
      <c r="AA6" s="180"/>
      <c r="AB6" s="180"/>
      <c r="AC6" s="180"/>
      <c r="AD6" s="180"/>
      <c r="AE6" s="180"/>
      <c r="AF6" s="180"/>
      <c r="AG6" s="180"/>
      <c r="AH6" s="180"/>
      <c r="AI6" s="180"/>
      <c r="AJ6" s="180"/>
      <c r="AK6" s="180"/>
      <c r="AL6" s="180"/>
      <c r="AM6" s="180"/>
      <c r="AN6" s="180"/>
      <c r="AO6" s="180"/>
    </row>
    <row r="7" spans="1:41" ht="32.1">
      <c r="A7" s="10"/>
      <c r="B7" s="101" t="s">
        <v>6348</v>
      </c>
      <c r="C7" s="109" t="s">
        <v>6349</v>
      </c>
      <c r="D7" s="102" t="s">
        <v>6365</v>
      </c>
      <c r="E7" s="102" t="s">
        <v>6366</v>
      </c>
      <c r="F7" s="102" t="s">
        <v>6316</v>
      </c>
      <c r="G7" s="102" t="s">
        <v>6317</v>
      </c>
      <c r="H7" s="102" t="s">
        <v>107</v>
      </c>
      <c r="I7" s="102" t="s">
        <v>6367</v>
      </c>
      <c r="J7" s="103" t="s">
        <v>6368</v>
      </c>
      <c r="K7" s="103" t="s">
        <v>6369</v>
      </c>
      <c r="L7" s="104" t="s">
        <v>6370</v>
      </c>
      <c r="M7" s="104" t="s">
        <v>6371</v>
      </c>
      <c r="N7" s="104" t="s">
        <v>6372</v>
      </c>
      <c r="O7" s="179" t="s">
        <v>6373</v>
      </c>
      <c r="P7" s="105" t="s">
        <v>6374</v>
      </c>
      <c r="Q7" s="10"/>
      <c r="R7" s="10"/>
      <c r="S7" s="10"/>
      <c r="AL7" s="129"/>
      <c r="AM7" s="99"/>
      <c r="AN7" s="99"/>
      <c r="AO7" s="99"/>
    </row>
    <row r="8" spans="1:41" ht="15.95">
      <c r="A8" s="10"/>
      <c r="B8" s="701" t="str">
        <f>CONCATENATE('Vehicle Request'!H20," ",'Vehicle Request'!I20," ",'Vehicle Request'!J20)</f>
        <v xml:space="preserve">  </v>
      </c>
      <c r="C8" s="708" t="str">
        <f>IF('Vehicle Request'!C20="", "", 'Vehicle Request'!C20)</f>
        <v/>
      </c>
      <c r="D8" s="705"/>
      <c r="E8" s="705"/>
      <c r="F8" s="705"/>
      <c r="G8" s="705"/>
      <c r="H8" s="705"/>
      <c r="I8" s="705"/>
      <c r="J8" s="709"/>
      <c r="K8" s="712" t="str">
        <f>IF(J8="", "", J8/(2020-F8))</f>
        <v/>
      </c>
      <c r="L8" s="705"/>
      <c r="M8" s="710"/>
      <c r="N8" s="705"/>
      <c r="O8" s="717"/>
      <c r="P8" s="718"/>
      <c r="Q8" s="10"/>
      <c r="R8" s="10"/>
      <c r="S8" s="10"/>
      <c r="AL8" s="129"/>
      <c r="AM8" s="99"/>
      <c r="AN8" s="99"/>
      <c r="AO8" s="99"/>
    </row>
    <row r="9" spans="1:41" ht="15.95">
      <c r="A9" s="10"/>
      <c r="B9" s="703" t="str">
        <f>CONCATENATE('Vehicle Request'!H21," ",'Vehicle Request'!I21," ",'Vehicle Request'!J21)</f>
        <v xml:space="preserve">  </v>
      </c>
      <c r="C9" s="704" t="str">
        <f>IF('Vehicle Request'!C21="", "", 'Vehicle Request'!C21)</f>
        <v/>
      </c>
      <c r="D9" s="706"/>
      <c r="E9" s="706"/>
      <c r="F9" s="706"/>
      <c r="G9" s="706"/>
      <c r="H9" s="706"/>
      <c r="I9" s="706"/>
      <c r="J9" s="711"/>
      <c r="K9" s="712" t="str">
        <f>IF(J9="", "", J9/(2020-F9))</f>
        <v/>
      </c>
      <c r="L9" s="706"/>
      <c r="M9" s="713"/>
      <c r="N9" s="706"/>
      <c r="O9" s="716"/>
      <c r="P9" s="715"/>
      <c r="Q9" s="10"/>
      <c r="R9" s="10"/>
      <c r="S9" s="10"/>
      <c r="AL9" s="129"/>
      <c r="AM9" s="99"/>
      <c r="AN9" s="99"/>
      <c r="AO9" s="99"/>
    </row>
    <row r="10" spans="1:41" ht="15.95">
      <c r="A10" s="10"/>
      <c r="B10" s="703" t="str">
        <f>CONCATENATE('Vehicle Request'!H22," ",'Vehicle Request'!I22," ",'Vehicle Request'!J22)</f>
        <v xml:space="preserve">  </v>
      </c>
      <c r="C10" s="704" t="str">
        <f>IF('Vehicle Request'!C22="", "", 'Vehicle Request'!C22)</f>
        <v/>
      </c>
      <c r="D10" s="706"/>
      <c r="E10" s="706"/>
      <c r="F10" s="706"/>
      <c r="G10" s="706"/>
      <c r="H10" s="706"/>
      <c r="I10" s="706"/>
      <c r="J10" s="711"/>
      <c r="K10" s="712" t="str">
        <f t="shared" ref="K10:K23" si="0">IF(J10="", "", J10/(2020-F10))</f>
        <v/>
      </c>
      <c r="L10" s="706"/>
      <c r="M10" s="713"/>
      <c r="N10" s="706"/>
      <c r="O10" s="716"/>
      <c r="P10" s="715"/>
      <c r="Q10" s="10"/>
      <c r="R10" s="10"/>
      <c r="S10" s="10"/>
      <c r="AL10" s="129"/>
      <c r="AM10" s="99"/>
      <c r="AN10" s="99"/>
      <c r="AO10" s="99"/>
    </row>
    <row r="11" spans="1:41" ht="15.95">
      <c r="A11" s="10"/>
      <c r="B11" s="703" t="str">
        <f>CONCATENATE('Vehicle Request'!H23," ",'Vehicle Request'!I23," ",'Vehicle Request'!J23)</f>
        <v xml:space="preserve">  </v>
      </c>
      <c r="C11" s="704" t="str">
        <f>IF('Vehicle Request'!C23="", "", 'Vehicle Request'!C23)</f>
        <v/>
      </c>
      <c r="D11" s="706"/>
      <c r="E11" s="706"/>
      <c r="F11" s="706"/>
      <c r="G11" s="706"/>
      <c r="H11" s="706"/>
      <c r="I11" s="706"/>
      <c r="J11" s="711"/>
      <c r="K11" s="712" t="str">
        <f t="shared" si="0"/>
        <v/>
      </c>
      <c r="L11" s="706"/>
      <c r="M11" s="713"/>
      <c r="N11" s="706"/>
      <c r="O11" s="716"/>
      <c r="P11" s="715"/>
      <c r="Q11" s="10"/>
      <c r="R11" s="10"/>
      <c r="S11" s="10"/>
      <c r="AL11" s="129"/>
      <c r="AM11" s="99"/>
      <c r="AN11" s="99"/>
      <c r="AO11" s="99"/>
    </row>
    <row r="12" spans="1:41" ht="15.95">
      <c r="A12" s="10"/>
      <c r="B12" s="703" t="str">
        <f>CONCATENATE('Vehicle Request'!H24," ",'Vehicle Request'!I24," ",'Vehicle Request'!J24)</f>
        <v xml:space="preserve">  </v>
      </c>
      <c r="C12" s="704" t="str">
        <f>IF('Vehicle Request'!C24="", "", 'Vehicle Request'!C24)</f>
        <v/>
      </c>
      <c r="D12" s="706"/>
      <c r="E12" s="706"/>
      <c r="F12" s="706"/>
      <c r="G12" s="706"/>
      <c r="H12" s="706"/>
      <c r="I12" s="706"/>
      <c r="J12" s="711"/>
      <c r="K12" s="712" t="str">
        <f t="shared" si="0"/>
        <v/>
      </c>
      <c r="L12" s="706"/>
      <c r="M12" s="713"/>
      <c r="N12" s="706"/>
      <c r="O12" s="716"/>
      <c r="P12" s="715"/>
      <c r="Q12" s="10"/>
      <c r="R12" s="10"/>
      <c r="S12" s="10"/>
      <c r="AL12" s="129"/>
      <c r="AM12" s="99"/>
      <c r="AN12" s="99"/>
      <c r="AO12" s="99"/>
    </row>
    <row r="13" spans="1:41" ht="15.95">
      <c r="A13" s="10"/>
      <c r="B13" s="703" t="str">
        <f>CONCATENATE('Vehicle Request'!H25," ",'Vehicle Request'!I25," ",'Vehicle Request'!J25)</f>
        <v xml:space="preserve">  </v>
      </c>
      <c r="C13" s="704" t="str">
        <f>IF('Vehicle Request'!C25="", "", 'Vehicle Request'!C25)</f>
        <v/>
      </c>
      <c r="D13" s="706"/>
      <c r="E13" s="706"/>
      <c r="F13" s="706"/>
      <c r="G13" s="706"/>
      <c r="H13" s="706"/>
      <c r="I13" s="706"/>
      <c r="J13" s="711"/>
      <c r="K13" s="712" t="str">
        <f t="shared" si="0"/>
        <v/>
      </c>
      <c r="L13" s="706"/>
      <c r="M13" s="713"/>
      <c r="N13" s="706"/>
      <c r="O13" s="716"/>
      <c r="P13" s="715"/>
      <c r="Q13" s="10"/>
      <c r="R13" s="10"/>
      <c r="S13" s="10"/>
      <c r="AL13" s="129"/>
      <c r="AM13" s="99"/>
      <c r="AN13" s="99"/>
      <c r="AO13" s="99"/>
    </row>
    <row r="14" spans="1:41" ht="15.95">
      <c r="A14" s="10"/>
      <c r="B14" s="703" t="str">
        <f>CONCATENATE('Vehicle Request'!H26," ",'Vehicle Request'!I26," ",'Vehicle Request'!J26)</f>
        <v xml:space="preserve">  </v>
      </c>
      <c r="C14" s="704" t="str">
        <f>IF('Vehicle Request'!C26="", "", 'Vehicle Request'!C26)</f>
        <v/>
      </c>
      <c r="D14" s="706"/>
      <c r="E14" s="706"/>
      <c r="F14" s="706"/>
      <c r="G14" s="706"/>
      <c r="H14" s="706"/>
      <c r="I14" s="706"/>
      <c r="J14" s="711"/>
      <c r="K14" s="712" t="str">
        <f t="shared" si="0"/>
        <v/>
      </c>
      <c r="L14" s="706"/>
      <c r="M14" s="713"/>
      <c r="N14" s="706"/>
      <c r="O14" s="716"/>
      <c r="P14" s="715"/>
      <c r="Q14" s="10"/>
      <c r="R14" s="10"/>
      <c r="S14" s="10"/>
      <c r="AL14" s="129"/>
      <c r="AM14" s="99"/>
      <c r="AN14" s="99"/>
      <c r="AO14" s="99"/>
    </row>
    <row r="15" spans="1:41" ht="15.95">
      <c r="A15" s="10"/>
      <c r="B15" s="703" t="str">
        <f>CONCATENATE('Vehicle Request'!H27," ",'Vehicle Request'!I27," ",'Vehicle Request'!J27)</f>
        <v xml:space="preserve">  </v>
      </c>
      <c r="C15" s="704" t="str">
        <f>IF('Vehicle Request'!C27="", "", 'Vehicle Request'!C27)</f>
        <v/>
      </c>
      <c r="D15" s="706"/>
      <c r="E15" s="706"/>
      <c r="F15" s="706"/>
      <c r="G15" s="706"/>
      <c r="H15" s="706"/>
      <c r="I15" s="706"/>
      <c r="J15" s="711"/>
      <c r="K15" s="712" t="str">
        <f t="shared" si="0"/>
        <v/>
      </c>
      <c r="L15" s="706"/>
      <c r="M15" s="713"/>
      <c r="N15" s="706"/>
      <c r="O15" s="716"/>
      <c r="P15" s="715"/>
      <c r="Q15" s="10"/>
      <c r="R15" s="10"/>
      <c r="S15" s="10"/>
      <c r="AL15" s="129"/>
      <c r="AM15" s="99"/>
      <c r="AN15" s="99"/>
      <c r="AO15" s="99"/>
    </row>
    <row r="16" spans="1:41" ht="15.95">
      <c r="A16" s="10"/>
      <c r="B16" s="703" t="str">
        <f>CONCATENATE('Vehicle Request'!H28," ",'Vehicle Request'!I28," ",'Vehicle Request'!J28)</f>
        <v xml:space="preserve">  </v>
      </c>
      <c r="C16" s="704" t="str">
        <f>IF('Vehicle Request'!C28="", "", 'Vehicle Request'!C28)</f>
        <v/>
      </c>
      <c r="D16" s="706"/>
      <c r="E16" s="706"/>
      <c r="F16" s="706"/>
      <c r="G16" s="706"/>
      <c r="H16" s="706"/>
      <c r="I16" s="706"/>
      <c r="J16" s="711"/>
      <c r="K16" s="712" t="str">
        <f t="shared" si="0"/>
        <v/>
      </c>
      <c r="L16" s="706"/>
      <c r="M16" s="713"/>
      <c r="N16" s="706"/>
      <c r="O16" s="716"/>
      <c r="P16" s="715"/>
      <c r="Q16" s="10"/>
      <c r="R16" s="10"/>
      <c r="S16" s="10"/>
      <c r="AL16" s="129"/>
      <c r="AM16" s="99"/>
      <c r="AN16" s="99"/>
      <c r="AO16" s="99"/>
    </row>
    <row r="17" spans="1:41" ht="15.95">
      <c r="A17" s="10"/>
      <c r="B17" s="703" t="str">
        <f>CONCATENATE('Vehicle Request'!H29," ",'Vehicle Request'!I29," ",'Vehicle Request'!J29)</f>
        <v xml:space="preserve">  </v>
      </c>
      <c r="C17" s="704" t="str">
        <f>IF('Vehicle Request'!C29="", "", 'Vehicle Request'!C29)</f>
        <v/>
      </c>
      <c r="D17" s="706"/>
      <c r="E17" s="706"/>
      <c r="F17" s="706"/>
      <c r="G17" s="706"/>
      <c r="H17" s="706"/>
      <c r="I17" s="706"/>
      <c r="J17" s="711"/>
      <c r="K17" s="712" t="str">
        <f t="shared" si="0"/>
        <v/>
      </c>
      <c r="L17" s="706"/>
      <c r="M17" s="713"/>
      <c r="N17" s="706"/>
      <c r="O17" s="716"/>
      <c r="P17" s="715"/>
      <c r="Q17" s="10"/>
      <c r="R17" s="10"/>
      <c r="S17" s="10"/>
      <c r="AL17" s="129"/>
      <c r="AM17" s="99"/>
      <c r="AN17" s="99"/>
      <c r="AO17" s="99"/>
    </row>
    <row r="18" spans="1:41" ht="15.95">
      <c r="A18" s="10"/>
      <c r="B18" s="315" t="str">
        <f>CONCATENATE('Vehicle Request'!H30," ",'Vehicle Request'!I30," ",'Vehicle Request'!J30)</f>
        <v xml:space="preserve">  </v>
      </c>
      <c r="C18" s="316" t="str">
        <f>IF('Vehicle Request'!C30="", "", 'Vehicle Request'!C30)</f>
        <v/>
      </c>
      <c r="D18" s="327"/>
      <c r="E18" s="327"/>
      <c r="F18" s="327"/>
      <c r="G18" s="327"/>
      <c r="H18" s="327"/>
      <c r="I18" s="327"/>
      <c r="J18" s="328"/>
      <c r="K18" s="712" t="str">
        <f t="shared" si="0"/>
        <v/>
      </c>
      <c r="L18" s="327"/>
      <c r="M18" s="329"/>
      <c r="N18" s="327"/>
      <c r="O18" s="576"/>
      <c r="P18" s="330"/>
      <c r="Q18" s="10"/>
      <c r="R18" s="10"/>
      <c r="S18" s="10"/>
      <c r="AL18" s="129"/>
      <c r="AM18" s="99"/>
      <c r="AN18" s="99"/>
      <c r="AO18" s="99"/>
    </row>
    <row r="19" spans="1:41" ht="15.95">
      <c r="A19" s="10"/>
      <c r="B19" s="315" t="str">
        <f>CONCATENATE('Vehicle Request'!H31," ",'Vehicle Request'!I31," ",'Vehicle Request'!J31)</f>
        <v xml:space="preserve">  </v>
      </c>
      <c r="C19" s="316" t="str">
        <f>IF('Vehicle Request'!C31="", "", 'Vehicle Request'!C31)</f>
        <v/>
      </c>
      <c r="D19" s="327"/>
      <c r="E19" s="327"/>
      <c r="F19" s="327"/>
      <c r="G19" s="327"/>
      <c r="H19" s="327"/>
      <c r="I19" s="327"/>
      <c r="J19" s="328"/>
      <c r="K19" s="712" t="str">
        <f t="shared" si="0"/>
        <v/>
      </c>
      <c r="L19" s="327"/>
      <c r="M19" s="329"/>
      <c r="N19" s="327"/>
      <c r="O19" s="576"/>
      <c r="P19" s="330"/>
      <c r="Q19" s="10"/>
      <c r="R19" s="10"/>
      <c r="S19" s="10"/>
      <c r="AL19" s="129"/>
      <c r="AM19" s="99"/>
      <c r="AN19" s="99"/>
      <c r="AO19" s="99"/>
    </row>
    <row r="20" spans="1:41" ht="15.95">
      <c r="A20" s="10"/>
      <c r="B20" s="315" t="str">
        <f>CONCATENATE('Vehicle Request'!H32," ",'Vehicle Request'!I32," ",'Vehicle Request'!J32)</f>
        <v xml:space="preserve">  </v>
      </c>
      <c r="C20" s="316" t="str">
        <f>IF('Vehicle Request'!C32="", "", 'Vehicle Request'!C32)</f>
        <v/>
      </c>
      <c r="D20" s="327"/>
      <c r="E20" s="327"/>
      <c r="F20" s="327"/>
      <c r="G20" s="327"/>
      <c r="H20" s="327"/>
      <c r="I20" s="327"/>
      <c r="J20" s="328"/>
      <c r="K20" s="712" t="str">
        <f t="shared" si="0"/>
        <v/>
      </c>
      <c r="L20" s="327"/>
      <c r="M20" s="329"/>
      <c r="N20" s="327"/>
      <c r="O20" s="576"/>
      <c r="P20" s="330"/>
      <c r="Q20" s="10"/>
      <c r="R20" s="10"/>
      <c r="S20" s="10"/>
      <c r="AL20" s="129"/>
      <c r="AM20" s="99"/>
      <c r="AN20" s="99"/>
      <c r="AO20" s="99"/>
    </row>
    <row r="21" spans="1:41" ht="15.95">
      <c r="A21" s="10"/>
      <c r="B21" s="315" t="str">
        <f>CONCATENATE('Vehicle Request'!H33," ",'Vehicle Request'!I33," ",'Vehicle Request'!J33)</f>
        <v xml:space="preserve">  </v>
      </c>
      <c r="C21" s="316" t="str">
        <f>IF('Vehicle Request'!C33="", "", 'Vehicle Request'!C33)</f>
        <v/>
      </c>
      <c r="D21" s="327"/>
      <c r="E21" s="327"/>
      <c r="F21" s="327"/>
      <c r="G21" s="327"/>
      <c r="H21" s="327"/>
      <c r="I21" s="327"/>
      <c r="J21" s="328"/>
      <c r="K21" s="712" t="str">
        <f t="shared" si="0"/>
        <v/>
      </c>
      <c r="L21" s="327"/>
      <c r="M21" s="329"/>
      <c r="N21" s="327"/>
      <c r="O21" s="576"/>
      <c r="P21" s="330"/>
      <c r="Q21" s="10"/>
      <c r="R21" s="10"/>
      <c r="S21" s="10"/>
      <c r="AL21" s="129"/>
      <c r="AM21" s="99"/>
      <c r="AN21" s="99"/>
      <c r="AO21" s="99"/>
    </row>
    <row r="22" spans="1:41" s="99" customFormat="1" ht="15.95">
      <c r="A22" s="10"/>
      <c r="B22" s="315" t="str">
        <f>CONCATENATE('Vehicle Request'!H34," ",'Vehicle Request'!I34," ",'Vehicle Request'!J34)</f>
        <v xml:space="preserve">  </v>
      </c>
      <c r="C22" s="316" t="str">
        <f>IF('Vehicle Request'!C34="", "", 'Vehicle Request'!C34)</f>
        <v/>
      </c>
      <c r="D22" s="327"/>
      <c r="E22" s="327"/>
      <c r="F22" s="327"/>
      <c r="G22" s="327"/>
      <c r="H22" s="327"/>
      <c r="I22" s="327"/>
      <c r="J22" s="328"/>
      <c r="K22" s="712" t="str">
        <f t="shared" si="0"/>
        <v/>
      </c>
      <c r="L22" s="327"/>
      <c r="M22" s="329"/>
      <c r="N22" s="607"/>
      <c r="O22" s="576"/>
      <c r="P22" s="330"/>
      <c r="Q22" s="10"/>
      <c r="R22" s="10"/>
      <c r="S22" s="10"/>
      <c r="T22" s="129"/>
      <c r="U22" s="129"/>
      <c r="V22" s="129"/>
      <c r="W22" s="129"/>
      <c r="X22" s="129"/>
      <c r="Y22" s="129"/>
      <c r="Z22" s="129"/>
      <c r="AA22" s="129"/>
      <c r="AB22" s="129"/>
      <c r="AC22" s="129"/>
      <c r="AD22" s="129"/>
      <c r="AE22" s="129"/>
      <c r="AF22" s="129"/>
      <c r="AG22" s="129"/>
      <c r="AH22" s="129"/>
      <c r="AI22" s="129"/>
      <c r="AJ22" s="129"/>
      <c r="AK22" s="129"/>
      <c r="AL22" s="129"/>
    </row>
    <row r="23" spans="1:41" s="99" customFormat="1" ht="15.95">
      <c r="A23" s="10"/>
      <c r="B23" s="315" t="str">
        <f>CONCATENATE('Vehicle Request'!H35," ",'Vehicle Request'!I35," ",'Vehicle Request'!J35)</f>
        <v xml:space="preserve">  </v>
      </c>
      <c r="C23" s="316" t="str">
        <f>IF('Vehicle Request'!C35="", "", 'Vehicle Request'!C35)</f>
        <v/>
      </c>
      <c r="D23" s="327"/>
      <c r="E23" s="327"/>
      <c r="F23" s="327"/>
      <c r="G23" s="327"/>
      <c r="H23" s="327"/>
      <c r="I23" s="327"/>
      <c r="J23" s="328"/>
      <c r="K23" s="712" t="str">
        <f t="shared" si="0"/>
        <v/>
      </c>
      <c r="L23" s="327"/>
      <c r="M23" s="329"/>
      <c r="N23" s="607"/>
      <c r="O23" s="576"/>
      <c r="P23" s="330"/>
      <c r="Q23" s="10"/>
      <c r="R23" s="10"/>
      <c r="S23" s="10"/>
      <c r="T23" s="129"/>
      <c r="U23" s="129"/>
      <c r="V23" s="129"/>
      <c r="W23" s="129"/>
      <c r="X23" s="129"/>
      <c r="Y23" s="129"/>
      <c r="Z23" s="129"/>
      <c r="AA23" s="129"/>
      <c r="AB23" s="129"/>
      <c r="AC23" s="129"/>
      <c r="AD23" s="129"/>
      <c r="AE23" s="129"/>
      <c r="AF23" s="129"/>
      <c r="AG23" s="129"/>
      <c r="AH23" s="129"/>
      <c r="AI23" s="129"/>
      <c r="AJ23" s="129"/>
      <c r="AK23" s="129"/>
      <c r="AL23" s="129"/>
    </row>
    <row r="24" spans="1:41" ht="17.100000000000001" thickBot="1">
      <c r="A24" s="10"/>
      <c r="B24" s="319" t="str">
        <f>CONCATENATE('Vehicle Request'!H36," ",'Vehicle Request'!I36," ",'Vehicle Request'!J36)</f>
        <v xml:space="preserve">  </v>
      </c>
      <c r="C24" s="320" t="str">
        <f>IF('Vehicle Request'!C36="", "", 'Vehicle Request'!C36)</f>
        <v/>
      </c>
      <c r="D24" s="340"/>
      <c r="E24" s="340"/>
      <c r="F24" s="340"/>
      <c r="G24" s="340"/>
      <c r="H24" s="340"/>
      <c r="I24" s="340"/>
      <c r="J24" s="341"/>
      <c r="K24" s="342" t="str">
        <f>IF(J24="", "", J24/(2020-F24))</f>
        <v/>
      </c>
      <c r="L24" s="340"/>
      <c r="M24" s="343"/>
      <c r="N24" s="608"/>
      <c r="O24" s="577"/>
      <c r="P24" s="344"/>
      <c r="Q24" s="10"/>
      <c r="R24" s="10"/>
      <c r="S24" s="10"/>
      <c r="AL24" s="129"/>
      <c r="AM24" s="99"/>
      <c r="AN24" s="99"/>
      <c r="AO24" s="99"/>
    </row>
    <row r="25" spans="1:41" s="99" customFormat="1" ht="5.25" customHeight="1" thickBot="1">
      <c r="A25" s="10"/>
      <c r="B25" s="149"/>
      <c r="C25" s="10"/>
      <c r="D25" s="10"/>
      <c r="E25" s="10"/>
      <c r="F25" s="10"/>
      <c r="G25" s="10"/>
      <c r="H25" s="10"/>
      <c r="I25" s="10"/>
      <c r="J25" s="10"/>
      <c r="K25" s="10"/>
      <c r="L25" s="10"/>
      <c r="M25" s="10"/>
      <c r="N25" s="10"/>
      <c r="O25" s="10"/>
      <c r="P25" s="10"/>
      <c r="Q25" s="10"/>
      <c r="R25" s="10"/>
      <c r="S25" s="129"/>
      <c r="T25" s="129"/>
      <c r="U25" s="129"/>
      <c r="V25" s="129"/>
      <c r="W25" s="129"/>
      <c r="X25" s="129"/>
      <c r="Y25" s="129"/>
      <c r="Z25" s="129"/>
      <c r="AA25" s="129"/>
      <c r="AB25" s="129"/>
      <c r="AC25" s="129"/>
      <c r="AD25" s="129"/>
      <c r="AE25" s="129"/>
      <c r="AF25" s="129"/>
      <c r="AG25" s="129"/>
      <c r="AH25" s="129"/>
      <c r="AI25" s="129"/>
      <c r="AJ25" s="129"/>
      <c r="AK25" s="129"/>
    </row>
    <row r="26" spans="1:41" s="507" customFormat="1" ht="24.75" customHeight="1" thickBot="1">
      <c r="A26" s="726"/>
      <c r="B26" s="853" t="s">
        <v>6375</v>
      </c>
      <c r="C26" s="854"/>
      <c r="D26" s="854"/>
      <c r="E26" s="854"/>
      <c r="F26" s="854"/>
      <c r="G26" s="854"/>
      <c r="H26" s="854"/>
      <c r="I26" s="854"/>
      <c r="J26" s="854"/>
      <c r="K26" s="854"/>
      <c r="L26" s="854"/>
      <c r="M26" s="854"/>
      <c r="N26" s="854"/>
      <c r="O26" s="854"/>
      <c r="P26" s="855"/>
      <c r="Q26" s="89"/>
      <c r="R26" s="89"/>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row>
    <row r="27" spans="1:41" s="99" customFormat="1" ht="32.1">
      <c r="A27" s="10"/>
      <c r="B27" s="101" t="s">
        <v>6348</v>
      </c>
      <c r="C27" s="109" t="s">
        <v>6349</v>
      </c>
      <c r="D27" s="102" t="s">
        <v>6365</v>
      </c>
      <c r="E27" s="102" t="s">
        <v>6366</v>
      </c>
      <c r="F27" s="102" t="s">
        <v>6316</v>
      </c>
      <c r="G27" s="102" t="s">
        <v>6317</v>
      </c>
      <c r="H27" s="102" t="s">
        <v>107</v>
      </c>
      <c r="I27" s="102" t="s">
        <v>6367</v>
      </c>
      <c r="J27" s="103" t="s">
        <v>6368</v>
      </c>
      <c r="K27" s="103" t="s">
        <v>6369</v>
      </c>
      <c r="L27" s="104" t="s">
        <v>6370</v>
      </c>
      <c r="M27" s="104" t="s">
        <v>6371</v>
      </c>
      <c r="N27" s="104" t="s">
        <v>6372</v>
      </c>
      <c r="O27" s="179" t="s">
        <v>6373</v>
      </c>
      <c r="P27" s="105" t="s">
        <v>6374</v>
      </c>
      <c r="Q27" s="10"/>
      <c r="R27" s="10"/>
      <c r="S27" s="10"/>
      <c r="T27" s="129"/>
      <c r="U27" s="129"/>
      <c r="V27" s="129"/>
      <c r="W27" s="129"/>
      <c r="X27" s="129"/>
      <c r="Y27" s="129"/>
      <c r="Z27" s="129"/>
      <c r="AA27" s="129"/>
      <c r="AB27" s="129"/>
      <c r="AC27" s="129"/>
      <c r="AD27" s="129"/>
      <c r="AE27" s="129"/>
      <c r="AF27" s="129"/>
      <c r="AG27" s="129"/>
      <c r="AH27" s="129"/>
      <c r="AI27" s="129"/>
      <c r="AJ27" s="129"/>
      <c r="AK27" s="129"/>
      <c r="AL27" s="129"/>
    </row>
    <row r="28" spans="1:41" ht="15.95">
      <c r="A28" s="10"/>
      <c r="B28" s="703" t="str">
        <f>CONCATENATE('Vehicle Request'!H40," ",'Vehicle Request'!I40," ",'Vehicle Request'!J40)</f>
        <v xml:space="preserve">  </v>
      </c>
      <c r="C28" s="704" t="str">
        <f>IF('Vehicle Request'!C40="", "", 'Vehicle Request'!C40)</f>
        <v/>
      </c>
      <c r="D28" s="706"/>
      <c r="E28" s="706"/>
      <c r="F28" s="706"/>
      <c r="G28" s="706"/>
      <c r="H28" s="706"/>
      <c r="I28" s="706"/>
      <c r="J28" s="711"/>
      <c r="K28" s="712" t="str">
        <f>IF(J28="", "", J28/(2020-F28))</f>
        <v/>
      </c>
      <c r="L28" s="706"/>
      <c r="M28" s="710"/>
      <c r="N28" s="251"/>
      <c r="O28" s="714"/>
      <c r="P28" s="697"/>
      <c r="Q28" s="10"/>
      <c r="R28" s="10"/>
      <c r="S28" s="10"/>
      <c r="AL28" s="129"/>
      <c r="AM28" s="99"/>
      <c r="AN28" s="99"/>
      <c r="AO28" s="99"/>
    </row>
    <row r="29" spans="1:41" s="99" customFormat="1" ht="15.95">
      <c r="A29" s="10"/>
      <c r="B29" s="703" t="str">
        <f>CONCATENATE('Vehicle Request'!H41," ",'Vehicle Request'!I41," ",'Vehicle Request'!J41)</f>
        <v xml:space="preserve">  </v>
      </c>
      <c r="C29" s="704" t="str">
        <f>IF('Vehicle Request'!C41="", "", 'Vehicle Request'!C41)</f>
        <v/>
      </c>
      <c r="D29" s="706"/>
      <c r="E29" s="706"/>
      <c r="F29" s="706"/>
      <c r="G29" s="706"/>
      <c r="H29" s="706"/>
      <c r="I29" s="706"/>
      <c r="J29" s="711"/>
      <c r="K29" s="712" t="str">
        <f>IF(J29="", "", J29/(2020-F29))</f>
        <v/>
      </c>
      <c r="L29" s="706"/>
      <c r="M29" s="713"/>
      <c r="N29" s="251"/>
      <c r="O29" s="714"/>
      <c r="P29" s="723"/>
      <c r="Q29" s="10"/>
      <c r="R29" s="10"/>
      <c r="S29" s="10"/>
      <c r="T29" s="129"/>
      <c r="U29" s="129"/>
      <c r="V29" s="129"/>
      <c r="W29" s="129"/>
      <c r="X29" s="129"/>
      <c r="Y29" s="129"/>
      <c r="Z29" s="129"/>
      <c r="AA29" s="129"/>
      <c r="AB29" s="129"/>
      <c r="AC29" s="129"/>
      <c r="AD29" s="129"/>
      <c r="AE29" s="129"/>
      <c r="AF29" s="129"/>
      <c r="AG29" s="129"/>
      <c r="AH29" s="129"/>
      <c r="AI29" s="129"/>
      <c r="AJ29" s="129"/>
      <c r="AK29" s="129"/>
      <c r="AL29" s="129"/>
    </row>
    <row r="30" spans="1:41" s="99" customFormat="1" ht="15.95">
      <c r="A30" s="10"/>
      <c r="B30" s="703" t="str">
        <f>CONCATENATE('Vehicle Request'!H42," ",'Vehicle Request'!I42," ",'Vehicle Request'!J42)</f>
        <v xml:space="preserve">  </v>
      </c>
      <c r="C30" s="704" t="str">
        <f>IF('Vehicle Request'!C42="", "", 'Vehicle Request'!C42)</f>
        <v/>
      </c>
      <c r="D30" s="706"/>
      <c r="E30" s="706"/>
      <c r="F30" s="706"/>
      <c r="G30" s="706"/>
      <c r="H30" s="706"/>
      <c r="I30" s="706"/>
      <c r="J30" s="711"/>
      <c r="K30" s="712" t="str">
        <f t="shared" ref="K30:K58" si="1">IF(J30="", "", J30/(2020-F30))</f>
        <v/>
      </c>
      <c r="L30" s="706"/>
      <c r="M30" s="713"/>
      <c r="N30" s="706"/>
      <c r="O30" s="714"/>
      <c r="P30" s="715"/>
      <c r="Q30" s="10"/>
      <c r="R30" s="10"/>
      <c r="S30" s="10"/>
      <c r="T30" s="129"/>
      <c r="U30" s="129"/>
      <c r="V30" s="129"/>
      <c r="W30" s="129"/>
      <c r="X30" s="129"/>
      <c r="Y30" s="129"/>
      <c r="Z30" s="129"/>
      <c r="AA30" s="129"/>
      <c r="AB30" s="129"/>
      <c r="AC30" s="129"/>
      <c r="AD30" s="129"/>
      <c r="AE30" s="129"/>
      <c r="AF30" s="129"/>
      <c r="AG30" s="129"/>
      <c r="AH30" s="129"/>
      <c r="AI30" s="129"/>
      <c r="AJ30" s="129"/>
      <c r="AK30" s="129"/>
      <c r="AL30" s="129"/>
    </row>
    <row r="31" spans="1:41" s="99" customFormat="1" ht="15.95">
      <c r="A31" s="10"/>
      <c r="B31" s="703" t="str">
        <f>CONCATENATE('Vehicle Request'!H43," ",'Vehicle Request'!I43," ",'Vehicle Request'!J43)</f>
        <v xml:space="preserve">  </v>
      </c>
      <c r="C31" s="704" t="str">
        <f>IF('Vehicle Request'!C43="", "", 'Vehicle Request'!C43)</f>
        <v/>
      </c>
      <c r="D31" s="706"/>
      <c r="E31" s="706"/>
      <c r="F31" s="706"/>
      <c r="G31" s="706"/>
      <c r="H31" s="706"/>
      <c r="I31" s="706"/>
      <c r="J31" s="711"/>
      <c r="K31" s="712" t="str">
        <f t="shared" si="1"/>
        <v/>
      </c>
      <c r="L31" s="706"/>
      <c r="M31" s="713"/>
      <c r="N31" s="707"/>
      <c r="O31" s="714"/>
      <c r="P31" s="721"/>
      <c r="Q31" s="10"/>
      <c r="R31" s="10"/>
      <c r="S31" s="10"/>
      <c r="T31" s="129"/>
      <c r="U31" s="129"/>
      <c r="V31" s="129"/>
      <c r="W31" s="129"/>
      <c r="X31" s="129"/>
      <c r="Y31" s="129"/>
      <c r="Z31" s="129"/>
      <c r="AA31" s="129"/>
      <c r="AB31" s="129"/>
      <c r="AC31" s="129"/>
      <c r="AD31" s="129"/>
      <c r="AE31" s="129"/>
      <c r="AF31" s="129"/>
      <c r="AG31" s="129"/>
      <c r="AH31" s="129"/>
      <c r="AI31" s="129"/>
      <c r="AJ31" s="129"/>
      <c r="AK31" s="129"/>
      <c r="AL31" s="129"/>
    </row>
    <row r="32" spans="1:41" s="99" customFormat="1" ht="15.95">
      <c r="A32" s="10"/>
      <c r="B32" s="703" t="str">
        <f>CONCATENATE('Vehicle Request'!H44," ",'Vehicle Request'!I44," ",'Vehicle Request'!J44)</f>
        <v xml:space="preserve">  </v>
      </c>
      <c r="C32" s="704" t="str">
        <f>IF('Vehicle Request'!C44="", "", 'Vehicle Request'!C44)</f>
        <v/>
      </c>
      <c r="D32" s="706"/>
      <c r="E32" s="706"/>
      <c r="F32" s="706"/>
      <c r="G32" s="706"/>
      <c r="H32" s="706"/>
      <c r="I32" s="706"/>
      <c r="J32" s="711"/>
      <c r="K32" s="712" t="str">
        <f t="shared" si="1"/>
        <v/>
      </c>
      <c r="L32" s="706"/>
      <c r="M32" s="713"/>
      <c r="N32" s="707"/>
      <c r="O32" s="714"/>
      <c r="P32" s="721"/>
      <c r="Q32" s="10"/>
      <c r="R32" s="10"/>
      <c r="S32" s="10"/>
      <c r="T32" s="129"/>
      <c r="U32" s="129"/>
      <c r="V32" s="129"/>
      <c r="W32" s="129"/>
      <c r="X32" s="129"/>
      <c r="Y32" s="129"/>
      <c r="Z32" s="129"/>
      <c r="AA32" s="129"/>
      <c r="AB32" s="129"/>
      <c r="AC32" s="129"/>
      <c r="AD32" s="129"/>
      <c r="AE32" s="129"/>
      <c r="AF32" s="129"/>
      <c r="AG32" s="129"/>
      <c r="AH32" s="129"/>
      <c r="AI32" s="129"/>
      <c r="AJ32" s="129"/>
      <c r="AK32" s="129"/>
      <c r="AL32" s="129"/>
    </row>
    <row r="33" spans="1:38" s="99" customFormat="1" ht="15.95">
      <c r="A33" s="10"/>
      <c r="B33" s="315" t="str">
        <f>CONCATENATE('Vehicle Request'!H45," ",'Vehicle Request'!I45," ",'Vehicle Request'!J45)</f>
        <v xml:space="preserve">  </v>
      </c>
      <c r="C33" s="316" t="str">
        <f>IF('Vehicle Request'!C45="", "", 'Vehicle Request'!C45)</f>
        <v/>
      </c>
      <c r="D33" s="327"/>
      <c r="E33" s="327"/>
      <c r="F33" s="327"/>
      <c r="G33" s="327"/>
      <c r="H33" s="327"/>
      <c r="I33" s="327"/>
      <c r="J33" s="328"/>
      <c r="K33" s="712" t="str">
        <f t="shared" si="1"/>
        <v/>
      </c>
      <c r="L33" s="327"/>
      <c r="M33" s="329"/>
      <c r="N33" s="327"/>
      <c r="O33" s="576"/>
      <c r="P33" s="330"/>
      <c r="Q33" s="10"/>
      <c r="R33" s="10"/>
      <c r="S33" s="10"/>
      <c r="T33" s="129"/>
      <c r="U33" s="129"/>
      <c r="V33" s="129"/>
      <c r="W33" s="129"/>
      <c r="X33" s="129"/>
      <c r="Y33" s="129"/>
      <c r="Z33" s="129"/>
      <c r="AA33" s="129"/>
      <c r="AB33" s="129"/>
      <c r="AC33" s="129"/>
      <c r="AD33" s="129"/>
      <c r="AE33" s="129"/>
      <c r="AF33" s="129"/>
      <c r="AG33" s="129"/>
      <c r="AH33" s="129"/>
      <c r="AI33" s="129"/>
      <c r="AJ33" s="129"/>
      <c r="AK33" s="129"/>
      <c r="AL33" s="129"/>
    </row>
    <row r="34" spans="1:38" s="99" customFormat="1" ht="15.95">
      <c r="A34" s="10"/>
      <c r="B34" s="315" t="str">
        <f>CONCATENATE('Vehicle Request'!H46," ",'Vehicle Request'!I46," ",'Vehicle Request'!J46)</f>
        <v xml:space="preserve">  </v>
      </c>
      <c r="C34" s="316" t="str">
        <f>IF('Vehicle Request'!C46="", "", 'Vehicle Request'!C46)</f>
        <v/>
      </c>
      <c r="D34" s="327"/>
      <c r="E34" s="327"/>
      <c r="F34" s="327"/>
      <c r="G34" s="327"/>
      <c r="H34" s="327"/>
      <c r="I34" s="327"/>
      <c r="J34" s="328"/>
      <c r="K34" s="712" t="str">
        <f t="shared" si="1"/>
        <v/>
      </c>
      <c r="L34" s="327"/>
      <c r="M34" s="329"/>
      <c r="N34" s="327"/>
      <c r="O34" s="576"/>
      <c r="P34" s="330"/>
      <c r="Q34" s="10"/>
      <c r="R34" s="10"/>
      <c r="S34" s="10"/>
      <c r="T34" s="129"/>
      <c r="U34" s="129"/>
      <c r="V34" s="129"/>
      <c r="W34" s="129"/>
      <c r="X34" s="129"/>
      <c r="Y34" s="129"/>
      <c r="Z34" s="129"/>
      <c r="AA34" s="129"/>
      <c r="AB34" s="129"/>
      <c r="AC34" s="129"/>
      <c r="AD34" s="129"/>
      <c r="AE34" s="129"/>
      <c r="AF34" s="129"/>
      <c r="AG34" s="129"/>
      <c r="AH34" s="129"/>
      <c r="AI34" s="129"/>
      <c r="AJ34" s="129"/>
      <c r="AK34" s="129"/>
      <c r="AL34" s="129"/>
    </row>
    <row r="35" spans="1:38" s="99" customFormat="1" ht="15.95">
      <c r="A35" s="10"/>
      <c r="B35" s="315" t="str">
        <f>CONCATENATE('Vehicle Request'!H47," ",'Vehicle Request'!I47," ",'Vehicle Request'!J47)</f>
        <v xml:space="preserve">  </v>
      </c>
      <c r="C35" s="316" t="str">
        <f>IF('Vehicle Request'!C47="", "", 'Vehicle Request'!C47)</f>
        <v/>
      </c>
      <c r="D35" s="327"/>
      <c r="E35" s="327"/>
      <c r="F35" s="327"/>
      <c r="G35" s="327"/>
      <c r="H35" s="327"/>
      <c r="I35" s="327"/>
      <c r="J35" s="328"/>
      <c r="K35" s="712" t="str">
        <f t="shared" si="1"/>
        <v/>
      </c>
      <c r="L35" s="327"/>
      <c r="M35" s="329"/>
      <c r="N35" s="327"/>
      <c r="O35" s="588"/>
      <c r="P35" s="330"/>
      <c r="Q35" s="10"/>
      <c r="R35" s="10"/>
      <c r="S35" s="10"/>
      <c r="T35" s="129"/>
      <c r="U35" s="129"/>
      <c r="V35" s="129"/>
      <c r="W35" s="129"/>
      <c r="X35" s="129"/>
      <c r="Y35" s="129"/>
      <c r="Z35" s="129"/>
      <c r="AA35" s="129"/>
      <c r="AB35" s="129"/>
      <c r="AC35" s="129"/>
      <c r="AD35" s="129"/>
      <c r="AE35" s="129"/>
      <c r="AF35" s="129"/>
      <c r="AG35" s="129"/>
      <c r="AH35" s="129"/>
      <c r="AI35" s="129"/>
      <c r="AJ35" s="129"/>
      <c r="AK35" s="129"/>
      <c r="AL35" s="129"/>
    </row>
    <row r="36" spans="1:38" s="99" customFormat="1" ht="15.95">
      <c r="A36" s="10"/>
      <c r="B36" s="315" t="str">
        <f>CONCATENATE('Vehicle Request'!H48," ",'Vehicle Request'!I48," ",'Vehicle Request'!J48)</f>
        <v xml:space="preserve">  </v>
      </c>
      <c r="C36" s="316" t="str">
        <f>IF('Vehicle Request'!C48="", "", 'Vehicle Request'!C48)</f>
        <v/>
      </c>
      <c r="D36" s="327"/>
      <c r="E36" s="327"/>
      <c r="F36" s="327"/>
      <c r="G36" s="327"/>
      <c r="H36" s="327"/>
      <c r="I36" s="327"/>
      <c r="J36" s="328"/>
      <c r="K36" s="712" t="str">
        <f t="shared" si="1"/>
        <v/>
      </c>
      <c r="L36" s="327"/>
      <c r="M36" s="329"/>
      <c r="N36" s="327"/>
      <c r="O36" s="588"/>
      <c r="P36" s="330"/>
      <c r="Q36" s="10"/>
      <c r="R36" s="10"/>
      <c r="S36" s="10"/>
      <c r="T36" s="129"/>
      <c r="U36" s="129"/>
      <c r="V36" s="129"/>
      <c r="W36" s="129"/>
      <c r="X36" s="129"/>
      <c r="Y36" s="129"/>
      <c r="Z36" s="129"/>
      <c r="AA36" s="129"/>
      <c r="AB36" s="129"/>
      <c r="AC36" s="129"/>
      <c r="AD36" s="129"/>
      <c r="AE36" s="129"/>
      <c r="AF36" s="129"/>
      <c r="AG36" s="129"/>
      <c r="AH36" s="129"/>
      <c r="AI36" s="129"/>
      <c r="AJ36" s="129"/>
      <c r="AK36" s="129"/>
      <c r="AL36" s="129"/>
    </row>
    <row r="37" spans="1:38" s="99" customFormat="1" ht="15.95">
      <c r="A37" s="10"/>
      <c r="B37" s="315" t="str">
        <f>CONCATENATE('Vehicle Request'!H49," ",'Vehicle Request'!I49," ",'Vehicle Request'!J49)</f>
        <v xml:space="preserve">  </v>
      </c>
      <c r="C37" s="316" t="str">
        <f>IF('Vehicle Request'!C49="", "", 'Vehicle Request'!C49)</f>
        <v/>
      </c>
      <c r="D37" s="327"/>
      <c r="E37" s="327"/>
      <c r="F37" s="327"/>
      <c r="G37" s="327"/>
      <c r="H37" s="327"/>
      <c r="I37" s="327"/>
      <c r="J37" s="328"/>
      <c r="K37" s="712" t="str">
        <f t="shared" si="1"/>
        <v/>
      </c>
      <c r="L37" s="327"/>
      <c r="M37" s="329"/>
      <c r="N37" s="327"/>
      <c r="O37" s="588"/>
      <c r="P37" s="330"/>
      <c r="Q37" s="10"/>
      <c r="R37" s="10"/>
      <c r="S37" s="10"/>
      <c r="T37" s="129"/>
      <c r="U37" s="129"/>
      <c r="V37" s="129"/>
      <c r="W37" s="129"/>
      <c r="X37" s="129"/>
      <c r="Y37" s="129"/>
      <c r="Z37" s="129"/>
      <c r="AA37" s="129"/>
      <c r="AB37" s="129"/>
      <c r="AC37" s="129"/>
      <c r="AD37" s="129"/>
      <c r="AE37" s="129"/>
      <c r="AF37" s="129"/>
      <c r="AG37" s="129"/>
      <c r="AH37" s="129"/>
      <c r="AI37" s="129"/>
      <c r="AJ37" s="129"/>
      <c r="AK37" s="129"/>
      <c r="AL37" s="129"/>
    </row>
    <row r="38" spans="1:38" s="99" customFormat="1" ht="15.95">
      <c r="A38" s="10"/>
      <c r="B38" s="315" t="str">
        <f>CONCATENATE('Vehicle Request'!H50," ",'Vehicle Request'!I50," ",'Vehicle Request'!J50)</f>
        <v xml:space="preserve">  </v>
      </c>
      <c r="C38" s="316" t="str">
        <f>IF('Vehicle Request'!C50="", "", 'Vehicle Request'!C50)</f>
        <v/>
      </c>
      <c r="D38" s="327"/>
      <c r="E38" s="327"/>
      <c r="F38" s="327"/>
      <c r="G38" s="327"/>
      <c r="H38" s="327"/>
      <c r="I38" s="327"/>
      <c r="J38" s="328"/>
      <c r="K38" s="712" t="str">
        <f t="shared" si="1"/>
        <v/>
      </c>
      <c r="L38" s="327"/>
      <c r="M38" s="329"/>
      <c r="N38" s="327"/>
      <c r="O38" s="588"/>
      <c r="P38" s="330"/>
      <c r="Q38" s="10"/>
      <c r="R38" s="10"/>
      <c r="S38" s="10"/>
      <c r="T38" s="129"/>
      <c r="U38" s="129"/>
      <c r="V38" s="129"/>
      <c r="W38" s="129"/>
      <c r="X38" s="129"/>
      <c r="Y38" s="129"/>
      <c r="Z38" s="129"/>
      <c r="AA38" s="129"/>
      <c r="AB38" s="129"/>
      <c r="AC38" s="129"/>
      <c r="AD38" s="129"/>
      <c r="AE38" s="129"/>
      <c r="AF38" s="129"/>
      <c r="AG38" s="129"/>
      <c r="AH38" s="129"/>
      <c r="AI38" s="129"/>
      <c r="AJ38" s="129"/>
      <c r="AK38" s="129"/>
      <c r="AL38" s="129"/>
    </row>
    <row r="39" spans="1:38" s="99" customFormat="1" ht="15.95">
      <c r="A39" s="10"/>
      <c r="B39" s="315" t="str">
        <f>CONCATENATE('Vehicle Request'!H51," ",'Vehicle Request'!I51," ",'Vehicle Request'!J51)</f>
        <v xml:space="preserve">  </v>
      </c>
      <c r="C39" s="316" t="str">
        <f>IF('Vehicle Request'!C51="", "", 'Vehicle Request'!C51)</f>
        <v/>
      </c>
      <c r="D39" s="327"/>
      <c r="E39" s="327"/>
      <c r="F39" s="327"/>
      <c r="G39" s="327"/>
      <c r="H39" s="327"/>
      <c r="I39" s="327"/>
      <c r="J39" s="328"/>
      <c r="K39" s="712" t="str">
        <f t="shared" si="1"/>
        <v/>
      </c>
      <c r="L39" s="327"/>
      <c r="M39" s="329"/>
      <c r="N39" s="327"/>
      <c r="O39" s="588"/>
      <c r="P39" s="330"/>
      <c r="Q39" s="10"/>
      <c r="R39" s="10"/>
      <c r="S39" s="10"/>
      <c r="T39" s="129"/>
      <c r="U39" s="129"/>
      <c r="V39" s="129"/>
      <c r="W39" s="129"/>
      <c r="X39" s="129"/>
      <c r="Y39" s="129"/>
      <c r="Z39" s="129"/>
      <c r="AA39" s="129"/>
      <c r="AB39" s="129"/>
      <c r="AC39" s="129"/>
      <c r="AD39" s="129"/>
      <c r="AE39" s="129"/>
      <c r="AF39" s="129"/>
      <c r="AG39" s="129"/>
      <c r="AH39" s="129"/>
      <c r="AI39" s="129"/>
      <c r="AJ39" s="129"/>
      <c r="AK39" s="129"/>
      <c r="AL39" s="129"/>
    </row>
    <row r="40" spans="1:38" s="99" customFormat="1" ht="15.95">
      <c r="A40" s="10"/>
      <c r="B40" s="315" t="str">
        <f>CONCATENATE('Vehicle Request'!H52," ",'Vehicle Request'!I52," ",'Vehicle Request'!J52)</f>
        <v xml:space="preserve">  </v>
      </c>
      <c r="C40" s="316" t="str">
        <f>IF('Vehicle Request'!C52="", "", 'Vehicle Request'!C52)</f>
        <v/>
      </c>
      <c r="D40" s="327"/>
      <c r="E40" s="327"/>
      <c r="F40" s="327"/>
      <c r="G40" s="327"/>
      <c r="H40" s="327"/>
      <c r="I40" s="327"/>
      <c r="J40" s="328"/>
      <c r="K40" s="712" t="str">
        <f t="shared" si="1"/>
        <v/>
      </c>
      <c r="L40" s="327"/>
      <c r="M40" s="329"/>
      <c r="N40" s="327"/>
      <c r="O40" s="576"/>
      <c r="P40" s="330"/>
      <c r="Q40" s="10"/>
      <c r="R40" s="10"/>
      <c r="S40" s="10"/>
      <c r="T40" s="129"/>
      <c r="U40" s="129"/>
      <c r="V40" s="129"/>
      <c r="W40" s="129"/>
      <c r="X40" s="129"/>
      <c r="Y40" s="129"/>
      <c r="Z40" s="129"/>
      <c r="AA40" s="129"/>
      <c r="AB40" s="129"/>
      <c r="AC40" s="129"/>
      <c r="AD40" s="129"/>
      <c r="AE40" s="129"/>
      <c r="AF40" s="129"/>
      <c r="AG40" s="129"/>
      <c r="AH40" s="129"/>
      <c r="AI40" s="129"/>
      <c r="AJ40" s="129"/>
      <c r="AK40" s="129"/>
      <c r="AL40" s="129"/>
    </row>
    <row r="41" spans="1:38" s="99" customFormat="1" ht="15.95">
      <c r="A41" s="10"/>
      <c r="B41" s="315" t="str">
        <f>CONCATENATE('Vehicle Request'!H53," ",'Vehicle Request'!I53," ",'Vehicle Request'!J53)</f>
        <v xml:space="preserve">  </v>
      </c>
      <c r="C41" s="316" t="str">
        <f>IF('Vehicle Request'!C53="", "", 'Vehicle Request'!C53)</f>
        <v/>
      </c>
      <c r="D41" s="327"/>
      <c r="E41" s="327"/>
      <c r="F41" s="327"/>
      <c r="G41" s="327"/>
      <c r="H41" s="327"/>
      <c r="I41" s="327"/>
      <c r="J41" s="328"/>
      <c r="K41" s="712" t="str">
        <f t="shared" si="1"/>
        <v/>
      </c>
      <c r="L41" s="327"/>
      <c r="M41" s="329"/>
      <c r="N41" s="327"/>
      <c r="O41" s="576"/>
      <c r="P41" s="330"/>
      <c r="Q41" s="10"/>
      <c r="R41" s="10"/>
      <c r="S41" s="10"/>
      <c r="T41" s="129"/>
      <c r="U41" s="129"/>
      <c r="V41" s="129"/>
      <c r="W41" s="129"/>
      <c r="X41" s="129"/>
      <c r="Y41" s="129"/>
      <c r="Z41" s="129"/>
      <c r="AA41" s="129"/>
      <c r="AB41" s="129"/>
      <c r="AC41" s="129"/>
      <c r="AD41" s="129"/>
      <c r="AE41" s="129"/>
      <c r="AF41" s="129"/>
      <c r="AG41" s="129"/>
      <c r="AH41" s="129"/>
      <c r="AI41" s="129"/>
      <c r="AJ41" s="129"/>
      <c r="AK41" s="129"/>
      <c r="AL41" s="129"/>
    </row>
    <row r="42" spans="1:38" s="99" customFormat="1" ht="15.95">
      <c r="A42" s="10"/>
      <c r="B42" s="315" t="str">
        <f>CONCATENATE('Vehicle Request'!H54," ",'Vehicle Request'!I54," ",'Vehicle Request'!J54)</f>
        <v xml:space="preserve">  </v>
      </c>
      <c r="C42" s="316" t="str">
        <f>IF('Vehicle Request'!C54="", "", 'Vehicle Request'!C54)</f>
        <v/>
      </c>
      <c r="D42" s="327"/>
      <c r="E42" s="327"/>
      <c r="F42" s="327"/>
      <c r="G42" s="327"/>
      <c r="H42" s="327"/>
      <c r="I42" s="327"/>
      <c r="J42" s="328"/>
      <c r="K42" s="712" t="str">
        <f t="shared" si="1"/>
        <v/>
      </c>
      <c r="L42" s="327"/>
      <c r="M42" s="329"/>
      <c r="N42" s="327"/>
      <c r="O42" s="576"/>
      <c r="P42" s="330"/>
      <c r="Q42" s="10"/>
      <c r="R42" s="10"/>
      <c r="S42" s="10"/>
      <c r="T42" s="129"/>
      <c r="U42" s="129"/>
      <c r="V42" s="129"/>
      <c r="W42" s="129"/>
      <c r="X42" s="129"/>
      <c r="Y42" s="129"/>
      <c r="Z42" s="129"/>
      <c r="AA42" s="129"/>
      <c r="AB42" s="129"/>
      <c r="AC42" s="129"/>
      <c r="AD42" s="129"/>
      <c r="AE42" s="129"/>
      <c r="AF42" s="129"/>
      <c r="AG42" s="129"/>
      <c r="AH42" s="129"/>
      <c r="AI42" s="129"/>
      <c r="AJ42" s="129"/>
      <c r="AK42" s="129"/>
      <c r="AL42" s="129"/>
    </row>
    <row r="43" spans="1:38" s="99" customFormat="1" ht="15.95">
      <c r="A43" s="10"/>
      <c r="B43" s="315" t="str">
        <f>CONCATENATE('Vehicle Request'!H55," ",'Vehicle Request'!I55," ",'Vehicle Request'!J55)</f>
        <v xml:space="preserve">  </v>
      </c>
      <c r="C43" s="316" t="str">
        <f>IF('Vehicle Request'!C55="", "", 'Vehicle Request'!C55)</f>
        <v/>
      </c>
      <c r="D43" s="327"/>
      <c r="E43" s="327"/>
      <c r="F43" s="327"/>
      <c r="G43" s="327"/>
      <c r="H43" s="327"/>
      <c r="I43" s="327"/>
      <c r="J43" s="328"/>
      <c r="K43" s="712" t="str">
        <f t="shared" si="1"/>
        <v/>
      </c>
      <c r="L43" s="327"/>
      <c r="M43" s="329"/>
      <c r="N43" s="327"/>
      <c r="O43" s="588"/>
      <c r="P43" s="330"/>
      <c r="Q43" s="10"/>
      <c r="R43" s="10"/>
      <c r="S43" s="10"/>
      <c r="T43" s="129"/>
      <c r="U43" s="129"/>
      <c r="V43" s="129"/>
      <c r="W43" s="129"/>
      <c r="X43" s="129"/>
      <c r="Y43" s="129"/>
      <c r="Z43" s="129"/>
      <c r="AA43" s="129"/>
      <c r="AB43" s="129"/>
      <c r="AC43" s="129"/>
      <c r="AD43" s="129"/>
      <c r="AE43" s="129"/>
      <c r="AF43" s="129"/>
      <c r="AG43" s="129"/>
      <c r="AH43" s="129"/>
      <c r="AI43" s="129"/>
      <c r="AJ43" s="129"/>
      <c r="AK43" s="129"/>
      <c r="AL43" s="129"/>
    </row>
    <row r="44" spans="1:38" s="99" customFormat="1" ht="15.95">
      <c r="A44" s="10"/>
      <c r="B44" s="315" t="str">
        <f>CONCATENATE('Vehicle Request'!H56," ",'Vehicle Request'!I56," ",'Vehicle Request'!J56)</f>
        <v xml:space="preserve">  </v>
      </c>
      <c r="C44" s="316" t="str">
        <f>IF('Vehicle Request'!C56="", "", 'Vehicle Request'!C56)</f>
        <v/>
      </c>
      <c r="D44" s="327"/>
      <c r="E44" s="327"/>
      <c r="F44" s="327"/>
      <c r="G44" s="327"/>
      <c r="H44" s="327"/>
      <c r="I44" s="327"/>
      <c r="J44" s="328"/>
      <c r="K44" s="712" t="str">
        <f t="shared" si="1"/>
        <v/>
      </c>
      <c r="L44" s="327"/>
      <c r="M44" s="329"/>
      <c r="N44" s="327"/>
      <c r="O44" s="588"/>
      <c r="P44" s="330"/>
      <c r="Q44" s="10"/>
      <c r="R44" s="10"/>
      <c r="S44" s="10"/>
      <c r="T44" s="129"/>
      <c r="U44" s="129"/>
      <c r="V44" s="129"/>
      <c r="W44" s="129"/>
      <c r="X44" s="129"/>
      <c r="Y44" s="129"/>
      <c r="Z44" s="129"/>
      <c r="AA44" s="129"/>
      <c r="AB44" s="129"/>
      <c r="AC44" s="129"/>
      <c r="AD44" s="129"/>
      <c r="AE44" s="129"/>
      <c r="AF44" s="129"/>
      <c r="AG44" s="129"/>
      <c r="AH44" s="129"/>
      <c r="AI44" s="129"/>
      <c r="AJ44" s="129"/>
      <c r="AK44" s="129"/>
      <c r="AL44" s="129"/>
    </row>
    <row r="45" spans="1:38" s="99" customFormat="1" ht="15.95">
      <c r="A45" s="10"/>
      <c r="B45" s="315" t="str">
        <f>CONCATENATE('Vehicle Request'!H57," ",'Vehicle Request'!I57," ",'Vehicle Request'!J57)</f>
        <v xml:space="preserve">  </v>
      </c>
      <c r="C45" s="316" t="str">
        <f>IF('Vehicle Request'!C57="", "", 'Vehicle Request'!C57)</f>
        <v/>
      </c>
      <c r="D45" s="327"/>
      <c r="E45" s="327"/>
      <c r="F45" s="327"/>
      <c r="G45" s="327"/>
      <c r="H45" s="327"/>
      <c r="I45" s="327"/>
      <c r="J45" s="328"/>
      <c r="K45" s="712" t="str">
        <f t="shared" si="1"/>
        <v/>
      </c>
      <c r="L45" s="327"/>
      <c r="M45" s="329"/>
      <c r="N45" s="327"/>
      <c r="O45" s="576"/>
      <c r="P45" s="330"/>
      <c r="Q45" s="10"/>
      <c r="R45" s="10"/>
      <c r="S45" s="10"/>
      <c r="T45" s="129"/>
      <c r="U45" s="129"/>
      <c r="V45" s="129"/>
      <c r="W45" s="129"/>
      <c r="X45" s="129"/>
      <c r="Y45" s="129"/>
      <c r="Z45" s="129"/>
      <c r="AA45" s="129"/>
      <c r="AB45" s="129"/>
      <c r="AC45" s="129"/>
      <c r="AD45" s="129"/>
      <c r="AE45" s="129"/>
      <c r="AF45" s="129"/>
      <c r="AG45" s="129"/>
      <c r="AH45" s="129"/>
      <c r="AI45" s="129"/>
      <c r="AJ45" s="129"/>
      <c r="AK45" s="129"/>
      <c r="AL45" s="129"/>
    </row>
    <row r="46" spans="1:38" s="99" customFormat="1" ht="15.95">
      <c r="A46" s="10"/>
      <c r="B46" s="315" t="str">
        <f>CONCATENATE('Vehicle Request'!H58," ",'Vehicle Request'!I58," ",'Vehicle Request'!J58)</f>
        <v xml:space="preserve">  </v>
      </c>
      <c r="C46" s="316" t="str">
        <f>IF('Vehicle Request'!C58="", "", 'Vehicle Request'!C58)</f>
        <v/>
      </c>
      <c r="D46" s="327"/>
      <c r="E46" s="327"/>
      <c r="F46" s="327"/>
      <c r="G46" s="327"/>
      <c r="H46" s="327"/>
      <c r="I46" s="327"/>
      <c r="J46" s="328"/>
      <c r="K46" s="712" t="str">
        <f t="shared" si="1"/>
        <v/>
      </c>
      <c r="L46" s="327"/>
      <c r="M46" s="329"/>
      <c r="N46" s="327"/>
      <c r="O46" s="588"/>
      <c r="P46" s="330"/>
      <c r="Q46" s="10"/>
      <c r="R46" s="10"/>
      <c r="S46" s="10"/>
      <c r="T46" s="129"/>
      <c r="U46" s="129"/>
      <c r="V46" s="129"/>
      <c r="W46" s="129"/>
      <c r="X46" s="129"/>
      <c r="Y46" s="129"/>
      <c r="Z46" s="129"/>
      <c r="AA46" s="129"/>
      <c r="AB46" s="129"/>
      <c r="AC46" s="129"/>
      <c r="AD46" s="129"/>
      <c r="AE46" s="129"/>
      <c r="AF46" s="129"/>
      <c r="AG46" s="129"/>
      <c r="AH46" s="129"/>
      <c r="AI46" s="129"/>
      <c r="AJ46" s="129"/>
      <c r="AK46" s="129"/>
      <c r="AL46" s="129"/>
    </row>
    <row r="47" spans="1:38" s="99" customFormat="1" ht="15.95">
      <c r="A47" s="10"/>
      <c r="B47" s="315" t="str">
        <f>CONCATENATE('Vehicle Request'!H59," ",'Vehicle Request'!I59," ",'Vehicle Request'!J59)</f>
        <v xml:space="preserve">  </v>
      </c>
      <c r="C47" s="316" t="str">
        <f>IF('Vehicle Request'!C59="", "", 'Vehicle Request'!C59)</f>
        <v/>
      </c>
      <c r="D47" s="327"/>
      <c r="E47" s="327"/>
      <c r="F47" s="327"/>
      <c r="G47" s="327"/>
      <c r="H47" s="327"/>
      <c r="I47" s="327"/>
      <c r="J47" s="328"/>
      <c r="K47" s="712" t="str">
        <f t="shared" si="1"/>
        <v/>
      </c>
      <c r="L47" s="327"/>
      <c r="M47" s="329"/>
      <c r="N47" s="327"/>
      <c r="O47" s="588"/>
      <c r="P47" s="330"/>
      <c r="Q47" s="10"/>
      <c r="R47" s="10"/>
      <c r="S47" s="10"/>
      <c r="T47" s="129"/>
      <c r="U47" s="129"/>
      <c r="V47" s="129"/>
      <c r="W47" s="129"/>
      <c r="X47" s="129"/>
      <c r="Y47" s="129"/>
      <c r="Z47" s="129"/>
      <c r="AA47" s="129"/>
      <c r="AB47" s="129"/>
      <c r="AC47" s="129"/>
      <c r="AD47" s="129"/>
      <c r="AE47" s="129"/>
      <c r="AF47" s="129"/>
      <c r="AG47" s="129"/>
      <c r="AH47" s="129"/>
      <c r="AI47" s="129"/>
      <c r="AJ47" s="129"/>
      <c r="AK47" s="129"/>
      <c r="AL47" s="129"/>
    </row>
    <row r="48" spans="1:38" s="99" customFormat="1" ht="15.95">
      <c r="A48" s="10"/>
      <c r="B48" s="315" t="str">
        <f>CONCATENATE('Vehicle Request'!H60," ",'Vehicle Request'!I60," ",'Vehicle Request'!J60)</f>
        <v xml:space="preserve">  </v>
      </c>
      <c r="C48" s="316" t="str">
        <f>IF('Vehicle Request'!C60="", "", 'Vehicle Request'!C60)</f>
        <v/>
      </c>
      <c r="D48" s="327"/>
      <c r="E48" s="327"/>
      <c r="F48" s="327"/>
      <c r="G48" s="327"/>
      <c r="H48" s="327"/>
      <c r="I48" s="327"/>
      <c r="J48" s="328"/>
      <c r="K48" s="712" t="str">
        <f t="shared" si="1"/>
        <v/>
      </c>
      <c r="L48" s="327"/>
      <c r="M48" s="329"/>
      <c r="N48" s="327"/>
      <c r="O48" s="588"/>
      <c r="P48" s="330"/>
      <c r="Q48" s="10"/>
      <c r="R48" s="10"/>
      <c r="S48" s="10"/>
      <c r="T48" s="129"/>
      <c r="U48" s="129"/>
      <c r="V48" s="129"/>
      <c r="W48" s="129"/>
      <c r="X48" s="129"/>
      <c r="Y48" s="129"/>
      <c r="Z48" s="129"/>
      <c r="AA48" s="129"/>
      <c r="AB48" s="129"/>
      <c r="AC48" s="129"/>
      <c r="AD48" s="129"/>
      <c r="AE48" s="129"/>
      <c r="AF48" s="129"/>
      <c r="AG48" s="129"/>
      <c r="AH48" s="129"/>
      <c r="AI48" s="129"/>
      <c r="AJ48" s="129"/>
      <c r="AK48" s="129"/>
      <c r="AL48" s="129"/>
    </row>
    <row r="49" spans="1:38" s="99" customFormat="1" ht="15.95">
      <c r="A49" s="10"/>
      <c r="B49" s="315" t="str">
        <f>CONCATENATE('Vehicle Request'!H61," ",'Vehicle Request'!I61," ",'Vehicle Request'!J61)</f>
        <v xml:space="preserve">  </v>
      </c>
      <c r="C49" s="316" t="str">
        <f>IF('Vehicle Request'!C61="", "", 'Vehicle Request'!C61)</f>
        <v/>
      </c>
      <c r="D49" s="327"/>
      <c r="E49" s="327"/>
      <c r="F49" s="327"/>
      <c r="G49" s="327"/>
      <c r="H49" s="327"/>
      <c r="I49" s="327"/>
      <c r="J49" s="328"/>
      <c r="K49" s="712" t="str">
        <f t="shared" si="1"/>
        <v/>
      </c>
      <c r="L49" s="327"/>
      <c r="M49" s="329"/>
      <c r="N49" s="327"/>
      <c r="O49" s="588"/>
      <c r="P49" s="330"/>
      <c r="Q49" s="10"/>
      <c r="R49" s="10"/>
      <c r="S49" s="10"/>
      <c r="T49" s="129"/>
      <c r="U49" s="129"/>
      <c r="V49" s="129"/>
      <c r="W49" s="129"/>
      <c r="X49" s="129"/>
      <c r="Y49" s="129"/>
      <c r="Z49" s="129"/>
      <c r="AA49" s="129"/>
      <c r="AB49" s="129"/>
      <c r="AC49" s="129"/>
      <c r="AD49" s="129"/>
      <c r="AE49" s="129"/>
      <c r="AF49" s="129"/>
      <c r="AG49" s="129"/>
      <c r="AH49" s="129"/>
      <c r="AI49" s="129"/>
      <c r="AJ49" s="129"/>
      <c r="AK49" s="129"/>
      <c r="AL49" s="129"/>
    </row>
    <row r="50" spans="1:38" s="99" customFormat="1" ht="15.95">
      <c r="A50" s="10"/>
      <c r="B50" s="315" t="str">
        <f>CONCATENATE('Vehicle Request'!H62," ",'Vehicle Request'!I62," ",'Vehicle Request'!J62)</f>
        <v xml:space="preserve">  </v>
      </c>
      <c r="C50" s="316" t="str">
        <f>IF('Vehicle Request'!C62="", "", 'Vehicle Request'!C62)</f>
        <v/>
      </c>
      <c r="D50" s="327"/>
      <c r="E50" s="327"/>
      <c r="F50" s="327"/>
      <c r="G50" s="327"/>
      <c r="H50" s="327"/>
      <c r="I50" s="327"/>
      <c r="J50" s="328"/>
      <c r="K50" s="712" t="str">
        <f t="shared" si="1"/>
        <v/>
      </c>
      <c r="L50" s="327"/>
      <c r="M50" s="329"/>
      <c r="N50" s="327"/>
      <c r="O50" s="576"/>
      <c r="P50" s="330"/>
      <c r="Q50" s="10"/>
      <c r="R50" s="10"/>
      <c r="S50" s="10"/>
      <c r="T50" s="129"/>
      <c r="U50" s="129"/>
      <c r="V50" s="129"/>
      <c r="W50" s="129"/>
      <c r="X50" s="129"/>
      <c r="Y50" s="129"/>
      <c r="Z50" s="129"/>
      <c r="AA50" s="129"/>
      <c r="AB50" s="129"/>
      <c r="AC50" s="129"/>
      <c r="AD50" s="129"/>
      <c r="AE50" s="129"/>
      <c r="AF50" s="129"/>
      <c r="AG50" s="129"/>
      <c r="AH50" s="129"/>
      <c r="AI50" s="129"/>
      <c r="AJ50" s="129"/>
      <c r="AK50" s="129"/>
      <c r="AL50" s="129"/>
    </row>
    <row r="51" spans="1:38" s="99" customFormat="1" ht="15.95">
      <c r="A51" s="10"/>
      <c r="B51" s="315" t="str">
        <f>CONCATENATE('Vehicle Request'!H63," ",'Vehicle Request'!I63," ",'Vehicle Request'!J63)</f>
        <v xml:space="preserve">  </v>
      </c>
      <c r="C51" s="316" t="str">
        <f>IF('Vehicle Request'!C63="", "", 'Vehicle Request'!C63)</f>
        <v/>
      </c>
      <c r="D51" s="327"/>
      <c r="E51" s="327"/>
      <c r="F51" s="327"/>
      <c r="G51" s="327"/>
      <c r="H51" s="327"/>
      <c r="I51" s="327"/>
      <c r="J51" s="328"/>
      <c r="K51" s="712" t="str">
        <f t="shared" si="1"/>
        <v/>
      </c>
      <c r="L51" s="327"/>
      <c r="M51" s="329"/>
      <c r="N51" s="327"/>
      <c r="O51" s="576"/>
      <c r="P51" s="330"/>
      <c r="Q51" s="10"/>
      <c r="R51" s="10"/>
      <c r="S51" s="10"/>
      <c r="T51" s="129"/>
      <c r="U51" s="129"/>
      <c r="V51" s="129"/>
      <c r="W51" s="129"/>
      <c r="X51" s="129"/>
      <c r="Y51" s="129"/>
      <c r="Z51" s="129"/>
      <c r="AA51" s="129"/>
      <c r="AB51" s="129"/>
      <c r="AC51" s="129"/>
      <c r="AD51" s="129"/>
      <c r="AE51" s="129"/>
      <c r="AF51" s="129"/>
      <c r="AG51" s="129"/>
      <c r="AH51" s="129"/>
      <c r="AI51" s="129"/>
      <c r="AJ51" s="129"/>
      <c r="AK51" s="129"/>
      <c r="AL51" s="129"/>
    </row>
    <row r="52" spans="1:38" s="99" customFormat="1" ht="15.95">
      <c r="A52" s="10"/>
      <c r="B52" s="315" t="str">
        <f>CONCATENATE('Vehicle Request'!H64," ",'Vehicle Request'!I64," ",'Vehicle Request'!J64)</f>
        <v xml:space="preserve">  </v>
      </c>
      <c r="C52" s="316" t="str">
        <f>IF('Vehicle Request'!C64="", "", 'Vehicle Request'!C64)</f>
        <v/>
      </c>
      <c r="D52" s="327"/>
      <c r="E52" s="327"/>
      <c r="F52" s="327"/>
      <c r="G52" s="327"/>
      <c r="H52" s="327"/>
      <c r="I52" s="327"/>
      <c r="J52" s="328"/>
      <c r="K52" s="712" t="str">
        <f t="shared" si="1"/>
        <v/>
      </c>
      <c r="L52" s="327"/>
      <c r="M52" s="329"/>
      <c r="N52" s="327"/>
      <c r="O52" s="576"/>
      <c r="P52" s="330"/>
      <c r="Q52" s="10"/>
      <c r="R52" s="10"/>
      <c r="S52" s="10"/>
      <c r="T52" s="129"/>
      <c r="U52" s="129"/>
      <c r="V52" s="129"/>
      <c r="W52" s="129"/>
      <c r="X52" s="129"/>
      <c r="Y52" s="129"/>
      <c r="Z52" s="129"/>
      <c r="AA52" s="129"/>
      <c r="AB52" s="129"/>
      <c r="AC52" s="129"/>
      <c r="AD52" s="129"/>
      <c r="AE52" s="129"/>
      <c r="AF52" s="129"/>
      <c r="AG52" s="129"/>
      <c r="AH52" s="129"/>
      <c r="AI52" s="129"/>
      <c r="AJ52" s="129"/>
      <c r="AK52" s="129"/>
      <c r="AL52" s="129"/>
    </row>
    <row r="53" spans="1:38" s="99" customFormat="1" ht="15.95">
      <c r="A53" s="10"/>
      <c r="B53" s="315" t="str">
        <f>CONCATENATE('Vehicle Request'!H65," ",'Vehicle Request'!I65," ",'Vehicle Request'!J65)</f>
        <v xml:space="preserve">  </v>
      </c>
      <c r="C53" s="316" t="str">
        <f>IF('Vehicle Request'!C65="", "", 'Vehicle Request'!C65)</f>
        <v/>
      </c>
      <c r="D53" s="327"/>
      <c r="E53" s="327"/>
      <c r="F53" s="327"/>
      <c r="G53" s="327"/>
      <c r="H53" s="327"/>
      <c r="I53" s="327"/>
      <c r="J53" s="328"/>
      <c r="K53" s="712" t="str">
        <f t="shared" si="1"/>
        <v/>
      </c>
      <c r="L53" s="327"/>
      <c r="M53" s="329"/>
      <c r="N53" s="327"/>
      <c r="O53" s="576"/>
      <c r="P53" s="330"/>
      <c r="Q53" s="10"/>
      <c r="R53" s="10"/>
      <c r="S53" s="10"/>
      <c r="T53" s="129"/>
      <c r="U53" s="129"/>
      <c r="V53" s="129"/>
      <c r="W53" s="129"/>
      <c r="X53" s="129"/>
      <c r="Y53" s="129"/>
      <c r="Z53" s="129"/>
      <c r="AA53" s="129"/>
      <c r="AB53" s="129"/>
      <c r="AC53" s="129"/>
      <c r="AD53" s="129"/>
      <c r="AE53" s="129"/>
      <c r="AF53" s="129"/>
      <c r="AG53" s="129"/>
      <c r="AH53" s="129"/>
      <c r="AI53" s="129"/>
      <c r="AJ53" s="129"/>
      <c r="AK53" s="129"/>
      <c r="AL53" s="129"/>
    </row>
    <row r="54" spans="1:38" s="99" customFormat="1" ht="15.95">
      <c r="A54" s="10"/>
      <c r="B54" s="315" t="str">
        <f>CONCATENATE('Vehicle Request'!H66," ",'Vehicle Request'!I66," ",'Vehicle Request'!J66)</f>
        <v xml:space="preserve">  </v>
      </c>
      <c r="C54" s="316" t="str">
        <f>IF('Vehicle Request'!C66="", "", 'Vehicle Request'!C66)</f>
        <v/>
      </c>
      <c r="D54" s="327"/>
      <c r="E54" s="327"/>
      <c r="F54" s="327"/>
      <c r="G54" s="327"/>
      <c r="H54" s="327"/>
      <c r="I54" s="327"/>
      <c r="J54" s="328"/>
      <c r="K54" s="712" t="str">
        <f t="shared" si="1"/>
        <v/>
      </c>
      <c r="L54" s="327"/>
      <c r="M54" s="329"/>
      <c r="N54" s="327"/>
      <c r="O54" s="576"/>
      <c r="P54" s="330"/>
      <c r="Q54" s="10"/>
      <c r="R54" s="10"/>
      <c r="S54" s="10"/>
      <c r="T54" s="129"/>
      <c r="U54" s="129"/>
      <c r="V54" s="129"/>
      <c r="W54" s="129"/>
      <c r="X54" s="129"/>
      <c r="Y54" s="129"/>
      <c r="Z54" s="129"/>
      <c r="AA54" s="129"/>
      <c r="AB54" s="129"/>
      <c r="AC54" s="129"/>
      <c r="AD54" s="129"/>
      <c r="AE54" s="129"/>
      <c r="AF54" s="129"/>
      <c r="AG54" s="129"/>
      <c r="AH54" s="129"/>
      <c r="AI54" s="129"/>
      <c r="AJ54" s="129"/>
      <c r="AK54" s="129"/>
      <c r="AL54" s="129"/>
    </row>
    <row r="55" spans="1:38" s="99" customFormat="1" ht="15.95">
      <c r="A55" s="10"/>
      <c r="B55" s="315" t="str">
        <f>CONCATENATE('Vehicle Request'!H67," ",'Vehicle Request'!I67," ",'Vehicle Request'!J67)</f>
        <v xml:space="preserve">  </v>
      </c>
      <c r="C55" s="316" t="str">
        <f>IF('Vehicle Request'!C67="", "", 'Vehicle Request'!C67)</f>
        <v/>
      </c>
      <c r="D55" s="327"/>
      <c r="E55" s="327"/>
      <c r="F55" s="327"/>
      <c r="G55" s="327"/>
      <c r="H55" s="327"/>
      <c r="I55" s="327"/>
      <c r="J55" s="328"/>
      <c r="K55" s="712" t="str">
        <f t="shared" si="1"/>
        <v/>
      </c>
      <c r="L55" s="327"/>
      <c r="M55" s="329"/>
      <c r="N55" s="327"/>
      <c r="O55" s="576"/>
      <c r="P55" s="330"/>
      <c r="Q55" s="10"/>
      <c r="R55" s="10"/>
      <c r="S55" s="10"/>
      <c r="T55" s="129"/>
      <c r="U55" s="129"/>
      <c r="V55" s="129"/>
      <c r="W55" s="129"/>
      <c r="X55" s="129"/>
      <c r="Y55" s="129"/>
      <c r="Z55" s="129"/>
      <c r="AA55" s="129"/>
      <c r="AB55" s="129"/>
      <c r="AC55" s="129"/>
      <c r="AD55" s="129"/>
      <c r="AE55" s="129"/>
      <c r="AF55" s="129"/>
      <c r="AG55" s="129"/>
      <c r="AH55" s="129"/>
      <c r="AI55" s="129"/>
      <c r="AJ55" s="129"/>
      <c r="AK55" s="129"/>
      <c r="AL55" s="129"/>
    </row>
    <row r="56" spans="1:38" s="99" customFormat="1" ht="15.95">
      <c r="A56" s="10"/>
      <c r="B56" s="315" t="str">
        <f>CONCATENATE('Vehicle Request'!H68," ",'Vehicle Request'!I68," ",'Vehicle Request'!J68)</f>
        <v xml:space="preserve">  </v>
      </c>
      <c r="C56" s="316" t="str">
        <f>IF('Vehicle Request'!C68="", "", 'Vehicle Request'!C68)</f>
        <v/>
      </c>
      <c r="D56" s="327"/>
      <c r="E56" s="327"/>
      <c r="F56" s="327"/>
      <c r="G56" s="327"/>
      <c r="H56" s="327"/>
      <c r="I56" s="327"/>
      <c r="J56" s="328"/>
      <c r="K56" s="712" t="str">
        <f t="shared" si="1"/>
        <v/>
      </c>
      <c r="L56" s="327"/>
      <c r="M56" s="329"/>
      <c r="N56" s="327"/>
      <c r="O56" s="588"/>
      <c r="P56" s="330"/>
      <c r="Q56" s="10"/>
      <c r="R56" s="10"/>
      <c r="S56" s="10"/>
      <c r="T56" s="129"/>
      <c r="U56" s="129"/>
      <c r="V56" s="129"/>
      <c r="W56" s="129"/>
      <c r="X56" s="129"/>
      <c r="Y56" s="129"/>
      <c r="Z56" s="129"/>
      <c r="AA56" s="129"/>
      <c r="AB56" s="129"/>
      <c r="AC56" s="129"/>
      <c r="AD56" s="129"/>
      <c r="AE56" s="129"/>
      <c r="AF56" s="129"/>
      <c r="AG56" s="129"/>
      <c r="AH56" s="129"/>
      <c r="AI56" s="129"/>
      <c r="AJ56" s="129"/>
      <c r="AK56" s="129"/>
      <c r="AL56" s="129"/>
    </row>
    <row r="57" spans="1:38" s="99" customFormat="1" ht="15.95">
      <c r="A57" s="10"/>
      <c r="B57" s="315" t="str">
        <f>CONCATENATE('Vehicle Request'!H69," ",'Vehicle Request'!I69," ",'Vehicle Request'!J69)</f>
        <v xml:space="preserve">  </v>
      </c>
      <c r="C57" s="316" t="str">
        <f>IF('Vehicle Request'!C69="", "", 'Vehicle Request'!C69)</f>
        <v/>
      </c>
      <c r="D57" s="327"/>
      <c r="E57" s="327"/>
      <c r="F57" s="327"/>
      <c r="G57" s="327"/>
      <c r="H57" s="327"/>
      <c r="I57" s="327"/>
      <c r="J57" s="328"/>
      <c r="K57" s="712" t="str">
        <f t="shared" si="1"/>
        <v/>
      </c>
      <c r="L57" s="327"/>
      <c r="M57" s="329"/>
      <c r="N57" s="327"/>
      <c r="O57" s="588"/>
      <c r="P57" s="330"/>
      <c r="Q57" s="10"/>
      <c r="R57" s="10"/>
      <c r="S57" s="10"/>
      <c r="T57" s="129"/>
      <c r="U57" s="129"/>
      <c r="V57" s="129"/>
      <c r="W57" s="129"/>
      <c r="X57" s="129"/>
      <c r="Y57" s="129"/>
      <c r="Z57" s="129"/>
      <c r="AA57" s="129"/>
      <c r="AB57" s="129"/>
      <c r="AC57" s="129"/>
      <c r="AD57" s="129"/>
      <c r="AE57" s="129"/>
      <c r="AF57" s="129"/>
      <c r="AG57" s="129"/>
      <c r="AH57" s="129"/>
      <c r="AI57" s="129"/>
      <c r="AJ57" s="129"/>
      <c r="AK57" s="129"/>
      <c r="AL57" s="129"/>
    </row>
    <row r="58" spans="1:38" s="99" customFormat="1" ht="15.95">
      <c r="A58" s="10"/>
      <c r="B58" s="315" t="str">
        <f>CONCATENATE('Vehicle Request'!H70," ",'Vehicle Request'!I70," ",'Vehicle Request'!J70)</f>
        <v xml:space="preserve">  </v>
      </c>
      <c r="C58" s="316" t="str">
        <f>IF('Vehicle Request'!C70="", "", 'Vehicle Request'!C70)</f>
        <v/>
      </c>
      <c r="D58" s="327"/>
      <c r="E58" s="327"/>
      <c r="F58" s="327"/>
      <c r="G58" s="327"/>
      <c r="H58" s="327"/>
      <c r="I58" s="327"/>
      <c r="J58" s="328"/>
      <c r="K58" s="712" t="str">
        <f t="shared" si="1"/>
        <v/>
      </c>
      <c r="L58" s="327"/>
      <c r="M58" s="329"/>
      <c r="N58" s="327"/>
      <c r="O58" s="588"/>
      <c r="P58" s="330"/>
      <c r="Q58" s="10"/>
      <c r="R58" s="10"/>
      <c r="S58" s="10"/>
      <c r="T58" s="129"/>
      <c r="U58" s="129"/>
      <c r="V58" s="129"/>
      <c r="W58" s="129"/>
      <c r="X58" s="129"/>
      <c r="Y58" s="129"/>
      <c r="Z58" s="129"/>
      <c r="AA58" s="129"/>
      <c r="AB58" s="129"/>
      <c r="AC58" s="129"/>
      <c r="AD58" s="129"/>
      <c r="AE58" s="129"/>
      <c r="AF58" s="129"/>
      <c r="AG58" s="129"/>
      <c r="AH58" s="129"/>
      <c r="AI58" s="129"/>
      <c r="AJ58" s="129"/>
      <c r="AK58" s="129"/>
      <c r="AL58" s="129"/>
    </row>
    <row r="59" spans="1:38" s="99" customFormat="1" ht="17.100000000000001" thickBot="1">
      <c r="A59" s="10"/>
      <c r="B59" s="319" t="str">
        <f>CONCATENATE('Vehicle Request'!H71," ",'Vehicle Request'!I71," ",'Vehicle Request'!J71)</f>
        <v xml:space="preserve">  </v>
      </c>
      <c r="C59" s="320" t="str">
        <f>IF('Vehicle Request'!C71="", "", 'Vehicle Request'!C71)</f>
        <v/>
      </c>
      <c r="D59" s="340"/>
      <c r="E59" s="340"/>
      <c r="F59" s="340"/>
      <c r="G59" s="340"/>
      <c r="H59" s="340"/>
      <c r="I59" s="340"/>
      <c r="J59" s="341"/>
      <c r="K59" s="342" t="str">
        <f>IF(J59="", "", J59/(2020-F59))</f>
        <v/>
      </c>
      <c r="L59" s="340"/>
      <c r="M59" s="343"/>
      <c r="N59" s="340"/>
      <c r="O59" s="640"/>
      <c r="P59" s="344"/>
      <c r="Q59" s="10"/>
      <c r="R59" s="10"/>
      <c r="S59" s="10"/>
      <c r="T59" s="129"/>
      <c r="U59" s="129"/>
      <c r="V59" s="129"/>
      <c r="W59" s="129"/>
      <c r="X59" s="129"/>
      <c r="Y59" s="129"/>
      <c r="Z59" s="129"/>
      <c r="AA59" s="129"/>
      <c r="AB59" s="129"/>
      <c r="AC59" s="129"/>
      <c r="AD59" s="129"/>
      <c r="AE59" s="129"/>
      <c r="AF59" s="129"/>
      <c r="AG59" s="129"/>
      <c r="AH59" s="129"/>
      <c r="AI59" s="129"/>
      <c r="AJ59" s="129"/>
      <c r="AK59" s="129"/>
      <c r="AL59" s="129"/>
    </row>
    <row r="60" spans="1:38" ht="15.95" thickBot="1">
      <c r="A60" s="10"/>
      <c r="B60" s="10"/>
      <c r="C60" s="10"/>
      <c r="D60" s="10"/>
      <c r="E60" s="10"/>
      <c r="F60" s="10"/>
      <c r="G60" s="10"/>
      <c r="H60" s="10"/>
      <c r="I60" s="10"/>
      <c r="J60" s="10"/>
      <c r="K60" s="10"/>
      <c r="L60" s="10"/>
      <c r="M60" s="10"/>
      <c r="N60" s="10"/>
      <c r="O60" s="10"/>
      <c r="P60" s="10"/>
      <c r="Q60" s="10"/>
      <c r="R60" s="10"/>
      <c r="AL60" s="99"/>
    </row>
    <row r="61" spans="1:38" ht="33" thickBot="1">
      <c r="A61" s="10"/>
      <c r="B61" s="149" t="s">
        <v>92</v>
      </c>
      <c r="C61" s="153" t="s">
        <v>6376</v>
      </c>
      <c r="D61" s="152">
        <f>'Vehicle Request'!G73</f>
        <v>0</v>
      </c>
      <c r="E61" s="10"/>
      <c r="F61" s="10"/>
      <c r="G61" s="153" t="s">
        <v>6377</v>
      </c>
      <c r="H61" s="152">
        <f>SUM((COUNTA(E8:E24)+COUNTA(E28:E56)))</f>
        <v>0</v>
      </c>
      <c r="I61" s="120"/>
      <c r="J61" s="10"/>
      <c r="K61" s="10"/>
      <c r="L61" s="10"/>
      <c r="M61" s="10"/>
      <c r="N61" s="10"/>
      <c r="O61" s="10"/>
      <c r="P61" s="10"/>
      <c r="Q61" s="10"/>
      <c r="R61" s="10"/>
      <c r="AL61" s="99"/>
    </row>
    <row r="62" spans="1:38" ht="15.95">
      <c r="A62" s="10"/>
      <c r="B62" s="149" t="s">
        <v>97</v>
      </c>
      <c r="C62" s="10"/>
      <c r="D62" s="10"/>
      <c r="E62" s="10"/>
      <c r="F62" s="10"/>
      <c r="G62" s="10"/>
      <c r="H62" s="10"/>
      <c r="I62" s="10"/>
      <c r="J62" s="10"/>
      <c r="K62" s="10"/>
      <c r="L62" s="10"/>
      <c r="M62" s="10"/>
      <c r="N62" s="10"/>
      <c r="O62" s="10"/>
      <c r="P62" s="10"/>
      <c r="Q62" s="10"/>
      <c r="R62" s="10"/>
      <c r="AL62" s="99"/>
    </row>
    <row r="63" spans="1:38" s="129" customFormat="1">
      <c r="A63" s="10"/>
      <c r="B63" s="10"/>
      <c r="C63" s="729"/>
      <c r="D63" s="729"/>
      <c r="E63" s="729"/>
      <c r="F63" s="729"/>
      <c r="G63" s="729"/>
      <c r="H63" s="729"/>
      <c r="I63" s="729"/>
      <c r="J63" s="10"/>
      <c r="K63" s="10"/>
      <c r="L63" s="10"/>
      <c r="M63" s="10"/>
      <c r="N63" s="10"/>
      <c r="O63" s="10"/>
      <c r="P63" s="10"/>
      <c r="Q63" s="10"/>
      <c r="R63" s="10"/>
    </row>
    <row r="64" spans="1:38" s="129" customFormat="1">
      <c r="A64" s="10"/>
      <c r="B64" s="10"/>
      <c r="C64" s="836" t="s">
        <v>6344</v>
      </c>
      <c r="D64" s="851"/>
      <c r="E64" s="851"/>
      <c r="F64" s="851"/>
      <c r="G64" s="851"/>
      <c r="H64" s="851"/>
      <c r="I64" s="729"/>
      <c r="J64" s="10"/>
      <c r="K64" s="10"/>
      <c r="L64" s="10"/>
      <c r="M64" s="10"/>
      <c r="N64" s="10"/>
      <c r="O64" s="10"/>
      <c r="P64" s="10"/>
      <c r="Q64" s="10"/>
      <c r="R64" s="10"/>
    </row>
    <row r="65" spans="1:18" s="129" customFormat="1">
      <c r="A65" s="10"/>
      <c r="B65" s="10"/>
      <c r="C65" s="851"/>
      <c r="D65" s="851"/>
      <c r="E65" s="851"/>
      <c r="F65" s="851"/>
      <c r="G65" s="851"/>
      <c r="H65" s="851"/>
      <c r="I65" s="729"/>
      <c r="J65" s="10"/>
      <c r="K65" s="10"/>
      <c r="L65" s="10"/>
      <c r="M65" s="10"/>
      <c r="N65" s="10"/>
      <c r="O65" s="10"/>
      <c r="P65" s="10"/>
      <c r="Q65" s="10"/>
      <c r="R65" s="10"/>
    </row>
    <row r="66" spans="1:18" s="129" customFormat="1">
      <c r="A66" s="10"/>
      <c r="B66" s="10"/>
      <c r="C66" s="851"/>
      <c r="D66" s="851"/>
      <c r="E66" s="851"/>
      <c r="F66" s="851"/>
      <c r="G66" s="851"/>
      <c r="H66" s="851"/>
      <c r="I66" s="729"/>
      <c r="J66" s="10"/>
      <c r="K66" s="10"/>
      <c r="L66" s="10"/>
      <c r="M66" s="10"/>
      <c r="N66" s="10"/>
      <c r="O66" s="10"/>
      <c r="P66" s="10"/>
      <c r="Q66" s="10"/>
      <c r="R66" s="10"/>
    </row>
    <row r="67" spans="1:18" s="129" customFormat="1">
      <c r="A67" s="10"/>
      <c r="B67" s="10"/>
      <c r="C67" s="851"/>
      <c r="D67" s="851"/>
      <c r="E67" s="851"/>
      <c r="F67" s="851"/>
      <c r="G67" s="851"/>
      <c r="H67" s="851"/>
      <c r="I67" s="729"/>
      <c r="J67" s="10"/>
      <c r="K67" s="10"/>
      <c r="L67" s="10"/>
      <c r="M67" s="10"/>
      <c r="N67" s="10"/>
      <c r="O67" s="10"/>
      <c r="P67" s="10"/>
      <c r="Q67" s="10"/>
      <c r="R67" s="10"/>
    </row>
    <row r="68" spans="1:18" s="129" customFormat="1">
      <c r="A68" s="10"/>
      <c r="B68" s="10"/>
      <c r="C68" s="851"/>
      <c r="D68" s="851"/>
      <c r="E68" s="851"/>
      <c r="F68" s="851"/>
      <c r="G68" s="851"/>
      <c r="H68" s="851"/>
      <c r="I68" s="729"/>
      <c r="J68" s="10"/>
      <c r="K68" s="10"/>
      <c r="L68" s="10"/>
      <c r="M68" s="10"/>
      <c r="N68" s="10"/>
      <c r="O68" s="10"/>
      <c r="P68" s="10"/>
      <c r="Q68" s="10"/>
      <c r="R68" s="10"/>
    </row>
    <row r="69" spans="1:18" s="129" customFormat="1">
      <c r="A69" s="10"/>
      <c r="B69" s="10"/>
      <c r="C69" s="851"/>
      <c r="D69" s="851"/>
      <c r="E69" s="851"/>
      <c r="F69" s="851"/>
      <c r="G69" s="851"/>
      <c r="H69" s="851"/>
      <c r="I69" s="10"/>
      <c r="J69" s="10"/>
      <c r="K69" s="10"/>
      <c r="L69" s="10"/>
      <c r="M69" s="10"/>
      <c r="N69" s="10"/>
      <c r="O69" s="10"/>
      <c r="P69" s="10"/>
      <c r="Q69" s="10"/>
      <c r="R69" s="10"/>
    </row>
    <row r="70" spans="1:18" s="129" customFormat="1">
      <c r="A70" s="10"/>
      <c r="B70" s="10"/>
      <c r="C70" s="10"/>
      <c r="D70" s="10"/>
      <c r="E70" s="10"/>
      <c r="F70" s="10"/>
      <c r="G70" s="10"/>
      <c r="H70" s="10"/>
      <c r="I70" s="10"/>
      <c r="J70" s="10"/>
      <c r="K70" s="10"/>
      <c r="L70" s="10"/>
      <c r="M70" s="10"/>
      <c r="N70" s="10"/>
      <c r="O70" s="10"/>
      <c r="P70" s="10"/>
      <c r="Q70" s="10"/>
      <c r="R70" s="10"/>
    </row>
    <row r="71" spans="1:18" s="129" customFormat="1">
      <c r="A71" s="10"/>
      <c r="B71" s="10"/>
      <c r="C71" s="10"/>
      <c r="D71" s="10"/>
      <c r="E71" s="10"/>
      <c r="F71" s="10"/>
      <c r="G71" s="10"/>
      <c r="H71" s="10"/>
      <c r="I71" s="10"/>
      <c r="J71" s="10"/>
      <c r="K71" s="10"/>
      <c r="L71" s="10"/>
      <c r="M71" s="10"/>
      <c r="N71" s="10"/>
      <c r="O71" s="10"/>
      <c r="P71" s="10"/>
      <c r="Q71" s="10"/>
      <c r="R71" s="10"/>
    </row>
    <row r="72" spans="1:18" s="129" customFormat="1">
      <c r="A72" s="10"/>
      <c r="B72" s="10"/>
      <c r="C72" s="10"/>
      <c r="D72" s="10"/>
      <c r="E72" s="10"/>
      <c r="F72" s="10"/>
      <c r="G72" s="10"/>
      <c r="H72" s="10"/>
      <c r="I72" s="10"/>
      <c r="J72" s="10"/>
      <c r="K72" s="10"/>
      <c r="L72" s="10"/>
      <c r="M72" s="10"/>
      <c r="N72" s="10"/>
      <c r="O72" s="10"/>
      <c r="P72" s="10"/>
      <c r="Q72" s="10"/>
      <c r="R72" s="10"/>
    </row>
    <row r="73" spans="1:18" s="129" customFormat="1">
      <c r="A73" s="10"/>
      <c r="B73" s="10"/>
      <c r="C73" s="10"/>
      <c r="D73" s="10"/>
      <c r="E73" s="10"/>
      <c r="F73" s="10"/>
      <c r="G73" s="10"/>
      <c r="H73" s="10"/>
      <c r="I73" s="10"/>
      <c r="J73" s="10"/>
      <c r="K73" s="10"/>
      <c r="L73" s="10"/>
      <c r="M73" s="10"/>
      <c r="N73" s="10"/>
      <c r="O73" s="10"/>
      <c r="P73" s="10"/>
      <c r="Q73" s="10"/>
      <c r="R73" s="10"/>
    </row>
    <row r="74" spans="1:18" s="129" customFormat="1">
      <c r="A74" s="10"/>
      <c r="B74" s="10"/>
      <c r="C74" s="10"/>
      <c r="D74" s="10"/>
      <c r="E74" s="10"/>
      <c r="F74" s="10"/>
      <c r="G74" s="10"/>
      <c r="H74" s="10"/>
      <c r="I74" s="10"/>
      <c r="J74" s="10"/>
      <c r="K74" s="10"/>
      <c r="L74" s="10"/>
      <c r="M74" s="10"/>
      <c r="N74" s="10"/>
      <c r="O74" s="10"/>
      <c r="P74" s="10"/>
      <c r="Q74" s="10"/>
      <c r="R74" s="10"/>
    </row>
    <row r="75" spans="1:18" s="129" customFormat="1">
      <c r="A75" s="10"/>
      <c r="B75" s="10"/>
      <c r="C75" s="10"/>
      <c r="D75" s="10"/>
      <c r="E75" s="10"/>
      <c r="F75" s="10"/>
      <c r="G75" s="10"/>
      <c r="H75" s="10"/>
      <c r="I75" s="10"/>
      <c r="J75" s="10"/>
      <c r="K75" s="10"/>
      <c r="L75" s="10"/>
      <c r="M75" s="10"/>
      <c r="N75" s="10"/>
      <c r="O75" s="10"/>
      <c r="P75" s="10"/>
      <c r="Q75" s="10"/>
      <c r="R75" s="10"/>
    </row>
    <row r="76" spans="1:18" s="129" customFormat="1">
      <c r="A76" s="10"/>
      <c r="B76" s="10"/>
      <c r="C76" s="10"/>
      <c r="D76" s="10"/>
      <c r="E76" s="10"/>
      <c r="F76" s="10"/>
      <c r="G76" s="10"/>
      <c r="H76" s="10"/>
      <c r="I76" s="10"/>
      <c r="J76" s="10"/>
      <c r="K76" s="10"/>
      <c r="L76" s="10"/>
      <c r="M76" s="10"/>
      <c r="N76" s="10"/>
      <c r="O76" s="10"/>
      <c r="P76" s="10"/>
      <c r="Q76" s="10"/>
      <c r="R76" s="10"/>
    </row>
    <row r="77" spans="1:18" s="129" customFormat="1">
      <c r="A77" s="10"/>
      <c r="B77" s="10"/>
      <c r="C77" s="10"/>
      <c r="D77" s="10"/>
      <c r="E77" s="10"/>
      <c r="F77" s="10"/>
      <c r="G77" s="10"/>
      <c r="H77" s="10"/>
      <c r="I77" s="10"/>
      <c r="J77" s="10"/>
      <c r="K77" s="10"/>
      <c r="L77" s="10"/>
      <c r="M77" s="10"/>
      <c r="N77" s="10"/>
      <c r="O77" s="10"/>
      <c r="P77" s="10"/>
      <c r="Q77" s="10"/>
      <c r="R77" s="10"/>
    </row>
    <row r="78" spans="1:18" s="129" customFormat="1">
      <c r="A78" s="10"/>
      <c r="B78" s="10"/>
      <c r="C78" s="10"/>
      <c r="D78" s="10"/>
      <c r="E78" s="10"/>
      <c r="F78" s="10"/>
      <c r="G78" s="10"/>
      <c r="H78" s="10"/>
      <c r="I78" s="10"/>
      <c r="J78" s="10"/>
      <c r="K78" s="10"/>
      <c r="L78" s="10"/>
      <c r="M78" s="10"/>
      <c r="N78" s="10"/>
      <c r="O78" s="10"/>
      <c r="P78" s="10"/>
      <c r="Q78" s="10"/>
      <c r="R78" s="10"/>
    </row>
    <row r="79" spans="1:18" s="129" customFormat="1">
      <c r="A79" s="10"/>
      <c r="B79" s="10"/>
      <c r="C79" s="10"/>
      <c r="D79" s="10"/>
      <c r="E79" s="10"/>
      <c r="F79" s="10"/>
      <c r="G79" s="10"/>
      <c r="H79" s="10"/>
      <c r="I79" s="10"/>
      <c r="J79" s="10"/>
      <c r="K79" s="10"/>
      <c r="L79" s="10"/>
      <c r="M79" s="10"/>
      <c r="N79" s="10"/>
      <c r="O79" s="10"/>
      <c r="P79" s="10"/>
      <c r="Q79" s="10"/>
      <c r="R79" s="10"/>
    </row>
    <row r="80" spans="1:18" s="129" customFormat="1">
      <c r="A80" s="10"/>
      <c r="B80" s="10"/>
      <c r="C80" s="10"/>
      <c r="D80" s="10"/>
      <c r="E80" s="10"/>
      <c r="F80" s="10"/>
      <c r="G80" s="10"/>
      <c r="H80" s="10"/>
      <c r="I80" s="10"/>
      <c r="J80" s="10"/>
      <c r="K80" s="10"/>
      <c r="L80" s="10"/>
      <c r="M80" s="10"/>
      <c r="N80" s="10"/>
      <c r="O80" s="10"/>
      <c r="P80" s="10"/>
      <c r="Q80" s="10"/>
      <c r="R80" s="10"/>
    </row>
    <row r="81" spans="1:18" s="129" customFormat="1">
      <c r="A81" s="10"/>
      <c r="B81" s="10"/>
      <c r="C81" s="10"/>
      <c r="D81" s="10"/>
      <c r="E81" s="10"/>
      <c r="F81" s="10"/>
      <c r="G81" s="10"/>
      <c r="H81" s="10"/>
      <c r="I81" s="10"/>
      <c r="J81" s="10"/>
      <c r="K81" s="10"/>
      <c r="L81" s="10"/>
      <c r="M81" s="10"/>
      <c r="N81" s="10"/>
      <c r="O81" s="10"/>
      <c r="P81" s="10"/>
      <c r="Q81" s="10"/>
      <c r="R81" s="10"/>
    </row>
    <row r="82" spans="1:18" s="129" customFormat="1">
      <c r="A82" s="10"/>
      <c r="B82" s="10"/>
      <c r="C82" s="10"/>
      <c r="D82" s="10"/>
      <c r="E82" s="10"/>
      <c r="F82" s="10"/>
      <c r="G82" s="10"/>
      <c r="H82" s="10"/>
      <c r="I82" s="10"/>
      <c r="J82" s="10"/>
      <c r="K82" s="10"/>
      <c r="L82" s="10"/>
      <c r="M82" s="10"/>
      <c r="N82" s="10"/>
      <c r="O82" s="10"/>
      <c r="P82" s="10"/>
      <c r="Q82" s="10"/>
      <c r="R82" s="10"/>
    </row>
    <row r="83" spans="1:18" s="129" customFormat="1">
      <c r="A83" s="10"/>
      <c r="B83" s="10"/>
      <c r="C83" s="10"/>
      <c r="D83" s="10"/>
      <c r="E83" s="10"/>
      <c r="F83" s="10"/>
      <c r="G83" s="10"/>
      <c r="H83" s="10"/>
      <c r="I83" s="10"/>
      <c r="J83" s="10"/>
      <c r="K83" s="10"/>
      <c r="L83" s="10"/>
      <c r="M83" s="10"/>
      <c r="N83" s="10"/>
      <c r="O83" s="10"/>
      <c r="P83" s="10"/>
      <c r="Q83" s="10"/>
      <c r="R83" s="10"/>
    </row>
    <row r="84" spans="1:18">
      <c r="A84" s="10"/>
      <c r="B84" s="10"/>
      <c r="C84" s="10"/>
      <c r="D84" s="10"/>
      <c r="E84" s="10"/>
      <c r="F84" s="10"/>
      <c r="G84" s="10"/>
      <c r="H84" s="10"/>
      <c r="I84" s="10"/>
      <c r="J84" s="10"/>
      <c r="K84" s="10"/>
      <c r="L84" s="10"/>
      <c r="M84" s="10"/>
      <c r="N84" s="10"/>
      <c r="O84" s="10"/>
      <c r="P84" s="10"/>
      <c r="Q84" s="10"/>
      <c r="R84" s="10"/>
    </row>
    <row r="85" spans="1:18">
      <c r="A85" s="10"/>
      <c r="B85" s="10"/>
      <c r="C85" s="10"/>
      <c r="D85" s="10"/>
      <c r="E85" s="10"/>
      <c r="F85" s="10"/>
      <c r="G85" s="10"/>
      <c r="H85" s="10"/>
      <c r="I85" s="10"/>
      <c r="J85" s="10"/>
      <c r="K85" s="10"/>
      <c r="L85" s="10"/>
      <c r="M85" s="10"/>
      <c r="N85" s="10"/>
      <c r="O85" s="10"/>
      <c r="P85" s="10"/>
      <c r="Q85" s="10"/>
      <c r="R85" s="10"/>
    </row>
    <row r="86" spans="1:18">
      <c r="A86" s="10"/>
      <c r="B86" s="10"/>
      <c r="C86" s="10"/>
      <c r="D86" s="10"/>
      <c r="E86" s="10"/>
      <c r="F86" s="10"/>
      <c r="G86" s="10"/>
      <c r="H86" s="10"/>
      <c r="I86" s="10"/>
      <c r="J86" s="10"/>
      <c r="K86" s="10"/>
      <c r="L86" s="10"/>
      <c r="M86" s="10"/>
      <c r="N86" s="10"/>
      <c r="O86" s="10"/>
      <c r="P86" s="10"/>
      <c r="Q86" s="10"/>
      <c r="R86" s="10"/>
    </row>
    <row r="87" spans="1:18">
      <c r="A87" s="10"/>
      <c r="B87" s="10"/>
      <c r="C87" s="10"/>
      <c r="D87" s="10"/>
      <c r="E87" s="10"/>
      <c r="F87" s="10"/>
      <c r="G87" s="10"/>
      <c r="H87" s="10"/>
      <c r="I87" s="10"/>
      <c r="J87" s="10"/>
      <c r="K87" s="10"/>
      <c r="L87" s="10"/>
      <c r="M87" s="10"/>
      <c r="N87" s="10"/>
      <c r="O87" s="10"/>
      <c r="P87" s="10"/>
      <c r="Q87" s="10"/>
      <c r="R87" s="10"/>
    </row>
    <row r="88" spans="1:18">
      <c r="A88" s="10"/>
      <c r="B88" s="10"/>
      <c r="C88" s="10"/>
      <c r="D88" s="10"/>
      <c r="E88" s="10"/>
      <c r="F88" s="10"/>
      <c r="G88" s="10"/>
      <c r="H88" s="10"/>
      <c r="I88" s="10"/>
      <c r="J88" s="10"/>
      <c r="K88" s="10"/>
      <c r="L88" s="10"/>
      <c r="M88" s="10"/>
      <c r="N88" s="10"/>
      <c r="O88" s="10"/>
      <c r="P88" s="10"/>
      <c r="Q88" s="10"/>
      <c r="R88" s="10"/>
    </row>
    <row r="89" spans="1:18">
      <c r="A89" s="99"/>
      <c r="B89" s="99"/>
      <c r="C89" s="99"/>
      <c r="D89" s="99"/>
      <c r="E89" s="99"/>
      <c r="F89" s="99"/>
      <c r="G89" s="99"/>
      <c r="H89" s="99"/>
      <c r="J89" s="99"/>
      <c r="K89" s="99"/>
      <c r="L89" s="99"/>
      <c r="M89" s="99"/>
      <c r="N89" s="99"/>
      <c r="P89" s="99"/>
    </row>
    <row r="90" spans="1:18">
      <c r="A90" s="99"/>
      <c r="B90" s="99"/>
      <c r="C90" s="99"/>
      <c r="D90" s="99"/>
      <c r="E90" s="99"/>
      <c r="F90" s="99"/>
      <c r="G90" s="99"/>
      <c r="H90" s="99"/>
      <c r="J90" s="99"/>
      <c r="K90" s="99"/>
      <c r="L90" s="99"/>
      <c r="M90" s="99"/>
      <c r="N90" s="99"/>
      <c r="P90" s="99"/>
    </row>
    <row r="91" spans="1:18">
      <c r="A91" s="99"/>
      <c r="B91" s="99"/>
      <c r="C91" s="99"/>
      <c r="D91" s="99"/>
      <c r="E91" s="99"/>
      <c r="F91" s="99"/>
      <c r="G91" s="99"/>
      <c r="H91" s="99"/>
      <c r="J91" s="99"/>
      <c r="K91" s="99"/>
      <c r="L91" s="99"/>
      <c r="M91" s="99"/>
      <c r="N91" s="99"/>
      <c r="P91" s="99"/>
    </row>
    <row r="92" spans="1:18">
      <c r="A92" s="99"/>
      <c r="B92" s="99"/>
      <c r="C92" s="99"/>
      <c r="D92" s="99"/>
      <c r="E92" s="99"/>
      <c r="F92" s="99"/>
      <c r="G92" s="99"/>
      <c r="H92" s="99"/>
      <c r="J92" s="99"/>
      <c r="K92" s="99"/>
      <c r="L92" s="99"/>
      <c r="M92" s="99"/>
      <c r="N92" s="99"/>
      <c r="P92" s="99"/>
    </row>
    <row r="93" spans="1:18">
      <c r="A93" s="99"/>
      <c r="B93" s="99"/>
      <c r="C93" s="99"/>
      <c r="D93" s="99"/>
      <c r="E93" s="99"/>
      <c r="F93" s="99"/>
      <c r="G93" s="99"/>
      <c r="H93" s="99"/>
      <c r="J93" s="99"/>
      <c r="K93" s="99"/>
      <c r="L93" s="99"/>
      <c r="M93" s="99"/>
      <c r="N93" s="99"/>
      <c r="P93" s="99"/>
    </row>
    <row r="94" spans="1:18">
      <c r="A94" s="99"/>
      <c r="B94" s="99"/>
      <c r="C94" s="99"/>
      <c r="D94" s="99"/>
      <c r="E94" s="99"/>
      <c r="F94" s="99"/>
      <c r="G94" s="99"/>
      <c r="H94" s="99"/>
      <c r="J94" s="99"/>
      <c r="K94" s="99"/>
      <c r="L94" s="99"/>
      <c r="M94" s="99"/>
      <c r="N94" s="99"/>
      <c r="P94" s="99"/>
    </row>
    <row r="95" spans="1:18">
      <c r="A95" s="99"/>
      <c r="B95" s="99"/>
      <c r="C95" s="99"/>
      <c r="D95" s="99"/>
      <c r="E95" s="99"/>
      <c r="F95" s="99"/>
      <c r="G95" s="99"/>
      <c r="H95" s="99"/>
      <c r="J95" s="99"/>
      <c r="K95" s="99"/>
      <c r="L95" s="99"/>
      <c r="M95" s="99"/>
      <c r="N95" s="99"/>
      <c r="P95" s="99"/>
    </row>
    <row r="96" spans="1:18">
      <c r="A96" s="99"/>
      <c r="B96" s="99"/>
      <c r="C96" s="99"/>
      <c r="D96" s="99"/>
      <c r="E96" s="99"/>
      <c r="F96" s="99"/>
      <c r="G96" s="99"/>
      <c r="H96" s="99"/>
      <c r="J96" s="99"/>
      <c r="K96" s="99"/>
      <c r="L96" s="99"/>
      <c r="M96" s="99"/>
      <c r="N96" s="99"/>
      <c r="P96" s="99"/>
    </row>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sheetData>
  <sheetProtection algorithmName="SHA-512" hashValue="Om1ts9TVUgOsWVOVO/dLgPH8NuKxjoQ1Gy1jkmUJKALPmFu8j+8pPdIRQ91vRUBPx7oFn2k5ZBUWqeqzxEZijQ==" saltValue="mVKl3MVZm0GRg+R0eACvhA==" spinCount="100000" sheet="1" formatColumns="0" formatRows="0"/>
  <mergeCells count="6">
    <mergeCell ref="C64:H69"/>
    <mergeCell ref="B6:P6"/>
    <mergeCell ref="B26:P26"/>
    <mergeCell ref="B1:J1"/>
    <mergeCell ref="B2:J2"/>
    <mergeCell ref="B3:J3"/>
  </mergeCells>
  <conditionalFormatting sqref="L8:P21 D8:J21 D24:J24 L24:P24 O22:P23 N28:P28 F28:I29 N29:O29 L28:L59">
    <cfRule type="containsBlanks" dxfId="165" priority="57">
      <formula>LEN(TRIM(D8))=0</formula>
    </cfRule>
  </conditionalFormatting>
  <conditionalFormatting sqref="D56:D59 N56:P59 F56:J59">
    <cfRule type="containsBlanks" dxfId="164" priority="46">
      <formula>LEN(TRIM(D56))=0</formula>
    </cfRule>
  </conditionalFormatting>
  <conditionalFormatting sqref="E56:E59">
    <cfRule type="containsBlanks" dxfId="163" priority="45">
      <formula>LEN(TRIM(E56))=0</formula>
    </cfRule>
  </conditionalFormatting>
  <conditionalFormatting sqref="D46:D49 F46:J49 N46:P55 D50:J55">
    <cfRule type="containsBlanks" dxfId="162" priority="44">
      <formula>LEN(TRIM(D46))=0</formula>
    </cfRule>
  </conditionalFormatting>
  <conditionalFormatting sqref="E46:E49">
    <cfRule type="containsBlanks" dxfId="161" priority="43">
      <formula>LEN(TRIM(E46))=0</formula>
    </cfRule>
  </conditionalFormatting>
  <conditionalFormatting sqref="D40:J45 D37:D39 F37:J39 N36:P36 N40:P42 N37:N39 P37:P39 N45:P45 N43:N44 P43:P44 I36:J36">
    <cfRule type="containsBlanks" dxfId="160" priority="42">
      <formula>LEN(TRIM(D36))=0</formula>
    </cfRule>
  </conditionalFormatting>
  <conditionalFormatting sqref="E37:E39">
    <cfRule type="containsBlanks" dxfId="159" priority="41">
      <formula>LEN(TRIM(E37))=0</formula>
    </cfRule>
  </conditionalFormatting>
  <conditionalFormatting sqref="N30:P35 M37:M59 H30:J35 H36">
    <cfRule type="containsBlanks" dxfId="158" priority="40">
      <formula>LEN(TRIM(H30))=0</formula>
    </cfRule>
  </conditionalFormatting>
  <conditionalFormatting sqref="O37:O39">
    <cfRule type="containsBlanks" dxfId="157" priority="38">
      <formula>LEN(TRIM(O37))=0</formula>
    </cfRule>
  </conditionalFormatting>
  <conditionalFormatting sqref="O43:O44">
    <cfRule type="containsBlanks" dxfId="156" priority="37">
      <formula>LEN(TRIM(O43))=0</formula>
    </cfRule>
  </conditionalFormatting>
  <conditionalFormatting sqref="L22">
    <cfRule type="containsBlanks" dxfId="155" priority="35">
      <formula>LEN(TRIM(L22))=0</formula>
    </cfRule>
  </conditionalFormatting>
  <conditionalFormatting sqref="N22 D22:J22">
    <cfRule type="containsBlanks" dxfId="154" priority="34">
      <formula>LEN(TRIM(D22))=0</formula>
    </cfRule>
  </conditionalFormatting>
  <conditionalFormatting sqref="M22">
    <cfRule type="containsBlanks" dxfId="153" priority="33">
      <formula>LEN(TRIM(M22))=0</formula>
    </cfRule>
  </conditionalFormatting>
  <conditionalFormatting sqref="L23">
    <cfRule type="containsBlanks" dxfId="152" priority="32">
      <formula>LEN(TRIM(L23))=0</formula>
    </cfRule>
  </conditionalFormatting>
  <conditionalFormatting sqref="D23:J23">
    <cfRule type="containsBlanks" dxfId="151" priority="31">
      <formula>LEN(TRIM(D23))=0</formula>
    </cfRule>
  </conditionalFormatting>
  <conditionalFormatting sqref="M23">
    <cfRule type="containsBlanks" dxfId="150" priority="30">
      <formula>LEN(TRIM(M23))=0</formula>
    </cfRule>
  </conditionalFormatting>
  <conditionalFormatting sqref="N23">
    <cfRule type="containsBlanks" dxfId="149" priority="29">
      <formula>LEN(TRIM(N23))=0</formula>
    </cfRule>
  </conditionalFormatting>
  <conditionalFormatting sqref="F30:F36">
    <cfRule type="containsBlanks" dxfId="148" priority="23">
      <formula>LEN(TRIM(F30))=0</formula>
    </cfRule>
  </conditionalFormatting>
  <conditionalFormatting sqref="G30:G36">
    <cfRule type="containsBlanks" dxfId="147" priority="22">
      <formula>LEN(TRIM(G30))=0</formula>
    </cfRule>
  </conditionalFormatting>
  <conditionalFormatting sqref="M30:M36">
    <cfRule type="containsBlanks" dxfId="146" priority="20">
      <formula>LEN(TRIM(M30))=0</formula>
    </cfRule>
  </conditionalFormatting>
  <conditionalFormatting sqref="D30:D31 D33:D36">
    <cfRule type="containsBlanks" dxfId="145" priority="19">
      <formula>LEN(TRIM(D30))=0</formula>
    </cfRule>
  </conditionalFormatting>
  <conditionalFormatting sqref="E30:E36">
    <cfRule type="containsBlanks" dxfId="144" priority="18">
      <formula>LEN(TRIM(E30))=0</formula>
    </cfRule>
  </conditionalFormatting>
  <conditionalFormatting sqref="D28:D29">
    <cfRule type="containsBlanks" dxfId="143" priority="15">
      <formula>LEN(TRIM(D28))=0</formula>
    </cfRule>
  </conditionalFormatting>
  <conditionalFormatting sqref="E28:E29">
    <cfRule type="containsBlanks" dxfId="142" priority="14">
      <formula>LEN(TRIM(E28))=0</formula>
    </cfRule>
  </conditionalFormatting>
  <conditionalFormatting sqref="J28:J29">
    <cfRule type="containsBlanks" dxfId="141" priority="12">
      <formula>LEN(TRIM(J28))=0</formula>
    </cfRule>
  </conditionalFormatting>
  <conditionalFormatting sqref="D32">
    <cfRule type="containsBlanks" dxfId="140" priority="11">
      <formula>LEN(TRIM(D32))=0</formula>
    </cfRule>
  </conditionalFormatting>
  <conditionalFormatting sqref="M28">
    <cfRule type="containsBlanks" dxfId="139" priority="10">
      <formula>LEN(TRIM(M28))=0</formula>
    </cfRule>
  </conditionalFormatting>
  <conditionalFormatting sqref="P29">
    <cfRule type="containsBlanks" dxfId="138" priority="3">
      <formula>LEN(TRIM(P29))=0</formula>
    </cfRule>
  </conditionalFormatting>
  <conditionalFormatting sqref="M29">
    <cfRule type="containsBlanks" dxfId="137" priority="1">
      <formula>LEN(TRIM(M29))=0</formula>
    </cfRule>
  </conditionalFormatting>
  <dataValidations count="1">
    <dataValidation type="list" allowBlank="1" showInputMessage="1" showErrorMessage="1" sqref="I8:I24 I28:I59" xr:uid="{00000000-0002-0000-0600-000000000000}">
      <formula1>"Yes-Same Function, No-Entirely Different, Partially the Same"</formula1>
    </dataValidation>
  </dataValidations>
  <hyperlinks>
    <hyperlink ref="B61" location="'Vehicle Turn-In'!A1" display="Top" xr:uid="{00000000-0004-0000-0600-000000000000}"/>
    <hyperlink ref="B62" location="'Review &amp; Instructions '!A36" display="Instructions" xr:uid="{00000000-0004-0000-0600-000001000000}"/>
    <hyperlink ref="B4" location="'Vehicle Turn-In'!A36" display="Instructions" xr:uid="{00000000-0004-0000-0600-000002000000}"/>
  </hyperlinks>
  <pageMargins left="0.5" right="0.5" top="0.5" bottom="0.5" header="0.25" footer="0.25"/>
  <pageSetup paperSize="17" scale="75" fitToHeight="0" orientation="landscape" r:id="rId1"/>
  <headerFooter>
    <oddHeader>&amp;F</oddHeader>
    <oddFooter>&amp;L&amp;A&amp;CPage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ECFF"/>
    <pageSetUpPr fitToPage="1"/>
  </sheetPr>
  <dimension ref="A1:R118"/>
  <sheetViews>
    <sheetView zoomScale="90" zoomScaleNormal="90" workbookViewId="0">
      <pane xSplit="1" ySplit="2" topLeftCell="B3" activePane="bottomRight" state="frozen"/>
      <selection pane="bottomRight"/>
      <selection pane="bottomLeft" activeCell="A3" sqref="A3"/>
      <selection pane="topRight" activeCell="B1" sqref="B1"/>
    </sheetView>
  </sheetViews>
  <sheetFormatPr defaultColWidth="0" defaultRowHeight="0" customHeight="1" zeroHeight="1"/>
  <cols>
    <col min="1" max="1" width="3.42578125" style="99" customWidth="1"/>
    <col min="2" max="2" width="33.28515625" style="99" bestFit="1" customWidth="1"/>
    <col min="3" max="3" width="50.42578125" style="99" customWidth="1"/>
    <col min="4" max="4" width="17.7109375" style="99" customWidth="1"/>
    <col min="5" max="5" width="12.7109375" style="127" customWidth="1"/>
    <col min="6" max="6" width="10.7109375" style="128" bestFit="1" customWidth="1"/>
    <col min="7" max="7" width="12.7109375" style="127" customWidth="1"/>
    <col min="8" max="8" width="3.42578125" style="99" customWidth="1"/>
    <col min="9" max="10" width="9.140625" style="99" hidden="1" customWidth="1"/>
    <col min="11" max="11" width="9.140625" style="99" customWidth="1"/>
    <col min="12" max="12" width="9.140625" style="99" hidden="1" customWidth="1"/>
    <col min="13" max="13" width="0" style="99" hidden="1" customWidth="1"/>
    <col min="14" max="16384" width="9.140625" style="99" hidden="1"/>
  </cols>
  <sheetData>
    <row r="1" spans="1:12" ht="21" customHeight="1">
      <c r="A1" s="10"/>
      <c r="B1" s="802" t="s">
        <v>94</v>
      </c>
      <c r="C1" s="858"/>
      <c r="D1" s="858"/>
      <c r="E1" s="858"/>
      <c r="F1" s="858"/>
      <c r="G1" s="858"/>
      <c r="H1" s="727"/>
      <c r="I1" s="727"/>
      <c r="J1" s="727"/>
      <c r="K1" s="727"/>
    </row>
    <row r="2" spans="1:12" ht="31.5" customHeight="1">
      <c r="A2" s="10"/>
      <c r="B2" s="803" t="s">
        <v>6378</v>
      </c>
      <c r="C2" s="858"/>
      <c r="D2" s="858"/>
      <c r="E2" s="858"/>
      <c r="F2" s="858"/>
      <c r="G2" s="858"/>
      <c r="H2" s="728"/>
      <c r="I2" s="728"/>
      <c r="J2" s="728"/>
      <c r="K2" s="728"/>
    </row>
    <row r="3" spans="1:12" ht="47.25" customHeight="1">
      <c r="A3" s="10"/>
      <c r="B3" s="848" t="s">
        <v>6379</v>
      </c>
      <c r="C3" s="849"/>
      <c r="D3" s="849"/>
      <c r="E3" s="849"/>
      <c r="F3" s="849"/>
      <c r="G3" s="850"/>
      <c r="H3" s="726"/>
      <c r="I3" s="726"/>
      <c r="J3" s="726"/>
      <c r="K3" s="726"/>
    </row>
    <row r="4" spans="1:12" ht="15.95">
      <c r="A4" s="10"/>
      <c r="B4" s="443" t="s">
        <v>97</v>
      </c>
      <c r="C4" s="726"/>
      <c r="D4" s="726"/>
      <c r="E4" s="726"/>
      <c r="F4" s="726"/>
      <c r="G4" s="726"/>
      <c r="H4" s="726"/>
      <c r="I4" s="726"/>
      <c r="J4" s="726"/>
      <c r="K4" s="726"/>
    </row>
    <row r="5" spans="1:12" ht="7.5" customHeight="1" thickBot="1">
      <c r="A5" s="10"/>
      <c r="B5" s="149"/>
      <c r="C5" s="726"/>
      <c r="D5" s="726"/>
      <c r="E5" s="726"/>
      <c r="F5" s="726"/>
      <c r="G5" s="726"/>
      <c r="H5" s="726"/>
      <c r="I5" s="726"/>
      <c r="J5" s="726"/>
      <c r="K5" s="726"/>
    </row>
    <row r="6" spans="1:12" ht="30" customHeight="1">
      <c r="A6" s="10"/>
      <c r="B6" s="335" t="s">
        <v>6380</v>
      </c>
      <c r="C6" s="103" t="s">
        <v>6381</v>
      </c>
      <c r="D6" s="103" t="s">
        <v>6382</v>
      </c>
      <c r="E6" s="107" t="s">
        <v>6383</v>
      </c>
      <c r="F6" s="336" t="s">
        <v>6384</v>
      </c>
      <c r="G6" s="337" t="s">
        <v>6385</v>
      </c>
      <c r="H6" s="10"/>
      <c r="I6" s="10"/>
      <c r="J6" s="10"/>
      <c r="K6" s="10"/>
      <c r="L6" s="10"/>
    </row>
    <row r="7" spans="1:12" ht="15">
      <c r="A7" s="10"/>
      <c r="B7" s="298"/>
      <c r="C7" s="707"/>
      <c r="D7" s="706"/>
      <c r="E7" s="299"/>
      <c r="F7" s="300"/>
      <c r="G7" s="301">
        <f t="shared" ref="G7:G16" si="0">E7-(E7*F7)</f>
        <v>0</v>
      </c>
      <c r="H7" s="10"/>
      <c r="I7" s="10"/>
      <c r="J7" s="10"/>
      <c r="K7" s="10"/>
      <c r="L7" s="10"/>
    </row>
    <row r="8" spans="1:12" ht="15">
      <c r="A8" s="10"/>
      <c r="B8" s="298"/>
      <c r="C8" s="722"/>
      <c r="D8" s="706"/>
      <c r="E8" s="299"/>
      <c r="F8" s="300"/>
      <c r="G8" s="301">
        <f t="shared" si="0"/>
        <v>0</v>
      </c>
      <c r="H8" s="10"/>
      <c r="I8" s="10"/>
      <c r="J8" s="10"/>
      <c r="K8" s="10"/>
      <c r="L8" s="10"/>
    </row>
    <row r="9" spans="1:12" ht="15">
      <c r="A9" s="10"/>
      <c r="B9" s="298"/>
      <c r="C9" s="722"/>
      <c r="D9" s="706"/>
      <c r="E9" s="299"/>
      <c r="F9" s="300"/>
      <c r="G9" s="301">
        <f t="shared" si="0"/>
        <v>0</v>
      </c>
      <c r="H9" s="10"/>
      <c r="I9" s="10"/>
      <c r="J9" s="10"/>
      <c r="K9" s="10"/>
      <c r="L9" s="10"/>
    </row>
    <row r="10" spans="1:12" ht="15">
      <c r="A10" s="10"/>
      <c r="B10" s="298"/>
      <c r="C10" s="722"/>
      <c r="D10" s="706"/>
      <c r="E10" s="299"/>
      <c r="F10" s="300"/>
      <c r="G10" s="301">
        <f t="shared" si="0"/>
        <v>0</v>
      </c>
      <c r="H10" s="10"/>
      <c r="I10" s="10"/>
      <c r="J10" s="10"/>
      <c r="K10" s="10"/>
      <c r="L10" s="10"/>
    </row>
    <row r="11" spans="1:12" ht="15">
      <c r="A11" s="10"/>
      <c r="B11" s="298"/>
      <c r="C11" s="722"/>
      <c r="D11" s="706"/>
      <c r="E11" s="299"/>
      <c r="F11" s="300"/>
      <c r="G11" s="301">
        <f t="shared" si="0"/>
        <v>0</v>
      </c>
      <c r="H11" s="10"/>
      <c r="I11" s="10"/>
      <c r="J11" s="10"/>
      <c r="K11" s="10"/>
      <c r="L11" s="10"/>
    </row>
    <row r="12" spans="1:12" ht="15">
      <c r="A12" s="10"/>
      <c r="B12" s="298"/>
      <c r="C12" s="707"/>
      <c r="D12" s="706"/>
      <c r="E12" s="299"/>
      <c r="F12" s="300"/>
      <c r="G12" s="301">
        <f t="shared" ref="G12:G14" si="1">E12-(E12*F12)</f>
        <v>0</v>
      </c>
      <c r="H12" s="10"/>
      <c r="I12" s="10"/>
      <c r="J12" s="10"/>
      <c r="K12" s="10"/>
      <c r="L12" s="10"/>
    </row>
    <row r="13" spans="1:12" ht="15">
      <c r="A13" s="10"/>
      <c r="B13" s="298"/>
      <c r="C13" s="722"/>
      <c r="D13" s="706"/>
      <c r="E13" s="299"/>
      <c r="F13" s="300"/>
      <c r="G13" s="301">
        <f t="shared" si="1"/>
        <v>0</v>
      </c>
      <c r="H13" s="10"/>
      <c r="I13" s="10"/>
      <c r="J13" s="10"/>
      <c r="K13" s="10"/>
      <c r="L13" s="10"/>
    </row>
    <row r="14" spans="1:12" ht="15">
      <c r="A14" s="10"/>
      <c r="B14" s="298"/>
      <c r="C14" s="722"/>
      <c r="D14" s="706"/>
      <c r="E14" s="299"/>
      <c r="F14" s="300"/>
      <c r="G14" s="301">
        <f t="shared" si="1"/>
        <v>0</v>
      </c>
      <c r="H14" s="10"/>
      <c r="I14" s="10"/>
      <c r="J14" s="10"/>
      <c r="K14" s="10"/>
      <c r="L14" s="10"/>
    </row>
    <row r="15" spans="1:12" ht="15">
      <c r="A15" s="10"/>
      <c r="B15" s="298"/>
      <c r="C15" s="707"/>
      <c r="D15" s="706"/>
      <c r="E15" s="299"/>
      <c r="F15" s="300"/>
      <c r="G15" s="301">
        <f t="shared" si="0"/>
        <v>0</v>
      </c>
      <c r="H15" s="10"/>
      <c r="I15" s="10"/>
      <c r="J15" s="10"/>
      <c r="K15" s="10"/>
      <c r="L15" s="10"/>
    </row>
    <row r="16" spans="1:12" ht="15">
      <c r="A16" s="10"/>
      <c r="B16" s="298"/>
      <c r="C16" s="707"/>
      <c r="D16" s="706"/>
      <c r="E16" s="299"/>
      <c r="F16" s="300"/>
      <c r="G16" s="301">
        <f t="shared" si="0"/>
        <v>0</v>
      </c>
      <c r="H16" s="10"/>
      <c r="I16" s="10"/>
      <c r="J16" s="10"/>
      <c r="K16" s="10"/>
      <c r="L16" s="10"/>
    </row>
    <row r="17" spans="1:12" ht="17.100000000000001" thickBot="1">
      <c r="A17" s="10"/>
      <c r="B17" s="165"/>
      <c r="C17" s="166"/>
      <c r="D17" s="166" t="s">
        <v>6386</v>
      </c>
      <c r="E17" s="160">
        <f>SUM(E7:E16)</f>
        <v>0</v>
      </c>
      <c r="F17" s="170"/>
      <c r="G17" s="156">
        <f>SUM(G7:G16)</f>
        <v>0</v>
      </c>
      <c r="H17" s="10"/>
      <c r="I17" s="10"/>
      <c r="J17" s="10"/>
      <c r="K17" s="10"/>
      <c r="L17" s="10"/>
    </row>
    <row r="18" spans="1:12" ht="15.95" thickBot="1">
      <c r="A18" s="10"/>
      <c r="B18" s="726"/>
      <c r="C18" s="726"/>
      <c r="D18" s="325"/>
      <c r="E18" s="326"/>
      <c r="F18" s="325"/>
      <c r="G18" s="10"/>
      <c r="H18" s="10"/>
      <c r="I18" s="10"/>
      <c r="J18" s="10"/>
      <c r="K18" s="10"/>
    </row>
    <row r="19" spans="1:12" ht="30" customHeight="1">
      <c r="A19" s="10"/>
      <c r="B19" s="523" t="s">
        <v>6380</v>
      </c>
      <c r="C19" s="524" t="s">
        <v>6387</v>
      </c>
      <c r="D19" s="524" t="s">
        <v>6382</v>
      </c>
      <c r="E19" s="522" t="s">
        <v>6383</v>
      </c>
      <c r="F19" s="525" t="s">
        <v>6384</v>
      </c>
      <c r="G19" s="526" t="s">
        <v>6385</v>
      </c>
      <c r="H19" s="10"/>
      <c r="I19" s="10"/>
      <c r="J19" s="10"/>
      <c r="K19" s="10"/>
      <c r="L19" s="10"/>
    </row>
    <row r="20" spans="1:12" ht="15">
      <c r="A20" s="10"/>
      <c r="B20" s="298"/>
      <c r="C20" s="707"/>
      <c r="D20" s="706"/>
      <c r="E20" s="299"/>
      <c r="F20" s="300"/>
      <c r="G20" s="301">
        <f t="shared" ref="G20:G29" si="2">E20-(E20*F20)</f>
        <v>0</v>
      </c>
      <c r="H20" s="10"/>
      <c r="I20" s="10"/>
      <c r="J20" s="10"/>
      <c r="K20" s="10"/>
      <c r="L20" s="10"/>
    </row>
    <row r="21" spans="1:12" ht="15">
      <c r="A21" s="10"/>
      <c r="B21" s="298"/>
      <c r="C21" s="722"/>
      <c r="D21" s="706"/>
      <c r="E21" s="299"/>
      <c r="F21" s="300"/>
      <c r="G21" s="301">
        <f t="shared" si="2"/>
        <v>0</v>
      </c>
      <c r="H21" s="10"/>
      <c r="I21" s="10"/>
      <c r="J21" s="10"/>
      <c r="K21" s="10"/>
      <c r="L21" s="10"/>
    </row>
    <row r="22" spans="1:12" ht="15">
      <c r="A22" s="10"/>
      <c r="B22" s="298"/>
      <c r="C22" s="722"/>
      <c r="D22" s="706"/>
      <c r="E22" s="299"/>
      <c r="F22" s="300"/>
      <c r="G22" s="301">
        <f t="shared" si="2"/>
        <v>0</v>
      </c>
      <c r="H22" s="10"/>
      <c r="I22" s="10"/>
      <c r="J22" s="10"/>
      <c r="K22" s="10"/>
      <c r="L22" s="10"/>
    </row>
    <row r="23" spans="1:12" ht="15">
      <c r="A23" s="10"/>
      <c r="B23" s="298"/>
      <c r="C23" s="722"/>
      <c r="D23" s="706"/>
      <c r="E23" s="299"/>
      <c r="F23" s="300"/>
      <c r="G23" s="301">
        <f t="shared" si="2"/>
        <v>0</v>
      </c>
      <c r="H23" s="10"/>
      <c r="I23" s="10"/>
      <c r="J23" s="10"/>
      <c r="K23" s="10"/>
      <c r="L23" s="10"/>
    </row>
    <row r="24" spans="1:12" ht="15">
      <c r="A24" s="10"/>
      <c r="B24" s="298"/>
      <c r="C24" s="722"/>
      <c r="D24" s="706"/>
      <c r="E24" s="299"/>
      <c r="F24" s="300"/>
      <c r="G24" s="301">
        <f t="shared" si="2"/>
        <v>0</v>
      </c>
      <c r="H24" s="10"/>
      <c r="I24" s="10"/>
      <c r="J24" s="10"/>
      <c r="K24" s="10"/>
      <c r="L24" s="10"/>
    </row>
    <row r="25" spans="1:12" ht="15">
      <c r="A25" s="10"/>
      <c r="B25" s="298"/>
      <c r="C25" s="707"/>
      <c r="D25" s="706"/>
      <c r="E25" s="299"/>
      <c r="F25" s="300"/>
      <c r="G25" s="301">
        <f t="shared" si="2"/>
        <v>0</v>
      </c>
      <c r="H25" s="10"/>
      <c r="I25" s="10"/>
      <c r="J25" s="10"/>
      <c r="K25" s="10"/>
      <c r="L25" s="10"/>
    </row>
    <row r="26" spans="1:12" ht="15">
      <c r="A26" s="10"/>
      <c r="B26" s="298"/>
      <c r="C26" s="722"/>
      <c r="D26" s="706"/>
      <c r="E26" s="299"/>
      <c r="F26" s="300"/>
      <c r="G26" s="301">
        <f t="shared" si="2"/>
        <v>0</v>
      </c>
      <c r="H26" s="10"/>
      <c r="I26" s="10"/>
      <c r="J26" s="10"/>
      <c r="K26" s="10"/>
      <c r="L26" s="10"/>
    </row>
    <row r="27" spans="1:12" ht="15">
      <c r="A27" s="10"/>
      <c r="B27" s="298"/>
      <c r="C27" s="722"/>
      <c r="D27" s="706"/>
      <c r="E27" s="299"/>
      <c r="F27" s="300"/>
      <c r="G27" s="301">
        <f t="shared" si="2"/>
        <v>0</v>
      </c>
      <c r="H27" s="10"/>
      <c r="I27" s="10"/>
      <c r="J27" s="10"/>
      <c r="K27" s="10"/>
      <c r="L27" s="10"/>
    </row>
    <row r="28" spans="1:12" ht="15">
      <c r="A28" s="10"/>
      <c r="B28" s="298"/>
      <c r="C28" s="707"/>
      <c r="D28" s="706"/>
      <c r="E28" s="299"/>
      <c r="F28" s="300"/>
      <c r="G28" s="301">
        <f t="shared" si="2"/>
        <v>0</v>
      </c>
      <c r="H28" s="10"/>
      <c r="I28" s="10"/>
      <c r="J28" s="10"/>
      <c r="K28" s="10"/>
      <c r="L28" s="10"/>
    </row>
    <row r="29" spans="1:12" ht="15">
      <c r="A29" s="10"/>
      <c r="B29" s="298"/>
      <c r="C29" s="707"/>
      <c r="D29" s="706"/>
      <c r="E29" s="299"/>
      <c r="F29" s="300"/>
      <c r="G29" s="301">
        <f t="shared" si="2"/>
        <v>0</v>
      </c>
      <c r="H29" s="10"/>
      <c r="I29" s="10"/>
      <c r="J29" s="10"/>
      <c r="K29" s="10"/>
      <c r="L29" s="10"/>
    </row>
    <row r="30" spans="1:12" ht="17.100000000000001" thickBot="1">
      <c r="A30" s="10"/>
      <c r="B30" s="527"/>
      <c r="C30" s="528"/>
      <c r="D30" s="528" t="s">
        <v>6386</v>
      </c>
      <c r="E30" s="160">
        <f>SUM(E20:E29)</f>
        <v>0</v>
      </c>
      <c r="F30" s="529"/>
      <c r="G30" s="156">
        <f>SUM(G20:G29)</f>
        <v>0</v>
      </c>
      <c r="H30" s="10"/>
      <c r="I30" s="10"/>
      <c r="J30" s="10"/>
      <c r="K30" s="10"/>
      <c r="L30" s="10"/>
    </row>
    <row r="31" spans="1:12" ht="15.95" thickBot="1">
      <c r="A31" s="10"/>
      <c r="B31" s="726"/>
      <c r="C31" s="726"/>
      <c r="D31" s="325"/>
      <c r="E31" s="326"/>
      <c r="F31" s="325"/>
      <c r="G31" s="10"/>
      <c r="H31" s="10"/>
      <c r="I31" s="10"/>
      <c r="J31" s="10"/>
      <c r="K31" s="10"/>
    </row>
    <row r="32" spans="1:12" ht="30" customHeight="1">
      <c r="A32" s="10"/>
      <c r="B32" s="335" t="s">
        <v>6380</v>
      </c>
      <c r="C32" s="103" t="s">
        <v>6381</v>
      </c>
      <c r="D32" s="103" t="s">
        <v>6382</v>
      </c>
      <c r="E32" s="107" t="s">
        <v>6383</v>
      </c>
      <c r="F32" s="336" t="s">
        <v>6384</v>
      </c>
      <c r="G32" s="337" t="s">
        <v>6385</v>
      </c>
      <c r="H32" s="10"/>
      <c r="I32" s="10"/>
      <c r="J32" s="10"/>
      <c r="K32" s="10"/>
      <c r="L32" s="10"/>
    </row>
    <row r="33" spans="1:12" ht="15">
      <c r="A33" s="10"/>
      <c r="B33" s="298"/>
      <c r="C33" s="707"/>
      <c r="D33" s="706"/>
      <c r="E33" s="299"/>
      <c r="F33" s="300"/>
      <c r="G33" s="301">
        <f t="shared" ref="G33:G42" si="3">E33-(E33*F33)</f>
        <v>0</v>
      </c>
      <c r="H33" s="10"/>
      <c r="I33" s="10"/>
      <c r="J33" s="10"/>
      <c r="K33" s="10"/>
      <c r="L33" s="10"/>
    </row>
    <row r="34" spans="1:12" ht="15">
      <c r="A34" s="10"/>
      <c r="B34" s="298"/>
      <c r="C34" s="722"/>
      <c r="D34" s="706"/>
      <c r="E34" s="299"/>
      <c r="F34" s="300"/>
      <c r="G34" s="301">
        <f t="shared" si="3"/>
        <v>0</v>
      </c>
      <c r="H34" s="10"/>
      <c r="I34" s="10"/>
      <c r="J34" s="10"/>
      <c r="K34" s="10"/>
      <c r="L34" s="10"/>
    </row>
    <row r="35" spans="1:12" ht="15">
      <c r="A35" s="10"/>
      <c r="B35" s="298"/>
      <c r="C35" s="722"/>
      <c r="D35" s="706"/>
      <c r="E35" s="299"/>
      <c r="F35" s="300"/>
      <c r="G35" s="301">
        <f t="shared" si="3"/>
        <v>0</v>
      </c>
      <c r="H35" s="10"/>
      <c r="I35" s="10"/>
      <c r="J35" s="10"/>
      <c r="K35" s="10"/>
      <c r="L35" s="10"/>
    </row>
    <row r="36" spans="1:12" ht="15">
      <c r="A36" s="10"/>
      <c r="B36" s="298"/>
      <c r="C36" s="722"/>
      <c r="D36" s="706"/>
      <c r="E36" s="299"/>
      <c r="F36" s="300"/>
      <c r="G36" s="301">
        <f t="shared" si="3"/>
        <v>0</v>
      </c>
      <c r="H36" s="10"/>
      <c r="I36" s="10"/>
      <c r="J36" s="10"/>
      <c r="K36" s="10"/>
      <c r="L36" s="10"/>
    </row>
    <row r="37" spans="1:12" ht="15">
      <c r="A37" s="10"/>
      <c r="B37" s="298"/>
      <c r="C37" s="722"/>
      <c r="D37" s="706"/>
      <c r="E37" s="299"/>
      <c r="F37" s="300"/>
      <c r="G37" s="301">
        <f t="shared" si="3"/>
        <v>0</v>
      </c>
      <c r="H37" s="10"/>
      <c r="I37" s="10"/>
      <c r="J37" s="10"/>
      <c r="K37" s="10"/>
      <c r="L37" s="10"/>
    </row>
    <row r="38" spans="1:12" ht="15">
      <c r="A38" s="10"/>
      <c r="B38" s="298"/>
      <c r="C38" s="707"/>
      <c r="D38" s="706"/>
      <c r="E38" s="299"/>
      <c r="F38" s="300"/>
      <c r="G38" s="301">
        <f t="shared" si="3"/>
        <v>0</v>
      </c>
      <c r="H38" s="10"/>
      <c r="I38" s="10"/>
      <c r="J38" s="10"/>
      <c r="K38" s="10"/>
      <c r="L38" s="10"/>
    </row>
    <row r="39" spans="1:12" ht="15">
      <c r="A39" s="10"/>
      <c r="B39" s="298"/>
      <c r="C39" s="722"/>
      <c r="D39" s="706"/>
      <c r="E39" s="299"/>
      <c r="F39" s="300"/>
      <c r="G39" s="301">
        <f t="shared" si="3"/>
        <v>0</v>
      </c>
      <c r="H39" s="10"/>
      <c r="I39" s="10"/>
      <c r="J39" s="10"/>
      <c r="K39" s="10"/>
      <c r="L39" s="10"/>
    </row>
    <row r="40" spans="1:12" ht="15">
      <c r="A40" s="10"/>
      <c r="B40" s="298"/>
      <c r="C40" s="722"/>
      <c r="D40" s="706"/>
      <c r="E40" s="299"/>
      <c r="F40" s="300"/>
      <c r="G40" s="301">
        <f t="shared" si="3"/>
        <v>0</v>
      </c>
      <c r="H40" s="10"/>
      <c r="I40" s="10"/>
      <c r="J40" s="10"/>
      <c r="K40" s="10"/>
      <c r="L40" s="10"/>
    </row>
    <row r="41" spans="1:12" ht="15">
      <c r="A41" s="10"/>
      <c r="B41" s="298"/>
      <c r="C41" s="707"/>
      <c r="D41" s="706"/>
      <c r="E41" s="299"/>
      <c r="F41" s="300"/>
      <c r="G41" s="301">
        <f t="shared" si="3"/>
        <v>0</v>
      </c>
      <c r="H41" s="10"/>
      <c r="I41" s="10"/>
      <c r="J41" s="10"/>
      <c r="K41" s="10"/>
      <c r="L41" s="10"/>
    </row>
    <row r="42" spans="1:12" ht="15">
      <c r="A42" s="10"/>
      <c r="B42" s="298"/>
      <c r="C42" s="707"/>
      <c r="D42" s="706"/>
      <c r="E42" s="299"/>
      <c r="F42" s="300"/>
      <c r="G42" s="301">
        <f t="shared" si="3"/>
        <v>0</v>
      </c>
      <c r="H42" s="10"/>
      <c r="I42" s="10"/>
      <c r="J42" s="10"/>
      <c r="K42" s="10"/>
      <c r="L42" s="10"/>
    </row>
    <row r="43" spans="1:12" ht="17.100000000000001" thickBot="1">
      <c r="A43" s="10"/>
      <c r="B43" s="165"/>
      <c r="C43" s="166"/>
      <c r="D43" s="166" t="s">
        <v>6386</v>
      </c>
      <c r="E43" s="160">
        <f>SUM(E33:E42)</f>
        <v>0</v>
      </c>
      <c r="F43" s="170"/>
      <c r="G43" s="156">
        <f>SUM(G33:G42)</f>
        <v>0</v>
      </c>
      <c r="H43" s="10"/>
      <c r="I43" s="10"/>
      <c r="J43" s="10"/>
      <c r="K43" s="10"/>
      <c r="L43" s="10"/>
    </row>
    <row r="44" spans="1:12" ht="15.95" thickBot="1">
      <c r="A44" s="10"/>
      <c r="B44" s="726"/>
      <c r="C44" s="726"/>
      <c r="D44" s="325"/>
      <c r="E44" s="326"/>
      <c r="F44" s="325"/>
      <c r="G44" s="10"/>
      <c r="H44" s="10"/>
      <c r="I44" s="10"/>
      <c r="J44" s="10"/>
      <c r="K44" s="10"/>
    </row>
    <row r="45" spans="1:12" ht="30" customHeight="1">
      <c r="A45" s="10"/>
      <c r="B45" s="523" t="s">
        <v>6380</v>
      </c>
      <c r="C45" s="524" t="s">
        <v>6387</v>
      </c>
      <c r="D45" s="524" t="s">
        <v>6382</v>
      </c>
      <c r="E45" s="522" t="s">
        <v>6383</v>
      </c>
      <c r="F45" s="525" t="s">
        <v>6384</v>
      </c>
      <c r="G45" s="526" t="s">
        <v>6385</v>
      </c>
      <c r="H45" s="10"/>
      <c r="I45" s="10"/>
      <c r="J45" s="10"/>
      <c r="K45" s="10"/>
      <c r="L45" s="10"/>
    </row>
    <row r="46" spans="1:12" ht="15">
      <c r="A46" s="10"/>
      <c r="B46" s="298"/>
      <c r="C46" s="707"/>
      <c r="D46" s="706"/>
      <c r="E46" s="299"/>
      <c r="F46" s="300"/>
      <c r="G46" s="301">
        <f t="shared" ref="G46:G55" si="4">E46-(E46*F46)</f>
        <v>0</v>
      </c>
      <c r="H46" s="10"/>
      <c r="I46" s="10"/>
      <c r="J46" s="10"/>
      <c r="K46" s="10"/>
      <c r="L46" s="10"/>
    </row>
    <row r="47" spans="1:12" ht="15">
      <c r="A47" s="10"/>
      <c r="B47" s="298"/>
      <c r="C47" s="722"/>
      <c r="D47" s="706"/>
      <c r="E47" s="299"/>
      <c r="F47" s="300"/>
      <c r="G47" s="301">
        <f t="shared" si="4"/>
        <v>0</v>
      </c>
      <c r="H47" s="10"/>
      <c r="I47" s="10"/>
      <c r="J47" s="10"/>
      <c r="K47" s="10"/>
      <c r="L47" s="10"/>
    </row>
    <row r="48" spans="1:12" ht="15">
      <c r="A48" s="10"/>
      <c r="B48" s="298"/>
      <c r="C48" s="722"/>
      <c r="D48" s="706"/>
      <c r="E48" s="299"/>
      <c r="F48" s="300"/>
      <c r="G48" s="301">
        <f t="shared" si="4"/>
        <v>0</v>
      </c>
      <c r="H48" s="10"/>
      <c r="I48" s="10"/>
      <c r="J48" s="10"/>
      <c r="K48" s="10"/>
      <c r="L48" s="10"/>
    </row>
    <row r="49" spans="1:18" ht="15">
      <c r="A49" s="10"/>
      <c r="B49" s="298"/>
      <c r="C49" s="722"/>
      <c r="D49" s="706"/>
      <c r="E49" s="299"/>
      <c r="F49" s="300"/>
      <c r="G49" s="301">
        <f t="shared" si="4"/>
        <v>0</v>
      </c>
      <c r="H49" s="10"/>
      <c r="I49" s="10"/>
      <c r="J49" s="10"/>
      <c r="K49" s="10"/>
      <c r="L49" s="10"/>
    </row>
    <row r="50" spans="1:18" ht="15">
      <c r="A50" s="10"/>
      <c r="B50" s="298"/>
      <c r="C50" s="722"/>
      <c r="D50" s="706"/>
      <c r="E50" s="299"/>
      <c r="F50" s="300"/>
      <c r="G50" s="301">
        <f t="shared" si="4"/>
        <v>0</v>
      </c>
      <c r="H50" s="10"/>
      <c r="I50" s="10"/>
      <c r="J50" s="10"/>
      <c r="K50" s="10"/>
      <c r="L50" s="10"/>
    </row>
    <row r="51" spans="1:18" ht="15">
      <c r="A51" s="10"/>
      <c r="B51" s="298"/>
      <c r="C51" s="707"/>
      <c r="D51" s="706"/>
      <c r="E51" s="299"/>
      <c r="F51" s="300"/>
      <c r="G51" s="301">
        <f t="shared" si="4"/>
        <v>0</v>
      </c>
      <c r="H51" s="10"/>
      <c r="I51" s="10"/>
      <c r="J51" s="10"/>
      <c r="K51" s="10"/>
      <c r="L51" s="10"/>
    </row>
    <row r="52" spans="1:18" ht="15">
      <c r="A52" s="10"/>
      <c r="B52" s="298"/>
      <c r="C52" s="722"/>
      <c r="D52" s="706"/>
      <c r="E52" s="299"/>
      <c r="F52" s="300"/>
      <c r="G52" s="301">
        <f t="shared" si="4"/>
        <v>0</v>
      </c>
      <c r="H52" s="10"/>
      <c r="I52" s="10"/>
      <c r="J52" s="10"/>
      <c r="K52" s="10"/>
      <c r="L52" s="10"/>
    </row>
    <row r="53" spans="1:18" ht="15">
      <c r="A53" s="10"/>
      <c r="B53" s="298"/>
      <c r="C53" s="722"/>
      <c r="D53" s="706"/>
      <c r="E53" s="299"/>
      <c r="F53" s="300"/>
      <c r="G53" s="301">
        <f t="shared" si="4"/>
        <v>0</v>
      </c>
      <c r="H53" s="10"/>
      <c r="I53" s="10"/>
      <c r="J53" s="10"/>
      <c r="K53" s="10"/>
      <c r="L53" s="10"/>
    </row>
    <row r="54" spans="1:18" ht="15">
      <c r="A54" s="10"/>
      <c r="B54" s="298"/>
      <c r="C54" s="707"/>
      <c r="D54" s="706"/>
      <c r="E54" s="299"/>
      <c r="F54" s="300"/>
      <c r="G54" s="301">
        <f t="shared" si="4"/>
        <v>0</v>
      </c>
      <c r="H54" s="10"/>
      <c r="I54" s="10"/>
      <c r="J54" s="10"/>
      <c r="K54" s="10"/>
      <c r="L54" s="10"/>
    </row>
    <row r="55" spans="1:18" ht="15">
      <c r="A55" s="10"/>
      <c r="B55" s="298"/>
      <c r="C55" s="707"/>
      <c r="D55" s="706"/>
      <c r="E55" s="299"/>
      <c r="F55" s="300"/>
      <c r="G55" s="301">
        <f t="shared" si="4"/>
        <v>0</v>
      </c>
      <c r="H55" s="10"/>
      <c r="I55" s="10"/>
      <c r="J55" s="10"/>
      <c r="K55" s="10"/>
      <c r="L55" s="10"/>
    </row>
    <row r="56" spans="1:18" ht="17.100000000000001" thickBot="1">
      <c r="A56" s="10"/>
      <c r="B56" s="527"/>
      <c r="C56" s="528"/>
      <c r="D56" s="528" t="s">
        <v>6386</v>
      </c>
      <c r="E56" s="160">
        <f>SUM(E46:E55)</f>
        <v>0</v>
      </c>
      <c r="F56" s="529"/>
      <c r="G56" s="156">
        <f>SUM(G46:G55)</f>
        <v>0</v>
      </c>
      <c r="H56" s="10"/>
      <c r="I56" s="10"/>
      <c r="J56" s="10"/>
      <c r="K56" s="10"/>
      <c r="L56" s="10"/>
    </row>
    <row r="57" spans="1:18" ht="15.95">
      <c r="A57" s="10"/>
      <c r="B57" s="149" t="s">
        <v>92</v>
      </c>
      <c r="C57" s="10"/>
      <c r="D57" s="154"/>
      <c r="E57" s="155"/>
      <c r="F57" s="154"/>
      <c r="G57" s="10"/>
      <c r="H57" s="10"/>
      <c r="I57" s="10"/>
      <c r="J57" s="10"/>
      <c r="K57" s="10"/>
    </row>
    <row r="58" spans="1:18" ht="15.95">
      <c r="A58" s="10"/>
      <c r="B58" s="149" t="s">
        <v>97</v>
      </c>
      <c r="C58" s="10"/>
      <c r="D58" s="154"/>
      <c r="E58" s="155"/>
      <c r="F58" s="154"/>
      <c r="G58" s="10"/>
      <c r="H58" s="10"/>
      <c r="I58" s="10"/>
      <c r="J58" s="10"/>
      <c r="K58" s="10"/>
    </row>
    <row r="59" spans="1:18" ht="15">
      <c r="A59" s="10"/>
      <c r="B59" s="10"/>
      <c r="C59" s="10"/>
      <c r="D59" s="10"/>
      <c r="E59" s="154"/>
      <c r="F59" s="155"/>
      <c r="G59" s="154"/>
      <c r="H59" s="10"/>
      <c r="I59" s="10"/>
      <c r="J59" s="10"/>
      <c r="K59" s="10"/>
      <c r="L59" s="10"/>
    </row>
    <row r="60" spans="1:18" s="129" customFormat="1" ht="15">
      <c r="A60" s="10"/>
      <c r="B60" s="10"/>
      <c r="C60" s="836" t="s">
        <v>6344</v>
      </c>
      <c r="D60" s="851"/>
      <c r="E60" s="851"/>
      <c r="F60" s="851"/>
      <c r="G60" s="726"/>
      <c r="H60" s="726"/>
      <c r="I60" s="729"/>
      <c r="J60" s="10"/>
      <c r="K60" s="10"/>
      <c r="L60" s="10"/>
      <c r="M60" s="10"/>
      <c r="N60" s="10"/>
      <c r="O60" s="10"/>
      <c r="P60" s="10"/>
      <c r="Q60" s="10"/>
      <c r="R60" s="10"/>
    </row>
    <row r="61" spans="1:18" s="129" customFormat="1" ht="15">
      <c r="A61" s="10"/>
      <c r="B61" s="10"/>
      <c r="C61" s="851"/>
      <c r="D61" s="851"/>
      <c r="E61" s="851"/>
      <c r="F61" s="851"/>
      <c r="G61" s="726"/>
      <c r="H61" s="726"/>
      <c r="I61" s="729"/>
      <c r="J61" s="10"/>
      <c r="K61" s="10"/>
      <c r="L61" s="10"/>
      <c r="M61" s="10"/>
      <c r="N61" s="10"/>
      <c r="O61" s="10"/>
      <c r="P61" s="10"/>
      <c r="Q61" s="10"/>
      <c r="R61" s="10"/>
    </row>
    <row r="62" spans="1:18" s="129" customFormat="1" ht="15">
      <c r="A62" s="10"/>
      <c r="B62" s="10"/>
      <c r="C62" s="851"/>
      <c r="D62" s="851"/>
      <c r="E62" s="851"/>
      <c r="F62" s="851"/>
      <c r="G62" s="726"/>
      <c r="H62" s="726"/>
      <c r="I62" s="729"/>
      <c r="J62" s="10"/>
      <c r="K62" s="10"/>
      <c r="L62" s="10"/>
      <c r="M62" s="10"/>
      <c r="N62" s="10"/>
      <c r="O62" s="10"/>
      <c r="P62" s="10"/>
      <c r="Q62" s="10"/>
      <c r="R62" s="10"/>
    </row>
    <row r="63" spans="1:18" s="129" customFormat="1" ht="15">
      <c r="A63" s="10"/>
      <c r="B63" s="10"/>
      <c r="C63" s="851"/>
      <c r="D63" s="851"/>
      <c r="E63" s="851"/>
      <c r="F63" s="851"/>
      <c r="G63" s="726"/>
      <c r="H63" s="726"/>
      <c r="I63" s="729"/>
      <c r="J63" s="10"/>
      <c r="K63" s="10"/>
      <c r="L63" s="10"/>
      <c r="M63" s="10"/>
      <c r="N63" s="10"/>
      <c r="O63" s="10"/>
      <c r="P63" s="10"/>
      <c r="Q63" s="10"/>
      <c r="R63" s="10"/>
    </row>
    <row r="64" spans="1:18" s="129" customFormat="1" ht="15">
      <c r="A64" s="10"/>
      <c r="B64" s="10"/>
      <c r="C64" s="851"/>
      <c r="D64" s="851"/>
      <c r="E64" s="851"/>
      <c r="F64" s="851"/>
      <c r="G64" s="726"/>
      <c r="H64" s="726"/>
      <c r="I64" s="729"/>
      <c r="J64" s="10"/>
      <c r="K64" s="10"/>
      <c r="L64" s="10"/>
      <c r="M64" s="10"/>
      <c r="N64" s="10"/>
      <c r="O64" s="10"/>
      <c r="P64" s="10"/>
      <c r="Q64" s="10"/>
      <c r="R64" s="10"/>
    </row>
    <row r="65" spans="1:18" s="129" customFormat="1" ht="15">
      <c r="A65" s="10"/>
      <c r="B65" s="10"/>
      <c r="C65" s="851"/>
      <c r="D65" s="851"/>
      <c r="E65" s="851"/>
      <c r="F65" s="851"/>
      <c r="G65" s="726"/>
      <c r="H65" s="726"/>
      <c r="I65" s="10"/>
      <c r="J65" s="10"/>
      <c r="K65" s="10"/>
      <c r="L65" s="10"/>
      <c r="M65" s="10"/>
      <c r="N65" s="10"/>
      <c r="O65" s="10"/>
      <c r="P65" s="10"/>
      <c r="Q65" s="10"/>
      <c r="R65" s="10"/>
    </row>
    <row r="66" spans="1:18" ht="15">
      <c r="A66" s="10"/>
      <c r="B66" s="10"/>
      <c r="C66" s="10"/>
      <c r="D66" s="10"/>
      <c r="E66" s="154"/>
      <c r="F66" s="155"/>
      <c r="G66" s="154"/>
      <c r="H66" s="10"/>
      <c r="I66" s="10"/>
      <c r="J66" s="10"/>
      <c r="K66" s="10"/>
      <c r="L66" s="10"/>
    </row>
    <row r="67" spans="1:18" ht="15">
      <c r="A67" s="10"/>
      <c r="B67" s="10"/>
      <c r="C67" s="10"/>
      <c r="D67" s="10"/>
      <c r="E67" s="154"/>
      <c r="F67" s="155"/>
      <c r="G67" s="154"/>
      <c r="H67" s="10"/>
      <c r="I67" s="10"/>
      <c r="J67" s="10"/>
      <c r="K67" s="10"/>
      <c r="L67" s="10"/>
    </row>
    <row r="68" spans="1:18" ht="15">
      <c r="A68" s="10"/>
      <c r="B68" s="10"/>
      <c r="C68" s="10"/>
      <c r="D68" s="10"/>
      <c r="E68" s="154"/>
      <c r="F68" s="155"/>
      <c r="G68" s="154"/>
      <c r="H68" s="10"/>
      <c r="I68" s="10"/>
      <c r="J68" s="10"/>
      <c r="K68" s="10"/>
      <c r="L68" s="10"/>
    </row>
    <row r="69" spans="1:18" ht="15">
      <c r="A69" s="10"/>
      <c r="B69" s="10"/>
      <c r="C69" s="10"/>
      <c r="D69" s="10"/>
      <c r="E69" s="154"/>
      <c r="F69" s="155"/>
      <c r="G69" s="154"/>
      <c r="H69" s="10"/>
      <c r="I69" s="10"/>
      <c r="J69" s="10"/>
      <c r="K69" s="10"/>
      <c r="L69" s="10"/>
    </row>
    <row r="70" spans="1:18" ht="15">
      <c r="A70" s="10"/>
      <c r="B70" s="10"/>
      <c r="C70" s="10"/>
      <c r="D70" s="10"/>
      <c r="E70" s="154"/>
      <c r="F70" s="155"/>
      <c r="G70" s="154"/>
      <c r="H70" s="10"/>
      <c r="I70" s="10"/>
      <c r="J70" s="10"/>
      <c r="K70" s="10"/>
      <c r="L70" s="10"/>
    </row>
    <row r="71" spans="1:18" ht="15">
      <c r="A71" s="10"/>
      <c r="B71" s="10"/>
      <c r="C71" s="10"/>
      <c r="D71" s="10"/>
      <c r="E71" s="154"/>
      <c r="F71" s="155"/>
      <c r="G71" s="154"/>
      <c r="H71" s="10"/>
      <c r="I71" s="10"/>
      <c r="J71" s="10"/>
      <c r="K71" s="10"/>
      <c r="L71" s="10"/>
    </row>
    <row r="72" spans="1:18" ht="15">
      <c r="A72" s="10"/>
      <c r="B72" s="10"/>
      <c r="C72" s="10"/>
      <c r="D72" s="10"/>
      <c r="E72" s="154"/>
      <c r="F72" s="155"/>
      <c r="G72" s="154"/>
      <c r="H72" s="10"/>
      <c r="I72" s="10"/>
      <c r="J72" s="10"/>
      <c r="K72" s="10"/>
      <c r="L72" s="10"/>
    </row>
    <row r="73" spans="1:18" ht="15">
      <c r="A73" s="10"/>
      <c r="B73" s="10"/>
      <c r="C73" s="10"/>
      <c r="D73" s="10"/>
      <c r="E73" s="154"/>
      <c r="F73" s="155"/>
      <c r="G73" s="154"/>
      <c r="H73" s="10"/>
      <c r="I73" s="10"/>
      <c r="J73" s="10"/>
      <c r="K73" s="10"/>
      <c r="L73" s="10"/>
    </row>
    <row r="74" spans="1:18" ht="15">
      <c r="A74" s="10"/>
      <c r="B74" s="10"/>
      <c r="C74" s="10"/>
      <c r="D74" s="10"/>
      <c r="E74" s="154"/>
      <c r="F74" s="155"/>
      <c r="G74" s="154"/>
      <c r="H74" s="10"/>
      <c r="I74" s="10"/>
      <c r="J74" s="10"/>
      <c r="K74" s="10"/>
      <c r="L74" s="10"/>
    </row>
    <row r="75" spans="1:18" ht="15">
      <c r="A75" s="10"/>
      <c r="B75" s="10"/>
      <c r="C75" s="10"/>
      <c r="D75" s="10"/>
      <c r="E75" s="154"/>
      <c r="F75" s="155"/>
      <c r="G75" s="154"/>
      <c r="H75" s="10"/>
      <c r="I75" s="10"/>
      <c r="J75" s="10"/>
      <c r="K75" s="10"/>
      <c r="L75" s="10"/>
    </row>
    <row r="76" spans="1:18" ht="15">
      <c r="A76" s="10"/>
      <c r="B76" s="10"/>
      <c r="C76" s="10"/>
      <c r="D76" s="10"/>
      <c r="E76" s="154"/>
      <c r="F76" s="155"/>
      <c r="G76" s="154"/>
      <c r="H76" s="10"/>
      <c r="I76" s="10"/>
      <c r="J76" s="10"/>
      <c r="K76" s="10"/>
      <c r="L76" s="10"/>
    </row>
    <row r="77" spans="1:18" ht="15">
      <c r="A77" s="10"/>
      <c r="B77" s="10"/>
      <c r="C77" s="10"/>
      <c r="D77" s="10"/>
      <c r="E77" s="154"/>
      <c r="F77" s="155"/>
      <c r="G77" s="154"/>
      <c r="H77" s="10"/>
      <c r="I77" s="10"/>
      <c r="J77" s="10"/>
      <c r="K77" s="10"/>
      <c r="L77" s="10"/>
    </row>
    <row r="78" spans="1:18" ht="15">
      <c r="A78" s="10"/>
      <c r="B78" s="10"/>
      <c r="C78" s="10"/>
      <c r="D78" s="10"/>
      <c r="E78" s="154"/>
      <c r="F78" s="155"/>
      <c r="G78" s="154"/>
      <c r="H78" s="10"/>
      <c r="I78" s="10"/>
      <c r="J78" s="10"/>
      <c r="K78" s="10"/>
      <c r="L78" s="10"/>
    </row>
    <row r="79" spans="1:18" ht="15">
      <c r="A79" s="10"/>
      <c r="B79" s="10"/>
      <c r="C79" s="10"/>
      <c r="D79" s="10"/>
      <c r="E79" s="154"/>
      <c r="F79" s="155"/>
      <c r="G79" s="154"/>
      <c r="H79" s="10"/>
      <c r="I79" s="10"/>
      <c r="J79" s="10"/>
      <c r="K79" s="10"/>
      <c r="L79" s="10"/>
    </row>
    <row r="80" spans="1:18" ht="15">
      <c r="A80" s="10"/>
      <c r="B80" s="10"/>
      <c r="C80" s="10"/>
      <c r="D80" s="10"/>
      <c r="E80" s="154"/>
      <c r="F80" s="155"/>
      <c r="G80" s="154"/>
      <c r="H80" s="10"/>
      <c r="I80" s="10"/>
      <c r="J80" s="10"/>
      <c r="K80" s="10"/>
      <c r="L80" s="10"/>
    </row>
    <row r="81" spans="1:11" ht="15"/>
    <row r="82" spans="1:11" ht="15"/>
    <row r="83" spans="1:11" ht="15"/>
    <row r="84" spans="1:11" ht="15"/>
    <row r="85" spans="1:11" ht="15"/>
    <row r="86" spans="1:11" ht="15"/>
    <row r="87" spans="1:11" ht="15"/>
    <row r="88" spans="1:11" ht="15"/>
    <row r="89" spans="1:11" ht="15"/>
    <row r="90" spans="1:11" ht="15"/>
    <row r="91" spans="1:11" ht="15">
      <c r="A91" s="10"/>
      <c r="B91" s="10"/>
      <c r="C91" s="10"/>
      <c r="D91" s="10"/>
      <c r="E91" s="154"/>
      <c r="F91" s="155"/>
      <c r="G91" s="154"/>
      <c r="H91" s="10"/>
      <c r="I91" s="10"/>
      <c r="J91" s="10"/>
      <c r="K91" s="10"/>
    </row>
    <row r="92" spans="1:11" ht="15">
      <c r="A92" s="10"/>
      <c r="B92" s="10"/>
      <c r="C92" s="10"/>
      <c r="D92" s="10"/>
      <c r="E92" s="154"/>
      <c r="F92" s="155"/>
      <c r="G92" s="154"/>
      <c r="H92" s="10"/>
      <c r="I92" s="10"/>
      <c r="J92" s="10"/>
      <c r="K92" s="10"/>
    </row>
    <row r="93" spans="1:11" ht="15">
      <c r="A93" s="10"/>
      <c r="B93" s="10"/>
      <c r="C93" s="10"/>
      <c r="D93" s="10"/>
      <c r="E93" s="154"/>
      <c r="F93" s="155"/>
      <c r="G93" s="154"/>
      <c r="H93" s="10"/>
      <c r="J93" s="10"/>
      <c r="K93" s="10"/>
    </row>
    <row r="94" spans="1:11" ht="15">
      <c r="A94" s="10"/>
      <c r="B94" s="10"/>
      <c r="C94" s="10"/>
      <c r="D94" s="10"/>
      <c r="E94" s="154"/>
      <c r="F94" s="155"/>
      <c r="G94" s="154"/>
      <c r="H94" s="10"/>
      <c r="J94" s="10"/>
      <c r="K94" s="10"/>
    </row>
    <row r="95" spans="1:11" ht="15">
      <c r="A95" s="10"/>
      <c r="B95" s="10"/>
      <c r="C95" s="10"/>
      <c r="D95" s="10"/>
      <c r="E95" s="154"/>
      <c r="F95" s="155"/>
      <c r="G95" s="154"/>
      <c r="H95" s="10"/>
      <c r="J95" s="10"/>
      <c r="K95" s="10"/>
    </row>
    <row r="96" spans="1:11" ht="15">
      <c r="A96" s="10"/>
      <c r="B96" s="10"/>
      <c r="C96" s="10"/>
      <c r="D96" s="10"/>
      <c r="E96" s="154"/>
      <c r="F96" s="155"/>
      <c r="G96" s="154"/>
      <c r="H96" s="10"/>
      <c r="J96" s="10"/>
      <c r="K96" s="10"/>
    </row>
    <row r="97" spans="1:11" ht="15">
      <c r="A97" s="10"/>
      <c r="B97" s="10"/>
      <c r="C97" s="10"/>
      <c r="D97" s="10"/>
      <c r="E97" s="154"/>
      <c r="F97" s="155"/>
      <c r="G97" s="154"/>
      <c r="H97" s="10"/>
      <c r="J97" s="10"/>
      <c r="K97" s="10"/>
    </row>
    <row r="98" spans="1:11" ht="15">
      <c r="A98" s="10"/>
      <c r="B98" s="10"/>
      <c r="C98" s="10"/>
      <c r="D98" s="10"/>
      <c r="E98" s="154"/>
      <c r="F98" s="155"/>
      <c r="G98" s="154"/>
      <c r="H98" s="10"/>
      <c r="J98" s="10"/>
      <c r="K98" s="10"/>
    </row>
    <row r="99" spans="1:11" ht="15">
      <c r="A99" s="10"/>
      <c r="B99" s="10"/>
      <c r="C99" s="10"/>
      <c r="D99" s="10"/>
      <c r="E99" s="154"/>
      <c r="F99" s="155"/>
      <c r="G99" s="154"/>
      <c r="H99" s="10"/>
      <c r="J99" s="10"/>
      <c r="K99" s="10"/>
    </row>
    <row r="100" spans="1:11" ht="15">
      <c r="A100" s="10"/>
      <c r="B100" s="10"/>
      <c r="C100" s="10"/>
      <c r="D100" s="10"/>
      <c r="E100" s="154"/>
      <c r="F100" s="155"/>
      <c r="G100" s="154"/>
      <c r="H100" s="10"/>
      <c r="I100" s="10"/>
      <c r="J100" s="10"/>
      <c r="K100" s="10"/>
    </row>
    <row r="101" spans="1:11" ht="15">
      <c r="A101" s="10"/>
      <c r="B101" s="10"/>
      <c r="C101" s="10"/>
      <c r="D101" s="10"/>
      <c r="E101" s="154"/>
      <c r="F101" s="155"/>
      <c r="G101" s="154"/>
      <c r="H101" s="10"/>
      <c r="I101" s="10"/>
      <c r="J101" s="10"/>
      <c r="K101" s="10"/>
    </row>
    <row r="102" spans="1:11" ht="15">
      <c r="A102" s="10"/>
      <c r="B102" s="10"/>
      <c r="C102" s="10"/>
      <c r="D102" s="10"/>
      <c r="E102" s="154"/>
      <c r="F102" s="155"/>
      <c r="G102" s="154"/>
      <c r="H102" s="10"/>
      <c r="I102" s="10"/>
      <c r="J102" s="10"/>
      <c r="K102" s="10"/>
    </row>
    <row r="103" spans="1:11" ht="15">
      <c r="A103" s="10"/>
      <c r="B103" s="10"/>
      <c r="C103" s="10"/>
      <c r="D103" s="10"/>
      <c r="E103" s="154"/>
      <c r="F103" s="155"/>
      <c r="G103" s="154"/>
      <c r="H103" s="10"/>
      <c r="I103" s="10"/>
      <c r="J103" s="10"/>
      <c r="K103" s="10"/>
    </row>
    <row r="104" spans="1:11" ht="15">
      <c r="A104" s="10"/>
      <c r="B104" s="10"/>
      <c r="C104" s="10"/>
      <c r="D104" s="10"/>
      <c r="E104" s="154"/>
      <c r="F104" s="155"/>
      <c r="G104" s="154"/>
      <c r="H104" s="10"/>
      <c r="I104" s="10"/>
      <c r="J104" s="10"/>
      <c r="K104" s="10"/>
    </row>
    <row r="105" spans="1:11" ht="15">
      <c r="A105" s="10"/>
      <c r="B105" s="10"/>
      <c r="C105" s="10"/>
      <c r="D105" s="10"/>
      <c r="E105" s="154"/>
      <c r="F105" s="155"/>
      <c r="G105" s="154"/>
      <c r="H105" s="10"/>
      <c r="I105" s="10"/>
      <c r="J105" s="10"/>
      <c r="K105" s="10"/>
    </row>
    <row r="106" spans="1:11" ht="15">
      <c r="A106" s="10"/>
      <c r="B106" s="10"/>
      <c r="C106" s="10"/>
      <c r="D106" s="10"/>
      <c r="E106" s="154"/>
      <c r="F106" s="155"/>
      <c r="G106" s="154"/>
      <c r="H106" s="10"/>
      <c r="I106" s="10"/>
      <c r="J106" s="10"/>
      <c r="K106" s="10"/>
    </row>
    <row r="107" spans="1:11" ht="15">
      <c r="A107" s="10"/>
      <c r="B107" s="10"/>
      <c r="C107" s="10"/>
      <c r="D107" s="10"/>
      <c r="E107" s="154"/>
      <c r="F107" s="155"/>
      <c r="G107" s="154"/>
      <c r="H107" s="10"/>
      <c r="I107" s="10"/>
      <c r="J107" s="10"/>
      <c r="K107" s="10"/>
    </row>
    <row r="108" spans="1:11" ht="15">
      <c r="A108" s="10"/>
      <c r="B108" s="10"/>
      <c r="C108" s="10"/>
      <c r="D108" s="10"/>
      <c r="E108" s="154"/>
      <c r="F108" s="155"/>
      <c r="G108" s="154"/>
      <c r="H108" s="10"/>
      <c r="I108" s="10"/>
      <c r="J108" s="10"/>
      <c r="K108" s="10"/>
    </row>
    <row r="109" spans="1:11" ht="15">
      <c r="A109" s="10"/>
      <c r="B109" s="10"/>
      <c r="C109" s="10"/>
      <c r="D109" s="10"/>
      <c r="E109" s="154"/>
      <c r="F109" s="155"/>
      <c r="G109" s="154"/>
      <c r="H109" s="10"/>
      <c r="I109" s="10"/>
      <c r="J109" s="10"/>
      <c r="K109" s="10"/>
    </row>
    <row r="110" spans="1:11" ht="15">
      <c r="A110" s="10"/>
      <c r="B110" s="10"/>
      <c r="C110" s="10"/>
      <c r="D110" s="10"/>
      <c r="E110" s="154"/>
      <c r="F110" s="155"/>
      <c r="G110" s="154"/>
      <c r="H110" s="10"/>
      <c r="I110" s="10"/>
      <c r="J110" s="10"/>
      <c r="K110" s="10"/>
    </row>
    <row r="111" spans="1:11" ht="15">
      <c r="A111" s="10"/>
      <c r="B111" s="10"/>
      <c r="C111" s="10"/>
      <c r="D111" s="10"/>
      <c r="E111" s="154"/>
      <c r="F111" s="155"/>
      <c r="G111" s="154"/>
      <c r="H111" s="10"/>
      <c r="I111" s="10"/>
      <c r="J111" s="10"/>
      <c r="K111" s="10"/>
    </row>
    <row r="112" spans="1:11" ht="15">
      <c r="A112" s="10"/>
      <c r="B112" s="10"/>
      <c r="C112" s="10"/>
      <c r="D112" s="10"/>
      <c r="E112" s="154"/>
      <c r="F112" s="155"/>
      <c r="G112" s="154"/>
      <c r="H112" s="10"/>
      <c r="I112" s="10"/>
      <c r="J112" s="10"/>
      <c r="K112" s="10"/>
    </row>
    <row r="113" spans="1:11" ht="15">
      <c r="A113" s="10"/>
      <c r="B113" s="10"/>
      <c r="C113" s="10"/>
      <c r="D113" s="10"/>
      <c r="E113" s="154"/>
      <c r="F113" s="155"/>
      <c r="G113" s="154"/>
      <c r="H113" s="10"/>
      <c r="I113" s="10"/>
      <c r="J113" s="10"/>
      <c r="K113" s="10"/>
    </row>
    <row r="114" spans="1:11" ht="15">
      <c r="A114" s="10"/>
      <c r="B114" s="10"/>
      <c r="C114" s="10"/>
      <c r="D114" s="10"/>
      <c r="E114" s="154"/>
      <c r="F114" s="155"/>
      <c r="G114" s="154"/>
      <c r="H114" s="10"/>
      <c r="I114" s="10"/>
      <c r="J114" s="10"/>
      <c r="K114" s="10"/>
    </row>
    <row r="115" spans="1:11" ht="15">
      <c r="A115" s="10"/>
      <c r="B115" s="10"/>
      <c r="C115" s="10"/>
      <c r="D115" s="10"/>
      <c r="E115" s="154"/>
      <c r="F115" s="155"/>
      <c r="G115" s="154"/>
      <c r="H115" s="10"/>
      <c r="I115" s="10"/>
      <c r="J115" s="10"/>
      <c r="K115" s="10"/>
    </row>
    <row r="116" spans="1:11" ht="15">
      <c r="A116" s="10"/>
      <c r="B116" s="10"/>
      <c r="C116" s="10"/>
      <c r="D116" s="10"/>
      <c r="E116" s="154"/>
      <c r="F116" s="155"/>
      <c r="G116" s="154"/>
      <c r="H116" s="10"/>
      <c r="I116" s="10"/>
      <c r="J116" s="10"/>
      <c r="K116" s="10"/>
    </row>
    <row r="117" spans="1:11" ht="15">
      <c r="A117" s="10"/>
      <c r="B117" s="10"/>
      <c r="C117" s="10"/>
      <c r="D117" s="10"/>
      <c r="E117" s="154"/>
      <c r="F117" s="155"/>
      <c r="G117" s="154"/>
      <c r="H117" s="10"/>
      <c r="I117" s="10"/>
      <c r="J117" s="10"/>
      <c r="K117" s="10"/>
    </row>
    <row r="118" spans="1:11" ht="15">
      <c r="A118" s="10"/>
      <c r="B118" s="10"/>
      <c r="C118" s="10"/>
      <c r="D118" s="10"/>
      <c r="E118" s="154"/>
      <c r="F118" s="155"/>
      <c r="G118" s="154"/>
      <c r="H118" s="10"/>
      <c r="I118" s="10"/>
      <c r="J118" s="10"/>
      <c r="K118" s="10"/>
    </row>
  </sheetData>
  <mergeCells count="4">
    <mergeCell ref="B1:G1"/>
    <mergeCell ref="B2:G2"/>
    <mergeCell ref="B3:G3"/>
    <mergeCell ref="C60:F65"/>
  </mergeCells>
  <conditionalFormatting sqref="B7:F11">
    <cfRule type="containsBlanks" dxfId="136" priority="35">
      <formula>LEN(TRIM(B7))=0</formula>
    </cfRule>
  </conditionalFormatting>
  <conditionalFormatting sqref="B15:B16">
    <cfRule type="containsBlanks" dxfId="135" priority="28">
      <formula>LEN(TRIM(B15))=0</formula>
    </cfRule>
  </conditionalFormatting>
  <conditionalFormatting sqref="B12:B14">
    <cfRule type="containsBlanks" dxfId="134" priority="26">
      <formula>LEN(TRIM(B12))=0</formula>
    </cfRule>
  </conditionalFormatting>
  <conditionalFormatting sqref="C15:F16">
    <cfRule type="containsBlanks" dxfId="133" priority="29">
      <formula>LEN(TRIM(C15))=0</formula>
    </cfRule>
  </conditionalFormatting>
  <conditionalFormatting sqref="C12:F14">
    <cfRule type="containsBlanks" dxfId="132" priority="27">
      <formula>LEN(TRIM(C12))=0</formula>
    </cfRule>
  </conditionalFormatting>
  <conditionalFormatting sqref="C28:F29">
    <cfRule type="containsBlanks" dxfId="131" priority="14">
      <formula>LEN(TRIM(C28))=0</formula>
    </cfRule>
  </conditionalFormatting>
  <conditionalFormatting sqref="B20:F24">
    <cfRule type="containsBlanks" dxfId="130" priority="15">
      <formula>LEN(TRIM(B20))=0</formula>
    </cfRule>
  </conditionalFormatting>
  <conditionalFormatting sqref="B28:B29">
    <cfRule type="containsBlanks" dxfId="129" priority="13">
      <formula>LEN(TRIM(B28))=0</formula>
    </cfRule>
  </conditionalFormatting>
  <conditionalFormatting sqref="B25:B27">
    <cfRule type="containsBlanks" dxfId="128" priority="11">
      <formula>LEN(TRIM(B25))=0</formula>
    </cfRule>
  </conditionalFormatting>
  <conditionalFormatting sqref="C25:F27">
    <cfRule type="containsBlanks" dxfId="127" priority="12">
      <formula>LEN(TRIM(C25))=0</formula>
    </cfRule>
  </conditionalFormatting>
  <conditionalFormatting sqref="B33:F37">
    <cfRule type="containsBlanks" dxfId="126" priority="10">
      <formula>LEN(TRIM(B33))=0</formula>
    </cfRule>
  </conditionalFormatting>
  <conditionalFormatting sqref="B41:B42">
    <cfRule type="containsBlanks" dxfId="125" priority="8">
      <formula>LEN(TRIM(B41))=0</formula>
    </cfRule>
  </conditionalFormatting>
  <conditionalFormatting sqref="B38:B40">
    <cfRule type="containsBlanks" dxfId="124" priority="6">
      <formula>LEN(TRIM(B38))=0</formula>
    </cfRule>
  </conditionalFormatting>
  <conditionalFormatting sqref="C41:F42">
    <cfRule type="containsBlanks" dxfId="123" priority="9">
      <formula>LEN(TRIM(C41))=0</formula>
    </cfRule>
  </conditionalFormatting>
  <conditionalFormatting sqref="C38:F40">
    <cfRule type="containsBlanks" dxfId="122" priority="7">
      <formula>LEN(TRIM(C38))=0</formula>
    </cfRule>
  </conditionalFormatting>
  <conditionalFormatting sqref="B46:F50">
    <cfRule type="containsBlanks" dxfId="121" priority="5">
      <formula>LEN(TRIM(B46))=0</formula>
    </cfRule>
  </conditionalFormatting>
  <conditionalFormatting sqref="B54:B55">
    <cfRule type="containsBlanks" dxfId="120" priority="3">
      <formula>LEN(TRIM(B54))=0</formula>
    </cfRule>
  </conditionalFormatting>
  <conditionalFormatting sqref="B51:B53">
    <cfRule type="containsBlanks" dxfId="119" priority="1">
      <formula>LEN(TRIM(B51))=0</formula>
    </cfRule>
  </conditionalFormatting>
  <conditionalFormatting sqref="C54:F55">
    <cfRule type="containsBlanks" dxfId="118" priority="4">
      <formula>LEN(TRIM(C54))=0</formula>
    </cfRule>
  </conditionalFormatting>
  <conditionalFormatting sqref="C51:F53">
    <cfRule type="containsBlanks" dxfId="117" priority="2">
      <formula>LEN(TRIM(C51))=0</formula>
    </cfRule>
  </conditionalFormatting>
  <hyperlinks>
    <hyperlink ref="B57" location="'Upfit Calculations'!A1" display="Top" xr:uid="{00000000-0004-0000-0700-000000000000}"/>
    <hyperlink ref="B58" location="'Review &amp; Instructions '!A38" display="Instructions" xr:uid="{00000000-0004-0000-0700-000001000000}"/>
    <hyperlink ref="B4" location="'Review &amp; Instructions '!A38" display="Instructions" xr:uid="{00000000-0004-0000-0700-000002000000}"/>
  </hyperlinks>
  <printOptions horizontalCentered="1" gridLines="1"/>
  <pageMargins left="0.5" right="0.5" top="0.5" bottom="0.5" header="0.25" footer="0.25"/>
  <pageSetup paperSize="17" scale="94" fitToHeight="0" orientation="portrait" r:id="rId1"/>
  <headerFooter>
    <oddHeader>&amp;F</oddHeader>
    <oddFooter>&amp;L&amp;A&amp;CPage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0000"/>
  </sheetPr>
  <dimension ref="A1:AH70"/>
  <sheetViews>
    <sheetView topLeftCell="A10" zoomScale="90" zoomScaleNormal="90" workbookViewId="0">
      <selection activeCell="F32" sqref="F32"/>
    </sheetView>
  </sheetViews>
  <sheetFormatPr defaultColWidth="0" defaultRowHeight="15" zeroHeight="1"/>
  <cols>
    <col min="1" max="1" width="2.7109375" customWidth="1"/>
    <col min="2" max="2" width="45.85546875" customWidth="1"/>
    <col min="3" max="3" width="10.140625" customWidth="1"/>
    <col min="4" max="4" width="2.7109375" customWidth="1"/>
    <col min="5" max="5" width="33.85546875" customWidth="1"/>
    <col min="6" max="6" width="8.85546875" customWidth="1"/>
    <col min="7" max="7" width="6" customWidth="1"/>
    <col min="8" max="8" width="3.42578125" style="99" customWidth="1"/>
    <col min="9" max="9" width="20.7109375" style="99" customWidth="1"/>
    <col min="10" max="10" width="21.42578125" style="99" customWidth="1"/>
    <col min="11" max="11" width="5.7109375" style="99" customWidth="1"/>
    <col min="12" max="13" width="14.28515625" customWidth="1"/>
    <col min="14" max="14" width="2.42578125" customWidth="1"/>
    <col min="15" max="18" width="9.140625" hidden="1" customWidth="1"/>
    <col min="19" max="34" width="0" hidden="1" customWidth="1"/>
    <col min="35" max="16384" width="9.140625" hidden="1"/>
  </cols>
  <sheetData>
    <row r="1" spans="1:14" ht="21">
      <c r="A1" s="10"/>
      <c r="B1" s="859" t="s">
        <v>6388</v>
      </c>
      <c r="C1" s="859"/>
      <c r="D1" s="859"/>
      <c r="E1" s="859"/>
      <c r="F1" s="859"/>
      <c r="G1" s="859"/>
      <c r="H1" s="859"/>
      <c r="I1" s="859"/>
      <c r="J1" s="859"/>
      <c r="K1" s="859"/>
      <c r="L1" s="859"/>
      <c r="M1" s="10"/>
      <c r="N1" s="10"/>
    </row>
    <row r="2" spans="1:14" ht="28.5" customHeight="1">
      <c r="A2" s="10"/>
      <c r="B2" s="860" t="s">
        <v>6389</v>
      </c>
      <c r="C2" s="860"/>
      <c r="D2" s="860"/>
      <c r="E2" s="860"/>
      <c r="F2" s="860"/>
      <c r="G2" s="860"/>
      <c r="H2" s="860"/>
      <c r="I2" s="860"/>
      <c r="J2" s="860"/>
      <c r="K2" s="860"/>
      <c r="L2" s="860"/>
      <c r="M2" s="10"/>
      <c r="N2" s="10"/>
    </row>
    <row r="3" spans="1:14" ht="13.5" customHeight="1">
      <c r="A3" s="123"/>
      <c r="B3" s="866" t="s">
        <v>6390</v>
      </c>
      <c r="C3" s="867"/>
      <c r="D3" s="867"/>
      <c r="E3" s="868"/>
      <c r="F3" s="20"/>
      <c r="G3" s="20"/>
      <c r="H3" s="20"/>
      <c r="I3" s="20"/>
      <c r="J3" s="20"/>
      <c r="K3" s="20"/>
      <c r="L3" s="20"/>
      <c r="M3" s="20"/>
      <c r="N3" s="123"/>
    </row>
    <row r="4" spans="1:14">
      <c r="A4" s="10"/>
      <c r="B4" s="869" t="s">
        <v>6391</v>
      </c>
      <c r="C4" s="870"/>
      <c r="D4" s="871"/>
      <c r="E4" s="872"/>
      <c r="F4" s="3"/>
      <c r="G4" s="3"/>
      <c r="H4" s="3"/>
      <c r="I4" s="3"/>
      <c r="J4" s="3"/>
      <c r="K4" s="3"/>
      <c r="L4" s="3"/>
      <c r="M4" s="3"/>
      <c r="N4" s="10"/>
    </row>
    <row r="5" spans="1:14">
      <c r="A5" s="10"/>
      <c r="B5" s="873" t="s">
        <v>6392</v>
      </c>
      <c r="C5" s="874"/>
      <c r="D5" s="875"/>
      <c r="E5" s="876"/>
      <c r="F5" s="167"/>
      <c r="G5" s="3"/>
      <c r="H5" s="3"/>
      <c r="I5" s="3"/>
      <c r="J5" s="3"/>
      <c r="K5" s="3"/>
      <c r="L5" s="3"/>
      <c r="M5" s="3"/>
      <c r="N5" s="10"/>
    </row>
    <row r="6" spans="1:14" ht="30.95">
      <c r="A6" s="10"/>
      <c r="B6" s="200"/>
      <c r="C6" s="200"/>
      <c r="D6" s="200"/>
      <c r="E6" s="200"/>
      <c r="F6" s="736"/>
      <c r="G6" s="736"/>
      <c r="H6" s="736"/>
      <c r="I6" s="736"/>
      <c r="J6" s="736"/>
      <c r="K6" s="736"/>
      <c r="L6" s="736"/>
      <c r="M6" s="10"/>
      <c r="N6" s="10"/>
    </row>
    <row r="7" spans="1:14">
      <c r="A7" s="10"/>
      <c r="B7" s="28" t="s">
        <v>97</v>
      </c>
      <c r="C7" s="3"/>
      <c r="D7" s="3"/>
      <c r="E7" s="3"/>
      <c r="F7" s="3"/>
      <c r="G7" s="3"/>
      <c r="H7" s="3"/>
      <c r="I7" s="3"/>
      <c r="J7" s="3"/>
      <c r="K7" s="3"/>
      <c r="L7" s="10"/>
      <c r="M7" s="10"/>
      <c r="N7" s="10"/>
    </row>
    <row r="8" spans="1:14" ht="8.25" customHeight="1" thickBot="1">
      <c r="A8" s="10"/>
      <c r="B8" s="99"/>
      <c r="C8" s="3"/>
      <c r="D8" s="3"/>
      <c r="E8" s="3"/>
      <c r="F8" s="3"/>
      <c r="G8" s="3"/>
      <c r="H8" s="3"/>
      <c r="I8" s="3"/>
      <c r="J8" s="3"/>
      <c r="K8" s="3"/>
      <c r="L8" s="10"/>
      <c r="M8" s="10"/>
      <c r="N8" s="10"/>
    </row>
    <row r="9" spans="1:14" ht="24.95" thickBot="1">
      <c r="A9" s="10"/>
      <c r="B9" s="877" t="s">
        <v>6393</v>
      </c>
      <c r="C9" s="878"/>
      <c r="D9" s="878"/>
      <c r="E9" s="878"/>
      <c r="F9" s="878"/>
      <c r="G9" s="878"/>
      <c r="H9" s="878"/>
      <c r="I9" s="878"/>
      <c r="J9" s="878"/>
      <c r="K9" s="878"/>
      <c r="L9" s="878"/>
      <c r="M9" s="879"/>
      <c r="N9" s="10"/>
    </row>
    <row r="10" spans="1:14" ht="15.95" thickBot="1">
      <c r="A10" s="10"/>
      <c r="B10" s="99"/>
      <c r="C10" s="3"/>
      <c r="D10" s="3"/>
      <c r="E10" s="3"/>
      <c r="F10" s="3"/>
      <c r="G10" s="3"/>
      <c r="H10" s="3"/>
      <c r="I10" s="3"/>
      <c r="J10" s="3"/>
      <c r="K10" s="3"/>
      <c r="L10" s="10"/>
      <c r="M10" s="10"/>
      <c r="N10" s="10"/>
    </row>
    <row r="11" spans="1:14" ht="25.5" customHeight="1">
      <c r="A11" s="10"/>
      <c r="B11" s="880" t="s">
        <v>98</v>
      </c>
      <c r="C11" s="881"/>
      <c r="D11" s="9"/>
      <c r="E11" s="882" t="s">
        <v>6394</v>
      </c>
      <c r="F11" s="883"/>
      <c r="G11" s="884"/>
      <c r="H11" s="17"/>
      <c r="I11" s="890" t="s">
        <v>6395</v>
      </c>
      <c r="J11" s="888" t="s">
        <v>6396</v>
      </c>
      <c r="K11" s="17"/>
      <c r="L11" s="204"/>
      <c r="M11" s="3"/>
      <c r="N11" s="10"/>
    </row>
    <row r="12" spans="1:14" ht="9" customHeight="1">
      <c r="A12" s="10"/>
      <c r="B12" s="5"/>
      <c r="C12" s="139"/>
      <c r="D12" s="3"/>
      <c r="E12" s="7"/>
      <c r="F12" s="6"/>
      <c r="G12" s="8"/>
      <c r="H12" s="6"/>
      <c r="I12" s="891"/>
      <c r="J12" s="889"/>
      <c r="K12" s="6"/>
      <c r="L12" s="905" t="s">
        <v>6397</v>
      </c>
      <c r="M12" s="871"/>
      <c r="N12" s="10"/>
    </row>
    <row r="13" spans="1:14" ht="15" customHeight="1">
      <c r="A13" s="10"/>
      <c r="B13" s="130" t="s">
        <v>6398</v>
      </c>
      <c r="C13" s="126" t="e">
        <f>TotalVehicles_CatI</f>
        <v>#REF!</v>
      </c>
      <c r="D13" s="3"/>
      <c r="E13" s="135" t="s">
        <v>6398</v>
      </c>
      <c r="F13" s="896" t="e">
        <f>TotalVehicles_CatII</f>
        <v>#REF!</v>
      </c>
      <c r="G13" s="897"/>
      <c r="H13" s="486"/>
      <c r="I13" s="205" t="s">
        <v>6399</v>
      </c>
      <c r="J13" s="206">
        <v>10</v>
      </c>
      <c r="K13" s="486"/>
      <c r="L13" s="905"/>
      <c r="M13" s="871"/>
      <c r="N13" s="10"/>
    </row>
    <row r="14" spans="1:14" ht="15" customHeight="1">
      <c r="A14" s="10"/>
      <c r="B14" s="131" t="s">
        <v>6400</v>
      </c>
      <c r="C14" s="125" t="e">
        <f>AvgCombinedMPG_CatI</f>
        <v>#REF!</v>
      </c>
      <c r="D14" s="3"/>
      <c r="E14" s="136" t="s">
        <v>6400</v>
      </c>
      <c r="F14" s="898" t="e">
        <f>'Fuel Efficiency Standard'!#REF!</f>
        <v>#REF!</v>
      </c>
      <c r="G14" s="862"/>
      <c r="H14" s="44"/>
      <c r="I14" s="205" t="s">
        <v>6401</v>
      </c>
      <c r="J14" s="214">
        <v>7</v>
      </c>
      <c r="K14" s="44"/>
      <c r="L14" s="905"/>
      <c r="M14" s="871"/>
      <c r="N14" s="10"/>
    </row>
    <row r="15" spans="1:14" ht="15" customHeight="1">
      <c r="A15" s="10"/>
      <c r="B15" s="131" t="s">
        <v>6402</v>
      </c>
      <c r="C15" s="140">
        <f>IFERROR((SUM('Fuel Efficiency Standard'!P35:P51)+SUMIF('Alternative Compliance'!E62:E71, "I", 'Alternative Compliance'!G62:G71))/('Alternative Compliance'!#REF! + TotalVehicles_CatI), 0)</f>
        <v>0</v>
      </c>
      <c r="D15" s="3"/>
      <c r="E15" s="136" t="s">
        <v>6402</v>
      </c>
      <c r="F15" s="861">
        <f>IFERROR((SUM('Fuel Efficiency Standard'!P57:P88)+SUM('Alternative Compliance'!J37:J46)+SUM('Alternative Compliance'!O37:O46)+SUMIF('Alternative Compliance'!E62:E71, "II", 'Alternative Compliance'!G62:G71)+SUM('Alternative Compliance'!#REF!))/('Fuel Efficiency Standard'!#REF!+'Alternative Compliance'!#REF!+'Alternative Compliance'!#REF!+'Alternative Compliance'!F75+'Alternative Compliance'!#REF!), 0)</f>
        <v>0</v>
      </c>
      <c r="G15" s="862"/>
      <c r="H15" s="44"/>
      <c r="I15" s="207" t="s">
        <v>6403</v>
      </c>
      <c r="J15" s="212">
        <v>5</v>
      </c>
      <c r="K15" s="44"/>
      <c r="L15" s="905"/>
      <c r="M15" s="871"/>
      <c r="N15" s="10"/>
    </row>
    <row r="16" spans="1:14" ht="15" customHeight="1" thickBot="1">
      <c r="A16" s="10"/>
      <c r="B16" s="132" t="s">
        <v>6404</v>
      </c>
      <c r="C16" s="141">
        <v>32</v>
      </c>
      <c r="D16" s="3"/>
      <c r="E16" s="137" t="s">
        <v>6404</v>
      </c>
      <c r="F16" s="899">
        <v>22</v>
      </c>
      <c r="G16" s="900"/>
      <c r="H16" s="43"/>
      <c r="I16" s="208" t="s">
        <v>6405</v>
      </c>
      <c r="J16" s="209">
        <v>2</v>
      </c>
      <c r="K16" s="43"/>
      <c r="L16" s="905"/>
      <c r="M16" s="871"/>
      <c r="N16" s="10"/>
    </row>
    <row r="17" spans="1:14" ht="7.5" customHeight="1">
      <c r="A17" s="10"/>
      <c r="B17" s="27"/>
      <c r="C17" s="142"/>
      <c r="D17" s="3"/>
      <c r="E17" s="26"/>
      <c r="F17" s="363"/>
      <c r="G17" s="29"/>
      <c r="H17" s="3"/>
      <c r="I17" s="3"/>
      <c r="J17" s="3"/>
      <c r="K17" s="3"/>
      <c r="L17" s="905"/>
      <c r="M17" s="871"/>
      <c r="N17" s="10"/>
    </row>
    <row r="18" spans="1:14" ht="24" customHeight="1">
      <c r="A18" s="10"/>
      <c r="B18" s="133" t="s">
        <v>6406</v>
      </c>
      <c r="C18" s="143" t="e">
        <f>IF(AND(C15=0, C14=0), "N/A", IFERROR(IF(OR(C15&gt;31.45,C14&gt;31.45), "Pass", "Fail"), ""))</f>
        <v>#REF!</v>
      </c>
      <c r="D18" s="3"/>
      <c r="E18" s="410" t="s">
        <v>6407</v>
      </c>
      <c r="F18" s="894" t="e">
        <f>IF(AND(F15=0, F14=0), "N/A", IFERROR(IF(OR(F15&gt;21.45, F14&gt;21.45), "Pass", "Fail"), ""))</f>
        <v>#REF!</v>
      </c>
      <c r="G18" s="895"/>
      <c r="H18" s="17"/>
      <c r="I18" s="17"/>
      <c r="J18" s="17"/>
      <c r="K18" s="17"/>
      <c r="L18" s="905"/>
      <c r="M18" s="871"/>
      <c r="N18" s="10"/>
    </row>
    <row r="19" spans="1:14" ht="9" customHeight="1">
      <c r="A19" s="10"/>
      <c r="B19" s="33"/>
      <c r="C19" s="34"/>
      <c r="D19" s="35"/>
      <c r="E19" s="134"/>
      <c r="F19" s="36"/>
      <c r="G19" s="37"/>
      <c r="H19" s="3"/>
      <c r="I19" s="3"/>
      <c r="J19" s="3"/>
      <c r="K19" s="3"/>
      <c r="L19" s="905"/>
      <c r="M19" s="871"/>
      <c r="N19" s="10"/>
    </row>
    <row r="20" spans="1:14" ht="41.1" thickBot="1">
      <c r="A20" s="10"/>
      <c r="B20" s="863" t="s">
        <v>6408</v>
      </c>
      <c r="C20" s="864"/>
      <c r="D20" s="865"/>
      <c r="E20" s="892" t="e">
        <f>IF(AND(C18="N/A",F18="N/A"),"N/A",IF(AND(C18="N/A",F18="Fail"),"Fail",IF(AND(C18="Fail",F18="N/A"),"Fail",IFERROR(IF(F21&gt;-0.0001,"Pass","Fail"),""))))</f>
        <v>#REF!</v>
      </c>
      <c r="F20" s="892"/>
      <c r="G20" s="893"/>
      <c r="H20" s="203"/>
      <c r="I20" s="211" t="s">
        <v>6409</v>
      </c>
      <c r="J20" s="211" t="s">
        <v>6410</v>
      </c>
      <c r="K20" s="203"/>
      <c r="L20" s="905"/>
      <c r="M20" s="871"/>
      <c r="N20" s="10"/>
    </row>
    <row r="21" spans="1:14" ht="15" customHeight="1" thickBot="1">
      <c r="A21" s="10"/>
      <c r="B21" s="31"/>
      <c r="C21" s="32"/>
      <c r="D21" s="30"/>
      <c r="E21" s="138" t="s">
        <v>6411</v>
      </c>
      <c r="F21" s="201">
        <f>IFERROR((((F15*F13)+(C15*C13))/(C13+F13))-(((StandardMPG_CatII*F13)+(StandardMPG_CatI*C13))/(C13+F13)), 0)</f>
        <v>0</v>
      </c>
      <c r="G21" s="38" t="s">
        <v>6412</v>
      </c>
      <c r="H21" s="202"/>
      <c r="I21" s="210">
        <f>IF(F21&lt;-8,10,IF(AND(F21&lt;-5,F21&gt;=-8),7,IF(AND(F21&lt;-2, F21&gt;=-5), 5, IF(AND(F21&lt;0, F21&gt;=-2),2,IF(F21&gt;=0, 0, (0))))))</f>
        <v>0</v>
      </c>
      <c r="J21" s="345"/>
      <c r="K21" s="202"/>
      <c r="L21" s="40"/>
      <c r="M21" s="10"/>
      <c r="N21" s="10"/>
    </row>
    <row r="22" spans="1:14">
      <c r="A22" s="10"/>
      <c r="B22" s="10"/>
      <c r="C22" s="10"/>
      <c r="D22" s="10"/>
      <c r="E22" s="10"/>
      <c r="F22" s="10"/>
      <c r="G22" s="10"/>
      <c r="H22" s="10"/>
      <c r="I22" s="10"/>
      <c r="J22" s="10"/>
      <c r="K22" s="10"/>
      <c r="L22" s="3"/>
      <c r="M22" s="10"/>
      <c r="N22" s="10"/>
    </row>
    <row r="23" spans="1:14" ht="15.95" thickBot="1">
      <c r="A23" s="10"/>
      <c r="B23" s="10"/>
      <c r="C23" s="10"/>
      <c r="D23" s="10"/>
      <c r="E23" s="3"/>
      <c r="F23" s="3"/>
      <c r="G23" s="3"/>
      <c r="H23" s="3"/>
      <c r="I23" s="3"/>
      <c r="J23" s="3"/>
      <c r="K23" s="3"/>
      <c r="L23" s="3"/>
      <c r="M23" s="89"/>
      <c r="N23" s="89"/>
    </row>
    <row r="24" spans="1:14" ht="24.95" thickBot="1">
      <c r="A24" s="10"/>
      <c r="B24" s="877" t="s">
        <v>6413</v>
      </c>
      <c r="C24" s="878"/>
      <c r="D24" s="878"/>
      <c r="E24" s="878"/>
      <c r="F24" s="878"/>
      <c r="G24" s="878"/>
      <c r="H24" s="878"/>
      <c r="I24" s="878"/>
      <c r="J24" s="878"/>
      <c r="K24" s="878"/>
      <c r="L24" s="878"/>
      <c r="M24" s="879"/>
      <c r="N24" s="89"/>
    </row>
    <row r="25" spans="1:14" ht="15.95" thickBot="1">
      <c r="A25" s="10"/>
      <c r="B25" s="10"/>
      <c r="C25" s="10"/>
      <c r="D25" s="10"/>
      <c r="E25" s="3"/>
      <c r="F25" s="3"/>
      <c r="G25" s="3"/>
      <c r="H25" s="3"/>
      <c r="I25" s="3"/>
      <c r="J25" s="3"/>
      <c r="K25" s="3"/>
      <c r="L25" s="3"/>
      <c r="M25" s="89"/>
      <c r="N25" s="89"/>
    </row>
    <row r="26" spans="1:14" ht="21">
      <c r="A26" s="10"/>
      <c r="B26" s="880" t="s">
        <v>6414</v>
      </c>
      <c r="C26" s="883"/>
      <c r="D26" s="883"/>
      <c r="E26" s="883"/>
      <c r="F26" s="884"/>
      <c r="G26" s="3"/>
      <c r="H26" s="3"/>
      <c r="I26" s="3"/>
      <c r="J26" s="3"/>
      <c r="K26" s="3"/>
      <c r="L26" s="3"/>
      <c r="M26" s="89"/>
      <c r="N26" s="89"/>
    </row>
    <row r="27" spans="1:14" ht="7.5" customHeight="1">
      <c r="A27" s="10"/>
      <c r="B27" s="885"/>
      <c r="C27" s="886"/>
      <c r="D27" s="886"/>
      <c r="E27" s="886"/>
      <c r="F27" s="887"/>
      <c r="G27" s="3"/>
      <c r="H27" s="3"/>
      <c r="I27" s="3"/>
      <c r="J27" s="3"/>
      <c r="K27" s="3"/>
      <c r="L27" s="3"/>
      <c r="M27" s="89"/>
      <c r="N27" s="89"/>
    </row>
    <row r="28" spans="1:14" ht="15.95">
      <c r="A28" s="10"/>
      <c r="B28" s="91" t="s">
        <v>6415</v>
      </c>
      <c r="C28" s="93" t="e">
        <f>'Fuel Efficiency Standard'!#REF!+'Fuel Efficiency Standard'!#REF!</f>
        <v>#REF!</v>
      </c>
      <c r="D28" s="363"/>
      <c r="E28" s="12"/>
      <c r="F28" s="29"/>
      <c r="G28" s="3"/>
      <c r="H28" s="3"/>
      <c r="I28" s="3"/>
      <c r="J28" s="3"/>
      <c r="K28" s="3"/>
      <c r="L28" s="3"/>
      <c r="M28" s="89"/>
      <c r="N28" s="89"/>
    </row>
    <row r="29" spans="1:14" ht="30.95">
      <c r="A29" s="10"/>
      <c r="B29" s="91" t="s">
        <v>6416</v>
      </c>
      <c r="C29" s="93" t="e">
        <f>ROUND(IF(AND(C28&gt;10,C28&lt;20),1,C28*0.05), 0)</f>
        <v>#REF!</v>
      </c>
      <c r="D29" s="363"/>
      <c r="E29" s="53" t="s">
        <v>6417</v>
      </c>
      <c r="F29" s="54" t="e">
        <f>ROUND((C29*0.5), 0)</f>
        <v>#REF!</v>
      </c>
      <c r="G29" s="3"/>
      <c r="H29" s="3"/>
      <c r="I29" s="3"/>
      <c r="J29" s="3"/>
      <c r="K29" s="3"/>
      <c r="L29" s="3"/>
      <c r="M29" s="89"/>
      <c r="N29" s="89"/>
    </row>
    <row r="30" spans="1:14">
      <c r="A30" s="10"/>
      <c r="B30" s="94" t="s">
        <v>6418</v>
      </c>
      <c r="C30" s="93">
        <f>'Fuel Efficiency Standard'!L17</f>
        <v>0</v>
      </c>
      <c r="D30" s="363"/>
      <c r="E30" s="55" t="s">
        <v>6419</v>
      </c>
      <c r="F30" s="737" t="e">
        <f>'Alternative Compliance'!#REF!</f>
        <v>#REF!</v>
      </c>
      <c r="G30" s="3"/>
      <c r="H30" s="3"/>
      <c r="I30" s="3"/>
      <c r="J30" s="3"/>
      <c r="K30" s="3"/>
      <c r="L30" s="3"/>
      <c r="M30" s="89"/>
      <c r="N30" s="89"/>
    </row>
    <row r="31" spans="1:14">
      <c r="A31" s="10"/>
      <c r="B31" s="92" t="s">
        <v>6420</v>
      </c>
      <c r="C31" s="90" t="e">
        <f>'Fuel Efficiency Standard'!L19+'Fuel Efficiency Standard'!L18+ 'Fuel Efficiency Standard'!M19+'Fuel Efficiency Standard'!M18+('Alternative Compliance'!#REF!+'Alternative Compliance'!#REF!)</f>
        <v>#REF!</v>
      </c>
      <c r="D31" s="363"/>
      <c r="E31" s="52" t="s">
        <v>6421</v>
      </c>
      <c r="F31" s="95" t="e">
        <f>ROUND(IF(F30&gt;F29, F29, F30), 0)</f>
        <v>#REF!</v>
      </c>
      <c r="G31" s="3"/>
      <c r="H31" s="3"/>
      <c r="I31" s="3"/>
      <c r="J31" s="3"/>
      <c r="K31" s="3"/>
      <c r="L31" s="3"/>
      <c r="M31" s="89"/>
      <c r="N31" s="89"/>
    </row>
    <row r="32" spans="1:14">
      <c r="A32" s="10"/>
      <c r="B32" s="96" t="s">
        <v>6422</v>
      </c>
      <c r="C32" s="97" t="e">
        <f>C30+C31</f>
        <v>#REF!</v>
      </c>
      <c r="D32" s="363"/>
      <c r="E32" s="12"/>
      <c r="F32" s="29"/>
      <c r="G32" s="3"/>
      <c r="H32" s="3"/>
      <c r="I32" s="3"/>
      <c r="J32" s="3"/>
      <c r="K32" s="3"/>
      <c r="L32" s="3"/>
      <c r="M32" s="89"/>
      <c r="N32" s="89"/>
    </row>
    <row r="33" spans="1:14" ht="15" customHeight="1">
      <c r="A33" s="10"/>
      <c r="B33" s="163"/>
      <c r="C33" s="12"/>
      <c r="D33" s="901" t="s">
        <v>6423</v>
      </c>
      <c r="E33" s="901"/>
      <c r="F33" s="902"/>
      <c r="G33" s="3"/>
      <c r="H33" s="3"/>
      <c r="I33" s="3"/>
      <c r="J33" s="3"/>
      <c r="K33" s="3"/>
      <c r="L33" s="3"/>
      <c r="M33" s="89"/>
      <c r="N33" s="89"/>
    </row>
    <row r="34" spans="1:14" ht="29.1">
      <c r="A34" s="10"/>
      <c r="B34" s="15" t="s">
        <v>6424</v>
      </c>
      <c r="C34" s="144" t="e">
        <f>IF(C28=0, "N/A", IF(C32&gt;=C29,"Pass",IF((C32+F31)&gt;=C29,"Pass","Fail")))</f>
        <v>#REF!</v>
      </c>
      <c r="D34" s="901"/>
      <c r="E34" s="901"/>
      <c r="F34" s="902"/>
      <c r="G34" s="3"/>
      <c r="H34" s="3"/>
      <c r="I34" s="3"/>
      <c r="J34" s="3"/>
      <c r="K34" s="3"/>
      <c r="L34" s="3"/>
      <c r="M34" s="89"/>
      <c r="N34" s="89"/>
    </row>
    <row r="35" spans="1:14" ht="15.95" thickBot="1">
      <c r="A35" s="10"/>
      <c r="B35" s="161"/>
      <c r="C35" s="162"/>
      <c r="D35" s="903"/>
      <c r="E35" s="903"/>
      <c r="F35" s="904"/>
      <c r="G35" s="3"/>
      <c r="H35" s="3"/>
      <c r="I35" s="3"/>
      <c r="J35" s="3"/>
      <c r="K35" s="3"/>
      <c r="L35" s="3"/>
      <c r="M35" s="89"/>
      <c r="N35" s="89"/>
    </row>
    <row r="36" spans="1:14">
      <c r="A36" s="10"/>
      <c r="B36" s="22" t="s">
        <v>92</v>
      </c>
      <c r="C36" s="10"/>
      <c r="D36" s="10"/>
      <c r="E36" s="3"/>
      <c r="F36" s="3"/>
      <c r="G36" s="3"/>
      <c r="H36" s="3"/>
      <c r="I36" s="3"/>
      <c r="J36" s="3"/>
      <c r="K36" s="3"/>
      <c r="L36" s="3"/>
      <c r="M36" s="89"/>
      <c r="N36" s="89"/>
    </row>
    <row r="37" spans="1:14">
      <c r="A37" s="10"/>
      <c r="B37" s="22" t="s">
        <v>97</v>
      </c>
      <c r="C37" s="10"/>
      <c r="D37" s="10"/>
      <c r="E37" s="3"/>
      <c r="F37" s="3"/>
      <c r="G37" s="3"/>
      <c r="H37" s="3"/>
      <c r="I37" s="3"/>
      <c r="J37" s="3"/>
      <c r="K37" s="3"/>
      <c r="L37" s="3"/>
      <c r="M37" s="89"/>
      <c r="N37" s="89"/>
    </row>
    <row r="38" spans="1:14" ht="15" customHeight="1">
      <c r="A38" s="10"/>
      <c r="B38" s="99"/>
      <c r="C38" s="836" t="s">
        <v>6425</v>
      </c>
      <c r="D38" s="836"/>
      <c r="E38" s="836"/>
      <c r="F38" s="836"/>
      <c r="G38" s="836"/>
      <c r="H38" s="836"/>
      <c r="I38" s="836"/>
      <c r="J38" s="836"/>
      <c r="K38" s="836"/>
      <c r="L38" s="836"/>
      <c r="M38" s="10"/>
      <c r="N38" s="10"/>
    </row>
    <row r="39" spans="1:14">
      <c r="A39" s="10"/>
      <c r="B39" s="145"/>
      <c r="C39" s="836"/>
      <c r="D39" s="836"/>
      <c r="E39" s="836"/>
      <c r="F39" s="836"/>
      <c r="G39" s="836"/>
      <c r="H39" s="836"/>
      <c r="I39" s="836"/>
      <c r="J39" s="836"/>
      <c r="K39" s="836"/>
      <c r="L39" s="836"/>
      <c r="M39" s="10"/>
      <c r="N39" s="10"/>
    </row>
    <row r="40" spans="1:14">
      <c r="A40" s="10"/>
      <c r="B40" s="145"/>
      <c r="C40" s="836"/>
      <c r="D40" s="836"/>
      <c r="E40" s="836"/>
      <c r="F40" s="836"/>
      <c r="G40" s="836"/>
      <c r="H40" s="836"/>
      <c r="I40" s="836"/>
      <c r="J40" s="836"/>
      <c r="K40" s="836"/>
      <c r="L40" s="836"/>
      <c r="M40" s="10"/>
      <c r="N40" s="10"/>
    </row>
    <row r="41" spans="1:14">
      <c r="A41" s="10"/>
      <c r="B41" s="145"/>
      <c r="C41" s="836"/>
      <c r="D41" s="836"/>
      <c r="E41" s="836"/>
      <c r="F41" s="836"/>
      <c r="G41" s="836"/>
      <c r="H41" s="836"/>
      <c r="I41" s="836"/>
      <c r="J41" s="836"/>
      <c r="K41" s="836"/>
      <c r="L41" s="836"/>
      <c r="M41" s="10"/>
      <c r="N41" s="10"/>
    </row>
    <row r="42" spans="1:14">
      <c r="A42" s="10"/>
      <c r="B42" s="145"/>
      <c r="C42" s="836"/>
      <c r="D42" s="836"/>
      <c r="E42" s="836"/>
      <c r="F42" s="836"/>
      <c r="G42" s="836"/>
      <c r="H42" s="836"/>
      <c r="I42" s="836"/>
      <c r="J42" s="836"/>
      <c r="K42" s="836"/>
      <c r="L42" s="836"/>
      <c r="M42" s="10"/>
      <c r="N42" s="10"/>
    </row>
    <row r="43" spans="1:14">
      <c r="A43" s="10"/>
      <c r="B43" s="10"/>
      <c r="C43" s="836"/>
      <c r="D43" s="836"/>
      <c r="E43" s="836"/>
      <c r="F43" s="836"/>
      <c r="G43" s="836"/>
      <c r="H43" s="836"/>
      <c r="I43" s="836"/>
      <c r="J43" s="836"/>
      <c r="K43" s="836"/>
      <c r="L43" s="836"/>
      <c r="M43" s="10"/>
      <c r="N43" s="10"/>
    </row>
    <row r="44" spans="1:14">
      <c r="A44" s="10"/>
      <c r="B44" s="10"/>
      <c r="C44" s="10"/>
      <c r="D44" s="10"/>
      <c r="E44" s="10"/>
      <c r="F44" s="10"/>
      <c r="G44" s="10"/>
      <c r="H44" s="10"/>
      <c r="I44" s="10"/>
      <c r="J44" s="10"/>
      <c r="K44" s="10"/>
      <c r="L44" s="10"/>
      <c r="M44" s="10"/>
      <c r="N44" s="10"/>
    </row>
    <row r="45" spans="1:14">
      <c r="A45" s="10"/>
      <c r="B45" s="10"/>
      <c r="C45" s="10"/>
      <c r="D45" s="10"/>
      <c r="E45" s="10"/>
      <c r="F45" s="10"/>
      <c r="G45" s="10"/>
      <c r="H45" s="10"/>
      <c r="I45" s="10"/>
      <c r="J45" s="10"/>
      <c r="K45" s="10"/>
      <c r="L45" s="10"/>
      <c r="M45" s="10"/>
      <c r="N45" s="10"/>
    </row>
    <row r="46" spans="1:14" hidden="1">
      <c r="A46" s="99"/>
      <c r="B46" s="99"/>
      <c r="C46" s="99"/>
      <c r="D46" s="99"/>
      <c r="E46" s="99"/>
      <c r="F46" s="99"/>
      <c r="G46" s="99"/>
      <c r="L46" s="99"/>
      <c r="M46" s="99"/>
      <c r="N46" s="99"/>
    </row>
    <row r="47" spans="1:14" hidden="1">
      <c r="A47" s="99"/>
      <c r="B47" s="99"/>
      <c r="C47" s="99"/>
      <c r="D47" s="99"/>
      <c r="E47" s="99"/>
      <c r="F47" s="99"/>
      <c r="G47" s="99"/>
      <c r="L47" s="99"/>
      <c r="M47" s="99"/>
      <c r="N47" s="99"/>
    </row>
    <row r="48" spans="1:14" hidden="1">
      <c r="A48" s="99"/>
      <c r="B48" s="99"/>
      <c r="C48" s="99"/>
      <c r="D48" s="99"/>
      <c r="E48" s="99"/>
      <c r="F48" s="99"/>
      <c r="G48" s="99"/>
      <c r="L48" s="99"/>
      <c r="M48" s="99"/>
      <c r="N48" s="99"/>
    </row>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sheetData>
  <mergeCells count="23">
    <mergeCell ref="B27:F27"/>
    <mergeCell ref="J11:J12"/>
    <mergeCell ref="I11:I12"/>
    <mergeCell ref="E20:G20"/>
    <mergeCell ref="C38:L43"/>
    <mergeCell ref="F18:G18"/>
    <mergeCell ref="F13:G13"/>
    <mergeCell ref="F14:G14"/>
    <mergeCell ref="F16:G16"/>
    <mergeCell ref="D33:F35"/>
    <mergeCell ref="L12:M20"/>
    <mergeCell ref="B26:F26"/>
    <mergeCell ref="B24:M24"/>
    <mergeCell ref="B1:L1"/>
    <mergeCell ref="B2:L2"/>
    <mergeCell ref="F15:G15"/>
    <mergeCell ref="B20:D20"/>
    <mergeCell ref="B3:E3"/>
    <mergeCell ref="B4:E4"/>
    <mergeCell ref="B5:E5"/>
    <mergeCell ref="B9:M9"/>
    <mergeCell ref="B11:C11"/>
    <mergeCell ref="E11:G11"/>
  </mergeCells>
  <conditionalFormatting sqref="C34 F18 C18">
    <cfRule type="cellIs" dxfId="116" priority="35" operator="equal">
      <formula>"Pass"</formula>
    </cfRule>
    <cfRule type="cellIs" dxfId="115" priority="36" operator="equal">
      <formula>"Fail"</formula>
    </cfRule>
  </conditionalFormatting>
  <conditionalFormatting sqref="F21">
    <cfRule type="cellIs" dxfId="114" priority="16" operator="lessThan">
      <formula>0</formula>
    </cfRule>
    <cfRule type="cellIs" dxfId="113" priority="17" operator="greaterThan">
      <formula>0</formula>
    </cfRule>
    <cfRule type="cellIs" dxfId="112" priority="19" operator="lessThan">
      <formula>0</formula>
    </cfRule>
    <cfRule type="cellIs" dxfId="111" priority="20" operator="greaterThan">
      <formula>0</formula>
    </cfRule>
  </conditionalFormatting>
  <conditionalFormatting sqref="I21">
    <cfRule type="containsText" priority="1" stopIfTrue="1" operator="containsText" text="N/A">
      <formula>NOT(ISERROR(SEARCH("N/A",I21)))</formula>
    </cfRule>
    <cfRule type="cellIs" dxfId="110" priority="8" stopIfTrue="1" operator="greaterThan">
      <formula>9</formula>
    </cfRule>
    <cfRule type="cellIs" dxfId="109" priority="9" stopIfTrue="1" operator="greaterThan">
      <formula>6</formula>
    </cfRule>
    <cfRule type="cellIs" dxfId="108" priority="10" stopIfTrue="1" operator="greaterThan">
      <formula>3</formula>
    </cfRule>
    <cfRule type="cellIs" dxfId="107" priority="37" stopIfTrue="1" operator="greaterThan">
      <formula>0</formula>
    </cfRule>
  </conditionalFormatting>
  <conditionalFormatting sqref="J21">
    <cfRule type="cellIs" dxfId="106" priority="5" operator="equal">
      <formula>2</formula>
    </cfRule>
    <cfRule type="cellIs" dxfId="105" priority="6" operator="equal">
      <formula>6</formula>
    </cfRule>
    <cfRule type="cellIs" dxfId="104" priority="7" operator="equal">
      <formula>10</formula>
    </cfRule>
  </conditionalFormatting>
  <conditionalFormatting sqref="E20">
    <cfRule type="cellIs" dxfId="103" priority="3" operator="equal">
      <formula>"Pass"</formula>
    </cfRule>
    <cfRule type="cellIs" dxfId="102" priority="4" operator="equal">
      <formula>"Fail"</formula>
    </cfRule>
  </conditionalFormatting>
  <hyperlinks>
    <hyperlink ref="B7" location="'Review &amp; Instructions '!A1" display="Instructions" xr:uid="{00000000-0004-0000-0800-000000000000}"/>
    <hyperlink ref="B36" location="Scoring!A1" display="Top" xr:uid="{00000000-0004-0000-0800-000001000000}"/>
    <hyperlink ref="B37" location="'Review &amp; Instructions '!A1" display="Instructions" xr:uid="{00000000-0004-0000-0800-000002000000}"/>
  </hyperlinks>
  <pageMargins left="0.5" right="0.5" top="0.5" bottom="0.5" header="0.25" footer="0.25"/>
  <pageSetup paperSize="17" orientation="landscape" r:id="rId1"/>
  <headerFooter>
    <oddHeader>&amp;F</oddHeader>
    <oddFooter>&amp;L&amp;A&amp;CPage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EINK</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Zachary Channing</dc:creator>
  <cp:keywords/>
  <dc:description/>
  <cp:lastModifiedBy/>
  <cp:revision/>
  <dcterms:created xsi:type="dcterms:W3CDTF">2014-08-11T15:40:04Z</dcterms:created>
  <dcterms:modified xsi:type="dcterms:W3CDTF">2020-09-03T17:48:46Z</dcterms:modified>
  <cp:category/>
  <cp:contentStatus/>
</cp:coreProperties>
</file>